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32"/>
  <workbookPr codeName="ThisWorkbook" defaultThemeVersion="124226"/>
  <mc:AlternateContent xmlns:mc="http://schemas.openxmlformats.org/markup-compatibility/2006">
    <mc:Choice Requires="x15">
      <x15ac:absPath xmlns:x15ac="http://schemas.microsoft.com/office/spreadsheetml/2010/11/ac" url="C:\Users\ckato\Desktop\"/>
    </mc:Choice>
  </mc:AlternateContent>
  <xr:revisionPtr revIDLastSave="0" documentId="8_{EFD2C214-C07E-45F3-80EB-86FD66DA6802}" xr6:coauthVersionLast="47" xr6:coauthVersionMax="47" xr10:uidLastSave="{00000000-0000-0000-0000-000000000000}"/>
  <bookViews>
    <workbookView xWindow="-108" yWindow="-108" windowWidth="23256" windowHeight="12456" tabRatio="882" firstSheet="7" activeTab="7" xr2:uid="{00000000-000D-0000-FFFF-FFFF00000000}"/>
  </bookViews>
  <sheets>
    <sheet name="Copyright" sheetId="101" r:id="rId1"/>
    <sheet name="Notes1" sheetId="38" state="hidden" r:id="rId2"/>
    <sheet name="INFO - Woody" sheetId="109" state="hidden" r:id="rId3"/>
    <sheet name="LPE.DPE" sheetId="108" state="hidden" r:id="rId4"/>
    <sheet name="0506 ADA" sheetId="107" state="hidden" r:id="rId5"/>
    <sheet name="0506 CPTD" sheetId="103" state="hidden" r:id="rId6"/>
    <sheet name="0405 CPTD" sheetId="104" state="hidden" r:id="rId7"/>
    <sheet name="Instructions" sheetId="113" r:id="rId8"/>
    <sheet name="0607 PEIMS" sheetId="114" state="hidden" r:id="rId9"/>
    <sheet name="Data Entry - SOF" sheetId="1" state="hidden" r:id="rId10"/>
    <sheet name="2006 CPTD" sheetId="115" state="hidden" r:id="rId11"/>
    <sheet name="Pre K" sheetId="122" state="hidden" r:id="rId12"/>
    <sheet name="Enter Attendance.Funding Sheet" sheetId="112" r:id="rId13"/>
    <sheet name="2016 Certified Values" sheetId="130" state="hidden" r:id="rId14"/>
    <sheet name="2015 CPTD Values" sheetId="129" state="hidden" r:id="rId15"/>
    <sheet name="2014 25K CPTD Values" sheetId="128" state="hidden" r:id="rId16"/>
    <sheet name="District" sheetId="127" state="hidden" r:id="rId17"/>
    <sheet name="2015-16 SCE" sheetId="126" state="hidden" r:id="rId18"/>
    <sheet name="2015-16 Funding" sheetId="125" state="hidden" r:id="rId19"/>
    <sheet name="PreK Grant" sheetId="106" state="hidden" r:id="rId20"/>
    <sheet name="Bond Debt" sheetId="105" state="hidden" r:id="rId21"/>
    <sheet name="0405 Tax Coll" sheetId="102" state="hidden" r:id="rId22"/>
    <sheet name="SqMiles" sheetId="93" state="hidden" r:id="rId23"/>
    <sheet name="DE1" sheetId="49" state="hidden" r:id="rId24"/>
    <sheet name="Calc Data1" sheetId="77" state="hidden" r:id="rId25"/>
    <sheet name="SOF0607-HB1" sheetId="98" state="hidden" r:id="rId26"/>
    <sheet name="SqMile" sheetId="120" state="hidden" r:id="rId27"/>
    <sheet name="0506Data" sheetId="119" state="hidden" r:id="rId28"/>
    <sheet name="Calc Data" sheetId="9" state="hidden" r:id="rId29"/>
    <sheet name="Copy LPE" sheetId="111" state="hidden" r:id="rId30"/>
    <sheet name="SOF0506-CL" sheetId="8" state="hidden" r:id="rId31"/>
    <sheet name="new CEI" sheetId="78" state="hidden" r:id="rId32"/>
    <sheet name="Effect" sheetId="100" state="hidden" r:id="rId33"/>
    <sheet name="MaxTax2" sheetId="19" state="hidden" r:id="rId34"/>
    <sheet name="SOF0607-CL" sheetId="81" state="hidden" r:id="rId35"/>
    <sheet name="RollbackRates" sheetId="99" state="hidden" r:id="rId36"/>
    <sheet name="MaxTax" sheetId="21" state="hidden" r:id="rId37"/>
    <sheet name="Salary Transition" sheetId="5" state="hidden" r:id="rId38"/>
    <sheet name="Gap Aid" sheetId="23" state="hidden" r:id="rId39"/>
    <sheet name="HoldHarmless" sheetId="27" state="hidden" r:id="rId40"/>
    <sheet name="Health Ins" sheetId="18" state="hidden" r:id="rId41"/>
    <sheet name="EDA2" sheetId="3" state="hidden" r:id="rId42"/>
    <sheet name="Existing Debt" sheetId="2" state="hidden" r:id="rId43"/>
    <sheet name="IFA" sheetId="60" state="hidden" r:id="rId44"/>
    <sheet name="award1_05" sheetId="83" state="hidden" r:id="rId45"/>
    <sheet name="award2_05" sheetId="84" state="hidden" r:id="rId46"/>
    <sheet name="award3_05" sheetId="85" state="hidden" r:id="rId47"/>
    <sheet name="award4_05" sheetId="86" state="hidden" r:id="rId48"/>
    <sheet name="award5_05" sheetId="87" state="hidden" r:id="rId49"/>
    <sheet name="award6_05" sheetId="88" state="hidden" r:id="rId50"/>
    <sheet name="award7_05" sheetId="89" state="hidden" r:id="rId51"/>
    <sheet name="award8_05" sheetId="90" state="hidden" r:id="rId52"/>
    <sheet name="Ch41 Calc Data" sheetId="74" state="hidden" r:id="rId53"/>
    <sheet name="LP0405shares" sheetId="82" state="hidden" r:id="rId54"/>
    <sheet name="GrossRecap" sheetId="73" state="hidden" r:id="rId55"/>
    <sheet name="Option Costs" sheetId="91" state="hidden" r:id="rId56"/>
    <sheet name="0405Data" sheetId="92" state="hidden" r:id="rId57"/>
    <sheet name="Ch41 Hold Harm" sheetId="72" state="hidden" r:id="rId58"/>
    <sheet name="staff-ada" sheetId="70" state="hidden" r:id="rId59"/>
    <sheet name="Healthdata" sheetId="58" state="hidden" r:id="rId60"/>
    <sheet name="IFA2" sheetId="50" state="hidden" r:id="rId61"/>
    <sheet name="08 CPTD" sheetId="116" state="hidden" r:id="rId62"/>
    <sheet name="COE Index" sheetId="117" state="hidden" r:id="rId63"/>
    <sheet name="Sheet1" sheetId="121" state="hidden" r:id="rId64"/>
  </sheets>
  <definedNames>
    <definedName name="_xlnm.Print_Area" localSheetId="28">'Calc Data'!$A$1:$F$172</definedName>
    <definedName name="_xlnm.Print_Area" localSheetId="52">'Ch41 Calc Data'!$A$1:$F$6</definedName>
    <definedName name="_xlnm.Print_Area" localSheetId="57">'Ch41 Hold Harm'!$A$1:$E$48</definedName>
    <definedName name="_xlnm.Print_Area" localSheetId="9">'Data Entry - SOF'!$A$1:$H$112</definedName>
    <definedName name="_xlnm.Print_Area" localSheetId="41">'EDA2'!$A$5:$H$58</definedName>
    <definedName name="_xlnm.Print_Area" localSheetId="32">Effect!$A$1:$K$38</definedName>
    <definedName name="_xlnm.Print_Area" localSheetId="42">'Existing Debt'!$A$1:$H$91</definedName>
    <definedName name="_xlnm.Print_Area" localSheetId="38">'Gap Aid'!$A$1:$H$33</definedName>
    <definedName name="_xlnm.Print_Area" localSheetId="54">GrossRecap!$A$1:$N$43</definedName>
    <definedName name="_xlnm.Print_Area" localSheetId="40" xml:space="preserve">                                            'Health Ins'!$A$1:$L$81</definedName>
    <definedName name="_xlnm.Print_Area" localSheetId="39">HoldHarmless!$A$1:$E$82</definedName>
    <definedName name="_xlnm.Print_Area" localSheetId="43">IFA!$A$1:$L$89</definedName>
    <definedName name="_xlnm.Print_Area" localSheetId="36">MaxTax!$A$1:$G$18</definedName>
    <definedName name="_xlnm.Print_Area" localSheetId="1" xml:space="preserve">  Notes1!$A$1:$A$242</definedName>
    <definedName name="_xlnm.Print_Area" localSheetId="55">'Option Costs'!$A$1:$I$48</definedName>
    <definedName name="_xlnm.Print_Area" localSheetId="35">RollbackRates!$A$1:$I$128</definedName>
    <definedName name="_xlnm.Print_Area" localSheetId="37">'Salary Transition'!$A$1:$Q$86</definedName>
    <definedName name="_xlnm.Print_Area" localSheetId="30">'SOF0506-CL'!$A$1:$F$136</definedName>
    <definedName name="_xlnm.Print_Area" localSheetId="34">'SOF0607-CL'!$A$1:$F$138</definedName>
    <definedName name="_xlnm.Print_Area" localSheetId="25">'SOF0607-HB1'!$A$1:$F$208</definedName>
    <definedName name="_xlnm.Print_Titles" localSheetId="35">RollbackRates!$1:$9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 i="130" l="1"/>
  <c r="L2" i="130" s="1"/>
  <c r="A2" i="130" l="1"/>
  <c r="E2" i="130"/>
  <c r="I2" i="130"/>
  <c r="B2" i="130"/>
  <c r="F2" i="130"/>
  <c r="J2" i="130"/>
  <c r="C2" i="130"/>
  <c r="G2" i="130"/>
  <c r="K2" i="130"/>
  <c r="D2" i="130"/>
  <c r="Z37" i="112" s="1"/>
  <c r="H2" i="130"/>
  <c r="C39" i="112" l="1"/>
  <c r="D39" i="112"/>
  <c r="E39" i="112"/>
  <c r="F39" i="112"/>
  <c r="G39" i="112"/>
  <c r="B39" i="112"/>
  <c r="V38" i="112" s="1"/>
  <c r="P24" i="112" l="1"/>
  <c r="Q24" i="112"/>
  <c r="R24" i="112"/>
  <c r="S24" i="112"/>
  <c r="T24" i="112"/>
  <c r="U24" i="112"/>
  <c r="P25" i="112"/>
  <c r="Q25" i="112"/>
  <c r="R25" i="112"/>
  <c r="S25" i="112"/>
  <c r="T25" i="112"/>
  <c r="U25" i="112"/>
  <c r="P26" i="112"/>
  <c r="Q26" i="112"/>
  <c r="R26" i="112"/>
  <c r="S26" i="112"/>
  <c r="T26" i="112"/>
  <c r="U26" i="112"/>
  <c r="P27" i="112"/>
  <c r="Q27" i="112"/>
  <c r="R27" i="112"/>
  <c r="S27" i="112"/>
  <c r="T27" i="112"/>
  <c r="U27" i="112"/>
  <c r="P28" i="112"/>
  <c r="Q28" i="112"/>
  <c r="R28" i="112"/>
  <c r="S28" i="112"/>
  <c r="T28" i="112"/>
  <c r="U28" i="112"/>
  <c r="P29" i="112"/>
  <c r="Q29" i="112"/>
  <c r="R29" i="112"/>
  <c r="S29" i="112"/>
  <c r="T29" i="112"/>
  <c r="U29" i="112"/>
  <c r="P30" i="112"/>
  <c r="Q30" i="112"/>
  <c r="R30" i="112"/>
  <c r="S30" i="112"/>
  <c r="T30" i="112"/>
  <c r="U30" i="112"/>
  <c r="P31" i="112"/>
  <c r="Q31" i="112"/>
  <c r="R31" i="112"/>
  <c r="S31" i="112"/>
  <c r="T31" i="112"/>
  <c r="U31" i="112"/>
  <c r="P32" i="112"/>
  <c r="Q32" i="112"/>
  <c r="R32" i="112"/>
  <c r="S32" i="112"/>
  <c r="T32" i="112"/>
  <c r="U32" i="112"/>
  <c r="P33" i="112"/>
  <c r="Q33" i="112"/>
  <c r="R33" i="112"/>
  <c r="S33" i="112"/>
  <c r="T33" i="112"/>
  <c r="U33" i="112"/>
  <c r="P34" i="112"/>
  <c r="Q34" i="112"/>
  <c r="R34" i="112"/>
  <c r="S34" i="112"/>
  <c r="T34" i="112"/>
  <c r="U34" i="112"/>
  <c r="P35" i="112"/>
  <c r="Q35" i="112"/>
  <c r="R35" i="112"/>
  <c r="S35" i="112"/>
  <c r="T35" i="112"/>
  <c r="U35" i="112"/>
  <c r="Q23" i="112"/>
  <c r="R23" i="112"/>
  <c r="S23" i="112"/>
  <c r="T23" i="112"/>
  <c r="U23" i="112"/>
  <c r="P23" i="112"/>
  <c r="A1" i="129" l="1"/>
  <c r="B1" i="129" s="1"/>
  <c r="G13" i="112" l="1"/>
  <c r="F13" i="112"/>
  <c r="E13" i="112"/>
  <c r="D13" i="112"/>
  <c r="C13" i="112"/>
  <c r="B13" i="112"/>
  <c r="A2" i="128" l="1"/>
  <c r="K2" i="128" l="1"/>
  <c r="H2" i="128" l="1"/>
  <c r="E2" i="128"/>
  <c r="I2" i="128"/>
  <c r="B2" i="128"/>
  <c r="I1" i="112" s="1"/>
  <c r="F2" i="128"/>
  <c r="J2" i="128"/>
  <c r="D2" i="128"/>
  <c r="C2" i="128"/>
  <c r="G2" i="128"/>
  <c r="B2" i="1"/>
  <c r="J4" i="112" l="1"/>
  <c r="A1" i="126"/>
  <c r="B2" i="126" s="1"/>
  <c r="K10" i="112" s="1"/>
  <c r="A1" i="127"/>
  <c r="B2" i="127" s="1"/>
  <c r="A2" i="126" l="1"/>
  <c r="A2" i="127"/>
  <c r="C57" i="112" l="1"/>
  <c r="D57" i="112"/>
  <c r="E57" i="112"/>
  <c r="F57" i="112"/>
  <c r="G57" i="112"/>
  <c r="B57" i="112"/>
  <c r="C52" i="112"/>
  <c r="D52" i="112"/>
  <c r="E52" i="112"/>
  <c r="F52" i="112"/>
  <c r="G52" i="112"/>
  <c r="B52" i="112"/>
  <c r="I47" i="112"/>
  <c r="J47" i="112" s="1"/>
  <c r="H8" i="112"/>
  <c r="I17" i="112"/>
  <c r="C11" i="112"/>
  <c r="E11" i="112"/>
  <c r="F11" i="112"/>
  <c r="G11" i="112"/>
  <c r="B11" i="112"/>
  <c r="I57" i="112" l="1"/>
  <c r="I11" i="112"/>
  <c r="I52" i="112"/>
  <c r="D6" i="125"/>
  <c r="I19" i="112"/>
  <c r="J19" i="112" l="1"/>
  <c r="D7" i="125" s="1"/>
  <c r="J52" i="112"/>
  <c r="D8" i="125" s="1"/>
  <c r="J17" i="112"/>
  <c r="D12" i="125" s="1"/>
  <c r="A1" i="115"/>
  <c r="D2" i="115" s="1"/>
  <c r="F36" i="1" s="1"/>
  <c r="D1027" i="115"/>
  <c r="C1027" i="115"/>
  <c r="A2" i="115" l="1"/>
  <c r="C2" i="115"/>
  <c r="B2" i="115"/>
  <c r="A1" i="114"/>
  <c r="T3" i="114" s="1"/>
  <c r="A2" i="116"/>
  <c r="B2" i="116" s="1"/>
  <c r="A3" i="122"/>
  <c r="B3" i="122" s="1"/>
  <c r="C3" i="122" s="1"/>
  <c r="G305" i="122"/>
  <c r="G304" i="122"/>
  <c r="G303" i="122"/>
  <c r="G302" i="122"/>
  <c r="G301" i="122"/>
  <c r="G300" i="122"/>
  <c r="G299" i="122"/>
  <c r="G298" i="122"/>
  <c r="G297" i="122"/>
  <c r="G296" i="122"/>
  <c r="G295" i="122"/>
  <c r="G294" i="122"/>
  <c r="G293" i="122"/>
  <c r="G292" i="122"/>
  <c r="G291" i="122"/>
  <c r="G290" i="122"/>
  <c r="G289" i="122"/>
  <c r="G288" i="122"/>
  <c r="G287" i="122"/>
  <c r="G286" i="122"/>
  <c r="G285" i="122"/>
  <c r="G284" i="122"/>
  <c r="G283" i="122"/>
  <c r="G282" i="122"/>
  <c r="G281" i="122"/>
  <c r="G280" i="122"/>
  <c r="G279" i="122"/>
  <c r="G278" i="122"/>
  <c r="G277" i="122"/>
  <c r="G276" i="122"/>
  <c r="G275" i="122"/>
  <c r="G274" i="122"/>
  <c r="G273" i="122"/>
  <c r="G272" i="122"/>
  <c r="G271" i="122"/>
  <c r="G270" i="122"/>
  <c r="G269" i="122"/>
  <c r="G268" i="122"/>
  <c r="G267" i="122"/>
  <c r="G266" i="122"/>
  <c r="G265" i="122"/>
  <c r="G264" i="122"/>
  <c r="G263" i="122"/>
  <c r="G262" i="122"/>
  <c r="G261" i="122"/>
  <c r="G260" i="122"/>
  <c r="G259" i="122"/>
  <c r="G258" i="122"/>
  <c r="G257" i="122"/>
  <c r="G256" i="122"/>
  <c r="G255" i="122"/>
  <c r="G254" i="122"/>
  <c r="G253" i="122"/>
  <c r="G252" i="122"/>
  <c r="G251" i="122"/>
  <c r="G250" i="122"/>
  <c r="G249" i="122"/>
  <c r="G248" i="122"/>
  <c r="G247" i="122"/>
  <c r="G246" i="122"/>
  <c r="G245" i="122"/>
  <c r="G244" i="122"/>
  <c r="G243" i="122"/>
  <c r="G242" i="122"/>
  <c r="G241" i="122"/>
  <c r="G240" i="122"/>
  <c r="G239" i="122"/>
  <c r="G238" i="122"/>
  <c r="G237" i="122"/>
  <c r="G236" i="122"/>
  <c r="G235" i="122"/>
  <c r="G234" i="122"/>
  <c r="G233" i="122"/>
  <c r="G232" i="122"/>
  <c r="G231" i="122"/>
  <c r="G230" i="122"/>
  <c r="G229" i="122"/>
  <c r="G228" i="122"/>
  <c r="G227" i="122"/>
  <c r="G226" i="122"/>
  <c r="G225" i="122"/>
  <c r="G224" i="122"/>
  <c r="G223" i="122"/>
  <c r="G222" i="122"/>
  <c r="G221" i="122"/>
  <c r="G220" i="122"/>
  <c r="G219" i="122"/>
  <c r="G218" i="122"/>
  <c r="G217" i="122"/>
  <c r="G216" i="122"/>
  <c r="G215" i="122"/>
  <c r="G214" i="122"/>
  <c r="G213" i="122"/>
  <c r="G212" i="122"/>
  <c r="G211" i="122"/>
  <c r="G210" i="122"/>
  <c r="G209" i="122"/>
  <c r="G208" i="122"/>
  <c r="G207" i="122"/>
  <c r="G206" i="122"/>
  <c r="G205" i="122"/>
  <c r="G204" i="122"/>
  <c r="G203" i="122"/>
  <c r="G202" i="122"/>
  <c r="G201" i="122"/>
  <c r="G200" i="122"/>
  <c r="G199" i="122"/>
  <c r="G198" i="122"/>
  <c r="G197" i="122"/>
  <c r="G196" i="122"/>
  <c r="G195" i="122"/>
  <c r="G194" i="122"/>
  <c r="G193" i="122"/>
  <c r="G192" i="122"/>
  <c r="G191" i="122"/>
  <c r="G190" i="122"/>
  <c r="G189" i="122"/>
  <c r="G188" i="122"/>
  <c r="G187" i="122"/>
  <c r="G186" i="122"/>
  <c r="G185" i="122"/>
  <c r="G184" i="122"/>
  <c r="G183" i="122"/>
  <c r="G182" i="122"/>
  <c r="G181" i="122"/>
  <c r="G180" i="122"/>
  <c r="G179" i="122"/>
  <c r="G178" i="122"/>
  <c r="G177" i="122"/>
  <c r="G176" i="122"/>
  <c r="G175" i="122"/>
  <c r="G174" i="122"/>
  <c r="G173" i="122"/>
  <c r="G172" i="122"/>
  <c r="G171" i="122"/>
  <c r="G170" i="122"/>
  <c r="G169" i="122"/>
  <c r="G168" i="122"/>
  <c r="G167" i="122"/>
  <c r="G166" i="122"/>
  <c r="G165" i="122"/>
  <c r="G164" i="122"/>
  <c r="G163" i="122"/>
  <c r="G162" i="122"/>
  <c r="G161" i="122"/>
  <c r="G160" i="122"/>
  <c r="G159" i="122"/>
  <c r="G158" i="122"/>
  <c r="G157" i="122"/>
  <c r="G156" i="122"/>
  <c r="G155" i="122"/>
  <c r="G154" i="122"/>
  <c r="G153" i="122"/>
  <c r="G152" i="122"/>
  <c r="G151" i="122"/>
  <c r="G150" i="122"/>
  <c r="G149" i="122"/>
  <c r="G148" i="122"/>
  <c r="G147" i="122"/>
  <c r="G146" i="122"/>
  <c r="G145" i="122"/>
  <c r="G144" i="122"/>
  <c r="G143" i="122"/>
  <c r="G142" i="122"/>
  <c r="G141" i="122"/>
  <c r="G140" i="122"/>
  <c r="G139" i="122"/>
  <c r="G138" i="122"/>
  <c r="G137" i="122"/>
  <c r="G136" i="122"/>
  <c r="G135" i="122"/>
  <c r="G134" i="122"/>
  <c r="G133" i="122"/>
  <c r="G132" i="122"/>
  <c r="G131" i="122"/>
  <c r="G130" i="122"/>
  <c r="G129" i="122"/>
  <c r="G128" i="122"/>
  <c r="G127" i="122"/>
  <c r="G126" i="122"/>
  <c r="G125" i="122"/>
  <c r="G124" i="122"/>
  <c r="G123" i="122"/>
  <c r="G122" i="122"/>
  <c r="G121" i="122"/>
  <c r="G120" i="122"/>
  <c r="G119" i="122"/>
  <c r="G118" i="122"/>
  <c r="G117" i="122"/>
  <c r="G116" i="122"/>
  <c r="G115" i="122"/>
  <c r="G114" i="122"/>
  <c r="G113" i="122"/>
  <c r="G112" i="122"/>
  <c r="G111" i="122"/>
  <c r="G110" i="122"/>
  <c r="G109" i="122"/>
  <c r="G108" i="122"/>
  <c r="G107" i="122"/>
  <c r="G106" i="122"/>
  <c r="G105" i="122"/>
  <c r="G104" i="122"/>
  <c r="G103" i="122"/>
  <c r="G102" i="122"/>
  <c r="G101" i="122"/>
  <c r="G100" i="122"/>
  <c r="G99" i="122"/>
  <c r="G98" i="122"/>
  <c r="G97" i="122"/>
  <c r="G96" i="122"/>
  <c r="G95" i="122"/>
  <c r="G94" i="122"/>
  <c r="G93" i="122"/>
  <c r="G92" i="122"/>
  <c r="G91" i="122"/>
  <c r="G90" i="122"/>
  <c r="G89" i="122"/>
  <c r="G88" i="122"/>
  <c r="G87" i="122"/>
  <c r="G86" i="122"/>
  <c r="G85" i="122"/>
  <c r="G84" i="122"/>
  <c r="G83" i="122"/>
  <c r="G82" i="122"/>
  <c r="G81" i="122"/>
  <c r="G80" i="122"/>
  <c r="G79" i="122"/>
  <c r="G78" i="122"/>
  <c r="G77" i="122"/>
  <c r="G76" i="122"/>
  <c r="G75" i="122"/>
  <c r="G74" i="122"/>
  <c r="G73" i="122"/>
  <c r="G72" i="122"/>
  <c r="G71" i="122"/>
  <c r="G70" i="122"/>
  <c r="G69" i="122"/>
  <c r="G68" i="122"/>
  <c r="G67" i="122"/>
  <c r="G66" i="122"/>
  <c r="G65" i="122"/>
  <c r="G64" i="122"/>
  <c r="G63" i="122"/>
  <c r="G62" i="122"/>
  <c r="G61" i="122"/>
  <c r="G60" i="122"/>
  <c r="G59" i="122"/>
  <c r="G58" i="122"/>
  <c r="G57" i="122"/>
  <c r="G56" i="122"/>
  <c r="G55" i="122"/>
  <c r="G54" i="122"/>
  <c r="G53" i="122"/>
  <c r="G52" i="122"/>
  <c r="G51" i="122"/>
  <c r="G50" i="122"/>
  <c r="G49" i="122"/>
  <c r="G48" i="122"/>
  <c r="G47" i="122"/>
  <c r="G46" i="122"/>
  <c r="G45" i="122"/>
  <c r="G44" i="122"/>
  <c r="G43" i="122"/>
  <c r="G42" i="122"/>
  <c r="G41" i="122"/>
  <c r="G40" i="122"/>
  <c r="G39" i="122"/>
  <c r="G38" i="122"/>
  <c r="G37" i="122"/>
  <c r="G36" i="122"/>
  <c r="G35" i="122"/>
  <c r="G34" i="122"/>
  <c r="G33" i="122"/>
  <c r="G32" i="122"/>
  <c r="G31" i="122"/>
  <c r="G30" i="122"/>
  <c r="G29" i="122"/>
  <c r="G28" i="122"/>
  <c r="G27" i="122"/>
  <c r="G26" i="122"/>
  <c r="G25" i="122"/>
  <c r="G24" i="122"/>
  <c r="G23" i="122"/>
  <c r="G22" i="122"/>
  <c r="G21" i="122"/>
  <c r="G20" i="122"/>
  <c r="G19" i="122"/>
  <c r="G18" i="122"/>
  <c r="G17" i="122"/>
  <c r="G16" i="122"/>
  <c r="G15" i="122"/>
  <c r="G14" i="122"/>
  <c r="G13" i="122"/>
  <c r="G12" i="122"/>
  <c r="G11" i="122"/>
  <c r="G10" i="122"/>
  <c r="G9" i="122"/>
  <c r="G8" i="122"/>
  <c r="G7" i="122"/>
  <c r="G6" i="122"/>
  <c r="G5" i="122"/>
  <c r="G4" i="122"/>
  <c r="H24" i="112"/>
  <c r="H25" i="112"/>
  <c r="V25" i="112" s="1"/>
  <c r="H26" i="112"/>
  <c r="H27" i="112"/>
  <c r="V27" i="112" s="1"/>
  <c r="H28" i="112"/>
  <c r="H29" i="112"/>
  <c r="H30" i="112"/>
  <c r="H31" i="112"/>
  <c r="H32" i="112"/>
  <c r="H33" i="112"/>
  <c r="H34" i="112"/>
  <c r="H35" i="112"/>
  <c r="V35" i="112" s="1"/>
  <c r="X35" i="112" s="1"/>
  <c r="Z35" i="112" s="1"/>
  <c r="H23" i="112"/>
  <c r="A1" i="120"/>
  <c r="B1" i="120" s="1"/>
  <c r="C1" i="120" s="1"/>
  <c r="F26" i="9" s="1"/>
  <c r="A2" i="119"/>
  <c r="B2" i="119" s="1"/>
  <c r="A1" i="117"/>
  <c r="A2" i="117" s="1"/>
  <c r="A1" i="106"/>
  <c r="H1048" i="106"/>
  <c r="F1048" i="106"/>
  <c r="B1053" i="106" s="1"/>
  <c r="E1048" i="106"/>
  <c r="D1048" i="106"/>
  <c r="C1048" i="106"/>
  <c r="I1045" i="106"/>
  <c r="G1045" i="106"/>
  <c r="I1044" i="106"/>
  <c r="G1044" i="106"/>
  <c r="I1043" i="106"/>
  <c r="G1043" i="106"/>
  <c r="I1042" i="106"/>
  <c r="G1042" i="106"/>
  <c r="I1041" i="106"/>
  <c r="G1041" i="106"/>
  <c r="I1040" i="106"/>
  <c r="G1040" i="106"/>
  <c r="I1039" i="106"/>
  <c r="G1039" i="106"/>
  <c r="I1038" i="106"/>
  <c r="G1038" i="106"/>
  <c r="I1037" i="106"/>
  <c r="G1037" i="106"/>
  <c r="I1036" i="106"/>
  <c r="G1036" i="106"/>
  <c r="I1035" i="106"/>
  <c r="G1035" i="106"/>
  <c r="I1034" i="106"/>
  <c r="G1034" i="106"/>
  <c r="I1033" i="106"/>
  <c r="G1033" i="106"/>
  <c r="I1032" i="106"/>
  <c r="G1032" i="106"/>
  <c r="I1031" i="106"/>
  <c r="G1031" i="106"/>
  <c r="I1030" i="106"/>
  <c r="G1030" i="106"/>
  <c r="I1029" i="106"/>
  <c r="G1029" i="106"/>
  <c r="I1028" i="106"/>
  <c r="G1028" i="106"/>
  <c r="I1027" i="106"/>
  <c r="G1027" i="106"/>
  <c r="I1026" i="106"/>
  <c r="G1026" i="106"/>
  <c r="I1025" i="106"/>
  <c r="G1025" i="106"/>
  <c r="I1024" i="106"/>
  <c r="G1024" i="106"/>
  <c r="I1023" i="106"/>
  <c r="G1023" i="106"/>
  <c r="I1022" i="106"/>
  <c r="G1022" i="106"/>
  <c r="I1021" i="106"/>
  <c r="G1021" i="106"/>
  <c r="I1020" i="106"/>
  <c r="G1020" i="106"/>
  <c r="I1019" i="106"/>
  <c r="G1019" i="106"/>
  <c r="I1018" i="106"/>
  <c r="G1018" i="106"/>
  <c r="I1017" i="106"/>
  <c r="G1017" i="106"/>
  <c r="I1016" i="106"/>
  <c r="G1016" i="106"/>
  <c r="I1015" i="106"/>
  <c r="G1015" i="106"/>
  <c r="I1014" i="106"/>
  <c r="G1014" i="106"/>
  <c r="I1013" i="106"/>
  <c r="G1013" i="106"/>
  <c r="I1012" i="106"/>
  <c r="G1012" i="106"/>
  <c r="I1011" i="106"/>
  <c r="G1011" i="106"/>
  <c r="I1010" i="106"/>
  <c r="G1010" i="106"/>
  <c r="I1009" i="106"/>
  <c r="G1009" i="106"/>
  <c r="I1008" i="106"/>
  <c r="G1008" i="106"/>
  <c r="I1007" i="106"/>
  <c r="G1007" i="106"/>
  <c r="I1006" i="106"/>
  <c r="G1006" i="106"/>
  <c r="I1005" i="106"/>
  <c r="G1005" i="106"/>
  <c r="I1004" i="106"/>
  <c r="G1004" i="106"/>
  <c r="I1003" i="106"/>
  <c r="G1003" i="106"/>
  <c r="I1002" i="106"/>
  <c r="G1002" i="106"/>
  <c r="I1001" i="106"/>
  <c r="G1001" i="106"/>
  <c r="I1000" i="106"/>
  <c r="G1000" i="106"/>
  <c r="I999" i="106"/>
  <c r="G999" i="106"/>
  <c r="I998" i="106"/>
  <c r="G998" i="106"/>
  <c r="I997" i="106"/>
  <c r="G997" i="106"/>
  <c r="I996" i="106"/>
  <c r="G996" i="106"/>
  <c r="I995" i="106"/>
  <c r="G995" i="106"/>
  <c r="I994" i="106"/>
  <c r="G994" i="106"/>
  <c r="I993" i="106"/>
  <c r="G993" i="106"/>
  <c r="I992" i="106"/>
  <c r="G992" i="106"/>
  <c r="I991" i="106"/>
  <c r="G991" i="106"/>
  <c r="I990" i="106"/>
  <c r="G990" i="106"/>
  <c r="I989" i="106"/>
  <c r="G989" i="106"/>
  <c r="I988" i="106"/>
  <c r="G988" i="106"/>
  <c r="I987" i="106"/>
  <c r="G987" i="106"/>
  <c r="I986" i="106"/>
  <c r="G986" i="106"/>
  <c r="I985" i="106"/>
  <c r="G985" i="106"/>
  <c r="I984" i="106"/>
  <c r="G984" i="106"/>
  <c r="I983" i="106"/>
  <c r="G983" i="106"/>
  <c r="I982" i="106"/>
  <c r="G982" i="106"/>
  <c r="I981" i="106"/>
  <c r="G981" i="106"/>
  <c r="I980" i="106"/>
  <c r="G980" i="106"/>
  <c r="I979" i="106"/>
  <c r="G979" i="106"/>
  <c r="I978" i="106"/>
  <c r="G978" i="106"/>
  <c r="I977" i="106"/>
  <c r="G977" i="106"/>
  <c r="I976" i="106"/>
  <c r="G976" i="106"/>
  <c r="I975" i="106"/>
  <c r="G975" i="106"/>
  <c r="I974" i="106"/>
  <c r="G974" i="106"/>
  <c r="I973" i="106"/>
  <c r="G973" i="106"/>
  <c r="I972" i="106"/>
  <c r="G972" i="106"/>
  <c r="I971" i="106"/>
  <c r="G971" i="106"/>
  <c r="I970" i="106"/>
  <c r="G970" i="106"/>
  <c r="I969" i="106"/>
  <c r="G969" i="106"/>
  <c r="I968" i="106"/>
  <c r="G968" i="106"/>
  <c r="I967" i="106"/>
  <c r="G967" i="106"/>
  <c r="I966" i="106"/>
  <c r="G966" i="106"/>
  <c r="I965" i="106"/>
  <c r="G965" i="106"/>
  <c r="I964" i="106"/>
  <c r="G964" i="106"/>
  <c r="I963" i="106"/>
  <c r="G963" i="106"/>
  <c r="I962" i="106"/>
  <c r="G962" i="106"/>
  <c r="I961" i="106"/>
  <c r="G961" i="106"/>
  <c r="I960" i="106"/>
  <c r="G960" i="106"/>
  <c r="I959" i="106"/>
  <c r="G959" i="106"/>
  <c r="I958" i="106"/>
  <c r="G958" i="106"/>
  <c r="I957" i="106"/>
  <c r="G957" i="106"/>
  <c r="I956" i="106"/>
  <c r="G956" i="106"/>
  <c r="I955" i="106"/>
  <c r="G955" i="106"/>
  <c r="I954" i="106"/>
  <c r="G954" i="106"/>
  <c r="I953" i="106"/>
  <c r="G953" i="106"/>
  <c r="I952" i="106"/>
  <c r="G952" i="106"/>
  <c r="I951" i="106"/>
  <c r="G951" i="106"/>
  <c r="I950" i="106"/>
  <c r="G950" i="106"/>
  <c r="I949" i="106"/>
  <c r="G949" i="106"/>
  <c r="I948" i="106"/>
  <c r="G948" i="106"/>
  <c r="I947" i="106"/>
  <c r="G947" i="106"/>
  <c r="I946" i="106"/>
  <c r="G946" i="106"/>
  <c r="I945" i="106"/>
  <c r="G945" i="106"/>
  <c r="I944" i="106"/>
  <c r="G944" i="106"/>
  <c r="I943" i="106"/>
  <c r="G943" i="106"/>
  <c r="I942" i="106"/>
  <c r="G942" i="106"/>
  <c r="I941" i="106"/>
  <c r="G941" i="106"/>
  <c r="I940" i="106"/>
  <c r="G940" i="106"/>
  <c r="I939" i="106"/>
  <c r="G939" i="106"/>
  <c r="I938" i="106"/>
  <c r="G938" i="106"/>
  <c r="I937" i="106"/>
  <c r="G937" i="106"/>
  <c r="I936" i="106"/>
  <c r="G936" i="106"/>
  <c r="I935" i="106"/>
  <c r="G935" i="106"/>
  <c r="I934" i="106"/>
  <c r="G934" i="106"/>
  <c r="I933" i="106"/>
  <c r="G933" i="106"/>
  <c r="I932" i="106"/>
  <c r="G932" i="106"/>
  <c r="I931" i="106"/>
  <c r="G931" i="106"/>
  <c r="I930" i="106"/>
  <c r="G930" i="106"/>
  <c r="I929" i="106"/>
  <c r="G929" i="106"/>
  <c r="I928" i="106"/>
  <c r="G928" i="106"/>
  <c r="I927" i="106"/>
  <c r="G927" i="106"/>
  <c r="I926" i="106"/>
  <c r="G926" i="106"/>
  <c r="I925" i="106"/>
  <c r="G925" i="106"/>
  <c r="I924" i="106"/>
  <c r="G924" i="106"/>
  <c r="I923" i="106"/>
  <c r="G923" i="106"/>
  <c r="I922" i="106"/>
  <c r="G922" i="106"/>
  <c r="I921" i="106"/>
  <c r="G921" i="106"/>
  <c r="I920" i="106"/>
  <c r="G920" i="106"/>
  <c r="I919" i="106"/>
  <c r="G919" i="106"/>
  <c r="I918" i="106"/>
  <c r="G918" i="106"/>
  <c r="I917" i="106"/>
  <c r="G917" i="106"/>
  <c r="I916" i="106"/>
  <c r="G916" i="106"/>
  <c r="I915" i="106"/>
  <c r="G915" i="106"/>
  <c r="I914" i="106"/>
  <c r="G914" i="106"/>
  <c r="I913" i="106"/>
  <c r="G913" i="106"/>
  <c r="I912" i="106"/>
  <c r="G912" i="106"/>
  <c r="I911" i="106"/>
  <c r="G911" i="106"/>
  <c r="I910" i="106"/>
  <c r="G910" i="106"/>
  <c r="I909" i="106"/>
  <c r="G909" i="106"/>
  <c r="I908" i="106"/>
  <c r="G908" i="106"/>
  <c r="I907" i="106"/>
  <c r="G907" i="106"/>
  <c r="I906" i="106"/>
  <c r="G906" i="106"/>
  <c r="I905" i="106"/>
  <c r="G905" i="106"/>
  <c r="I904" i="106"/>
  <c r="G904" i="106"/>
  <c r="I903" i="106"/>
  <c r="G903" i="106"/>
  <c r="I902" i="106"/>
  <c r="G902" i="106"/>
  <c r="I901" i="106"/>
  <c r="G901" i="106"/>
  <c r="I900" i="106"/>
  <c r="G900" i="106"/>
  <c r="I899" i="106"/>
  <c r="G899" i="106"/>
  <c r="I898" i="106"/>
  <c r="G898" i="106"/>
  <c r="I897" i="106"/>
  <c r="G897" i="106"/>
  <c r="I896" i="106"/>
  <c r="G896" i="106"/>
  <c r="I895" i="106"/>
  <c r="G895" i="106"/>
  <c r="I894" i="106"/>
  <c r="G894" i="106"/>
  <c r="I893" i="106"/>
  <c r="G893" i="106"/>
  <c r="I892" i="106"/>
  <c r="G892" i="106"/>
  <c r="I891" i="106"/>
  <c r="G891" i="106"/>
  <c r="I890" i="106"/>
  <c r="G890" i="106"/>
  <c r="I889" i="106"/>
  <c r="G889" i="106"/>
  <c r="I888" i="106"/>
  <c r="G888" i="106"/>
  <c r="I887" i="106"/>
  <c r="G887" i="106"/>
  <c r="I886" i="106"/>
  <c r="G886" i="106"/>
  <c r="I885" i="106"/>
  <c r="G885" i="106"/>
  <c r="I884" i="106"/>
  <c r="G884" i="106"/>
  <c r="I883" i="106"/>
  <c r="G883" i="106"/>
  <c r="I882" i="106"/>
  <c r="G882" i="106"/>
  <c r="I881" i="106"/>
  <c r="G881" i="106"/>
  <c r="I880" i="106"/>
  <c r="G880" i="106"/>
  <c r="I879" i="106"/>
  <c r="G879" i="106"/>
  <c r="I878" i="106"/>
  <c r="G878" i="106"/>
  <c r="I877" i="106"/>
  <c r="G877" i="106"/>
  <c r="I876" i="106"/>
  <c r="G876" i="106"/>
  <c r="I875" i="106"/>
  <c r="G875" i="106"/>
  <c r="I874" i="106"/>
  <c r="G874" i="106"/>
  <c r="I873" i="106"/>
  <c r="G873" i="106"/>
  <c r="I872" i="106"/>
  <c r="G872" i="106"/>
  <c r="I871" i="106"/>
  <c r="G871" i="106"/>
  <c r="I870" i="106"/>
  <c r="G870" i="106"/>
  <c r="I869" i="106"/>
  <c r="G869" i="106"/>
  <c r="I868" i="106"/>
  <c r="G868" i="106"/>
  <c r="I867" i="106"/>
  <c r="G867" i="106"/>
  <c r="I866" i="106"/>
  <c r="G866" i="106"/>
  <c r="I865" i="106"/>
  <c r="G865" i="106"/>
  <c r="I864" i="106"/>
  <c r="G864" i="106"/>
  <c r="I863" i="106"/>
  <c r="G863" i="106"/>
  <c r="I862" i="106"/>
  <c r="G862" i="106"/>
  <c r="I861" i="106"/>
  <c r="G861" i="106"/>
  <c r="I860" i="106"/>
  <c r="G860" i="106"/>
  <c r="I859" i="106"/>
  <c r="G859" i="106"/>
  <c r="I858" i="106"/>
  <c r="G858" i="106"/>
  <c r="I857" i="106"/>
  <c r="G857" i="106"/>
  <c r="I856" i="106"/>
  <c r="G856" i="106"/>
  <c r="I855" i="106"/>
  <c r="G855" i="106"/>
  <c r="I854" i="106"/>
  <c r="G854" i="106"/>
  <c r="I853" i="106"/>
  <c r="G853" i="106"/>
  <c r="I852" i="106"/>
  <c r="G852" i="106"/>
  <c r="I851" i="106"/>
  <c r="G851" i="106"/>
  <c r="I850" i="106"/>
  <c r="G850" i="106"/>
  <c r="I849" i="106"/>
  <c r="G849" i="106"/>
  <c r="I848" i="106"/>
  <c r="G848" i="106"/>
  <c r="I847" i="106"/>
  <c r="G847" i="106"/>
  <c r="I846" i="106"/>
  <c r="G846" i="106"/>
  <c r="I845" i="106"/>
  <c r="G845" i="106"/>
  <c r="I844" i="106"/>
  <c r="G844" i="106"/>
  <c r="I843" i="106"/>
  <c r="G843" i="106"/>
  <c r="I842" i="106"/>
  <c r="G842" i="106"/>
  <c r="I841" i="106"/>
  <c r="G841" i="106"/>
  <c r="I840" i="106"/>
  <c r="G840" i="106"/>
  <c r="I839" i="106"/>
  <c r="G839" i="106"/>
  <c r="I838" i="106"/>
  <c r="G838" i="106"/>
  <c r="I837" i="106"/>
  <c r="G837" i="106"/>
  <c r="I836" i="106"/>
  <c r="G836" i="106"/>
  <c r="I835" i="106"/>
  <c r="G835" i="106"/>
  <c r="I834" i="106"/>
  <c r="G834" i="106"/>
  <c r="I833" i="106"/>
  <c r="G833" i="106"/>
  <c r="I832" i="106"/>
  <c r="G832" i="106"/>
  <c r="I831" i="106"/>
  <c r="G831" i="106"/>
  <c r="I830" i="106"/>
  <c r="G830" i="106"/>
  <c r="I829" i="106"/>
  <c r="G829" i="106"/>
  <c r="I828" i="106"/>
  <c r="G828" i="106"/>
  <c r="I827" i="106"/>
  <c r="G827" i="106"/>
  <c r="I826" i="106"/>
  <c r="G826" i="106"/>
  <c r="I825" i="106"/>
  <c r="G825" i="106"/>
  <c r="I824" i="106"/>
  <c r="G824" i="106"/>
  <c r="I823" i="106"/>
  <c r="G823" i="106"/>
  <c r="I822" i="106"/>
  <c r="G822" i="106"/>
  <c r="I821" i="106"/>
  <c r="G821" i="106"/>
  <c r="I820" i="106"/>
  <c r="G820" i="106"/>
  <c r="I819" i="106"/>
  <c r="G819" i="106"/>
  <c r="I818" i="106"/>
  <c r="G818" i="106"/>
  <c r="I817" i="106"/>
  <c r="G817" i="106"/>
  <c r="I816" i="106"/>
  <c r="G816" i="106"/>
  <c r="I815" i="106"/>
  <c r="G815" i="106"/>
  <c r="I814" i="106"/>
  <c r="G814" i="106"/>
  <c r="I813" i="106"/>
  <c r="G813" i="106"/>
  <c r="I812" i="106"/>
  <c r="G812" i="106"/>
  <c r="I811" i="106"/>
  <c r="G811" i="106"/>
  <c r="I810" i="106"/>
  <c r="G810" i="106"/>
  <c r="I809" i="106"/>
  <c r="G809" i="106"/>
  <c r="I808" i="106"/>
  <c r="G808" i="106"/>
  <c r="I807" i="106"/>
  <c r="G807" i="106"/>
  <c r="I806" i="106"/>
  <c r="G806" i="106"/>
  <c r="I805" i="106"/>
  <c r="G805" i="106"/>
  <c r="I804" i="106"/>
  <c r="G804" i="106"/>
  <c r="I803" i="106"/>
  <c r="G803" i="106"/>
  <c r="I802" i="106"/>
  <c r="G802" i="106"/>
  <c r="I801" i="106"/>
  <c r="G801" i="106"/>
  <c r="I800" i="106"/>
  <c r="G800" i="106"/>
  <c r="I799" i="106"/>
  <c r="G799" i="106"/>
  <c r="I798" i="106"/>
  <c r="G798" i="106"/>
  <c r="I797" i="106"/>
  <c r="G797" i="106"/>
  <c r="I796" i="106"/>
  <c r="G796" i="106"/>
  <c r="I795" i="106"/>
  <c r="G795" i="106"/>
  <c r="I794" i="106"/>
  <c r="G794" i="106"/>
  <c r="I793" i="106"/>
  <c r="G793" i="106"/>
  <c r="I792" i="106"/>
  <c r="G792" i="106"/>
  <c r="I791" i="106"/>
  <c r="G791" i="106"/>
  <c r="I790" i="106"/>
  <c r="G790" i="106"/>
  <c r="I789" i="106"/>
  <c r="G789" i="106"/>
  <c r="I788" i="106"/>
  <c r="G788" i="106"/>
  <c r="I787" i="106"/>
  <c r="G787" i="106"/>
  <c r="I786" i="106"/>
  <c r="G786" i="106"/>
  <c r="I785" i="106"/>
  <c r="G785" i="106"/>
  <c r="I784" i="106"/>
  <c r="G784" i="106"/>
  <c r="I783" i="106"/>
  <c r="G783" i="106"/>
  <c r="I782" i="106"/>
  <c r="G782" i="106"/>
  <c r="I781" i="106"/>
  <c r="G781" i="106"/>
  <c r="I780" i="106"/>
  <c r="G780" i="106"/>
  <c r="I779" i="106"/>
  <c r="G779" i="106"/>
  <c r="I778" i="106"/>
  <c r="G778" i="106"/>
  <c r="I777" i="106"/>
  <c r="G777" i="106"/>
  <c r="I776" i="106"/>
  <c r="G776" i="106"/>
  <c r="I775" i="106"/>
  <c r="G775" i="106"/>
  <c r="I774" i="106"/>
  <c r="G774" i="106"/>
  <c r="I773" i="106"/>
  <c r="G773" i="106"/>
  <c r="I772" i="106"/>
  <c r="G772" i="106"/>
  <c r="I771" i="106"/>
  <c r="G771" i="106"/>
  <c r="I770" i="106"/>
  <c r="G770" i="106"/>
  <c r="I769" i="106"/>
  <c r="G769" i="106"/>
  <c r="I768" i="106"/>
  <c r="G768" i="106"/>
  <c r="I767" i="106"/>
  <c r="G767" i="106"/>
  <c r="I766" i="106"/>
  <c r="G766" i="106"/>
  <c r="I765" i="106"/>
  <c r="G765" i="106"/>
  <c r="I764" i="106"/>
  <c r="G764" i="106"/>
  <c r="I763" i="106"/>
  <c r="G763" i="106"/>
  <c r="I762" i="106"/>
  <c r="G762" i="106"/>
  <c r="I761" i="106"/>
  <c r="G761" i="106"/>
  <c r="I760" i="106"/>
  <c r="G760" i="106"/>
  <c r="I759" i="106"/>
  <c r="G759" i="106"/>
  <c r="I758" i="106"/>
  <c r="G758" i="106"/>
  <c r="I757" i="106"/>
  <c r="G757" i="106"/>
  <c r="I756" i="106"/>
  <c r="G756" i="106"/>
  <c r="I755" i="106"/>
  <c r="G755" i="106"/>
  <c r="I754" i="106"/>
  <c r="G754" i="106"/>
  <c r="I753" i="106"/>
  <c r="G753" i="106"/>
  <c r="I752" i="106"/>
  <c r="G752" i="106"/>
  <c r="I751" i="106"/>
  <c r="G751" i="106"/>
  <c r="I750" i="106"/>
  <c r="G750" i="106"/>
  <c r="I749" i="106"/>
  <c r="G749" i="106"/>
  <c r="I748" i="106"/>
  <c r="G748" i="106"/>
  <c r="I747" i="106"/>
  <c r="G747" i="106"/>
  <c r="I746" i="106"/>
  <c r="G746" i="106"/>
  <c r="I745" i="106"/>
  <c r="G745" i="106"/>
  <c r="I744" i="106"/>
  <c r="G744" i="106"/>
  <c r="I743" i="106"/>
  <c r="G743" i="106"/>
  <c r="I742" i="106"/>
  <c r="G742" i="106"/>
  <c r="I741" i="106"/>
  <c r="G741" i="106"/>
  <c r="I740" i="106"/>
  <c r="G740" i="106"/>
  <c r="I739" i="106"/>
  <c r="G739" i="106"/>
  <c r="I738" i="106"/>
  <c r="G738" i="106"/>
  <c r="I737" i="106"/>
  <c r="G737" i="106"/>
  <c r="I736" i="106"/>
  <c r="G736" i="106"/>
  <c r="I735" i="106"/>
  <c r="G735" i="106"/>
  <c r="I734" i="106"/>
  <c r="G734" i="106"/>
  <c r="I733" i="106"/>
  <c r="G733" i="106"/>
  <c r="I732" i="106"/>
  <c r="G732" i="106"/>
  <c r="I731" i="106"/>
  <c r="G731" i="106"/>
  <c r="I730" i="106"/>
  <c r="G730" i="106"/>
  <c r="I729" i="106"/>
  <c r="G729" i="106"/>
  <c r="I728" i="106"/>
  <c r="G728" i="106"/>
  <c r="I727" i="106"/>
  <c r="G727" i="106"/>
  <c r="I726" i="106"/>
  <c r="G726" i="106"/>
  <c r="I725" i="106"/>
  <c r="G725" i="106"/>
  <c r="I724" i="106"/>
  <c r="G724" i="106"/>
  <c r="I723" i="106"/>
  <c r="G723" i="106"/>
  <c r="I722" i="106"/>
  <c r="G722" i="106"/>
  <c r="I721" i="106"/>
  <c r="G721" i="106"/>
  <c r="I720" i="106"/>
  <c r="G720" i="106"/>
  <c r="I719" i="106"/>
  <c r="G719" i="106"/>
  <c r="I718" i="106"/>
  <c r="G718" i="106"/>
  <c r="I717" i="106"/>
  <c r="G717" i="106"/>
  <c r="I716" i="106"/>
  <c r="G716" i="106"/>
  <c r="I715" i="106"/>
  <c r="G715" i="106"/>
  <c r="I714" i="106"/>
  <c r="G714" i="106"/>
  <c r="I713" i="106"/>
  <c r="G713" i="106"/>
  <c r="I712" i="106"/>
  <c r="G712" i="106"/>
  <c r="I711" i="106"/>
  <c r="G711" i="106"/>
  <c r="I710" i="106"/>
  <c r="G710" i="106"/>
  <c r="I709" i="106"/>
  <c r="G709" i="106"/>
  <c r="I708" i="106"/>
  <c r="G708" i="106"/>
  <c r="I707" i="106"/>
  <c r="G707" i="106"/>
  <c r="I706" i="106"/>
  <c r="G706" i="106"/>
  <c r="I705" i="106"/>
  <c r="G705" i="106"/>
  <c r="I704" i="106"/>
  <c r="G704" i="106"/>
  <c r="I703" i="106"/>
  <c r="G703" i="106"/>
  <c r="I702" i="106"/>
  <c r="G702" i="106"/>
  <c r="I701" i="106"/>
  <c r="G701" i="106"/>
  <c r="I700" i="106"/>
  <c r="G700" i="106"/>
  <c r="I699" i="106"/>
  <c r="G699" i="106"/>
  <c r="I698" i="106"/>
  <c r="G698" i="106"/>
  <c r="I697" i="106"/>
  <c r="G697" i="106"/>
  <c r="I696" i="106"/>
  <c r="G696" i="106"/>
  <c r="I695" i="106"/>
  <c r="G695" i="106"/>
  <c r="I694" i="106"/>
  <c r="G694" i="106"/>
  <c r="I693" i="106"/>
  <c r="G693" i="106"/>
  <c r="I692" i="106"/>
  <c r="G692" i="106"/>
  <c r="I691" i="106"/>
  <c r="G691" i="106"/>
  <c r="I690" i="106"/>
  <c r="G690" i="106"/>
  <c r="I689" i="106"/>
  <c r="G689" i="106"/>
  <c r="I688" i="106"/>
  <c r="G688" i="106"/>
  <c r="I687" i="106"/>
  <c r="G687" i="106"/>
  <c r="I686" i="106"/>
  <c r="G686" i="106"/>
  <c r="I685" i="106"/>
  <c r="G685" i="106"/>
  <c r="I684" i="106"/>
  <c r="G684" i="106"/>
  <c r="I683" i="106"/>
  <c r="G683" i="106"/>
  <c r="I682" i="106"/>
  <c r="G682" i="106"/>
  <c r="I681" i="106"/>
  <c r="G681" i="106"/>
  <c r="I680" i="106"/>
  <c r="G680" i="106"/>
  <c r="I679" i="106"/>
  <c r="G679" i="106"/>
  <c r="I678" i="106"/>
  <c r="G678" i="106"/>
  <c r="I677" i="106"/>
  <c r="G677" i="106"/>
  <c r="I676" i="106"/>
  <c r="G676" i="106"/>
  <c r="I675" i="106"/>
  <c r="G675" i="106"/>
  <c r="I674" i="106"/>
  <c r="G674" i="106"/>
  <c r="I673" i="106"/>
  <c r="G673" i="106"/>
  <c r="I672" i="106"/>
  <c r="G672" i="106"/>
  <c r="I671" i="106"/>
  <c r="G671" i="106"/>
  <c r="I670" i="106"/>
  <c r="G670" i="106"/>
  <c r="I669" i="106"/>
  <c r="G669" i="106"/>
  <c r="I668" i="106"/>
  <c r="G668" i="106"/>
  <c r="I667" i="106"/>
  <c r="G667" i="106"/>
  <c r="I666" i="106"/>
  <c r="G666" i="106"/>
  <c r="I665" i="106"/>
  <c r="G665" i="106"/>
  <c r="I664" i="106"/>
  <c r="G664" i="106"/>
  <c r="I663" i="106"/>
  <c r="G663" i="106"/>
  <c r="I662" i="106"/>
  <c r="G662" i="106"/>
  <c r="I661" i="106"/>
  <c r="G661" i="106"/>
  <c r="I660" i="106"/>
  <c r="G660" i="106"/>
  <c r="I659" i="106"/>
  <c r="G659" i="106"/>
  <c r="I658" i="106"/>
  <c r="G658" i="106"/>
  <c r="I657" i="106"/>
  <c r="G657" i="106"/>
  <c r="I656" i="106"/>
  <c r="G656" i="106"/>
  <c r="I655" i="106"/>
  <c r="G655" i="106"/>
  <c r="I654" i="106"/>
  <c r="G654" i="106"/>
  <c r="I653" i="106"/>
  <c r="G653" i="106"/>
  <c r="I652" i="106"/>
  <c r="G652" i="106"/>
  <c r="I651" i="106"/>
  <c r="G651" i="106"/>
  <c r="I650" i="106"/>
  <c r="G650" i="106"/>
  <c r="I649" i="106"/>
  <c r="G649" i="106"/>
  <c r="I648" i="106"/>
  <c r="G648" i="106"/>
  <c r="I647" i="106"/>
  <c r="G647" i="106"/>
  <c r="I646" i="106"/>
  <c r="G646" i="106"/>
  <c r="I645" i="106"/>
  <c r="G645" i="106"/>
  <c r="I644" i="106"/>
  <c r="G644" i="106"/>
  <c r="I643" i="106"/>
  <c r="G643" i="106"/>
  <c r="I642" i="106"/>
  <c r="G642" i="106"/>
  <c r="I641" i="106"/>
  <c r="G641" i="106"/>
  <c r="I640" i="106"/>
  <c r="G640" i="106"/>
  <c r="I639" i="106"/>
  <c r="G639" i="106"/>
  <c r="I638" i="106"/>
  <c r="G638" i="106"/>
  <c r="I637" i="106"/>
  <c r="G637" i="106"/>
  <c r="I636" i="106"/>
  <c r="G636" i="106"/>
  <c r="I635" i="106"/>
  <c r="G635" i="106"/>
  <c r="I634" i="106"/>
  <c r="G634" i="106"/>
  <c r="I633" i="106"/>
  <c r="G633" i="106"/>
  <c r="I632" i="106"/>
  <c r="G632" i="106"/>
  <c r="I631" i="106"/>
  <c r="G631" i="106"/>
  <c r="I630" i="106"/>
  <c r="G630" i="106"/>
  <c r="I629" i="106"/>
  <c r="G629" i="106"/>
  <c r="I628" i="106"/>
  <c r="G628" i="106"/>
  <c r="I627" i="106"/>
  <c r="G627" i="106"/>
  <c r="I626" i="106"/>
  <c r="G626" i="106"/>
  <c r="I625" i="106"/>
  <c r="G625" i="106"/>
  <c r="I624" i="106"/>
  <c r="G624" i="106"/>
  <c r="I623" i="106"/>
  <c r="G623" i="106"/>
  <c r="I622" i="106"/>
  <c r="G622" i="106"/>
  <c r="I621" i="106"/>
  <c r="G621" i="106"/>
  <c r="I620" i="106"/>
  <c r="G620" i="106"/>
  <c r="I619" i="106"/>
  <c r="G619" i="106"/>
  <c r="I618" i="106"/>
  <c r="G618" i="106"/>
  <c r="I617" i="106"/>
  <c r="G617" i="106"/>
  <c r="I616" i="106"/>
  <c r="G616" i="106"/>
  <c r="I615" i="106"/>
  <c r="G615" i="106"/>
  <c r="I614" i="106"/>
  <c r="G614" i="106"/>
  <c r="I613" i="106"/>
  <c r="G613" i="106"/>
  <c r="I612" i="106"/>
  <c r="G612" i="106"/>
  <c r="I611" i="106"/>
  <c r="G611" i="106"/>
  <c r="I610" i="106"/>
  <c r="G610" i="106"/>
  <c r="I609" i="106"/>
  <c r="G609" i="106"/>
  <c r="I608" i="106"/>
  <c r="G608" i="106"/>
  <c r="I607" i="106"/>
  <c r="G607" i="106"/>
  <c r="I606" i="106"/>
  <c r="G606" i="106"/>
  <c r="I605" i="106"/>
  <c r="G605" i="106"/>
  <c r="I604" i="106"/>
  <c r="G604" i="106"/>
  <c r="I603" i="106"/>
  <c r="G603" i="106"/>
  <c r="I602" i="106"/>
  <c r="G602" i="106"/>
  <c r="I601" i="106"/>
  <c r="G601" i="106"/>
  <c r="I600" i="106"/>
  <c r="G600" i="106"/>
  <c r="I599" i="106"/>
  <c r="G599" i="106"/>
  <c r="I598" i="106"/>
  <c r="G598" i="106"/>
  <c r="I597" i="106"/>
  <c r="G597" i="106"/>
  <c r="I596" i="106"/>
  <c r="G596" i="106"/>
  <c r="I595" i="106"/>
  <c r="G595" i="106"/>
  <c r="I594" i="106"/>
  <c r="G594" i="106"/>
  <c r="I593" i="106"/>
  <c r="G593" i="106"/>
  <c r="I592" i="106"/>
  <c r="G592" i="106"/>
  <c r="I591" i="106"/>
  <c r="G591" i="106"/>
  <c r="I590" i="106"/>
  <c r="G590" i="106"/>
  <c r="I589" i="106"/>
  <c r="G589" i="106"/>
  <c r="I588" i="106"/>
  <c r="G588" i="106"/>
  <c r="I587" i="106"/>
  <c r="G587" i="106"/>
  <c r="I586" i="106"/>
  <c r="G586" i="106"/>
  <c r="I585" i="106"/>
  <c r="G585" i="106"/>
  <c r="I584" i="106"/>
  <c r="G584" i="106"/>
  <c r="I583" i="106"/>
  <c r="G583" i="106"/>
  <c r="I582" i="106"/>
  <c r="G582" i="106"/>
  <c r="I581" i="106"/>
  <c r="G581" i="106"/>
  <c r="I580" i="106"/>
  <c r="G580" i="106"/>
  <c r="I579" i="106"/>
  <c r="G579" i="106"/>
  <c r="I578" i="106"/>
  <c r="G578" i="106"/>
  <c r="I577" i="106"/>
  <c r="G577" i="106"/>
  <c r="I576" i="106"/>
  <c r="G576" i="106"/>
  <c r="I575" i="106"/>
  <c r="G575" i="106"/>
  <c r="I574" i="106"/>
  <c r="G574" i="106"/>
  <c r="I573" i="106"/>
  <c r="G573" i="106"/>
  <c r="I572" i="106"/>
  <c r="G572" i="106"/>
  <c r="I571" i="106"/>
  <c r="G571" i="106"/>
  <c r="I570" i="106"/>
  <c r="G570" i="106"/>
  <c r="I569" i="106"/>
  <c r="G569" i="106"/>
  <c r="I568" i="106"/>
  <c r="G568" i="106"/>
  <c r="I567" i="106"/>
  <c r="G567" i="106"/>
  <c r="I566" i="106"/>
  <c r="G566" i="106"/>
  <c r="I565" i="106"/>
  <c r="G565" i="106"/>
  <c r="I564" i="106"/>
  <c r="G564" i="106"/>
  <c r="I563" i="106"/>
  <c r="G563" i="106"/>
  <c r="I562" i="106"/>
  <c r="G562" i="106"/>
  <c r="I561" i="106"/>
  <c r="G561" i="106"/>
  <c r="I560" i="106"/>
  <c r="G560" i="106"/>
  <c r="I559" i="106"/>
  <c r="G559" i="106"/>
  <c r="I558" i="106"/>
  <c r="G558" i="106"/>
  <c r="I557" i="106"/>
  <c r="G557" i="106"/>
  <c r="I556" i="106"/>
  <c r="G556" i="106"/>
  <c r="I555" i="106"/>
  <c r="G555" i="106"/>
  <c r="I554" i="106"/>
  <c r="G554" i="106"/>
  <c r="I553" i="106"/>
  <c r="G553" i="106"/>
  <c r="I552" i="106"/>
  <c r="G552" i="106"/>
  <c r="I551" i="106"/>
  <c r="G551" i="106"/>
  <c r="I550" i="106"/>
  <c r="G550" i="106"/>
  <c r="I549" i="106"/>
  <c r="G549" i="106"/>
  <c r="I548" i="106"/>
  <c r="G548" i="106"/>
  <c r="I547" i="106"/>
  <c r="G547" i="106"/>
  <c r="I546" i="106"/>
  <c r="G546" i="106"/>
  <c r="I545" i="106"/>
  <c r="G545" i="106"/>
  <c r="I544" i="106"/>
  <c r="G544" i="106"/>
  <c r="I543" i="106"/>
  <c r="G543" i="106"/>
  <c r="I542" i="106"/>
  <c r="G542" i="106"/>
  <c r="I541" i="106"/>
  <c r="G541" i="106"/>
  <c r="I540" i="106"/>
  <c r="G540" i="106"/>
  <c r="I539" i="106"/>
  <c r="G539" i="106"/>
  <c r="I538" i="106"/>
  <c r="G538" i="106"/>
  <c r="I537" i="106"/>
  <c r="G537" i="106"/>
  <c r="I536" i="106"/>
  <c r="G536" i="106"/>
  <c r="I535" i="106"/>
  <c r="G535" i="106"/>
  <c r="I534" i="106"/>
  <c r="G534" i="106"/>
  <c r="I533" i="106"/>
  <c r="G533" i="106"/>
  <c r="I532" i="106"/>
  <c r="G532" i="106"/>
  <c r="I531" i="106"/>
  <c r="G531" i="106"/>
  <c r="I530" i="106"/>
  <c r="G530" i="106"/>
  <c r="I529" i="106"/>
  <c r="G529" i="106"/>
  <c r="I528" i="106"/>
  <c r="G528" i="106"/>
  <c r="I527" i="106"/>
  <c r="G527" i="106"/>
  <c r="I526" i="106"/>
  <c r="G526" i="106"/>
  <c r="I525" i="106"/>
  <c r="G525" i="106"/>
  <c r="I524" i="106"/>
  <c r="G524" i="106"/>
  <c r="I523" i="106"/>
  <c r="G523" i="106"/>
  <c r="I522" i="106"/>
  <c r="G522" i="106"/>
  <c r="I521" i="106"/>
  <c r="G521" i="106"/>
  <c r="I520" i="106"/>
  <c r="G520" i="106"/>
  <c r="I519" i="106"/>
  <c r="G519" i="106"/>
  <c r="I518" i="106"/>
  <c r="G518" i="106"/>
  <c r="I517" i="106"/>
  <c r="G517" i="106"/>
  <c r="I516" i="106"/>
  <c r="G516" i="106"/>
  <c r="I515" i="106"/>
  <c r="G515" i="106"/>
  <c r="I514" i="106"/>
  <c r="G514" i="106"/>
  <c r="I513" i="106"/>
  <c r="G513" i="106"/>
  <c r="I512" i="106"/>
  <c r="G512" i="106"/>
  <c r="I511" i="106"/>
  <c r="G511" i="106"/>
  <c r="I510" i="106"/>
  <c r="G510" i="106"/>
  <c r="I509" i="106"/>
  <c r="G509" i="106"/>
  <c r="I508" i="106"/>
  <c r="G508" i="106"/>
  <c r="I507" i="106"/>
  <c r="G507" i="106"/>
  <c r="I506" i="106"/>
  <c r="G506" i="106"/>
  <c r="I505" i="106"/>
  <c r="G505" i="106"/>
  <c r="I504" i="106"/>
  <c r="G504" i="106"/>
  <c r="I503" i="106"/>
  <c r="G503" i="106"/>
  <c r="I502" i="106"/>
  <c r="G502" i="106"/>
  <c r="I501" i="106"/>
  <c r="G501" i="106"/>
  <c r="I500" i="106"/>
  <c r="G500" i="106"/>
  <c r="I499" i="106"/>
  <c r="G499" i="106"/>
  <c r="I498" i="106"/>
  <c r="G498" i="106"/>
  <c r="I497" i="106"/>
  <c r="G497" i="106"/>
  <c r="I496" i="106"/>
  <c r="G496" i="106"/>
  <c r="I495" i="106"/>
  <c r="G495" i="106"/>
  <c r="I494" i="106"/>
  <c r="G494" i="106"/>
  <c r="I493" i="106"/>
  <c r="G493" i="106"/>
  <c r="I492" i="106"/>
  <c r="G492" i="106"/>
  <c r="I491" i="106"/>
  <c r="G491" i="106"/>
  <c r="I490" i="106"/>
  <c r="G490" i="106"/>
  <c r="I489" i="106"/>
  <c r="G489" i="106"/>
  <c r="I488" i="106"/>
  <c r="G488" i="106"/>
  <c r="I487" i="106"/>
  <c r="G487" i="106"/>
  <c r="I486" i="106"/>
  <c r="G486" i="106"/>
  <c r="I485" i="106"/>
  <c r="G485" i="106"/>
  <c r="I484" i="106"/>
  <c r="G484" i="106"/>
  <c r="I483" i="106"/>
  <c r="G483" i="106"/>
  <c r="I482" i="106"/>
  <c r="G482" i="106"/>
  <c r="I481" i="106"/>
  <c r="G481" i="106"/>
  <c r="I480" i="106"/>
  <c r="G480" i="106"/>
  <c r="I479" i="106"/>
  <c r="G479" i="106"/>
  <c r="I478" i="106"/>
  <c r="G478" i="106"/>
  <c r="I477" i="106"/>
  <c r="G477" i="106"/>
  <c r="I476" i="106"/>
  <c r="G476" i="106"/>
  <c r="I475" i="106"/>
  <c r="G475" i="106"/>
  <c r="I474" i="106"/>
  <c r="G474" i="106"/>
  <c r="I473" i="106"/>
  <c r="G473" i="106"/>
  <c r="I472" i="106"/>
  <c r="G472" i="106"/>
  <c r="I471" i="106"/>
  <c r="G471" i="106"/>
  <c r="I470" i="106"/>
  <c r="G470" i="106"/>
  <c r="I469" i="106"/>
  <c r="G469" i="106"/>
  <c r="I468" i="106"/>
  <c r="G468" i="106"/>
  <c r="I467" i="106"/>
  <c r="G467" i="106"/>
  <c r="I466" i="106"/>
  <c r="G466" i="106"/>
  <c r="I465" i="106"/>
  <c r="G465" i="106"/>
  <c r="I464" i="106"/>
  <c r="G464" i="106"/>
  <c r="I463" i="106"/>
  <c r="G463" i="106"/>
  <c r="I462" i="106"/>
  <c r="G462" i="106"/>
  <c r="I461" i="106"/>
  <c r="G461" i="106"/>
  <c r="I460" i="106"/>
  <c r="G460" i="106"/>
  <c r="I459" i="106"/>
  <c r="G459" i="106"/>
  <c r="I458" i="106"/>
  <c r="G458" i="106"/>
  <c r="I457" i="106"/>
  <c r="G457" i="106"/>
  <c r="I456" i="106"/>
  <c r="G456" i="106"/>
  <c r="I455" i="106"/>
  <c r="G455" i="106"/>
  <c r="I454" i="106"/>
  <c r="G454" i="106"/>
  <c r="I453" i="106"/>
  <c r="G453" i="106"/>
  <c r="I452" i="106"/>
  <c r="G452" i="106"/>
  <c r="I451" i="106"/>
  <c r="G451" i="106"/>
  <c r="I450" i="106"/>
  <c r="G450" i="106"/>
  <c r="I449" i="106"/>
  <c r="G449" i="106"/>
  <c r="I448" i="106"/>
  <c r="G448" i="106"/>
  <c r="I447" i="106"/>
  <c r="G447" i="106"/>
  <c r="I446" i="106"/>
  <c r="G446" i="106"/>
  <c r="I445" i="106"/>
  <c r="G445" i="106"/>
  <c r="I444" i="106"/>
  <c r="G444" i="106"/>
  <c r="I443" i="106"/>
  <c r="G443" i="106"/>
  <c r="I442" i="106"/>
  <c r="G442" i="106"/>
  <c r="I441" i="106"/>
  <c r="G441" i="106"/>
  <c r="I440" i="106"/>
  <c r="G440" i="106"/>
  <c r="I439" i="106"/>
  <c r="G439" i="106"/>
  <c r="I438" i="106"/>
  <c r="G438" i="106"/>
  <c r="I437" i="106"/>
  <c r="G437" i="106"/>
  <c r="I436" i="106"/>
  <c r="G436" i="106"/>
  <c r="I435" i="106"/>
  <c r="G435" i="106"/>
  <c r="I434" i="106"/>
  <c r="G434" i="106"/>
  <c r="I433" i="106"/>
  <c r="G433" i="106"/>
  <c r="I432" i="106"/>
  <c r="G432" i="106"/>
  <c r="I431" i="106"/>
  <c r="G431" i="106"/>
  <c r="I430" i="106"/>
  <c r="G430" i="106"/>
  <c r="I429" i="106"/>
  <c r="G429" i="106"/>
  <c r="I428" i="106"/>
  <c r="G428" i="106"/>
  <c r="I427" i="106"/>
  <c r="G427" i="106"/>
  <c r="I426" i="106"/>
  <c r="G426" i="106"/>
  <c r="I425" i="106"/>
  <c r="G425" i="106"/>
  <c r="I424" i="106"/>
  <c r="G424" i="106"/>
  <c r="I423" i="106"/>
  <c r="G423" i="106"/>
  <c r="I422" i="106"/>
  <c r="G422" i="106"/>
  <c r="I421" i="106"/>
  <c r="G421" i="106"/>
  <c r="I420" i="106"/>
  <c r="G420" i="106"/>
  <c r="I419" i="106"/>
  <c r="G419" i="106"/>
  <c r="I418" i="106"/>
  <c r="G418" i="106"/>
  <c r="I417" i="106"/>
  <c r="G417" i="106"/>
  <c r="I416" i="106"/>
  <c r="G416" i="106"/>
  <c r="I415" i="106"/>
  <c r="G415" i="106"/>
  <c r="I414" i="106"/>
  <c r="G414" i="106"/>
  <c r="I413" i="106"/>
  <c r="G413" i="106"/>
  <c r="I412" i="106"/>
  <c r="G412" i="106"/>
  <c r="I411" i="106"/>
  <c r="G411" i="106"/>
  <c r="I410" i="106"/>
  <c r="G410" i="106"/>
  <c r="I409" i="106"/>
  <c r="G409" i="106"/>
  <c r="I408" i="106"/>
  <c r="G408" i="106"/>
  <c r="I407" i="106"/>
  <c r="G407" i="106"/>
  <c r="I406" i="106"/>
  <c r="G406" i="106"/>
  <c r="I405" i="106"/>
  <c r="G405" i="106"/>
  <c r="I404" i="106"/>
  <c r="G404" i="106"/>
  <c r="I403" i="106"/>
  <c r="G403" i="106"/>
  <c r="I402" i="106"/>
  <c r="G402" i="106"/>
  <c r="I401" i="106"/>
  <c r="G401" i="106"/>
  <c r="I400" i="106"/>
  <c r="G400" i="106"/>
  <c r="I399" i="106"/>
  <c r="G399" i="106"/>
  <c r="I398" i="106"/>
  <c r="G398" i="106"/>
  <c r="I397" i="106"/>
  <c r="G397" i="106"/>
  <c r="I396" i="106"/>
  <c r="G396" i="106"/>
  <c r="I395" i="106"/>
  <c r="G395" i="106"/>
  <c r="I394" i="106"/>
  <c r="G394" i="106"/>
  <c r="I393" i="106"/>
  <c r="G393" i="106"/>
  <c r="I392" i="106"/>
  <c r="G392" i="106"/>
  <c r="I391" i="106"/>
  <c r="G391" i="106"/>
  <c r="I390" i="106"/>
  <c r="G390" i="106"/>
  <c r="I389" i="106"/>
  <c r="G389" i="106"/>
  <c r="I388" i="106"/>
  <c r="G388" i="106"/>
  <c r="I387" i="106"/>
  <c r="G387" i="106"/>
  <c r="I386" i="106"/>
  <c r="G386" i="106"/>
  <c r="I385" i="106"/>
  <c r="G385" i="106"/>
  <c r="I384" i="106"/>
  <c r="G384" i="106"/>
  <c r="I383" i="106"/>
  <c r="G383" i="106"/>
  <c r="I382" i="106"/>
  <c r="G382" i="106"/>
  <c r="I381" i="106"/>
  <c r="G381" i="106"/>
  <c r="I380" i="106"/>
  <c r="G380" i="106"/>
  <c r="I379" i="106"/>
  <c r="G379" i="106"/>
  <c r="I378" i="106"/>
  <c r="G378" i="106"/>
  <c r="I377" i="106"/>
  <c r="G377" i="106"/>
  <c r="I376" i="106"/>
  <c r="G376" i="106"/>
  <c r="I375" i="106"/>
  <c r="G375" i="106"/>
  <c r="I374" i="106"/>
  <c r="G374" i="106"/>
  <c r="I373" i="106"/>
  <c r="G373" i="106"/>
  <c r="I372" i="106"/>
  <c r="G372" i="106"/>
  <c r="I371" i="106"/>
  <c r="G371" i="106"/>
  <c r="I370" i="106"/>
  <c r="G370" i="106"/>
  <c r="I369" i="106"/>
  <c r="G369" i="106"/>
  <c r="I368" i="106"/>
  <c r="G368" i="106"/>
  <c r="I367" i="106"/>
  <c r="G367" i="106"/>
  <c r="I366" i="106"/>
  <c r="G366" i="106"/>
  <c r="I365" i="106"/>
  <c r="G365" i="106"/>
  <c r="I364" i="106"/>
  <c r="G364" i="106"/>
  <c r="I363" i="106"/>
  <c r="G363" i="106"/>
  <c r="I362" i="106"/>
  <c r="G362" i="106"/>
  <c r="I361" i="106"/>
  <c r="G361" i="106"/>
  <c r="I360" i="106"/>
  <c r="G360" i="106"/>
  <c r="I359" i="106"/>
  <c r="G359" i="106"/>
  <c r="I358" i="106"/>
  <c r="G358" i="106"/>
  <c r="I357" i="106"/>
  <c r="G357" i="106"/>
  <c r="I356" i="106"/>
  <c r="G356" i="106"/>
  <c r="I355" i="106"/>
  <c r="G355" i="106"/>
  <c r="I354" i="106"/>
  <c r="G354" i="106"/>
  <c r="I353" i="106"/>
  <c r="G353" i="106"/>
  <c r="I352" i="106"/>
  <c r="G352" i="106"/>
  <c r="I351" i="106"/>
  <c r="G351" i="106"/>
  <c r="I350" i="106"/>
  <c r="G350" i="106"/>
  <c r="I349" i="106"/>
  <c r="G349" i="106"/>
  <c r="I348" i="106"/>
  <c r="G348" i="106"/>
  <c r="I347" i="106"/>
  <c r="G347" i="106"/>
  <c r="I346" i="106"/>
  <c r="G346" i="106"/>
  <c r="I345" i="106"/>
  <c r="G345" i="106"/>
  <c r="I344" i="106"/>
  <c r="G344" i="106"/>
  <c r="I343" i="106"/>
  <c r="G343" i="106"/>
  <c r="I342" i="106"/>
  <c r="G342" i="106"/>
  <c r="I341" i="106"/>
  <c r="G341" i="106"/>
  <c r="I340" i="106"/>
  <c r="G340" i="106"/>
  <c r="I339" i="106"/>
  <c r="G339" i="106"/>
  <c r="I338" i="106"/>
  <c r="G338" i="106"/>
  <c r="I337" i="106"/>
  <c r="G337" i="106"/>
  <c r="I336" i="106"/>
  <c r="G336" i="106"/>
  <c r="I335" i="106"/>
  <c r="G335" i="106"/>
  <c r="I334" i="106"/>
  <c r="G334" i="106"/>
  <c r="I333" i="106"/>
  <c r="G333" i="106"/>
  <c r="I332" i="106"/>
  <c r="G332" i="106"/>
  <c r="I331" i="106"/>
  <c r="G331" i="106"/>
  <c r="I330" i="106"/>
  <c r="G330" i="106"/>
  <c r="I329" i="106"/>
  <c r="G329" i="106"/>
  <c r="I328" i="106"/>
  <c r="G328" i="106"/>
  <c r="I327" i="106"/>
  <c r="G327" i="106"/>
  <c r="I326" i="106"/>
  <c r="G326" i="106"/>
  <c r="I325" i="106"/>
  <c r="G325" i="106"/>
  <c r="I324" i="106"/>
  <c r="G324" i="106"/>
  <c r="I323" i="106"/>
  <c r="G323" i="106"/>
  <c r="I322" i="106"/>
  <c r="G322" i="106"/>
  <c r="I321" i="106"/>
  <c r="G321" i="106"/>
  <c r="I320" i="106"/>
  <c r="G320" i="106"/>
  <c r="I319" i="106"/>
  <c r="G319" i="106"/>
  <c r="I318" i="106"/>
  <c r="G318" i="106"/>
  <c r="I317" i="106"/>
  <c r="G317" i="106"/>
  <c r="I316" i="106"/>
  <c r="G316" i="106"/>
  <c r="I315" i="106"/>
  <c r="G315" i="106"/>
  <c r="I314" i="106"/>
  <c r="G314" i="106"/>
  <c r="I313" i="106"/>
  <c r="G313" i="106"/>
  <c r="I312" i="106"/>
  <c r="G312" i="106"/>
  <c r="I311" i="106"/>
  <c r="G311" i="106"/>
  <c r="I310" i="106"/>
  <c r="G310" i="106"/>
  <c r="I309" i="106"/>
  <c r="G309" i="106"/>
  <c r="I308" i="106"/>
  <c r="G308" i="106"/>
  <c r="I307" i="106"/>
  <c r="G307" i="106"/>
  <c r="I306" i="106"/>
  <c r="G306" i="106"/>
  <c r="I305" i="106"/>
  <c r="G305" i="106"/>
  <c r="I304" i="106"/>
  <c r="G304" i="106"/>
  <c r="I303" i="106"/>
  <c r="G303" i="106"/>
  <c r="I302" i="106"/>
  <c r="G302" i="106"/>
  <c r="I301" i="106"/>
  <c r="G301" i="106"/>
  <c r="I300" i="106"/>
  <c r="G300" i="106"/>
  <c r="I299" i="106"/>
  <c r="G299" i="106"/>
  <c r="I298" i="106"/>
  <c r="G298" i="106"/>
  <c r="I297" i="106"/>
  <c r="G297" i="106"/>
  <c r="I296" i="106"/>
  <c r="G296" i="106"/>
  <c r="I295" i="106"/>
  <c r="G295" i="106"/>
  <c r="I294" i="106"/>
  <c r="G294" i="106"/>
  <c r="I293" i="106"/>
  <c r="G293" i="106"/>
  <c r="I292" i="106"/>
  <c r="G292" i="106"/>
  <c r="I291" i="106"/>
  <c r="G291" i="106"/>
  <c r="I290" i="106"/>
  <c r="G290" i="106"/>
  <c r="I289" i="106"/>
  <c r="G289" i="106"/>
  <c r="I288" i="106"/>
  <c r="G288" i="106"/>
  <c r="I287" i="106"/>
  <c r="G287" i="106"/>
  <c r="I286" i="106"/>
  <c r="G286" i="106"/>
  <c r="I285" i="106"/>
  <c r="G285" i="106"/>
  <c r="I284" i="106"/>
  <c r="G284" i="106"/>
  <c r="I283" i="106"/>
  <c r="G283" i="106"/>
  <c r="I282" i="106"/>
  <c r="G282" i="106"/>
  <c r="I281" i="106"/>
  <c r="G281" i="106"/>
  <c r="I280" i="106"/>
  <c r="G280" i="106"/>
  <c r="I279" i="106"/>
  <c r="G279" i="106"/>
  <c r="I278" i="106"/>
  <c r="G278" i="106"/>
  <c r="I277" i="106"/>
  <c r="G277" i="106"/>
  <c r="I276" i="106"/>
  <c r="G276" i="106"/>
  <c r="I275" i="106"/>
  <c r="G275" i="106"/>
  <c r="I274" i="106"/>
  <c r="G274" i="106"/>
  <c r="I273" i="106"/>
  <c r="G273" i="106"/>
  <c r="I272" i="106"/>
  <c r="G272" i="106"/>
  <c r="I271" i="106"/>
  <c r="G271" i="106"/>
  <c r="I270" i="106"/>
  <c r="G270" i="106"/>
  <c r="I269" i="106"/>
  <c r="G269" i="106"/>
  <c r="I268" i="106"/>
  <c r="G268" i="106"/>
  <c r="I267" i="106"/>
  <c r="G267" i="106"/>
  <c r="I266" i="106"/>
  <c r="G266" i="106"/>
  <c r="I265" i="106"/>
  <c r="G265" i="106"/>
  <c r="I264" i="106"/>
  <c r="G264" i="106"/>
  <c r="I263" i="106"/>
  <c r="G263" i="106"/>
  <c r="I262" i="106"/>
  <c r="G262" i="106"/>
  <c r="I261" i="106"/>
  <c r="G261" i="106"/>
  <c r="I260" i="106"/>
  <c r="G260" i="106"/>
  <c r="I259" i="106"/>
  <c r="G259" i="106"/>
  <c r="I258" i="106"/>
  <c r="G258" i="106"/>
  <c r="I257" i="106"/>
  <c r="G257" i="106"/>
  <c r="I256" i="106"/>
  <c r="G256" i="106"/>
  <c r="I255" i="106"/>
  <c r="G255" i="106"/>
  <c r="I254" i="106"/>
  <c r="G254" i="106"/>
  <c r="I253" i="106"/>
  <c r="G253" i="106"/>
  <c r="I252" i="106"/>
  <c r="G252" i="106"/>
  <c r="I251" i="106"/>
  <c r="G251" i="106"/>
  <c r="I250" i="106"/>
  <c r="G250" i="106"/>
  <c r="I249" i="106"/>
  <c r="G249" i="106"/>
  <c r="I248" i="106"/>
  <c r="G248" i="106"/>
  <c r="I247" i="106"/>
  <c r="G247" i="106"/>
  <c r="I246" i="106"/>
  <c r="G246" i="106"/>
  <c r="I245" i="106"/>
  <c r="G245" i="106"/>
  <c r="I244" i="106"/>
  <c r="G244" i="106"/>
  <c r="I243" i="106"/>
  <c r="G243" i="106"/>
  <c r="I242" i="106"/>
  <c r="G242" i="106"/>
  <c r="I241" i="106"/>
  <c r="G241" i="106"/>
  <c r="I240" i="106"/>
  <c r="G240" i="106"/>
  <c r="I239" i="106"/>
  <c r="G239" i="106"/>
  <c r="I238" i="106"/>
  <c r="G238" i="106"/>
  <c r="I237" i="106"/>
  <c r="G237" i="106"/>
  <c r="I236" i="106"/>
  <c r="G236" i="106"/>
  <c r="I235" i="106"/>
  <c r="G235" i="106"/>
  <c r="I234" i="106"/>
  <c r="G234" i="106"/>
  <c r="I233" i="106"/>
  <c r="G233" i="106"/>
  <c r="I232" i="106"/>
  <c r="G232" i="106"/>
  <c r="I231" i="106"/>
  <c r="G231" i="106"/>
  <c r="I230" i="106"/>
  <c r="G230" i="106"/>
  <c r="I229" i="106"/>
  <c r="G229" i="106"/>
  <c r="I228" i="106"/>
  <c r="G228" i="106"/>
  <c r="I227" i="106"/>
  <c r="G227" i="106"/>
  <c r="I226" i="106"/>
  <c r="G226" i="106"/>
  <c r="I225" i="106"/>
  <c r="G225" i="106"/>
  <c r="I224" i="106"/>
  <c r="G224" i="106"/>
  <c r="I223" i="106"/>
  <c r="G223" i="106"/>
  <c r="I222" i="106"/>
  <c r="G222" i="106"/>
  <c r="I221" i="106"/>
  <c r="G221" i="106"/>
  <c r="I220" i="106"/>
  <c r="G220" i="106"/>
  <c r="I219" i="106"/>
  <c r="G219" i="106"/>
  <c r="I218" i="106"/>
  <c r="G218" i="106"/>
  <c r="I217" i="106"/>
  <c r="G217" i="106"/>
  <c r="I216" i="106"/>
  <c r="G216" i="106"/>
  <c r="I215" i="106"/>
  <c r="G215" i="106"/>
  <c r="I214" i="106"/>
  <c r="G214" i="106"/>
  <c r="I213" i="106"/>
  <c r="G213" i="106"/>
  <c r="I212" i="106"/>
  <c r="G212" i="106"/>
  <c r="I211" i="106"/>
  <c r="G211" i="106"/>
  <c r="I210" i="106"/>
  <c r="G210" i="106"/>
  <c r="I209" i="106"/>
  <c r="G209" i="106"/>
  <c r="I208" i="106"/>
  <c r="G208" i="106"/>
  <c r="I207" i="106"/>
  <c r="G207" i="106"/>
  <c r="I206" i="106"/>
  <c r="G206" i="106"/>
  <c r="I205" i="106"/>
  <c r="G205" i="106"/>
  <c r="I204" i="106"/>
  <c r="G204" i="106"/>
  <c r="I203" i="106"/>
  <c r="G203" i="106"/>
  <c r="I202" i="106"/>
  <c r="G202" i="106"/>
  <c r="I201" i="106"/>
  <c r="G201" i="106"/>
  <c r="I200" i="106"/>
  <c r="G200" i="106"/>
  <c r="I199" i="106"/>
  <c r="G199" i="106"/>
  <c r="I198" i="106"/>
  <c r="G198" i="106"/>
  <c r="I197" i="106"/>
  <c r="G197" i="106"/>
  <c r="I196" i="106"/>
  <c r="G196" i="106"/>
  <c r="I195" i="106"/>
  <c r="G195" i="106"/>
  <c r="I194" i="106"/>
  <c r="G194" i="106"/>
  <c r="I193" i="106"/>
  <c r="G193" i="106"/>
  <c r="I192" i="106"/>
  <c r="G192" i="106"/>
  <c r="I191" i="106"/>
  <c r="G191" i="106"/>
  <c r="I190" i="106"/>
  <c r="G190" i="106"/>
  <c r="I189" i="106"/>
  <c r="G189" i="106"/>
  <c r="I188" i="106"/>
  <c r="G188" i="106"/>
  <c r="I187" i="106"/>
  <c r="G187" i="106"/>
  <c r="I186" i="106"/>
  <c r="G186" i="106"/>
  <c r="I185" i="106"/>
  <c r="G185" i="106"/>
  <c r="I184" i="106"/>
  <c r="G184" i="106"/>
  <c r="I183" i="106"/>
  <c r="G183" i="106"/>
  <c r="I182" i="106"/>
  <c r="G182" i="106"/>
  <c r="I181" i="106"/>
  <c r="G181" i="106"/>
  <c r="I180" i="106"/>
  <c r="G180" i="106"/>
  <c r="I179" i="106"/>
  <c r="G179" i="106"/>
  <c r="I178" i="106"/>
  <c r="G178" i="106"/>
  <c r="I177" i="106"/>
  <c r="G177" i="106"/>
  <c r="I176" i="106"/>
  <c r="G176" i="106"/>
  <c r="I175" i="106"/>
  <c r="G175" i="106"/>
  <c r="I174" i="106"/>
  <c r="G174" i="106"/>
  <c r="I173" i="106"/>
  <c r="G173" i="106"/>
  <c r="I172" i="106"/>
  <c r="G172" i="106"/>
  <c r="I171" i="106"/>
  <c r="G171" i="106"/>
  <c r="I170" i="106"/>
  <c r="G170" i="106"/>
  <c r="I169" i="106"/>
  <c r="G169" i="106"/>
  <c r="I168" i="106"/>
  <c r="G168" i="106"/>
  <c r="I167" i="106"/>
  <c r="G167" i="106"/>
  <c r="I166" i="106"/>
  <c r="G166" i="106"/>
  <c r="I165" i="106"/>
  <c r="G165" i="106"/>
  <c r="I164" i="106"/>
  <c r="G164" i="106"/>
  <c r="I163" i="106"/>
  <c r="G163" i="106"/>
  <c r="I162" i="106"/>
  <c r="G162" i="106"/>
  <c r="I161" i="106"/>
  <c r="G161" i="106"/>
  <c r="I160" i="106"/>
  <c r="G160" i="106"/>
  <c r="I159" i="106"/>
  <c r="G159" i="106"/>
  <c r="I158" i="106"/>
  <c r="G158" i="106"/>
  <c r="I157" i="106"/>
  <c r="G157" i="106"/>
  <c r="I156" i="106"/>
  <c r="G156" i="106"/>
  <c r="I155" i="106"/>
  <c r="G155" i="106"/>
  <c r="I154" i="106"/>
  <c r="G154" i="106"/>
  <c r="I153" i="106"/>
  <c r="G153" i="106"/>
  <c r="I152" i="106"/>
  <c r="G152" i="106"/>
  <c r="I151" i="106"/>
  <c r="G151" i="106"/>
  <c r="I150" i="106"/>
  <c r="G150" i="106"/>
  <c r="I149" i="106"/>
  <c r="G149" i="106"/>
  <c r="I148" i="106"/>
  <c r="G148" i="106"/>
  <c r="I147" i="106"/>
  <c r="G147" i="106"/>
  <c r="I146" i="106"/>
  <c r="G146" i="106"/>
  <c r="I145" i="106"/>
  <c r="G145" i="106"/>
  <c r="I144" i="106"/>
  <c r="G144" i="106"/>
  <c r="I143" i="106"/>
  <c r="G143" i="106"/>
  <c r="I142" i="106"/>
  <c r="G142" i="106"/>
  <c r="I141" i="106"/>
  <c r="G141" i="106"/>
  <c r="I140" i="106"/>
  <c r="G140" i="106"/>
  <c r="I139" i="106"/>
  <c r="G139" i="106"/>
  <c r="I138" i="106"/>
  <c r="G138" i="106"/>
  <c r="I137" i="106"/>
  <c r="G137" i="106"/>
  <c r="I136" i="106"/>
  <c r="G136" i="106"/>
  <c r="I135" i="106"/>
  <c r="G135" i="106"/>
  <c r="I134" i="106"/>
  <c r="G134" i="106"/>
  <c r="I133" i="106"/>
  <c r="G133" i="106"/>
  <c r="I132" i="106"/>
  <c r="G132" i="106"/>
  <c r="I131" i="106"/>
  <c r="G131" i="106"/>
  <c r="I130" i="106"/>
  <c r="G130" i="106"/>
  <c r="I129" i="106"/>
  <c r="G129" i="106"/>
  <c r="I128" i="106"/>
  <c r="G128" i="106"/>
  <c r="I127" i="106"/>
  <c r="G127" i="106"/>
  <c r="I126" i="106"/>
  <c r="G126" i="106"/>
  <c r="I125" i="106"/>
  <c r="G125" i="106"/>
  <c r="I124" i="106"/>
  <c r="G124" i="106"/>
  <c r="I123" i="106"/>
  <c r="G123" i="106"/>
  <c r="I122" i="106"/>
  <c r="G122" i="106"/>
  <c r="I121" i="106"/>
  <c r="G121" i="106"/>
  <c r="I120" i="106"/>
  <c r="G120" i="106"/>
  <c r="I119" i="106"/>
  <c r="G119" i="106"/>
  <c r="I118" i="106"/>
  <c r="G118" i="106"/>
  <c r="I117" i="106"/>
  <c r="G117" i="106"/>
  <c r="I116" i="106"/>
  <c r="G116" i="106"/>
  <c r="I115" i="106"/>
  <c r="G115" i="106"/>
  <c r="I114" i="106"/>
  <c r="G114" i="106"/>
  <c r="I113" i="106"/>
  <c r="G113" i="106"/>
  <c r="I112" i="106"/>
  <c r="G112" i="106"/>
  <c r="I111" i="106"/>
  <c r="G111" i="106"/>
  <c r="I110" i="106"/>
  <c r="G110" i="106"/>
  <c r="I109" i="106"/>
  <c r="G109" i="106"/>
  <c r="I108" i="106"/>
  <c r="G108" i="106"/>
  <c r="I107" i="106"/>
  <c r="G107" i="106"/>
  <c r="I106" i="106"/>
  <c r="G106" i="106"/>
  <c r="I105" i="106"/>
  <c r="G105" i="106"/>
  <c r="I104" i="106"/>
  <c r="G104" i="106"/>
  <c r="I103" i="106"/>
  <c r="G103" i="106"/>
  <c r="I102" i="106"/>
  <c r="G102" i="106"/>
  <c r="I101" i="106"/>
  <c r="G101" i="106"/>
  <c r="I100" i="106"/>
  <c r="G100" i="106"/>
  <c r="I99" i="106"/>
  <c r="G99" i="106"/>
  <c r="I98" i="106"/>
  <c r="G98" i="106"/>
  <c r="I97" i="106"/>
  <c r="G97" i="106"/>
  <c r="I96" i="106"/>
  <c r="G96" i="106"/>
  <c r="I95" i="106"/>
  <c r="G95" i="106"/>
  <c r="I94" i="106"/>
  <c r="G94" i="106"/>
  <c r="I93" i="106"/>
  <c r="G93" i="106"/>
  <c r="I92" i="106"/>
  <c r="G92" i="106"/>
  <c r="I91" i="106"/>
  <c r="G91" i="106"/>
  <c r="I90" i="106"/>
  <c r="G90" i="106"/>
  <c r="I89" i="106"/>
  <c r="G89" i="106"/>
  <c r="I88" i="106"/>
  <c r="G88" i="106"/>
  <c r="I87" i="106"/>
  <c r="G87" i="106"/>
  <c r="I86" i="106"/>
  <c r="G86" i="106"/>
  <c r="I85" i="106"/>
  <c r="G85" i="106"/>
  <c r="I84" i="106"/>
  <c r="G84" i="106"/>
  <c r="I83" i="106"/>
  <c r="G83" i="106"/>
  <c r="I82" i="106"/>
  <c r="G82" i="106"/>
  <c r="I81" i="106"/>
  <c r="G81" i="106"/>
  <c r="I80" i="106"/>
  <c r="G80" i="106"/>
  <c r="I79" i="106"/>
  <c r="G79" i="106"/>
  <c r="I78" i="106"/>
  <c r="G78" i="106"/>
  <c r="I77" i="106"/>
  <c r="G77" i="106"/>
  <c r="I76" i="106"/>
  <c r="G76" i="106"/>
  <c r="I75" i="106"/>
  <c r="G75" i="106"/>
  <c r="I74" i="106"/>
  <c r="G74" i="106"/>
  <c r="I73" i="106"/>
  <c r="G73" i="106"/>
  <c r="I72" i="106"/>
  <c r="G72" i="106"/>
  <c r="I71" i="106"/>
  <c r="G71" i="106"/>
  <c r="I70" i="106"/>
  <c r="G70" i="106"/>
  <c r="I69" i="106"/>
  <c r="G69" i="106"/>
  <c r="I68" i="106"/>
  <c r="G68" i="106"/>
  <c r="I67" i="106"/>
  <c r="G67" i="106"/>
  <c r="I66" i="106"/>
  <c r="G66" i="106"/>
  <c r="I65" i="106"/>
  <c r="G65" i="106"/>
  <c r="I64" i="106"/>
  <c r="G64" i="106"/>
  <c r="I63" i="106"/>
  <c r="G63" i="106"/>
  <c r="I62" i="106"/>
  <c r="G62" i="106"/>
  <c r="I61" i="106"/>
  <c r="G61" i="106"/>
  <c r="I60" i="106"/>
  <c r="G60" i="106"/>
  <c r="I59" i="106"/>
  <c r="G59" i="106"/>
  <c r="I58" i="106"/>
  <c r="G58" i="106"/>
  <c r="I57" i="106"/>
  <c r="G57" i="106"/>
  <c r="I56" i="106"/>
  <c r="G56" i="106"/>
  <c r="I55" i="106"/>
  <c r="G55" i="106"/>
  <c r="I54" i="106"/>
  <c r="G54" i="106"/>
  <c r="I53" i="106"/>
  <c r="G53" i="106"/>
  <c r="I52" i="106"/>
  <c r="G52" i="106"/>
  <c r="I51" i="106"/>
  <c r="G51" i="106"/>
  <c r="I50" i="106"/>
  <c r="G50" i="106"/>
  <c r="I49" i="106"/>
  <c r="G49" i="106"/>
  <c r="I48" i="106"/>
  <c r="G48" i="106"/>
  <c r="I47" i="106"/>
  <c r="G47" i="106"/>
  <c r="I46" i="106"/>
  <c r="G46" i="106"/>
  <c r="I45" i="106"/>
  <c r="G45" i="106"/>
  <c r="I44" i="106"/>
  <c r="G44" i="106"/>
  <c r="I43" i="106"/>
  <c r="G43" i="106"/>
  <c r="I42" i="106"/>
  <c r="G42" i="106"/>
  <c r="I41" i="106"/>
  <c r="G41" i="106"/>
  <c r="I40" i="106"/>
  <c r="G40" i="106"/>
  <c r="I39" i="106"/>
  <c r="G39" i="106"/>
  <c r="I38" i="106"/>
  <c r="G38" i="106"/>
  <c r="I37" i="106"/>
  <c r="G37" i="106"/>
  <c r="I36" i="106"/>
  <c r="G36" i="106"/>
  <c r="I35" i="106"/>
  <c r="G35" i="106"/>
  <c r="I34" i="106"/>
  <c r="G34" i="106"/>
  <c r="I33" i="106"/>
  <c r="G33" i="106"/>
  <c r="I32" i="106"/>
  <c r="G32" i="106"/>
  <c r="I31" i="106"/>
  <c r="G31" i="106"/>
  <c r="I30" i="106"/>
  <c r="G30" i="106"/>
  <c r="I29" i="106"/>
  <c r="G29" i="106"/>
  <c r="I28" i="106"/>
  <c r="G28" i="106"/>
  <c r="I27" i="106"/>
  <c r="G27" i="106"/>
  <c r="I26" i="106"/>
  <c r="G26" i="106"/>
  <c r="I25" i="106"/>
  <c r="G25" i="106"/>
  <c r="I24" i="106"/>
  <c r="G24" i="106"/>
  <c r="I23" i="106"/>
  <c r="G23" i="106"/>
  <c r="I22" i="106"/>
  <c r="G22" i="106"/>
  <c r="I21" i="106"/>
  <c r="G21" i="106"/>
  <c r="I20" i="106"/>
  <c r="G20" i="106"/>
  <c r="I19" i="106"/>
  <c r="G19" i="106"/>
  <c r="I18" i="106"/>
  <c r="G18" i="106"/>
  <c r="I17" i="106"/>
  <c r="G17" i="106"/>
  <c r="I16" i="106"/>
  <c r="G16" i="106"/>
  <c r="I15" i="106"/>
  <c r="G15" i="106"/>
  <c r="I14" i="106"/>
  <c r="G14" i="106"/>
  <c r="I13" i="106"/>
  <c r="G13" i="106"/>
  <c r="I12" i="106"/>
  <c r="G12" i="106"/>
  <c r="I11" i="106"/>
  <c r="G11" i="106"/>
  <c r="I10" i="106"/>
  <c r="G10" i="106"/>
  <c r="I9" i="106"/>
  <c r="G9" i="106"/>
  <c r="I8" i="106"/>
  <c r="G8" i="106"/>
  <c r="I7" i="106"/>
  <c r="G7" i="106"/>
  <c r="I6" i="106"/>
  <c r="G6" i="106"/>
  <c r="I5" i="106"/>
  <c r="G5" i="106"/>
  <c r="I4" i="106"/>
  <c r="I1048" i="106" s="1"/>
  <c r="G4" i="106"/>
  <c r="I3" i="106"/>
  <c r="G3" i="106"/>
  <c r="E2" i="106"/>
  <c r="C2" i="49"/>
  <c r="G37" i="49" s="1"/>
  <c r="F80" i="1" s="1"/>
  <c r="F14" i="8" s="1"/>
  <c r="A2" i="102"/>
  <c r="B2" i="102" s="1"/>
  <c r="C2" i="19"/>
  <c r="F10" i="19" s="1"/>
  <c r="F10" i="21" s="1"/>
  <c r="A2" i="107"/>
  <c r="D2" i="107" s="1"/>
  <c r="H89" i="1"/>
  <c r="E107" i="9" s="1"/>
  <c r="H77" i="1"/>
  <c r="G36" i="112"/>
  <c r="F36" i="112"/>
  <c r="E36" i="112"/>
  <c r="D36" i="112"/>
  <c r="C36" i="112"/>
  <c r="B36" i="112"/>
  <c r="A1" i="104"/>
  <c r="D1" i="104" s="1"/>
  <c r="F60" i="1" s="1"/>
  <c r="H52" i="1"/>
  <c r="H53" i="1"/>
  <c r="H54" i="1"/>
  <c r="H56" i="1"/>
  <c r="H57" i="1"/>
  <c r="F35" i="98" s="1"/>
  <c r="G41" i="108"/>
  <c r="H81" i="1" s="1"/>
  <c r="D2" i="50"/>
  <c r="H22" i="50" s="1"/>
  <c r="H22" i="60" s="1"/>
  <c r="G47" i="108"/>
  <c r="H96" i="1"/>
  <c r="L29" i="5" s="1"/>
  <c r="G7" i="91"/>
  <c r="G9" i="91" s="1"/>
  <c r="G6" i="91"/>
  <c r="G13" i="91"/>
  <c r="G14" i="91" s="1"/>
  <c r="H104" i="1"/>
  <c r="F5" i="74" s="1"/>
  <c r="H97" i="1"/>
  <c r="N22" i="18" s="1"/>
  <c r="G69" i="18"/>
  <c r="L69" i="18" s="1"/>
  <c r="N7" i="91"/>
  <c r="N9" i="91" s="1"/>
  <c r="N6" i="91"/>
  <c r="N13" i="91"/>
  <c r="N14" i="91" s="1"/>
  <c r="H105" i="1"/>
  <c r="A2" i="105"/>
  <c r="B2" i="105" s="1"/>
  <c r="T67" i="98"/>
  <c r="T106" i="98" s="1"/>
  <c r="U67" i="98"/>
  <c r="U106" i="98" s="1"/>
  <c r="M11" i="73"/>
  <c r="M13" i="73" s="1"/>
  <c r="N13" i="73" s="1"/>
  <c r="M10" i="73"/>
  <c r="N10" i="73" s="1"/>
  <c r="M17" i="73"/>
  <c r="N17" i="73" s="1"/>
  <c r="N18" i="73" s="1"/>
  <c r="E145" i="9"/>
  <c r="E147" i="9"/>
  <c r="E163" i="9" s="1"/>
  <c r="G29" i="5"/>
  <c r="F36" i="8"/>
  <c r="F35" i="8"/>
  <c r="L36" i="8"/>
  <c r="L35" i="8"/>
  <c r="H36" i="8"/>
  <c r="H35" i="8"/>
  <c r="C7" i="91"/>
  <c r="C9" i="91" s="1"/>
  <c r="C6" i="91"/>
  <c r="G52" i="5" s="1"/>
  <c r="C13" i="91"/>
  <c r="C14" i="91" s="1"/>
  <c r="E5" i="74"/>
  <c r="J22" i="18"/>
  <c r="T36" i="8"/>
  <c r="T35" i="8"/>
  <c r="C30" i="27"/>
  <c r="F72" i="8"/>
  <c r="T72" i="8" s="1"/>
  <c r="U72" i="8" s="1"/>
  <c r="T63" i="8"/>
  <c r="T87" i="8" s="1"/>
  <c r="G30" i="27"/>
  <c r="U36" i="8"/>
  <c r="U35" i="8"/>
  <c r="U63" i="8"/>
  <c r="U87" i="8" s="1"/>
  <c r="C11" i="73"/>
  <c r="C13" i="73" s="1"/>
  <c r="G13" i="73" s="1"/>
  <c r="C10" i="73"/>
  <c r="G10" i="73" s="1"/>
  <c r="C17" i="73"/>
  <c r="G17" i="73" s="1"/>
  <c r="G18" i="73" s="1"/>
  <c r="C38" i="91"/>
  <c r="E38" i="91" s="1"/>
  <c r="C39" i="91"/>
  <c r="E39" i="91" s="1"/>
  <c r="E61" i="91"/>
  <c r="E45" i="91" s="1"/>
  <c r="E75" i="9"/>
  <c r="E76" i="9"/>
  <c r="L35" i="81"/>
  <c r="T35" i="81"/>
  <c r="G89" i="1"/>
  <c r="D30" i="27" s="1"/>
  <c r="T63" i="81"/>
  <c r="T88" i="81" s="1"/>
  <c r="U63" i="81"/>
  <c r="U88" i="81" s="1"/>
  <c r="J11" i="73"/>
  <c r="J13" i="73" s="1"/>
  <c r="K13" i="73" s="1"/>
  <c r="J10" i="73"/>
  <c r="K10" i="73" s="1"/>
  <c r="J17" i="73"/>
  <c r="K17" i="73" s="1"/>
  <c r="K18" i="73" s="1"/>
  <c r="E132" i="9"/>
  <c r="E134" i="9"/>
  <c r="H37" i="1"/>
  <c r="F75" i="98" s="1"/>
  <c r="F177" i="98" s="1"/>
  <c r="F81" i="98"/>
  <c r="H62" i="108" s="1"/>
  <c r="G23" i="108"/>
  <c r="H15" i="108"/>
  <c r="H14" i="108"/>
  <c r="H11" i="108"/>
  <c r="G55" i="108"/>
  <c r="G63" i="108" s="1"/>
  <c r="G7" i="108"/>
  <c r="G8" i="108"/>
  <c r="G9" i="108"/>
  <c r="G10" i="108"/>
  <c r="G11" i="108"/>
  <c r="G12" i="108"/>
  <c r="G13" i="108"/>
  <c r="G14" i="108"/>
  <c r="G15" i="108"/>
  <c r="G16" i="108"/>
  <c r="G17" i="108"/>
  <c r="G18" i="108"/>
  <c r="G19" i="108"/>
  <c r="G20" i="108"/>
  <c r="H20" i="108" s="1"/>
  <c r="G21" i="108"/>
  <c r="H21" i="108" s="1"/>
  <c r="G22" i="108"/>
  <c r="H22" i="108" s="1"/>
  <c r="G24" i="108"/>
  <c r="G25" i="108"/>
  <c r="G26" i="108"/>
  <c r="G27" i="108"/>
  <c r="G28" i="108"/>
  <c r="G29" i="108"/>
  <c r="G33" i="108"/>
  <c r="G34" i="108"/>
  <c r="G35" i="108"/>
  <c r="G36" i="108"/>
  <c r="G37" i="108"/>
  <c r="G38" i="108"/>
  <c r="G39" i="108"/>
  <c r="G40" i="108"/>
  <c r="G42" i="108"/>
  <c r="G43" i="108"/>
  <c r="G44" i="108"/>
  <c r="G45" i="108"/>
  <c r="G46" i="108"/>
  <c r="G48" i="108"/>
  <c r="G49" i="108"/>
  <c r="G50" i="108"/>
  <c r="G51" i="108"/>
  <c r="G52" i="108"/>
  <c r="G53" i="108"/>
  <c r="G54" i="108"/>
  <c r="G6" i="108"/>
  <c r="M1298" i="102"/>
  <c r="N1298" i="102"/>
  <c r="J1298" i="102"/>
  <c r="F1298" i="102"/>
  <c r="G1298" i="102" s="1"/>
  <c r="M1297" i="102"/>
  <c r="N1297" i="102"/>
  <c r="J1297" i="102"/>
  <c r="F1297" i="102"/>
  <c r="G1297" i="102" s="1"/>
  <c r="M1296" i="102"/>
  <c r="N1296" i="102"/>
  <c r="J1296" i="102"/>
  <c r="F1296" i="102"/>
  <c r="G1296" i="102" s="1"/>
  <c r="M1295" i="102"/>
  <c r="N1295" i="102"/>
  <c r="J1295" i="102"/>
  <c r="F1295" i="102"/>
  <c r="G1295" i="102" s="1"/>
  <c r="M1294" i="102"/>
  <c r="N1294" i="102"/>
  <c r="J1294" i="102"/>
  <c r="F1294" i="102"/>
  <c r="G1294" i="102" s="1"/>
  <c r="M1293" i="102"/>
  <c r="N1293" i="102"/>
  <c r="J1293" i="102"/>
  <c r="F1293" i="102"/>
  <c r="G1293" i="102" s="1"/>
  <c r="M1292" i="102"/>
  <c r="N1292" i="102"/>
  <c r="J1292" i="102"/>
  <c r="F1292" i="102"/>
  <c r="G1292" i="102" s="1"/>
  <c r="M1291" i="102"/>
  <c r="N1291" i="102"/>
  <c r="J1291" i="102"/>
  <c r="F1291" i="102"/>
  <c r="G1291" i="102" s="1"/>
  <c r="M1290" i="102"/>
  <c r="N1290" i="102"/>
  <c r="J1290" i="102"/>
  <c r="F1290" i="102"/>
  <c r="G1290" i="102" s="1"/>
  <c r="M1289" i="102"/>
  <c r="N1289" i="102"/>
  <c r="J1289" i="102"/>
  <c r="F1289" i="102"/>
  <c r="G1289" i="102" s="1"/>
  <c r="M1288" i="102"/>
  <c r="N1288" i="102"/>
  <c r="J1288" i="102"/>
  <c r="F1288" i="102"/>
  <c r="G1288" i="102" s="1"/>
  <c r="M1287" i="102"/>
  <c r="N1287" i="102"/>
  <c r="J1287" i="102"/>
  <c r="F1287" i="102"/>
  <c r="G1287" i="102" s="1"/>
  <c r="M1286" i="102"/>
  <c r="N1286" i="102"/>
  <c r="J1286" i="102"/>
  <c r="F1286" i="102"/>
  <c r="G1286" i="102" s="1"/>
  <c r="M1285" i="102"/>
  <c r="N1285" i="102"/>
  <c r="J1285" i="102"/>
  <c r="F1285" i="102"/>
  <c r="G1285" i="102" s="1"/>
  <c r="M1284" i="102"/>
  <c r="N1284" i="102"/>
  <c r="J1284" i="102"/>
  <c r="F1284" i="102"/>
  <c r="G1284" i="102" s="1"/>
  <c r="M1283" i="102"/>
  <c r="N1283" i="102"/>
  <c r="J1283" i="102"/>
  <c r="F1283" i="102"/>
  <c r="G1283" i="102" s="1"/>
  <c r="M1282" i="102"/>
  <c r="N1282" i="102"/>
  <c r="J1282" i="102"/>
  <c r="F1282" i="102"/>
  <c r="G1282" i="102" s="1"/>
  <c r="M1281" i="102"/>
  <c r="N1281" i="102"/>
  <c r="J1281" i="102"/>
  <c r="F1281" i="102"/>
  <c r="G1281" i="102" s="1"/>
  <c r="M1280" i="102"/>
  <c r="N1280" i="102"/>
  <c r="J1280" i="102"/>
  <c r="F1280" i="102"/>
  <c r="G1280" i="102" s="1"/>
  <c r="M1279" i="102"/>
  <c r="N1279" i="102"/>
  <c r="J1279" i="102"/>
  <c r="F1279" i="102"/>
  <c r="G1279" i="102" s="1"/>
  <c r="M1278" i="102"/>
  <c r="N1278" i="102"/>
  <c r="J1278" i="102"/>
  <c r="F1278" i="102"/>
  <c r="G1278" i="102" s="1"/>
  <c r="M1277" i="102"/>
  <c r="N1277" i="102"/>
  <c r="J1277" i="102"/>
  <c r="F1277" i="102"/>
  <c r="G1277" i="102" s="1"/>
  <c r="M1276" i="102"/>
  <c r="N1276" i="102"/>
  <c r="J1276" i="102"/>
  <c r="F1276" i="102"/>
  <c r="G1276" i="102" s="1"/>
  <c r="M1275" i="102"/>
  <c r="N1275" i="102"/>
  <c r="J1275" i="102"/>
  <c r="F1275" i="102"/>
  <c r="G1275" i="102" s="1"/>
  <c r="M1274" i="102"/>
  <c r="N1274" i="102"/>
  <c r="J1274" i="102"/>
  <c r="F1274" i="102"/>
  <c r="G1274" i="102" s="1"/>
  <c r="M1273" i="102"/>
  <c r="N1273" i="102"/>
  <c r="J1273" i="102"/>
  <c r="F1273" i="102"/>
  <c r="G1273" i="102" s="1"/>
  <c r="M1272" i="102"/>
  <c r="N1272" i="102"/>
  <c r="J1272" i="102"/>
  <c r="F1272" i="102"/>
  <c r="G1272" i="102" s="1"/>
  <c r="M1271" i="102"/>
  <c r="N1271" i="102"/>
  <c r="J1271" i="102"/>
  <c r="F1271" i="102"/>
  <c r="G1271" i="102" s="1"/>
  <c r="M1270" i="102"/>
  <c r="N1270" i="102"/>
  <c r="J1270" i="102"/>
  <c r="F1270" i="102"/>
  <c r="G1270" i="102" s="1"/>
  <c r="M1269" i="102"/>
  <c r="N1269" i="102"/>
  <c r="J1269" i="102"/>
  <c r="F1269" i="102"/>
  <c r="G1269" i="102" s="1"/>
  <c r="M1268" i="102"/>
  <c r="N1268" i="102"/>
  <c r="J1268" i="102"/>
  <c r="F1268" i="102"/>
  <c r="G1268" i="102" s="1"/>
  <c r="M1267" i="102"/>
  <c r="N1267" i="102"/>
  <c r="J1267" i="102"/>
  <c r="F1267" i="102"/>
  <c r="G1267" i="102" s="1"/>
  <c r="M1266" i="102"/>
  <c r="N1266" i="102"/>
  <c r="J1266" i="102"/>
  <c r="F1266" i="102"/>
  <c r="G1266" i="102" s="1"/>
  <c r="M1265" i="102"/>
  <c r="N1265" i="102"/>
  <c r="J1265" i="102"/>
  <c r="F1265" i="102"/>
  <c r="G1265" i="102" s="1"/>
  <c r="M1264" i="102"/>
  <c r="N1264" i="102"/>
  <c r="J1264" i="102"/>
  <c r="F1264" i="102"/>
  <c r="G1264" i="102" s="1"/>
  <c r="M1263" i="102"/>
  <c r="N1263" i="102"/>
  <c r="J1263" i="102"/>
  <c r="F1263" i="102"/>
  <c r="G1263" i="102" s="1"/>
  <c r="M1262" i="102"/>
  <c r="N1262" i="102"/>
  <c r="J1262" i="102"/>
  <c r="F1262" i="102"/>
  <c r="G1262" i="102" s="1"/>
  <c r="M1261" i="102"/>
  <c r="N1261" i="102"/>
  <c r="J1261" i="102"/>
  <c r="F1261" i="102"/>
  <c r="G1261" i="102" s="1"/>
  <c r="M1260" i="102"/>
  <c r="N1260" i="102"/>
  <c r="J1260" i="102"/>
  <c r="F1260" i="102"/>
  <c r="G1260" i="102" s="1"/>
  <c r="M1259" i="102"/>
  <c r="N1259" i="102"/>
  <c r="J1259" i="102"/>
  <c r="F1259" i="102"/>
  <c r="G1259" i="102" s="1"/>
  <c r="M1258" i="102"/>
  <c r="N1258" i="102"/>
  <c r="J1258" i="102"/>
  <c r="F1258" i="102"/>
  <c r="G1258" i="102" s="1"/>
  <c r="M1257" i="102"/>
  <c r="N1257" i="102"/>
  <c r="J1257" i="102"/>
  <c r="F1257" i="102"/>
  <c r="G1257" i="102" s="1"/>
  <c r="M1256" i="102"/>
  <c r="N1256" i="102"/>
  <c r="J1256" i="102"/>
  <c r="F1256" i="102"/>
  <c r="G1256" i="102" s="1"/>
  <c r="M1255" i="102"/>
  <c r="N1255" i="102"/>
  <c r="J1255" i="102"/>
  <c r="F1255" i="102"/>
  <c r="G1255" i="102" s="1"/>
  <c r="M1254" i="102"/>
  <c r="N1254" i="102"/>
  <c r="J1254" i="102"/>
  <c r="F1254" i="102"/>
  <c r="G1254" i="102" s="1"/>
  <c r="M1253" i="102"/>
  <c r="N1253" i="102"/>
  <c r="J1253" i="102"/>
  <c r="F1253" i="102"/>
  <c r="G1253" i="102" s="1"/>
  <c r="M1252" i="102"/>
  <c r="N1252" i="102"/>
  <c r="J1252" i="102"/>
  <c r="F1252" i="102"/>
  <c r="G1252" i="102" s="1"/>
  <c r="M1251" i="102"/>
  <c r="N1251" i="102"/>
  <c r="J1251" i="102"/>
  <c r="F1251" i="102"/>
  <c r="G1251" i="102" s="1"/>
  <c r="M1250" i="102"/>
  <c r="N1250" i="102"/>
  <c r="J1250" i="102"/>
  <c r="F1250" i="102"/>
  <c r="G1250" i="102" s="1"/>
  <c r="M1249" i="102"/>
  <c r="N1249" i="102"/>
  <c r="J1249" i="102"/>
  <c r="F1249" i="102"/>
  <c r="G1249" i="102" s="1"/>
  <c r="M1248" i="102"/>
  <c r="N1248" i="102"/>
  <c r="J1248" i="102"/>
  <c r="F1248" i="102"/>
  <c r="G1248" i="102" s="1"/>
  <c r="M1247" i="102"/>
  <c r="N1247" i="102"/>
  <c r="J1247" i="102"/>
  <c r="F1247" i="102"/>
  <c r="G1247" i="102" s="1"/>
  <c r="M1246" i="102"/>
  <c r="N1246" i="102"/>
  <c r="J1246" i="102"/>
  <c r="F1246" i="102"/>
  <c r="G1246" i="102" s="1"/>
  <c r="M1245" i="102"/>
  <c r="N1245" i="102"/>
  <c r="J1245" i="102"/>
  <c r="F1245" i="102"/>
  <c r="G1245" i="102" s="1"/>
  <c r="M1244" i="102"/>
  <c r="N1244" i="102"/>
  <c r="J1244" i="102"/>
  <c r="F1244" i="102"/>
  <c r="G1244" i="102" s="1"/>
  <c r="M1243" i="102"/>
  <c r="N1243" i="102"/>
  <c r="J1243" i="102"/>
  <c r="F1243" i="102"/>
  <c r="G1243" i="102" s="1"/>
  <c r="M1242" i="102"/>
  <c r="N1242" i="102"/>
  <c r="J1242" i="102"/>
  <c r="F1242" i="102"/>
  <c r="G1242" i="102" s="1"/>
  <c r="M1241" i="102"/>
  <c r="N1241" i="102"/>
  <c r="J1241" i="102"/>
  <c r="F1241" i="102"/>
  <c r="G1241" i="102" s="1"/>
  <c r="M1240" i="102"/>
  <c r="N1240" i="102"/>
  <c r="J1240" i="102"/>
  <c r="F1240" i="102"/>
  <c r="G1240" i="102" s="1"/>
  <c r="M1239" i="102"/>
  <c r="N1239" i="102"/>
  <c r="J1239" i="102"/>
  <c r="F1239" i="102"/>
  <c r="G1239" i="102" s="1"/>
  <c r="M1238" i="102"/>
  <c r="N1238" i="102"/>
  <c r="J1238" i="102"/>
  <c r="F1238" i="102"/>
  <c r="G1238" i="102" s="1"/>
  <c r="M1237" i="102"/>
  <c r="N1237" i="102"/>
  <c r="J1237" i="102"/>
  <c r="F1237" i="102"/>
  <c r="G1237" i="102" s="1"/>
  <c r="M1236" i="102"/>
  <c r="N1236" i="102"/>
  <c r="J1236" i="102"/>
  <c r="F1236" i="102"/>
  <c r="G1236" i="102" s="1"/>
  <c r="M1235" i="102"/>
  <c r="N1235" i="102"/>
  <c r="J1235" i="102"/>
  <c r="F1235" i="102"/>
  <c r="G1235" i="102" s="1"/>
  <c r="M1234" i="102"/>
  <c r="N1234" i="102"/>
  <c r="J1234" i="102"/>
  <c r="F1234" i="102"/>
  <c r="G1234" i="102" s="1"/>
  <c r="M1233" i="102"/>
  <c r="N1233" i="102"/>
  <c r="J1233" i="102"/>
  <c r="F1233" i="102"/>
  <c r="G1233" i="102" s="1"/>
  <c r="M1232" i="102"/>
  <c r="N1232" i="102"/>
  <c r="J1232" i="102"/>
  <c r="F1232" i="102"/>
  <c r="G1232" i="102" s="1"/>
  <c r="M1231" i="102"/>
  <c r="N1231" i="102"/>
  <c r="J1231" i="102"/>
  <c r="F1231" i="102"/>
  <c r="G1231" i="102" s="1"/>
  <c r="M1230" i="102"/>
  <c r="N1230" i="102"/>
  <c r="J1230" i="102"/>
  <c r="F1230" i="102"/>
  <c r="G1230" i="102" s="1"/>
  <c r="M1229" i="102"/>
  <c r="N1229" i="102"/>
  <c r="J1229" i="102"/>
  <c r="F1229" i="102"/>
  <c r="G1229" i="102" s="1"/>
  <c r="M1228" i="102"/>
  <c r="N1228" i="102"/>
  <c r="J1228" i="102"/>
  <c r="F1228" i="102"/>
  <c r="G1228" i="102" s="1"/>
  <c r="M1227" i="102"/>
  <c r="N1227" i="102"/>
  <c r="J1227" i="102"/>
  <c r="F1227" i="102"/>
  <c r="G1227" i="102" s="1"/>
  <c r="M1226" i="102"/>
  <c r="N1226" i="102"/>
  <c r="O1226" i="102" s="1"/>
  <c r="J1226" i="102"/>
  <c r="F1226" i="102"/>
  <c r="G1226" i="102" s="1"/>
  <c r="M1225" i="102"/>
  <c r="N1225" i="102"/>
  <c r="J1225" i="102"/>
  <c r="F1225" i="102"/>
  <c r="G1225" i="102" s="1"/>
  <c r="M1224" i="102"/>
  <c r="N1224" i="102"/>
  <c r="J1224" i="102"/>
  <c r="F1224" i="102"/>
  <c r="G1224" i="102" s="1"/>
  <c r="M1223" i="102"/>
  <c r="N1223" i="102"/>
  <c r="J1223" i="102"/>
  <c r="F1223" i="102"/>
  <c r="G1223" i="102" s="1"/>
  <c r="M1222" i="102"/>
  <c r="N1222" i="102"/>
  <c r="J1222" i="102"/>
  <c r="F1222" i="102"/>
  <c r="G1222" i="102" s="1"/>
  <c r="M1221" i="102"/>
  <c r="N1221" i="102"/>
  <c r="J1221" i="102"/>
  <c r="F1221" i="102"/>
  <c r="G1221" i="102" s="1"/>
  <c r="M1220" i="102"/>
  <c r="N1220" i="102"/>
  <c r="J1220" i="102"/>
  <c r="F1220" i="102"/>
  <c r="G1220" i="102" s="1"/>
  <c r="M1219" i="102"/>
  <c r="N1219" i="102"/>
  <c r="J1219" i="102"/>
  <c r="F1219" i="102"/>
  <c r="G1219" i="102" s="1"/>
  <c r="M1218" i="102"/>
  <c r="N1218" i="102"/>
  <c r="J1218" i="102"/>
  <c r="F1218" i="102"/>
  <c r="G1218" i="102" s="1"/>
  <c r="M1217" i="102"/>
  <c r="N1217" i="102"/>
  <c r="J1217" i="102"/>
  <c r="F1217" i="102"/>
  <c r="G1217" i="102" s="1"/>
  <c r="M1216" i="102"/>
  <c r="N1216" i="102"/>
  <c r="J1216" i="102"/>
  <c r="F1216" i="102"/>
  <c r="G1216" i="102" s="1"/>
  <c r="M1215" i="102"/>
  <c r="N1215" i="102"/>
  <c r="J1215" i="102"/>
  <c r="F1215" i="102"/>
  <c r="G1215" i="102" s="1"/>
  <c r="M1214" i="102"/>
  <c r="N1214" i="102"/>
  <c r="J1214" i="102"/>
  <c r="F1214" i="102"/>
  <c r="G1214" i="102" s="1"/>
  <c r="M1213" i="102"/>
  <c r="N1213" i="102"/>
  <c r="J1213" i="102"/>
  <c r="F1213" i="102"/>
  <c r="G1213" i="102" s="1"/>
  <c r="M1212" i="102"/>
  <c r="N1212" i="102"/>
  <c r="J1212" i="102"/>
  <c r="F1212" i="102"/>
  <c r="G1212" i="102" s="1"/>
  <c r="M1211" i="102"/>
  <c r="N1211" i="102"/>
  <c r="J1211" i="102"/>
  <c r="F1211" i="102"/>
  <c r="G1211" i="102" s="1"/>
  <c r="M1210" i="102"/>
  <c r="N1210" i="102"/>
  <c r="J1210" i="102"/>
  <c r="F1210" i="102"/>
  <c r="G1210" i="102" s="1"/>
  <c r="M1209" i="102"/>
  <c r="N1209" i="102"/>
  <c r="J1209" i="102"/>
  <c r="F1209" i="102"/>
  <c r="G1209" i="102" s="1"/>
  <c r="M1208" i="102"/>
  <c r="N1208" i="102"/>
  <c r="J1208" i="102"/>
  <c r="F1208" i="102"/>
  <c r="G1208" i="102" s="1"/>
  <c r="M1207" i="102"/>
  <c r="N1207" i="102"/>
  <c r="J1207" i="102"/>
  <c r="F1207" i="102"/>
  <c r="G1207" i="102" s="1"/>
  <c r="M1206" i="102"/>
  <c r="N1206" i="102"/>
  <c r="J1206" i="102"/>
  <c r="F1206" i="102"/>
  <c r="G1206" i="102" s="1"/>
  <c r="M1205" i="102"/>
  <c r="N1205" i="102"/>
  <c r="J1205" i="102"/>
  <c r="F1205" i="102"/>
  <c r="G1205" i="102" s="1"/>
  <c r="M1204" i="102"/>
  <c r="N1204" i="102"/>
  <c r="J1204" i="102"/>
  <c r="F1204" i="102"/>
  <c r="G1204" i="102" s="1"/>
  <c r="M1203" i="102"/>
  <c r="N1203" i="102"/>
  <c r="J1203" i="102"/>
  <c r="F1203" i="102"/>
  <c r="G1203" i="102" s="1"/>
  <c r="M1202" i="102"/>
  <c r="N1202" i="102"/>
  <c r="J1202" i="102"/>
  <c r="F1202" i="102"/>
  <c r="G1202" i="102" s="1"/>
  <c r="M1201" i="102"/>
  <c r="N1201" i="102"/>
  <c r="J1201" i="102"/>
  <c r="F1201" i="102"/>
  <c r="G1201" i="102" s="1"/>
  <c r="M1200" i="102"/>
  <c r="N1200" i="102"/>
  <c r="J1200" i="102"/>
  <c r="F1200" i="102"/>
  <c r="G1200" i="102" s="1"/>
  <c r="M1199" i="102"/>
  <c r="N1199" i="102"/>
  <c r="J1199" i="102"/>
  <c r="F1199" i="102"/>
  <c r="G1199" i="102" s="1"/>
  <c r="M1198" i="102"/>
  <c r="N1198" i="102"/>
  <c r="J1198" i="102"/>
  <c r="F1198" i="102"/>
  <c r="G1198" i="102" s="1"/>
  <c r="M1197" i="102"/>
  <c r="N1197" i="102"/>
  <c r="J1197" i="102"/>
  <c r="F1197" i="102"/>
  <c r="G1197" i="102" s="1"/>
  <c r="M1196" i="102"/>
  <c r="N1196" i="102"/>
  <c r="J1196" i="102"/>
  <c r="F1196" i="102"/>
  <c r="G1196" i="102" s="1"/>
  <c r="M1195" i="102"/>
  <c r="N1195" i="102"/>
  <c r="J1195" i="102"/>
  <c r="F1195" i="102"/>
  <c r="G1195" i="102" s="1"/>
  <c r="M1194" i="102"/>
  <c r="N1194" i="102"/>
  <c r="J1194" i="102"/>
  <c r="F1194" i="102"/>
  <c r="G1194" i="102" s="1"/>
  <c r="M1193" i="102"/>
  <c r="N1193" i="102"/>
  <c r="J1193" i="102"/>
  <c r="F1193" i="102"/>
  <c r="G1193" i="102" s="1"/>
  <c r="M1192" i="102"/>
  <c r="N1192" i="102"/>
  <c r="J1192" i="102"/>
  <c r="F1192" i="102"/>
  <c r="G1192" i="102" s="1"/>
  <c r="M1191" i="102"/>
  <c r="N1191" i="102"/>
  <c r="J1191" i="102"/>
  <c r="F1191" i="102"/>
  <c r="G1191" i="102" s="1"/>
  <c r="M1190" i="102"/>
  <c r="N1190" i="102"/>
  <c r="J1190" i="102"/>
  <c r="F1190" i="102"/>
  <c r="G1190" i="102" s="1"/>
  <c r="M1189" i="102"/>
  <c r="N1189" i="102"/>
  <c r="J1189" i="102"/>
  <c r="F1189" i="102"/>
  <c r="G1189" i="102" s="1"/>
  <c r="M1188" i="102"/>
  <c r="N1188" i="102"/>
  <c r="J1188" i="102"/>
  <c r="F1188" i="102"/>
  <c r="G1188" i="102" s="1"/>
  <c r="M1187" i="102"/>
  <c r="N1187" i="102"/>
  <c r="J1187" i="102"/>
  <c r="F1187" i="102"/>
  <c r="G1187" i="102" s="1"/>
  <c r="M1186" i="102"/>
  <c r="N1186" i="102"/>
  <c r="J1186" i="102"/>
  <c r="F1186" i="102"/>
  <c r="G1186" i="102" s="1"/>
  <c r="M1185" i="102"/>
  <c r="N1185" i="102"/>
  <c r="J1185" i="102"/>
  <c r="F1185" i="102"/>
  <c r="G1185" i="102" s="1"/>
  <c r="M1184" i="102"/>
  <c r="N1184" i="102"/>
  <c r="J1184" i="102"/>
  <c r="F1184" i="102"/>
  <c r="G1184" i="102" s="1"/>
  <c r="M1183" i="102"/>
  <c r="N1183" i="102"/>
  <c r="J1183" i="102"/>
  <c r="F1183" i="102"/>
  <c r="G1183" i="102" s="1"/>
  <c r="M1182" i="102"/>
  <c r="N1182" i="102"/>
  <c r="J1182" i="102"/>
  <c r="F1182" i="102"/>
  <c r="G1182" i="102" s="1"/>
  <c r="M1181" i="102"/>
  <c r="N1181" i="102"/>
  <c r="J1181" i="102"/>
  <c r="F1181" i="102"/>
  <c r="G1181" i="102" s="1"/>
  <c r="M1180" i="102"/>
  <c r="N1180" i="102"/>
  <c r="J1180" i="102"/>
  <c r="F1180" i="102"/>
  <c r="G1180" i="102" s="1"/>
  <c r="M1179" i="102"/>
  <c r="N1179" i="102"/>
  <c r="J1179" i="102"/>
  <c r="F1179" i="102"/>
  <c r="G1179" i="102" s="1"/>
  <c r="M1178" i="102"/>
  <c r="N1178" i="102"/>
  <c r="J1178" i="102"/>
  <c r="F1178" i="102"/>
  <c r="G1178" i="102" s="1"/>
  <c r="M1177" i="102"/>
  <c r="N1177" i="102"/>
  <c r="J1177" i="102"/>
  <c r="F1177" i="102"/>
  <c r="G1177" i="102" s="1"/>
  <c r="M1176" i="102"/>
  <c r="N1176" i="102"/>
  <c r="J1176" i="102"/>
  <c r="F1176" i="102"/>
  <c r="G1176" i="102" s="1"/>
  <c r="M1175" i="102"/>
  <c r="N1175" i="102"/>
  <c r="J1175" i="102"/>
  <c r="F1175" i="102"/>
  <c r="G1175" i="102" s="1"/>
  <c r="M1174" i="102"/>
  <c r="N1174" i="102"/>
  <c r="J1174" i="102"/>
  <c r="F1174" i="102"/>
  <c r="G1174" i="102" s="1"/>
  <c r="M1173" i="102"/>
  <c r="N1173" i="102"/>
  <c r="J1173" i="102"/>
  <c r="F1173" i="102"/>
  <c r="G1173" i="102" s="1"/>
  <c r="M1172" i="102"/>
  <c r="N1172" i="102"/>
  <c r="J1172" i="102"/>
  <c r="F1172" i="102"/>
  <c r="G1172" i="102" s="1"/>
  <c r="M1171" i="102"/>
  <c r="N1171" i="102"/>
  <c r="J1171" i="102"/>
  <c r="F1171" i="102"/>
  <c r="G1171" i="102" s="1"/>
  <c r="M1170" i="102"/>
  <c r="N1170" i="102"/>
  <c r="J1170" i="102"/>
  <c r="F1170" i="102"/>
  <c r="G1170" i="102" s="1"/>
  <c r="M1169" i="102"/>
  <c r="N1169" i="102"/>
  <c r="J1169" i="102"/>
  <c r="F1169" i="102"/>
  <c r="G1169" i="102" s="1"/>
  <c r="M1168" i="102"/>
  <c r="N1168" i="102"/>
  <c r="J1168" i="102"/>
  <c r="F1168" i="102"/>
  <c r="G1168" i="102" s="1"/>
  <c r="M1167" i="102"/>
  <c r="N1167" i="102"/>
  <c r="J1167" i="102"/>
  <c r="F1167" i="102"/>
  <c r="G1167" i="102" s="1"/>
  <c r="M1166" i="102"/>
  <c r="N1166" i="102"/>
  <c r="J1166" i="102"/>
  <c r="F1166" i="102"/>
  <c r="G1166" i="102" s="1"/>
  <c r="M1165" i="102"/>
  <c r="N1165" i="102"/>
  <c r="J1165" i="102"/>
  <c r="F1165" i="102"/>
  <c r="G1165" i="102" s="1"/>
  <c r="M1164" i="102"/>
  <c r="N1164" i="102"/>
  <c r="J1164" i="102"/>
  <c r="F1164" i="102"/>
  <c r="G1164" i="102" s="1"/>
  <c r="M1163" i="102"/>
  <c r="N1163" i="102"/>
  <c r="J1163" i="102"/>
  <c r="F1163" i="102"/>
  <c r="G1163" i="102" s="1"/>
  <c r="M1162" i="102"/>
  <c r="N1162" i="102"/>
  <c r="J1162" i="102"/>
  <c r="F1162" i="102"/>
  <c r="G1162" i="102" s="1"/>
  <c r="M1161" i="102"/>
  <c r="N1161" i="102"/>
  <c r="J1161" i="102"/>
  <c r="F1161" i="102"/>
  <c r="G1161" i="102" s="1"/>
  <c r="M1160" i="102"/>
  <c r="N1160" i="102"/>
  <c r="J1160" i="102"/>
  <c r="F1160" i="102"/>
  <c r="G1160" i="102" s="1"/>
  <c r="M1159" i="102"/>
  <c r="N1159" i="102"/>
  <c r="J1159" i="102"/>
  <c r="F1159" i="102"/>
  <c r="G1159" i="102" s="1"/>
  <c r="M1158" i="102"/>
  <c r="N1158" i="102"/>
  <c r="J1158" i="102"/>
  <c r="F1158" i="102"/>
  <c r="G1158" i="102" s="1"/>
  <c r="M1157" i="102"/>
  <c r="N1157" i="102"/>
  <c r="J1157" i="102"/>
  <c r="F1157" i="102"/>
  <c r="G1157" i="102" s="1"/>
  <c r="M1156" i="102"/>
  <c r="N1156" i="102"/>
  <c r="J1156" i="102"/>
  <c r="F1156" i="102"/>
  <c r="G1156" i="102" s="1"/>
  <c r="M1155" i="102"/>
  <c r="N1155" i="102"/>
  <c r="J1155" i="102"/>
  <c r="F1155" i="102"/>
  <c r="G1155" i="102" s="1"/>
  <c r="M1154" i="102"/>
  <c r="N1154" i="102"/>
  <c r="J1154" i="102"/>
  <c r="F1154" i="102"/>
  <c r="G1154" i="102" s="1"/>
  <c r="M1153" i="102"/>
  <c r="N1153" i="102"/>
  <c r="J1153" i="102"/>
  <c r="F1153" i="102"/>
  <c r="G1153" i="102" s="1"/>
  <c r="M1152" i="102"/>
  <c r="N1152" i="102"/>
  <c r="J1152" i="102"/>
  <c r="F1152" i="102"/>
  <c r="G1152" i="102" s="1"/>
  <c r="M1151" i="102"/>
  <c r="N1151" i="102"/>
  <c r="J1151" i="102"/>
  <c r="F1151" i="102"/>
  <c r="G1151" i="102" s="1"/>
  <c r="M1150" i="102"/>
  <c r="N1150" i="102"/>
  <c r="J1150" i="102"/>
  <c r="F1150" i="102"/>
  <c r="G1150" i="102" s="1"/>
  <c r="M1149" i="102"/>
  <c r="N1149" i="102"/>
  <c r="J1149" i="102"/>
  <c r="F1149" i="102"/>
  <c r="G1149" i="102" s="1"/>
  <c r="M1148" i="102"/>
  <c r="N1148" i="102"/>
  <c r="J1148" i="102"/>
  <c r="F1148" i="102"/>
  <c r="G1148" i="102" s="1"/>
  <c r="M1147" i="102"/>
  <c r="N1147" i="102"/>
  <c r="J1147" i="102"/>
  <c r="F1147" i="102"/>
  <c r="G1147" i="102" s="1"/>
  <c r="M1146" i="102"/>
  <c r="N1146" i="102"/>
  <c r="J1146" i="102"/>
  <c r="F1146" i="102"/>
  <c r="G1146" i="102" s="1"/>
  <c r="M1145" i="102"/>
  <c r="N1145" i="102"/>
  <c r="J1145" i="102"/>
  <c r="F1145" i="102"/>
  <c r="G1145" i="102" s="1"/>
  <c r="M1144" i="102"/>
  <c r="N1144" i="102"/>
  <c r="J1144" i="102"/>
  <c r="F1144" i="102"/>
  <c r="G1144" i="102" s="1"/>
  <c r="M1143" i="102"/>
  <c r="N1143" i="102"/>
  <c r="J1143" i="102"/>
  <c r="F1143" i="102"/>
  <c r="G1143" i="102" s="1"/>
  <c r="M1142" i="102"/>
  <c r="N1142" i="102"/>
  <c r="J1142" i="102"/>
  <c r="F1142" i="102"/>
  <c r="G1142" i="102" s="1"/>
  <c r="M1141" i="102"/>
  <c r="N1141" i="102"/>
  <c r="J1141" i="102"/>
  <c r="F1141" i="102"/>
  <c r="G1141" i="102" s="1"/>
  <c r="M1140" i="102"/>
  <c r="N1140" i="102"/>
  <c r="J1140" i="102"/>
  <c r="F1140" i="102"/>
  <c r="G1140" i="102" s="1"/>
  <c r="M1139" i="102"/>
  <c r="N1139" i="102"/>
  <c r="J1139" i="102"/>
  <c r="F1139" i="102"/>
  <c r="G1139" i="102" s="1"/>
  <c r="M1138" i="102"/>
  <c r="N1138" i="102"/>
  <c r="J1138" i="102"/>
  <c r="F1138" i="102"/>
  <c r="G1138" i="102" s="1"/>
  <c r="M1137" i="102"/>
  <c r="N1137" i="102"/>
  <c r="J1137" i="102"/>
  <c r="F1137" i="102"/>
  <c r="G1137" i="102" s="1"/>
  <c r="M1136" i="102"/>
  <c r="N1136" i="102"/>
  <c r="J1136" i="102"/>
  <c r="F1136" i="102"/>
  <c r="G1136" i="102" s="1"/>
  <c r="M1135" i="102"/>
  <c r="N1135" i="102"/>
  <c r="J1135" i="102"/>
  <c r="F1135" i="102"/>
  <c r="G1135" i="102" s="1"/>
  <c r="M1134" i="102"/>
  <c r="N1134" i="102"/>
  <c r="J1134" i="102"/>
  <c r="F1134" i="102"/>
  <c r="G1134" i="102" s="1"/>
  <c r="M1133" i="102"/>
  <c r="N1133" i="102"/>
  <c r="J1133" i="102"/>
  <c r="F1133" i="102"/>
  <c r="G1133" i="102" s="1"/>
  <c r="M1132" i="102"/>
  <c r="N1132" i="102"/>
  <c r="J1132" i="102"/>
  <c r="F1132" i="102"/>
  <c r="G1132" i="102" s="1"/>
  <c r="M1131" i="102"/>
  <c r="N1131" i="102"/>
  <c r="J1131" i="102"/>
  <c r="F1131" i="102"/>
  <c r="G1131" i="102" s="1"/>
  <c r="M1130" i="102"/>
  <c r="N1130" i="102"/>
  <c r="J1130" i="102"/>
  <c r="F1130" i="102"/>
  <c r="G1130" i="102" s="1"/>
  <c r="M1129" i="102"/>
  <c r="N1129" i="102"/>
  <c r="J1129" i="102"/>
  <c r="F1129" i="102"/>
  <c r="G1129" i="102" s="1"/>
  <c r="M1128" i="102"/>
  <c r="N1128" i="102"/>
  <c r="J1128" i="102"/>
  <c r="F1128" i="102"/>
  <c r="G1128" i="102" s="1"/>
  <c r="M1127" i="102"/>
  <c r="N1127" i="102"/>
  <c r="J1127" i="102"/>
  <c r="F1127" i="102"/>
  <c r="G1127" i="102" s="1"/>
  <c r="M1126" i="102"/>
  <c r="N1126" i="102"/>
  <c r="J1126" i="102"/>
  <c r="F1126" i="102"/>
  <c r="G1126" i="102" s="1"/>
  <c r="M1125" i="102"/>
  <c r="N1125" i="102"/>
  <c r="J1125" i="102"/>
  <c r="F1125" i="102"/>
  <c r="G1125" i="102" s="1"/>
  <c r="M1124" i="102"/>
  <c r="N1124" i="102"/>
  <c r="J1124" i="102"/>
  <c r="F1124" i="102"/>
  <c r="G1124" i="102" s="1"/>
  <c r="M1123" i="102"/>
  <c r="N1123" i="102"/>
  <c r="J1123" i="102"/>
  <c r="F1123" i="102"/>
  <c r="G1123" i="102" s="1"/>
  <c r="M1122" i="102"/>
  <c r="N1122" i="102"/>
  <c r="J1122" i="102"/>
  <c r="F1122" i="102"/>
  <c r="G1122" i="102" s="1"/>
  <c r="M1121" i="102"/>
  <c r="N1121" i="102"/>
  <c r="J1121" i="102"/>
  <c r="F1121" i="102"/>
  <c r="G1121" i="102" s="1"/>
  <c r="M1120" i="102"/>
  <c r="N1120" i="102"/>
  <c r="J1120" i="102"/>
  <c r="F1120" i="102"/>
  <c r="G1120" i="102" s="1"/>
  <c r="M1119" i="102"/>
  <c r="N1119" i="102"/>
  <c r="J1119" i="102"/>
  <c r="F1119" i="102"/>
  <c r="G1119" i="102" s="1"/>
  <c r="M1118" i="102"/>
  <c r="N1118" i="102"/>
  <c r="J1118" i="102"/>
  <c r="F1118" i="102"/>
  <c r="G1118" i="102" s="1"/>
  <c r="M1117" i="102"/>
  <c r="N1117" i="102"/>
  <c r="J1117" i="102"/>
  <c r="F1117" i="102"/>
  <c r="G1117" i="102" s="1"/>
  <c r="M1116" i="102"/>
  <c r="N1116" i="102"/>
  <c r="J1116" i="102"/>
  <c r="F1116" i="102"/>
  <c r="G1116" i="102" s="1"/>
  <c r="M1115" i="102"/>
  <c r="N1115" i="102"/>
  <c r="J1115" i="102"/>
  <c r="F1115" i="102"/>
  <c r="G1115" i="102" s="1"/>
  <c r="M1114" i="102"/>
  <c r="N1114" i="102"/>
  <c r="J1114" i="102"/>
  <c r="F1114" i="102"/>
  <c r="G1114" i="102" s="1"/>
  <c r="M1113" i="102"/>
  <c r="N1113" i="102"/>
  <c r="J1113" i="102"/>
  <c r="F1113" i="102"/>
  <c r="G1113" i="102" s="1"/>
  <c r="M1112" i="102"/>
  <c r="N1112" i="102"/>
  <c r="J1112" i="102"/>
  <c r="F1112" i="102"/>
  <c r="G1112" i="102" s="1"/>
  <c r="M1111" i="102"/>
  <c r="N1111" i="102"/>
  <c r="J1111" i="102"/>
  <c r="F1111" i="102"/>
  <c r="G1111" i="102" s="1"/>
  <c r="M1110" i="102"/>
  <c r="N1110" i="102"/>
  <c r="J1110" i="102"/>
  <c r="F1110" i="102"/>
  <c r="G1110" i="102" s="1"/>
  <c r="M1109" i="102"/>
  <c r="N1109" i="102"/>
  <c r="J1109" i="102"/>
  <c r="F1109" i="102"/>
  <c r="G1109" i="102" s="1"/>
  <c r="M1108" i="102"/>
  <c r="N1108" i="102"/>
  <c r="J1108" i="102"/>
  <c r="F1108" i="102"/>
  <c r="G1108" i="102" s="1"/>
  <c r="M1107" i="102"/>
  <c r="N1107" i="102"/>
  <c r="J1107" i="102"/>
  <c r="F1107" i="102"/>
  <c r="G1107" i="102" s="1"/>
  <c r="M1106" i="102"/>
  <c r="N1106" i="102"/>
  <c r="J1106" i="102"/>
  <c r="F1106" i="102"/>
  <c r="G1106" i="102" s="1"/>
  <c r="M1105" i="102"/>
  <c r="N1105" i="102"/>
  <c r="J1105" i="102"/>
  <c r="F1105" i="102"/>
  <c r="G1105" i="102" s="1"/>
  <c r="M1104" i="102"/>
  <c r="N1104" i="102"/>
  <c r="J1104" i="102"/>
  <c r="F1104" i="102"/>
  <c r="G1104" i="102" s="1"/>
  <c r="M1103" i="102"/>
  <c r="N1103" i="102"/>
  <c r="J1103" i="102"/>
  <c r="F1103" i="102"/>
  <c r="G1103" i="102" s="1"/>
  <c r="M1102" i="102"/>
  <c r="N1102" i="102"/>
  <c r="J1102" i="102"/>
  <c r="F1102" i="102"/>
  <c r="G1102" i="102" s="1"/>
  <c r="M1101" i="102"/>
  <c r="N1101" i="102"/>
  <c r="J1101" i="102"/>
  <c r="F1101" i="102"/>
  <c r="G1101" i="102" s="1"/>
  <c r="M1100" i="102"/>
  <c r="N1100" i="102"/>
  <c r="J1100" i="102"/>
  <c r="F1100" i="102"/>
  <c r="G1100" i="102" s="1"/>
  <c r="M1099" i="102"/>
  <c r="N1099" i="102"/>
  <c r="J1099" i="102"/>
  <c r="F1099" i="102"/>
  <c r="G1099" i="102" s="1"/>
  <c r="M1098" i="102"/>
  <c r="N1098" i="102"/>
  <c r="J1098" i="102"/>
  <c r="F1098" i="102"/>
  <c r="G1098" i="102" s="1"/>
  <c r="M1097" i="102"/>
  <c r="N1097" i="102"/>
  <c r="J1097" i="102"/>
  <c r="F1097" i="102"/>
  <c r="G1097" i="102" s="1"/>
  <c r="M1096" i="102"/>
  <c r="N1096" i="102"/>
  <c r="J1096" i="102"/>
  <c r="F1096" i="102"/>
  <c r="G1096" i="102" s="1"/>
  <c r="M1095" i="102"/>
  <c r="N1095" i="102"/>
  <c r="J1095" i="102"/>
  <c r="F1095" i="102"/>
  <c r="G1095" i="102" s="1"/>
  <c r="M1094" i="102"/>
  <c r="N1094" i="102"/>
  <c r="J1094" i="102"/>
  <c r="F1094" i="102"/>
  <c r="G1094" i="102" s="1"/>
  <c r="M1093" i="102"/>
  <c r="N1093" i="102"/>
  <c r="J1093" i="102"/>
  <c r="F1093" i="102"/>
  <c r="G1093" i="102" s="1"/>
  <c r="M1092" i="102"/>
  <c r="N1092" i="102"/>
  <c r="J1092" i="102"/>
  <c r="F1092" i="102"/>
  <c r="G1092" i="102" s="1"/>
  <c r="M1091" i="102"/>
  <c r="N1091" i="102"/>
  <c r="J1091" i="102"/>
  <c r="F1091" i="102"/>
  <c r="G1091" i="102" s="1"/>
  <c r="M1090" i="102"/>
  <c r="N1090" i="102"/>
  <c r="J1090" i="102"/>
  <c r="F1090" i="102"/>
  <c r="G1090" i="102" s="1"/>
  <c r="M1089" i="102"/>
  <c r="N1089" i="102"/>
  <c r="J1089" i="102"/>
  <c r="F1089" i="102"/>
  <c r="G1089" i="102" s="1"/>
  <c r="M1088" i="102"/>
  <c r="N1088" i="102"/>
  <c r="J1088" i="102"/>
  <c r="F1088" i="102"/>
  <c r="G1088" i="102" s="1"/>
  <c r="M1087" i="102"/>
  <c r="N1087" i="102"/>
  <c r="J1087" i="102"/>
  <c r="F1087" i="102"/>
  <c r="G1087" i="102" s="1"/>
  <c r="M1086" i="102"/>
  <c r="N1086" i="102"/>
  <c r="J1086" i="102"/>
  <c r="F1086" i="102"/>
  <c r="G1086" i="102" s="1"/>
  <c r="M1085" i="102"/>
  <c r="N1085" i="102"/>
  <c r="J1085" i="102"/>
  <c r="F1085" i="102"/>
  <c r="G1085" i="102" s="1"/>
  <c r="M1084" i="102"/>
  <c r="N1084" i="102"/>
  <c r="J1084" i="102"/>
  <c r="F1084" i="102"/>
  <c r="G1084" i="102" s="1"/>
  <c r="M1083" i="102"/>
  <c r="N1083" i="102"/>
  <c r="J1083" i="102"/>
  <c r="F1083" i="102"/>
  <c r="G1083" i="102" s="1"/>
  <c r="M1082" i="102"/>
  <c r="N1082" i="102"/>
  <c r="J1082" i="102"/>
  <c r="F1082" i="102"/>
  <c r="G1082" i="102" s="1"/>
  <c r="M1081" i="102"/>
  <c r="N1081" i="102"/>
  <c r="J1081" i="102"/>
  <c r="F1081" i="102"/>
  <c r="G1081" i="102" s="1"/>
  <c r="M1080" i="102"/>
  <c r="N1080" i="102"/>
  <c r="J1080" i="102"/>
  <c r="F1080" i="102"/>
  <c r="G1080" i="102" s="1"/>
  <c r="M1079" i="102"/>
  <c r="N1079" i="102"/>
  <c r="J1079" i="102"/>
  <c r="F1079" i="102"/>
  <c r="G1079" i="102" s="1"/>
  <c r="M1078" i="102"/>
  <c r="N1078" i="102"/>
  <c r="J1078" i="102"/>
  <c r="F1078" i="102"/>
  <c r="G1078" i="102" s="1"/>
  <c r="M1077" i="102"/>
  <c r="N1077" i="102"/>
  <c r="J1077" i="102"/>
  <c r="F1077" i="102"/>
  <c r="G1077" i="102" s="1"/>
  <c r="M1076" i="102"/>
  <c r="N1076" i="102"/>
  <c r="J1076" i="102"/>
  <c r="F1076" i="102"/>
  <c r="G1076" i="102" s="1"/>
  <c r="M1075" i="102"/>
  <c r="N1075" i="102"/>
  <c r="J1075" i="102"/>
  <c r="F1075" i="102"/>
  <c r="G1075" i="102" s="1"/>
  <c r="M1074" i="102"/>
  <c r="N1074" i="102"/>
  <c r="J1074" i="102"/>
  <c r="F1074" i="102"/>
  <c r="G1074" i="102" s="1"/>
  <c r="M1073" i="102"/>
  <c r="N1073" i="102"/>
  <c r="J1073" i="102"/>
  <c r="F1073" i="102"/>
  <c r="G1073" i="102" s="1"/>
  <c r="M1072" i="102"/>
  <c r="N1072" i="102"/>
  <c r="J1072" i="102"/>
  <c r="F1072" i="102"/>
  <c r="G1072" i="102" s="1"/>
  <c r="M1071" i="102"/>
  <c r="N1071" i="102"/>
  <c r="J1071" i="102"/>
  <c r="F1071" i="102"/>
  <c r="G1071" i="102" s="1"/>
  <c r="M1070" i="102"/>
  <c r="N1070" i="102"/>
  <c r="J1070" i="102"/>
  <c r="F1070" i="102"/>
  <c r="G1070" i="102" s="1"/>
  <c r="M1069" i="102"/>
  <c r="N1069" i="102"/>
  <c r="J1069" i="102"/>
  <c r="F1069" i="102"/>
  <c r="G1069" i="102" s="1"/>
  <c r="M1068" i="102"/>
  <c r="N1068" i="102"/>
  <c r="J1068" i="102"/>
  <c r="F1068" i="102"/>
  <c r="G1068" i="102" s="1"/>
  <c r="M1067" i="102"/>
  <c r="N1067" i="102"/>
  <c r="J1067" i="102"/>
  <c r="F1067" i="102"/>
  <c r="G1067" i="102" s="1"/>
  <c r="M1066" i="102"/>
  <c r="N1066" i="102"/>
  <c r="J1066" i="102"/>
  <c r="F1066" i="102"/>
  <c r="G1066" i="102" s="1"/>
  <c r="M1065" i="102"/>
  <c r="N1065" i="102"/>
  <c r="J1065" i="102"/>
  <c r="F1065" i="102"/>
  <c r="G1065" i="102" s="1"/>
  <c r="M1064" i="102"/>
  <c r="N1064" i="102"/>
  <c r="J1064" i="102"/>
  <c r="F1064" i="102"/>
  <c r="G1064" i="102" s="1"/>
  <c r="M1063" i="102"/>
  <c r="N1063" i="102"/>
  <c r="J1063" i="102"/>
  <c r="F1063" i="102"/>
  <c r="G1063" i="102" s="1"/>
  <c r="M1062" i="102"/>
  <c r="N1062" i="102"/>
  <c r="J1062" i="102"/>
  <c r="F1062" i="102"/>
  <c r="G1062" i="102" s="1"/>
  <c r="M1061" i="102"/>
  <c r="N1061" i="102"/>
  <c r="J1061" i="102"/>
  <c r="F1061" i="102"/>
  <c r="G1061" i="102" s="1"/>
  <c r="M1060" i="102"/>
  <c r="N1060" i="102"/>
  <c r="J1060" i="102"/>
  <c r="F1060" i="102"/>
  <c r="G1060" i="102" s="1"/>
  <c r="M1059" i="102"/>
  <c r="N1059" i="102"/>
  <c r="J1059" i="102"/>
  <c r="F1059" i="102"/>
  <c r="G1059" i="102" s="1"/>
  <c r="M1058" i="102"/>
  <c r="N1058" i="102"/>
  <c r="J1058" i="102"/>
  <c r="F1058" i="102"/>
  <c r="G1058" i="102" s="1"/>
  <c r="M1057" i="102"/>
  <c r="N1057" i="102"/>
  <c r="J1057" i="102"/>
  <c r="F1057" i="102"/>
  <c r="G1057" i="102" s="1"/>
  <c r="M1056" i="102"/>
  <c r="N1056" i="102"/>
  <c r="J1056" i="102"/>
  <c r="F1056" i="102"/>
  <c r="G1056" i="102" s="1"/>
  <c r="M1055" i="102"/>
  <c r="N1055" i="102"/>
  <c r="J1055" i="102"/>
  <c r="F1055" i="102"/>
  <c r="G1055" i="102" s="1"/>
  <c r="M1054" i="102"/>
  <c r="N1054" i="102"/>
  <c r="J1054" i="102"/>
  <c r="F1054" i="102"/>
  <c r="G1054" i="102" s="1"/>
  <c r="M1053" i="102"/>
  <c r="N1053" i="102"/>
  <c r="J1053" i="102"/>
  <c r="F1053" i="102"/>
  <c r="G1053" i="102" s="1"/>
  <c r="M1052" i="102"/>
  <c r="N1052" i="102"/>
  <c r="J1052" i="102"/>
  <c r="F1052" i="102"/>
  <c r="G1052" i="102" s="1"/>
  <c r="M1051" i="102"/>
  <c r="N1051" i="102"/>
  <c r="J1051" i="102"/>
  <c r="F1051" i="102"/>
  <c r="G1051" i="102" s="1"/>
  <c r="M1050" i="102"/>
  <c r="N1050" i="102"/>
  <c r="J1050" i="102"/>
  <c r="F1050" i="102"/>
  <c r="G1050" i="102" s="1"/>
  <c r="M1049" i="102"/>
  <c r="N1049" i="102"/>
  <c r="J1049" i="102"/>
  <c r="F1049" i="102"/>
  <c r="G1049" i="102" s="1"/>
  <c r="M1048" i="102"/>
  <c r="N1048" i="102"/>
  <c r="J1048" i="102"/>
  <c r="F1048" i="102"/>
  <c r="G1048" i="102" s="1"/>
  <c r="M1047" i="102"/>
  <c r="N1047" i="102"/>
  <c r="J1047" i="102"/>
  <c r="F1047" i="102"/>
  <c r="G1047" i="102" s="1"/>
  <c r="M1046" i="102"/>
  <c r="N1046" i="102"/>
  <c r="J1046" i="102"/>
  <c r="F1046" i="102"/>
  <c r="G1046" i="102" s="1"/>
  <c r="M1045" i="102"/>
  <c r="N1045" i="102"/>
  <c r="J1045" i="102"/>
  <c r="F1045" i="102"/>
  <c r="G1045" i="102" s="1"/>
  <c r="M1044" i="102"/>
  <c r="N1044" i="102"/>
  <c r="J1044" i="102"/>
  <c r="F1044" i="102"/>
  <c r="G1044" i="102" s="1"/>
  <c r="M1043" i="102"/>
  <c r="N1043" i="102"/>
  <c r="J1043" i="102"/>
  <c r="F1043" i="102"/>
  <c r="G1043" i="102" s="1"/>
  <c r="M1042" i="102"/>
  <c r="N1042" i="102"/>
  <c r="J1042" i="102"/>
  <c r="F1042" i="102"/>
  <c r="G1042" i="102" s="1"/>
  <c r="M1041" i="102"/>
  <c r="N1041" i="102"/>
  <c r="J1041" i="102"/>
  <c r="F1041" i="102"/>
  <c r="G1041" i="102" s="1"/>
  <c r="M1040" i="102"/>
  <c r="N1040" i="102"/>
  <c r="J1040" i="102"/>
  <c r="F1040" i="102"/>
  <c r="G1040" i="102" s="1"/>
  <c r="M1039" i="102"/>
  <c r="N1039" i="102"/>
  <c r="J1039" i="102"/>
  <c r="F1039" i="102"/>
  <c r="G1039" i="102" s="1"/>
  <c r="M1038" i="102"/>
  <c r="N1038" i="102"/>
  <c r="J1038" i="102"/>
  <c r="F1038" i="102"/>
  <c r="G1038" i="102" s="1"/>
  <c r="M1037" i="102"/>
  <c r="N1037" i="102"/>
  <c r="J1037" i="102"/>
  <c r="F1037" i="102"/>
  <c r="G1037" i="102" s="1"/>
  <c r="M1036" i="102"/>
  <c r="N1036" i="102"/>
  <c r="J1036" i="102"/>
  <c r="F1036" i="102"/>
  <c r="G1036" i="102" s="1"/>
  <c r="M1035" i="102"/>
  <c r="N1035" i="102"/>
  <c r="J1035" i="102"/>
  <c r="F1035" i="102"/>
  <c r="G1035" i="102" s="1"/>
  <c r="M1034" i="102"/>
  <c r="N1034" i="102"/>
  <c r="J1034" i="102"/>
  <c r="F1034" i="102"/>
  <c r="G1034" i="102" s="1"/>
  <c r="M1033" i="102"/>
  <c r="N1033" i="102"/>
  <c r="J1033" i="102"/>
  <c r="F1033" i="102"/>
  <c r="G1033" i="102" s="1"/>
  <c r="M1032" i="102"/>
  <c r="N1032" i="102"/>
  <c r="J1032" i="102"/>
  <c r="F1032" i="102"/>
  <c r="G1032" i="102" s="1"/>
  <c r="M1031" i="102"/>
  <c r="N1031" i="102"/>
  <c r="J1031" i="102"/>
  <c r="F1031" i="102"/>
  <c r="G1031" i="102" s="1"/>
  <c r="M1030" i="102"/>
  <c r="N1030" i="102"/>
  <c r="J1030" i="102"/>
  <c r="F1030" i="102"/>
  <c r="G1030" i="102" s="1"/>
  <c r="M1029" i="102"/>
  <c r="N1029" i="102"/>
  <c r="J1029" i="102"/>
  <c r="F1029" i="102"/>
  <c r="G1029" i="102" s="1"/>
  <c r="M1028" i="102"/>
  <c r="N1028" i="102"/>
  <c r="J1028" i="102"/>
  <c r="F1028" i="102"/>
  <c r="G1028" i="102" s="1"/>
  <c r="M1027" i="102"/>
  <c r="N1027" i="102"/>
  <c r="J1027" i="102"/>
  <c r="F1027" i="102"/>
  <c r="G1027" i="102" s="1"/>
  <c r="M1026" i="102"/>
  <c r="N1026" i="102"/>
  <c r="J1026" i="102"/>
  <c r="F1026" i="102"/>
  <c r="G1026" i="102" s="1"/>
  <c r="M1025" i="102"/>
  <c r="N1025" i="102"/>
  <c r="J1025" i="102"/>
  <c r="F1025" i="102"/>
  <c r="G1025" i="102" s="1"/>
  <c r="M1024" i="102"/>
  <c r="N1024" i="102"/>
  <c r="J1024" i="102"/>
  <c r="F1024" i="102"/>
  <c r="G1024" i="102" s="1"/>
  <c r="M1023" i="102"/>
  <c r="N1023" i="102"/>
  <c r="J1023" i="102"/>
  <c r="F1023" i="102"/>
  <c r="G1023" i="102" s="1"/>
  <c r="M1022" i="102"/>
  <c r="N1022" i="102"/>
  <c r="J1022" i="102"/>
  <c r="F1022" i="102"/>
  <c r="G1022" i="102" s="1"/>
  <c r="M1021" i="102"/>
  <c r="N1021" i="102"/>
  <c r="J1021" i="102"/>
  <c r="F1021" i="102"/>
  <c r="G1021" i="102" s="1"/>
  <c r="M1020" i="102"/>
  <c r="N1020" i="102"/>
  <c r="J1020" i="102"/>
  <c r="F1020" i="102"/>
  <c r="G1020" i="102" s="1"/>
  <c r="M1019" i="102"/>
  <c r="N1019" i="102"/>
  <c r="J1019" i="102"/>
  <c r="F1019" i="102"/>
  <c r="G1019" i="102" s="1"/>
  <c r="M1018" i="102"/>
  <c r="N1018" i="102"/>
  <c r="J1018" i="102"/>
  <c r="F1018" i="102"/>
  <c r="G1018" i="102" s="1"/>
  <c r="M1017" i="102"/>
  <c r="N1017" i="102"/>
  <c r="J1017" i="102"/>
  <c r="F1017" i="102"/>
  <c r="G1017" i="102" s="1"/>
  <c r="M1016" i="102"/>
  <c r="N1016" i="102"/>
  <c r="J1016" i="102"/>
  <c r="F1016" i="102"/>
  <c r="G1016" i="102" s="1"/>
  <c r="M1015" i="102"/>
  <c r="N1015" i="102"/>
  <c r="J1015" i="102"/>
  <c r="F1015" i="102"/>
  <c r="G1015" i="102" s="1"/>
  <c r="M1014" i="102"/>
  <c r="N1014" i="102"/>
  <c r="J1014" i="102"/>
  <c r="F1014" i="102"/>
  <c r="G1014" i="102" s="1"/>
  <c r="M1013" i="102"/>
  <c r="N1013" i="102"/>
  <c r="J1013" i="102"/>
  <c r="F1013" i="102"/>
  <c r="G1013" i="102" s="1"/>
  <c r="M1012" i="102"/>
  <c r="N1012" i="102"/>
  <c r="J1012" i="102"/>
  <c r="F1012" i="102"/>
  <c r="G1012" i="102" s="1"/>
  <c r="M1011" i="102"/>
  <c r="N1011" i="102"/>
  <c r="J1011" i="102"/>
  <c r="F1011" i="102"/>
  <c r="G1011" i="102" s="1"/>
  <c r="M1010" i="102"/>
  <c r="N1010" i="102"/>
  <c r="J1010" i="102"/>
  <c r="F1010" i="102"/>
  <c r="G1010" i="102" s="1"/>
  <c r="M1009" i="102"/>
  <c r="N1009" i="102"/>
  <c r="J1009" i="102"/>
  <c r="F1009" i="102"/>
  <c r="G1009" i="102" s="1"/>
  <c r="M1008" i="102"/>
  <c r="N1008" i="102"/>
  <c r="J1008" i="102"/>
  <c r="F1008" i="102"/>
  <c r="G1008" i="102" s="1"/>
  <c r="M1007" i="102"/>
  <c r="N1007" i="102"/>
  <c r="J1007" i="102"/>
  <c r="F1007" i="102"/>
  <c r="G1007" i="102" s="1"/>
  <c r="M1006" i="102"/>
  <c r="N1006" i="102"/>
  <c r="J1006" i="102"/>
  <c r="F1006" i="102"/>
  <c r="G1006" i="102" s="1"/>
  <c r="M1005" i="102"/>
  <c r="N1005" i="102"/>
  <c r="J1005" i="102"/>
  <c r="F1005" i="102"/>
  <c r="G1005" i="102" s="1"/>
  <c r="M1004" i="102"/>
  <c r="N1004" i="102"/>
  <c r="J1004" i="102"/>
  <c r="F1004" i="102"/>
  <c r="G1004" i="102" s="1"/>
  <c r="M1003" i="102"/>
  <c r="N1003" i="102"/>
  <c r="J1003" i="102"/>
  <c r="F1003" i="102"/>
  <c r="G1003" i="102" s="1"/>
  <c r="M1002" i="102"/>
  <c r="N1002" i="102"/>
  <c r="J1002" i="102"/>
  <c r="F1002" i="102"/>
  <c r="G1002" i="102" s="1"/>
  <c r="M1001" i="102"/>
  <c r="N1001" i="102"/>
  <c r="J1001" i="102"/>
  <c r="F1001" i="102"/>
  <c r="G1001" i="102" s="1"/>
  <c r="M1000" i="102"/>
  <c r="N1000" i="102"/>
  <c r="J1000" i="102"/>
  <c r="F1000" i="102"/>
  <c r="G1000" i="102" s="1"/>
  <c r="M999" i="102"/>
  <c r="N999" i="102"/>
  <c r="J999" i="102"/>
  <c r="F999" i="102"/>
  <c r="G999" i="102" s="1"/>
  <c r="M998" i="102"/>
  <c r="N998" i="102"/>
  <c r="J998" i="102"/>
  <c r="F998" i="102"/>
  <c r="G998" i="102" s="1"/>
  <c r="M997" i="102"/>
  <c r="N997" i="102"/>
  <c r="J997" i="102"/>
  <c r="F997" i="102"/>
  <c r="G997" i="102" s="1"/>
  <c r="M996" i="102"/>
  <c r="N996" i="102"/>
  <c r="J996" i="102"/>
  <c r="F996" i="102"/>
  <c r="G996" i="102" s="1"/>
  <c r="M995" i="102"/>
  <c r="N995" i="102"/>
  <c r="J995" i="102"/>
  <c r="F995" i="102"/>
  <c r="G995" i="102" s="1"/>
  <c r="M994" i="102"/>
  <c r="N994" i="102"/>
  <c r="J994" i="102"/>
  <c r="F994" i="102"/>
  <c r="G994" i="102" s="1"/>
  <c r="M993" i="102"/>
  <c r="N993" i="102"/>
  <c r="J993" i="102"/>
  <c r="F993" i="102"/>
  <c r="G993" i="102" s="1"/>
  <c r="M992" i="102"/>
  <c r="N992" i="102"/>
  <c r="J992" i="102"/>
  <c r="F992" i="102"/>
  <c r="G992" i="102" s="1"/>
  <c r="M991" i="102"/>
  <c r="N991" i="102"/>
  <c r="J991" i="102"/>
  <c r="F991" i="102"/>
  <c r="G991" i="102" s="1"/>
  <c r="M990" i="102"/>
  <c r="N990" i="102"/>
  <c r="J990" i="102"/>
  <c r="F990" i="102"/>
  <c r="G990" i="102" s="1"/>
  <c r="M989" i="102"/>
  <c r="N989" i="102"/>
  <c r="J989" i="102"/>
  <c r="F989" i="102"/>
  <c r="G989" i="102" s="1"/>
  <c r="M988" i="102"/>
  <c r="N988" i="102"/>
  <c r="J988" i="102"/>
  <c r="F988" i="102"/>
  <c r="G988" i="102" s="1"/>
  <c r="M987" i="102"/>
  <c r="N987" i="102"/>
  <c r="J987" i="102"/>
  <c r="F987" i="102"/>
  <c r="G987" i="102" s="1"/>
  <c r="M986" i="102"/>
  <c r="N986" i="102"/>
  <c r="J986" i="102"/>
  <c r="F986" i="102"/>
  <c r="G986" i="102" s="1"/>
  <c r="M985" i="102"/>
  <c r="N985" i="102"/>
  <c r="J985" i="102"/>
  <c r="F985" i="102"/>
  <c r="G985" i="102" s="1"/>
  <c r="M984" i="102"/>
  <c r="N984" i="102"/>
  <c r="J984" i="102"/>
  <c r="F984" i="102"/>
  <c r="G984" i="102" s="1"/>
  <c r="M983" i="102"/>
  <c r="N983" i="102"/>
  <c r="J983" i="102"/>
  <c r="F983" i="102"/>
  <c r="G983" i="102" s="1"/>
  <c r="M982" i="102"/>
  <c r="N982" i="102"/>
  <c r="J982" i="102"/>
  <c r="F982" i="102"/>
  <c r="G982" i="102" s="1"/>
  <c r="M981" i="102"/>
  <c r="N981" i="102"/>
  <c r="J981" i="102"/>
  <c r="F981" i="102"/>
  <c r="G981" i="102" s="1"/>
  <c r="M980" i="102"/>
  <c r="N980" i="102"/>
  <c r="J980" i="102"/>
  <c r="F980" i="102"/>
  <c r="G980" i="102" s="1"/>
  <c r="M979" i="102"/>
  <c r="N979" i="102"/>
  <c r="J979" i="102"/>
  <c r="F979" i="102"/>
  <c r="G979" i="102" s="1"/>
  <c r="M978" i="102"/>
  <c r="N978" i="102"/>
  <c r="J978" i="102"/>
  <c r="F978" i="102"/>
  <c r="G978" i="102" s="1"/>
  <c r="M977" i="102"/>
  <c r="N977" i="102"/>
  <c r="J977" i="102"/>
  <c r="F977" i="102"/>
  <c r="G977" i="102" s="1"/>
  <c r="M976" i="102"/>
  <c r="N976" i="102"/>
  <c r="J976" i="102"/>
  <c r="F976" i="102"/>
  <c r="G976" i="102" s="1"/>
  <c r="M975" i="102"/>
  <c r="N975" i="102"/>
  <c r="J975" i="102"/>
  <c r="F975" i="102"/>
  <c r="G975" i="102" s="1"/>
  <c r="M974" i="102"/>
  <c r="N974" i="102"/>
  <c r="J974" i="102"/>
  <c r="F974" i="102"/>
  <c r="G974" i="102" s="1"/>
  <c r="M973" i="102"/>
  <c r="N973" i="102"/>
  <c r="J973" i="102"/>
  <c r="F973" i="102"/>
  <c r="G973" i="102" s="1"/>
  <c r="M972" i="102"/>
  <c r="N972" i="102"/>
  <c r="J972" i="102"/>
  <c r="F972" i="102"/>
  <c r="G972" i="102" s="1"/>
  <c r="M971" i="102"/>
  <c r="N971" i="102"/>
  <c r="J971" i="102"/>
  <c r="F971" i="102"/>
  <c r="G971" i="102" s="1"/>
  <c r="M970" i="102"/>
  <c r="N970" i="102"/>
  <c r="J970" i="102"/>
  <c r="F970" i="102"/>
  <c r="G970" i="102" s="1"/>
  <c r="M969" i="102"/>
  <c r="N969" i="102"/>
  <c r="J969" i="102"/>
  <c r="F969" i="102"/>
  <c r="G969" i="102" s="1"/>
  <c r="M968" i="102"/>
  <c r="N968" i="102"/>
  <c r="O968" i="102" s="1"/>
  <c r="J968" i="102"/>
  <c r="F968" i="102"/>
  <c r="G968" i="102" s="1"/>
  <c r="M967" i="102"/>
  <c r="N967" i="102"/>
  <c r="J967" i="102"/>
  <c r="F967" i="102"/>
  <c r="G967" i="102" s="1"/>
  <c r="M966" i="102"/>
  <c r="N966" i="102"/>
  <c r="J966" i="102"/>
  <c r="F966" i="102"/>
  <c r="G966" i="102" s="1"/>
  <c r="M965" i="102"/>
  <c r="N965" i="102"/>
  <c r="J965" i="102"/>
  <c r="F965" i="102"/>
  <c r="G965" i="102" s="1"/>
  <c r="M964" i="102"/>
  <c r="N964" i="102"/>
  <c r="J964" i="102"/>
  <c r="F964" i="102"/>
  <c r="G964" i="102" s="1"/>
  <c r="M963" i="102"/>
  <c r="N963" i="102"/>
  <c r="J963" i="102"/>
  <c r="F963" i="102"/>
  <c r="G963" i="102" s="1"/>
  <c r="M962" i="102"/>
  <c r="N962" i="102"/>
  <c r="O962" i="102" s="1"/>
  <c r="J962" i="102"/>
  <c r="F962" i="102"/>
  <c r="G962" i="102" s="1"/>
  <c r="M961" i="102"/>
  <c r="N961" i="102"/>
  <c r="J961" i="102"/>
  <c r="F961" i="102"/>
  <c r="G961" i="102" s="1"/>
  <c r="M960" i="102"/>
  <c r="N960" i="102"/>
  <c r="J960" i="102"/>
  <c r="F960" i="102"/>
  <c r="G960" i="102" s="1"/>
  <c r="M959" i="102"/>
  <c r="N959" i="102"/>
  <c r="J959" i="102"/>
  <c r="F959" i="102"/>
  <c r="G959" i="102" s="1"/>
  <c r="M958" i="102"/>
  <c r="N958" i="102"/>
  <c r="J958" i="102"/>
  <c r="F958" i="102"/>
  <c r="G958" i="102" s="1"/>
  <c r="M957" i="102"/>
  <c r="N957" i="102"/>
  <c r="J957" i="102"/>
  <c r="F957" i="102"/>
  <c r="G957" i="102" s="1"/>
  <c r="M956" i="102"/>
  <c r="N956" i="102"/>
  <c r="J956" i="102"/>
  <c r="F956" i="102"/>
  <c r="G956" i="102" s="1"/>
  <c r="M955" i="102"/>
  <c r="N955" i="102"/>
  <c r="J955" i="102"/>
  <c r="F955" i="102"/>
  <c r="G955" i="102" s="1"/>
  <c r="M954" i="102"/>
  <c r="N954" i="102"/>
  <c r="J954" i="102"/>
  <c r="F954" i="102"/>
  <c r="G954" i="102" s="1"/>
  <c r="M953" i="102"/>
  <c r="N953" i="102"/>
  <c r="J953" i="102"/>
  <c r="F953" i="102"/>
  <c r="G953" i="102" s="1"/>
  <c r="M952" i="102"/>
  <c r="N952" i="102"/>
  <c r="J952" i="102"/>
  <c r="F952" i="102"/>
  <c r="G952" i="102" s="1"/>
  <c r="M951" i="102"/>
  <c r="N951" i="102"/>
  <c r="J951" i="102"/>
  <c r="F951" i="102"/>
  <c r="G951" i="102" s="1"/>
  <c r="M950" i="102"/>
  <c r="N950" i="102"/>
  <c r="J950" i="102"/>
  <c r="F950" i="102"/>
  <c r="G950" i="102" s="1"/>
  <c r="M949" i="102"/>
  <c r="N949" i="102"/>
  <c r="J949" i="102"/>
  <c r="F949" i="102"/>
  <c r="G949" i="102" s="1"/>
  <c r="M948" i="102"/>
  <c r="N948" i="102"/>
  <c r="J948" i="102"/>
  <c r="F948" i="102"/>
  <c r="G948" i="102" s="1"/>
  <c r="M947" i="102"/>
  <c r="N947" i="102"/>
  <c r="J947" i="102"/>
  <c r="F947" i="102"/>
  <c r="G947" i="102" s="1"/>
  <c r="M946" i="102"/>
  <c r="N946" i="102"/>
  <c r="J946" i="102"/>
  <c r="F946" i="102"/>
  <c r="G946" i="102" s="1"/>
  <c r="M945" i="102"/>
  <c r="N945" i="102"/>
  <c r="J945" i="102"/>
  <c r="F945" i="102"/>
  <c r="G945" i="102" s="1"/>
  <c r="M944" i="102"/>
  <c r="N944" i="102"/>
  <c r="J944" i="102"/>
  <c r="F944" i="102"/>
  <c r="G944" i="102" s="1"/>
  <c r="M943" i="102"/>
  <c r="N943" i="102"/>
  <c r="J943" i="102"/>
  <c r="F943" i="102"/>
  <c r="G943" i="102" s="1"/>
  <c r="M942" i="102"/>
  <c r="N942" i="102"/>
  <c r="J942" i="102"/>
  <c r="F942" i="102"/>
  <c r="G942" i="102" s="1"/>
  <c r="M941" i="102"/>
  <c r="N941" i="102"/>
  <c r="J941" i="102"/>
  <c r="F941" i="102"/>
  <c r="G941" i="102" s="1"/>
  <c r="M940" i="102"/>
  <c r="N940" i="102"/>
  <c r="J940" i="102"/>
  <c r="F940" i="102"/>
  <c r="G940" i="102" s="1"/>
  <c r="M939" i="102"/>
  <c r="N939" i="102"/>
  <c r="J939" i="102"/>
  <c r="F939" i="102"/>
  <c r="G939" i="102" s="1"/>
  <c r="M938" i="102"/>
  <c r="N938" i="102"/>
  <c r="J938" i="102"/>
  <c r="F938" i="102"/>
  <c r="G938" i="102" s="1"/>
  <c r="M937" i="102"/>
  <c r="N937" i="102"/>
  <c r="J937" i="102"/>
  <c r="F937" i="102"/>
  <c r="G937" i="102" s="1"/>
  <c r="M936" i="102"/>
  <c r="N936" i="102"/>
  <c r="J936" i="102"/>
  <c r="F936" i="102"/>
  <c r="G936" i="102" s="1"/>
  <c r="M935" i="102"/>
  <c r="N935" i="102"/>
  <c r="J935" i="102"/>
  <c r="F935" i="102"/>
  <c r="G935" i="102" s="1"/>
  <c r="M934" i="102"/>
  <c r="N934" i="102"/>
  <c r="J934" i="102"/>
  <c r="F934" i="102"/>
  <c r="G934" i="102" s="1"/>
  <c r="M933" i="102"/>
  <c r="N933" i="102"/>
  <c r="J933" i="102"/>
  <c r="F933" i="102"/>
  <c r="G933" i="102" s="1"/>
  <c r="M932" i="102"/>
  <c r="N932" i="102"/>
  <c r="J932" i="102"/>
  <c r="F932" i="102"/>
  <c r="G932" i="102" s="1"/>
  <c r="M931" i="102"/>
  <c r="N931" i="102"/>
  <c r="J931" i="102"/>
  <c r="F931" i="102"/>
  <c r="G931" i="102" s="1"/>
  <c r="M930" i="102"/>
  <c r="N930" i="102"/>
  <c r="J930" i="102"/>
  <c r="F930" i="102"/>
  <c r="G930" i="102" s="1"/>
  <c r="M929" i="102"/>
  <c r="N929" i="102"/>
  <c r="J929" i="102"/>
  <c r="F929" i="102"/>
  <c r="G929" i="102" s="1"/>
  <c r="M928" i="102"/>
  <c r="N928" i="102"/>
  <c r="J928" i="102"/>
  <c r="F928" i="102"/>
  <c r="G928" i="102" s="1"/>
  <c r="M927" i="102"/>
  <c r="N927" i="102"/>
  <c r="J927" i="102"/>
  <c r="F927" i="102"/>
  <c r="G927" i="102" s="1"/>
  <c r="M926" i="102"/>
  <c r="N926" i="102"/>
  <c r="J926" i="102"/>
  <c r="F926" i="102"/>
  <c r="G926" i="102" s="1"/>
  <c r="M925" i="102"/>
  <c r="N925" i="102"/>
  <c r="J925" i="102"/>
  <c r="F925" i="102"/>
  <c r="G925" i="102" s="1"/>
  <c r="M924" i="102"/>
  <c r="N924" i="102"/>
  <c r="J924" i="102"/>
  <c r="F924" i="102"/>
  <c r="G924" i="102" s="1"/>
  <c r="M923" i="102"/>
  <c r="N923" i="102"/>
  <c r="J923" i="102"/>
  <c r="F923" i="102"/>
  <c r="G923" i="102" s="1"/>
  <c r="M922" i="102"/>
  <c r="N922" i="102"/>
  <c r="J922" i="102"/>
  <c r="F922" i="102"/>
  <c r="G922" i="102" s="1"/>
  <c r="M921" i="102"/>
  <c r="N921" i="102"/>
  <c r="J921" i="102"/>
  <c r="F921" i="102"/>
  <c r="G921" i="102" s="1"/>
  <c r="M920" i="102"/>
  <c r="N920" i="102"/>
  <c r="J920" i="102"/>
  <c r="F920" i="102"/>
  <c r="G920" i="102" s="1"/>
  <c r="M919" i="102"/>
  <c r="N919" i="102"/>
  <c r="J919" i="102"/>
  <c r="F919" i="102"/>
  <c r="G919" i="102" s="1"/>
  <c r="M918" i="102"/>
  <c r="N918" i="102"/>
  <c r="J918" i="102"/>
  <c r="F918" i="102"/>
  <c r="G918" i="102" s="1"/>
  <c r="M917" i="102"/>
  <c r="N917" i="102"/>
  <c r="J917" i="102"/>
  <c r="F917" i="102"/>
  <c r="G917" i="102" s="1"/>
  <c r="M916" i="102"/>
  <c r="N916" i="102"/>
  <c r="J916" i="102"/>
  <c r="F916" i="102"/>
  <c r="G916" i="102" s="1"/>
  <c r="M915" i="102"/>
  <c r="N915" i="102"/>
  <c r="J915" i="102"/>
  <c r="F915" i="102"/>
  <c r="G915" i="102" s="1"/>
  <c r="M914" i="102"/>
  <c r="N914" i="102"/>
  <c r="J914" i="102"/>
  <c r="F914" i="102"/>
  <c r="G914" i="102" s="1"/>
  <c r="M913" i="102"/>
  <c r="N913" i="102"/>
  <c r="J913" i="102"/>
  <c r="F913" i="102"/>
  <c r="G913" i="102" s="1"/>
  <c r="M912" i="102"/>
  <c r="N912" i="102"/>
  <c r="J912" i="102"/>
  <c r="F912" i="102"/>
  <c r="G912" i="102" s="1"/>
  <c r="M911" i="102"/>
  <c r="N911" i="102"/>
  <c r="J911" i="102"/>
  <c r="F911" i="102"/>
  <c r="G911" i="102" s="1"/>
  <c r="M910" i="102"/>
  <c r="N910" i="102"/>
  <c r="J910" i="102"/>
  <c r="F910" i="102"/>
  <c r="G910" i="102" s="1"/>
  <c r="M909" i="102"/>
  <c r="N909" i="102"/>
  <c r="J909" i="102"/>
  <c r="F909" i="102"/>
  <c r="G909" i="102" s="1"/>
  <c r="M908" i="102"/>
  <c r="N908" i="102"/>
  <c r="J908" i="102"/>
  <c r="F908" i="102"/>
  <c r="G908" i="102" s="1"/>
  <c r="M907" i="102"/>
  <c r="N907" i="102"/>
  <c r="J907" i="102"/>
  <c r="F907" i="102"/>
  <c r="G907" i="102" s="1"/>
  <c r="M906" i="102"/>
  <c r="N906" i="102"/>
  <c r="J906" i="102"/>
  <c r="F906" i="102"/>
  <c r="G906" i="102" s="1"/>
  <c r="M905" i="102"/>
  <c r="N905" i="102"/>
  <c r="J905" i="102"/>
  <c r="F905" i="102"/>
  <c r="G905" i="102" s="1"/>
  <c r="M904" i="102"/>
  <c r="N904" i="102"/>
  <c r="O904" i="102" s="1"/>
  <c r="J904" i="102"/>
  <c r="F904" i="102"/>
  <c r="G904" i="102" s="1"/>
  <c r="M903" i="102"/>
  <c r="N903" i="102"/>
  <c r="J903" i="102"/>
  <c r="F903" i="102"/>
  <c r="G903" i="102" s="1"/>
  <c r="M902" i="102"/>
  <c r="N902" i="102"/>
  <c r="J902" i="102"/>
  <c r="F902" i="102"/>
  <c r="G902" i="102" s="1"/>
  <c r="M901" i="102"/>
  <c r="N901" i="102"/>
  <c r="O901" i="102" s="1"/>
  <c r="J901" i="102"/>
  <c r="F901" i="102"/>
  <c r="G901" i="102" s="1"/>
  <c r="M900" i="102"/>
  <c r="N900" i="102"/>
  <c r="J900" i="102"/>
  <c r="F900" i="102"/>
  <c r="G900" i="102" s="1"/>
  <c r="M899" i="102"/>
  <c r="N899" i="102"/>
  <c r="J899" i="102"/>
  <c r="F899" i="102"/>
  <c r="G899" i="102" s="1"/>
  <c r="M898" i="102"/>
  <c r="N898" i="102"/>
  <c r="J898" i="102"/>
  <c r="F898" i="102"/>
  <c r="G898" i="102" s="1"/>
  <c r="M897" i="102"/>
  <c r="N897" i="102"/>
  <c r="J897" i="102"/>
  <c r="F897" i="102"/>
  <c r="G897" i="102" s="1"/>
  <c r="M896" i="102"/>
  <c r="N896" i="102"/>
  <c r="J896" i="102"/>
  <c r="F896" i="102"/>
  <c r="G896" i="102" s="1"/>
  <c r="M895" i="102"/>
  <c r="N895" i="102"/>
  <c r="J895" i="102"/>
  <c r="F895" i="102"/>
  <c r="G895" i="102" s="1"/>
  <c r="M894" i="102"/>
  <c r="N894" i="102"/>
  <c r="J894" i="102"/>
  <c r="F894" i="102"/>
  <c r="G894" i="102" s="1"/>
  <c r="M893" i="102"/>
  <c r="N893" i="102"/>
  <c r="J893" i="102"/>
  <c r="F893" i="102"/>
  <c r="G893" i="102" s="1"/>
  <c r="M892" i="102"/>
  <c r="N892" i="102"/>
  <c r="J892" i="102"/>
  <c r="F892" i="102"/>
  <c r="G892" i="102" s="1"/>
  <c r="M891" i="102"/>
  <c r="N891" i="102"/>
  <c r="J891" i="102"/>
  <c r="F891" i="102"/>
  <c r="G891" i="102" s="1"/>
  <c r="M890" i="102"/>
  <c r="N890" i="102"/>
  <c r="J890" i="102"/>
  <c r="F890" i="102"/>
  <c r="G890" i="102" s="1"/>
  <c r="M889" i="102"/>
  <c r="N889" i="102"/>
  <c r="O889" i="102" s="1"/>
  <c r="J889" i="102"/>
  <c r="F889" i="102"/>
  <c r="G889" i="102" s="1"/>
  <c r="M888" i="102"/>
  <c r="N888" i="102"/>
  <c r="J888" i="102"/>
  <c r="F888" i="102"/>
  <c r="G888" i="102" s="1"/>
  <c r="M887" i="102"/>
  <c r="N887" i="102"/>
  <c r="J887" i="102"/>
  <c r="F887" i="102"/>
  <c r="G887" i="102" s="1"/>
  <c r="M886" i="102"/>
  <c r="N886" i="102"/>
  <c r="J886" i="102"/>
  <c r="F886" i="102"/>
  <c r="G886" i="102" s="1"/>
  <c r="M885" i="102"/>
  <c r="N885" i="102"/>
  <c r="J885" i="102"/>
  <c r="F885" i="102"/>
  <c r="G885" i="102" s="1"/>
  <c r="M884" i="102"/>
  <c r="N884" i="102"/>
  <c r="J884" i="102"/>
  <c r="F884" i="102"/>
  <c r="G884" i="102" s="1"/>
  <c r="M883" i="102"/>
  <c r="N883" i="102"/>
  <c r="J883" i="102"/>
  <c r="F883" i="102"/>
  <c r="G883" i="102" s="1"/>
  <c r="M882" i="102"/>
  <c r="N882" i="102"/>
  <c r="J882" i="102"/>
  <c r="F882" i="102"/>
  <c r="G882" i="102" s="1"/>
  <c r="M881" i="102"/>
  <c r="N881" i="102"/>
  <c r="J881" i="102"/>
  <c r="F881" i="102"/>
  <c r="G881" i="102" s="1"/>
  <c r="M880" i="102"/>
  <c r="N880" i="102"/>
  <c r="J880" i="102"/>
  <c r="F880" i="102"/>
  <c r="G880" i="102" s="1"/>
  <c r="M879" i="102"/>
  <c r="N879" i="102"/>
  <c r="J879" i="102"/>
  <c r="F879" i="102"/>
  <c r="G879" i="102" s="1"/>
  <c r="M878" i="102"/>
  <c r="N878" i="102"/>
  <c r="J878" i="102"/>
  <c r="F878" i="102"/>
  <c r="G878" i="102" s="1"/>
  <c r="M877" i="102"/>
  <c r="N877" i="102"/>
  <c r="J877" i="102"/>
  <c r="F877" i="102"/>
  <c r="G877" i="102" s="1"/>
  <c r="M876" i="102"/>
  <c r="N876" i="102"/>
  <c r="J876" i="102"/>
  <c r="F876" i="102"/>
  <c r="G876" i="102" s="1"/>
  <c r="M875" i="102"/>
  <c r="N875" i="102"/>
  <c r="J875" i="102"/>
  <c r="F875" i="102"/>
  <c r="G875" i="102" s="1"/>
  <c r="M874" i="102"/>
  <c r="N874" i="102"/>
  <c r="J874" i="102"/>
  <c r="F874" i="102"/>
  <c r="G874" i="102" s="1"/>
  <c r="M873" i="102"/>
  <c r="N873" i="102"/>
  <c r="J873" i="102"/>
  <c r="F873" i="102"/>
  <c r="G873" i="102" s="1"/>
  <c r="M872" i="102"/>
  <c r="N872" i="102"/>
  <c r="J872" i="102"/>
  <c r="F872" i="102"/>
  <c r="G872" i="102" s="1"/>
  <c r="M871" i="102"/>
  <c r="N871" i="102"/>
  <c r="J871" i="102"/>
  <c r="F871" i="102"/>
  <c r="G871" i="102" s="1"/>
  <c r="M870" i="102"/>
  <c r="N870" i="102"/>
  <c r="J870" i="102"/>
  <c r="F870" i="102"/>
  <c r="G870" i="102" s="1"/>
  <c r="M869" i="102"/>
  <c r="N869" i="102"/>
  <c r="J869" i="102"/>
  <c r="F869" i="102"/>
  <c r="G869" i="102" s="1"/>
  <c r="M868" i="102"/>
  <c r="N868" i="102"/>
  <c r="J868" i="102"/>
  <c r="F868" i="102"/>
  <c r="G868" i="102" s="1"/>
  <c r="M867" i="102"/>
  <c r="N867" i="102"/>
  <c r="J867" i="102"/>
  <c r="F867" i="102"/>
  <c r="G867" i="102" s="1"/>
  <c r="M866" i="102"/>
  <c r="N866" i="102"/>
  <c r="J866" i="102"/>
  <c r="F866" i="102"/>
  <c r="G866" i="102" s="1"/>
  <c r="M865" i="102"/>
  <c r="N865" i="102"/>
  <c r="J865" i="102"/>
  <c r="F865" i="102"/>
  <c r="G865" i="102" s="1"/>
  <c r="M864" i="102"/>
  <c r="N864" i="102"/>
  <c r="J864" i="102"/>
  <c r="F864" i="102"/>
  <c r="G864" i="102" s="1"/>
  <c r="M863" i="102"/>
  <c r="N863" i="102"/>
  <c r="J863" i="102"/>
  <c r="F863" i="102"/>
  <c r="G863" i="102" s="1"/>
  <c r="M862" i="102"/>
  <c r="N862" i="102"/>
  <c r="J862" i="102"/>
  <c r="F862" i="102"/>
  <c r="G862" i="102" s="1"/>
  <c r="M861" i="102"/>
  <c r="N861" i="102"/>
  <c r="J861" i="102"/>
  <c r="F861" i="102"/>
  <c r="G861" i="102" s="1"/>
  <c r="M860" i="102"/>
  <c r="N860" i="102"/>
  <c r="J860" i="102"/>
  <c r="F860" i="102"/>
  <c r="G860" i="102" s="1"/>
  <c r="M859" i="102"/>
  <c r="N859" i="102"/>
  <c r="J859" i="102"/>
  <c r="F859" i="102"/>
  <c r="G859" i="102" s="1"/>
  <c r="M858" i="102"/>
  <c r="N858" i="102"/>
  <c r="J858" i="102"/>
  <c r="F858" i="102"/>
  <c r="G858" i="102" s="1"/>
  <c r="M857" i="102"/>
  <c r="N857" i="102"/>
  <c r="J857" i="102"/>
  <c r="F857" i="102"/>
  <c r="G857" i="102" s="1"/>
  <c r="M856" i="102"/>
  <c r="N856" i="102"/>
  <c r="J856" i="102"/>
  <c r="F856" i="102"/>
  <c r="G856" i="102" s="1"/>
  <c r="M855" i="102"/>
  <c r="N855" i="102"/>
  <c r="J855" i="102"/>
  <c r="F855" i="102"/>
  <c r="G855" i="102" s="1"/>
  <c r="M854" i="102"/>
  <c r="N854" i="102"/>
  <c r="J854" i="102"/>
  <c r="F854" i="102"/>
  <c r="G854" i="102" s="1"/>
  <c r="M853" i="102"/>
  <c r="N853" i="102"/>
  <c r="J853" i="102"/>
  <c r="F853" i="102"/>
  <c r="G853" i="102" s="1"/>
  <c r="M852" i="102"/>
  <c r="N852" i="102"/>
  <c r="J852" i="102"/>
  <c r="F852" i="102"/>
  <c r="G852" i="102" s="1"/>
  <c r="M851" i="102"/>
  <c r="N851" i="102"/>
  <c r="J851" i="102"/>
  <c r="F851" i="102"/>
  <c r="G851" i="102" s="1"/>
  <c r="M850" i="102"/>
  <c r="N850" i="102"/>
  <c r="J850" i="102"/>
  <c r="F850" i="102"/>
  <c r="G850" i="102" s="1"/>
  <c r="M849" i="102"/>
  <c r="N849" i="102"/>
  <c r="J849" i="102"/>
  <c r="F849" i="102"/>
  <c r="G849" i="102" s="1"/>
  <c r="M848" i="102"/>
  <c r="N848" i="102"/>
  <c r="J848" i="102"/>
  <c r="F848" i="102"/>
  <c r="G848" i="102" s="1"/>
  <c r="M847" i="102"/>
  <c r="N847" i="102"/>
  <c r="J847" i="102"/>
  <c r="F847" i="102"/>
  <c r="G847" i="102" s="1"/>
  <c r="M846" i="102"/>
  <c r="N846" i="102"/>
  <c r="J846" i="102"/>
  <c r="F846" i="102"/>
  <c r="G846" i="102" s="1"/>
  <c r="M845" i="102"/>
  <c r="N845" i="102"/>
  <c r="J845" i="102"/>
  <c r="F845" i="102"/>
  <c r="G845" i="102" s="1"/>
  <c r="M844" i="102"/>
  <c r="N844" i="102"/>
  <c r="J844" i="102"/>
  <c r="F844" i="102"/>
  <c r="G844" i="102" s="1"/>
  <c r="M843" i="102"/>
  <c r="N843" i="102"/>
  <c r="J843" i="102"/>
  <c r="F843" i="102"/>
  <c r="G843" i="102" s="1"/>
  <c r="M842" i="102"/>
  <c r="N842" i="102"/>
  <c r="J842" i="102"/>
  <c r="F842" i="102"/>
  <c r="G842" i="102" s="1"/>
  <c r="M841" i="102"/>
  <c r="N841" i="102"/>
  <c r="J841" i="102"/>
  <c r="F841" i="102"/>
  <c r="G841" i="102" s="1"/>
  <c r="M840" i="102"/>
  <c r="N840" i="102"/>
  <c r="J840" i="102"/>
  <c r="F840" i="102"/>
  <c r="G840" i="102" s="1"/>
  <c r="M839" i="102"/>
  <c r="N839" i="102"/>
  <c r="J839" i="102"/>
  <c r="F839" i="102"/>
  <c r="G839" i="102" s="1"/>
  <c r="M838" i="102"/>
  <c r="N838" i="102"/>
  <c r="J838" i="102"/>
  <c r="F838" i="102"/>
  <c r="G838" i="102" s="1"/>
  <c r="M837" i="102"/>
  <c r="N837" i="102"/>
  <c r="J837" i="102"/>
  <c r="F837" i="102"/>
  <c r="G837" i="102" s="1"/>
  <c r="M836" i="102"/>
  <c r="N836" i="102"/>
  <c r="J836" i="102"/>
  <c r="F836" i="102"/>
  <c r="G836" i="102" s="1"/>
  <c r="M835" i="102"/>
  <c r="N835" i="102"/>
  <c r="J835" i="102"/>
  <c r="F835" i="102"/>
  <c r="G835" i="102" s="1"/>
  <c r="M834" i="102"/>
  <c r="N834" i="102"/>
  <c r="J834" i="102"/>
  <c r="F834" i="102"/>
  <c r="G834" i="102" s="1"/>
  <c r="M833" i="102"/>
  <c r="N833" i="102"/>
  <c r="J833" i="102"/>
  <c r="F833" i="102"/>
  <c r="G833" i="102" s="1"/>
  <c r="M832" i="102"/>
  <c r="N832" i="102"/>
  <c r="J832" i="102"/>
  <c r="F832" i="102"/>
  <c r="G832" i="102" s="1"/>
  <c r="M831" i="102"/>
  <c r="N831" i="102"/>
  <c r="J831" i="102"/>
  <c r="F831" i="102"/>
  <c r="G831" i="102" s="1"/>
  <c r="M830" i="102"/>
  <c r="N830" i="102"/>
  <c r="J830" i="102"/>
  <c r="F830" i="102"/>
  <c r="G830" i="102" s="1"/>
  <c r="M829" i="102"/>
  <c r="N829" i="102"/>
  <c r="J829" i="102"/>
  <c r="F829" i="102"/>
  <c r="G829" i="102" s="1"/>
  <c r="M828" i="102"/>
  <c r="N828" i="102"/>
  <c r="J828" i="102"/>
  <c r="F828" i="102"/>
  <c r="G828" i="102" s="1"/>
  <c r="M827" i="102"/>
  <c r="N827" i="102"/>
  <c r="J827" i="102"/>
  <c r="F827" i="102"/>
  <c r="G827" i="102" s="1"/>
  <c r="M826" i="102"/>
  <c r="N826" i="102"/>
  <c r="J826" i="102"/>
  <c r="F826" i="102"/>
  <c r="G826" i="102" s="1"/>
  <c r="M825" i="102"/>
  <c r="N825" i="102"/>
  <c r="J825" i="102"/>
  <c r="F825" i="102"/>
  <c r="G825" i="102" s="1"/>
  <c r="M824" i="102"/>
  <c r="N824" i="102"/>
  <c r="J824" i="102"/>
  <c r="F824" i="102"/>
  <c r="G824" i="102" s="1"/>
  <c r="M823" i="102"/>
  <c r="N823" i="102"/>
  <c r="J823" i="102"/>
  <c r="F823" i="102"/>
  <c r="G823" i="102" s="1"/>
  <c r="M822" i="102"/>
  <c r="N822" i="102"/>
  <c r="J822" i="102"/>
  <c r="F822" i="102"/>
  <c r="G822" i="102" s="1"/>
  <c r="M821" i="102"/>
  <c r="N821" i="102"/>
  <c r="J821" i="102"/>
  <c r="F821" i="102"/>
  <c r="G821" i="102" s="1"/>
  <c r="M820" i="102"/>
  <c r="N820" i="102"/>
  <c r="J820" i="102"/>
  <c r="F820" i="102"/>
  <c r="G820" i="102" s="1"/>
  <c r="M819" i="102"/>
  <c r="N819" i="102"/>
  <c r="J819" i="102"/>
  <c r="F819" i="102"/>
  <c r="G819" i="102" s="1"/>
  <c r="M818" i="102"/>
  <c r="N818" i="102"/>
  <c r="J818" i="102"/>
  <c r="F818" i="102"/>
  <c r="G818" i="102" s="1"/>
  <c r="M817" i="102"/>
  <c r="N817" i="102"/>
  <c r="J817" i="102"/>
  <c r="F817" i="102"/>
  <c r="G817" i="102" s="1"/>
  <c r="M816" i="102"/>
  <c r="N816" i="102"/>
  <c r="J816" i="102"/>
  <c r="F816" i="102"/>
  <c r="G816" i="102" s="1"/>
  <c r="M815" i="102"/>
  <c r="N815" i="102"/>
  <c r="J815" i="102"/>
  <c r="F815" i="102"/>
  <c r="G815" i="102" s="1"/>
  <c r="M814" i="102"/>
  <c r="N814" i="102"/>
  <c r="J814" i="102"/>
  <c r="F814" i="102"/>
  <c r="G814" i="102" s="1"/>
  <c r="M813" i="102"/>
  <c r="N813" i="102"/>
  <c r="J813" i="102"/>
  <c r="F813" i="102"/>
  <c r="G813" i="102" s="1"/>
  <c r="M812" i="102"/>
  <c r="N812" i="102"/>
  <c r="J812" i="102"/>
  <c r="F812" i="102"/>
  <c r="G812" i="102" s="1"/>
  <c r="M811" i="102"/>
  <c r="N811" i="102"/>
  <c r="J811" i="102"/>
  <c r="F811" i="102"/>
  <c r="G811" i="102" s="1"/>
  <c r="M810" i="102"/>
  <c r="N810" i="102"/>
  <c r="J810" i="102"/>
  <c r="F810" i="102"/>
  <c r="G810" i="102" s="1"/>
  <c r="M809" i="102"/>
  <c r="N809" i="102"/>
  <c r="O809" i="102"/>
  <c r="J809" i="102"/>
  <c r="F809" i="102"/>
  <c r="G809" i="102" s="1"/>
  <c r="M808" i="102"/>
  <c r="N808" i="102"/>
  <c r="J808" i="102"/>
  <c r="F808" i="102"/>
  <c r="G808" i="102" s="1"/>
  <c r="M807" i="102"/>
  <c r="N807" i="102"/>
  <c r="O807" i="102" s="1"/>
  <c r="J807" i="102"/>
  <c r="F807" i="102"/>
  <c r="G807" i="102" s="1"/>
  <c r="M806" i="102"/>
  <c r="N806" i="102"/>
  <c r="J806" i="102"/>
  <c r="F806" i="102"/>
  <c r="G806" i="102" s="1"/>
  <c r="M805" i="102"/>
  <c r="N805" i="102"/>
  <c r="J805" i="102"/>
  <c r="F805" i="102"/>
  <c r="G805" i="102" s="1"/>
  <c r="M804" i="102"/>
  <c r="N804" i="102"/>
  <c r="J804" i="102"/>
  <c r="F804" i="102"/>
  <c r="G804" i="102" s="1"/>
  <c r="M803" i="102"/>
  <c r="N803" i="102"/>
  <c r="J803" i="102"/>
  <c r="F803" i="102"/>
  <c r="G803" i="102" s="1"/>
  <c r="M802" i="102"/>
  <c r="N802" i="102"/>
  <c r="J802" i="102"/>
  <c r="F802" i="102"/>
  <c r="G802" i="102" s="1"/>
  <c r="M801" i="102"/>
  <c r="N801" i="102"/>
  <c r="O801" i="102" s="1"/>
  <c r="J801" i="102"/>
  <c r="F801" i="102"/>
  <c r="G801" i="102" s="1"/>
  <c r="M800" i="102"/>
  <c r="N800" i="102"/>
  <c r="J800" i="102"/>
  <c r="F800" i="102"/>
  <c r="G800" i="102" s="1"/>
  <c r="M799" i="102"/>
  <c r="N799" i="102"/>
  <c r="J799" i="102"/>
  <c r="F799" i="102"/>
  <c r="G799" i="102" s="1"/>
  <c r="M798" i="102"/>
  <c r="N798" i="102"/>
  <c r="J798" i="102"/>
  <c r="F798" i="102"/>
  <c r="G798" i="102" s="1"/>
  <c r="M797" i="102"/>
  <c r="N797" i="102"/>
  <c r="J797" i="102"/>
  <c r="F797" i="102"/>
  <c r="G797" i="102" s="1"/>
  <c r="M796" i="102"/>
  <c r="N796" i="102"/>
  <c r="J796" i="102"/>
  <c r="F796" i="102"/>
  <c r="G796" i="102" s="1"/>
  <c r="M795" i="102"/>
  <c r="N795" i="102"/>
  <c r="J795" i="102"/>
  <c r="F795" i="102"/>
  <c r="G795" i="102" s="1"/>
  <c r="M794" i="102"/>
  <c r="N794" i="102"/>
  <c r="J794" i="102"/>
  <c r="F794" i="102"/>
  <c r="G794" i="102" s="1"/>
  <c r="M793" i="102"/>
  <c r="N793" i="102"/>
  <c r="J793" i="102"/>
  <c r="F793" i="102"/>
  <c r="G793" i="102" s="1"/>
  <c r="M792" i="102"/>
  <c r="N792" i="102"/>
  <c r="J792" i="102"/>
  <c r="F792" i="102"/>
  <c r="G792" i="102" s="1"/>
  <c r="M791" i="102"/>
  <c r="N791" i="102"/>
  <c r="J791" i="102"/>
  <c r="F791" i="102"/>
  <c r="G791" i="102" s="1"/>
  <c r="M790" i="102"/>
  <c r="N790" i="102"/>
  <c r="J790" i="102"/>
  <c r="F790" i="102"/>
  <c r="G790" i="102" s="1"/>
  <c r="M789" i="102"/>
  <c r="N789" i="102"/>
  <c r="J789" i="102"/>
  <c r="F789" i="102"/>
  <c r="G789" i="102" s="1"/>
  <c r="M788" i="102"/>
  <c r="N788" i="102"/>
  <c r="J788" i="102"/>
  <c r="F788" i="102"/>
  <c r="G788" i="102" s="1"/>
  <c r="M787" i="102"/>
  <c r="N787" i="102"/>
  <c r="J787" i="102"/>
  <c r="F787" i="102"/>
  <c r="G787" i="102" s="1"/>
  <c r="M786" i="102"/>
  <c r="N786" i="102"/>
  <c r="J786" i="102"/>
  <c r="F786" i="102"/>
  <c r="G786" i="102" s="1"/>
  <c r="M785" i="102"/>
  <c r="N785" i="102"/>
  <c r="J785" i="102"/>
  <c r="F785" i="102"/>
  <c r="G785" i="102" s="1"/>
  <c r="M784" i="102"/>
  <c r="N784" i="102"/>
  <c r="J784" i="102"/>
  <c r="F784" i="102"/>
  <c r="G784" i="102" s="1"/>
  <c r="M783" i="102"/>
  <c r="N783" i="102"/>
  <c r="J783" i="102"/>
  <c r="F783" i="102"/>
  <c r="G783" i="102" s="1"/>
  <c r="M782" i="102"/>
  <c r="N782" i="102"/>
  <c r="J782" i="102"/>
  <c r="F782" i="102"/>
  <c r="G782" i="102" s="1"/>
  <c r="M781" i="102"/>
  <c r="N781" i="102"/>
  <c r="J781" i="102"/>
  <c r="F781" i="102"/>
  <c r="G781" i="102" s="1"/>
  <c r="M780" i="102"/>
  <c r="N780" i="102"/>
  <c r="J780" i="102"/>
  <c r="F780" i="102"/>
  <c r="G780" i="102" s="1"/>
  <c r="M779" i="102"/>
  <c r="N779" i="102"/>
  <c r="J779" i="102"/>
  <c r="F779" i="102"/>
  <c r="G779" i="102" s="1"/>
  <c r="M778" i="102"/>
  <c r="N778" i="102"/>
  <c r="J778" i="102"/>
  <c r="F778" i="102"/>
  <c r="G778" i="102" s="1"/>
  <c r="M777" i="102"/>
  <c r="N777" i="102"/>
  <c r="O777" i="102" s="1"/>
  <c r="J777" i="102"/>
  <c r="F777" i="102"/>
  <c r="G777" i="102" s="1"/>
  <c r="M776" i="102"/>
  <c r="N776" i="102"/>
  <c r="J776" i="102"/>
  <c r="F776" i="102"/>
  <c r="G776" i="102" s="1"/>
  <c r="M775" i="102"/>
  <c r="N775" i="102"/>
  <c r="J775" i="102"/>
  <c r="F775" i="102"/>
  <c r="G775" i="102" s="1"/>
  <c r="M774" i="102"/>
  <c r="N774" i="102"/>
  <c r="J774" i="102"/>
  <c r="F774" i="102"/>
  <c r="G774" i="102" s="1"/>
  <c r="M773" i="102"/>
  <c r="N773" i="102"/>
  <c r="J773" i="102"/>
  <c r="F773" i="102"/>
  <c r="G773" i="102" s="1"/>
  <c r="M772" i="102"/>
  <c r="N772" i="102"/>
  <c r="J772" i="102"/>
  <c r="F772" i="102"/>
  <c r="G772" i="102" s="1"/>
  <c r="M771" i="102"/>
  <c r="N771" i="102"/>
  <c r="J771" i="102"/>
  <c r="F771" i="102"/>
  <c r="G771" i="102" s="1"/>
  <c r="M770" i="102"/>
  <c r="N770" i="102"/>
  <c r="J770" i="102"/>
  <c r="F770" i="102"/>
  <c r="G770" i="102" s="1"/>
  <c r="M769" i="102"/>
  <c r="N769" i="102"/>
  <c r="J769" i="102"/>
  <c r="F769" i="102"/>
  <c r="G769" i="102" s="1"/>
  <c r="M768" i="102"/>
  <c r="N768" i="102"/>
  <c r="J768" i="102"/>
  <c r="F768" i="102"/>
  <c r="G768" i="102" s="1"/>
  <c r="M767" i="102"/>
  <c r="N767" i="102"/>
  <c r="J767" i="102"/>
  <c r="F767" i="102"/>
  <c r="G767" i="102" s="1"/>
  <c r="M766" i="102"/>
  <c r="N766" i="102"/>
  <c r="J766" i="102"/>
  <c r="F766" i="102"/>
  <c r="G766" i="102" s="1"/>
  <c r="M765" i="102"/>
  <c r="N765" i="102"/>
  <c r="J765" i="102"/>
  <c r="F765" i="102"/>
  <c r="G765" i="102" s="1"/>
  <c r="M764" i="102"/>
  <c r="N764" i="102"/>
  <c r="J764" i="102"/>
  <c r="F764" i="102"/>
  <c r="G764" i="102" s="1"/>
  <c r="M763" i="102"/>
  <c r="N763" i="102"/>
  <c r="J763" i="102"/>
  <c r="F763" i="102"/>
  <c r="G763" i="102" s="1"/>
  <c r="M762" i="102"/>
  <c r="N762" i="102"/>
  <c r="J762" i="102"/>
  <c r="F762" i="102"/>
  <c r="G762" i="102" s="1"/>
  <c r="M761" i="102"/>
  <c r="N761" i="102"/>
  <c r="J761" i="102"/>
  <c r="F761" i="102"/>
  <c r="G761" i="102" s="1"/>
  <c r="M760" i="102"/>
  <c r="N760" i="102"/>
  <c r="J760" i="102"/>
  <c r="F760" i="102"/>
  <c r="G760" i="102" s="1"/>
  <c r="M759" i="102"/>
  <c r="N759" i="102"/>
  <c r="J759" i="102"/>
  <c r="F759" i="102"/>
  <c r="G759" i="102" s="1"/>
  <c r="M758" i="102"/>
  <c r="N758" i="102"/>
  <c r="J758" i="102"/>
  <c r="F758" i="102"/>
  <c r="G758" i="102" s="1"/>
  <c r="M757" i="102"/>
  <c r="N757" i="102"/>
  <c r="J757" i="102"/>
  <c r="F757" i="102"/>
  <c r="G757" i="102" s="1"/>
  <c r="M756" i="102"/>
  <c r="N756" i="102"/>
  <c r="J756" i="102"/>
  <c r="F756" i="102"/>
  <c r="G756" i="102" s="1"/>
  <c r="M755" i="102"/>
  <c r="N755" i="102"/>
  <c r="J755" i="102"/>
  <c r="F755" i="102"/>
  <c r="G755" i="102" s="1"/>
  <c r="M754" i="102"/>
  <c r="N754" i="102"/>
  <c r="J754" i="102"/>
  <c r="F754" i="102"/>
  <c r="G754" i="102" s="1"/>
  <c r="M753" i="102"/>
  <c r="N753" i="102"/>
  <c r="J753" i="102"/>
  <c r="F753" i="102"/>
  <c r="G753" i="102" s="1"/>
  <c r="M752" i="102"/>
  <c r="N752" i="102"/>
  <c r="J752" i="102"/>
  <c r="F752" i="102"/>
  <c r="G752" i="102" s="1"/>
  <c r="M751" i="102"/>
  <c r="N751" i="102"/>
  <c r="J751" i="102"/>
  <c r="F751" i="102"/>
  <c r="G751" i="102" s="1"/>
  <c r="M750" i="102"/>
  <c r="N750" i="102"/>
  <c r="J750" i="102"/>
  <c r="F750" i="102"/>
  <c r="G750" i="102" s="1"/>
  <c r="M749" i="102"/>
  <c r="N749" i="102"/>
  <c r="J749" i="102"/>
  <c r="F749" i="102"/>
  <c r="G749" i="102" s="1"/>
  <c r="M748" i="102"/>
  <c r="N748" i="102"/>
  <c r="J748" i="102"/>
  <c r="F748" i="102"/>
  <c r="G748" i="102" s="1"/>
  <c r="M747" i="102"/>
  <c r="N747" i="102"/>
  <c r="J747" i="102"/>
  <c r="F747" i="102"/>
  <c r="G747" i="102" s="1"/>
  <c r="M746" i="102"/>
  <c r="N746" i="102"/>
  <c r="J746" i="102"/>
  <c r="F746" i="102"/>
  <c r="G746" i="102" s="1"/>
  <c r="M745" i="102"/>
  <c r="N745" i="102"/>
  <c r="J745" i="102"/>
  <c r="F745" i="102"/>
  <c r="G745" i="102" s="1"/>
  <c r="M744" i="102"/>
  <c r="N744" i="102"/>
  <c r="J744" i="102"/>
  <c r="F744" i="102"/>
  <c r="G744" i="102" s="1"/>
  <c r="M743" i="102"/>
  <c r="N743" i="102"/>
  <c r="J743" i="102"/>
  <c r="F743" i="102"/>
  <c r="G743" i="102" s="1"/>
  <c r="M742" i="102"/>
  <c r="N742" i="102"/>
  <c r="J742" i="102"/>
  <c r="F742" i="102"/>
  <c r="G742" i="102" s="1"/>
  <c r="M741" i="102"/>
  <c r="N741" i="102"/>
  <c r="J741" i="102"/>
  <c r="F741" i="102"/>
  <c r="G741" i="102" s="1"/>
  <c r="M740" i="102"/>
  <c r="N740" i="102"/>
  <c r="J740" i="102"/>
  <c r="F740" i="102"/>
  <c r="G740" i="102" s="1"/>
  <c r="M739" i="102"/>
  <c r="N739" i="102"/>
  <c r="J739" i="102"/>
  <c r="F739" i="102"/>
  <c r="G739" i="102" s="1"/>
  <c r="M738" i="102"/>
  <c r="N738" i="102"/>
  <c r="J738" i="102"/>
  <c r="F738" i="102"/>
  <c r="G738" i="102" s="1"/>
  <c r="M737" i="102"/>
  <c r="N737" i="102"/>
  <c r="J737" i="102"/>
  <c r="F737" i="102"/>
  <c r="G737" i="102" s="1"/>
  <c r="M736" i="102"/>
  <c r="N736" i="102"/>
  <c r="J736" i="102"/>
  <c r="F736" i="102"/>
  <c r="G736" i="102" s="1"/>
  <c r="M735" i="102"/>
  <c r="N735" i="102"/>
  <c r="J735" i="102"/>
  <c r="F735" i="102"/>
  <c r="G735" i="102" s="1"/>
  <c r="M734" i="102"/>
  <c r="N734" i="102"/>
  <c r="J734" i="102"/>
  <c r="F734" i="102"/>
  <c r="G734" i="102" s="1"/>
  <c r="M733" i="102"/>
  <c r="N733" i="102"/>
  <c r="J733" i="102"/>
  <c r="F733" i="102"/>
  <c r="G733" i="102" s="1"/>
  <c r="M732" i="102"/>
  <c r="N732" i="102"/>
  <c r="J732" i="102"/>
  <c r="F732" i="102"/>
  <c r="G732" i="102" s="1"/>
  <c r="M731" i="102"/>
  <c r="N731" i="102"/>
  <c r="J731" i="102"/>
  <c r="F731" i="102"/>
  <c r="G731" i="102" s="1"/>
  <c r="M730" i="102"/>
  <c r="N730" i="102"/>
  <c r="J730" i="102"/>
  <c r="F730" i="102"/>
  <c r="G730" i="102" s="1"/>
  <c r="M729" i="102"/>
  <c r="N729" i="102"/>
  <c r="J729" i="102"/>
  <c r="F729" i="102"/>
  <c r="G729" i="102" s="1"/>
  <c r="M728" i="102"/>
  <c r="N728" i="102"/>
  <c r="J728" i="102"/>
  <c r="F728" i="102"/>
  <c r="G728" i="102" s="1"/>
  <c r="M727" i="102"/>
  <c r="N727" i="102"/>
  <c r="J727" i="102"/>
  <c r="F727" i="102"/>
  <c r="G727" i="102" s="1"/>
  <c r="M726" i="102"/>
  <c r="N726" i="102"/>
  <c r="J726" i="102"/>
  <c r="F726" i="102"/>
  <c r="G726" i="102" s="1"/>
  <c r="M725" i="102"/>
  <c r="N725" i="102"/>
  <c r="J725" i="102"/>
  <c r="F725" i="102"/>
  <c r="G725" i="102" s="1"/>
  <c r="M724" i="102"/>
  <c r="N724" i="102"/>
  <c r="J724" i="102"/>
  <c r="F724" i="102"/>
  <c r="G724" i="102" s="1"/>
  <c r="M723" i="102"/>
  <c r="N723" i="102"/>
  <c r="J723" i="102"/>
  <c r="F723" i="102"/>
  <c r="G723" i="102" s="1"/>
  <c r="M722" i="102"/>
  <c r="N722" i="102"/>
  <c r="J722" i="102"/>
  <c r="F722" i="102"/>
  <c r="G722" i="102" s="1"/>
  <c r="M721" i="102"/>
  <c r="N721" i="102"/>
  <c r="J721" i="102"/>
  <c r="F721" i="102"/>
  <c r="G721" i="102" s="1"/>
  <c r="M720" i="102"/>
  <c r="N720" i="102"/>
  <c r="J720" i="102"/>
  <c r="F720" i="102"/>
  <c r="G720" i="102" s="1"/>
  <c r="M719" i="102"/>
  <c r="N719" i="102"/>
  <c r="J719" i="102"/>
  <c r="F719" i="102"/>
  <c r="G719" i="102" s="1"/>
  <c r="M718" i="102"/>
  <c r="N718" i="102"/>
  <c r="J718" i="102"/>
  <c r="F718" i="102"/>
  <c r="G718" i="102" s="1"/>
  <c r="M717" i="102"/>
  <c r="N717" i="102"/>
  <c r="J717" i="102"/>
  <c r="F717" i="102"/>
  <c r="G717" i="102" s="1"/>
  <c r="M716" i="102"/>
  <c r="N716" i="102"/>
  <c r="J716" i="102"/>
  <c r="F716" i="102"/>
  <c r="G716" i="102" s="1"/>
  <c r="M715" i="102"/>
  <c r="N715" i="102"/>
  <c r="J715" i="102"/>
  <c r="F715" i="102"/>
  <c r="G715" i="102" s="1"/>
  <c r="M714" i="102"/>
  <c r="N714" i="102"/>
  <c r="J714" i="102"/>
  <c r="F714" i="102"/>
  <c r="G714" i="102" s="1"/>
  <c r="M713" i="102"/>
  <c r="N713" i="102"/>
  <c r="J713" i="102"/>
  <c r="F713" i="102"/>
  <c r="G713" i="102" s="1"/>
  <c r="M712" i="102"/>
  <c r="N712" i="102"/>
  <c r="J712" i="102"/>
  <c r="F712" i="102"/>
  <c r="G712" i="102" s="1"/>
  <c r="M711" i="102"/>
  <c r="N711" i="102"/>
  <c r="J711" i="102"/>
  <c r="F711" i="102"/>
  <c r="G711" i="102" s="1"/>
  <c r="M710" i="102"/>
  <c r="N710" i="102"/>
  <c r="J710" i="102"/>
  <c r="F710" i="102"/>
  <c r="G710" i="102" s="1"/>
  <c r="M709" i="102"/>
  <c r="N709" i="102"/>
  <c r="J709" i="102"/>
  <c r="F709" i="102"/>
  <c r="G709" i="102" s="1"/>
  <c r="M708" i="102"/>
  <c r="N708" i="102"/>
  <c r="J708" i="102"/>
  <c r="F708" i="102"/>
  <c r="G708" i="102" s="1"/>
  <c r="M707" i="102"/>
  <c r="N707" i="102"/>
  <c r="J707" i="102"/>
  <c r="F707" i="102"/>
  <c r="G707" i="102" s="1"/>
  <c r="M706" i="102"/>
  <c r="N706" i="102"/>
  <c r="J706" i="102"/>
  <c r="F706" i="102"/>
  <c r="G706" i="102" s="1"/>
  <c r="M705" i="102"/>
  <c r="N705" i="102"/>
  <c r="J705" i="102"/>
  <c r="F705" i="102"/>
  <c r="G705" i="102" s="1"/>
  <c r="M704" i="102"/>
  <c r="N704" i="102"/>
  <c r="J704" i="102"/>
  <c r="F704" i="102"/>
  <c r="G704" i="102" s="1"/>
  <c r="M703" i="102"/>
  <c r="N703" i="102"/>
  <c r="J703" i="102"/>
  <c r="F703" i="102"/>
  <c r="G703" i="102" s="1"/>
  <c r="M702" i="102"/>
  <c r="N702" i="102"/>
  <c r="J702" i="102"/>
  <c r="F702" i="102"/>
  <c r="G702" i="102" s="1"/>
  <c r="M701" i="102"/>
  <c r="N701" i="102"/>
  <c r="J701" i="102"/>
  <c r="F701" i="102"/>
  <c r="G701" i="102" s="1"/>
  <c r="M700" i="102"/>
  <c r="N700" i="102"/>
  <c r="J700" i="102"/>
  <c r="F700" i="102"/>
  <c r="G700" i="102" s="1"/>
  <c r="M699" i="102"/>
  <c r="N699" i="102"/>
  <c r="J699" i="102"/>
  <c r="F699" i="102"/>
  <c r="G699" i="102" s="1"/>
  <c r="M698" i="102"/>
  <c r="N698" i="102"/>
  <c r="J698" i="102"/>
  <c r="F698" i="102"/>
  <c r="G698" i="102" s="1"/>
  <c r="M697" i="102"/>
  <c r="N697" i="102"/>
  <c r="J697" i="102"/>
  <c r="F697" i="102"/>
  <c r="G697" i="102" s="1"/>
  <c r="M696" i="102"/>
  <c r="N696" i="102"/>
  <c r="J696" i="102"/>
  <c r="F696" i="102"/>
  <c r="G696" i="102" s="1"/>
  <c r="M695" i="102"/>
  <c r="N695" i="102"/>
  <c r="J695" i="102"/>
  <c r="F695" i="102"/>
  <c r="G695" i="102" s="1"/>
  <c r="M694" i="102"/>
  <c r="N694" i="102"/>
  <c r="J694" i="102"/>
  <c r="F694" i="102"/>
  <c r="G694" i="102" s="1"/>
  <c r="M693" i="102"/>
  <c r="N693" i="102"/>
  <c r="J693" i="102"/>
  <c r="F693" i="102"/>
  <c r="G693" i="102" s="1"/>
  <c r="M692" i="102"/>
  <c r="N692" i="102"/>
  <c r="J692" i="102"/>
  <c r="F692" i="102"/>
  <c r="G692" i="102" s="1"/>
  <c r="M691" i="102"/>
  <c r="N691" i="102"/>
  <c r="J691" i="102"/>
  <c r="F691" i="102"/>
  <c r="G691" i="102" s="1"/>
  <c r="M690" i="102"/>
  <c r="N690" i="102"/>
  <c r="J690" i="102"/>
  <c r="F690" i="102"/>
  <c r="G690" i="102" s="1"/>
  <c r="M689" i="102"/>
  <c r="N689" i="102"/>
  <c r="J689" i="102"/>
  <c r="F689" i="102"/>
  <c r="G689" i="102" s="1"/>
  <c r="M688" i="102"/>
  <c r="N688" i="102"/>
  <c r="J688" i="102"/>
  <c r="F688" i="102"/>
  <c r="G688" i="102" s="1"/>
  <c r="M687" i="102"/>
  <c r="N687" i="102"/>
  <c r="J687" i="102"/>
  <c r="F687" i="102"/>
  <c r="G687" i="102" s="1"/>
  <c r="M686" i="102"/>
  <c r="N686" i="102"/>
  <c r="J686" i="102"/>
  <c r="F686" i="102"/>
  <c r="G686" i="102" s="1"/>
  <c r="M685" i="102"/>
  <c r="N685" i="102"/>
  <c r="J685" i="102"/>
  <c r="F685" i="102"/>
  <c r="G685" i="102" s="1"/>
  <c r="M684" i="102"/>
  <c r="N684" i="102"/>
  <c r="J684" i="102"/>
  <c r="F684" i="102"/>
  <c r="G684" i="102" s="1"/>
  <c r="M683" i="102"/>
  <c r="N683" i="102"/>
  <c r="J683" i="102"/>
  <c r="F683" i="102"/>
  <c r="G683" i="102" s="1"/>
  <c r="M682" i="102"/>
  <c r="N682" i="102"/>
  <c r="J682" i="102"/>
  <c r="F682" i="102"/>
  <c r="G682" i="102" s="1"/>
  <c r="M681" i="102"/>
  <c r="N681" i="102"/>
  <c r="J681" i="102"/>
  <c r="F681" i="102"/>
  <c r="G681" i="102" s="1"/>
  <c r="M680" i="102"/>
  <c r="N680" i="102"/>
  <c r="O680" i="102" s="1"/>
  <c r="J680" i="102"/>
  <c r="F680" i="102"/>
  <c r="G680" i="102" s="1"/>
  <c r="M679" i="102"/>
  <c r="N679" i="102"/>
  <c r="J679" i="102"/>
  <c r="F679" i="102"/>
  <c r="G679" i="102" s="1"/>
  <c r="M678" i="102"/>
  <c r="N678" i="102"/>
  <c r="J678" i="102"/>
  <c r="F678" i="102"/>
  <c r="G678" i="102" s="1"/>
  <c r="M677" i="102"/>
  <c r="N677" i="102"/>
  <c r="O677" i="102" s="1"/>
  <c r="J677" i="102"/>
  <c r="F677" i="102"/>
  <c r="G677" i="102" s="1"/>
  <c r="M676" i="102"/>
  <c r="N676" i="102"/>
  <c r="J676" i="102"/>
  <c r="F676" i="102"/>
  <c r="G676" i="102" s="1"/>
  <c r="M675" i="102"/>
  <c r="N675" i="102"/>
  <c r="J675" i="102"/>
  <c r="F675" i="102"/>
  <c r="G675" i="102" s="1"/>
  <c r="M674" i="102"/>
  <c r="N674" i="102"/>
  <c r="J674" i="102"/>
  <c r="F674" i="102"/>
  <c r="G674" i="102" s="1"/>
  <c r="M673" i="102"/>
  <c r="N673" i="102"/>
  <c r="J673" i="102"/>
  <c r="F673" i="102"/>
  <c r="G673" i="102" s="1"/>
  <c r="M672" i="102"/>
  <c r="N672" i="102"/>
  <c r="J672" i="102"/>
  <c r="F672" i="102"/>
  <c r="G672" i="102" s="1"/>
  <c r="M671" i="102"/>
  <c r="N671" i="102"/>
  <c r="J671" i="102"/>
  <c r="F671" i="102"/>
  <c r="G671" i="102" s="1"/>
  <c r="M670" i="102"/>
  <c r="N670" i="102"/>
  <c r="J670" i="102"/>
  <c r="F670" i="102"/>
  <c r="G670" i="102" s="1"/>
  <c r="M669" i="102"/>
  <c r="N669" i="102"/>
  <c r="J669" i="102"/>
  <c r="F669" i="102"/>
  <c r="G669" i="102" s="1"/>
  <c r="M668" i="102"/>
  <c r="N668" i="102"/>
  <c r="J668" i="102"/>
  <c r="F668" i="102"/>
  <c r="G668" i="102" s="1"/>
  <c r="M667" i="102"/>
  <c r="N667" i="102"/>
  <c r="J667" i="102"/>
  <c r="F667" i="102"/>
  <c r="G667" i="102" s="1"/>
  <c r="M666" i="102"/>
  <c r="N666" i="102"/>
  <c r="J666" i="102"/>
  <c r="F666" i="102"/>
  <c r="G666" i="102" s="1"/>
  <c r="M665" i="102"/>
  <c r="N665" i="102"/>
  <c r="O665" i="102" s="1"/>
  <c r="J665" i="102"/>
  <c r="F665" i="102"/>
  <c r="G665" i="102" s="1"/>
  <c r="M664" i="102"/>
  <c r="N664" i="102"/>
  <c r="J664" i="102"/>
  <c r="F664" i="102"/>
  <c r="G664" i="102" s="1"/>
  <c r="M663" i="102"/>
  <c r="N663" i="102"/>
  <c r="J663" i="102"/>
  <c r="F663" i="102"/>
  <c r="G663" i="102" s="1"/>
  <c r="M662" i="102"/>
  <c r="N662" i="102"/>
  <c r="J662" i="102"/>
  <c r="F662" i="102"/>
  <c r="G662" i="102" s="1"/>
  <c r="M661" i="102"/>
  <c r="N661" i="102"/>
  <c r="J661" i="102"/>
  <c r="F661" i="102"/>
  <c r="G661" i="102" s="1"/>
  <c r="M660" i="102"/>
  <c r="N660" i="102"/>
  <c r="J660" i="102"/>
  <c r="F660" i="102"/>
  <c r="G660" i="102" s="1"/>
  <c r="M659" i="102"/>
  <c r="N659" i="102"/>
  <c r="J659" i="102"/>
  <c r="F659" i="102"/>
  <c r="G659" i="102" s="1"/>
  <c r="M658" i="102"/>
  <c r="N658" i="102"/>
  <c r="J658" i="102"/>
  <c r="F658" i="102"/>
  <c r="G658" i="102" s="1"/>
  <c r="M657" i="102"/>
  <c r="N657" i="102"/>
  <c r="J657" i="102"/>
  <c r="F657" i="102"/>
  <c r="G657" i="102" s="1"/>
  <c r="M656" i="102"/>
  <c r="N656" i="102"/>
  <c r="J656" i="102"/>
  <c r="F656" i="102"/>
  <c r="G656" i="102" s="1"/>
  <c r="M655" i="102"/>
  <c r="N655" i="102"/>
  <c r="J655" i="102"/>
  <c r="F655" i="102"/>
  <c r="G655" i="102" s="1"/>
  <c r="M654" i="102"/>
  <c r="N654" i="102"/>
  <c r="J654" i="102"/>
  <c r="F654" i="102"/>
  <c r="G654" i="102" s="1"/>
  <c r="M653" i="102"/>
  <c r="N653" i="102"/>
  <c r="J653" i="102"/>
  <c r="F653" i="102"/>
  <c r="G653" i="102" s="1"/>
  <c r="M652" i="102"/>
  <c r="N652" i="102"/>
  <c r="J652" i="102"/>
  <c r="F652" i="102"/>
  <c r="G652" i="102" s="1"/>
  <c r="M651" i="102"/>
  <c r="N651" i="102"/>
  <c r="J651" i="102"/>
  <c r="F651" i="102"/>
  <c r="G651" i="102" s="1"/>
  <c r="M650" i="102"/>
  <c r="N650" i="102"/>
  <c r="J650" i="102"/>
  <c r="F650" i="102"/>
  <c r="G650" i="102" s="1"/>
  <c r="M649" i="102"/>
  <c r="N649" i="102"/>
  <c r="J649" i="102"/>
  <c r="F649" i="102"/>
  <c r="G649" i="102" s="1"/>
  <c r="M648" i="102"/>
  <c r="N648" i="102"/>
  <c r="J648" i="102"/>
  <c r="F648" i="102"/>
  <c r="G648" i="102" s="1"/>
  <c r="M647" i="102"/>
  <c r="N647" i="102"/>
  <c r="J647" i="102"/>
  <c r="F647" i="102"/>
  <c r="G647" i="102" s="1"/>
  <c r="M646" i="102"/>
  <c r="N646" i="102"/>
  <c r="J646" i="102"/>
  <c r="F646" i="102"/>
  <c r="G646" i="102" s="1"/>
  <c r="M645" i="102"/>
  <c r="N645" i="102"/>
  <c r="J645" i="102"/>
  <c r="F645" i="102"/>
  <c r="G645" i="102" s="1"/>
  <c r="M644" i="102"/>
  <c r="N644" i="102"/>
  <c r="J644" i="102"/>
  <c r="F644" i="102"/>
  <c r="G644" i="102" s="1"/>
  <c r="M643" i="102"/>
  <c r="N643" i="102"/>
  <c r="J643" i="102"/>
  <c r="F643" i="102"/>
  <c r="G643" i="102" s="1"/>
  <c r="M642" i="102"/>
  <c r="N642" i="102"/>
  <c r="J642" i="102"/>
  <c r="F642" i="102"/>
  <c r="G642" i="102" s="1"/>
  <c r="M641" i="102"/>
  <c r="N641" i="102"/>
  <c r="J641" i="102"/>
  <c r="F641" i="102"/>
  <c r="G641" i="102" s="1"/>
  <c r="M640" i="102"/>
  <c r="N640" i="102"/>
  <c r="J640" i="102"/>
  <c r="F640" i="102"/>
  <c r="G640" i="102" s="1"/>
  <c r="M639" i="102"/>
  <c r="N639" i="102"/>
  <c r="J639" i="102"/>
  <c r="F639" i="102"/>
  <c r="G639" i="102" s="1"/>
  <c r="M638" i="102"/>
  <c r="N638" i="102"/>
  <c r="J638" i="102"/>
  <c r="F638" i="102"/>
  <c r="G638" i="102" s="1"/>
  <c r="M637" i="102"/>
  <c r="N637" i="102"/>
  <c r="J637" i="102"/>
  <c r="F637" i="102"/>
  <c r="G637" i="102" s="1"/>
  <c r="M636" i="102"/>
  <c r="N636" i="102"/>
  <c r="J636" i="102"/>
  <c r="F636" i="102"/>
  <c r="G636" i="102" s="1"/>
  <c r="M635" i="102"/>
  <c r="N635" i="102"/>
  <c r="J635" i="102"/>
  <c r="F635" i="102"/>
  <c r="G635" i="102" s="1"/>
  <c r="M634" i="102"/>
  <c r="N634" i="102"/>
  <c r="J634" i="102"/>
  <c r="F634" i="102"/>
  <c r="G634" i="102" s="1"/>
  <c r="M633" i="102"/>
  <c r="N633" i="102"/>
  <c r="J633" i="102"/>
  <c r="F633" i="102"/>
  <c r="G633" i="102" s="1"/>
  <c r="M632" i="102"/>
  <c r="N632" i="102"/>
  <c r="J632" i="102"/>
  <c r="F632" i="102"/>
  <c r="G632" i="102" s="1"/>
  <c r="M631" i="102"/>
  <c r="N631" i="102"/>
  <c r="J631" i="102"/>
  <c r="F631" i="102"/>
  <c r="G631" i="102" s="1"/>
  <c r="M630" i="102"/>
  <c r="N630" i="102"/>
  <c r="J630" i="102"/>
  <c r="F630" i="102"/>
  <c r="G630" i="102" s="1"/>
  <c r="M629" i="102"/>
  <c r="N629" i="102"/>
  <c r="J629" i="102"/>
  <c r="F629" i="102"/>
  <c r="G629" i="102" s="1"/>
  <c r="M628" i="102"/>
  <c r="N628" i="102"/>
  <c r="J628" i="102"/>
  <c r="F628" i="102"/>
  <c r="G628" i="102" s="1"/>
  <c r="M627" i="102"/>
  <c r="N627" i="102"/>
  <c r="J627" i="102"/>
  <c r="F627" i="102"/>
  <c r="G627" i="102" s="1"/>
  <c r="M626" i="102"/>
  <c r="N626" i="102"/>
  <c r="J626" i="102"/>
  <c r="F626" i="102"/>
  <c r="G626" i="102" s="1"/>
  <c r="M625" i="102"/>
  <c r="N625" i="102"/>
  <c r="J625" i="102"/>
  <c r="F625" i="102"/>
  <c r="G625" i="102" s="1"/>
  <c r="M624" i="102"/>
  <c r="N624" i="102"/>
  <c r="J624" i="102"/>
  <c r="F624" i="102"/>
  <c r="G624" i="102" s="1"/>
  <c r="M623" i="102"/>
  <c r="N623" i="102"/>
  <c r="J623" i="102"/>
  <c r="F623" i="102"/>
  <c r="G623" i="102" s="1"/>
  <c r="M622" i="102"/>
  <c r="N622" i="102"/>
  <c r="J622" i="102"/>
  <c r="F622" i="102"/>
  <c r="G622" i="102" s="1"/>
  <c r="M621" i="102"/>
  <c r="N621" i="102"/>
  <c r="J621" i="102"/>
  <c r="F621" i="102"/>
  <c r="G621" i="102" s="1"/>
  <c r="M620" i="102"/>
  <c r="N620" i="102"/>
  <c r="J620" i="102"/>
  <c r="F620" i="102"/>
  <c r="G620" i="102" s="1"/>
  <c r="M619" i="102"/>
  <c r="N619" i="102"/>
  <c r="J619" i="102"/>
  <c r="F619" i="102"/>
  <c r="G619" i="102" s="1"/>
  <c r="M618" i="102"/>
  <c r="N618" i="102"/>
  <c r="J618" i="102"/>
  <c r="F618" i="102"/>
  <c r="G618" i="102" s="1"/>
  <c r="M617" i="102"/>
  <c r="N617" i="102"/>
  <c r="J617" i="102"/>
  <c r="F617" i="102"/>
  <c r="G617" i="102" s="1"/>
  <c r="M616" i="102"/>
  <c r="N616" i="102"/>
  <c r="J616" i="102"/>
  <c r="F616" i="102"/>
  <c r="G616" i="102" s="1"/>
  <c r="M615" i="102"/>
  <c r="N615" i="102"/>
  <c r="J615" i="102"/>
  <c r="F615" i="102"/>
  <c r="G615" i="102" s="1"/>
  <c r="M614" i="102"/>
  <c r="N614" i="102"/>
  <c r="J614" i="102"/>
  <c r="F614" i="102"/>
  <c r="G614" i="102" s="1"/>
  <c r="M613" i="102"/>
  <c r="N613" i="102"/>
  <c r="J613" i="102"/>
  <c r="F613" i="102"/>
  <c r="G613" i="102" s="1"/>
  <c r="M612" i="102"/>
  <c r="N612" i="102"/>
  <c r="J612" i="102"/>
  <c r="F612" i="102"/>
  <c r="G612" i="102" s="1"/>
  <c r="M611" i="102"/>
  <c r="N611" i="102"/>
  <c r="J611" i="102"/>
  <c r="F611" i="102"/>
  <c r="G611" i="102" s="1"/>
  <c r="M610" i="102"/>
  <c r="N610" i="102"/>
  <c r="J610" i="102"/>
  <c r="F610" i="102"/>
  <c r="G610" i="102" s="1"/>
  <c r="M609" i="102"/>
  <c r="N609" i="102"/>
  <c r="J609" i="102"/>
  <c r="F609" i="102"/>
  <c r="G609" i="102" s="1"/>
  <c r="M608" i="102"/>
  <c r="N608" i="102"/>
  <c r="J608" i="102"/>
  <c r="F608" i="102"/>
  <c r="G608" i="102" s="1"/>
  <c r="M607" i="102"/>
  <c r="N607" i="102"/>
  <c r="J607" i="102"/>
  <c r="F607" i="102"/>
  <c r="G607" i="102" s="1"/>
  <c r="M606" i="102"/>
  <c r="N606" i="102"/>
  <c r="J606" i="102"/>
  <c r="F606" i="102"/>
  <c r="G606" i="102" s="1"/>
  <c r="M605" i="102"/>
  <c r="N605" i="102"/>
  <c r="J605" i="102"/>
  <c r="F605" i="102"/>
  <c r="G605" i="102" s="1"/>
  <c r="M604" i="102"/>
  <c r="N604" i="102"/>
  <c r="J604" i="102"/>
  <c r="F604" i="102"/>
  <c r="G604" i="102" s="1"/>
  <c r="M603" i="102"/>
  <c r="N603" i="102"/>
  <c r="J603" i="102"/>
  <c r="F603" i="102"/>
  <c r="G603" i="102" s="1"/>
  <c r="M602" i="102"/>
  <c r="N602" i="102"/>
  <c r="J602" i="102"/>
  <c r="F602" i="102"/>
  <c r="G602" i="102" s="1"/>
  <c r="M601" i="102"/>
  <c r="N601" i="102"/>
  <c r="J601" i="102"/>
  <c r="F601" i="102"/>
  <c r="G601" i="102" s="1"/>
  <c r="M600" i="102"/>
  <c r="N600" i="102"/>
  <c r="J600" i="102"/>
  <c r="F600" i="102"/>
  <c r="G600" i="102" s="1"/>
  <c r="M599" i="102"/>
  <c r="N599" i="102"/>
  <c r="J599" i="102"/>
  <c r="F599" i="102"/>
  <c r="G599" i="102" s="1"/>
  <c r="M598" i="102"/>
  <c r="N598" i="102"/>
  <c r="J598" i="102"/>
  <c r="F598" i="102"/>
  <c r="G598" i="102" s="1"/>
  <c r="M597" i="102"/>
  <c r="N597" i="102"/>
  <c r="J597" i="102"/>
  <c r="F597" i="102"/>
  <c r="G597" i="102" s="1"/>
  <c r="M596" i="102"/>
  <c r="N596" i="102"/>
  <c r="J596" i="102"/>
  <c r="F596" i="102"/>
  <c r="G596" i="102" s="1"/>
  <c r="M595" i="102"/>
  <c r="N595" i="102"/>
  <c r="J595" i="102"/>
  <c r="F595" i="102"/>
  <c r="G595" i="102" s="1"/>
  <c r="M594" i="102"/>
  <c r="N594" i="102"/>
  <c r="J594" i="102"/>
  <c r="F594" i="102"/>
  <c r="G594" i="102" s="1"/>
  <c r="M593" i="102"/>
  <c r="N593" i="102"/>
  <c r="J593" i="102"/>
  <c r="F593" i="102"/>
  <c r="G593" i="102" s="1"/>
  <c r="M592" i="102"/>
  <c r="N592" i="102"/>
  <c r="J592" i="102"/>
  <c r="F592" i="102"/>
  <c r="G592" i="102" s="1"/>
  <c r="M591" i="102"/>
  <c r="N591" i="102"/>
  <c r="J591" i="102"/>
  <c r="F591" i="102"/>
  <c r="G591" i="102" s="1"/>
  <c r="M590" i="102"/>
  <c r="N590" i="102"/>
  <c r="J590" i="102"/>
  <c r="F590" i="102"/>
  <c r="G590" i="102" s="1"/>
  <c r="M589" i="102"/>
  <c r="N589" i="102"/>
  <c r="J589" i="102"/>
  <c r="F589" i="102"/>
  <c r="G589" i="102" s="1"/>
  <c r="M588" i="102"/>
  <c r="N588" i="102"/>
  <c r="J588" i="102"/>
  <c r="F588" i="102"/>
  <c r="G588" i="102" s="1"/>
  <c r="M587" i="102"/>
  <c r="N587" i="102"/>
  <c r="J587" i="102"/>
  <c r="F587" i="102"/>
  <c r="G587" i="102" s="1"/>
  <c r="M586" i="102"/>
  <c r="N586" i="102"/>
  <c r="J586" i="102"/>
  <c r="F586" i="102"/>
  <c r="G586" i="102" s="1"/>
  <c r="M585" i="102"/>
  <c r="N585" i="102"/>
  <c r="J585" i="102"/>
  <c r="F585" i="102"/>
  <c r="G585" i="102" s="1"/>
  <c r="M584" i="102"/>
  <c r="N584" i="102"/>
  <c r="J584" i="102"/>
  <c r="F584" i="102"/>
  <c r="G584" i="102" s="1"/>
  <c r="M583" i="102"/>
  <c r="N583" i="102"/>
  <c r="J583" i="102"/>
  <c r="F583" i="102"/>
  <c r="G583" i="102" s="1"/>
  <c r="M582" i="102"/>
  <c r="N582" i="102"/>
  <c r="J582" i="102"/>
  <c r="F582" i="102"/>
  <c r="G582" i="102" s="1"/>
  <c r="M581" i="102"/>
  <c r="N581" i="102"/>
  <c r="J581" i="102"/>
  <c r="F581" i="102"/>
  <c r="G581" i="102" s="1"/>
  <c r="M580" i="102"/>
  <c r="N580" i="102"/>
  <c r="J580" i="102"/>
  <c r="F580" i="102"/>
  <c r="G580" i="102" s="1"/>
  <c r="M579" i="102"/>
  <c r="N579" i="102"/>
  <c r="J579" i="102"/>
  <c r="F579" i="102"/>
  <c r="G579" i="102" s="1"/>
  <c r="M578" i="102"/>
  <c r="N578" i="102"/>
  <c r="J578" i="102"/>
  <c r="F578" i="102"/>
  <c r="G578" i="102" s="1"/>
  <c r="M577" i="102"/>
  <c r="N577" i="102"/>
  <c r="J577" i="102"/>
  <c r="F577" i="102"/>
  <c r="G577" i="102" s="1"/>
  <c r="M576" i="102"/>
  <c r="N576" i="102"/>
  <c r="J576" i="102"/>
  <c r="F576" i="102"/>
  <c r="G576" i="102" s="1"/>
  <c r="M575" i="102"/>
  <c r="N575" i="102"/>
  <c r="J575" i="102"/>
  <c r="F575" i="102"/>
  <c r="G575" i="102" s="1"/>
  <c r="M574" i="102"/>
  <c r="N574" i="102"/>
  <c r="J574" i="102"/>
  <c r="F574" i="102"/>
  <c r="G574" i="102" s="1"/>
  <c r="M573" i="102"/>
  <c r="N573" i="102"/>
  <c r="J573" i="102"/>
  <c r="F573" i="102"/>
  <c r="G573" i="102" s="1"/>
  <c r="M572" i="102"/>
  <c r="N572" i="102"/>
  <c r="J572" i="102"/>
  <c r="F572" i="102"/>
  <c r="G572" i="102" s="1"/>
  <c r="M571" i="102"/>
  <c r="N571" i="102"/>
  <c r="J571" i="102"/>
  <c r="F571" i="102"/>
  <c r="G571" i="102" s="1"/>
  <c r="M570" i="102"/>
  <c r="N570" i="102"/>
  <c r="J570" i="102"/>
  <c r="F570" i="102"/>
  <c r="G570" i="102" s="1"/>
  <c r="M569" i="102"/>
  <c r="N569" i="102"/>
  <c r="J569" i="102"/>
  <c r="F569" i="102"/>
  <c r="G569" i="102" s="1"/>
  <c r="M568" i="102"/>
  <c r="N568" i="102"/>
  <c r="J568" i="102"/>
  <c r="F568" i="102"/>
  <c r="G568" i="102" s="1"/>
  <c r="M567" i="102"/>
  <c r="N567" i="102"/>
  <c r="J567" i="102"/>
  <c r="F567" i="102"/>
  <c r="G567" i="102" s="1"/>
  <c r="M566" i="102"/>
  <c r="N566" i="102"/>
  <c r="J566" i="102"/>
  <c r="F566" i="102"/>
  <c r="G566" i="102" s="1"/>
  <c r="M565" i="102"/>
  <c r="N565" i="102"/>
  <c r="J565" i="102"/>
  <c r="F565" i="102"/>
  <c r="G565" i="102" s="1"/>
  <c r="M564" i="102"/>
  <c r="N564" i="102"/>
  <c r="J564" i="102"/>
  <c r="F564" i="102"/>
  <c r="G564" i="102" s="1"/>
  <c r="M563" i="102"/>
  <c r="N563" i="102"/>
  <c r="J563" i="102"/>
  <c r="F563" i="102"/>
  <c r="G563" i="102" s="1"/>
  <c r="M562" i="102"/>
  <c r="N562" i="102"/>
  <c r="J562" i="102"/>
  <c r="F562" i="102"/>
  <c r="G562" i="102" s="1"/>
  <c r="M561" i="102"/>
  <c r="N561" i="102"/>
  <c r="J561" i="102"/>
  <c r="F561" i="102"/>
  <c r="G561" i="102" s="1"/>
  <c r="M560" i="102"/>
  <c r="N560" i="102"/>
  <c r="J560" i="102"/>
  <c r="F560" i="102"/>
  <c r="G560" i="102" s="1"/>
  <c r="M559" i="102"/>
  <c r="N559" i="102"/>
  <c r="J559" i="102"/>
  <c r="F559" i="102"/>
  <c r="G559" i="102" s="1"/>
  <c r="M558" i="102"/>
  <c r="N558" i="102"/>
  <c r="J558" i="102"/>
  <c r="F558" i="102"/>
  <c r="G558" i="102" s="1"/>
  <c r="M557" i="102"/>
  <c r="N557" i="102"/>
  <c r="J557" i="102"/>
  <c r="F557" i="102"/>
  <c r="G557" i="102" s="1"/>
  <c r="M556" i="102"/>
  <c r="N556" i="102"/>
  <c r="J556" i="102"/>
  <c r="F556" i="102"/>
  <c r="G556" i="102" s="1"/>
  <c r="M555" i="102"/>
  <c r="N555" i="102"/>
  <c r="J555" i="102"/>
  <c r="F555" i="102"/>
  <c r="G555" i="102" s="1"/>
  <c r="M554" i="102"/>
  <c r="N554" i="102"/>
  <c r="J554" i="102"/>
  <c r="F554" i="102"/>
  <c r="G554" i="102" s="1"/>
  <c r="M553" i="102"/>
  <c r="O553" i="102" s="1"/>
  <c r="N553" i="102"/>
  <c r="J553" i="102"/>
  <c r="F553" i="102"/>
  <c r="G553" i="102" s="1"/>
  <c r="M552" i="102"/>
  <c r="N552" i="102"/>
  <c r="J552" i="102"/>
  <c r="F552" i="102"/>
  <c r="G552" i="102" s="1"/>
  <c r="M551" i="102"/>
  <c r="N551" i="102"/>
  <c r="J551" i="102"/>
  <c r="F551" i="102"/>
  <c r="G551" i="102" s="1"/>
  <c r="M550" i="102"/>
  <c r="N550" i="102"/>
  <c r="J550" i="102"/>
  <c r="F550" i="102"/>
  <c r="G550" i="102" s="1"/>
  <c r="M549" i="102"/>
  <c r="N549" i="102"/>
  <c r="J549" i="102"/>
  <c r="F549" i="102"/>
  <c r="G549" i="102" s="1"/>
  <c r="M548" i="102"/>
  <c r="N548" i="102"/>
  <c r="J548" i="102"/>
  <c r="F548" i="102"/>
  <c r="G548" i="102" s="1"/>
  <c r="M547" i="102"/>
  <c r="N547" i="102"/>
  <c r="J547" i="102"/>
  <c r="F547" i="102"/>
  <c r="G547" i="102" s="1"/>
  <c r="M546" i="102"/>
  <c r="N546" i="102"/>
  <c r="J546" i="102"/>
  <c r="F546" i="102"/>
  <c r="G546" i="102" s="1"/>
  <c r="M545" i="102"/>
  <c r="N545" i="102"/>
  <c r="J545" i="102"/>
  <c r="F545" i="102"/>
  <c r="G545" i="102" s="1"/>
  <c r="M544" i="102"/>
  <c r="N544" i="102"/>
  <c r="J544" i="102"/>
  <c r="F544" i="102"/>
  <c r="G544" i="102" s="1"/>
  <c r="M543" i="102"/>
  <c r="N543" i="102"/>
  <c r="J543" i="102"/>
  <c r="F543" i="102"/>
  <c r="G543" i="102" s="1"/>
  <c r="M542" i="102"/>
  <c r="N542" i="102"/>
  <c r="J542" i="102"/>
  <c r="F542" i="102"/>
  <c r="G542" i="102" s="1"/>
  <c r="M541" i="102"/>
  <c r="N541" i="102"/>
  <c r="J541" i="102"/>
  <c r="F541" i="102"/>
  <c r="G541" i="102" s="1"/>
  <c r="M540" i="102"/>
  <c r="N540" i="102"/>
  <c r="J540" i="102"/>
  <c r="F540" i="102"/>
  <c r="G540" i="102" s="1"/>
  <c r="M539" i="102"/>
  <c r="N539" i="102"/>
  <c r="J539" i="102"/>
  <c r="F539" i="102"/>
  <c r="G539" i="102" s="1"/>
  <c r="M538" i="102"/>
  <c r="N538" i="102"/>
  <c r="J538" i="102"/>
  <c r="F538" i="102"/>
  <c r="G538" i="102" s="1"/>
  <c r="M537" i="102"/>
  <c r="N537" i="102"/>
  <c r="J537" i="102"/>
  <c r="F537" i="102"/>
  <c r="G537" i="102" s="1"/>
  <c r="M536" i="102"/>
  <c r="N536" i="102"/>
  <c r="J536" i="102"/>
  <c r="F536" i="102"/>
  <c r="G536" i="102" s="1"/>
  <c r="M535" i="102"/>
  <c r="N535" i="102"/>
  <c r="J535" i="102"/>
  <c r="F535" i="102"/>
  <c r="G535" i="102" s="1"/>
  <c r="M534" i="102"/>
  <c r="N534" i="102"/>
  <c r="J534" i="102"/>
  <c r="F534" i="102"/>
  <c r="G534" i="102" s="1"/>
  <c r="M533" i="102"/>
  <c r="N533" i="102"/>
  <c r="J533" i="102"/>
  <c r="F533" i="102"/>
  <c r="G533" i="102" s="1"/>
  <c r="M532" i="102"/>
  <c r="N532" i="102"/>
  <c r="J532" i="102"/>
  <c r="F532" i="102"/>
  <c r="G532" i="102" s="1"/>
  <c r="M531" i="102"/>
  <c r="N531" i="102"/>
  <c r="J531" i="102"/>
  <c r="F531" i="102"/>
  <c r="G531" i="102" s="1"/>
  <c r="M530" i="102"/>
  <c r="N530" i="102"/>
  <c r="J530" i="102"/>
  <c r="F530" i="102"/>
  <c r="G530" i="102" s="1"/>
  <c r="M529" i="102"/>
  <c r="N529" i="102"/>
  <c r="J529" i="102"/>
  <c r="F529" i="102"/>
  <c r="G529" i="102" s="1"/>
  <c r="M528" i="102"/>
  <c r="N528" i="102"/>
  <c r="J528" i="102"/>
  <c r="F528" i="102"/>
  <c r="G528" i="102" s="1"/>
  <c r="M527" i="102"/>
  <c r="N527" i="102"/>
  <c r="J527" i="102"/>
  <c r="F527" i="102"/>
  <c r="G527" i="102" s="1"/>
  <c r="M526" i="102"/>
  <c r="N526" i="102"/>
  <c r="J526" i="102"/>
  <c r="F526" i="102"/>
  <c r="G526" i="102" s="1"/>
  <c r="M525" i="102"/>
  <c r="N525" i="102"/>
  <c r="J525" i="102"/>
  <c r="F525" i="102"/>
  <c r="G525" i="102" s="1"/>
  <c r="M524" i="102"/>
  <c r="N524" i="102"/>
  <c r="J524" i="102"/>
  <c r="F524" i="102"/>
  <c r="G524" i="102" s="1"/>
  <c r="M523" i="102"/>
  <c r="N523" i="102"/>
  <c r="J523" i="102"/>
  <c r="F523" i="102"/>
  <c r="G523" i="102" s="1"/>
  <c r="M522" i="102"/>
  <c r="N522" i="102"/>
  <c r="J522" i="102"/>
  <c r="F522" i="102"/>
  <c r="G522" i="102" s="1"/>
  <c r="M521" i="102"/>
  <c r="N521" i="102"/>
  <c r="J521" i="102"/>
  <c r="F521" i="102"/>
  <c r="G521" i="102" s="1"/>
  <c r="M520" i="102"/>
  <c r="N520" i="102"/>
  <c r="J520" i="102"/>
  <c r="F520" i="102"/>
  <c r="G520" i="102" s="1"/>
  <c r="M519" i="102"/>
  <c r="N519" i="102"/>
  <c r="J519" i="102"/>
  <c r="F519" i="102"/>
  <c r="G519" i="102" s="1"/>
  <c r="M518" i="102"/>
  <c r="N518" i="102"/>
  <c r="J518" i="102"/>
  <c r="F518" i="102"/>
  <c r="G518" i="102" s="1"/>
  <c r="M517" i="102"/>
  <c r="N517" i="102"/>
  <c r="J517" i="102"/>
  <c r="F517" i="102"/>
  <c r="G517" i="102" s="1"/>
  <c r="M516" i="102"/>
  <c r="N516" i="102"/>
  <c r="J516" i="102"/>
  <c r="F516" i="102"/>
  <c r="G516" i="102" s="1"/>
  <c r="M515" i="102"/>
  <c r="N515" i="102"/>
  <c r="J515" i="102"/>
  <c r="F515" i="102"/>
  <c r="G515" i="102" s="1"/>
  <c r="M514" i="102"/>
  <c r="N514" i="102"/>
  <c r="J514" i="102"/>
  <c r="F514" i="102"/>
  <c r="G514" i="102" s="1"/>
  <c r="M513" i="102"/>
  <c r="N513" i="102"/>
  <c r="J513" i="102"/>
  <c r="F513" i="102"/>
  <c r="G513" i="102" s="1"/>
  <c r="M512" i="102"/>
  <c r="N512" i="102"/>
  <c r="J512" i="102"/>
  <c r="F512" i="102"/>
  <c r="G512" i="102" s="1"/>
  <c r="M511" i="102"/>
  <c r="N511" i="102"/>
  <c r="J511" i="102"/>
  <c r="F511" i="102"/>
  <c r="G511" i="102" s="1"/>
  <c r="M510" i="102"/>
  <c r="N510" i="102"/>
  <c r="J510" i="102"/>
  <c r="F510" i="102"/>
  <c r="G510" i="102" s="1"/>
  <c r="M509" i="102"/>
  <c r="N509" i="102"/>
  <c r="J509" i="102"/>
  <c r="F509" i="102"/>
  <c r="G509" i="102" s="1"/>
  <c r="M508" i="102"/>
  <c r="N508" i="102"/>
  <c r="J508" i="102"/>
  <c r="F508" i="102"/>
  <c r="G508" i="102" s="1"/>
  <c r="M507" i="102"/>
  <c r="N507" i="102"/>
  <c r="J507" i="102"/>
  <c r="F507" i="102"/>
  <c r="G507" i="102" s="1"/>
  <c r="M506" i="102"/>
  <c r="N506" i="102"/>
  <c r="J506" i="102"/>
  <c r="F506" i="102"/>
  <c r="G506" i="102" s="1"/>
  <c r="M505" i="102"/>
  <c r="N505" i="102"/>
  <c r="J505" i="102"/>
  <c r="F505" i="102"/>
  <c r="G505" i="102" s="1"/>
  <c r="M504" i="102"/>
  <c r="N504" i="102"/>
  <c r="J504" i="102"/>
  <c r="F504" i="102"/>
  <c r="G504" i="102" s="1"/>
  <c r="M503" i="102"/>
  <c r="N503" i="102"/>
  <c r="J503" i="102"/>
  <c r="F503" i="102"/>
  <c r="G503" i="102" s="1"/>
  <c r="M502" i="102"/>
  <c r="N502" i="102"/>
  <c r="J502" i="102"/>
  <c r="F502" i="102"/>
  <c r="G502" i="102" s="1"/>
  <c r="M501" i="102"/>
  <c r="N501" i="102"/>
  <c r="J501" i="102"/>
  <c r="F501" i="102"/>
  <c r="G501" i="102" s="1"/>
  <c r="M500" i="102"/>
  <c r="N500" i="102"/>
  <c r="J500" i="102"/>
  <c r="F500" i="102"/>
  <c r="G500" i="102" s="1"/>
  <c r="M499" i="102"/>
  <c r="N499" i="102"/>
  <c r="J499" i="102"/>
  <c r="F499" i="102"/>
  <c r="G499" i="102" s="1"/>
  <c r="M498" i="102"/>
  <c r="N498" i="102"/>
  <c r="J498" i="102"/>
  <c r="F498" i="102"/>
  <c r="G498" i="102" s="1"/>
  <c r="M497" i="102"/>
  <c r="N497" i="102"/>
  <c r="J497" i="102"/>
  <c r="F497" i="102"/>
  <c r="G497" i="102" s="1"/>
  <c r="M496" i="102"/>
  <c r="N496" i="102"/>
  <c r="J496" i="102"/>
  <c r="F496" i="102"/>
  <c r="G496" i="102" s="1"/>
  <c r="M495" i="102"/>
  <c r="N495" i="102"/>
  <c r="J495" i="102"/>
  <c r="F495" i="102"/>
  <c r="G495" i="102" s="1"/>
  <c r="M494" i="102"/>
  <c r="N494" i="102"/>
  <c r="J494" i="102"/>
  <c r="F494" i="102"/>
  <c r="G494" i="102" s="1"/>
  <c r="M493" i="102"/>
  <c r="N493" i="102"/>
  <c r="J493" i="102"/>
  <c r="F493" i="102"/>
  <c r="G493" i="102" s="1"/>
  <c r="M492" i="102"/>
  <c r="N492" i="102"/>
  <c r="J492" i="102"/>
  <c r="F492" i="102"/>
  <c r="G492" i="102" s="1"/>
  <c r="M491" i="102"/>
  <c r="N491" i="102"/>
  <c r="J491" i="102"/>
  <c r="F491" i="102"/>
  <c r="G491" i="102" s="1"/>
  <c r="M490" i="102"/>
  <c r="N490" i="102"/>
  <c r="J490" i="102"/>
  <c r="F490" i="102"/>
  <c r="G490" i="102" s="1"/>
  <c r="M489" i="102"/>
  <c r="O489" i="102" s="1"/>
  <c r="N489" i="102"/>
  <c r="J489" i="102"/>
  <c r="F489" i="102"/>
  <c r="G489" i="102" s="1"/>
  <c r="M488" i="102"/>
  <c r="N488" i="102"/>
  <c r="J488" i="102"/>
  <c r="F488" i="102"/>
  <c r="G488" i="102" s="1"/>
  <c r="M487" i="102"/>
  <c r="N487" i="102"/>
  <c r="J487" i="102"/>
  <c r="F487" i="102"/>
  <c r="G487" i="102" s="1"/>
  <c r="M486" i="102"/>
  <c r="N486" i="102"/>
  <c r="J486" i="102"/>
  <c r="F486" i="102"/>
  <c r="G486" i="102" s="1"/>
  <c r="M485" i="102"/>
  <c r="N485" i="102"/>
  <c r="J485" i="102"/>
  <c r="F485" i="102"/>
  <c r="G485" i="102" s="1"/>
  <c r="M484" i="102"/>
  <c r="N484" i="102"/>
  <c r="J484" i="102"/>
  <c r="F484" i="102"/>
  <c r="G484" i="102" s="1"/>
  <c r="M483" i="102"/>
  <c r="N483" i="102"/>
  <c r="J483" i="102"/>
  <c r="F483" i="102"/>
  <c r="G483" i="102" s="1"/>
  <c r="M482" i="102"/>
  <c r="N482" i="102"/>
  <c r="J482" i="102"/>
  <c r="F482" i="102"/>
  <c r="G482" i="102" s="1"/>
  <c r="M481" i="102"/>
  <c r="N481" i="102"/>
  <c r="J481" i="102"/>
  <c r="F481" i="102"/>
  <c r="G481" i="102" s="1"/>
  <c r="M480" i="102"/>
  <c r="N480" i="102"/>
  <c r="J480" i="102"/>
  <c r="F480" i="102"/>
  <c r="G480" i="102" s="1"/>
  <c r="M479" i="102"/>
  <c r="N479" i="102"/>
  <c r="J479" i="102"/>
  <c r="F479" i="102"/>
  <c r="G479" i="102" s="1"/>
  <c r="M478" i="102"/>
  <c r="N478" i="102"/>
  <c r="J478" i="102"/>
  <c r="F478" i="102"/>
  <c r="G478" i="102" s="1"/>
  <c r="M477" i="102"/>
  <c r="N477" i="102"/>
  <c r="J477" i="102"/>
  <c r="F477" i="102"/>
  <c r="G477" i="102" s="1"/>
  <c r="M476" i="102"/>
  <c r="N476" i="102"/>
  <c r="J476" i="102"/>
  <c r="F476" i="102"/>
  <c r="G476" i="102" s="1"/>
  <c r="M475" i="102"/>
  <c r="N475" i="102"/>
  <c r="J475" i="102"/>
  <c r="F475" i="102"/>
  <c r="G475" i="102" s="1"/>
  <c r="M474" i="102"/>
  <c r="N474" i="102"/>
  <c r="J474" i="102"/>
  <c r="F474" i="102"/>
  <c r="G474" i="102" s="1"/>
  <c r="M473" i="102"/>
  <c r="N473" i="102"/>
  <c r="J473" i="102"/>
  <c r="F473" i="102"/>
  <c r="G473" i="102" s="1"/>
  <c r="M472" i="102"/>
  <c r="N472" i="102"/>
  <c r="J472" i="102"/>
  <c r="F472" i="102"/>
  <c r="G472" i="102" s="1"/>
  <c r="M471" i="102"/>
  <c r="N471" i="102"/>
  <c r="J471" i="102"/>
  <c r="F471" i="102"/>
  <c r="G471" i="102" s="1"/>
  <c r="M470" i="102"/>
  <c r="N470" i="102"/>
  <c r="J470" i="102"/>
  <c r="F470" i="102"/>
  <c r="G470" i="102" s="1"/>
  <c r="M469" i="102"/>
  <c r="N469" i="102"/>
  <c r="J469" i="102"/>
  <c r="F469" i="102"/>
  <c r="G469" i="102" s="1"/>
  <c r="M468" i="102"/>
  <c r="N468" i="102"/>
  <c r="J468" i="102"/>
  <c r="F468" i="102"/>
  <c r="G468" i="102" s="1"/>
  <c r="M467" i="102"/>
  <c r="N467" i="102"/>
  <c r="J467" i="102"/>
  <c r="F467" i="102"/>
  <c r="G467" i="102" s="1"/>
  <c r="M466" i="102"/>
  <c r="N466" i="102"/>
  <c r="J466" i="102"/>
  <c r="F466" i="102"/>
  <c r="G466" i="102" s="1"/>
  <c r="M465" i="102"/>
  <c r="N465" i="102"/>
  <c r="J465" i="102"/>
  <c r="F465" i="102"/>
  <c r="G465" i="102" s="1"/>
  <c r="M464" i="102"/>
  <c r="N464" i="102"/>
  <c r="J464" i="102"/>
  <c r="F464" i="102"/>
  <c r="G464" i="102" s="1"/>
  <c r="M463" i="102"/>
  <c r="N463" i="102"/>
  <c r="J463" i="102"/>
  <c r="F463" i="102"/>
  <c r="G463" i="102" s="1"/>
  <c r="M462" i="102"/>
  <c r="N462" i="102"/>
  <c r="J462" i="102"/>
  <c r="F462" i="102"/>
  <c r="G462" i="102" s="1"/>
  <c r="M461" i="102"/>
  <c r="N461" i="102"/>
  <c r="J461" i="102"/>
  <c r="F461" i="102"/>
  <c r="G461" i="102" s="1"/>
  <c r="M460" i="102"/>
  <c r="N460" i="102"/>
  <c r="J460" i="102"/>
  <c r="F460" i="102"/>
  <c r="G460" i="102" s="1"/>
  <c r="M459" i="102"/>
  <c r="N459" i="102"/>
  <c r="J459" i="102"/>
  <c r="F459" i="102"/>
  <c r="G459" i="102" s="1"/>
  <c r="M458" i="102"/>
  <c r="N458" i="102"/>
  <c r="J458" i="102"/>
  <c r="F458" i="102"/>
  <c r="G458" i="102" s="1"/>
  <c r="M457" i="102"/>
  <c r="N457" i="102"/>
  <c r="J457" i="102"/>
  <c r="F457" i="102"/>
  <c r="G457" i="102" s="1"/>
  <c r="M456" i="102"/>
  <c r="N456" i="102"/>
  <c r="J456" i="102"/>
  <c r="F456" i="102"/>
  <c r="G456" i="102" s="1"/>
  <c r="M455" i="102"/>
  <c r="N455" i="102"/>
  <c r="J455" i="102"/>
  <c r="F455" i="102"/>
  <c r="G455" i="102" s="1"/>
  <c r="M454" i="102"/>
  <c r="N454" i="102"/>
  <c r="J454" i="102"/>
  <c r="F454" i="102"/>
  <c r="G454" i="102" s="1"/>
  <c r="M453" i="102"/>
  <c r="N453" i="102"/>
  <c r="J453" i="102"/>
  <c r="F453" i="102"/>
  <c r="G453" i="102" s="1"/>
  <c r="M452" i="102"/>
  <c r="N452" i="102"/>
  <c r="J452" i="102"/>
  <c r="F452" i="102"/>
  <c r="G452" i="102" s="1"/>
  <c r="M451" i="102"/>
  <c r="N451" i="102"/>
  <c r="J451" i="102"/>
  <c r="F451" i="102"/>
  <c r="G451" i="102" s="1"/>
  <c r="M450" i="102"/>
  <c r="N450" i="102"/>
  <c r="J450" i="102"/>
  <c r="F450" i="102"/>
  <c r="G450" i="102" s="1"/>
  <c r="M449" i="102"/>
  <c r="N449" i="102"/>
  <c r="J449" i="102"/>
  <c r="F449" i="102"/>
  <c r="G449" i="102" s="1"/>
  <c r="M448" i="102"/>
  <c r="N448" i="102"/>
  <c r="J448" i="102"/>
  <c r="F448" i="102"/>
  <c r="G448" i="102" s="1"/>
  <c r="M447" i="102"/>
  <c r="N447" i="102"/>
  <c r="J447" i="102"/>
  <c r="F447" i="102"/>
  <c r="G447" i="102" s="1"/>
  <c r="M446" i="102"/>
  <c r="N446" i="102"/>
  <c r="J446" i="102"/>
  <c r="F446" i="102"/>
  <c r="G446" i="102" s="1"/>
  <c r="M445" i="102"/>
  <c r="N445" i="102"/>
  <c r="J445" i="102"/>
  <c r="F445" i="102"/>
  <c r="G445" i="102" s="1"/>
  <c r="M444" i="102"/>
  <c r="N444" i="102"/>
  <c r="J444" i="102"/>
  <c r="F444" i="102"/>
  <c r="G444" i="102" s="1"/>
  <c r="M443" i="102"/>
  <c r="N443" i="102"/>
  <c r="J443" i="102"/>
  <c r="F443" i="102"/>
  <c r="G443" i="102" s="1"/>
  <c r="M442" i="102"/>
  <c r="N442" i="102"/>
  <c r="J442" i="102"/>
  <c r="F442" i="102"/>
  <c r="G442" i="102" s="1"/>
  <c r="M441" i="102"/>
  <c r="N441" i="102"/>
  <c r="J441" i="102"/>
  <c r="F441" i="102"/>
  <c r="G441" i="102" s="1"/>
  <c r="M440" i="102"/>
  <c r="N440" i="102"/>
  <c r="J440" i="102"/>
  <c r="F440" i="102"/>
  <c r="G440" i="102" s="1"/>
  <c r="M439" i="102"/>
  <c r="N439" i="102"/>
  <c r="J439" i="102"/>
  <c r="F439" i="102"/>
  <c r="G439" i="102" s="1"/>
  <c r="M438" i="102"/>
  <c r="N438" i="102"/>
  <c r="J438" i="102"/>
  <c r="F438" i="102"/>
  <c r="G438" i="102" s="1"/>
  <c r="M437" i="102"/>
  <c r="N437" i="102"/>
  <c r="J437" i="102"/>
  <c r="F437" i="102"/>
  <c r="G437" i="102" s="1"/>
  <c r="M436" i="102"/>
  <c r="N436" i="102"/>
  <c r="J436" i="102"/>
  <c r="F436" i="102"/>
  <c r="G436" i="102" s="1"/>
  <c r="M435" i="102"/>
  <c r="N435" i="102"/>
  <c r="J435" i="102"/>
  <c r="F435" i="102"/>
  <c r="G435" i="102" s="1"/>
  <c r="M434" i="102"/>
  <c r="N434" i="102"/>
  <c r="J434" i="102"/>
  <c r="F434" i="102"/>
  <c r="G434" i="102" s="1"/>
  <c r="M433" i="102"/>
  <c r="N433" i="102"/>
  <c r="J433" i="102"/>
  <c r="F433" i="102"/>
  <c r="G433" i="102" s="1"/>
  <c r="M432" i="102"/>
  <c r="N432" i="102"/>
  <c r="J432" i="102"/>
  <c r="F432" i="102"/>
  <c r="G432" i="102" s="1"/>
  <c r="M431" i="102"/>
  <c r="N431" i="102"/>
  <c r="J431" i="102"/>
  <c r="F431" i="102"/>
  <c r="G431" i="102" s="1"/>
  <c r="M430" i="102"/>
  <c r="N430" i="102"/>
  <c r="J430" i="102"/>
  <c r="F430" i="102"/>
  <c r="G430" i="102" s="1"/>
  <c r="M429" i="102"/>
  <c r="N429" i="102"/>
  <c r="J429" i="102"/>
  <c r="F429" i="102"/>
  <c r="G429" i="102" s="1"/>
  <c r="M428" i="102"/>
  <c r="N428" i="102"/>
  <c r="J428" i="102"/>
  <c r="F428" i="102"/>
  <c r="G428" i="102" s="1"/>
  <c r="M427" i="102"/>
  <c r="N427" i="102"/>
  <c r="J427" i="102"/>
  <c r="F427" i="102"/>
  <c r="G427" i="102" s="1"/>
  <c r="M426" i="102"/>
  <c r="N426" i="102"/>
  <c r="J426" i="102"/>
  <c r="F426" i="102"/>
  <c r="G426" i="102" s="1"/>
  <c r="M425" i="102"/>
  <c r="N425" i="102"/>
  <c r="J425" i="102"/>
  <c r="F425" i="102"/>
  <c r="G425" i="102" s="1"/>
  <c r="M424" i="102"/>
  <c r="O424" i="102" s="1"/>
  <c r="N424" i="102"/>
  <c r="J424" i="102"/>
  <c r="F424" i="102"/>
  <c r="G424" i="102" s="1"/>
  <c r="M423" i="102"/>
  <c r="N423" i="102"/>
  <c r="J423" i="102"/>
  <c r="F423" i="102"/>
  <c r="G423" i="102" s="1"/>
  <c r="M422" i="102"/>
  <c r="N422" i="102"/>
  <c r="J422" i="102"/>
  <c r="F422" i="102"/>
  <c r="G422" i="102" s="1"/>
  <c r="M421" i="102"/>
  <c r="N421" i="102"/>
  <c r="J421" i="102"/>
  <c r="F421" i="102"/>
  <c r="G421" i="102" s="1"/>
  <c r="M420" i="102"/>
  <c r="N420" i="102"/>
  <c r="J420" i="102"/>
  <c r="F420" i="102"/>
  <c r="G420" i="102" s="1"/>
  <c r="M419" i="102"/>
  <c r="N419" i="102"/>
  <c r="J419" i="102"/>
  <c r="F419" i="102"/>
  <c r="G419" i="102" s="1"/>
  <c r="M418" i="102"/>
  <c r="N418" i="102"/>
  <c r="J418" i="102"/>
  <c r="F418" i="102"/>
  <c r="G418" i="102" s="1"/>
  <c r="M417" i="102"/>
  <c r="N417" i="102"/>
  <c r="J417" i="102"/>
  <c r="F417" i="102"/>
  <c r="G417" i="102" s="1"/>
  <c r="M416" i="102"/>
  <c r="N416" i="102"/>
  <c r="J416" i="102"/>
  <c r="F416" i="102"/>
  <c r="G416" i="102" s="1"/>
  <c r="M415" i="102"/>
  <c r="N415" i="102"/>
  <c r="J415" i="102"/>
  <c r="F415" i="102"/>
  <c r="G415" i="102" s="1"/>
  <c r="M414" i="102"/>
  <c r="N414" i="102"/>
  <c r="J414" i="102"/>
  <c r="F414" i="102"/>
  <c r="G414" i="102" s="1"/>
  <c r="M413" i="102"/>
  <c r="N413" i="102"/>
  <c r="J413" i="102"/>
  <c r="F413" i="102"/>
  <c r="G413" i="102" s="1"/>
  <c r="M412" i="102"/>
  <c r="N412" i="102"/>
  <c r="J412" i="102"/>
  <c r="F412" i="102"/>
  <c r="G412" i="102" s="1"/>
  <c r="M411" i="102"/>
  <c r="N411" i="102"/>
  <c r="J411" i="102"/>
  <c r="F411" i="102"/>
  <c r="G411" i="102" s="1"/>
  <c r="M410" i="102"/>
  <c r="N410" i="102"/>
  <c r="J410" i="102"/>
  <c r="F410" i="102"/>
  <c r="G410" i="102" s="1"/>
  <c r="M409" i="102"/>
  <c r="N409" i="102"/>
  <c r="J409" i="102"/>
  <c r="F409" i="102"/>
  <c r="G409" i="102" s="1"/>
  <c r="M408" i="102"/>
  <c r="N408" i="102"/>
  <c r="J408" i="102"/>
  <c r="F408" i="102"/>
  <c r="G408" i="102" s="1"/>
  <c r="M407" i="102"/>
  <c r="N407" i="102"/>
  <c r="J407" i="102"/>
  <c r="F407" i="102"/>
  <c r="G407" i="102" s="1"/>
  <c r="M406" i="102"/>
  <c r="N406" i="102"/>
  <c r="J406" i="102"/>
  <c r="F406" i="102"/>
  <c r="G406" i="102" s="1"/>
  <c r="M405" i="102"/>
  <c r="N405" i="102"/>
  <c r="J405" i="102"/>
  <c r="F405" i="102"/>
  <c r="G405" i="102" s="1"/>
  <c r="M404" i="102"/>
  <c r="N404" i="102"/>
  <c r="J404" i="102"/>
  <c r="F404" i="102"/>
  <c r="G404" i="102" s="1"/>
  <c r="M403" i="102"/>
  <c r="N403" i="102"/>
  <c r="J403" i="102"/>
  <c r="F403" i="102"/>
  <c r="G403" i="102" s="1"/>
  <c r="M402" i="102"/>
  <c r="N402" i="102"/>
  <c r="J402" i="102"/>
  <c r="F402" i="102"/>
  <c r="G402" i="102" s="1"/>
  <c r="M401" i="102"/>
  <c r="N401" i="102"/>
  <c r="J401" i="102"/>
  <c r="F401" i="102"/>
  <c r="G401" i="102" s="1"/>
  <c r="M400" i="102"/>
  <c r="N400" i="102"/>
  <c r="J400" i="102"/>
  <c r="F400" i="102"/>
  <c r="G400" i="102" s="1"/>
  <c r="M399" i="102"/>
  <c r="N399" i="102"/>
  <c r="J399" i="102"/>
  <c r="F399" i="102"/>
  <c r="G399" i="102" s="1"/>
  <c r="M398" i="102"/>
  <c r="N398" i="102"/>
  <c r="J398" i="102"/>
  <c r="F398" i="102"/>
  <c r="G398" i="102" s="1"/>
  <c r="M397" i="102"/>
  <c r="N397" i="102"/>
  <c r="J397" i="102"/>
  <c r="F397" i="102"/>
  <c r="G397" i="102" s="1"/>
  <c r="M396" i="102"/>
  <c r="N396" i="102"/>
  <c r="J396" i="102"/>
  <c r="F396" i="102"/>
  <c r="G396" i="102" s="1"/>
  <c r="M395" i="102"/>
  <c r="N395" i="102"/>
  <c r="J395" i="102"/>
  <c r="F395" i="102"/>
  <c r="G395" i="102" s="1"/>
  <c r="M394" i="102"/>
  <c r="N394" i="102"/>
  <c r="J394" i="102"/>
  <c r="F394" i="102"/>
  <c r="G394" i="102" s="1"/>
  <c r="M393" i="102"/>
  <c r="N393" i="102"/>
  <c r="J393" i="102"/>
  <c r="F393" i="102"/>
  <c r="G393" i="102" s="1"/>
  <c r="M392" i="102"/>
  <c r="N392" i="102"/>
  <c r="J392" i="102"/>
  <c r="F392" i="102"/>
  <c r="G392" i="102" s="1"/>
  <c r="M391" i="102"/>
  <c r="N391" i="102"/>
  <c r="J391" i="102"/>
  <c r="F391" i="102"/>
  <c r="G391" i="102" s="1"/>
  <c r="M390" i="102"/>
  <c r="N390" i="102"/>
  <c r="J390" i="102"/>
  <c r="F390" i="102"/>
  <c r="G390" i="102" s="1"/>
  <c r="M389" i="102"/>
  <c r="N389" i="102"/>
  <c r="J389" i="102"/>
  <c r="F389" i="102"/>
  <c r="G389" i="102" s="1"/>
  <c r="M388" i="102"/>
  <c r="N388" i="102"/>
  <c r="J388" i="102"/>
  <c r="F388" i="102"/>
  <c r="G388" i="102" s="1"/>
  <c r="M387" i="102"/>
  <c r="N387" i="102"/>
  <c r="J387" i="102"/>
  <c r="F387" i="102"/>
  <c r="G387" i="102" s="1"/>
  <c r="M386" i="102"/>
  <c r="N386" i="102"/>
  <c r="J386" i="102"/>
  <c r="F386" i="102"/>
  <c r="G386" i="102" s="1"/>
  <c r="M385" i="102"/>
  <c r="N385" i="102"/>
  <c r="J385" i="102"/>
  <c r="F385" i="102"/>
  <c r="G385" i="102" s="1"/>
  <c r="M384" i="102"/>
  <c r="N384" i="102"/>
  <c r="J384" i="102"/>
  <c r="F384" i="102"/>
  <c r="G384" i="102" s="1"/>
  <c r="M383" i="102"/>
  <c r="N383" i="102"/>
  <c r="J383" i="102"/>
  <c r="F383" i="102"/>
  <c r="G383" i="102" s="1"/>
  <c r="M382" i="102"/>
  <c r="N382" i="102"/>
  <c r="J382" i="102"/>
  <c r="F382" i="102"/>
  <c r="G382" i="102" s="1"/>
  <c r="M381" i="102"/>
  <c r="N381" i="102"/>
  <c r="J381" i="102"/>
  <c r="F381" i="102"/>
  <c r="G381" i="102" s="1"/>
  <c r="M380" i="102"/>
  <c r="N380" i="102"/>
  <c r="J380" i="102"/>
  <c r="F380" i="102"/>
  <c r="G380" i="102" s="1"/>
  <c r="M379" i="102"/>
  <c r="N379" i="102"/>
  <c r="J379" i="102"/>
  <c r="F379" i="102"/>
  <c r="G379" i="102" s="1"/>
  <c r="M378" i="102"/>
  <c r="N378" i="102"/>
  <c r="J378" i="102"/>
  <c r="F378" i="102"/>
  <c r="G378" i="102" s="1"/>
  <c r="M377" i="102"/>
  <c r="N377" i="102"/>
  <c r="J377" i="102"/>
  <c r="F377" i="102"/>
  <c r="G377" i="102" s="1"/>
  <c r="M376" i="102"/>
  <c r="N376" i="102"/>
  <c r="J376" i="102"/>
  <c r="F376" i="102"/>
  <c r="G376" i="102" s="1"/>
  <c r="M375" i="102"/>
  <c r="N375" i="102"/>
  <c r="J375" i="102"/>
  <c r="F375" i="102"/>
  <c r="G375" i="102" s="1"/>
  <c r="M374" i="102"/>
  <c r="N374" i="102"/>
  <c r="J374" i="102"/>
  <c r="F374" i="102"/>
  <c r="G374" i="102" s="1"/>
  <c r="M373" i="102"/>
  <c r="N373" i="102"/>
  <c r="J373" i="102"/>
  <c r="F373" i="102"/>
  <c r="G373" i="102" s="1"/>
  <c r="M372" i="102"/>
  <c r="N372" i="102"/>
  <c r="J372" i="102"/>
  <c r="F372" i="102"/>
  <c r="G372" i="102" s="1"/>
  <c r="M371" i="102"/>
  <c r="N371" i="102"/>
  <c r="J371" i="102"/>
  <c r="F371" i="102"/>
  <c r="G371" i="102" s="1"/>
  <c r="M370" i="102"/>
  <c r="N370" i="102"/>
  <c r="J370" i="102"/>
  <c r="F370" i="102"/>
  <c r="G370" i="102" s="1"/>
  <c r="M369" i="102"/>
  <c r="N369" i="102"/>
  <c r="J369" i="102"/>
  <c r="F369" i="102"/>
  <c r="G369" i="102" s="1"/>
  <c r="M368" i="102"/>
  <c r="N368" i="102"/>
  <c r="J368" i="102"/>
  <c r="F368" i="102"/>
  <c r="G368" i="102" s="1"/>
  <c r="M367" i="102"/>
  <c r="N367" i="102"/>
  <c r="J367" i="102"/>
  <c r="F367" i="102"/>
  <c r="G367" i="102" s="1"/>
  <c r="M366" i="102"/>
  <c r="N366" i="102"/>
  <c r="J366" i="102"/>
  <c r="F366" i="102"/>
  <c r="G366" i="102" s="1"/>
  <c r="M365" i="102"/>
  <c r="N365" i="102"/>
  <c r="J365" i="102"/>
  <c r="F365" i="102"/>
  <c r="G365" i="102" s="1"/>
  <c r="M364" i="102"/>
  <c r="N364" i="102"/>
  <c r="J364" i="102"/>
  <c r="F364" i="102"/>
  <c r="G364" i="102" s="1"/>
  <c r="M363" i="102"/>
  <c r="N363" i="102"/>
  <c r="J363" i="102"/>
  <c r="F363" i="102"/>
  <c r="G363" i="102" s="1"/>
  <c r="M362" i="102"/>
  <c r="N362" i="102"/>
  <c r="J362" i="102"/>
  <c r="F362" i="102"/>
  <c r="G362" i="102" s="1"/>
  <c r="M361" i="102"/>
  <c r="N361" i="102"/>
  <c r="J361" i="102"/>
  <c r="F361" i="102"/>
  <c r="G361" i="102" s="1"/>
  <c r="M360" i="102"/>
  <c r="O360" i="102" s="1"/>
  <c r="N360" i="102"/>
  <c r="J360" i="102"/>
  <c r="F360" i="102"/>
  <c r="G360" i="102" s="1"/>
  <c r="M359" i="102"/>
  <c r="N359" i="102"/>
  <c r="J359" i="102"/>
  <c r="F359" i="102"/>
  <c r="G359" i="102" s="1"/>
  <c r="M358" i="102"/>
  <c r="N358" i="102"/>
  <c r="J358" i="102"/>
  <c r="F358" i="102"/>
  <c r="G358" i="102" s="1"/>
  <c r="M357" i="102"/>
  <c r="N357" i="102"/>
  <c r="J357" i="102"/>
  <c r="F357" i="102"/>
  <c r="G357" i="102" s="1"/>
  <c r="M356" i="102"/>
  <c r="N356" i="102"/>
  <c r="J356" i="102"/>
  <c r="F356" i="102"/>
  <c r="G356" i="102" s="1"/>
  <c r="M355" i="102"/>
  <c r="N355" i="102"/>
  <c r="J355" i="102"/>
  <c r="F355" i="102"/>
  <c r="G355" i="102" s="1"/>
  <c r="M354" i="102"/>
  <c r="N354" i="102"/>
  <c r="J354" i="102"/>
  <c r="F354" i="102"/>
  <c r="G354" i="102" s="1"/>
  <c r="M353" i="102"/>
  <c r="N353" i="102"/>
  <c r="J353" i="102"/>
  <c r="F353" i="102"/>
  <c r="G353" i="102" s="1"/>
  <c r="M352" i="102"/>
  <c r="N352" i="102"/>
  <c r="J352" i="102"/>
  <c r="F352" i="102"/>
  <c r="G352" i="102" s="1"/>
  <c r="M351" i="102"/>
  <c r="N351" i="102"/>
  <c r="J351" i="102"/>
  <c r="F351" i="102"/>
  <c r="G351" i="102" s="1"/>
  <c r="M350" i="102"/>
  <c r="N350" i="102"/>
  <c r="J350" i="102"/>
  <c r="F350" i="102"/>
  <c r="G350" i="102" s="1"/>
  <c r="M349" i="102"/>
  <c r="N349" i="102"/>
  <c r="J349" i="102"/>
  <c r="F349" i="102"/>
  <c r="G349" i="102" s="1"/>
  <c r="M348" i="102"/>
  <c r="N348" i="102"/>
  <c r="J348" i="102"/>
  <c r="F348" i="102"/>
  <c r="G348" i="102" s="1"/>
  <c r="M347" i="102"/>
  <c r="N347" i="102"/>
  <c r="J347" i="102"/>
  <c r="F347" i="102"/>
  <c r="G347" i="102" s="1"/>
  <c r="M346" i="102"/>
  <c r="N346" i="102"/>
  <c r="J346" i="102"/>
  <c r="F346" i="102"/>
  <c r="G346" i="102" s="1"/>
  <c r="M345" i="102"/>
  <c r="N345" i="102"/>
  <c r="J345" i="102"/>
  <c r="F345" i="102"/>
  <c r="G345" i="102" s="1"/>
  <c r="M344" i="102"/>
  <c r="N344" i="102"/>
  <c r="J344" i="102"/>
  <c r="F344" i="102"/>
  <c r="G344" i="102" s="1"/>
  <c r="M343" i="102"/>
  <c r="N343" i="102"/>
  <c r="J343" i="102"/>
  <c r="F343" i="102"/>
  <c r="G343" i="102" s="1"/>
  <c r="M342" i="102"/>
  <c r="N342" i="102"/>
  <c r="J342" i="102"/>
  <c r="F342" i="102"/>
  <c r="G342" i="102" s="1"/>
  <c r="M341" i="102"/>
  <c r="N341" i="102"/>
  <c r="J341" i="102"/>
  <c r="F341" i="102"/>
  <c r="G341" i="102" s="1"/>
  <c r="M340" i="102"/>
  <c r="N340" i="102"/>
  <c r="J340" i="102"/>
  <c r="F340" i="102"/>
  <c r="G340" i="102" s="1"/>
  <c r="M339" i="102"/>
  <c r="N339" i="102"/>
  <c r="J339" i="102"/>
  <c r="F339" i="102"/>
  <c r="G339" i="102" s="1"/>
  <c r="M338" i="102"/>
  <c r="N338" i="102"/>
  <c r="J338" i="102"/>
  <c r="F338" i="102"/>
  <c r="G338" i="102" s="1"/>
  <c r="M337" i="102"/>
  <c r="N337" i="102"/>
  <c r="J337" i="102"/>
  <c r="F337" i="102"/>
  <c r="G337" i="102" s="1"/>
  <c r="M336" i="102"/>
  <c r="N336" i="102"/>
  <c r="J336" i="102"/>
  <c r="F336" i="102"/>
  <c r="G336" i="102" s="1"/>
  <c r="M335" i="102"/>
  <c r="N335" i="102"/>
  <c r="J335" i="102"/>
  <c r="F335" i="102"/>
  <c r="G335" i="102" s="1"/>
  <c r="M334" i="102"/>
  <c r="N334" i="102"/>
  <c r="J334" i="102"/>
  <c r="F334" i="102"/>
  <c r="G334" i="102" s="1"/>
  <c r="M333" i="102"/>
  <c r="N333" i="102"/>
  <c r="J333" i="102"/>
  <c r="F333" i="102"/>
  <c r="G333" i="102" s="1"/>
  <c r="M332" i="102"/>
  <c r="N332" i="102"/>
  <c r="J332" i="102"/>
  <c r="F332" i="102"/>
  <c r="G332" i="102" s="1"/>
  <c r="M331" i="102"/>
  <c r="N331" i="102"/>
  <c r="J331" i="102"/>
  <c r="F331" i="102"/>
  <c r="G331" i="102" s="1"/>
  <c r="M330" i="102"/>
  <c r="N330" i="102"/>
  <c r="J330" i="102"/>
  <c r="F330" i="102"/>
  <c r="G330" i="102" s="1"/>
  <c r="M329" i="102"/>
  <c r="N329" i="102"/>
  <c r="J329" i="102"/>
  <c r="F329" i="102"/>
  <c r="G329" i="102" s="1"/>
  <c r="M328" i="102"/>
  <c r="N328" i="102"/>
  <c r="J328" i="102"/>
  <c r="F328" i="102"/>
  <c r="G328" i="102" s="1"/>
  <c r="M327" i="102"/>
  <c r="N327" i="102"/>
  <c r="J327" i="102"/>
  <c r="F327" i="102"/>
  <c r="G327" i="102" s="1"/>
  <c r="M326" i="102"/>
  <c r="N326" i="102"/>
  <c r="J326" i="102"/>
  <c r="F326" i="102"/>
  <c r="G326" i="102" s="1"/>
  <c r="M325" i="102"/>
  <c r="N325" i="102"/>
  <c r="J325" i="102"/>
  <c r="F325" i="102"/>
  <c r="G325" i="102" s="1"/>
  <c r="M324" i="102"/>
  <c r="N324" i="102"/>
  <c r="J324" i="102"/>
  <c r="F324" i="102"/>
  <c r="G324" i="102" s="1"/>
  <c r="M323" i="102"/>
  <c r="N323" i="102"/>
  <c r="J323" i="102"/>
  <c r="F323" i="102"/>
  <c r="G323" i="102" s="1"/>
  <c r="M322" i="102"/>
  <c r="N322" i="102"/>
  <c r="J322" i="102"/>
  <c r="F322" i="102"/>
  <c r="G322" i="102" s="1"/>
  <c r="M321" i="102"/>
  <c r="N321" i="102"/>
  <c r="J321" i="102"/>
  <c r="F321" i="102"/>
  <c r="G321" i="102" s="1"/>
  <c r="M320" i="102"/>
  <c r="N320" i="102"/>
  <c r="J320" i="102"/>
  <c r="F320" i="102"/>
  <c r="G320" i="102" s="1"/>
  <c r="M319" i="102"/>
  <c r="N319" i="102"/>
  <c r="J319" i="102"/>
  <c r="F319" i="102"/>
  <c r="G319" i="102" s="1"/>
  <c r="M318" i="102"/>
  <c r="N318" i="102"/>
  <c r="J318" i="102"/>
  <c r="F318" i="102"/>
  <c r="G318" i="102" s="1"/>
  <c r="M317" i="102"/>
  <c r="N317" i="102"/>
  <c r="J317" i="102"/>
  <c r="F317" i="102"/>
  <c r="G317" i="102" s="1"/>
  <c r="M316" i="102"/>
  <c r="N316" i="102"/>
  <c r="J316" i="102"/>
  <c r="F316" i="102"/>
  <c r="G316" i="102" s="1"/>
  <c r="M315" i="102"/>
  <c r="N315" i="102"/>
  <c r="J315" i="102"/>
  <c r="F315" i="102"/>
  <c r="G315" i="102" s="1"/>
  <c r="M314" i="102"/>
  <c r="N314" i="102"/>
  <c r="J314" i="102"/>
  <c r="F314" i="102"/>
  <c r="G314" i="102" s="1"/>
  <c r="M313" i="102"/>
  <c r="N313" i="102"/>
  <c r="J313" i="102"/>
  <c r="F313" i="102"/>
  <c r="G313" i="102" s="1"/>
  <c r="M312" i="102"/>
  <c r="N312" i="102"/>
  <c r="J312" i="102"/>
  <c r="F312" i="102"/>
  <c r="G312" i="102" s="1"/>
  <c r="M311" i="102"/>
  <c r="N311" i="102"/>
  <c r="J311" i="102"/>
  <c r="F311" i="102"/>
  <c r="G311" i="102" s="1"/>
  <c r="M310" i="102"/>
  <c r="N310" i="102"/>
  <c r="J310" i="102"/>
  <c r="F310" i="102"/>
  <c r="G310" i="102" s="1"/>
  <c r="M309" i="102"/>
  <c r="N309" i="102"/>
  <c r="J309" i="102"/>
  <c r="F309" i="102"/>
  <c r="G309" i="102" s="1"/>
  <c r="M308" i="102"/>
  <c r="N308" i="102"/>
  <c r="J308" i="102"/>
  <c r="F308" i="102"/>
  <c r="G308" i="102" s="1"/>
  <c r="M307" i="102"/>
  <c r="N307" i="102"/>
  <c r="J307" i="102"/>
  <c r="F307" i="102"/>
  <c r="G307" i="102" s="1"/>
  <c r="M306" i="102"/>
  <c r="N306" i="102"/>
  <c r="J306" i="102"/>
  <c r="F306" i="102"/>
  <c r="G306" i="102" s="1"/>
  <c r="M305" i="102"/>
  <c r="N305" i="102"/>
  <c r="J305" i="102"/>
  <c r="F305" i="102"/>
  <c r="G305" i="102" s="1"/>
  <c r="M304" i="102"/>
  <c r="N304" i="102"/>
  <c r="J304" i="102"/>
  <c r="F304" i="102"/>
  <c r="G304" i="102" s="1"/>
  <c r="M303" i="102"/>
  <c r="N303" i="102"/>
  <c r="J303" i="102"/>
  <c r="F303" i="102"/>
  <c r="G303" i="102" s="1"/>
  <c r="M302" i="102"/>
  <c r="N302" i="102"/>
  <c r="J302" i="102"/>
  <c r="F302" i="102"/>
  <c r="G302" i="102" s="1"/>
  <c r="M301" i="102"/>
  <c r="N301" i="102"/>
  <c r="J301" i="102"/>
  <c r="F301" i="102"/>
  <c r="G301" i="102" s="1"/>
  <c r="M300" i="102"/>
  <c r="N300" i="102"/>
  <c r="J300" i="102"/>
  <c r="F300" i="102"/>
  <c r="G300" i="102" s="1"/>
  <c r="M299" i="102"/>
  <c r="N299" i="102"/>
  <c r="J299" i="102"/>
  <c r="F299" i="102"/>
  <c r="G299" i="102" s="1"/>
  <c r="M298" i="102"/>
  <c r="N298" i="102"/>
  <c r="J298" i="102"/>
  <c r="F298" i="102"/>
  <c r="G298" i="102" s="1"/>
  <c r="M297" i="102"/>
  <c r="N297" i="102"/>
  <c r="J297" i="102"/>
  <c r="F297" i="102"/>
  <c r="G297" i="102" s="1"/>
  <c r="M296" i="102"/>
  <c r="N296" i="102"/>
  <c r="J296" i="102"/>
  <c r="F296" i="102"/>
  <c r="G296" i="102" s="1"/>
  <c r="M295" i="102"/>
  <c r="N295" i="102"/>
  <c r="J295" i="102"/>
  <c r="F295" i="102"/>
  <c r="G295" i="102" s="1"/>
  <c r="M294" i="102"/>
  <c r="N294" i="102"/>
  <c r="J294" i="102"/>
  <c r="F294" i="102"/>
  <c r="G294" i="102" s="1"/>
  <c r="M293" i="102"/>
  <c r="N293" i="102"/>
  <c r="J293" i="102"/>
  <c r="F293" i="102"/>
  <c r="G293" i="102" s="1"/>
  <c r="M292" i="102"/>
  <c r="O292" i="102" s="1"/>
  <c r="N292" i="102"/>
  <c r="J292" i="102"/>
  <c r="F292" i="102"/>
  <c r="G292" i="102" s="1"/>
  <c r="M291" i="102"/>
  <c r="N291" i="102"/>
  <c r="J291" i="102"/>
  <c r="F291" i="102"/>
  <c r="G291" i="102" s="1"/>
  <c r="M290" i="102"/>
  <c r="N290" i="102"/>
  <c r="J290" i="102"/>
  <c r="F290" i="102"/>
  <c r="G290" i="102" s="1"/>
  <c r="M289" i="102"/>
  <c r="N289" i="102"/>
  <c r="J289" i="102"/>
  <c r="F289" i="102"/>
  <c r="G289" i="102" s="1"/>
  <c r="M288" i="102"/>
  <c r="N288" i="102"/>
  <c r="J288" i="102"/>
  <c r="F288" i="102"/>
  <c r="G288" i="102" s="1"/>
  <c r="M287" i="102"/>
  <c r="N287" i="102"/>
  <c r="J287" i="102"/>
  <c r="F287" i="102"/>
  <c r="G287" i="102" s="1"/>
  <c r="M286" i="102"/>
  <c r="N286" i="102"/>
  <c r="J286" i="102"/>
  <c r="F286" i="102"/>
  <c r="G286" i="102" s="1"/>
  <c r="M285" i="102"/>
  <c r="N285" i="102"/>
  <c r="J285" i="102"/>
  <c r="F285" i="102"/>
  <c r="G285" i="102" s="1"/>
  <c r="M284" i="102"/>
  <c r="N284" i="102"/>
  <c r="J284" i="102"/>
  <c r="F284" i="102"/>
  <c r="G284" i="102" s="1"/>
  <c r="M283" i="102"/>
  <c r="N283" i="102"/>
  <c r="J283" i="102"/>
  <c r="F283" i="102"/>
  <c r="G283" i="102" s="1"/>
  <c r="M282" i="102"/>
  <c r="N282" i="102"/>
  <c r="J282" i="102"/>
  <c r="F282" i="102"/>
  <c r="G282" i="102" s="1"/>
  <c r="M281" i="102"/>
  <c r="N281" i="102"/>
  <c r="J281" i="102"/>
  <c r="F281" i="102"/>
  <c r="G281" i="102" s="1"/>
  <c r="M280" i="102"/>
  <c r="N280" i="102"/>
  <c r="J280" i="102"/>
  <c r="F280" i="102"/>
  <c r="G280" i="102" s="1"/>
  <c r="M279" i="102"/>
  <c r="N279" i="102"/>
  <c r="J279" i="102"/>
  <c r="F279" i="102"/>
  <c r="G279" i="102" s="1"/>
  <c r="M278" i="102"/>
  <c r="N278" i="102"/>
  <c r="J278" i="102"/>
  <c r="F278" i="102"/>
  <c r="G278" i="102" s="1"/>
  <c r="M277" i="102"/>
  <c r="N277" i="102"/>
  <c r="J277" i="102"/>
  <c r="F277" i="102"/>
  <c r="G277" i="102" s="1"/>
  <c r="M276" i="102"/>
  <c r="N276" i="102"/>
  <c r="J276" i="102"/>
  <c r="F276" i="102"/>
  <c r="G276" i="102" s="1"/>
  <c r="M275" i="102"/>
  <c r="N275" i="102"/>
  <c r="J275" i="102"/>
  <c r="F275" i="102"/>
  <c r="G275" i="102" s="1"/>
  <c r="M274" i="102"/>
  <c r="N274" i="102"/>
  <c r="J274" i="102"/>
  <c r="F274" i="102"/>
  <c r="G274" i="102" s="1"/>
  <c r="M273" i="102"/>
  <c r="N273" i="102"/>
  <c r="J273" i="102"/>
  <c r="F273" i="102"/>
  <c r="G273" i="102" s="1"/>
  <c r="M272" i="102"/>
  <c r="N272" i="102"/>
  <c r="J272" i="102"/>
  <c r="F272" i="102"/>
  <c r="G272" i="102" s="1"/>
  <c r="M271" i="102"/>
  <c r="N271" i="102"/>
  <c r="J271" i="102"/>
  <c r="F271" i="102"/>
  <c r="G271" i="102" s="1"/>
  <c r="M270" i="102"/>
  <c r="N270" i="102"/>
  <c r="J270" i="102"/>
  <c r="F270" i="102"/>
  <c r="G270" i="102" s="1"/>
  <c r="M269" i="102"/>
  <c r="N269" i="102"/>
  <c r="J269" i="102"/>
  <c r="F269" i="102"/>
  <c r="G269" i="102" s="1"/>
  <c r="M268" i="102"/>
  <c r="N268" i="102"/>
  <c r="J268" i="102"/>
  <c r="F268" i="102"/>
  <c r="G268" i="102" s="1"/>
  <c r="M267" i="102"/>
  <c r="N267" i="102"/>
  <c r="J267" i="102"/>
  <c r="F267" i="102"/>
  <c r="G267" i="102" s="1"/>
  <c r="M266" i="102"/>
  <c r="N266" i="102"/>
  <c r="J266" i="102"/>
  <c r="F266" i="102"/>
  <c r="G266" i="102" s="1"/>
  <c r="M265" i="102"/>
  <c r="N265" i="102"/>
  <c r="J265" i="102"/>
  <c r="F265" i="102"/>
  <c r="G265" i="102" s="1"/>
  <c r="M264" i="102"/>
  <c r="N264" i="102"/>
  <c r="J264" i="102"/>
  <c r="F264" i="102"/>
  <c r="G264" i="102" s="1"/>
  <c r="M263" i="102"/>
  <c r="N263" i="102"/>
  <c r="J263" i="102"/>
  <c r="F263" i="102"/>
  <c r="G263" i="102" s="1"/>
  <c r="M262" i="102"/>
  <c r="N262" i="102"/>
  <c r="J262" i="102"/>
  <c r="F262" i="102"/>
  <c r="G262" i="102" s="1"/>
  <c r="M261" i="102"/>
  <c r="N261" i="102"/>
  <c r="J261" i="102"/>
  <c r="F261" i="102"/>
  <c r="G261" i="102" s="1"/>
  <c r="M260" i="102"/>
  <c r="N260" i="102"/>
  <c r="J260" i="102"/>
  <c r="F260" i="102"/>
  <c r="G260" i="102" s="1"/>
  <c r="M259" i="102"/>
  <c r="N259" i="102"/>
  <c r="J259" i="102"/>
  <c r="F259" i="102"/>
  <c r="G259" i="102" s="1"/>
  <c r="M258" i="102"/>
  <c r="N258" i="102"/>
  <c r="J258" i="102"/>
  <c r="F258" i="102"/>
  <c r="G258" i="102" s="1"/>
  <c r="M257" i="102"/>
  <c r="N257" i="102"/>
  <c r="J257" i="102"/>
  <c r="F257" i="102"/>
  <c r="G257" i="102" s="1"/>
  <c r="M256" i="102"/>
  <c r="N256" i="102"/>
  <c r="J256" i="102"/>
  <c r="F256" i="102"/>
  <c r="G256" i="102" s="1"/>
  <c r="M255" i="102"/>
  <c r="N255" i="102"/>
  <c r="J255" i="102"/>
  <c r="F255" i="102"/>
  <c r="G255" i="102" s="1"/>
  <c r="M254" i="102"/>
  <c r="N254" i="102"/>
  <c r="J254" i="102"/>
  <c r="F254" i="102"/>
  <c r="G254" i="102" s="1"/>
  <c r="M253" i="102"/>
  <c r="N253" i="102"/>
  <c r="J253" i="102"/>
  <c r="F253" i="102"/>
  <c r="G253" i="102" s="1"/>
  <c r="M252" i="102"/>
  <c r="N252" i="102"/>
  <c r="J252" i="102"/>
  <c r="F252" i="102"/>
  <c r="G252" i="102" s="1"/>
  <c r="M251" i="102"/>
  <c r="N251" i="102"/>
  <c r="J251" i="102"/>
  <c r="F251" i="102"/>
  <c r="G251" i="102" s="1"/>
  <c r="M250" i="102"/>
  <c r="N250" i="102"/>
  <c r="J250" i="102"/>
  <c r="F250" i="102"/>
  <c r="G250" i="102" s="1"/>
  <c r="M249" i="102"/>
  <c r="N249" i="102"/>
  <c r="J249" i="102"/>
  <c r="F249" i="102"/>
  <c r="G249" i="102" s="1"/>
  <c r="M248" i="102"/>
  <c r="N248" i="102"/>
  <c r="J248" i="102"/>
  <c r="F248" i="102"/>
  <c r="G248" i="102" s="1"/>
  <c r="M247" i="102"/>
  <c r="N247" i="102"/>
  <c r="J247" i="102"/>
  <c r="F247" i="102"/>
  <c r="G247" i="102" s="1"/>
  <c r="M246" i="102"/>
  <c r="N246" i="102"/>
  <c r="J246" i="102"/>
  <c r="F246" i="102"/>
  <c r="G246" i="102" s="1"/>
  <c r="M245" i="102"/>
  <c r="N245" i="102"/>
  <c r="J245" i="102"/>
  <c r="F245" i="102"/>
  <c r="G245" i="102" s="1"/>
  <c r="M244" i="102"/>
  <c r="N244" i="102"/>
  <c r="J244" i="102"/>
  <c r="F244" i="102"/>
  <c r="G244" i="102" s="1"/>
  <c r="M243" i="102"/>
  <c r="N243" i="102"/>
  <c r="J243" i="102"/>
  <c r="F243" i="102"/>
  <c r="G243" i="102" s="1"/>
  <c r="M242" i="102"/>
  <c r="N242" i="102"/>
  <c r="J242" i="102"/>
  <c r="F242" i="102"/>
  <c r="G242" i="102" s="1"/>
  <c r="M241" i="102"/>
  <c r="N241" i="102"/>
  <c r="J241" i="102"/>
  <c r="F241" i="102"/>
  <c r="G241" i="102" s="1"/>
  <c r="M240" i="102"/>
  <c r="N240" i="102"/>
  <c r="J240" i="102"/>
  <c r="F240" i="102"/>
  <c r="G240" i="102" s="1"/>
  <c r="M239" i="102"/>
  <c r="N239" i="102"/>
  <c r="J239" i="102"/>
  <c r="F239" i="102"/>
  <c r="G239" i="102" s="1"/>
  <c r="M238" i="102"/>
  <c r="N238" i="102"/>
  <c r="J238" i="102"/>
  <c r="F238" i="102"/>
  <c r="G238" i="102" s="1"/>
  <c r="M237" i="102"/>
  <c r="N237" i="102"/>
  <c r="J237" i="102"/>
  <c r="F237" i="102"/>
  <c r="G237" i="102" s="1"/>
  <c r="M236" i="102"/>
  <c r="N236" i="102"/>
  <c r="J236" i="102"/>
  <c r="F236" i="102"/>
  <c r="G236" i="102" s="1"/>
  <c r="M235" i="102"/>
  <c r="N235" i="102"/>
  <c r="J235" i="102"/>
  <c r="F235" i="102"/>
  <c r="G235" i="102" s="1"/>
  <c r="M234" i="102"/>
  <c r="N234" i="102"/>
  <c r="J234" i="102"/>
  <c r="F234" i="102"/>
  <c r="G234" i="102" s="1"/>
  <c r="M233" i="102"/>
  <c r="N233" i="102"/>
  <c r="J233" i="102"/>
  <c r="F233" i="102"/>
  <c r="G233" i="102" s="1"/>
  <c r="M232" i="102"/>
  <c r="N232" i="102"/>
  <c r="J232" i="102"/>
  <c r="F232" i="102"/>
  <c r="G232" i="102" s="1"/>
  <c r="M231" i="102"/>
  <c r="N231" i="102"/>
  <c r="J231" i="102"/>
  <c r="F231" i="102"/>
  <c r="G231" i="102" s="1"/>
  <c r="M230" i="102"/>
  <c r="N230" i="102"/>
  <c r="J230" i="102"/>
  <c r="F230" i="102"/>
  <c r="G230" i="102" s="1"/>
  <c r="M229" i="102"/>
  <c r="N229" i="102"/>
  <c r="J229" i="102"/>
  <c r="F229" i="102"/>
  <c r="G229" i="102" s="1"/>
  <c r="M228" i="102"/>
  <c r="N228" i="102"/>
  <c r="J228" i="102"/>
  <c r="F228" i="102"/>
  <c r="G228" i="102" s="1"/>
  <c r="M227" i="102"/>
  <c r="N227" i="102"/>
  <c r="J227" i="102"/>
  <c r="F227" i="102"/>
  <c r="G227" i="102" s="1"/>
  <c r="M226" i="102"/>
  <c r="N226" i="102"/>
  <c r="J226" i="102"/>
  <c r="F226" i="102"/>
  <c r="G226" i="102" s="1"/>
  <c r="M225" i="102"/>
  <c r="N225" i="102"/>
  <c r="J225" i="102"/>
  <c r="F225" i="102"/>
  <c r="G225" i="102" s="1"/>
  <c r="M224" i="102"/>
  <c r="N224" i="102"/>
  <c r="J224" i="102"/>
  <c r="F224" i="102"/>
  <c r="G224" i="102" s="1"/>
  <c r="M223" i="102"/>
  <c r="N223" i="102"/>
  <c r="J223" i="102"/>
  <c r="F223" i="102"/>
  <c r="G223" i="102" s="1"/>
  <c r="M222" i="102"/>
  <c r="N222" i="102"/>
  <c r="J222" i="102"/>
  <c r="F222" i="102"/>
  <c r="G222" i="102" s="1"/>
  <c r="M221" i="102"/>
  <c r="N221" i="102"/>
  <c r="J221" i="102"/>
  <c r="F221" i="102"/>
  <c r="G221" i="102" s="1"/>
  <c r="M220" i="102"/>
  <c r="N220" i="102"/>
  <c r="J220" i="102"/>
  <c r="F220" i="102"/>
  <c r="G220" i="102" s="1"/>
  <c r="M219" i="102"/>
  <c r="N219" i="102"/>
  <c r="J219" i="102"/>
  <c r="F219" i="102"/>
  <c r="G219" i="102" s="1"/>
  <c r="M218" i="102"/>
  <c r="N218" i="102"/>
  <c r="J218" i="102"/>
  <c r="F218" i="102"/>
  <c r="G218" i="102" s="1"/>
  <c r="M217" i="102"/>
  <c r="N217" i="102"/>
  <c r="J217" i="102"/>
  <c r="F217" i="102"/>
  <c r="G217" i="102" s="1"/>
  <c r="M216" i="102"/>
  <c r="N216" i="102"/>
  <c r="J216" i="102"/>
  <c r="F216" i="102"/>
  <c r="G216" i="102" s="1"/>
  <c r="M215" i="102"/>
  <c r="N215" i="102"/>
  <c r="J215" i="102"/>
  <c r="F215" i="102"/>
  <c r="G215" i="102" s="1"/>
  <c r="M214" i="102"/>
  <c r="N214" i="102"/>
  <c r="J214" i="102"/>
  <c r="F214" i="102"/>
  <c r="G214" i="102" s="1"/>
  <c r="M213" i="102"/>
  <c r="N213" i="102"/>
  <c r="J213" i="102"/>
  <c r="F213" i="102"/>
  <c r="G213" i="102" s="1"/>
  <c r="M212" i="102"/>
  <c r="N212" i="102"/>
  <c r="J212" i="102"/>
  <c r="F212" i="102"/>
  <c r="G212" i="102" s="1"/>
  <c r="M211" i="102"/>
  <c r="N211" i="102"/>
  <c r="J211" i="102"/>
  <c r="F211" i="102"/>
  <c r="G211" i="102" s="1"/>
  <c r="M210" i="102"/>
  <c r="N210" i="102"/>
  <c r="J210" i="102"/>
  <c r="F210" i="102"/>
  <c r="G210" i="102" s="1"/>
  <c r="M209" i="102"/>
  <c r="N209" i="102"/>
  <c r="J209" i="102"/>
  <c r="F209" i="102"/>
  <c r="G209" i="102" s="1"/>
  <c r="M208" i="102"/>
  <c r="N208" i="102"/>
  <c r="J208" i="102"/>
  <c r="F208" i="102"/>
  <c r="G208" i="102" s="1"/>
  <c r="M207" i="102"/>
  <c r="N207" i="102"/>
  <c r="J207" i="102"/>
  <c r="F207" i="102"/>
  <c r="G207" i="102" s="1"/>
  <c r="M206" i="102"/>
  <c r="N206" i="102"/>
  <c r="J206" i="102"/>
  <c r="F206" i="102"/>
  <c r="G206" i="102" s="1"/>
  <c r="M205" i="102"/>
  <c r="N205" i="102"/>
  <c r="J205" i="102"/>
  <c r="F205" i="102"/>
  <c r="G205" i="102" s="1"/>
  <c r="M204" i="102"/>
  <c r="N204" i="102"/>
  <c r="J204" i="102"/>
  <c r="F204" i="102"/>
  <c r="G204" i="102" s="1"/>
  <c r="M203" i="102"/>
  <c r="N203" i="102"/>
  <c r="J203" i="102"/>
  <c r="F203" i="102"/>
  <c r="G203" i="102" s="1"/>
  <c r="M202" i="102"/>
  <c r="N202" i="102"/>
  <c r="J202" i="102"/>
  <c r="F202" i="102"/>
  <c r="G202" i="102" s="1"/>
  <c r="M201" i="102"/>
  <c r="N201" i="102"/>
  <c r="J201" i="102"/>
  <c r="F201" i="102"/>
  <c r="G201" i="102" s="1"/>
  <c r="M200" i="102"/>
  <c r="N200" i="102"/>
  <c r="J200" i="102"/>
  <c r="F200" i="102"/>
  <c r="G200" i="102" s="1"/>
  <c r="M199" i="102"/>
  <c r="N199" i="102"/>
  <c r="J199" i="102"/>
  <c r="F199" i="102"/>
  <c r="G199" i="102" s="1"/>
  <c r="M198" i="102"/>
  <c r="N198" i="102"/>
  <c r="J198" i="102"/>
  <c r="F198" i="102"/>
  <c r="G198" i="102" s="1"/>
  <c r="M197" i="102"/>
  <c r="N197" i="102"/>
  <c r="J197" i="102"/>
  <c r="F197" i="102"/>
  <c r="G197" i="102" s="1"/>
  <c r="M196" i="102"/>
  <c r="N196" i="102"/>
  <c r="J196" i="102"/>
  <c r="F196" i="102"/>
  <c r="G196" i="102" s="1"/>
  <c r="M195" i="102"/>
  <c r="N195" i="102"/>
  <c r="J195" i="102"/>
  <c r="F195" i="102"/>
  <c r="G195" i="102" s="1"/>
  <c r="M194" i="102"/>
  <c r="N194" i="102"/>
  <c r="J194" i="102"/>
  <c r="F194" i="102"/>
  <c r="G194" i="102" s="1"/>
  <c r="M193" i="102"/>
  <c r="N193" i="102"/>
  <c r="J193" i="102"/>
  <c r="F193" i="102"/>
  <c r="G193" i="102" s="1"/>
  <c r="M192" i="102"/>
  <c r="N192" i="102"/>
  <c r="J192" i="102"/>
  <c r="F192" i="102"/>
  <c r="G192" i="102" s="1"/>
  <c r="M191" i="102"/>
  <c r="N191" i="102"/>
  <c r="J191" i="102"/>
  <c r="F191" i="102"/>
  <c r="G191" i="102" s="1"/>
  <c r="M190" i="102"/>
  <c r="N190" i="102"/>
  <c r="J190" i="102"/>
  <c r="F190" i="102"/>
  <c r="G190" i="102" s="1"/>
  <c r="M189" i="102"/>
  <c r="N189" i="102"/>
  <c r="J189" i="102"/>
  <c r="F189" i="102"/>
  <c r="G189" i="102" s="1"/>
  <c r="M188" i="102"/>
  <c r="N188" i="102"/>
  <c r="J188" i="102"/>
  <c r="F188" i="102"/>
  <c r="G188" i="102" s="1"/>
  <c r="M187" i="102"/>
  <c r="N187" i="102"/>
  <c r="J187" i="102"/>
  <c r="F187" i="102"/>
  <c r="G187" i="102" s="1"/>
  <c r="M186" i="102"/>
  <c r="N186" i="102"/>
  <c r="J186" i="102"/>
  <c r="F186" i="102"/>
  <c r="G186" i="102" s="1"/>
  <c r="M185" i="102"/>
  <c r="N185" i="102"/>
  <c r="J185" i="102"/>
  <c r="F185" i="102"/>
  <c r="G185" i="102" s="1"/>
  <c r="M184" i="102"/>
  <c r="N184" i="102"/>
  <c r="J184" i="102"/>
  <c r="F184" i="102"/>
  <c r="G184" i="102" s="1"/>
  <c r="M183" i="102"/>
  <c r="N183" i="102"/>
  <c r="J183" i="102"/>
  <c r="F183" i="102"/>
  <c r="G183" i="102" s="1"/>
  <c r="M182" i="102"/>
  <c r="N182" i="102"/>
  <c r="J182" i="102"/>
  <c r="F182" i="102"/>
  <c r="G182" i="102" s="1"/>
  <c r="M181" i="102"/>
  <c r="N181" i="102"/>
  <c r="J181" i="102"/>
  <c r="F181" i="102"/>
  <c r="G181" i="102" s="1"/>
  <c r="M180" i="102"/>
  <c r="N180" i="102"/>
  <c r="J180" i="102"/>
  <c r="F180" i="102"/>
  <c r="G180" i="102" s="1"/>
  <c r="M179" i="102"/>
  <c r="N179" i="102"/>
  <c r="J179" i="102"/>
  <c r="F179" i="102"/>
  <c r="G179" i="102" s="1"/>
  <c r="M178" i="102"/>
  <c r="N178" i="102"/>
  <c r="J178" i="102"/>
  <c r="F178" i="102"/>
  <c r="G178" i="102" s="1"/>
  <c r="M177" i="102"/>
  <c r="N177" i="102"/>
  <c r="J177" i="102"/>
  <c r="F177" i="102"/>
  <c r="G177" i="102" s="1"/>
  <c r="M176" i="102"/>
  <c r="N176" i="102"/>
  <c r="J176" i="102"/>
  <c r="F176" i="102"/>
  <c r="G176" i="102" s="1"/>
  <c r="M175" i="102"/>
  <c r="N175" i="102"/>
  <c r="J175" i="102"/>
  <c r="F175" i="102"/>
  <c r="G175" i="102" s="1"/>
  <c r="M174" i="102"/>
  <c r="N174" i="102"/>
  <c r="J174" i="102"/>
  <c r="F174" i="102"/>
  <c r="G174" i="102" s="1"/>
  <c r="M173" i="102"/>
  <c r="N173" i="102"/>
  <c r="J173" i="102"/>
  <c r="F173" i="102"/>
  <c r="G173" i="102" s="1"/>
  <c r="M172" i="102"/>
  <c r="N172" i="102"/>
  <c r="J172" i="102"/>
  <c r="F172" i="102"/>
  <c r="G172" i="102" s="1"/>
  <c r="M171" i="102"/>
  <c r="N171" i="102"/>
  <c r="J171" i="102"/>
  <c r="F171" i="102"/>
  <c r="G171" i="102" s="1"/>
  <c r="M170" i="102"/>
  <c r="N170" i="102"/>
  <c r="J170" i="102"/>
  <c r="F170" i="102"/>
  <c r="G170" i="102" s="1"/>
  <c r="M169" i="102"/>
  <c r="N169" i="102"/>
  <c r="J169" i="102"/>
  <c r="F169" i="102"/>
  <c r="G169" i="102" s="1"/>
  <c r="M168" i="102"/>
  <c r="N168" i="102"/>
  <c r="J168" i="102"/>
  <c r="F168" i="102"/>
  <c r="G168" i="102" s="1"/>
  <c r="M167" i="102"/>
  <c r="N167" i="102"/>
  <c r="J167" i="102"/>
  <c r="F167" i="102"/>
  <c r="G167" i="102" s="1"/>
  <c r="M166" i="102"/>
  <c r="N166" i="102"/>
  <c r="J166" i="102"/>
  <c r="F166" i="102"/>
  <c r="G166" i="102" s="1"/>
  <c r="M165" i="102"/>
  <c r="N165" i="102"/>
  <c r="J165" i="102"/>
  <c r="F165" i="102"/>
  <c r="G165" i="102" s="1"/>
  <c r="M164" i="102"/>
  <c r="N164" i="102"/>
  <c r="J164" i="102"/>
  <c r="F164" i="102"/>
  <c r="G164" i="102" s="1"/>
  <c r="M163" i="102"/>
  <c r="N163" i="102"/>
  <c r="J163" i="102"/>
  <c r="F163" i="102"/>
  <c r="G163" i="102" s="1"/>
  <c r="M162" i="102"/>
  <c r="N162" i="102"/>
  <c r="J162" i="102"/>
  <c r="F162" i="102"/>
  <c r="G162" i="102" s="1"/>
  <c r="M161" i="102"/>
  <c r="N161" i="102"/>
  <c r="J161" i="102"/>
  <c r="F161" i="102"/>
  <c r="G161" i="102" s="1"/>
  <c r="M160" i="102"/>
  <c r="N160" i="102"/>
  <c r="J160" i="102"/>
  <c r="F160" i="102"/>
  <c r="G160" i="102" s="1"/>
  <c r="M159" i="102"/>
  <c r="N159" i="102"/>
  <c r="J159" i="102"/>
  <c r="F159" i="102"/>
  <c r="G159" i="102" s="1"/>
  <c r="M158" i="102"/>
  <c r="N158" i="102"/>
  <c r="J158" i="102"/>
  <c r="F158" i="102"/>
  <c r="G158" i="102" s="1"/>
  <c r="M157" i="102"/>
  <c r="N157" i="102"/>
  <c r="J157" i="102"/>
  <c r="F157" i="102"/>
  <c r="G157" i="102" s="1"/>
  <c r="M156" i="102"/>
  <c r="N156" i="102"/>
  <c r="J156" i="102"/>
  <c r="F156" i="102"/>
  <c r="G156" i="102" s="1"/>
  <c r="M155" i="102"/>
  <c r="N155" i="102"/>
  <c r="J155" i="102"/>
  <c r="F155" i="102"/>
  <c r="G155" i="102" s="1"/>
  <c r="M154" i="102"/>
  <c r="N154" i="102"/>
  <c r="J154" i="102"/>
  <c r="F154" i="102"/>
  <c r="G154" i="102" s="1"/>
  <c r="M153" i="102"/>
  <c r="N153" i="102"/>
  <c r="J153" i="102"/>
  <c r="F153" i="102"/>
  <c r="G153" i="102" s="1"/>
  <c r="M152" i="102"/>
  <c r="N152" i="102"/>
  <c r="J152" i="102"/>
  <c r="F152" i="102"/>
  <c r="G152" i="102" s="1"/>
  <c r="M151" i="102"/>
  <c r="N151" i="102"/>
  <c r="J151" i="102"/>
  <c r="F151" i="102"/>
  <c r="G151" i="102" s="1"/>
  <c r="M150" i="102"/>
  <c r="N150" i="102"/>
  <c r="J150" i="102"/>
  <c r="F150" i="102"/>
  <c r="G150" i="102" s="1"/>
  <c r="M149" i="102"/>
  <c r="N149" i="102"/>
  <c r="J149" i="102"/>
  <c r="F149" i="102"/>
  <c r="G149" i="102" s="1"/>
  <c r="M148" i="102"/>
  <c r="N148" i="102"/>
  <c r="J148" i="102"/>
  <c r="F148" i="102"/>
  <c r="G148" i="102" s="1"/>
  <c r="M147" i="102"/>
  <c r="N147" i="102"/>
  <c r="J147" i="102"/>
  <c r="F147" i="102"/>
  <c r="G147" i="102" s="1"/>
  <c r="M146" i="102"/>
  <c r="N146" i="102"/>
  <c r="J146" i="102"/>
  <c r="F146" i="102"/>
  <c r="G146" i="102" s="1"/>
  <c r="M145" i="102"/>
  <c r="N145" i="102"/>
  <c r="J145" i="102"/>
  <c r="F145" i="102"/>
  <c r="G145" i="102" s="1"/>
  <c r="M144" i="102"/>
  <c r="N144" i="102"/>
  <c r="J144" i="102"/>
  <c r="F144" i="102"/>
  <c r="G144" i="102" s="1"/>
  <c r="M143" i="102"/>
  <c r="N143" i="102"/>
  <c r="J143" i="102"/>
  <c r="F143" i="102"/>
  <c r="G143" i="102" s="1"/>
  <c r="M142" i="102"/>
  <c r="N142" i="102"/>
  <c r="J142" i="102"/>
  <c r="F142" i="102"/>
  <c r="G142" i="102" s="1"/>
  <c r="M141" i="102"/>
  <c r="N141" i="102"/>
  <c r="J141" i="102"/>
  <c r="F141" i="102"/>
  <c r="G141" i="102" s="1"/>
  <c r="M140" i="102"/>
  <c r="N140" i="102"/>
  <c r="J140" i="102"/>
  <c r="F140" i="102"/>
  <c r="G140" i="102" s="1"/>
  <c r="M139" i="102"/>
  <c r="N139" i="102"/>
  <c r="J139" i="102"/>
  <c r="F139" i="102"/>
  <c r="G139" i="102" s="1"/>
  <c r="M138" i="102"/>
  <c r="N138" i="102"/>
  <c r="J138" i="102"/>
  <c r="F138" i="102"/>
  <c r="G138" i="102" s="1"/>
  <c r="M137" i="102"/>
  <c r="N137" i="102"/>
  <c r="J137" i="102"/>
  <c r="F137" i="102"/>
  <c r="G137" i="102" s="1"/>
  <c r="M136" i="102"/>
  <c r="N136" i="102"/>
  <c r="J136" i="102"/>
  <c r="F136" i="102"/>
  <c r="G136" i="102" s="1"/>
  <c r="M135" i="102"/>
  <c r="N135" i="102"/>
  <c r="J135" i="102"/>
  <c r="F135" i="102"/>
  <c r="G135" i="102" s="1"/>
  <c r="M134" i="102"/>
  <c r="N134" i="102"/>
  <c r="J134" i="102"/>
  <c r="F134" i="102"/>
  <c r="G134" i="102" s="1"/>
  <c r="M133" i="102"/>
  <c r="N133" i="102"/>
  <c r="J133" i="102"/>
  <c r="F133" i="102"/>
  <c r="G133" i="102" s="1"/>
  <c r="M132" i="102"/>
  <c r="N132" i="102"/>
  <c r="J132" i="102"/>
  <c r="F132" i="102"/>
  <c r="G132" i="102" s="1"/>
  <c r="M131" i="102"/>
  <c r="N131" i="102"/>
  <c r="J131" i="102"/>
  <c r="F131" i="102"/>
  <c r="G131" i="102" s="1"/>
  <c r="M130" i="102"/>
  <c r="N130" i="102"/>
  <c r="J130" i="102"/>
  <c r="F130" i="102"/>
  <c r="G130" i="102" s="1"/>
  <c r="M129" i="102"/>
  <c r="N129" i="102"/>
  <c r="J129" i="102"/>
  <c r="F129" i="102"/>
  <c r="G129" i="102" s="1"/>
  <c r="M128" i="102"/>
  <c r="N128" i="102"/>
  <c r="J128" i="102"/>
  <c r="F128" i="102"/>
  <c r="G128" i="102" s="1"/>
  <c r="M127" i="102"/>
  <c r="N127" i="102"/>
  <c r="J127" i="102"/>
  <c r="F127" i="102"/>
  <c r="G127" i="102" s="1"/>
  <c r="M126" i="102"/>
  <c r="N126" i="102"/>
  <c r="J126" i="102"/>
  <c r="F126" i="102"/>
  <c r="G126" i="102" s="1"/>
  <c r="M125" i="102"/>
  <c r="N125" i="102"/>
  <c r="J125" i="102"/>
  <c r="F125" i="102"/>
  <c r="G125" i="102" s="1"/>
  <c r="M124" i="102"/>
  <c r="N124" i="102"/>
  <c r="J124" i="102"/>
  <c r="F124" i="102"/>
  <c r="G124" i="102" s="1"/>
  <c r="M123" i="102"/>
  <c r="N123" i="102"/>
  <c r="J123" i="102"/>
  <c r="F123" i="102"/>
  <c r="G123" i="102" s="1"/>
  <c r="M122" i="102"/>
  <c r="N122" i="102"/>
  <c r="J122" i="102"/>
  <c r="F122" i="102"/>
  <c r="G122" i="102" s="1"/>
  <c r="M121" i="102"/>
  <c r="N121" i="102"/>
  <c r="J121" i="102"/>
  <c r="F121" i="102"/>
  <c r="G121" i="102" s="1"/>
  <c r="M120" i="102"/>
  <c r="N120" i="102"/>
  <c r="J120" i="102"/>
  <c r="F120" i="102"/>
  <c r="G120" i="102" s="1"/>
  <c r="M119" i="102"/>
  <c r="N119" i="102"/>
  <c r="J119" i="102"/>
  <c r="F119" i="102"/>
  <c r="G119" i="102" s="1"/>
  <c r="M118" i="102"/>
  <c r="N118" i="102"/>
  <c r="J118" i="102"/>
  <c r="F118" i="102"/>
  <c r="G118" i="102" s="1"/>
  <c r="M117" i="102"/>
  <c r="N117" i="102"/>
  <c r="J117" i="102"/>
  <c r="F117" i="102"/>
  <c r="G117" i="102" s="1"/>
  <c r="M116" i="102"/>
  <c r="N116" i="102"/>
  <c r="J116" i="102"/>
  <c r="F116" i="102"/>
  <c r="G116" i="102" s="1"/>
  <c r="M115" i="102"/>
  <c r="N115" i="102"/>
  <c r="J115" i="102"/>
  <c r="F115" i="102"/>
  <c r="G115" i="102" s="1"/>
  <c r="M114" i="102"/>
  <c r="N114" i="102"/>
  <c r="J114" i="102"/>
  <c r="F114" i="102"/>
  <c r="G114" i="102" s="1"/>
  <c r="M113" i="102"/>
  <c r="N113" i="102"/>
  <c r="J113" i="102"/>
  <c r="F113" i="102"/>
  <c r="G113" i="102" s="1"/>
  <c r="M112" i="102"/>
  <c r="N112" i="102"/>
  <c r="J112" i="102"/>
  <c r="F112" i="102"/>
  <c r="G112" i="102" s="1"/>
  <c r="M111" i="102"/>
  <c r="N111" i="102"/>
  <c r="J111" i="102"/>
  <c r="F111" i="102"/>
  <c r="G111" i="102" s="1"/>
  <c r="M110" i="102"/>
  <c r="N110" i="102"/>
  <c r="J110" i="102"/>
  <c r="F110" i="102"/>
  <c r="G110" i="102" s="1"/>
  <c r="M109" i="102"/>
  <c r="N109" i="102"/>
  <c r="J109" i="102"/>
  <c r="F109" i="102"/>
  <c r="G109" i="102" s="1"/>
  <c r="M108" i="102"/>
  <c r="N108" i="102"/>
  <c r="J108" i="102"/>
  <c r="F108" i="102"/>
  <c r="G108" i="102" s="1"/>
  <c r="M107" i="102"/>
  <c r="N107" i="102"/>
  <c r="J107" i="102"/>
  <c r="F107" i="102"/>
  <c r="G107" i="102" s="1"/>
  <c r="M106" i="102"/>
  <c r="N106" i="102"/>
  <c r="J106" i="102"/>
  <c r="F106" i="102"/>
  <c r="G106" i="102" s="1"/>
  <c r="M105" i="102"/>
  <c r="N105" i="102"/>
  <c r="J105" i="102"/>
  <c r="F105" i="102"/>
  <c r="G105" i="102" s="1"/>
  <c r="M104" i="102"/>
  <c r="N104" i="102"/>
  <c r="J104" i="102"/>
  <c r="F104" i="102"/>
  <c r="G104" i="102" s="1"/>
  <c r="M103" i="102"/>
  <c r="N103" i="102"/>
  <c r="J103" i="102"/>
  <c r="F103" i="102"/>
  <c r="G103" i="102" s="1"/>
  <c r="M102" i="102"/>
  <c r="N102" i="102"/>
  <c r="J102" i="102"/>
  <c r="F102" i="102"/>
  <c r="G102" i="102" s="1"/>
  <c r="M101" i="102"/>
  <c r="N101" i="102"/>
  <c r="J101" i="102"/>
  <c r="F101" i="102"/>
  <c r="G101" i="102" s="1"/>
  <c r="M100" i="102"/>
  <c r="N100" i="102"/>
  <c r="J100" i="102"/>
  <c r="F100" i="102"/>
  <c r="G100" i="102" s="1"/>
  <c r="M99" i="102"/>
  <c r="N99" i="102"/>
  <c r="J99" i="102"/>
  <c r="F99" i="102"/>
  <c r="G99" i="102" s="1"/>
  <c r="M98" i="102"/>
  <c r="N98" i="102"/>
  <c r="J98" i="102"/>
  <c r="F98" i="102"/>
  <c r="G98" i="102" s="1"/>
  <c r="M97" i="102"/>
  <c r="N97" i="102"/>
  <c r="J97" i="102"/>
  <c r="F97" i="102"/>
  <c r="G97" i="102" s="1"/>
  <c r="M96" i="102"/>
  <c r="N96" i="102"/>
  <c r="J96" i="102"/>
  <c r="F96" i="102"/>
  <c r="G96" i="102" s="1"/>
  <c r="M95" i="102"/>
  <c r="N95" i="102"/>
  <c r="J95" i="102"/>
  <c r="F95" i="102"/>
  <c r="G95" i="102" s="1"/>
  <c r="M94" i="102"/>
  <c r="N94" i="102"/>
  <c r="J94" i="102"/>
  <c r="F94" i="102"/>
  <c r="G94" i="102" s="1"/>
  <c r="M93" i="102"/>
  <c r="N93" i="102"/>
  <c r="J93" i="102"/>
  <c r="F93" i="102"/>
  <c r="G93" i="102" s="1"/>
  <c r="M92" i="102"/>
  <c r="N92" i="102"/>
  <c r="J92" i="102"/>
  <c r="F92" i="102"/>
  <c r="G92" i="102" s="1"/>
  <c r="M91" i="102"/>
  <c r="N91" i="102"/>
  <c r="J91" i="102"/>
  <c r="F91" i="102"/>
  <c r="G91" i="102" s="1"/>
  <c r="M90" i="102"/>
  <c r="N90" i="102"/>
  <c r="J90" i="102"/>
  <c r="F90" i="102"/>
  <c r="G90" i="102" s="1"/>
  <c r="M89" i="102"/>
  <c r="N89" i="102"/>
  <c r="J89" i="102"/>
  <c r="F89" i="102"/>
  <c r="G89" i="102" s="1"/>
  <c r="M88" i="102"/>
  <c r="N88" i="102"/>
  <c r="J88" i="102"/>
  <c r="F88" i="102"/>
  <c r="G88" i="102" s="1"/>
  <c r="M87" i="102"/>
  <c r="N87" i="102"/>
  <c r="J87" i="102"/>
  <c r="F87" i="102"/>
  <c r="G87" i="102" s="1"/>
  <c r="M86" i="102"/>
  <c r="N86" i="102"/>
  <c r="J86" i="102"/>
  <c r="F86" i="102"/>
  <c r="G86" i="102" s="1"/>
  <c r="M85" i="102"/>
  <c r="N85" i="102"/>
  <c r="J85" i="102"/>
  <c r="F85" i="102"/>
  <c r="G85" i="102" s="1"/>
  <c r="M84" i="102"/>
  <c r="N84" i="102"/>
  <c r="J84" i="102"/>
  <c r="F84" i="102"/>
  <c r="G84" i="102" s="1"/>
  <c r="M83" i="102"/>
  <c r="N83" i="102"/>
  <c r="J83" i="102"/>
  <c r="F83" i="102"/>
  <c r="G83" i="102" s="1"/>
  <c r="M82" i="102"/>
  <c r="N82" i="102"/>
  <c r="J82" i="102"/>
  <c r="F82" i="102"/>
  <c r="G82" i="102" s="1"/>
  <c r="M81" i="102"/>
  <c r="N81" i="102"/>
  <c r="J81" i="102"/>
  <c r="F81" i="102"/>
  <c r="G81" i="102" s="1"/>
  <c r="M80" i="102"/>
  <c r="N80" i="102"/>
  <c r="J80" i="102"/>
  <c r="F80" i="102"/>
  <c r="G80" i="102" s="1"/>
  <c r="M79" i="102"/>
  <c r="N79" i="102"/>
  <c r="J79" i="102"/>
  <c r="F79" i="102"/>
  <c r="G79" i="102" s="1"/>
  <c r="M78" i="102"/>
  <c r="N78" i="102"/>
  <c r="J78" i="102"/>
  <c r="F78" i="102"/>
  <c r="G78" i="102" s="1"/>
  <c r="M77" i="102"/>
  <c r="N77" i="102"/>
  <c r="J77" i="102"/>
  <c r="F77" i="102"/>
  <c r="G77" i="102" s="1"/>
  <c r="M76" i="102"/>
  <c r="N76" i="102"/>
  <c r="J76" i="102"/>
  <c r="F76" i="102"/>
  <c r="G76" i="102" s="1"/>
  <c r="M75" i="102"/>
  <c r="N75" i="102"/>
  <c r="J75" i="102"/>
  <c r="F75" i="102"/>
  <c r="G75" i="102" s="1"/>
  <c r="M74" i="102"/>
  <c r="N74" i="102"/>
  <c r="J74" i="102"/>
  <c r="F74" i="102"/>
  <c r="G74" i="102" s="1"/>
  <c r="M73" i="102"/>
  <c r="N73" i="102"/>
  <c r="J73" i="102"/>
  <c r="F73" i="102"/>
  <c r="G73" i="102" s="1"/>
  <c r="M72" i="102"/>
  <c r="N72" i="102"/>
  <c r="J72" i="102"/>
  <c r="F72" i="102"/>
  <c r="G72" i="102" s="1"/>
  <c r="M71" i="102"/>
  <c r="N71" i="102"/>
  <c r="J71" i="102"/>
  <c r="F71" i="102"/>
  <c r="G71" i="102" s="1"/>
  <c r="M70" i="102"/>
  <c r="N70" i="102"/>
  <c r="J70" i="102"/>
  <c r="F70" i="102"/>
  <c r="G70" i="102" s="1"/>
  <c r="M69" i="102"/>
  <c r="N69" i="102"/>
  <c r="J69" i="102"/>
  <c r="F69" i="102"/>
  <c r="G69" i="102" s="1"/>
  <c r="M68" i="102"/>
  <c r="N68" i="102"/>
  <c r="J68" i="102"/>
  <c r="F68" i="102"/>
  <c r="G68" i="102" s="1"/>
  <c r="M67" i="102"/>
  <c r="N67" i="102"/>
  <c r="J67" i="102"/>
  <c r="F67" i="102"/>
  <c r="G67" i="102" s="1"/>
  <c r="M66" i="102"/>
  <c r="N66" i="102"/>
  <c r="J66" i="102"/>
  <c r="F66" i="102"/>
  <c r="G66" i="102" s="1"/>
  <c r="M65" i="102"/>
  <c r="N65" i="102"/>
  <c r="J65" i="102"/>
  <c r="F65" i="102"/>
  <c r="G65" i="102" s="1"/>
  <c r="M64" i="102"/>
  <c r="N64" i="102"/>
  <c r="J64" i="102"/>
  <c r="F64" i="102"/>
  <c r="G64" i="102" s="1"/>
  <c r="M63" i="102"/>
  <c r="N63" i="102"/>
  <c r="J63" i="102"/>
  <c r="F63" i="102"/>
  <c r="G63" i="102" s="1"/>
  <c r="M62" i="102"/>
  <c r="N62" i="102"/>
  <c r="J62" i="102"/>
  <c r="F62" i="102"/>
  <c r="G62" i="102" s="1"/>
  <c r="M61" i="102"/>
  <c r="N61" i="102"/>
  <c r="J61" i="102"/>
  <c r="F61" i="102"/>
  <c r="G61" i="102" s="1"/>
  <c r="M60" i="102"/>
  <c r="N60" i="102"/>
  <c r="J60" i="102"/>
  <c r="F60" i="102"/>
  <c r="G60" i="102" s="1"/>
  <c r="M59" i="102"/>
  <c r="N59" i="102"/>
  <c r="J59" i="102"/>
  <c r="F59" i="102"/>
  <c r="G59" i="102" s="1"/>
  <c r="M58" i="102"/>
  <c r="N58" i="102"/>
  <c r="J58" i="102"/>
  <c r="F58" i="102"/>
  <c r="G58" i="102" s="1"/>
  <c r="M57" i="102"/>
  <c r="N57" i="102"/>
  <c r="J57" i="102"/>
  <c r="F57" i="102"/>
  <c r="G57" i="102" s="1"/>
  <c r="M56" i="102"/>
  <c r="N56" i="102"/>
  <c r="J56" i="102"/>
  <c r="F56" i="102"/>
  <c r="G56" i="102" s="1"/>
  <c r="M55" i="102"/>
  <c r="N55" i="102"/>
  <c r="J55" i="102"/>
  <c r="F55" i="102"/>
  <c r="G55" i="102" s="1"/>
  <c r="M54" i="102"/>
  <c r="N54" i="102"/>
  <c r="J54" i="102"/>
  <c r="F54" i="102"/>
  <c r="G54" i="102" s="1"/>
  <c r="M53" i="102"/>
  <c r="N53" i="102"/>
  <c r="J53" i="102"/>
  <c r="F53" i="102"/>
  <c r="G53" i="102" s="1"/>
  <c r="M52" i="102"/>
  <c r="N52" i="102"/>
  <c r="J52" i="102"/>
  <c r="F52" i="102"/>
  <c r="G52" i="102" s="1"/>
  <c r="M51" i="102"/>
  <c r="N51" i="102"/>
  <c r="J51" i="102"/>
  <c r="F51" i="102"/>
  <c r="G51" i="102" s="1"/>
  <c r="M50" i="102"/>
  <c r="N50" i="102"/>
  <c r="J50" i="102"/>
  <c r="F50" i="102"/>
  <c r="G50" i="102" s="1"/>
  <c r="M49" i="102"/>
  <c r="N49" i="102"/>
  <c r="J49" i="102"/>
  <c r="F49" i="102"/>
  <c r="G49" i="102" s="1"/>
  <c r="M48" i="102"/>
  <c r="N48" i="102"/>
  <c r="J48" i="102"/>
  <c r="F48" i="102"/>
  <c r="G48" i="102" s="1"/>
  <c r="M47" i="102"/>
  <c r="N47" i="102"/>
  <c r="J47" i="102"/>
  <c r="F47" i="102"/>
  <c r="G47" i="102" s="1"/>
  <c r="M46" i="102"/>
  <c r="N46" i="102"/>
  <c r="J46" i="102"/>
  <c r="F46" i="102"/>
  <c r="G46" i="102" s="1"/>
  <c r="M45" i="102"/>
  <c r="N45" i="102"/>
  <c r="J45" i="102"/>
  <c r="F45" i="102"/>
  <c r="G45" i="102" s="1"/>
  <c r="M44" i="102"/>
  <c r="N44" i="102"/>
  <c r="J44" i="102"/>
  <c r="F44" i="102"/>
  <c r="G44" i="102" s="1"/>
  <c r="M43" i="102"/>
  <c r="N43" i="102"/>
  <c r="J43" i="102"/>
  <c r="F43" i="102"/>
  <c r="G43" i="102" s="1"/>
  <c r="M42" i="102"/>
  <c r="N42" i="102"/>
  <c r="J42" i="102"/>
  <c r="F42" i="102"/>
  <c r="G42" i="102" s="1"/>
  <c r="M41" i="102"/>
  <c r="N41" i="102"/>
  <c r="J41" i="102"/>
  <c r="F41" i="102"/>
  <c r="G41" i="102" s="1"/>
  <c r="M40" i="102"/>
  <c r="N40" i="102"/>
  <c r="J40" i="102"/>
  <c r="F40" i="102"/>
  <c r="G40" i="102" s="1"/>
  <c r="M39" i="102"/>
  <c r="N39" i="102"/>
  <c r="J39" i="102"/>
  <c r="F39" i="102"/>
  <c r="G39" i="102" s="1"/>
  <c r="M38" i="102"/>
  <c r="N38" i="102"/>
  <c r="J38" i="102"/>
  <c r="F38" i="102"/>
  <c r="G38" i="102" s="1"/>
  <c r="M37" i="102"/>
  <c r="N37" i="102"/>
  <c r="J37" i="102"/>
  <c r="F37" i="102"/>
  <c r="G37" i="102" s="1"/>
  <c r="M36" i="102"/>
  <c r="O36" i="102" s="1"/>
  <c r="N36" i="102"/>
  <c r="J36" i="102"/>
  <c r="F36" i="102"/>
  <c r="G36" i="102" s="1"/>
  <c r="M35" i="102"/>
  <c r="N35" i="102"/>
  <c r="O35" i="102" s="1"/>
  <c r="J35" i="102"/>
  <c r="F35" i="102"/>
  <c r="G35" i="102" s="1"/>
  <c r="M34" i="102"/>
  <c r="N34" i="102"/>
  <c r="J34" i="102"/>
  <c r="F34" i="102"/>
  <c r="G34" i="102" s="1"/>
  <c r="M33" i="102"/>
  <c r="N33" i="102"/>
  <c r="J33" i="102"/>
  <c r="F33" i="102"/>
  <c r="G33" i="102" s="1"/>
  <c r="M32" i="102"/>
  <c r="N32" i="102"/>
  <c r="O32" i="102" s="1"/>
  <c r="J32" i="102"/>
  <c r="F32" i="102"/>
  <c r="G32" i="102" s="1"/>
  <c r="M31" i="102"/>
  <c r="N31" i="102"/>
  <c r="J31" i="102"/>
  <c r="F31" i="102"/>
  <c r="G31" i="102" s="1"/>
  <c r="M30" i="102"/>
  <c r="N30" i="102"/>
  <c r="J30" i="102"/>
  <c r="F30" i="102"/>
  <c r="G30" i="102" s="1"/>
  <c r="M29" i="102"/>
  <c r="N29" i="102"/>
  <c r="J29" i="102"/>
  <c r="F29" i="102"/>
  <c r="G29" i="102" s="1"/>
  <c r="M28" i="102"/>
  <c r="N28" i="102"/>
  <c r="J28" i="102"/>
  <c r="F28" i="102"/>
  <c r="G28" i="102" s="1"/>
  <c r="M27" i="102"/>
  <c r="N27" i="102"/>
  <c r="J27" i="102"/>
  <c r="F27" i="102"/>
  <c r="G27" i="102" s="1"/>
  <c r="M26" i="102"/>
  <c r="N26" i="102"/>
  <c r="J26" i="102"/>
  <c r="F26" i="102"/>
  <c r="G26" i="102" s="1"/>
  <c r="M25" i="102"/>
  <c r="N25" i="102"/>
  <c r="J25" i="102"/>
  <c r="F25" i="102"/>
  <c r="G25" i="102" s="1"/>
  <c r="M24" i="102"/>
  <c r="N24" i="102"/>
  <c r="J24" i="102"/>
  <c r="F24" i="102"/>
  <c r="G24" i="102" s="1"/>
  <c r="M23" i="102"/>
  <c r="N23" i="102"/>
  <c r="J23" i="102"/>
  <c r="F23" i="102"/>
  <c r="G23" i="102" s="1"/>
  <c r="N22" i="102"/>
  <c r="T22" i="102" s="1"/>
  <c r="M22" i="102"/>
  <c r="J22" i="102"/>
  <c r="F22" i="102"/>
  <c r="G22" i="102" s="1"/>
  <c r="N21" i="102"/>
  <c r="T21" i="102" s="1"/>
  <c r="M21" i="102"/>
  <c r="J21" i="102"/>
  <c r="F21" i="102"/>
  <c r="G21" i="102" s="1"/>
  <c r="N20" i="102"/>
  <c r="T20" i="102" s="1"/>
  <c r="M20" i="102"/>
  <c r="J20" i="102"/>
  <c r="F20" i="102"/>
  <c r="G20" i="102" s="1"/>
  <c r="N19" i="102"/>
  <c r="T19" i="102" s="1"/>
  <c r="M19" i="102"/>
  <c r="J19" i="102"/>
  <c r="F19" i="102"/>
  <c r="G19" i="102" s="1"/>
  <c r="N18" i="102"/>
  <c r="T18" i="102" s="1"/>
  <c r="M18" i="102"/>
  <c r="J18" i="102"/>
  <c r="F18" i="102"/>
  <c r="G18" i="102" s="1"/>
  <c r="N17" i="102"/>
  <c r="T17" i="102" s="1"/>
  <c r="M17" i="102"/>
  <c r="O17" i="102" s="1"/>
  <c r="J17" i="102"/>
  <c r="F17" i="102"/>
  <c r="G17" i="102" s="1"/>
  <c r="N16" i="102"/>
  <c r="T16" i="102" s="1"/>
  <c r="M16" i="102"/>
  <c r="J16" i="102"/>
  <c r="F16" i="102"/>
  <c r="G16" i="102" s="1"/>
  <c r="N15" i="102"/>
  <c r="T15" i="102" s="1"/>
  <c r="M15" i="102"/>
  <c r="J15" i="102"/>
  <c r="F15" i="102"/>
  <c r="G15" i="102" s="1"/>
  <c r="N14" i="102"/>
  <c r="T14" i="102" s="1"/>
  <c r="M14" i="102"/>
  <c r="J14" i="102"/>
  <c r="F14" i="102"/>
  <c r="G14" i="102" s="1"/>
  <c r="N13" i="102"/>
  <c r="T13" i="102" s="1"/>
  <c r="M13" i="102"/>
  <c r="J13" i="102"/>
  <c r="F13" i="102"/>
  <c r="G13" i="102" s="1"/>
  <c r="N12" i="102"/>
  <c r="T12" i="102" s="1"/>
  <c r="M12" i="102"/>
  <c r="J12" i="102"/>
  <c r="F12" i="102"/>
  <c r="G12" i="102" s="1"/>
  <c r="N11" i="102"/>
  <c r="T11" i="102" s="1"/>
  <c r="M11" i="102"/>
  <c r="J11" i="102"/>
  <c r="F11" i="102"/>
  <c r="G11" i="102" s="1"/>
  <c r="N10" i="102"/>
  <c r="T10" i="102" s="1"/>
  <c r="M10" i="102"/>
  <c r="J10" i="102"/>
  <c r="F10" i="102"/>
  <c r="G10" i="102" s="1"/>
  <c r="N9" i="102"/>
  <c r="T9" i="102" s="1"/>
  <c r="M9" i="102"/>
  <c r="J9" i="102"/>
  <c r="F9" i="102"/>
  <c r="G9" i="102" s="1"/>
  <c r="N8" i="102"/>
  <c r="T8" i="102" s="1"/>
  <c r="M8" i="102"/>
  <c r="J8" i="102"/>
  <c r="F8" i="102"/>
  <c r="G8" i="102" s="1"/>
  <c r="N7" i="102"/>
  <c r="T7" i="102" s="1"/>
  <c r="M7" i="102"/>
  <c r="J7" i="102"/>
  <c r="F7" i="102"/>
  <c r="G7" i="102" s="1"/>
  <c r="N6" i="102"/>
  <c r="T6" i="102" s="1"/>
  <c r="M6" i="102"/>
  <c r="J6" i="102"/>
  <c r="F6" i="102"/>
  <c r="G6" i="102" s="1"/>
  <c r="N5" i="102"/>
  <c r="T5" i="102" s="1"/>
  <c r="M5" i="102"/>
  <c r="J5" i="102"/>
  <c r="F5" i="102"/>
  <c r="G5" i="102" s="1"/>
  <c r="N4" i="102"/>
  <c r="T4" i="102" s="1"/>
  <c r="M4" i="102"/>
  <c r="J4" i="102"/>
  <c r="F4" i="102"/>
  <c r="G4" i="102" s="1"/>
  <c r="N3" i="102"/>
  <c r="T3" i="102" s="1"/>
  <c r="M3" i="102"/>
  <c r="J3" i="102"/>
  <c r="F3" i="102"/>
  <c r="G3" i="102" s="1"/>
  <c r="H1034" i="103"/>
  <c r="G1034" i="103"/>
  <c r="F1034" i="103"/>
  <c r="E1034" i="103"/>
  <c r="D1034" i="103"/>
  <c r="C1034" i="103"/>
  <c r="I767" i="105"/>
  <c r="I766" i="105"/>
  <c r="I765" i="105"/>
  <c r="I764" i="105"/>
  <c r="I763" i="105"/>
  <c r="I762" i="105"/>
  <c r="I761" i="105"/>
  <c r="I760" i="105"/>
  <c r="I759" i="105"/>
  <c r="I758" i="105"/>
  <c r="I757" i="105"/>
  <c r="I756" i="105"/>
  <c r="I755" i="105"/>
  <c r="I754" i="105"/>
  <c r="I753" i="105"/>
  <c r="I752" i="105"/>
  <c r="I751" i="105"/>
  <c r="I750" i="105"/>
  <c r="I749" i="105"/>
  <c r="I748" i="105"/>
  <c r="I747" i="105"/>
  <c r="I746" i="105"/>
  <c r="I745" i="105"/>
  <c r="I744" i="105"/>
  <c r="I743" i="105"/>
  <c r="I742" i="105"/>
  <c r="I741" i="105"/>
  <c r="I740" i="105"/>
  <c r="I739" i="105"/>
  <c r="I738" i="105"/>
  <c r="I737" i="105"/>
  <c r="I736" i="105"/>
  <c r="I735" i="105"/>
  <c r="I734" i="105"/>
  <c r="I733" i="105"/>
  <c r="I732" i="105"/>
  <c r="I731" i="105"/>
  <c r="I730" i="105"/>
  <c r="I729" i="105"/>
  <c r="I728" i="105"/>
  <c r="I727" i="105"/>
  <c r="I726" i="105"/>
  <c r="I725" i="105"/>
  <c r="I724" i="105"/>
  <c r="I723" i="105"/>
  <c r="I722" i="105"/>
  <c r="I721" i="105"/>
  <c r="I720" i="105"/>
  <c r="I719" i="105"/>
  <c r="I718" i="105"/>
  <c r="I717" i="105"/>
  <c r="I716" i="105"/>
  <c r="I715" i="105"/>
  <c r="I714" i="105"/>
  <c r="I713" i="105"/>
  <c r="I712" i="105"/>
  <c r="I711" i="105"/>
  <c r="I710" i="105"/>
  <c r="I709" i="105"/>
  <c r="I708" i="105"/>
  <c r="I707" i="105"/>
  <c r="I706" i="105"/>
  <c r="I705" i="105"/>
  <c r="I704" i="105"/>
  <c r="I703" i="105"/>
  <c r="I702" i="105"/>
  <c r="I701" i="105"/>
  <c r="I700" i="105"/>
  <c r="I699" i="105"/>
  <c r="I698" i="105"/>
  <c r="I697" i="105"/>
  <c r="I696" i="105"/>
  <c r="I695" i="105"/>
  <c r="I694" i="105"/>
  <c r="I693" i="105"/>
  <c r="I692" i="105"/>
  <c r="I691" i="105"/>
  <c r="I690" i="105"/>
  <c r="I689" i="105"/>
  <c r="I688" i="105"/>
  <c r="I687" i="105"/>
  <c r="I686" i="105"/>
  <c r="I685" i="105"/>
  <c r="I684" i="105"/>
  <c r="I683" i="105"/>
  <c r="I682" i="105"/>
  <c r="I681" i="105"/>
  <c r="I680" i="105"/>
  <c r="I679" i="105"/>
  <c r="I678" i="105"/>
  <c r="I677" i="105"/>
  <c r="I676" i="105"/>
  <c r="I675" i="105"/>
  <c r="I674" i="105"/>
  <c r="I673" i="105"/>
  <c r="I672" i="105"/>
  <c r="I671" i="105"/>
  <c r="I670" i="105"/>
  <c r="I669" i="105"/>
  <c r="I668" i="105"/>
  <c r="I667" i="105"/>
  <c r="I666" i="105"/>
  <c r="I665" i="105"/>
  <c r="I664" i="105"/>
  <c r="I663" i="105"/>
  <c r="I662" i="105"/>
  <c r="I661" i="105"/>
  <c r="I660" i="105"/>
  <c r="I659" i="105"/>
  <c r="I658" i="105"/>
  <c r="I657" i="105"/>
  <c r="I656" i="105"/>
  <c r="I655" i="105"/>
  <c r="I654" i="105"/>
  <c r="I653" i="105"/>
  <c r="I652" i="105"/>
  <c r="I651" i="105"/>
  <c r="I650" i="105"/>
  <c r="I649" i="105"/>
  <c r="I648" i="105"/>
  <c r="I647" i="105"/>
  <c r="I646" i="105"/>
  <c r="I645" i="105"/>
  <c r="I644" i="105"/>
  <c r="I643" i="105"/>
  <c r="I642" i="105"/>
  <c r="I641" i="105"/>
  <c r="I640" i="105"/>
  <c r="I639" i="105"/>
  <c r="I638" i="105"/>
  <c r="I637" i="105"/>
  <c r="I636" i="105"/>
  <c r="I635" i="105"/>
  <c r="I634" i="105"/>
  <c r="I633" i="105"/>
  <c r="I632" i="105"/>
  <c r="I631" i="105"/>
  <c r="I630" i="105"/>
  <c r="I629" i="105"/>
  <c r="I628" i="105"/>
  <c r="I627" i="105"/>
  <c r="I626" i="105"/>
  <c r="I625" i="105"/>
  <c r="I624" i="105"/>
  <c r="I623" i="105"/>
  <c r="I622" i="105"/>
  <c r="I621" i="105"/>
  <c r="I620" i="105"/>
  <c r="I619" i="105"/>
  <c r="I618" i="105"/>
  <c r="I617" i="105"/>
  <c r="I616" i="105"/>
  <c r="I615" i="105"/>
  <c r="I614" i="105"/>
  <c r="I613" i="105"/>
  <c r="I612" i="105"/>
  <c r="I611" i="105"/>
  <c r="I610" i="105"/>
  <c r="I609" i="105"/>
  <c r="I608" i="105"/>
  <c r="I607" i="105"/>
  <c r="I606" i="105"/>
  <c r="I605" i="105"/>
  <c r="I604" i="105"/>
  <c r="I603" i="105"/>
  <c r="I602" i="105"/>
  <c r="I601" i="105"/>
  <c r="I600" i="105"/>
  <c r="I599" i="105"/>
  <c r="I598" i="105"/>
  <c r="I597" i="105"/>
  <c r="I596" i="105"/>
  <c r="I595" i="105"/>
  <c r="I594" i="105"/>
  <c r="I593" i="105"/>
  <c r="I592" i="105"/>
  <c r="I591" i="105"/>
  <c r="I590" i="105"/>
  <c r="I589" i="105"/>
  <c r="I588" i="105"/>
  <c r="I587" i="105"/>
  <c r="I586" i="105"/>
  <c r="I585" i="105"/>
  <c r="I584" i="105"/>
  <c r="I583" i="105"/>
  <c r="I582" i="105"/>
  <c r="I581" i="105"/>
  <c r="I580" i="105"/>
  <c r="I579" i="105"/>
  <c r="I578" i="105"/>
  <c r="I577" i="105"/>
  <c r="I576" i="105"/>
  <c r="I575" i="105"/>
  <c r="I574" i="105"/>
  <c r="I573" i="105"/>
  <c r="I572" i="105"/>
  <c r="I571" i="105"/>
  <c r="I570" i="105"/>
  <c r="I569" i="105"/>
  <c r="I568" i="105"/>
  <c r="I567" i="105"/>
  <c r="I566" i="105"/>
  <c r="I565" i="105"/>
  <c r="I564" i="105"/>
  <c r="I563" i="105"/>
  <c r="I562" i="105"/>
  <c r="I561" i="105"/>
  <c r="I560" i="105"/>
  <c r="I559" i="105"/>
  <c r="I558" i="105"/>
  <c r="I557" i="105"/>
  <c r="I556" i="105"/>
  <c r="I555" i="105"/>
  <c r="I554" i="105"/>
  <c r="I553" i="105"/>
  <c r="I552" i="105"/>
  <c r="I551" i="105"/>
  <c r="I550" i="105"/>
  <c r="I549" i="105"/>
  <c r="I548" i="105"/>
  <c r="I547" i="105"/>
  <c r="I546" i="105"/>
  <c r="I545" i="105"/>
  <c r="I544" i="105"/>
  <c r="I543" i="105"/>
  <c r="I542" i="105"/>
  <c r="I541" i="105"/>
  <c r="I540" i="105"/>
  <c r="I539" i="105"/>
  <c r="I538" i="105"/>
  <c r="I537" i="105"/>
  <c r="I536" i="105"/>
  <c r="I535" i="105"/>
  <c r="I534" i="105"/>
  <c r="I533" i="105"/>
  <c r="I532" i="105"/>
  <c r="I531" i="105"/>
  <c r="I530" i="105"/>
  <c r="I529" i="105"/>
  <c r="I528" i="105"/>
  <c r="I527" i="105"/>
  <c r="I526" i="105"/>
  <c r="I525" i="105"/>
  <c r="I524" i="105"/>
  <c r="I523" i="105"/>
  <c r="I522" i="105"/>
  <c r="I521" i="105"/>
  <c r="I520" i="105"/>
  <c r="I519" i="105"/>
  <c r="I518" i="105"/>
  <c r="I517" i="105"/>
  <c r="I516" i="105"/>
  <c r="I515" i="105"/>
  <c r="I514" i="105"/>
  <c r="I513" i="105"/>
  <c r="I512" i="105"/>
  <c r="I511" i="105"/>
  <c r="I510" i="105"/>
  <c r="I509" i="105"/>
  <c r="I508" i="105"/>
  <c r="I507" i="105"/>
  <c r="I506" i="105"/>
  <c r="I505" i="105"/>
  <c r="I504" i="105"/>
  <c r="I503" i="105"/>
  <c r="I502" i="105"/>
  <c r="I501" i="105"/>
  <c r="I500" i="105"/>
  <c r="I499" i="105"/>
  <c r="I498" i="105"/>
  <c r="I497" i="105"/>
  <c r="I496" i="105"/>
  <c r="I495" i="105"/>
  <c r="I494" i="105"/>
  <c r="I493" i="105"/>
  <c r="I492" i="105"/>
  <c r="I491" i="105"/>
  <c r="I490" i="105"/>
  <c r="I489" i="105"/>
  <c r="I488" i="105"/>
  <c r="I487" i="105"/>
  <c r="I486" i="105"/>
  <c r="I485" i="105"/>
  <c r="I484" i="105"/>
  <c r="I483" i="105"/>
  <c r="I482" i="105"/>
  <c r="I481" i="105"/>
  <c r="I480" i="105"/>
  <c r="I479" i="105"/>
  <c r="I478" i="105"/>
  <c r="I477" i="105"/>
  <c r="I476" i="105"/>
  <c r="I475" i="105"/>
  <c r="I474" i="105"/>
  <c r="I473" i="105"/>
  <c r="I472" i="105"/>
  <c r="I471" i="105"/>
  <c r="I470" i="105"/>
  <c r="I469" i="105"/>
  <c r="I468" i="105"/>
  <c r="I467" i="105"/>
  <c r="I466" i="105"/>
  <c r="I465" i="105"/>
  <c r="I464" i="105"/>
  <c r="I463" i="105"/>
  <c r="I462" i="105"/>
  <c r="I461" i="105"/>
  <c r="I460" i="105"/>
  <c r="I459" i="105"/>
  <c r="I458" i="105"/>
  <c r="I457" i="105"/>
  <c r="I456" i="105"/>
  <c r="I455" i="105"/>
  <c r="I454" i="105"/>
  <c r="I453" i="105"/>
  <c r="I452" i="105"/>
  <c r="I451" i="105"/>
  <c r="I450" i="105"/>
  <c r="I449" i="105"/>
  <c r="I448" i="105"/>
  <c r="I447" i="105"/>
  <c r="I446" i="105"/>
  <c r="I445" i="105"/>
  <c r="I444" i="105"/>
  <c r="I443" i="105"/>
  <c r="I442" i="105"/>
  <c r="I441" i="105"/>
  <c r="I440" i="105"/>
  <c r="I439" i="105"/>
  <c r="I438" i="105"/>
  <c r="I437" i="105"/>
  <c r="I436" i="105"/>
  <c r="I435" i="105"/>
  <c r="I434" i="105"/>
  <c r="I433" i="105"/>
  <c r="I432" i="105"/>
  <c r="I431" i="105"/>
  <c r="I430" i="105"/>
  <c r="I429" i="105"/>
  <c r="I428" i="105"/>
  <c r="I427" i="105"/>
  <c r="I426" i="105"/>
  <c r="I425" i="105"/>
  <c r="I424" i="105"/>
  <c r="I423" i="105"/>
  <c r="I422" i="105"/>
  <c r="I421" i="105"/>
  <c r="I420" i="105"/>
  <c r="I419" i="105"/>
  <c r="I418" i="105"/>
  <c r="I417" i="105"/>
  <c r="I416" i="105"/>
  <c r="I415" i="105"/>
  <c r="I414" i="105"/>
  <c r="I413" i="105"/>
  <c r="I412" i="105"/>
  <c r="I411" i="105"/>
  <c r="I410" i="105"/>
  <c r="I409" i="105"/>
  <c r="I408" i="105"/>
  <c r="I407" i="105"/>
  <c r="I406" i="105"/>
  <c r="I405" i="105"/>
  <c r="I404" i="105"/>
  <c r="I403" i="105"/>
  <c r="I402" i="105"/>
  <c r="I401" i="105"/>
  <c r="I400" i="105"/>
  <c r="I399" i="105"/>
  <c r="I398" i="105"/>
  <c r="I397" i="105"/>
  <c r="I396" i="105"/>
  <c r="I395" i="105"/>
  <c r="I394" i="105"/>
  <c r="I393" i="105"/>
  <c r="I392" i="105"/>
  <c r="I391" i="105"/>
  <c r="I390" i="105"/>
  <c r="I389" i="105"/>
  <c r="I388" i="105"/>
  <c r="I387" i="105"/>
  <c r="I386" i="105"/>
  <c r="I385" i="105"/>
  <c r="I384" i="105"/>
  <c r="I383" i="105"/>
  <c r="I382" i="105"/>
  <c r="I381" i="105"/>
  <c r="I380" i="105"/>
  <c r="I379" i="105"/>
  <c r="I378" i="105"/>
  <c r="I377" i="105"/>
  <c r="I376" i="105"/>
  <c r="I375" i="105"/>
  <c r="I374" i="105"/>
  <c r="I373" i="105"/>
  <c r="I372" i="105"/>
  <c r="I371" i="105"/>
  <c r="I370" i="105"/>
  <c r="I369" i="105"/>
  <c r="I368" i="105"/>
  <c r="I367" i="105"/>
  <c r="I366" i="105"/>
  <c r="I365" i="105"/>
  <c r="I364" i="105"/>
  <c r="I363" i="105"/>
  <c r="I362" i="105"/>
  <c r="I361" i="105"/>
  <c r="I360" i="105"/>
  <c r="I359" i="105"/>
  <c r="I358" i="105"/>
  <c r="I357" i="105"/>
  <c r="I356" i="105"/>
  <c r="I355" i="105"/>
  <c r="I354" i="105"/>
  <c r="I353" i="105"/>
  <c r="I352" i="105"/>
  <c r="I351" i="105"/>
  <c r="I350" i="105"/>
  <c r="I349" i="105"/>
  <c r="I348" i="105"/>
  <c r="I347" i="105"/>
  <c r="I346" i="105"/>
  <c r="I345" i="105"/>
  <c r="I344" i="105"/>
  <c r="I343" i="105"/>
  <c r="I342" i="105"/>
  <c r="I341" i="105"/>
  <c r="I340" i="105"/>
  <c r="I339" i="105"/>
  <c r="I338" i="105"/>
  <c r="I337" i="105"/>
  <c r="I336" i="105"/>
  <c r="I335" i="105"/>
  <c r="I334" i="105"/>
  <c r="I333" i="105"/>
  <c r="I332" i="105"/>
  <c r="I331" i="105"/>
  <c r="I330" i="105"/>
  <c r="I329" i="105"/>
  <c r="I328" i="105"/>
  <c r="I327" i="105"/>
  <c r="I326" i="105"/>
  <c r="I325" i="105"/>
  <c r="I324" i="105"/>
  <c r="I323" i="105"/>
  <c r="I322" i="105"/>
  <c r="I321" i="105"/>
  <c r="I320" i="105"/>
  <c r="I319" i="105"/>
  <c r="I318" i="105"/>
  <c r="I317" i="105"/>
  <c r="I316" i="105"/>
  <c r="I315" i="105"/>
  <c r="I314" i="105"/>
  <c r="I313" i="105"/>
  <c r="I312" i="105"/>
  <c r="I311" i="105"/>
  <c r="I310" i="105"/>
  <c r="I309" i="105"/>
  <c r="I308" i="105"/>
  <c r="I307" i="105"/>
  <c r="I306" i="105"/>
  <c r="I305" i="105"/>
  <c r="I304" i="105"/>
  <c r="I303" i="105"/>
  <c r="I302" i="105"/>
  <c r="I301" i="105"/>
  <c r="I300" i="105"/>
  <c r="I299" i="105"/>
  <c r="I298" i="105"/>
  <c r="I297" i="105"/>
  <c r="I296" i="105"/>
  <c r="I295" i="105"/>
  <c r="I294" i="105"/>
  <c r="I293" i="105"/>
  <c r="I292" i="105"/>
  <c r="I291" i="105"/>
  <c r="I290" i="105"/>
  <c r="I289" i="105"/>
  <c r="I288" i="105"/>
  <c r="I287" i="105"/>
  <c r="I286" i="105"/>
  <c r="I285" i="105"/>
  <c r="I284" i="105"/>
  <c r="I283" i="105"/>
  <c r="I282" i="105"/>
  <c r="I281" i="105"/>
  <c r="I280" i="105"/>
  <c r="I279" i="105"/>
  <c r="I278" i="105"/>
  <c r="I277" i="105"/>
  <c r="I276" i="105"/>
  <c r="I275" i="105"/>
  <c r="I274" i="105"/>
  <c r="I273" i="105"/>
  <c r="I272" i="105"/>
  <c r="I271" i="105"/>
  <c r="I270" i="105"/>
  <c r="I269" i="105"/>
  <c r="I268" i="105"/>
  <c r="I267" i="105"/>
  <c r="I266" i="105"/>
  <c r="I265" i="105"/>
  <c r="I264" i="105"/>
  <c r="I263" i="105"/>
  <c r="I262" i="105"/>
  <c r="I261" i="105"/>
  <c r="I260" i="105"/>
  <c r="I259" i="105"/>
  <c r="I258" i="105"/>
  <c r="I257" i="105"/>
  <c r="I256" i="105"/>
  <c r="I255" i="105"/>
  <c r="I254" i="105"/>
  <c r="I253" i="105"/>
  <c r="I252" i="105"/>
  <c r="I251" i="105"/>
  <c r="I250" i="105"/>
  <c r="I249" i="105"/>
  <c r="I248" i="105"/>
  <c r="I247" i="105"/>
  <c r="I246" i="105"/>
  <c r="I245" i="105"/>
  <c r="I244" i="105"/>
  <c r="I243" i="105"/>
  <c r="I242" i="105"/>
  <c r="I241" i="105"/>
  <c r="I240" i="105"/>
  <c r="I239" i="105"/>
  <c r="I238" i="105"/>
  <c r="I237" i="105"/>
  <c r="I236" i="105"/>
  <c r="I235" i="105"/>
  <c r="I234" i="105"/>
  <c r="I233" i="105"/>
  <c r="I232" i="105"/>
  <c r="I231" i="105"/>
  <c r="I230" i="105"/>
  <c r="I229" i="105"/>
  <c r="I228" i="105"/>
  <c r="I227" i="105"/>
  <c r="I226" i="105"/>
  <c r="I225" i="105"/>
  <c r="I224" i="105"/>
  <c r="I223" i="105"/>
  <c r="I222" i="105"/>
  <c r="I221" i="105"/>
  <c r="I220" i="105"/>
  <c r="I219" i="105"/>
  <c r="I218" i="105"/>
  <c r="I217" i="105"/>
  <c r="I216" i="105"/>
  <c r="I215" i="105"/>
  <c r="I214" i="105"/>
  <c r="I213" i="105"/>
  <c r="I212" i="105"/>
  <c r="I211" i="105"/>
  <c r="I210" i="105"/>
  <c r="I209" i="105"/>
  <c r="I208" i="105"/>
  <c r="I207" i="105"/>
  <c r="I206" i="105"/>
  <c r="I205" i="105"/>
  <c r="I204" i="105"/>
  <c r="I203" i="105"/>
  <c r="I202" i="105"/>
  <c r="I201" i="105"/>
  <c r="I200" i="105"/>
  <c r="I199" i="105"/>
  <c r="I198" i="105"/>
  <c r="I197" i="105"/>
  <c r="I196" i="105"/>
  <c r="I195" i="105"/>
  <c r="I194" i="105"/>
  <c r="I193" i="105"/>
  <c r="I192" i="105"/>
  <c r="I191" i="105"/>
  <c r="I190" i="105"/>
  <c r="I189" i="105"/>
  <c r="I188" i="105"/>
  <c r="I187" i="105"/>
  <c r="I186" i="105"/>
  <c r="I185" i="105"/>
  <c r="I184" i="105"/>
  <c r="I183" i="105"/>
  <c r="I182" i="105"/>
  <c r="I181" i="105"/>
  <c r="I180" i="105"/>
  <c r="I179" i="105"/>
  <c r="I178" i="105"/>
  <c r="I177" i="105"/>
  <c r="I176" i="105"/>
  <c r="I175" i="105"/>
  <c r="I174" i="105"/>
  <c r="I173" i="105"/>
  <c r="I172" i="105"/>
  <c r="I171" i="105"/>
  <c r="I170" i="105"/>
  <c r="I169" i="105"/>
  <c r="I168" i="105"/>
  <c r="I167" i="105"/>
  <c r="I166" i="105"/>
  <c r="I165" i="105"/>
  <c r="I164" i="105"/>
  <c r="I163" i="105"/>
  <c r="I162" i="105"/>
  <c r="I161" i="105"/>
  <c r="I160" i="105"/>
  <c r="I159" i="105"/>
  <c r="I158" i="105"/>
  <c r="I157" i="105"/>
  <c r="I156" i="105"/>
  <c r="I155" i="105"/>
  <c r="I154" i="105"/>
  <c r="I153" i="105"/>
  <c r="I152" i="105"/>
  <c r="I151" i="105"/>
  <c r="I150" i="105"/>
  <c r="I149" i="105"/>
  <c r="I148" i="105"/>
  <c r="I147" i="105"/>
  <c r="I146" i="105"/>
  <c r="I145" i="105"/>
  <c r="I144" i="105"/>
  <c r="I143" i="105"/>
  <c r="I142" i="105"/>
  <c r="I141" i="105"/>
  <c r="I140" i="105"/>
  <c r="I139" i="105"/>
  <c r="I138" i="105"/>
  <c r="I137" i="105"/>
  <c r="I136" i="105"/>
  <c r="I135" i="105"/>
  <c r="I134" i="105"/>
  <c r="I133" i="105"/>
  <c r="I132" i="105"/>
  <c r="I131" i="105"/>
  <c r="I130" i="105"/>
  <c r="I129" i="105"/>
  <c r="I128" i="105"/>
  <c r="I127" i="105"/>
  <c r="I126" i="105"/>
  <c r="I125" i="105"/>
  <c r="I124" i="105"/>
  <c r="I123" i="105"/>
  <c r="I122" i="105"/>
  <c r="I121" i="105"/>
  <c r="I120" i="105"/>
  <c r="I119" i="105"/>
  <c r="I118" i="105"/>
  <c r="I117" i="105"/>
  <c r="I116" i="105"/>
  <c r="I115" i="105"/>
  <c r="I114" i="105"/>
  <c r="I113" i="105"/>
  <c r="I112" i="105"/>
  <c r="I111" i="105"/>
  <c r="I110" i="105"/>
  <c r="I109" i="105"/>
  <c r="I108" i="105"/>
  <c r="I107" i="105"/>
  <c r="I106" i="105"/>
  <c r="I105" i="105"/>
  <c r="I104" i="105"/>
  <c r="I103" i="105"/>
  <c r="I102" i="105"/>
  <c r="I101" i="105"/>
  <c r="I100" i="105"/>
  <c r="I99" i="105"/>
  <c r="I98" i="105"/>
  <c r="I97" i="105"/>
  <c r="I96" i="105"/>
  <c r="I95" i="105"/>
  <c r="I94" i="105"/>
  <c r="I93" i="105"/>
  <c r="I92" i="105"/>
  <c r="I91" i="105"/>
  <c r="I90" i="105"/>
  <c r="I89" i="105"/>
  <c r="I88" i="105"/>
  <c r="I87" i="105"/>
  <c r="I86" i="105"/>
  <c r="I85" i="105"/>
  <c r="I84" i="105"/>
  <c r="I83" i="105"/>
  <c r="I82" i="105"/>
  <c r="I81" i="105"/>
  <c r="I80" i="105"/>
  <c r="I79" i="105"/>
  <c r="I78" i="105"/>
  <c r="I77" i="105"/>
  <c r="I76" i="105"/>
  <c r="I75" i="105"/>
  <c r="I74" i="105"/>
  <c r="I73" i="105"/>
  <c r="I72" i="105"/>
  <c r="I71" i="105"/>
  <c r="I70" i="105"/>
  <c r="I69" i="105"/>
  <c r="I68" i="105"/>
  <c r="I67" i="105"/>
  <c r="I66" i="105"/>
  <c r="I65" i="105"/>
  <c r="I64" i="105"/>
  <c r="I63" i="105"/>
  <c r="I62" i="105"/>
  <c r="I61" i="105"/>
  <c r="I60" i="105"/>
  <c r="I59" i="105"/>
  <c r="I58" i="105"/>
  <c r="I57" i="105"/>
  <c r="I56" i="105"/>
  <c r="I55" i="105"/>
  <c r="I54" i="105"/>
  <c r="I53" i="105"/>
  <c r="I52" i="105"/>
  <c r="I51" i="105"/>
  <c r="I50" i="105"/>
  <c r="I49" i="105"/>
  <c r="I48" i="105"/>
  <c r="I47" i="105"/>
  <c r="I46" i="105"/>
  <c r="I45" i="105"/>
  <c r="I44" i="105"/>
  <c r="I43" i="105"/>
  <c r="I42" i="105"/>
  <c r="I41" i="105"/>
  <c r="I40" i="105"/>
  <c r="I39" i="105"/>
  <c r="I38" i="105"/>
  <c r="I37" i="105"/>
  <c r="I36" i="105"/>
  <c r="I35" i="105"/>
  <c r="I34" i="105"/>
  <c r="I33" i="105"/>
  <c r="I32" i="105"/>
  <c r="I31" i="105"/>
  <c r="I30" i="105"/>
  <c r="I29" i="105"/>
  <c r="I28" i="105"/>
  <c r="I27" i="105"/>
  <c r="I26" i="105"/>
  <c r="I25" i="105"/>
  <c r="I24" i="105"/>
  <c r="I23" i="105"/>
  <c r="I22" i="105"/>
  <c r="I21" i="105"/>
  <c r="I20" i="105"/>
  <c r="I19" i="105"/>
  <c r="I18" i="105"/>
  <c r="I17" i="105"/>
  <c r="I16" i="105"/>
  <c r="I15" i="105"/>
  <c r="I14" i="105"/>
  <c r="I13" i="105"/>
  <c r="I12" i="105"/>
  <c r="I11" i="105"/>
  <c r="I10" i="105"/>
  <c r="I9" i="105"/>
  <c r="I8" i="105"/>
  <c r="I7" i="105"/>
  <c r="I6" i="105"/>
  <c r="I5" i="105"/>
  <c r="I4" i="105"/>
  <c r="I3" i="105"/>
  <c r="H106" i="1"/>
  <c r="H103" i="1"/>
  <c r="F4" i="74" s="1"/>
  <c r="H110" i="1"/>
  <c r="H111" i="1"/>
  <c r="N39" i="91" s="1"/>
  <c r="P39" i="91" s="1"/>
  <c r="E92" i="9"/>
  <c r="H107" i="1"/>
  <c r="P45" i="91" s="1"/>
  <c r="H84" i="1"/>
  <c r="H82" i="1"/>
  <c r="H83" i="1"/>
  <c r="F89" i="98"/>
  <c r="T89" i="98" s="1"/>
  <c r="U89" i="98" s="1"/>
  <c r="C79" i="27"/>
  <c r="F73" i="81"/>
  <c r="T73" i="81" s="1"/>
  <c r="U73" i="81" s="1"/>
  <c r="H35" i="81"/>
  <c r="K1" i="5"/>
  <c r="E1" i="27" s="1"/>
  <c r="H35" i="98"/>
  <c r="E161" i="9"/>
  <c r="I12" i="27"/>
  <c r="I13" i="27"/>
  <c r="E70" i="27"/>
  <c r="L22" i="91"/>
  <c r="L21" i="91" s="1"/>
  <c r="K22" i="91"/>
  <c r="K23" i="91" s="1"/>
  <c r="K38" i="91"/>
  <c r="K44" i="91" s="1"/>
  <c r="K42" i="91"/>
  <c r="F16" i="81"/>
  <c r="H79" i="1"/>
  <c r="G12" i="100"/>
  <c r="I34" i="100"/>
  <c r="A72" i="99"/>
  <c r="A73" i="99" s="1"/>
  <c r="F71" i="99"/>
  <c r="G71" i="99" s="1"/>
  <c r="B71" i="99"/>
  <c r="C71" i="99" s="1"/>
  <c r="H71" i="99" s="1"/>
  <c r="F60" i="99"/>
  <c r="G60" i="99" s="1"/>
  <c r="A11" i="99"/>
  <c r="A12" i="99" s="1"/>
  <c r="F59" i="99"/>
  <c r="G59" i="99" s="1"/>
  <c r="F58" i="99"/>
  <c r="G58" i="99" s="1"/>
  <c r="F57" i="99"/>
  <c r="G57" i="99" s="1"/>
  <c r="F56" i="99"/>
  <c r="G56" i="99" s="1"/>
  <c r="F55" i="99"/>
  <c r="G55" i="99" s="1"/>
  <c r="F54" i="99"/>
  <c r="G54" i="99" s="1"/>
  <c r="F53" i="99"/>
  <c r="G53" i="99" s="1"/>
  <c r="F52" i="99"/>
  <c r="G52" i="99" s="1"/>
  <c r="F51" i="99"/>
  <c r="G51" i="99" s="1"/>
  <c r="F50" i="99"/>
  <c r="G50" i="99" s="1"/>
  <c r="F49" i="99"/>
  <c r="G49" i="99" s="1"/>
  <c r="F48" i="99"/>
  <c r="G48" i="99" s="1"/>
  <c r="F47" i="99"/>
  <c r="G47" i="99" s="1"/>
  <c r="F46" i="99"/>
  <c r="G46" i="99" s="1"/>
  <c r="F45" i="99"/>
  <c r="G45" i="99" s="1"/>
  <c r="F44" i="99"/>
  <c r="G44" i="99" s="1"/>
  <c r="F43" i="99"/>
  <c r="G43" i="99" s="1"/>
  <c r="F42" i="99"/>
  <c r="G42" i="99" s="1"/>
  <c r="F41" i="99"/>
  <c r="G41" i="99" s="1"/>
  <c r="F40" i="99"/>
  <c r="G40" i="99" s="1"/>
  <c r="F39" i="99"/>
  <c r="G39" i="99" s="1"/>
  <c r="F38" i="99"/>
  <c r="G38" i="99" s="1"/>
  <c r="F37" i="99"/>
  <c r="G37" i="99" s="1"/>
  <c r="F36" i="99"/>
  <c r="G36" i="99" s="1"/>
  <c r="F35" i="99"/>
  <c r="G35" i="99" s="1"/>
  <c r="F34" i="99"/>
  <c r="G34" i="99" s="1"/>
  <c r="F33" i="99"/>
  <c r="G33" i="99" s="1"/>
  <c r="F32" i="99"/>
  <c r="G32" i="99" s="1"/>
  <c r="F31" i="99"/>
  <c r="G31" i="99" s="1"/>
  <c r="F30" i="99"/>
  <c r="G30" i="99" s="1"/>
  <c r="F29" i="99"/>
  <c r="G29" i="99" s="1"/>
  <c r="F28" i="99"/>
  <c r="G28" i="99" s="1"/>
  <c r="F27" i="99"/>
  <c r="G27" i="99" s="1"/>
  <c r="F26" i="99"/>
  <c r="G26" i="99" s="1"/>
  <c r="F25" i="99"/>
  <c r="G25" i="99" s="1"/>
  <c r="F24" i="99"/>
  <c r="G24" i="99" s="1"/>
  <c r="F23" i="99"/>
  <c r="G23" i="99" s="1"/>
  <c r="F22" i="99"/>
  <c r="G22" i="99" s="1"/>
  <c r="F21" i="99"/>
  <c r="G21" i="99" s="1"/>
  <c r="F20" i="99"/>
  <c r="G20" i="99" s="1"/>
  <c r="F19" i="99"/>
  <c r="G19" i="99" s="1"/>
  <c r="F18" i="99"/>
  <c r="G18" i="99" s="1"/>
  <c r="F17" i="99"/>
  <c r="G17" i="99" s="1"/>
  <c r="F16" i="99"/>
  <c r="G16" i="99" s="1"/>
  <c r="F15" i="99"/>
  <c r="G15" i="99" s="1"/>
  <c r="F14" i="99"/>
  <c r="G14" i="99" s="1"/>
  <c r="F13" i="99"/>
  <c r="G13" i="99" s="1"/>
  <c r="F12" i="99"/>
  <c r="G12" i="99" s="1"/>
  <c r="F11" i="99"/>
  <c r="G11" i="99" s="1"/>
  <c r="F10" i="99"/>
  <c r="G10" i="99" s="1"/>
  <c r="B10" i="99"/>
  <c r="C10" i="99" s="1"/>
  <c r="H10" i="99" s="1"/>
  <c r="H64" i="99"/>
  <c r="H66" i="99" s="1"/>
  <c r="G64" i="99"/>
  <c r="G66" i="99" s="1"/>
  <c r="P13" i="91"/>
  <c r="P14" i="91" s="1"/>
  <c r="P7" i="91"/>
  <c r="P9" i="91" s="1"/>
  <c r="P6" i="91"/>
  <c r="P33" i="91"/>
  <c r="N33" i="91"/>
  <c r="N32" i="91"/>
  <c r="P32" i="91" s="1"/>
  <c r="N11" i="73"/>
  <c r="F3" i="98"/>
  <c r="H3" i="99" s="1"/>
  <c r="F2" i="98"/>
  <c r="H2" i="99" s="1"/>
  <c r="H1" i="99"/>
  <c r="J37" i="73"/>
  <c r="K37" i="73" s="1"/>
  <c r="K36" i="73"/>
  <c r="K35" i="73"/>
  <c r="C2" i="98"/>
  <c r="C61" i="98" s="1"/>
  <c r="B3" i="1"/>
  <c r="C3" i="98" s="1"/>
  <c r="F16" i="98"/>
  <c r="F60" i="98"/>
  <c r="C62" i="98"/>
  <c r="F164" i="98"/>
  <c r="F165" i="98"/>
  <c r="E4" i="74"/>
  <c r="F42" i="23"/>
  <c r="F52" i="23" s="1"/>
  <c r="D42" i="23"/>
  <c r="D52" i="23" s="1"/>
  <c r="I25" i="23"/>
  <c r="H109" i="1"/>
  <c r="I13" i="91"/>
  <c r="I14" i="91" s="1"/>
  <c r="I7" i="91"/>
  <c r="I9" i="91" s="1"/>
  <c r="I6" i="91"/>
  <c r="E13" i="91"/>
  <c r="E14" i="91" s="1"/>
  <c r="E7" i="91"/>
  <c r="E9" i="91" s="1"/>
  <c r="E6" i="91"/>
  <c r="H90" i="1"/>
  <c r="H51" i="50"/>
  <c r="H57" i="50" s="1"/>
  <c r="H49" i="50"/>
  <c r="F51" i="50"/>
  <c r="F57" i="50" s="1"/>
  <c r="F49" i="50"/>
  <c r="G2" i="19"/>
  <c r="G1" i="19"/>
  <c r="H3" i="60"/>
  <c r="H2" i="60"/>
  <c r="H2" i="50" s="1"/>
  <c r="H1" i="60"/>
  <c r="D2" i="60"/>
  <c r="F3" i="9"/>
  <c r="F2" i="9"/>
  <c r="F1" i="9"/>
  <c r="B2" i="77"/>
  <c r="D5" i="77" s="1"/>
  <c r="U10" i="18"/>
  <c r="U11" i="18"/>
  <c r="V22" i="18"/>
  <c r="F16" i="8"/>
  <c r="K11" i="73"/>
  <c r="H78" i="9"/>
  <c r="H92" i="9"/>
  <c r="F114" i="81"/>
  <c r="F115" i="81"/>
  <c r="F3" i="81"/>
  <c r="F58" i="81" s="1"/>
  <c r="C58" i="81"/>
  <c r="F2" i="81"/>
  <c r="F57" i="81" s="1"/>
  <c r="C2" i="81"/>
  <c r="C57" i="81" s="1"/>
  <c r="F56" i="81"/>
  <c r="C2" i="8"/>
  <c r="C57" i="8" s="1"/>
  <c r="G78" i="9"/>
  <c r="G92" i="9"/>
  <c r="C10" i="72"/>
  <c r="E10" i="72" s="1"/>
  <c r="C12" i="72"/>
  <c r="E12" i="72" s="1"/>
  <c r="C16" i="72"/>
  <c r="E16" i="72" s="1"/>
  <c r="C24" i="72"/>
  <c r="E24" i="72" s="1"/>
  <c r="C32" i="72"/>
  <c r="E32" i="72" s="1"/>
  <c r="E36" i="72"/>
  <c r="I30" i="73" s="1"/>
  <c r="C36" i="72"/>
  <c r="E30" i="73" s="1"/>
  <c r="J267" i="1"/>
  <c r="V1033" i="70"/>
  <c r="W1033" i="70" s="1"/>
  <c r="V706" i="70"/>
  <c r="W706" i="70" s="1"/>
  <c r="C3" i="49"/>
  <c r="G3" i="49"/>
  <c r="G2" i="49"/>
  <c r="D2" i="3"/>
  <c r="G22" i="3" s="1"/>
  <c r="G113" i="2" s="1"/>
  <c r="H3" i="3"/>
  <c r="D1" i="3"/>
  <c r="H2" i="2"/>
  <c r="H2" i="3" s="1"/>
  <c r="G118" i="2"/>
  <c r="H1" i="2"/>
  <c r="D2" i="2"/>
  <c r="H3" i="2"/>
  <c r="H25" i="23"/>
  <c r="H1" i="23"/>
  <c r="F2" i="8"/>
  <c r="H2" i="23" s="1"/>
  <c r="I27" i="73"/>
  <c r="E27" i="73"/>
  <c r="I26" i="73"/>
  <c r="E26" i="73"/>
  <c r="I24" i="73"/>
  <c r="E24" i="73"/>
  <c r="I21" i="73"/>
  <c r="E21" i="73"/>
  <c r="I18" i="73"/>
  <c r="E18" i="73"/>
  <c r="I17" i="73"/>
  <c r="E17" i="73"/>
  <c r="I16" i="73"/>
  <c r="E16" i="73"/>
  <c r="I15" i="73"/>
  <c r="E15" i="73"/>
  <c r="I14" i="73"/>
  <c r="E14" i="73"/>
  <c r="I13" i="73"/>
  <c r="E13" i="73"/>
  <c r="I12" i="73"/>
  <c r="E12" i="73"/>
  <c r="I11" i="73"/>
  <c r="E11" i="73"/>
  <c r="I10" i="73"/>
  <c r="E10" i="73"/>
  <c r="J36" i="18"/>
  <c r="J39" i="18"/>
  <c r="L1" i="18"/>
  <c r="H3" i="50"/>
  <c r="D1" i="50"/>
  <c r="C2" i="21"/>
  <c r="G2" i="21"/>
  <c r="G1" i="21"/>
  <c r="C1" i="21"/>
  <c r="H29" i="5"/>
  <c r="H22" i="5"/>
  <c r="H23" i="5"/>
  <c r="F3" i="8"/>
  <c r="F58" i="8" s="1"/>
  <c r="C58" i="8"/>
  <c r="F56" i="8"/>
  <c r="F112" i="8"/>
  <c r="F113" i="8"/>
  <c r="V895" i="70"/>
  <c r="W895" i="70" s="1"/>
  <c r="V761" i="70"/>
  <c r="W761" i="70" s="1"/>
  <c r="V61" i="70"/>
  <c r="W61" i="70" s="1"/>
  <c r="V60" i="70"/>
  <c r="W60" i="70" s="1"/>
  <c r="W53" i="70"/>
  <c r="V1039" i="70"/>
  <c r="W1039" i="70" s="1"/>
  <c r="V1038" i="70"/>
  <c r="W1038" i="70" s="1"/>
  <c r="V1037" i="70"/>
  <c r="W1037" i="70" s="1"/>
  <c r="V1036" i="70"/>
  <c r="W1036" i="70" s="1"/>
  <c r="V1035" i="70"/>
  <c r="W1035" i="70" s="1"/>
  <c r="V1034" i="70"/>
  <c r="W1034" i="70" s="1"/>
  <c r="V1032" i="70"/>
  <c r="W1032" i="70" s="1"/>
  <c r="V1031" i="70"/>
  <c r="W1031" i="70" s="1"/>
  <c r="V1030" i="70"/>
  <c r="W1030" i="70" s="1"/>
  <c r="V1029" i="70"/>
  <c r="W1029" i="70" s="1"/>
  <c r="V1028" i="70"/>
  <c r="W1028" i="70" s="1"/>
  <c r="V1027" i="70"/>
  <c r="W1027" i="70" s="1"/>
  <c r="V1026" i="70"/>
  <c r="W1026" i="70" s="1"/>
  <c r="V1025" i="70"/>
  <c r="W1025" i="70" s="1"/>
  <c r="V1024" i="70"/>
  <c r="W1024" i="70" s="1"/>
  <c r="V1023" i="70"/>
  <c r="W1023" i="70" s="1"/>
  <c r="V1022" i="70"/>
  <c r="W1022" i="70" s="1"/>
  <c r="V1021" i="70"/>
  <c r="W1021" i="70" s="1"/>
  <c r="V1020" i="70"/>
  <c r="W1020" i="70" s="1"/>
  <c r="V1019" i="70"/>
  <c r="W1019" i="70" s="1"/>
  <c r="V1018" i="70"/>
  <c r="W1018" i="70" s="1"/>
  <c r="V1017" i="70"/>
  <c r="W1017" i="70" s="1"/>
  <c r="V1016" i="70"/>
  <c r="W1016" i="70" s="1"/>
  <c r="V1015" i="70"/>
  <c r="W1015" i="70" s="1"/>
  <c r="V1014" i="70"/>
  <c r="W1014" i="70" s="1"/>
  <c r="V1013" i="70"/>
  <c r="W1013" i="70" s="1"/>
  <c r="V1012" i="70"/>
  <c r="W1012" i="70" s="1"/>
  <c r="V1011" i="70"/>
  <c r="W1011" i="70" s="1"/>
  <c r="V1010" i="70"/>
  <c r="W1010" i="70" s="1"/>
  <c r="V1009" i="70"/>
  <c r="W1009" i="70" s="1"/>
  <c r="V1008" i="70"/>
  <c r="W1008" i="70" s="1"/>
  <c r="V1007" i="70"/>
  <c r="W1007" i="70" s="1"/>
  <c r="V1006" i="70"/>
  <c r="W1006" i="70" s="1"/>
  <c r="V1005" i="70"/>
  <c r="W1005" i="70" s="1"/>
  <c r="V1004" i="70"/>
  <c r="W1004" i="70" s="1"/>
  <c r="V1003" i="70"/>
  <c r="W1003" i="70" s="1"/>
  <c r="V1002" i="70"/>
  <c r="W1002" i="70" s="1"/>
  <c r="V1001" i="70"/>
  <c r="W1001" i="70" s="1"/>
  <c r="V1000" i="70"/>
  <c r="W1000" i="70" s="1"/>
  <c r="V999" i="70"/>
  <c r="W999" i="70" s="1"/>
  <c r="V998" i="70"/>
  <c r="W998" i="70" s="1"/>
  <c r="V997" i="70"/>
  <c r="W997" i="70" s="1"/>
  <c r="V996" i="70"/>
  <c r="W996" i="70" s="1"/>
  <c r="V995" i="70"/>
  <c r="W995" i="70" s="1"/>
  <c r="V994" i="70"/>
  <c r="W994" i="70" s="1"/>
  <c r="V993" i="70"/>
  <c r="W993" i="70" s="1"/>
  <c r="V992" i="70"/>
  <c r="W992" i="70" s="1"/>
  <c r="V991" i="70"/>
  <c r="W991" i="70" s="1"/>
  <c r="V990" i="70"/>
  <c r="W990" i="70" s="1"/>
  <c r="V989" i="70"/>
  <c r="W989" i="70" s="1"/>
  <c r="V988" i="70"/>
  <c r="W988" i="70" s="1"/>
  <c r="V987" i="70"/>
  <c r="W987" i="70" s="1"/>
  <c r="V986" i="70"/>
  <c r="W986" i="70" s="1"/>
  <c r="V985" i="70"/>
  <c r="W985" i="70" s="1"/>
  <c r="V984" i="70"/>
  <c r="W984" i="70" s="1"/>
  <c r="V983" i="70"/>
  <c r="W983" i="70" s="1"/>
  <c r="V982" i="70"/>
  <c r="W982" i="70" s="1"/>
  <c r="V981" i="70"/>
  <c r="W981" i="70" s="1"/>
  <c r="V980" i="70"/>
  <c r="W980" i="70" s="1"/>
  <c r="V979" i="70"/>
  <c r="W979" i="70" s="1"/>
  <c r="V978" i="70"/>
  <c r="W978" i="70" s="1"/>
  <c r="V977" i="70"/>
  <c r="W977" i="70" s="1"/>
  <c r="V976" i="70"/>
  <c r="W976" i="70" s="1"/>
  <c r="V975" i="70"/>
  <c r="W975" i="70" s="1"/>
  <c r="V974" i="70"/>
  <c r="W974" i="70" s="1"/>
  <c r="V973" i="70"/>
  <c r="W973" i="70" s="1"/>
  <c r="V972" i="70"/>
  <c r="W972" i="70" s="1"/>
  <c r="V971" i="70"/>
  <c r="W971" i="70" s="1"/>
  <c r="V970" i="70"/>
  <c r="W970" i="70" s="1"/>
  <c r="V969" i="70"/>
  <c r="W969" i="70" s="1"/>
  <c r="V968" i="70"/>
  <c r="W968" i="70" s="1"/>
  <c r="V967" i="70"/>
  <c r="W967" i="70" s="1"/>
  <c r="V966" i="70"/>
  <c r="W966" i="70" s="1"/>
  <c r="V965" i="70"/>
  <c r="W965" i="70" s="1"/>
  <c r="V964" i="70"/>
  <c r="W964" i="70" s="1"/>
  <c r="V963" i="70"/>
  <c r="W963" i="70" s="1"/>
  <c r="V962" i="70"/>
  <c r="W962" i="70" s="1"/>
  <c r="V961" i="70"/>
  <c r="W961" i="70" s="1"/>
  <c r="V960" i="70"/>
  <c r="W960" i="70" s="1"/>
  <c r="V959" i="70"/>
  <c r="W959" i="70" s="1"/>
  <c r="V958" i="70"/>
  <c r="W958" i="70" s="1"/>
  <c r="V957" i="70"/>
  <c r="W957" i="70" s="1"/>
  <c r="V956" i="70"/>
  <c r="W956" i="70" s="1"/>
  <c r="V955" i="70"/>
  <c r="W955" i="70" s="1"/>
  <c r="V954" i="70"/>
  <c r="W954" i="70" s="1"/>
  <c r="V953" i="70"/>
  <c r="W953" i="70" s="1"/>
  <c r="V952" i="70"/>
  <c r="W952" i="70" s="1"/>
  <c r="V951" i="70"/>
  <c r="W951" i="70" s="1"/>
  <c r="V950" i="70"/>
  <c r="W950" i="70" s="1"/>
  <c r="V949" i="70"/>
  <c r="W949" i="70" s="1"/>
  <c r="V948" i="70"/>
  <c r="W948" i="70" s="1"/>
  <c r="V947" i="70"/>
  <c r="W947" i="70" s="1"/>
  <c r="V946" i="70"/>
  <c r="W946" i="70" s="1"/>
  <c r="V945" i="70"/>
  <c r="W945" i="70" s="1"/>
  <c r="V944" i="70"/>
  <c r="W944" i="70" s="1"/>
  <c r="V943" i="70"/>
  <c r="W943" i="70" s="1"/>
  <c r="V942" i="70"/>
  <c r="W942" i="70" s="1"/>
  <c r="V941" i="70"/>
  <c r="W941" i="70" s="1"/>
  <c r="V940" i="70"/>
  <c r="W940" i="70" s="1"/>
  <c r="V939" i="70"/>
  <c r="W939" i="70" s="1"/>
  <c r="V938" i="70"/>
  <c r="W938" i="70" s="1"/>
  <c r="V937" i="70"/>
  <c r="W937" i="70" s="1"/>
  <c r="V936" i="70"/>
  <c r="W936" i="70" s="1"/>
  <c r="V935" i="70"/>
  <c r="W935" i="70" s="1"/>
  <c r="V934" i="70"/>
  <c r="W934" i="70" s="1"/>
  <c r="V933" i="70"/>
  <c r="W933" i="70" s="1"/>
  <c r="V932" i="70"/>
  <c r="W932" i="70" s="1"/>
  <c r="V931" i="70"/>
  <c r="W931" i="70" s="1"/>
  <c r="V930" i="70"/>
  <c r="W930" i="70" s="1"/>
  <c r="V929" i="70"/>
  <c r="W929" i="70" s="1"/>
  <c r="V928" i="70"/>
  <c r="W928" i="70" s="1"/>
  <c r="V927" i="70"/>
  <c r="W927" i="70" s="1"/>
  <c r="V926" i="70"/>
  <c r="W926" i="70" s="1"/>
  <c r="V925" i="70"/>
  <c r="W925" i="70" s="1"/>
  <c r="V924" i="70"/>
  <c r="W924" i="70" s="1"/>
  <c r="V923" i="70"/>
  <c r="W923" i="70" s="1"/>
  <c r="V922" i="70"/>
  <c r="W922" i="70" s="1"/>
  <c r="V921" i="70"/>
  <c r="W921" i="70" s="1"/>
  <c r="V920" i="70"/>
  <c r="W920" i="70" s="1"/>
  <c r="V919" i="70"/>
  <c r="W919" i="70" s="1"/>
  <c r="V918" i="70"/>
  <c r="W918" i="70" s="1"/>
  <c r="V917" i="70"/>
  <c r="W917" i="70" s="1"/>
  <c r="V916" i="70"/>
  <c r="W916" i="70" s="1"/>
  <c r="V915" i="70"/>
  <c r="W915" i="70" s="1"/>
  <c r="V914" i="70"/>
  <c r="W914" i="70" s="1"/>
  <c r="V913" i="70"/>
  <c r="W913" i="70" s="1"/>
  <c r="V912" i="70"/>
  <c r="W912" i="70" s="1"/>
  <c r="V911" i="70"/>
  <c r="W911" i="70" s="1"/>
  <c r="V910" i="70"/>
  <c r="W910" i="70" s="1"/>
  <c r="V909" i="70"/>
  <c r="W909" i="70" s="1"/>
  <c r="V908" i="70"/>
  <c r="W908" i="70" s="1"/>
  <c r="V907" i="70"/>
  <c r="W907" i="70" s="1"/>
  <c r="V906" i="70"/>
  <c r="W906" i="70" s="1"/>
  <c r="V905" i="70"/>
  <c r="W905" i="70" s="1"/>
  <c r="V904" i="70"/>
  <c r="W904" i="70" s="1"/>
  <c r="V903" i="70"/>
  <c r="W903" i="70" s="1"/>
  <c r="V902" i="70"/>
  <c r="W902" i="70" s="1"/>
  <c r="V901" i="70"/>
  <c r="W901" i="70" s="1"/>
  <c r="V900" i="70"/>
  <c r="W900" i="70" s="1"/>
  <c r="V899" i="70"/>
  <c r="W899" i="70" s="1"/>
  <c r="V898" i="70"/>
  <c r="W898" i="70" s="1"/>
  <c r="V897" i="70"/>
  <c r="W897" i="70" s="1"/>
  <c r="V896" i="70"/>
  <c r="W896" i="70" s="1"/>
  <c r="V894" i="70"/>
  <c r="W894" i="70" s="1"/>
  <c r="V893" i="70"/>
  <c r="W893" i="70" s="1"/>
  <c r="V892" i="70"/>
  <c r="W892" i="70" s="1"/>
  <c r="V891" i="70"/>
  <c r="W891" i="70" s="1"/>
  <c r="V890" i="70"/>
  <c r="W890" i="70" s="1"/>
  <c r="V889" i="70"/>
  <c r="W889" i="70" s="1"/>
  <c r="V888" i="70"/>
  <c r="W888" i="70" s="1"/>
  <c r="V887" i="70"/>
  <c r="W887" i="70" s="1"/>
  <c r="V886" i="70"/>
  <c r="W886" i="70" s="1"/>
  <c r="V885" i="70"/>
  <c r="W885" i="70" s="1"/>
  <c r="V884" i="70"/>
  <c r="W884" i="70" s="1"/>
  <c r="V883" i="70"/>
  <c r="W883" i="70" s="1"/>
  <c r="V882" i="70"/>
  <c r="W882" i="70" s="1"/>
  <c r="V881" i="70"/>
  <c r="W881" i="70" s="1"/>
  <c r="V880" i="70"/>
  <c r="W880" i="70" s="1"/>
  <c r="V879" i="70"/>
  <c r="W879" i="70" s="1"/>
  <c r="V878" i="70"/>
  <c r="W878" i="70" s="1"/>
  <c r="V877" i="70"/>
  <c r="W877" i="70" s="1"/>
  <c r="V876" i="70"/>
  <c r="W876" i="70" s="1"/>
  <c r="V875" i="70"/>
  <c r="W875" i="70" s="1"/>
  <c r="V874" i="70"/>
  <c r="W874" i="70" s="1"/>
  <c r="V873" i="70"/>
  <c r="W873" i="70" s="1"/>
  <c r="V872" i="70"/>
  <c r="W872" i="70" s="1"/>
  <c r="V871" i="70"/>
  <c r="W871" i="70" s="1"/>
  <c r="V870" i="70"/>
  <c r="W870" i="70" s="1"/>
  <c r="V869" i="70"/>
  <c r="W869" i="70" s="1"/>
  <c r="V868" i="70"/>
  <c r="W868" i="70" s="1"/>
  <c r="V867" i="70"/>
  <c r="W867" i="70" s="1"/>
  <c r="V866" i="70"/>
  <c r="W866" i="70" s="1"/>
  <c r="V865" i="70"/>
  <c r="W865" i="70" s="1"/>
  <c r="V864" i="70"/>
  <c r="W864" i="70" s="1"/>
  <c r="V863" i="70"/>
  <c r="W863" i="70" s="1"/>
  <c r="V862" i="70"/>
  <c r="W862" i="70" s="1"/>
  <c r="V861" i="70"/>
  <c r="W861" i="70" s="1"/>
  <c r="V860" i="70"/>
  <c r="W860" i="70" s="1"/>
  <c r="V859" i="70"/>
  <c r="W859" i="70" s="1"/>
  <c r="V858" i="70"/>
  <c r="W858" i="70" s="1"/>
  <c r="V857" i="70"/>
  <c r="W857" i="70" s="1"/>
  <c r="V856" i="70"/>
  <c r="W856" i="70" s="1"/>
  <c r="V855" i="70"/>
  <c r="W855" i="70" s="1"/>
  <c r="V854" i="70"/>
  <c r="W854" i="70" s="1"/>
  <c r="V853" i="70"/>
  <c r="W853" i="70" s="1"/>
  <c r="V852" i="70"/>
  <c r="W852" i="70" s="1"/>
  <c r="V851" i="70"/>
  <c r="W851" i="70" s="1"/>
  <c r="V850" i="70"/>
  <c r="W850" i="70" s="1"/>
  <c r="V849" i="70"/>
  <c r="W849" i="70" s="1"/>
  <c r="V848" i="70"/>
  <c r="W848" i="70" s="1"/>
  <c r="V847" i="70"/>
  <c r="W847" i="70" s="1"/>
  <c r="V846" i="70"/>
  <c r="W846" i="70" s="1"/>
  <c r="V845" i="70"/>
  <c r="W845" i="70" s="1"/>
  <c r="V844" i="70"/>
  <c r="W844" i="70" s="1"/>
  <c r="V843" i="70"/>
  <c r="W843" i="70" s="1"/>
  <c r="V842" i="70"/>
  <c r="W842" i="70" s="1"/>
  <c r="V841" i="70"/>
  <c r="W841" i="70" s="1"/>
  <c r="V840" i="70"/>
  <c r="W840" i="70" s="1"/>
  <c r="V839" i="70"/>
  <c r="W839" i="70" s="1"/>
  <c r="V838" i="70"/>
  <c r="W838" i="70" s="1"/>
  <c r="V837" i="70"/>
  <c r="W837" i="70" s="1"/>
  <c r="V836" i="70"/>
  <c r="W836" i="70" s="1"/>
  <c r="V835" i="70"/>
  <c r="W835" i="70" s="1"/>
  <c r="V834" i="70"/>
  <c r="W834" i="70" s="1"/>
  <c r="V833" i="70"/>
  <c r="W833" i="70" s="1"/>
  <c r="V832" i="70"/>
  <c r="W832" i="70" s="1"/>
  <c r="V831" i="70"/>
  <c r="W831" i="70" s="1"/>
  <c r="V830" i="70"/>
  <c r="W830" i="70" s="1"/>
  <c r="V829" i="70"/>
  <c r="W829" i="70" s="1"/>
  <c r="V828" i="70"/>
  <c r="W828" i="70" s="1"/>
  <c r="V827" i="70"/>
  <c r="W827" i="70" s="1"/>
  <c r="V826" i="70"/>
  <c r="W826" i="70" s="1"/>
  <c r="V825" i="70"/>
  <c r="W825" i="70" s="1"/>
  <c r="V824" i="70"/>
  <c r="W824" i="70" s="1"/>
  <c r="V823" i="70"/>
  <c r="W823" i="70" s="1"/>
  <c r="V822" i="70"/>
  <c r="W822" i="70" s="1"/>
  <c r="V821" i="70"/>
  <c r="W821" i="70" s="1"/>
  <c r="V820" i="70"/>
  <c r="W820" i="70" s="1"/>
  <c r="V819" i="70"/>
  <c r="W819" i="70" s="1"/>
  <c r="V818" i="70"/>
  <c r="W818" i="70" s="1"/>
  <c r="V817" i="70"/>
  <c r="W817" i="70" s="1"/>
  <c r="V816" i="70"/>
  <c r="W816" i="70" s="1"/>
  <c r="V815" i="70"/>
  <c r="W815" i="70" s="1"/>
  <c r="V814" i="70"/>
  <c r="W814" i="70" s="1"/>
  <c r="V813" i="70"/>
  <c r="W813" i="70" s="1"/>
  <c r="V812" i="70"/>
  <c r="W812" i="70" s="1"/>
  <c r="V811" i="70"/>
  <c r="W811" i="70" s="1"/>
  <c r="V810" i="70"/>
  <c r="W810" i="70" s="1"/>
  <c r="V809" i="70"/>
  <c r="W809" i="70" s="1"/>
  <c r="V808" i="70"/>
  <c r="W808" i="70" s="1"/>
  <c r="V807" i="70"/>
  <c r="W807" i="70" s="1"/>
  <c r="V806" i="70"/>
  <c r="W806" i="70" s="1"/>
  <c r="V805" i="70"/>
  <c r="W805" i="70" s="1"/>
  <c r="V804" i="70"/>
  <c r="W804" i="70" s="1"/>
  <c r="V803" i="70"/>
  <c r="W803" i="70" s="1"/>
  <c r="V802" i="70"/>
  <c r="W802" i="70" s="1"/>
  <c r="V801" i="70"/>
  <c r="W801" i="70" s="1"/>
  <c r="V800" i="70"/>
  <c r="W800" i="70" s="1"/>
  <c r="V799" i="70"/>
  <c r="W799" i="70" s="1"/>
  <c r="V798" i="70"/>
  <c r="W798" i="70" s="1"/>
  <c r="V797" i="70"/>
  <c r="W797" i="70" s="1"/>
  <c r="V796" i="70"/>
  <c r="W796" i="70" s="1"/>
  <c r="V795" i="70"/>
  <c r="W795" i="70" s="1"/>
  <c r="V794" i="70"/>
  <c r="W794" i="70" s="1"/>
  <c r="V793" i="70"/>
  <c r="W793" i="70" s="1"/>
  <c r="V792" i="70"/>
  <c r="W792" i="70" s="1"/>
  <c r="V791" i="70"/>
  <c r="W791" i="70" s="1"/>
  <c r="V790" i="70"/>
  <c r="W790" i="70" s="1"/>
  <c r="V789" i="70"/>
  <c r="W789" i="70" s="1"/>
  <c r="V788" i="70"/>
  <c r="W788" i="70" s="1"/>
  <c r="V787" i="70"/>
  <c r="W787" i="70" s="1"/>
  <c r="V786" i="70"/>
  <c r="W786" i="70" s="1"/>
  <c r="V785" i="70"/>
  <c r="W785" i="70" s="1"/>
  <c r="V784" i="70"/>
  <c r="W784" i="70" s="1"/>
  <c r="V783" i="70"/>
  <c r="W783" i="70" s="1"/>
  <c r="V782" i="70"/>
  <c r="W782" i="70" s="1"/>
  <c r="V781" i="70"/>
  <c r="W781" i="70" s="1"/>
  <c r="V780" i="70"/>
  <c r="W780" i="70" s="1"/>
  <c r="V779" i="70"/>
  <c r="W779" i="70" s="1"/>
  <c r="V778" i="70"/>
  <c r="W778" i="70" s="1"/>
  <c r="V777" i="70"/>
  <c r="W777" i="70" s="1"/>
  <c r="V776" i="70"/>
  <c r="W776" i="70" s="1"/>
  <c r="V775" i="70"/>
  <c r="W775" i="70" s="1"/>
  <c r="V774" i="70"/>
  <c r="W774" i="70" s="1"/>
  <c r="V773" i="70"/>
  <c r="W773" i="70" s="1"/>
  <c r="V772" i="70"/>
  <c r="W772" i="70" s="1"/>
  <c r="V771" i="70"/>
  <c r="W771" i="70" s="1"/>
  <c r="V770" i="70"/>
  <c r="W770" i="70" s="1"/>
  <c r="V769" i="70"/>
  <c r="W769" i="70" s="1"/>
  <c r="V768" i="70"/>
  <c r="W768" i="70" s="1"/>
  <c r="V767" i="70"/>
  <c r="W767" i="70" s="1"/>
  <c r="V766" i="70"/>
  <c r="W766" i="70" s="1"/>
  <c r="V765" i="70"/>
  <c r="W765" i="70" s="1"/>
  <c r="V764" i="70"/>
  <c r="W764" i="70" s="1"/>
  <c r="V763" i="70"/>
  <c r="W763" i="70" s="1"/>
  <c r="V762" i="70"/>
  <c r="W762" i="70" s="1"/>
  <c r="V760" i="70"/>
  <c r="W760" i="70" s="1"/>
  <c r="V759" i="70"/>
  <c r="W759" i="70" s="1"/>
  <c r="V758" i="70"/>
  <c r="W758" i="70" s="1"/>
  <c r="V757" i="70"/>
  <c r="W757" i="70" s="1"/>
  <c r="V756" i="70"/>
  <c r="W756" i="70" s="1"/>
  <c r="V755" i="70"/>
  <c r="W755" i="70" s="1"/>
  <c r="V754" i="70"/>
  <c r="W754" i="70" s="1"/>
  <c r="V753" i="70"/>
  <c r="W753" i="70" s="1"/>
  <c r="V752" i="70"/>
  <c r="W752" i="70" s="1"/>
  <c r="V751" i="70"/>
  <c r="W751" i="70" s="1"/>
  <c r="V750" i="70"/>
  <c r="W750" i="70" s="1"/>
  <c r="V749" i="70"/>
  <c r="W749" i="70" s="1"/>
  <c r="V748" i="70"/>
  <c r="W748" i="70" s="1"/>
  <c r="V747" i="70"/>
  <c r="W747" i="70" s="1"/>
  <c r="V746" i="70"/>
  <c r="W746" i="70" s="1"/>
  <c r="V745" i="70"/>
  <c r="W745" i="70" s="1"/>
  <c r="V744" i="70"/>
  <c r="W744" i="70" s="1"/>
  <c r="V743" i="70"/>
  <c r="W743" i="70" s="1"/>
  <c r="V742" i="70"/>
  <c r="W742" i="70" s="1"/>
  <c r="V741" i="70"/>
  <c r="W741" i="70" s="1"/>
  <c r="V740" i="70"/>
  <c r="W740" i="70" s="1"/>
  <c r="V739" i="70"/>
  <c r="W739" i="70" s="1"/>
  <c r="V738" i="70"/>
  <c r="W738" i="70" s="1"/>
  <c r="V737" i="70"/>
  <c r="W737" i="70" s="1"/>
  <c r="V736" i="70"/>
  <c r="W736" i="70" s="1"/>
  <c r="V735" i="70"/>
  <c r="W735" i="70" s="1"/>
  <c r="V734" i="70"/>
  <c r="W734" i="70" s="1"/>
  <c r="V733" i="70"/>
  <c r="W733" i="70" s="1"/>
  <c r="V732" i="70"/>
  <c r="W732" i="70" s="1"/>
  <c r="V731" i="70"/>
  <c r="W731" i="70" s="1"/>
  <c r="V730" i="70"/>
  <c r="W730" i="70" s="1"/>
  <c r="V729" i="70"/>
  <c r="W729" i="70" s="1"/>
  <c r="V728" i="70"/>
  <c r="W728" i="70" s="1"/>
  <c r="V727" i="70"/>
  <c r="W727" i="70" s="1"/>
  <c r="V726" i="70"/>
  <c r="W726" i="70" s="1"/>
  <c r="V725" i="70"/>
  <c r="W725" i="70" s="1"/>
  <c r="V724" i="70"/>
  <c r="W724" i="70" s="1"/>
  <c r="V723" i="70"/>
  <c r="W723" i="70" s="1"/>
  <c r="V722" i="70"/>
  <c r="W722" i="70" s="1"/>
  <c r="V721" i="70"/>
  <c r="W721" i="70" s="1"/>
  <c r="V720" i="70"/>
  <c r="W720" i="70" s="1"/>
  <c r="V719" i="70"/>
  <c r="W719" i="70" s="1"/>
  <c r="V718" i="70"/>
  <c r="W718" i="70" s="1"/>
  <c r="V717" i="70"/>
  <c r="W717" i="70" s="1"/>
  <c r="V716" i="70"/>
  <c r="W716" i="70" s="1"/>
  <c r="V715" i="70"/>
  <c r="W715" i="70" s="1"/>
  <c r="V714" i="70"/>
  <c r="W714" i="70" s="1"/>
  <c r="V713" i="70"/>
  <c r="W713" i="70" s="1"/>
  <c r="V712" i="70"/>
  <c r="W712" i="70" s="1"/>
  <c r="V711" i="70"/>
  <c r="W711" i="70" s="1"/>
  <c r="V710" i="70"/>
  <c r="W710" i="70" s="1"/>
  <c r="V709" i="70"/>
  <c r="W709" i="70" s="1"/>
  <c r="V708" i="70"/>
  <c r="W708" i="70" s="1"/>
  <c r="V707" i="70"/>
  <c r="W707" i="70" s="1"/>
  <c r="V705" i="70"/>
  <c r="W705" i="70" s="1"/>
  <c r="V704" i="70"/>
  <c r="W704" i="70" s="1"/>
  <c r="V703" i="70"/>
  <c r="W703" i="70" s="1"/>
  <c r="V702" i="70"/>
  <c r="W702" i="70" s="1"/>
  <c r="V701" i="70"/>
  <c r="W701" i="70" s="1"/>
  <c r="V700" i="70"/>
  <c r="W700" i="70" s="1"/>
  <c r="V699" i="70"/>
  <c r="W699" i="70" s="1"/>
  <c r="V698" i="70"/>
  <c r="W698" i="70" s="1"/>
  <c r="V697" i="70"/>
  <c r="W697" i="70" s="1"/>
  <c r="V696" i="70"/>
  <c r="W696" i="70" s="1"/>
  <c r="V695" i="70"/>
  <c r="W695" i="70" s="1"/>
  <c r="V694" i="70"/>
  <c r="W694" i="70" s="1"/>
  <c r="V693" i="70"/>
  <c r="W693" i="70" s="1"/>
  <c r="V692" i="70"/>
  <c r="W692" i="70" s="1"/>
  <c r="V691" i="70"/>
  <c r="W691" i="70" s="1"/>
  <c r="V690" i="70"/>
  <c r="W690" i="70" s="1"/>
  <c r="V689" i="70"/>
  <c r="W689" i="70" s="1"/>
  <c r="V688" i="70"/>
  <c r="W688" i="70" s="1"/>
  <c r="V687" i="70"/>
  <c r="W687" i="70" s="1"/>
  <c r="V686" i="70"/>
  <c r="W686" i="70" s="1"/>
  <c r="V685" i="70"/>
  <c r="W685" i="70" s="1"/>
  <c r="V684" i="70"/>
  <c r="W684" i="70" s="1"/>
  <c r="V683" i="70"/>
  <c r="W683" i="70" s="1"/>
  <c r="V682" i="70"/>
  <c r="W682" i="70" s="1"/>
  <c r="V681" i="70"/>
  <c r="W681" i="70" s="1"/>
  <c r="V680" i="70"/>
  <c r="W680" i="70" s="1"/>
  <c r="V679" i="70"/>
  <c r="W679" i="70" s="1"/>
  <c r="V678" i="70"/>
  <c r="W678" i="70" s="1"/>
  <c r="V677" i="70"/>
  <c r="W677" i="70" s="1"/>
  <c r="V676" i="70"/>
  <c r="W676" i="70" s="1"/>
  <c r="V675" i="70"/>
  <c r="W675" i="70" s="1"/>
  <c r="V674" i="70"/>
  <c r="W674" i="70" s="1"/>
  <c r="V673" i="70"/>
  <c r="W673" i="70" s="1"/>
  <c r="V672" i="70"/>
  <c r="W672" i="70" s="1"/>
  <c r="V671" i="70"/>
  <c r="W671" i="70" s="1"/>
  <c r="V670" i="70"/>
  <c r="W670" i="70" s="1"/>
  <c r="V669" i="70"/>
  <c r="W669" i="70" s="1"/>
  <c r="V668" i="70"/>
  <c r="W668" i="70" s="1"/>
  <c r="V667" i="70"/>
  <c r="W667" i="70" s="1"/>
  <c r="V666" i="70"/>
  <c r="W666" i="70" s="1"/>
  <c r="V665" i="70"/>
  <c r="W665" i="70" s="1"/>
  <c r="V664" i="70"/>
  <c r="W664" i="70" s="1"/>
  <c r="V663" i="70"/>
  <c r="W663" i="70" s="1"/>
  <c r="V662" i="70"/>
  <c r="W662" i="70" s="1"/>
  <c r="V661" i="70"/>
  <c r="W661" i="70" s="1"/>
  <c r="V660" i="70"/>
  <c r="W660" i="70" s="1"/>
  <c r="V659" i="70"/>
  <c r="W659" i="70" s="1"/>
  <c r="V658" i="70"/>
  <c r="W658" i="70" s="1"/>
  <c r="V657" i="70"/>
  <c r="W657" i="70" s="1"/>
  <c r="V656" i="70"/>
  <c r="W656" i="70" s="1"/>
  <c r="V655" i="70"/>
  <c r="W655" i="70" s="1"/>
  <c r="V654" i="70"/>
  <c r="W654" i="70" s="1"/>
  <c r="V653" i="70"/>
  <c r="W653" i="70" s="1"/>
  <c r="V652" i="70"/>
  <c r="W652" i="70" s="1"/>
  <c r="V651" i="70"/>
  <c r="W651" i="70" s="1"/>
  <c r="V650" i="70"/>
  <c r="W650" i="70" s="1"/>
  <c r="V649" i="70"/>
  <c r="W649" i="70" s="1"/>
  <c r="V648" i="70"/>
  <c r="W648" i="70" s="1"/>
  <c r="V647" i="70"/>
  <c r="W647" i="70" s="1"/>
  <c r="V646" i="70"/>
  <c r="W646" i="70" s="1"/>
  <c r="V645" i="70"/>
  <c r="W645" i="70" s="1"/>
  <c r="V644" i="70"/>
  <c r="W644" i="70" s="1"/>
  <c r="V643" i="70"/>
  <c r="W643" i="70" s="1"/>
  <c r="V642" i="70"/>
  <c r="W642" i="70" s="1"/>
  <c r="V641" i="70"/>
  <c r="W641" i="70" s="1"/>
  <c r="V640" i="70"/>
  <c r="W640" i="70" s="1"/>
  <c r="V639" i="70"/>
  <c r="W639" i="70" s="1"/>
  <c r="V638" i="70"/>
  <c r="W638" i="70" s="1"/>
  <c r="V637" i="70"/>
  <c r="W637" i="70" s="1"/>
  <c r="V636" i="70"/>
  <c r="W636" i="70" s="1"/>
  <c r="V635" i="70"/>
  <c r="W635" i="70" s="1"/>
  <c r="V634" i="70"/>
  <c r="W634" i="70" s="1"/>
  <c r="V633" i="70"/>
  <c r="W633" i="70" s="1"/>
  <c r="V632" i="70"/>
  <c r="W632" i="70" s="1"/>
  <c r="V631" i="70"/>
  <c r="W631" i="70" s="1"/>
  <c r="V630" i="70"/>
  <c r="W630" i="70" s="1"/>
  <c r="V629" i="70"/>
  <c r="W629" i="70" s="1"/>
  <c r="V628" i="70"/>
  <c r="W628" i="70" s="1"/>
  <c r="V627" i="70"/>
  <c r="W627" i="70" s="1"/>
  <c r="V626" i="70"/>
  <c r="W626" i="70" s="1"/>
  <c r="V625" i="70"/>
  <c r="W625" i="70" s="1"/>
  <c r="V624" i="70"/>
  <c r="W624" i="70" s="1"/>
  <c r="V623" i="70"/>
  <c r="W623" i="70" s="1"/>
  <c r="V622" i="70"/>
  <c r="W622" i="70" s="1"/>
  <c r="V621" i="70"/>
  <c r="W621" i="70" s="1"/>
  <c r="V620" i="70"/>
  <c r="W620" i="70" s="1"/>
  <c r="V619" i="70"/>
  <c r="W619" i="70" s="1"/>
  <c r="V618" i="70"/>
  <c r="W618" i="70" s="1"/>
  <c r="V617" i="70"/>
  <c r="W617" i="70" s="1"/>
  <c r="V616" i="70"/>
  <c r="W616" i="70" s="1"/>
  <c r="V615" i="70"/>
  <c r="W615" i="70" s="1"/>
  <c r="V614" i="70"/>
  <c r="W614" i="70" s="1"/>
  <c r="V613" i="70"/>
  <c r="W613" i="70" s="1"/>
  <c r="V612" i="70"/>
  <c r="W612" i="70" s="1"/>
  <c r="V611" i="70"/>
  <c r="W611" i="70" s="1"/>
  <c r="V610" i="70"/>
  <c r="W610" i="70" s="1"/>
  <c r="V609" i="70"/>
  <c r="W609" i="70" s="1"/>
  <c r="V608" i="70"/>
  <c r="W608" i="70" s="1"/>
  <c r="V607" i="70"/>
  <c r="W607" i="70" s="1"/>
  <c r="V606" i="70"/>
  <c r="W606" i="70" s="1"/>
  <c r="V605" i="70"/>
  <c r="W605" i="70" s="1"/>
  <c r="V604" i="70"/>
  <c r="W604" i="70" s="1"/>
  <c r="V603" i="70"/>
  <c r="W603" i="70" s="1"/>
  <c r="V602" i="70"/>
  <c r="W602" i="70" s="1"/>
  <c r="V601" i="70"/>
  <c r="W601" i="70" s="1"/>
  <c r="V600" i="70"/>
  <c r="W600" i="70" s="1"/>
  <c r="V599" i="70"/>
  <c r="W599" i="70" s="1"/>
  <c r="V598" i="70"/>
  <c r="W598" i="70" s="1"/>
  <c r="V597" i="70"/>
  <c r="W597" i="70" s="1"/>
  <c r="V596" i="70"/>
  <c r="W596" i="70" s="1"/>
  <c r="V595" i="70"/>
  <c r="W595" i="70" s="1"/>
  <c r="V594" i="70"/>
  <c r="W594" i="70" s="1"/>
  <c r="V593" i="70"/>
  <c r="W593" i="70" s="1"/>
  <c r="V592" i="70"/>
  <c r="W592" i="70" s="1"/>
  <c r="V591" i="70"/>
  <c r="W591" i="70" s="1"/>
  <c r="V590" i="70"/>
  <c r="W590" i="70" s="1"/>
  <c r="V589" i="70"/>
  <c r="W589" i="70" s="1"/>
  <c r="V588" i="70"/>
  <c r="W588" i="70" s="1"/>
  <c r="V587" i="70"/>
  <c r="W587" i="70" s="1"/>
  <c r="V586" i="70"/>
  <c r="W586" i="70" s="1"/>
  <c r="V585" i="70"/>
  <c r="W585" i="70" s="1"/>
  <c r="V584" i="70"/>
  <c r="W584" i="70" s="1"/>
  <c r="V583" i="70"/>
  <c r="W583" i="70" s="1"/>
  <c r="V582" i="70"/>
  <c r="W582" i="70" s="1"/>
  <c r="V581" i="70"/>
  <c r="W581" i="70" s="1"/>
  <c r="V580" i="70"/>
  <c r="W580" i="70" s="1"/>
  <c r="V579" i="70"/>
  <c r="W579" i="70" s="1"/>
  <c r="V578" i="70"/>
  <c r="W578" i="70" s="1"/>
  <c r="V577" i="70"/>
  <c r="W577" i="70" s="1"/>
  <c r="V576" i="70"/>
  <c r="W576" i="70" s="1"/>
  <c r="V575" i="70"/>
  <c r="W575" i="70" s="1"/>
  <c r="V574" i="70"/>
  <c r="W574" i="70" s="1"/>
  <c r="V573" i="70"/>
  <c r="W573" i="70" s="1"/>
  <c r="V572" i="70"/>
  <c r="W572" i="70" s="1"/>
  <c r="V571" i="70"/>
  <c r="W571" i="70" s="1"/>
  <c r="V570" i="70"/>
  <c r="W570" i="70" s="1"/>
  <c r="V569" i="70"/>
  <c r="W569" i="70" s="1"/>
  <c r="V568" i="70"/>
  <c r="W568" i="70" s="1"/>
  <c r="V567" i="70"/>
  <c r="W567" i="70" s="1"/>
  <c r="V566" i="70"/>
  <c r="W566" i="70" s="1"/>
  <c r="V565" i="70"/>
  <c r="W565" i="70" s="1"/>
  <c r="V564" i="70"/>
  <c r="W564" i="70" s="1"/>
  <c r="V563" i="70"/>
  <c r="W563" i="70" s="1"/>
  <c r="V562" i="70"/>
  <c r="W562" i="70" s="1"/>
  <c r="V561" i="70"/>
  <c r="W561" i="70" s="1"/>
  <c r="V560" i="70"/>
  <c r="W560" i="70" s="1"/>
  <c r="V559" i="70"/>
  <c r="W559" i="70" s="1"/>
  <c r="V558" i="70"/>
  <c r="W558" i="70" s="1"/>
  <c r="V557" i="70"/>
  <c r="W557" i="70" s="1"/>
  <c r="V556" i="70"/>
  <c r="W556" i="70" s="1"/>
  <c r="V555" i="70"/>
  <c r="W555" i="70" s="1"/>
  <c r="V554" i="70"/>
  <c r="W554" i="70" s="1"/>
  <c r="V553" i="70"/>
  <c r="W553" i="70" s="1"/>
  <c r="V552" i="70"/>
  <c r="W552" i="70" s="1"/>
  <c r="V551" i="70"/>
  <c r="W551" i="70" s="1"/>
  <c r="V550" i="70"/>
  <c r="W550" i="70" s="1"/>
  <c r="V549" i="70"/>
  <c r="W549" i="70" s="1"/>
  <c r="V548" i="70"/>
  <c r="W548" i="70" s="1"/>
  <c r="V547" i="70"/>
  <c r="W547" i="70" s="1"/>
  <c r="V546" i="70"/>
  <c r="W546" i="70" s="1"/>
  <c r="V545" i="70"/>
  <c r="W545" i="70" s="1"/>
  <c r="V544" i="70"/>
  <c r="W544" i="70" s="1"/>
  <c r="V543" i="70"/>
  <c r="W543" i="70" s="1"/>
  <c r="V542" i="70"/>
  <c r="W542" i="70" s="1"/>
  <c r="V541" i="70"/>
  <c r="W541" i="70" s="1"/>
  <c r="V540" i="70"/>
  <c r="W540" i="70" s="1"/>
  <c r="V539" i="70"/>
  <c r="W539" i="70" s="1"/>
  <c r="V538" i="70"/>
  <c r="W538" i="70" s="1"/>
  <c r="V537" i="70"/>
  <c r="W537" i="70" s="1"/>
  <c r="V536" i="70"/>
  <c r="W536" i="70" s="1"/>
  <c r="V535" i="70"/>
  <c r="W535" i="70" s="1"/>
  <c r="V534" i="70"/>
  <c r="W534" i="70" s="1"/>
  <c r="V533" i="70"/>
  <c r="W533" i="70" s="1"/>
  <c r="V532" i="70"/>
  <c r="W532" i="70" s="1"/>
  <c r="V531" i="70"/>
  <c r="W531" i="70" s="1"/>
  <c r="V530" i="70"/>
  <c r="W530" i="70" s="1"/>
  <c r="V529" i="70"/>
  <c r="W529" i="70" s="1"/>
  <c r="V528" i="70"/>
  <c r="W528" i="70" s="1"/>
  <c r="V527" i="70"/>
  <c r="W527" i="70" s="1"/>
  <c r="V526" i="70"/>
  <c r="W526" i="70" s="1"/>
  <c r="V525" i="70"/>
  <c r="W525" i="70" s="1"/>
  <c r="V524" i="70"/>
  <c r="W524" i="70" s="1"/>
  <c r="V523" i="70"/>
  <c r="W523" i="70" s="1"/>
  <c r="V522" i="70"/>
  <c r="W522" i="70" s="1"/>
  <c r="V521" i="70"/>
  <c r="W521" i="70" s="1"/>
  <c r="V520" i="70"/>
  <c r="W520" i="70" s="1"/>
  <c r="V519" i="70"/>
  <c r="W519" i="70" s="1"/>
  <c r="V518" i="70"/>
  <c r="W518" i="70" s="1"/>
  <c r="V517" i="70"/>
  <c r="W517" i="70" s="1"/>
  <c r="V516" i="70"/>
  <c r="W516" i="70" s="1"/>
  <c r="V515" i="70"/>
  <c r="W515" i="70" s="1"/>
  <c r="V514" i="70"/>
  <c r="W514" i="70" s="1"/>
  <c r="V513" i="70"/>
  <c r="W513" i="70" s="1"/>
  <c r="V512" i="70"/>
  <c r="W512" i="70" s="1"/>
  <c r="V511" i="70"/>
  <c r="W511" i="70" s="1"/>
  <c r="V510" i="70"/>
  <c r="W510" i="70" s="1"/>
  <c r="V509" i="70"/>
  <c r="W509" i="70" s="1"/>
  <c r="V508" i="70"/>
  <c r="W508" i="70" s="1"/>
  <c r="V507" i="70"/>
  <c r="W507" i="70" s="1"/>
  <c r="V506" i="70"/>
  <c r="W506" i="70" s="1"/>
  <c r="V505" i="70"/>
  <c r="W505" i="70" s="1"/>
  <c r="V504" i="70"/>
  <c r="W504" i="70" s="1"/>
  <c r="V503" i="70"/>
  <c r="W503" i="70" s="1"/>
  <c r="V502" i="70"/>
  <c r="W502" i="70" s="1"/>
  <c r="V501" i="70"/>
  <c r="W501" i="70" s="1"/>
  <c r="V500" i="70"/>
  <c r="W500" i="70" s="1"/>
  <c r="V499" i="70"/>
  <c r="W499" i="70" s="1"/>
  <c r="V498" i="70"/>
  <c r="W498" i="70" s="1"/>
  <c r="V497" i="70"/>
  <c r="W497" i="70" s="1"/>
  <c r="V496" i="70"/>
  <c r="W496" i="70" s="1"/>
  <c r="V495" i="70"/>
  <c r="W495" i="70" s="1"/>
  <c r="V494" i="70"/>
  <c r="W494" i="70" s="1"/>
  <c r="V493" i="70"/>
  <c r="W493" i="70" s="1"/>
  <c r="V492" i="70"/>
  <c r="W492" i="70" s="1"/>
  <c r="V491" i="70"/>
  <c r="W491" i="70" s="1"/>
  <c r="V490" i="70"/>
  <c r="W490" i="70" s="1"/>
  <c r="V489" i="70"/>
  <c r="W489" i="70" s="1"/>
  <c r="V488" i="70"/>
  <c r="W488" i="70" s="1"/>
  <c r="V487" i="70"/>
  <c r="W487" i="70" s="1"/>
  <c r="V486" i="70"/>
  <c r="W486" i="70" s="1"/>
  <c r="V485" i="70"/>
  <c r="W485" i="70" s="1"/>
  <c r="V484" i="70"/>
  <c r="W484" i="70" s="1"/>
  <c r="V483" i="70"/>
  <c r="W483" i="70" s="1"/>
  <c r="V482" i="70"/>
  <c r="W482" i="70" s="1"/>
  <c r="V481" i="70"/>
  <c r="W481" i="70" s="1"/>
  <c r="V480" i="70"/>
  <c r="W480" i="70" s="1"/>
  <c r="V479" i="70"/>
  <c r="W479" i="70" s="1"/>
  <c r="V478" i="70"/>
  <c r="W478" i="70" s="1"/>
  <c r="V477" i="70"/>
  <c r="W477" i="70" s="1"/>
  <c r="V476" i="70"/>
  <c r="W476" i="70" s="1"/>
  <c r="V475" i="70"/>
  <c r="W475" i="70" s="1"/>
  <c r="V474" i="70"/>
  <c r="W474" i="70" s="1"/>
  <c r="V473" i="70"/>
  <c r="W473" i="70" s="1"/>
  <c r="V472" i="70"/>
  <c r="W472" i="70" s="1"/>
  <c r="V471" i="70"/>
  <c r="W471" i="70" s="1"/>
  <c r="V470" i="70"/>
  <c r="W470" i="70" s="1"/>
  <c r="V469" i="70"/>
  <c r="W469" i="70" s="1"/>
  <c r="V468" i="70"/>
  <c r="W468" i="70" s="1"/>
  <c r="V467" i="70"/>
  <c r="W467" i="70" s="1"/>
  <c r="V466" i="70"/>
  <c r="W466" i="70" s="1"/>
  <c r="V465" i="70"/>
  <c r="W465" i="70" s="1"/>
  <c r="V464" i="70"/>
  <c r="W464" i="70" s="1"/>
  <c r="V463" i="70"/>
  <c r="W463" i="70" s="1"/>
  <c r="V462" i="70"/>
  <c r="W462" i="70" s="1"/>
  <c r="V461" i="70"/>
  <c r="W461" i="70" s="1"/>
  <c r="V460" i="70"/>
  <c r="W460" i="70" s="1"/>
  <c r="V459" i="70"/>
  <c r="W459" i="70" s="1"/>
  <c r="V458" i="70"/>
  <c r="W458" i="70" s="1"/>
  <c r="V457" i="70"/>
  <c r="W457" i="70" s="1"/>
  <c r="V456" i="70"/>
  <c r="W456" i="70" s="1"/>
  <c r="V455" i="70"/>
  <c r="W455" i="70" s="1"/>
  <c r="V454" i="70"/>
  <c r="W454" i="70" s="1"/>
  <c r="V453" i="70"/>
  <c r="W453" i="70" s="1"/>
  <c r="V452" i="70"/>
  <c r="W452" i="70" s="1"/>
  <c r="V451" i="70"/>
  <c r="W451" i="70" s="1"/>
  <c r="V450" i="70"/>
  <c r="W450" i="70" s="1"/>
  <c r="V449" i="70"/>
  <c r="W449" i="70" s="1"/>
  <c r="V448" i="70"/>
  <c r="W448" i="70" s="1"/>
  <c r="V447" i="70"/>
  <c r="W447" i="70" s="1"/>
  <c r="V446" i="70"/>
  <c r="W446" i="70" s="1"/>
  <c r="V445" i="70"/>
  <c r="W445" i="70" s="1"/>
  <c r="V444" i="70"/>
  <c r="W444" i="70" s="1"/>
  <c r="V443" i="70"/>
  <c r="W443" i="70" s="1"/>
  <c r="V442" i="70"/>
  <c r="W442" i="70" s="1"/>
  <c r="V441" i="70"/>
  <c r="W441" i="70" s="1"/>
  <c r="V440" i="70"/>
  <c r="W440" i="70" s="1"/>
  <c r="V439" i="70"/>
  <c r="W439" i="70" s="1"/>
  <c r="V438" i="70"/>
  <c r="W438" i="70" s="1"/>
  <c r="V437" i="70"/>
  <c r="W437" i="70" s="1"/>
  <c r="V436" i="70"/>
  <c r="W436" i="70" s="1"/>
  <c r="V435" i="70"/>
  <c r="W435" i="70" s="1"/>
  <c r="V434" i="70"/>
  <c r="W434" i="70" s="1"/>
  <c r="V433" i="70"/>
  <c r="W433" i="70" s="1"/>
  <c r="V432" i="70"/>
  <c r="W432" i="70" s="1"/>
  <c r="V431" i="70"/>
  <c r="W431" i="70" s="1"/>
  <c r="V430" i="70"/>
  <c r="W430" i="70" s="1"/>
  <c r="V429" i="70"/>
  <c r="W429" i="70" s="1"/>
  <c r="V428" i="70"/>
  <c r="W428" i="70" s="1"/>
  <c r="V427" i="70"/>
  <c r="W427" i="70" s="1"/>
  <c r="V426" i="70"/>
  <c r="W426" i="70" s="1"/>
  <c r="V425" i="70"/>
  <c r="W425" i="70" s="1"/>
  <c r="V424" i="70"/>
  <c r="W424" i="70" s="1"/>
  <c r="V423" i="70"/>
  <c r="W423" i="70" s="1"/>
  <c r="V422" i="70"/>
  <c r="W422" i="70" s="1"/>
  <c r="V421" i="70"/>
  <c r="W421" i="70" s="1"/>
  <c r="V420" i="70"/>
  <c r="W420" i="70" s="1"/>
  <c r="V419" i="70"/>
  <c r="W419" i="70" s="1"/>
  <c r="V418" i="70"/>
  <c r="W418" i="70" s="1"/>
  <c r="V417" i="70"/>
  <c r="W417" i="70" s="1"/>
  <c r="V416" i="70"/>
  <c r="W416" i="70" s="1"/>
  <c r="V415" i="70"/>
  <c r="W415" i="70" s="1"/>
  <c r="V414" i="70"/>
  <c r="W414" i="70" s="1"/>
  <c r="V413" i="70"/>
  <c r="W413" i="70" s="1"/>
  <c r="V412" i="70"/>
  <c r="W412" i="70" s="1"/>
  <c r="V411" i="70"/>
  <c r="W411" i="70" s="1"/>
  <c r="V410" i="70"/>
  <c r="W410" i="70" s="1"/>
  <c r="V409" i="70"/>
  <c r="W409" i="70" s="1"/>
  <c r="V408" i="70"/>
  <c r="W408" i="70" s="1"/>
  <c r="V407" i="70"/>
  <c r="W407" i="70" s="1"/>
  <c r="V406" i="70"/>
  <c r="W406" i="70" s="1"/>
  <c r="V405" i="70"/>
  <c r="W405" i="70" s="1"/>
  <c r="V404" i="70"/>
  <c r="W404" i="70" s="1"/>
  <c r="V403" i="70"/>
  <c r="W403" i="70" s="1"/>
  <c r="V402" i="70"/>
  <c r="W402" i="70" s="1"/>
  <c r="V401" i="70"/>
  <c r="W401" i="70" s="1"/>
  <c r="V400" i="70"/>
  <c r="W400" i="70" s="1"/>
  <c r="V399" i="70"/>
  <c r="W399" i="70" s="1"/>
  <c r="V398" i="70"/>
  <c r="W398" i="70" s="1"/>
  <c r="V397" i="70"/>
  <c r="W397" i="70" s="1"/>
  <c r="V396" i="70"/>
  <c r="W396" i="70" s="1"/>
  <c r="V395" i="70"/>
  <c r="W395" i="70" s="1"/>
  <c r="V394" i="70"/>
  <c r="W394" i="70" s="1"/>
  <c r="V393" i="70"/>
  <c r="W393" i="70" s="1"/>
  <c r="V392" i="70"/>
  <c r="W392" i="70" s="1"/>
  <c r="V391" i="70"/>
  <c r="W391" i="70" s="1"/>
  <c r="V390" i="70"/>
  <c r="W390" i="70" s="1"/>
  <c r="V389" i="70"/>
  <c r="W389" i="70" s="1"/>
  <c r="V388" i="70"/>
  <c r="W388" i="70" s="1"/>
  <c r="V387" i="70"/>
  <c r="W387" i="70" s="1"/>
  <c r="V386" i="70"/>
  <c r="W386" i="70" s="1"/>
  <c r="V385" i="70"/>
  <c r="W385" i="70" s="1"/>
  <c r="V384" i="70"/>
  <c r="W384" i="70" s="1"/>
  <c r="V383" i="70"/>
  <c r="W383" i="70" s="1"/>
  <c r="V382" i="70"/>
  <c r="W382" i="70" s="1"/>
  <c r="V381" i="70"/>
  <c r="W381" i="70" s="1"/>
  <c r="V380" i="70"/>
  <c r="W380" i="70" s="1"/>
  <c r="V379" i="70"/>
  <c r="W379" i="70" s="1"/>
  <c r="V378" i="70"/>
  <c r="W378" i="70" s="1"/>
  <c r="V377" i="70"/>
  <c r="W377" i="70" s="1"/>
  <c r="V376" i="70"/>
  <c r="W376" i="70" s="1"/>
  <c r="V375" i="70"/>
  <c r="W375" i="70" s="1"/>
  <c r="V374" i="70"/>
  <c r="W374" i="70" s="1"/>
  <c r="V373" i="70"/>
  <c r="W373" i="70" s="1"/>
  <c r="V372" i="70"/>
  <c r="W372" i="70" s="1"/>
  <c r="V371" i="70"/>
  <c r="W371" i="70" s="1"/>
  <c r="V370" i="70"/>
  <c r="W370" i="70" s="1"/>
  <c r="V369" i="70"/>
  <c r="W369" i="70" s="1"/>
  <c r="V368" i="70"/>
  <c r="W368" i="70" s="1"/>
  <c r="V367" i="70"/>
  <c r="W367" i="70" s="1"/>
  <c r="V366" i="70"/>
  <c r="W366" i="70" s="1"/>
  <c r="V365" i="70"/>
  <c r="W365" i="70" s="1"/>
  <c r="V364" i="70"/>
  <c r="W364" i="70" s="1"/>
  <c r="V363" i="70"/>
  <c r="W363" i="70" s="1"/>
  <c r="V362" i="70"/>
  <c r="W362" i="70" s="1"/>
  <c r="V361" i="70"/>
  <c r="W361" i="70" s="1"/>
  <c r="V360" i="70"/>
  <c r="W360" i="70" s="1"/>
  <c r="V359" i="70"/>
  <c r="W359" i="70" s="1"/>
  <c r="V358" i="70"/>
  <c r="W358" i="70" s="1"/>
  <c r="V357" i="70"/>
  <c r="W357" i="70" s="1"/>
  <c r="V356" i="70"/>
  <c r="W356" i="70" s="1"/>
  <c r="V355" i="70"/>
  <c r="W355" i="70" s="1"/>
  <c r="V354" i="70"/>
  <c r="W354" i="70" s="1"/>
  <c r="V353" i="70"/>
  <c r="W353" i="70" s="1"/>
  <c r="V352" i="70"/>
  <c r="W352" i="70" s="1"/>
  <c r="V351" i="70"/>
  <c r="W351" i="70" s="1"/>
  <c r="V350" i="70"/>
  <c r="W350" i="70" s="1"/>
  <c r="V349" i="70"/>
  <c r="W349" i="70" s="1"/>
  <c r="V348" i="70"/>
  <c r="W348" i="70" s="1"/>
  <c r="V347" i="70"/>
  <c r="W347" i="70" s="1"/>
  <c r="V346" i="70"/>
  <c r="W346" i="70" s="1"/>
  <c r="V345" i="70"/>
  <c r="W345" i="70" s="1"/>
  <c r="V344" i="70"/>
  <c r="W344" i="70" s="1"/>
  <c r="V343" i="70"/>
  <c r="W343" i="70" s="1"/>
  <c r="V342" i="70"/>
  <c r="W342" i="70" s="1"/>
  <c r="V341" i="70"/>
  <c r="W341" i="70" s="1"/>
  <c r="V340" i="70"/>
  <c r="W340" i="70" s="1"/>
  <c r="V339" i="70"/>
  <c r="W339" i="70" s="1"/>
  <c r="V338" i="70"/>
  <c r="W338" i="70" s="1"/>
  <c r="V337" i="70"/>
  <c r="W337" i="70" s="1"/>
  <c r="V336" i="70"/>
  <c r="W336" i="70" s="1"/>
  <c r="V335" i="70"/>
  <c r="W335" i="70" s="1"/>
  <c r="V334" i="70"/>
  <c r="W334" i="70" s="1"/>
  <c r="V333" i="70"/>
  <c r="W333" i="70" s="1"/>
  <c r="V332" i="70"/>
  <c r="W332" i="70" s="1"/>
  <c r="V331" i="70"/>
  <c r="W331" i="70" s="1"/>
  <c r="V330" i="70"/>
  <c r="W330" i="70" s="1"/>
  <c r="V329" i="70"/>
  <c r="W329" i="70" s="1"/>
  <c r="V328" i="70"/>
  <c r="W328" i="70" s="1"/>
  <c r="V327" i="70"/>
  <c r="W327" i="70" s="1"/>
  <c r="V326" i="70"/>
  <c r="W326" i="70" s="1"/>
  <c r="V325" i="70"/>
  <c r="W325" i="70" s="1"/>
  <c r="V324" i="70"/>
  <c r="W324" i="70" s="1"/>
  <c r="V323" i="70"/>
  <c r="W323" i="70" s="1"/>
  <c r="V322" i="70"/>
  <c r="W322" i="70" s="1"/>
  <c r="V321" i="70"/>
  <c r="W321" i="70" s="1"/>
  <c r="V320" i="70"/>
  <c r="W320" i="70" s="1"/>
  <c r="V319" i="70"/>
  <c r="W319" i="70" s="1"/>
  <c r="V318" i="70"/>
  <c r="W318" i="70" s="1"/>
  <c r="V317" i="70"/>
  <c r="W317" i="70" s="1"/>
  <c r="V316" i="70"/>
  <c r="W316" i="70" s="1"/>
  <c r="V315" i="70"/>
  <c r="W315" i="70" s="1"/>
  <c r="V314" i="70"/>
  <c r="W314" i="70" s="1"/>
  <c r="V313" i="70"/>
  <c r="W313" i="70" s="1"/>
  <c r="V312" i="70"/>
  <c r="W312" i="70" s="1"/>
  <c r="V311" i="70"/>
  <c r="W311" i="70" s="1"/>
  <c r="V310" i="70"/>
  <c r="W310" i="70" s="1"/>
  <c r="V309" i="70"/>
  <c r="W309" i="70" s="1"/>
  <c r="V308" i="70"/>
  <c r="W308" i="70" s="1"/>
  <c r="V307" i="70"/>
  <c r="W307" i="70" s="1"/>
  <c r="V306" i="70"/>
  <c r="W306" i="70" s="1"/>
  <c r="V305" i="70"/>
  <c r="W305" i="70" s="1"/>
  <c r="V304" i="70"/>
  <c r="W304" i="70" s="1"/>
  <c r="V303" i="70"/>
  <c r="W303" i="70" s="1"/>
  <c r="V302" i="70"/>
  <c r="W302" i="70" s="1"/>
  <c r="V301" i="70"/>
  <c r="W301" i="70" s="1"/>
  <c r="V300" i="70"/>
  <c r="W300" i="70" s="1"/>
  <c r="V299" i="70"/>
  <c r="W299" i="70" s="1"/>
  <c r="V298" i="70"/>
  <c r="W298" i="70" s="1"/>
  <c r="V297" i="70"/>
  <c r="W297" i="70" s="1"/>
  <c r="V296" i="70"/>
  <c r="W296" i="70" s="1"/>
  <c r="V295" i="70"/>
  <c r="W295" i="70" s="1"/>
  <c r="V294" i="70"/>
  <c r="W294" i="70" s="1"/>
  <c r="V293" i="70"/>
  <c r="W293" i="70" s="1"/>
  <c r="V292" i="70"/>
  <c r="W292" i="70" s="1"/>
  <c r="V291" i="70"/>
  <c r="W291" i="70" s="1"/>
  <c r="V290" i="70"/>
  <c r="W290" i="70" s="1"/>
  <c r="V289" i="70"/>
  <c r="W289" i="70" s="1"/>
  <c r="V288" i="70"/>
  <c r="W288" i="70" s="1"/>
  <c r="V287" i="70"/>
  <c r="W287" i="70" s="1"/>
  <c r="V286" i="70"/>
  <c r="W286" i="70" s="1"/>
  <c r="V285" i="70"/>
  <c r="W285" i="70" s="1"/>
  <c r="V284" i="70"/>
  <c r="W284" i="70" s="1"/>
  <c r="V283" i="70"/>
  <c r="W283" i="70" s="1"/>
  <c r="V282" i="70"/>
  <c r="W282" i="70" s="1"/>
  <c r="V281" i="70"/>
  <c r="W281" i="70" s="1"/>
  <c r="V280" i="70"/>
  <c r="W280" i="70" s="1"/>
  <c r="V279" i="70"/>
  <c r="W279" i="70" s="1"/>
  <c r="V278" i="70"/>
  <c r="W278" i="70" s="1"/>
  <c r="V277" i="70"/>
  <c r="W277" i="70" s="1"/>
  <c r="V276" i="70"/>
  <c r="W276" i="70" s="1"/>
  <c r="V275" i="70"/>
  <c r="W275" i="70" s="1"/>
  <c r="V274" i="70"/>
  <c r="W274" i="70" s="1"/>
  <c r="V273" i="70"/>
  <c r="W273" i="70" s="1"/>
  <c r="V272" i="70"/>
  <c r="W272" i="70" s="1"/>
  <c r="V271" i="70"/>
  <c r="W271" i="70" s="1"/>
  <c r="V270" i="70"/>
  <c r="W270" i="70" s="1"/>
  <c r="V269" i="70"/>
  <c r="W269" i="70" s="1"/>
  <c r="V268" i="70"/>
  <c r="W268" i="70" s="1"/>
  <c r="V267" i="70"/>
  <c r="W267" i="70" s="1"/>
  <c r="V266" i="70"/>
  <c r="W266" i="70" s="1"/>
  <c r="V265" i="70"/>
  <c r="W265" i="70" s="1"/>
  <c r="V264" i="70"/>
  <c r="W264" i="70" s="1"/>
  <c r="V263" i="70"/>
  <c r="W263" i="70" s="1"/>
  <c r="V262" i="70"/>
  <c r="W262" i="70" s="1"/>
  <c r="V261" i="70"/>
  <c r="W261" i="70" s="1"/>
  <c r="V260" i="70"/>
  <c r="W260" i="70" s="1"/>
  <c r="V259" i="70"/>
  <c r="W259" i="70" s="1"/>
  <c r="V258" i="70"/>
  <c r="W258" i="70" s="1"/>
  <c r="V257" i="70"/>
  <c r="W257" i="70" s="1"/>
  <c r="V256" i="70"/>
  <c r="W256" i="70" s="1"/>
  <c r="V255" i="70"/>
  <c r="W255" i="70" s="1"/>
  <c r="V254" i="70"/>
  <c r="W254" i="70" s="1"/>
  <c r="V253" i="70"/>
  <c r="W253" i="70" s="1"/>
  <c r="V252" i="70"/>
  <c r="W252" i="70" s="1"/>
  <c r="V251" i="70"/>
  <c r="W251" i="70" s="1"/>
  <c r="V250" i="70"/>
  <c r="W250" i="70" s="1"/>
  <c r="V249" i="70"/>
  <c r="W249" i="70" s="1"/>
  <c r="V248" i="70"/>
  <c r="W248" i="70" s="1"/>
  <c r="V247" i="70"/>
  <c r="W247" i="70" s="1"/>
  <c r="V246" i="70"/>
  <c r="W246" i="70" s="1"/>
  <c r="V245" i="70"/>
  <c r="W245" i="70" s="1"/>
  <c r="V244" i="70"/>
  <c r="W244" i="70" s="1"/>
  <c r="V243" i="70"/>
  <c r="W243" i="70" s="1"/>
  <c r="V242" i="70"/>
  <c r="W242" i="70" s="1"/>
  <c r="V241" i="70"/>
  <c r="W241" i="70" s="1"/>
  <c r="V240" i="70"/>
  <c r="W240" i="70" s="1"/>
  <c r="V239" i="70"/>
  <c r="W239" i="70" s="1"/>
  <c r="V238" i="70"/>
  <c r="W238" i="70" s="1"/>
  <c r="V237" i="70"/>
  <c r="W237" i="70" s="1"/>
  <c r="V236" i="70"/>
  <c r="W236" i="70" s="1"/>
  <c r="V235" i="70"/>
  <c r="W235" i="70" s="1"/>
  <c r="V234" i="70"/>
  <c r="W234" i="70" s="1"/>
  <c r="V233" i="70"/>
  <c r="W233" i="70" s="1"/>
  <c r="V232" i="70"/>
  <c r="W232" i="70" s="1"/>
  <c r="V231" i="70"/>
  <c r="W231" i="70" s="1"/>
  <c r="V230" i="70"/>
  <c r="W230" i="70" s="1"/>
  <c r="V229" i="70"/>
  <c r="W229" i="70" s="1"/>
  <c r="V228" i="70"/>
  <c r="W228" i="70" s="1"/>
  <c r="V227" i="70"/>
  <c r="W227" i="70" s="1"/>
  <c r="V226" i="70"/>
  <c r="W226" i="70" s="1"/>
  <c r="V225" i="70"/>
  <c r="W225" i="70" s="1"/>
  <c r="V224" i="70"/>
  <c r="W224" i="70" s="1"/>
  <c r="V223" i="70"/>
  <c r="W223" i="70" s="1"/>
  <c r="V222" i="70"/>
  <c r="W222" i="70" s="1"/>
  <c r="V221" i="70"/>
  <c r="W221" i="70" s="1"/>
  <c r="V220" i="70"/>
  <c r="W220" i="70" s="1"/>
  <c r="V219" i="70"/>
  <c r="W219" i="70" s="1"/>
  <c r="V218" i="70"/>
  <c r="W218" i="70" s="1"/>
  <c r="V217" i="70"/>
  <c r="W217" i="70" s="1"/>
  <c r="V216" i="70"/>
  <c r="W216" i="70" s="1"/>
  <c r="V215" i="70"/>
  <c r="W215" i="70" s="1"/>
  <c r="V214" i="70"/>
  <c r="W214" i="70" s="1"/>
  <c r="V213" i="70"/>
  <c r="W213" i="70" s="1"/>
  <c r="V212" i="70"/>
  <c r="W212" i="70" s="1"/>
  <c r="V211" i="70"/>
  <c r="W211" i="70" s="1"/>
  <c r="V210" i="70"/>
  <c r="W210" i="70" s="1"/>
  <c r="V209" i="70"/>
  <c r="W209" i="70" s="1"/>
  <c r="V208" i="70"/>
  <c r="W208" i="70" s="1"/>
  <c r="V207" i="70"/>
  <c r="W207" i="70" s="1"/>
  <c r="V206" i="70"/>
  <c r="W206" i="70" s="1"/>
  <c r="V205" i="70"/>
  <c r="W205" i="70" s="1"/>
  <c r="V204" i="70"/>
  <c r="W204" i="70" s="1"/>
  <c r="V203" i="70"/>
  <c r="W203" i="70" s="1"/>
  <c r="V202" i="70"/>
  <c r="W202" i="70" s="1"/>
  <c r="V201" i="70"/>
  <c r="W201" i="70" s="1"/>
  <c r="V200" i="70"/>
  <c r="W200" i="70" s="1"/>
  <c r="V199" i="70"/>
  <c r="W199" i="70" s="1"/>
  <c r="V198" i="70"/>
  <c r="W198" i="70" s="1"/>
  <c r="V197" i="70"/>
  <c r="W197" i="70" s="1"/>
  <c r="V196" i="70"/>
  <c r="W196" i="70" s="1"/>
  <c r="V195" i="70"/>
  <c r="W195" i="70" s="1"/>
  <c r="V194" i="70"/>
  <c r="W194" i="70" s="1"/>
  <c r="V193" i="70"/>
  <c r="W193" i="70" s="1"/>
  <c r="V192" i="70"/>
  <c r="W192" i="70" s="1"/>
  <c r="V191" i="70"/>
  <c r="W191" i="70" s="1"/>
  <c r="V190" i="70"/>
  <c r="W190" i="70" s="1"/>
  <c r="V189" i="70"/>
  <c r="W189" i="70" s="1"/>
  <c r="V188" i="70"/>
  <c r="W188" i="70" s="1"/>
  <c r="V187" i="70"/>
  <c r="W187" i="70" s="1"/>
  <c r="V186" i="70"/>
  <c r="W186" i="70" s="1"/>
  <c r="V185" i="70"/>
  <c r="W185" i="70" s="1"/>
  <c r="V184" i="70"/>
  <c r="W184" i="70" s="1"/>
  <c r="V183" i="70"/>
  <c r="W183" i="70" s="1"/>
  <c r="V182" i="70"/>
  <c r="W182" i="70" s="1"/>
  <c r="V181" i="70"/>
  <c r="W181" i="70" s="1"/>
  <c r="V180" i="70"/>
  <c r="W180" i="70" s="1"/>
  <c r="V179" i="70"/>
  <c r="W179" i="70" s="1"/>
  <c r="V178" i="70"/>
  <c r="W178" i="70" s="1"/>
  <c r="V177" i="70"/>
  <c r="W177" i="70" s="1"/>
  <c r="V176" i="70"/>
  <c r="W176" i="70" s="1"/>
  <c r="V175" i="70"/>
  <c r="W175" i="70" s="1"/>
  <c r="V174" i="70"/>
  <c r="W174" i="70" s="1"/>
  <c r="V173" i="70"/>
  <c r="W173" i="70" s="1"/>
  <c r="V172" i="70"/>
  <c r="W172" i="70" s="1"/>
  <c r="V171" i="70"/>
  <c r="W171" i="70" s="1"/>
  <c r="V170" i="70"/>
  <c r="W170" i="70" s="1"/>
  <c r="V169" i="70"/>
  <c r="W169" i="70" s="1"/>
  <c r="V168" i="70"/>
  <c r="W168" i="70" s="1"/>
  <c r="V167" i="70"/>
  <c r="W167" i="70" s="1"/>
  <c r="V166" i="70"/>
  <c r="W166" i="70" s="1"/>
  <c r="V165" i="70"/>
  <c r="W165" i="70" s="1"/>
  <c r="V164" i="70"/>
  <c r="W164" i="70" s="1"/>
  <c r="V163" i="70"/>
  <c r="W163" i="70" s="1"/>
  <c r="V162" i="70"/>
  <c r="W162" i="70" s="1"/>
  <c r="V161" i="70"/>
  <c r="W161" i="70" s="1"/>
  <c r="V160" i="70"/>
  <c r="W160" i="70" s="1"/>
  <c r="V159" i="70"/>
  <c r="W159" i="70" s="1"/>
  <c r="V158" i="70"/>
  <c r="W158" i="70" s="1"/>
  <c r="V157" i="70"/>
  <c r="W157" i="70" s="1"/>
  <c r="V156" i="70"/>
  <c r="W156" i="70" s="1"/>
  <c r="V155" i="70"/>
  <c r="W155" i="70" s="1"/>
  <c r="V154" i="70"/>
  <c r="W154" i="70" s="1"/>
  <c r="V153" i="70"/>
  <c r="W153" i="70" s="1"/>
  <c r="V152" i="70"/>
  <c r="W152" i="70" s="1"/>
  <c r="V151" i="70"/>
  <c r="W151" i="70" s="1"/>
  <c r="V150" i="70"/>
  <c r="W150" i="70" s="1"/>
  <c r="V149" i="70"/>
  <c r="W149" i="70" s="1"/>
  <c r="V148" i="70"/>
  <c r="W148" i="70" s="1"/>
  <c r="V147" i="70"/>
  <c r="W147" i="70" s="1"/>
  <c r="V146" i="70"/>
  <c r="W146" i="70" s="1"/>
  <c r="V145" i="70"/>
  <c r="W145" i="70" s="1"/>
  <c r="V144" i="70"/>
  <c r="W144" i="70" s="1"/>
  <c r="V143" i="70"/>
  <c r="W143" i="70" s="1"/>
  <c r="V142" i="70"/>
  <c r="W142" i="70" s="1"/>
  <c r="V141" i="70"/>
  <c r="W141" i="70" s="1"/>
  <c r="V140" i="70"/>
  <c r="W140" i="70" s="1"/>
  <c r="V139" i="70"/>
  <c r="W139" i="70" s="1"/>
  <c r="V138" i="70"/>
  <c r="W138" i="70" s="1"/>
  <c r="V137" i="70"/>
  <c r="W137" i="70" s="1"/>
  <c r="V136" i="70"/>
  <c r="W136" i="70" s="1"/>
  <c r="V135" i="70"/>
  <c r="W135" i="70" s="1"/>
  <c r="V134" i="70"/>
  <c r="W134" i="70" s="1"/>
  <c r="V133" i="70"/>
  <c r="W133" i="70" s="1"/>
  <c r="V132" i="70"/>
  <c r="W132" i="70" s="1"/>
  <c r="V131" i="70"/>
  <c r="W131" i="70" s="1"/>
  <c r="V130" i="70"/>
  <c r="W130" i="70" s="1"/>
  <c r="V129" i="70"/>
  <c r="W129" i="70" s="1"/>
  <c r="V128" i="70"/>
  <c r="W128" i="70" s="1"/>
  <c r="V127" i="70"/>
  <c r="W127" i="70" s="1"/>
  <c r="V126" i="70"/>
  <c r="W126" i="70" s="1"/>
  <c r="V125" i="70"/>
  <c r="W125" i="70" s="1"/>
  <c r="V124" i="70"/>
  <c r="W124" i="70" s="1"/>
  <c r="V123" i="70"/>
  <c r="W123" i="70" s="1"/>
  <c r="V122" i="70"/>
  <c r="W122" i="70" s="1"/>
  <c r="V121" i="70"/>
  <c r="W121" i="70" s="1"/>
  <c r="V120" i="70"/>
  <c r="W120" i="70" s="1"/>
  <c r="V119" i="70"/>
  <c r="W119" i="70" s="1"/>
  <c r="V118" i="70"/>
  <c r="W118" i="70" s="1"/>
  <c r="V117" i="70"/>
  <c r="W117" i="70" s="1"/>
  <c r="V116" i="70"/>
  <c r="W116" i="70" s="1"/>
  <c r="V115" i="70"/>
  <c r="W115" i="70" s="1"/>
  <c r="V114" i="70"/>
  <c r="W114" i="70" s="1"/>
  <c r="V113" i="70"/>
  <c r="W113" i="70" s="1"/>
  <c r="V112" i="70"/>
  <c r="W112" i="70" s="1"/>
  <c r="V111" i="70"/>
  <c r="W111" i="70" s="1"/>
  <c r="V110" i="70"/>
  <c r="W110" i="70" s="1"/>
  <c r="V109" i="70"/>
  <c r="W109" i="70" s="1"/>
  <c r="V108" i="70"/>
  <c r="W108" i="70" s="1"/>
  <c r="V107" i="70"/>
  <c r="W107" i="70" s="1"/>
  <c r="V106" i="70"/>
  <c r="W106" i="70" s="1"/>
  <c r="V105" i="70"/>
  <c r="W105" i="70" s="1"/>
  <c r="V104" i="70"/>
  <c r="W104" i="70" s="1"/>
  <c r="V103" i="70"/>
  <c r="W103" i="70" s="1"/>
  <c r="V102" i="70"/>
  <c r="W102" i="70" s="1"/>
  <c r="V101" i="70"/>
  <c r="W101" i="70" s="1"/>
  <c r="V100" i="70"/>
  <c r="W100" i="70" s="1"/>
  <c r="V99" i="70"/>
  <c r="W99" i="70" s="1"/>
  <c r="V98" i="70"/>
  <c r="W98" i="70" s="1"/>
  <c r="V97" i="70"/>
  <c r="W97" i="70" s="1"/>
  <c r="V96" i="70"/>
  <c r="W96" i="70" s="1"/>
  <c r="V95" i="70"/>
  <c r="W95" i="70" s="1"/>
  <c r="V94" i="70"/>
  <c r="W94" i="70" s="1"/>
  <c r="V93" i="70"/>
  <c r="W93" i="70" s="1"/>
  <c r="V92" i="70"/>
  <c r="W92" i="70" s="1"/>
  <c r="V91" i="70"/>
  <c r="W91" i="70" s="1"/>
  <c r="V90" i="70"/>
  <c r="W90" i="70" s="1"/>
  <c r="V89" i="70"/>
  <c r="W89" i="70" s="1"/>
  <c r="V88" i="70"/>
  <c r="W88" i="70" s="1"/>
  <c r="V87" i="70"/>
  <c r="W87" i="70" s="1"/>
  <c r="V86" i="70"/>
  <c r="W86" i="70" s="1"/>
  <c r="V85" i="70"/>
  <c r="W85" i="70" s="1"/>
  <c r="V84" i="70"/>
  <c r="W84" i="70" s="1"/>
  <c r="V83" i="70"/>
  <c r="W83" i="70" s="1"/>
  <c r="V82" i="70"/>
  <c r="W82" i="70" s="1"/>
  <c r="V81" i="70"/>
  <c r="W81" i="70" s="1"/>
  <c r="V80" i="70"/>
  <c r="W80" i="70" s="1"/>
  <c r="V79" i="70"/>
  <c r="W79" i="70" s="1"/>
  <c r="V78" i="70"/>
  <c r="W78" i="70" s="1"/>
  <c r="V77" i="70"/>
  <c r="W77" i="70" s="1"/>
  <c r="V76" i="70"/>
  <c r="W76" i="70" s="1"/>
  <c r="V75" i="70"/>
  <c r="W75" i="70" s="1"/>
  <c r="V74" i="70"/>
  <c r="W74" i="70" s="1"/>
  <c r="V73" i="70"/>
  <c r="W73" i="70" s="1"/>
  <c r="V72" i="70"/>
  <c r="W72" i="70" s="1"/>
  <c r="V71" i="70"/>
  <c r="W71" i="70" s="1"/>
  <c r="V70" i="70"/>
  <c r="W70" i="70" s="1"/>
  <c r="V69" i="70"/>
  <c r="W69" i="70" s="1"/>
  <c r="V68" i="70"/>
  <c r="W68" i="70" s="1"/>
  <c r="V67" i="70"/>
  <c r="W67" i="70" s="1"/>
  <c r="V66" i="70"/>
  <c r="W66" i="70" s="1"/>
  <c r="V65" i="70"/>
  <c r="W65" i="70" s="1"/>
  <c r="V64" i="70"/>
  <c r="W64" i="70" s="1"/>
  <c r="V63" i="70"/>
  <c r="W63" i="70" s="1"/>
  <c r="V62" i="70"/>
  <c r="W62" i="70" s="1"/>
  <c r="V59" i="70"/>
  <c r="W59" i="70" s="1"/>
  <c r="V58" i="70"/>
  <c r="W58" i="70" s="1"/>
  <c r="V57" i="70"/>
  <c r="W57" i="70" s="1"/>
  <c r="V56" i="70"/>
  <c r="W56" i="70" s="1"/>
  <c r="V55" i="70"/>
  <c r="W55" i="70" s="1"/>
  <c r="V54" i="70"/>
  <c r="W54" i="70" s="1"/>
  <c r="V52" i="70"/>
  <c r="W52" i="70" s="1"/>
  <c r="V51" i="70"/>
  <c r="W51" i="70" s="1"/>
  <c r="V50" i="70"/>
  <c r="W50" i="70" s="1"/>
  <c r="V49" i="70"/>
  <c r="W49" i="70" s="1"/>
  <c r="V48" i="70"/>
  <c r="W48" i="70" s="1"/>
  <c r="V47" i="70"/>
  <c r="W47" i="70" s="1"/>
  <c r="V46" i="70"/>
  <c r="W46" i="70" s="1"/>
  <c r="V45" i="70"/>
  <c r="W45" i="70" s="1"/>
  <c r="V44" i="70"/>
  <c r="W44" i="70" s="1"/>
  <c r="V43" i="70"/>
  <c r="W43" i="70" s="1"/>
  <c r="V42" i="70"/>
  <c r="W42" i="70" s="1"/>
  <c r="V41" i="70"/>
  <c r="W41" i="70" s="1"/>
  <c r="V40" i="70"/>
  <c r="W40" i="70" s="1"/>
  <c r="V39" i="70"/>
  <c r="W39" i="70" s="1"/>
  <c r="V38" i="70"/>
  <c r="W38" i="70" s="1"/>
  <c r="V37" i="70"/>
  <c r="W37" i="70" s="1"/>
  <c r="V36" i="70"/>
  <c r="W36" i="70" s="1"/>
  <c r="V35" i="70"/>
  <c r="W35" i="70" s="1"/>
  <c r="V34" i="70"/>
  <c r="W34" i="70" s="1"/>
  <c r="V33" i="70"/>
  <c r="W33" i="70" s="1"/>
  <c r="V32" i="70"/>
  <c r="W32" i="70" s="1"/>
  <c r="V31" i="70"/>
  <c r="W31" i="70" s="1"/>
  <c r="V30" i="70"/>
  <c r="W30" i="70" s="1"/>
  <c r="V29" i="70"/>
  <c r="W29" i="70" s="1"/>
  <c r="V28" i="70"/>
  <c r="W28" i="70" s="1"/>
  <c r="V27" i="70"/>
  <c r="W27" i="70" s="1"/>
  <c r="V26" i="70"/>
  <c r="W26" i="70" s="1"/>
  <c r="V25" i="70"/>
  <c r="W25" i="70" s="1"/>
  <c r="V24" i="70"/>
  <c r="W24" i="70" s="1"/>
  <c r="V23" i="70"/>
  <c r="W23" i="70" s="1"/>
  <c r="V22" i="70"/>
  <c r="W22" i="70" s="1"/>
  <c r="V21" i="70"/>
  <c r="W21" i="70" s="1"/>
  <c r="V20" i="70"/>
  <c r="W20" i="70" s="1"/>
  <c r="V19" i="70"/>
  <c r="W19" i="70" s="1"/>
  <c r="V18" i="70"/>
  <c r="W18" i="70" s="1"/>
  <c r="V17" i="70"/>
  <c r="W17" i="70" s="1"/>
  <c r="V16" i="70"/>
  <c r="W16" i="70" s="1"/>
  <c r="V15" i="70"/>
  <c r="W15" i="70" s="1"/>
  <c r="V14" i="70"/>
  <c r="W14" i="70" s="1"/>
  <c r="V13" i="70"/>
  <c r="W13" i="70" s="1"/>
  <c r="V12" i="70"/>
  <c r="W12" i="70" s="1"/>
  <c r="V11" i="70"/>
  <c r="W11" i="70" s="1"/>
  <c r="V10" i="70"/>
  <c r="W10" i="70" s="1"/>
  <c r="V9" i="70"/>
  <c r="W9" i="70" s="1"/>
  <c r="V8" i="70"/>
  <c r="W8" i="70" s="1"/>
  <c r="V7" i="70"/>
  <c r="W7" i="70" s="1"/>
  <c r="V6" i="70"/>
  <c r="W6" i="70" s="1"/>
  <c r="V5" i="70"/>
  <c r="W5" i="70" s="1"/>
  <c r="V4" i="70"/>
  <c r="W4" i="70" s="1"/>
  <c r="V3" i="70"/>
  <c r="W3" i="70" s="1"/>
  <c r="V2" i="70"/>
  <c r="W2" i="70" s="1"/>
  <c r="V1" i="70"/>
  <c r="W1" i="70" s="1"/>
  <c r="G11" i="73" l="1"/>
  <c r="D79" i="27"/>
  <c r="O970" i="102"/>
  <c r="O164" i="102"/>
  <c r="U35" i="98"/>
  <c r="F148" i="98"/>
  <c r="O897" i="102"/>
  <c r="O903" i="102"/>
  <c r="O954" i="102"/>
  <c r="O966" i="102"/>
  <c r="O969" i="102"/>
  <c r="F35" i="81"/>
  <c r="E79" i="27"/>
  <c r="T35" i="98"/>
  <c r="O28" i="102"/>
  <c r="O34" i="102"/>
  <c r="O673" i="102"/>
  <c r="O679" i="102"/>
  <c r="O793" i="102"/>
  <c r="O805" i="102"/>
  <c r="O808" i="102"/>
  <c r="H10" i="21"/>
  <c r="I10" i="21" s="1"/>
  <c r="D20" i="49"/>
  <c r="D21" i="49"/>
  <c r="D18" i="49"/>
  <c r="G109" i="2" s="1"/>
  <c r="G17" i="49"/>
  <c r="F25" i="1" s="1"/>
  <c r="J34" i="18" s="1"/>
  <c r="G16" i="49"/>
  <c r="F24" i="1" s="1"/>
  <c r="J33" i="18" s="1"/>
  <c r="I2" i="107"/>
  <c r="E3" i="114"/>
  <c r="F50" i="1" s="1"/>
  <c r="V23" i="112"/>
  <c r="X23" i="112" s="1"/>
  <c r="X27" i="112"/>
  <c r="Z27" i="112" s="1"/>
  <c r="X25" i="112"/>
  <c r="Z25" i="112" s="1"/>
  <c r="O873" i="102"/>
  <c r="O1066" i="102"/>
  <c r="O1082" i="102"/>
  <c r="O1090" i="102"/>
  <c r="O1094" i="102"/>
  <c r="O1096" i="102"/>
  <c r="O1097" i="102"/>
  <c r="O260" i="102"/>
  <c r="O276" i="102"/>
  <c r="O284" i="102"/>
  <c r="O288" i="102"/>
  <c r="O290" i="102"/>
  <c r="O291" i="102"/>
  <c r="O617" i="102"/>
  <c r="O228" i="102"/>
  <c r="O392" i="102"/>
  <c r="O408" i="102"/>
  <c r="O416" i="102"/>
  <c r="O420" i="102"/>
  <c r="O422" i="102"/>
  <c r="O423" i="102"/>
  <c r="O521" i="102"/>
  <c r="O537" i="102"/>
  <c r="O545" i="102"/>
  <c r="O549" i="102"/>
  <c r="O551" i="102"/>
  <c r="O552" i="102"/>
  <c r="O1098" i="102"/>
  <c r="O1162" i="102"/>
  <c r="O681" i="102"/>
  <c r="O745" i="102"/>
  <c r="B11" i="99"/>
  <c r="C11" i="99" s="1"/>
  <c r="H11" i="99" s="1"/>
  <c r="O100" i="102"/>
  <c r="O132" i="102"/>
  <c r="O148" i="102"/>
  <c r="O156" i="102"/>
  <c r="O160" i="102"/>
  <c r="O162" i="102"/>
  <c r="O163" i="102"/>
  <c r="O905" i="102"/>
  <c r="O937" i="102"/>
  <c r="O1034" i="102"/>
  <c r="T36" i="112"/>
  <c r="R36" i="112"/>
  <c r="X45" i="91"/>
  <c r="O196" i="102"/>
  <c r="O212" i="102"/>
  <c r="O220" i="102"/>
  <c r="O224" i="102"/>
  <c r="O226" i="102"/>
  <c r="O227" i="102"/>
  <c r="O456" i="102"/>
  <c r="O473" i="102"/>
  <c r="O481" i="102"/>
  <c r="O485" i="102"/>
  <c r="O487" i="102"/>
  <c r="O488" i="102"/>
  <c r="O713" i="102"/>
  <c r="O729" i="102"/>
  <c r="O737" i="102"/>
  <c r="O741" i="102"/>
  <c r="O743" i="102"/>
  <c r="O744" i="102"/>
  <c r="O933" i="102"/>
  <c r="O935" i="102"/>
  <c r="O936" i="102"/>
  <c r="O1130" i="102"/>
  <c r="O1146" i="102"/>
  <c r="O1154" i="102"/>
  <c r="O1158" i="102"/>
  <c r="O1160" i="102"/>
  <c r="O1161" i="102"/>
  <c r="O68" i="102"/>
  <c r="O84" i="102"/>
  <c r="O92" i="102"/>
  <c r="O96" i="102"/>
  <c r="O98" i="102"/>
  <c r="O99" i="102"/>
  <c r="O324" i="102"/>
  <c r="O344" i="102"/>
  <c r="O352" i="102"/>
  <c r="O356" i="102"/>
  <c r="O358" i="102"/>
  <c r="O359" i="102"/>
  <c r="O585" i="102"/>
  <c r="O601" i="102"/>
  <c r="O609" i="102"/>
  <c r="O613" i="102"/>
  <c r="O615" i="102"/>
  <c r="O616" i="102"/>
  <c r="O841" i="102"/>
  <c r="O865" i="102"/>
  <c r="O869" i="102"/>
  <c r="O871" i="102"/>
  <c r="O872" i="102"/>
  <c r="O1002" i="102"/>
  <c r="O1018" i="102"/>
  <c r="O1026" i="102"/>
  <c r="O1030" i="102"/>
  <c r="O1032" i="102"/>
  <c r="O1033" i="102"/>
  <c r="O1290" i="102"/>
  <c r="M3" i="114"/>
  <c r="F46" i="1" s="1"/>
  <c r="A3" i="114"/>
  <c r="I3" i="114"/>
  <c r="F42" i="1" s="1"/>
  <c r="Q3" i="114"/>
  <c r="C3" i="114"/>
  <c r="G3" i="114"/>
  <c r="F39" i="1" s="1"/>
  <c r="K3" i="114"/>
  <c r="F44" i="1" s="1"/>
  <c r="O3" i="114"/>
  <c r="S3" i="114"/>
  <c r="B3" i="114"/>
  <c r="D3" i="114"/>
  <c r="F3" i="114"/>
  <c r="F41" i="1" s="1"/>
  <c r="H3" i="114"/>
  <c r="F40" i="1" s="1"/>
  <c r="J3" i="114"/>
  <c r="F43" i="1" s="1"/>
  <c r="L3" i="114"/>
  <c r="F45" i="1" s="1"/>
  <c r="N3" i="114"/>
  <c r="F48" i="1" s="1"/>
  <c r="P3" i="114"/>
  <c r="F51" i="1" s="1"/>
  <c r="F10" i="8" s="1"/>
  <c r="R3" i="114"/>
  <c r="O857" i="102"/>
  <c r="O921" i="102"/>
  <c r="O929" i="102"/>
  <c r="O986" i="102"/>
  <c r="O994" i="102"/>
  <c r="O998" i="102"/>
  <c r="O1000" i="102"/>
  <c r="O1001" i="102"/>
  <c r="O1050" i="102"/>
  <c r="O1058" i="102"/>
  <c r="O1062" i="102"/>
  <c r="O1064" i="102"/>
  <c r="O1065" i="102"/>
  <c r="O1114" i="102"/>
  <c r="O1122" i="102"/>
  <c r="O1126" i="102"/>
  <c r="O1128" i="102"/>
  <c r="O1129" i="102"/>
  <c r="O1194" i="102"/>
  <c r="O1258" i="102"/>
  <c r="O52" i="102"/>
  <c r="O60" i="102"/>
  <c r="O64" i="102"/>
  <c r="O66" i="102"/>
  <c r="O67" i="102"/>
  <c r="O116" i="102"/>
  <c r="O124" i="102"/>
  <c r="O128" i="102"/>
  <c r="O130" i="102"/>
  <c r="O131" i="102"/>
  <c r="O180" i="102"/>
  <c r="O188" i="102"/>
  <c r="O192" i="102"/>
  <c r="O194" i="102"/>
  <c r="O195" i="102"/>
  <c r="O244" i="102"/>
  <c r="O252" i="102"/>
  <c r="O256" i="102"/>
  <c r="O258" i="102"/>
  <c r="O259" i="102"/>
  <c r="O308" i="102"/>
  <c r="O316" i="102"/>
  <c r="O320" i="102"/>
  <c r="O322" i="102"/>
  <c r="O323" i="102"/>
  <c r="O376" i="102"/>
  <c r="O384" i="102"/>
  <c r="O388" i="102"/>
  <c r="O390" i="102"/>
  <c r="O391" i="102"/>
  <c r="O440" i="102"/>
  <c r="O448" i="102"/>
  <c r="O452" i="102"/>
  <c r="O454" i="102"/>
  <c r="O455" i="102"/>
  <c r="O505" i="102"/>
  <c r="O513" i="102"/>
  <c r="O517" i="102"/>
  <c r="O519" i="102"/>
  <c r="O520" i="102"/>
  <c r="O569" i="102"/>
  <c r="O577" i="102"/>
  <c r="O581" i="102"/>
  <c r="O583" i="102"/>
  <c r="O584" i="102"/>
  <c r="O648" i="102"/>
  <c r="O697" i="102"/>
  <c r="O705" i="102"/>
  <c r="O709" i="102"/>
  <c r="O711" i="102"/>
  <c r="O712" i="102"/>
  <c r="O761" i="102"/>
  <c r="O769" i="102"/>
  <c r="O773" i="102"/>
  <c r="O775" i="102"/>
  <c r="O776" i="102"/>
  <c r="O825" i="102"/>
  <c r="O833" i="102"/>
  <c r="O837" i="102"/>
  <c r="O839" i="102"/>
  <c r="O840" i="102"/>
  <c r="E2" i="102"/>
  <c r="H74" i="1" s="1"/>
  <c r="Q52" i="5"/>
  <c r="C2" i="116"/>
  <c r="G10" i="21"/>
  <c r="D24" i="49"/>
  <c r="F23" i="1" s="1"/>
  <c r="G28" i="2" s="1"/>
  <c r="C42" i="27" s="1"/>
  <c r="P36" i="112"/>
  <c r="V31" i="112"/>
  <c r="V29" i="112"/>
  <c r="V34" i="112"/>
  <c r="V32" i="112"/>
  <c r="V30" i="112"/>
  <c r="V28" i="112"/>
  <c r="V26" i="112"/>
  <c r="X26" i="112" s="1"/>
  <c r="Z26" i="112" s="1"/>
  <c r="V24" i="112"/>
  <c r="X24" i="112" s="1"/>
  <c r="Z24" i="112" s="1"/>
  <c r="K34" i="100"/>
  <c r="F103" i="98"/>
  <c r="D2" i="102"/>
  <c r="F2" i="102" s="1"/>
  <c r="Q36" i="112"/>
  <c r="V33" i="112"/>
  <c r="X33" i="112" s="1"/>
  <c r="Z33" i="112" s="1"/>
  <c r="S36" i="112"/>
  <c r="U36" i="112"/>
  <c r="I43" i="112"/>
  <c r="Z36" i="112"/>
  <c r="E2" i="119"/>
  <c r="G2" i="119" s="1"/>
  <c r="H2" i="119" s="1"/>
  <c r="F23" i="9" s="1"/>
  <c r="E35" i="98"/>
  <c r="H40" i="108" s="1"/>
  <c r="I40" i="108" s="1"/>
  <c r="F183" i="98"/>
  <c r="F57" i="8"/>
  <c r="C14" i="72"/>
  <c r="C18" i="72" s="1"/>
  <c r="O9" i="102"/>
  <c r="O13" i="102"/>
  <c r="O15" i="102"/>
  <c r="O16" i="102"/>
  <c r="O44" i="102"/>
  <c r="O48" i="102"/>
  <c r="O50" i="102"/>
  <c r="O51" i="102"/>
  <c r="O76" i="102"/>
  <c r="O80" i="102"/>
  <c r="O82" i="102"/>
  <c r="O83" i="102"/>
  <c r="O108" i="102"/>
  <c r="O112" i="102"/>
  <c r="O114" i="102"/>
  <c r="O115" i="102"/>
  <c r="O140" i="102"/>
  <c r="O144" i="102"/>
  <c r="O146" i="102"/>
  <c r="O147" i="102"/>
  <c r="O172" i="102"/>
  <c r="O176" i="102"/>
  <c r="O178" i="102"/>
  <c r="O179" i="102"/>
  <c r="O204" i="102"/>
  <c r="O208" i="102"/>
  <c r="O210" i="102"/>
  <c r="O211" i="102"/>
  <c r="O236" i="102"/>
  <c r="O240" i="102"/>
  <c r="O242" i="102"/>
  <c r="O243" i="102"/>
  <c r="O268" i="102"/>
  <c r="O272" i="102"/>
  <c r="O274" i="102"/>
  <c r="O275" i="102"/>
  <c r="O300" i="102"/>
  <c r="O304" i="102"/>
  <c r="O306" i="102"/>
  <c r="O307" i="102"/>
  <c r="O332" i="102"/>
  <c r="O336" i="102"/>
  <c r="O340" i="102"/>
  <c r="O342" i="102"/>
  <c r="O343" i="102"/>
  <c r="O368" i="102"/>
  <c r="O372" i="102"/>
  <c r="O374" i="102"/>
  <c r="O375" i="102"/>
  <c r="O400" i="102"/>
  <c r="O404" i="102"/>
  <c r="O406" i="102"/>
  <c r="O407" i="102"/>
  <c r="O432" i="102"/>
  <c r="O436" i="102"/>
  <c r="O438" i="102"/>
  <c r="O439" i="102"/>
  <c r="O465" i="102"/>
  <c r="O469" i="102"/>
  <c r="O471" i="102"/>
  <c r="O472" i="102"/>
  <c r="O497" i="102"/>
  <c r="O501" i="102"/>
  <c r="O503" i="102"/>
  <c r="O504" i="102"/>
  <c r="O529" i="102"/>
  <c r="O533" i="102"/>
  <c r="O535" i="102"/>
  <c r="O536" i="102"/>
  <c r="O561" i="102"/>
  <c r="O565" i="102"/>
  <c r="O567" i="102"/>
  <c r="O568" i="102"/>
  <c r="O593" i="102"/>
  <c r="O597" i="102"/>
  <c r="O599" i="102"/>
  <c r="O600" i="102"/>
  <c r="O625" i="102"/>
  <c r="O629" i="102"/>
  <c r="O631" i="102"/>
  <c r="O632" i="102"/>
  <c r="O661" i="102"/>
  <c r="O663" i="102"/>
  <c r="O664" i="102"/>
  <c r="O689" i="102"/>
  <c r="O693" i="102"/>
  <c r="O695" i="102"/>
  <c r="O696" i="102"/>
  <c r="O721" i="102"/>
  <c r="O725" i="102"/>
  <c r="O727" i="102"/>
  <c r="O728" i="102"/>
  <c r="O753" i="102"/>
  <c r="O757" i="102"/>
  <c r="O759" i="102"/>
  <c r="O760" i="102"/>
  <c r="O785" i="102"/>
  <c r="O789" i="102"/>
  <c r="O791" i="102"/>
  <c r="O792" i="102"/>
  <c r="O817" i="102"/>
  <c r="O821" i="102"/>
  <c r="O823" i="102"/>
  <c r="O824" i="102"/>
  <c r="O849" i="102"/>
  <c r="O853" i="102"/>
  <c r="O855" i="102"/>
  <c r="O856" i="102"/>
  <c r="O881" i="102"/>
  <c r="O885" i="102"/>
  <c r="O887" i="102"/>
  <c r="O888" i="102"/>
  <c r="O913" i="102"/>
  <c r="O917" i="102"/>
  <c r="O919" i="102"/>
  <c r="O920" i="102"/>
  <c r="O946" i="102"/>
  <c r="O950" i="102"/>
  <c r="O952" i="102"/>
  <c r="O953" i="102"/>
  <c r="O978" i="102"/>
  <c r="O982" i="102"/>
  <c r="O984" i="102"/>
  <c r="O985" i="102"/>
  <c r="O1010" i="102"/>
  <c r="O1014" i="102"/>
  <c r="O1016" i="102"/>
  <c r="O1017" i="102"/>
  <c r="O1042" i="102"/>
  <c r="O1046" i="102"/>
  <c r="O1048" i="102"/>
  <c r="O1049" i="102"/>
  <c r="O1074" i="102"/>
  <c r="O1078" i="102"/>
  <c r="O1080" i="102"/>
  <c r="O1081" i="102"/>
  <c r="O1106" i="102"/>
  <c r="O1110" i="102"/>
  <c r="O1112" i="102"/>
  <c r="O1113" i="102"/>
  <c r="O1138" i="102"/>
  <c r="O1142" i="102"/>
  <c r="O1144" i="102"/>
  <c r="O1145" i="102"/>
  <c r="O1178" i="102"/>
  <c r="O1210" i="102"/>
  <c r="O1242" i="102"/>
  <c r="O1274" i="102"/>
  <c r="H12" i="108"/>
  <c r="U35" i="81"/>
  <c r="L22" i="18"/>
  <c r="M18" i="73"/>
  <c r="X52" i="5"/>
  <c r="L35" i="98"/>
  <c r="F1050" i="106"/>
  <c r="O24" i="102"/>
  <c r="O26" i="102"/>
  <c r="O27" i="102"/>
  <c r="O40" i="102"/>
  <c r="O42" i="102"/>
  <c r="O43" i="102"/>
  <c r="O56" i="102"/>
  <c r="O58" i="102"/>
  <c r="O59" i="102"/>
  <c r="O72" i="102"/>
  <c r="O74" i="102"/>
  <c r="O75" i="102"/>
  <c r="O88" i="102"/>
  <c r="O90" i="102"/>
  <c r="O91" i="102"/>
  <c r="O104" i="102"/>
  <c r="O106" i="102"/>
  <c r="O107" i="102"/>
  <c r="O120" i="102"/>
  <c r="O122" i="102"/>
  <c r="O123" i="102"/>
  <c r="O136" i="102"/>
  <c r="O138" i="102"/>
  <c r="O139" i="102"/>
  <c r="O152" i="102"/>
  <c r="O154" i="102"/>
  <c r="O155" i="102"/>
  <c r="O168" i="102"/>
  <c r="O170" i="102"/>
  <c r="O171" i="102"/>
  <c r="O184" i="102"/>
  <c r="O186" i="102"/>
  <c r="O187" i="102"/>
  <c r="O200" i="102"/>
  <c r="O202" i="102"/>
  <c r="O203" i="102"/>
  <c r="O216" i="102"/>
  <c r="O218" i="102"/>
  <c r="O219" i="102"/>
  <c r="O232" i="102"/>
  <c r="O234" i="102"/>
  <c r="O235" i="102"/>
  <c r="O248" i="102"/>
  <c r="O250" i="102"/>
  <c r="O251" i="102"/>
  <c r="O264" i="102"/>
  <c r="O266" i="102"/>
  <c r="O267" i="102"/>
  <c r="O280" i="102"/>
  <c r="O282" i="102"/>
  <c r="O283" i="102"/>
  <c r="O296" i="102"/>
  <c r="O298" i="102"/>
  <c r="O299" i="102"/>
  <c r="O312" i="102"/>
  <c r="O314" i="102"/>
  <c r="O315" i="102"/>
  <c r="O328" i="102"/>
  <c r="O330" i="102"/>
  <c r="O331" i="102"/>
  <c r="O348" i="102"/>
  <c r="O350" i="102"/>
  <c r="O351" i="102"/>
  <c r="O364" i="102"/>
  <c r="O366" i="102"/>
  <c r="O367" i="102"/>
  <c r="O380" i="102"/>
  <c r="O382" i="102"/>
  <c r="O383" i="102"/>
  <c r="O396" i="102"/>
  <c r="O398" i="102"/>
  <c r="O399" i="102"/>
  <c r="O412" i="102"/>
  <c r="O414" i="102"/>
  <c r="O415" i="102"/>
  <c r="O428" i="102"/>
  <c r="O430" i="102"/>
  <c r="O431" i="102"/>
  <c r="O444" i="102"/>
  <c r="O446" i="102"/>
  <c r="O447" i="102"/>
  <c r="O460" i="102"/>
  <c r="O463" i="102"/>
  <c r="O464" i="102"/>
  <c r="O477" i="102"/>
  <c r="O479" i="102"/>
  <c r="O480" i="102"/>
  <c r="O493" i="102"/>
  <c r="O495" i="102"/>
  <c r="O496" i="102"/>
  <c r="O509" i="102"/>
  <c r="O511" i="102"/>
  <c r="O512" i="102"/>
  <c r="O525" i="102"/>
  <c r="O527" i="102"/>
  <c r="O528" i="102"/>
  <c r="O541" i="102"/>
  <c r="O543" i="102"/>
  <c r="O544" i="102"/>
  <c r="O557" i="102"/>
  <c r="O559" i="102"/>
  <c r="O560" i="102"/>
  <c r="O573" i="102"/>
  <c r="O575" i="102"/>
  <c r="O576" i="102"/>
  <c r="O589" i="102"/>
  <c r="O591" i="102"/>
  <c r="O592" i="102"/>
  <c r="O605" i="102"/>
  <c r="O607" i="102"/>
  <c r="O608" i="102"/>
  <c r="O621" i="102"/>
  <c r="O623" i="102"/>
  <c r="O624" i="102"/>
  <c r="O640" i="102"/>
  <c r="O656" i="102"/>
  <c r="O669" i="102"/>
  <c r="O671" i="102"/>
  <c r="O672" i="102"/>
  <c r="O685" i="102"/>
  <c r="O687" i="102"/>
  <c r="O688" i="102"/>
  <c r="O701" i="102"/>
  <c r="O703" i="102"/>
  <c r="O704" i="102"/>
  <c r="O717" i="102"/>
  <c r="O719" i="102"/>
  <c r="O720" i="102"/>
  <c r="O733" i="102"/>
  <c r="O735" i="102"/>
  <c r="O736" i="102"/>
  <c r="O749" i="102"/>
  <c r="O751" i="102"/>
  <c r="O752" i="102"/>
  <c r="O765" i="102"/>
  <c r="O767" i="102"/>
  <c r="O768" i="102"/>
  <c r="O781" i="102"/>
  <c r="O783" i="102"/>
  <c r="O784" i="102"/>
  <c r="O797" i="102"/>
  <c r="O799" i="102"/>
  <c r="O800" i="102"/>
  <c r="O813" i="102"/>
  <c r="O815" i="102"/>
  <c r="O816" i="102"/>
  <c r="O829" i="102"/>
  <c r="O831" i="102"/>
  <c r="O832" i="102"/>
  <c r="O845" i="102"/>
  <c r="O847" i="102"/>
  <c r="O848" i="102"/>
  <c r="O861" i="102"/>
  <c r="O863" i="102"/>
  <c r="O864" i="102"/>
  <c r="O877" i="102"/>
  <c r="O879" i="102"/>
  <c r="O880" i="102"/>
  <c r="O893" i="102"/>
  <c r="O895" i="102"/>
  <c r="O896" i="102"/>
  <c r="O909" i="102"/>
  <c r="O911" i="102"/>
  <c r="O912" i="102"/>
  <c r="O925" i="102"/>
  <c r="O927" i="102"/>
  <c r="O928" i="102"/>
  <c r="O941" i="102"/>
  <c r="O944" i="102"/>
  <c r="O945" i="102"/>
  <c r="O958" i="102"/>
  <c r="O960" i="102"/>
  <c r="O961" i="102"/>
  <c r="O974" i="102"/>
  <c r="O976" i="102"/>
  <c r="O977" i="102"/>
  <c r="O990" i="102"/>
  <c r="O992" i="102"/>
  <c r="O993" i="102"/>
  <c r="O1006" i="102"/>
  <c r="O1008" i="102"/>
  <c r="O1009" i="102"/>
  <c r="O1022" i="102"/>
  <c r="O1024" i="102"/>
  <c r="O1025" i="102"/>
  <c r="O1038" i="102"/>
  <c r="O1040" i="102"/>
  <c r="O1041" i="102"/>
  <c r="O1054" i="102"/>
  <c r="O1056" i="102"/>
  <c r="O1057" i="102"/>
  <c r="O1070" i="102"/>
  <c r="O1072" i="102"/>
  <c r="O1073" i="102"/>
  <c r="O1086" i="102"/>
  <c r="O1088" i="102"/>
  <c r="O1089" i="102"/>
  <c r="O1102" i="102"/>
  <c r="O1104" i="102"/>
  <c r="O1105" i="102"/>
  <c r="O1118" i="102"/>
  <c r="O1120" i="102"/>
  <c r="O1121" i="102"/>
  <c r="O1134" i="102"/>
  <c r="O1136" i="102"/>
  <c r="O1137" i="102"/>
  <c r="O1150" i="102"/>
  <c r="O1152" i="102"/>
  <c r="O1153" i="102"/>
  <c r="O1166" i="102"/>
  <c r="O1170" i="102"/>
  <c r="O1186" i="102"/>
  <c r="O1202" i="102"/>
  <c r="O1218" i="102"/>
  <c r="O1234" i="102"/>
  <c r="O1250" i="102"/>
  <c r="O1266" i="102"/>
  <c r="O1282" i="102"/>
  <c r="O1298" i="102"/>
  <c r="E93" i="9"/>
  <c r="F98" i="81" s="1"/>
  <c r="H24" i="5"/>
  <c r="B72" i="99"/>
  <c r="C72" i="99" s="1"/>
  <c r="H72" i="99" s="1"/>
  <c r="O5" i="102"/>
  <c r="O7" i="102"/>
  <c r="O8" i="102"/>
  <c r="O21" i="102"/>
  <c r="O23" i="102"/>
  <c r="O30" i="102"/>
  <c r="O31" i="102"/>
  <c r="O38" i="102"/>
  <c r="O39" i="102"/>
  <c r="O46" i="102"/>
  <c r="O47" i="102"/>
  <c r="O54" i="102"/>
  <c r="O55" i="102"/>
  <c r="O62" i="102"/>
  <c r="O63" i="102"/>
  <c r="O70" i="102"/>
  <c r="O71" i="102"/>
  <c r="O78" i="102"/>
  <c r="O79" i="102"/>
  <c r="O86" i="102"/>
  <c r="O87" i="102"/>
  <c r="O94" i="102"/>
  <c r="O95" i="102"/>
  <c r="O102" i="102"/>
  <c r="O103" i="102"/>
  <c r="O110" i="102"/>
  <c r="O111" i="102"/>
  <c r="O118" i="102"/>
  <c r="O119" i="102"/>
  <c r="O126" i="102"/>
  <c r="O127" i="102"/>
  <c r="O134" i="102"/>
  <c r="O135" i="102"/>
  <c r="O142" i="102"/>
  <c r="O143" i="102"/>
  <c r="O150" i="102"/>
  <c r="O151" i="102"/>
  <c r="O158" i="102"/>
  <c r="O159" i="102"/>
  <c r="O166" i="102"/>
  <c r="O167" i="102"/>
  <c r="O174" i="102"/>
  <c r="O175" i="102"/>
  <c r="O182" i="102"/>
  <c r="O183" i="102"/>
  <c r="O190" i="102"/>
  <c r="O191" i="102"/>
  <c r="O198" i="102"/>
  <c r="O199" i="102"/>
  <c r="O206" i="102"/>
  <c r="O207" i="102"/>
  <c r="O214" i="102"/>
  <c r="O215" i="102"/>
  <c r="O222" i="102"/>
  <c r="O223" i="102"/>
  <c r="O230" i="102"/>
  <c r="O231" i="102"/>
  <c r="O238" i="102"/>
  <c r="O239" i="102"/>
  <c r="O246" i="102"/>
  <c r="O247" i="102"/>
  <c r="O254" i="102"/>
  <c r="O255" i="102"/>
  <c r="O262" i="102"/>
  <c r="O263" i="102"/>
  <c r="O270" i="102"/>
  <c r="O271" i="102"/>
  <c r="O278" i="102"/>
  <c r="O279" i="102"/>
  <c r="O286" i="102"/>
  <c r="O287" i="102"/>
  <c r="O294" i="102"/>
  <c r="O295" i="102"/>
  <c r="O302" i="102"/>
  <c r="O303" i="102"/>
  <c r="O310" i="102"/>
  <c r="O311" i="102"/>
  <c r="O318" i="102"/>
  <c r="O319" i="102"/>
  <c r="O326" i="102"/>
  <c r="O327" i="102"/>
  <c r="O334" i="102"/>
  <c r="O335" i="102"/>
  <c r="O338" i="102"/>
  <c r="O339" i="102"/>
  <c r="O346" i="102"/>
  <c r="O347" i="102"/>
  <c r="O354" i="102"/>
  <c r="O355" i="102"/>
  <c r="O362" i="102"/>
  <c r="O363" i="102"/>
  <c r="O370" i="102"/>
  <c r="O371" i="102"/>
  <c r="O378" i="102"/>
  <c r="O379" i="102"/>
  <c r="O386" i="102"/>
  <c r="O387" i="102"/>
  <c r="O394" i="102"/>
  <c r="O395" i="102"/>
  <c r="O402" i="102"/>
  <c r="O403" i="102"/>
  <c r="O410" i="102"/>
  <c r="O411" i="102"/>
  <c r="O418" i="102"/>
  <c r="O419" i="102"/>
  <c r="O426" i="102"/>
  <c r="O427" i="102"/>
  <c r="O434" i="102"/>
  <c r="O435" i="102"/>
  <c r="O442" i="102"/>
  <c r="O443" i="102"/>
  <c r="O450" i="102"/>
  <c r="O451" i="102"/>
  <c r="O458" i="102"/>
  <c r="O459" i="102"/>
  <c r="O467" i="102"/>
  <c r="O468" i="102"/>
  <c r="O475" i="102"/>
  <c r="O476" i="102"/>
  <c r="O483" i="102"/>
  <c r="O484" i="102"/>
  <c r="O491" i="102"/>
  <c r="O492" i="102"/>
  <c r="O499" i="102"/>
  <c r="O500" i="102"/>
  <c r="O507" i="102"/>
  <c r="O508" i="102"/>
  <c r="O515" i="102"/>
  <c r="O516" i="102"/>
  <c r="O523" i="102"/>
  <c r="O524" i="102"/>
  <c r="O531" i="102"/>
  <c r="O532" i="102"/>
  <c r="O539" i="102"/>
  <c r="O540" i="102"/>
  <c r="O547" i="102"/>
  <c r="O548" i="102"/>
  <c r="O555" i="102"/>
  <c r="O556" i="102"/>
  <c r="O563" i="102"/>
  <c r="O564" i="102"/>
  <c r="O571" i="102"/>
  <c r="O572" i="102"/>
  <c r="O579" i="102"/>
  <c r="O580" i="102"/>
  <c r="O587" i="102"/>
  <c r="O588" i="102"/>
  <c r="O595" i="102"/>
  <c r="O596" i="102"/>
  <c r="O603" i="102"/>
  <c r="O604" i="102"/>
  <c r="O611" i="102"/>
  <c r="O612" i="102"/>
  <c r="O619" i="102"/>
  <c r="O620" i="102"/>
  <c r="O627" i="102"/>
  <c r="O628" i="102"/>
  <c r="O636" i="102"/>
  <c r="O644" i="102"/>
  <c r="O652" i="102"/>
  <c r="O660" i="102"/>
  <c r="O667" i="102"/>
  <c r="O668" i="102"/>
  <c r="O675" i="102"/>
  <c r="O676" i="102"/>
  <c r="O683" i="102"/>
  <c r="O684" i="102"/>
  <c r="O691" i="102"/>
  <c r="O692" i="102"/>
  <c r="O699" i="102"/>
  <c r="O700" i="102"/>
  <c r="O707" i="102"/>
  <c r="O708" i="102"/>
  <c r="O715" i="102"/>
  <c r="O716" i="102"/>
  <c r="O723" i="102"/>
  <c r="O724" i="102"/>
  <c r="O731" i="102"/>
  <c r="O732" i="102"/>
  <c r="O739" i="102"/>
  <c r="O740" i="102"/>
  <c r="O747" i="102"/>
  <c r="O748" i="102"/>
  <c r="O755" i="102"/>
  <c r="O756" i="102"/>
  <c r="O763" i="102"/>
  <c r="O764" i="102"/>
  <c r="O771" i="102"/>
  <c r="O772" i="102"/>
  <c r="O779" i="102"/>
  <c r="O780" i="102"/>
  <c r="O787" i="102"/>
  <c r="O788" i="102"/>
  <c r="O795" i="102"/>
  <c r="O796" i="102"/>
  <c r="O803" i="102"/>
  <c r="O804" i="102"/>
  <c r="O811" i="102"/>
  <c r="O812" i="102"/>
  <c r="O819" i="102"/>
  <c r="O820" i="102"/>
  <c r="O827" i="102"/>
  <c r="O828" i="102"/>
  <c r="O835" i="102"/>
  <c r="O836" i="102"/>
  <c r="O843" i="102"/>
  <c r="O844" i="102"/>
  <c r="O851" i="102"/>
  <c r="O852" i="102"/>
  <c r="O859" i="102"/>
  <c r="O860" i="102"/>
  <c r="O867" i="102"/>
  <c r="O868" i="102"/>
  <c r="O875" i="102"/>
  <c r="O876" i="102"/>
  <c r="O883" i="102"/>
  <c r="O884" i="102"/>
  <c r="O891" i="102"/>
  <c r="O892" i="102"/>
  <c r="O899" i="102"/>
  <c r="O900" i="102"/>
  <c r="O907" i="102"/>
  <c r="O908" i="102"/>
  <c r="O915" i="102"/>
  <c r="O916" i="102"/>
  <c r="O923" i="102"/>
  <c r="O924" i="102"/>
  <c r="O931" i="102"/>
  <c r="O932" i="102"/>
  <c r="O939" i="102"/>
  <c r="O940" i="102"/>
  <c r="O948" i="102"/>
  <c r="O949" i="102"/>
  <c r="O956" i="102"/>
  <c r="O957" i="102"/>
  <c r="O964" i="102"/>
  <c r="O965" i="102"/>
  <c r="O972" i="102"/>
  <c r="O973" i="102"/>
  <c r="O980" i="102"/>
  <c r="O981" i="102"/>
  <c r="O988" i="102"/>
  <c r="O989" i="102"/>
  <c r="O996" i="102"/>
  <c r="O997" i="102"/>
  <c r="O1004" i="102"/>
  <c r="O1005" i="102"/>
  <c r="O1012" i="102"/>
  <c r="O1013" i="102"/>
  <c r="O1020" i="102"/>
  <c r="O1021" i="102"/>
  <c r="O1028" i="102"/>
  <c r="O1029" i="102"/>
  <c r="O1036" i="102"/>
  <c r="O1037" i="102"/>
  <c r="O1044" i="102"/>
  <c r="O1045" i="102"/>
  <c r="O1052" i="102"/>
  <c r="O1053" i="102"/>
  <c r="O1060" i="102"/>
  <c r="O1061" i="102"/>
  <c r="O1068" i="102"/>
  <c r="O1069" i="102"/>
  <c r="O1076" i="102"/>
  <c r="O1077" i="102"/>
  <c r="O1084" i="102"/>
  <c r="O1085" i="102"/>
  <c r="O1092" i="102"/>
  <c r="O1093" i="102"/>
  <c r="O1100" i="102"/>
  <c r="O1101" i="102"/>
  <c r="O1108" i="102"/>
  <c r="O1109" i="102"/>
  <c r="O1116" i="102"/>
  <c r="O1117" i="102"/>
  <c r="O1124" i="102"/>
  <c r="O1125" i="102"/>
  <c r="O1132" i="102"/>
  <c r="O1133" i="102"/>
  <c r="O1140" i="102"/>
  <c r="O1141" i="102"/>
  <c r="O1148" i="102"/>
  <c r="O1149" i="102"/>
  <c r="O1156" i="102"/>
  <c r="O1157" i="102"/>
  <c r="O1164" i="102"/>
  <c r="O1165" i="102"/>
  <c r="O1174" i="102"/>
  <c r="O1182" i="102"/>
  <c r="O1190" i="102"/>
  <c r="O1198" i="102"/>
  <c r="O1206" i="102"/>
  <c r="O1214" i="102"/>
  <c r="O1222" i="102"/>
  <c r="O1230" i="102"/>
  <c r="O1238" i="102"/>
  <c r="O1246" i="102"/>
  <c r="O1254" i="102"/>
  <c r="O1262" i="102"/>
  <c r="O1270" i="102"/>
  <c r="O1278" i="102"/>
  <c r="O1286" i="102"/>
  <c r="O1294" i="102"/>
  <c r="R2" i="107"/>
  <c r="F52" i="1" s="1"/>
  <c r="G52" i="1" s="1"/>
  <c r="I11" i="99"/>
  <c r="W88" i="81"/>
  <c r="D17" i="49"/>
  <c r="F72" i="99"/>
  <c r="G72" i="99" s="1"/>
  <c r="I72" i="99" s="1"/>
  <c r="G39" i="91"/>
  <c r="I39" i="91" s="1"/>
  <c r="I61" i="91"/>
  <c r="I45" i="91" s="1"/>
  <c r="V39" i="91"/>
  <c r="X39" i="91" s="1"/>
  <c r="O3" i="102"/>
  <c r="O4" i="102"/>
  <c r="O11" i="102"/>
  <c r="O12" i="102"/>
  <c r="O19" i="102"/>
  <c r="O20" i="102"/>
  <c r="O25" i="102"/>
  <c r="O29" i="102"/>
  <c r="O33" i="102"/>
  <c r="O37" i="102"/>
  <c r="O41" i="102"/>
  <c r="O45" i="102"/>
  <c r="O49" i="102"/>
  <c r="O53" i="102"/>
  <c r="O57" i="102"/>
  <c r="O61" i="102"/>
  <c r="O65" i="102"/>
  <c r="O69" i="102"/>
  <c r="O73" i="102"/>
  <c r="O77" i="102"/>
  <c r="O81" i="102"/>
  <c r="O85" i="102"/>
  <c r="O89" i="102"/>
  <c r="O93" i="102"/>
  <c r="O97" i="102"/>
  <c r="O101" i="102"/>
  <c r="O105" i="102"/>
  <c r="O109" i="102"/>
  <c r="O113" i="102"/>
  <c r="O117" i="102"/>
  <c r="O121" i="102"/>
  <c r="O125" i="102"/>
  <c r="O129" i="102"/>
  <c r="O133" i="102"/>
  <c r="O137" i="102"/>
  <c r="O141" i="102"/>
  <c r="O145" i="102"/>
  <c r="O149" i="102"/>
  <c r="O153" i="102"/>
  <c r="O157" i="102"/>
  <c r="O161" i="102"/>
  <c r="O165" i="102"/>
  <c r="O169" i="102"/>
  <c r="O173" i="102"/>
  <c r="O177" i="102"/>
  <c r="O181" i="102"/>
  <c r="O185" i="102"/>
  <c r="O189" i="102"/>
  <c r="O193" i="102"/>
  <c r="O197" i="102"/>
  <c r="O201" i="102"/>
  <c r="O205" i="102"/>
  <c r="O209" i="102"/>
  <c r="O213" i="102"/>
  <c r="O217" i="102"/>
  <c r="O221" i="102"/>
  <c r="O225" i="102"/>
  <c r="O229" i="102"/>
  <c r="O233" i="102"/>
  <c r="O237" i="102"/>
  <c r="O241" i="102"/>
  <c r="O245" i="102"/>
  <c r="O249" i="102"/>
  <c r="O253" i="102"/>
  <c r="O257" i="102"/>
  <c r="O261" i="102"/>
  <c r="O265" i="102"/>
  <c r="O269" i="102"/>
  <c r="O273" i="102"/>
  <c r="O277" i="102"/>
  <c r="O281" i="102"/>
  <c r="O285" i="102"/>
  <c r="O289" i="102"/>
  <c r="O293" i="102"/>
  <c r="O297" i="102"/>
  <c r="O301" i="102"/>
  <c r="O305" i="102"/>
  <c r="O309" i="102"/>
  <c r="O313" i="102"/>
  <c r="O317" i="102"/>
  <c r="O321" i="102"/>
  <c r="O325" i="102"/>
  <c r="O329" i="102"/>
  <c r="O333" i="102"/>
  <c r="O337" i="102"/>
  <c r="O341" i="102"/>
  <c r="O345" i="102"/>
  <c r="O349" i="102"/>
  <c r="O353" i="102"/>
  <c r="O357" i="102"/>
  <c r="O361" i="102"/>
  <c r="O365" i="102"/>
  <c r="O369" i="102"/>
  <c r="O373" i="102"/>
  <c r="O377" i="102"/>
  <c r="O381" i="102"/>
  <c r="O385" i="102"/>
  <c r="O389" i="102"/>
  <c r="O393" i="102"/>
  <c r="O397" i="102"/>
  <c r="O401" i="102"/>
  <c r="O405" i="102"/>
  <c r="O409" i="102"/>
  <c r="O413" i="102"/>
  <c r="O417" i="102"/>
  <c r="O421" i="102"/>
  <c r="O425" i="102"/>
  <c r="O429" i="102"/>
  <c r="O433" i="102"/>
  <c r="O437" i="102"/>
  <c r="O441" i="102"/>
  <c r="O445" i="102"/>
  <c r="O449" i="102"/>
  <c r="O453" i="102"/>
  <c r="O457" i="102"/>
  <c r="O461" i="102"/>
  <c r="O462" i="102"/>
  <c r="O466" i="102"/>
  <c r="O470" i="102"/>
  <c r="O474" i="102"/>
  <c r="O478" i="102"/>
  <c r="O482" i="102"/>
  <c r="O486" i="102"/>
  <c r="O490" i="102"/>
  <c r="O494" i="102"/>
  <c r="O498" i="102"/>
  <c r="O502" i="102"/>
  <c r="O506" i="102"/>
  <c r="O510" i="102"/>
  <c r="O514" i="102"/>
  <c r="O518" i="102"/>
  <c r="O522" i="102"/>
  <c r="O526" i="102"/>
  <c r="O530" i="102"/>
  <c r="O534" i="102"/>
  <c r="O538" i="102"/>
  <c r="O542" i="102"/>
  <c r="O546" i="102"/>
  <c r="O550" i="102"/>
  <c r="O554" i="102"/>
  <c r="O558" i="102"/>
  <c r="O562" i="102"/>
  <c r="O566" i="102"/>
  <c r="O570" i="102"/>
  <c r="O574" i="102"/>
  <c r="O578" i="102"/>
  <c r="O582" i="102"/>
  <c r="O586" i="102"/>
  <c r="O590" i="102"/>
  <c r="O594" i="102"/>
  <c r="O598" i="102"/>
  <c r="O602" i="102"/>
  <c r="O606" i="102"/>
  <c r="O610" i="102"/>
  <c r="O614" i="102"/>
  <c r="O618" i="102"/>
  <c r="O622" i="102"/>
  <c r="O626" i="102"/>
  <c r="O630" i="102"/>
  <c r="O634" i="102"/>
  <c r="O638" i="102"/>
  <c r="O642" i="102"/>
  <c r="O646" i="102"/>
  <c r="O650" i="102"/>
  <c r="O654" i="102"/>
  <c r="O658" i="102"/>
  <c r="O662" i="102"/>
  <c r="O666" i="102"/>
  <c r="O670" i="102"/>
  <c r="O674" i="102"/>
  <c r="O678" i="102"/>
  <c r="O682" i="102"/>
  <c r="O686" i="102"/>
  <c r="O690" i="102"/>
  <c r="O694" i="102"/>
  <c r="O698" i="102"/>
  <c r="O702" i="102"/>
  <c r="O706" i="102"/>
  <c r="O710" i="102"/>
  <c r="O714" i="102"/>
  <c r="O718" i="102"/>
  <c r="O722" i="102"/>
  <c r="O726" i="102"/>
  <c r="O730" i="102"/>
  <c r="O734" i="102"/>
  <c r="O738" i="102"/>
  <c r="O742" i="102"/>
  <c r="O746" i="102"/>
  <c r="O750" i="102"/>
  <c r="O754" i="102"/>
  <c r="O758" i="102"/>
  <c r="O762" i="102"/>
  <c r="O766" i="102"/>
  <c r="O770" i="102"/>
  <c r="O774" i="102"/>
  <c r="O778" i="102"/>
  <c r="O782" i="102"/>
  <c r="O786" i="102"/>
  <c r="O790" i="102"/>
  <c r="O794" i="102"/>
  <c r="O798" i="102"/>
  <c r="O802" i="102"/>
  <c r="O806" i="102"/>
  <c r="O810" i="102"/>
  <c r="O814" i="102"/>
  <c r="O818" i="102"/>
  <c r="O822" i="102"/>
  <c r="O826" i="102"/>
  <c r="O830" i="102"/>
  <c r="O834" i="102"/>
  <c r="O838" i="102"/>
  <c r="O842" i="102"/>
  <c r="O846" i="102"/>
  <c r="O850" i="102"/>
  <c r="O854" i="102"/>
  <c r="O858" i="102"/>
  <c r="O862" i="102"/>
  <c r="O866" i="102"/>
  <c r="O870" i="102"/>
  <c r="O874" i="102"/>
  <c r="O878" i="102"/>
  <c r="O882" i="102"/>
  <c r="O886" i="102"/>
  <c r="O890" i="102"/>
  <c r="O894" i="102"/>
  <c r="O898" i="102"/>
  <c r="O902" i="102"/>
  <c r="O906" i="102"/>
  <c r="O910" i="102"/>
  <c r="O914" i="102"/>
  <c r="O918" i="102"/>
  <c r="O922" i="102"/>
  <c r="O926" i="102"/>
  <c r="O930" i="102"/>
  <c r="O934" i="102"/>
  <c r="O938" i="102"/>
  <c r="O942" i="102"/>
  <c r="O943" i="102"/>
  <c r="O947" i="102"/>
  <c r="O951" i="102"/>
  <c r="O955" i="102"/>
  <c r="O959" i="102"/>
  <c r="O963" i="102"/>
  <c r="O967" i="102"/>
  <c r="O971" i="102"/>
  <c r="O975" i="102"/>
  <c r="O979" i="102"/>
  <c r="O983" i="102"/>
  <c r="O987" i="102"/>
  <c r="O991" i="102"/>
  <c r="O995" i="102"/>
  <c r="O999" i="102"/>
  <c r="O1003" i="102"/>
  <c r="O1007" i="102"/>
  <c r="O1011" i="102"/>
  <c r="O1015" i="102"/>
  <c r="O1019" i="102"/>
  <c r="O1023" i="102"/>
  <c r="O1027" i="102"/>
  <c r="O1031" i="102"/>
  <c r="O1035" i="102"/>
  <c r="O1039" i="102"/>
  <c r="O1043" i="102"/>
  <c r="O1047" i="102"/>
  <c r="O1051" i="102"/>
  <c r="O1055" i="102"/>
  <c r="O1059" i="102"/>
  <c r="O1063" i="102"/>
  <c r="O1067" i="102"/>
  <c r="O1071" i="102"/>
  <c r="O1075" i="102"/>
  <c r="O1079" i="102"/>
  <c r="O1083" i="102"/>
  <c r="O1087" i="102"/>
  <c r="O1091" i="102"/>
  <c r="O1095" i="102"/>
  <c r="O1099" i="102"/>
  <c r="O1103" i="102"/>
  <c r="O1107" i="102"/>
  <c r="O1111" i="102"/>
  <c r="O1115" i="102"/>
  <c r="O1119" i="102"/>
  <c r="O1123" i="102"/>
  <c r="O1127" i="102"/>
  <c r="O1131" i="102"/>
  <c r="O1135" i="102"/>
  <c r="O1139" i="102"/>
  <c r="O1143" i="102"/>
  <c r="O1147" i="102"/>
  <c r="O1151" i="102"/>
  <c r="O1155" i="102"/>
  <c r="O1159" i="102"/>
  <c r="O1163" i="102"/>
  <c r="O1168" i="102"/>
  <c r="O1172" i="102"/>
  <c r="O1176" i="102"/>
  <c r="O1180" i="102"/>
  <c r="O1184" i="102"/>
  <c r="O1188" i="102"/>
  <c r="O1192" i="102"/>
  <c r="O1196" i="102"/>
  <c r="O1200" i="102"/>
  <c r="O1204" i="102"/>
  <c r="O1208" i="102"/>
  <c r="O1212" i="102"/>
  <c r="O1216" i="102"/>
  <c r="O1220" i="102"/>
  <c r="O1224" i="102"/>
  <c r="O1228" i="102"/>
  <c r="O1232" i="102"/>
  <c r="O1236" i="102"/>
  <c r="O1240" i="102"/>
  <c r="O1244" i="102"/>
  <c r="O1248" i="102"/>
  <c r="O1252" i="102"/>
  <c r="O1256" i="102"/>
  <c r="O1260" i="102"/>
  <c r="O1264" i="102"/>
  <c r="O1268" i="102"/>
  <c r="O1272" i="102"/>
  <c r="O1276" i="102"/>
  <c r="O1280" i="102"/>
  <c r="O1284" i="102"/>
  <c r="O1288" i="102"/>
  <c r="O1292" i="102"/>
  <c r="O1296" i="102"/>
  <c r="B1" i="104"/>
  <c r="W87" i="8"/>
  <c r="F116" i="98"/>
  <c r="V12" i="18"/>
  <c r="F59" i="50"/>
  <c r="F61" i="50" s="1"/>
  <c r="F63" i="50" s="1"/>
  <c r="H59" i="50"/>
  <c r="H61" i="50" s="1"/>
  <c r="H63" i="50" s="1"/>
  <c r="E10" i="91"/>
  <c r="I10" i="91"/>
  <c r="F179" i="98"/>
  <c r="C2" i="117"/>
  <c r="F24" i="9" s="1"/>
  <c r="M14" i="73"/>
  <c r="N14" i="73" s="1"/>
  <c r="P69" i="18"/>
  <c r="P10" i="91"/>
  <c r="I10" i="99"/>
  <c r="I71" i="99"/>
  <c r="W106" i="98"/>
  <c r="O6" i="102"/>
  <c r="O10" i="102"/>
  <c r="O14" i="102"/>
  <c r="O18" i="102"/>
  <c r="O22" i="102"/>
  <c r="O633" i="102"/>
  <c r="O635" i="102"/>
  <c r="O637" i="102"/>
  <c r="O639" i="102"/>
  <c r="O641" i="102"/>
  <c r="O643" i="102"/>
  <c r="O645" i="102"/>
  <c r="O647" i="102"/>
  <c r="O649" i="102"/>
  <c r="O651" i="102"/>
  <c r="O653" i="102"/>
  <c r="O655" i="102"/>
  <c r="O657" i="102"/>
  <c r="O659" i="102"/>
  <c r="J14" i="73"/>
  <c r="K14" i="73" s="1"/>
  <c r="O1167" i="102"/>
  <c r="O1169" i="102"/>
  <c r="O1171" i="102"/>
  <c r="O1173" i="102"/>
  <c r="O1175" i="102"/>
  <c r="O1177" i="102"/>
  <c r="O1179" i="102"/>
  <c r="O1181" i="102"/>
  <c r="O1183" i="102"/>
  <c r="O1185" i="102"/>
  <c r="O1187" i="102"/>
  <c r="O1189" i="102"/>
  <c r="O1191" i="102"/>
  <c r="O1193" i="102"/>
  <c r="O1195" i="102"/>
  <c r="O1197" i="102"/>
  <c r="O1199" i="102"/>
  <c r="O1201" i="102"/>
  <c r="O1203" i="102"/>
  <c r="O1205" i="102"/>
  <c r="O1207" i="102"/>
  <c r="O1209" i="102"/>
  <c r="O1211" i="102"/>
  <c r="O1213" i="102"/>
  <c r="O1215" i="102"/>
  <c r="O1217" i="102"/>
  <c r="O1219" i="102"/>
  <c r="O1221" i="102"/>
  <c r="O1223" i="102"/>
  <c r="O1225" i="102"/>
  <c r="O1227" i="102"/>
  <c r="O1229" i="102"/>
  <c r="O1231" i="102"/>
  <c r="O1233" i="102"/>
  <c r="O1235" i="102"/>
  <c r="O1237" i="102"/>
  <c r="O1239" i="102"/>
  <c r="O1241" i="102"/>
  <c r="O1243" i="102"/>
  <c r="O1245" i="102"/>
  <c r="O1247" i="102"/>
  <c r="O1249" i="102"/>
  <c r="O1251" i="102"/>
  <c r="O1253" i="102"/>
  <c r="O1255" i="102"/>
  <c r="O1257" i="102"/>
  <c r="O1259" i="102"/>
  <c r="O1261" i="102"/>
  <c r="O1263" i="102"/>
  <c r="O1265" i="102"/>
  <c r="O1267" i="102"/>
  <c r="O1269" i="102"/>
  <c r="O1271" i="102"/>
  <c r="O1273" i="102"/>
  <c r="O1275" i="102"/>
  <c r="O1277" i="102"/>
  <c r="O1279" i="102"/>
  <c r="O1281" i="102"/>
  <c r="O1283" i="102"/>
  <c r="O1285" i="102"/>
  <c r="O1287" i="102"/>
  <c r="O1289" i="102"/>
  <c r="O1291" i="102"/>
  <c r="O1293" i="102"/>
  <c r="O1295" i="102"/>
  <c r="O1297" i="102"/>
  <c r="I11" i="108"/>
  <c r="H13" i="108"/>
  <c r="F73" i="98"/>
  <c r="J18" i="73"/>
  <c r="K29" i="5"/>
  <c r="D24" i="50"/>
  <c r="D24" i="60" s="1"/>
  <c r="F98" i="60" s="1"/>
  <c r="F41" i="50"/>
  <c r="F41" i="60" s="1"/>
  <c r="G2" i="102"/>
  <c r="F18" i="1" s="1"/>
  <c r="C14" i="73"/>
  <c r="G14" i="73" s="1"/>
  <c r="L36" i="81"/>
  <c r="T36" i="81"/>
  <c r="H36" i="81"/>
  <c r="F36" i="81"/>
  <c r="U36" i="81"/>
  <c r="H36" i="98"/>
  <c r="K2" i="5"/>
  <c r="E2" i="27" s="1"/>
  <c r="L2" i="18"/>
  <c r="C34" i="72"/>
  <c r="F61" i="98"/>
  <c r="I55" i="108"/>
  <c r="H41" i="108"/>
  <c r="I41" i="108" s="1"/>
  <c r="C18" i="73"/>
  <c r="P2" i="107"/>
  <c r="D40" i="50"/>
  <c r="D40" i="60" s="1"/>
  <c r="F102" i="60" s="1"/>
  <c r="F21" i="50"/>
  <c r="F21" i="60" s="1"/>
  <c r="H45" i="50"/>
  <c r="H45" i="60" s="1"/>
  <c r="M2" i="107"/>
  <c r="D15" i="49"/>
  <c r="F16" i="1" s="1"/>
  <c r="B2" i="106"/>
  <c r="D2" i="106"/>
  <c r="F2" i="106"/>
  <c r="F1054" i="106"/>
  <c r="A2" i="106"/>
  <c r="C2" i="106"/>
  <c r="H40" i="1"/>
  <c r="F87" i="1"/>
  <c r="U32" i="8" s="1"/>
  <c r="F12" i="8"/>
  <c r="C1" i="104"/>
  <c r="F63" i="1" s="1"/>
  <c r="C64" i="27" s="1"/>
  <c r="D32" i="50"/>
  <c r="D32" i="60" s="1"/>
  <c r="F100" i="60" s="1"/>
  <c r="D16" i="50"/>
  <c r="D16" i="60" s="1"/>
  <c r="F42" i="50"/>
  <c r="F30" i="50"/>
  <c r="F30" i="60" s="1"/>
  <c r="H29" i="50"/>
  <c r="H29" i="60" s="1"/>
  <c r="O2" i="107"/>
  <c r="F2" i="107"/>
  <c r="H38" i="50"/>
  <c r="H38" i="60" s="1"/>
  <c r="F86" i="1"/>
  <c r="U29" i="8" s="1"/>
  <c r="C3" i="21"/>
  <c r="D3" i="60"/>
  <c r="C3" i="19"/>
  <c r="G10" i="91"/>
  <c r="D3" i="50"/>
  <c r="D3" i="2"/>
  <c r="D3" i="3"/>
  <c r="C3" i="8"/>
  <c r="C3" i="81"/>
  <c r="S2" i="107"/>
  <c r="F54" i="1" s="1"/>
  <c r="G54" i="1" s="1"/>
  <c r="N2" i="107"/>
  <c r="F53" i="1" s="1"/>
  <c r="G53" i="1" s="1"/>
  <c r="T2" i="107"/>
  <c r="F55" i="1" s="1"/>
  <c r="F61" i="1"/>
  <c r="D22" i="49"/>
  <c r="D16" i="49"/>
  <c r="F17" i="1" s="1"/>
  <c r="F88" i="1"/>
  <c r="L2" i="107"/>
  <c r="H2" i="107"/>
  <c r="D19" i="49"/>
  <c r="G35" i="49"/>
  <c r="F78" i="1" s="1"/>
  <c r="E14" i="72"/>
  <c r="E18" i="72" s="1"/>
  <c r="E34" i="72"/>
  <c r="A13" i="99"/>
  <c r="B12" i="99"/>
  <c r="C12" i="99" s="1"/>
  <c r="H12" i="99" s="1"/>
  <c r="I12" i="99" s="1"/>
  <c r="A74" i="99"/>
  <c r="F73" i="99"/>
  <c r="G73" i="99" s="1"/>
  <c r="B73" i="99"/>
  <c r="C73" i="99" s="1"/>
  <c r="H73" i="99" s="1"/>
  <c r="F62" i="98"/>
  <c r="K39" i="91"/>
  <c r="K45" i="91" s="1"/>
  <c r="K21" i="91"/>
  <c r="N38" i="91"/>
  <c r="P38" i="91" s="1"/>
  <c r="V38" i="91"/>
  <c r="X38" i="91" s="1"/>
  <c r="G38" i="91"/>
  <c r="I38" i="91" s="1"/>
  <c r="H126" i="9"/>
  <c r="H59" i="108"/>
  <c r="F36" i="98"/>
  <c r="E36" i="98" s="1"/>
  <c r="L36" i="98"/>
  <c r="T36" i="98"/>
  <c r="U36" i="98"/>
  <c r="E30" i="27"/>
  <c r="I30" i="27"/>
  <c r="H58" i="108"/>
  <c r="H30" i="27"/>
  <c r="C10" i="91"/>
  <c r="D2" i="105"/>
  <c r="H91" i="1" s="1"/>
  <c r="C2" i="105"/>
  <c r="F91" i="1" s="1"/>
  <c r="H17" i="50"/>
  <c r="H18" i="50"/>
  <c r="H18" i="60" s="1"/>
  <c r="H25" i="50"/>
  <c r="H26" i="50"/>
  <c r="H26" i="60" s="1"/>
  <c r="H33" i="50"/>
  <c r="H34" i="50"/>
  <c r="H34" i="60" s="1"/>
  <c r="H41" i="50"/>
  <c r="H42" i="50"/>
  <c r="H42" i="60" s="1"/>
  <c r="F17" i="50"/>
  <c r="F18" i="50"/>
  <c r="F18" i="60" s="1"/>
  <c r="F25" i="50"/>
  <c r="F26" i="50"/>
  <c r="F26" i="60" s="1"/>
  <c r="F33" i="50"/>
  <c r="F34" i="50"/>
  <c r="F34" i="60" s="1"/>
  <c r="H21" i="50"/>
  <c r="H30" i="50"/>
  <c r="H37" i="50"/>
  <c r="H46" i="50"/>
  <c r="F22" i="50"/>
  <c r="F29" i="50"/>
  <c r="F37" i="50"/>
  <c r="F38" i="50"/>
  <c r="F38" i="60" s="1"/>
  <c r="F45" i="50"/>
  <c r="F46" i="50"/>
  <c r="F46" i="60" s="1"/>
  <c r="D20" i="50"/>
  <c r="D20" i="60" s="1"/>
  <c r="D28" i="50"/>
  <c r="D28" i="60" s="1"/>
  <c r="F99" i="60" s="1"/>
  <c r="D36" i="50"/>
  <c r="D36" i="60" s="1"/>
  <c r="F101" i="60" s="1"/>
  <c r="D44" i="50"/>
  <c r="D44" i="60" s="1"/>
  <c r="F103" i="60" s="1"/>
  <c r="H47" i="1"/>
  <c r="B2" i="107"/>
  <c r="B1" i="1" s="1"/>
  <c r="C2" i="107"/>
  <c r="Q2" i="107"/>
  <c r="D63" i="9"/>
  <c r="H80" i="1"/>
  <c r="H25" i="9"/>
  <c r="H46" i="1"/>
  <c r="N10" i="91"/>
  <c r="K2" i="107"/>
  <c r="J2" i="107"/>
  <c r="G2" i="107"/>
  <c r="E2" i="107"/>
  <c r="C2" i="102"/>
  <c r="F19" i="1" s="1"/>
  <c r="Z23" i="112" l="1"/>
  <c r="G1" i="112"/>
  <c r="J35" i="18"/>
  <c r="J37" i="18" s="1"/>
  <c r="J42" i="18" s="1"/>
  <c r="H28" i="2"/>
  <c r="D42" i="27" s="1"/>
  <c r="J43" i="112"/>
  <c r="D5" i="125" s="1"/>
  <c r="X32" i="112"/>
  <c r="Z32" i="112" s="1"/>
  <c r="X31" i="112"/>
  <c r="Z31" i="112" s="1"/>
  <c r="X34" i="112"/>
  <c r="Z34" i="112" s="1"/>
  <c r="X28" i="112"/>
  <c r="Z28" i="112" s="1"/>
  <c r="X30" i="112"/>
  <c r="Z30" i="112" s="1"/>
  <c r="X29" i="112"/>
  <c r="Z29" i="112" s="1"/>
  <c r="C16" i="27"/>
  <c r="C35" i="27" s="1"/>
  <c r="H41" i="1"/>
  <c r="G41" i="1" s="1"/>
  <c r="H49" i="1"/>
  <c r="H39" i="1"/>
  <c r="G39" i="1" s="1"/>
  <c r="H45" i="1"/>
  <c r="G45" i="1" s="1"/>
  <c r="H48" i="1"/>
  <c r="G48" i="1" s="1"/>
  <c r="H43" i="1"/>
  <c r="G43" i="1" s="1"/>
  <c r="V36" i="112"/>
  <c r="H44" i="1"/>
  <c r="G44" i="1" s="1"/>
  <c r="H51" i="1"/>
  <c r="F10" i="81" s="1"/>
  <c r="F13" i="9"/>
  <c r="H42" i="1"/>
  <c r="G42" i="1" s="1"/>
  <c r="F25" i="9"/>
  <c r="G40" i="1"/>
  <c r="T29" i="8"/>
  <c r="H29" i="8"/>
  <c r="L32" i="8"/>
  <c r="T32" i="8"/>
  <c r="H50" i="1"/>
  <c r="G50" i="1" s="1"/>
  <c r="G2" i="106"/>
  <c r="C60" i="27"/>
  <c r="D60" i="27"/>
  <c r="H125" i="9"/>
  <c r="H57" i="108"/>
  <c r="I33" i="100"/>
  <c r="K33" i="100"/>
  <c r="F176" i="98"/>
  <c r="F115" i="98"/>
  <c r="F42" i="60"/>
  <c r="F43" i="60" s="1"/>
  <c r="F43" i="50"/>
  <c r="F32" i="8"/>
  <c r="H32" i="8"/>
  <c r="F29" i="8"/>
  <c r="L29" i="8"/>
  <c r="D11" i="9"/>
  <c r="F9" i="8" s="1"/>
  <c r="D9" i="9"/>
  <c r="D10" i="9" s="1"/>
  <c r="U95" i="98" s="1"/>
  <c r="C34" i="27"/>
  <c r="C44" i="27" s="1"/>
  <c r="T65" i="8"/>
  <c r="T83" i="8" s="1"/>
  <c r="F88" i="98"/>
  <c r="T88" i="98" s="1"/>
  <c r="U88" i="98" s="1"/>
  <c r="F71" i="81"/>
  <c r="T71" i="81" s="1"/>
  <c r="U71" i="81" s="1"/>
  <c r="J268" i="1"/>
  <c r="F49" i="60"/>
  <c r="H49" i="60" s="1"/>
  <c r="U65" i="8"/>
  <c r="U83" i="8" s="1"/>
  <c r="F72" i="81"/>
  <c r="T72" i="81" s="1"/>
  <c r="U72" i="81" s="1"/>
  <c r="F65" i="8"/>
  <c r="F83" i="8" s="1"/>
  <c r="F84" i="8" s="1"/>
  <c r="G26" i="3"/>
  <c r="F87" i="98"/>
  <c r="H78" i="1"/>
  <c r="D22" i="9"/>
  <c r="H22" i="9"/>
  <c r="F78" i="8"/>
  <c r="F70" i="8"/>
  <c r="T70" i="8" s="1"/>
  <c r="U70" i="8" s="1"/>
  <c r="U78" i="8"/>
  <c r="F71" i="8"/>
  <c r="T71" i="8" s="1"/>
  <c r="U71" i="8" s="1"/>
  <c r="T78" i="8"/>
  <c r="F51" i="60"/>
  <c r="F64" i="1"/>
  <c r="C17" i="27"/>
  <c r="B40" i="72"/>
  <c r="G39" i="2"/>
  <c r="G124" i="2" s="1"/>
  <c r="F62" i="1"/>
  <c r="C65" i="27"/>
  <c r="C66" i="27" s="1"/>
  <c r="D39" i="23"/>
  <c r="D49" i="23" s="1"/>
  <c r="G28" i="3"/>
  <c r="E31" i="73"/>
  <c r="E32" i="73" s="1"/>
  <c r="E38" i="73" s="1"/>
  <c r="D12" i="9"/>
  <c r="H12" i="9"/>
  <c r="F38" i="1"/>
  <c r="H11" i="9"/>
  <c r="F20" i="1"/>
  <c r="G81" i="5" s="1"/>
  <c r="G126" i="2"/>
  <c r="F21" i="1"/>
  <c r="H12" i="21" s="1"/>
  <c r="I12" i="21" s="1"/>
  <c r="F26" i="8"/>
  <c r="T26" i="8"/>
  <c r="U26" i="8"/>
  <c r="F22" i="1"/>
  <c r="G111" i="2"/>
  <c r="G115" i="2" s="1"/>
  <c r="D267" i="1"/>
  <c r="D247" i="1"/>
  <c r="I31" i="73"/>
  <c r="I32" i="73" s="1"/>
  <c r="I38" i="73" s="1"/>
  <c r="G46" i="1"/>
  <c r="F45" i="60"/>
  <c r="F47" i="60" s="1"/>
  <c r="F47" i="50"/>
  <c r="F37" i="60"/>
  <c r="F39" i="60" s="1"/>
  <c r="F39" i="50"/>
  <c r="F22" i="60"/>
  <c r="F23" i="60" s="1"/>
  <c r="F97" i="60" s="1"/>
  <c r="F23" i="50"/>
  <c r="H37" i="60"/>
  <c r="H39" i="60" s="1"/>
  <c r="H39" i="50"/>
  <c r="H21" i="60"/>
  <c r="H23" i="60" s="1"/>
  <c r="H23" i="50"/>
  <c r="F33" i="60"/>
  <c r="F35" i="60" s="1"/>
  <c r="F35" i="50"/>
  <c r="F25" i="60"/>
  <c r="F27" i="60" s="1"/>
  <c r="F27" i="50"/>
  <c r="F17" i="60"/>
  <c r="F19" i="60" s="1"/>
  <c r="F96" i="60" s="1"/>
  <c r="F19" i="50"/>
  <c r="H41" i="60"/>
  <c r="H43" i="60" s="1"/>
  <c r="H43" i="50"/>
  <c r="H33" i="60"/>
  <c r="H35" i="60" s="1"/>
  <c r="H35" i="50"/>
  <c r="H25" i="60"/>
  <c r="H27" i="60" s="1"/>
  <c r="H27" i="50"/>
  <c r="H17" i="60"/>
  <c r="H19" i="60" s="1"/>
  <c r="H19" i="50"/>
  <c r="H33" i="2"/>
  <c r="I73" i="99"/>
  <c r="H24" i="2"/>
  <c r="G24" i="2"/>
  <c r="C41" i="27"/>
  <c r="C43" i="27" s="1"/>
  <c r="G9" i="21"/>
  <c r="G11" i="21" s="1"/>
  <c r="D41" i="27"/>
  <c r="D70" i="27"/>
  <c r="H9" i="21"/>
  <c r="F9" i="19"/>
  <c r="F11" i="19" s="1"/>
  <c r="C70" i="27"/>
  <c r="G20" i="3"/>
  <c r="U79" i="81"/>
  <c r="E63" i="9"/>
  <c r="J25" i="9"/>
  <c r="F14" i="98"/>
  <c r="F14" i="81"/>
  <c r="J39" i="9"/>
  <c r="B5" i="103"/>
  <c r="C1" i="19"/>
  <c r="C1" i="98"/>
  <c r="C60" i="98" s="1"/>
  <c r="D1" i="60"/>
  <c r="D1" i="2"/>
  <c r="C1" i="81"/>
  <c r="C56" i="81" s="1"/>
  <c r="C1" i="8"/>
  <c r="C56" i="8" s="1"/>
  <c r="G47" i="1"/>
  <c r="F29" i="60"/>
  <c r="F31" i="60" s="1"/>
  <c r="F31" i="50"/>
  <c r="H46" i="60"/>
  <c r="H47" i="60" s="1"/>
  <c r="H47" i="50"/>
  <c r="H30" i="60"/>
  <c r="H31" i="60" s="1"/>
  <c r="H31" i="50"/>
  <c r="G33" i="2"/>
  <c r="G18" i="3"/>
  <c r="F74" i="99"/>
  <c r="G74" i="99" s="1"/>
  <c r="B74" i="99"/>
  <c r="C74" i="99" s="1"/>
  <c r="H74" i="99" s="1"/>
  <c r="A75" i="99"/>
  <c r="B13" i="99"/>
  <c r="C13" i="99" s="1"/>
  <c r="H13" i="99" s="1"/>
  <c r="I13" i="99" s="1"/>
  <c r="A14" i="99"/>
  <c r="F9" i="21"/>
  <c r="F11" i="21" s="1"/>
  <c r="F79" i="81" l="1"/>
  <c r="T95" i="98"/>
  <c r="F95" i="98"/>
  <c r="D43" i="27"/>
  <c r="C38" i="27"/>
  <c r="G16" i="27"/>
  <c r="F109" i="8"/>
  <c r="G15" i="112"/>
  <c r="B15" i="112"/>
  <c r="E15" i="112"/>
  <c r="F15" i="112"/>
  <c r="X36" i="112"/>
  <c r="G34" i="3"/>
  <c r="G40" i="3" s="1"/>
  <c r="G47" i="3" s="1"/>
  <c r="C18" i="27"/>
  <c r="J51" i="18"/>
  <c r="Z38" i="112"/>
  <c r="D4" i="125" s="1"/>
  <c r="F104" i="60"/>
  <c r="G24" i="3" s="1"/>
  <c r="H35" i="2" s="1"/>
  <c r="C15" i="112"/>
  <c r="D15" i="112"/>
  <c r="W78" i="8"/>
  <c r="J32" i="9"/>
  <c r="H32" i="9"/>
  <c r="F11" i="9"/>
  <c r="H33" i="9"/>
  <c r="E12" i="9"/>
  <c r="J12" i="9"/>
  <c r="J11" i="9"/>
  <c r="H38" i="1"/>
  <c r="G38" i="1" s="1"/>
  <c r="J33" i="9"/>
  <c r="F12" i="9"/>
  <c r="E11" i="9"/>
  <c r="F9" i="81" s="1"/>
  <c r="F10" i="98"/>
  <c r="H9" i="108" s="1"/>
  <c r="I9" i="108" s="1"/>
  <c r="G51" i="1"/>
  <c r="I13" i="112"/>
  <c r="H36" i="1" s="1"/>
  <c r="F8" i="8"/>
  <c r="T79" i="81"/>
  <c r="W79" i="81" s="1"/>
  <c r="G37" i="2"/>
  <c r="G122" i="2" s="1"/>
  <c r="G62" i="5"/>
  <c r="F161" i="98"/>
  <c r="I74" i="99"/>
  <c r="F111" i="81"/>
  <c r="D14" i="9"/>
  <c r="D275" i="1" s="1"/>
  <c r="C45" i="27"/>
  <c r="C47" i="27" s="1"/>
  <c r="W83" i="8"/>
  <c r="T87" i="98"/>
  <c r="U87" i="98" s="1"/>
  <c r="F186" i="98"/>
  <c r="G26" i="2"/>
  <c r="G30" i="2" s="1"/>
  <c r="H26" i="2"/>
  <c r="H30" i="2" s="1"/>
  <c r="F12" i="21"/>
  <c r="C13" i="27" s="1"/>
  <c r="G13" i="27" s="1"/>
  <c r="G12" i="21"/>
  <c r="D13" i="27" s="1"/>
  <c r="H13" i="27" s="1"/>
  <c r="F12" i="19"/>
  <c r="F13" i="19" s="1"/>
  <c r="H41" i="2"/>
  <c r="G41" i="2"/>
  <c r="C61" i="27"/>
  <c r="C62" i="27" s="1"/>
  <c r="C68" i="27" s="1"/>
  <c r="D61" i="27"/>
  <c r="D62" i="27" s="1"/>
  <c r="G17" i="27"/>
  <c r="C36" i="27"/>
  <c r="C39" i="27" s="1"/>
  <c r="C51" i="27" s="1"/>
  <c r="H51" i="60"/>
  <c r="H60" i="60"/>
  <c r="H62" i="60" s="1"/>
  <c r="H64" i="60" s="1"/>
  <c r="H66" i="60" s="1"/>
  <c r="F60" i="60"/>
  <c r="F62" i="60" s="1"/>
  <c r="F64" i="60" s="1"/>
  <c r="F66" i="60" s="1"/>
  <c r="E22" i="9"/>
  <c r="J38" i="9"/>
  <c r="F22" i="9"/>
  <c r="J22" i="9"/>
  <c r="H26" i="8"/>
  <c r="L26" i="8"/>
  <c r="I15" i="9"/>
  <c r="G86" i="9"/>
  <c r="F13" i="8"/>
  <c r="I14" i="9"/>
  <c r="G85" i="9"/>
  <c r="B43" i="72"/>
  <c r="B44" i="72"/>
  <c r="G15" i="73"/>
  <c r="G16" i="73" s="1"/>
  <c r="G24" i="73" s="1"/>
  <c r="E20" i="72"/>
  <c r="E22" i="72" s="1"/>
  <c r="E26" i="72" s="1"/>
  <c r="C11" i="91"/>
  <c r="C12" i="91" s="1"/>
  <c r="C20" i="91" s="1"/>
  <c r="G71" i="5" s="1"/>
  <c r="C15" i="73"/>
  <c r="C16" i="73" s="1"/>
  <c r="C24" i="73" s="1"/>
  <c r="E11" i="91"/>
  <c r="E12" i="91" s="1"/>
  <c r="C20" i="72"/>
  <c r="C22" i="72" s="1"/>
  <c r="C26" i="72" s="1"/>
  <c r="C12" i="27"/>
  <c r="I9" i="21"/>
  <c r="I11" i="21" s="1"/>
  <c r="I13" i="21" s="1"/>
  <c r="H11" i="21"/>
  <c r="H13" i="21" s="1"/>
  <c r="H55" i="50"/>
  <c r="F55" i="50"/>
  <c r="A15" i="99"/>
  <c r="B14" i="99"/>
  <c r="C14" i="99" s="1"/>
  <c r="H14" i="99" s="1"/>
  <c r="I14" i="99" s="1"/>
  <c r="A76" i="99"/>
  <c r="F75" i="99"/>
  <c r="G75" i="99" s="1"/>
  <c r="B75" i="99"/>
  <c r="C75" i="99" s="1"/>
  <c r="H75" i="99" s="1"/>
  <c r="J5" i="103"/>
  <c r="F67" i="1" s="1"/>
  <c r="C5" i="103"/>
  <c r="H63" i="1" s="1"/>
  <c r="D5" i="103"/>
  <c r="H60" i="1" s="1"/>
  <c r="N15" i="73"/>
  <c r="N16" i="73" s="1"/>
  <c r="N24" i="73" s="1"/>
  <c r="K15" i="73"/>
  <c r="K16" i="73" s="1"/>
  <c r="K24" i="73" s="1"/>
  <c r="W95" i="98"/>
  <c r="F139" i="98"/>
  <c r="G11" i="91"/>
  <c r="G12" i="91" s="1"/>
  <c r="G20" i="91" s="1"/>
  <c r="M15" i="73"/>
  <c r="M16" i="73" s="1"/>
  <c r="M24" i="73" s="1"/>
  <c r="N11" i="91"/>
  <c r="N12" i="91" s="1"/>
  <c r="N20" i="91" s="1"/>
  <c r="J15" i="73"/>
  <c r="J16" i="73" s="1"/>
  <c r="J24" i="73" s="1"/>
  <c r="P11" i="91"/>
  <c r="P12" i="91" s="1"/>
  <c r="I11" i="91"/>
  <c r="I12" i="91" s="1"/>
  <c r="D12" i="27"/>
  <c r="L58" i="60"/>
  <c r="H58" i="60"/>
  <c r="F58" i="60"/>
  <c r="J58" i="60"/>
  <c r="G18" i="27" l="1"/>
  <c r="G45" i="3"/>
  <c r="G51" i="3" s="1"/>
  <c r="G35" i="2"/>
  <c r="G120" i="2" s="1"/>
  <c r="G136" i="2" s="1"/>
  <c r="G37" i="3"/>
  <c r="F13" i="21"/>
  <c r="F17" i="21" s="1"/>
  <c r="I15" i="112"/>
  <c r="J15" i="112" s="1"/>
  <c r="H14" i="9"/>
  <c r="J15" i="9" s="1"/>
  <c r="F9" i="98"/>
  <c r="H8" i="108" s="1"/>
  <c r="I8" i="108" s="1"/>
  <c r="F17" i="19"/>
  <c r="F15" i="19"/>
  <c r="F11" i="8"/>
  <c r="D273" i="1"/>
  <c r="D71" i="27"/>
  <c r="F9" i="9"/>
  <c r="F10" i="9" s="1"/>
  <c r="J49" i="60"/>
  <c r="L49" i="60" s="1"/>
  <c r="H55" i="1"/>
  <c r="D34" i="27"/>
  <c r="D44" i="27" s="1"/>
  <c r="D45" i="27" s="1"/>
  <c r="G36" i="1"/>
  <c r="E9" i="9"/>
  <c r="E10" i="9" s="1"/>
  <c r="H37" i="2" s="1"/>
  <c r="F69" i="98"/>
  <c r="E34" i="27"/>
  <c r="E44" i="27" s="1"/>
  <c r="F65" i="81"/>
  <c r="F103" i="8"/>
  <c r="D62" i="9"/>
  <c r="D64" i="9" s="1"/>
  <c r="D25" i="9" s="1"/>
  <c r="D274" i="1"/>
  <c r="G13" i="21"/>
  <c r="G15" i="21" s="1"/>
  <c r="F105" i="81"/>
  <c r="C71" i="27"/>
  <c r="C48" i="27"/>
  <c r="C49" i="27" s="1"/>
  <c r="C53" i="27" s="1"/>
  <c r="D15" i="9"/>
  <c r="F162" i="98"/>
  <c r="F163" i="98" s="1"/>
  <c r="F110" i="8"/>
  <c r="F111" i="8" s="1"/>
  <c r="F112" i="81"/>
  <c r="F113" i="81" s="1"/>
  <c r="G132" i="2"/>
  <c r="G140" i="2" s="1"/>
  <c r="G146" i="2" s="1"/>
  <c r="H47" i="2"/>
  <c r="H68" i="60"/>
  <c r="H72" i="60" s="1"/>
  <c r="X71" i="5"/>
  <c r="Q71" i="5"/>
  <c r="H87" i="1"/>
  <c r="H86" i="1"/>
  <c r="H61" i="1"/>
  <c r="K32" i="9" s="1"/>
  <c r="H88" i="1"/>
  <c r="H16" i="108"/>
  <c r="H19" i="108"/>
  <c r="H17" i="108"/>
  <c r="F12" i="98"/>
  <c r="F12" i="81"/>
  <c r="H68" i="1"/>
  <c r="F101" i="1"/>
  <c r="P111" i="9"/>
  <c r="G124" i="99"/>
  <c r="F69" i="50"/>
  <c r="F65" i="50"/>
  <c r="F67" i="50" s="1"/>
  <c r="I15" i="21"/>
  <c r="I17" i="21"/>
  <c r="I75" i="99"/>
  <c r="F68" i="60"/>
  <c r="F72" i="60" s="1"/>
  <c r="G47" i="2"/>
  <c r="D14" i="27"/>
  <c r="H12" i="27"/>
  <c r="H14" i="27" s="1"/>
  <c r="E16" i="27"/>
  <c r="D16" i="27"/>
  <c r="D64" i="27"/>
  <c r="E64" i="27"/>
  <c r="F76" i="99"/>
  <c r="G76" i="99" s="1"/>
  <c r="B76" i="99"/>
  <c r="C76" i="99" s="1"/>
  <c r="H76" i="99" s="1"/>
  <c r="A77" i="99"/>
  <c r="B15" i="99"/>
  <c r="C15" i="99" s="1"/>
  <c r="H15" i="99" s="1"/>
  <c r="I15" i="99" s="1"/>
  <c r="A16" i="99"/>
  <c r="H69" i="50"/>
  <c r="H65" i="50"/>
  <c r="H67" i="50" s="1"/>
  <c r="H15" i="21"/>
  <c r="H17" i="21"/>
  <c r="C14" i="27"/>
  <c r="C20" i="27" s="1"/>
  <c r="G12" i="27"/>
  <c r="G14" i="27" s="1"/>
  <c r="G20" i="27" s="1"/>
  <c r="F15" i="8" l="1"/>
  <c r="G51" i="2"/>
  <c r="G55" i="2" s="1"/>
  <c r="G61" i="2" s="1"/>
  <c r="F155" i="98"/>
  <c r="H19" i="21"/>
  <c r="G67" i="9" s="1"/>
  <c r="G70" i="9" s="1"/>
  <c r="F15" i="21"/>
  <c r="H28" i="9"/>
  <c r="H29" i="9" s="1"/>
  <c r="L30" i="8" s="1"/>
  <c r="I19" i="21"/>
  <c r="H67" i="9" s="1"/>
  <c r="H72" i="9" s="1"/>
  <c r="J59" i="112"/>
  <c r="D3" i="125"/>
  <c r="D13" i="125" s="1"/>
  <c r="H15" i="9"/>
  <c r="E14" i="9"/>
  <c r="F11" i="98" s="1"/>
  <c r="H10" i="108" s="1"/>
  <c r="I10" i="108" s="1"/>
  <c r="F8" i="81"/>
  <c r="F8" i="98"/>
  <c r="U65" i="81"/>
  <c r="U84" i="81" s="1"/>
  <c r="T65" i="81"/>
  <c r="T84" i="81" s="1"/>
  <c r="F84" i="81"/>
  <c r="F85" i="81" s="1"/>
  <c r="U69" i="98"/>
  <c r="U100" i="98" s="1"/>
  <c r="T69" i="98"/>
  <c r="T100" i="98" s="1"/>
  <c r="H50" i="108"/>
  <c r="I50" i="108" s="1"/>
  <c r="F100" i="98"/>
  <c r="F101" i="98" s="1"/>
  <c r="F184" i="98" s="1"/>
  <c r="D268" i="1"/>
  <c r="F247" i="1"/>
  <c r="F267" i="1"/>
  <c r="G55" i="1"/>
  <c r="H6" i="108"/>
  <c r="I6" i="108" s="1"/>
  <c r="K11" i="9"/>
  <c r="K15" i="9" s="1"/>
  <c r="C73" i="27"/>
  <c r="C74" i="27"/>
  <c r="H51" i="2"/>
  <c r="H55" i="2" s="1"/>
  <c r="H59" i="2" s="1"/>
  <c r="G144" i="2"/>
  <c r="G155" i="2" s="1"/>
  <c r="G157" i="2" s="1"/>
  <c r="D28" i="9"/>
  <c r="D29" i="9" s="1"/>
  <c r="B152" i="2"/>
  <c r="B153" i="2" s="1"/>
  <c r="D33" i="9"/>
  <c r="D38" i="9"/>
  <c r="D32" i="9"/>
  <c r="J35" i="9" s="1"/>
  <c r="A17" i="99"/>
  <c r="B16" i="99"/>
  <c r="C16" i="99" s="1"/>
  <c r="H16" i="99" s="1"/>
  <c r="I16" i="99" s="1"/>
  <c r="A78" i="99"/>
  <c r="F77" i="99"/>
  <c r="G77" i="99" s="1"/>
  <c r="B77" i="99"/>
  <c r="C77" i="99" s="1"/>
  <c r="H77" i="99" s="1"/>
  <c r="D73" i="27"/>
  <c r="E35" i="27"/>
  <c r="E38" i="27" s="1"/>
  <c r="I16" i="27"/>
  <c r="I22" i="9"/>
  <c r="I25" i="9" s="1"/>
  <c r="D34" i="9"/>
  <c r="H69" i="1"/>
  <c r="H24" i="108"/>
  <c r="F29" i="98"/>
  <c r="H29" i="98" s="1"/>
  <c r="L29" i="98" s="1"/>
  <c r="T29" i="98"/>
  <c r="U29" i="98"/>
  <c r="U29" i="81"/>
  <c r="F29" i="81"/>
  <c r="T29" i="81"/>
  <c r="F32" i="81"/>
  <c r="T32" i="98"/>
  <c r="U32" i="81"/>
  <c r="F32" i="98"/>
  <c r="H32" i="98" s="1"/>
  <c r="L32" i="98" s="1"/>
  <c r="U32" i="98"/>
  <c r="T32" i="81"/>
  <c r="H38" i="9"/>
  <c r="E34" i="9"/>
  <c r="I38" i="9"/>
  <c r="I76" i="99"/>
  <c r="D35" i="27"/>
  <c r="H16" i="27"/>
  <c r="D30" i="9"/>
  <c r="G90" i="9"/>
  <c r="I11" i="9"/>
  <c r="G125" i="99"/>
  <c r="G127" i="99" s="1"/>
  <c r="H124" i="99"/>
  <c r="H125" i="99" s="1"/>
  <c r="H127" i="99" s="1"/>
  <c r="F26" i="81"/>
  <c r="F26" i="98"/>
  <c r="T26" i="98"/>
  <c r="U26" i="98"/>
  <c r="T26" i="81"/>
  <c r="U26" i="81"/>
  <c r="J51" i="60"/>
  <c r="H62" i="1"/>
  <c r="G17" i="21" s="1"/>
  <c r="E30" i="9" s="1"/>
  <c r="E17" i="27"/>
  <c r="H39" i="2"/>
  <c r="H64" i="1"/>
  <c r="D17" i="27"/>
  <c r="H18" i="108"/>
  <c r="D65" i="27"/>
  <c r="D74" i="27" s="1"/>
  <c r="E65" i="27"/>
  <c r="E66" i="27" s="1"/>
  <c r="K14" i="9"/>
  <c r="F39" i="23"/>
  <c r="K35" i="9"/>
  <c r="K36" i="9"/>
  <c r="X62" i="5"/>
  <c r="I77" i="99" l="1"/>
  <c r="H70" i="9"/>
  <c r="L31" i="8"/>
  <c r="H30" i="8"/>
  <c r="H31" i="8"/>
  <c r="H22" i="8"/>
  <c r="L34" i="8"/>
  <c r="L33" i="8"/>
  <c r="H25" i="8"/>
  <c r="L20" i="8"/>
  <c r="L24" i="8"/>
  <c r="G72" i="9"/>
  <c r="L23" i="8"/>
  <c r="L25" i="8"/>
  <c r="H28" i="8"/>
  <c r="L28" i="8"/>
  <c r="H20" i="8"/>
  <c r="H27" i="8"/>
  <c r="H33" i="8"/>
  <c r="H19" i="8"/>
  <c r="H38" i="8" s="1"/>
  <c r="J235" i="1" s="1"/>
  <c r="L22" i="8"/>
  <c r="H34" i="8"/>
  <c r="L27" i="8"/>
  <c r="H23" i="8"/>
  <c r="L19" i="8"/>
  <c r="L38" i="8" s="1"/>
  <c r="H24" i="8"/>
  <c r="F104" i="8"/>
  <c r="F105" i="8" s="1"/>
  <c r="F116" i="8" s="1"/>
  <c r="F106" i="81"/>
  <c r="F117" i="81" s="1"/>
  <c r="F156" i="98"/>
  <c r="F167" i="98" s="1"/>
  <c r="H90" i="9"/>
  <c r="G59" i="2"/>
  <c r="F274" i="1"/>
  <c r="H35" i="9"/>
  <c r="H36" i="9" s="1"/>
  <c r="F275" i="1"/>
  <c r="F11" i="81"/>
  <c r="E62" i="9"/>
  <c r="E64" i="9" s="1"/>
  <c r="F15" i="81" s="1"/>
  <c r="J14" i="9"/>
  <c r="J28" i="9" s="1"/>
  <c r="J29" i="9" s="1"/>
  <c r="L19" i="98" s="1"/>
  <c r="L38" i="98" s="1"/>
  <c r="F273" i="1"/>
  <c r="E15" i="9" s="1"/>
  <c r="E28" i="9"/>
  <c r="E29" i="9" s="1"/>
  <c r="F33" i="81" s="1"/>
  <c r="W100" i="98"/>
  <c r="F14" i="9"/>
  <c r="H7" i="108"/>
  <c r="I7" i="108" s="1"/>
  <c r="W84" i="81"/>
  <c r="C75" i="27"/>
  <c r="C77" i="27" s="1"/>
  <c r="H19" i="81"/>
  <c r="H38" i="81" s="1"/>
  <c r="K12" i="9" s="1"/>
  <c r="H61" i="2"/>
  <c r="H70" i="2" s="1"/>
  <c r="F19" i="8"/>
  <c r="F38" i="8" s="1"/>
  <c r="D31" i="9" s="1"/>
  <c r="M70" i="9" s="1"/>
  <c r="E70" i="9" s="1"/>
  <c r="F24" i="8"/>
  <c r="F34" i="8"/>
  <c r="F28" i="8"/>
  <c r="T22" i="8"/>
  <c r="T28" i="8"/>
  <c r="T33" i="8"/>
  <c r="U22" i="8"/>
  <c r="U28" i="8"/>
  <c r="U33" i="8"/>
  <c r="F27" i="8"/>
  <c r="F33" i="8"/>
  <c r="T23" i="8"/>
  <c r="T27" i="8"/>
  <c r="T34" i="8"/>
  <c r="U23" i="8"/>
  <c r="U27" i="8"/>
  <c r="U34" i="8"/>
  <c r="F22" i="8"/>
  <c r="F31" i="8"/>
  <c r="F25" i="8"/>
  <c r="T19" i="8"/>
  <c r="T38" i="8" s="1"/>
  <c r="AA38" i="8" s="1"/>
  <c r="T24" i="8"/>
  <c r="T30" i="8"/>
  <c r="U19" i="8"/>
  <c r="U38" i="8" s="1"/>
  <c r="L236" i="1" s="1"/>
  <c r="U24" i="8"/>
  <c r="U30" i="8"/>
  <c r="F23" i="8"/>
  <c r="F30" i="8"/>
  <c r="T20" i="8"/>
  <c r="T25" i="8"/>
  <c r="T31" i="8"/>
  <c r="U20" i="8"/>
  <c r="U25" i="8"/>
  <c r="U31" i="8"/>
  <c r="F20" i="8"/>
  <c r="I32" i="9"/>
  <c r="I39" i="9"/>
  <c r="F128" i="81"/>
  <c r="D36" i="27"/>
  <c r="D39" i="27" s="1"/>
  <c r="H17" i="27"/>
  <c r="H18" i="27" s="1"/>
  <c r="H20" i="27" s="1"/>
  <c r="E36" i="27"/>
  <c r="E39" i="27" s="1"/>
  <c r="E51" i="27" s="1"/>
  <c r="I17" i="27"/>
  <c r="I18" i="27" s="1"/>
  <c r="L51" i="60"/>
  <c r="L60" i="60" s="1"/>
  <c r="L62" i="60" s="1"/>
  <c r="L64" i="60" s="1"/>
  <c r="L66" i="60" s="1"/>
  <c r="L68" i="60" s="1"/>
  <c r="L72" i="60" s="1"/>
  <c r="J60" i="60"/>
  <c r="J62" i="60" s="1"/>
  <c r="J64" i="60" s="1"/>
  <c r="J66" i="60" s="1"/>
  <c r="J68" i="60" s="1"/>
  <c r="L26" i="81"/>
  <c r="H26" i="81"/>
  <c r="L32" i="81"/>
  <c r="H32" i="81"/>
  <c r="L29" i="81"/>
  <c r="H29" i="81"/>
  <c r="W44" i="9"/>
  <c r="W45" i="9"/>
  <c r="E113" i="9"/>
  <c r="H101" i="1"/>
  <c r="H23" i="108"/>
  <c r="K34" i="91"/>
  <c r="G32" i="9"/>
  <c r="G33" i="9" s="1"/>
  <c r="K32" i="91"/>
  <c r="G70" i="2"/>
  <c r="F73" i="1"/>
  <c r="F158" i="98"/>
  <c r="F170" i="98" s="1"/>
  <c r="F106" i="8"/>
  <c r="F118" i="8" s="1"/>
  <c r="F108" i="81"/>
  <c r="F120" i="81" s="1"/>
  <c r="F78" i="99"/>
  <c r="G78" i="99" s="1"/>
  <c r="B78" i="99"/>
  <c r="C78" i="99" s="1"/>
  <c r="H78" i="99" s="1"/>
  <c r="A79" i="99"/>
  <c r="B17" i="99"/>
  <c r="C17" i="99" s="1"/>
  <c r="H17" i="99" s="1"/>
  <c r="I17" i="99" s="1"/>
  <c r="A18" i="99"/>
  <c r="D18" i="27"/>
  <c r="D20" i="27" s="1"/>
  <c r="D75" i="27"/>
  <c r="X81" i="5"/>
  <c r="F49" i="23"/>
  <c r="F13" i="98"/>
  <c r="F13" i="81"/>
  <c r="I35" i="9"/>
  <c r="H86" i="9"/>
  <c r="I36" i="9"/>
  <c r="H85" i="9"/>
  <c r="Y43" i="98"/>
  <c r="L26" i="98"/>
  <c r="H26" i="98"/>
  <c r="F236" i="1"/>
  <c r="I12" i="9"/>
  <c r="F126" i="8"/>
  <c r="D38" i="27"/>
  <c r="D47" i="27"/>
  <c r="F115" i="8"/>
  <c r="E18" i="27"/>
  <c r="D66" i="27"/>
  <c r="D68" i="27" s="1"/>
  <c r="F157" i="98" l="1"/>
  <c r="F168" i="98" s="1"/>
  <c r="F107" i="81"/>
  <c r="F118" i="81" s="1"/>
  <c r="G69" i="9"/>
  <c r="D48" i="27"/>
  <c r="D49" i="27" s="1"/>
  <c r="T34" i="81"/>
  <c r="U20" i="81"/>
  <c r="U31" i="81"/>
  <c r="T22" i="81"/>
  <c r="U25" i="81"/>
  <c r="F24" i="81"/>
  <c r="F30" i="81"/>
  <c r="H27" i="98"/>
  <c r="T24" i="81"/>
  <c r="T31" i="81"/>
  <c r="F31" i="81"/>
  <c r="T23" i="81"/>
  <c r="U30" i="81"/>
  <c r="T28" i="81"/>
  <c r="F28" i="81"/>
  <c r="H25" i="98"/>
  <c r="L19" i="81"/>
  <c r="L38" i="81" s="1"/>
  <c r="F240" i="1" s="1"/>
  <c r="H28" i="81"/>
  <c r="J36" i="9"/>
  <c r="J40" i="9" s="1"/>
  <c r="H20" i="81"/>
  <c r="L33" i="81"/>
  <c r="H24" i="81"/>
  <c r="L34" i="81"/>
  <c r="L24" i="98"/>
  <c r="H27" i="81"/>
  <c r="L31" i="98"/>
  <c r="F25" i="81"/>
  <c r="U28" i="81"/>
  <c r="U27" i="81"/>
  <c r="F27" i="81"/>
  <c r="F15" i="98"/>
  <c r="H39" i="9"/>
  <c r="H40" i="9" s="1"/>
  <c r="L20" i="98"/>
  <c r="H23" i="98"/>
  <c r="L25" i="98"/>
  <c r="L23" i="81"/>
  <c r="H31" i="98"/>
  <c r="H34" i="81"/>
  <c r="H30" i="98"/>
  <c r="H30" i="81"/>
  <c r="L31" i="81"/>
  <c r="L30" i="81"/>
  <c r="L33" i="98"/>
  <c r="L28" i="98"/>
  <c r="H20" i="98"/>
  <c r="H23" i="81"/>
  <c r="H24" i="98"/>
  <c r="H25" i="81"/>
  <c r="H31" i="81"/>
  <c r="H19" i="98"/>
  <c r="H38" i="98" s="1"/>
  <c r="H33" i="98"/>
  <c r="H33" i="81"/>
  <c r="L27" i="81"/>
  <c r="L28" i="81"/>
  <c r="L30" i="98"/>
  <c r="L27" i="98"/>
  <c r="L20" i="81"/>
  <c r="L23" i="98"/>
  <c r="L24" i="81"/>
  <c r="L25" i="81"/>
  <c r="H28" i="98"/>
  <c r="H22" i="98"/>
  <c r="H22" i="81"/>
  <c r="H34" i="98"/>
  <c r="L22" i="98"/>
  <c r="L22" i="81"/>
  <c r="L34" i="98"/>
  <c r="F20" i="81"/>
  <c r="U24" i="81"/>
  <c r="T33" i="81"/>
  <c r="F23" i="81"/>
  <c r="F22" i="81"/>
  <c r="U22" i="81"/>
  <c r="T27" i="81"/>
  <c r="T19" i="81"/>
  <c r="T38" i="81" s="1"/>
  <c r="AA38" i="81" s="1"/>
  <c r="F19" i="81"/>
  <c r="F38" i="81" s="1"/>
  <c r="H69" i="9" s="1"/>
  <c r="T20" i="81"/>
  <c r="T25" i="81"/>
  <c r="U23" i="81"/>
  <c r="U33" i="81"/>
  <c r="U19" i="81"/>
  <c r="U38" i="81" s="1"/>
  <c r="L240" i="1" s="1"/>
  <c r="U34" i="81"/>
  <c r="T30" i="81"/>
  <c r="F34" i="81"/>
  <c r="H236" i="1"/>
  <c r="H238" i="1" s="1"/>
  <c r="F28" i="9"/>
  <c r="F15" i="9"/>
  <c r="F27" i="9" s="1"/>
  <c r="G84" i="9"/>
  <c r="J239" i="1"/>
  <c r="J241" i="1" s="1"/>
  <c r="B76" i="60"/>
  <c r="B77" i="60" s="1"/>
  <c r="F79" i="60"/>
  <c r="F63" i="8" s="1"/>
  <c r="F87" i="8" s="1"/>
  <c r="L238" i="1"/>
  <c r="L237" i="1"/>
  <c r="J237" i="1"/>
  <c r="J236" i="1"/>
  <c r="F238" i="1"/>
  <c r="F237" i="1"/>
  <c r="AB38" i="8"/>
  <c r="D236" i="1"/>
  <c r="H42" i="8"/>
  <c r="E28" i="72"/>
  <c r="E30" i="72" s="1"/>
  <c r="L42" i="8"/>
  <c r="I42" i="8"/>
  <c r="E6" i="74"/>
  <c r="T48" i="8"/>
  <c r="T79" i="8" s="1"/>
  <c r="T90" i="8" s="1"/>
  <c r="U48" i="8"/>
  <c r="U79" i="8" s="1"/>
  <c r="U90" i="8" s="1"/>
  <c r="F44" i="8"/>
  <c r="E79" i="9"/>
  <c r="D36" i="23"/>
  <c r="D46" i="23" s="1"/>
  <c r="E12" i="23"/>
  <c r="C28" i="72"/>
  <c r="C30" i="72" s="1"/>
  <c r="E13" i="23"/>
  <c r="F128" i="8"/>
  <c r="G72" i="2"/>
  <c r="F159" i="98"/>
  <c r="F169" i="98" s="1"/>
  <c r="F109" i="81"/>
  <c r="F119" i="81" s="1"/>
  <c r="F107" i="8"/>
  <c r="F117" i="8" s="1"/>
  <c r="F77" i="98"/>
  <c r="F187" i="98"/>
  <c r="F49" i="9"/>
  <c r="F46" i="9"/>
  <c r="W40" i="9"/>
  <c r="X44" i="9" s="1"/>
  <c r="F48" i="9" s="1"/>
  <c r="F32" i="9"/>
  <c r="E33" i="9"/>
  <c r="E38" i="9"/>
  <c r="E32" i="9"/>
  <c r="D51" i="27"/>
  <c r="H240" i="1"/>
  <c r="A19" i="99"/>
  <c r="B18" i="99"/>
  <c r="C18" i="99" s="1"/>
  <c r="H18" i="99" s="1"/>
  <c r="I18" i="99" s="1"/>
  <c r="A80" i="99"/>
  <c r="F79" i="99"/>
  <c r="G79" i="99" s="1"/>
  <c r="B79" i="99"/>
  <c r="C79" i="99" s="1"/>
  <c r="H79" i="99" s="1"/>
  <c r="J72" i="60"/>
  <c r="D77" i="27"/>
  <c r="I78" i="99"/>
  <c r="D53" i="27" l="1"/>
  <c r="H237" i="1"/>
  <c r="T39" i="8" s="1"/>
  <c r="T40" i="8" s="1"/>
  <c r="H84" i="9"/>
  <c r="K33" i="9"/>
  <c r="E31" i="9"/>
  <c r="M42" i="81" s="1"/>
  <c r="K17" i="5" s="1"/>
  <c r="A236" i="1"/>
  <c r="A238" i="1" s="1"/>
  <c r="F29" i="9"/>
  <c r="F19" i="98" s="1"/>
  <c r="E19" i="98" s="1"/>
  <c r="H33" i="108" s="1"/>
  <c r="I33" i="108" s="1"/>
  <c r="J240" i="1"/>
  <c r="H39" i="98" s="1"/>
  <c r="H40" i="98" s="1"/>
  <c r="L39" i="8"/>
  <c r="L40" i="8" s="1"/>
  <c r="G16" i="5" s="1"/>
  <c r="H39" i="8"/>
  <c r="H40" i="8" s="1"/>
  <c r="H16" i="5" s="1"/>
  <c r="U39" i="8"/>
  <c r="U40" i="8" s="1"/>
  <c r="H11" i="5" s="1"/>
  <c r="H242" i="1"/>
  <c r="H241" i="1"/>
  <c r="L242" i="1"/>
  <c r="L241" i="1"/>
  <c r="F242" i="1"/>
  <c r="F241" i="1"/>
  <c r="D238" i="1"/>
  <c r="D237" i="1"/>
  <c r="F55" i="9"/>
  <c r="E42" i="27"/>
  <c r="H73" i="1"/>
  <c r="F80" i="99"/>
  <c r="G80" i="99" s="1"/>
  <c r="B80" i="99"/>
  <c r="C80" i="99" s="1"/>
  <c r="H80" i="99" s="1"/>
  <c r="A81" i="99"/>
  <c r="B19" i="99"/>
  <c r="C19" i="99" s="1"/>
  <c r="H19" i="99" s="1"/>
  <c r="I19" i="99" s="1"/>
  <c r="A20" i="99"/>
  <c r="F34" i="9"/>
  <c r="H45" i="9" s="1"/>
  <c r="E14" i="27"/>
  <c r="E71" i="27"/>
  <c r="G68" i="5"/>
  <c r="G66" i="18"/>
  <c r="C17" i="91"/>
  <c r="E17" i="91"/>
  <c r="E26" i="91" s="1"/>
  <c r="E59" i="91"/>
  <c r="G49" i="5"/>
  <c r="G70" i="18"/>
  <c r="C21" i="73"/>
  <c r="G21" i="73" s="1"/>
  <c r="C12" i="73"/>
  <c r="G12" i="73" s="1"/>
  <c r="C8" i="91"/>
  <c r="E8" i="91"/>
  <c r="I25" i="73"/>
  <c r="E25" i="73"/>
  <c r="G25" i="73"/>
  <c r="G26" i="73" s="1"/>
  <c r="G27" i="73" s="1"/>
  <c r="C21" i="91"/>
  <c r="C25" i="73"/>
  <c r="C26" i="73" s="1"/>
  <c r="C27" i="73" s="1"/>
  <c r="C30" i="73" s="1"/>
  <c r="C31" i="73" s="1"/>
  <c r="C32" i="73" s="1"/>
  <c r="C38" i="73" s="1"/>
  <c r="C41" i="73" s="1"/>
  <c r="G17" i="5"/>
  <c r="H17" i="5"/>
  <c r="AB38" i="81"/>
  <c r="D240" i="1"/>
  <c r="E14" i="23"/>
  <c r="F42" i="9"/>
  <c r="F47" i="9" s="1"/>
  <c r="W41" i="9"/>
  <c r="H60" i="108"/>
  <c r="F118" i="98"/>
  <c r="T66" i="98"/>
  <c r="T105" i="98" s="1"/>
  <c r="U62" i="8"/>
  <c r="U86" i="8" s="1"/>
  <c r="T62" i="81"/>
  <c r="T87" i="81" s="1"/>
  <c r="U62" i="81"/>
  <c r="U87" i="81" s="1"/>
  <c r="U66" i="98"/>
  <c r="U105" i="98" s="1"/>
  <c r="T62" i="8"/>
  <c r="T86" i="8" s="1"/>
  <c r="F62" i="8"/>
  <c r="F86" i="8" s="1"/>
  <c r="F88" i="8" s="1"/>
  <c r="G12" i="5"/>
  <c r="H12" i="5"/>
  <c r="C236" i="1"/>
  <c r="I79" i="99"/>
  <c r="X45" i="9"/>
  <c r="W86" i="8" l="1"/>
  <c r="F39" i="8"/>
  <c r="G30" i="73"/>
  <c r="G31" i="73" s="1"/>
  <c r="G32" i="73" s="1"/>
  <c r="G38" i="73" s="1"/>
  <c r="C40" i="73" s="1"/>
  <c r="G18" i="5"/>
  <c r="A237" i="1"/>
  <c r="F39" i="81" s="1"/>
  <c r="E35" i="9" s="1"/>
  <c r="I16" i="23" s="1"/>
  <c r="F36" i="23"/>
  <c r="F46" i="23" s="1"/>
  <c r="T48" i="81"/>
  <c r="T80" i="81" s="1"/>
  <c r="T91" i="81" s="1"/>
  <c r="I33" i="9"/>
  <c r="U48" i="81"/>
  <c r="U80" i="81" s="1"/>
  <c r="U91" i="81" s="1"/>
  <c r="M129" i="9"/>
  <c r="E127" i="9" s="1"/>
  <c r="I42" i="98"/>
  <c r="I42" i="81"/>
  <c r="K12" i="5" s="1"/>
  <c r="M86" i="9"/>
  <c r="E130" i="9"/>
  <c r="E81" i="9"/>
  <c r="F130" i="81"/>
  <c r="F44" i="81"/>
  <c r="U30" i="98"/>
  <c r="F25" i="98"/>
  <c r="T34" i="98"/>
  <c r="F23" i="98"/>
  <c r="F34" i="98"/>
  <c r="E34" i="98" s="1"/>
  <c r="H39" i="108" s="1"/>
  <c r="I39" i="108" s="1"/>
  <c r="U25" i="98"/>
  <c r="U22" i="98"/>
  <c r="F20" i="98"/>
  <c r="F30" i="98"/>
  <c r="F28" i="98"/>
  <c r="E28" i="98" s="1"/>
  <c r="H36" i="108" s="1"/>
  <c r="I36" i="108" s="1"/>
  <c r="T19" i="98"/>
  <c r="U27" i="98"/>
  <c r="T23" i="98"/>
  <c r="T22" i="98"/>
  <c r="T33" i="98"/>
  <c r="T27" i="98"/>
  <c r="T30" i="98"/>
  <c r="U34" i="98"/>
  <c r="U24" i="98"/>
  <c r="U23" i="98"/>
  <c r="U28" i="98"/>
  <c r="F31" i="98"/>
  <c r="T24" i="98"/>
  <c r="T20" i="98"/>
  <c r="T28" i="98"/>
  <c r="T31" i="98"/>
  <c r="T25" i="98"/>
  <c r="U19" i="98"/>
  <c r="U31" i="98"/>
  <c r="F27" i="98"/>
  <c r="E27" i="98" s="1"/>
  <c r="H35" i="108" s="1"/>
  <c r="I35" i="108" s="1"/>
  <c r="F24" i="98"/>
  <c r="U33" i="98"/>
  <c r="U20" i="98"/>
  <c r="F22" i="98"/>
  <c r="F33" i="98"/>
  <c r="E33" i="98" s="1"/>
  <c r="H38" i="108" s="1"/>
  <c r="I38" i="108" s="1"/>
  <c r="H39" i="81"/>
  <c r="H40" i="81" s="1"/>
  <c r="H13" i="5"/>
  <c r="H18" i="5"/>
  <c r="H72" i="2"/>
  <c r="F62" i="81" s="1"/>
  <c r="F87" i="81" s="1"/>
  <c r="J79" i="60"/>
  <c r="L39" i="81"/>
  <c r="L40" i="81" s="1"/>
  <c r="K16" i="5" s="1"/>
  <c r="K18" i="5" s="1"/>
  <c r="U39" i="81"/>
  <c r="U40" i="81" s="1"/>
  <c r="L39" i="98"/>
  <c r="L40" i="98" s="1"/>
  <c r="L16" i="5" s="1"/>
  <c r="AA39" i="8"/>
  <c r="G73" i="18"/>
  <c r="G74" i="18" s="1"/>
  <c r="G75" i="18" s="1"/>
  <c r="G78" i="18" s="1"/>
  <c r="I14" i="18" s="1"/>
  <c r="H29" i="108"/>
  <c r="I48" i="9"/>
  <c r="Y49" i="98" s="1"/>
  <c r="W87" i="81"/>
  <c r="C238" i="1"/>
  <c r="C237" i="1"/>
  <c r="D242" i="1"/>
  <c r="D241" i="1"/>
  <c r="E128" i="9"/>
  <c r="Q62" i="5"/>
  <c r="F43" i="9"/>
  <c r="W42" i="9"/>
  <c r="C240" i="1"/>
  <c r="G86" i="5"/>
  <c r="G53" i="5" s="1"/>
  <c r="C22" i="91"/>
  <c r="G72" i="5"/>
  <c r="G73" i="5" s="1"/>
  <c r="G76" i="5" s="1"/>
  <c r="G77" i="5" s="1"/>
  <c r="G78" i="5" s="1"/>
  <c r="G82" i="5" s="1"/>
  <c r="G22" i="5" s="1"/>
  <c r="E20" i="27"/>
  <c r="I14" i="27"/>
  <c r="I20" i="27" s="1"/>
  <c r="E41" i="27"/>
  <c r="E43" i="27" s="1"/>
  <c r="E45" i="27" s="1"/>
  <c r="H26" i="108"/>
  <c r="E62" i="27"/>
  <c r="E68" i="27" s="1"/>
  <c r="B67" i="2"/>
  <c r="B68" i="2" s="1"/>
  <c r="F50" i="9"/>
  <c r="I51" i="9" s="1"/>
  <c r="E27" i="91"/>
  <c r="E29" i="91"/>
  <c r="E73" i="27"/>
  <c r="E74" i="27"/>
  <c r="A21" i="99"/>
  <c r="B20" i="99"/>
  <c r="C20" i="99" s="1"/>
  <c r="H20" i="99" s="1"/>
  <c r="I20" i="99" s="1"/>
  <c r="A82" i="99"/>
  <c r="F81" i="99"/>
  <c r="G81" i="99" s="1"/>
  <c r="B81" i="99"/>
  <c r="C81" i="99" s="1"/>
  <c r="H81" i="99" s="1"/>
  <c r="W105" i="98"/>
  <c r="C42" i="73"/>
  <c r="W92" i="8" s="1"/>
  <c r="I80" i="99"/>
  <c r="T39" i="81" l="1"/>
  <c r="T40" i="81" s="1"/>
  <c r="D35" i="9"/>
  <c r="G87" i="9"/>
  <c r="G88" i="9" s="1"/>
  <c r="R42" i="8" s="1"/>
  <c r="C23" i="27" s="1"/>
  <c r="F40" i="8"/>
  <c r="F38" i="98"/>
  <c r="F31" i="9" s="1"/>
  <c r="F6" i="74" s="1"/>
  <c r="U38" i="98"/>
  <c r="J243" i="1" s="1"/>
  <c r="J245" i="1" s="1"/>
  <c r="T38" i="98"/>
  <c r="AA38" i="98" s="1"/>
  <c r="AB38" i="98" s="1"/>
  <c r="C245" i="1" s="1"/>
  <c r="J60" i="112"/>
  <c r="J61" i="112" s="1"/>
  <c r="E30" i="98"/>
  <c r="H37" i="108" s="1"/>
  <c r="I37" i="108" s="1"/>
  <c r="E20" i="98"/>
  <c r="H34" i="108" s="1"/>
  <c r="I34" i="108" s="1"/>
  <c r="H20" i="5"/>
  <c r="H26" i="5" s="1"/>
  <c r="H28" i="5" s="1"/>
  <c r="H30" i="5" s="1"/>
  <c r="K38" i="9"/>
  <c r="K39" i="9" s="1"/>
  <c r="H87" i="9"/>
  <c r="H88" i="9" s="1"/>
  <c r="R42" i="81" s="1"/>
  <c r="F40" i="81"/>
  <c r="E85" i="9" s="1"/>
  <c r="E94" i="9" s="1"/>
  <c r="F66" i="98"/>
  <c r="H51" i="108" s="1"/>
  <c r="I51" i="108" s="1"/>
  <c r="F67" i="98"/>
  <c r="F63" i="81"/>
  <c r="F88" i="81" s="1"/>
  <c r="F89" i="81" s="1"/>
  <c r="G73" i="9"/>
  <c r="AA40" i="8"/>
  <c r="E36" i="9"/>
  <c r="T42" i="81" s="1"/>
  <c r="I9" i="23"/>
  <c r="C242" i="1"/>
  <c r="C241" i="1"/>
  <c r="E75" i="27"/>
  <c r="E77" i="27" s="1"/>
  <c r="AA39" i="81"/>
  <c r="AB39" i="8"/>
  <c r="AB40" i="8" s="1"/>
  <c r="G33" i="91"/>
  <c r="Z34" i="91"/>
  <c r="G54" i="5"/>
  <c r="G57" i="5" s="1"/>
  <c r="G58" i="5" s="1"/>
  <c r="G59" i="5" s="1"/>
  <c r="D37" i="23"/>
  <c r="D40" i="23" s="1"/>
  <c r="D41" i="23" s="1"/>
  <c r="D43" i="23" s="1"/>
  <c r="X43" i="9"/>
  <c r="F45" i="9" s="1"/>
  <c r="F44" i="9"/>
  <c r="Q81" i="5"/>
  <c r="I81" i="99"/>
  <c r="F82" i="99"/>
  <c r="G82" i="99" s="1"/>
  <c r="B82" i="99"/>
  <c r="C82" i="99" s="1"/>
  <c r="H82" i="99" s="1"/>
  <c r="A83" i="99"/>
  <c r="B21" i="99"/>
  <c r="C21" i="99" s="1"/>
  <c r="H21" i="99" s="1"/>
  <c r="I21" i="99" s="1"/>
  <c r="A22" i="99"/>
  <c r="E36" i="91"/>
  <c r="E28" i="91"/>
  <c r="E35" i="91" s="1"/>
  <c r="E58" i="91" s="1"/>
  <c r="E44" i="91" s="1"/>
  <c r="E47" i="27"/>
  <c r="E48" i="27" s="1"/>
  <c r="E49" i="27" s="1"/>
  <c r="E53" i="27" s="1"/>
  <c r="C23" i="91"/>
  <c r="C26" i="91" s="1"/>
  <c r="D47" i="23"/>
  <c r="D50" i="23" s="1"/>
  <c r="D51" i="23" s="1"/>
  <c r="D53" i="23" s="1"/>
  <c r="H23" i="23" s="1"/>
  <c r="U15" i="18" s="1"/>
  <c r="Y42" i="98"/>
  <c r="Y44" i="98" s="1"/>
  <c r="Y45" i="98" s="1"/>
  <c r="Y46" i="98" s="1"/>
  <c r="Y47" i="98" s="1"/>
  <c r="H102" i="1"/>
  <c r="M35" i="73" s="1"/>
  <c r="H27" i="108"/>
  <c r="H25" i="108" s="1"/>
  <c r="Z31" i="91"/>
  <c r="V32" i="91" s="1"/>
  <c r="E157" i="9"/>
  <c r="K31" i="91"/>
  <c r="G32" i="91" s="1"/>
  <c r="F188" i="98"/>
  <c r="E106" i="9"/>
  <c r="F199" i="98"/>
  <c r="E141" i="9"/>
  <c r="L141" i="9"/>
  <c r="L142" i="9" s="1"/>
  <c r="D23" i="27" l="1"/>
  <c r="H42" i="98"/>
  <c r="L17" i="5" s="1"/>
  <c r="L18" i="5" s="1"/>
  <c r="D36" i="9"/>
  <c r="F42" i="8" s="1"/>
  <c r="H9" i="23"/>
  <c r="H16" i="23"/>
  <c r="G11" i="5"/>
  <c r="G13" i="5" s="1"/>
  <c r="G20" i="5" s="1"/>
  <c r="F124" i="8"/>
  <c r="E69" i="9"/>
  <c r="J244" i="1"/>
  <c r="M140" i="9"/>
  <c r="L244" i="1"/>
  <c r="L245" i="1" s="1"/>
  <c r="M42" i="98"/>
  <c r="L12" i="5" s="1"/>
  <c r="F47" i="98"/>
  <c r="M142" i="9"/>
  <c r="T43" i="98"/>
  <c r="U47" i="98"/>
  <c r="U51" i="98" s="1"/>
  <c r="U96" i="98" s="1"/>
  <c r="U109" i="98" s="1"/>
  <c r="AA43" i="98"/>
  <c r="AB43" i="98"/>
  <c r="F201" i="98"/>
  <c r="E143" i="9"/>
  <c r="E159" i="9" s="1"/>
  <c r="F43" i="98"/>
  <c r="H48" i="108" s="1"/>
  <c r="I48" i="108" s="1"/>
  <c r="A241" i="1"/>
  <c r="A242" i="1" s="1"/>
  <c r="M141" i="9"/>
  <c r="U43" i="98"/>
  <c r="L42" i="98"/>
  <c r="T47" i="98"/>
  <c r="T51" i="98" s="1"/>
  <c r="T96" i="98" s="1"/>
  <c r="T109" i="98" s="1"/>
  <c r="A245" i="1"/>
  <c r="A247" i="1" s="1"/>
  <c r="H43" i="108"/>
  <c r="K11" i="18"/>
  <c r="K11" i="5"/>
  <c r="K13" i="5" s="1"/>
  <c r="K20" i="5" s="1"/>
  <c r="E126" i="9"/>
  <c r="E129" i="9" s="1"/>
  <c r="E131" i="9" s="1"/>
  <c r="E133" i="9" s="1"/>
  <c r="E135" i="9" s="1"/>
  <c r="E91" i="9" s="1"/>
  <c r="F126" i="81"/>
  <c r="F105" i="98"/>
  <c r="G42" i="81"/>
  <c r="I20" i="23" s="1"/>
  <c r="H42" i="81"/>
  <c r="F42" i="81"/>
  <c r="I19" i="23" s="1"/>
  <c r="H52" i="108"/>
  <c r="I52" i="108" s="1"/>
  <c r="F106" i="98"/>
  <c r="G76" i="9"/>
  <c r="AB42" i="8" s="1"/>
  <c r="G22" i="27" s="1"/>
  <c r="G74" i="9"/>
  <c r="K10" i="18"/>
  <c r="U42" i="81"/>
  <c r="H23" i="27" s="1"/>
  <c r="L42" i="81"/>
  <c r="C247" i="1"/>
  <c r="C246" i="1"/>
  <c r="H73" i="9"/>
  <c r="AA40" i="81"/>
  <c r="AB39" i="81"/>
  <c r="AB40" i="81" s="1"/>
  <c r="Q68" i="5"/>
  <c r="N17" i="91"/>
  <c r="L66" i="18"/>
  <c r="Q49" i="5"/>
  <c r="X68" i="5"/>
  <c r="P66" i="18"/>
  <c r="M21" i="73"/>
  <c r="N21" i="73" s="1"/>
  <c r="X49" i="5"/>
  <c r="J21" i="73"/>
  <c r="K21" i="73" s="1"/>
  <c r="N8" i="91"/>
  <c r="V17" i="91"/>
  <c r="M12" i="73"/>
  <c r="N12" i="73" s="1"/>
  <c r="P17" i="91"/>
  <c r="P26" i="91" s="1"/>
  <c r="P59" i="91"/>
  <c r="G8" i="91"/>
  <c r="I17" i="91"/>
  <c r="I26" i="91" s="1"/>
  <c r="X59" i="91"/>
  <c r="G17" i="91"/>
  <c r="I59" i="91"/>
  <c r="X17" i="91"/>
  <c r="X26" i="91" s="1"/>
  <c r="P8" i="91"/>
  <c r="I8" i="91"/>
  <c r="J12" i="73"/>
  <c r="K12" i="73" s="1"/>
  <c r="P70" i="18"/>
  <c r="L70" i="18"/>
  <c r="G21" i="91"/>
  <c r="N21" i="91"/>
  <c r="N22" i="91" s="1"/>
  <c r="N23" i="91" s="1"/>
  <c r="K25" i="73"/>
  <c r="K26" i="73" s="1"/>
  <c r="K27" i="73" s="1"/>
  <c r="M25" i="73"/>
  <c r="M26" i="73" s="1"/>
  <c r="M27" i="73" s="1"/>
  <c r="J25" i="73"/>
  <c r="J26" i="73" s="1"/>
  <c r="J27" i="73" s="1"/>
  <c r="N25" i="73"/>
  <c r="N26" i="73" s="1"/>
  <c r="N27" i="73" s="1"/>
  <c r="N30" i="73" s="1"/>
  <c r="N31" i="73" s="1"/>
  <c r="N32" i="73" s="1"/>
  <c r="Y48" i="98"/>
  <c r="I52" i="9"/>
  <c r="C27" i="91"/>
  <c r="C29" i="91"/>
  <c r="E40" i="91"/>
  <c r="E41" i="91" s="1"/>
  <c r="E47" i="91" s="1"/>
  <c r="E37" i="91"/>
  <c r="F54" i="9"/>
  <c r="F51" i="9"/>
  <c r="I53" i="9"/>
  <c r="G95" i="5"/>
  <c r="G63" i="5"/>
  <c r="G23" i="5" s="1"/>
  <c r="G24" i="5" s="1"/>
  <c r="G26" i="5" s="1"/>
  <c r="G28" i="5" s="1"/>
  <c r="G30" i="5" s="1"/>
  <c r="F67" i="8" s="1"/>
  <c r="M36" i="73"/>
  <c r="N36" i="73" s="1"/>
  <c r="I33" i="91"/>
  <c r="H28" i="108"/>
  <c r="G9" i="100"/>
  <c r="T113" i="9"/>
  <c r="I32" i="91"/>
  <c r="G34" i="91"/>
  <c r="X32" i="91"/>
  <c r="N35" i="73"/>
  <c r="A23" i="99"/>
  <c r="B22" i="99"/>
  <c r="C22" i="99" s="1"/>
  <c r="H22" i="99" s="1"/>
  <c r="I22" i="99" s="1"/>
  <c r="A84" i="99"/>
  <c r="F83" i="99"/>
  <c r="G83" i="99" s="1"/>
  <c r="B83" i="99"/>
  <c r="C83" i="99" s="1"/>
  <c r="H83" i="99" s="1"/>
  <c r="H24" i="23"/>
  <c r="U14" i="18" s="1"/>
  <c r="V16" i="18" s="1"/>
  <c r="V18" i="18" s="1"/>
  <c r="V21" i="18" s="1"/>
  <c r="D56" i="23"/>
  <c r="X33" i="91"/>
  <c r="V33" i="91"/>
  <c r="V34" i="91" s="1"/>
  <c r="I82" i="99"/>
  <c r="I11" i="18" l="1"/>
  <c r="U42" i="8"/>
  <c r="G23" i="27" s="1"/>
  <c r="G25" i="27" s="1"/>
  <c r="G27" i="27" s="1"/>
  <c r="T42" i="8"/>
  <c r="G42" i="8"/>
  <c r="H20" i="23" s="1"/>
  <c r="F125" i="8"/>
  <c r="H19" i="23"/>
  <c r="G42" i="98"/>
  <c r="I10" i="18"/>
  <c r="F127" i="8"/>
  <c r="F129" i="8" s="1"/>
  <c r="F133" i="8" s="1"/>
  <c r="L246" i="1"/>
  <c r="U39" i="98" s="1"/>
  <c r="U40" i="98" s="1"/>
  <c r="L12" i="18"/>
  <c r="A246" i="1"/>
  <c r="AA39" i="98" s="1"/>
  <c r="AA40" i="98" s="1"/>
  <c r="A243" i="1"/>
  <c r="T39" i="98" s="1"/>
  <c r="T40" i="98" s="1"/>
  <c r="M37" i="73"/>
  <c r="N37" i="73" s="1"/>
  <c r="N38" i="73" s="1"/>
  <c r="M40" i="73" s="1"/>
  <c r="M30" i="73"/>
  <c r="M31" i="73" s="1"/>
  <c r="M32" i="73" s="1"/>
  <c r="L73" i="18"/>
  <c r="L74" i="18" s="1"/>
  <c r="L75" i="18" s="1"/>
  <c r="L78" i="18" s="1"/>
  <c r="M14" i="18" s="1"/>
  <c r="P73" i="18"/>
  <c r="P74" i="18" s="1"/>
  <c r="P75" i="18" s="1"/>
  <c r="P78" i="18" s="1"/>
  <c r="K14" i="18" s="1"/>
  <c r="E86" i="9"/>
  <c r="L11" i="5"/>
  <c r="L13" i="5" s="1"/>
  <c r="L20" i="5" s="1"/>
  <c r="I21" i="23"/>
  <c r="I28" i="23" s="1"/>
  <c r="I33" i="23" s="1"/>
  <c r="F107" i="98"/>
  <c r="F127" i="81"/>
  <c r="F129" i="81" s="1"/>
  <c r="F131" i="81" s="1"/>
  <c r="F135" i="81" s="1"/>
  <c r="N26" i="91"/>
  <c r="N29" i="91" s="1"/>
  <c r="I83" i="99"/>
  <c r="AA42" i="8"/>
  <c r="C22" i="27" s="1"/>
  <c r="C25" i="27" s="1"/>
  <c r="C27" i="27" s="1"/>
  <c r="C29" i="27" s="1"/>
  <c r="C56" i="27" s="1"/>
  <c r="F68" i="8" s="1"/>
  <c r="J30" i="73"/>
  <c r="J31" i="73" s="1"/>
  <c r="J32" i="73" s="1"/>
  <c r="J38" i="73" s="1"/>
  <c r="J41" i="73" s="1"/>
  <c r="K30" i="73"/>
  <c r="K31" i="73" s="1"/>
  <c r="K32" i="73" s="1"/>
  <c r="K38" i="73" s="1"/>
  <c r="J40" i="73" s="1"/>
  <c r="H74" i="9"/>
  <c r="H76" i="9"/>
  <c r="AB42" i="81" s="1"/>
  <c r="H22" i="27" s="1"/>
  <c r="H25" i="27" s="1"/>
  <c r="H27" i="27" s="1"/>
  <c r="AB39" i="98"/>
  <c r="AB40" i="98" s="1"/>
  <c r="V26" i="18"/>
  <c r="V23" i="18"/>
  <c r="E72" i="9"/>
  <c r="T67" i="8"/>
  <c r="F73" i="8"/>
  <c r="M11" i="18"/>
  <c r="U42" i="98"/>
  <c r="F42" i="98"/>
  <c r="M10" i="18"/>
  <c r="T42" i="98"/>
  <c r="C36" i="91"/>
  <c r="C28" i="91"/>
  <c r="C35" i="91" s="1"/>
  <c r="AA42" i="98"/>
  <c r="AB42" i="98"/>
  <c r="Q72" i="5"/>
  <c r="Q73" i="5" s="1"/>
  <c r="Q76" i="5" s="1"/>
  <c r="Q77" i="5" s="1"/>
  <c r="Q78" i="5" s="1"/>
  <c r="Q82" i="5" s="1"/>
  <c r="L22" i="5" s="1"/>
  <c r="Q86" i="5"/>
  <c r="Q53" i="5" s="1"/>
  <c r="X72" i="5"/>
  <c r="X73" i="5" s="1"/>
  <c r="X76" i="5" s="1"/>
  <c r="X77" i="5" s="1"/>
  <c r="X78" i="5" s="1"/>
  <c r="X82" i="5" s="1"/>
  <c r="K22" i="5" s="1"/>
  <c r="X86" i="5"/>
  <c r="X53" i="5" s="1"/>
  <c r="X54" i="5" s="1"/>
  <c r="X57" i="5" s="1"/>
  <c r="X58" i="5" s="1"/>
  <c r="X59" i="5" s="1"/>
  <c r="X63" i="5" s="1"/>
  <c r="K23" i="5" s="1"/>
  <c r="G22" i="91"/>
  <c r="K24" i="91"/>
  <c r="V22" i="91"/>
  <c r="V23" i="91" s="1"/>
  <c r="V26" i="91" s="1"/>
  <c r="X29" i="91"/>
  <c r="X27" i="91"/>
  <c r="X28" i="91" s="1"/>
  <c r="I29" i="91"/>
  <c r="I27" i="91"/>
  <c r="X34" i="91"/>
  <c r="F84" i="99"/>
  <c r="G84" i="99" s="1"/>
  <c r="B84" i="99"/>
  <c r="C84" i="99" s="1"/>
  <c r="H84" i="99" s="1"/>
  <c r="A85" i="99"/>
  <c r="B23" i="99"/>
  <c r="C23" i="99" s="1"/>
  <c r="H23" i="99" s="1"/>
  <c r="I23" i="99" s="1"/>
  <c r="A24" i="99"/>
  <c r="F56" i="9"/>
  <c r="U44" i="98" s="1"/>
  <c r="M143" i="9"/>
  <c r="M144" i="9" s="1"/>
  <c r="E140" i="9" s="1"/>
  <c r="Y50" i="98"/>
  <c r="AA44" i="98" s="1"/>
  <c r="P29" i="91"/>
  <c r="P27" i="91"/>
  <c r="I34" i="91"/>
  <c r="J12" i="18" l="1"/>
  <c r="H21" i="23"/>
  <c r="H28" i="23" s="1"/>
  <c r="H33" i="23" s="1"/>
  <c r="M38" i="73"/>
  <c r="M41" i="73" s="1"/>
  <c r="M42" i="73" s="1"/>
  <c r="W112" i="98" s="1"/>
  <c r="F39" i="98"/>
  <c r="F40" i="98" s="1"/>
  <c r="E22" i="27"/>
  <c r="F44" i="98"/>
  <c r="F185" i="98" s="1"/>
  <c r="N27" i="91"/>
  <c r="N28" i="91" s="1"/>
  <c r="G29" i="27"/>
  <c r="G56" i="27" s="1"/>
  <c r="U68" i="8" s="1"/>
  <c r="J42" i="73"/>
  <c r="W94" i="81" s="1"/>
  <c r="AB44" i="98"/>
  <c r="I22" i="27" s="1"/>
  <c r="T44" i="98"/>
  <c r="AA42" i="81"/>
  <c r="D22" i="27" s="1"/>
  <c r="D25" i="27" s="1"/>
  <c r="D27" i="27" s="1"/>
  <c r="D29" i="27" s="1"/>
  <c r="D56" i="27" s="1"/>
  <c r="F69" i="81" s="1"/>
  <c r="I84" i="99"/>
  <c r="E73" i="9"/>
  <c r="T68" i="8"/>
  <c r="K24" i="5"/>
  <c r="K26" i="5" s="1"/>
  <c r="K28" i="5" s="1"/>
  <c r="K30" i="5" s="1"/>
  <c r="F68" i="81" s="1"/>
  <c r="E88" i="9" s="1"/>
  <c r="N12" i="18"/>
  <c r="P28" i="91"/>
  <c r="P36" i="91"/>
  <c r="V29" i="91"/>
  <c r="V27" i="91"/>
  <c r="C59" i="91"/>
  <c r="C40" i="91"/>
  <c r="C41" i="91" s="1"/>
  <c r="C37" i="91"/>
  <c r="U45" i="98"/>
  <c r="I23" i="27"/>
  <c r="A25" i="99"/>
  <c r="B24" i="99"/>
  <c r="C24" i="99" s="1"/>
  <c r="H24" i="99" s="1"/>
  <c r="I24" i="99" s="1"/>
  <c r="A86" i="99"/>
  <c r="F85" i="99"/>
  <c r="G85" i="99" s="1"/>
  <c r="B85" i="99"/>
  <c r="C85" i="99" s="1"/>
  <c r="H85" i="99" s="1"/>
  <c r="I28" i="91"/>
  <c r="X36" i="91"/>
  <c r="I36" i="91"/>
  <c r="G23" i="91"/>
  <c r="G26" i="91" s="1"/>
  <c r="F47" i="23"/>
  <c r="F50" i="23" s="1"/>
  <c r="F51" i="23" s="1"/>
  <c r="F53" i="23" s="1"/>
  <c r="I23" i="23" s="1"/>
  <c r="Q54" i="5"/>
  <c r="Q57" i="5" s="1"/>
  <c r="Q58" i="5" s="1"/>
  <c r="Q59" i="5" s="1"/>
  <c r="F37" i="23"/>
  <c r="F40" i="23" s="1"/>
  <c r="F41" i="23" s="1"/>
  <c r="F43" i="23" s="1"/>
  <c r="C45" i="91"/>
  <c r="I15" i="18"/>
  <c r="J16" i="18" s="1"/>
  <c r="J18" i="18" s="1"/>
  <c r="J21" i="18" s="1"/>
  <c r="C58" i="91"/>
  <c r="T45" i="98"/>
  <c r="H47" i="108"/>
  <c r="I47" i="108" s="1"/>
  <c r="E100" i="9"/>
  <c r="F45" i="98"/>
  <c r="R42" i="98"/>
  <c r="I113" i="9"/>
  <c r="T73" i="8"/>
  <c r="T75" i="8" s="1"/>
  <c r="T80" i="8" s="1"/>
  <c r="U67" i="8"/>
  <c r="U73" i="8" s="1"/>
  <c r="U75" i="8" s="1"/>
  <c r="U80" i="8" s="1"/>
  <c r="H44" i="108" l="1"/>
  <c r="C44" i="91"/>
  <c r="C47" i="91" s="1"/>
  <c r="E77" i="9" s="1"/>
  <c r="F198" i="98"/>
  <c r="E23" i="27"/>
  <c r="E25" i="27" s="1"/>
  <c r="E27" i="27" s="1"/>
  <c r="E156" i="9"/>
  <c r="H29" i="27"/>
  <c r="H56" i="27" s="1"/>
  <c r="U69" i="81" s="1"/>
  <c r="N36" i="91"/>
  <c r="N59" i="91" s="1"/>
  <c r="E139" i="9"/>
  <c r="F197" i="98"/>
  <c r="F112" i="98"/>
  <c r="F140" i="98" s="1"/>
  <c r="E99" i="9"/>
  <c r="H46" i="108"/>
  <c r="I46" i="108" s="1"/>
  <c r="I112" i="9"/>
  <c r="I85" i="99"/>
  <c r="T68" i="81"/>
  <c r="U68" i="81" s="1"/>
  <c r="U74" i="81" s="1"/>
  <c r="U76" i="81" s="1"/>
  <c r="U81" i="81" s="1"/>
  <c r="F74" i="81"/>
  <c r="W80" i="8"/>
  <c r="W94" i="8" s="1"/>
  <c r="F47" i="8" s="1"/>
  <c r="F48" i="8" s="1"/>
  <c r="E71" i="9" s="1"/>
  <c r="T69" i="81"/>
  <c r="E89" i="9"/>
  <c r="F113" i="98"/>
  <c r="J23" i="18"/>
  <c r="F69" i="8" s="1"/>
  <c r="J26" i="18"/>
  <c r="J45" i="18" s="1"/>
  <c r="J47" i="18" s="1"/>
  <c r="F56" i="23"/>
  <c r="I24" i="23"/>
  <c r="G29" i="91"/>
  <c r="G27" i="91"/>
  <c r="X37" i="91"/>
  <c r="X40" i="91"/>
  <c r="X41" i="91" s="1"/>
  <c r="F86" i="99"/>
  <c r="G86" i="99" s="1"/>
  <c r="B86" i="99"/>
  <c r="C86" i="99" s="1"/>
  <c r="H86" i="99" s="1"/>
  <c r="A87" i="99"/>
  <c r="B25" i="99"/>
  <c r="C25" i="99" s="1"/>
  <c r="H25" i="99" s="1"/>
  <c r="I25" i="99" s="1"/>
  <c r="A26" i="99"/>
  <c r="N35" i="91"/>
  <c r="R41" i="91"/>
  <c r="K15" i="18" s="1"/>
  <c r="L16" i="18" s="1"/>
  <c r="L18" i="18" s="1"/>
  <c r="L21" i="18" s="1"/>
  <c r="R35" i="91"/>
  <c r="V36" i="91"/>
  <c r="V28" i="91"/>
  <c r="V35" i="91" s="1"/>
  <c r="P37" i="91"/>
  <c r="P40" i="91"/>
  <c r="P41" i="91" s="1"/>
  <c r="G11" i="100"/>
  <c r="T115" i="9"/>
  <c r="Q95" i="5"/>
  <c r="Q63" i="5"/>
  <c r="L23" i="5" s="1"/>
  <c r="L24" i="5" s="1"/>
  <c r="L26" i="5" s="1"/>
  <c r="L28" i="5" s="1"/>
  <c r="L30" i="5" s="1"/>
  <c r="I37" i="91"/>
  <c r="I40" i="91"/>
  <c r="I41" i="91" s="1"/>
  <c r="I35" i="91"/>
  <c r="I58" i="91" s="1"/>
  <c r="I44" i="91" s="1"/>
  <c r="X35" i="91"/>
  <c r="X58" i="91" s="1"/>
  <c r="X44" i="91" s="1"/>
  <c r="P35" i="91"/>
  <c r="P58" i="91" s="1"/>
  <c r="P44" i="91" s="1"/>
  <c r="S35" i="91"/>
  <c r="I25" i="27"/>
  <c r="I27" i="27" s="1"/>
  <c r="F200" i="98" l="1"/>
  <c r="F202" i="98" s="1"/>
  <c r="F206" i="98" s="1"/>
  <c r="N37" i="91"/>
  <c r="N40" i="91"/>
  <c r="N41" i="91" s="1"/>
  <c r="I29" i="27"/>
  <c r="I56" i="27" s="1"/>
  <c r="U85" i="98" s="1"/>
  <c r="E29" i="27"/>
  <c r="E56" i="27" s="1"/>
  <c r="F85" i="98" s="1"/>
  <c r="E103" i="9" s="1"/>
  <c r="E155" i="9"/>
  <c r="E158" i="9" s="1"/>
  <c r="E160" i="9" s="1"/>
  <c r="E162" i="9" s="1"/>
  <c r="E164" i="9" s="1"/>
  <c r="E142" i="9"/>
  <c r="E144" i="9" s="1"/>
  <c r="E146" i="9" s="1"/>
  <c r="E148" i="9" s="1"/>
  <c r="G10" i="100"/>
  <c r="I15" i="100" s="1"/>
  <c r="I27" i="100" s="1"/>
  <c r="K27" i="100" s="1"/>
  <c r="T114" i="9"/>
  <c r="E108" i="9"/>
  <c r="H128" i="9" s="1"/>
  <c r="F79" i="8"/>
  <c r="F97" i="8" s="1"/>
  <c r="T74" i="81"/>
  <c r="T76" i="81" s="1"/>
  <c r="T81" i="81" s="1"/>
  <c r="W81" i="81" s="1"/>
  <c r="W96" i="81" s="1"/>
  <c r="F47" i="81" s="1"/>
  <c r="F48" i="81" s="1"/>
  <c r="F75" i="8"/>
  <c r="I47" i="91"/>
  <c r="F84" i="98"/>
  <c r="E102" i="9"/>
  <c r="E78" i="9"/>
  <c r="E80" i="9" s="1"/>
  <c r="E82" i="9" s="1"/>
  <c r="E96" i="9" s="1"/>
  <c r="F96" i="8"/>
  <c r="V58" i="91"/>
  <c r="V45" i="91"/>
  <c r="R37" i="91"/>
  <c r="P34" i="91"/>
  <c r="N34" i="91"/>
  <c r="M15" i="18"/>
  <c r="N16" i="18" s="1"/>
  <c r="N18" i="18" s="1"/>
  <c r="N21" i="18" s="1"/>
  <c r="N58" i="91"/>
  <c r="N44" i="91" s="1"/>
  <c r="N45" i="91"/>
  <c r="G28" i="91"/>
  <c r="G35" i="91" s="1"/>
  <c r="G36" i="91"/>
  <c r="T69" i="8"/>
  <c r="U69" i="8" s="1"/>
  <c r="E74" i="9"/>
  <c r="P47" i="91"/>
  <c r="X47" i="91"/>
  <c r="V59" i="91"/>
  <c r="V40" i="91"/>
  <c r="V41" i="91" s="1"/>
  <c r="V37" i="91"/>
  <c r="L23" i="18"/>
  <c r="F70" i="81" s="1"/>
  <c r="L26" i="18"/>
  <c r="A27" i="99"/>
  <c r="B26" i="99"/>
  <c r="C26" i="99" s="1"/>
  <c r="H26" i="99" s="1"/>
  <c r="I26" i="99" s="1"/>
  <c r="A88" i="99"/>
  <c r="F87" i="99"/>
  <c r="G87" i="99" s="1"/>
  <c r="B87" i="99"/>
  <c r="C87" i="99" s="1"/>
  <c r="H87" i="99" s="1"/>
  <c r="I86" i="99"/>
  <c r="T85" i="98" l="1"/>
  <c r="E167" i="9"/>
  <c r="F175" i="98"/>
  <c r="E105" i="9"/>
  <c r="F80" i="8"/>
  <c r="F132" i="8" s="1"/>
  <c r="F134" i="8" s="1"/>
  <c r="F80" i="81"/>
  <c r="F99" i="81" s="1"/>
  <c r="E87" i="9"/>
  <c r="F81" i="8"/>
  <c r="F90" i="8" s="1"/>
  <c r="F76" i="81"/>
  <c r="N47" i="91"/>
  <c r="F88" i="99"/>
  <c r="G88" i="99" s="1"/>
  <c r="B88" i="99"/>
  <c r="C88" i="99" s="1"/>
  <c r="H88" i="99" s="1"/>
  <c r="A89" i="99"/>
  <c r="B27" i="99"/>
  <c r="C27" i="99" s="1"/>
  <c r="H27" i="99" s="1"/>
  <c r="I27" i="99" s="1"/>
  <c r="A28" i="99"/>
  <c r="T70" i="81"/>
  <c r="U70" i="81" s="1"/>
  <c r="E90" i="9"/>
  <c r="G37" i="91"/>
  <c r="G40" i="91"/>
  <c r="G41" i="91" s="1"/>
  <c r="G59" i="91"/>
  <c r="N23" i="18"/>
  <c r="F86" i="98" s="1"/>
  <c r="N26" i="18"/>
  <c r="H124" i="9"/>
  <c r="H127" i="9" s="1"/>
  <c r="G96" i="9"/>
  <c r="I6" i="100"/>
  <c r="S114" i="9"/>
  <c r="U114" i="9" s="1"/>
  <c r="S113" i="9"/>
  <c r="U113" i="9" s="1"/>
  <c r="S115" i="9"/>
  <c r="U115" i="9" s="1"/>
  <c r="F174" i="98"/>
  <c r="F178" i="98" s="1"/>
  <c r="F180" i="98" s="1"/>
  <c r="S122" i="9"/>
  <c r="E110" i="9"/>
  <c r="T84" i="98"/>
  <c r="F90" i="98"/>
  <c r="F117" i="98" s="1"/>
  <c r="G58" i="91"/>
  <c r="G45" i="91"/>
  <c r="R38" i="91"/>
  <c r="R39" i="91" s="1"/>
  <c r="I114" i="9" s="1"/>
  <c r="I115" i="9" s="1"/>
  <c r="I87" i="99"/>
  <c r="V44" i="91"/>
  <c r="V47" i="91" s="1"/>
  <c r="G44" i="91" l="1"/>
  <c r="G47" i="91" s="1"/>
  <c r="T122" i="9" s="1"/>
  <c r="F82" i="81"/>
  <c r="F91" i="81" s="1"/>
  <c r="F81" i="81"/>
  <c r="F134" i="81" s="1"/>
  <c r="F136" i="81" s="1"/>
  <c r="F95" i="8"/>
  <c r="F98" i="8" s="1"/>
  <c r="I88" i="99"/>
  <c r="S123" i="9"/>
  <c r="F71" i="98"/>
  <c r="E111" i="9"/>
  <c r="G26" i="100"/>
  <c r="I17" i="100"/>
  <c r="H129" i="9"/>
  <c r="E114" i="9"/>
  <c r="F79" i="98" s="1"/>
  <c r="T86" i="98"/>
  <c r="U86" i="98" s="1"/>
  <c r="E104" i="9"/>
  <c r="G14" i="100" s="1"/>
  <c r="A29" i="99"/>
  <c r="B28" i="99"/>
  <c r="C28" i="99" s="1"/>
  <c r="H28" i="99" s="1"/>
  <c r="I28" i="99" s="1"/>
  <c r="A90" i="99"/>
  <c r="F89" i="99"/>
  <c r="G89" i="99" s="1"/>
  <c r="B89" i="99"/>
  <c r="C89" i="99" s="1"/>
  <c r="H89" i="99" s="1"/>
  <c r="T90" i="98"/>
  <c r="T92" i="98" s="1"/>
  <c r="T97" i="98" s="1"/>
  <c r="U84" i="98"/>
  <c r="U90" i="98" s="1"/>
  <c r="U92" i="98" s="1"/>
  <c r="U97" i="98" s="1"/>
  <c r="I89" i="99" l="1"/>
  <c r="F97" i="81"/>
  <c r="F100" i="81" s="1"/>
  <c r="F90" i="99"/>
  <c r="G90" i="99" s="1"/>
  <c r="B90" i="99"/>
  <c r="C90" i="99" s="1"/>
  <c r="H90" i="99" s="1"/>
  <c r="A91" i="99"/>
  <c r="B29" i="99"/>
  <c r="C29" i="99" s="1"/>
  <c r="H29" i="99" s="1"/>
  <c r="I29" i="99" s="1"/>
  <c r="A30" i="99"/>
  <c r="G32" i="100"/>
  <c r="G33" i="100" s="1"/>
  <c r="G29" i="100"/>
  <c r="H53" i="108"/>
  <c r="F114" i="98"/>
  <c r="W97" i="98"/>
  <c r="W114" i="98" s="1"/>
  <c r="F50" i="98" s="1"/>
  <c r="F51" i="98" s="1"/>
  <c r="U122" i="9"/>
  <c r="T123" i="9"/>
  <c r="U123" i="9" s="1"/>
  <c r="H61" i="108"/>
  <c r="F119" i="98"/>
  <c r="K28" i="100"/>
  <c r="K29" i="100" s="1"/>
  <c r="I28" i="100"/>
  <c r="I29" i="100" s="1"/>
  <c r="E101" i="9" l="1"/>
  <c r="G13" i="100" s="1"/>
  <c r="H49" i="108"/>
  <c r="I49" i="108" s="1"/>
  <c r="F96" i="98"/>
  <c r="F98" i="98" s="1"/>
  <c r="F92" i="98"/>
  <c r="A31" i="99"/>
  <c r="B30" i="99"/>
  <c r="C30" i="99" s="1"/>
  <c r="H30" i="99" s="1"/>
  <c r="I30" i="99" s="1"/>
  <c r="A92" i="99"/>
  <c r="F91" i="99"/>
  <c r="G91" i="99" s="1"/>
  <c r="B91" i="99"/>
  <c r="C91" i="99" s="1"/>
  <c r="H91" i="99" s="1"/>
  <c r="I90" i="99"/>
  <c r="G35" i="100"/>
  <c r="G37" i="100" s="1"/>
  <c r="I32" i="100"/>
  <c r="I91" i="99" l="1"/>
  <c r="F147" i="98"/>
  <c r="F109" i="98"/>
  <c r="K32" i="100"/>
  <c r="K35" i="100" s="1"/>
  <c r="K37" i="100" s="1"/>
  <c r="I35" i="100"/>
  <c r="I37" i="100" s="1"/>
  <c r="F92" i="99"/>
  <c r="G92" i="99" s="1"/>
  <c r="B92" i="99"/>
  <c r="C92" i="99" s="1"/>
  <c r="H92" i="99" s="1"/>
  <c r="A93" i="99"/>
  <c r="B31" i="99"/>
  <c r="C31" i="99" s="1"/>
  <c r="H31" i="99" s="1"/>
  <c r="I31" i="99" s="1"/>
  <c r="A32" i="99"/>
  <c r="H63" i="108"/>
  <c r="I63" i="108" s="1"/>
  <c r="F97" i="98"/>
  <c r="F205" i="98" s="1"/>
  <c r="F207" i="98" s="1"/>
  <c r="F182" i="98" l="1"/>
  <c r="F189" i="98" s="1"/>
  <c r="F149" i="98"/>
  <c r="A33" i="99"/>
  <c r="B32" i="99"/>
  <c r="C32" i="99" s="1"/>
  <c r="H32" i="99" s="1"/>
  <c r="I32" i="99" s="1"/>
  <c r="A94" i="99"/>
  <c r="F93" i="99"/>
  <c r="G93" i="99" s="1"/>
  <c r="B93" i="99"/>
  <c r="C93" i="99" s="1"/>
  <c r="H93" i="99" s="1"/>
  <c r="I92" i="99"/>
  <c r="F94" i="99" l="1"/>
  <c r="G94" i="99" s="1"/>
  <c r="B94" i="99"/>
  <c r="C94" i="99" s="1"/>
  <c r="H94" i="99" s="1"/>
  <c r="A95" i="99"/>
  <c r="B33" i="99"/>
  <c r="C33" i="99" s="1"/>
  <c r="H33" i="99" s="1"/>
  <c r="I33" i="99" s="1"/>
  <c r="A34" i="99"/>
  <c r="I93" i="99"/>
  <c r="I94" i="99" l="1"/>
  <c r="A35" i="99"/>
  <c r="B34" i="99"/>
  <c r="C34" i="99" s="1"/>
  <c r="H34" i="99" s="1"/>
  <c r="I34" i="99" s="1"/>
  <c r="A96" i="99"/>
  <c r="F95" i="99"/>
  <c r="G95" i="99" s="1"/>
  <c r="B95" i="99"/>
  <c r="C95" i="99" s="1"/>
  <c r="H95" i="99" s="1"/>
  <c r="I95" i="99" l="1"/>
  <c r="F96" i="99"/>
  <c r="G96" i="99" s="1"/>
  <c r="B96" i="99"/>
  <c r="C96" i="99" s="1"/>
  <c r="H96" i="99" s="1"/>
  <c r="A97" i="99"/>
  <c r="B35" i="99"/>
  <c r="C35" i="99" s="1"/>
  <c r="H35" i="99" s="1"/>
  <c r="I35" i="99" s="1"/>
  <c r="A36" i="99"/>
  <c r="I96" i="99" l="1"/>
  <c r="A37" i="99"/>
  <c r="B36" i="99"/>
  <c r="C36" i="99" s="1"/>
  <c r="H36" i="99" s="1"/>
  <c r="I36" i="99" s="1"/>
  <c r="A98" i="99"/>
  <c r="F97" i="99"/>
  <c r="G97" i="99" s="1"/>
  <c r="B97" i="99"/>
  <c r="C97" i="99" s="1"/>
  <c r="H97" i="99" s="1"/>
  <c r="F98" i="99" l="1"/>
  <c r="G98" i="99" s="1"/>
  <c r="B98" i="99"/>
  <c r="C98" i="99" s="1"/>
  <c r="H98" i="99" s="1"/>
  <c r="A99" i="99"/>
  <c r="B37" i="99"/>
  <c r="C37" i="99" s="1"/>
  <c r="H37" i="99" s="1"/>
  <c r="I37" i="99" s="1"/>
  <c r="A38" i="99"/>
  <c r="I97" i="99"/>
  <c r="A39" i="99" l="1"/>
  <c r="B38" i="99"/>
  <c r="C38" i="99" s="1"/>
  <c r="H38" i="99" s="1"/>
  <c r="I38" i="99" s="1"/>
  <c r="A100" i="99"/>
  <c r="F99" i="99"/>
  <c r="G99" i="99" s="1"/>
  <c r="B99" i="99"/>
  <c r="C99" i="99" s="1"/>
  <c r="H99" i="99" s="1"/>
  <c r="I98" i="99"/>
  <c r="I99" i="99" l="1"/>
  <c r="F100" i="99"/>
  <c r="G100" i="99" s="1"/>
  <c r="B100" i="99"/>
  <c r="C100" i="99" s="1"/>
  <c r="H100" i="99" s="1"/>
  <c r="A101" i="99"/>
  <c r="B39" i="99"/>
  <c r="C39" i="99" s="1"/>
  <c r="H39" i="99" s="1"/>
  <c r="I39" i="99" s="1"/>
  <c r="A40" i="99"/>
  <c r="A41" i="99" l="1"/>
  <c r="B40" i="99"/>
  <c r="C40" i="99" s="1"/>
  <c r="H40" i="99" s="1"/>
  <c r="I40" i="99" s="1"/>
  <c r="A102" i="99"/>
  <c r="F101" i="99"/>
  <c r="G101" i="99" s="1"/>
  <c r="B101" i="99"/>
  <c r="C101" i="99" s="1"/>
  <c r="H101" i="99" s="1"/>
  <c r="I100" i="99"/>
  <c r="I101" i="99" l="1"/>
  <c r="F102" i="99"/>
  <c r="G102" i="99" s="1"/>
  <c r="B102" i="99"/>
  <c r="C102" i="99" s="1"/>
  <c r="H102" i="99" s="1"/>
  <c r="A103" i="99"/>
  <c r="B41" i="99"/>
  <c r="C41" i="99" s="1"/>
  <c r="H41" i="99" s="1"/>
  <c r="I41" i="99" s="1"/>
  <c r="A42" i="99"/>
  <c r="A43" i="99" l="1"/>
  <c r="B42" i="99"/>
  <c r="C42" i="99" s="1"/>
  <c r="H42" i="99" s="1"/>
  <c r="I42" i="99" s="1"/>
  <c r="A104" i="99"/>
  <c r="F103" i="99"/>
  <c r="G103" i="99" s="1"/>
  <c r="B103" i="99"/>
  <c r="C103" i="99" s="1"/>
  <c r="H103" i="99" s="1"/>
  <c r="I102" i="99"/>
  <c r="I103" i="99" l="1"/>
  <c r="F104" i="99"/>
  <c r="G104" i="99" s="1"/>
  <c r="B104" i="99"/>
  <c r="C104" i="99" s="1"/>
  <c r="H104" i="99" s="1"/>
  <c r="A105" i="99"/>
  <c r="B43" i="99"/>
  <c r="C43" i="99" s="1"/>
  <c r="H43" i="99" s="1"/>
  <c r="I43" i="99" s="1"/>
  <c r="A44" i="99"/>
  <c r="A45" i="99" l="1"/>
  <c r="B44" i="99"/>
  <c r="C44" i="99" s="1"/>
  <c r="H44" i="99" s="1"/>
  <c r="I44" i="99" s="1"/>
  <c r="A106" i="99"/>
  <c r="F105" i="99"/>
  <c r="G105" i="99" s="1"/>
  <c r="B105" i="99"/>
  <c r="C105" i="99" s="1"/>
  <c r="H105" i="99" s="1"/>
  <c r="I104" i="99"/>
  <c r="I105" i="99" l="1"/>
  <c r="F106" i="99"/>
  <c r="G106" i="99" s="1"/>
  <c r="B106" i="99"/>
  <c r="C106" i="99" s="1"/>
  <c r="H106" i="99" s="1"/>
  <c r="A107" i="99"/>
  <c r="B45" i="99"/>
  <c r="C45" i="99" s="1"/>
  <c r="H45" i="99" s="1"/>
  <c r="I45" i="99" s="1"/>
  <c r="A46" i="99"/>
  <c r="A47" i="99" l="1"/>
  <c r="B46" i="99"/>
  <c r="C46" i="99" s="1"/>
  <c r="H46" i="99" s="1"/>
  <c r="I46" i="99" s="1"/>
  <c r="A108" i="99"/>
  <c r="F107" i="99"/>
  <c r="G107" i="99" s="1"/>
  <c r="B107" i="99"/>
  <c r="C107" i="99" s="1"/>
  <c r="H107" i="99" s="1"/>
  <c r="I106" i="99"/>
  <c r="F108" i="99" l="1"/>
  <c r="G108" i="99" s="1"/>
  <c r="B108" i="99"/>
  <c r="C108" i="99" s="1"/>
  <c r="H108" i="99" s="1"/>
  <c r="A109" i="99"/>
  <c r="B47" i="99"/>
  <c r="C47" i="99" s="1"/>
  <c r="H47" i="99" s="1"/>
  <c r="I47" i="99" s="1"/>
  <c r="A48" i="99"/>
  <c r="I107" i="99"/>
  <c r="A49" i="99" l="1"/>
  <c r="B48" i="99"/>
  <c r="C48" i="99" s="1"/>
  <c r="H48" i="99" s="1"/>
  <c r="I48" i="99" s="1"/>
  <c r="A110" i="99"/>
  <c r="F109" i="99"/>
  <c r="G109" i="99" s="1"/>
  <c r="B109" i="99"/>
  <c r="C109" i="99" s="1"/>
  <c r="H109" i="99" s="1"/>
  <c r="I108" i="99"/>
  <c r="I109" i="99" l="1"/>
  <c r="F110" i="99"/>
  <c r="G110" i="99" s="1"/>
  <c r="B110" i="99"/>
  <c r="C110" i="99" s="1"/>
  <c r="H110" i="99" s="1"/>
  <c r="A111" i="99"/>
  <c r="B49" i="99"/>
  <c r="C49" i="99" s="1"/>
  <c r="H49" i="99" s="1"/>
  <c r="I49" i="99" s="1"/>
  <c r="A50" i="99"/>
  <c r="A51" i="99" l="1"/>
  <c r="B50" i="99"/>
  <c r="C50" i="99" s="1"/>
  <c r="H50" i="99" s="1"/>
  <c r="I50" i="99" s="1"/>
  <c r="A112" i="99"/>
  <c r="F111" i="99"/>
  <c r="G111" i="99" s="1"/>
  <c r="B111" i="99"/>
  <c r="C111" i="99" s="1"/>
  <c r="H111" i="99" s="1"/>
  <c r="I110" i="99"/>
  <c r="I111" i="99" l="1"/>
  <c r="F112" i="99"/>
  <c r="G112" i="99" s="1"/>
  <c r="B112" i="99"/>
  <c r="C112" i="99" s="1"/>
  <c r="H112" i="99" s="1"/>
  <c r="A113" i="99"/>
  <c r="B51" i="99"/>
  <c r="C51" i="99" s="1"/>
  <c r="H51" i="99" s="1"/>
  <c r="I51" i="99" s="1"/>
  <c r="A52" i="99"/>
  <c r="A53" i="99" l="1"/>
  <c r="B52" i="99"/>
  <c r="C52" i="99" s="1"/>
  <c r="H52" i="99" s="1"/>
  <c r="I52" i="99" s="1"/>
  <c r="A114" i="99"/>
  <c r="F113" i="99"/>
  <c r="G113" i="99" s="1"/>
  <c r="B113" i="99"/>
  <c r="C113" i="99" s="1"/>
  <c r="H113" i="99" s="1"/>
  <c r="I112" i="99"/>
  <c r="F114" i="99" l="1"/>
  <c r="G114" i="99" s="1"/>
  <c r="B114" i="99"/>
  <c r="C114" i="99" s="1"/>
  <c r="H114" i="99" s="1"/>
  <c r="A115" i="99"/>
  <c r="B53" i="99"/>
  <c r="C53" i="99" s="1"/>
  <c r="H53" i="99" s="1"/>
  <c r="I53" i="99" s="1"/>
  <c r="A54" i="99"/>
  <c r="I113" i="99"/>
  <c r="A55" i="99" l="1"/>
  <c r="B54" i="99"/>
  <c r="C54" i="99" s="1"/>
  <c r="H54" i="99" s="1"/>
  <c r="I54" i="99" s="1"/>
  <c r="A116" i="99"/>
  <c r="F115" i="99"/>
  <c r="G115" i="99" s="1"/>
  <c r="B115" i="99"/>
  <c r="C115" i="99" s="1"/>
  <c r="H115" i="99" s="1"/>
  <c r="I114" i="99"/>
  <c r="I115" i="99" l="1"/>
  <c r="F116" i="99"/>
  <c r="G116" i="99" s="1"/>
  <c r="B116" i="99"/>
  <c r="C116" i="99" s="1"/>
  <c r="H116" i="99" s="1"/>
  <c r="A117" i="99"/>
  <c r="B55" i="99"/>
  <c r="C55" i="99" s="1"/>
  <c r="H55" i="99" s="1"/>
  <c r="I55" i="99" s="1"/>
  <c r="A56" i="99"/>
  <c r="A57" i="99" l="1"/>
  <c r="B56" i="99"/>
  <c r="C56" i="99" s="1"/>
  <c r="H56" i="99" s="1"/>
  <c r="I56" i="99" s="1"/>
  <c r="A118" i="99"/>
  <c r="F117" i="99"/>
  <c r="G117" i="99" s="1"/>
  <c r="B117" i="99"/>
  <c r="C117" i="99" s="1"/>
  <c r="H117" i="99" s="1"/>
  <c r="I116" i="99"/>
  <c r="I117" i="99" l="1"/>
  <c r="F118" i="99"/>
  <c r="G118" i="99" s="1"/>
  <c r="B118" i="99"/>
  <c r="C118" i="99" s="1"/>
  <c r="H118" i="99" s="1"/>
  <c r="A119" i="99"/>
  <c r="B57" i="99"/>
  <c r="C57" i="99" s="1"/>
  <c r="H57" i="99" s="1"/>
  <c r="I57" i="99" s="1"/>
  <c r="A58" i="99"/>
  <c r="A59" i="99" l="1"/>
  <c r="B58" i="99"/>
  <c r="C58" i="99" s="1"/>
  <c r="H58" i="99" s="1"/>
  <c r="I58" i="99" s="1"/>
  <c r="F119" i="99"/>
  <c r="G119" i="99" s="1"/>
  <c r="B119" i="99"/>
  <c r="C119" i="99" s="1"/>
  <c r="H119" i="99" s="1"/>
  <c r="I118" i="99"/>
  <c r="B59" i="99" l="1"/>
  <c r="C59" i="99" s="1"/>
  <c r="H59" i="99" s="1"/>
  <c r="I59" i="99" s="1"/>
  <c r="A60" i="99"/>
  <c r="B60" i="99" s="1"/>
  <c r="C60" i="99" s="1"/>
  <c r="H60" i="99" s="1"/>
  <c r="I60" i="99" s="1"/>
  <c r="I119" i="9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wbrewton</author>
  </authors>
  <commentList>
    <comment ref="G5" authorId="0" shapeId="0" xr:uid="{00000000-0006-0000-0300-000001000000}">
      <text>
        <r>
          <rPr>
            <b/>
            <sz val="10"/>
            <color indexed="10"/>
            <rFont val="Tahoma"/>
            <family val="2"/>
          </rPr>
          <t>"Legislative Pay Estimate" 
The amount you will receive from TEA this school year.</t>
        </r>
      </text>
    </comment>
    <comment ref="H5" authorId="0" shapeId="0" xr:uid="{00000000-0006-0000-0300-000002000000}">
      <text>
        <r>
          <rPr>
            <b/>
            <sz val="10"/>
            <color indexed="10"/>
            <rFont val="Tahoma"/>
            <family val="2"/>
          </rPr>
          <t>"District Pay Estimate" 
The amount you actually earn based on current data you are entering.</t>
        </r>
        <r>
          <rPr>
            <sz val="8"/>
            <color indexed="81"/>
            <rFont val="Tahoma"/>
            <family val="2"/>
          </rPr>
          <t xml:space="preserve">
</t>
        </r>
      </text>
    </comment>
    <comment ref="I5" authorId="0" shapeId="0" xr:uid="{00000000-0006-0000-0300-000003000000}">
      <text>
        <r>
          <rPr>
            <b/>
            <sz val="10"/>
            <color indexed="81"/>
            <rFont val="Tahoma"/>
            <family val="2"/>
          </rPr>
          <t xml:space="preserve">An iIncrease or </t>
        </r>
        <r>
          <rPr>
            <b/>
            <sz val="10"/>
            <color indexed="10"/>
            <rFont val="Tahoma"/>
            <family val="2"/>
          </rPr>
          <t>DECREASE</t>
        </r>
        <r>
          <rPr>
            <b/>
            <sz val="10"/>
            <color indexed="81"/>
            <rFont val="Tahoma"/>
            <family val="2"/>
          </rPr>
          <t xml:space="preserve"> in </t>
        </r>
        <r>
          <rPr>
            <b/>
            <u/>
            <sz val="10"/>
            <color indexed="81"/>
            <rFont val="Tahoma"/>
            <family val="2"/>
          </rPr>
          <t>attendance or tax collection</t>
        </r>
        <r>
          <rPr>
            <b/>
            <sz val="10"/>
            <color indexed="10"/>
            <rFont val="Tahoma"/>
            <family val="2"/>
          </rPr>
          <t xml:space="preserve"> </t>
        </r>
        <r>
          <rPr>
            <b/>
            <sz val="10"/>
            <color indexed="81"/>
            <rFont val="Tahoma"/>
            <family val="2"/>
          </rPr>
          <t xml:space="preserve">amounts from "projections" used for LPE payments
will increase or </t>
        </r>
        <r>
          <rPr>
            <b/>
            <sz val="10"/>
            <color indexed="10"/>
            <rFont val="Tahoma"/>
            <family val="2"/>
          </rPr>
          <t xml:space="preserve">DECREASE </t>
        </r>
        <r>
          <rPr>
            <b/>
            <sz val="10"/>
            <color indexed="81"/>
            <rFont val="Tahoma"/>
            <family val="2"/>
          </rPr>
          <t xml:space="preserve">your </t>
        </r>
        <r>
          <rPr>
            <b/>
            <u/>
            <sz val="10"/>
            <color indexed="81"/>
            <rFont val="Tahoma"/>
            <family val="2"/>
          </rPr>
          <t>"earned" revenue</t>
        </r>
        <r>
          <rPr>
            <b/>
            <sz val="10"/>
            <color indexed="81"/>
            <rFont val="Tahoma"/>
            <family val="2"/>
          </rPr>
          <t xml:space="preserve"> for the year!
</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Woody Brewton</author>
  </authors>
  <commentList>
    <comment ref="H52" authorId="0" shapeId="0" xr:uid="{00000000-0006-0000-0900-000001000000}">
      <text>
        <r>
          <rPr>
            <b/>
            <sz val="10"/>
            <color indexed="10"/>
            <rFont val="Tahoma"/>
            <family val="2"/>
          </rPr>
          <t>If Cell H53 is BLUE, enter Comp Ed count in cell J9 on sheet: "Enter Attend. Data"</t>
        </r>
        <r>
          <rPr>
            <sz val="8"/>
            <color indexed="81"/>
            <rFont val="Tahoma"/>
            <family val="2"/>
          </rPr>
          <t xml:space="preserve">
</t>
        </r>
      </text>
    </comment>
    <comment ref="H69" authorId="0" shapeId="0" xr:uid="{00000000-0006-0000-0900-000002000000}">
      <text>
        <r>
          <rPr>
            <b/>
            <sz val="10"/>
            <color indexed="10"/>
            <rFont val="Tahoma"/>
            <family val="2"/>
          </rPr>
          <t>If the district did not adopt $0.04 above compressed tax rate, change this value</t>
        </r>
        <r>
          <rPr>
            <sz val="8"/>
            <color indexed="81"/>
            <rFont val="Tahoma"/>
            <family val="2"/>
          </rPr>
          <t xml:space="preserve">
</t>
        </r>
      </text>
    </comment>
    <comment ref="H70" authorId="0" shapeId="0" xr:uid="{00000000-0006-0000-0900-000003000000}">
      <text>
        <r>
          <rPr>
            <b/>
            <sz val="10"/>
            <color indexed="10"/>
            <rFont val="Tahoma"/>
            <family val="2"/>
          </rPr>
          <t>If the district did not adopt $0.04 above compressed tax rate, change this value</t>
        </r>
        <r>
          <rPr>
            <sz val="8"/>
            <color indexed="81"/>
            <rFont val="Tahoma"/>
            <family val="2"/>
          </rPr>
          <t xml:space="preserve">
</t>
        </r>
      </text>
    </comment>
    <comment ref="F73" authorId="0" shapeId="0" xr:uid="{00000000-0006-0000-0900-000004000000}">
      <text>
        <r>
          <rPr>
            <b/>
            <sz val="10"/>
            <color indexed="10"/>
            <rFont val="Tahoma"/>
            <family val="2"/>
          </rPr>
          <t>The district must budget and collect I&amp;S taxes in the amount of this local share in order to receive the full state's share.</t>
        </r>
        <r>
          <rPr>
            <sz val="8"/>
            <color indexed="81"/>
            <rFont val="Tahoma"/>
            <family val="2"/>
          </rPr>
          <t xml:space="preserve">
</t>
        </r>
      </text>
    </comment>
    <comment ref="H73" authorId="0" shapeId="0" xr:uid="{00000000-0006-0000-0900-000005000000}">
      <text>
        <r>
          <rPr>
            <b/>
            <sz val="10"/>
            <color indexed="10"/>
            <rFont val="Tahoma"/>
            <family val="2"/>
          </rPr>
          <t>The district must budget and collect I&amp;S taxes in the amount of this local share in order to receive the full state's share.</t>
        </r>
        <r>
          <rPr>
            <sz val="8"/>
            <color indexed="81"/>
            <rFont val="Tahoma"/>
            <family val="2"/>
          </rPr>
          <t xml:space="preserve">
</t>
        </r>
      </text>
    </comment>
    <comment ref="H74" authorId="0" shapeId="0" xr:uid="{00000000-0006-0000-0900-000006000000}">
      <text>
        <r>
          <rPr>
            <b/>
            <sz val="10"/>
            <color indexed="10"/>
            <rFont val="Tahoma"/>
            <family val="2"/>
          </rPr>
          <t xml:space="preserve">           NOTE:
Any value in this cell will be deducted from M&amp;O tax collections for Tier II calculations</t>
        </r>
        <r>
          <rPr>
            <sz val="8"/>
            <color indexed="81"/>
            <rFont val="Tahoma"/>
            <family val="2"/>
          </rPr>
          <t xml:space="preserve">
</t>
        </r>
      </text>
    </comment>
    <comment ref="F81" authorId="0" shapeId="0" xr:uid="{00000000-0006-0000-0900-000007000000}">
      <text>
        <r>
          <rPr>
            <b/>
            <sz val="10"/>
            <color indexed="10"/>
            <rFont val="Tahoma"/>
            <family val="2"/>
          </rPr>
          <t>Enter Transportation allotment from 2005-06 "Near final"</t>
        </r>
        <r>
          <rPr>
            <sz val="8"/>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WB</author>
  </authors>
  <commentList>
    <comment ref="B43" authorId="0" shapeId="0" xr:uid="{00000000-0006-0000-0C00-000001000000}">
      <text>
        <r>
          <rPr>
            <b/>
            <sz val="10"/>
            <color indexed="10"/>
            <rFont val="Tahoma"/>
            <family val="2"/>
          </rPr>
          <t>Enter Career &amp; Technology FTE's from "Total" Column, Line "O"</t>
        </r>
        <r>
          <rPr>
            <sz val="10"/>
            <color indexed="81"/>
            <rFont val="Tahoma"/>
            <family val="2"/>
          </rPr>
          <t xml:space="preserve">
</t>
        </r>
      </text>
    </comment>
    <comment ref="C43" authorId="0" shapeId="0" xr:uid="{00000000-0006-0000-0C00-000002000000}">
      <text>
        <r>
          <rPr>
            <b/>
            <sz val="10"/>
            <color indexed="10"/>
            <rFont val="Tahoma"/>
            <family val="2"/>
          </rPr>
          <t>Enter Career &amp; Technology FTE's from "Total" Column, Line "O"</t>
        </r>
        <r>
          <rPr>
            <sz val="10"/>
            <color indexed="81"/>
            <rFont val="Tahoma"/>
            <family val="2"/>
          </rPr>
          <t xml:space="preserve">
</t>
        </r>
      </text>
    </comment>
    <comment ref="D43" authorId="0" shapeId="0" xr:uid="{00000000-0006-0000-0C00-000003000000}">
      <text>
        <r>
          <rPr>
            <b/>
            <sz val="10"/>
            <color indexed="10"/>
            <rFont val="Tahoma"/>
            <family val="2"/>
          </rPr>
          <t>Enter Career &amp; Technology FTE's from "Total" Column, Line "O"</t>
        </r>
        <r>
          <rPr>
            <sz val="10"/>
            <color indexed="81"/>
            <rFont val="Tahoma"/>
            <family val="2"/>
          </rPr>
          <t xml:space="preserve">
</t>
        </r>
      </text>
    </comment>
    <comment ref="E43" authorId="0" shapeId="0" xr:uid="{00000000-0006-0000-0C00-000004000000}">
      <text>
        <r>
          <rPr>
            <b/>
            <sz val="10"/>
            <color indexed="10"/>
            <rFont val="Tahoma"/>
            <family val="2"/>
          </rPr>
          <t>Enter Career &amp; Technology FTE's from "Total" Column, Line "O"</t>
        </r>
        <r>
          <rPr>
            <sz val="10"/>
            <color indexed="81"/>
            <rFont val="Tahoma"/>
            <family val="2"/>
          </rPr>
          <t xml:space="preserve">
</t>
        </r>
      </text>
    </comment>
    <comment ref="F43" authorId="0" shapeId="0" xr:uid="{00000000-0006-0000-0C00-000005000000}">
      <text>
        <r>
          <rPr>
            <b/>
            <sz val="10"/>
            <color indexed="10"/>
            <rFont val="Tahoma"/>
            <family val="2"/>
          </rPr>
          <t>Enter Career &amp; Technology FTE's from "Total" Column, Line "O"</t>
        </r>
        <r>
          <rPr>
            <sz val="10"/>
            <color indexed="81"/>
            <rFont val="Tahoma"/>
            <family val="2"/>
          </rPr>
          <t xml:space="preserve">
</t>
        </r>
      </text>
    </comment>
    <comment ref="G43" authorId="0" shapeId="0" xr:uid="{00000000-0006-0000-0C00-000006000000}">
      <text>
        <r>
          <rPr>
            <b/>
            <sz val="10"/>
            <color indexed="10"/>
            <rFont val="Tahoma"/>
            <family val="2"/>
          </rPr>
          <t>Enter Career &amp; Technology FTE's from "Total" Column, Line "O"</t>
        </r>
        <r>
          <rPr>
            <sz val="10"/>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Omar Garcia</author>
  </authors>
  <commentList>
    <comment ref="H42" authorId="0" shapeId="0" xr:uid="{00000000-0006-0000-1900-000001000000}">
      <text>
        <r>
          <rPr>
            <b/>
            <sz val="8"/>
            <color indexed="81"/>
            <rFont val="Tahoma"/>
            <family val="2"/>
          </rPr>
          <t>Omar Garcia:</t>
        </r>
        <r>
          <rPr>
            <sz val="8"/>
            <color indexed="81"/>
            <rFont val="Tahoma"/>
            <family val="2"/>
          </rPr>
          <t xml:space="preserve">
tier 2 @ 23.10 at max dtr under hb1</t>
        </r>
      </text>
    </comment>
    <comment ref="L42" authorId="0" shapeId="0" xr:uid="{00000000-0006-0000-1900-000002000000}">
      <text>
        <r>
          <rPr>
            <b/>
            <sz val="8"/>
            <color indexed="81"/>
            <rFont val="Tahoma"/>
            <family val="2"/>
          </rPr>
          <t>Omar Garcia:</t>
        </r>
        <r>
          <rPr>
            <sz val="8"/>
            <color indexed="81"/>
            <rFont val="Tahoma"/>
            <family val="2"/>
          </rPr>
          <t xml:space="preserve">
tier 2 @ 23.10 at max dtr under hb1…same as h42</t>
        </r>
      </text>
    </comment>
    <comment ref="M42" authorId="0" shapeId="0" xr:uid="{00000000-0006-0000-1900-000003000000}">
      <text>
        <r>
          <rPr>
            <b/>
            <sz val="8"/>
            <color indexed="81"/>
            <rFont val="Tahoma"/>
            <family val="2"/>
          </rPr>
          <t>Omar Garcia:</t>
        </r>
        <r>
          <rPr>
            <sz val="8"/>
            <color indexed="81"/>
            <rFont val="Tahoma"/>
            <family val="2"/>
          </rPr>
          <t xml:space="preserve">
tier 2 @ 24.70 at max dtr under hb1</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Omar Garcia</author>
  </authors>
  <commentList>
    <comment ref="G42" authorId="0" shapeId="0" xr:uid="{00000000-0006-0000-2200-000001000000}">
      <text>
        <r>
          <rPr>
            <b/>
            <sz val="8"/>
            <color indexed="81"/>
            <rFont val="Tahoma"/>
            <family val="2"/>
          </rPr>
          <t>Omar Garcia:</t>
        </r>
        <r>
          <rPr>
            <sz val="8"/>
            <color indexed="81"/>
            <rFont val="Tahoma"/>
            <family val="2"/>
          </rPr>
          <t xml:space="preserve">
tier 2 @ 24.70</t>
        </r>
      </text>
    </comment>
    <comment ref="H42" authorId="0" shapeId="0" xr:uid="{00000000-0006-0000-2200-000002000000}">
      <text>
        <r>
          <rPr>
            <b/>
            <sz val="8"/>
            <color indexed="81"/>
            <rFont val="Tahoma"/>
            <family val="2"/>
          </rPr>
          <t>Omar Garcia:</t>
        </r>
        <r>
          <rPr>
            <sz val="8"/>
            <color indexed="81"/>
            <rFont val="Tahoma"/>
            <family val="2"/>
          </rPr>
          <t xml:space="preserve">
tier 2 @ 23.10</t>
        </r>
      </text>
    </comment>
    <comment ref="I42" authorId="0" shapeId="0" xr:uid="{00000000-0006-0000-2200-000003000000}">
      <text>
        <r>
          <rPr>
            <b/>
            <sz val="8"/>
            <color indexed="81"/>
            <rFont val="Tahoma"/>
            <family val="2"/>
          </rPr>
          <t>Omar Garcia:</t>
        </r>
        <r>
          <rPr>
            <sz val="8"/>
            <color indexed="81"/>
            <rFont val="Tahoma"/>
            <family val="2"/>
          </rPr>
          <t xml:space="preserve">
tier 2 @24.70 @ max tax</t>
        </r>
      </text>
    </comment>
    <comment ref="L42" authorId="0" shapeId="0" xr:uid="{00000000-0006-0000-2200-000004000000}">
      <text>
        <r>
          <rPr>
            <b/>
            <sz val="8"/>
            <color indexed="81"/>
            <rFont val="Tahoma"/>
            <family val="2"/>
          </rPr>
          <t>Omar Garcia:</t>
        </r>
        <r>
          <rPr>
            <sz val="8"/>
            <color indexed="81"/>
            <rFont val="Tahoma"/>
            <family val="2"/>
          </rPr>
          <t xml:space="preserve">
tier 2 @ 23.10….same as H42</t>
        </r>
      </text>
    </comment>
    <comment ref="M42" authorId="0" shapeId="0" xr:uid="{00000000-0006-0000-2200-000005000000}">
      <text>
        <r>
          <rPr>
            <b/>
            <sz val="8"/>
            <color indexed="81"/>
            <rFont val="Tahoma"/>
            <family val="2"/>
          </rPr>
          <t>Omar Garcia:</t>
        </r>
        <r>
          <rPr>
            <sz val="8"/>
            <color indexed="81"/>
            <rFont val="Tahoma"/>
            <family val="2"/>
          </rPr>
          <t xml:space="preserve">
tier 2 @23.10 @ max tax</t>
        </r>
      </text>
    </comment>
  </commentList>
</comments>
</file>

<file path=xl/sharedStrings.xml><?xml version="1.0" encoding="utf-8"?>
<sst xmlns="http://schemas.openxmlformats.org/spreadsheetml/2006/main" count="113932" uniqueCount="8308">
  <si>
    <t>SNYDER ISD</t>
  </si>
  <si>
    <t>IRA ISD</t>
  </si>
  <si>
    <t>ALBANY ISD</t>
  </si>
  <si>
    <t>MORAN ISD</t>
  </si>
  <si>
    <t>CENTER ISD</t>
  </si>
  <si>
    <t>JOAQUIN ISD</t>
  </si>
  <si>
    <t>TENAHA ISD</t>
  </si>
  <si>
    <t>TIMPSON ISD</t>
  </si>
  <si>
    <t>EXCELSIOR ISD</t>
  </si>
  <si>
    <t>TEXHOMA ISD</t>
  </si>
  <si>
    <t>STRATFORD ISD</t>
  </si>
  <si>
    <t>BULLARD ISD</t>
  </si>
  <si>
    <t>LINDALE ISD</t>
  </si>
  <si>
    <t>TROUP ISD</t>
  </si>
  <si>
    <t>TYLER ISD</t>
  </si>
  <si>
    <t>WINONA ISD</t>
  </si>
  <si>
    <t>GLEN ROSE ISD</t>
  </si>
  <si>
    <t>in 2002-03 to meet the local share requirement will have in 2004-05 and 2004-05.</t>
  </si>
  <si>
    <t>2004-05 and 2004-05 in most cases, and thus mean more state assistance.</t>
  </si>
  <si>
    <t>2003 CPTD Property Value</t>
  </si>
  <si>
    <t>N/A</t>
  </si>
  <si>
    <t>Cells shaded in blue require data to be entered (even if "0") in order for all the calculations to be completed.</t>
  </si>
  <si>
    <t>THE 78TH LEGISLATIVE SESSION DID NOT APPROPRIATE ANY FUNDS</t>
  </si>
  <si>
    <r>
      <t>&lt;=</t>
    </r>
    <r>
      <rPr>
        <b/>
        <sz val="10"/>
        <rFont val="Arial MT"/>
      </rPr>
      <t xml:space="preserve"> </t>
    </r>
    <r>
      <rPr>
        <sz val="10"/>
        <rFont val="Arial MT"/>
      </rPr>
      <t>Enter the number of teachers, full-time librarians, full-time nurses, and full-time counselors expressed in terms of full-time equivalents.</t>
    </r>
  </si>
  <si>
    <t>Bond Payment</t>
  </si>
  <si>
    <t xml:space="preserve">Number of Teachers, Librarians, Nurses, and Counselor FTEs </t>
  </si>
  <si>
    <t xml:space="preserve">Number of Employees Participating in Group Health Insurance </t>
  </si>
  <si>
    <t xml:space="preserve">               by Omar Garcia, ESC 13</t>
  </si>
  <si>
    <t xml:space="preserve">(bonded debt only) </t>
  </si>
  <si>
    <t xml:space="preserve">school districts may be entitled to under Section 42.2513 of the Texas Education Code, </t>
  </si>
  <si>
    <t>2002-03 Rate Used for Determining 2002-03 Limit</t>
  </si>
  <si>
    <t xml:space="preserve">2002-03 Rate Needed for All Eligible Debt </t>
  </si>
  <si>
    <t xml:space="preserve">   Speech Therapy (Code 00)</t>
  </si>
  <si>
    <t xml:space="preserve">   Resource Room (Code 41,42)</t>
  </si>
  <si>
    <t xml:space="preserve">   S/C Mild/Mod/Severe (Code 43,44)</t>
  </si>
  <si>
    <t>Adjusted Basic Allotment (ABA)</t>
  </si>
  <si>
    <t>Adjusted Allotment (AA)</t>
  </si>
  <si>
    <t>015-901</t>
  </si>
  <si>
    <t>Alamo Heights ISD</t>
  </si>
  <si>
    <t>015-906</t>
  </si>
  <si>
    <t>Randolph Field ISD</t>
  </si>
  <si>
    <t>015-913</t>
  </si>
  <si>
    <t>Lackland ISD</t>
  </si>
  <si>
    <t>015-914</t>
  </si>
  <si>
    <t>Ft Sam Houston ISD</t>
  </si>
  <si>
    <t>016-901</t>
  </si>
  <si>
    <t>Johnson City ISD</t>
  </si>
  <si>
    <t>017-901</t>
  </si>
  <si>
    <t>Borden County ISD</t>
  </si>
  <si>
    <t>018-902</t>
  </si>
  <si>
    <t># of Resident Students Being Educated by Another District</t>
  </si>
  <si>
    <t xml:space="preserve">               2003-04 School Year</t>
  </si>
  <si>
    <t>090-902</t>
  </si>
  <si>
    <t>Lefors ISD</t>
  </si>
  <si>
    <t>090-903</t>
  </si>
  <si>
    <t>McLean ISD</t>
  </si>
  <si>
    <t>Taxes Paid to Tax Increment Fund, if any</t>
  </si>
  <si>
    <t>Enrollment</t>
  </si>
  <si>
    <t>&lt; This number comes from the Data Entry sheet, CELL F19.</t>
  </si>
  <si>
    <t>&lt; This number comes from the Data Entry sheet, CELL F23.</t>
  </si>
  <si>
    <t>&lt; This number comes from the Data Entry sheet, CELL F24.</t>
  </si>
  <si>
    <r>
      <t xml:space="preserve">              </t>
    </r>
    <r>
      <rPr>
        <b/>
        <u/>
        <sz val="10"/>
        <color indexed="20"/>
        <rFont val="Arial MT"/>
      </rPr>
      <t xml:space="preserve">If sufficient funds are not available to pay the state assistance on those bonds the </t>
    </r>
  </si>
  <si>
    <t xml:space="preserve"> or both." (HB3343)</t>
  </si>
  <si>
    <t>Prosper ISD</t>
  </si>
  <si>
    <t>Quinlan ISD</t>
  </si>
  <si>
    <t>Raymondville ISD</t>
  </si>
  <si>
    <t>Red Oak ISD</t>
  </si>
  <si>
    <t>Rice ISD</t>
  </si>
  <si>
    <t>Irion Co ISD</t>
  </si>
  <si>
    <t>119-901</t>
  </si>
  <si>
    <t>Bryson ISD</t>
  </si>
  <si>
    <t>119-902</t>
  </si>
  <si>
    <t>Jacksboro ISD</t>
  </si>
  <si>
    <t>119-903</t>
  </si>
  <si>
    <t>Perrin-Whitt Cons ISD</t>
  </si>
  <si>
    <t>120-901</t>
  </si>
  <si>
    <t xml:space="preserve">       2002-03 WADA</t>
  </si>
  <si>
    <t>West Hardin County Cons ISD</t>
  </si>
  <si>
    <t>240-904</t>
  </si>
  <si>
    <t>Webb Cons ISD</t>
  </si>
  <si>
    <t>241-901</t>
  </si>
  <si>
    <t>Boling ISD</t>
  </si>
  <si>
    <t>241-902</t>
  </si>
  <si>
    <t>East Bernard ISD</t>
  </si>
  <si>
    <t>241-903</t>
  </si>
  <si>
    <t>El Campo ISD</t>
  </si>
  <si>
    <t>241-904</t>
  </si>
  <si>
    <t>Wharton ISD</t>
  </si>
  <si>
    <t>241-906</t>
  </si>
  <si>
    <t>Louise ISD</t>
  </si>
  <si>
    <t>242-902</t>
  </si>
  <si>
    <t>Shamrock ISD</t>
  </si>
  <si>
    <t>242-903</t>
  </si>
  <si>
    <t>Wheeler ISD</t>
  </si>
  <si>
    <t>242-904</t>
  </si>
  <si>
    <t>HOUSTON ISD</t>
  </si>
  <si>
    <t>LA PORTE ISD</t>
  </si>
  <si>
    <t>SPRING ISD</t>
  </si>
  <si>
    <t>SPRING BRANCH ISD</t>
  </si>
  <si>
    <t>TOMBALL ISD</t>
  </si>
  <si>
    <t>SHELDON ISD</t>
  </si>
  <si>
    <t>KARNACK ISD</t>
  </si>
  <si>
    <t xml:space="preserve">Minimum Effort Requirement on Line 17, excess Maintenance of Effort has to be </t>
  </si>
  <si>
    <t>EDA Eligible</t>
  </si>
  <si>
    <t>(1=yes; 2=no)</t>
  </si>
  <si>
    <t>Calculation of EDTR Limit:</t>
  </si>
  <si>
    <t>where EDA</t>
  </si>
  <si>
    <t>TERLINGUA CSD</t>
  </si>
  <si>
    <t>ALPINE ISD</t>
  </si>
  <si>
    <t>FANNINDEL ISD</t>
  </si>
  <si>
    <t>FARMERSVILLE ISD</t>
  </si>
  <si>
    <t>FLORENCE ISD</t>
  </si>
  <si>
    <t>FLORESVILLE ISD</t>
  </si>
  <si>
    <t>FORNEY ISD</t>
  </si>
  <si>
    <t>FORT BEND ISD</t>
  </si>
  <si>
    <t>FRENSHIP ISD</t>
  </si>
  <si>
    <t>FRIENDSWOOD ISD</t>
  </si>
  <si>
    <t>FRISCO ISD</t>
  </si>
  <si>
    <t>FRUITVALE ISD</t>
  </si>
  <si>
    <t>GAINESVILLE ISD</t>
  </si>
  <si>
    <t>GALENA PARK ISD</t>
  </si>
  <si>
    <t>GANADO ISD</t>
  </si>
  <si>
    <t>GARLAND ISD</t>
  </si>
  <si>
    <t>GARRISON ISD</t>
  </si>
  <si>
    <t>GARY ISD</t>
  </si>
  <si>
    <t>GEORGETOWN ISD</t>
  </si>
  <si>
    <t>GODLEY ISD</t>
  </si>
  <si>
    <t>125-902</t>
  </si>
  <si>
    <t>126-907</t>
  </si>
  <si>
    <t>139-908</t>
  </si>
  <si>
    <t>More corrections:</t>
  </si>
  <si>
    <t>(1) On the 'Calc Data' tab, Cells E34 and E93 were referencing the wrong cells and have been fixed.</t>
  </si>
  <si>
    <t>Marion ISD</t>
  </si>
  <si>
    <t>Marlin ISD</t>
  </si>
  <si>
    <t>Mart ISD</t>
  </si>
  <si>
    <t>Martins Mill ISD</t>
  </si>
  <si>
    <t>Mathis ISD</t>
  </si>
  <si>
    <t>May ISD</t>
  </si>
  <si>
    <t>Summary of Finances, Cont'd</t>
  </si>
  <si>
    <t>(does not include debt not covered by EDA and/or IFA</t>
  </si>
  <si>
    <t>Thorndale ISD</t>
  </si>
  <si>
    <t>167-902</t>
  </si>
  <si>
    <t>Mullin ISD</t>
  </si>
  <si>
    <t>167-903</t>
  </si>
  <si>
    <t>Star ISD</t>
  </si>
  <si>
    <t>168-901</t>
  </si>
  <si>
    <t>Colorado ISD</t>
  </si>
  <si>
    <t>168-902</t>
  </si>
  <si>
    <t>Loraine ISD</t>
  </si>
  <si>
    <t>168-903</t>
  </si>
  <si>
    <t>Westbrook ISD</t>
  </si>
  <si>
    <t>Rate @ $5,000 Exemption Level</t>
  </si>
  <si>
    <t>Apply Rate to $15,000 Exemption Level</t>
  </si>
  <si>
    <t>Change in Unequalized I&amp;S Due to Added $10,000 Exemption</t>
  </si>
  <si>
    <t>State Share of Old Debt Tier</t>
  </si>
  <si>
    <t>Additional I&amp;S Hold Harmless Aid</t>
  </si>
  <si>
    <t>Ganado ISD</t>
  </si>
  <si>
    <t>Refugio ISD</t>
  </si>
  <si>
    <t>197-902</t>
  </si>
  <si>
    <t>Miami ISD</t>
  </si>
  <si>
    <t>PEIMS ADA</t>
  </si>
  <si>
    <t>015-828</t>
  </si>
  <si>
    <t>015-830</t>
  </si>
  <si>
    <t>021-804</t>
  </si>
  <si>
    <t>057-839</t>
  </si>
  <si>
    <t>057-840</t>
  </si>
  <si>
    <t>057-841</t>
  </si>
  <si>
    <t>071-806</t>
  </si>
  <si>
    <t>071-807</t>
  </si>
  <si>
    <t>072-802</t>
  </si>
  <si>
    <t>084-804</t>
  </si>
  <si>
    <t>101-858</t>
  </si>
  <si>
    <t>101-859</t>
  </si>
  <si>
    <t>101-860</t>
  </si>
  <si>
    <t>101-861</t>
  </si>
  <si>
    <t>123-806</t>
  </si>
  <si>
    <t>152-805</t>
  </si>
  <si>
    <t>161-807</t>
  </si>
  <si>
    <t>178-808</t>
  </si>
  <si>
    <t>184-801</t>
  </si>
  <si>
    <t>220-813</t>
  </si>
  <si>
    <t>220-814</t>
  </si>
  <si>
    <t>227-822</t>
  </si>
  <si>
    <t>LA VERNIA ISD</t>
  </si>
  <si>
    <t>LA VILLA ISD</t>
  </si>
  <si>
    <t>LAKE DALLAS ISD</t>
  </si>
  <si>
    <t>LAKE WORTH ISD</t>
  </si>
  <si>
    <t>LAREDO ISD</t>
  </si>
  <si>
    <t>LASARA ISD</t>
  </si>
  <si>
    <t>LEANDER ISD</t>
  </si>
  <si>
    <t>LEWISVILLE ISD</t>
  </si>
  <si>
    <t>LIBERTY HILL ISD</t>
  </si>
  <si>
    <t>LINGLEVILLE ISD</t>
  </si>
  <si>
    <t>LIPAN ISD</t>
  </si>
  <si>
    <t>LITTLE ELM ISD</t>
  </si>
  <si>
    <t>LIVINGSTON ISD</t>
  </si>
  <si>
    <t>LOCKHART ISD</t>
  </si>
  <si>
    <t>LOHN ISD</t>
  </si>
  <si>
    <t>LONE OAK ISD</t>
  </si>
  <si>
    <t>LONGVIEW ISD</t>
  </si>
  <si>
    <t>LORENA ISD</t>
  </si>
  <si>
    <t>LOS FRESNOS CONS ISD</t>
  </si>
  <si>
    <t>LUBBOCK ISD</t>
  </si>
  <si>
    <t>LUBBOCK-COOPER ISD</t>
  </si>
  <si>
    <t>Note3:  Salary transition for Chapter 41 districts is computed in the</t>
  </si>
  <si>
    <t>Wellington ISD</t>
  </si>
  <si>
    <t>044-904</t>
  </si>
  <si>
    <t>Samnorwood ISD</t>
  </si>
  <si>
    <t>045-903</t>
  </si>
  <si>
    <t>Rice Cons ISD</t>
  </si>
  <si>
    <t>045-905</t>
  </si>
  <si>
    <t>Weimar ISD</t>
  </si>
  <si>
    <t>046-901</t>
  </si>
  <si>
    <t>New Braunfels ISD</t>
  </si>
  <si>
    <t>046-902</t>
  </si>
  <si>
    <t>Comal ISD</t>
  </si>
  <si>
    <r>
      <t xml:space="preserve">&lt;= This data element has been loaded automatically.  It is the ADA adjusted for Pre-K but not for the declining ADA adjustment.  If the 04-05 total refined ADA on the district's latest Summary of Finances is different, you will have to unprotect this cell and enter the number from the district's latest Summary of Finances. If the district had a Pre-K, K Expansion Grant, the total refined ADA that was reported thru PEIMS was reduced by 1/2 of the Pre-K ADA.  </t>
    </r>
    <r>
      <rPr>
        <sz val="10"/>
        <color indexed="10"/>
        <rFont val="Arial MT"/>
      </rPr>
      <t xml:space="preserve"> </t>
    </r>
  </si>
  <si>
    <t>If this data is incorrect, please contact Cynthia Hegemier-Boggs at (512) 463-9238.</t>
  </si>
  <si>
    <t>EDA eligible debt is debt for which the district levied an I&amp;S tax rate for in 2004-05.</t>
  </si>
  <si>
    <t>L</t>
  </si>
  <si>
    <t>Pine Tree ISD</t>
  </si>
  <si>
    <t>092-906</t>
  </si>
  <si>
    <t>Sabine ISD</t>
  </si>
  <si>
    <t>092-908</t>
  </si>
  <si>
    <t>White Oak ISD</t>
  </si>
  <si>
    <t>093-901</t>
  </si>
  <si>
    <t>Anderson-Shiro Cons ISD</t>
  </si>
  <si>
    <t>093-903</t>
  </si>
  <si>
    <t>Iola ISD</t>
  </si>
  <si>
    <t>093-904</t>
  </si>
  <si>
    <t xml:space="preserve">2002-03 Actual Debt Service Payment for Bonded Debt </t>
  </si>
  <si>
    <t xml:space="preserve">2002-03 State/Local Share of IFA Awarded for Bonded Debt </t>
  </si>
  <si>
    <t>229-901</t>
  </si>
  <si>
    <t>020-907</t>
  </si>
  <si>
    <t>045-902</t>
  </si>
  <si>
    <t>116-903</t>
  </si>
  <si>
    <t>043-918</t>
  </si>
  <si>
    <t>161-921</t>
  </si>
  <si>
    <t>170-902</t>
  </si>
  <si>
    <t>050-910</t>
  </si>
  <si>
    <t>178-904</t>
  </si>
  <si>
    <t>175-903</t>
  </si>
  <si>
    <t>142-901</t>
  </si>
  <si>
    <t>109-903</t>
  </si>
  <si>
    <t>129-901</t>
  </si>
  <si>
    <t>101-906</t>
  </si>
  <si>
    <t>220-912</t>
  </si>
  <si>
    <t>254-901</t>
  </si>
  <si>
    <t>175-904</t>
  </si>
  <si>
    <t>146-902</t>
  </si>
  <si>
    <t>047-902</t>
  </si>
  <si>
    <t>Farmersville ISD</t>
  </si>
  <si>
    <t>Florence ISD</t>
  </si>
  <si>
    <t>Forney ISD</t>
  </si>
  <si>
    <t>184-911</t>
  </si>
  <si>
    <t>Garner ISD</t>
  </si>
  <si>
    <t>185-901</t>
  </si>
  <si>
    <t>Bovina ISD</t>
  </si>
  <si>
    <t>185-902</t>
  </si>
  <si>
    <t>Farwell ISD</t>
  </si>
  <si>
    <t>185-903</t>
  </si>
  <si>
    <t>Friona ISD</t>
  </si>
  <si>
    <t>185-904</t>
  </si>
  <si>
    <t>Lazbuddie ISD</t>
  </si>
  <si>
    <t>188-901</t>
  </si>
  <si>
    <t>036-901</t>
  </si>
  <si>
    <t>043-902</t>
  </si>
  <si>
    <t>127-901</t>
  </si>
  <si>
    <t>071-906</t>
  </si>
  <si>
    <t>220-901</t>
  </si>
  <si>
    <t>061-907</t>
  </si>
  <si>
    <t>Under HB1:</t>
  </si>
  <si>
    <t>Under Old Law:</t>
  </si>
  <si>
    <t xml:space="preserve">     06-07 Collections Using 2004-05 Tax Effort</t>
  </si>
  <si>
    <t>Old Law</t>
  </si>
  <si>
    <t xml:space="preserve">     Recapture Using 04-05 Tax Effort</t>
  </si>
  <si>
    <t>&lt;using 04-05 tax effort</t>
  </si>
  <si>
    <t>under Option 4 (calculated in Cell I61).</t>
  </si>
  <si>
    <t>CHISUM ISD</t>
  </si>
  <si>
    <t>NORTH LAMAR ISD</t>
  </si>
  <si>
    <t>AMHERST ISD</t>
  </si>
  <si>
    <t>LITTLEFIELD ISD</t>
  </si>
  <si>
    <t>SPADE ISD</t>
  </si>
  <si>
    <t>SPRINGLAKE-EARTH ISD</t>
  </si>
  <si>
    <t>SUDAN ISD</t>
  </si>
  <si>
    <t>LAMPASAS ISD</t>
  </si>
  <si>
    <t>LOMETA ISD</t>
  </si>
  <si>
    <t>HALLETTSVILLE ISD</t>
  </si>
  <si>
    <t>MOULTON ISD</t>
  </si>
  <si>
    <t>SHINER ISD</t>
  </si>
  <si>
    <t>VYSEHRAD ISD</t>
  </si>
  <si>
    <t>SWEET HOME ISD</t>
  </si>
  <si>
    <t>EZZELL ISD</t>
  </si>
  <si>
    <t>GIDDINGS ISD</t>
  </si>
  <si>
    <t>LEXINGTON ISD</t>
  </si>
  <si>
    <t>DIME BOX ISD</t>
  </si>
  <si>
    <t>BUFFALO ISD</t>
  </si>
  <si>
    <t>CENTERVILLE ISD</t>
  </si>
  <si>
    <t>NORMANGEE ISD</t>
  </si>
  <si>
    <t>OAKWOOD ISD</t>
  </si>
  <si>
    <t>LEON ISD</t>
  </si>
  <si>
    <t>DEVERS ISD</t>
  </si>
  <si>
    <t>LIBERTY ISD</t>
  </si>
  <si>
    <t>CHANNELVIEW ISD</t>
  </si>
  <si>
    <t>CYPRESS-FAIRBANKS ISD</t>
  </si>
  <si>
    <t>DEER PARK ISD</t>
  </si>
  <si>
    <t>GOOSE CREEK CISD</t>
  </si>
  <si>
    <t>Sweet Home ISD</t>
  </si>
  <si>
    <t>143-906</t>
  </si>
  <si>
    <t>Ezzell ISD</t>
  </si>
  <si>
    <t>144-901</t>
  </si>
  <si>
    <t>Giddings ISD</t>
  </si>
  <si>
    <t>144-902</t>
  </si>
  <si>
    <t>Lexington ISD</t>
  </si>
  <si>
    <t>144-903</t>
  </si>
  <si>
    <t>Dime Box ISD</t>
  </si>
  <si>
    <t>145-901</t>
  </si>
  <si>
    <t>Buffalo ISD</t>
  </si>
  <si>
    <t>145-902</t>
  </si>
  <si>
    <t>Centerville ISD</t>
  </si>
  <si>
    <t>145-906</t>
  </si>
  <si>
    <t>Nederland ISD</t>
  </si>
  <si>
    <t>067-902</t>
  </si>
  <si>
    <t>Cisco ISD</t>
  </si>
  <si>
    <t>ABBOTT ISD</t>
  </si>
  <si>
    <t>CISCO ISD</t>
  </si>
  <si>
    <t>MALONE ISD</t>
  </si>
  <si>
    <t>MOUNT ENTERPRISE ISD</t>
  </si>
  <si>
    <t>MURCHISON ISD</t>
  </si>
  <si>
    <t>WALNUT SPRINGS ISD</t>
  </si>
  <si>
    <t>different from the actual amount generated by the Summary of Finances.</t>
  </si>
  <si>
    <t>Troy ISD</t>
  </si>
  <si>
    <t>United ISD</t>
  </si>
  <si>
    <t>If all debt is being covered by IFA, Line 11=0, ELSE,</t>
  </si>
  <si>
    <t>If all debt is being covered by IFA, Line 10=0, ELSE,</t>
  </si>
  <si>
    <t>different in the $2,537 and $2,396 runs, whereas this template uses</t>
  </si>
  <si>
    <t>PENELOPE ISD</t>
  </si>
  <si>
    <t>PERRYTON ISD</t>
  </si>
  <si>
    <t>PETROLIA ISD</t>
  </si>
  <si>
    <t>PFLUGERVILLE ISD</t>
  </si>
  <si>
    <t>PHARR-SAN JUAN-ALAMO ISD</t>
  </si>
  <si>
    <t>PILOT POINT ISD</t>
  </si>
  <si>
    <t>PLEASANTON ISD</t>
  </si>
  <si>
    <t>PONDER ISD</t>
  </si>
  <si>
    <t>POOLVILLE ISD</t>
  </si>
  <si>
    <t>POTEET ISD</t>
  </si>
  <si>
    <t>POTH ISD</t>
  </si>
  <si>
    <t>POTTSBORO ISD</t>
  </si>
  <si>
    <t>PRAIRILAND ISD</t>
  </si>
  <si>
    <t>PREMONT ISD</t>
  </si>
  <si>
    <t>PRESIDIO ISD</t>
  </si>
  <si>
    <t>PRIDDY ISD</t>
  </si>
  <si>
    <t>PRINCETON ISD</t>
  </si>
  <si>
    <t>PROGRESO ISD</t>
  </si>
  <si>
    <t>PROSPER ISD</t>
  </si>
  <si>
    <t>QUINLAN ISD</t>
  </si>
  <si>
    <t>RAYMONDVILLE ISD</t>
  </si>
  <si>
    <t>RED OAK ISD</t>
  </si>
  <si>
    <t>RICE ISD</t>
  </si>
  <si>
    <t>RIESEL ISD</t>
  </si>
  <si>
    <t>RIO GRANDE CITY CISD</t>
  </si>
  <si>
    <t>RIO HONDO ISD</t>
  </si>
  <si>
    <t>RIO VISTA ISD</t>
  </si>
  <si>
    <t>RIVER ROAD ISD</t>
  </si>
  <si>
    <t>RIVERCREST ISD</t>
  </si>
  <si>
    <t>ROBINSON ISD</t>
  </si>
  <si>
    <t>ROBSTOWN ISD</t>
  </si>
  <si>
    <t>ROGERS ISD</t>
  </si>
  <si>
    <t>ROMA ISD</t>
  </si>
  <si>
    <t>ROSCOE ISD</t>
  </si>
  <si>
    <t>ROTAN ISD</t>
  </si>
  <si>
    <t>ROUND ROCK ISD</t>
  </si>
  <si>
    <t>ROXTON ISD</t>
  </si>
  <si>
    <t>ROYSE CITY ISD</t>
  </si>
  <si>
    <t>RUSK ISD</t>
  </si>
  <si>
    <t>SABINAL ISD</t>
  </si>
  <si>
    <t>SALADO ISD</t>
  </si>
  <si>
    <t>SAM RAYBURN ISD</t>
  </si>
  <si>
    <t>SAN ANGELO ISD</t>
  </si>
  <si>
    <t>SAN ANTONIO ISD</t>
  </si>
  <si>
    <t>SAN BENITO CONS ISD</t>
  </si>
  <si>
    <t>SAN DIEGO ISD</t>
  </si>
  <si>
    <t>SAN ELIZARIO ISD</t>
  </si>
  <si>
    <t>SAN FELIPE-DEL RIO CONS ISD</t>
  </si>
  <si>
    <t>SAN PERLITA ISD</t>
  </si>
  <si>
    <t xml:space="preserve">   Nonpublic Contracts</t>
  </si>
  <si>
    <t xml:space="preserve">   Res Care &amp; Treatment (Code 81-89)</t>
  </si>
  <si>
    <t xml:space="preserve">   Full-time Early Childhood (Code 45)</t>
  </si>
  <si>
    <t>Mainstream ADA</t>
  </si>
  <si>
    <t>Special Education Instructional Arrangement FTEs:</t>
  </si>
  <si>
    <t>Compensatory Ed Enrollment</t>
  </si>
  <si>
    <t>FTEs of Pregnant Students</t>
  </si>
  <si>
    <t>G &amp; T  Enrollment</t>
  </si>
  <si>
    <t>Public Ed Grant Student ADA</t>
  </si>
  <si>
    <t>New Instructional Facility ADA</t>
  </si>
  <si>
    <t>Highest Grade Taught</t>
  </si>
  <si>
    <t>Square Miles</t>
  </si>
  <si>
    <t>BUENA VISTA ISD</t>
  </si>
  <si>
    <t>FT STOCKTON ISD</t>
  </si>
  <si>
    <t>IRAAN-SHEFFIELD ISD</t>
  </si>
  <si>
    <t>BIG SANDY ISD</t>
  </si>
  <si>
    <t>GOODRICH ISD</t>
  </si>
  <si>
    <t>CORRIGAN-CAMDEN ISD</t>
  </si>
  <si>
    <t>LEGGETT ISD</t>
  </si>
  <si>
    <t>ONALASKA ISD</t>
  </si>
  <si>
    <t>BUSHLAND ISD</t>
  </si>
  <si>
    <t>RAINS ISD</t>
  </si>
  <si>
    <t>CANYON INDEPENDENT SCHOOL DISTRICT</t>
  </si>
  <si>
    <t>EAGLE CHARTER FORT WORTH</t>
  </si>
  <si>
    <t>220-904</t>
  </si>
  <si>
    <t>The $110 per WADA expires after 2004-05.</t>
  </si>
  <si>
    <t xml:space="preserve">districts had in 2004-05, even if the $110 is </t>
  </si>
  <si>
    <t>distributed thru a different mechanism.</t>
  </si>
  <si>
    <t xml:space="preserve">     1992-93 Total M&amp;O Revenue</t>
  </si>
  <si>
    <t xml:space="preserve">     1992-93 WADA</t>
  </si>
  <si>
    <t xml:space="preserve">     1992-93 Total M&amp;O Rev Adj for WADA change</t>
  </si>
  <si>
    <t xml:space="preserve">     1992-93 Adjusted Revenue Less ASF</t>
  </si>
  <si>
    <t xml:space="preserve">     1992-93 M&amp;O Effective Rate</t>
  </si>
  <si>
    <t>Tax Base at Equalized Level:</t>
  </si>
  <si>
    <t>Tax Base at Hold Harmless Level:</t>
  </si>
  <si>
    <t xml:space="preserve">     1992-93 Hold Harmless Tax Base</t>
  </si>
  <si>
    <t xml:space="preserve">     Hold Harmless Tax Base per WADA</t>
  </si>
  <si>
    <t>Petersburg ISD</t>
  </si>
  <si>
    <t>095-905</t>
  </si>
  <si>
    <t>Plainview ISD</t>
  </si>
  <si>
    <t>096-904</t>
  </si>
  <si>
    <t>Memphis ISD</t>
  </si>
  <si>
    <t>096-905</t>
  </si>
  <si>
    <t>Turkey-Quitaque ISD</t>
  </si>
  <si>
    <t>097-902</t>
  </si>
  <si>
    <t>Hamilton ISD</t>
  </si>
  <si>
    <t>098-901</t>
  </si>
  <si>
    <t>Gruver ISD</t>
  </si>
  <si>
    <t xml:space="preserve">   Additional State Aid for Employee Benefits</t>
  </si>
  <si>
    <t>($1,800 x # of participating employees)</t>
  </si>
  <si>
    <t>2002-03 Allowed Rate (Lesser of Line 7 or Line 8, or $.12)</t>
  </si>
  <si>
    <t xml:space="preserve">            2002-03 School Year</t>
  </si>
  <si>
    <t xml:space="preserve"> = the district's 2002-03 ADA</t>
  </si>
  <si>
    <t>011-904</t>
  </si>
  <si>
    <t>013-901</t>
  </si>
  <si>
    <t>042-903</t>
  </si>
  <si>
    <t>043-903</t>
  </si>
  <si>
    <t>049-903</t>
  </si>
  <si>
    <t>062-901</t>
  </si>
  <si>
    <t>076-904</t>
  </si>
  <si>
    <t>082-903</t>
  </si>
  <si>
    <t>097-903</t>
  </si>
  <si>
    <t>104-902</t>
  </si>
  <si>
    <t>109-902</t>
  </si>
  <si>
    <t>127-905</t>
  </si>
  <si>
    <t>128-902</t>
  </si>
  <si>
    <t>Danbury ISD</t>
  </si>
  <si>
    <t>Brookesmith ISD</t>
  </si>
  <si>
    <t>Rio Hondo ISD</t>
  </si>
  <si>
    <t>Santa Maria ISD</t>
  </si>
  <si>
    <t>Judson ISD</t>
  </si>
  <si>
    <t>Karnes City ISD</t>
  </si>
  <si>
    <t>Katy ISD</t>
  </si>
  <si>
    <t>Kaufman ISD</t>
  </si>
  <si>
    <t>Keller ISD</t>
  </si>
  <si>
    <t>Kemp ISD</t>
  </si>
  <si>
    <t>Kennedale ISD</t>
  </si>
  <si>
    <t>Killeen ISD</t>
  </si>
  <si>
    <t>Kirbyville ISD</t>
  </si>
  <si>
    <t>Klein ISD</t>
  </si>
  <si>
    <t>(27.14 x WADA x DTR x 100) - LR</t>
  </si>
  <si>
    <t>(24.70 x WADA x DTR x 100) - LR</t>
  </si>
  <si>
    <t>Knippa ISD</t>
  </si>
  <si>
    <t>La Feria ISD</t>
  </si>
  <si>
    <t>Copperas Cove ISD</t>
  </si>
  <si>
    <t>&lt;&lt;&lt;&lt;&lt;&lt;&lt;&lt;Prior-Year Data &gt;&gt;&gt;&gt;&gt;&gt;&gt;&gt;</t>
  </si>
  <si>
    <t>Bonds</t>
  </si>
  <si>
    <t>Lease-Purchase</t>
  </si>
  <si>
    <t>1.a</t>
  </si>
  <si>
    <t>1.b</t>
  </si>
  <si>
    <t>1.c</t>
  </si>
  <si>
    <t>1.d</t>
  </si>
  <si>
    <t>Local Revenue per $.01 per ADA (Line 5 / Line 2)</t>
  </si>
  <si>
    <t>State's Share of $35 per ADA Yield ($35 - Line 6)</t>
  </si>
  <si>
    <t>State's Share Expressed as Percentage (Line 7 / 35)</t>
  </si>
  <si>
    <t>Local share of IFA (Line 4 - Line 9)</t>
  </si>
  <si>
    <r>
      <t xml:space="preserve">&lt;= </t>
    </r>
    <r>
      <rPr>
        <sz val="10"/>
        <rFont val="Arial MT"/>
      </rPr>
      <t xml:space="preserve">Enter homebound FTEs.  </t>
    </r>
    <r>
      <rPr>
        <b/>
        <sz val="10"/>
        <rFont val="Arial MT"/>
      </rPr>
      <t/>
    </r>
  </si>
  <si>
    <t>&lt;= Enter highest grade taught (not necessary if district is greater than 1,600 ADA).</t>
  </si>
  <si>
    <t>2000-01 Health Ins. Expenses</t>
  </si>
  <si>
    <t>Excess Formula Gain</t>
  </si>
  <si>
    <t>"Minimum Effort" Transition Assistance below.</t>
  </si>
  <si>
    <t>Maintenance of Effort Requirement:</t>
  </si>
  <si>
    <t>ADDITIONAL STATE AID FOR SCHOOL EMPLOYEE BENEFITS</t>
  </si>
  <si>
    <t>15.</t>
  </si>
  <si>
    <t>16.</t>
  </si>
  <si>
    <t>17.</t>
  </si>
  <si>
    <t>18.</t>
  </si>
  <si>
    <t>19.</t>
  </si>
  <si>
    <t>20.</t>
  </si>
  <si>
    <t>Instructional Facilities Allotment (IFA)</t>
  </si>
  <si>
    <t>MERCEDES ISD</t>
  </si>
  <si>
    <t>MESQUITE ISD</t>
  </si>
  <si>
    <t>MIDLAND ISD</t>
  </si>
  <si>
    <t>MILES ISD</t>
  </si>
  <si>
    <t>MILLER GROVE ISD</t>
  </si>
  <si>
    <t>MILLSAP ISD</t>
  </si>
  <si>
    <t>MINERAL WELLS ISD</t>
  </si>
  <si>
    <t>MISSION CONS ISD</t>
  </si>
  <si>
    <t>MONTE ALTO ISD</t>
  </si>
  <si>
    <t>MOUNT CALM ISD</t>
  </si>
  <si>
    <t>NATALIA ISD</t>
  </si>
  <si>
    <t>NAZARETH ISD</t>
  </si>
  <si>
    <t>under HB 1 (TEA's "S4" calculations) won't change the "bottom-line"….more/less Salary Transition or Additional State</t>
  </si>
  <si>
    <t xml:space="preserve">Aid for School Employee Benefits under HB 1 will reduce/increase the amount of Additional State Aid for Tax </t>
  </si>
  <si>
    <t>Reduction….the total state aid amount on the 'SOF0607-HB1' worksheet will not change.</t>
  </si>
  <si>
    <t>137-901</t>
  </si>
  <si>
    <t>138-902</t>
  </si>
  <si>
    <t>139-912</t>
  </si>
  <si>
    <t>146-904</t>
  </si>
  <si>
    <t xml:space="preserve">&lt;= This number has been entered for you - if incorrect, unprotect this cell and enter the number of full-time employees the district had in 2000-01 (as of this release, TRS's definition of full-time employees will be the number of employees that were members of TRS; also, as of this release, TRS has not decided whether this count will be a cumulative count or a 'snapshot' count). </t>
  </si>
  <si>
    <t>Hamlin ISD</t>
  </si>
  <si>
    <t>128-903</t>
  </si>
  <si>
    <t>Runge ISD</t>
  </si>
  <si>
    <t>028-903</t>
  </si>
  <si>
    <t>Luling ISD</t>
  </si>
  <si>
    <t>Harlingen Cons ISD</t>
  </si>
  <si>
    <t xml:space="preserve">     Adjusted Cost of Education Index</t>
  </si>
  <si>
    <t xml:space="preserve">Using Per Capita </t>
  </si>
  <si>
    <t xml:space="preserve">The following determines whether the increase in the per capita rate resulting from the passage of the Constitutional </t>
  </si>
  <si>
    <t>STAR ISD</t>
  </si>
  <si>
    <t>COLORADO ISD</t>
  </si>
  <si>
    <t>LORAINE ISD</t>
  </si>
  <si>
    <t>WESTBROOK ISD</t>
  </si>
  <si>
    <t>BOWIE ISD</t>
  </si>
  <si>
    <t>NOCONA ISD</t>
  </si>
  <si>
    <t>GOLD BURG ISD</t>
  </si>
  <si>
    <t>MONTAGUE ISD</t>
  </si>
  <si>
    <t>PRAIRIE VALLEY ISD</t>
  </si>
  <si>
    <t>FORESTBURG ISD</t>
  </si>
  <si>
    <t>SAINT JO ISD</t>
  </si>
  <si>
    <t>MONTGOMERY ISD</t>
  </si>
  <si>
    <t>DUMAS ISD</t>
  </si>
  <si>
    <t>SUNRAY ISD</t>
  </si>
  <si>
    <t>DAINGERFIELD-LONE STAR ISD</t>
  </si>
  <si>
    <t>PEWITT ISD</t>
  </si>
  <si>
    <t>MOTLEY COUNTY ISD</t>
  </si>
  <si>
    <t>CUSHING ISD</t>
  </si>
  <si>
    <t>NACOGDOCHES ISD</t>
  </si>
  <si>
    <t>CENTRAL HEIGHTS ISD</t>
  </si>
  <si>
    <t>MARTINSVILLE ISD</t>
  </si>
  <si>
    <t>DOUGLASS ISD</t>
  </si>
  <si>
    <t>BLOOMING GROVE ISD</t>
  </si>
  <si>
    <t>FROST ISD</t>
  </si>
  <si>
    <t>MILDRED ISD</t>
  </si>
  <si>
    <t>BURKEVILLE ISD</t>
  </si>
  <si>
    <t>SWEETWATER ISD</t>
  </si>
  <si>
    <t>BLACKWELL CONS ISD</t>
  </si>
  <si>
    <t>HIGHLAND ISD</t>
  </si>
  <si>
    <t>AGUA DULCE ISD</t>
  </si>
  <si>
    <t>BISHOP CONS ISD</t>
  </si>
  <si>
    <t>CALALLEN ISD</t>
  </si>
  <si>
    <t>DRISCOLL ISD</t>
  </si>
  <si>
    <t>LONDON ISD</t>
  </si>
  <si>
    <t>PORT ARANSAS ISD</t>
  </si>
  <si>
    <t>TULOSO-MIDWAY ISD</t>
  </si>
  <si>
    <t>BANQUETE ISD</t>
  </si>
  <si>
    <t>FLOUR BLUFF ISD</t>
  </si>
  <si>
    <t>WEST OSO ISD</t>
  </si>
  <si>
    <t>VEGA ISD</t>
  </si>
  <si>
    <t>ADRIAN ISD</t>
  </si>
  <si>
    <t>WILDORADO ISD</t>
  </si>
  <si>
    <t>ORANGEFIELD ISD</t>
  </si>
  <si>
    <t>WEST ORANGE-COVE CONS ISD</t>
  </si>
  <si>
    <t>San Augustine ISD</t>
  </si>
  <si>
    <t>203-902</t>
  </si>
  <si>
    <t>Broaddus ISD</t>
  </si>
  <si>
    <t>204-901</t>
  </si>
  <si>
    <t>McMullen County ISD</t>
  </si>
  <si>
    <t>D'hanis ISD</t>
  </si>
  <si>
    <t>164-901</t>
  </si>
  <si>
    <t>Menard ISD</t>
  </si>
  <si>
    <t>165-803</t>
  </si>
  <si>
    <t>EAGLE CHARTER MIDLAND</t>
  </si>
  <si>
    <t>165-902</t>
  </si>
  <si>
    <t>Greenwood ISD</t>
  </si>
  <si>
    <t xml:space="preserve">     WADA Credit for New Instr. Facilities Allot.</t>
  </si>
  <si>
    <t xml:space="preserve">     Adjusted Cost After WADA Credits</t>
  </si>
  <si>
    <t>Credits Against Option 3 Initial Cost:</t>
  </si>
  <si>
    <t>2005-06 state/local revenue for hold harmless purposes.</t>
  </si>
  <si>
    <r>
      <t xml:space="preserve">Note 2:  The preliminary 2006-07 Summary of Finances that was posted on 7/21/06 uses 2005-06 </t>
    </r>
    <r>
      <rPr>
        <b/>
        <i/>
        <sz val="10"/>
        <color indexed="20"/>
        <rFont val="Arial MT"/>
      </rPr>
      <t>LPE</t>
    </r>
    <r>
      <rPr>
        <b/>
        <sz val="10"/>
        <color indexed="20"/>
        <rFont val="Arial MT"/>
      </rPr>
      <t xml:space="preserve"> data to calculate</t>
    </r>
  </si>
  <si>
    <t>050-904</t>
  </si>
  <si>
    <t>Oglesby ISD</t>
  </si>
  <si>
    <t>057-910</t>
  </si>
  <si>
    <t>Grand Prairie ISD</t>
  </si>
  <si>
    <t>060-914</t>
  </si>
  <si>
    <t>Fannindel ISD</t>
  </si>
  <si>
    <t>061-914</t>
  </si>
  <si>
    <t>Little Elm ISD</t>
  </si>
  <si>
    <t>065-902</t>
  </si>
  <si>
    <t>Hedley ISD</t>
  </si>
  <si>
    <t>Harmony ISD</t>
  </si>
  <si>
    <t>Hawley ISD</t>
  </si>
  <si>
    <t>&lt;= Enter the district's share of the projects out of comp ed funds (can be entered as positive or negative amount - use same charge that appears of the district's preliminary 2005-06 Summary of Finances as an estimate.</t>
  </si>
  <si>
    <t xml:space="preserve">&lt;= Enter the district's share of the special ed. ECI project (can be entered as negative or positive number) - use same charge as on the district's preliminary 2005-06 Summary of Finances as an estimate).    </t>
  </si>
  <si>
    <t xml:space="preserve"> used "…to provide employee compensation at a rate greater than the rate of compensation </t>
  </si>
  <si>
    <t>140-901</t>
  </si>
  <si>
    <t>Amherst ISD</t>
  </si>
  <si>
    <t>140-904</t>
  </si>
  <si>
    <t xml:space="preserve">the remaining 20% to the district's 1998-99 salary transition entitlement expired. </t>
  </si>
  <si>
    <t>14.</t>
  </si>
  <si>
    <t>* NOTE:  Bonds are eligible if (1) the district made payments on the bonds during the</t>
  </si>
  <si>
    <t xml:space="preserve">              the bonds were included in the district's audited debt service collections for </t>
  </si>
  <si>
    <t>Harrold ISD</t>
  </si>
  <si>
    <t>244-903</t>
  </si>
  <si>
    <t>Vernon ISD</t>
  </si>
  <si>
    <t>244-905</t>
  </si>
  <si>
    <t>246-907</t>
  </si>
  <si>
    <t>Jarrell ISD</t>
  </si>
  <si>
    <t>246-914</t>
  </si>
  <si>
    <t>Coupland ISD</t>
  </si>
  <si>
    <t>248-901</t>
  </si>
  <si>
    <t>Kermit ISD</t>
  </si>
  <si>
    <t>248-902</t>
  </si>
  <si>
    <t>Wink-Loving ISD</t>
  </si>
  <si>
    <t>249-902</t>
  </si>
  <si>
    <t>Boyd ISD</t>
  </si>
  <si>
    <t>1999-00 State &amp; Local Revenue Available for Operations (Line 3 + Line 4)</t>
  </si>
  <si>
    <t>the formula for Cells D7 and E7 will be decreased to the level of appropriation available.</t>
  </si>
  <si>
    <t xml:space="preserve">     Adjusted Tax Base Retained at HH Level</t>
  </si>
  <si>
    <t>219-901</t>
  </si>
  <si>
    <t>Happy ISD</t>
  </si>
  <si>
    <t>219-903</t>
  </si>
  <si>
    <t>Tulia ISD</t>
  </si>
  <si>
    <t>219-905</t>
  </si>
  <si>
    <t>Kress ISD</t>
  </si>
  <si>
    <t>220-801</t>
  </si>
  <si>
    <t>TREETOPS INTERNATIONAL</t>
  </si>
  <si>
    <t>Local Revenue (LR)</t>
  </si>
  <si>
    <t>Summary of Finances</t>
  </si>
  <si>
    <t>Basic Information:</t>
  </si>
  <si>
    <t xml:space="preserve">     Special Education FTE</t>
  </si>
  <si>
    <t xml:space="preserve">     Career &amp; Technology FTE</t>
  </si>
  <si>
    <t xml:space="preserve">     Regular Program ADA</t>
  </si>
  <si>
    <t xml:space="preserve">     CPTD Property Value</t>
  </si>
  <si>
    <t xml:space="preserve">     Adjusted CPTD Property Value</t>
  </si>
  <si>
    <t>Program Intent Code</t>
  </si>
  <si>
    <t>Regular Block Grant</t>
  </si>
  <si>
    <t>174-901</t>
  </si>
  <si>
    <t>Chireno ISD</t>
  </si>
  <si>
    <t>174-903</t>
  </si>
  <si>
    <t>Garrison ISD</t>
  </si>
  <si>
    <t xml:space="preserve">Cell F202 on the 'SOF0607-HB1' tab has been changed accordingly.  TEA is reportedly going to get a letter stating </t>
  </si>
  <si>
    <t xml:space="preserve">rate.  I have changed the penalty calculation to reflect the way I think TEA will calculate it. The penalty will be much </t>
  </si>
  <si>
    <t>108-910</t>
  </si>
  <si>
    <t>043-912</t>
  </si>
  <si>
    <t>116-908</t>
  </si>
  <si>
    <t xml:space="preserve">NOTE:  The district must levy and collect I&amp;S taxes in the </t>
  </si>
  <si>
    <t>Riesel ISD</t>
  </si>
  <si>
    <t>Rio Grande City ISD</t>
  </si>
  <si>
    <t>River Road ISD</t>
  </si>
  <si>
    <t>Robinson ISD</t>
  </si>
  <si>
    <t>Robstown ISD</t>
  </si>
  <si>
    <t>Rogers ISD</t>
  </si>
  <si>
    <t>Round Rock ISD</t>
  </si>
  <si>
    <t>Rusk ISD</t>
  </si>
  <si>
    <t>Salado ISD</t>
  </si>
  <si>
    <t>San Angelo ISD</t>
  </si>
  <si>
    <t>San Antonio ISD</t>
  </si>
  <si>
    <t>San Benito Cons ISD</t>
  </si>
  <si>
    <t>San Elizario ISD</t>
  </si>
  <si>
    <t>I&amp;S Taxes Needed to Receive Full State Share of IFA for Bonded Debt</t>
  </si>
  <si>
    <t>Latexo ISD</t>
  </si>
  <si>
    <t>113-906</t>
  </si>
  <si>
    <t>Before Any $110 Adj</t>
  </si>
  <si>
    <t>152-910</t>
  </si>
  <si>
    <t>Idalou ISD</t>
  </si>
  <si>
    <t>North East ISD</t>
  </si>
  <si>
    <t>North Forest ISD</t>
  </si>
  <si>
    <t>066-903</t>
  </si>
  <si>
    <t>Freer ISD</t>
  </si>
  <si>
    <t>067-903</t>
  </si>
  <si>
    <t>Eastland ISD</t>
  </si>
  <si>
    <t>067-904</t>
  </si>
  <si>
    <t>Gorman ISD</t>
  </si>
  <si>
    <t>067-907</t>
  </si>
  <si>
    <t>1992-93 Chapter 36 WADA</t>
  </si>
  <si>
    <t>1991 CPTD Property Value</t>
  </si>
  <si>
    <t>Current Law</t>
  </si>
  <si>
    <t>Amount of M&amp;O Taxes Collected per Penny of Adopted Rate</t>
  </si>
  <si>
    <t xml:space="preserve">&lt;= This cell is calculated for you if the district's highest grade taught is less than 12 (on cell F77 or H77) and the district pays tuition for students whose grades are not taught (cell F90 or H90). </t>
  </si>
  <si>
    <t>&lt;= Enter the estimated M&amp;O taxes to be collected (including frozen levies) for the applicable year at the adopted M&amp;O rate (either from 9/1/ thru 8/31/ or 7/1/ thru 6/30, depending on fiscal year) based on the M&amp;O tax rate entered.  Include current, delinquent, and any CED delinquent taxes - do not include P&amp;I except on CED taxes.  If the district has received an IFA award for a lease-purchase, the IFA local share for that award will be subtracted from the M&amp;O tax collections used for Tier II purposes.</t>
  </si>
  <si>
    <t xml:space="preserve">&lt;= If the highest grade taught entered in cell F77 or H78 is less than 12, enter the tuition amount, if any,  the district pays other districts to educate students whose grades are not taught by the home district. </t>
  </si>
  <si>
    <t>Taxes Collected @ Compressed Rate (see Cell J102)</t>
  </si>
  <si>
    <t>no impact.</t>
  </si>
  <si>
    <t>Marietta ISD</t>
  </si>
  <si>
    <t>034-909</t>
  </si>
  <si>
    <t>Bloomburg ISD</t>
  </si>
  <si>
    <t>035-901</t>
  </si>
  <si>
    <t>Cayuga ISD</t>
  </si>
  <si>
    <t>001-903</t>
  </si>
  <si>
    <t>Elkhart ISD</t>
  </si>
  <si>
    <t>001-904</t>
  </si>
  <si>
    <t>Frankston ISD</t>
  </si>
  <si>
    <t>001-906</t>
  </si>
  <si>
    <t>Neches ISD</t>
  </si>
  <si>
    <t>001-907</t>
  </si>
  <si>
    <t xml:space="preserve">Actual Debt Service Payment for Eligible Bonded Debt * </t>
  </si>
  <si>
    <t xml:space="preserve">State/Local Share of IFA Awarded for Bonded Debt </t>
  </si>
  <si>
    <t>Estimated ADA</t>
  </si>
  <si>
    <t>CPTD Property Value for the Applicable Year</t>
  </si>
  <si>
    <t xml:space="preserve">Rate Needed for All Eligible Debt </t>
  </si>
  <si>
    <t>Allowed Rate (Lesser of Line 10 or Line 11, or $.29)</t>
  </si>
  <si>
    <t xml:space="preserve">** NOTE:  The amount budgeted may include (1) I&amp;S taxes to be collected, </t>
  </si>
  <si>
    <t>Goodrich ISD</t>
  </si>
  <si>
    <t>187-904</t>
  </si>
  <si>
    <t xml:space="preserve">Except for a district that adopted an M&amp;O tax rate less than its compressed rate, this change does not affect the </t>
  </si>
  <si>
    <r>
      <t>"bottom line."</t>
    </r>
    <r>
      <rPr>
        <b/>
        <sz val="10"/>
        <color indexed="38"/>
        <rFont val="Arial MT"/>
      </rPr>
      <t xml:space="preserve">  I am not incorporating TEA's change in the calculation of the Additional State Aid for Tax Reduction </t>
    </r>
  </si>
  <si>
    <t>Rate of $343</t>
  </si>
  <si>
    <t>TIDEHAVEN ISD</t>
  </si>
  <si>
    <t>MATAGORDA ISD</t>
  </si>
  <si>
    <t>PALACIOS ISD</t>
  </si>
  <si>
    <t>VAN VLECK ISD</t>
  </si>
  <si>
    <t>ROCHELLE ISD</t>
  </si>
  <si>
    <t>MOODY ISD</t>
  </si>
  <si>
    <t>AXTELL ISD</t>
  </si>
  <si>
    <t>BRUCEVILLE-EDDY ISD</t>
  </si>
  <si>
    <t>HALLSBURG ISD</t>
  </si>
  <si>
    <t>GHOLSON ISD</t>
  </si>
  <si>
    <t>MCMULLEN COUNTY ISD</t>
  </si>
  <si>
    <t>MENARD ISD</t>
  </si>
  <si>
    <t>GREENWOOD ISD</t>
  </si>
  <si>
    <t>GAUSE ISD</t>
  </si>
  <si>
    <t>MILANO ISD</t>
  </si>
  <si>
    <t>ROCKDALE ISD</t>
  </si>
  <si>
    <t>THORNDALE ISD</t>
  </si>
  <si>
    <t>MULLIN ISD</t>
  </si>
  <si>
    <t>Additional State Aid for Tax Reduction</t>
  </si>
  <si>
    <t>090-905</t>
  </si>
  <si>
    <t xml:space="preserve">            Worksheet for Estimating Instructional Facilities Allotment</t>
  </si>
  <si>
    <t>NOTE:</t>
  </si>
  <si>
    <t>229-906</t>
  </si>
  <si>
    <t>038-901</t>
  </si>
  <si>
    <t>161-920</t>
  </si>
  <si>
    <t>243-906</t>
  </si>
  <si>
    <t>126-903</t>
  </si>
  <si>
    <t>018-901</t>
  </si>
  <si>
    <t>071-901</t>
  </si>
  <si>
    <t>042-901</t>
  </si>
  <si>
    <t>021-901</t>
  </si>
  <si>
    <t>Driscoll ISD</t>
  </si>
  <si>
    <t>178-906</t>
  </si>
  <si>
    <t>London ISD</t>
  </si>
  <si>
    <t>178-908</t>
  </si>
  <si>
    <t>Port Aransas ISD</t>
  </si>
  <si>
    <t>178-912</t>
  </si>
  <si>
    <t>Tuloso-Midway ISD</t>
  </si>
  <si>
    <t>Cameron ISD</t>
  </si>
  <si>
    <t>Canutillo ISD</t>
  </si>
  <si>
    <t>Carroll ISD</t>
  </si>
  <si>
    <t>Castleberry ISD</t>
  </si>
  <si>
    <t>Chester ISD</t>
  </si>
  <si>
    <t>Plemons-Stinnett-Phillips Cons ISD</t>
  </si>
  <si>
    <t>117-907</t>
  </si>
  <si>
    <t>Spring Creek ISD</t>
  </si>
  <si>
    <t>118-902</t>
  </si>
  <si>
    <t>Tier I &amp; II Gain Attributed to Basic Allot &amp; Yield Level Changes</t>
  </si>
  <si>
    <t>80% of Gain Dedicated to Cost of $3,000 Raise</t>
  </si>
  <si>
    <t>2002-03 State Aid @ $2,537 Basic Allotment and @ $24.70 Guaranteed Yield</t>
  </si>
  <si>
    <t>2002-03 Recapture @ $295,000 Equalized Wealth Level</t>
  </si>
  <si>
    <t>2002-03 wada</t>
  </si>
  <si>
    <t>2001 cptd value</t>
  </si>
  <si>
    <t>2002-03 m&amp;o taxes</t>
  </si>
  <si>
    <t xml:space="preserve">Less: Reduction for Property Value Growth per WADA per Penny </t>
  </si>
  <si>
    <t>Recapture Savings</t>
  </si>
  <si>
    <t>State Contribution for Health Insurance ($900 x # of participating employees)</t>
  </si>
  <si>
    <t>2001 CPTD Value/WADA/10,000</t>
  </si>
  <si>
    <t>2000 CPTD Value/WADA/10,000</t>
  </si>
  <si>
    <t>Adjusted Increase in Tier II State/Local Share Resulting from Increase in Guaranteed Yield</t>
  </si>
  <si>
    <t>2001 CPTD Property Value</t>
  </si>
  <si>
    <t>Hold Harmless M&amp;O</t>
  </si>
  <si>
    <t>Community ISD</t>
  </si>
  <si>
    <t>108-806</t>
  </si>
  <si>
    <t>EAGLE CHARTER MC ALLEN</t>
  </si>
  <si>
    <t>108-807</t>
  </si>
  <si>
    <t>IDEA ACADEMY</t>
  </si>
  <si>
    <t>108-911</t>
  </si>
  <si>
    <t>Sharyland ISD</t>
  </si>
  <si>
    <t>109-911</t>
  </si>
  <si>
    <t>Whitney ISD</t>
  </si>
  <si>
    <t>110-901</t>
  </si>
  <si>
    <t>Anton ISD</t>
  </si>
  <si>
    <t>110-902</t>
  </si>
  <si>
    <t>Levelland ISD</t>
  </si>
  <si>
    <t>110-905</t>
  </si>
  <si>
    <t>Ropes ISD</t>
  </si>
  <si>
    <t>110-907</t>
  </si>
  <si>
    <t>Sundown ISD</t>
  </si>
  <si>
    <t>110-908</t>
  </si>
  <si>
    <t>Whitharral ISD</t>
  </si>
  <si>
    <t>111-901</t>
  </si>
  <si>
    <t>Granbury ISD</t>
  </si>
  <si>
    <t>112-901</t>
  </si>
  <si>
    <t>Sulphur Springs ISD</t>
  </si>
  <si>
    <t>112-906</t>
  </si>
  <si>
    <t>North Hopkins ISD</t>
  </si>
  <si>
    <t>112-908</t>
  </si>
  <si>
    <t>Como-Pickton CISD</t>
  </si>
  <si>
    <t>112-909</t>
  </si>
  <si>
    <t>Saltillo ISD</t>
  </si>
  <si>
    <t>113-901</t>
  </si>
  <si>
    <t>Crockett ISD</t>
  </si>
  <si>
    <t>113-902</t>
  </si>
  <si>
    <t>Grapeland ISD</t>
  </si>
  <si>
    <t>113-903</t>
  </si>
  <si>
    <t>Lovelady ISD</t>
  </si>
  <si>
    <t>113-905</t>
  </si>
  <si>
    <t>&lt;= If the district is not Chapter 41, no data entry is required for this section.</t>
  </si>
  <si>
    <t># of Non-Resident Students Who Are Charged Tuition</t>
  </si>
  <si>
    <t>Rockdale ISD</t>
  </si>
  <si>
    <t>166-905</t>
  </si>
  <si>
    <t>2004-05 Adjusted Refined ADA</t>
  </si>
  <si>
    <r>
      <t>&lt;=</t>
    </r>
    <r>
      <rPr>
        <b/>
        <sz val="10"/>
        <rFont val="Arial MT"/>
      </rPr>
      <t xml:space="preserve"> </t>
    </r>
    <r>
      <rPr>
        <sz val="10"/>
        <rFont val="Arial MT"/>
      </rPr>
      <t xml:space="preserve">Enter speech therapy FTEs.  </t>
    </r>
    <r>
      <rPr>
        <b/>
        <sz val="10"/>
        <rFont val="Arial MT"/>
      </rPr>
      <t/>
    </r>
  </si>
  <si>
    <r>
      <t>&lt;=</t>
    </r>
    <r>
      <rPr>
        <b/>
        <sz val="10"/>
        <rFont val="Arial MT"/>
      </rPr>
      <t xml:space="preserve"> </t>
    </r>
    <r>
      <rPr>
        <sz val="10"/>
        <rFont val="Arial MT"/>
      </rPr>
      <t xml:space="preserve">Enter resource room FTEs.  </t>
    </r>
    <r>
      <rPr>
        <b/>
        <sz val="10"/>
        <rFont val="Arial MT"/>
      </rPr>
      <t/>
    </r>
  </si>
  <si>
    <t>043-901</t>
  </si>
  <si>
    <t>101-902</t>
  </si>
  <si>
    <t>125-901</t>
  </si>
  <si>
    <t>The following changes have been made to Release 9:</t>
  </si>
  <si>
    <t>1) The methodology used for calculating Salary Transition in determining the "greater of" number and for HB 1</t>
  </si>
  <si>
    <t xml:space="preserve">purposes has been settled.  The issue had to do with what M&amp;O tax collections to use in computing Tier II and </t>
  </si>
  <si>
    <t xml:space="preserve">recapture in the Salary Transition calculations.   For TEA's "S1", "S2", and "S3" purposes, tax collections will be </t>
  </si>
  <si>
    <t>calculated by taking the district's 2004-05 M&amp;O tax effort and multiplying that effort by the district's prior-year CPTD</t>
  </si>
  <si>
    <t xml:space="preserve">value (this is the way it would have been done had the law not changed).  For TEA's "S4" purpose, tax collections </t>
  </si>
  <si>
    <t>will be what the district would have collected in 2006-07 at its 2005-06 rate.  The calculations on the 'Salary Transition'</t>
  </si>
  <si>
    <t>tab have been changed to reflect this methodology.  You will notice that another column was added to calculate</t>
  </si>
  <si>
    <t xml:space="preserve">2) TEA has settled on the methodology for calculating the penalty for a district setting a tax rate lower than its </t>
  </si>
  <si>
    <t xml:space="preserve">compressed rate.  The penalty is significantly lower than what was calculated in Release 9 and somewhat lower </t>
  </si>
  <si>
    <t>than what was calculated in releases prior to 9.</t>
  </si>
  <si>
    <t xml:space="preserve">3) The reduction for "excess" revenue calculated in Cell E110 has been changed to the way TEA is currently </t>
  </si>
  <si>
    <t xml:space="preserve">calculating the "excess."  In the districts I tested that had "excess", the amount of reduction is less than what was   </t>
  </si>
  <si>
    <t>CHANNING ISD</t>
  </si>
  <si>
    <t>HARTLEY ISD</t>
  </si>
  <si>
    <t>ROCHESTER COUNTY LINE ISD</t>
  </si>
  <si>
    <t>RULE ISD</t>
  </si>
  <si>
    <t>PAINT CREEK ISD</t>
  </si>
  <si>
    <t>SAN MARCOS CONS ISD</t>
  </si>
  <si>
    <t>WIMBERLEY ISD</t>
  </si>
  <si>
    <t>CANADIAN ISD</t>
  </si>
  <si>
    <t>ATHENS ISD</t>
  </si>
  <si>
    <t>BROWNSBORO ISD</t>
  </si>
  <si>
    <t>CROSS ROADS ISD</t>
  </si>
  <si>
    <t>EUSTACE ISD</t>
  </si>
  <si>
    <t>MALAKOFF ISD</t>
  </si>
  <si>
    <t>LAPOYNOR ISD</t>
  </si>
  <si>
    <t>SHARYLAND ISD</t>
  </si>
  <si>
    <t>WHITNEY ISD</t>
  </si>
  <si>
    <t>ANTON ISD</t>
  </si>
  <si>
    <t>and the local revenue component that are used in determining the district's cost per WADA (and thus the gain) have</t>
  </si>
  <si>
    <t>been changed to reflect the Tax Collection Limit for DTR that would have been in effect under what is now old law.</t>
  </si>
  <si>
    <t>at $1.50 M&amp;O rate.</t>
  </si>
  <si>
    <t xml:space="preserve">Costs' worksheet.  Cell G35 reflected recapture cost at $319,500 and for the health insurance calculation, it should </t>
  </si>
  <si>
    <t>the recapture cost in Cell G37 was zero.  It should no longer indicate an error message in that circumstance.</t>
  </si>
  <si>
    <t>100-908</t>
  </si>
  <si>
    <t>220-920</t>
  </si>
  <si>
    <t>212-906</t>
  </si>
  <si>
    <t>170-904</t>
  </si>
  <si>
    <t>200-904</t>
  </si>
  <si>
    <t>043-914</t>
  </si>
  <si>
    <t>062-903</t>
  </si>
  <si>
    <t>071-905</t>
  </si>
  <si>
    <t>025-906</t>
  </si>
  <si>
    <t>@2396_23.10</t>
  </si>
  <si>
    <t>Local Revenue Generated by $.01 tax rate (Line 3 / 10,000)</t>
  </si>
  <si>
    <t xml:space="preserve">   State Aid Reduction for WADA Sold</t>
  </si>
  <si>
    <t xml:space="preserve">        Total Other Programs</t>
  </si>
  <si>
    <t>Fund / Revenue Code</t>
  </si>
  <si>
    <t>199-902</t>
  </si>
  <si>
    <t>Royse City ISD</t>
  </si>
  <si>
    <t>186-901</t>
  </si>
  <si>
    <t>Buena Vista ISD</t>
  </si>
  <si>
    <t>186-902</t>
  </si>
  <si>
    <t>Ft Stockton ISD</t>
  </si>
  <si>
    <t>186-903</t>
  </si>
  <si>
    <t>MARSHALL ISD</t>
  </si>
  <si>
    <t>WASKOM ISD</t>
  </si>
  <si>
    <t>HALLSVILLE ISD</t>
  </si>
  <si>
    <t>HARLETON ISD</t>
  </si>
  <si>
    <t>ELYSIAN FIELDS ISD</t>
  </si>
  <si>
    <t>Quanah ISD</t>
  </si>
  <si>
    <t>adjusted coei for some</t>
  </si>
  <si>
    <t>CAUTION:  Under current law, the district's I&amp;S taxes collected in the 2002-03</t>
  </si>
  <si>
    <t>CRANFILLS GAP ISD</t>
  </si>
  <si>
    <t>NEW BOSTON ISD</t>
  </si>
  <si>
    <t>REDWATER ISD</t>
  </si>
  <si>
    <t>TEXARKANA ISD</t>
  </si>
  <si>
    <t>LIBERTY-EYLAU ISD</t>
  </si>
  <si>
    <t>RED LICK ISD</t>
  </si>
  <si>
    <t>PLEASANT GROVE ISD</t>
  </si>
  <si>
    <t>LEARY ISD</t>
  </si>
  <si>
    <t>ANGLETON ISD</t>
  </si>
  <si>
    <t>Dimmitt ISD</t>
  </si>
  <si>
    <t>035-902</t>
  </si>
  <si>
    <t>Hart ISD</t>
  </si>
  <si>
    <t>036-902</t>
  </si>
  <si>
    <t>Barbers Hill ISD</t>
  </si>
  <si>
    <t>036-903</t>
  </si>
  <si>
    <t>East Chambers ISD</t>
  </si>
  <si>
    <t>037-901</t>
  </si>
  <si>
    <t>Alto ISD</t>
  </si>
  <si>
    <t>037-909</t>
  </si>
  <si>
    <t>Wells ISD</t>
  </si>
  <si>
    <t>251-902</t>
  </si>
  <si>
    <t>Plains ISD</t>
  </si>
  <si>
    <t>252-902</t>
  </si>
  <si>
    <t>Newcastle ISD</t>
  </si>
  <si>
    <t>253-901</t>
  </si>
  <si>
    <t>Zapata County ISD</t>
  </si>
  <si>
    <t>101-920</t>
  </si>
  <si>
    <t>Alief ISD</t>
  </si>
  <si>
    <t>Allen ISD</t>
  </si>
  <si>
    <t>Alvarado ISD</t>
  </si>
  <si>
    <t>070-909</t>
  </si>
  <si>
    <t>Tax Collections Subject to Recapture Using $5K Value</t>
  </si>
  <si>
    <t>Tax Collections Subject to Recapture Using $15K Value</t>
  </si>
  <si>
    <t>Savings in Recapture Attributed to Added $10K Exemption</t>
  </si>
  <si>
    <t>Net Result of Added $10K Exemption</t>
  </si>
  <si>
    <t>Chapter 42 Additional M&amp;O Hold Harmless State Aid</t>
  </si>
  <si>
    <t>Calculations for Chapter 41 Districts:</t>
  </si>
  <si>
    <t>Chapter 41 Additional M&amp;O Hold Harmless State Aid (see</t>
  </si>
  <si>
    <t>Gregory-Portland ISD</t>
  </si>
  <si>
    <t>205-903</t>
  </si>
  <si>
    <t>Ingleside ISD</t>
  </si>
  <si>
    <t>206-902</t>
  </si>
  <si>
    <t>Richland Springs ISD</t>
  </si>
  <si>
    <t>206-903</t>
  </si>
  <si>
    <t>Cherokee ISD</t>
  </si>
  <si>
    <t>207-901</t>
  </si>
  <si>
    <t>Schleicher ISD</t>
  </si>
  <si>
    <t>208-901</t>
  </si>
  <si>
    <t>Hermleigh ISD</t>
  </si>
  <si>
    <t>208-902</t>
  </si>
  <si>
    <t>Snyder ISD</t>
  </si>
  <si>
    <t>208-903</t>
  </si>
  <si>
    <t>Fort Bend ISD</t>
  </si>
  <si>
    <t xml:space="preserve">     Tuition-paying Non-Residents Converted to WADA</t>
  </si>
  <si>
    <t xml:space="preserve">Opt 3 Cost for </t>
  </si>
  <si>
    <t>Less Than K-12</t>
  </si>
  <si>
    <t>Districts Choosing</t>
  </si>
  <si>
    <t xml:space="preserve">Sec 41.0021 </t>
  </si>
  <si>
    <t>Provision of HB 2879</t>
  </si>
  <si>
    <t>Hold Harmless Tax Rate:</t>
  </si>
  <si>
    <t>&lt; Enter a number here.</t>
  </si>
  <si>
    <t>220-915</t>
  </si>
  <si>
    <t>014-902</t>
  </si>
  <si>
    <t>011-901</t>
  </si>
  <si>
    <t>091-901</t>
  </si>
  <si>
    <t>014-903</t>
  </si>
  <si>
    <t>220-902</t>
  </si>
  <si>
    <t>016-902</t>
  </si>
  <si>
    <t>116-915</t>
  </si>
  <si>
    <t>025-904</t>
  </si>
  <si>
    <t>235-901</t>
  </si>
  <si>
    <t>043-917</t>
  </si>
  <si>
    <t>161-923</t>
  </si>
  <si>
    <t>160-901</t>
  </si>
  <si>
    <t>031-901</t>
  </si>
  <si>
    <t>021-902</t>
  </si>
  <si>
    <t>121-903</t>
  </si>
  <si>
    <t>243-901</t>
  </si>
  <si>
    <t>019-901</t>
  </si>
  <si>
    <t>Dekalb ISD</t>
  </si>
  <si>
    <t>034-906</t>
  </si>
  <si>
    <t>McLeod ISD</t>
  </si>
  <si>
    <t>073-904</t>
  </si>
  <si>
    <t>Westphalia ISD</t>
  </si>
  <si>
    <t>110-906</t>
  </si>
  <si>
    <t>Smyer ISD</t>
  </si>
  <si>
    <t>116-916</t>
  </si>
  <si>
    <t>Boles ISD</t>
  </si>
  <si>
    <t>161-910</t>
  </si>
  <si>
    <t>Moody ISD</t>
  </si>
  <si>
    <t>194-902</t>
  </si>
  <si>
    <t>Avery ISD</t>
  </si>
  <si>
    <t>126-902</t>
  </si>
  <si>
    <t>027-903</t>
  </si>
  <si>
    <t>116-901</t>
  </si>
  <si>
    <t>166-901</t>
  </si>
  <si>
    <t>071-907</t>
  </si>
  <si>
    <t>Tax Effort @ Compressed Rate (or lower rate, if applicable)</t>
  </si>
  <si>
    <t xml:space="preserve">     06-07 Collections Using 2005-06 M&amp;O tax rate</t>
  </si>
  <si>
    <t xml:space="preserve">     Recapture Using 06-07 M&amp;O Taxes @ 05-06 M&amp;O Rate</t>
  </si>
  <si>
    <t>it was using the taxes collected at the compressed rate rather than the lower taxes collected at the adopted rate.</t>
  </si>
  <si>
    <t>fix makes should have the opposite effect on the district's hold harmless (or "excess") amount, so there should be</t>
  </si>
  <si>
    <t>district's hold harmless (or "excess") amount, so there should be no impact.</t>
  </si>
  <si>
    <t xml:space="preserve">rate and has been fixed….it effects Cell E83 in the 'Calc Data' tab…the calculation of that recapture over on the </t>
  </si>
  <si>
    <t>CRYSTAL CITY ISD</t>
  </si>
  <si>
    <t>CUERO ISD</t>
  </si>
  <si>
    <t>CUMBY ISD</t>
  </si>
  <si>
    <t>DANBURY ISD</t>
  </si>
  <si>
    <t>DAWSON ISD</t>
  </si>
  <si>
    <t>DAYTON ISD</t>
  </si>
  <si>
    <t>DE LEON ISD</t>
  </si>
  <si>
    <t>DEKALB ISD</t>
  </si>
  <si>
    <t>DEL VALLE ISD</t>
  </si>
  <si>
    <t>DETROIT ISD</t>
  </si>
  <si>
    <t>DEVINE ISD</t>
  </si>
  <si>
    <t>DEWEYVILLE ISD</t>
  </si>
  <si>
    <t>D'HANIS ISD</t>
  </si>
  <si>
    <t>DILLEY ISD</t>
  </si>
  <si>
    <t>COUPLAND ISD</t>
  </si>
  <si>
    <t>KERMIT ISD</t>
  </si>
  <si>
    <t>WINK-LOVING ISD</t>
  </si>
  <si>
    <t>BOYD ISD</t>
  </si>
  <si>
    <t>BRIDGEPORT ISD</t>
  </si>
  <si>
    <t>CHICO ISD</t>
  </si>
  <si>
    <t>DECATUR ISD</t>
  </si>
  <si>
    <t>HAWKINS ISD</t>
  </si>
  <si>
    <t>MINEOLA ISD</t>
  </si>
  <si>
    <t>QUITMAN ISD</t>
  </si>
  <si>
    <t>YANTIS ISD</t>
  </si>
  <si>
    <t>ALBA-GOLDEN ISD</t>
  </si>
  <si>
    <t>WINNSBORO ISD</t>
  </si>
  <si>
    <t>DENVER CITY ISD</t>
  </si>
  <si>
    <t>PLAINS ISD</t>
  </si>
  <si>
    <t>NEWCASTLE ISD</t>
  </si>
  <si>
    <t>ZAPATA COUNTY ISD</t>
  </si>
  <si>
    <t>REG VII EDUCATION SERVICE CENTER</t>
  </si>
  <si>
    <t>101-801</t>
  </si>
  <si>
    <t>MEDICAL CENTER CHARTER SCHOOL</t>
  </si>
  <si>
    <t>101-802</t>
  </si>
  <si>
    <t>SER-NINOS CHARTER SCHOOL</t>
  </si>
  <si>
    <t>101-803</t>
  </si>
  <si>
    <t>WEST HOUSTON CHARTER SCHOOL</t>
  </si>
  <si>
    <t>101-804</t>
  </si>
  <si>
    <t>GEORGE I SANCHEZ CHARTER</t>
  </si>
  <si>
    <t>GIRLS &amp; BOYS PREP ACADEMY</t>
  </si>
  <si>
    <t>101-806</t>
  </si>
  <si>
    <t>RAUL YZAGUIRRE SCHOOL FOR SUCCESS</t>
  </si>
  <si>
    <t>101-807</t>
  </si>
  <si>
    <t>UNIV OF HOUSTON CHARTER SCH-TECH</t>
  </si>
  <si>
    <t>101-810</t>
  </si>
  <si>
    <t>ACADEMY OF ACCELERATED LEARNING IN</t>
  </si>
  <si>
    <t>101-811</t>
  </si>
  <si>
    <t>HARRIS COUNTY JUVENILE JUSTICE CHA</t>
  </si>
  <si>
    <t>101-812</t>
  </si>
  <si>
    <t>HOUSTON CAN ACADEMY CHARTER SCHOOL</t>
  </si>
  <si>
    <t>101-813</t>
  </si>
  <si>
    <t>KIPP INC CHARTER</t>
  </si>
  <si>
    <t>ALIEF MONTESSORI COMMUNITY SCHOOL</t>
  </si>
  <si>
    <t>101-817</t>
  </si>
  <si>
    <t>ALPHONSO CRUTCH'S-LIFE SUPPORT CEN</t>
  </si>
  <si>
    <t>AMERICAN ACADEMY OF EXCELLENCE CHA</t>
  </si>
  <si>
    <t>101-819</t>
  </si>
  <si>
    <t>AMIGOS POR VIDA-FRIENDS FOR LIFE C</t>
  </si>
  <si>
    <t>101-820</t>
  </si>
  <si>
    <t>BENJI'S SPECIAL EDUCATIONAL ACADEM</t>
  </si>
  <si>
    <t>101-821</t>
  </si>
  <si>
    <t>HEIGHTS CHARTER SCHOOL</t>
  </si>
  <si>
    <t>101-822</t>
  </si>
  <si>
    <t>JAMIE'S HOUSE CHARTER SCHOOL</t>
  </si>
  <si>
    <t>CHILDREN FIRST ACADEMY OF HOUSTON</t>
  </si>
  <si>
    <t>101-827</t>
  </si>
  <si>
    <t>CROSSROADS COMMUNITY ED CTR CHARTE</t>
  </si>
  <si>
    <t>101-828</t>
  </si>
  <si>
    <t>HOUSTON GATEWAY ACADEMY</t>
  </si>
  <si>
    <t>101-829</t>
  </si>
  <si>
    <t>HOUSTON HEIGHTS LEARNING ACADEMY I</t>
  </si>
  <si>
    <t>101-830</t>
  </si>
  <si>
    <t>IMPACT CHARTER</t>
  </si>
  <si>
    <t>101-833</t>
  </si>
  <si>
    <t>LA AMISTAD LOVE &amp; LEARNING ACADEMY</t>
  </si>
  <si>
    <t>101-834</t>
  </si>
  <si>
    <t>NORTH HOUSTON H S FOR BUSINESS</t>
  </si>
  <si>
    <t>101-835</t>
  </si>
  <si>
    <t>NORTHWEST MATHEMATICS SCIENCE &amp; LA</t>
  </si>
  <si>
    <t>CALVIN NELMS CHARTER SCHOOLS</t>
  </si>
  <si>
    <t>101-838</t>
  </si>
  <si>
    <t>SOUTHWEST HIGH SCHOOL</t>
  </si>
  <si>
    <t>TWO DIMENSIONS PREPARATORY ACADEMY</t>
  </si>
  <si>
    <t>COMQUEST ACADEMY</t>
  </si>
  <si>
    <t>101-843</t>
  </si>
  <si>
    <t>GULF SHORES ACADEMY</t>
  </si>
  <si>
    <t>101-845</t>
  </si>
  <si>
    <t>YES COLLEGE PREPARATORY SCHOOL</t>
  </si>
  <si>
    <t>101-847</t>
  </si>
  <si>
    <t>BEATRICE MAYES INSTITUTE CHARTER S</t>
  </si>
  <si>
    <t>101-848</t>
  </si>
  <si>
    <t>NORTHWEST PREPARATORY</t>
  </si>
  <si>
    <t>101-849</t>
  </si>
  <si>
    <t>ACCELERATED INTERMEDIATE ACADEMY</t>
  </si>
  <si>
    <t>101-850</t>
  </si>
  <si>
    <t>THE ZOE LEARNING ACADEMY</t>
  </si>
  <si>
    <t>101-851</t>
  </si>
  <si>
    <t>HOUSTON ALTERNATIVE PREPARATORY CH</t>
  </si>
  <si>
    <t>101-852</t>
  </si>
  <si>
    <t>JUAN B GALAVIZ CHARTER SCHOOL</t>
  </si>
  <si>
    <t>101-853</t>
  </si>
  <si>
    <t>RIPLEY HOUSE CHARTER SCHOOL</t>
  </si>
  <si>
    <t>101-854</t>
  </si>
  <si>
    <t>RICHARD MILBURN ACADEMY - SUBURBAN</t>
  </si>
  <si>
    <t>101-855</t>
  </si>
  <si>
    <t>MEYERPARK ELEMENTARY</t>
  </si>
  <si>
    <t>101-856</t>
  </si>
  <si>
    <t>DRAW ACADEMY</t>
  </si>
  <si>
    <t>101-857</t>
  </si>
  <si>
    <t>101-950</t>
  </si>
  <si>
    <t>REG IV EDUCATION SERVICE CENTER</t>
  </si>
  <si>
    <t>KATHERINE ANNE PORTER SCHOOL</t>
  </si>
  <si>
    <t>105-802</t>
  </si>
  <si>
    <t>TEXAS PREPARATORY SCHOOL</t>
  </si>
  <si>
    <t>108-801</t>
  </si>
  <si>
    <t>ONE STOP MULTISERVICE CHARTER SCHO</t>
  </si>
  <si>
    <t>TECHNOLOGY EDUCATION CHARTER HIGH</t>
  </si>
  <si>
    <t>108-804</t>
  </si>
  <si>
    <t>MID-VALLEY ACADEMY</t>
  </si>
  <si>
    <t>108-805</t>
  </si>
  <si>
    <t>SENTRY TECHNOLOGY PREP SCHOOL</t>
  </si>
  <si>
    <t>EAGLE ACADEMY OF PHARR/MCALLEN</t>
  </si>
  <si>
    <t>I D E A  ACADEMY</t>
  </si>
  <si>
    <t>108-808</t>
  </si>
  <si>
    <t>VANGUARD ACADEMY</t>
  </si>
  <si>
    <t>108-917</t>
  </si>
  <si>
    <t>EVINS REGIONAL JUVENILE CENTER</t>
  </si>
  <si>
    <t>108-950</t>
  </si>
  <si>
    <t>REG I EDUCATION SERVICE CENTER</t>
  </si>
  <si>
    <t>113-904</t>
  </si>
  <si>
    <t>CROCKETT STATE SCHOOL</t>
  </si>
  <si>
    <t>116-801</t>
  </si>
  <si>
    <t>PHOENIX CHARTER SCHOOL</t>
  </si>
  <si>
    <t>123-503</t>
  </si>
  <si>
    <t>TEXAS ACADEMY OF LEADERSHIP IN THE</t>
  </si>
  <si>
    <t>123-801</t>
  </si>
  <si>
    <t>ACADEMY OF BEAUMONT</t>
  </si>
  <si>
    <t>EAGLE ACADEMY OF BEAUMONT</t>
  </si>
  <si>
    <t>TEKOA ACADEMY OF ACCELERATED STUDI</t>
  </si>
  <si>
    <t>123-804</t>
  </si>
  <si>
    <t>RICHARD MILBURN ACADEMY - BEAUMONT</t>
  </si>
  <si>
    <t>123-805</t>
  </si>
  <si>
    <t>EHRHART SCHOOL</t>
  </si>
  <si>
    <t>123-915</t>
  </si>
  <si>
    <t>AL PRICE STATE JUVENILE CORRECTION</t>
  </si>
  <si>
    <t>CEDAR RIDGE CHARTER SCHOOL</t>
  </si>
  <si>
    <t>144-905</t>
  </si>
  <si>
    <t>GIDDINGS STATE SCHOOL</t>
  </si>
  <si>
    <t>151-900</t>
  </si>
  <si>
    <t>152-801</t>
  </si>
  <si>
    <t>RICHARD MILBURN ACADEMY - LUBBOCK</t>
  </si>
  <si>
    <t>152-803</t>
  </si>
  <si>
    <t>SOUTH PLAINS ACADEMY</t>
  </si>
  <si>
    <t>EAGLE ACADEMY OF LUBBOCK</t>
  </si>
  <si>
    <t>152-950</t>
  </si>
  <si>
    <t>REG XVII EDUCATION SERVICE CENTER</t>
  </si>
  <si>
    <t>161-801</t>
  </si>
  <si>
    <t>WACO CHARTER SCHOOL (EOAC)</t>
  </si>
  <si>
    <t>161-802</t>
  </si>
  <si>
    <t>RAPOPORT CHARTER SCHOOL</t>
  </si>
  <si>
    <t>EAGLE ACADEMY OF WACO</t>
  </si>
  <si>
    <t>161-926</t>
  </si>
  <si>
    <t>MCLENNAN CO ST JUVENILE CORRECTION</t>
  </si>
  <si>
    <t>161-927</t>
  </si>
  <si>
    <t>161-950</t>
  </si>
  <si>
    <t>REG XII EDUCATION SERVICE CENTER</t>
  </si>
  <si>
    <t>165-801</t>
  </si>
  <si>
    <t>RICHARD MILBURN ACADEMY - MIDLAND</t>
  </si>
  <si>
    <t>165-802</t>
  </si>
  <si>
    <t>MIDLAND ACADEMY CHARTER SCHOOL</t>
  </si>
  <si>
    <t>EAGLE ACADEMY OF MIDLAND</t>
  </si>
  <si>
    <t>165-950</t>
  </si>
  <si>
    <t>REG XVIII EDUCATION SERVICE CENTER</t>
  </si>
  <si>
    <t>170-801</t>
  </si>
  <si>
    <t>TEXAS SERENITY ACADEMY</t>
  </si>
  <si>
    <t>175-909</t>
  </si>
  <si>
    <t>CORSICANA RESIDENTIAL TREATMENT CE</t>
  </si>
  <si>
    <t>178-801</t>
  </si>
  <si>
    <t>DR M L GARZA-GONZALEZ CHARTER SCHO</t>
  </si>
  <si>
    <t>178-802</t>
  </si>
  <si>
    <t>SEASHORE LEARNING CTR CHARTER</t>
  </si>
  <si>
    <t>178-803</t>
  </si>
  <si>
    <t>COASTAL BEND YOUTH CITY</t>
  </si>
  <si>
    <t>178-804</t>
  </si>
  <si>
    <t>RICHARD MILBURN ALTER HIGH SCHOOL</t>
  </si>
  <si>
    <t>178-807</t>
  </si>
  <si>
    <t>178-950</t>
  </si>
  <si>
    <t>REG II EDUCATION SERVICE CENTER</t>
  </si>
  <si>
    <t>BOYS RANCH ISD</t>
  </si>
  <si>
    <t>181-950</t>
  </si>
  <si>
    <t>REG V EDUCATION SERVICE CENTER</t>
  </si>
  <si>
    <t>183-801</t>
  </si>
  <si>
    <t>PANOLA CHARTER SCHOOL</t>
  </si>
  <si>
    <t>188-801</t>
  </si>
  <si>
    <t>RICHARD MILBURN ACADEMY - AMARILLO</t>
  </si>
  <si>
    <t>188-950</t>
  </si>
  <si>
    <t>REG XVI EDUCATION SERVICE CENTER</t>
  </si>
  <si>
    <t>193-801</t>
  </si>
  <si>
    <t>BIG SPRINGS CHARTER SCHOOL</t>
  </si>
  <si>
    <t>206-904</t>
  </si>
  <si>
    <t>SAN SABA STATE SCHOOL</t>
  </si>
  <si>
    <t>212-801</t>
  </si>
  <si>
    <t>CUMBERLAND ACADEMY</t>
  </si>
  <si>
    <t>EAGLE ACADEMY OF TYLER</t>
  </si>
  <si>
    <t>78th Legislative Session</t>
  </si>
  <si>
    <t>(SEE NOTE BELOW)</t>
  </si>
  <si>
    <t>Please understand that applicable legislation has been signed into law and therefore this template could change.</t>
  </si>
  <si>
    <t>Lipan ISD</t>
  </si>
  <si>
    <t>Blanco ISD</t>
  </si>
  <si>
    <t>Bland ISD</t>
  </si>
  <si>
    <t>Blanket ISD</t>
  </si>
  <si>
    <t>Bloomington ISD</t>
  </si>
  <si>
    <t>Blue Ridge ISD</t>
  </si>
  <si>
    <t>Bosqueville ISD</t>
  </si>
  <si>
    <t>Brady ISD</t>
  </si>
  <si>
    <t>Brownsville ISD</t>
  </si>
  <si>
    <t>Bryan ISD</t>
  </si>
  <si>
    <t>Buna ISD</t>
  </si>
  <si>
    <t>Burkburnett ISD</t>
  </si>
  <si>
    <t>Burleson ISD</t>
  </si>
  <si>
    <t>Burnet Cons ISD</t>
  </si>
  <si>
    <t>Caddo Mills ISD</t>
  </si>
  <si>
    <t>taken into account when setting the district's I&amp;S tax rate.</t>
  </si>
  <si>
    <t>Recapture @ $305,000</t>
  </si>
  <si>
    <t>(excess tax base x m&amp;o taxes)</t>
  </si>
  <si>
    <t xml:space="preserve">75% of Gain Dedicated to Health Insurance </t>
  </si>
  <si>
    <t>2002-03 Recapture @ $305,000 Equalized Wealth Level</t>
  </si>
  <si>
    <t>recapture @305,000</t>
  </si>
  <si>
    <t>value retained @305,000</t>
  </si>
  <si>
    <t xml:space="preserve">This area below uses old law: 2,396 basic allotment </t>
  </si>
  <si>
    <t>in order to continue fully funding the $3,000 raise that teachers, full-time librarians,</t>
  </si>
  <si>
    <t>full-time nurses, and full-time counselors received in 1999-00.</t>
  </si>
  <si>
    <t>171-901</t>
  </si>
  <si>
    <t>Dumas ISD</t>
  </si>
  <si>
    <t>171-902</t>
  </si>
  <si>
    <t>004-901</t>
  </si>
  <si>
    <t>Aransas County ISD</t>
  </si>
  <si>
    <t>005-901</t>
  </si>
  <si>
    <t>Archer City</t>
  </si>
  <si>
    <t>005-902</t>
  </si>
  <si>
    <t>Holliday ISD</t>
  </si>
  <si>
    <t>005-903</t>
  </si>
  <si>
    <t>Megargel ISD</t>
  </si>
  <si>
    <t>006-902</t>
  </si>
  <si>
    <t>Claude ISD</t>
  </si>
  <si>
    <t>007-902</t>
  </si>
  <si>
    <t>Jourdanton ISD</t>
  </si>
  <si>
    <t>008-901</t>
  </si>
  <si>
    <t>Bellville ISD</t>
  </si>
  <si>
    <t>008-902</t>
  </si>
  <si>
    <t>Sealy ISD</t>
  </si>
  <si>
    <t>008-903</t>
  </si>
  <si>
    <t>Brazos ISD</t>
  </si>
  <si>
    <t>009-901</t>
  </si>
  <si>
    <t>Muleshoe ISD</t>
  </si>
  <si>
    <t>010-901</t>
  </si>
  <si>
    <t>Medina ISD</t>
  </si>
  <si>
    <t>McDade ISD</t>
  </si>
  <si>
    <t>012-901</t>
  </si>
  <si>
    <t>Seymour ISD</t>
  </si>
  <si>
    <t>013-902</t>
  </si>
  <si>
    <t>Pawnee ISD</t>
  </si>
  <si>
    <t>013-903</t>
  </si>
  <si>
    <t>Pettus ISD</t>
  </si>
  <si>
    <t>015-801</t>
  </si>
  <si>
    <t>POR VIDA ACADEMY</t>
  </si>
  <si>
    <t>015-806</t>
  </si>
  <si>
    <t>SCHOOL OF EXCELLENCE</t>
  </si>
  <si>
    <t>015-818</t>
  </si>
  <si>
    <t>GORMAN ISD</t>
  </si>
  <si>
    <t>RANGER ISD</t>
  </si>
  <si>
    <t>RISING STAR ISD</t>
  </si>
  <si>
    <t>ECTOR COUNTY ISD</t>
  </si>
  <si>
    <t>ROCKSPRINGS ISD</t>
  </si>
  <si>
    <t>NUECES CANYON CISD</t>
  </si>
  <si>
    <t>ENNIS ISD</t>
  </si>
  <si>
    <t>FERRIS ISD</t>
  </si>
  <si>
    <t>MIDLOTHIAN ISD</t>
  </si>
  <si>
    <t>MILFORD ISD</t>
  </si>
  <si>
    <t>EL PASO ISD</t>
  </si>
  <si>
    <t>THREE WAY ISD</t>
  </si>
  <si>
    <t>DUBLIN ISD</t>
  </si>
  <si>
    <t>BLUFF DALE ISD</t>
  </si>
  <si>
    <t>HUCKABAY ISD</t>
  </si>
  <si>
    <t>MORGAN MILL ISD</t>
  </si>
  <si>
    <t>CHILTON   ISD</t>
  </si>
  <si>
    <t>ROSEBUD-LOTT ISD</t>
  </si>
  <si>
    <t>BONHAM ISD</t>
  </si>
  <si>
    <t>HONEY GROVE ISD</t>
  </si>
  <si>
    <t>LEONARD ISD</t>
  </si>
  <si>
    <t>SAVOY ISD</t>
  </si>
  <si>
    <t>TRENTON ISD</t>
  </si>
  <si>
    <t>FLATONIA ISD</t>
  </si>
  <si>
    <t>LA GRANGE ISD</t>
  </si>
  <si>
    <t>SCHULENBURG ISD</t>
  </si>
  <si>
    <t>FAYETTEVILLE ISD</t>
  </si>
  <si>
    <t>ROUND TOP-CARMINE ISD</t>
  </si>
  <si>
    <t>ROBY CONS ISD</t>
  </si>
  <si>
    <t>FLOYDADA ISD</t>
  </si>
  <si>
    <t>Compressed tax rate (Line 4 / $35 / Line 2 / 100)</t>
  </si>
  <si>
    <t>2005-06 Bond Payment for Debt District Made an I&amp;S payment on in 2002-03</t>
  </si>
  <si>
    <t>The following are the calculations:</t>
  </si>
  <si>
    <t>105-904</t>
  </si>
  <si>
    <t>Recap of State Aid By Funding Source:</t>
  </si>
  <si>
    <t>199 / 5811</t>
  </si>
  <si>
    <t xml:space="preserve">     Available School Fund</t>
  </si>
  <si>
    <t>411 / 5829</t>
  </si>
  <si>
    <t>199 / 5812</t>
  </si>
  <si>
    <t>This District's Cost per WADA:</t>
  </si>
  <si>
    <t xml:space="preserve">     State's Share of Tier I </t>
  </si>
  <si>
    <t xml:space="preserve">     Tier II Aid</t>
  </si>
  <si>
    <t>Pharr-San Juan-Alamo ISD</t>
  </si>
  <si>
    <t>Pilot Point ISD</t>
  </si>
  <si>
    <t>Pleasanton ISD</t>
  </si>
  <si>
    <t>Ponder ISD</t>
  </si>
  <si>
    <t>Pottsboro ISD</t>
  </si>
  <si>
    <t>&lt; This number has been entered for you. If you have questions, contact Cynthia Hegemier-Boggs at 512-463-9238.</t>
  </si>
  <si>
    <t>246-902</t>
  </si>
  <si>
    <t>129-902</t>
  </si>
  <si>
    <t>079-907</t>
  </si>
  <si>
    <t>152-907</t>
  </si>
  <si>
    <t>084-911</t>
  </si>
  <si>
    <t>043-905</t>
  </si>
  <si>
    <t>234-909</t>
  </si>
  <si>
    <t>049-901</t>
  </si>
  <si>
    <t>101-910</t>
  </si>
  <si>
    <t>120-902</t>
  </si>
  <si>
    <t>057-909</t>
  </si>
  <si>
    <t>183-904</t>
  </si>
  <si>
    <t>246-904</t>
  </si>
  <si>
    <t>Lytle ISD</t>
  </si>
  <si>
    <t>Magnolia ISD</t>
  </si>
  <si>
    <t>041-902</t>
  </si>
  <si>
    <t>Robert Lee ISD</t>
  </si>
  <si>
    <t>042-905</t>
  </si>
  <si>
    <t>Panther Creek Cons ISD</t>
  </si>
  <si>
    <t>042-906</t>
  </si>
  <si>
    <t xml:space="preserve">     WADA Needed to be Purchased</t>
  </si>
  <si>
    <t>249-903</t>
  </si>
  <si>
    <t>Bridgeport ISD</t>
  </si>
  <si>
    <t>115-902</t>
  </si>
  <si>
    <t>Sierra Blanca ISD</t>
  </si>
  <si>
    <t>115-903</t>
  </si>
  <si>
    <t>Dell City ISD</t>
  </si>
  <si>
    <t>116-902</t>
  </si>
  <si>
    <t>Celeste ISD</t>
  </si>
  <si>
    <t>Meridian ISD</t>
  </si>
  <si>
    <t>018-903</t>
  </si>
  <si>
    <t>Morgan ISD</t>
  </si>
  <si>
    <t>018-904</t>
  </si>
  <si>
    <t>Valley Mills ISD</t>
  </si>
  <si>
    <t>018-906</t>
  </si>
  <si>
    <t>Iredell ISD</t>
  </si>
  <si>
    <t>018-907</t>
  </si>
  <si>
    <t>Kopperl ISD</t>
  </si>
  <si>
    <t>018-908</t>
  </si>
  <si>
    <t>Cranfills Gap ISD</t>
  </si>
  <si>
    <t>019-802</t>
  </si>
  <si>
    <t>EAGLE CHARTER TEXARKANA</t>
  </si>
  <si>
    <t>019-905</t>
  </si>
  <si>
    <r>
      <t xml:space="preserve">     Foundation School Fund (FSF) - </t>
    </r>
    <r>
      <rPr>
        <b/>
        <sz val="10"/>
        <color indexed="12"/>
        <rFont val="Arial MT"/>
      </rPr>
      <t>See Recap Below</t>
    </r>
  </si>
  <si>
    <t xml:space="preserve">   Tier I State Aid</t>
  </si>
  <si>
    <t xml:space="preserve">   Total Tier II State Aid</t>
  </si>
  <si>
    <t xml:space="preserve">   Additional State Aid for Tax Reduction (Sec 42.2516(b)(1)</t>
  </si>
  <si>
    <t xml:space="preserve">   Salary Allotment ($2,500 x # Teachers, etc) (Sec 42.2516(b)(2)</t>
  </si>
  <si>
    <t xml:space="preserve">   Staff Allotment ($500 x F-T employees + $250 x P-T emp)</t>
  </si>
  <si>
    <t xml:space="preserve">   Total Other Programs</t>
  </si>
  <si>
    <t xml:space="preserve">   Penalty for Setting M&amp;O Rate Less Than Compressed Rate</t>
  </si>
  <si>
    <t xml:space="preserve">   Reduction for "Excess" Revenue</t>
  </si>
  <si>
    <t xml:space="preserve">   Less: Available School Fund</t>
  </si>
  <si>
    <t xml:space="preserve">2006-07 Charge for Selling WADA </t>
  </si>
  <si>
    <t xml:space="preserve">2006-07 Actual Gain From Option 4 Chapter 41 Partnership </t>
  </si>
  <si>
    <t>2006-07 Net Actual Gain From Option 4 Chapter 41 Partnership</t>
  </si>
  <si>
    <t>Note: This is the amount of gain that can be kept without any offset to the district's</t>
  </si>
  <si>
    <r>
      <t xml:space="preserve"> </t>
    </r>
    <r>
      <rPr>
        <b/>
        <sz val="10"/>
        <color indexed="10"/>
        <rFont val="Arial MT"/>
      </rPr>
      <t>&lt; (ENTER # WITH DASH, i.e., 001-902)</t>
    </r>
  </si>
  <si>
    <t>2006-07 New Salary Transition Entitlement</t>
  </si>
  <si>
    <t>2006-07 Hold Harmless Additional State Aid</t>
  </si>
  <si>
    <t>2006-07 M&amp;O Tax Collections</t>
  </si>
  <si>
    <t>2006-07 Chapter 41 Recapture</t>
  </si>
  <si>
    <t>2006-07 Total State/Local Revenue</t>
  </si>
  <si>
    <t xml:space="preserve">2006-07 Tier 2 State Aid </t>
  </si>
  <si>
    <t>HB 1</t>
  </si>
  <si>
    <r>
      <t>&lt;=</t>
    </r>
    <r>
      <rPr>
        <sz val="10"/>
        <rFont val="Arial MT"/>
      </rPr>
      <t xml:space="preserve"> This data element has been loaded automatically.  If the 2003 CPTD value on the district's latest Summary of Finances is different, you will have to unprotect this cell and enter the number from the district's latest Summary of Finances. This value appears on the district's 2004-05 Summary of Finances report under the "N_F" column.   </t>
    </r>
    <r>
      <rPr>
        <b/>
        <sz val="10"/>
        <rFont val="Arial MT"/>
      </rPr>
      <t/>
    </r>
  </si>
  <si>
    <t>HB 1 Total Revenue for Purposes of Determining Section 42.2516(b)(1)</t>
  </si>
  <si>
    <t>Total M&amp;O Tax Effort</t>
  </si>
  <si>
    <t>DTR for First Level of Tier II @ $31.95 Yield (sum of Levels 1 &amp; 3 DTRs cannot exceed $.64)</t>
  </si>
  <si>
    <t>2006-07-CL</t>
  </si>
  <si>
    <t>2006-07-HB1</t>
  </si>
  <si>
    <t>2004-05 Tax Effort (2006-07 tax effort under HB1)</t>
  </si>
  <si>
    <t>062904</t>
  </si>
  <si>
    <t>062905</t>
  </si>
  <si>
    <t>062906</t>
  </si>
  <si>
    <t>063903</t>
  </si>
  <si>
    <t>063906</t>
  </si>
  <si>
    <t>064903</t>
  </si>
  <si>
    <t>CARRIZO SPRINGS CISD</t>
  </si>
  <si>
    <t>065901</t>
  </si>
  <si>
    <t>065902</t>
  </si>
  <si>
    <t>066005</t>
  </si>
  <si>
    <t>066901</t>
  </si>
  <si>
    <t>066902</t>
  </si>
  <si>
    <t>066903</t>
  </si>
  <si>
    <t>067902</t>
  </si>
  <si>
    <t>067903</t>
  </si>
  <si>
    <t>067904</t>
  </si>
  <si>
    <t>067907</t>
  </si>
  <si>
    <t>067908</t>
  </si>
  <si>
    <t>068901</t>
  </si>
  <si>
    <t>069901</t>
  </si>
  <si>
    <t>069902</t>
  </si>
  <si>
    <t>070901</t>
  </si>
  <si>
    <t>070903</t>
  </si>
  <si>
    <t>070905</t>
  </si>
  <si>
    <t>070907</t>
  </si>
  <si>
    <t>070908</t>
  </si>
  <si>
    <t>070909</t>
  </si>
  <si>
    <t>070910</t>
  </si>
  <si>
    <t>070911</t>
  </si>
  <si>
    <t>070912</t>
  </si>
  <si>
    <t>070915</t>
  </si>
  <si>
    <t>071901</t>
  </si>
  <si>
    <t>071902</t>
  </si>
  <si>
    <t>071903</t>
  </si>
  <si>
    <t>071904</t>
  </si>
  <si>
    <t>Note 1: The amount of "new" salary transition shown here may be significantly</t>
  </si>
  <si>
    <t xml:space="preserve">The reason is that the set-asides (from comp. ed., sp. ed., and GT) are </t>
  </si>
  <si>
    <t>Trinidad ISD</t>
  </si>
  <si>
    <t>131-001</t>
  </si>
  <si>
    <t>Kenedy County Wide CSD</t>
  </si>
  <si>
    <t>132-902</t>
  </si>
  <si>
    <t>Jayton-Girard ISD</t>
  </si>
  <si>
    <t>133-902</t>
  </si>
  <si>
    <t>Hunt ISD</t>
  </si>
  <si>
    <t>133-903</t>
  </si>
  <si>
    <t>Kerrville ISD</t>
  </si>
  <si>
    <t>133-904</t>
  </si>
  <si>
    <t>Ingram ISD</t>
  </si>
  <si>
    <t>Spring Branch ISD</t>
  </si>
  <si>
    <t>101-921</t>
  </si>
  <si>
    <t>Tomball ISD</t>
  </si>
  <si>
    <t>101-924</t>
  </si>
  <si>
    <t>Sheldon ISD</t>
  </si>
  <si>
    <t>102-901</t>
  </si>
  <si>
    <t>Karnack ISD</t>
  </si>
  <si>
    <t>102-902</t>
  </si>
  <si>
    <t>Marshall ISD</t>
  </si>
  <si>
    <t>102-903</t>
  </si>
  <si>
    <t>Waskom ISD</t>
  </si>
  <si>
    <t>102-904</t>
  </si>
  <si>
    <t>Garland ISD</t>
  </si>
  <si>
    <t xml:space="preserve">(3)  The treatment of The New Instructional Facilities Allotment (NIFA) in relation to the HB 1 hold harmless </t>
  </si>
  <si>
    <t>Total "Old" Debt Pymt (bonded debt not covered by IFA for which dist. levied I&amp;S rate in 02-03)</t>
  </si>
  <si>
    <t>Windthorst ISD</t>
  </si>
  <si>
    <t>Bandera ISD</t>
  </si>
  <si>
    <t>Smithville ISD</t>
  </si>
  <si>
    <t>Beeville ISD</t>
  </si>
  <si>
    <t>Santa Anna ISD</t>
  </si>
  <si>
    <t>Celina ISD</t>
  </si>
  <si>
    <t>Cuero ISD</t>
  </si>
  <si>
    <t>Rotan ISD</t>
  </si>
  <si>
    <t>Pearsall ISD</t>
  </si>
  <si>
    <t>Hico ISD</t>
  </si>
  <si>
    <t>Rochester ISD</t>
  </si>
  <si>
    <t>Bynum ISD</t>
  </si>
  <si>
    <t>Lueders-Avoca ISD</t>
  </si>
  <si>
    <t>SAN SABA ISD</t>
  </si>
  <si>
    <t>SANGER ISD</t>
  </si>
  <si>
    <t>SANTA ANNA ISD</t>
  </si>
  <si>
    <t>SANTA FE ISD</t>
  </si>
  <si>
    <t>SANTA MARIA ISD</t>
  </si>
  <si>
    <t>SANTA ROSA ISD</t>
  </si>
  <si>
    <t>SCHERTZ-CIBOLO-U CITY ISD</t>
  </si>
  <si>
    <t>SCURRY-ROSSER ISD</t>
  </si>
  <si>
    <t>SEGUIN ISD</t>
  </si>
  <si>
    <t>SHALLOWATER ISD</t>
  </si>
  <si>
    <t>SHELBYVILLE ISD</t>
  </si>
  <si>
    <t>SILSBEE ISD</t>
  </si>
  <si>
    <t>SIMMS ISD</t>
  </si>
  <si>
    <t>SINTON ISD</t>
  </si>
  <si>
    <t>White Settlement ISD</t>
  </si>
  <si>
    <t>Whitehouse ISD</t>
  </si>
  <si>
    <t>Willis ISD</t>
  </si>
  <si>
    <t>Winters ISD</t>
  </si>
  <si>
    <t>Wylie ISD</t>
  </si>
  <si>
    <t>Yoakum ISD</t>
  </si>
  <si>
    <t>Ysleta ISD</t>
  </si>
  <si>
    <t>Zephyr ISD</t>
  </si>
  <si>
    <t>1.e</t>
  </si>
  <si>
    <t>Award #5:</t>
  </si>
  <si>
    <t>eligible "old" debt covered by IFA: award#5</t>
  </si>
  <si>
    <t xml:space="preserve">   Non-public Contracts Allotment</t>
  </si>
  <si>
    <t>information available in the Division of State Funding as of August 10, 2005.</t>
  </si>
  <si>
    <t>Data Section: (from Data Entry, Calc Data, &amp; IFA worksheets)</t>
  </si>
  <si>
    <t xml:space="preserve">NOTE:  The district must budget ** and collect I&amp;S taxes in the </t>
  </si>
  <si>
    <t xml:space="preserve">NOTE:  The district must budget * and collect I&amp;S taxes in the </t>
  </si>
  <si>
    <t>HARROLD ISD</t>
  </si>
  <si>
    <t>VERNON ISD</t>
  </si>
  <si>
    <t>JARRELL ISD</t>
  </si>
  <si>
    <t>divisor.  This release sets it back to $1.50 and I will wait to see if TEA changes the divisor used for this purpose.</t>
  </si>
  <si>
    <t>n</t>
  </si>
  <si>
    <t>Palestine ISD</t>
  </si>
  <si>
    <t>001-908</t>
  </si>
  <si>
    <t>Westwood ISD</t>
  </si>
  <si>
    <t>number is determined and becomes the (b)(1) amount, and to that amount, the Salary Allotment (the "(b)(2)" amount)</t>
  </si>
  <si>
    <t xml:space="preserve">       2004-05 Refined ADA</t>
  </si>
  <si>
    <t xml:space="preserve">       2004-05 Total Tax Collections</t>
  </si>
  <si>
    <t xml:space="preserve">       2004-05 I&amp;S Tax Collections</t>
  </si>
  <si>
    <t xml:space="preserve">       2004-05 EDA Local Share</t>
  </si>
  <si>
    <t xml:space="preserve">       2004-05 IFA Local Share - BND</t>
  </si>
  <si>
    <t xml:space="preserve">       2003 Adjusted T2 CPTD Value</t>
  </si>
  <si>
    <t>Notice of Allotment Amount</t>
  </si>
  <si>
    <t>State Share of IFA (Line 8 x Line 4)</t>
  </si>
  <si>
    <t>Award #1:</t>
  </si>
  <si>
    <t>Award #2:</t>
  </si>
  <si>
    <t>New Instructional Facilities Allotment</t>
  </si>
  <si>
    <t>Using Same Notice of Allotments</t>
  </si>
  <si>
    <t>and Eligible Debt Payments</t>
  </si>
  <si>
    <t>195-902</t>
  </si>
  <si>
    <t>Balmorhea ISD</t>
  </si>
  <si>
    <t>Hold Harmless I&amp;S</t>
  </si>
  <si>
    <t>Local Yield @ $5,000 Exemption Level</t>
  </si>
  <si>
    <t>Local Yield @ $15,000 Exemption Level</t>
  </si>
  <si>
    <t>I&amp;S Collections for Old Debt</t>
  </si>
  <si>
    <t>Portion That Can Be Equalized as Old Debt Under Ch46, SubB</t>
  </si>
  <si>
    <t>Net I&amp;S Taxes Not Equalized</t>
  </si>
  <si>
    <t>State's Share (EDA) of Allotment (Line 10 - Line 11)</t>
  </si>
  <si>
    <t>NOTE:  The state's share on Line 12 must be taken into account</t>
  </si>
  <si>
    <t>015-911</t>
  </si>
  <si>
    <t>025-909</t>
  </si>
  <si>
    <t>108-903</t>
  </si>
  <si>
    <t>015-905</t>
  </si>
  <si>
    <t>108-904</t>
  </si>
  <si>
    <t>011-902</t>
  </si>
  <si>
    <t>174-910</t>
  </si>
  <si>
    <t>071-903</t>
  </si>
  <si>
    <t>128-904</t>
  </si>
  <si>
    <t>043-904</t>
  </si>
  <si>
    <t>254-902</t>
  </si>
  <si>
    <t>La Pryor ISD</t>
  </si>
  <si>
    <t>Sterling City ISD</t>
  </si>
  <si>
    <t>217-901</t>
  </si>
  <si>
    <t>Aspermont ISD</t>
  </si>
  <si>
    <t>218-901</t>
  </si>
  <si>
    <t>Award #4:</t>
  </si>
  <si>
    <t xml:space="preserve">  </t>
  </si>
  <si>
    <t>2005-06 School Year</t>
  </si>
  <si>
    <t xml:space="preserve">I have added a tab (labeled 'Effect') that attempts so show the effect of this decision in my view.  Let me  </t>
  </si>
  <si>
    <t>Fabens ISD</t>
  </si>
  <si>
    <t>Falls City ISD</t>
  </si>
  <si>
    <t>101-919</t>
  </si>
  <si>
    <t>Spring ISD</t>
  </si>
  <si>
    <t>Odem-Edroy ISD</t>
  </si>
  <si>
    <t>Olton ISD</t>
  </si>
  <si>
    <t>Orange Grove ISD</t>
  </si>
  <si>
    <t>Pampa ISD</t>
  </si>
  <si>
    <t>Paradise ISD</t>
  </si>
  <si>
    <t>WHEELER ISD</t>
  </si>
  <si>
    <t>KELTON ISD</t>
  </si>
  <si>
    <t>FORT ELLIOTT CISD</t>
  </si>
  <si>
    <t>ELECTRA ISD</t>
  </si>
  <si>
    <t>IOWA PARK CONS ISD</t>
  </si>
  <si>
    <t>WICHITA FALLS ISD</t>
  </si>
  <si>
    <t>Weatherford ISD</t>
  </si>
  <si>
    <t>TOTAL STATE AID - ALL FUNDS</t>
  </si>
  <si>
    <t xml:space="preserve">         Total State Aid - Fund 199</t>
  </si>
  <si>
    <t xml:space="preserve">         Total State Aid - Fund 411</t>
  </si>
  <si>
    <t xml:space="preserve">         Total State Aid - Fund 599</t>
  </si>
  <si>
    <t>eligible "old" debt covered by IFA: award#4</t>
  </si>
  <si>
    <t>Data Section: (from Data Entry &amp; IFA worksheets)</t>
  </si>
  <si>
    <t>M&amp;O taxes used for Tier II</t>
  </si>
  <si>
    <t>100-903</t>
  </si>
  <si>
    <t>Kountze ISD</t>
  </si>
  <si>
    <t>100-905</t>
  </si>
  <si>
    <t>Hardin-Jefferson ISD</t>
  </si>
  <si>
    <t>101-805</t>
  </si>
  <si>
    <t>GIRLS &amp; BOYS PREP ACAD</t>
  </si>
  <si>
    <t>101-809</t>
  </si>
  <si>
    <t>BAY AREA CHARTER SCHOOL</t>
  </si>
  <si>
    <t>101-814</t>
  </si>
  <si>
    <t>VARNETT CHARTER SCHOOL</t>
  </si>
  <si>
    <t>101-815</t>
  </si>
  <si>
    <t>BRAZOSPORT ISD</t>
  </si>
  <si>
    <t>SWEENY ISD</t>
  </si>
  <si>
    <t>DAMON ISD</t>
  </si>
  <si>
    <t>(Using 2005-06 Actual M&amp;O Tax Rate in 2006-07)</t>
  </si>
  <si>
    <t>the same amount of set-asides for both runs.</t>
  </si>
  <si>
    <t xml:space="preserve">Note2:  The "old" salary transition entitlement provision that applied </t>
  </si>
  <si>
    <t>Childress ISD</t>
  </si>
  <si>
    <t>103-902</t>
  </si>
  <si>
    <t>Hartley ISD</t>
  </si>
  <si>
    <t>104-901</t>
  </si>
  <si>
    <t>Haskell CISD</t>
  </si>
  <si>
    <t>104-903</t>
  </si>
  <si>
    <t>Rule ISD</t>
  </si>
  <si>
    <t>104-907</t>
  </si>
  <si>
    <t>Paint Creek ISD</t>
  </si>
  <si>
    <t>105-801</t>
  </si>
  <si>
    <t>KATHERINE ANNE PORTER SCH</t>
  </si>
  <si>
    <t>105-902</t>
  </si>
  <si>
    <t>San Marcos Cons ISD</t>
  </si>
  <si>
    <t>105-905</t>
  </si>
  <si>
    <t>Wimberley ISD</t>
  </si>
  <si>
    <t>106-901</t>
  </si>
  <si>
    <t>Canadian ISD</t>
  </si>
  <si>
    <t>107-901</t>
  </si>
  <si>
    <t>Athens ISD</t>
  </si>
  <si>
    <t>107-902</t>
  </si>
  <si>
    <t>Brownsboro ISD</t>
  </si>
  <si>
    <t>107-904</t>
  </si>
  <si>
    <t>Cross Roads ISD</t>
  </si>
  <si>
    <t>107-905</t>
  </si>
  <si>
    <t>Total Refined ADA</t>
  </si>
  <si>
    <t>Total Special Ed FTEs</t>
  </si>
  <si>
    <t>Total Spec Ed Weighted FTEs</t>
  </si>
  <si>
    <t>Regular Program ADA</t>
  </si>
  <si>
    <t>Minimum ADA</t>
  </si>
  <si>
    <t>Stafford Msd</t>
  </si>
  <si>
    <t>080-901</t>
  </si>
  <si>
    <t>Marfa ISD</t>
  </si>
  <si>
    <t>Arp ISD</t>
  </si>
  <si>
    <t>Chapel Hill ISD</t>
  </si>
  <si>
    <t>Hempstead ISD</t>
  </si>
  <si>
    <t>recapture change</t>
  </si>
  <si>
    <t>net increase (cannot be less than zero)</t>
  </si>
  <si>
    <t>salaries the district may be eligible for in accordance with TEC Section 42.2512</t>
  </si>
  <si>
    <t xml:space="preserve"> = the state's share of the new Existing Debt Allotment</t>
  </si>
  <si>
    <t xml:space="preserve"> = the district's existing debt rate</t>
  </si>
  <si>
    <t>NOTE:  Bonds are eligible if (1) taxes levied to pay for the principal of and interest on</t>
  </si>
  <si>
    <t>SB 4 Version</t>
  </si>
  <si>
    <t xml:space="preserve">     Chapter 46 Existing Debt Allotment</t>
  </si>
  <si>
    <t>2002-03 Savings Due to Equalized Wealth Level Change (#8 - #7)</t>
  </si>
  <si>
    <t>LITTLE CYPRESS-MAURICEVILLE CISD</t>
  </si>
  <si>
    <t>GORDON ISD</t>
  </si>
  <si>
    <t>GRAFORD ISD</t>
  </si>
  <si>
    <t>SANTO ISD</t>
  </si>
  <si>
    <t>STRAWN ISD</t>
  </si>
  <si>
    <t>PALO PINTO ISD</t>
  </si>
  <si>
    <t>BECKVILLE ISD</t>
  </si>
  <si>
    <t>CARTHAGE ISD</t>
  </si>
  <si>
    <t>ALEDO ISD</t>
  </si>
  <si>
    <t>GARNER ISD</t>
  </si>
  <si>
    <t>BOVINA ISD</t>
  </si>
  <si>
    <t>FARWELL ISD</t>
  </si>
  <si>
    <t>FRIONA ISD</t>
  </si>
  <si>
    <t>LAZBUDDIE ISD</t>
  </si>
  <si>
    <t>It is being left in assuming that the Legislature</t>
  </si>
  <si>
    <t>will provide at least the same level of funding</t>
  </si>
  <si>
    <t>lr for level 2</t>
  </si>
  <si>
    <t>lr for level 1</t>
  </si>
  <si>
    <t>dtr for level 1</t>
  </si>
  <si>
    <t>t1 - t2</t>
  </si>
  <si>
    <t>total value</t>
  </si>
  <si>
    <t>col @ com rate</t>
  </si>
  <si>
    <t>dtr for level 2 @ $5K</t>
  </si>
  <si>
    <t>gross dtr for level 3 @ $5K</t>
  </si>
  <si>
    <t>limited dtr for level 3 @ $5K</t>
  </si>
  <si>
    <t>lr for level 3</t>
  </si>
  <si>
    <t xml:space="preserve">dtr for level 1 &amp; 2 over on calc data </t>
  </si>
  <si>
    <t xml:space="preserve">&lt;= If the district was Chapter 41 in 2000-01 and was allowed to retain more than $295,000 in wealth per WADA, enter the amount per WADA retained (get from TEA's 2000-01 Cost of Options report, Line 22 - maybe Line 21 depending on the option taken).  </t>
  </si>
  <si>
    <t>Career &amp; Technology Block Grant</t>
  </si>
  <si>
    <t xml:space="preserve">  purposes (net of IFA local </t>
  </si>
  <si>
    <t>(#9 - #8)</t>
  </si>
  <si>
    <t xml:space="preserve">NOTE:  If not zero, the excess formula gain (#8 - #9) is applied to </t>
  </si>
  <si>
    <t>2000-01 Contribution per Full-time Employee (#12 / #13)</t>
  </si>
  <si>
    <t>Minimum Effort Transition Assistance (#17 - #16)</t>
  </si>
  <si>
    <t>Less: Excess Formula Gain (from #11)</t>
  </si>
  <si>
    <t>$1.50 x Compression Rate</t>
  </si>
  <si>
    <t>+ $.17</t>
  </si>
  <si>
    <t>2006-07 Max M&amp;O Rate</t>
  </si>
  <si>
    <t>Maximum Rate Allowed by Law</t>
  </si>
  <si>
    <t>The maximum M&amp;O rate allowed for any year is capped at:</t>
  </si>
  <si>
    <t>For districts that were authorized to have more than $1.50 M&amp;O:</t>
  </si>
  <si>
    <t>2007-08 Max M&amp;O Rate</t>
  </si>
  <si>
    <t>IREDELL ISD</t>
  </si>
  <si>
    <t>KOPPERL ISD</t>
  </si>
  <si>
    <t>CRANDALL ISD</t>
  </si>
  <si>
    <t>CRAWFORD ISD</t>
  </si>
  <si>
    <t>CROSBY ISD</t>
  </si>
  <si>
    <t>CROWLEY ISD</t>
  </si>
  <si>
    <t>Dickinson ISD</t>
  </si>
  <si>
    <t>084-902</t>
  </si>
  <si>
    <t>Galveston ISD</t>
  </si>
  <si>
    <t>084-904</t>
  </si>
  <si>
    <t>La Marque ISD</t>
  </si>
  <si>
    <t>084-906</t>
  </si>
  <si>
    <t>M&amp;O Revenue Loss Attributed to Additional $10,000 Exemption</t>
  </si>
  <si>
    <t>Gain in State Aid Attributed to Additional $10,000 Exemption</t>
  </si>
  <si>
    <t>TOTAL ADDITIONAL HOLD HARMLESS STATE AID</t>
  </si>
  <si>
    <t>2004-05 IFA Local Share for Bonded Debt</t>
  </si>
  <si>
    <t>@309</t>
  </si>
  <si>
    <t>@267</t>
  </si>
  <si>
    <t>@350</t>
  </si>
  <si>
    <t>@308</t>
  </si>
  <si>
    <t>Rate of $350</t>
  </si>
  <si>
    <t>Rate of $308</t>
  </si>
  <si>
    <t>Comfort ISD</t>
  </si>
  <si>
    <t>La Joya ISD</t>
  </si>
  <si>
    <t>La Vernia ISD</t>
  </si>
  <si>
    <t>La Villa ISD</t>
  </si>
  <si>
    <t>Lake Dallas ISD</t>
  </si>
  <si>
    <t>Lake Worth ISD</t>
  </si>
  <si>
    <t>Laredo ISD</t>
  </si>
  <si>
    <t>Leander ISD</t>
  </si>
  <si>
    <t>Lewisville ISD</t>
  </si>
  <si>
    <t xml:space="preserve">      by Omar Garcia, ESC 13, for TEA</t>
  </si>
  <si>
    <t>Liberty Hill ISD</t>
  </si>
  <si>
    <t>Harts Bluff ISD</t>
  </si>
  <si>
    <t>226-901</t>
  </si>
  <si>
    <t>Christoval ISD</t>
  </si>
  <si>
    <t>226-905</t>
  </si>
  <si>
    <t xml:space="preserve">* NOTE:  The amount budgeted may include (1) I&amp;S taxes collected in 2005-06, </t>
  </si>
  <si>
    <t>2005-06 Chapter 41 WADA =</t>
  </si>
  <si>
    <t>To do this calculation, the following data must be entered:</t>
  </si>
  <si>
    <t>square miles</t>
  </si>
  <si>
    <t>!!!!!!!!!!!!!!!!!!  SEE CAUTION UNDER NOTE **   !!!!!!!!!!!!!!!!!!!</t>
  </si>
  <si>
    <t>New Instructional Facilities Allotment (NIFA)</t>
  </si>
  <si>
    <t>Kennard ISD</t>
  </si>
  <si>
    <t>114-901</t>
  </si>
  <si>
    <t>Big Spring ISD</t>
  </si>
  <si>
    <t>114-902</t>
  </si>
  <si>
    <t>Coahoma ISD</t>
  </si>
  <si>
    <t>114-904</t>
  </si>
  <si>
    <t>Forsan ISD</t>
  </si>
  <si>
    <t>115-901</t>
  </si>
  <si>
    <t>Ft Hancock ISD</t>
  </si>
  <si>
    <t>2006-07 Tier II State Aid Using Maximum DTR</t>
  </si>
  <si>
    <t>2006-07 Total State/Local Revenue (local limited to Tax Collection Limit for DTR)</t>
  </si>
  <si>
    <t>changed accordingly as well.  These changes are then carried over to the 'Calc Data' tab and are used in determining</t>
  </si>
  <si>
    <t>SAN ISIDRO ISD</t>
  </si>
  <si>
    <t>BRECKENRIDGE ISD</t>
  </si>
  <si>
    <t>STERLING CITY ISD</t>
  </si>
  <si>
    <t>ASPERMONT ISD</t>
  </si>
  <si>
    <t>SONORA ISD</t>
  </si>
  <si>
    <t>HAPPY ISD</t>
  </si>
  <si>
    <t>TULIA ISD</t>
  </si>
  <si>
    <t>KRESS ISD</t>
  </si>
  <si>
    <t>EVERMAN ISD</t>
  </si>
  <si>
    <t>FORT WORTH ISD</t>
  </si>
  <si>
    <t>GRAPEVINE-COLLEYVILLE ISD</t>
  </si>
  <si>
    <t>EAGLE MT-SAGINAW ISD</t>
  </si>
  <si>
    <t>ABILENE ISD</t>
  </si>
  <si>
    <t>MERKEL ISD</t>
  </si>
  <si>
    <t>TRENT ISD</t>
  </si>
  <si>
    <t>JIM NED CONS ISD</t>
  </si>
  <si>
    <t>TERRELL COUNTY ISD</t>
  </si>
  <si>
    <t>BROWNFIELD ISD</t>
  </si>
  <si>
    <t>WELLMAN-UNION CONS ISD</t>
  </si>
  <si>
    <t>THROCKMORTON ISD</t>
  </si>
  <si>
    <t>WOODSON ISD</t>
  </si>
  <si>
    <t>MOUNT PLEASANT ISD</t>
  </si>
  <si>
    <t>WINFIELD ISD</t>
  </si>
  <si>
    <t>HARTS BLUFF ISD</t>
  </si>
  <si>
    <t>CHRISTOVAL ISD</t>
  </si>
  <si>
    <t>WATER VALLEY ISD</t>
  </si>
  <si>
    <t>AUSTIN ISD</t>
  </si>
  <si>
    <t>MANOR ISD</t>
  </si>
  <si>
    <t>EANES ISD</t>
  </si>
  <si>
    <t>LAGO VISTA ISD</t>
  </si>
  <si>
    <t>LAKE TRAVIS ISD</t>
  </si>
  <si>
    <t>GROVETON ISD</t>
  </si>
  <si>
    <t>TRINITY ISD</t>
  </si>
  <si>
    <t>APPLE SPRINGS ISD</t>
  </si>
  <si>
    <t>WOODVILLE ISD</t>
  </si>
  <si>
    <t>Frenship ISD</t>
  </si>
  <si>
    <t>Friendswood ISD</t>
  </si>
  <si>
    <r>
      <t>&lt;=</t>
    </r>
    <r>
      <rPr>
        <b/>
        <sz val="10"/>
        <rFont val="Arial MT"/>
      </rPr>
      <t xml:space="preserve"> </t>
    </r>
    <r>
      <rPr>
        <sz val="10"/>
        <rFont val="Arial MT"/>
      </rPr>
      <t>Enter the district's adopted (or proposed for 06-07) M&amp;O tax rate.</t>
    </r>
  </si>
  <si>
    <t>CPTD</t>
  </si>
  <si>
    <t>DISTRICT</t>
  </si>
  <si>
    <t>PROPERTY</t>
  </si>
  <si>
    <t>NAME</t>
  </si>
  <si>
    <t>VALUE</t>
  </si>
  <si>
    <t>LOCAL</t>
  </si>
  <si>
    <t>LOCAL SHARE</t>
  </si>
  <si>
    <t>CAYUGA ISD</t>
  </si>
  <si>
    <t>ELKHART ISD</t>
  </si>
  <si>
    <t>FRANKSTON ISD</t>
  </si>
  <si>
    <t>NECHES ISD</t>
  </si>
  <si>
    <t>PALESTINE ISD</t>
  </si>
  <si>
    <t>WESTWOOD ISD</t>
  </si>
  <si>
    <t>SLOCUM ISD</t>
  </si>
  <si>
    <r>
      <t xml:space="preserve">&lt;= </t>
    </r>
    <r>
      <rPr>
        <sz val="10"/>
        <rFont val="Arial MT"/>
      </rPr>
      <t xml:space="preserve">Enter the number of employees participating in a group health insurance program.  </t>
    </r>
    <r>
      <rPr>
        <b/>
        <sz val="10"/>
        <rFont val="Arial MT"/>
      </rPr>
      <t/>
    </r>
  </si>
  <si>
    <r>
      <t>&lt;=</t>
    </r>
    <r>
      <rPr>
        <b/>
        <sz val="10"/>
        <rFont val="Arial MT"/>
      </rPr>
      <t xml:space="preserve"> </t>
    </r>
    <r>
      <rPr>
        <sz val="10"/>
        <rFont val="Arial MT"/>
      </rPr>
      <t xml:space="preserve">Enter hospital class FTEs. </t>
    </r>
    <r>
      <rPr>
        <b/>
        <sz val="10"/>
        <rFont val="Arial MT"/>
      </rPr>
      <t/>
    </r>
  </si>
  <si>
    <t>2004-05 I&amp;S Tax Collections</t>
  </si>
  <si>
    <t xml:space="preserve">participating employee requirement.   </t>
  </si>
  <si>
    <r>
      <t>&lt;=</t>
    </r>
    <r>
      <rPr>
        <b/>
        <sz val="10"/>
        <rFont val="Arial MT"/>
      </rPr>
      <t xml:space="preserve"> </t>
    </r>
    <r>
      <rPr>
        <sz val="10"/>
        <rFont val="Arial MT"/>
      </rPr>
      <t xml:space="preserve">Enter comp ed enrollment (best 6 mo avg of free and reduced price eligible students for the prior federal fiscal year 10/1 thru 9/30).  </t>
    </r>
    <r>
      <rPr>
        <b/>
        <sz val="10"/>
        <rFont val="Arial MT"/>
      </rPr>
      <t xml:space="preserve"> </t>
    </r>
  </si>
  <si>
    <t>=======&gt;</t>
  </si>
  <si>
    <t>M&amp;O Tax Collections @ $1.50 M&amp;O Rate</t>
  </si>
  <si>
    <t>&lt;= Enter the district's adopted M&amp;O tax rate for the 2005-06 school year.</t>
  </si>
  <si>
    <t xml:space="preserve">&lt;= If the district entered into an Option 4 agreement with a Chapter 41 district (or districts), enter the amount of revenue that the Chapter 41 district(s) is required to pay the district. </t>
  </si>
  <si>
    <t>Amendment relating to the Permanent School Fund adversely affected the Chapter 41 district.</t>
  </si>
  <si>
    <t>Milford ISD</t>
  </si>
  <si>
    <t>071-801</t>
  </si>
  <si>
    <t xml:space="preserve">This worksheet calculates the amount of additional state assistance, if any, that certain </t>
  </si>
  <si>
    <t>as enacted by the 77th Session of the Texas Legislature.</t>
  </si>
  <si>
    <t>Clint ISD</t>
  </si>
  <si>
    <t>Coleman ISD</t>
  </si>
  <si>
    <t>033-902</t>
  </si>
  <si>
    <t>Panhandle ISD</t>
  </si>
  <si>
    <t>033-904</t>
  </si>
  <si>
    <t>White Deer ISD</t>
  </si>
  <si>
    <t>034-901</t>
  </si>
  <si>
    <t>Atlanta ISD</t>
  </si>
  <si>
    <t>034-902</t>
  </si>
  <si>
    <t>Career &amp; Technology FTEs</t>
  </si>
  <si>
    <t>&lt;= Enter the CPTD values ("T2") for the applicable year that will be certified by Comptroller's Property Tax Division.</t>
  </si>
  <si>
    <r>
      <t>&lt;=</t>
    </r>
    <r>
      <rPr>
        <b/>
        <sz val="10"/>
        <rFont val="Arial MT"/>
      </rPr>
      <t xml:space="preserve"> </t>
    </r>
    <r>
      <rPr>
        <sz val="10"/>
        <rFont val="Arial MT"/>
      </rPr>
      <t>Enter the CPTD values ("T1") for the applicable year that will be certified by Comptroller's Property Tax Division - this is what the district's value would have been without the additional $10,000 homestead exemption.</t>
    </r>
  </si>
  <si>
    <t xml:space="preserve">Adjusted "Gap Funding" Due to Appropriation Limit </t>
  </si>
  <si>
    <t>will be available for 2002-03.  The actual amount of appropriation available for 2002-03</t>
  </si>
  <si>
    <t>cannot be determined until the 2001-02 year is finalized.</t>
  </si>
  <si>
    <t>Estimated 2003-04 ADA (from Data Entry: 400 minimum)</t>
  </si>
  <si>
    <t>Wellman-Union Cons ISD</t>
  </si>
  <si>
    <t>224-901</t>
  </si>
  <si>
    <t>Throckmorton ISD</t>
  </si>
  <si>
    <t>224-902</t>
  </si>
  <si>
    <t>Woodson ISD</t>
  </si>
  <si>
    <t>225-902</t>
  </si>
  <si>
    <t>Mount Pleasant ISD</t>
  </si>
  <si>
    <t>225-905</t>
  </si>
  <si>
    <t>Winfield ISD</t>
  </si>
  <si>
    <t>225-907</t>
  </si>
  <si>
    <r>
      <t xml:space="preserve">qualify for as a result of the additional $10,000 homestead exemption.  </t>
    </r>
    <r>
      <rPr>
        <b/>
        <u/>
        <sz val="10"/>
        <rFont val="Arial MT"/>
      </rPr>
      <t>Any amount calculated</t>
    </r>
  </si>
  <si>
    <r>
      <t>are different when Tier I is calculated using the $5,0000 value</t>
    </r>
    <r>
      <rPr>
        <b/>
        <sz val="10"/>
        <rFont val="Arial MT"/>
      </rPr>
      <t>.  However, the amount</t>
    </r>
  </si>
  <si>
    <t>This worksheet estimates the amount of Hold Harmless Additional Aid, if any, the district will</t>
  </si>
  <si>
    <t>Increase in Tier II State/Local Share Resulting from Increase in Guaranteed Yield</t>
  </si>
  <si>
    <t>159-901</t>
  </si>
  <si>
    <t>[(Line 2 - Line 3)  /  (Line 6 / 100)]</t>
  </si>
  <si>
    <t>College Station ISD</t>
  </si>
  <si>
    <t>Scurry-Rosser ISD</t>
  </si>
  <si>
    <t>Seguin ISD</t>
  </si>
  <si>
    <t>Shallowater ISD</t>
  </si>
  <si>
    <t>Silsbee ISD</t>
  </si>
  <si>
    <t>Skidmore-Tynan ISD</t>
  </si>
  <si>
    <t>Slidell ISD</t>
  </si>
  <si>
    <t>Socorro ISD</t>
  </si>
  <si>
    <t>Prairie Valley ISD</t>
  </si>
  <si>
    <t>169-910</t>
  </si>
  <si>
    <t>Forestburg ISD</t>
  </si>
  <si>
    <t>169-911</t>
  </si>
  <si>
    <t>Saint Jo ISD</t>
  </si>
  <si>
    <t>170-903</t>
  </si>
  <si>
    <t>Montgomery ISD</t>
  </si>
  <si>
    <t xml:space="preserve">     TIF Fund (Technology Allotment)</t>
  </si>
  <si>
    <t>234-904</t>
  </si>
  <si>
    <t>135-001</t>
  </si>
  <si>
    <t>Guthrie CSD</t>
  </si>
  <si>
    <t>136-901</t>
  </si>
  <si>
    <t>Brackett ISD</t>
  </si>
  <si>
    <t>205-906</t>
  </si>
  <si>
    <t>Sinton ISD</t>
  </si>
  <si>
    <t>M&amp;O Tax Collections @ Adopted M&amp;O Rate</t>
  </si>
  <si>
    <t>CHEROKEE ISD</t>
  </si>
  <si>
    <t>SCHLEICHER ISD</t>
  </si>
  <si>
    <t>HERMLEIGH ISD</t>
  </si>
  <si>
    <t>ALICE ISD</t>
  </si>
  <si>
    <t>ALIEF ISD</t>
  </si>
  <si>
    <t>160-905</t>
  </si>
  <si>
    <t>163-902</t>
  </si>
  <si>
    <t>167-904</t>
  </si>
  <si>
    <t>176-903</t>
  </si>
  <si>
    <t>2005-06</t>
  </si>
  <si>
    <t>2006-07</t>
  </si>
  <si>
    <t>126-911</t>
  </si>
  <si>
    <t>167-901</t>
  </si>
  <si>
    <t>089-901</t>
  </si>
  <si>
    <t>252-901</t>
  </si>
  <si>
    <t>126-904</t>
  </si>
  <si>
    <t>246-905</t>
  </si>
  <si>
    <t>226-907</t>
  </si>
  <si>
    <t>091-917</t>
  </si>
  <si>
    <t>123-914</t>
  </si>
  <si>
    <t>015-904</t>
  </si>
  <si>
    <t>031-903</t>
  </si>
  <si>
    <t>230-905</t>
  </si>
  <si>
    <t>127-904</t>
  </si>
  <si>
    <t>105-906</t>
  </si>
  <si>
    <t>059-901</t>
  </si>
  <si>
    <t>108-905</t>
  </si>
  <si>
    <t>084-903</t>
  </si>
  <si>
    <t>109-904</t>
  </si>
  <si>
    <t>014-905</t>
  </si>
  <si>
    <t>163-904</t>
  </si>
  <si>
    <t>091-905</t>
  </si>
  <si>
    <t>146-905</t>
  </si>
  <si>
    <t>101-913</t>
  </si>
  <si>
    <t>003-904</t>
  </si>
  <si>
    <t>220-916</t>
  </si>
  <si>
    <t>(3) On the 'Data Entry' tab, the cell calling for the Supplemental Aid for Health Insurance (was Cell F103) has been</t>
  </si>
  <si>
    <t>deleted.  It has been decided that this should not be a source of revenue for Hold Harmless purposes.</t>
  </si>
  <si>
    <t xml:space="preserve">The following is a major change from the previous two releases.  It reflects, I think, a decision by the LBB as to </t>
  </si>
  <si>
    <t xml:space="preserve">how the Additional State Aid for Tax Reduction is calculated and will follow, I think, how TEA will calculate it.  </t>
  </si>
  <si>
    <t>Release 3.0; May 24, 2006</t>
  </si>
  <si>
    <t>2005-06 State/Local Revenue Target (the 'Greater of' amount)</t>
  </si>
  <si>
    <t>2006-07 Revenue:</t>
  </si>
  <si>
    <t>M&amp;O Taxes @ Compressed Rate</t>
  </si>
  <si>
    <t>Tier I</t>
  </si>
  <si>
    <t>Tier II</t>
  </si>
  <si>
    <t>$110/WADA</t>
  </si>
  <si>
    <t>Salary Allotments</t>
  </si>
  <si>
    <t>High School Allotment</t>
  </si>
  <si>
    <t>Total 2006-07 State/Local Revenue</t>
  </si>
  <si>
    <t>Revenue:</t>
  </si>
  <si>
    <t>HB1 State/Local</t>
  </si>
  <si>
    <t xml:space="preserve">  Total</t>
  </si>
  <si>
    <t>Expenditures:</t>
  </si>
  <si>
    <t>Balance</t>
  </si>
  <si>
    <t>Release 4</t>
  </si>
  <si>
    <t>Other State</t>
  </si>
  <si>
    <t>Staff Allotment</t>
  </si>
  <si>
    <t xml:space="preserve">calculated and displayed all three.  It is my understanding from TEA that (b)(1)(C) will be the 'greater of' number </t>
  </si>
  <si>
    <t>088-902</t>
  </si>
  <si>
    <t>Goliad ISD</t>
  </si>
  <si>
    <t>089-903</t>
  </si>
  <si>
    <t>Nixon-Smiley Cons ISD</t>
  </si>
  <si>
    <t>089-905</t>
  </si>
  <si>
    <t>Waelder ISD</t>
  </si>
  <si>
    <t>M&amp;O Collections Attributed to # of Pennies (max = 4) Above Compressed Rate</t>
  </si>
  <si>
    <t>ITALY ISD</t>
  </si>
  <si>
    <t>ITASCA ISD</t>
  </si>
  <si>
    <t>JACKSONVILLE ISD</t>
  </si>
  <si>
    <t>JASPER ISD</t>
  </si>
  <si>
    <t>JOSHUA ISD</t>
  </si>
  <si>
    <t>JUDSON ISD</t>
  </si>
  <si>
    <t>KARNES CITY ISD</t>
  </si>
  <si>
    <t>KATY ISD</t>
  </si>
  <si>
    <t>KAUFMAN ISD</t>
  </si>
  <si>
    <t>KELLER ISD</t>
  </si>
  <si>
    <t>KEMP ISD</t>
  </si>
  <si>
    <t>KENEDY ISD</t>
  </si>
  <si>
    <t>KENNEDALE ISD</t>
  </si>
  <si>
    <t>KERENS ISD</t>
  </si>
  <si>
    <t>KILLEEN ISD</t>
  </si>
  <si>
    <t>KINGSVILLE ISD</t>
  </si>
  <si>
    <t>KIRBYVILLE CISD</t>
  </si>
  <si>
    <t>KLEIN ISD</t>
  </si>
  <si>
    <t>Terrell County ISD</t>
  </si>
  <si>
    <t xml:space="preserve">M&amp;O TAXES IN 2004-2005 THAT WILL EQUATE TO THE SAME TAX EFFORT THE </t>
  </si>
  <si>
    <t>EDGEWOOD ISD</t>
  </si>
  <si>
    <t>EDINBURG CONSOLIDATED</t>
  </si>
  <si>
    <t>ELGIN ISD</t>
  </si>
  <si>
    <t>ETOILE ISD</t>
  </si>
  <si>
    <t>FABENS ISD</t>
  </si>
  <si>
    <t>FALLS CITY ISD</t>
  </si>
  <si>
    <t>NEEDVILLE ISD</t>
  </si>
  <si>
    <t>NEW CANEY ISD</t>
  </si>
  <si>
    <t>NEW SUMMERFIELD ISD</t>
  </si>
  <si>
    <t>NEW WAVERLY ISD</t>
  </si>
  <si>
    <t>NEWTON ISD</t>
  </si>
  <si>
    <t>NORTH EAST ISD</t>
  </si>
  <si>
    <t>NORTH FOREST ISD</t>
  </si>
  <si>
    <t>NORTHSIDE ISD</t>
  </si>
  <si>
    <t>Recap of FSF Funding Source:</t>
  </si>
  <si>
    <t>Less: Net Gain (@ $1.50) From Chapter 41 Partnership</t>
  </si>
  <si>
    <t xml:space="preserve">TEA has revised the 2006-07 Summary of Finances to reflect a change in the way the Salary Allotment and the </t>
  </si>
  <si>
    <t>High School Allotment are treated in relation to the calculation of the district's Additional State Aid for Tax Reduction</t>
  </si>
  <si>
    <t>revenue per student in weighted average daily attendance in the amount equal to the greater of: ..."</t>
  </si>
  <si>
    <t>High Island ISD</t>
  </si>
  <si>
    <t>Hillsboro ISD</t>
  </si>
  <si>
    <t>Holland ISD</t>
  </si>
  <si>
    <t>Tier I State Aid</t>
  </si>
  <si>
    <t>201-907</t>
  </si>
  <si>
    <t>Mount Enterprise ISD</t>
  </si>
  <si>
    <t>201-908</t>
  </si>
  <si>
    <t>value retained @295,000</t>
  </si>
  <si>
    <t>excess</t>
  </si>
  <si>
    <t>recapture @295,000</t>
  </si>
  <si>
    <t>percent excess</t>
  </si>
  <si>
    <t>169-901</t>
  </si>
  <si>
    <t>Bowie ISD</t>
  </si>
  <si>
    <t>169-902</t>
  </si>
  <si>
    <t>Nocona ISD</t>
  </si>
  <si>
    <t>169-906</t>
  </si>
  <si>
    <t>Gold Burg ISD</t>
  </si>
  <si>
    <t>Liberty-Eylau ISD</t>
  </si>
  <si>
    <t>019-911</t>
  </si>
  <si>
    <t>019-914</t>
  </si>
  <si>
    <t># of M&amp;O Pennies Adopted Above Compressed Rate (max = 4)</t>
  </si>
  <si>
    <t>M&amp;O Revenue From State (up to compressed rate) From Cell F147</t>
  </si>
  <si>
    <t>co-dist #</t>
  </si>
  <si>
    <t>teacher fixed effects index</t>
  </si>
  <si>
    <t>Small District Adj Weight</t>
  </si>
  <si>
    <t>Mid-Sized District Adjustment</t>
  </si>
  <si>
    <t>Thrall ISD</t>
  </si>
  <si>
    <t>Tolar ISD</t>
  </si>
  <si>
    <t>hold harmless levels</t>
  </si>
  <si>
    <t>Rate of $385</t>
  </si>
  <si>
    <t>Madisonville Cons ISD</t>
  </si>
  <si>
    <t>070-901</t>
  </si>
  <si>
    <t>Avalon ISD</t>
  </si>
  <si>
    <t>070-910</t>
  </si>
  <si>
    <t>Palmer ISD</t>
  </si>
  <si>
    <t>B</t>
  </si>
  <si>
    <t>Alice ISD</t>
  </si>
  <si>
    <t>101-840</t>
  </si>
  <si>
    <t>TWO DIMENSIONS PREP ACAD</t>
  </si>
  <si>
    <t>101-842</t>
  </si>
  <si>
    <t>COM QUEST ACADEMY</t>
  </si>
  <si>
    <t>101-846</t>
  </si>
  <si>
    <t>HARMONY SCIENCE ACADEMY</t>
  </si>
  <si>
    <t>101-905</t>
  </si>
  <si>
    <t>Channelview ISD</t>
  </si>
  <si>
    <t>101-907</t>
  </si>
  <si>
    <t xml:space="preserve">     Chapter 46 Instructional Facilities Allotment</t>
  </si>
  <si>
    <t xml:space="preserve">It is the responsibility of the user to use the appropriate, correct data.  There are general   </t>
  </si>
  <si>
    <t>Rising Star ISD</t>
  </si>
  <si>
    <t>068-901</t>
  </si>
  <si>
    <t>Hays Cons ISD</t>
  </si>
  <si>
    <t>Hereford ISD</t>
  </si>
  <si>
    <t>Hidalgo ISD</t>
  </si>
  <si>
    <t>019-908</t>
  </si>
  <si>
    <t>Red Lick ISD</t>
  </si>
  <si>
    <t>019-912</t>
  </si>
  <si>
    <t>Pleasant Grove ISD</t>
  </si>
  <si>
    <t>019-913</t>
  </si>
  <si>
    <t>WILLIS ISD</t>
  </si>
  <si>
    <t>WINDTHORST ISD</t>
  </si>
  <si>
    <t>WINTERS ISD</t>
  </si>
  <si>
    <t>WODEN ISD</t>
  </si>
  <si>
    <t>WOLFE CITY ISD</t>
  </si>
  <si>
    <t>WYLIE ISD</t>
  </si>
  <si>
    <t>YOAKUM ISD</t>
  </si>
  <si>
    <t>YSLETA ISD</t>
  </si>
  <si>
    <t>ZEPHYR ISD</t>
  </si>
  <si>
    <t>2004-05 Tax Collection Limit for DTR</t>
  </si>
  <si>
    <t>Calculation of 2005-06 Tax Collection Limit for DTR:</t>
  </si>
  <si>
    <t>SAN FELIPE-DEL RIO CISD</t>
  </si>
  <si>
    <t>Littlefield ISD</t>
  </si>
  <si>
    <t>140-906</t>
  </si>
  <si>
    <t>Spade ISD</t>
  </si>
  <si>
    <t>140-907</t>
  </si>
  <si>
    <t>Springlake-Earth ISD</t>
  </si>
  <si>
    <t>140-908</t>
  </si>
  <si>
    <t>Sudan ISD</t>
  </si>
  <si>
    <t>141-801</t>
  </si>
  <si>
    <t>CEDAR RIDGE CHARTER SCH</t>
  </si>
  <si>
    <t>141-901</t>
  </si>
  <si>
    <t>Lampasas ISD</t>
  </si>
  <si>
    <t>141-902</t>
  </si>
  <si>
    <t>Lometa ISD</t>
  </si>
  <si>
    <t>143-901</t>
  </si>
  <si>
    <t>Hallettsville ISD</t>
  </si>
  <si>
    <t>143-902</t>
  </si>
  <si>
    <t>Moulton ISD</t>
  </si>
  <si>
    <t>143-903</t>
  </si>
  <si>
    <t>Shiner ISD</t>
  </si>
  <si>
    <t>143-904</t>
  </si>
  <si>
    <t>Vysehrad ISD</t>
  </si>
  <si>
    <t>143-905</t>
  </si>
  <si>
    <t>@317</t>
  </si>
  <si>
    <t>@275</t>
  </si>
  <si>
    <t>169-908</t>
  </si>
  <si>
    <t>Montague ISD</t>
  </si>
  <si>
    <t>169-909</t>
  </si>
  <si>
    <t>&lt;= Enter bilingual ADA for grades PK thru 8.</t>
  </si>
  <si>
    <t>Excess Maintenance of Effort</t>
  </si>
  <si>
    <t>112-905</t>
  </si>
  <si>
    <t>Cumby ISD</t>
  </si>
  <si>
    <t>112-910</t>
  </si>
  <si>
    <t>Sulphur Bluff ISD</t>
  </si>
  <si>
    <t>c=05-06</t>
  </si>
  <si>
    <t>d=06-07</t>
  </si>
  <si>
    <t>e= tfe index for 05-06</t>
  </si>
  <si>
    <t>recapture @295 using 05-06 taxes instead of at 04-05 tax effort (for health ins)</t>
  </si>
  <si>
    <t>227-910</t>
  </si>
  <si>
    <t>163-901</t>
  </si>
  <si>
    <t>108-902</t>
  </si>
  <si>
    <t>158-904</t>
  </si>
  <si>
    <t>Matagorda ISD</t>
  </si>
  <si>
    <t>158-905</t>
  </si>
  <si>
    <t>Palacios ISD</t>
  </si>
  <si>
    <t>158-906</t>
  </si>
  <si>
    <t>Van Vleck ISD</t>
  </si>
  <si>
    <t>160-904</t>
  </si>
  <si>
    <t>Rochelle ISD</t>
  </si>
  <si>
    <t>161-804</t>
  </si>
  <si>
    <t>EAGLE CHARTER WACO</t>
  </si>
  <si>
    <t>161-903</t>
  </si>
  <si>
    <t>15K@MAXTAX</t>
  </si>
  <si>
    <t>(if negative, Line 4 = 0)</t>
  </si>
  <si>
    <t>&lt; This number has been calculated for you.</t>
  </si>
  <si>
    <t>[(Line 2 + Line 4)  /  (Line 9 / 100)]</t>
  </si>
  <si>
    <t>Overton ISD</t>
  </si>
  <si>
    <t>205-901</t>
  </si>
  <si>
    <t>Aransas Pass ISD</t>
  </si>
  <si>
    <t>Release 8.0; August 11, 2006</t>
  </si>
  <si>
    <t xml:space="preserve">Summary of Finances and on Release 7, $317 was used (releases prior to 7 used $350).  If for some reason the </t>
  </si>
  <si>
    <t>rate will be.</t>
  </si>
  <si>
    <t xml:space="preserve">Also, the 2006-07 technology rate has been changed from $30 to $26.76, reflecting TEA's latest estimate of what the  </t>
  </si>
  <si>
    <t>Another error turned up in the calculation of Chapter 41 recapture for 2006-07 using the district's 2005-06 adopted</t>
  </si>
  <si>
    <r>
      <t xml:space="preserve">&lt;= This data element has been loaded automatically.  If the district received an adjustment for declining ADA, the ADA entered here will be different than the ADA entered in the cell above.  If the 04-05 total refined ADA on the district's latest Summary of Finances is different, you will have to unprotect this cell and enter the number from the district's latest Summary of Finances. If the district had a Pre-K, K Expansion Grant, the total refined ADA that was reported thru PEIMS was reduced by 1/2 of the Pre-K ADA.  </t>
    </r>
    <r>
      <rPr>
        <sz val="10"/>
        <color indexed="10"/>
        <rFont val="Arial MT"/>
      </rPr>
      <t xml:space="preserve"> </t>
    </r>
  </si>
  <si>
    <t xml:space="preserve">       2004-05 Adjusted Refined ADA</t>
  </si>
  <si>
    <t>Adjusted</t>
  </si>
  <si>
    <t>Unadjusted</t>
  </si>
  <si>
    <t>237-905</t>
  </si>
  <si>
    <t>Royal ISD</t>
  </si>
  <si>
    <t>238-902</t>
  </si>
  <si>
    <t>Monahans-Wickett-Pyote ISD</t>
  </si>
  <si>
    <t>238-904</t>
  </si>
  <si>
    <t>Grandfalls-Royalty ISD</t>
  </si>
  <si>
    <t>239-901</t>
  </si>
  <si>
    <t>Brenham ISD</t>
  </si>
  <si>
    <t>239-903</t>
  </si>
  <si>
    <t>Burton ISD</t>
  </si>
  <si>
    <t>240-802</t>
  </si>
  <si>
    <t>EAGLE CHARTER LAREDO</t>
  </si>
  <si>
    <t>240-902</t>
  </si>
  <si>
    <t>Mirando City ISD</t>
  </si>
  <si>
    <t>057-823</t>
  </si>
  <si>
    <t>EAGLE CHARTER DALLAS</t>
  </si>
  <si>
    <t>057-825</t>
  </si>
  <si>
    <t>HONORS ACADEMY</t>
  </si>
  <si>
    <t>057-827</t>
  </si>
  <si>
    <t>NOVA CHARTER SOUTHEAST</t>
  </si>
  <si>
    <t>057-832</t>
  </si>
  <si>
    <t>ALPHA CHARTER SCHOOL</t>
  </si>
  <si>
    <t>057-903</t>
  </si>
  <si>
    <t>Carrollton-Farmers Branch ISD</t>
  </si>
  <si>
    <t>057-904</t>
  </si>
  <si>
    <t>Cedar Hill ISD</t>
  </si>
  <si>
    <t>057-905</t>
  </si>
  <si>
    <t>Dallas ISD</t>
  </si>
  <si>
    <t>057-906</t>
  </si>
  <si>
    <t>Desoto ISD</t>
  </si>
  <si>
    <t>057-907</t>
  </si>
  <si>
    <t>Duncanville ISD</t>
  </si>
  <si>
    <t>Cypress-Fairbanks ISD</t>
  </si>
  <si>
    <t>101-908</t>
  </si>
  <si>
    <t>Byers ISD</t>
  </si>
  <si>
    <t>039-902</t>
  </si>
  <si>
    <t>Henrietta ISD</t>
  </si>
  <si>
    <t>039-904</t>
  </si>
  <si>
    <t>Bellevue ISD</t>
  </si>
  <si>
    <t>039-905</t>
  </si>
  <si>
    <t>Midway ISD</t>
  </si>
  <si>
    <t>040-901</t>
  </si>
  <si>
    <t>Mumford ISD</t>
  </si>
  <si>
    <t>199-901</t>
  </si>
  <si>
    <t>Rockwall ISD</t>
  </si>
  <si>
    <t>116-909</t>
  </si>
  <si>
    <t>Wolfe City ISD</t>
  </si>
  <si>
    <t>Arlington ISD</t>
  </si>
  <si>
    <t>Aubrey ISD</t>
  </si>
  <si>
    <t>Azle ISD</t>
  </si>
  <si>
    <t>Bartlett ISD</t>
  </si>
  <si>
    <t>Bastrop ISD</t>
  </si>
  <si>
    <t>Bells ISD</t>
  </si>
  <si>
    <t>Belton ISD</t>
  </si>
  <si>
    <t>020-901</t>
  </si>
  <si>
    <t>Alvin ISD</t>
  </si>
  <si>
    <t xml:space="preserve">   </t>
  </si>
  <si>
    <t>Three Way ISD</t>
  </si>
  <si>
    <t>072-902</t>
  </si>
  <si>
    <t>BROOKESMITH ISD</t>
  </si>
  <si>
    <t>BROWNSVILLE ISD</t>
  </si>
  <si>
    <t>BRYAN ISD</t>
  </si>
  <si>
    <t>BUCKHOLTS ISD</t>
  </si>
  <si>
    <t>BUNA ISD</t>
  </si>
  <si>
    <t>BURKBURNETT ISD</t>
  </si>
  <si>
    <t>BURLESON ISD</t>
  </si>
  <si>
    <t>BURNET CONS ISD</t>
  </si>
  <si>
    <t>Staff Allotment ($500 x F-T employees + $250 x P-T emp)</t>
  </si>
  <si>
    <t># of Full-time Employees (excluding admin &amp; teachers, etc)</t>
  </si>
  <si>
    <t># of Part-time Employees (excluding administrators)</t>
  </si>
  <si>
    <t>LA FERIA ISD</t>
  </si>
  <si>
    <t>LA JOYA ISD</t>
  </si>
  <si>
    <t>LA PRYOR ISD</t>
  </si>
  <si>
    <t>LA VEGA ISD</t>
  </si>
  <si>
    <t>Net 2004-05 M&amp;O Collections</t>
  </si>
  <si>
    <t>2003 Adjusted CPTD Value</t>
  </si>
  <si>
    <t>District's 2004-05 M&amp;O Tax Effort</t>
  </si>
  <si>
    <t>Wall ISD</t>
  </si>
  <si>
    <t>Calhoun Co ISD</t>
  </si>
  <si>
    <t>030-901</t>
  </si>
  <si>
    <t>047-903</t>
  </si>
  <si>
    <t>TARKINGTON ISD</t>
  </si>
  <si>
    <t>GROESBECK ISD</t>
  </si>
  <si>
    <t>MEXIA ISD</t>
  </si>
  <si>
    <t>BOOKER ISD</t>
  </si>
  <si>
    <t>FOLLETT ISD</t>
  </si>
  <si>
    <t>HIGGINS ISD</t>
  </si>
  <si>
    <t>DARROUZETT ISD</t>
  </si>
  <si>
    <t>GEORGE WEST ISD</t>
  </si>
  <si>
    <t>Montgomery ISD (General Obligation Debt)</t>
  </si>
  <si>
    <t>Willis ISD (General Obligation Debt)</t>
  </si>
  <si>
    <t>Magnolia ISD (General Obligation Debt)</t>
  </si>
  <si>
    <t>Splendora ISD (General Obligation Debt)</t>
  </si>
  <si>
    <t>New Caney ISD (General Obligation Debt)</t>
  </si>
  <si>
    <t>Dumas ISD (General Obligation Debt)</t>
  </si>
  <si>
    <t>Sunray ISD (General Obligation Debt)</t>
  </si>
  <si>
    <t>Daingerfield-Lone Star ISD (General Obligation Debt)</t>
  </si>
  <si>
    <t>Pewitt CISD (General Obligation Debt)</t>
  </si>
  <si>
    <t>Chireno ISD (General Obligation Debt)</t>
  </si>
  <si>
    <t>Garrison ISD (General Obligation Debt)</t>
  </si>
  <si>
    <t>Nacogdoches ISD (General Obligation Debt)</t>
  </si>
  <si>
    <t>Woden ISD (General Obligation Debt)</t>
  </si>
  <si>
    <t>Central Heights ISD (General Obligation Debt)</t>
  </si>
  <si>
    <t>Martinsville ISD (General Obligation Debt)</t>
  </si>
  <si>
    <t>Blooming Grove ISD (General Obligation Debt)</t>
  </si>
  <si>
    <t>Corsicana ISD (General Obligation Debt)</t>
  </si>
  <si>
    <t>Frost ISD (General Obligation Debt)</t>
  </si>
  <si>
    <t>Kerens ISD (General Obligation Debt)</t>
  </si>
  <si>
    <t>Mildred ISD (General Obligation Debt)</t>
  </si>
  <si>
    <t>Rice ISD (General Obligation Debt)</t>
  </si>
  <si>
    <t>Burkeville ISD (General Obligation Debt)</t>
  </si>
  <si>
    <t>Newton ISD (General Obligation Debt)</t>
  </si>
  <si>
    <t>Deweyville ISD (General Obligation Debt)</t>
  </si>
  <si>
    <t>Roscoe ISD (General Obligation Debt)</t>
  </si>
  <si>
    <t>Sweetwater ISD (General Obligation Debt)</t>
  </si>
  <si>
    <t>Highland ISD (General Obligation Debt)</t>
  </si>
  <si>
    <t>Agua Dulce ISD (General Obligation Debt)</t>
  </si>
  <si>
    <t>Bishop CISD (General Obligation Debt)</t>
  </si>
  <si>
    <t>Calallen ISD (General Obligation Debt)</t>
  </si>
  <si>
    <t>Corpus Christi ISD (General Obligation Debt)</t>
  </si>
  <si>
    <t>Driscoll ISD (General Obligation Debt)</t>
  </si>
  <si>
    <t>London ISD (General Obligation Debt)</t>
  </si>
  <si>
    <t>2006-07 HB 1 Hold Harmless Base Level (Greater of Cell E72 or Cell E84)</t>
  </si>
  <si>
    <t>The calculation of "excess revenue" on the 'Calc Data' tab (Cell E104) has been changed.</t>
  </si>
  <si>
    <t xml:space="preserve">On previous releases, DTR was being recalculated using the amount of taxes the district would have collected </t>
  </si>
  <si>
    <t>It is anticipated that the 2006-07 per capita rate will be set to $385 in September.  On TEA's initial preliminary</t>
  </si>
  <si>
    <t>max cad credit limit</t>
  </si>
  <si>
    <t>Also, a limit, using the same methodology used to determine the 2005-06 limit, has been applied to the CAD credit</t>
  </si>
  <si>
    <t xml:space="preserve">     Credit for Appraisal Costs </t>
  </si>
  <si>
    <t>Ballinger ISD (General Obligation Debt)</t>
  </si>
  <si>
    <t>Miles ISD (General Obligation Debt)</t>
  </si>
  <si>
    <t>Winters ISD (General Obligation Debt)</t>
  </si>
  <si>
    <t>Olfen ISD (General Obligation Debt)</t>
  </si>
  <si>
    <t>Henderson ISD (General Obligation Debt)</t>
  </si>
  <si>
    <t>Overton ISD (General Obligation Debt)</t>
  </si>
  <si>
    <t>Tatum ISD (General Obligation Debt)</t>
  </si>
  <si>
    <t>Carlisle ISD (General Obligation Debt)</t>
  </si>
  <si>
    <t>West Rusk Co CISD (General Obligation Debt)</t>
  </si>
  <si>
    <t>Coldspring-Oakhurst CISD (General Obligation Debt)</t>
  </si>
  <si>
    <t>Shepherd ISD (General Obligation Debt)</t>
  </si>
  <si>
    <t>Aransas Pass ISD (General Obligation Debt)</t>
  </si>
  <si>
    <t>Gregory-Portland ISD (General Obligation Debt)</t>
  </si>
  <si>
    <t>Ingleside ISD (General Obligation Debt)</t>
  </si>
  <si>
    <t>Mathis ISD (General Obligation Debt)</t>
  </si>
  <si>
    <t>Odem-Edroy ISD (General Obligation Debt)</t>
  </si>
  <si>
    <t>Sinton ISD (General Obligation Debt)</t>
  </si>
  <si>
    <t>Taft ISD (General Obligation Debt)</t>
  </si>
  <si>
    <t>San Saba ISD (General Obligation Debt)</t>
  </si>
  <si>
    <t>Snyder CISD (General Obligation Debt)</t>
  </si>
  <si>
    <t>Albany ISD (General Obligation Debt)</t>
  </si>
  <si>
    <t>Center ISD (General Obligation Debt)</t>
  </si>
  <si>
    <t>Joaquin ISD (General Obligation Debt)</t>
  </si>
  <si>
    <t>Shelbyville ISD (General Obligation Debt)</t>
  </si>
  <si>
    <t>Timpson ISD (General Obligation Debt)</t>
  </si>
  <si>
    <t>Stratford ISD (General Obligation Debt)</t>
  </si>
  <si>
    <t>Arp ISD (General Obligation Debt)</t>
  </si>
  <si>
    <t>Bullard ISD (General Obligation Debt)</t>
  </si>
  <si>
    <t>Lindale ISD (General Obligation Debt)</t>
  </si>
  <si>
    <t>Troup ISD (General Obligation Debt)</t>
  </si>
  <si>
    <t>Tyler ISD (General Obligation Debt)</t>
  </si>
  <si>
    <t>Whitehouse ISD (General Obligation Debt)</t>
  </si>
  <si>
    <t>Chapel Hill ISD (General Obligation Debt)</t>
  </si>
  <si>
    <t>Winona ISD (General Obligation Debt)</t>
  </si>
  <si>
    <t>Glen Rose ISD (General Obligation Debt)</t>
  </si>
  <si>
    <t>Rio Grande City CISD (General Obligation Debt)</t>
  </si>
  <si>
    <t>San Isidro ISD (General Obligation Debt)</t>
  </si>
  <si>
    <t>Roma ISD (General Obligation Debt)</t>
  </si>
  <si>
    <t>Sonora ISD (General Obligation Debt)</t>
  </si>
  <si>
    <t>Arlington ISD (General Obligation Debt)</t>
  </si>
  <si>
    <t>Birdville ISD (General Obligation Debt)</t>
  </si>
  <si>
    <t>Everman ISD (General Obligation Debt)</t>
  </si>
  <si>
    <t>Fort Worth ISD (General Obligation Debt)</t>
  </si>
  <si>
    <t>Grapevine-Colleyville ISD (General Obligation Debt)</t>
  </si>
  <si>
    <t>Keller ISD (General Obligation Debt)</t>
  </si>
  <si>
    <t>Mansfield ISD (General Obligation Debt)</t>
  </si>
  <si>
    <t>Lake Worth ISD (General Obligation Debt)</t>
  </si>
  <si>
    <t>Crowley ISD (General Obligation Debt)</t>
  </si>
  <si>
    <t>Kennedale ISD (General Obligation Debt)</t>
  </si>
  <si>
    <t>Azle ISD (General Obligation Debt)</t>
  </si>
  <si>
    <t>Hurst-Euless-Bedford ISD (General Obligation Debt)</t>
  </si>
  <si>
    <t>Castleberry ISD (General Obligation Debt)</t>
  </si>
  <si>
    <t>Eagle Mountain-Saginaw ISD (General Obligation Debt)</t>
  </si>
  <si>
    <t>Carroll ISD (General Obligation Debt)</t>
  </si>
  <si>
    <t>White Settlement ISD (General Obligation Debt)</t>
  </si>
  <si>
    <t>Abilene ISD (General Obligation Debt)</t>
  </si>
  <si>
    <t>Merkel ISD (General Obligation Debt)</t>
  </si>
  <si>
    <t>Trent ISD (General Obligation Debt)</t>
  </si>
  <si>
    <t>Jim Ned CISD (General Obligation Debt)</t>
  </si>
  <si>
    <t>Terrell Co ISD (General Obligation Debt)</t>
  </si>
  <si>
    <t>Brownfield ISD (General Obligation Debt)</t>
  </si>
  <si>
    <t>Meadow ISD (General Obligation Debt)</t>
  </si>
  <si>
    <t>Mount Pleasant ISD (General Obligation Debt)</t>
  </si>
  <si>
    <t>Christoval ISD (General Obligation Debt)</t>
  </si>
  <si>
    <t>San Angelo ISD (General Obligation Debt)</t>
  </si>
  <si>
    <t>Water Valley ISD (General Obligation Debt)</t>
  </si>
  <si>
    <t>Wall ISD (General Obligation Debt)</t>
  </si>
  <si>
    <t>Grape Creek ISD (General Obligation Debt)</t>
  </si>
  <si>
    <t>Veribest ISD (General Obligation Debt)</t>
  </si>
  <si>
    <t>Austin ISD (General Obligation Debt)</t>
  </si>
  <si>
    <t>Pflugerville ISD (General Obligation Debt)</t>
  </si>
  <si>
    <t>DODD CITY ISD</t>
  </si>
  <si>
    <t xml:space="preserve">(7)  The per capita rate has been changed from $350 to $317, which is the rate TEA will use on the preliminary </t>
  </si>
  <si>
    <t>(2)  For districts that are contemplating setting a tax rate lower than their compressed rate, the penalty was not</t>
  </si>
  <si>
    <t>(may be 423 thru 428 rolled up to 429 in PEIMS)</t>
  </si>
  <si>
    <t xml:space="preserve">(8)  On the 'SOF0607-HB1' worksheet, the high school allotment has been taken out of Fund 199 and put it its own </t>
  </si>
  <si>
    <t>Fund (which I think will be 429 when rolled into PEIMS).</t>
  </si>
  <si>
    <t>&lt;= Enter the taxes that will be collected and paid to a Tax Increment Financing arrangement for the applicable year.</t>
  </si>
  <si>
    <t>&lt;= If the district is less than K-12 and will be paying tuition to the educating district for those students whose grades are not taught, enter the number of students being educated by the other district.</t>
  </si>
  <si>
    <t>Bangs ISD</t>
  </si>
  <si>
    <t>025-902</t>
  </si>
  <si>
    <t>Brownwood ISD</t>
  </si>
  <si>
    <t>026-901</t>
  </si>
  <si>
    <t>Caldwell ISD</t>
  </si>
  <si>
    <t>026-902</t>
  </si>
  <si>
    <t>Somerville ISD</t>
  </si>
  <si>
    <t>026-903</t>
  </si>
  <si>
    <t>Snook ISD</t>
  </si>
  <si>
    <t>028-906</t>
  </si>
  <si>
    <t>1.h</t>
  </si>
  <si>
    <t>Award #8:</t>
  </si>
  <si>
    <t xml:space="preserve">The following IFA data (Notice of Allotment Amount and 2003-04 eligible debt payment) are derived from </t>
  </si>
  <si>
    <t>2003-04 Eligible Debt Payment</t>
  </si>
  <si>
    <t>[(Line 5 - Line 6) / $35 / Line 7 / 100]</t>
  </si>
  <si>
    <t>Whitesboro ISD</t>
  </si>
  <si>
    <t>188-902</t>
  </si>
  <si>
    <t>161-922</t>
  </si>
  <si>
    <t>178-909</t>
  </si>
  <si>
    <t>014-907</t>
  </si>
  <si>
    <t>&lt;= not used by TEA - still use T4 instead of T3</t>
  </si>
  <si>
    <t>This worksheet calculates the amount of additional state aid for school employee benefits</t>
  </si>
  <si>
    <t>Tier II Aid @ $27.14 Yield</t>
  </si>
  <si>
    <t>Tier II Aid @ $24.70 Yield</t>
  </si>
  <si>
    <t>Tier II Gain</t>
  </si>
  <si>
    <t>Recapture @ $295,000</t>
  </si>
  <si>
    <t>211-901</t>
  </si>
  <si>
    <t>Texhoma ISD</t>
  </si>
  <si>
    <t>Normangee ISD</t>
  </si>
  <si>
    <t>145-907</t>
  </si>
  <si>
    <t>Oakwood ISD</t>
  </si>
  <si>
    <t>145-911</t>
  </si>
  <si>
    <t>Leon ISD</t>
  </si>
  <si>
    <t>146-903</t>
  </si>
  <si>
    <t>Devers ISD</t>
  </si>
  <si>
    <t>146-906</t>
  </si>
  <si>
    <t>Liberty ISD</t>
  </si>
  <si>
    <t>146-907</t>
  </si>
  <si>
    <t>Tarkington ISD</t>
  </si>
  <si>
    <t>Penalty for Setting M&amp;O Rate Less Than Compressed Rate</t>
  </si>
  <si>
    <t>Reduction for "Excess" Revenue</t>
  </si>
  <si>
    <t>2006-07 Gain From Option 4 Chapter 41 Partnership:</t>
  </si>
  <si>
    <t>242-905</t>
  </si>
  <si>
    <t>Kelton ISD</t>
  </si>
  <si>
    <t>242-906</t>
  </si>
  <si>
    <t>Fort Elliott Cons ISD</t>
  </si>
  <si>
    <t>243-902</t>
  </si>
  <si>
    <t>Electra ISD</t>
  </si>
  <si>
    <t>243-903</t>
  </si>
  <si>
    <t>Iowa Park Cons ISD</t>
  </si>
  <si>
    <t>243-905</t>
  </si>
  <si>
    <t>SKIDMORE-TYNAN ISD</t>
  </si>
  <si>
    <t>SLIDELL ISD</t>
  </si>
  <si>
    <t>SMITHVILLE ISD</t>
  </si>
  <si>
    <t>SMYER ISD</t>
  </si>
  <si>
    <t>SOCORRO ISD</t>
  </si>
  <si>
    <t>SOMERSET ISD</t>
  </si>
  <si>
    <t>SOUTH SAN ANTONIO ISD</t>
  </si>
  <si>
    <t>SOUTHSIDE ISD</t>
  </si>
  <si>
    <t>SOUTHWEST ISD</t>
  </si>
  <si>
    <t>SPLENDORA ISD</t>
  </si>
  <si>
    <t>SPRING HILL ISD</t>
  </si>
  <si>
    <t>SPRINGTOWN ISD</t>
  </si>
  <si>
    <t>SPURGER ISD</t>
  </si>
  <si>
    <t>STAMFORD ISD</t>
  </si>
  <si>
    <t>STEPHENVILLE</t>
  </si>
  <si>
    <t>STOCKDALE ISD</t>
  </si>
  <si>
    <t>SULPHUR BLUFF ISD</t>
  </si>
  <si>
    <t>112-907</t>
  </si>
  <si>
    <t>116-906</t>
  </si>
  <si>
    <t>005-904</t>
  </si>
  <si>
    <t>010-902</t>
  </si>
  <si>
    <t xml:space="preserve">This template calculates an estimate of state aid that will be EARNED for the 2003-04 </t>
  </si>
  <si>
    <t>24/30</t>
  </si>
  <si>
    <t>2002-03 I &amp; S Tax Collections</t>
  </si>
  <si>
    <t>2002-03 Local Share of EDA</t>
  </si>
  <si>
    <t xml:space="preserve">2002-03 Local Share of IFA Awarded for Bonded Debt </t>
  </si>
  <si>
    <t>2002-03 Excess I&amp;S Tax Collections (Line 1 - Line 2 - Line 3)</t>
  </si>
  <si>
    <t xml:space="preserve">2002-03 Rate Used to Determine Maximum Limit </t>
  </si>
  <si>
    <t>McAllen ISD</t>
  </si>
  <si>
    <t>McKinney ISD</t>
  </si>
  <si>
    <t>Medina Valley ISD</t>
  </si>
  <si>
    <t>Mercedes ISD</t>
  </si>
  <si>
    <t>Mesquite ISD</t>
  </si>
  <si>
    <t>Midland ISD</t>
  </si>
  <si>
    <t>Milano ISD</t>
  </si>
  <si>
    <t>Millsap ISD</t>
  </si>
  <si>
    <t>Mineral Wells ISD</t>
  </si>
  <si>
    <t xml:space="preserve">           and (2) the district does not receive IFA (Chapter 46) assistance for these bonds.</t>
  </si>
  <si>
    <t xml:space="preserve">              (2) I&amp;S taxes collected beginning with the 1999-00 school year that were in excess of the amounts </t>
  </si>
  <si>
    <t xml:space="preserve">              and were not used to generate other state aid, and (3) M&amp;O taxes collected beginning with  </t>
  </si>
  <si>
    <t xml:space="preserve">              the 1999-00 school year that were excess of the amount eligible to be used to generate state aid.</t>
  </si>
  <si>
    <t>246-909</t>
  </si>
  <si>
    <t>037-907</t>
  </si>
  <si>
    <t>014-908</t>
  </si>
  <si>
    <t>226-903</t>
  </si>
  <si>
    <t>015-907</t>
  </si>
  <si>
    <t>031-912</t>
  </si>
  <si>
    <t>071-904</t>
  </si>
  <si>
    <t>233-901</t>
  </si>
  <si>
    <t>206-901</t>
  </si>
  <si>
    <t>061-908</t>
  </si>
  <si>
    <t>084-909</t>
  </si>
  <si>
    <t>031-914</t>
  </si>
  <si>
    <t>094-902</t>
  </si>
  <si>
    <t>129-910</t>
  </si>
  <si>
    <t>094-901</t>
  </si>
  <si>
    <t>152-909</t>
  </si>
  <si>
    <t>100-904</t>
  </si>
  <si>
    <t>013-905</t>
  </si>
  <si>
    <t>249-908</t>
  </si>
  <si>
    <t>071-909</t>
  </si>
  <si>
    <t>015-909</t>
  </si>
  <si>
    <t>015-908</t>
  </si>
  <si>
    <t>015-917</t>
  </si>
  <si>
    <t>170-907</t>
  </si>
  <si>
    <t>092-907</t>
  </si>
  <si>
    <t>184-902</t>
  </si>
  <si>
    <t>072-903</t>
  </si>
  <si>
    <t>247-906</t>
  </si>
  <si>
    <t>13.</t>
  </si>
  <si>
    <t>014-909</t>
  </si>
  <si>
    <t>246-912</t>
  </si>
  <si>
    <t>111-903</t>
  </si>
  <si>
    <t>071-908</t>
  </si>
  <si>
    <t>107-907</t>
  </si>
  <si>
    <t>014-910</t>
  </si>
  <si>
    <t>240-903</t>
  </si>
  <si>
    <t>232-903</t>
  </si>
  <si>
    <t>108-916</t>
  </si>
  <si>
    <t xml:space="preserve">       2001 Adjusted T3 CPTD Value</t>
  </si>
  <si>
    <t xml:space="preserve">                (2) I&amp;S taxes collected beginning with the 1999-2000 school year that were in excess </t>
  </si>
  <si>
    <t xml:space="preserve">               of the district's EDA and/or IFA local shares, and (3) M&amp;O taxes collected beginning with </t>
  </si>
  <si>
    <t xml:space="preserve">2006-07 Total Tier II State Aid (does not include Level 2) </t>
  </si>
  <si>
    <t>074-909</t>
  </si>
  <si>
    <t>Leonard ISD</t>
  </si>
  <si>
    <t>074-911</t>
  </si>
  <si>
    <t>Savoy ISD</t>
  </si>
  <si>
    <t>074-912</t>
  </si>
  <si>
    <t>EAGLE CHARTER TYLER</t>
  </si>
  <si>
    <t>212-902</t>
  </si>
  <si>
    <t>Bullard ISD</t>
  </si>
  <si>
    <t>212-903</t>
  </si>
  <si>
    <t>Lindale ISD</t>
  </si>
  <si>
    <t>eligible "old" debt covered by IFA: award#8</t>
  </si>
  <si>
    <t>Hondo ISD</t>
  </si>
  <si>
    <t>Howe ISD</t>
  </si>
  <si>
    <t>Hull-Daisetta ISD</t>
  </si>
  <si>
    <t>Humble ISD</t>
  </si>
  <si>
    <t>Huntington ISD</t>
  </si>
  <si>
    <t>Birdville ISD</t>
  </si>
  <si>
    <t>2004-05 Total "Equalized" Debt (bonded debt covered by EDA and/or IFA)</t>
  </si>
  <si>
    <t>M&amp;O Revenue From Local Taxes (net of recapture)</t>
  </si>
  <si>
    <t>250-906</t>
  </si>
  <si>
    <t>Alba-Golden ISD</t>
  </si>
  <si>
    <t>250-907</t>
  </si>
  <si>
    <t>Winnsboro ISD</t>
  </si>
  <si>
    <t>251-901</t>
  </si>
  <si>
    <t>Denver City ISD</t>
  </si>
  <si>
    <t>Paducah ISD</t>
  </si>
  <si>
    <t>052-901</t>
  </si>
  <si>
    <t>Crane ISD</t>
  </si>
  <si>
    <t>053-001</t>
  </si>
  <si>
    <t>Crockett Co Cons CSD</t>
  </si>
  <si>
    <t>054-901</t>
  </si>
  <si>
    <t>Crosbyton ISD</t>
  </si>
  <si>
    <t>054-902</t>
  </si>
  <si>
    <t>Lorenzo ISD</t>
  </si>
  <si>
    <t>054-903</t>
  </si>
  <si>
    <t>Ralls ISD</t>
  </si>
  <si>
    <t>055-901</t>
  </si>
  <si>
    <t>Culberson County-Allamoore ISD</t>
  </si>
  <si>
    <t>056-901</t>
  </si>
  <si>
    <t>Dalhart ISD</t>
  </si>
  <si>
    <t>056-902</t>
  </si>
  <si>
    <t>Texline ISD</t>
  </si>
  <si>
    <t>057-802</t>
  </si>
  <si>
    <t>Walnut Springs ISD</t>
  </si>
  <si>
    <t>109-913</t>
  </si>
  <si>
    <t>133-901</t>
  </si>
  <si>
    <t>161-909</t>
  </si>
  <si>
    <t>177-901</t>
  </si>
  <si>
    <t>232-902</t>
  </si>
  <si>
    <t>246-911</t>
  </si>
  <si>
    <t>018-905</t>
  </si>
  <si>
    <t>Total Eligible Bonded Debt Covered by IFA ("equalized" debt)</t>
  </si>
  <si>
    <t>Total Eligible Bonded Debt Not Covered by IFA ("unequalized" debt)</t>
  </si>
  <si>
    <t>Tuition Pd If &lt; 12 Grades</t>
  </si>
  <si>
    <t xml:space="preserve">           Article VII, Section 5 of the Texas Constitution</t>
  </si>
  <si>
    <t xml:space="preserve">     Foundation School Fund (FSF)</t>
  </si>
  <si>
    <t xml:space="preserve">     HB 1 Add'l Aid </t>
  </si>
  <si>
    <t>Mount Vernon ISD</t>
  </si>
  <si>
    <t>081-902</t>
  </si>
  <si>
    <t>Fairfield ISD</t>
  </si>
  <si>
    <t>081-904</t>
  </si>
  <si>
    <t>Teague ISD</t>
  </si>
  <si>
    <t>081-905</t>
  </si>
  <si>
    <t>Wortham ISD</t>
  </si>
  <si>
    <t>081-906</t>
  </si>
  <si>
    <t>Dew ISD</t>
  </si>
  <si>
    <t>083-901</t>
  </si>
  <si>
    <t>Seagraves ISD</t>
  </si>
  <si>
    <t>083-902</t>
  </si>
  <si>
    <t>Loop ISD</t>
  </si>
  <si>
    <t>083-903</t>
  </si>
  <si>
    <t>Seminole ISD</t>
  </si>
  <si>
    <t>084-802</t>
  </si>
  <si>
    <t>ODYSSEY ACADEMY</t>
  </si>
  <si>
    <t>084-901</t>
  </si>
  <si>
    <t>Lubbock ISD</t>
  </si>
  <si>
    <t>Lumberton ISD</t>
  </si>
  <si>
    <t>2006-07 Total Revenue Needed to Maintain 2005-06 Level</t>
  </si>
  <si>
    <t>2005-06 $110 per WADA Entitlement</t>
  </si>
  <si>
    <t>2006-07 Tier 1 State Aid</t>
  </si>
  <si>
    <t>2006-07 $110 per WADA Entitlement</t>
  </si>
  <si>
    <t>011905</t>
  </si>
  <si>
    <t>012901</t>
  </si>
  <si>
    <t>013901</t>
  </si>
  <si>
    <t>013902</t>
  </si>
  <si>
    <t>013903</t>
  </si>
  <si>
    <t>013905</t>
  </si>
  <si>
    <t>014901</t>
  </si>
  <si>
    <t>014902</t>
  </si>
  <si>
    <t>014903</t>
  </si>
  <si>
    <t>014905</t>
  </si>
  <si>
    <t>014906</t>
  </si>
  <si>
    <t>014907</t>
  </si>
  <si>
    <t>014908</t>
  </si>
  <si>
    <t>014909</t>
  </si>
  <si>
    <t>014910</t>
  </si>
  <si>
    <t>015901</t>
  </si>
  <si>
    <t>015904</t>
  </si>
  <si>
    <t>015905</t>
  </si>
  <si>
    <t>015907</t>
  </si>
  <si>
    <t>San Saba ISD</t>
  </si>
  <si>
    <t>Center ISD</t>
  </si>
  <si>
    <t>210-902</t>
  </si>
  <si>
    <t>Joaquin ISD</t>
  </si>
  <si>
    <t>210-904</t>
  </si>
  <si>
    <t>Tenaha ISD</t>
  </si>
  <si>
    <t>210-905</t>
  </si>
  <si>
    <t>Timpson ISD</t>
  </si>
  <si>
    <t>210-906</t>
  </si>
  <si>
    <t>Excelsior ISD</t>
  </si>
  <si>
    <t>175-907</t>
  </si>
  <si>
    <t>Kerens ISD</t>
  </si>
  <si>
    <t>184-901</t>
  </si>
  <si>
    <t>Tax Effort for Tier II Purposes (Max $.64)</t>
  </si>
  <si>
    <t>Tax Collection Limit for DTR</t>
  </si>
  <si>
    <t>(Tax Effort  x CPTD Value)</t>
  </si>
  <si>
    <t>Calculation of 2005-06 and 2006-07 Tax Collection Limit for DTR:</t>
  </si>
  <si>
    <t>Zephyr ISD (General Obligation Debt)</t>
  </si>
  <si>
    <t>Brookesmith ISD (General Obligation Debt)</t>
  </si>
  <si>
    <t>Early ISD (General Obligation Debt)</t>
  </si>
  <si>
    <t>Caldwell ISD (General Obligation Debt)</t>
  </si>
  <si>
    <t>Somerville ISD (General Obligation Debt)</t>
  </si>
  <si>
    <t>Burnet CISD (General Obligation Debt)</t>
  </si>
  <si>
    <t>Marble Falls ISD (General Obligation Debt)</t>
  </si>
  <si>
    <t>Lockhart ISD (General Obligation Debt)</t>
  </si>
  <si>
    <t>Luling ISD (General Obligation Debt)</t>
  </si>
  <si>
    <t>San Felipe-Del Rio Cons ISD</t>
  </si>
  <si>
    <r>
      <t>&lt;= Enter gifted and talented enrollment (funding limited to 5 percent of refined ADA).</t>
    </r>
    <r>
      <rPr>
        <b/>
        <sz val="10"/>
        <rFont val="Arial MT"/>
      </rPr>
      <t xml:space="preserve">  </t>
    </r>
  </si>
  <si>
    <t>Somerset ISD</t>
  </si>
  <si>
    <t>instructions beginning in cell H15.</t>
  </si>
  <si>
    <t xml:space="preserve">   "New" Salary Transition Entitlement</t>
  </si>
  <si>
    <t>"New" Salary Transition Entitlement</t>
  </si>
  <si>
    <t>@max dtr</t>
  </si>
  <si>
    <t>M&amp;O Revenue From State</t>
  </si>
  <si>
    <t>share @ $.29, if applicable, is less than IFA local share on Line 10)</t>
  </si>
  <si>
    <t>1.f</t>
  </si>
  <si>
    <t>1.g</t>
  </si>
  <si>
    <t>Award #6:</t>
  </si>
  <si>
    <t>Award #7:</t>
  </si>
  <si>
    <t>007-906</t>
  </si>
  <si>
    <t>Poteet ISD</t>
  </si>
  <si>
    <t>011-905</t>
  </si>
  <si>
    <t>014-901</t>
  </si>
  <si>
    <t>Academy ISD</t>
  </si>
  <si>
    <t>019-903</t>
  </si>
  <si>
    <t>Maud ISD</t>
  </si>
  <si>
    <t>019-909</t>
  </si>
  <si>
    <t>Simms ISD</t>
  </si>
  <si>
    <t>195-901</t>
  </si>
  <si>
    <t>Pecos-Barstow-Toyah ISD</t>
  </si>
  <si>
    <t>196-901</t>
  </si>
  <si>
    <t>Austwell-Tivoli ISD</t>
  </si>
  <si>
    <t>196-902</t>
  </si>
  <si>
    <t>Woodsboro ISD</t>
  </si>
  <si>
    <t>196-903</t>
  </si>
  <si>
    <t>Hallsville ISD</t>
  </si>
  <si>
    <t>102-905</t>
  </si>
  <si>
    <t>Harleton ISD</t>
  </si>
  <si>
    <t>102-906</t>
  </si>
  <si>
    <t>Elysian Fields ISD</t>
  </si>
  <si>
    <t>103-901</t>
  </si>
  <si>
    <t>Channing ISD</t>
  </si>
  <si>
    <t>Progreso ISD</t>
  </si>
  <si>
    <t xml:space="preserve">&lt;= Enter the district's actual debt service payment for "old" debt (does not include lease-purchase payments) for the applicable school year, including bonded debt covered by the IFA, regardless of where the funds came from that were used to pay for the bonded debt.  "Old" debt is bonded debt for which the district made a debt service payment in the 2004-05 school year.  Do not include IFA awarded for lease-purchases. </t>
  </si>
  <si>
    <t xml:space="preserve">Existing Debt Allotment </t>
  </si>
  <si>
    <t>Refined ADA (PreK - 12)</t>
  </si>
  <si>
    <t xml:space="preserve">   Homebound (Code 01)</t>
  </si>
  <si>
    <t xml:space="preserve">   Hospital Class (Code 02)</t>
  </si>
  <si>
    <t xml:space="preserve">   State Schools (Code 30)</t>
  </si>
  <si>
    <t>Kenedy ISD</t>
  </si>
  <si>
    <t>Kingsville ISD</t>
  </si>
  <si>
    <t>Boerne ISD</t>
  </si>
  <si>
    <t>asf change</t>
  </si>
  <si>
    <t>fsf change</t>
  </si>
  <si>
    <t xml:space="preserve">   Less: Gain Resulting From Amendment to </t>
  </si>
  <si>
    <t>Edna ISD</t>
  </si>
  <si>
    <t>120-905</t>
  </si>
  <si>
    <t>Industrial ISD</t>
  </si>
  <si>
    <t xml:space="preserve">     Unadjusted Cost of Education Index</t>
  </si>
  <si>
    <t>Cross Plains ISD</t>
  </si>
  <si>
    <t>Clyde Cons ISD</t>
  </si>
  <si>
    <t>030-903</t>
  </si>
  <si>
    <t>Baird ISD</t>
  </si>
  <si>
    <t>Murchison ISD</t>
  </si>
  <si>
    <t>109-901</t>
  </si>
  <si>
    <t>Abbott ISD</t>
  </si>
  <si>
    <t>109-908</t>
  </si>
  <si>
    <t>Malone ISD</t>
  </si>
  <si>
    <t>109-910</t>
  </si>
  <si>
    <t>Mount Calm ISD</t>
  </si>
  <si>
    <t>109-912</t>
  </si>
  <si>
    <t>Aquilla ISD</t>
  </si>
  <si>
    <t>109-914</t>
  </si>
  <si>
    <t>Penelope ISD</t>
  </si>
  <si>
    <t>174-902</t>
  </si>
  <si>
    <t>Cushing ISD</t>
  </si>
  <si>
    <t>174-904</t>
  </si>
  <si>
    <t>Nacogdoches ISD</t>
  </si>
  <si>
    <t>174-908</t>
  </si>
  <si>
    <t>Central Heights ISD</t>
  </si>
  <si>
    <t>174-909</t>
  </si>
  <si>
    <t>Martinsville ISD</t>
  </si>
  <si>
    <t>174-911</t>
  </si>
  <si>
    <t>Douglass ISD</t>
  </si>
  <si>
    <t>175-902</t>
  </si>
  <si>
    <t>Total Cost of Tier I</t>
  </si>
  <si>
    <t>LESS: Local Share</t>
  </si>
  <si>
    <t>Technology Allotment</t>
  </si>
  <si>
    <t>Other Programs</t>
  </si>
  <si>
    <t xml:space="preserve">   Hold Harmless Additional State Aid</t>
  </si>
  <si>
    <t xml:space="preserve">   Transfer Payment to TX School for the Deaf</t>
  </si>
  <si>
    <t xml:space="preserve">   Transfer Payment to TX School for the Blind</t>
  </si>
  <si>
    <t xml:space="preserve">           2005-06 &amp; 2006-07 School Years</t>
  </si>
  <si>
    <t xml:space="preserve"> = the district's ADA for the applicable year</t>
  </si>
  <si>
    <t xml:space="preserve"> = the district's adjusted CPTD value for the applicable year </t>
  </si>
  <si>
    <t>COLMESNEIL ISD</t>
  </si>
  <si>
    <t>COLUMBIA-BRAZORIA ISD</t>
  </si>
  <si>
    <t>COLUMBUS ISD</t>
  </si>
  <si>
    <t>COMMERCE ISD</t>
  </si>
  <si>
    <t>COMMUNITY ISD</t>
  </si>
  <si>
    <t>CONNALLY ISD</t>
  </si>
  <si>
    <t>CONROE ISD</t>
  </si>
  <si>
    <t>COOLIDGE ISD</t>
  </si>
  <si>
    <t>COPPERAS COVE ISD</t>
  </si>
  <si>
    <t>CORPUS CHRISTI ISD</t>
  </si>
  <si>
    <t>CORSICANA ISD</t>
  </si>
  <si>
    <t>COTULLA ISD</t>
  </si>
  <si>
    <t xml:space="preserve">     $110 per WADA</t>
  </si>
  <si>
    <t>Rate of $317</t>
  </si>
  <si>
    <t>Rate of $275</t>
  </si>
  <si>
    <t>2006-07 Summary of Finances.</t>
  </si>
  <si>
    <t xml:space="preserve">              2002-03, and  (2) the district does not receive IFA assistance for these bonds.</t>
  </si>
  <si>
    <t>2000-01 Adjusted Hold Harmless Tax Base per WADA</t>
  </si>
  <si>
    <t xml:space="preserve">     05-06 Recapture Using 05-06 M&amp;O taxes</t>
  </si>
  <si>
    <t xml:space="preserve">     2000-01 Adjusted Hold Harmless Tax Base per WADA</t>
  </si>
  <si>
    <t>China Spring ISD</t>
  </si>
  <si>
    <t>City View ISD</t>
  </si>
  <si>
    <t>Cleburne ISD</t>
  </si>
  <si>
    <t>Clifton ISD</t>
  </si>
  <si>
    <t>Mission Cons ISD</t>
  </si>
  <si>
    <t>Nazareth ISD</t>
  </si>
  <si>
    <t>savings due to EWL change</t>
  </si>
  <si>
    <t>Chapter 41 template.</t>
  </si>
  <si>
    <t>Frisco ISD</t>
  </si>
  <si>
    <t>Fruitvale ISD</t>
  </si>
  <si>
    <t>Gainesville ISD</t>
  </si>
  <si>
    <t>Galena Park ISD</t>
  </si>
  <si>
    <t>Less: Tier I Requirement</t>
  </si>
  <si>
    <t>Tax Effort for Tier II Purposes (Max DTR)</t>
  </si>
  <si>
    <t>Chisum ISD</t>
  </si>
  <si>
    <t>139-911</t>
  </si>
  <si>
    <t>North Lamar ISD</t>
  </si>
  <si>
    <t>COPPELL ISD</t>
  </si>
  <si>
    <t>KLONDIKE ISD</t>
  </si>
  <si>
    <t>LAMESA ISD</t>
  </si>
  <si>
    <t>SANDS CISD</t>
  </si>
  <si>
    <t>WALCOTT ISD</t>
  </si>
  <si>
    <t>COOPER ISD</t>
  </si>
  <si>
    <t>DENTON ISD</t>
  </si>
  <si>
    <t>ARGYLE ISD</t>
  </si>
  <si>
    <t>NORDHEIM ISD</t>
  </si>
  <si>
    <t>YORKTOWN ISD</t>
  </si>
  <si>
    <t>WESTHOFF ISD</t>
  </si>
  <si>
    <t>MEYERSVILLE ISD</t>
  </si>
  <si>
    <t>SPUR ISD</t>
  </si>
  <si>
    <t>PATTON SPRINGS ISD</t>
  </si>
  <si>
    <t>CLARENDON ISD</t>
  </si>
  <si>
    <t>RAMIREZ CSD</t>
  </si>
  <si>
    <t>BENAVIDES ISD</t>
  </si>
  <si>
    <t>FREER ISD</t>
  </si>
  <si>
    <t xml:space="preserve">&lt;= If the district entered into an Option 4 agreement with a Chapter 41 district (or districts), enter the net gain retained by the district (what's left after any transfers to JJAEPs, ESCs, etc). </t>
  </si>
  <si>
    <t xml:space="preserve">2005-06 Gain From Chapter 41 Partnership </t>
  </si>
  <si>
    <t># WADA Sold to a Chapter 41 District</t>
  </si>
  <si>
    <t xml:space="preserve">&lt;= If the district entered into an Option 4 agreement with a Chapter 41 district (or districts), enter the # of WADA sold to them. </t>
  </si>
  <si>
    <t>Portion of District's Gross Profit Sent to Another Entity</t>
  </si>
  <si>
    <t>Dublin ISD</t>
  </si>
  <si>
    <t>072-904</t>
  </si>
  <si>
    <t>Bluff Dale ISD</t>
  </si>
  <si>
    <t>072-908</t>
  </si>
  <si>
    <t>Huckabay ISD</t>
  </si>
  <si>
    <t>072-910</t>
  </si>
  <si>
    <t>Morgan Mill ISD</t>
  </si>
  <si>
    <t>073-901</t>
  </si>
  <si>
    <t>Chilton ISD</t>
  </si>
  <si>
    <t>073-905</t>
  </si>
  <si>
    <t>Rosebud-Lott ISD</t>
  </si>
  <si>
    <t>074-903</t>
  </si>
  <si>
    <t>Bonham ISD</t>
  </si>
  <si>
    <t>074-907</t>
  </si>
  <si>
    <t>Honey Grove ISD</t>
  </si>
  <si>
    <t>047-901</t>
  </si>
  <si>
    <t>Comanche ISD</t>
  </si>
  <si>
    <t>047-905</t>
  </si>
  <si>
    <t>Sidney ISD</t>
  </si>
  <si>
    <t>048-901</t>
  </si>
  <si>
    <t>Eden Cons ISD</t>
  </si>
  <si>
    <t>048-903</t>
  </si>
  <si>
    <t>Paint Rock ISD</t>
  </si>
  <si>
    <t>049-902</t>
  </si>
  <si>
    <t>Muenster ISD</t>
  </si>
  <si>
    <t>049-905</t>
  </si>
  <si>
    <t xml:space="preserve">without any offset or without having to send 100% of it away.  On the 'Calc Data' worksheet, Cell E157 computes this </t>
  </si>
  <si>
    <t>account for this change.</t>
  </si>
  <si>
    <t xml:space="preserve">amount.  I think the only way this will change is if TEA gets a letter of intent that says it wasn't intended that districts </t>
  </si>
  <si>
    <t>keep any gain without the offset.  TEA will accept revised contracts if those contracts need to be revised to</t>
  </si>
  <si>
    <t xml:space="preserve">(3) Related to #2 above, it has been decided (I think) that the district's real-world cost per WADA does not include the </t>
  </si>
  <si>
    <t xml:space="preserve">taxes collected on the $.04 nor the corresponding Level 2 Tier II aid.  The district's calculated cost per WADA in </t>
  </si>
  <si>
    <t>DTR for level 1 of Tier II was not being calculated correctly (Cell F41 on the 'Calc Data' worksheet).  In this situation,</t>
  </si>
  <si>
    <t>as their 2005-06 arrangement (see calculations starting on Row 116) has been recalculated.  The Tier II component</t>
  </si>
  <si>
    <r>
      <t>As of today</t>
    </r>
    <r>
      <rPr>
        <b/>
        <sz val="10"/>
        <color indexed="17"/>
        <rFont val="Arial MT"/>
      </rPr>
      <t xml:space="preserve">, it is possible, therefore, for a district to enter into an agreement and actually keep an amount of gain </t>
    </r>
  </si>
  <si>
    <t>Release 9.0; October 27, 2006</t>
  </si>
  <si>
    <t>069-901</t>
  </si>
  <si>
    <t>Rocksprings ISD</t>
  </si>
  <si>
    <t>069-902</t>
  </si>
  <si>
    <t>This worksheet calculates the amount of additional state aid for professional</t>
  </si>
  <si>
    <t>(ASF prior to increase)</t>
  </si>
  <si>
    <t>CHAPTER  41   WADA   CALCULATIONS:</t>
  </si>
  <si>
    <t xml:space="preserve">I have added a section to the "SOF0607-HB1" tab (starting on Row 138) to show that the state revenue that HB 1 is </t>
  </si>
  <si>
    <t xml:space="preserve">producing, after being reduced by any "excess", is equal to the Hold Harmless Base Revenue plus the </t>
  </si>
  <si>
    <t>Salary Allotment, the High School Allotment, and the Staff  Allotment.</t>
  </si>
  <si>
    <t>Prairiland ISD</t>
  </si>
  <si>
    <t>Denton ISD</t>
  </si>
  <si>
    <t>061-910</t>
  </si>
  <si>
    <t>Argyle ISD</t>
  </si>
  <si>
    <t>062-902</t>
  </si>
  <si>
    <t>Nordheim ISD</t>
  </si>
  <si>
    <t>062-904</t>
  </si>
  <si>
    <t>Yorktown ISD</t>
  </si>
  <si>
    <t>Slocum ISD</t>
  </si>
  <si>
    <t>002-901</t>
  </si>
  <si>
    <t>State/Local Share of Allotment ($35 x Line 7 x Line 12 x 100)</t>
  </si>
  <si>
    <t>Release 5.0; May 30, 2006</t>
  </si>
  <si>
    <t xml:space="preserve">Actual Tier II Tax Effort  </t>
  </si>
  <si>
    <t>2006-07 Additional Aid for School Employee Benefits</t>
  </si>
  <si>
    <t>Section 42.2516(b)(1)(A)</t>
  </si>
  <si>
    <t>Section 42.2516(b)(1)(B)</t>
  </si>
  <si>
    <t>2005-06 CL</t>
  </si>
  <si>
    <t>2006-07 CL</t>
  </si>
  <si>
    <t>2006-07 HB1</t>
  </si>
  <si>
    <t>S T A R CHARTER SCHOOL</t>
  </si>
  <si>
    <t>will not match the amount on the district's Summary of Finances because the set-asides</t>
  </si>
  <si>
    <t>calculated should be a reasonable estimate.</t>
  </si>
  <si>
    <t>245-903</t>
  </si>
  <si>
    <t>070-911</t>
  </si>
  <si>
    <t>175-911</t>
  </si>
  <si>
    <t>161-912</t>
  </si>
  <si>
    <t>214-901</t>
  </si>
  <si>
    <t>194-903</t>
  </si>
  <si>
    <t>2004-05 Chapter 41 Hold Harmless Level</t>
  </si>
  <si>
    <t>Student Counts:</t>
  </si>
  <si>
    <r>
      <t>&lt;=</t>
    </r>
    <r>
      <rPr>
        <b/>
        <sz val="10"/>
        <rFont val="Arial MT"/>
      </rPr>
      <t xml:space="preserve"> </t>
    </r>
    <r>
      <rPr>
        <sz val="10"/>
        <rFont val="Arial MT"/>
      </rPr>
      <t xml:space="preserve">Enter estimated total refined ADA for the applicable year.  </t>
    </r>
    <r>
      <rPr>
        <b/>
        <sz val="10"/>
        <rFont val="Arial MT"/>
      </rPr>
      <t/>
    </r>
  </si>
  <si>
    <t>Tax Year 2004</t>
  </si>
  <si>
    <t>Tax Year 2005</t>
  </si>
  <si>
    <t>CPTD Value ("T2")</t>
  </si>
  <si>
    <t>CPTD Adjusted for Grade</t>
  </si>
  <si>
    <t>CPTD Value ("T1")</t>
  </si>
  <si>
    <t>Tax Collection Data:</t>
  </si>
  <si>
    <t>Other Data:</t>
  </si>
  <si>
    <t xml:space="preserve">&lt;= Enter the estimated M&amp;O taxes that the district would have collected (including frozen levies) had its M&amp;O rate been its 2005-06 adopted rate (either from 9/1/ thru 8/31/ or 7/1/ thru 6/30, depending on fiscal year).  Include current, delinquent, and any CED delinquent taxes - do not include P&amp;I except on CED taxes.  If the district has received an IFA award for a lease-purchase, the IFA local share for that award will be subtracted from the M&amp;O tax collections used for Tier II purposes.  </t>
  </si>
  <si>
    <t>2005-06 Number of WADA Sold to Chapter 41 District(s)</t>
  </si>
  <si>
    <t xml:space="preserve">Allotments in this calculation. </t>
  </si>
  <si>
    <t xml:space="preserve">The following represents my personal view as to the effects of the change made to </t>
  </si>
  <si>
    <t>Add Back: TSD &amp; TSB Charges</t>
  </si>
  <si>
    <t>Release 6.0; June 6, 2006</t>
  </si>
  <si>
    <t>(same as Line 9 unless I&amp;S taxes less EDA local</t>
  </si>
  <si>
    <t>ARLINGTON CLASSICS ACAD</t>
  </si>
  <si>
    <t>220-803</t>
  </si>
  <si>
    <t>227-901</t>
  </si>
  <si>
    <t>Austin ISD</t>
  </si>
  <si>
    <t>227-907</t>
  </si>
  <si>
    <t>Manor ISD</t>
  </si>
  <si>
    <t>227-909</t>
  </si>
  <si>
    <t>Eanes ISD</t>
  </si>
  <si>
    <t>227-912</t>
  </si>
  <si>
    <t>Lago Vista ISD</t>
  </si>
  <si>
    <t>227-913</t>
  </si>
  <si>
    <t>Lake Travis ISD</t>
  </si>
  <si>
    <t>228-901</t>
  </si>
  <si>
    <t>Groveton ISD</t>
  </si>
  <si>
    <t>228-903</t>
  </si>
  <si>
    <t>Trinity ISD</t>
  </si>
  <si>
    <t>228-904</t>
  </si>
  <si>
    <t>228-905</t>
  </si>
  <si>
    <t>Port Neches-Groves ISD</t>
  </si>
  <si>
    <t>123-910</t>
  </si>
  <si>
    <t>Beaumont ISD</t>
  </si>
  <si>
    <t>123-913</t>
  </si>
  <si>
    <t>Sabine Pass ISD</t>
  </si>
  <si>
    <t>124-901</t>
  </si>
  <si>
    <t>Jim Hogg County ISD</t>
  </si>
  <si>
    <t>Premont ISD</t>
  </si>
  <si>
    <t>125-906</t>
  </si>
  <si>
    <t>La Gloria ISD</t>
  </si>
  <si>
    <t>126-906</t>
  </si>
  <si>
    <t>Keene ISD</t>
  </si>
  <si>
    <t>127-903</t>
  </si>
  <si>
    <t>&lt;= If the district is less than K-12 and will be paying tuition to the educating district for those students whose grades are not taught, enter the amount of tuition per student being paid.</t>
  </si>
  <si>
    <t>194-904</t>
  </si>
  <si>
    <t>Clarksville ISD</t>
  </si>
  <si>
    <t>&lt;= Enter number of miles from nearest high school (not necessary if district greater than 130 ADA).</t>
  </si>
  <si>
    <t>&lt;= This cell is completed for you.</t>
  </si>
  <si>
    <t>&lt;= Enter number of students enrolled in the Tx School for the Deaf, if any.</t>
  </si>
  <si>
    <t>&lt;= Enter the number of students enrolled in the TX School for the Blind, if any.</t>
  </si>
  <si>
    <t>&lt;= Enter the state aid reduction for selling WADA to a Chapter 41 district (can be entered as positive or negative number).</t>
  </si>
  <si>
    <t>072-909</t>
  </si>
  <si>
    <t>Lingleville ISD</t>
  </si>
  <si>
    <t>074-904</t>
  </si>
  <si>
    <t>Dodd City ISD</t>
  </si>
  <si>
    <t>074-917</t>
  </si>
  <si>
    <t>Sam Rayburn ISD</t>
  </si>
  <si>
    <t>082-902</t>
  </si>
  <si>
    <t>Dilley ISD</t>
  </si>
  <si>
    <t>091-908</t>
  </si>
  <si>
    <t>Van Alstyne ISD</t>
  </si>
  <si>
    <t>091-909</t>
  </si>
  <si>
    <t>Andrews ISD</t>
  </si>
  <si>
    <t>003-801</t>
  </si>
  <si>
    <t>PINEYWOODS ACADEMY</t>
  </si>
  <si>
    <t>003-903</t>
  </si>
  <si>
    <t>Lufkin ISD</t>
  </si>
  <si>
    <t>003-905</t>
  </si>
  <si>
    <t>Diboll ISD</t>
  </si>
  <si>
    <t>003-906</t>
  </si>
  <si>
    <t>Zavalla ISD</t>
  </si>
  <si>
    <t>003-907</t>
  </si>
  <si>
    <t>Central ISD</t>
  </si>
  <si>
    <t>Discounted Option 3 Cost</t>
  </si>
  <si>
    <t>CAD Cost Paid by Partner(s), if applicable</t>
  </si>
  <si>
    <t>they were being used to estimate the taxes that would have been collected in 2006-07 using the district's 2005-06</t>
  </si>
  <si>
    <t>tax rate.  This data element is now one of the data entry cells.  TEA will ask for these two data elements</t>
  </si>
  <si>
    <t>sometime this summer and will give specific instructions on what to report (I think).</t>
  </si>
  <si>
    <t>MIDWAY ISD</t>
  </si>
  <si>
    <t>MORTON ISD</t>
  </si>
  <si>
    <t>WHITEFACE CONS ISD</t>
  </si>
  <si>
    <t>BRONTE ISD</t>
  </si>
  <si>
    <t>ROBERT LEE ISD</t>
  </si>
  <si>
    <t>PANTHER CREEK CONS ISD</t>
  </si>
  <si>
    <t>NOVICE ISD</t>
  </si>
  <si>
    <t>MELISSA ISD</t>
  </si>
  <si>
    <t>PLANO ISD</t>
  </si>
  <si>
    <t>LOVEJOY ISD</t>
  </si>
  <si>
    <t>WELLINGTON ISD</t>
  </si>
  <si>
    <t>SAMNORWOOD ISD</t>
  </si>
  <si>
    <t>RICE CONS ISD</t>
  </si>
  <si>
    <t>WEIMAR ISD</t>
  </si>
  <si>
    <t>NEW BRAUNFELS ISD</t>
  </si>
  <si>
    <t>COMAL ISD</t>
  </si>
  <si>
    <t>COMANCHE ISD</t>
  </si>
  <si>
    <t>SIDNEY ISD</t>
  </si>
  <si>
    <t>EDEN C I S D</t>
  </si>
  <si>
    <t>PAINT ROCK ISD</t>
  </si>
  <si>
    <t>MUENSTER ISD</t>
  </si>
  <si>
    <t>CALLISBURG ISD</t>
  </si>
  <si>
    <t>ERA ISD</t>
  </si>
  <si>
    <t>LINDSAY ISD</t>
  </si>
  <si>
    <t>WALNUT BEND ISD</t>
  </si>
  <si>
    <t>SIVELLS BEND ISD</t>
  </si>
  <si>
    <t>EVANT ISD</t>
  </si>
  <si>
    <t>GATESVILLE ISD</t>
  </si>
  <si>
    <t>JONESBORO ISD</t>
  </si>
  <si>
    <t>PADUCAH ISD</t>
  </si>
  <si>
    <t>CRANE ISD</t>
  </si>
  <si>
    <t>CROCKETT CO CONS CSD</t>
  </si>
  <si>
    <t>CROSBYTON ISD</t>
  </si>
  <si>
    <t>LORENZO ISD</t>
  </si>
  <si>
    <t>RALLS ISD</t>
  </si>
  <si>
    <t>CULBERSON COUNTY-ALLAMOORE ISD</t>
  </si>
  <si>
    <t>DALHART ISD</t>
  </si>
  <si>
    <t>TEXLINE ISD</t>
  </si>
  <si>
    <t>CARROLLTON-FARMERS BRANCH ISD</t>
  </si>
  <si>
    <t>CEDAR HILL ISD</t>
  </si>
  <si>
    <t>DALLAS ISD</t>
  </si>
  <si>
    <t>DESOTO ISD</t>
  </si>
  <si>
    <t>DUNCANVILLE ISD</t>
  </si>
  <si>
    <t>HIGHLAND PARK ISD</t>
  </si>
  <si>
    <t>LANCASTER ISD</t>
  </si>
  <si>
    <t>RICHARDSON ISD</t>
  </si>
  <si>
    <t>SUNNYVALE ISD</t>
  </si>
  <si>
    <t>WILMER-HUTCHINS ISD</t>
  </si>
  <si>
    <t>152-906</t>
  </si>
  <si>
    <t>Lubbock-Cooper ISD</t>
  </si>
  <si>
    <t>161-906</t>
  </si>
  <si>
    <t>La Vega ISD</t>
  </si>
  <si>
    <t>170-908</t>
  </si>
  <si>
    <t>New Caney ISD</t>
  </si>
  <si>
    <t>LOCKNEY ISD</t>
  </si>
  <si>
    <t>CROWELL ISD</t>
  </si>
  <si>
    <t>LAMAR CONSOLIDATED ISD</t>
  </si>
  <si>
    <t>KENDLETON ISD</t>
  </si>
  <si>
    <t>STAFFORD MUNICIPAL SCHOOL DISTRICT</t>
  </si>
  <si>
    <t>MOUNT VERNON ISD</t>
  </si>
  <si>
    <t>FAIRFIELD ISD</t>
  </si>
  <si>
    <t>TEAGUE ISD</t>
  </si>
  <si>
    <t>WORTHAM ISD</t>
  </si>
  <si>
    <t>DEW ISD</t>
  </si>
  <si>
    <t>SEAGRAVES ISD</t>
  </si>
  <si>
    <t>LOOP ISD</t>
  </si>
  <si>
    <t>SEMINOLE ISD</t>
  </si>
  <si>
    <t>DICKINSON ISD</t>
  </si>
  <si>
    <t>GALVESTON ISD</t>
  </si>
  <si>
    <t>LA MARQUE ISD</t>
  </si>
  <si>
    <t>TEXAS CITY ISD</t>
  </si>
  <si>
    <t>HITCHCOCK ISD</t>
  </si>
  <si>
    <t>CLEAR CREEK ISD</t>
  </si>
  <si>
    <t>POST ISD</t>
  </si>
  <si>
    <t>SOUTHLAND ISD</t>
  </si>
  <si>
    <t>DOSS CONS CSD</t>
  </si>
  <si>
    <t>FREDERICKSBURG ISD</t>
  </si>
  <si>
    <t>HARPER ISD</t>
  </si>
  <si>
    <t>2005-06 Total Formula Gains (#3 + #6)</t>
  </si>
  <si>
    <t>2004-05 I &amp; S Tax Collections</t>
  </si>
  <si>
    <t>2004-05 Local Share of EDA</t>
  </si>
  <si>
    <t>GRANDFALLS-ROYALTY ISD</t>
  </si>
  <si>
    <t>BRENHAM ISD</t>
  </si>
  <si>
    <t>BURTON ISD</t>
  </si>
  <si>
    <t>MIRANDO CITY ISD</t>
  </si>
  <si>
    <t>WEBB CONS ISD</t>
  </si>
  <si>
    <t>BOLING ISD</t>
  </si>
  <si>
    <t>2004-05 Total "Unequalized" Debt (bonded debt not covered by EDA and/or IFA)</t>
  </si>
  <si>
    <t>2004-05 Total EDA and/or IFA State Aid for Bonded Debt</t>
  </si>
  <si>
    <t>2004-05 Total I&amp;S Taxes Needed to Receive EDA and/or IFA State Aid (see NOTE on EDA sheet)</t>
  </si>
  <si>
    <t>CALCULATED DATA SECTION:</t>
  </si>
  <si>
    <t>amount of Additional State Aid for Tax Reduction.  This release does.</t>
  </si>
  <si>
    <t>(6) The previous releases did not include the Salary Allotments or the High School Allotments in determining the</t>
  </si>
  <si>
    <t>the "greater of" number and the amount of Additional State Aid for Tax Reduction.  The changes to these allotments</t>
  </si>
  <si>
    <t>Albany ISD</t>
  </si>
  <si>
    <t>209-902</t>
  </si>
  <si>
    <t>Moran ISD</t>
  </si>
  <si>
    <t>210-901</t>
  </si>
  <si>
    <t>178-913</t>
  </si>
  <si>
    <t>Banquete ISD</t>
  </si>
  <si>
    <t>178-914</t>
  </si>
  <si>
    <t>Flour Bluff ISD</t>
  </si>
  <si>
    <t>178-915</t>
  </si>
  <si>
    <t>Grand Saline ISD</t>
  </si>
  <si>
    <t>Ranger ISD</t>
  </si>
  <si>
    <t>067-908</t>
  </si>
  <si>
    <t>South San Antonio ISD</t>
  </si>
  <si>
    <t>Southside ISD</t>
  </si>
  <si>
    <t>Splendora ISD</t>
  </si>
  <si>
    <t>Spring Hill ISD</t>
  </si>
  <si>
    <t>Leary ISD</t>
  </si>
  <si>
    <t>020-902</t>
  </si>
  <si>
    <t>Angleton ISD</t>
  </si>
  <si>
    <t>Release 1 &amp; 2 did not include the Salary Allotments and the High School</t>
  </si>
  <si>
    <t>Release 3</t>
  </si>
  <si>
    <t>the hold harmless calculation in Release 3.</t>
  </si>
  <si>
    <t xml:space="preserve">&lt;= It is assumed that there will be no excess funds available to allow for property value adjustments for declines exceeding 4 percent; therefore, these cells are the same as Cells F61 and H61.  </t>
  </si>
  <si>
    <t>Graham ISD</t>
  </si>
  <si>
    <t>Grandview ISD</t>
  </si>
  <si>
    <t>Granger ISD</t>
  </si>
  <si>
    <t>2000-01 C41 HoldHarm Level</t>
  </si>
  <si>
    <t xml:space="preserve">  (or at Hold Harmless level)</t>
  </si>
  <si>
    <t>Award #6</t>
  </si>
  <si>
    <t>Award #7</t>
  </si>
  <si>
    <t>eligible "old" debt covered by IFA: award#6</t>
  </si>
  <si>
    <t>eligible "old" debt covered by IFA: award#7</t>
  </si>
  <si>
    <t>Avinger ISD</t>
  </si>
  <si>
    <t>034-903</t>
  </si>
  <si>
    <t>Hughes Springs ISD</t>
  </si>
  <si>
    <t>034-905</t>
  </si>
  <si>
    <t>Linden-Kildare Cons ISD</t>
  </si>
  <si>
    <t>220-910</t>
  </si>
  <si>
    <t>240-901</t>
  </si>
  <si>
    <t>246-913</t>
  </si>
  <si>
    <t>061-902</t>
  </si>
  <si>
    <t>246-908</t>
  </si>
  <si>
    <t>111-902</t>
  </si>
  <si>
    <t>187-907</t>
  </si>
  <si>
    <t>028-902</t>
  </si>
  <si>
    <t>092-903</t>
  </si>
  <si>
    <t>031-906</t>
  </si>
  <si>
    <t>152-901</t>
  </si>
  <si>
    <t>100-907</t>
  </si>
  <si>
    <t>245-902</t>
  </si>
  <si>
    <t>007-904</t>
  </si>
  <si>
    <t>154-901</t>
  </si>
  <si>
    <t>170-906</t>
  </si>
  <si>
    <t>220-908</t>
  </si>
  <si>
    <t>027-904</t>
  </si>
  <si>
    <t>094-904</t>
  </si>
  <si>
    <r>
      <t>&lt;=</t>
    </r>
    <r>
      <rPr>
        <b/>
        <sz val="10"/>
        <rFont val="Arial MT"/>
      </rPr>
      <t xml:space="preserve"> </t>
    </r>
    <r>
      <rPr>
        <sz val="10"/>
        <rFont val="Arial MT"/>
      </rPr>
      <t xml:space="preserve">Enter the district's TOTAL (M&amp;O + I&amp;S) tax collections for the 2004-05 school year (either from 9/1 thru 8/31 or 7/1 thru 6/30, depending on fiscal year).  Include delinquent taxes, but not P&amp;I).  </t>
    </r>
    <r>
      <rPr>
        <b/>
        <sz val="10"/>
        <rFont val="Arial MT"/>
      </rPr>
      <t/>
    </r>
  </si>
  <si>
    <t xml:space="preserve">messed up a couple of cells on the 'Calc Data' tab and for Chapter 41 districts, on the 'Option Costs' tab.  It should </t>
  </si>
  <si>
    <t>HB 1:</t>
  </si>
  <si>
    <t xml:space="preserve">Maximum DTR </t>
  </si>
  <si>
    <t>DONNA INDEPENDENT SCHOOL DISTRICT</t>
  </si>
  <si>
    <t>DRIPPING SPRINGS ISD</t>
  </si>
  <si>
    <t>EAGLE PASS ISD</t>
  </si>
  <si>
    <t>EARLY ISD</t>
  </si>
  <si>
    <t>EAST CENTRAL ISD</t>
  </si>
  <si>
    <t>ECTOR ISD</t>
  </si>
  <si>
    <t>EDCOUCH-ELSA ISD</t>
  </si>
  <si>
    <t>greater than what was calculated on previous releases.</t>
  </si>
  <si>
    <t xml:space="preserve">State Aid for Tax Reduction.  To compensate for this effect, the SOF has been modified slightly with a notation by </t>
  </si>
  <si>
    <t xml:space="preserve">the Foundation School Fund (FSF) allocation that indicates that these two allotments are in fact part of the FSF </t>
  </si>
  <si>
    <t>worksheet (See recap starting on Row 111), but my breakout is not the same as what is noted on the SOF.</t>
  </si>
  <si>
    <r>
      <t xml:space="preserve"> 'Calc Data'  worksheet (labeled </t>
    </r>
    <r>
      <rPr>
        <b/>
        <i/>
        <sz val="10"/>
        <color indexed="38"/>
        <rFont val="Arial MT"/>
      </rPr>
      <t>Additional State Aid for Tax Reduction Under Section 42.2516(b)(1)</t>
    </r>
    <r>
      <rPr>
        <b/>
        <sz val="10"/>
        <color indexed="38"/>
        <rFont val="Arial MT"/>
      </rPr>
      <t xml:space="preserve">).  It will be </t>
    </r>
  </si>
  <si>
    <t>greater by the sum of the Salary and High School Allotments.</t>
  </si>
  <si>
    <t>Rollback Rates for 2006-07 &amp; 2007-08:</t>
  </si>
  <si>
    <t>2005-06 M&amp;O Rate</t>
  </si>
  <si>
    <t>2006-07 Compressed M&amp;O Rate</t>
  </si>
  <si>
    <t>2006-07 Rollback Rate</t>
  </si>
  <si>
    <r>
      <t xml:space="preserve">2006-07 Adopted Rate </t>
    </r>
    <r>
      <rPr>
        <b/>
        <sz val="10"/>
        <rFont val="Arial"/>
        <family val="2"/>
      </rPr>
      <t>(Enter Rate)</t>
    </r>
  </si>
  <si>
    <t>2007-08 Compressed Rate</t>
  </si>
  <si>
    <t>2007-08 Compressed Rate + $.04</t>
  </si>
  <si>
    <t># Pennies That 06-07 Adopted Rate Exceed Rollback Rate</t>
  </si>
  <si>
    <r>
      <t>Maximum</t>
    </r>
    <r>
      <rPr>
        <sz val="10"/>
        <rFont val="Arial MT"/>
      </rPr>
      <t xml:space="preserve"> </t>
    </r>
    <r>
      <rPr>
        <b/>
        <sz val="10"/>
        <rFont val="Arial"/>
        <family val="2"/>
      </rPr>
      <t>2007-08 Rollback Rate</t>
    </r>
    <r>
      <rPr>
        <sz val="10"/>
        <rFont val="Arial MT"/>
      </rPr>
      <t xml:space="preserve"> (if Effective Rate + $.04 is less, it becomes the Maximum)</t>
    </r>
  </si>
  <si>
    <t>For districts authorized to tax more than $1.50 M&amp;O:</t>
  </si>
  <si>
    <t xml:space="preserve">provisions of HB 1 as passed by the 79th Legislature, 3rd Called Session, based on my current understanding of </t>
  </si>
  <si>
    <t>those provisions. My understanding is ABSOLUTELY SUBJECT TO CHANGE and probably will once I am enlightened</t>
  </si>
  <si>
    <t>(if negative, #20 = 0)</t>
  </si>
  <si>
    <t>NOTE:  If the district's Maintenance of Effort Requirement on Line 16 is greater than its</t>
  </si>
  <si>
    <t>for just a few districts, so therefore, I did not incorporate it here.  If you are one of those districts, you can</t>
  </si>
  <si>
    <t>Determination" printout from TEA (Line 10 of the "S3" section).</t>
  </si>
  <si>
    <t>unprotect the 'Calc Data' worksheet and enter in Cell E86 the amount shown on the "2006-07 HB1 - Hold Harmless</t>
  </si>
  <si>
    <t>Iraan-Sheffield ISD</t>
  </si>
  <si>
    <t>187-901</t>
  </si>
  <si>
    <t>Big Sandy ISD</t>
  </si>
  <si>
    <t>187-903</t>
  </si>
  <si>
    <t>Corrigan-Camden ISD</t>
  </si>
  <si>
    <t>187-906</t>
  </si>
  <si>
    <t>Leggett ISD</t>
  </si>
  <si>
    <t>187-910</t>
  </si>
  <si>
    <t>Onalaska ISD</t>
  </si>
  <si>
    <t>188-903</t>
  </si>
  <si>
    <t>188-904</t>
  </si>
  <si>
    <t>Bushland ISD</t>
  </si>
  <si>
    <t>Release 4.0; May 30, 2006</t>
  </si>
  <si>
    <t xml:space="preserve">part of the district's HB 1 revenue is computed using $1.50 tax rate, which has the effect of increasing the district's </t>
  </si>
  <si>
    <t>cost per WADA compared to real-world cost per WADA using the district's actual tax rate.  This amount of gain is</t>
  </si>
  <si>
    <t>BEAUMONT ISD</t>
  </si>
  <si>
    <t>real-world cost per WADA is less, there is more actual gain than what comes off the HB 1 hold harmless amount.</t>
  </si>
  <si>
    <t>PLEMONS-STINNETT-PHILLIPS CONS ISD</t>
  </si>
  <si>
    <t>SPRING CREEK ISD</t>
  </si>
  <si>
    <t>IRION CO ISD</t>
  </si>
  <si>
    <t>BRYSON ISD</t>
  </si>
  <si>
    <t>JACKSBORO ISD</t>
  </si>
  <si>
    <t>PERRIN-WHITT CONS ISD</t>
  </si>
  <si>
    <t>EDNA ISD</t>
  </si>
  <si>
    <t>INDUSTRIAL ISD</t>
  </si>
  <si>
    <t>BROOKELAND ISD</t>
  </si>
  <si>
    <t>EVADALE ISD</t>
  </si>
  <si>
    <t>FT DAVIS ISD</t>
  </si>
  <si>
    <t>VALENTINE ISD</t>
  </si>
  <si>
    <t>PORT ARTHUR ISD</t>
  </si>
  <si>
    <t>PORT NECHES-GROVES ISD</t>
  </si>
  <si>
    <t xml:space="preserve">The language in TEC 42.2516(b)(1) says it is: "…the amount of state revenue necessary to maintain state and local </t>
  </si>
  <si>
    <t>Again, the "bottom line" is the same except in the case where a district set a tax rate lower than the compressed</t>
  </si>
  <si>
    <t>Miles ISD</t>
  </si>
  <si>
    <t>Olfen ISD</t>
  </si>
  <si>
    <t>Carlisle ISD</t>
  </si>
  <si>
    <t>Taft ISD</t>
  </si>
  <si>
    <t>Shelbyville ISD</t>
  </si>
  <si>
    <t>Roma ISD</t>
  </si>
  <si>
    <t>Lasara ISD</t>
  </si>
  <si>
    <t>Olney ISD</t>
  </si>
  <si>
    <t>003-902</t>
  </si>
  <si>
    <t>007-901</t>
  </si>
  <si>
    <t>015-912</t>
  </si>
  <si>
    <t>019-902</t>
  </si>
  <si>
    <t>020-904</t>
  </si>
  <si>
    <t>025-908</t>
  </si>
  <si>
    <t>030-902</t>
  </si>
  <si>
    <t>031-911</t>
  </si>
  <si>
    <t>031-913</t>
  </si>
  <si>
    <t>039-903</t>
  </si>
  <si>
    <t>061-905</t>
  </si>
  <si>
    <t>064-903</t>
  </si>
  <si>
    <t>066-902</t>
  </si>
  <si>
    <t>070-907</t>
  </si>
  <si>
    <t>070-915</t>
  </si>
  <si>
    <t>074-905</t>
  </si>
  <si>
    <t>108-913</t>
  </si>
  <si>
    <t>108-915</t>
  </si>
  <si>
    <t>109-905</t>
  </si>
  <si>
    <t xml:space="preserve">There are still issues/questions that haven't been addressed or answered.  As they are, it may become necessary </t>
  </si>
  <si>
    <t>TAHOKA ISD</t>
  </si>
  <si>
    <t>NEW HOME ISD</t>
  </si>
  <si>
    <t>WILSON ISD</t>
  </si>
  <si>
    <t>NORTH ZULCH ISD</t>
  </si>
  <si>
    <t>JEFFERSON ISD</t>
  </si>
  <si>
    <t>STANTON ISD</t>
  </si>
  <si>
    <t>GRADY ISD</t>
  </si>
  <si>
    <t>MASON ISD</t>
  </si>
  <si>
    <t>BAY CITY ISD</t>
  </si>
  <si>
    <t>191-901</t>
  </si>
  <si>
    <t>Canyon ISD</t>
  </si>
  <si>
    <t>192-901</t>
  </si>
  <si>
    <t>Reagan County ISD</t>
  </si>
  <si>
    <t>193-902</t>
  </si>
  <si>
    <t>Leakey ISD</t>
  </si>
  <si>
    <t>Rivercrest</t>
  </si>
  <si>
    <t>091-906</t>
  </si>
  <si>
    <t>Sherman ISD</t>
  </si>
  <si>
    <t>091-907</t>
  </si>
  <si>
    <t>Tioga ISD</t>
  </si>
  <si>
    <t>tier 1 gain</t>
  </si>
  <si>
    <t>tier 2 gain</t>
  </si>
  <si>
    <t>recap savings</t>
  </si>
  <si>
    <t>Recapture @305,000</t>
  </si>
  <si>
    <t>comparable to @319,500</t>
  </si>
  <si>
    <t>savings</t>
  </si>
  <si>
    <t>@305,000</t>
  </si>
  <si>
    <t>@319,500</t>
  </si>
  <si>
    <t>total</t>
  </si>
  <si>
    <t>Morton ISD</t>
  </si>
  <si>
    <t>040-902</t>
  </si>
  <si>
    <t>Whiteface Cons ISD</t>
  </si>
  <si>
    <t>041-901</t>
  </si>
  <si>
    <t>Bronte ISD</t>
  </si>
  <si>
    <t>Edcouch-Elsa ISD</t>
  </si>
  <si>
    <t>Edgewood ISD</t>
  </si>
  <si>
    <t>Edinburg CISD</t>
  </si>
  <si>
    <t xml:space="preserve">     Total M&amp;O Tax Collections</t>
  </si>
  <si>
    <t>Breckenridge ISD</t>
  </si>
  <si>
    <t>216-901</t>
  </si>
  <si>
    <t>Uvalde Cons ISD</t>
  </si>
  <si>
    <t>Valley View ISD</t>
  </si>
  <si>
    <t>Venus ISD</t>
  </si>
  <si>
    <t>Victoria ISD</t>
  </si>
  <si>
    <t>Waco ISD</t>
  </si>
  <si>
    <t>Bilingual ADA</t>
  </si>
  <si>
    <t>Adopted M&amp;O Tax Rate</t>
  </si>
  <si>
    <t>I&amp;S Budgeted Tax Collections</t>
  </si>
  <si>
    <t xml:space="preserve">2006-07 Reduction to HB 1 Total State/Local Revenue ("excess" revenue) </t>
  </si>
  <si>
    <t>Henderson ISD</t>
  </si>
  <si>
    <t>201-903</t>
  </si>
  <si>
    <t>Laneville ISD</t>
  </si>
  <si>
    <t>201-904</t>
  </si>
  <si>
    <t>Leveretts Chapel ISD</t>
  </si>
  <si>
    <t>201-910</t>
  </si>
  <si>
    <t>Tatum ISD</t>
  </si>
  <si>
    <t>201-914</t>
  </si>
  <si>
    <t>West Rusk ISD</t>
  </si>
  <si>
    <t>202-903</t>
  </si>
  <si>
    <t>Hemphill ISD</t>
  </si>
  <si>
    <t>202-905</t>
  </si>
  <si>
    <t>West Sabine ISD</t>
  </si>
  <si>
    <t>203-901</t>
  </si>
  <si>
    <t>Additional State Aid for Certain School Districts ("Gap Funding") (#3 - #6 - #9)</t>
  </si>
  <si>
    <t>[ (2.44 - Reduction from 2c.) x WADA x DTR x 100 ]</t>
  </si>
  <si>
    <t>Meyersville ISD</t>
  </si>
  <si>
    <t>063-903</t>
  </si>
  <si>
    <t>Spur ISD</t>
  </si>
  <si>
    <t>063-906</t>
  </si>
  <si>
    <t>Patton Springs ISD</t>
  </si>
  <si>
    <t>Carrizo Springs Cons ISD</t>
  </si>
  <si>
    <t>065-901</t>
  </si>
  <si>
    <t>Clarendon ISD</t>
  </si>
  <si>
    <t>066-005</t>
  </si>
  <si>
    <t>Ramirez CSD</t>
  </si>
  <si>
    <t>066-901</t>
  </si>
  <si>
    <t>Benavides ISD</t>
  </si>
  <si>
    <t>amount of this local share in order to receive the full state's share.</t>
  </si>
  <si>
    <t>146-901</t>
  </si>
  <si>
    <t>Cleveland ISD</t>
  </si>
  <si>
    <t>Coldspring-Oakhurst Cons ISD</t>
  </si>
  <si>
    <t>204-904</t>
  </si>
  <si>
    <t>Shepherd ISD</t>
  </si>
  <si>
    <t>205-902</t>
  </si>
  <si>
    <t>220-802</t>
  </si>
  <si>
    <t>EDA eligible debt is debt for which the district levied an I&amp;S tax rate for in 2003-04.</t>
  </si>
  <si>
    <t>2002 CPTD Property Value (from Data Entry)</t>
  </si>
  <si>
    <t>Award #8</t>
  </si>
  <si>
    <t xml:space="preserve">              2002-03 school year or taxes levied to pay the principal of and interest on </t>
  </si>
  <si>
    <t xml:space="preserve">     WADA Needed to Equalize Wealth *</t>
  </si>
  <si>
    <t>of the excess, as determined by the commissioner.</t>
  </si>
  <si>
    <t>now be fixed (hopefully).  Sorry for the inconvenience…I'll get it right one of these days.</t>
  </si>
  <si>
    <t>S AND S CONS ISD</t>
  </si>
  <si>
    <t>REAGAN COUNTY ISD</t>
  </si>
  <si>
    <t>LEAKEY ISD</t>
  </si>
  <si>
    <t>CLARKSVILLE ISD</t>
  </si>
  <si>
    <t>PECOS-BARSTOW-TOYAH ISD</t>
  </si>
  <si>
    <t>AUSTWELL-TIVOLI ISD</t>
  </si>
  <si>
    <t>WOODSBORO ISD</t>
  </si>
  <si>
    <t>REFUGIO ISD</t>
  </si>
  <si>
    <t>MIAMI ISD</t>
  </si>
  <si>
    <t>BREMOND ISD</t>
  </si>
  <si>
    <t>CALVERT ISD</t>
  </si>
  <si>
    <t>FRANKLIN ISD</t>
  </si>
  <si>
    <t>HEARNE ISD</t>
  </si>
  <si>
    <t>MUMFORD ISD</t>
  </si>
  <si>
    <t>ROCKWALL ISD</t>
  </si>
  <si>
    <t>BALLINGER ISD</t>
  </si>
  <si>
    <t>HENDERSON ISD</t>
  </si>
  <si>
    <t>LANEVILLE ISD</t>
  </si>
  <si>
    <t>LEVERETTS CHAPEL ISD</t>
  </si>
  <si>
    <t>TATUM ISD</t>
  </si>
  <si>
    <t>WEST RUSK ISD</t>
  </si>
  <si>
    <t>HEMPHILL ISD</t>
  </si>
  <si>
    <t>WEST SABINE ISD</t>
  </si>
  <si>
    <t>SAN AUGUSTINE ISD</t>
  </si>
  <si>
    <t>BROADDUS ISD</t>
  </si>
  <si>
    <t>COLDSPRING-OAKHURST CONS ISD</t>
  </si>
  <si>
    <t>Wichita Falls ISD</t>
  </si>
  <si>
    <t>244-901</t>
  </si>
  <si>
    <t>IF DISTRICT ENTERS INTO AN OPTION 4 AGREEMENT WITH A CHAPTER 41 DISTRICT:</t>
  </si>
  <si>
    <t>when setting the district's I&amp;S tax rate.</t>
  </si>
  <si>
    <t>085-902</t>
  </si>
  <si>
    <t>Post ISD</t>
  </si>
  <si>
    <t>085-903</t>
  </si>
  <si>
    <t>Southland ISD</t>
  </si>
  <si>
    <t>086-024</t>
  </si>
  <si>
    <t>Doss Cons CSD</t>
  </si>
  <si>
    <t>086-901</t>
  </si>
  <si>
    <t>Fredericksburg ISD</t>
  </si>
  <si>
    <t>086-902</t>
  </si>
  <si>
    <t>Harper ISD</t>
  </si>
  <si>
    <t>087-901</t>
  </si>
  <si>
    <t>Glasscock County ISD</t>
  </si>
  <si>
    <t>@$280,000:</t>
  </si>
  <si>
    <t xml:space="preserve">     Tax Base at Hold Harmless Level</t>
  </si>
  <si>
    <t>Recapture:</t>
  </si>
  <si>
    <t xml:space="preserve">     Recapture at This Level of Collections</t>
  </si>
  <si>
    <t xml:space="preserve">     05-06 Collections Using 04-05 tax effort</t>
  </si>
  <si>
    <t>Loss of CPTD Value</t>
  </si>
  <si>
    <t>Local Revenue Loss Attributed to Added $10K Exemption</t>
  </si>
  <si>
    <t xml:space="preserve">     Proportional Tax Base Reduction</t>
  </si>
  <si>
    <t>Cost of Buying WADA:</t>
  </si>
  <si>
    <t xml:space="preserve">     Initial Cost of Buying WADA</t>
  </si>
  <si>
    <t xml:space="preserve">This worksheet calculates the amount of property value a district not offering all grades </t>
  </si>
  <si>
    <t>can retain if it elects to have its wealth per student determined under Section 41.0021</t>
  </si>
  <si>
    <t>of HB 2879.  This provision is only available for districts that choose Option 2 or Option 3.</t>
  </si>
  <si>
    <t>The purpose of this side-by-side template is to allow you to enter your district's six weeks</t>
  </si>
  <si>
    <t xml:space="preserve">attendance counts from your Superintendent's Report giving you a "running" comparison </t>
  </si>
  <si>
    <t xml:space="preserve">of your "earned" DPE and your "payment" LPE. </t>
  </si>
  <si>
    <t>Caution: this calculation is only an "as is of this date" for your earned revenue)</t>
  </si>
  <si>
    <t>In order to obtain this side-by-side comparison, you will need to copy/paste your LPE figures</t>
  </si>
  <si>
    <r>
      <t>from your 06-07 Summary of Finances into the "</t>
    </r>
    <r>
      <rPr>
        <b/>
        <u/>
        <sz val="14"/>
        <color indexed="10"/>
        <rFont val="Arial MT"/>
      </rPr>
      <t>Copy LPE" worksheet</t>
    </r>
    <r>
      <rPr>
        <b/>
        <sz val="14"/>
        <color indexed="10"/>
        <rFont val="Arial MT"/>
      </rPr>
      <t xml:space="preserve"> (see thumbnail of sheets).</t>
    </r>
  </si>
  <si>
    <t>DALLAS COUNTY JUVENILE JUSTICE</t>
  </si>
  <si>
    <t>057-815</t>
  </si>
  <si>
    <t>FAITH FAMILY ACADEMY OF OAK CLIFF</t>
  </si>
  <si>
    <t>A W BROWN-FELLOWSHIP CHARTER SCHOO</t>
  </si>
  <si>
    <t>SCHOOL OF LIBERAL ARTS AND SCIENCE</t>
  </si>
  <si>
    <t>EAGLE ACADEMY OF DALLAS</t>
  </si>
  <si>
    <t>NOVA CHARTER SCHOOL (SOUTHEAST)</t>
  </si>
  <si>
    <t>057-828</t>
  </si>
  <si>
    <t>WINFREE ACADEMY</t>
  </si>
  <si>
    <t>057-829</t>
  </si>
  <si>
    <t>A+ ACADEMY</t>
  </si>
  <si>
    <t>057-830</t>
  </si>
  <si>
    <t>INSPIRED VISION ACADEMY</t>
  </si>
  <si>
    <t>057-831</t>
  </si>
  <si>
    <t>GATEWAY CHARTER ACADEMY</t>
  </si>
  <si>
    <t>057-833</t>
  </si>
  <si>
    <t>EDUCATION CENTER INTERNATIONAL ACA</t>
  </si>
  <si>
    <t>057-834</t>
  </si>
  <si>
    <t>EVOLUTION ACADEMY CHARTER SCHOOL</t>
  </si>
  <si>
    <t>057-835</t>
  </si>
  <si>
    <t>GOLDEN RULE CHARTER SCHOOL</t>
  </si>
  <si>
    <t>057-836</t>
  </si>
  <si>
    <t>ST ANTHONY SCHOOL</t>
  </si>
  <si>
    <t>057-837</t>
  </si>
  <si>
    <t>KIPP TRUTH ACADEMY</t>
  </si>
  <si>
    <t>057-838</t>
  </si>
  <si>
    <t>057-950</t>
  </si>
  <si>
    <t>REG X EDUCATION SERVICE CENTER</t>
  </si>
  <si>
    <t>061-501</t>
  </si>
  <si>
    <t>UNIVERSITY OF NORTH TEXAS</t>
  </si>
  <si>
    <t>061-802</t>
  </si>
  <si>
    <t>EDUCATION CENTER</t>
  </si>
  <si>
    <t>068-801</t>
  </si>
  <si>
    <t>RICHARD MILBURN ACADEMY - ECTOR CO</t>
  </si>
  <si>
    <t>WAXAHACHIE FAITH FAMILY ACADEMY</t>
  </si>
  <si>
    <t>BURNHAM WOOD CHARTER SCHOOL</t>
  </si>
  <si>
    <t>071-803</t>
  </si>
  <si>
    <t>PASO DEL NORTE ACADEMY</t>
  </si>
  <si>
    <t>071-804</t>
  </si>
  <si>
    <t>EL PASO ACADEMY</t>
  </si>
  <si>
    <t>071-805</t>
  </si>
  <si>
    <t>EL PASO SCHOOL OF EXCELLENCE</t>
  </si>
  <si>
    <t>071-950</t>
  </si>
  <si>
    <t>REG XIX EDUCATION SERVICE CENTER</t>
  </si>
  <si>
    <t>072-801</t>
  </si>
  <si>
    <t>PARADIGM ACCELERATED SCHOOL</t>
  </si>
  <si>
    <t>073-906</t>
  </si>
  <si>
    <t>MARLIN ORIENTATION AND ASSESSMENT</t>
  </si>
  <si>
    <t>084-505</t>
  </si>
  <si>
    <t>TEXAS A &amp; M UNIVERSITY AT GALVESTO</t>
  </si>
  <si>
    <t>084-801</t>
  </si>
  <si>
    <t>MAINLAND PREPARATORY ACADEMY</t>
  </si>
  <si>
    <t>ODYSSEY ACADEMY INC</t>
  </si>
  <si>
    <t>EAST TEXAS CHARTER SCHOOLS</t>
  </si>
  <si>
    <t>092-950</t>
  </si>
  <si>
    <t>For two tracks, follow these instruction and enter Track 1 in "Enter Attend. Track 1 sheet,</t>
  </si>
  <si>
    <t>then the same for track 2 in "Enter Attend. Track 2 sheet.</t>
  </si>
  <si>
    <t xml:space="preserve">Your final step, if you wish to complete the Summary of Finances worksheet, is to fill in the shaded  </t>
  </si>
  <si>
    <r>
      <t>(blue)</t>
    </r>
    <r>
      <rPr>
        <b/>
        <sz val="14"/>
        <color indexed="10"/>
        <rFont val="Arial MT"/>
      </rPr>
      <t xml:space="preserve"> fields in the </t>
    </r>
    <r>
      <rPr>
        <b/>
        <u/>
        <sz val="14"/>
        <color indexed="10"/>
        <rFont val="Arial MT"/>
      </rPr>
      <t>Data Entry worksheet</t>
    </r>
    <r>
      <rPr>
        <b/>
        <sz val="14"/>
        <color indexed="10"/>
        <rFont val="Arial MT"/>
      </rPr>
      <t xml:space="preserve"> (the student attendance data will load from the </t>
    </r>
    <r>
      <rPr>
        <b/>
        <u/>
        <sz val="14"/>
        <color indexed="10"/>
        <rFont val="Arial MT"/>
      </rPr>
      <t>Enter Attend.</t>
    </r>
  </si>
  <si>
    <r>
      <t>Data worksheet</t>
    </r>
    <r>
      <rPr>
        <b/>
        <sz val="14"/>
        <color indexed="10"/>
        <rFont val="Arial MT"/>
      </rPr>
      <t xml:space="preserve">). By completing the data entry fields in the </t>
    </r>
    <r>
      <rPr>
        <b/>
        <u/>
        <sz val="14"/>
        <color indexed="10"/>
        <rFont val="Arial MT"/>
      </rPr>
      <t>Data Entry worksheet</t>
    </r>
    <r>
      <rPr>
        <b/>
        <sz val="14"/>
        <color indexed="10"/>
        <rFont val="Arial MT"/>
      </rPr>
      <t>, you will be able to</t>
    </r>
  </si>
  <si>
    <t>compute your district's Tier I &amp; II allotments, Health Insurance, Existing Debt Allotment, IFA, etc.</t>
  </si>
  <si>
    <r>
      <t xml:space="preserve">You will now be able to go to </t>
    </r>
    <r>
      <rPr>
        <b/>
        <u/>
        <sz val="14"/>
        <color indexed="10"/>
        <rFont val="Arial MT"/>
      </rPr>
      <t>LPE-DPE worksheet</t>
    </r>
    <r>
      <rPr>
        <b/>
        <sz val="14"/>
        <color indexed="10"/>
        <rFont val="Arial MT"/>
      </rPr>
      <t xml:space="preserve"> and see the side-by side comparison</t>
    </r>
  </si>
  <si>
    <r>
      <t>of your district's "earned" DPE with your "payment" LPE.  Please note any '</t>
    </r>
    <r>
      <rPr>
        <b/>
        <u/>
        <sz val="14"/>
        <color indexed="10"/>
        <rFont val="Arial MT"/>
      </rPr>
      <t>Overpayment'</t>
    </r>
    <r>
      <rPr>
        <b/>
        <sz val="14"/>
        <color indexed="10"/>
        <rFont val="Arial MT"/>
      </rPr>
      <t>!!</t>
    </r>
  </si>
  <si>
    <t>Questioned regarding this template may be addressed to</t>
  </si>
  <si>
    <t>Woodrow Brewton</t>
  </si>
  <si>
    <t>School Finance Liaison, ESC 12</t>
  </si>
  <si>
    <t>254.297.1101 or 254.709.0545</t>
  </si>
  <si>
    <t>wbrewton@esc12.net</t>
  </si>
  <si>
    <t>Summary of Finances: 2006- 2007 School Year</t>
  </si>
  <si>
    <r>
      <t xml:space="preserve">This Sheet will Indicate </t>
    </r>
    <r>
      <rPr>
        <b/>
        <u/>
        <sz val="18"/>
        <color indexed="10"/>
        <rFont val="Arial MT"/>
      </rPr>
      <t>Overpayment</t>
    </r>
    <r>
      <rPr>
        <b/>
        <sz val="18"/>
        <color indexed="10"/>
        <rFont val="Arial MT"/>
      </rPr>
      <t xml:space="preserve"> or </t>
    </r>
    <r>
      <rPr>
        <b/>
        <u/>
        <sz val="18"/>
        <color indexed="10"/>
        <rFont val="Arial MT"/>
      </rPr>
      <t>Underpayment</t>
    </r>
    <r>
      <rPr>
        <b/>
        <sz val="18"/>
        <color indexed="10"/>
        <rFont val="Arial MT"/>
      </rPr>
      <t xml:space="preserve"> </t>
    </r>
  </si>
  <si>
    <t>Based on Current School Year Data</t>
  </si>
  <si>
    <t>LPE</t>
  </si>
  <si>
    <t>DPE</t>
  </si>
  <si>
    <t>Change (+/-)</t>
  </si>
  <si>
    <t>TOTAL REFINED ADA..........................</t>
  </si>
  <si>
    <t>ADJUSTED TOTAL REFINED ADA.................</t>
  </si>
  <si>
    <t>SPECIAL EDUCATION FTE......................</t>
  </si>
  <si>
    <t>CAREER &amp; TECHNOLOGY FTE....................</t>
  </si>
  <si>
    <t>REGULAR PROGRAM ADA........................</t>
  </si>
  <si>
    <t>HIGH SCHOOL ADA........................</t>
  </si>
  <si>
    <t>NEW CAMPUS ADA ………………………………..</t>
  </si>
  <si>
    <t>TEACHER, LIBRARIAN, NURSE &amp; COUNSELOR FTES</t>
  </si>
  <si>
    <t>FULL-TIME STAFF ………………………………</t>
  </si>
  <si>
    <t>PART-TIME STAFF ………………………………..</t>
  </si>
  <si>
    <t>LOCAL PROPERTY VALUE: 2006 ……....</t>
  </si>
  <si>
    <t>CPTD INDEX VALUE...........................</t>
  </si>
  <si>
    <t>ADJUSTED INDEX VALUE.......................</t>
  </si>
  <si>
    <t>ADJUSTED INDEX VALUE FOR SECTION 42.106....</t>
  </si>
  <si>
    <t>PAYMENT CLASS..............................</t>
  </si>
  <si>
    <t>COST OF EDUCATION INDEX....................</t>
  </si>
  <si>
    <t>Adjusted C.E.I.        ....................</t>
  </si>
  <si>
    <t>M&amp;O ADOPTED RATE 2006 ……….……</t>
  </si>
  <si>
    <t>COMPRESSED M&amp;O RATE 2006 ……………..</t>
  </si>
  <si>
    <t>TOTAL TAX LEVY.............................</t>
  </si>
  <si>
    <t>A: I&amp;S TAX COLLECTIONS......................</t>
  </si>
  <si>
    <t>B: M&amp;O TAX COLLECTIONS @ COMPRESSED RATE......................</t>
  </si>
  <si>
    <t>A+B TOTAL TAX COLLECTIONS......................</t>
  </si>
  <si>
    <t>M&amp;O COLLECTIONS @.004 …………………………..</t>
  </si>
  <si>
    <t>PROGRAM INTENT CODE</t>
  </si>
  <si>
    <t>___________________</t>
  </si>
  <si>
    <t>11        REGULAR BLOCK GRANT........................</t>
  </si>
  <si>
    <t>23        SPECIAL EDUCATION BLOCK GRANT..............</t>
  </si>
  <si>
    <t>22        CAREER &amp; TECHNOLOGY BLOCK GRANT............</t>
  </si>
  <si>
    <t>21        GIFTED &amp; TALENTED BLOCK GRANT..............</t>
  </si>
  <si>
    <t>24        COMPENSATORY EDUCATION BLOCK GRANT.........</t>
  </si>
  <si>
    <t>25        BILINGUAL EDUCATION BLOCK GRANT............</t>
  </si>
  <si>
    <t>11        PUBLIC EDUCATION GRANT STUDENT ALLOTMENT...</t>
  </si>
  <si>
    <t>99        NEW INSTRUCTIONAL FACILITIES ALLOTMENT.....</t>
  </si>
  <si>
    <t>99        TRANSPORTATION.............................</t>
  </si>
  <si>
    <t>TOTAL COST OF TIER I...........................</t>
  </si>
  <si>
    <t>LESS LOCAL SHARE...........................</t>
  </si>
  <si>
    <t>STATE SHARE.....................................</t>
  </si>
  <si>
    <t>1ST-TIER II AID @ $31.95……...……</t>
  </si>
  <si>
    <t>2nd-TIER II AID @ $41.21……….……</t>
  </si>
  <si>
    <t>PER PUPIL ALLOTMENT($110 * WADA)............</t>
  </si>
  <si>
    <t>TECHNOLOGY ALLOTMENT.......................</t>
  </si>
  <si>
    <t>CHAPTER 46 EXISTING DEBT ALLOTMENT........</t>
  </si>
  <si>
    <t>CHAPTER 46 IFA............................</t>
  </si>
  <si>
    <t>OTHER PROGRAMS……………………</t>
  </si>
  <si>
    <t>TOTAL STATE AID...........................................</t>
  </si>
  <si>
    <t>1st</t>
  </si>
  <si>
    <t>2nd</t>
  </si>
  <si>
    <t>3rd</t>
  </si>
  <si>
    <t>4th</t>
  </si>
  <si>
    <t>5th</t>
  </si>
  <si>
    <t>6th</t>
  </si>
  <si>
    <t xml:space="preserve"> Days Membership   (Line B)</t>
  </si>
  <si>
    <t>212-803</t>
  </si>
  <si>
    <t>AZLEWAY CHARTER SCHOOL</t>
  </si>
  <si>
    <t>213-801</t>
  </si>
  <si>
    <t>BRAZOS RIVER CHARTER SCHOOL</t>
  </si>
  <si>
    <t>TREETOPS SCHOOL INTERNATIONAL</t>
  </si>
  <si>
    <t>ARLINGTON CLASSICS ACADEMY</t>
  </si>
  <si>
    <t>ERATH EXCELS ACADEMY INC</t>
  </si>
  <si>
    <t>220-804</t>
  </si>
  <si>
    <t>FORT WORTH CAN ACADEMY</t>
  </si>
  <si>
    <t>220-806</t>
  </si>
  <si>
    <t>THERESA B LEE ACADEMY</t>
  </si>
  <si>
    <t>EAGLE ACADEMY OF FORT WORTH</t>
  </si>
  <si>
    <t>220-808</t>
  </si>
  <si>
    <t>METRO CHARTER ACADEMY</t>
  </si>
  <si>
    <t>220-809</t>
  </si>
  <si>
    <t>FORT WORTH ACADEMY OF FINE ARTS</t>
  </si>
  <si>
    <t>220-810</t>
  </si>
  <si>
    <t>WESTLAKE ACADEMY</t>
  </si>
  <si>
    <t>220-811</t>
  </si>
  <si>
    <t>EAST FORT WORTH MONTESSORI ACADEMY</t>
  </si>
  <si>
    <t>220-812</t>
  </si>
  <si>
    <t>RICHARD MILBURN ACADEMY - FORT WOR</t>
  </si>
  <si>
    <t>220-950</t>
  </si>
  <si>
    <t>REG XI EDUCATION SERVICE CENTER</t>
  </si>
  <si>
    <t>EAGLE ACADEMY OF ABILENE</t>
  </si>
  <si>
    <t>221-950</t>
  </si>
  <si>
    <t>REG XIV EDUCATION SERVICE CENTER</t>
  </si>
  <si>
    <t>225-950</t>
  </si>
  <si>
    <t>REG VIII EDUCATION SERVICE CENTER</t>
  </si>
  <si>
    <t>226-950</t>
  </si>
  <si>
    <t>REG XV EDUCATION SERVICE CENTER</t>
  </si>
  <si>
    <t>227-801</t>
  </si>
  <si>
    <t>AMERICAN YOUTH WORKS CHARTER SCHOO</t>
  </si>
  <si>
    <t>227-802</t>
  </si>
  <si>
    <t>TEXAS ACADEMY OF EXCELLENCE</t>
  </si>
  <si>
    <t>227-803</t>
  </si>
  <si>
    <t>EDEN PARK ACADEMY</t>
  </si>
  <si>
    <t>227-804</t>
  </si>
  <si>
    <t>NYOS CHARTER SCHOOL</t>
  </si>
  <si>
    <t>227-805</t>
  </si>
  <si>
    <t>TEXAS EMPOWERMENT ACADEMY</t>
  </si>
  <si>
    <t>227-806</t>
  </si>
  <si>
    <t>UNIVERSITY CHARTER SCHOOL</t>
  </si>
  <si>
    <t>227-811</t>
  </si>
  <si>
    <t>MCCULLOUGH ACADEMY OF EXCELLENCE</t>
  </si>
  <si>
    <t>227-812</t>
  </si>
  <si>
    <t>FRUIT OF EXCELLENCE</t>
  </si>
  <si>
    <t>STAR CHARTER SCHOOL</t>
  </si>
  <si>
    <t>227-816</t>
  </si>
  <si>
    <t>HARMONY SCIENCE ACADEMY - AUSTIN</t>
  </si>
  <si>
    <t>227-817</t>
  </si>
  <si>
    <t>CEDARS INTERNATIONAL ACADEMY</t>
  </si>
  <si>
    <t>227-818</t>
  </si>
  <si>
    <t>AUSTIN CAN ACADEMY CHARTER SCHOOL</t>
  </si>
  <si>
    <t>227-819</t>
  </si>
  <si>
    <t>UNIVERSITY OF TEXAS ELEMENTARY CHA</t>
  </si>
  <si>
    <t>227-820</t>
  </si>
  <si>
    <t>KIPP AUSTIN COLLEGE PREP SCH IN</t>
  </si>
  <si>
    <t>227-821</t>
  </si>
  <si>
    <t>227-905</t>
  </si>
  <si>
    <t>TEXAS SCH FOR THE BLIND &amp; VISUALLY</t>
  </si>
  <si>
    <t>227-906</t>
  </si>
  <si>
    <t>TEXAS SCH FOR THE DEAF</t>
  </si>
  <si>
    <t>227-950</t>
  </si>
  <si>
    <t>REG XIII EDUCATION SERVICE CENTER</t>
  </si>
  <si>
    <t>232-801</t>
  </si>
  <si>
    <t>GABRIEL TAFOLLA CHARTER SCHOOL</t>
  </si>
  <si>
    <t>EAGLE ACADEMY OF DEL RIO</t>
  </si>
  <si>
    <t>235-801</t>
  </si>
  <si>
    <t>OUTREACH WORD ACADEMY</t>
  </si>
  <si>
    <t>235-950</t>
  </si>
  <si>
    <t>REG III EDUCATION SERVICE CENTER</t>
  </si>
  <si>
    <t>236-801</t>
  </si>
  <si>
    <t>RAVEN SCHOOL</t>
  </si>
  <si>
    <t>236-903</t>
  </si>
  <si>
    <t>WINDHAM SCHOOL DISTRICT</t>
  </si>
  <si>
    <t>236-950</t>
  </si>
  <si>
    <t>REG VI EDUCATION SERVICE CENTER</t>
  </si>
  <si>
    <t>238-905</t>
  </si>
  <si>
    <t>WEST TEXAS STATE SCHOOL</t>
  </si>
  <si>
    <t>240-801</t>
  </si>
  <si>
    <t>GATEWAY  ACADEMY</t>
  </si>
  <si>
    <t>EAGLE ACADEMY OF LAREDO</t>
  </si>
  <si>
    <t>243-801</t>
  </si>
  <si>
    <t>BRIGHT IDEAS CHARTER</t>
  </si>
  <si>
    <t>243-950</t>
  </si>
  <si>
    <t>REG IX EDUCATION SERVICE CENTER</t>
  </si>
  <si>
    <t>244-906</t>
  </si>
  <si>
    <t>VICTORY FIELD CORRECTIONAL ACADEMY</t>
  </si>
  <si>
    <t>245-801</t>
  </si>
  <si>
    <t>CHILDREN OF THE SUN CHARTER SCHOOL</t>
  </si>
  <si>
    <t>CDN</t>
  </si>
  <si>
    <t>00</t>
  </si>
  <si>
    <t>DeKalb ISD</t>
  </si>
  <si>
    <t>Brooks County ISD</t>
  </si>
  <si>
    <t>Crockett County CCSD</t>
  </si>
  <si>
    <t>001</t>
  </si>
  <si>
    <t>Crosbyton CISD</t>
  </si>
  <si>
    <t>Carrizo Springs CISD</t>
  </si>
  <si>
    <t>005</t>
  </si>
  <si>
    <t>San Marcos CISD</t>
  </si>
  <si>
    <t>Hays CISD</t>
  </si>
  <si>
    <t>O'Donnell ISD</t>
  </si>
  <si>
    <t>Madisonville CISD</t>
  </si>
  <si>
    <t>Ore City ISD</t>
  </si>
  <si>
    <t>District_name</t>
  </si>
  <si>
    <t>2005-06 EDA Eligible Debt</t>
  </si>
  <si>
    <t>2006-07 EDA Eligible Debt</t>
  </si>
  <si>
    <t>Frankston ISD (General Obligation Debt)</t>
  </si>
  <si>
    <t>Palestine ISD (General Obligation Debt)</t>
  </si>
  <si>
    <t>Andrews ISD (General Obligation Debt)</t>
  </si>
  <si>
    <t>Hudson ISD (General Obligation Debt)</t>
  </si>
  <si>
    <t>Lufkin ISD (General Obligation Debt)</t>
  </si>
  <si>
    <t>Huntington ISD (General Obligation Debt)</t>
  </si>
  <si>
    <t>Zavalla ISD (General Obligation Debt)</t>
  </si>
  <si>
    <t>Aransas Co ISD (General Obligation Debt)</t>
  </si>
  <si>
    <t>Archer City ISD (General Obligation Debt)</t>
  </si>
  <si>
    <t>Holliday ISD (General Obligation Debt)</t>
  </si>
  <si>
    <t>Windthorst ISD (General Obligation Debt)</t>
  </si>
  <si>
    <t>Claude ISD (General Obligation Debt)</t>
  </si>
  <si>
    <t>Charlotte ISD (General Obligation Debt)</t>
  </si>
  <si>
    <t>Lytle ISD (General Obligation Debt)</t>
  </si>
  <si>
    <t>Pleasanton ISD (General Obligation Debt)</t>
  </si>
  <si>
    <t>Poteet ISD (General Obligation Debt)</t>
  </si>
  <si>
    <t>Bellville ISD (General Obligation Debt)</t>
  </si>
  <si>
    <t>Sealy ISD (General Obligation Debt)</t>
  </si>
  <si>
    <t>Brazos ISD (General Obligation Debt)</t>
  </si>
  <si>
    <t>Bandera ISD (General Obligation Debt)</t>
  </si>
  <si>
    <t>0</t>
  </si>
  <si>
    <t>Bastrop ISD (General Obligation Debt)</t>
  </si>
  <si>
    <t>Elgin ISD (General Obligation Debt)</t>
  </si>
  <si>
    <t>Smithville ISD (General Obligation Debt)</t>
  </si>
  <si>
    <t>McDade ISD (General Obligation Debt)</t>
  </si>
  <si>
    <t>Seymour ISD (General Obligation Debt)</t>
  </si>
  <si>
    <t>Beeville ISD (General Obligation Debt)</t>
  </si>
  <si>
    <t>Skidmore-Tynan ISD (General Obligation Debt)</t>
  </si>
  <si>
    <t>Academy ISD (General Obligation Debt)</t>
  </si>
  <si>
    <t>Bartlett ISD (General Obligation Debt)</t>
  </si>
  <si>
    <t>Belton ISD (General Obligation Debt)</t>
  </si>
  <si>
    <t>NEDERLAND ISD</t>
  </si>
  <si>
    <t>Tier II.  It has been determined that the DTR limit does not apply to the additional $.04.  In previous releases,</t>
  </si>
  <si>
    <t>Level 1 DTR was being reduced by the $.04.</t>
  </si>
  <si>
    <t>M&amp;O Revenue From Local Taxes (up to compressed rate and net of recapture)</t>
  </si>
  <si>
    <t>&lt;= Enter the number of non-resident students who will be charged tuition for being educated by the district.</t>
  </si>
  <si>
    <t xml:space="preserve">(estimated to be 19% of unadjusted allotment on Line 10) </t>
  </si>
  <si>
    <t>DISTRICT "MINIMUM EFFORT" TRANSITION ASSISTANCE:</t>
  </si>
  <si>
    <t>2000-01 Full-time Employees</t>
  </si>
  <si>
    <t>2000-01 Health Insurance Expenditures</t>
  </si>
  <si>
    <t>HB 1 hold harmless or 'excess' amount.</t>
  </si>
  <si>
    <t xml:space="preserve">2006-07 Net Gain @ $1.50 From Option 4 Chapter 41 Partnership </t>
  </si>
  <si>
    <t>137-902</t>
  </si>
  <si>
    <t>Ricardo ISD</t>
  </si>
  <si>
    <t>137-903</t>
  </si>
  <si>
    <t>Riviera ISD</t>
  </si>
  <si>
    <t>137-904</t>
  </si>
  <si>
    <t>Santa Gertrudis ISD</t>
  </si>
  <si>
    <t>138-901</t>
  </si>
  <si>
    <t>Goree ISD</t>
  </si>
  <si>
    <t>Knox City-O'brien ISD</t>
  </si>
  <si>
    <t>138-903</t>
  </si>
  <si>
    <t>Munday ISD</t>
  </si>
  <si>
    <t>138-904</t>
  </si>
  <si>
    <t>Benjamin ISD</t>
  </si>
  <si>
    <t>139-905</t>
  </si>
  <si>
    <t xml:space="preserve">This template is being provided by Region XIII Education Service Center as a service to all school districts.  It reflects </t>
  </si>
  <si>
    <t>Melissa ISD</t>
  </si>
  <si>
    <t>043-910</t>
  </si>
  <si>
    <t>Plano ISD</t>
  </si>
  <si>
    <t>043-919</t>
  </si>
  <si>
    <t>Lovejoy ISD</t>
  </si>
  <si>
    <t>044-902</t>
  </si>
  <si>
    <t>126-908</t>
  </si>
  <si>
    <t>235-902</t>
  </si>
  <si>
    <t>161-914</t>
  </si>
  <si>
    <t>226-906</t>
  </si>
  <si>
    <t>070-912</t>
  </si>
  <si>
    <t>161-916</t>
  </si>
  <si>
    <t>[(Line 1 - Line 4) / $35 / Line 5 / 100]</t>
  </si>
  <si>
    <t>077-901</t>
  </si>
  <si>
    <t>Floydada ISD</t>
  </si>
  <si>
    <t>077-902</t>
  </si>
  <si>
    <t>Lockney ISD</t>
  </si>
  <si>
    <t>078-901</t>
  </si>
  <si>
    <t>Crowell ISD</t>
  </si>
  <si>
    <t>079-901</t>
  </si>
  <si>
    <t>Lamar Consolidated ISD</t>
  </si>
  <si>
    <t>079-908</t>
  </si>
  <si>
    <t>Kendleton ISD</t>
  </si>
  <si>
    <t>079-910</t>
  </si>
  <si>
    <t xml:space="preserve">   Off Home Campus (Codes 91-98)</t>
  </si>
  <si>
    <t xml:space="preserve">   VAC (Code 08)</t>
  </si>
  <si>
    <t>Apple Springs ISD</t>
  </si>
  <si>
    <t>229-903</t>
  </si>
  <si>
    <t>Woodville ISD</t>
  </si>
  <si>
    <t>229-904</t>
  </si>
  <si>
    <t>Warren ISD</t>
  </si>
  <si>
    <t>230-901</t>
  </si>
  <si>
    <t>230-902</t>
  </si>
  <si>
    <t>Gilmer ISD</t>
  </si>
  <si>
    <t>Ore City</t>
  </si>
  <si>
    <t>230-904</t>
  </si>
  <si>
    <t>Union Hill ISD</t>
  </si>
  <si>
    <t>230-906</t>
  </si>
  <si>
    <t>New Diana ISD</t>
  </si>
  <si>
    <t>230-908</t>
  </si>
  <si>
    <t>Union Grove ISD</t>
  </si>
  <si>
    <t>231-901</t>
  </si>
  <si>
    <t>McCamey ISD</t>
  </si>
  <si>
    <t>231-902</t>
  </si>
  <si>
    <t>Rankin ISD</t>
  </si>
  <si>
    <t>232-904</t>
  </si>
  <si>
    <t>Utopia ISD</t>
  </si>
  <si>
    <t>233-801</t>
  </si>
  <si>
    <t>EAGLE CHARTER DEL RIO</t>
  </si>
  <si>
    <t>233-903</t>
  </si>
  <si>
    <t>Comstock ISD</t>
  </si>
  <si>
    <t>SHEPHERD ISD</t>
  </si>
  <si>
    <t>GREGORY-PORTLAND ISD</t>
  </si>
  <si>
    <t>INGLESIDE ISD</t>
  </si>
  <si>
    <t>RICHLAND SPRINGS ISD</t>
  </si>
  <si>
    <t>Limitation on Assistance (sum of "Limitations" above)</t>
  </si>
  <si>
    <t>under HB 1.  For these districts, their Hold Harmless Additional State Aid was not calculating correctly.  For these</t>
  </si>
  <si>
    <t>districts, I have created a new data entry cell (Cell G90 on the 'Data Entry - SOF' tab) to indicate their Chapter 41</t>
  </si>
  <si>
    <t xml:space="preserve">status under what is now old law. </t>
  </si>
  <si>
    <t>062-906</t>
  </si>
  <si>
    <t xml:space="preserve">               2005-06 &amp; 2006-07 School Years</t>
  </si>
  <si>
    <t>Property Value Data:</t>
  </si>
  <si>
    <r>
      <t>&lt;=</t>
    </r>
    <r>
      <rPr>
        <sz val="10"/>
        <rFont val="Arial MT"/>
      </rPr>
      <t xml:space="preserve"> Enter the district's I&amp;S tax collections for the 2004-05 school year (either from 9/1 thru 8/31 or 7/1 thru 8/31, depending on fiscal year).  Include delinquent I&amp;S taxes, but not P&amp;I).  </t>
    </r>
    <r>
      <rPr>
        <b/>
        <sz val="10"/>
        <rFont val="Arial MT"/>
      </rPr>
      <t/>
    </r>
  </si>
  <si>
    <t xml:space="preserve">     Total Refined ADA (adj. for decline, if applicable)</t>
  </si>
  <si>
    <t>Petrolia ISD</t>
  </si>
  <si>
    <t>Krum ISD</t>
  </si>
  <si>
    <t>San Diego ISD</t>
  </si>
  <si>
    <t>Italy ISD</t>
  </si>
  <si>
    <t>Maypearl ISD</t>
  </si>
  <si>
    <t>Ector ISD</t>
  </si>
  <si>
    <t>Weslaco ISD</t>
  </si>
  <si>
    <t>Monte Alto ISD</t>
  </si>
  <si>
    <t>Hubbard ISD</t>
  </si>
  <si>
    <t>Miller Grove ISD</t>
  </si>
  <si>
    <t>Lone Oak ISD</t>
  </si>
  <si>
    <t>Ben Bolt-Palito Blanco ISD</t>
  </si>
  <si>
    <t>Rio Vista ISD</t>
  </si>
  <si>
    <t>Roxton ISD</t>
  </si>
  <si>
    <t>Coolidge ISD</t>
  </si>
  <si>
    <t>Crawford ISD</t>
  </si>
  <si>
    <t>ORANGE GROVE ISD</t>
  </si>
  <si>
    <t>ORE CITY ISD</t>
  </si>
  <si>
    <t>OVERTON ISD</t>
  </si>
  <si>
    <t>PALMER ISD</t>
  </si>
  <si>
    <t>PAMPA ISD</t>
  </si>
  <si>
    <t>PARADISE ISD</t>
  </si>
  <si>
    <t>Less: Technology Allotment</t>
  </si>
  <si>
    <t xml:space="preserve">Total Revenue </t>
  </si>
  <si>
    <t>Less: Levels 2 &amp; 3 of Tier II</t>
  </si>
  <si>
    <t>DTR for Second Level of Tier II @ $41.21 Yield</t>
  </si>
  <si>
    <t>DTR for Third Level of Tier II @ $31.95 Yield</t>
  </si>
  <si>
    <t>Tier II State Aid for First Level @ $31.95</t>
  </si>
  <si>
    <t>Tier II State Aid for Second Level @ $41.21</t>
  </si>
  <si>
    <t>Tier II State Aid for Third Level @ $31.95</t>
  </si>
  <si>
    <t>LR for First Level of Tier II @ $31.95 Yield</t>
  </si>
  <si>
    <t>LR for Second Level of Tier II @ $41.21 Yield</t>
  </si>
  <si>
    <t>LR for Third Level of Tier II @ $31.95 Yield</t>
  </si>
  <si>
    <t>Total Tier II State Aid</t>
  </si>
  <si>
    <t>2006-07 Penalty for Setting M&amp;O Tax Rate Less Than Compressed Rate</t>
  </si>
  <si>
    <t>Refined ADA (Grades 9 thru 12 only)</t>
  </si>
  <si>
    <t>Nueces Canyon Cons ISD</t>
  </si>
  <si>
    <t>070-801</t>
  </si>
  <si>
    <t>FAITH FAM ACAD WAXAHACHIE</t>
  </si>
  <si>
    <t>070-903</t>
  </si>
  <si>
    <t>Ennis ISD</t>
  </si>
  <si>
    <t>070-905</t>
  </si>
  <si>
    <t>M&amp;O Collections Attributed to the Pennies Beyond the 4 Pennies Above the Compressed Rate</t>
  </si>
  <si>
    <t>111903</t>
  </si>
  <si>
    <t>112901</t>
  </si>
  <si>
    <t>112905</t>
  </si>
  <si>
    <t>112906</t>
  </si>
  <si>
    <t>112907</t>
  </si>
  <si>
    <t>112908</t>
  </si>
  <si>
    <t>112909</t>
  </si>
  <si>
    <t>112910</t>
  </si>
  <si>
    <t>113901</t>
  </si>
  <si>
    <t>113902</t>
  </si>
  <si>
    <t>113903</t>
  </si>
  <si>
    <t>113905</t>
  </si>
  <si>
    <t>113906</t>
  </si>
  <si>
    <t>114901</t>
  </si>
  <si>
    <t>114902</t>
  </si>
  <si>
    <t>114904</t>
  </si>
  <si>
    <t>115901</t>
  </si>
  <si>
    <t>115902</t>
  </si>
  <si>
    <t>115903</t>
  </si>
  <si>
    <t>116901</t>
  </si>
  <si>
    <t>116902</t>
  </si>
  <si>
    <t>116903</t>
  </si>
  <si>
    <t>116905</t>
  </si>
  <si>
    <t>116906</t>
  </si>
  <si>
    <t>116908</t>
  </si>
  <si>
    <t>116909</t>
  </si>
  <si>
    <t>116910</t>
  </si>
  <si>
    <t>116915</t>
  </si>
  <si>
    <t>116916</t>
  </si>
  <si>
    <t>117901</t>
  </si>
  <si>
    <t>117903</t>
  </si>
  <si>
    <t>SANFORD-FRITCH ISD</t>
  </si>
  <si>
    <t>117904</t>
  </si>
  <si>
    <t>PLEMONS-STINNETT-PHILLIPS CISD</t>
  </si>
  <si>
    <t>117907</t>
  </si>
  <si>
    <t>118902</t>
  </si>
  <si>
    <t>IRION COUNTY ISD</t>
  </si>
  <si>
    <t>119901</t>
  </si>
  <si>
    <t>119902</t>
  </si>
  <si>
    <t>119903</t>
  </si>
  <si>
    <t>PERRIN-WHITT CISD</t>
  </si>
  <si>
    <t>120901</t>
  </si>
  <si>
    <t>120902</t>
  </si>
  <si>
    <t>120905</t>
  </si>
  <si>
    <t>121902</t>
  </si>
  <si>
    <t>121903</t>
  </si>
  <si>
    <t>121904</t>
  </si>
  <si>
    <t>121905</t>
  </si>
  <si>
    <t>121906</t>
  </si>
  <si>
    <t>122901</t>
  </si>
  <si>
    <t>122902</t>
  </si>
  <si>
    <t>123905</t>
  </si>
  <si>
    <t>123907</t>
  </si>
  <si>
    <t>123908</t>
  </si>
  <si>
    <t>123910</t>
  </si>
  <si>
    <t>123913</t>
  </si>
  <si>
    <t>123914</t>
  </si>
  <si>
    <t>124901</t>
  </si>
  <si>
    <t>125901</t>
  </si>
  <si>
    <t>125902</t>
  </si>
  <si>
    <t>125903</t>
  </si>
  <si>
    <t>125905</t>
  </si>
  <si>
    <t>125906</t>
  </si>
  <si>
    <t>126901</t>
  </si>
  <si>
    <t>126902</t>
  </si>
  <si>
    <t>126903</t>
  </si>
  <si>
    <t>126904</t>
  </si>
  <si>
    <t>126905</t>
  </si>
  <si>
    <t>126906</t>
  </si>
  <si>
    <t>126907</t>
  </si>
  <si>
    <t>126908</t>
  </si>
  <si>
    <t>126911</t>
  </si>
  <si>
    <t>127901</t>
  </si>
  <si>
    <t>127903</t>
  </si>
  <si>
    <t>127904</t>
  </si>
  <si>
    <t>127905</t>
  </si>
  <si>
    <t>127906</t>
  </si>
  <si>
    <t>128901</t>
  </si>
  <si>
    <t>128902</t>
  </si>
  <si>
    <t>128903</t>
  </si>
  <si>
    <t>128904</t>
  </si>
  <si>
    <t>129901</t>
  </si>
  <si>
    <t>129902</t>
  </si>
  <si>
    <t>129903</t>
  </si>
  <si>
    <t>129904</t>
  </si>
  <si>
    <t>129905</t>
  </si>
  <si>
    <t>129906</t>
  </si>
  <si>
    <t>129910</t>
  </si>
  <si>
    <t>130901</t>
  </si>
  <si>
    <t>130902</t>
  </si>
  <si>
    <t>131001</t>
  </si>
  <si>
    <t>132902</t>
  </si>
  <si>
    <t>133901</t>
  </si>
  <si>
    <t>133902</t>
  </si>
  <si>
    <t>133903</t>
  </si>
  <si>
    <t>133904</t>
  </si>
  <si>
    <t>133905</t>
  </si>
  <si>
    <t>134901</t>
  </si>
  <si>
    <t>135001</t>
  </si>
  <si>
    <t>136901</t>
  </si>
  <si>
    <t>137901</t>
  </si>
  <si>
    <t>137902</t>
  </si>
  <si>
    <t>137903</t>
  </si>
  <si>
    <t>137904</t>
  </si>
  <si>
    <t>138902</t>
  </si>
  <si>
    <t>138903</t>
  </si>
  <si>
    <t>138904</t>
  </si>
  <si>
    <t>139905</t>
  </si>
  <si>
    <t>139908</t>
  </si>
  <si>
    <t>139909</t>
  </si>
  <si>
    <t>139911</t>
  </si>
  <si>
    <t>139912</t>
  </si>
  <si>
    <t>140901</t>
  </si>
  <si>
    <t>Adjustments for Non-resident Students:</t>
  </si>
  <si>
    <t xml:space="preserve">     WADA-to-Enrollment Ratio</t>
  </si>
  <si>
    <t>(4) On the 'Data Entry' tab, a new data entry cell has been added (H77).</t>
  </si>
  <si>
    <t xml:space="preserve">(5) Various miscellaneous corrections to cell references in the instructions column (J) of the 'Data Entry' tab. </t>
  </si>
  <si>
    <t>Groom ISD</t>
  </si>
  <si>
    <t>State/Local Share of Allotment ($35 x Line 5 x Line 9 x 100)</t>
  </si>
  <si>
    <t xml:space="preserve">&lt;= This data element has been loaded automatically.  If the 04-05 IFA local share for bonded debt on the district's latest Summary of Finances (it is on the EDA printout that is part of the Summary of Finances) is different, you will have to unprotect this cell and enter the number from the district's latest Summary of Finances.  This number may change when the "final" Summary of Finances for 04-05 is generated.   </t>
  </si>
  <si>
    <t>2006-07 Additional State Aid for Tax Reduction Under Section 42.2516(b)(1)</t>
  </si>
  <si>
    <t>Additional State Aid for Tax Reduction (Sec 42.2516(b)(1)</t>
  </si>
  <si>
    <t>Salary Allotment ($2,500 x # Teachers, etc) (Sec 42.2516(b)(2)</t>
  </si>
  <si>
    <t>Copyright©2006 Education Service Center, Region XIII (see Copyright tab)</t>
  </si>
  <si>
    <t>Copyright Notice:</t>
  </si>
  <si>
    <t xml:space="preserve">This template is the property of Region XIII Education Service Center (Region 13) and is subject to </t>
  </si>
  <si>
    <t>MCLENNAN CO ST JUVENILE CORREC</t>
  </si>
  <si>
    <t>CORSICANA RESIDENTIAL TREATMEN</t>
  </si>
  <si>
    <t>VICTORY FIELD CORRECTIONAL ACA</t>
  </si>
  <si>
    <t>RON JACKSON STATE JUVENILE COR</t>
  </si>
  <si>
    <t>AL PRICE STATE JUVENILE CORREC</t>
  </si>
  <si>
    <t xml:space="preserve">and the High School Allotment (the "(b)(3)" amount) are added to create a "revenue target."  From that "revenue </t>
  </si>
  <si>
    <t>exemption) has been changed to compute it using HB 1 funding elements.  Prior releases were computing it using</t>
  </si>
  <si>
    <t>what are now old funding elements.</t>
  </si>
  <si>
    <t>(5)  In the Salary Transition calculations for Chapter 41 hold harmless districts, the calculation of the hold harmless</t>
  </si>
  <si>
    <t>level in Cell Q86 had a wrong cell reference and has been fixed.</t>
  </si>
  <si>
    <t>GLASSCOCK COUNTY ISD</t>
  </si>
  <si>
    <t>GOLIAD ISD</t>
  </si>
  <si>
    <t>NIXON-SMILEY CONS ISD</t>
  </si>
  <si>
    <t>WAELDER ISD</t>
  </si>
  <si>
    <t>MARATHON ISD</t>
  </si>
  <si>
    <t>SAN VICENTE ISD</t>
  </si>
  <si>
    <t>SILVERTON ISD</t>
  </si>
  <si>
    <t>BROOKS COUNTY ISD</t>
  </si>
  <si>
    <t>BANGS ISD</t>
  </si>
  <si>
    <t>BROWNWOOD ISD</t>
  </si>
  <si>
    <t>CALDWELL ISD</t>
  </si>
  <si>
    <t>SOMERVILLE ISD</t>
  </si>
  <si>
    <t>SNOOK ISD</t>
  </si>
  <si>
    <t>PRAIRIE LEA ISD</t>
  </si>
  <si>
    <t>CALHOUN CO ISD</t>
  </si>
  <si>
    <t>CROSS PLAINS ISD</t>
  </si>
  <si>
    <t>BAIRD ISD</t>
  </si>
  <si>
    <t>EULA ISD</t>
  </si>
  <si>
    <t>POINT ISABEL ISD</t>
  </si>
  <si>
    <t>PITTSBURG ISD</t>
  </si>
  <si>
    <t>GROOM ISD</t>
  </si>
  <si>
    <t>PANHANDLE ISD</t>
  </si>
  <si>
    <t>This area below uses current law</t>
  </si>
  <si>
    <t xml:space="preserve">: but at 2,396 basic allotment </t>
  </si>
  <si>
    <t>(1) The determination of any "excess" revenue under Section 42.2516(h) has been corrected, hopefully.</t>
  </si>
  <si>
    <t>LINDEN-KILDARE CONS ISD</t>
  </si>
  <si>
    <t>QUEEN CITY ISD</t>
  </si>
  <si>
    <t>MARIETTA ISD</t>
  </si>
  <si>
    <t>BLOOMBURG ISD</t>
  </si>
  <si>
    <t>DIMMITT ISD</t>
  </si>
  <si>
    <t>HART ISD</t>
  </si>
  <si>
    <t>BARBERS HILL ISD</t>
  </si>
  <si>
    <t>EAST CHAMBERS ISD</t>
  </si>
  <si>
    <t>ALTO ISD</t>
  </si>
  <si>
    <t>WELLS ISD</t>
  </si>
  <si>
    <t>BYERS ISD</t>
  </si>
  <si>
    <t>HENRIETTA ISD</t>
  </si>
  <si>
    <t>BELLEVUE ISD</t>
  </si>
  <si>
    <t>This sheet estimates the district's recapture costs (both Option 3 and Option 4) for the 2005-06 and 2006-07 school years.</t>
  </si>
  <si>
    <t>Property Value Needed to Maintain 1999-00 Revenue (Line 11 / Line 13)</t>
  </si>
  <si>
    <t>Gustine ISD</t>
  </si>
  <si>
    <t xml:space="preserve">&lt;= Enter number of square miles in the district (not necessary if district more than 1,600 ADA).  </t>
  </si>
  <si>
    <t>calculations for Chapter 41 beginning on Row 59)</t>
  </si>
  <si>
    <t>NORTHWEST ISD</t>
  </si>
  <si>
    <t>ODEM-EDROY ISD</t>
  </si>
  <si>
    <t>OGLESBY ISD</t>
  </si>
  <si>
    <t>OLFEN ISD</t>
  </si>
  <si>
    <t>OLNEY ISD</t>
  </si>
  <si>
    <t>OLTON ISD</t>
  </si>
  <si>
    <t>HARMONY ISD</t>
  </si>
  <si>
    <t>HASKELL CISD</t>
  </si>
  <si>
    <t>HAWLEY ISD</t>
  </si>
  <si>
    <t>HAYS CONS ISD</t>
  </si>
  <si>
    <t>HEDLEY ISD</t>
  </si>
  <si>
    <t>HEMPSTEAD ISD</t>
  </si>
  <si>
    <t>HEREFORD ISD</t>
  </si>
  <si>
    <t>HICO ISD</t>
  </si>
  <si>
    <t>HIDALGO ISD</t>
  </si>
  <si>
    <t>HIGH ISLAND ISD</t>
  </si>
  <si>
    <t>HILLSBORO ISD</t>
  </si>
  <si>
    <t>HOLLAND ISD</t>
  </si>
  <si>
    <t>HONDO ISD</t>
  </si>
  <si>
    <t>HOOKS ISD</t>
  </si>
  <si>
    <t>HOWE ISD</t>
  </si>
  <si>
    <t>HUBBARD ISD</t>
  </si>
  <si>
    <t>HUDSON ISD</t>
  </si>
  <si>
    <t>HUFFMAN ISD</t>
  </si>
  <si>
    <t>HULL-DAISETTA ISD</t>
  </si>
  <si>
    <t>HUMBLE ISD</t>
  </si>
  <si>
    <t>HUNTINGTON ISD</t>
  </si>
  <si>
    <t>HURST-EULESS-BEDFORD ISD</t>
  </si>
  <si>
    <t>HUTTO ISD</t>
  </si>
  <si>
    <t>IRVING ISD</t>
  </si>
  <si>
    <t xml:space="preserve">The change made by TEA does not result in an "amount of state revenue necessary to maintain" that certain level of </t>
  </si>
  <si>
    <t xml:space="preserve">A meeting of the minds took place and the issue revolving around the treatment of the salary allotment and the </t>
  </si>
  <si>
    <t xml:space="preserve">high school allotment has been resolved.  This release basically takes everyone back to where they were in </t>
  </si>
  <si>
    <t>BIG SPRING ISD</t>
  </si>
  <si>
    <t>COAHOMA ISD</t>
  </si>
  <si>
    <t>FORSAN ISD</t>
  </si>
  <si>
    <t>FT HANCOCK ISD</t>
  </si>
  <si>
    <t>SIERRA BLANCA ISD</t>
  </si>
  <si>
    <t>DELL CITY ISD</t>
  </si>
  <si>
    <t>CELESTE ISD</t>
  </si>
  <si>
    <t>GREENVILLE ISD</t>
  </si>
  <si>
    <t>CAMPBELL ISD</t>
  </si>
  <si>
    <t>BORGER ISD</t>
  </si>
  <si>
    <t>SANFORD ISD</t>
  </si>
  <si>
    <t xml:space="preserve">(4) the amount of the "excess revenue" that gets reduced from your total state aid will be less (or may disappear    </t>
  </si>
  <si>
    <t>Salary Allotment and the High School Allotment.</t>
  </si>
  <si>
    <t xml:space="preserve">revenue as Section 42.2516(b)(1) reads (at least in my opinion, whatever that's worth).  Rather, the "greater of" </t>
  </si>
  <si>
    <t>into the calculation of Additional State Aid for Tax Reduction.</t>
  </si>
  <si>
    <t xml:space="preserve">allocation and you are in fact getting that money.  I have also broken out the FSF allocation on the 'SOF0607-HB1' </t>
  </si>
  <si>
    <t xml:space="preserve">Notwithstanding all of the above, the following corrections have been made on this release:  </t>
  </si>
  <si>
    <t>&lt; This number comes from the Data Entry sheet, CELL F108 or H108.</t>
  </si>
  <si>
    <t>&lt; This number comes from the Calc Data sheet, CELL D7 or E7.</t>
  </si>
  <si>
    <t>201-913</t>
  </si>
  <si>
    <t>205-907</t>
  </si>
  <si>
    <t>210-903</t>
  </si>
  <si>
    <t>214-903</t>
  </si>
  <si>
    <t>101-903</t>
  </si>
  <si>
    <t>126-901</t>
  </si>
  <si>
    <t>249-901</t>
  </si>
  <si>
    <t>001-902</t>
  </si>
  <si>
    <t>PARIS ISD</t>
  </si>
  <si>
    <t>&lt;= computed using the district's cost per WADA @ the maximum rate permitted under Sec 45.003, which is $.17 + (1.50 x 88.67%)</t>
  </si>
  <si>
    <t>NOTE:If the district cannot collect the amount of M&amp;O taxes needed to qualify for</t>
  </si>
  <si>
    <t xml:space="preserve">the Section 41.0021 provision at the maximum $1.50 adopted tax rate, the  </t>
  </si>
  <si>
    <t>district will still qualify for the Section 41.0021 provision.</t>
  </si>
  <si>
    <t>Less: 1999-00 Chapter 41 Recapture Cost</t>
  </si>
  <si>
    <t>Net 1999-00 M&amp;O Taxes Available for Operations (Line 1 - Line 2)</t>
  </si>
  <si>
    <t>1999-00 State Aid</t>
  </si>
  <si>
    <t>062-905</t>
  </si>
  <si>
    <t>Westhoff ISD</t>
  </si>
  <si>
    <t>ALDINE ISD</t>
  </si>
  <si>
    <t>Y</t>
  </si>
  <si>
    <t>M&amp;O TAX COLLECTIONS NEEDED IN 2004-2005 TO KEEP VALUE ON LINE 14:</t>
  </si>
  <si>
    <t>[LINE 13 x 2003 CPTD VALUE (FROM DATA ENTRY SECTION):]</t>
  </si>
  <si>
    <t>Colmesneil ISD</t>
  </si>
  <si>
    <t>Columbia-Brazoria ISD</t>
  </si>
  <si>
    <t>Columbus ISD</t>
  </si>
  <si>
    <t>Commerce ISD</t>
  </si>
  <si>
    <r>
      <t xml:space="preserve"> </t>
    </r>
    <r>
      <rPr>
        <b/>
        <sz val="10"/>
        <color indexed="8"/>
        <rFont val="Arial MT"/>
      </rPr>
      <t>PRELIMINARY ESTIMATE OF STATE AID</t>
    </r>
  </si>
  <si>
    <t xml:space="preserve">(2) The data entry cells that called for 2006 taxable value and the 3-yr avg collection rate have been deleted, as </t>
  </si>
  <si>
    <t>M&amp;O Tax Collections @ 2005-06 Adopted Rate</t>
  </si>
  <si>
    <t>GRANGER ISD</t>
  </si>
  <si>
    <t>GRAPE CREEK ISD</t>
  </si>
  <si>
    <t>GUNTER ISD</t>
  </si>
  <si>
    <t>GUSTINE ISD</t>
  </si>
  <si>
    <t>HAMSHIRE-FANNETT ISD</t>
  </si>
  <si>
    <t>HARDIN ISD</t>
  </si>
  <si>
    <t>HARLANDALE ISD</t>
  </si>
  <si>
    <t>HARLINGEN CONS ISD</t>
  </si>
  <si>
    <t xml:space="preserve">&lt;= This cell has been calculated automatically and is the same number as is calculated in Cell F39 on the 'Calc Data' tab.  </t>
  </si>
  <si>
    <r>
      <t xml:space="preserve">on this release for two reasons: (1) </t>
    </r>
    <r>
      <rPr>
        <b/>
        <u/>
        <sz val="10"/>
        <color indexed="38"/>
        <rFont val="Arial MT"/>
      </rPr>
      <t>it does not change the "bottom line" for most districts</t>
    </r>
    <r>
      <rPr>
        <b/>
        <sz val="10"/>
        <color indexed="38"/>
        <rFont val="Arial MT"/>
      </rPr>
      <t xml:space="preserve"> and (2) I don't agree that</t>
    </r>
  </si>
  <si>
    <t>M&amp;O Collections Attributed to Compressed Rate (or lower rate, if applicable)</t>
  </si>
  <si>
    <t>This template will allow the district to enter attendance counts from the "Superintendent's</t>
  </si>
  <si>
    <r>
      <t>Report of Student Attendance &amp; Contact Hours" (</t>
    </r>
    <r>
      <rPr>
        <b/>
        <u/>
        <sz val="14"/>
        <color indexed="10"/>
        <rFont val="Arial MT"/>
      </rPr>
      <t>combined, not campus reports</t>
    </r>
    <r>
      <rPr>
        <b/>
        <sz val="14"/>
        <color indexed="10"/>
        <rFont val="Arial MT"/>
      </rPr>
      <t>) in order</t>
    </r>
  </si>
  <si>
    <t>Six Wks</t>
  </si>
  <si>
    <t xml:space="preserve"> </t>
  </si>
  <si>
    <t xml:space="preserve"> SPECIAL EDUCATION COUNT FROM SUPT'S REPORT:  (Table 111 - Line A)</t>
  </si>
  <si>
    <t>Eligible Days Present</t>
  </si>
  <si>
    <t>C/H Factor</t>
  </si>
  <si>
    <t>Sp. Ed. Setting</t>
  </si>
  <si>
    <t>FUNDING</t>
  </si>
  <si>
    <t xml:space="preserve">  Speech Therapy</t>
  </si>
  <si>
    <t xml:space="preserve">  Homebound</t>
  </si>
  <si>
    <t xml:space="preserve">  Hospital Class</t>
  </si>
  <si>
    <t xml:space="preserve">  VAC</t>
  </si>
  <si>
    <t xml:space="preserve">  State School  (30)</t>
  </si>
  <si>
    <t xml:space="preserve">  State School</t>
  </si>
  <si>
    <t xml:space="preserve">  Resource Room 41</t>
  </si>
  <si>
    <t xml:space="preserve">  Resource Room 42</t>
  </si>
  <si>
    <t xml:space="preserve">  Mild/Mod/Severe 43</t>
  </si>
  <si>
    <t xml:space="preserve">  Mild/Mod/Severe 44</t>
  </si>
  <si>
    <t xml:space="preserve">  Full Time E/C Sp. Ed.</t>
  </si>
  <si>
    <t xml:space="preserve">  Care &amp; Treatment   (81-89)</t>
  </si>
  <si>
    <t xml:space="preserve">  Care &amp; Treatment</t>
  </si>
  <si>
    <t xml:space="preserve">  Off Home Campus   (91-98)</t>
  </si>
  <si>
    <t xml:space="preserve">  Off Home Campus</t>
  </si>
  <si>
    <t xml:space="preserve">  Nonpublic Contract</t>
  </si>
  <si>
    <t xml:space="preserve">  Mainstream</t>
  </si>
  <si>
    <r>
      <t xml:space="preserve">Mains'tm Elg'b. Days: </t>
    </r>
    <r>
      <rPr>
        <b/>
        <sz val="9"/>
        <color indexed="10"/>
        <rFont val="Arial MT"/>
      </rPr>
      <t>(Table I, Line I)</t>
    </r>
  </si>
  <si>
    <t>Total Sp. Ed. Funding</t>
  </si>
  <si>
    <t xml:space="preserve"> VOCATIONAL FTE'S FROM SUPT'S REPORT  (Table 1 - Line O) </t>
  </si>
  <si>
    <t>Vocational FTE's</t>
  </si>
  <si>
    <t xml:space="preserve">                         (From Superintendent's Report: Table 1 - Lines A &amp; F)</t>
  </si>
  <si>
    <t>Do not attemp to enter data. Entered for you Calculations are made automatically.</t>
  </si>
  <si>
    <t>&lt;= Enter the total amount of taxes levied for the applicable school year (only necessary if a number is entered above as TSD or TSB students).</t>
  </si>
  <si>
    <t>1999-00 Adjusted State &amp; Local Revenue (Line 5 - Line 6)</t>
  </si>
  <si>
    <t>1999-00 Chapter 42 WADA (WADA of students educated by district)</t>
  </si>
  <si>
    <t>1999-00 Adjusted State &amp; Local Revenue per WADA (Line 7 / Line 8)</t>
  </si>
  <si>
    <t>1998 CPTD Value</t>
  </si>
  <si>
    <t>1999-00 Effective Tax Rate (Line 1 / Line 12)</t>
  </si>
  <si>
    <t>116-905</t>
  </si>
  <si>
    <t>Greenville ISD</t>
  </si>
  <si>
    <t>116-910</t>
  </si>
  <si>
    <t>Campbell ISD</t>
  </si>
  <si>
    <t>117-901</t>
  </si>
  <si>
    <t>Borger ISD</t>
  </si>
  <si>
    <t>117-903</t>
  </si>
  <si>
    <t>Sanford ISD</t>
  </si>
  <si>
    <t>117-904</t>
  </si>
  <si>
    <t>Prairie Lea ISD</t>
  </si>
  <si>
    <t>029-901</t>
  </si>
  <si>
    <t>166-902</t>
  </si>
  <si>
    <t>Gause ISD</t>
  </si>
  <si>
    <t>166-904</t>
  </si>
  <si>
    <t>2006-07 Gain From Chapter 41 Partnership (see below)</t>
  </si>
  <si>
    <t xml:space="preserve">2006-07 Total State/Local Revenue </t>
  </si>
  <si>
    <t>2004-05 I&amp;S Taxes Needed ( @$.29 EDA limit) to Receive State Share of EDA</t>
  </si>
  <si>
    <t>2004-05 State Share of EDA ( @$.29 EDA limit)</t>
  </si>
  <si>
    <t>Grandview-Hopkins ISD</t>
  </si>
  <si>
    <t>091-902</t>
  </si>
  <si>
    <t>Collinsville ISD</t>
  </si>
  <si>
    <t>091-903</t>
  </si>
  <si>
    <t>Denison ISD</t>
  </si>
  <si>
    <t xml:space="preserve">              necessary to pay the district's share of actual debt service payments on bonds in those years </t>
  </si>
  <si>
    <t>unadjusted coei</t>
  </si>
  <si>
    <t>used coei</t>
  </si>
  <si>
    <t>Tornillo ISD</t>
  </si>
  <si>
    <t>Gifted &amp; Talented Block Grant</t>
  </si>
  <si>
    <t>Waller ISD</t>
  </si>
  <si>
    <t>San Perlita ISD</t>
  </si>
  <si>
    <t>NOTE: IN ORDER TO QUALIFY FOR SECTION 41.0021,THE DISTRICT MUST COLLECT</t>
  </si>
  <si>
    <t>DISTRICT HAD IN 1999-2000.  THE AMOUNT NEEDED TO BE COLLECTED IS AT THE</t>
  </si>
  <si>
    <t>BOTTOM OF THIS WORKSHEET.</t>
  </si>
  <si>
    <t>1999-00 M&amp;O Tax Collections</t>
  </si>
  <si>
    <t>Everman ISD</t>
  </si>
  <si>
    <t>220-905</t>
  </si>
  <si>
    <t>Fort Worth ISD</t>
  </si>
  <si>
    <t>220-906</t>
  </si>
  <si>
    <t>Grapevine-Colleyville ISD</t>
  </si>
  <si>
    <t>220-909</t>
  </si>
  <si>
    <t>Masonic Home ISD</t>
  </si>
  <si>
    <t>220-918</t>
  </si>
  <si>
    <t>Eagle Mt-Saginaw ISD</t>
  </si>
  <si>
    <t>221-801</t>
  </si>
  <si>
    <t>EAGLE CHARTER ABILENE</t>
  </si>
  <si>
    <t>221-901</t>
  </si>
  <si>
    <t>Abilene ISD</t>
  </si>
  <si>
    <t>221-904</t>
  </si>
  <si>
    <t>Merkel ISD</t>
  </si>
  <si>
    <t>221-905</t>
  </si>
  <si>
    <t>Trent ISD</t>
  </si>
  <si>
    <t>221-911</t>
  </si>
  <si>
    <t>Jim Ned Cons ISD</t>
  </si>
  <si>
    <t>221-912</t>
  </si>
  <si>
    <t>222-901</t>
  </si>
  <si>
    <t>148-905</t>
  </si>
  <si>
    <t>Darrouzett ISD</t>
  </si>
  <si>
    <t>149-901</t>
  </si>
  <si>
    <t>George West ISD</t>
  </si>
  <si>
    <t>149-902</t>
  </si>
  <si>
    <t>Three Rivers ISD</t>
  </si>
  <si>
    <t>150-901</t>
  </si>
  <si>
    <t>Llano ISD</t>
  </si>
  <si>
    <t>152-802</t>
  </si>
  <si>
    <t>RISE ACADEMY</t>
  </si>
  <si>
    <t>152-804</t>
  </si>
  <si>
    <t>EAGLE CHARTER LUBBOCK</t>
  </si>
  <si>
    <t>152-902</t>
  </si>
  <si>
    <t>New Deal ISD</t>
  </si>
  <si>
    <t>152-903</t>
  </si>
  <si>
    <t>Slaton ISD</t>
  </si>
  <si>
    <t>152-908</t>
  </si>
  <si>
    <t>Roosevelt ISD</t>
  </si>
  <si>
    <t>BURNHAM WOOD CHARTER SCH.</t>
  </si>
  <si>
    <t>071-902</t>
  </si>
  <si>
    <t>El Paso ISD</t>
  </si>
  <si>
    <t>072-901</t>
  </si>
  <si>
    <t>Navasota ISD</t>
  </si>
  <si>
    <t>093-905</t>
  </si>
  <si>
    <t>Richards ISD</t>
  </si>
  <si>
    <t>Schertz-Cibolo-U City ISD</t>
  </si>
  <si>
    <t>094-903</t>
  </si>
  <si>
    <t>Navarro ISD</t>
  </si>
  <si>
    <t>095-901</t>
  </si>
  <si>
    <t>Abernathy ISD</t>
  </si>
  <si>
    <t>095-902</t>
  </si>
  <si>
    <t>2004-05 Full-time Employees</t>
  </si>
  <si>
    <t>2004-05 Maintenance of Effort Requirement (#14 x #15)</t>
  </si>
  <si>
    <t xml:space="preserve">2004-05 District Minimum Effort Requirement </t>
  </si>
  <si>
    <t>2004-05 NET MINIMUM EFFORT TRANSITION ASSISTANCE (#18 - #19)</t>
  </si>
  <si>
    <t>2004-05 Refined ADA</t>
  </si>
  <si>
    <t>2004-05 Total Tax Collections</t>
  </si>
  <si>
    <t>2003 Adjusted CPTD Value ("T2")</t>
  </si>
  <si>
    <t>2001 CPTD Value ("T4")</t>
  </si>
  <si>
    <t>2004-05 EDA Local Share</t>
  </si>
  <si>
    <t>Prior-Year Data:</t>
  </si>
  <si>
    <r>
      <t xml:space="preserve">&lt;= </t>
    </r>
    <r>
      <rPr>
        <sz val="10"/>
        <rFont val="Arial MT"/>
      </rPr>
      <t xml:space="preserve">This cell is completed for you.  If the value has changed, unprotect this sheet and enter the revised value. </t>
    </r>
    <r>
      <rPr>
        <b/>
        <sz val="10"/>
        <rFont val="Arial MT"/>
      </rPr>
      <t/>
    </r>
  </si>
  <si>
    <t>VICTORIA ISD</t>
  </si>
  <si>
    <t>VIDOR ISD</t>
  </si>
  <si>
    <t>WACO ISD</t>
  </si>
  <si>
    <t>WALL ISD</t>
  </si>
  <si>
    <t>WALLER ISD</t>
  </si>
  <si>
    <t>WAXAHACHIE ISD</t>
  </si>
  <si>
    <t>WEATHERFORD ISD</t>
  </si>
  <si>
    <t>WESLACO ISD</t>
  </si>
  <si>
    <t>WEST HARDIN COUNTY CONS ISD</t>
  </si>
  <si>
    <t>WEST ISD</t>
  </si>
  <si>
    <t>WESTPHALIA ISD</t>
  </si>
  <si>
    <t>WHITE SETTLEMENT ISD</t>
  </si>
  <si>
    <t>WHITEHOUSE ISD</t>
  </si>
  <si>
    <t>WHITESBORO ISD</t>
  </si>
  <si>
    <t>229-905</t>
  </si>
  <si>
    <t>Spurger ISD</t>
  </si>
  <si>
    <t>Tier II State Aid @ $27.14 Guaranteed Yield</t>
  </si>
  <si>
    <t>Santa Rosa ISD</t>
  </si>
  <si>
    <t>019-910</t>
  </si>
  <si>
    <t>Malta ISD</t>
  </si>
  <si>
    <t>@300</t>
  </si>
  <si>
    <t>@340</t>
  </si>
  <si>
    <r>
      <t xml:space="preserve"> </t>
    </r>
    <r>
      <rPr>
        <b/>
        <sz val="10"/>
        <color indexed="8"/>
        <rFont val="Arial MT"/>
      </rPr>
      <t>PRELIMINARY 2004-05 ESTIMATE OF STATE AID</t>
    </r>
  </si>
  <si>
    <t>Regular Special Education Block Grant</t>
  </si>
  <si>
    <t>Other Special Education Allotments:</t>
  </si>
  <si>
    <t xml:space="preserve">   Mainstream Special Education Allotment</t>
  </si>
  <si>
    <t xml:space="preserve">   Residential Care &amp; Treatment Allotment</t>
  </si>
  <si>
    <t xml:space="preserve">   State Schools Allotment</t>
  </si>
  <si>
    <t>05-06 or</t>
  </si>
  <si>
    <t>hb1</t>
  </si>
  <si>
    <t>formula</t>
  </si>
  <si>
    <t>Calculation of "excess" revenue:</t>
  </si>
  <si>
    <t>Tier I Formula Gain</t>
  </si>
  <si>
    <t>Tier II Formula Gain</t>
  </si>
  <si>
    <t>Total Formula Gains</t>
  </si>
  <si>
    <t xml:space="preserve">2006-07 Tier II State Aid Under HB 1 </t>
  </si>
  <si>
    <t>ARCHER CITY ISD</t>
  </si>
  <si>
    <t>HOLLIDAY ISD</t>
  </si>
  <si>
    <t>MEGARGEL ISD</t>
  </si>
  <si>
    <t>CLAUDE ISD</t>
  </si>
  <si>
    <t>JOURDANTON ISD</t>
  </si>
  <si>
    <t>LYTLE ISD</t>
  </si>
  <si>
    <t>BELLVILLE ISD</t>
  </si>
  <si>
    <t>SEALY ISD</t>
  </si>
  <si>
    <t>BRAZOS ISD</t>
  </si>
  <si>
    <t>MULESHOE ISD</t>
  </si>
  <si>
    <t>MEDINA ISD</t>
  </si>
  <si>
    <t>SEYMOUR ISD</t>
  </si>
  <si>
    <t>PAWNEE ISD</t>
  </si>
  <si>
    <t>PETTUS ISD</t>
  </si>
  <si>
    <t>ACADEMY ISD</t>
  </si>
  <si>
    <t>ALAMO HEIGHTS ISD</t>
  </si>
  <si>
    <t>RANDOLPH FIELD ISD</t>
  </si>
  <si>
    <t>LACKLAND ISD</t>
  </si>
  <si>
    <t>FT SAM HOUSTON ISD</t>
  </si>
  <si>
    <t>JOHNSON CITY ISD</t>
  </si>
  <si>
    <t>BORDEN COUNTY ISD</t>
  </si>
  <si>
    <t>MERIDIAN ISD</t>
  </si>
  <si>
    <t>MORGAN ISD</t>
  </si>
  <si>
    <t>VALLEY MILLS ISD</t>
  </si>
  <si>
    <t>by greater minds.  Stay tuned.</t>
  </si>
  <si>
    <t>180-902</t>
  </si>
  <si>
    <t>Vega ISD</t>
  </si>
  <si>
    <t>180-903</t>
  </si>
  <si>
    <t>Adrian ISD</t>
  </si>
  <si>
    <t>180-904</t>
  </si>
  <si>
    <t>Wildorado ISD</t>
  </si>
  <si>
    <t>181-905</t>
  </si>
  <si>
    <t>Orangefield ISD</t>
  </si>
  <si>
    <t>181-906</t>
  </si>
  <si>
    <t>West Orange-Cove Cons ISD</t>
  </si>
  <si>
    <t>181-908</t>
  </si>
  <si>
    <t>Lit Cypress-Mrceville ISD</t>
  </si>
  <si>
    <t>182-901</t>
  </si>
  <si>
    <t>Gordon ISD</t>
  </si>
  <si>
    <t>182-902</t>
  </si>
  <si>
    <t>Graford ISD</t>
  </si>
  <si>
    <t>182-904</t>
  </si>
  <si>
    <t>Santo ISD</t>
  </si>
  <si>
    <t>182-905</t>
  </si>
  <si>
    <t>Strawn ISD</t>
  </si>
  <si>
    <t>182-906</t>
  </si>
  <si>
    <t>Palo Pinto ISD</t>
  </si>
  <si>
    <t>183-901</t>
  </si>
  <si>
    <t>Beckville ISD</t>
  </si>
  <si>
    <t>183-902</t>
  </si>
  <si>
    <t>Carthage ISD</t>
  </si>
  <si>
    <t>184-907</t>
  </si>
  <si>
    <t>Aledo ISD</t>
  </si>
  <si>
    <t>Blum ISD</t>
  </si>
  <si>
    <t>Center Point ISD</t>
  </si>
  <si>
    <t>McGregor ISD</t>
  </si>
  <si>
    <t>Roscoe ISD</t>
  </si>
  <si>
    <t>153-903</t>
  </si>
  <si>
    <t>O'donnell ISD</t>
  </si>
  <si>
    <t>153-904</t>
  </si>
  <si>
    <t>Tahoka ISD</t>
  </si>
  <si>
    <t>153-905</t>
  </si>
  <si>
    <t>New Home ISD</t>
  </si>
  <si>
    <t>153-907</t>
  </si>
  <si>
    <t>Wilson ISD</t>
  </si>
  <si>
    <t>154-903</t>
  </si>
  <si>
    <t>North Zulch ISD</t>
  </si>
  <si>
    <t>155-901</t>
  </si>
  <si>
    <t>Jefferson ISD</t>
  </si>
  <si>
    <t>156-902</t>
  </si>
  <si>
    <t>Stanton ISD</t>
  </si>
  <si>
    <t>156-905</t>
  </si>
  <si>
    <t>Grady ISD</t>
  </si>
  <si>
    <t>157-901</t>
  </si>
  <si>
    <t>Mason ISD</t>
  </si>
  <si>
    <t>158-901</t>
  </si>
  <si>
    <t>Bay City ISD</t>
  </si>
  <si>
    <t>158-902</t>
  </si>
  <si>
    <t>Tidehaven ISD</t>
  </si>
  <si>
    <t>&lt;= Enter the district's share of the CAD budget.</t>
  </si>
  <si>
    <t>&lt;= Enter the district's share of the CAD budget being paid for by the district's Option 4 partners.</t>
  </si>
  <si>
    <t>&lt;= This allotment is brought over from the SOF worksheets.</t>
  </si>
  <si>
    <t xml:space="preserve">   for which the District is Paying Tuition </t>
  </si>
  <si>
    <t>@$295,000:</t>
  </si>
  <si>
    <t>MY VIEW OF THE EFFECT OF RELEASE 3:</t>
  </si>
  <si>
    <t>Presidio ISD</t>
  </si>
  <si>
    <t>Princeton ISD</t>
  </si>
  <si>
    <t>030-906</t>
  </si>
  <si>
    <t>Eula ISD</t>
  </si>
  <si>
    <t>031-802</t>
  </si>
  <si>
    <t>EAGLE CHARTER BROWNSVILLE</t>
  </si>
  <si>
    <t>177-905</t>
  </si>
  <si>
    <t>2005-06 Additional Aid for School Employee Benefits</t>
  </si>
  <si>
    <t>Cameron ISD (General Obligation Debt)</t>
  </si>
  <si>
    <t>Milano ISD (General Obligation Debt)</t>
  </si>
  <si>
    <t>Thorndale ISD (General Obligation Debt)</t>
  </si>
  <si>
    <t>Buckholts ISD (General Obligation Debt)</t>
  </si>
  <si>
    <t>Goldthwaite ISD (General Obligation Debt)</t>
  </si>
  <si>
    <t>Priddy ISD (General Obligation Debt)</t>
  </si>
  <si>
    <t>Gold-Burg ISD (General Obligation Debt)</t>
  </si>
  <si>
    <t>Forestburg ISD (General Obligation Debt)</t>
  </si>
  <si>
    <t>Saint Jo ISD (General Obligation Debt)</t>
  </si>
  <si>
    <t>Conroe ISD (General Obligation Debt)</t>
  </si>
  <si>
    <t>175905</t>
  </si>
  <si>
    <t>175907</t>
  </si>
  <si>
    <t>175910</t>
  </si>
  <si>
    <t>175911</t>
  </si>
  <si>
    <t>176901</t>
  </si>
  <si>
    <t>176902</t>
  </si>
  <si>
    <t>176903</t>
  </si>
  <si>
    <t>177901</t>
  </si>
  <si>
    <t>177902</t>
  </si>
  <si>
    <t>177903</t>
  </si>
  <si>
    <t>BLACKWELL CISD</t>
  </si>
  <si>
    <t>177905</t>
  </si>
  <si>
    <t>178901</t>
  </si>
  <si>
    <t>178902</t>
  </si>
  <si>
    <t>BISHOP CISD</t>
  </si>
  <si>
    <t>178903</t>
  </si>
  <si>
    <t>178904</t>
  </si>
  <si>
    <t>178905</t>
  </si>
  <si>
    <t>178906</t>
  </si>
  <si>
    <t>178908</t>
  </si>
  <si>
    <t>178909</t>
  </si>
  <si>
    <t>178912</t>
  </si>
  <si>
    <t>178913</t>
  </si>
  <si>
    <t>178914</t>
  </si>
  <si>
    <t>178915</t>
  </si>
  <si>
    <t>179901</t>
  </si>
  <si>
    <t>180902</t>
  </si>
  <si>
    <t>180903</t>
  </si>
  <si>
    <t>180904</t>
  </si>
  <si>
    <t>181901</t>
  </si>
  <si>
    <t>181905</t>
  </si>
  <si>
    <t>181906</t>
  </si>
  <si>
    <t>WEST ORANGE-COVE CISD</t>
  </si>
  <si>
    <t>181907</t>
  </si>
  <si>
    <t>181908</t>
  </si>
  <si>
    <t>LITTLE CYPRESS-MAURICEVILLE CI</t>
  </si>
  <si>
    <t>182901</t>
  </si>
  <si>
    <t>182902</t>
  </si>
  <si>
    <t>182903</t>
  </si>
  <si>
    <t>182904</t>
  </si>
  <si>
    <t>182905</t>
  </si>
  <si>
    <t>182906</t>
  </si>
  <si>
    <t>183901</t>
  </si>
  <si>
    <t>183902</t>
  </si>
  <si>
    <t>183904</t>
  </si>
  <si>
    <t>184901</t>
  </si>
  <si>
    <t>184902</t>
  </si>
  <si>
    <t>184903</t>
  </si>
  <si>
    <t>184904</t>
  </si>
  <si>
    <t>184907</t>
  </si>
  <si>
    <t>184908</t>
  </si>
  <si>
    <t>184909</t>
  </si>
  <si>
    <t>184911</t>
  </si>
  <si>
    <t>185901</t>
  </si>
  <si>
    <t>185902</t>
  </si>
  <si>
    <t>185903</t>
  </si>
  <si>
    <t>185904</t>
  </si>
  <si>
    <t>186901</t>
  </si>
  <si>
    <t>186902</t>
  </si>
  <si>
    <t>186903</t>
  </si>
  <si>
    <t>187901</t>
  </si>
  <si>
    <t>187903</t>
  </si>
  <si>
    <t>187904</t>
  </si>
  <si>
    <t>187906</t>
  </si>
  <si>
    <t>187907</t>
  </si>
  <si>
    <t>187910</t>
  </si>
  <si>
    <t>188901</t>
  </si>
  <si>
    <t>188902</t>
  </si>
  <si>
    <t>188903</t>
  </si>
  <si>
    <t>188904</t>
  </si>
  <si>
    <t>189901</t>
  </si>
  <si>
    <t>189902</t>
  </si>
  <si>
    <t>190903</t>
  </si>
  <si>
    <t>191901</t>
  </si>
  <si>
    <t>CANYON ISD</t>
  </si>
  <si>
    <t>192901</t>
  </si>
  <si>
    <t>193902</t>
  </si>
  <si>
    <t>194902</t>
  </si>
  <si>
    <t>194903</t>
  </si>
  <si>
    <t>194904</t>
  </si>
  <si>
    <t>194905</t>
  </si>
  <si>
    <t>195901</t>
  </si>
  <si>
    <t>195902</t>
  </si>
  <si>
    <t>196901</t>
  </si>
  <si>
    <t>196902</t>
  </si>
  <si>
    <t>196903</t>
  </si>
  <si>
    <t>197902</t>
  </si>
  <si>
    <t>198901</t>
  </si>
  <si>
    <t>198902</t>
  </si>
  <si>
    <t>198903</t>
  </si>
  <si>
    <t>198905</t>
  </si>
  <si>
    <t>198906</t>
  </si>
  <si>
    <t>199901</t>
  </si>
  <si>
    <t>199902</t>
  </si>
  <si>
    <t>200901</t>
  </si>
  <si>
    <t>200902</t>
  </si>
  <si>
    <t>200904</t>
  </si>
  <si>
    <t>WINTERS  ISD</t>
  </si>
  <si>
    <t>200906</t>
  </si>
  <si>
    <t>201902</t>
  </si>
  <si>
    <t>201903</t>
  </si>
  <si>
    <t>201904</t>
  </si>
  <si>
    <t>201907</t>
  </si>
  <si>
    <t>201908</t>
  </si>
  <si>
    <t>201910</t>
  </si>
  <si>
    <t>201913</t>
  </si>
  <si>
    <t>201914</t>
  </si>
  <si>
    <t>202903</t>
  </si>
  <si>
    <t>202905</t>
  </si>
  <si>
    <t>203901</t>
  </si>
  <si>
    <t>203902</t>
  </si>
  <si>
    <t>204901</t>
  </si>
  <si>
    <t>COLDSPRING-OAKHURST CISD</t>
  </si>
  <si>
    <t>204904</t>
  </si>
  <si>
    <t>205901</t>
  </si>
  <si>
    <t>205902</t>
  </si>
  <si>
    <t>205903</t>
  </si>
  <si>
    <t>205904</t>
  </si>
  <si>
    <t>205905</t>
  </si>
  <si>
    <t>205906</t>
  </si>
  <si>
    <t>205907</t>
  </si>
  <si>
    <t>206901</t>
  </si>
  <si>
    <t>206902</t>
  </si>
  <si>
    <t>206903</t>
  </si>
  <si>
    <t>207901</t>
  </si>
  <si>
    <t>208901</t>
  </si>
  <si>
    <t>208902</t>
  </si>
  <si>
    <t>208903</t>
  </si>
  <si>
    <t>209901</t>
  </si>
  <si>
    <t>209902</t>
  </si>
  <si>
    <t>210901</t>
  </si>
  <si>
    <t>210902</t>
  </si>
  <si>
    <t>210903</t>
  </si>
  <si>
    <t>210904</t>
  </si>
  <si>
    <t>210905</t>
  </si>
  <si>
    <t>210906</t>
  </si>
  <si>
    <t>211901</t>
  </si>
  <si>
    <t>211902</t>
  </si>
  <si>
    <t>212901</t>
  </si>
  <si>
    <t>212902</t>
  </si>
  <si>
    <t>212903</t>
  </si>
  <si>
    <t>212904</t>
  </si>
  <si>
    <t>212905</t>
  </si>
  <si>
    <t>212906</t>
  </si>
  <si>
    <t>212909</t>
  </si>
  <si>
    <t>212910</t>
  </si>
  <si>
    <t>213901</t>
  </si>
  <si>
    <t>214901</t>
  </si>
  <si>
    <t>214902</t>
  </si>
  <si>
    <t>214903</t>
  </si>
  <si>
    <t>215901</t>
  </si>
  <si>
    <t>216901</t>
  </si>
  <si>
    <t>217901</t>
  </si>
  <si>
    <t>218901</t>
  </si>
  <si>
    <t>219901</t>
  </si>
  <si>
    <t>219903</t>
  </si>
  <si>
    <t>219905</t>
  </si>
  <si>
    <t>220901</t>
  </si>
  <si>
    <t>220902</t>
  </si>
  <si>
    <t>220904</t>
  </si>
  <si>
    <t>220905</t>
  </si>
  <si>
    <t>220906</t>
  </si>
  <si>
    <t>220907</t>
  </si>
  <si>
    <t>220908</t>
  </si>
  <si>
    <t>220910</t>
  </si>
  <si>
    <t>220912</t>
  </si>
  <si>
    <t>220914</t>
  </si>
  <si>
    <t>220915</t>
  </si>
  <si>
    <t>220916</t>
  </si>
  <si>
    <t>220917</t>
  </si>
  <si>
    <t>220918</t>
  </si>
  <si>
    <t>220919</t>
  </si>
  <si>
    <t>220920</t>
  </si>
  <si>
    <t>221901</t>
  </si>
  <si>
    <t>221904</t>
  </si>
  <si>
    <t>221905</t>
  </si>
  <si>
    <t>221911</t>
  </si>
  <si>
    <t>JIM NED CISD</t>
  </si>
  <si>
    <t>221912</t>
  </si>
  <si>
    <t>222901</t>
  </si>
  <si>
    <t>223901</t>
  </si>
  <si>
    <t>223902</t>
  </si>
  <si>
    <t>223904</t>
  </si>
  <si>
    <t>WELLMAN-UNION CISD</t>
  </si>
  <si>
    <t>224901</t>
  </si>
  <si>
    <t>224902</t>
  </si>
  <si>
    <t>225902</t>
  </si>
  <si>
    <t>225905</t>
  </si>
  <si>
    <t>225906</t>
  </si>
  <si>
    <t>225907</t>
  </si>
  <si>
    <t>226901</t>
  </si>
  <si>
    <t>226903</t>
  </si>
  <si>
    <t>226905</t>
  </si>
  <si>
    <t>226906</t>
  </si>
  <si>
    <t>226907</t>
  </si>
  <si>
    <t>226908</t>
  </si>
  <si>
    <t>227901</t>
  </si>
  <si>
    <t>227904</t>
  </si>
  <si>
    <t>227907</t>
  </si>
  <si>
    <t>227909</t>
  </si>
  <si>
    <t>227910</t>
  </si>
  <si>
    <t>227912</t>
  </si>
  <si>
    <t>227913</t>
  </si>
  <si>
    <t>228901</t>
  </si>
  <si>
    <t>228903</t>
  </si>
  <si>
    <t>228904</t>
  </si>
  <si>
    <t>228905</t>
  </si>
  <si>
    <t>229901</t>
  </si>
  <si>
    <t>229903</t>
  </si>
  <si>
    <t>229904</t>
  </si>
  <si>
    <t>229905</t>
  </si>
  <si>
    <t>229906</t>
  </si>
  <si>
    <t>230901</t>
  </si>
  <si>
    <t>230902</t>
  </si>
  <si>
    <t>230903</t>
  </si>
  <si>
    <t>230904</t>
  </si>
  <si>
    <t>230905</t>
  </si>
  <si>
    <t>230906</t>
  </si>
  <si>
    <t>230908</t>
  </si>
  <si>
    <t>Manor ISD (General Obligation Debt)</t>
  </si>
  <si>
    <t>Eanes ISD (General Obligation Debt)</t>
  </si>
  <si>
    <t>Del Valle ISD (General Obligation Debt)</t>
  </si>
  <si>
    <t>Lago Vista ISD (General Obligation Debt)</t>
  </si>
  <si>
    <t>Lake Travis ISD (General Obligation Debt)</t>
  </si>
  <si>
    <t>Trinity ISD (General Obligation Debt)</t>
  </si>
  <si>
    <t>Woodville ISD (General Obligation Debt)</t>
  </si>
  <si>
    <t>Spurger ISD (General Obligation Debt)</t>
  </si>
  <si>
    <t>Chester ISD (General Obligation Debt)</t>
  </si>
  <si>
    <t>Gilmer ISD (General Obligation Debt)</t>
  </si>
  <si>
    <t>Ore City ISD (General Obligation Debt)</t>
  </si>
  <si>
    <t>Harmony ISD (General Obligation Debt)</t>
  </si>
  <si>
    <t>Union Grove ISD (General Obligation Debt)</t>
  </si>
  <si>
    <t>McCamey ISD (General Obligation Debt)</t>
  </si>
  <si>
    <t>Rankin ISD (General Obligation Debt)</t>
  </si>
  <si>
    <t>Knippa ISD (General Obligation Debt)</t>
  </si>
  <si>
    <t>Sabinal ISD (General Obligation Debt)</t>
  </si>
  <si>
    <t>Uvalde CISD (General Obligation Debt)</t>
  </si>
  <si>
    <t>San Felipe-Del Rio CISD (General Obligation Debt)</t>
  </si>
  <si>
    <t>Comstock ISD (General Obligation Debt)</t>
  </si>
  <si>
    <t>Canton ISD (General Obligation Debt)</t>
  </si>
  <si>
    <t>Grand Saline ISD (General Obligation Debt)</t>
  </si>
  <si>
    <t>Martins Mill ISD (General Obligation Debt)</t>
  </si>
  <si>
    <t>Van ISD (General Obligation Debt)</t>
  </si>
  <si>
    <t>Wills Point ISD (General Obligation Debt)</t>
  </si>
  <si>
    <t>Fruitvale ISD (General Obligation Debt)</t>
  </si>
  <si>
    <t>Bloomington ISD (General Obligation Debt)</t>
  </si>
  <si>
    <t>Victoria ISD (General Obligation Debt)</t>
  </si>
  <si>
    <t>New Waverly ISD (General Obligation Debt)</t>
  </si>
  <si>
    <t>Huntsville ISD (General Obligation Debt)</t>
  </si>
  <si>
    <t>Hempstead ISD (General Obligation Debt)</t>
  </si>
  <si>
    <t>Waller ISD (General Obligation Debt)</t>
  </si>
  <si>
    <t>Royal ISD (General Obligation Debt)</t>
  </si>
  <si>
    <t>Monahans-Wickett-Pyote ISD (General Obligation Debt)</t>
  </si>
  <si>
    <t>Grandfalls-Royalty ISD (General Obligation Debt)</t>
  </si>
  <si>
    <t>Brenham ISD (General Obligation Debt)</t>
  </si>
  <si>
    <t>Burton ISD (General Obligation Debt)</t>
  </si>
  <si>
    <t>Laredo ISD (General Obligation Debt)</t>
  </si>
  <si>
    <t>United ISD (General Obligation Debt)</t>
  </si>
  <si>
    <t>Webb CISD (General Obligation Debt)</t>
  </si>
  <si>
    <t>East Bernard ISD (General Obligation Debt)</t>
  </si>
  <si>
    <t>El Campo ISD (General Obligation Debt)</t>
  </si>
  <si>
    <t>Wharton ISD (General Obligation Debt)</t>
  </si>
  <si>
    <t>Louise ISD (General Obligation Debt)</t>
  </si>
  <si>
    <t>Fort Elliott CISD (General Obligation Debt)</t>
  </si>
  <si>
    <t>Burkburnett ISD (General Obligation Debt)</t>
  </si>
  <si>
    <t>Electra ISD (General Obligation Debt)</t>
  </si>
  <si>
    <t>Iowa Park CISD (General Obligation Debt)</t>
  </si>
  <si>
    <t>Wichita Falls ISD (General Obligation Debt)</t>
  </si>
  <si>
    <t>City View ISD (General Obligation Debt)</t>
  </si>
  <si>
    <t>Vernon ISD (General Obligation Debt)</t>
  </si>
  <si>
    <t>Lasara ISD (General Obligation Debt)</t>
  </si>
  <si>
    <t>Lyford CISD (General Obligation Debt)</t>
  </si>
  <si>
    <t>Raymondville ISD (General Obligation Debt)</t>
  </si>
  <si>
    <t>San Perlita ISD (General Obligation Debt)</t>
  </si>
  <si>
    <t>Florence ISD (General Obligation Debt)</t>
  </si>
  <si>
    <t>Georgetown ISD (General Obligation Debt)</t>
  </si>
  <si>
    <t>Granger ISD (General Obligation Debt)</t>
  </si>
  <si>
    <t>Hutto ISD (General Obligation Debt)</t>
  </si>
  <si>
    <t>Jarrell ISD (General Obligation Debt)</t>
  </si>
  <si>
    <t>Liberty Hill ISD (General Obligation Debt)</t>
  </si>
  <si>
    <t>Round Rock ISD (General Obligation Debt)</t>
  </si>
  <si>
    <t>Taylor ISD (General Obligation Debt)</t>
  </si>
  <si>
    <t>Thrall ISD (General Obligation Debt)</t>
  </si>
  <si>
    <t>Leander ISD (General Obligation Debt)</t>
  </si>
  <si>
    <t>Floresville ISD (General Obligation Debt)</t>
  </si>
  <si>
    <t>La Vernia ISD (General Obligation Debt)</t>
  </si>
  <si>
    <t>Poth ISD (General Obligation Debt)</t>
  </si>
  <si>
    <t>Stockdale ISD (General Obligation Debt)</t>
  </si>
  <si>
    <t>Alvord ISD (General Obligation Debt)</t>
  </si>
  <si>
    <t>Boyd ISD (General Obligation Debt)</t>
  </si>
  <si>
    <t>Bridgeport ISD (General Obligation Debt)</t>
  </si>
  <si>
    <t>Chico ISD (General Obligation Debt)</t>
  </si>
  <si>
    <t>Decatur ISD (General Obligation Debt)</t>
  </si>
  <si>
    <t>Paradise ISD (General Obligation Debt)</t>
  </si>
  <si>
    <t>Slidell ISD (General Obligation Debt)</t>
  </si>
  <si>
    <t>Hawkins ISD (General Obligation Debt)</t>
  </si>
  <si>
    <t>Quitman ISD (General Obligation Debt)</t>
  </si>
  <si>
    <t>Yantis ISD (General Obligation Debt)</t>
  </si>
  <si>
    <t>Alba-Golden ISD (General Obligation Debt)</t>
  </si>
  <si>
    <t>Denver City ISD (General Obligation Debt)</t>
  </si>
  <si>
    <t>Plains ISD (General Obligation Debt)</t>
  </si>
  <si>
    <t>Graham ISD (General Obligation Debt)</t>
  </si>
  <si>
    <t>Olney ISD (General Obligation Debt)</t>
  </si>
  <si>
    <t>Zapata Co ISD (General Obligation Debt)</t>
  </si>
  <si>
    <t>Crystal City ISD (General Obligation Debt)</t>
  </si>
  <si>
    <t>La Pryor ISD (General Obligation Debt)</t>
  </si>
  <si>
    <t>FINAL CPTD DPV04 funding values and Self-report tax rates for funding year FY0506</t>
  </si>
  <si>
    <t>Funding value</t>
  </si>
  <si>
    <t>DST30010</t>
  </si>
  <si>
    <t>T1</t>
  </si>
  <si>
    <t>T2</t>
  </si>
  <si>
    <t>T3</t>
  </si>
  <si>
    <t>T4</t>
  </si>
  <si>
    <t>EXLOSS</t>
  </si>
  <si>
    <t>LOSS50</t>
  </si>
  <si>
    <t>MO_RTE</t>
  </si>
  <si>
    <t>IS_RTE</t>
  </si>
  <si>
    <t>TOT_RTE</t>
  </si>
  <si>
    <t>001902</t>
  </si>
  <si>
    <t>001903</t>
  </si>
  <si>
    <t>001904</t>
  </si>
  <si>
    <t>001906</t>
  </si>
  <si>
    <t>001907</t>
  </si>
  <si>
    <t>001908</t>
  </si>
  <si>
    <t>001909</t>
  </si>
  <si>
    <t>002901</t>
  </si>
  <si>
    <t>003902</t>
  </si>
  <si>
    <t>003903</t>
  </si>
  <si>
    <t>003904</t>
  </si>
  <si>
    <t>003905</t>
  </si>
  <si>
    <t>003906</t>
  </si>
  <si>
    <t>003907</t>
  </si>
  <si>
    <t>004901</t>
  </si>
  <si>
    <t>005901</t>
  </si>
  <si>
    <t>005902</t>
  </si>
  <si>
    <t>005903</t>
  </si>
  <si>
    <t>005904</t>
  </si>
  <si>
    <t>006902</t>
  </si>
  <si>
    <t>007901</t>
  </si>
  <si>
    <t>007902</t>
  </si>
  <si>
    <t>007904</t>
  </si>
  <si>
    <t>007905</t>
  </si>
  <si>
    <t>007906</t>
  </si>
  <si>
    <t>008901</t>
  </si>
  <si>
    <t>008902</t>
  </si>
  <si>
    <t>008903</t>
  </si>
  <si>
    <t>009901</t>
  </si>
  <si>
    <t>010901</t>
  </si>
  <si>
    <t>010902</t>
  </si>
  <si>
    <t>011901</t>
  </si>
  <si>
    <t>011902</t>
  </si>
  <si>
    <t>011904</t>
  </si>
  <si>
    <t xml:space="preserve">&lt;= Enter the district's adopted M&amp;O tax rate for the 2006-07 school year.  If 2005-06 M&amp;O rate was &lt;=$1.50, the rate cannot be greater than (88.67% x 2005-06 adopted rate) + $.04 without authorization thru a rollback election.  If 2005-06 M&amp;O rate was greater than $1.50, the rate cannot be greater than (88.67% x 2005-06 adopted rate) + $.04 without authorization thru a rollback election.  See tab labeled "RollbackRates".  </t>
  </si>
  <si>
    <t>EWL = $305,000</t>
  </si>
  <si>
    <t>@ $305,000</t>
  </si>
  <si>
    <t>HB1</t>
  </si>
  <si>
    <t>using 05-06 M&amp;O</t>
  </si>
  <si>
    <t>2006-07 School Year USING 2005-06 M&amp;O RATE</t>
  </si>
  <si>
    <t>Value Loss Resulting From Additional $10,000 Exemption</t>
  </si>
  <si>
    <t>Net Result Attributed to Additional $10,000 Exemption</t>
  </si>
  <si>
    <t>Additional M&amp;O Hold Harmless State Aid</t>
  </si>
  <si>
    <t>using $5K</t>
  </si>
  <si>
    <t>@5k</t>
  </si>
  <si>
    <t>Hurst-Euless-Bedford ISD</t>
  </si>
  <si>
    <t>Hutto ISD</t>
  </si>
  <si>
    <t>Irving ISD</t>
  </si>
  <si>
    <t>Itasca ISD</t>
  </si>
  <si>
    <t>Jacksonville ISD</t>
  </si>
  <si>
    <t>Jasper ISD</t>
  </si>
  <si>
    <t>Joshua ISD</t>
  </si>
  <si>
    <t>Gholson ISD</t>
  </si>
  <si>
    <t>162-904</t>
  </si>
  <si>
    <t>057-911</t>
  </si>
  <si>
    <t>Highland Park ISD</t>
  </si>
  <si>
    <t>057-913</t>
  </si>
  <si>
    <t>Lancaster ISD</t>
  </si>
  <si>
    <t>057-916</t>
  </si>
  <si>
    <t>Richardson ISD</t>
  </si>
  <si>
    <t>057-919</t>
  </si>
  <si>
    <t>Sunnyvale ISD</t>
  </si>
  <si>
    <t>057-920</t>
  </si>
  <si>
    <t>Wilmer-Hutchins ISD</t>
  </si>
  <si>
    <t>057-922</t>
  </si>
  <si>
    <t>Coppell ISD</t>
  </si>
  <si>
    <t>058-902</t>
  </si>
  <si>
    <t>058-905</t>
  </si>
  <si>
    <t>Klondike ISD</t>
  </si>
  <si>
    <t>058-906</t>
  </si>
  <si>
    <t>Lamesa ISD</t>
  </si>
  <si>
    <t>058-909</t>
  </si>
  <si>
    <t>166-907</t>
  </si>
  <si>
    <t>174-906</t>
  </si>
  <si>
    <t>194-905</t>
  </si>
  <si>
    <t>200-902</t>
  </si>
  <si>
    <t>200-906</t>
  </si>
  <si>
    <t xml:space="preserve">  Once all data are entered, all state aid calculations are made automatically.</t>
  </si>
  <si>
    <t>total eligible 'old' debt</t>
  </si>
  <si>
    <t>Limitation (lesser amt)</t>
  </si>
  <si>
    <t>eligible "old" debt covered by IFA: award#1</t>
  </si>
  <si>
    <t>eligible "old" debt covered by IFA: award#2</t>
  </si>
  <si>
    <t>eligible "old" debt covered by IFA: award#3</t>
  </si>
  <si>
    <t>Sanger ISD</t>
  </si>
  <si>
    <t>Santa Fe ISD</t>
  </si>
  <si>
    <t>district</t>
  </si>
  <si>
    <t>distname</t>
  </si>
  <si>
    <t>rada</t>
  </si>
  <si>
    <t>home</t>
  </si>
  <si>
    <t>hosp</t>
  </si>
  <si>
    <t>spch</t>
  </si>
  <si>
    <t>resrm</t>
  </si>
  <si>
    <t>self</t>
  </si>
  <si>
    <t>slfsv</t>
  </si>
  <si>
    <t>offhm</t>
  </si>
  <si>
    <t>sperls</t>
  </si>
  <si>
    <t>015908</t>
  </si>
  <si>
    <t>015909</t>
  </si>
  <si>
    <t>015910</t>
  </si>
  <si>
    <t>015911</t>
  </si>
  <si>
    <t>015912</t>
  </si>
  <si>
    <t>015915</t>
  </si>
  <si>
    <t>015916</t>
  </si>
  <si>
    <t>015917</t>
  </si>
  <si>
    <t>016901</t>
  </si>
  <si>
    <t>016902</t>
  </si>
  <si>
    <t>017901</t>
  </si>
  <si>
    <t>018901</t>
  </si>
  <si>
    <t>018902</t>
  </si>
  <si>
    <t>018903</t>
  </si>
  <si>
    <t>018904</t>
  </si>
  <si>
    <t>018905</t>
  </si>
  <si>
    <t>018906</t>
  </si>
  <si>
    <t>018907</t>
  </si>
  <si>
    <t>018908</t>
  </si>
  <si>
    <t>019901</t>
  </si>
  <si>
    <t>019902</t>
  </si>
  <si>
    <t>019903</t>
  </si>
  <si>
    <t>019905</t>
  </si>
  <si>
    <t>019906</t>
  </si>
  <si>
    <t>019907</t>
  </si>
  <si>
    <t>019908</t>
  </si>
  <si>
    <t>019909</t>
  </si>
  <si>
    <t>019910</t>
  </si>
  <si>
    <t>019911</t>
  </si>
  <si>
    <t>019912</t>
  </si>
  <si>
    <t>019913</t>
  </si>
  <si>
    <t>019914</t>
  </si>
  <si>
    <t>020901</t>
  </si>
  <si>
    <t>020902</t>
  </si>
  <si>
    <t>020904</t>
  </si>
  <si>
    <t>020905</t>
  </si>
  <si>
    <t>020906</t>
  </si>
  <si>
    <t>020907</t>
  </si>
  <si>
    <t>020908</t>
  </si>
  <si>
    <t>020910</t>
  </si>
  <si>
    <t>021901</t>
  </si>
  <si>
    <t>021902</t>
  </si>
  <si>
    <t>022004</t>
  </si>
  <si>
    <t>022901</t>
  </si>
  <si>
    <t>022902</t>
  </si>
  <si>
    <t>022903</t>
  </si>
  <si>
    <t>023902</t>
  </si>
  <si>
    <t>024901</t>
  </si>
  <si>
    <t>025901</t>
  </si>
  <si>
    <t>025902</t>
  </si>
  <si>
    <t>025904</t>
  </si>
  <si>
    <t>025905</t>
  </si>
  <si>
    <t>025906</t>
  </si>
  <si>
    <t>025908</t>
  </si>
  <si>
    <t>025909</t>
  </si>
  <si>
    <t>026901</t>
  </si>
  <si>
    <t>026902</t>
  </si>
  <si>
    <t>026903</t>
  </si>
  <si>
    <t>027903</t>
  </si>
  <si>
    <t>BURNET CISD</t>
  </si>
  <si>
    <t>027904</t>
  </si>
  <si>
    <t>028902</t>
  </si>
  <si>
    <t>028903</t>
  </si>
  <si>
    <t>028906</t>
  </si>
  <si>
    <t>029901</t>
  </si>
  <si>
    <t>CALHOUN COUNTY ISD</t>
  </si>
  <si>
    <t>030901</t>
  </si>
  <si>
    <t>030902</t>
  </si>
  <si>
    <t>CLYDE CISD</t>
  </si>
  <si>
    <t>030903</t>
  </si>
  <si>
    <t>030906</t>
  </si>
  <si>
    <t>031901</t>
  </si>
  <si>
    <t>031903</t>
  </si>
  <si>
    <t>HARLINGEN CISD</t>
  </si>
  <si>
    <t>031905</t>
  </si>
  <si>
    <t>031906</t>
  </si>
  <si>
    <t>LOS FRESNOS CISD</t>
  </si>
  <si>
    <t>031909</t>
  </si>
  <si>
    <t>031911</t>
  </si>
  <si>
    <t>031912</t>
  </si>
  <si>
    <t>SAN BENITO CISD</t>
  </si>
  <si>
    <t>031913</t>
  </si>
  <si>
    <t>031914</t>
  </si>
  <si>
    <t>032902</t>
  </si>
  <si>
    <t>033901</t>
  </si>
  <si>
    <t>033902</t>
  </si>
  <si>
    <t>033904</t>
  </si>
  <si>
    <t>034901</t>
  </si>
  <si>
    <t>034902</t>
  </si>
  <si>
    <t>034903</t>
  </si>
  <si>
    <t>034905</t>
  </si>
  <si>
    <t>LINDEN-KILDARE CISD</t>
  </si>
  <si>
    <t>034906</t>
  </si>
  <si>
    <t>034907</t>
  </si>
  <si>
    <t>034908</t>
  </si>
  <si>
    <t>034909</t>
  </si>
  <si>
    <t>035901</t>
  </si>
  <si>
    <t>035902</t>
  </si>
  <si>
    <t>035903</t>
  </si>
  <si>
    <t>036901</t>
  </si>
  <si>
    <t>036902</t>
  </si>
  <si>
    <t>036903</t>
  </si>
  <si>
    <t>037901</t>
  </si>
  <si>
    <t>037904</t>
  </si>
  <si>
    <t>037907</t>
  </si>
  <si>
    <t>037908</t>
  </si>
  <si>
    <t>037909</t>
  </si>
  <si>
    <t>038901</t>
  </si>
  <si>
    <t>039901</t>
  </si>
  <si>
    <t>039902</t>
  </si>
  <si>
    <t>039903</t>
  </si>
  <si>
    <t>039904</t>
  </si>
  <si>
    <t>039905</t>
  </si>
  <si>
    <t>040901</t>
  </si>
  <si>
    <t>040902</t>
  </si>
  <si>
    <t>WHITEFACE CISD</t>
  </si>
  <si>
    <t>041901</t>
  </si>
  <si>
    <t>041902</t>
  </si>
  <si>
    <t>042901</t>
  </si>
  <si>
    <t>042903</t>
  </si>
  <si>
    <t>042905</t>
  </si>
  <si>
    <t>PANTHER CREEK CISD</t>
  </si>
  <si>
    <t>042906</t>
  </si>
  <si>
    <t>043901</t>
  </si>
  <si>
    <t>043902</t>
  </si>
  <si>
    <t>043903</t>
  </si>
  <si>
    <t>043904</t>
  </si>
  <si>
    <t>043905</t>
  </si>
  <si>
    <t>043907</t>
  </si>
  <si>
    <t>043908</t>
  </si>
  <si>
    <t>043910</t>
  </si>
  <si>
    <t>043911</t>
  </si>
  <si>
    <t>043912</t>
  </si>
  <si>
    <t>043914</t>
  </si>
  <si>
    <t>043917</t>
  </si>
  <si>
    <t>043918</t>
  </si>
  <si>
    <t>043919</t>
  </si>
  <si>
    <t>044902</t>
  </si>
  <si>
    <t>044904</t>
  </si>
  <si>
    <t>045902</t>
  </si>
  <si>
    <t>045903</t>
  </si>
  <si>
    <t>RICE CISD</t>
  </si>
  <si>
    <t>045905</t>
  </si>
  <si>
    <t>046901</t>
  </si>
  <si>
    <t>046902</t>
  </si>
  <si>
    <t>047901</t>
  </si>
  <si>
    <t>047902</t>
  </si>
  <si>
    <t>047903</t>
  </si>
  <si>
    <t>047905</t>
  </si>
  <si>
    <t>048901</t>
  </si>
  <si>
    <t>EDEN CISD</t>
  </si>
  <si>
    <t>048903</t>
  </si>
  <si>
    <t>049901</t>
  </si>
  <si>
    <t>049902</t>
  </si>
  <si>
    <t>049903</t>
  </si>
  <si>
    <t>049905</t>
  </si>
  <si>
    <t>049906</t>
  </si>
  <si>
    <t>049907</t>
  </si>
  <si>
    <t>049908</t>
  </si>
  <si>
    <t>049909</t>
  </si>
  <si>
    <t>050901</t>
  </si>
  <si>
    <t>050902</t>
  </si>
  <si>
    <t>050904</t>
  </si>
  <si>
    <t>050909</t>
  </si>
  <si>
    <t>050910</t>
  </si>
  <si>
    <t>051901</t>
  </si>
  <si>
    <t>052901</t>
  </si>
  <si>
    <t>053001</t>
  </si>
  <si>
    <t>CROCKETT COUNTY CONSOLIDATED C</t>
  </si>
  <si>
    <t>054901</t>
  </si>
  <si>
    <t>CROSBYTON CISD</t>
  </si>
  <si>
    <t>054902</t>
  </si>
  <si>
    <t>054903</t>
  </si>
  <si>
    <t>055901</t>
  </si>
  <si>
    <t>056901</t>
  </si>
  <si>
    <t>056902</t>
  </si>
  <si>
    <t>057903</t>
  </si>
  <si>
    <t>057904</t>
  </si>
  <si>
    <t>057905</t>
  </si>
  <si>
    <t>057906</t>
  </si>
  <si>
    <t>057907</t>
  </si>
  <si>
    <t>057909</t>
  </si>
  <si>
    <t>057910</t>
  </si>
  <si>
    <t>057911</t>
  </si>
  <si>
    <t>057912</t>
  </si>
  <si>
    <t>057913</t>
  </si>
  <si>
    <t>057914</t>
  </si>
  <si>
    <t>057916</t>
  </si>
  <si>
    <t>057919</t>
  </si>
  <si>
    <t>057920</t>
  </si>
  <si>
    <t>057922</t>
  </si>
  <si>
    <t>058902</t>
  </si>
  <si>
    <t>058905</t>
  </si>
  <si>
    <t>058906</t>
  </si>
  <si>
    <t>058909</t>
  </si>
  <si>
    <t>059901</t>
  </si>
  <si>
    <t>059902</t>
  </si>
  <si>
    <t>060902</t>
  </si>
  <si>
    <t>060914</t>
  </si>
  <si>
    <t>061901</t>
  </si>
  <si>
    <t>061902</t>
  </si>
  <si>
    <t>061903</t>
  </si>
  <si>
    <t>061905</t>
  </si>
  <si>
    <t>061906</t>
  </si>
  <si>
    <t>061907</t>
  </si>
  <si>
    <t>061908</t>
  </si>
  <si>
    <t>061910</t>
  </si>
  <si>
    <t>061911</t>
  </si>
  <si>
    <t>061912</t>
  </si>
  <si>
    <t>061914</t>
  </si>
  <si>
    <t>062901</t>
  </si>
  <si>
    <t>062902</t>
  </si>
  <si>
    <t>062903</t>
  </si>
  <si>
    <t>Center Point ISD (General Obligation Debt)</t>
  </si>
  <si>
    <t>Kerrville ISD (General Obligation Debt)</t>
  </si>
  <si>
    <t>Ingram ISD (General Obligation Debt)</t>
  </si>
  <si>
    <t>Kingsville ISD (General Obligation Debt)</t>
  </si>
  <si>
    <t>Knox City-O'Brien CISD (General Obligation Debt)</t>
  </si>
  <si>
    <t>Chisum ISD (General Obligation Debt)</t>
  </si>
  <si>
    <t>Roxton ISD (General Obligation Debt)</t>
  </si>
  <si>
    <t>Paris ISD (General Obligation Debt)</t>
  </si>
  <si>
    <t>North Lamar ISD (General Obligation Debt)</t>
  </si>
  <si>
    <t>Prairiland ISD (General Obligation Debt)</t>
  </si>
  <si>
    <t>Olton ISD (General Obligation Debt)</t>
  </si>
  <si>
    <t>Sudan ISD (General Obligation Debt)</t>
  </si>
  <si>
    <t>Lampasas ISD (General Obligation Debt)</t>
  </si>
  <si>
    <t>Cotulla ISD (General Obligation Debt)</t>
  </si>
  <si>
    <t>Moulton ISD (General Obligation Debt)</t>
  </si>
  <si>
    <t>Giddings ISD (General Obligation Debt)</t>
  </si>
  <si>
    <t>Lexington ISD (General Obligation Debt)</t>
  </si>
  <si>
    <t>Buffalo ISD (General Obligation Debt)</t>
  </si>
  <si>
    <t>Calhoun Co ISD (General Obligation Debt)</t>
  </si>
  <si>
    <t>Cross Plains ISD (General Obligation Debt)</t>
  </si>
  <si>
    <t>Clyde CISD (General Obligation Debt)</t>
  </si>
  <si>
    <t>Eula ISD (General Obligation Debt)</t>
  </si>
  <si>
    <t>Brownsville ISD (General Obligation Debt)</t>
  </si>
  <si>
    <t>Harlingen CISD (General Obligation Debt)</t>
  </si>
  <si>
    <t>La Feria ISD (General Obligation Debt)</t>
  </si>
  <si>
    <t>Los Fresnos CISD (General Obligation Debt)</t>
  </si>
  <si>
    <t>Point Isabel ISD (General Obligation Debt)</t>
  </si>
  <si>
    <t>Rio Hondo ISD (General Obligation Debt)</t>
  </si>
  <si>
    <t>San Benito CISD (General Obligation Debt)</t>
  </si>
  <si>
    <t>Santa Maria ISD (General Obligation Debt)</t>
  </si>
  <si>
    <t>Santa Rosa ISD (General Obligation Debt)</t>
  </si>
  <si>
    <t>Pittsburg ISD (General Obligation Debt)</t>
  </si>
  <si>
    <t>Groom ISD (General Obligation Debt)</t>
  </si>
  <si>
    <t>Atlanta ISD (General Obligation Debt)</t>
  </si>
  <si>
    <t>Hughes Springs ISD (General Obligation Debt)</t>
  </si>
  <si>
    <t>Queen City ISD (General Obligation Debt)</t>
  </si>
  <si>
    <t>Nazareth ISD (General Obligation Debt)</t>
  </si>
  <si>
    <t>Anahuac ISD (General Obligation Debt)</t>
  </si>
  <si>
    <t>Barbers Hill ISD (General Obligation Debt)</t>
  </si>
  <si>
    <t>Alto ISD (General Obligation Debt)</t>
  </si>
  <si>
    <t>Jacksonville ISD (General Obligation Debt)</t>
  </si>
  <si>
    <t>Rusk ISD (General Obligation Debt)</t>
  </si>
  <si>
    <t>New Summerfield ISD (General Obligation Debt)</t>
  </si>
  <si>
    <t>Childress ISD (General Obligation Debt)</t>
  </si>
  <si>
    <t>Byers ISD (General Obligation Debt)</t>
  </si>
  <si>
    <t>Henrietta ISD (General Obligation Debt)</t>
  </si>
  <si>
    <t>Petrolia ISD (General Obligation Debt)</t>
  </si>
  <si>
    <t>Coleman ISD (General Obligation Debt)</t>
  </si>
  <si>
    <t>Santa Anna ISD (General Obligation Debt)</t>
  </si>
  <si>
    <t>Allen ISD (General Obligation Debt)</t>
  </si>
  <si>
    <t>Anna ISD (General Obligation Debt)</t>
  </si>
  <si>
    <t>Celina ISD (General Obligation Debt)</t>
  </si>
  <si>
    <t>Farmersville ISD (General Obligation Debt)</t>
  </si>
  <si>
    <t>Frisco ISD (General Obligation Debt)</t>
  </si>
  <si>
    <t>McKinney ISD (General Obligation Debt)</t>
  </si>
  <si>
    <t>Melissa ISD (General Obligation Debt)</t>
  </si>
  <si>
    <t>Plano ISD (General Obligation Debt)</t>
  </si>
  <si>
    <t>Princeton ISD (General Obligation Debt)</t>
  </si>
  <si>
    <t>Prosper ISD (General Obligation Debt)</t>
  </si>
  <si>
    <t>Wylie ISD (General Obligation Debt)</t>
  </si>
  <si>
    <t>Blue Ridge ISD (General Obligation Debt)</t>
  </si>
  <si>
    <t>Community ISD (General Obligation Debt)</t>
  </si>
  <si>
    <t>Lovejoy ISD (General Obligation Debt)</t>
  </si>
  <si>
    <t>Columbus ISD (General Obligation Debt)</t>
  </si>
  <si>
    <t>Rice CISD (General Obligation Debt)</t>
  </si>
  <si>
    <t>Weimar ISD (General Obligation Debt)</t>
  </si>
  <si>
    <t>New Braunfels ISD (General Obligation Debt)</t>
  </si>
  <si>
    <t>Comal ISD (General Obligation Debt)</t>
  </si>
  <si>
    <t>De Leon ISD (General Obligation Debt)</t>
  </si>
  <si>
    <t>Gustine ISD (General Obligation Debt)</t>
  </si>
  <si>
    <t>Gainesville ISD (General Obligation Debt)</t>
  </si>
  <si>
    <t>Muenster ISD (General Obligation Debt)</t>
  </si>
  <si>
    <t>Valley View ISD (General Obligation Debt)</t>
  </si>
  <si>
    <t>Callisburg ISD (General Obligation Debt)</t>
  </si>
  <si>
    <t>The following takes you step-by-step thru the copy/paste process:</t>
  </si>
  <si>
    <t>Then from the 'Edit' menu, click 'Copy'.</t>
  </si>
  <si>
    <r>
      <t>Step 2</t>
    </r>
    <r>
      <rPr>
        <b/>
        <sz val="14"/>
        <color indexed="10"/>
        <rFont val="Arial MT"/>
      </rPr>
      <t>: Go to the "Copy LPE" worksheet and put the cursor on cell A1 and from the 'Edit' menu,</t>
    </r>
  </si>
  <si>
    <t>click 'Paste'.  Column A will be highlighted - leave it that way!</t>
  </si>
  <si>
    <r>
      <t>Step 3</t>
    </r>
    <r>
      <rPr>
        <b/>
        <sz val="14"/>
        <color indexed="10"/>
        <rFont val="Arial MT"/>
      </rPr>
      <t>: From the menu, go to 'Data' then click on 'Text to Columns' - the first screen that appears</t>
    </r>
  </si>
  <si>
    <t xml:space="preserve">has a 'Fixed Width' setting - leave as is and just click 'Next' - the next screen that appears </t>
  </si>
  <si>
    <t>is for setting field widths - under 'Data Preview' you will see arrows pointing up - move  the first</t>
  </si>
  <si>
    <t xml:space="preserve">arrow ON THE LEFT to the "71" position on the scale - move the second arrow to the "91" position </t>
  </si>
  <si>
    <t>on the scale.  Remove all remaining arrows by clicking and dragging up - now click on 'finish' -</t>
  </si>
  <si>
    <t>a pop-up screen will appear. Just click 'OK'</t>
  </si>
  <si>
    <t>The "LPE" numbers should now be in Column B (don't worry about text at top).  Go to the</t>
  </si>
  <si>
    <t>"LPE.DPE" worksheet and check to make sure the "LPE" numbers appear in the right places.</t>
  </si>
  <si>
    <t>If all else fails, you can input the "LPE" numbers directly onto the "LPE.DPE" worksheet.</t>
  </si>
  <si>
    <t>But, before you do that, give Woody a call at ESC12 (254/709-0545)</t>
  </si>
  <si>
    <r>
      <t xml:space="preserve">You will now enter your current six weeks data in the shaded </t>
    </r>
    <r>
      <rPr>
        <b/>
        <sz val="14"/>
        <color indexed="48"/>
        <rFont val="Arial MT"/>
      </rPr>
      <t>(blue)</t>
    </r>
    <r>
      <rPr>
        <b/>
        <sz val="14"/>
        <color indexed="10"/>
        <rFont val="Arial MT"/>
      </rPr>
      <t xml:space="preserve"> fields of the </t>
    </r>
    <r>
      <rPr>
        <b/>
        <u/>
        <sz val="14"/>
        <color indexed="10"/>
        <rFont val="Arial MT"/>
      </rPr>
      <t>Enter Attend</t>
    </r>
  </si>
  <si>
    <r>
      <t>Data worksheet</t>
    </r>
    <r>
      <rPr>
        <b/>
        <sz val="14"/>
        <color indexed="10"/>
        <rFont val="Arial MT"/>
      </rPr>
      <t xml:space="preserve"> using your </t>
    </r>
    <r>
      <rPr>
        <b/>
        <u/>
        <sz val="14"/>
        <color indexed="10"/>
        <rFont val="Arial MT"/>
      </rPr>
      <t>Superintendent's Six Weeks report</t>
    </r>
    <r>
      <rPr>
        <b/>
        <sz val="14"/>
        <color indexed="10"/>
        <rFont val="Arial MT"/>
      </rPr>
      <t xml:space="preserve">. (Be sure to use your </t>
    </r>
    <r>
      <rPr>
        <b/>
        <u/>
        <sz val="14"/>
        <color indexed="10"/>
        <rFont val="Arial MT"/>
      </rPr>
      <t>distric</t>
    </r>
    <r>
      <rPr>
        <b/>
        <sz val="14"/>
        <color indexed="10"/>
        <rFont val="Arial MT"/>
      </rPr>
      <t>t</t>
    </r>
  </si>
  <si>
    <r>
      <t>report</t>
    </r>
    <r>
      <rPr>
        <b/>
        <sz val="14"/>
        <color indexed="10"/>
        <rFont val="Arial MT"/>
      </rPr>
      <t xml:space="preserve">, not campus report - you want all campuses combined) </t>
    </r>
  </si>
  <si>
    <t>If you have more than one track, use the two or three  track template posted on the web</t>
  </si>
  <si>
    <r>
      <t>&lt;=</t>
    </r>
    <r>
      <rPr>
        <b/>
        <sz val="10"/>
        <rFont val="Arial MT"/>
      </rPr>
      <t xml:space="preserve"> </t>
    </r>
    <r>
      <rPr>
        <sz val="10"/>
        <rFont val="Arial MT"/>
      </rPr>
      <t>Enter self-contained mild, moderate, and severe FTEs.  S/C severe has now been lumped into this category.</t>
    </r>
    <r>
      <rPr>
        <b/>
        <sz val="10"/>
        <rFont val="Arial MT"/>
      </rPr>
      <t xml:space="preserve">  </t>
    </r>
  </si>
  <si>
    <r>
      <t xml:space="preserve">&lt;= Enter off home campus FTEs. </t>
    </r>
    <r>
      <rPr>
        <b/>
        <sz val="10"/>
        <rFont val="Arial MT"/>
      </rPr>
      <t xml:space="preserve"> </t>
    </r>
  </si>
  <si>
    <r>
      <t>&lt;=</t>
    </r>
    <r>
      <rPr>
        <b/>
        <sz val="10"/>
        <rFont val="Arial MT"/>
      </rPr>
      <t xml:space="preserve"> </t>
    </r>
    <r>
      <rPr>
        <sz val="10"/>
        <rFont val="Arial MT"/>
      </rPr>
      <t xml:space="preserve">Enter VAC FTEs. </t>
    </r>
    <r>
      <rPr>
        <b/>
        <sz val="10"/>
        <rFont val="Arial MT"/>
      </rPr>
      <t xml:space="preserve"> </t>
    </r>
  </si>
  <si>
    <r>
      <t xml:space="preserve">&lt;= Enter state school students ADA. </t>
    </r>
    <r>
      <rPr>
        <b/>
        <sz val="10"/>
        <rFont val="Arial MT"/>
      </rPr>
      <t xml:space="preserve"> </t>
    </r>
  </si>
  <si>
    <t>ALIEF MONTESSORI SCHOOL</t>
  </si>
  <si>
    <t>101-818</t>
  </si>
  <si>
    <t>Trenton ISD</t>
  </si>
  <si>
    <t>075-901</t>
  </si>
  <si>
    <t>Flatonia ISD</t>
  </si>
  <si>
    <t>075-902</t>
  </si>
  <si>
    <t>La Grange ISD</t>
  </si>
  <si>
    <t>075-903</t>
  </si>
  <si>
    <t>Schulenburg ISD</t>
  </si>
  <si>
    <t>075-906</t>
  </si>
  <si>
    <t>Fayetteville ISD</t>
  </si>
  <si>
    <t>075-908</t>
  </si>
  <si>
    <t>Round Top-Carmine ISD</t>
  </si>
  <si>
    <t>076-903</t>
  </si>
  <si>
    <t>Roby Cons ISD</t>
  </si>
  <si>
    <t xml:space="preserve">Change in Recapture (cannot be greater than zero) </t>
  </si>
  <si>
    <t xml:space="preserve">     Initial Cost per WADA</t>
  </si>
  <si>
    <t>SUMMARY OF BONDED DEBT COVERED BY EDA AND/OR IFA:</t>
  </si>
  <si>
    <t xml:space="preserve">Oooops…..when I deleted the data entry cells that called for the 2006 taxable value and the avg collection rate, it </t>
  </si>
  <si>
    <t>TO CONTINUE MINIMUM EFFORT TRANSITION ASSISTANCE.</t>
  </si>
  <si>
    <t>N</t>
  </si>
  <si>
    <t xml:space="preserve">NOTE:  The state's share on Line 9 must be taken into </t>
  </si>
  <si>
    <t>account when setting the district's I&amp;S tax rate.</t>
  </si>
  <si>
    <t>Total "Old" Debt Covered by Existing Debt Allotment ("equalized" debt)</t>
  </si>
  <si>
    <t>Total "Old" Debt Not Covered by EDA ("unequalized" debt)</t>
  </si>
  <si>
    <t>098-903</t>
  </si>
  <si>
    <t>Pringle-Morse Cons ISD</t>
  </si>
  <si>
    <t>098-904</t>
  </si>
  <si>
    <t>Spearman ISD</t>
  </si>
  <si>
    <t>099-902</t>
  </si>
  <si>
    <t>Chillicothe ISD</t>
  </si>
  <si>
    <t>099-903</t>
  </si>
  <si>
    <t>have used recapture $305,000.  Any change in the amount of Additional Aid for School Employee Benefits that this</t>
  </si>
  <si>
    <t xml:space="preserve">fixed.  Any change in the amount of Salary Transition that this fix makes should have the opposite effect on the </t>
  </si>
  <si>
    <t>This is the percentage that was used on the 2005-06 "near final" Summary of Finances.</t>
  </si>
  <si>
    <t>information available in the Division of State Funding and can also be found on the division's web page.</t>
  </si>
  <si>
    <t xml:space="preserve">NOTE:  The EDA entitlement on Line 16 must be </t>
  </si>
  <si>
    <t>Connally ISD</t>
  </si>
  <si>
    <t>Conroe ISD</t>
  </si>
  <si>
    <t>that the district or school paid an employee in the 2000-2001 school year, benefits,</t>
  </si>
  <si>
    <t>Gary ISD</t>
  </si>
  <si>
    <t>Georgetown ISD</t>
  </si>
  <si>
    <t>Godley ISD</t>
  </si>
  <si>
    <t>GOLDTHWAITE ISD</t>
  </si>
  <si>
    <t>GONZALES ISD</t>
  </si>
  <si>
    <t>GRAHAM ISD</t>
  </si>
  <si>
    <t>GRAND PRAIRIE ISD</t>
  </si>
  <si>
    <t>GRAND SALINE ISD</t>
  </si>
  <si>
    <t>GRANDVIEW ISD</t>
  </si>
  <si>
    <t>Thanks for all the calls and e-mails.</t>
  </si>
  <si>
    <t>Chapter 41 Data:</t>
  </si>
  <si>
    <t>101-925</t>
  </si>
  <si>
    <t>Huffman ISD</t>
  </si>
  <si>
    <t>107-908</t>
  </si>
  <si>
    <t>Charge for AP Testing</t>
  </si>
  <si>
    <t>Charge for Comp Ed Projects</t>
  </si>
  <si>
    <t>Charge for Spec. Ed. Project</t>
  </si>
  <si>
    <t xml:space="preserve">     WADA Credit for Tuition Paid</t>
  </si>
  <si>
    <t xml:space="preserve">   Less: Charge for Dist. Share of AP Tests</t>
  </si>
  <si>
    <t>Compensatory Education Block Grant</t>
  </si>
  <si>
    <t>Compensatory Ed Pregnant Allotment</t>
  </si>
  <si>
    <t>Bilingual Education Block Grant</t>
  </si>
  <si>
    <t>Public Education Grant Allotment</t>
  </si>
  <si>
    <t xml:space="preserve">Transportation </t>
  </si>
  <si>
    <t>OF THE DISTRICT'S EDA STATE ENTITLEMENT BEGINS AT ROW 100 BELOW.</t>
  </si>
  <si>
    <t>The Effects on the District of Release 3 Relating to the Calculation of Hold Harmless:</t>
  </si>
  <si>
    <t>Grape Creek ISD</t>
  </si>
  <si>
    <t>Gunter ISD</t>
  </si>
  <si>
    <t>Hamshire-Fannett ISD</t>
  </si>
  <si>
    <t>Harlandale ISD</t>
  </si>
  <si>
    <t>Needville ISD</t>
  </si>
  <si>
    <t>New Summerfield ISD</t>
  </si>
  <si>
    <t>Newton ISD</t>
  </si>
  <si>
    <t>New Waverly ISD</t>
  </si>
  <si>
    <t>Sabinal ISD</t>
  </si>
  <si>
    <t>Taylor ISD</t>
  </si>
  <si>
    <t>Livingston ISD</t>
  </si>
  <si>
    <t>Lockhart ISD</t>
  </si>
  <si>
    <t>Longview ISD</t>
  </si>
  <si>
    <t>Los Fresnos Cons ISD</t>
  </si>
  <si>
    <t xml:space="preserve">that a district may be entitled to if 75% of the formula gains are less than the $900 per </t>
  </si>
  <si>
    <t>Mansfield ISD</t>
  </si>
  <si>
    <t>Marble Falls ISD</t>
  </si>
  <si>
    <t>ANDREWS ISD</t>
  </si>
  <si>
    <t>LUFKIN ISD</t>
  </si>
  <si>
    <t>DIBOLL ISD</t>
  </si>
  <si>
    <t>ZAVALLA ISD</t>
  </si>
  <si>
    <t>CENTRAL ISD</t>
  </si>
  <si>
    <t>ARANSAS COUNTY ISD</t>
  </si>
  <si>
    <r>
      <t xml:space="preserve">&lt;= </t>
    </r>
    <r>
      <rPr>
        <sz val="10"/>
        <rFont val="Arial MT"/>
      </rPr>
      <t xml:space="preserve">Enter the amount of I&amp;S taxes the district budgeted for the applicable year.  Budgeted I&amp;S taxes include (1) I&amp;S taxes to be collected, (2) I&amp;S taxes collected in excess of the district's EDA and/or IFA local shares beginning with the 1999-00 school year, and (3) M&amp;O taxes collected in excess of the amount needed to generate state aid beginning with the 1999-00 school year. </t>
    </r>
  </si>
  <si>
    <t xml:space="preserve">NOTE:  It is estimated that only about $7 million out of biennial appropriation of $37 million </t>
  </si>
  <si>
    <t xml:space="preserve">(6)  On the 'Calc Data' worksheet, various changes to the calculations pertaining to the 2006-07 Chapter 42 gain </t>
  </si>
  <si>
    <t xml:space="preserve">retained using the same terms as the 2005-06 agreement with a Chapter 41 district, and the calculations pertaining </t>
  </si>
  <si>
    <t>to a new 2006-07 agreement have been made.</t>
  </si>
  <si>
    <t>DATA ENTRY SECTION:</t>
  </si>
  <si>
    <t xml:space="preserve">  Cost of Education Index</t>
  </si>
  <si>
    <t>per participant is used in determining the amount of transition assistance.</t>
  </si>
  <si>
    <t>Sands ISD</t>
  </si>
  <si>
    <t>059-902</t>
  </si>
  <si>
    <t>Walcott ISD</t>
  </si>
  <si>
    <t>060-902</t>
  </si>
  <si>
    <t>Cooper ISD</t>
  </si>
  <si>
    <t>061-901</t>
  </si>
  <si>
    <t>Release 1.0; May 16, 2006</t>
  </si>
  <si>
    <t>Hardin ISD</t>
  </si>
  <si>
    <t>Lohn ISD</t>
  </si>
  <si>
    <t>Priddy ISD</t>
  </si>
  <si>
    <t>Deweyville ISD</t>
  </si>
  <si>
    <t>Bridge City ISD</t>
  </si>
  <si>
    <t>Vidor ISD</t>
  </si>
  <si>
    <t>amount of the Line 10 (for bonds) in order to receive the full state share.</t>
  </si>
  <si>
    <r>
      <t xml:space="preserve">              </t>
    </r>
    <r>
      <rPr>
        <b/>
        <u/>
        <sz val="10"/>
        <color indexed="20"/>
        <rFont val="Arial MT"/>
      </rPr>
      <t xml:space="preserve">as soon as possible. Until such time, this template assumes sufficient funds will be available. </t>
    </r>
  </si>
  <si>
    <t>181-901</t>
  </si>
  <si>
    <t>181-907</t>
  </si>
  <si>
    <t>184-903</t>
  </si>
  <si>
    <t>189-901</t>
  </si>
  <si>
    <t>212-901</t>
  </si>
  <si>
    <t>225-906</t>
  </si>
  <si>
    <t>237-902</t>
  </si>
  <si>
    <t>237-904</t>
  </si>
  <si>
    <t>245-904</t>
  </si>
  <si>
    <t>247-901</t>
  </si>
  <si>
    <t>Floresville ISD</t>
  </si>
  <si>
    <t>247-904</t>
  </si>
  <si>
    <t>Poth ISD</t>
  </si>
  <si>
    <t xml:space="preserve">IFA Entitlement (for bonds)  </t>
  </si>
  <si>
    <t>SUMMARY OF TOTAL STATE/LOCAL M&amp;O REVENUE:</t>
  </si>
  <si>
    <t>Texas City ISD</t>
  </si>
  <si>
    <t>084-908</t>
  </si>
  <si>
    <t>Hitchcock ISD</t>
  </si>
  <si>
    <t>084-910</t>
  </si>
  <si>
    <t>Clear Creek ISD</t>
  </si>
  <si>
    <t>161-918</t>
  </si>
  <si>
    <t>Axtell ISD</t>
  </si>
  <si>
    <t>161-919</t>
  </si>
  <si>
    <t>Bruceville-Eddy ISD</t>
  </si>
  <si>
    <t>161-924</t>
  </si>
  <si>
    <t>Aldine ISD</t>
  </si>
  <si>
    <t>Midlothian ISD</t>
  </si>
  <si>
    <t>Ector County ISD</t>
  </si>
  <si>
    <t xml:space="preserve">               the 1999-2000 school years that were in excess of the amount needed to generate state aid.</t>
  </si>
  <si>
    <t>Date Prepared:</t>
  </si>
  <si>
    <t>2006-07 School Year</t>
  </si>
  <si>
    <t>2006-07 TOTAL M&amp;O REVENUE</t>
  </si>
  <si>
    <t>Tier I State Aid @ $2,537 Basic Allotment</t>
  </si>
  <si>
    <t>Tier II State Aid @ $24.70 Yield @ DTR Limit</t>
  </si>
  <si>
    <t>Tier I State Aid @ $2,396 Basic Allotment</t>
  </si>
  <si>
    <t>Tier II State Aid @ $23.10Yield @ DTR Limit</t>
  </si>
  <si>
    <t>Recapture @ $280,000 (for 'gap' districts)</t>
  </si>
  <si>
    <t>Recapture @ @295,000 (for 'gap' districts)</t>
  </si>
  <si>
    <t>CPTD Value Reflecting $5,000 Homestead Exemption</t>
  </si>
  <si>
    <t>CPTD Value Reflecting $15,000 Homestead Exemption</t>
  </si>
  <si>
    <t>Tier I &amp; II State Aid Using $5,000 Exemption</t>
  </si>
  <si>
    <t>Tier I &amp; II State Aid Using $15,000 Exemption</t>
  </si>
  <si>
    <t>Formula Gains:</t>
  </si>
  <si>
    <t xml:space="preserve">     ASF Distribution</t>
  </si>
  <si>
    <t xml:space="preserve">     Chapter 41 WADA</t>
  </si>
  <si>
    <t xml:space="preserve">     WADA Ratio (YEAR to 1992-93)</t>
  </si>
  <si>
    <t xml:space="preserve">     Hold Harmless Effective Rate</t>
  </si>
  <si>
    <t xml:space="preserve">     Tax Base at Equalized Level</t>
  </si>
  <si>
    <t>Initial Recapture @LOWER RATE</t>
  </si>
  <si>
    <t>Initial Recapture @HIGHER RATE</t>
  </si>
  <si>
    <t xml:space="preserve">IF THE ELIGIBILITY DATE IS NOT ROLLED FORWARD, THE CALCULATION </t>
  </si>
  <si>
    <t>Blooming Grove ISD</t>
  </si>
  <si>
    <t>175-905</t>
  </si>
  <si>
    <t>Frost ISD</t>
  </si>
  <si>
    <t>175-910</t>
  </si>
  <si>
    <t>Mildred ISD</t>
  </si>
  <si>
    <t>176-901</t>
  </si>
  <si>
    <t>Burkeville ISD</t>
  </si>
  <si>
    <t>M&amp;O Adopted Tax Rate</t>
  </si>
  <si>
    <t>HB 1 Hold Harmless Determination:</t>
  </si>
  <si>
    <t>2005-06 Tier 1 State Aid</t>
  </si>
  <si>
    <t>2005-06 New Salary Transition Entitlement</t>
  </si>
  <si>
    <t>2005-06 Hold Harmless Additional State Aid</t>
  </si>
  <si>
    <t>2005-06 M&amp;O Tax Collections</t>
  </si>
  <si>
    <t>2005-06 Chapter 41 Recapture</t>
  </si>
  <si>
    <t>2005-06 Tier 2 State Aid @ Max DTR</t>
  </si>
  <si>
    <t>Local Share of Allotment (Line 9 * (Line 6 / 100)</t>
  </si>
  <si>
    <t>Note 3:  There has been some discussion relating to districts being able to grant an optional homestead exemption</t>
  </si>
  <si>
    <t xml:space="preserve">and having HB 1 hold harmless make up for the loss of that local revenue.  That will not be the case.  I think TEA </t>
  </si>
  <si>
    <t>High School Allotment ($275 x Gr 9-12 ADA) (Sec 42.2516(b)(3)</t>
  </si>
  <si>
    <t>M&amp;O tax rate that is less than the compressed rate - the penalty will apply and the reduced taxes will not be made</t>
  </si>
  <si>
    <t>up with an increase in hold harmless revenue.</t>
  </si>
  <si>
    <t xml:space="preserve">     Adjusted Hold Harmless Tax Base per WADA</t>
  </si>
  <si>
    <t>211-902</t>
  </si>
  <si>
    <t>Stratford ISD</t>
  </si>
  <si>
    <t>212-802</t>
  </si>
  <si>
    <t>AM ACAD OF EXCELLENCE HOU</t>
  </si>
  <si>
    <t>101-823</t>
  </si>
  <si>
    <t>CHILDREN FIRST AC HOUSTON</t>
  </si>
  <si>
    <t>101-831</t>
  </si>
  <si>
    <t>JESSE JACKSON ACADEMY</t>
  </si>
  <si>
    <t>101-837</t>
  </si>
  <si>
    <t>CALVIN NELMS CHARTER</t>
  </si>
  <si>
    <t>9.</t>
  </si>
  <si>
    <t>10.</t>
  </si>
  <si>
    <t>11.</t>
  </si>
  <si>
    <t>12.</t>
  </si>
  <si>
    <t xml:space="preserve">           </t>
  </si>
  <si>
    <t xml:space="preserve">* If district has "excess revenue" on the Calc Data worksheet (Cell E110), the district must purchase additional WADA at a cost equal to the amount </t>
  </si>
  <si>
    <t>Release 2 with the following exceptions.  My apologies for Release 3.</t>
  </si>
  <si>
    <t>&lt;=excludes Salary Allotment and High School Allotment for purposes of comparing to the 'greater of' Hold Harmless Base Revenue</t>
  </si>
  <si>
    <t>179-901</t>
  </si>
  <si>
    <t>227-904</t>
  </si>
  <si>
    <t>108-909</t>
  </si>
  <si>
    <t>061-903</t>
  </si>
  <si>
    <t>007-905</t>
  </si>
  <si>
    <t>061-906</t>
  </si>
  <si>
    <t>091-913</t>
  </si>
  <si>
    <t>125-905</t>
  </si>
  <si>
    <t>189-902</t>
  </si>
  <si>
    <t>043-911</t>
  </si>
  <si>
    <t>Formula:  EDA = (EDGL x ADA x EDTR x 100) - (EDTR x (DPV / 100))</t>
  </si>
  <si>
    <t>EDTR</t>
  </si>
  <si>
    <t xml:space="preserve">            Worksheet for Estimating Existing Debt Allotment</t>
  </si>
  <si>
    <t>Hallsburg ISD</t>
  </si>
  <si>
    <t>161-925</t>
  </si>
  <si>
    <t>127-906</t>
  </si>
  <si>
    <t>Stamford ISD</t>
  </si>
  <si>
    <r>
      <t>&lt;=</t>
    </r>
    <r>
      <rPr>
        <b/>
        <sz val="10"/>
        <rFont val="Arial MT"/>
      </rPr>
      <t xml:space="preserve"> </t>
    </r>
    <r>
      <rPr>
        <sz val="10"/>
        <rFont val="Arial MT"/>
      </rPr>
      <t>Enter C&amp;T FTEs.</t>
    </r>
    <r>
      <rPr>
        <b/>
        <sz val="10"/>
        <rFont val="Arial MT"/>
      </rPr>
      <t xml:space="preserve"> </t>
    </r>
  </si>
  <si>
    <t>Transportation Allocation</t>
  </si>
  <si>
    <t>1992-93 M&amp;O Tax Collections</t>
  </si>
  <si>
    <t>1992-93 CED Distribution</t>
  </si>
  <si>
    <t>Ira ISD</t>
  </si>
  <si>
    <t>209-901</t>
  </si>
  <si>
    <t>Katy ISD (General Obligation Debt)</t>
  </si>
  <si>
    <t>Klein ISD (General Obligation Debt)</t>
  </si>
  <si>
    <t>La Porte ISD (General Obligation Debt)</t>
  </si>
  <si>
    <t>Pasadena ISD (General Obligation Debt)</t>
  </si>
  <si>
    <t>Spring ISD (General Obligation Debt)</t>
  </si>
  <si>
    <t>Spring Branch ISD (General Obligation Debt)</t>
  </si>
  <si>
    <t>Tomball ISD (General Obligation Debt)</t>
  </si>
  <si>
    <t>Sheldon ISD (General Obligation Debt)</t>
  </si>
  <si>
    <t>Huffman ISD (General Obligation Debt)</t>
  </si>
  <si>
    <t>Marshall ISD (General Obligation Debt)</t>
  </si>
  <si>
    <t>Waskom ISD (General Obligation Debt)</t>
  </si>
  <si>
    <t>Hallsville ISD (General Obligation Debt)</t>
  </si>
  <si>
    <t>Harleton ISD (General Obligation Debt)</t>
  </si>
  <si>
    <t>Elysian Fields ISD (General Obligation Debt)</t>
  </si>
  <si>
    <t>Hartley ISD (General Obligation Debt)</t>
  </si>
  <si>
    <t>Haskell ISD (General Obligation Debt)</t>
  </si>
  <si>
    <t>San Marcos CISD (General Obligation Debt)</t>
  </si>
  <si>
    <t>Dripping Springs ISD (General Obligation Debt)</t>
  </si>
  <si>
    <t>Wimberley ISD (General Obligation Debt)</t>
  </si>
  <si>
    <t>Hays CISD (General Obligation Debt)</t>
  </si>
  <si>
    <t>Canadian ISD (General Obligation Debt)</t>
  </si>
  <si>
    <t>Athens ISD (General Obligation Debt)</t>
  </si>
  <si>
    <t>Brownsboro ISD (General Obligation Debt)</t>
  </si>
  <si>
    <t>Cross Roads ISD (General Obligation Debt)</t>
  </si>
  <si>
    <t>Eustace ISD (General Obligation Debt)</t>
  </si>
  <si>
    <t>Malakoff ISD (General Obligation Debt)</t>
  </si>
  <si>
    <t>Trinidad ISD (General Obligation Debt)</t>
  </si>
  <si>
    <t>La Poynor ISD (General Obligation Debt)</t>
  </si>
  <si>
    <t>Donna ISD (General Obligation Debt)</t>
  </si>
  <si>
    <t>Edcouch-Elsa ISD (General Obligation Debt)</t>
  </si>
  <si>
    <t>Edinburg CISD (General Obligation Debt)</t>
  </si>
  <si>
    <t>Hidalgo ISD (General Obligation Debt)</t>
  </si>
  <si>
    <t>McAllen ISD (General Obligation Debt)</t>
  </si>
  <si>
    <t>Mercedes ISD (General Obligation Debt)</t>
  </si>
  <si>
    <t>Mission CISD (General Obligation Debt)</t>
  </si>
  <si>
    <t>Pharr-San Juan-Alamo ISD (General Obligation Debt)</t>
  </si>
  <si>
    <t>Progreso ISD (General Obligation Debt)</t>
  </si>
  <si>
    <t>Sharyland ISD (General Obligation Debt)</t>
  </si>
  <si>
    <t>La Joya ISD (General Obligation Debt)</t>
  </si>
  <si>
    <t>Weslaco ISD (General Obligation Debt)</t>
  </si>
  <si>
    <t>La Villa ISD (General Obligation Debt)</t>
  </si>
  <si>
    <t>Monte Alto ISD (General Obligation Debt)</t>
  </si>
  <si>
    <t>Bynum ISD (General Obligation Debt)</t>
  </si>
  <si>
    <t>Covington ISD (General Obligation Debt)</t>
  </si>
  <si>
    <t>Hillsboro ISD (General Obligation Debt)</t>
  </si>
  <si>
    <t>Hubbard ISD (General Obligation Debt)</t>
  </si>
  <si>
    <t>Itasca ISD (General Obligation Debt)</t>
  </si>
  <si>
    <t>Whitney ISD (General Obligation Debt)</t>
  </si>
  <si>
    <t>Aquilla ISD (General Obligation Debt)</t>
  </si>
  <si>
    <t>Blum ISD (General Obligation Debt)</t>
  </si>
  <si>
    <t>Levelland ISD (General Obligation Debt)</t>
  </si>
  <si>
    <t>Granbury ISD (General Obligation Debt)</t>
  </si>
  <si>
    <t>Lipan ISD (General Obligation Debt)</t>
  </si>
  <si>
    <t>Tolar ISD (General Obligation Debt)</t>
  </si>
  <si>
    <t>Sulphur Springs ISD (General Obligation Debt)</t>
  </si>
  <si>
    <t>Cumby ISD (General Obligation Debt)</t>
  </si>
  <si>
    <t>North Hopkins ISD (General Obligation Debt)</t>
  </si>
  <si>
    <t>Miller Grove ISD (General Obligation Debt)</t>
  </si>
  <si>
    <t>Sulphur Bluff ISD (General Obligation Debt)</t>
  </si>
  <si>
    <t>Crockett ISD (General Obligation Debt)</t>
  </si>
  <si>
    <t>Grapeland ISD (General Obligation Debt)</t>
  </si>
  <si>
    <t>Latexo ISD (General Obligation Debt)</t>
  </si>
  <si>
    <t>Kennard ISD (General Obligation Debt)</t>
  </si>
  <si>
    <t>Big Spring ISD (General Obligation Debt)</t>
  </si>
  <si>
    <t>Forsan ISD (General Obligation Debt)</t>
  </si>
  <si>
    <t>198-901</t>
  </si>
  <si>
    <t>Bremond ISD</t>
  </si>
  <si>
    <t>198-902</t>
  </si>
  <si>
    <t>Calvert ISD</t>
  </si>
  <si>
    <t>198-903</t>
  </si>
  <si>
    <t>Franklin ISD</t>
  </si>
  <si>
    <t>198-905</t>
  </si>
  <si>
    <t>Hearne ISD</t>
  </si>
  <si>
    <t>198-906</t>
  </si>
  <si>
    <t>091-910</t>
  </si>
  <si>
    <t>Whitewright ISD</t>
  </si>
  <si>
    <t>091-914</t>
  </si>
  <si>
    <t>S And S Cons ISD</t>
  </si>
  <si>
    <t>091-918</t>
  </si>
  <si>
    <t>Tom Bean ISD</t>
  </si>
  <si>
    <t>092-801</t>
  </si>
  <si>
    <t>EAST TEXAS CHARTER SCHOOL</t>
  </si>
  <si>
    <t>092-901</t>
  </si>
  <si>
    <t>Gladewater ISD</t>
  </si>
  <si>
    <t>092-902</t>
  </si>
  <si>
    <t>190-903</t>
  </si>
  <si>
    <t>Rains ISD</t>
  </si>
  <si>
    <t>&lt;= Get from TEA's Cost of Options report or Chapter 41 Manual.</t>
  </si>
  <si>
    <t>EDA</t>
  </si>
  <si>
    <t>IFA</t>
  </si>
  <si>
    <t>147-901</t>
  </si>
  <si>
    <t>161-901</t>
  </si>
  <si>
    <t>161-907</t>
  </si>
  <si>
    <t>163-903</t>
  </si>
  <si>
    <t>Estimated ADA (from Data Entry: 400 minimum)</t>
  </si>
  <si>
    <t>Add Back: Penalty for Setting M&amp;O Tax Rate Below Compressed Rate</t>
  </si>
  <si>
    <t>SHERMAN ISD</t>
  </si>
  <si>
    <t>TIOGA ISD</t>
  </si>
  <si>
    <t>WHITEWRIGHT ISD</t>
  </si>
  <si>
    <t xml:space="preserve">Also, for Tier II purposes, a maximum DTR of $.64 has been applied to the sum of the DTRs for Levels 1 and 3 of </t>
  </si>
  <si>
    <t>COVINGTON ISD</t>
  </si>
  <si>
    <t xml:space="preserve">The 2004-05 EDA local shares, IFA local shares, and 2003 CPTD values that are automatically loaded have been </t>
  </si>
  <si>
    <t>updated to the latest 2004-05 data that TEA has.</t>
  </si>
  <si>
    <t>@385</t>
  </si>
  <si>
    <t>@343</t>
  </si>
  <si>
    <t>Districts should consider the effect that using excess I&amp;S or M&amp;O taxes</t>
  </si>
  <si>
    <t>Levying and collecting I&amp;S taxes to meet the 2002-03 local share requirement</t>
  </si>
  <si>
    <t xml:space="preserve">instead of using prior-year excess taxes will produce a higher EDA limit in </t>
  </si>
  <si>
    <t xml:space="preserve">     Total Taxes Collected (max. is tax coll. limit for DTR)</t>
  </si>
  <si>
    <t xml:space="preserve">     Total Revenue</t>
  </si>
  <si>
    <t xml:space="preserve">     WADA</t>
  </si>
  <si>
    <t xml:space="preserve">          COST PER WADA</t>
  </si>
  <si>
    <t>Number of WADA District Allowed to Sell:</t>
  </si>
  <si>
    <t>Eustace ISD</t>
  </si>
  <si>
    <t>107-906</t>
  </si>
  <si>
    <t>Malakoff ISD</t>
  </si>
  <si>
    <t>107-910</t>
  </si>
  <si>
    <t>La Poynor ISD</t>
  </si>
  <si>
    <t>108-802</t>
  </si>
  <si>
    <t>TECHNOLOGY EDUCATION CHTR</t>
  </si>
  <si>
    <t>Alvord ISD</t>
  </si>
  <si>
    <t>Amarillo ISD</t>
  </si>
  <si>
    <t>Anahuac ISD</t>
  </si>
  <si>
    <t>Anna ISD</t>
  </si>
  <si>
    <t>Anson ISD</t>
  </si>
  <si>
    <t>Anthony ISD</t>
  </si>
  <si>
    <t>ABERNATHY ISD</t>
  </si>
  <si>
    <t>COTTON CENTER ISD</t>
  </si>
  <si>
    <t>HALE CENTER ISD</t>
  </si>
  <si>
    <t>PETERSBURG ISD</t>
  </si>
  <si>
    <t>PLAINVIEW ISD</t>
  </si>
  <si>
    <t>MEMPHIS ISD</t>
  </si>
  <si>
    <t>TURKEY-QUITAQUE ISD</t>
  </si>
  <si>
    <t>HAMILTON INDEPENDENT SCHOOL DISTRI</t>
  </si>
  <si>
    <t>GRUVER ISD</t>
  </si>
  <si>
    <t>PRINGLE-MORSE CONS ISD</t>
  </si>
  <si>
    <t>SPEARMAN ISD</t>
  </si>
  <si>
    <t>CHILLICOTHE ISD</t>
  </si>
  <si>
    <t>QUANAH ISD</t>
  </si>
  <si>
    <t>KOUNTZE ISD</t>
  </si>
  <si>
    <t>HARDIN-JEFFERSON ISD</t>
  </si>
  <si>
    <t>06-07 Max M&amp;O Rate</t>
  </si>
  <si>
    <t>07-08 Max M&amp;O Rate</t>
  </si>
  <si>
    <t>(Rates for districts authorized to be above $1.50 start on Row 69)</t>
  </si>
  <si>
    <t>Compressed M&amp;O Rate</t>
  </si>
  <si>
    <t>The tab 'RollbackRates' now shows the rollback and maximum rates for most levels of 2005-06 tax rates.</t>
  </si>
  <si>
    <t>PASADENA ISD</t>
  </si>
  <si>
    <t>PEARLAND ISD</t>
  </si>
  <si>
    <t>PEARSALL ISD</t>
  </si>
  <si>
    <t>PEASTER ISD</t>
  </si>
  <si>
    <t>Option Costs' tab (it's hidden) was referencing a wrong cell.</t>
  </si>
  <si>
    <r>
      <t xml:space="preserve">              </t>
    </r>
    <r>
      <rPr>
        <b/>
        <u/>
        <sz val="10"/>
        <color indexed="20"/>
        <rFont val="Arial MT"/>
      </rPr>
      <t xml:space="preserve">district made payments on for the first time either in 2001-02 or 2002-03, the $35 guaranteed </t>
    </r>
  </si>
  <si>
    <r>
      <t xml:space="preserve">              </t>
    </r>
    <r>
      <rPr>
        <b/>
        <u/>
        <sz val="10"/>
        <color indexed="20"/>
        <rFont val="Arial MT"/>
      </rPr>
      <t xml:space="preserve">yield will be reduced to a level that appropriation is available.  TEA will make that determination </t>
    </r>
  </si>
  <si>
    <t xml:space="preserve"> = the district's 2002 CPTD value (adjusted for declines, if appl)</t>
  </si>
  <si>
    <t xml:space="preserve">2002-03 I &amp; S Collections </t>
  </si>
  <si>
    <t>Estimated 2002-03 ADA</t>
  </si>
  <si>
    <t>PEGASUS CHARTER SCHOOL</t>
  </si>
  <si>
    <t>057-803</t>
  </si>
  <si>
    <t>NORTH HILLS SCHOOL</t>
  </si>
  <si>
    <t>057-806</t>
  </si>
  <si>
    <t>EAGLE ADVANTAGE SCHOOL</t>
  </si>
  <si>
    <t>057-811</t>
  </si>
  <si>
    <t>CHILDREN FIRST ELE ACAD</t>
  </si>
  <si>
    <t>057-816</t>
  </si>
  <si>
    <t>A W BROWN FELLOWSHIP CHARTER</t>
  </si>
  <si>
    <t>057-817</t>
  </si>
  <si>
    <t>FOCUS LEARNING ACADEMY</t>
  </si>
  <si>
    <t>057-818</t>
  </si>
  <si>
    <t>I AM THAT I AM ACADEMY</t>
  </si>
  <si>
    <t>057-819</t>
  </si>
  <si>
    <t>JEAN MASSIEU ACADEMY</t>
  </si>
  <si>
    <t>057-821</t>
  </si>
  <si>
    <t>TEXAS LANGUAGE CHARTER</t>
  </si>
  <si>
    <t>234-801</t>
  </si>
  <si>
    <t>Callisburg ISD</t>
  </si>
  <si>
    <t>049-906</t>
  </si>
  <si>
    <t>Era ISD</t>
  </si>
  <si>
    <t>049-907</t>
  </si>
  <si>
    <t>Lindsay ISD</t>
  </si>
  <si>
    <t>049-908</t>
  </si>
  <si>
    <t>Walnut Bend ISD</t>
  </si>
  <si>
    <t>049-909</t>
  </si>
  <si>
    <t>Sivells Bend ISD</t>
  </si>
  <si>
    <t>050-901</t>
  </si>
  <si>
    <t>Evant ISD</t>
  </si>
  <si>
    <t>050-902</t>
  </si>
  <si>
    <t>Gatesville ISD</t>
  </si>
  <si>
    <t>050-909</t>
  </si>
  <si>
    <t>Jonesboro ISD</t>
  </si>
  <si>
    <t>051-901</t>
  </si>
  <si>
    <t>039-901</t>
  </si>
  <si>
    <t>@ compressed rate</t>
  </si>
  <si>
    <t>to update this template, so stay tuned…</t>
  </si>
  <si>
    <t>212-904</t>
  </si>
  <si>
    <t>Troup ISD</t>
  </si>
  <si>
    <t>212-905</t>
  </si>
  <si>
    <t>Tyler ISD</t>
  </si>
  <si>
    <t>212-909</t>
  </si>
  <si>
    <t>212-910</t>
  </si>
  <si>
    <t>Winona ISD</t>
  </si>
  <si>
    <t>213-901</t>
  </si>
  <si>
    <t>Glen Rose ISD</t>
  </si>
  <si>
    <t>214-902</t>
  </si>
  <si>
    <t>San Isidro ISD</t>
  </si>
  <si>
    <t>215-901</t>
  </si>
  <si>
    <t xml:space="preserve">     M&amp;O Taxes Collected Above Compressed Rate + $.04</t>
  </si>
  <si>
    <t xml:space="preserve">     Total M&amp;O Taxes Subject to Recapture</t>
  </si>
  <si>
    <r>
      <t xml:space="preserve">&lt;= </t>
    </r>
    <r>
      <rPr>
        <sz val="10"/>
        <rFont val="Arial MT"/>
      </rPr>
      <t xml:space="preserve">Enter the number of full-time employees, excluding administrators, classroom teachers, and full-time librarians, counselors, and nurses.  </t>
    </r>
    <r>
      <rPr>
        <b/>
        <sz val="10"/>
        <rFont val="Arial MT"/>
      </rPr>
      <t/>
    </r>
  </si>
  <si>
    <r>
      <t xml:space="preserve">&lt;= </t>
    </r>
    <r>
      <rPr>
        <sz val="10"/>
        <rFont val="Arial MT"/>
      </rPr>
      <t xml:space="preserve">Enter the number of part-time employees, excluding administrators.  </t>
    </r>
    <r>
      <rPr>
        <b/>
        <sz val="10"/>
        <rFont val="Arial MT"/>
      </rPr>
      <t/>
    </r>
  </si>
  <si>
    <t>m&amp;o taxes</t>
  </si>
  <si>
    <t>Tier 2 aid</t>
  </si>
  <si>
    <t>Tier I aid</t>
  </si>
  <si>
    <t xml:space="preserve">recapture </t>
  </si>
  <si>
    <t>totals</t>
  </si>
  <si>
    <t>06-07</t>
  </si>
  <si>
    <t>gain</t>
  </si>
  <si>
    <t>TAFT ISD</t>
  </si>
  <si>
    <t>TAYLOR ISD</t>
  </si>
  <si>
    <t>TEMPLE ISD</t>
  </si>
  <si>
    <t>THRALL ISD</t>
  </si>
  <si>
    <t>TOLAR ISD</t>
  </si>
  <si>
    <t>TORNILLO ISD</t>
  </si>
  <si>
    <t>TRINIDAD ISD</t>
  </si>
  <si>
    <t>TROY ISD</t>
  </si>
  <si>
    <t>UNITED ISD</t>
  </si>
  <si>
    <t>UVALDE CONS ISD</t>
  </si>
  <si>
    <t>VALLEY VIEW ISD</t>
  </si>
  <si>
    <t>VAN ALSTYNE ISD</t>
  </si>
  <si>
    <t>Sunray ISD</t>
  </si>
  <si>
    <t>172-902</t>
  </si>
  <si>
    <t>Daingerfield-Lone Star ISD</t>
  </si>
  <si>
    <t>172-905</t>
  </si>
  <si>
    <t>Pewitt ISD</t>
  </si>
  <si>
    <t>173-901</t>
  </si>
  <si>
    <t>Motley County ISD</t>
  </si>
  <si>
    <t>CPTD Value Adjusted for Decline (see Cell J59)</t>
  </si>
  <si>
    <t>CPTD Value (from Data Entry)</t>
  </si>
  <si>
    <t>Paris ISD</t>
  </si>
  <si>
    <t>Pasadena ISD</t>
  </si>
  <si>
    <t>Pearland ISD</t>
  </si>
  <si>
    <t>Peaster ISD</t>
  </si>
  <si>
    <t>Perryton ISD</t>
  </si>
  <si>
    <t>Pflugerville ISD</t>
  </si>
  <si>
    <t>Hudson ISD</t>
  </si>
  <si>
    <t>Charlotte ISD</t>
  </si>
  <si>
    <t>Southwest ISD</t>
  </si>
  <si>
    <t>Hooks ISD</t>
  </si>
  <si>
    <t>Release 10.0; November 17, 2006</t>
  </si>
  <si>
    <t>2005-06 TOTAL M&amp;O REVENUE</t>
  </si>
  <si>
    <t>2004-05 M&amp;O Tax Collections</t>
  </si>
  <si>
    <t>Less: 2004-05 IFA Local Share for Lease-Purchase</t>
  </si>
  <si>
    <t xml:space="preserve">recognize ADA declines exceeding 2%.  If sufficient funds are not available, the .98 multiplier in </t>
  </si>
  <si>
    <t>emphasize that this worksheet is how I view the ramifications of this release and is not intended to be a reflection</t>
  </si>
  <si>
    <t xml:space="preserve">EDA Entitlement (same as Line 15 unless I&amp;S taxes less than </t>
  </si>
  <si>
    <t xml:space="preserve">EDA local share on Line 14). </t>
  </si>
  <si>
    <t>Cotton Center ISD</t>
  </si>
  <si>
    <t>095-903</t>
  </si>
  <si>
    <t>Hale Center ISD</t>
  </si>
  <si>
    <t>095-904</t>
  </si>
  <si>
    <t>(2.44 x WADA x DTR x 100)</t>
  </si>
  <si>
    <t>2a.</t>
  </si>
  <si>
    <t>2b.</t>
  </si>
  <si>
    <t>2c.</t>
  </si>
  <si>
    <t>Reduction per WADA per Penny</t>
  </si>
  <si>
    <t>2002-03 State Aid Increase Resulting From Funding Elements Increase (#4 - #5)</t>
  </si>
  <si>
    <t>Maximum State Share of IFA (Line 8 x Line 4)</t>
  </si>
  <si>
    <t>Salary Cost for Eligible Personnel</t>
  </si>
  <si>
    <t>2000 CPTD Property Value</t>
  </si>
  <si>
    <t>If district is Budget Balanced or Chapter 41:</t>
  </si>
  <si>
    <t>@274</t>
  </si>
  <si>
    <t xml:space="preserve">     Excess Tax Base</t>
  </si>
  <si>
    <t>Farwell ISD (General Obligation Debt)</t>
  </si>
  <si>
    <t>Fort Stockton ISD (General Obligation Debt)</t>
  </si>
  <si>
    <t>Big Sandy ISD (General Obligation Debt)</t>
  </si>
  <si>
    <t>Corrigan-Camden ISD (General Obligation Debt)</t>
  </si>
  <si>
    <t>Livingston ISD (General Obligation Debt)</t>
  </si>
  <si>
    <t>Onalaska ISD (General Obligation Debt)</t>
  </si>
  <si>
    <t>Amarillo ISD (General Obligation Debt)</t>
  </si>
  <si>
    <t>River Road ISD (General Obligation Debt)</t>
  </si>
  <si>
    <t>Bushland ISD (General Obligation Debt)</t>
  </si>
  <si>
    <t>Marfa ISD (General Obligation Debt)</t>
  </si>
  <si>
    <t>Presidio ISD (General Obligation Debt)</t>
  </si>
  <si>
    <t>Rains ISD (General Obligation Debt)</t>
  </si>
  <si>
    <t>Canyon ISD (General Obligation Debt)</t>
  </si>
  <si>
    <t>Reagan Co ISD (General Obligation Debt)</t>
  </si>
  <si>
    <t>Rivercrest ISD (General Obligation Debt)</t>
  </si>
  <si>
    <t>Detroit ISD (General Obligation Debt)</t>
  </si>
  <si>
    <t>Balmorhea ISD (General Obligation Debt)</t>
  </si>
  <si>
    <t>Austwell-Tivoli ISD (General Obligation Debt)</t>
  </si>
  <si>
    <t>Woodsboro ISD (General Obligation Debt)</t>
  </si>
  <si>
    <t>Refugio ISD (General Obligation Debt)</t>
  </si>
  <si>
    <t>Miami ISD (General Obligation Debt)</t>
  </si>
  <si>
    <t>Bremond ISD (General Obligation Debt)</t>
  </si>
  <si>
    <t>Franklin ISD (General Obligation Debt)</t>
  </si>
  <si>
    <t>Hearne ISD (General Obligation Debt)</t>
  </si>
  <si>
    <t>Rockwall ISD (General Obligation Debt)</t>
  </si>
  <si>
    <t>Royse City ISD (General Obligation Debt)</t>
  </si>
  <si>
    <t>Fannindel ISD (General Obligation Debt)</t>
  </si>
  <si>
    <t>Denton ISD (General Obligation Debt)</t>
  </si>
  <si>
    <t>Lewisville ISD (General Obligation Debt)</t>
  </si>
  <si>
    <t>Pilot Point ISD (General Obligation Debt)</t>
  </si>
  <si>
    <t>Krum ISD (General Obligation Debt)</t>
  </si>
  <si>
    <t>Ponder ISD (General Obligation Debt)</t>
  </si>
  <si>
    <t>Aubrey ISD (General Obligation Debt)</t>
  </si>
  <si>
    <t>Sanger ISD (General Obligation Debt)</t>
  </si>
  <si>
    <t>Argyle ISD (General Obligation Debt)</t>
  </si>
  <si>
    <t>Northwest ISD (General Obligation Debt)</t>
  </si>
  <si>
    <t>Lake Dallas ISD (General Obligation Debt)</t>
  </si>
  <si>
    <t>Little Elm ISD (General Obligation Debt)</t>
  </si>
  <si>
    <t>Cuero ISD (General Obligation Debt)</t>
  </si>
  <si>
    <t>Nordheim ISD (General Obligation Debt)</t>
  </si>
  <si>
    <t>Yoakum ISD (General Obligation Debt)</t>
  </si>
  <si>
    <t>Westhoff ISD (General Obligation Debt)</t>
  </si>
  <si>
    <t>Spur ISD (General Obligation Debt)</t>
  </si>
  <si>
    <t>Carrizo Springs CISD (General Obligation Debt)</t>
  </si>
  <si>
    <t>Hedley ISD (General Obligation Debt)</t>
  </si>
  <si>
    <t>Benavides ISD (General Obligation Debt)</t>
  </si>
  <si>
    <t>San Diego ISD (General Obligation Debt)</t>
  </si>
  <si>
    <t>Ector Co ISD (General Obligation Debt)</t>
  </si>
  <si>
    <t>Nueces Canyon CISD (General Obligation Debt)</t>
  </si>
  <si>
    <t>Avalon ISD (General Obligation Debt)</t>
  </si>
  <si>
    <t>Ennis ISD (General Obligation Debt)</t>
  </si>
  <si>
    <t>Ferris ISD (General Obligation Debt)</t>
  </si>
  <si>
    <t>Italy ISD (General Obligation Debt)</t>
  </si>
  <si>
    <t>Midlothian ISD (General Obligation Debt)</t>
  </si>
  <si>
    <t>Milford ISD (General Obligation Debt)</t>
  </si>
  <si>
    <t>Palmer ISD (General Obligation Debt)</t>
  </si>
  <si>
    <t>Red Oak ISD (General Obligation Debt)</t>
  </si>
  <si>
    <t>Waxahachie ISD (General Obligation Debt)</t>
  </si>
  <si>
    <t>Maypearl ISD (General Obligation Debt)</t>
  </si>
  <si>
    <t>Clint ISD (General Obligation Debt)</t>
  </si>
  <si>
    <t>El Paso ISD (General Obligation Debt)</t>
  </si>
  <si>
    <t>Fabens ISD (General Obligation Debt)</t>
  </si>
  <si>
    <t>San Elizario ISD (General Obligation Debt)</t>
  </si>
  <si>
    <t>Ysleta ISD (General Obligation Debt)</t>
  </si>
  <si>
    <t>Anthony ISD (General Obligation Debt)</t>
  </si>
  <si>
    <t>Canutillo ISD (General Obligation Debt)</t>
  </si>
  <si>
    <t>Tornillo ISD (General Obligation Debt)</t>
  </si>
  <si>
    <t>Socorro ISD (General Obligation Debt)</t>
  </si>
  <si>
    <t>Dublin ISD (General Obligation Debt)</t>
  </si>
  <si>
    <t>Stephenville ISD (General Obligation Debt)</t>
  </si>
  <si>
    <t>Bluff Dale ISD (General Obligation Debt)</t>
  </si>
  <si>
    <t>Lingleville ISD (General Obligation Debt)</t>
  </si>
  <si>
    <t>Chilton ISD (General Obligation Debt)</t>
  </si>
  <si>
    <t>Marlin ISD (General Obligation Debt)</t>
  </si>
  <si>
    <t>Bonham ISD (General Obligation Debt)</t>
  </si>
  <si>
    <t>Dodd City ISD (General Obligation Debt)</t>
  </si>
  <si>
    <t>Ector ISD (General Obligation Debt)</t>
  </si>
  <si>
    <t>Honey Grove ISD (General Obligation Debt)</t>
  </si>
  <si>
    <t>Leonard ISD (General Obligation Debt)</t>
  </si>
  <si>
    <t>Savoy ISD (General Obligation Debt)</t>
  </si>
  <si>
    <t>Trenton ISD (General Obligation Debt)</t>
  </si>
  <si>
    <t>Sam Rayburn ISD (General Obligation Debt)</t>
  </si>
  <si>
    <t>Flatonia ISD (General Obligation Debt)</t>
  </si>
  <si>
    <t>La Grange ISD (General Obligation Debt)</t>
  </si>
  <si>
    <t>Schulenburg ISD (General Obligation Debt)</t>
  </si>
  <si>
    <t>Round Top-Carmine ISD (General Obligation Debt)</t>
  </si>
  <si>
    <t>Roby CISD (General Obligation Debt)</t>
  </si>
  <si>
    <t>Rotan ISD (General Obligation Debt)</t>
  </si>
  <si>
    <t>Lamar CISD (General Obligation Debt)</t>
  </si>
  <si>
    <t>Needville ISD (General Obligation Debt)</t>
  </si>
  <si>
    <t>Fort Bend ISD (General Obligation Debt)</t>
  </si>
  <si>
    <t>Kendleton ISD (General Obligation Debt)</t>
  </si>
  <si>
    <t>Stafford MSD (General Obligation Debt)</t>
  </si>
  <si>
    <t>Fairfield ISD (General Obligation Debt)</t>
  </si>
  <si>
    <t>Teague ISD (General Obligation Debt)</t>
  </si>
  <si>
    <t>Wortham ISD (General Obligation Debt)</t>
  </si>
  <si>
    <t>Dilley ISD (General Obligation Debt)</t>
  </si>
  <si>
    <t>Pearsall ISD (General Obligation Debt)</t>
  </si>
  <si>
    <t>Loop ISD (General Obligation Debt)</t>
  </si>
  <si>
    <t>Seminole ISD (General Obligation Debt)</t>
  </si>
  <si>
    <t>Dickinson ISD (General Obligation Debt)</t>
  </si>
  <si>
    <t>Galveston ISD (General Obligation Debt)</t>
  </si>
  <si>
    <t>High Island ISD (General Obligation Debt)</t>
  </si>
  <si>
    <t>La Marque ISD (General Obligation Debt)</t>
  </si>
  <si>
    <t>Texas City ISD (General Obligation Debt)</t>
  </si>
  <si>
    <t>Hitchcock ISD (General Obligation Debt)</t>
  </si>
  <si>
    <t>Santa Fe ISD (General Obligation Debt)</t>
  </si>
  <si>
    <t>Clear Creek ISD (General Obligation Debt)</t>
  </si>
  <si>
    <t>Friendswood ISD (General Obligation Debt)</t>
  </si>
  <si>
    <t>Fredericksburg ISD (General Obligation Debt)</t>
  </si>
  <si>
    <t>Goliad ISD (General Obligation Debt)</t>
  </si>
  <si>
    <t>Gonzales ISD (General Obligation Debt)</t>
  </si>
  <si>
    <t>Nixon-Smiley CISD (General Obligation Debt)</t>
  </si>
  <si>
    <t>Lefors ISD (General Obligation Debt)</t>
  </si>
  <si>
    <t>Pampa ISD (General Obligation Debt)</t>
  </si>
  <si>
    <t>Grandview-Hopkins ISD (General Obligation Debt)</t>
  </si>
  <si>
    <t>Excess Hrs.</t>
  </si>
  <si>
    <t>FTE's</t>
  </si>
  <si>
    <t xml:space="preserve">  Speech Therapy   (00)</t>
  </si>
  <si>
    <t xml:space="preserve">  Homebound   (01)</t>
  </si>
  <si>
    <t xml:space="preserve">  Hospital Class   (02)</t>
  </si>
  <si>
    <t xml:space="preserve">  VAC   (08)</t>
  </si>
  <si>
    <t xml:space="preserve">  Resource Room   (41)</t>
  </si>
  <si>
    <t xml:space="preserve">  Resource Room   (42)</t>
  </si>
  <si>
    <t xml:space="preserve">  Mild/Mod/Severe   (43)</t>
  </si>
  <si>
    <t xml:space="preserve">  Mild/Mod/Severe   (44)</t>
  </si>
  <si>
    <t xml:space="preserve">  Full Time E/C Sp. Ed. (45)</t>
  </si>
  <si>
    <t xml:space="preserve">  Nonpublic Contract FTEs</t>
  </si>
  <si>
    <t>Total Special  Ed FTEs:</t>
  </si>
  <si>
    <t xml:space="preserve">Total Wgt. Special  Ed FTEs: </t>
  </si>
  <si>
    <t>Mainstream Refined ADA:</t>
  </si>
  <si>
    <t>Total</t>
  </si>
  <si>
    <t>(+/-)</t>
  </si>
  <si>
    <t>(E/C counts entered in S/C)</t>
  </si>
  <si>
    <t>&lt;= Entered for you if the district has an IFA Lease Purchase</t>
  </si>
  <si>
    <t>Net Gain from Chapter 41 Partnership</t>
  </si>
  <si>
    <t>Payments from a Chapter 41 District</t>
  </si>
  <si>
    <r>
      <t>Step 1:</t>
    </r>
    <r>
      <rPr>
        <b/>
        <sz val="14"/>
        <color indexed="10"/>
        <rFont val="Arial MT"/>
      </rPr>
      <t xml:space="preserve"> Place your cursor on date (Thursday, November 16, 2006) and highlight down to "Total State Aid" </t>
    </r>
  </si>
  <si>
    <t>Fort Hancock ISD (General Obligation Debt)</t>
  </si>
  <si>
    <t>Caddo Mills ISD (General Obligation Debt)</t>
  </si>
  <si>
    <t>Celeste ISD (General Obligation Debt)</t>
  </si>
  <si>
    <t>Commerce ISD (General Obligation Debt)</t>
  </si>
  <si>
    <t>Greenville ISD (General Obligation Debt)</t>
  </si>
  <si>
    <t>Lone Oak ISD (General Obligation Debt)</t>
  </si>
  <si>
    <t>Quinlan ISD (General Obligation Debt)</t>
  </si>
  <si>
    <t>Wolfe City ISD (General Obligation Debt)</t>
  </si>
  <si>
    <t>Campbell ISD (General Obligation Debt)</t>
  </si>
  <si>
    <t>Bland ISD (General Obligation Debt)</t>
  </si>
  <si>
    <t>Boles ISD (General Obligation Debt)</t>
  </si>
  <si>
    <t>Sanford-Fritch ISD (General Obligation Debt)</t>
  </si>
  <si>
    <t>Plemons-Stinnett-Phillips CISD (General Obligation Debt)</t>
  </si>
  <si>
    <t>Bryson ISD (General Obligation Debt)</t>
  </si>
  <si>
    <t>Jacksboro ISD (General Obligation Debt)</t>
  </si>
  <si>
    <t>Perrin-Whitt CISD (General Obligation Debt)</t>
  </si>
  <si>
    <t>Edna ISD (General Obligation Debt)</t>
  </si>
  <si>
    <t>Ganado ISD (General Obligation Debt)</t>
  </si>
  <si>
    <t>Industrial ISD (General Obligation Debt)</t>
  </si>
  <si>
    <t>Buna ISD (General Obligation Debt)</t>
  </si>
  <si>
    <t>Jasper ISD (General Obligation Debt)</t>
  </si>
  <si>
    <t>Kirbyville CISD (General Obligation Debt)</t>
  </si>
  <si>
    <t>Evadale ISD (General Obligation Debt)</t>
  </si>
  <si>
    <t>Nederland ISD (General Obligation Debt)</t>
  </si>
  <si>
    <t>Port Arthur ISD (General Obligation Debt)</t>
  </si>
  <si>
    <t>Port Neches-Groves ISD (General Obligation Debt)</t>
  </si>
  <si>
    <t>Beaumont ISD (General Obligation Debt)</t>
  </si>
  <si>
    <t>Sabine Pass ISD (General Obligation Debt)</t>
  </si>
  <si>
    <t>Hamshire-Fannett ISD (General Obligation Debt)</t>
  </si>
  <si>
    <t>Jim Hogg Co ISD (General Obligation Debt)</t>
  </si>
  <si>
    <t>Alice ISD (General Obligation Debt)</t>
  </si>
  <si>
    <t>Ben Bolt-Palito Blanco ISD (General Obligation Debt)</t>
  </si>
  <si>
    <t>Orange Grove ISD (General Obligation Debt)</t>
  </si>
  <si>
    <t>Premont ISD (General Obligation Debt)</t>
  </si>
  <si>
    <t>Alvarado ISD (General Obligation Debt)</t>
  </si>
  <si>
    <t>Burleson ISD (General Obligation Debt)</t>
  </si>
  <si>
    <t>Cleburne ISD (General Obligation Debt)</t>
  </si>
  <si>
    <t>Grandview ISD (General Obligation Debt)</t>
  </si>
  <si>
    <t>Joshua ISD (General Obligation Debt)</t>
  </si>
  <si>
    <t>Rio Vista ISD (General Obligation Debt)</t>
  </si>
  <si>
    <t>Venus ISD (General Obligation Debt)</t>
  </si>
  <si>
    <t>Godley ISD (General Obligation Debt)</t>
  </si>
  <si>
    <t>Hamlin ISD (General Obligation Debt)</t>
  </si>
  <si>
    <t>Lueders-Avoca ISD (General Obligation Debt)</t>
  </si>
  <si>
    <t>Stamford ISD (General Obligation Debt)</t>
  </si>
  <si>
    <t>Karnes City ISD (General Obligation Debt)</t>
  </si>
  <si>
    <t>Kenedy ISD (General Obligation Debt)</t>
  </si>
  <si>
    <t>Falls City ISD (General Obligation Debt)</t>
  </si>
  <si>
    <t>Crandall ISD (General Obligation Debt)</t>
  </si>
  <si>
    <t>Forney ISD (General Obligation Debt)</t>
  </si>
  <si>
    <t>Kaufman ISD (General Obligation Debt)</t>
  </si>
  <si>
    <t>Kemp ISD (General Obligation Debt)</t>
  </si>
  <si>
    <t>Mabank ISD (General Obligation Debt)</t>
  </si>
  <si>
    <t>Terrell ISD (General Obligation Debt)</t>
  </si>
  <si>
    <t>Scurry-Rosser ISD (General Obligation Debt)</t>
  </si>
  <si>
    <t>Boerne ISD (General Obligation Debt)</t>
  </si>
  <si>
    <t>Comfort ISD (General Obligation Debt)</t>
  </si>
  <si>
    <t>131-1</t>
  </si>
  <si>
    <t>Kenedy County-Wide CSD (General Obligation Debt)</t>
  </si>
  <si>
    <t>Jayton-Girard ISD (General Obligation Debt)</t>
  </si>
  <si>
    <t>200-901</t>
  </si>
  <si>
    <t>Ballinger ISD</t>
  </si>
  <si>
    <t>201-902</t>
  </si>
  <si>
    <t>East Central ISD</t>
  </si>
  <si>
    <t>Early ISD</t>
  </si>
  <si>
    <t>2006-07 Chapter 41 Recapture @ Compressed Rate</t>
  </si>
  <si>
    <t>Deer Park ISD</t>
  </si>
  <si>
    <t>101-911</t>
  </si>
  <si>
    <t>Goose Creek ISD</t>
  </si>
  <si>
    <t>101-912</t>
  </si>
  <si>
    <t>Houston ISD</t>
  </si>
  <si>
    <t>101-916</t>
  </si>
  <si>
    <t>La Porte ISD</t>
  </si>
  <si>
    <t>129-905</t>
  </si>
  <si>
    <t>Mabank ISD</t>
  </si>
  <si>
    <t>129-906</t>
  </si>
  <si>
    <t>Terrell ISD</t>
  </si>
  <si>
    <t>130-901</t>
  </si>
  <si>
    <t>Booker ISD</t>
  </si>
  <si>
    <t>148-902</t>
  </si>
  <si>
    <t>Follett ISD</t>
  </si>
  <si>
    <t>148-903</t>
  </si>
  <si>
    <t>Higgins ISD</t>
  </si>
  <si>
    <t>KNIPPA ISD</t>
  </si>
  <si>
    <t>KNOX CITY-O'BRIEN CISD</t>
  </si>
  <si>
    <t>KRUM ISD</t>
  </si>
  <si>
    <t>Release 7.0; August 1, 2006</t>
  </si>
  <si>
    <t xml:space="preserve">     Portion of State Aid Paid From Foundation Fund</t>
  </si>
  <si>
    <t xml:space="preserve">     Cost per WADA</t>
  </si>
  <si>
    <t xml:space="preserve">          WADA DISTRICT CAN SELL</t>
  </si>
  <si>
    <t>State Share</t>
  </si>
  <si>
    <t>max gt</t>
  </si>
  <si>
    <t>max lr</t>
  </si>
  <si>
    <t>THREE RIVERS ISD</t>
  </si>
  <si>
    <t>LLANO ISD</t>
  </si>
  <si>
    <t>NEW DEAL ISD</t>
  </si>
  <si>
    <t>SLATON ISD</t>
  </si>
  <si>
    <t>ROOSEVELT ISD</t>
  </si>
  <si>
    <t>IDALOU ISD</t>
  </si>
  <si>
    <t>O'DONNELL ISD</t>
  </si>
  <si>
    <t xml:space="preserve">2004-05 Local Share of IFA Awarded for Bonded Debt </t>
  </si>
  <si>
    <t>2004-05 Excess I&amp;S Tax Collections (Line 1 - Line 2 - Line 3)</t>
  </si>
  <si>
    <t xml:space="preserve">2005-06 Actual Debt Service Payment for Eligible Bonded Debt * </t>
  </si>
  <si>
    <t xml:space="preserve">2005-06 State/Local Share of IFA Awarded for Bonded Debt </t>
  </si>
  <si>
    <t>Estimated 2005-06 ADA</t>
  </si>
  <si>
    <t>2004 CPTD Property Value</t>
  </si>
  <si>
    <t xml:space="preserve">2004-05 Rate Used to Determine Maximum Limit </t>
  </si>
  <si>
    <t xml:space="preserve">2005-06 Rate Needed for All Eligible Debt </t>
  </si>
  <si>
    <t>2005-06 Allowed Rate (Lesser of Line 10 or Line 11, or $.29)</t>
  </si>
  <si>
    <t xml:space="preserve">              2004-05 school year or taxes levied to pay the principal of and interest on </t>
  </si>
  <si>
    <t xml:space="preserve">              2004-05, and  (2) the district does not receive IFA assistance for these bonds.</t>
  </si>
  <si>
    <t>LEFORS ISD</t>
  </si>
  <si>
    <t>MCLEAN ISD</t>
  </si>
  <si>
    <t>GRANDVIEW-HOPKINS ISD</t>
  </si>
  <si>
    <t>COLLINSVILLE ISD</t>
  </si>
  <si>
    <t>DENISON ISD</t>
  </si>
  <si>
    <t>Holland ISD (General Obligation Debt)</t>
  </si>
  <si>
    <t>Killeen ISD (General Obligation Debt)</t>
  </si>
  <si>
    <t>Rogers ISD (General Obligation Debt)</t>
  </si>
  <si>
    <t>49906</t>
  </si>
  <si>
    <t>49907</t>
  </si>
  <si>
    <t>49908</t>
  </si>
  <si>
    <t>49909</t>
  </si>
  <si>
    <t>50901</t>
  </si>
  <si>
    <t>50902</t>
  </si>
  <si>
    <t>50904</t>
  </si>
  <si>
    <t>50909</t>
  </si>
  <si>
    <t>50910</t>
  </si>
  <si>
    <t>51901</t>
  </si>
  <si>
    <t>52901</t>
  </si>
  <si>
    <t>053-1</t>
  </si>
  <si>
    <t>53001</t>
  </si>
  <si>
    <t>54901</t>
  </si>
  <si>
    <t>54902</t>
  </si>
  <si>
    <t>54903</t>
  </si>
  <si>
    <t>55901</t>
  </si>
  <si>
    <t>56901</t>
  </si>
  <si>
    <t>56902</t>
  </si>
  <si>
    <t>057-0</t>
  </si>
  <si>
    <t>57000</t>
  </si>
  <si>
    <t>057-801</t>
  </si>
  <si>
    <t>RENAISSANCE CHARTER SCHOOL</t>
  </si>
  <si>
    <t>57801</t>
  </si>
  <si>
    <t>57802</t>
  </si>
  <si>
    <t>57803</t>
  </si>
  <si>
    <t>57804</t>
  </si>
  <si>
    <t>57805</t>
  </si>
  <si>
    <t>57806</t>
  </si>
  <si>
    <t>57807</t>
  </si>
  <si>
    <t>57808</t>
  </si>
  <si>
    <t>57809</t>
  </si>
  <si>
    <t>57810</t>
  </si>
  <si>
    <t>57811</t>
  </si>
  <si>
    <t>57813</t>
  </si>
  <si>
    <t>57814</t>
  </si>
  <si>
    <t>57815</t>
  </si>
  <si>
    <t>57816</t>
  </si>
  <si>
    <t>57817</t>
  </si>
  <si>
    <t>57818</t>
  </si>
  <si>
    <t>57819</t>
  </si>
  <si>
    <t>057-820</t>
  </si>
  <si>
    <t>RYLIE FAITH FAMILY ACADEMY</t>
  </si>
  <si>
    <t>57820</t>
  </si>
  <si>
    <t>57821</t>
  </si>
  <si>
    <t>057-822</t>
  </si>
  <si>
    <t>P O W E R</t>
  </si>
  <si>
    <t>57822</t>
  </si>
  <si>
    <t>57823</t>
  </si>
  <si>
    <t>57825</t>
  </si>
  <si>
    <t>57827</t>
  </si>
  <si>
    <t>57828</t>
  </si>
  <si>
    <t>57829</t>
  </si>
  <si>
    <t>57830</t>
  </si>
  <si>
    <t>57831</t>
  </si>
  <si>
    <t>57832</t>
  </si>
  <si>
    <t>57833</t>
  </si>
  <si>
    <t>57834</t>
  </si>
  <si>
    <t>57835</t>
  </si>
  <si>
    <t>57836</t>
  </si>
  <si>
    <t>57837</t>
  </si>
  <si>
    <t>57903</t>
  </si>
  <si>
    <t>57904</t>
  </si>
  <si>
    <t>57905</t>
  </si>
  <si>
    <t>57906</t>
  </si>
  <si>
    <t>57907</t>
  </si>
  <si>
    <t>57909</t>
  </si>
  <si>
    <t>57910</t>
  </si>
  <si>
    <t>57911</t>
  </si>
  <si>
    <t>57912</t>
  </si>
  <si>
    <t>57913</t>
  </si>
  <si>
    <t>57914</t>
  </si>
  <si>
    <t>57916</t>
  </si>
  <si>
    <t>57919</t>
  </si>
  <si>
    <t>57920</t>
  </si>
  <si>
    <t>57922</t>
  </si>
  <si>
    <t>57950</t>
  </si>
  <si>
    <t>58902</t>
  </si>
  <si>
    <t>58905</t>
  </si>
  <si>
    <t>58906</t>
  </si>
  <si>
    <t>58909</t>
  </si>
  <si>
    <t>59901</t>
  </si>
  <si>
    <t>59902</t>
  </si>
  <si>
    <t>60902</t>
  </si>
  <si>
    <t>60914</t>
  </si>
  <si>
    <t>61501</t>
  </si>
  <si>
    <t>061-801</t>
  </si>
  <si>
    <t>L O V E-LIFE'S OUTREACH VOCATIONAL</t>
  </si>
  <si>
    <t>61801</t>
  </si>
  <si>
    <t>61802</t>
  </si>
  <si>
    <t>61901</t>
  </si>
  <si>
    <t>61902</t>
  </si>
  <si>
    <t>61903</t>
  </si>
  <si>
    <t>61905</t>
  </si>
  <si>
    <t>61906</t>
  </si>
  <si>
    <t>61907</t>
  </si>
  <si>
    <t>61908</t>
  </si>
  <si>
    <t>61910</t>
  </si>
  <si>
    <t>61911</t>
  </si>
  <si>
    <t>61912</t>
  </si>
  <si>
    <t>61914</t>
  </si>
  <si>
    <t>62901</t>
  </si>
  <si>
    <t>62902</t>
  </si>
  <si>
    <t>62903</t>
  </si>
  <si>
    <t>62904</t>
  </si>
  <si>
    <t>62905</t>
  </si>
  <si>
    <t>62906</t>
  </si>
  <si>
    <t>63903</t>
  </si>
  <si>
    <t>63906</t>
  </si>
  <si>
    <t>64903</t>
  </si>
  <si>
    <t>65901</t>
  </si>
  <si>
    <t>65902</t>
  </si>
  <si>
    <t>066-5</t>
  </si>
  <si>
    <t>66005</t>
  </si>
  <si>
    <t>66901</t>
  </si>
  <si>
    <t>66902</t>
  </si>
  <si>
    <t>66903</t>
  </si>
  <si>
    <t>67902</t>
  </si>
  <si>
    <t>67903</t>
  </si>
  <si>
    <t>67904</t>
  </si>
  <si>
    <t>67907</t>
  </si>
  <si>
    <t>67908</t>
  </si>
  <si>
    <t>68801</t>
  </si>
  <si>
    <t>68901</t>
  </si>
  <si>
    <t>69901</t>
  </si>
  <si>
    <t>69902</t>
  </si>
  <si>
    <t>70801</t>
  </si>
  <si>
    <t>70901</t>
  </si>
  <si>
    <t>70903</t>
  </si>
  <si>
    <t>70905</t>
  </si>
  <si>
    <t>70907</t>
  </si>
  <si>
    <t>70908</t>
  </si>
  <si>
    <t>70909</t>
  </si>
  <si>
    <t>70910</t>
  </si>
  <si>
    <t>70911</t>
  </si>
  <si>
    <t>70912</t>
  </si>
  <si>
    <t>70915</t>
  </si>
  <si>
    <t>71801</t>
  </si>
  <si>
    <t>71803</t>
  </si>
  <si>
    <t>71804</t>
  </si>
  <si>
    <t>71805</t>
  </si>
  <si>
    <t>71901</t>
  </si>
  <si>
    <t>71902</t>
  </si>
  <si>
    <t>71903</t>
  </si>
  <si>
    <t>71904</t>
  </si>
  <si>
    <t>71905</t>
  </si>
  <si>
    <t>71906</t>
  </si>
  <si>
    <t>71907</t>
  </si>
  <si>
    <t>71908</t>
  </si>
  <si>
    <t>71909</t>
  </si>
  <si>
    <t>71950</t>
  </si>
  <si>
    <t>72801</t>
  </si>
  <si>
    <t>72901</t>
  </si>
  <si>
    <t>72902</t>
  </si>
  <si>
    <t>72903</t>
  </si>
  <si>
    <t>72904</t>
  </si>
  <si>
    <t>72908</t>
  </si>
  <si>
    <t>72909</t>
  </si>
  <si>
    <t>72910</t>
  </si>
  <si>
    <t>73901</t>
  </si>
  <si>
    <t>73903</t>
  </si>
  <si>
    <t>73904</t>
  </si>
  <si>
    <t>73905</t>
  </si>
  <si>
    <t>73906</t>
  </si>
  <si>
    <t>74903</t>
  </si>
  <si>
    <t>74904</t>
  </si>
  <si>
    <t>74905</t>
  </si>
  <si>
    <t>74907</t>
  </si>
  <si>
    <t>74909</t>
  </si>
  <si>
    <t>74911</t>
  </si>
  <si>
    <t>74912</t>
  </si>
  <si>
    <t>74917</t>
  </si>
  <si>
    <t>75901</t>
  </si>
  <si>
    <t>75902</t>
  </si>
  <si>
    <t>75903</t>
  </si>
  <si>
    <t>75906</t>
  </si>
  <si>
    <t>75908</t>
  </si>
  <si>
    <t>76903</t>
  </si>
  <si>
    <t>76904</t>
  </si>
  <si>
    <t>77901</t>
  </si>
  <si>
    <t>77902</t>
  </si>
  <si>
    <t>78901</t>
  </si>
  <si>
    <t>79901</t>
  </si>
  <si>
    <t>79906</t>
  </si>
  <si>
    <t>79907</t>
  </si>
  <si>
    <t>79908</t>
  </si>
  <si>
    <t>79910</t>
  </si>
  <si>
    <t>80901</t>
  </si>
  <si>
    <t>81902</t>
  </si>
  <si>
    <t>81904</t>
  </si>
  <si>
    <t>81905</t>
  </si>
  <si>
    <t>81906</t>
  </si>
  <si>
    <t>82902</t>
  </si>
  <si>
    <t>82903</t>
  </si>
  <si>
    <t>83901</t>
  </si>
  <si>
    <t>83902</t>
  </si>
  <si>
    <t>83903</t>
  </si>
  <si>
    <t>84505</t>
  </si>
  <si>
    <t>84801</t>
  </si>
  <si>
    <t>84802</t>
  </si>
  <si>
    <t>84901</t>
  </si>
  <si>
    <t>84902</t>
  </si>
  <si>
    <t>84903</t>
  </si>
  <si>
    <t>84904</t>
  </si>
  <si>
    <t>84906</t>
  </si>
  <si>
    <t>84908</t>
  </si>
  <si>
    <t>84909</t>
  </si>
  <si>
    <t>84910</t>
  </si>
  <si>
    <t>84911</t>
  </si>
  <si>
    <t>Note: If district retains this net gain, the HB 1 hold harmless amount or 'excess' amount</t>
  </si>
  <si>
    <t>will be decreased/increased accordingly.  If district sends all of this amount to another</t>
  </si>
  <si>
    <t>entity, there will be no offset to the HB 1 hold harmless amount or to the 'excess' amount.</t>
  </si>
  <si>
    <r>
      <t>&lt;=</t>
    </r>
    <r>
      <rPr>
        <b/>
        <sz val="10"/>
        <rFont val="Arial MT"/>
      </rPr>
      <t xml:space="preserve"> </t>
    </r>
    <r>
      <rPr>
        <sz val="10"/>
        <rFont val="Arial MT"/>
      </rPr>
      <t xml:space="preserve">Enter the ADA of an eligible (for NIFA) new instructional facility that will open for the first time in either 2005-06 or 2006-07.  If the applicable year is the second year of eligibility, enter the difference between the first and second year ADA.   </t>
    </r>
    <r>
      <rPr>
        <b/>
        <sz val="10"/>
        <rFont val="Arial MT"/>
      </rPr>
      <t/>
    </r>
  </si>
  <si>
    <t>Amount of Tuition Paid per Student</t>
  </si>
  <si>
    <t>CAD Cost</t>
  </si>
  <si>
    <t>OPTION 3 COST</t>
  </si>
  <si>
    <t xml:space="preserve">     Tax Base Retained per WADA</t>
  </si>
  <si>
    <t xml:space="preserve">     Early Agreement/Efficiency Credit</t>
  </si>
  <si>
    <t>OPTION 4 COST</t>
  </si>
  <si>
    <t>Waxahachie ISD</t>
  </si>
  <si>
    <t>West ISD</t>
  </si>
  <si>
    <t>Elgin ISD</t>
  </si>
  <si>
    <t>Etoile ISD</t>
  </si>
  <si>
    <t>M&amp;O Revenue From State (not including Fund 599)</t>
  </si>
  <si>
    <t>Hold Harmless Base Revenue (the "greater of" amount)</t>
  </si>
  <si>
    <t>Salary Allotment</t>
  </si>
  <si>
    <t>Total Base Revenue</t>
  </si>
  <si>
    <t>Total Revenue for HB 1 Comparison</t>
  </si>
  <si>
    <t>Comparison of HB 1 State Aid to Hold Harmless Base:</t>
  </si>
  <si>
    <r>
      <t>&lt;=</t>
    </r>
    <r>
      <rPr>
        <b/>
        <sz val="10"/>
        <rFont val="Arial MT"/>
      </rPr>
      <t xml:space="preserve"> </t>
    </r>
    <r>
      <rPr>
        <sz val="10"/>
        <rFont val="Arial MT"/>
      </rPr>
      <t xml:space="preserve">Enter non-public residential placement contract FTEs. </t>
    </r>
    <r>
      <rPr>
        <b/>
        <sz val="10"/>
        <rFont val="Arial MT"/>
      </rPr>
      <t xml:space="preserve"> </t>
    </r>
  </si>
  <si>
    <r>
      <t>&lt;=</t>
    </r>
    <r>
      <rPr>
        <b/>
        <sz val="10"/>
        <rFont val="Arial MT"/>
      </rPr>
      <t xml:space="preserve"> </t>
    </r>
    <r>
      <rPr>
        <sz val="10"/>
        <rFont val="Arial MT"/>
      </rPr>
      <t xml:space="preserve">Enter residential care and treatment FTEs. </t>
    </r>
  </si>
  <si>
    <r>
      <t xml:space="preserve">&lt;= Enter the number of FTEs in this new arrangement. </t>
    </r>
    <r>
      <rPr>
        <b/>
        <sz val="10"/>
        <rFont val="Arial MT"/>
      </rPr>
      <t xml:space="preserve"> </t>
    </r>
  </si>
  <si>
    <r>
      <t>&lt;=</t>
    </r>
    <r>
      <rPr>
        <b/>
        <sz val="10"/>
        <rFont val="Arial MT"/>
      </rPr>
      <t xml:space="preserve"> </t>
    </r>
    <r>
      <rPr>
        <sz val="10"/>
        <rFont val="Arial MT"/>
      </rPr>
      <t>Enter mainstream ADA.</t>
    </r>
    <r>
      <rPr>
        <b/>
        <sz val="10"/>
        <rFont val="Arial MT"/>
      </rPr>
      <t xml:space="preserve"> </t>
    </r>
  </si>
  <si>
    <r>
      <t xml:space="preserve">&lt;= Enter pregnant students FTEs (must be receiving related services).  </t>
    </r>
    <r>
      <rPr>
        <b/>
        <sz val="10"/>
        <rFont val="Arial MT"/>
      </rPr>
      <t xml:space="preserve"> </t>
    </r>
  </si>
  <si>
    <r>
      <t>&lt;=</t>
    </r>
    <r>
      <rPr>
        <b/>
        <sz val="10"/>
        <rFont val="Arial MT"/>
      </rPr>
      <t xml:space="preserve"> </t>
    </r>
    <r>
      <rPr>
        <sz val="10"/>
        <rFont val="Arial MT"/>
      </rPr>
      <t xml:space="preserve">Enter the ADA of students being served thru a Public Education Grant program.  </t>
    </r>
    <r>
      <rPr>
        <b/>
        <sz val="10"/>
        <rFont val="Arial MT"/>
      </rPr>
      <t/>
    </r>
  </si>
  <si>
    <t>2005-06 Eligible Debt Payment</t>
  </si>
  <si>
    <t>EDA Eligible (based on 04-05 eligibility)</t>
  </si>
  <si>
    <t xml:space="preserve">The following IFA data (Notice of Allotment Amount and 2005-06 eligible debt payment) are derived from </t>
  </si>
  <si>
    <t>Novice ISD</t>
  </si>
  <si>
    <t>043-908</t>
  </si>
  <si>
    <t>that it's OK for the $.04 not to be included in a Chapter 42 district's cost per WADA calculation.</t>
  </si>
  <si>
    <t>Salado ISD (General Obligation Debt)</t>
  </si>
  <si>
    <t>Temple ISD (General Obligation Debt)</t>
  </si>
  <si>
    <t>Troy ISD (General Obligation Debt)</t>
  </si>
  <si>
    <t>Alamo Heights ISD (General Obligation Debt)</t>
  </si>
  <si>
    <t>Harlandale ISD (General Obligation Debt)</t>
  </si>
  <si>
    <t>Edgewood ISD (General Obligation Debt)</t>
  </si>
  <si>
    <t>San Antonio ISD (General Obligation Debt)</t>
  </si>
  <si>
    <t>South San Antonio ISD (General Obligation Debt)</t>
  </si>
  <si>
    <t>Somerset ISD (General Obligation Debt)</t>
  </si>
  <si>
    <t>North East ISD (General Obligation Debt)</t>
  </si>
  <si>
    <t>East Central ISD (General Obligation Debt)</t>
  </si>
  <si>
    <t>Southwest ISD (General Obligation Debt)</t>
  </si>
  <si>
    <t>Northside ISD (General Obligation Debt)</t>
  </si>
  <si>
    <t>Judson ISD (General Obligation Debt)</t>
  </si>
  <si>
    <t>Southside ISD (General Obligation Debt)</t>
  </si>
  <si>
    <t>Johnson City ISD (General Obligation Debt)</t>
  </si>
  <si>
    <t>Blanco ISD (General Obligation Debt)</t>
  </si>
  <si>
    <t>Clifton ISD (General Obligation Debt)</t>
  </si>
  <si>
    <t>Meridian ISD (General Obligation Debt)</t>
  </si>
  <si>
    <t>Valley Mills ISD (General Obligation Debt)</t>
  </si>
  <si>
    <t>Iredell ISD (General Obligation Debt)</t>
  </si>
  <si>
    <t>Kopperl ISD (General Obligation Debt)</t>
  </si>
  <si>
    <t>Dekalb ISD (General Obligation Debt)</t>
  </si>
  <si>
    <t>Hooks ISD (General Obligation Debt)</t>
  </si>
  <si>
    <t>Maud ISD (General Obligation Debt)</t>
  </si>
  <si>
    <t>New Boston ISD (General Obligation Debt)</t>
  </si>
  <si>
    <t>Redwater ISD (General Obligation Debt)</t>
  </si>
  <si>
    <t>Texarkana ISD (General Obligation Debt)</t>
  </si>
  <si>
    <t>Liberty-Eylau ISD (General Obligation Debt)</t>
  </si>
  <si>
    <t>Simms ISD (General Obligation Debt)</t>
  </si>
  <si>
    <t>Malta ISD (General Obligation Debt)</t>
  </si>
  <si>
    <t>Red Lick ISD (General Obligation Debt)</t>
  </si>
  <si>
    <t>Pleasant Grove ISD (General Obligation Debt)</t>
  </si>
  <si>
    <t>Alvin ISD (General Obligation Debt)</t>
  </si>
  <si>
    <t>Angleton ISD (General Obligation Debt)</t>
  </si>
  <si>
    <t>Danbury ISD (General Obligation Debt)</t>
  </si>
  <si>
    <t>Brazosport ISD (General Obligation Debt)</t>
  </si>
  <si>
    <t>Sweeny ISD (General Obligation Debt)</t>
  </si>
  <si>
    <t>Columbia-Brazoria ISD (General Obligation Debt)</t>
  </si>
  <si>
    <t>Pearland ISD (General Obligation Debt)</t>
  </si>
  <si>
    <t>College Station ISD (General Obligation Debt)</t>
  </si>
  <si>
    <t>Bryan ISD (General Obligation Debt)</t>
  </si>
  <si>
    <t>Alpine ISD (General Obligation Debt)</t>
  </si>
  <si>
    <t>Brooks Co ISD (General Obligation Debt)</t>
  </si>
  <si>
    <t>140904</t>
  </si>
  <si>
    <t>140905</t>
  </si>
  <si>
    <t>140906</t>
  </si>
  <si>
    <t>140907</t>
  </si>
  <si>
    <t>140908</t>
  </si>
  <si>
    <t>141901</t>
  </si>
  <si>
    <t>141902</t>
  </si>
  <si>
    <t>142901</t>
  </si>
  <si>
    <t>143901</t>
  </si>
  <si>
    <t>143902</t>
  </si>
  <si>
    <t>143903</t>
  </si>
  <si>
    <t>143904</t>
  </si>
  <si>
    <t>143905</t>
  </si>
  <si>
    <t>143906</t>
  </si>
  <si>
    <t>144901</t>
  </si>
  <si>
    <t>144902</t>
  </si>
  <si>
    <t>144903</t>
  </si>
  <si>
    <t>145901</t>
  </si>
  <si>
    <t>145902</t>
  </si>
  <si>
    <t>145906</t>
  </si>
  <si>
    <t>145907</t>
  </si>
  <si>
    <t>145911</t>
  </si>
  <si>
    <t>146901</t>
  </si>
  <si>
    <t>146902</t>
  </si>
  <si>
    <t>146903</t>
  </si>
  <si>
    <t>146904</t>
  </si>
  <si>
    <t>146905</t>
  </si>
  <si>
    <t>146906</t>
  </si>
  <si>
    <t>146907</t>
  </si>
  <si>
    <t>147901</t>
  </si>
  <si>
    <t>147902</t>
  </si>
  <si>
    <t>147903</t>
  </si>
  <si>
    <t>148901</t>
  </si>
  <si>
    <t>148902</t>
  </si>
  <si>
    <t>148903</t>
  </si>
  <si>
    <t>148905</t>
  </si>
  <si>
    <t>149901</t>
  </si>
  <si>
    <t>149902</t>
  </si>
  <si>
    <t>150901</t>
  </si>
  <si>
    <t>151900</t>
  </si>
  <si>
    <t>.</t>
  </si>
  <si>
    <t>152901</t>
  </si>
  <si>
    <t>152902</t>
  </si>
  <si>
    <t>calculation has been changed to the way I think TEA will treat it once NIFA appears on the Summary of Finances.</t>
  </si>
  <si>
    <t>harmless amount.</t>
  </si>
  <si>
    <t>Prior releases had it being absorbed by the hold harmless amount and this release puts NIFA on top of the hold</t>
  </si>
  <si>
    <t xml:space="preserve">(4)  The calculation of the Hold Harmless Additional State Aid (that relates to the additional $10,000 homestead </t>
  </si>
  <si>
    <t>We have agreed to disagree.</t>
  </si>
  <si>
    <t xml:space="preserve">Under this methodology, you will notice some differences in the appearance of the Summary of Finances (SOF) </t>
  </si>
  <si>
    <r>
      <t>separate allotments listed under</t>
    </r>
    <r>
      <rPr>
        <b/>
        <i/>
        <sz val="10"/>
        <color indexed="38"/>
        <rFont val="Arial MT"/>
      </rPr>
      <t xml:space="preserve"> Additional Aid </t>
    </r>
    <r>
      <rPr>
        <b/>
        <sz val="10"/>
        <color indexed="38"/>
        <rFont val="Arial MT"/>
      </rPr>
      <t>of the SOF,</t>
    </r>
    <r>
      <rPr>
        <b/>
        <i/>
        <sz val="10"/>
        <color indexed="38"/>
        <rFont val="Arial MT"/>
      </rPr>
      <t xml:space="preserve"> </t>
    </r>
    <r>
      <rPr>
        <b/>
        <sz val="10"/>
        <color indexed="38"/>
        <rFont val="Arial MT"/>
      </rPr>
      <t xml:space="preserve">but are now embedded into the calculation of Additional </t>
    </r>
  </si>
  <si>
    <t>(2) your Additional State Aid for Tax Reduction will be greater than it was and what is calculated in Cell E106 on the</t>
  </si>
  <si>
    <t xml:space="preserve">altogether) than what is calculated in Cell E110 on the 'Calc Data' worksheet.  It will be less by the sum of the </t>
  </si>
  <si>
    <t>note: this will have to change when level 3 yield is different than level 1</t>
  </si>
  <si>
    <t>Net $110 per WADA Allotment</t>
  </si>
  <si>
    <t>Continuation of $110 per WADA Allotment:</t>
  </si>
  <si>
    <t xml:space="preserve">the Terms, Conditions, and Privacy provisions as stated on Region 13's website: </t>
  </si>
  <si>
    <t xml:space="preserve">http://www5.esc13.net/terms.html </t>
  </si>
  <si>
    <t>Exceptions:</t>
  </si>
  <si>
    <t>1) Texas public schools, Education Service Centers, charter schools, and any other non-profit entity</t>
  </si>
  <si>
    <t>may reproduce or copy this template without the express written permission of Region 13.</t>
  </si>
  <si>
    <t>&lt;=this is "...the amount of state revenue necessary to maintain…" under Section 42.2516(b)(1)</t>
  </si>
  <si>
    <t>246-906</t>
  </si>
  <si>
    <t>057-912</t>
  </si>
  <si>
    <t>109-907</t>
  </si>
  <si>
    <t>037-904</t>
  </si>
  <si>
    <t>121-904</t>
  </si>
  <si>
    <t>126-905</t>
  </si>
  <si>
    <t>015-916</t>
  </si>
  <si>
    <t>128-901</t>
  </si>
  <si>
    <t>101-914</t>
  </si>
  <si>
    <t>129-903</t>
  </si>
  <si>
    <t>220-907</t>
  </si>
  <si>
    <t>129-904</t>
  </si>
  <si>
    <t>220-914</t>
  </si>
  <si>
    <t>014-906</t>
  </si>
  <si>
    <t>121-905</t>
  </si>
  <si>
    <t>101-915</t>
  </si>
  <si>
    <t>232-901</t>
  </si>
  <si>
    <t>031-905</t>
  </si>
  <si>
    <t>108-912</t>
  </si>
  <si>
    <t>247-903</t>
  </si>
  <si>
    <t>108-914</t>
  </si>
  <si>
    <t>061-912</t>
  </si>
  <si>
    <t>Continuation of Additional HB 1 Revenue ($110 per WADA)</t>
  </si>
  <si>
    <t>Brock ISD</t>
  </si>
  <si>
    <t>177-902</t>
  </si>
  <si>
    <t>Sweetwater ISD</t>
  </si>
  <si>
    <t>177-903</t>
  </si>
  <si>
    <t>Blackwell Cons ISD</t>
  </si>
  <si>
    <t xml:space="preserve">Tier II Rate Allowed </t>
  </si>
  <si>
    <t>2006-07 Tier I State Aid Under HB 1 (excluding NIFA)</t>
  </si>
  <si>
    <t>High School Allotment - Fund 429</t>
  </si>
  <si>
    <t xml:space="preserve">     $110 per WADA </t>
  </si>
  <si>
    <t>Less: NIFA Allotment</t>
  </si>
  <si>
    <t>2004-05 Total Tax Effort (2006-07 tax effort under HB 1)</t>
  </si>
  <si>
    <t>2004-05 M&amp;O Tax Effort (2006-07 tax effort under HB 1)</t>
  </si>
  <si>
    <t>2004-05 I&amp;S Tax Collections (2006-07 under HB 1)</t>
  </si>
  <si>
    <t>LULING ISD</t>
  </si>
  <si>
    <t>LUMBERTON ISD</t>
  </si>
  <si>
    <t>LYFORD CISD</t>
  </si>
  <si>
    <t>MADISONVILLE CONS ISD</t>
  </si>
  <si>
    <t>MAGNOLIA ISD</t>
  </si>
  <si>
    <t>MALTA ISD</t>
  </si>
  <si>
    <t>MANSFIELD ISD</t>
  </si>
  <si>
    <t>MARBLE FALLS ISD</t>
  </si>
  <si>
    <t>MARFA ISD</t>
  </si>
  <si>
    <t>MARION ISD</t>
  </si>
  <si>
    <t>MARLIN ISD</t>
  </si>
  <si>
    <t>MART ISD</t>
  </si>
  <si>
    <t>MARTINS MILL ISD</t>
  </si>
  <si>
    <t>MATHIS ISD</t>
  </si>
  <si>
    <t>MAUD ISD</t>
  </si>
  <si>
    <t>MAY ISD</t>
  </si>
  <si>
    <t>MAYPEARL ISD</t>
  </si>
  <si>
    <t>MCALLEN ISD</t>
  </si>
  <si>
    <t>MCDADE ISD</t>
  </si>
  <si>
    <t>MCGREGOR ISD</t>
  </si>
  <si>
    <t>MCKINNEY ISD</t>
  </si>
  <si>
    <t>MCLEOD ISD</t>
  </si>
  <si>
    <t>MEADOW ISD</t>
  </si>
  <si>
    <t>MEDINA VALLEY ISD</t>
  </si>
  <si>
    <t>Savings Attributed to Equalized Wealth Level Change</t>
  </si>
  <si>
    <t>Total Gain</t>
  </si>
  <si>
    <t>New Boston ISD</t>
  </si>
  <si>
    <t>019-906</t>
  </si>
  <si>
    <t>Redwater ISD</t>
  </si>
  <si>
    <t>019-907</t>
  </si>
  <si>
    <t>Texarkana ISD</t>
  </si>
  <si>
    <t>For Chapter 41 hold harmless districts, recapture was not calculating correctly when the 2006-07 adopted rate</t>
  </si>
  <si>
    <t xml:space="preserve">was set higher than the compressed rate plus $.04….that problem has been fixed….there is still an unresolved </t>
  </si>
  <si>
    <t xml:space="preserve">issue concerning the divisor used in computing the Adjusted Hold Harmless Tax Base per WADA (see Cell G22 on the </t>
  </si>
  <si>
    <t xml:space="preserve">Option Costs' tab).  In current law, the divisor is $1.50 and HB 1 gives the commissioner authority to change the </t>
  </si>
  <si>
    <t>reference to $1.50 if necessary.  In previous releases, the district's compressed rate was substituted for the $1.50</t>
  </si>
  <si>
    <t>understanding of how those provisions relate to the Additional State Aid for Tax Reduction.</t>
  </si>
  <si>
    <r>
      <t>&lt;=</t>
    </r>
    <r>
      <rPr>
        <b/>
        <sz val="10"/>
        <rFont val="Arial MT"/>
      </rPr>
      <t xml:space="preserve"> </t>
    </r>
    <r>
      <rPr>
        <sz val="10"/>
        <rFont val="Arial MT"/>
      </rPr>
      <t>Enter the district's estimated total enrollment that will be reported thru PEIMS in the Fall submission for the applicable year.</t>
    </r>
  </si>
  <si>
    <t>&lt; This number comes from the Data Entry sheet, CELL F20.</t>
  </si>
  <si>
    <t>&lt;= Enter the district's share of advanced placement testing (can be entered as positive or negative amount - use same charge that appears of the district's preliminary 2005-06 Summary of Finances as an estimate.</t>
  </si>
  <si>
    <t>BYNUM ISD</t>
  </si>
  <si>
    <t>CADDO MILLS ISD</t>
  </si>
  <si>
    <t>CAMERON ISD</t>
  </si>
  <si>
    <t>CANUTILLO ISD</t>
  </si>
  <si>
    <t>CARLISLE ISD</t>
  </si>
  <si>
    <t>CARRIZO SPRINGS CONS ISD</t>
  </si>
  <si>
    <t>CARROLL ISD</t>
  </si>
  <si>
    <t>CASTLEBERRY ISD</t>
  </si>
  <si>
    <t>CELINA ISD</t>
  </si>
  <si>
    <t>CENTER POINT ISD</t>
  </si>
  <si>
    <t>CHAPEL HILL ISD</t>
  </si>
  <si>
    <t>CHARLOTTE ISD</t>
  </si>
  <si>
    <t>CHESTER ISD</t>
  </si>
  <si>
    <t>CHILDRESS ISD</t>
  </si>
  <si>
    <t>CHINA SPRING ISD</t>
  </si>
  <si>
    <t>CHIRENO ISD</t>
  </si>
  <si>
    <t>CITY VIEW ISD</t>
  </si>
  <si>
    <t>CLEBURNE ISD</t>
  </si>
  <si>
    <t>CLEVELAND ISD</t>
  </si>
  <si>
    <t>CLIFTON ISD</t>
  </si>
  <si>
    <t>CLINT ISD</t>
  </si>
  <si>
    <t>CLYDE CONS ISD</t>
  </si>
  <si>
    <t>COLEMAN ISD</t>
  </si>
  <si>
    <t>COLLEGE STATION ISD</t>
  </si>
  <si>
    <t>223-901</t>
  </si>
  <si>
    <t>Brownfield ISD</t>
  </si>
  <si>
    <t>223-904</t>
  </si>
  <si>
    <t>Goldthwaite ISD</t>
  </si>
  <si>
    <t>Gonzales ISD</t>
  </si>
  <si>
    <t xml:space="preserve">** NOTE:  The amount budgeted may include (1) I&amp;S taxes to be collected in 2005-06, </t>
  </si>
  <si>
    <t>IF THE LEGISLATURE DOES NOT ROLL FORWARD THE EDA ELIGIBILITY DATE,</t>
  </si>
  <si>
    <t>THE DISTRICT'S EDA STATE ENTITLEMENT WOULD BE AS FOLLOWS:</t>
  </si>
  <si>
    <t xml:space="preserve">NOTE:  THIS SECTION ASSUMES THAT THE LEGISLATURE WILL ROLL </t>
  </si>
  <si>
    <t xml:space="preserve">FORWARD THE EDA ELIGIBILITY DATE FROM 2002-03 TO 2004-05.  </t>
  </si>
  <si>
    <t>Poolville ISD</t>
  </si>
  <si>
    <t>184-909</t>
  </si>
  <si>
    <t>Lyford CISD</t>
  </si>
  <si>
    <t>If this data is incorrect, please contact Enrique Aleman at (512) 463-9238.</t>
  </si>
  <si>
    <t>Co-Dist #:</t>
  </si>
  <si>
    <t>Crowley ISD</t>
  </si>
  <si>
    <t>Crystal City ISD</t>
  </si>
  <si>
    <t>Dawson ISD</t>
  </si>
  <si>
    <t>Dayton ISD</t>
  </si>
  <si>
    <t>De Leon ISD</t>
  </si>
  <si>
    <t>Del Valle ISD</t>
  </si>
  <si>
    <t>Devine ISD</t>
  </si>
  <si>
    <t>Donna ISD</t>
  </si>
  <si>
    <t>Dripping Springs ISD</t>
  </si>
  <si>
    <t>Eagle Pass ISD</t>
  </si>
  <si>
    <t>245-901</t>
  </si>
  <si>
    <t>252-903</t>
  </si>
  <si>
    <t>130-902</t>
  </si>
  <si>
    <t xml:space="preserve">   Less: Charge for Dist. Share of ECI Project</t>
  </si>
  <si>
    <t>b=04-05</t>
  </si>
  <si>
    <t>2002-03 State Aid @ $2,537 Basic Allotment and @ $27.14 Guaranteed Yield</t>
  </si>
  <si>
    <t>District Name:</t>
  </si>
  <si>
    <t>County-District No.:</t>
  </si>
  <si>
    <t/>
  </si>
  <si>
    <t>Run Date:</t>
  </si>
  <si>
    <t>LUEDERS-AVOCA ISD</t>
  </si>
  <si>
    <t>has determined that Section 1.07 of HB 1 basically prevents the commissioner from providing hold harmless funds</t>
  </si>
  <si>
    <t>for anything but tax rate compression.  The 2006-07 M&amp;O tax collection amounts entered at those different tax</t>
  </si>
  <si>
    <t xml:space="preserve">rates should not reflect a newly adopted optional homestead exemption.  The same holds true for adopting an </t>
  </si>
  <si>
    <t>Section 42.2516(c)(2)(B) - Gain in 06-07 Using 05-06 Arrangement</t>
  </si>
  <si>
    <t>Total Tier I &amp; Tier II State Revenue Using New Funding Elements</t>
  </si>
  <si>
    <t>Total Tier I &amp; Tier II State Revenue Using Old Funding Elements</t>
  </si>
  <si>
    <t>073-903</t>
  </si>
  <si>
    <t>161-908</t>
  </si>
  <si>
    <t>234-905</t>
  </si>
  <si>
    <t>205-904</t>
  </si>
  <si>
    <t>025-905</t>
  </si>
  <si>
    <t>108-906</t>
  </si>
  <si>
    <t>043-907</t>
  </si>
  <si>
    <t>163-908</t>
  </si>
  <si>
    <t>108-907</t>
  </si>
  <si>
    <t>057-914</t>
  </si>
  <si>
    <t>165-901</t>
  </si>
  <si>
    <t>166-903</t>
  </si>
  <si>
    <t>184-904</t>
  </si>
  <si>
    <t>182-903</t>
  </si>
  <si>
    <t>108-908</t>
  </si>
  <si>
    <t>035-903</t>
  </si>
  <si>
    <t>123-905</t>
  </si>
  <si>
    <t>079-906</t>
  </si>
  <si>
    <t>037-908</t>
  </si>
  <si>
    <t>176-902</t>
  </si>
  <si>
    <t>236-901</t>
  </si>
  <si>
    <t>015-910</t>
  </si>
  <si>
    <t>101-909</t>
  </si>
  <si>
    <t>015-915</t>
  </si>
  <si>
    <t>061-911</t>
  </si>
  <si>
    <t>205-905</t>
  </si>
  <si>
    <t>140-905</t>
  </si>
  <si>
    <t>125-903</t>
  </si>
  <si>
    <t>230-903</t>
  </si>
  <si>
    <t>090-904</t>
  </si>
  <si>
    <t>249-906</t>
  </si>
  <si>
    <t>139-909</t>
  </si>
  <si>
    <t>101-917</t>
  </si>
  <si>
    <t>020-908</t>
  </si>
  <si>
    <t>184-908</t>
  </si>
  <si>
    <t xml:space="preserve">     Tier II Aid (Level 1 and 3 only - the $.04 in Level 2 is not included)</t>
  </si>
  <si>
    <t xml:space="preserve">     Total Taxes Collected (does not include the taxes collected on the $.04)</t>
  </si>
  <si>
    <t xml:space="preserve">(4) If a district adopted an M&amp;O tax rate lower than its compressed rate, the computed tax effort that determines the </t>
  </si>
  <si>
    <t xml:space="preserve">(5) On the 'Calc Data' worksheet, the gain that a partner district would have made in 2006-07 under the same terms </t>
  </si>
  <si>
    <t xml:space="preserve">(6) On the 'Health Ins' worksheet, the reference in Cell K15 has been changed from Cell G35 to N35 of the 'Options </t>
  </si>
  <si>
    <t>(7) On the 'Salary Transition' worksheet, the computations behind Cell K17 had a wrong cell reference and has been</t>
  </si>
  <si>
    <t>(8) On the 'Calc Data' worksheet, the ADA decline adjustment percentage has been changed from 98% to 96.81%.</t>
  </si>
  <si>
    <t>(9) On the 'Option Costs' worksheet, the WADA Credit for NIFA on Cell G39 was indicating an error message when</t>
  </si>
  <si>
    <t>(1) the Salary Allotment and High School Allotment are not as 'transparent' as they were before.  They are no longer</t>
  </si>
  <si>
    <t xml:space="preserve">target" the amount of Additional State Aid for Tax Reduction is then calculated.  </t>
  </si>
  <si>
    <t xml:space="preserve">even though the "bottom line" is the same: </t>
  </si>
  <si>
    <t>WHITE DEER ISD</t>
  </si>
  <si>
    <t>ATLANTA ISD</t>
  </si>
  <si>
    <t>AVINGER ISD</t>
  </si>
  <si>
    <t>HUGHES SPRINGS ISD</t>
  </si>
  <si>
    <t>001-909</t>
  </si>
  <si>
    <t>2004-05 Chapter 42 WADA (WADA of students educated by district)</t>
  </si>
  <si>
    <t>2004-05 Revenue Needed to Maintain 1999-00 Revenue (Line 9 x Line 10)</t>
  </si>
  <si>
    <t>2004-05 Available School Fund Allotment</t>
  </si>
  <si>
    <t>85902</t>
  </si>
  <si>
    <t>85903</t>
  </si>
  <si>
    <t>086-24</t>
  </si>
  <si>
    <t>86024</t>
  </si>
  <si>
    <t>86901</t>
  </si>
  <si>
    <t>86902</t>
  </si>
  <si>
    <t>87901</t>
  </si>
  <si>
    <t>88902</t>
  </si>
  <si>
    <t>89901</t>
  </si>
  <si>
    <t>89903</t>
  </si>
  <si>
    <t>89905</t>
  </si>
  <si>
    <t>90902</t>
  </si>
  <si>
    <t>90903</t>
  </si>
  <si>
    <t>90904</t>
  </si>
  <si>
    <t>90905</t>
  </si>
  <si>
    <t>91901</t>
  </si>
  <si>
    <t>91902</t>
  </si>
  <si>
    <t>91903</t>
  </si>
  <si>
    <t>91905</t>
  </si>
  <si>
    <t>91906</t>
  </si>
  <si>
    <t>91907</t>
  </si>
  <si>
    <t>91908</t>
  </si>
  <si>
    <t>91909</t>
  </si>
  <si>
    <t>91910</t>
  </si>
  <si>
    <t>RANCH ACADEMY</t>
  </si>
  <si>
    <t>234-902</t>
  </si>
  <si>
    <t>Canton ISD</t>
  </si>
  <si>
    <t>234-903</t>
  </si>
  <si>
    <t>234-906</t>
  </si>
  <si>
    <t>Van ISD</t>
  </si>
  <si>
    <t>234-907</t>
  </si>
  <si>
    <t>Wills Point ISD</t>
  </si>
  <si>
    <t>235-904</t>
  </si>
  <si>
    <t>Nursery ISD</t>
  </si>
  <si>
    <t>236-902</t>
  </si>
  <si>
    <t>Huntsville ISD</t>
  </si>
  <si>
    <t>020-905</t>
  </si>
  <si>
    <t>Brazosport ISD</t>
  </si>
  <si>
    <t>020-906</t>
  </si>
  <si>
    <t>Sweeny ISD</t>
  </si>
  <si>
    <t>020-910</t>
  </si>
  <si>
    <t>Damon ISD</t>
  </si>
  <si>
    <t>021-802</t>
  </si>
  <si>
    <t>EAGLE CHARTER BRYAN</t>
  </si>
  <si>
    <t>022-004</t>
  </si>
  <si>
    <t>Terlingua CSD</t>
  </si>
  <si>
    <t>022-901</t>
  </si>
  <si>
    <t>Alpine ISD</t>
  </si>
  <si>
    <t>022-902</t>
  </si>
  <si>
    <t>Marathon ISD</t>
  </si>
  <si>
    <t>022-903</t>
  </si>
  <si>
    <t>San Vicente ISD</t>
  </si>
  <si>
    <t>023-902</t>
  </si>
  <si>
    <t>Silverton ISD</t>
  </si>
  <si>
    <t>024-901</t>
  </si>
  <si>
    <t>Brooks ISD</t>
  </si>
  <si>
    <t>025-901</t>
  </si>
  <si>
    <t>penalty:</t>
  </si>
  <si>
    <t>greater of</t>
  </si>
  <si>
    <t>salary allot</t>
  </si>
  <si>
    <t>high school allot</t>
  </si>
  <si>
    <t>revenue target</t>
  </si>
  <si>
    <t>hb1 rev</t>
  </si>
  <si>
    <t>asatr</t>
  </si>
  <si>
    <t>Miles From Nearest HS</t>
  </si>
  <si>
    <t>Unadjusted Cost of Ed Index</t>
  </si>
  <si>
    <t>TSD Students</t>
  </si>
  <si>
    <t>TSB Students</t>
  </si>
  <si>
    <t>&lt;&lt;&lt;&lt;&lt;&lt;&lt;&lt;&lt;&lt;&lt;&lt;&lt; The following are calculated automatically &gt;&gt;&gt;&gt;&gt;&gt;&gt;&gt;&gt;&gt;&gt;&gt;&gt;</t>
  </si>
  <si>
    <t>4.</t>
  </si>
  <si>
    <t>5.</t>
  </si>
  <si>
    <t>Calculation of Allotment:</t>
  </si>
  <si>
    <t>6.</t>
  </si>
  <si>
    <t>7.</t>
  </si>
  <si>
    <t>8.</t>
  </si>
  <si>
    <t>ADA</t>
  </si>
  <si>
    <t>DPV</t>
  </si>
  <si>
    <t xml:space="preserve">            the bonds were included in the district's audited 1998-99 debt service collections, </t>
  </si>
  <si>
    <r>
      <t>&lt;=</t>
    </r>
    <r>
      <rPr>
        <b/>
        <sz val="10"/>
        <rFont val="Arial MT"/>
      </rPr>
      <t xml:space="preserve"> </t>
    </r>
    <r>
      <rPr>
        <sz val="10"/>
        <rFont val="Arial MT"/>
      </rPr>
      <t xml:space="preserve">Enter estimated total refined ADA in grades 9 thru 12 for the 2006-07 school year.  </t>
    </r>
    <r>
      <rPr>
        <b/>
        <sz val="10"/>
        <rFont val="Arial MT"/>
      </rPr>
      <t/>
    </r>
  </si>
  <si>
    <t>EWL = $319,500</t>
  </si>
  <si>
    <t>@ $319,500</t>
  </si>
  <si>
    <t xml:space="preserve">     M&amp;O Taxes Collected Up to Compressed Rate</t>
  </si>
  <si>
    <t>Bangs ISD (General Obligation Debt)</t>
  </si>
  <si>
    <t>Brownwood ISD (General Obligation Debt)</t>
  </si>
  <si>
    <t>Blanket ISD (General Obligation Debt)</t>
  </si>
  <si>
    <t>May ISD (General Obligation Debt)</t>
  </si>
  <si>
    <t>91913</t>
  </si>
  <si>
    <t>91914</t>
  </si>
  <si>
    <t>91917</t>
  </si>
  <si>
    <t>91918</t>
  </si>
  <si>
    <t>92801</t>
  </si>
  <si>
    <t>92901</t>
  </si>
  <si>
    <t>92902</t>
  </si>
  <si>
    <t>92903</t>
  </si>
  <si>
    <t>92904</t>
  </si>
  <si>
    <t>92906</t>
  </si>
  <si>
    <t>92907</t>
  </si>
  <si>
    <t>92908</t>
  </si>
  <si>
    <t>92950</t>
  </si>
  <si>
    <t>93901</t>
  </si>
  <si>
    <t>93903</t>
  </si>
  <si>
    <t>93904</t>
  </si>
  <si>
    <t>93905</t>
  </si>
  <si>
    <t>94901</t>
  </si>
  <si>
    <t>94902</t>
  </si>
  <si>
    <t>94903</t>
  </si>
  <si>
    <t>94904</t>
  </si>
  <si>
    <t>95901</t>
  </si>
  <si>
    <t>95902</t>
  </si>
  <si>
    <t>95903</t>
  </si>
  <si>
    <t>95904</t>
  </si>
  <si>
    <t>95905</t>
  </si>
  <si>
    <t>96904</t>
  </si>
  <si>
    <t>96905</t>
  </si>
  <si>
    <t>97902</t>
  </si>
  <si>
    <t>97903</t>
  </si>
  <si>
    <t>98901</t>
  </si>
  <si>
    <t>98903</t>
  </si>
  <si>
    <t>98904</t>
  </si>
  <si>
    <t>99902</t>
  </si>
  <si>
    <t>99903</t>
  </si>
  <si>
    <t>101801</t>
  </si>
  <si>
    <t>101802</t>
  </si>
  <si>
    <t>101803</t>
  </si>
  <si>
    <t>101804</t>
  </si>
  <si>
    <t>101805</t>
  </si>
  <si>
    <t>101806</t>
  </si>
  <si>
    <t>101807</t>
  </si>
  <si>
    <t>101-808</t>
  </si>
  <si>
    <t>ACADEMY OF HOUSTON</t>
  </si>
  <si>
    <t>101808</t>
  </si>
  <si>
    <t>101809</t>
  </si>
  <si>
    <t>101810</t>
  </si>
  <si>
    <t>101811</t>
  </si>
  <si>
    <t>101812</t>
  </si>
  <si>
    <t>101813</t>
  </si>
  <si>
    <t>101814</t>
  </si>
  <si>
    <t>101815</t>
  </si>
  <si>
    <t>101-816</t>
  </si>
  <si>
    <t>ALL SAINT'S ACADEMY (A S A)</t>
  </si>
  <si>
    <t>101816</t>
  </si>
  <si>
    <t>101817</t>
  </si>
  <si>
    <t>101818</t>
  </si>
  <si>
    <t>101819</t>
  </si>
  <si>
    <t>101820</t>
  </si>
  <si>
    <t>101821</t>
  </si>
  <si>
    <t>101822</t>
  </si>
  <si>
    <t>101823</t>
  </si>
  <si>
    <t>101-826</t>
  </si>
  <si>
    <t>H O P E-HELPING OTHERS PURSUE EXCE</t>
  </si>
  <si>
    <t>101826</t>
  </si>
  <si>
    <t>101827</t>
  </si>
  <si>
    <t>101828</t>
  </si>
  <si>
    <t>101829</t>
  </si>
  <si>
    <t>101830</t>
  </si>
  <si>
    <t>101831</t>
  </si>
  <si>
    <t>101833</t>
  </si>
  <si>
    <t>101834</t>
  </si>
  <si>
    <t>101835</t>
  </si>
  <si>
    <t>101837</t>
  </si>
  <si>
    <t>101838</t>
  </si>
  <si>
    <t>101840</t>
  </si>
  <si>
    <t>101-841</t>
  </si>
  <si>
    <t>WA-SET PREPARATORY ACADEMY</t>
  </si>
  <si>
    <t>101841</t>
  </si>
  <si>
    <t>101842</t>
  </si>
  <si>
    <t>101843</t>
  </si>
  <si>
    <t>101-844</t>
  </si>
  <si>
    <t>PREPARED TABLE</t>
  </si>
  <si>
    <t>101844</t>
  </si>
  <si>
    <t>101845</t>
  </si>
  <si>
    <t>101846</t>
  </si>
  <si>
    <t>101847</t>
  </si>
  <si>
    <t>101848</t>
  </si>
  <si>
    <t>101849</t>
  </si>
  <si>
    <t>101850</t>
  </si>
  <si>
    <t>101851</t>
  </si>
  <si>
    <t>101852</t>
  </si>
  <si>
    <t>101853</t>
  </si>
  <si>
    <t>101854</t>
  </si>
  <si>
    <t>101855</t>
  </si>
  <si>
    <t>101856</t>
  </si>
  <si>
    <t>101950</t>
  </si>
  <si>
    <t>102-801</t>
  </si>
  <si>
    <t>BOLDING ACADEMY</t>
  </si>
  <si>
    <t>102801</t>
  </si>
  <si>
    <t>104902</t>
  </si>
  <si>
    <t>105801</t>
  </si>
  <si>
    <t>105802</t>
  </si>
  <si>
    <t>108801</t>
  </si>
  <si>
    <t>108802</t>
  </si>
  <si>
    <t>108-803</t>
  </si>
  <si>
    <t>FREEDOM SCHOOL</t>
  </si>
  <si>
    <t>108803</t>
  </si>
  <si>
    <t>108804</t>
  </si>
  <si>
    <t>108805</t>
  </si>
  <si>
    <t>108806</t>
  </si>
  <si>
    <t>108807</t>
  </si>
  <si>
    <t>108808</t>
  </si>
  <si>
    <t>108917</t>
  </si>
  <si>
    <t>108950</t>
  </si>
  <si>
    <t>113904</t>
  </si>
  <si>
    <t>116801</t>
  </si>
  <si>
    <t>123503</t>
  </si>
  <si>
    <t>123801</t>
  </si>
  <si>
    <t>123802</t>
  </si>
  <si>
    <t>123803</t>
  </si>
  <si>
    <t>123804</t>
  </si>
  <si>
    <t>123805</t>
  </si>
  <si>
    <t>123915</t>
  </si>
  <si>
    <t>135-1</t>
  </si>
  <si>
    <t>141801</t>
  </si>
  <si>
    <t>144905</t>
  </si>
  <si>
    <t>152801</t>
  </si>
  <si>
    <t>152802</t>
  </si>
  <si>
    <t>152803</t>
  </si>
  <si>
    <t>152804</t>
  </si>
  <si>
    <t>152950</t>
  </si>
  <si>
    <t>155-801</t>
  </si>
  <si>
    <t>CYPRESS LODGE YOUTH FOUNDATION</t>
  </si>
  <si>
    <t>155801</t>
  </si>
  <si>
    <t>161801</t>
  </si>
  <si>
    <t>161802</t>
  </si>
  <si>
    <t>161-803</t>
  </si>
  <si>
    <t>E L HARRISON CHARTER SCHOOL</t>
  </si>
  <si>
    <t>161803</t>
  </si>
  <si>
    <t>161804</t>
  </si>
  <si>
    <t>161926</t>
  </si>
  <si>
    <t>161927</t>
  </si>
  <si>
    <t>161950</t>
  </si>
  <si>
    <t>165801</t>
  </si>
  <si>
    <t>165802</t>
  </si>
  <si>
    <t>165803</t>
  </si>
  <si>
    <t>165950</t>
  </si>
  <si>
    <t>170801</t>
  </si>
  <si>
    <t>175909</t>
  </si>
  <si>
    <t>178801</t>
  </si>
  <si>
    <t>178802</t>
  </si>
  <si>
    <t>178803</t>
  </si>
  <si>
    <t>178804</t>
  </si>
  <si>
    <t>178-805</t>
  </si>
  <si>
    <t>TEXAS SERENITY ACADEMY (BAYSHORE)</t>
  </si>
  <si>
    <t>178805</t>
  </si>
  <si>
    <t>178-806</t>
  </si>
  <si>
    <t>XXI CENTURY ACADEMY OF SCIENCE AND</t>
  </si>
  <si>
    <t>178806</t>
  </si>
  <si>
    <t>178950</t>
  </si>
  <si>
    <t>180901</t>
  </si>
  <si>
    <t>181950</t>
  </si>
  <si>
    <t>183801</t>
  </si>
  <si>
    <t>188801</t>
  </si>
  <si>
    <t>188950</t>
  </si>
  <si>
    <t>193801</t>
  </si>
  <si>
    <t>206904</t>
  </si>
  <si>
    <t>212801</t>
  </si>
  <si>
    <t>212802</t>
  </si>
  <si>
    <t>212803</t>
  </si>
  <si>
    <t>213801</t>
  </si>
  <si>
    <t>220801</t>
  </si>
  <si>
    <t>220802</t>
  </si>
  <si>
    <t>220803</t>
  </si>
  <si>
    <t>220804</t>
  </si>
  <si>
    <t>220806</t>
  </si>
  <si>
    <t>220807</t>
  </si>
  <si>
    <t>220808</t>
  </si>
  <si>
    <t>220809</t>
  </si>
  <si>
    <t>220810</t>
  </si>
  <si>
    <t>220811</t>
  </si>
  <si>
    <t>220812</t>
  </si>
  <si>
    <t>MASONIC HOME ISD</t>
  </si>
  <si>
    <t>220909</t>
  </si>
  <si>
    <t>220950</t>
  </si>
  <si>
    <t>221801</t>
  </si>
  <si>
    <t>221950</t>
  </si>
  <si>
    <t>225950</t>
  </si>
  <si>
    <t>226950</t>
  </si>
  <si>
    <t>227801</t>
  </si>
  <si>
    <t>227802</t>
  </si>
  <si>
    <t>227803</t>
  </si>
  <si>
    <t>227804</t>
  </si>
  <si>
    <t>227805</t>
  </si>
  <si>
    <t>227806</t>
  </si>
  <si>
    <t>227811</t>
  </si>
  <si>
    <t>227812</t>
  </si>
  <si>
    <t>227814</t>
  </si>
  <si>
    <t>227-815</t>
  </si>
  <si>
    <t>AUSTIN INTERACTIVE LEARNING ACADEM</t>
  </si>
  <si>
    <t>227815</t>
  </si>
  <si>
    <t>227816</t>
  </si>
  <si>
    <t>227817</t>
  </si>
  <si>
    <t>227818</t>
  </si>
  <si>
    <t>227819</t>
  </si>
  <si>
    <t>227820</t>
  </si>
  <si>
    <t>227905</t>
  </si>
  <si>
    <t>227906</t>
  </si>
  <si>
    <t>227950</t>
  </si>
  <si>
    <t>232801</t>
  </si>
  <si>
    <t>233801</t>
  </si>
  <si>
    <t>234801</t>
  </si>
  <si>
    <t>235801</t>
  </si>
  <si>
    <t>235950</t>
  </si>
  <si>
    <t>236801</t>
  </si>
  <si>
    <t>236903</t>
  </si>
  <si>
    <t>236950</t>
  </si>
  <si>
    <t>238905</t>
  </si>
  <si>
    <t>240801</t>
  </si>
  <si>
    <t>240802</t>
  </si>
  <si>
    <t>240-803</t>
  </si>
  <si>
    <t>SCAN CHARTER SCHOOL</t>
  </si>
  <si>
    <t>240803</t>
  </si>
  <si>
    <t>240902</t>
  </si>
  <si>
    <t>243801</t>
  </si>
  <si>
    <t>243950</t>
  </si>
  <si>
    <t>244906</t>
  </si>
  <si>
    <t>245801</t>
  </si>
  <si>
    <t>=</t>
  </si>
  <si>
    <t>==============</t>
  </si>
  <si>
    <t>===============</t>
  </si>
  <si>
    <t>TOTALS</t>
  </si>
  <si>
    <t>INSTRUCTIONS</t>
  </si>
  <si>
    <t>152903</t>
  </si>
  <si>
    <t>152906</t>
  </si>
  <si>
    <t>152907</t>
  </si>
  <si>
    <t>152908</t>
  </si>
  <si>
    <t>152909</t>
  </si>
  <si>
    <t>152910</t>
  </si>
  <si>
    <t>153903</t>
  </si>
  <si>
    <t>153904</t>
  </si>
  <si>
    <t>153905</t>
  </si>
  <si>
    <t>153907</t>
  </si>
  <si>
    <t>154901</t>
  </si>
  <si>
    <t>MADISONVILLE CISD</t>
  </si>
  <si>
    <t>154903</t>
  </si>
  <si>
    <t>155901</t>
  </si>
  <si>
    <t>156902</t>
  </si>
  <si>
    <t>156905</t>
  </si>
  <si>
    <t>157901</t>
  </si>
  <si>
    <t>158901</t>
  </si>
  <si>
    <t>158902</t>
  </si>
  <si>
    <t>158904</t>
  </si>
  <si>
    <t>158905</t>
  </si>
  <si>
    <t>158906</t>
  </si>
  <si>
    <t>159901</t>
  </si>
  <si>
    <t>160901</t>
  </si>
  <si>
    <t>160904</t>
  </si>
  <si>
    <t>160905</t>
  </si>
  <si>
    <t>161901</t>
  </si>
  <si>
    <t>161903</t>
  </si>
  <si>
    <t>161906</t>
  </si>
  <si>
    <t>161907</t>
  </si>
  <si>
    <t>161908</t>
  </si>
  <si>
    <t>161909</t>
  </si>
  <si>
    <t>161910</t>
  </si>
  <si>
    <t>161912</t>
  </si>
  <si>
    <t>161914</t>
  </si>
  <si>
    <t>161916</t>
  </si>
  <si>
    <t>161918</t>
  </si>
  <si>
    <t>161919</t>
  </si>
  <si>
    <t>161920</t>
  </si>
  <si>
    <t>161921</t>
  </si>
  <si>
    <t>161922</t>
  </si>
  <si>
    <t>161923</t>
  </si>
  <si>
    <t>161924</t>
  </si>
  <si>
    <t>161925</t>
  </si>
  <si>
    <t>162904</t>
  </si>
  <si>
    <t>163901</t>
  </si>
  <si>
    <t>163902</t>
  </si>
  <si>
    <t>163903</t>
  </si>
  <si>
    <t>163904</t>
  </si>
  <si>
    <t>163908</t>
  </si>
  <si>
    <t>164901</t>
  </si>
  <si>
    <t>165901</t>
  </si>
  <si>
    <t>165902</t>
  </si>
  <si>
    <t>166901</t>
  </si>
  <si>
    <t>166902</t>
  </si>
  <si>
    <t>166903</t>
  </si>
  <si>
    <t>166904</t>
  </si>
  <si>
    <t>166905</t>
  </si>
  <si>
    <t>166907</t>
  </si>
  <si>
    <t>167901</t>
  </si>
  <si>
    <t>167902</t>
  </si>
  <si>
    <t>167903</t>
  </si>
  <si>
    <t>167904</t>
  </si>
  <si>
    <t>168901</t>
  </si>
  <si>
    <t>168902</t>
  </si>
  <si>
    <t>168903</t>
  </si>
  <si>
    <t>169901</t>
  </si>
  <si>
    <t>169902</t>
  </si>
  <si>
    <t>169906</t>
  </si>
  <si>
    <t>169908</t>
  </si>
  <si>
    <t>169909</t>
  </si>
  <si>
    <t>169910</t>
  </si>
  <si>
    <t>169911</t>
  </si>
  <si>
    <t>170902</t>
  </si>
  <si>
    <t>170903</t>
  </si>
  <si>
    <t>170904</t>
  </si>
  <si>
    <t>170906</t>
  </si>
  <si>
    <t>170907</t>
  </si>
  <si>
    <t>170908</t>
  </si>
  <si>
    <t>171901</t>
  </si>
  <si>
    <t>171902</t>
  </si>
  <si>
    <t>172902</t>
  </si>
  <si>
    <t>172905</t>
  </si>
  <si>
    <t>PEWITT CISD</t>
  </si>
  <si>
    <t>173901</t>
  </si>
  <si>
    <t>174901</t>
  </si>
  <si>
    <t>174902</t>
  </si>
  <si>
    <t>174903</t>
  </si>
  <si>
    <t>174904</t>
  </si>
  <si>
    <t>174906</t>
  </si>
  <si>
    <t>174908</t>
  </si>
  <si>
    <t>174909</t>
  </si>
  <si>
    <t>174910</t>
  </si>
  <si>
    <t>174911</t>
  </si>
  <si>
    <t>175902</t>
  </si>
  <si>
    <t>175903</t>
  </si>
  <si>
    <t>175904</t>
  </si>
  <si>
    <r>
      <t xml:space="preserve">Continuation of </t>
    </r>
    <r>
      <rPr>
        <b/>
        <sz val="10"/>
        <color indexed="12"/>
        <rFont val="Arial MT"/>
      </rPr>
      <t>$110 per WADA Allotment:</t>
    </r>
  </si>
  <si>
    <t xml:space="preserve">The "greater of" number is determined from (b)(1)(A), (b)(1)(B), or (b)(1)(C), and once it is determined, the next step,  </t>
  </si>
  <si>
    <r>
      <t>(3) your</t>
    </r>
    <r>
      <rPr>
        <b/>
        <i/>
        <sz val="10"/>
        <color indexed="38"/>
        <rFont val="Arial MT"/>
      </rPr>
      <t xml:space="preserve"> Additional Aid</t>
    </r>
    <r>
      <rPr>
        <b/>
        <sz val="10"/>
        <color indexed="38"/>
        <rFont val="Arial MT"/>
      </rPr>
      <t xml:space="preserve"> state aid will be less, since the Salary and High School allotments have now been moved </t>
    </r>
  </si>
  <si>
    <t>(1) TEA has settled on a methodology for distributing the district's total M&amp;O tax collections among the different</t>
  </si>
  <si>
    <t>levels of Tier II.  On the 'Data Entry - SOF' worksheet, the cell that called for collections at the compressed rate</t>
  </si>
  <si>
    <t xml:space="preserve">has been blocked out.  The total M&amp;O taxes collected at the adopted rate will be divided by the number of pennies </t>
  </si>
  <si>
    <t>that make up the adopted rate to get a yield per penny.  The yield per penny will then be used to determine the</t>
  </si>
  <si>
    <t>collections for each level of Tier II.  On the 'Calc Data' worksheet, this methodology starts on Cell F38. There</t>
  </si>
  <si>
    <t>should only be a slight change in the resulting DTRs using this methodology.</t>
  </si>
  <si>
    <t xml:space="preserve">(2) If a district enters into a new, 2006-07 Option 4 contract with a Chapter 41 district, the gain that is included as </t>
  </si>
  <si>
    <t xml:space="preserve">the revised calculations reflect the actual language in HB 1 (the intent maybe, but not the actual language). </t>
  </si>
  <si>
    <t>the way I read it, is to figure out how much additional state aid is needed to maintain that level of revenue.</t>
  </si>
  <si>
    <t># of M&amp;O Pennies Beyond the 4 Pennies Above the Compressed Rate</t>
  </si>
  <si>
    <t xml:space="preserve">     M&amp;O Taxes Collected Beyond Compressed Rate + $.04</t>
  </si>
  <si>
    <t xml:space="preserve">&lt;= Enter the estimated M&amp;O taxes that the district would have collected in 2005-06 (including frozen levies) had its M&amp;O rate been $1.50 (either from 9/1/ thru 8/31/ or 7/1/ thru 6/30, depending on fiscal year) based on the M&amp;O tax rate entered.  Include current, delinquent, and any CED delinquent taxes - do not include P&amp;I except on CED taxes.  If the district has received an IFA award for a lease-purchase, the IFA local share for that award will be subtracted from the M&amp;O tax collections used for Tier II purposes.  </t>
  </si>
  <si>
    <t>SABINE PASS ISD</t>
  </si>
  <si>
    <t>JIM HOGG COUNTY ISD</t>
  </si>
  <si>
    <t>LA GLORIA ISD</t>
  </si>
  <si>
    <t>KEENE ISD</t>
  </si>
  <si>
    <t>HAMLIN ISD</t>
  </si>
  <si>
    <t>RUNGE ISD</t>
  </si>
  <si>
    <t>MABANK ISD</t>
  </si>
  <si>
    <t>TERRELL ISD</t>
  </si>
  <si>
    <t>BOERNE ISD</t>
  </si>
  <si>
    <t>COMFORT ISD</t>
  </si>
  <si>
    <t>KENEDY COUNTY WIDE CSD</t>
  </si>
  <si>
    <t>JAYTON-GIRARD ISD</t>
  </si>
  <si>
    <t>HUNT ISD</t>
  </si>
  <si>
    <t>KERRVILLE ISD</t>
  </si>
  <si>
    <t>INGRAM ISD</t>
  </si>
  <si>
    <t>DIVIDE ISD</t>
  </si>
  <si>
    <t>JUNCTION ISD</t>
  </si>
  <si>
    <t>GUTHRIE CSD</t>
  </si>
  <si>
    <t>BRACKETT ISD</t>
  </si>
  <si>
    <t>RICARDO ISD</t>
  </si>
  <si>
    <t>RIVIERA ISD</t>
  </si>
  <si>
    <t>SANTA GERTRUDIS ISD</t>
  </si>
  <si>
    <t>MUNDAY CISD</t>
  </si>
  <si>
    <t>BENJAMIN ISD</t>
  </si>
  <si>
    <t>Lorena ISD</t>
  </si>
  <si>
    <t>Natalia ISD</t>
  </si>
  <si>
    <t>Buckholts ISD</t>
  </si>
  <si>
    <t>Woden ISD</t>
  </si>
  <si>
    <t>Detroit ISD</t>
  </si>
  <si>
    <t>under TEC Section 42.2516(b) as added by HB 1.</t>
  </si>
  <si>
    <t xml:space="preserve">what comes off the  HB 1 hold harmless amount, unless 100% of this gain is sent to another entity.  Since the </t>
  </si>
  <si>
    <t>223-902</t>
  </si>
  <si>
    <t>Meadow ISD</t>
  </si>
  <si>
    <t>220-919</t>
  </si>
  <si>
    <t>220-917</t>
  </si>
  <si>
    <t>Total Adjusted Refined ADA *</t>
  </si>
  <si>
    <t xml:space="preserve">* The Total Adjusted Refined ADA is calculated assuming there will be sufficient funds available to </t>
  </si>
  <si>
    <t>M&amp;O Compressed Rate</t>
  </si>
  <si>
    <t xml:space="preserve">&lt;= This cell is calculated for you.  The compressed rate is the district's 2005-06 M&amp;O rate x 88.67%. </t>
  </si>
  <si>
    <t>estimate gets changed again, I will put out another release.  The 2005-06 rate was changed from $309 to $317.</t>
  </si>
  <si>
    <t>Highland ISD</t>
  </si>
  <si>
    <t>178-901</t>
  </si>
  <si>
    <t>Agua Dulce ISD</t>
  </si>
  <si>
    <t>178-902</t>
  </si>
  <si>
    <t>Bishop Cons ISD</t>
  </si>
  <si>
    <t>178-903</t>
  </si>
  <si>
    <t>Calallen ISD</t>
  </si>
  <si>
    <t>178-905</t>
  </si>
  <si>
    <t>Corpus Christi ISD</t>
  </si>
  <si>
    <t>Corsicana ISD</t>
  </si>
  <si>
    <t>Cotulla ISD</t>
  </si>
  <si>
    <t>Covington ISD</t>
  </si>
  <si>
    <t>Crandall ISD</t>
  </si>
  <si>
    <t>Crosby ISD</t>
  </si>
  <si>
    <t>Note: If district's M&amp;O tax rate is less than $1.50, $1,200 instead of $1,800</t>
  </si>
  <si>
    <t>school year will be used to determine the EDA limit for 2004-05 and 2004-05.</t>
  </si>
  <si>
    <t>034-907</t>
  </si>
  <si>
    <t>Queen City ISD</t>
  </si>
  <si>
    <t>034-908</t>
  </si>
  <si>
    <t xml:space="preserve">  &lt; Will be added to FSF for payment purposes (paid according to payment class schedule)</t>
  </si>
  <si>
    <t>249-904</t>
  </si>
  <si>
    <t>Chico ISD</t>
  </si>
  <si>
    <t>249-905</t>
  </si>
  <si>
    <t>Decatur ISD</t>
  </si>
  <si>
    <t>250-902</t>
  </si>
  <si>
    <t>Hawkins ISD</t>
  </si>
  <si>
    <t>250-903</t>
  </si>
  <si>
    <t>Mineola ISD</t>
  </si>
  <si>
    <t>250-904</t>
  </si>
  <si>
    <t>Quitman ISD</t>
  </si>
  <si>
    <t>250-905</t>
  </si>
  <si>
    <t>Yantis ISD</t>
  </si>
  <si>
    <t>EAST BERNARD ISD</t>
  </si>
  <si>
    <t>EL CAMPO ISD</t>
  </si>
  <si>
    <t>WHARTON ISD</t>
  </si>
  <si>
    <t>LOUISE ISD</t>
  </si>
  <si>
    <t>SHAMROCK ISD</t>
  </si>
  <si>
    <t>2006-07 WADA</t>
  </si>
  <si>
    <t>M&amp;O Adopted Tax Rate (see NOTE in Cell J73)</t>
  </si>
  <si>
    <t>2006-07 M&amp;O Tax Collections @ Compressed Rate</t>
  </si>
  <si>
    <t>Here are the corrections made:</t>
  </si>
  <si>
    <t>(1) On the 'SOF0607-HB1" tab, the formula for total state aid had a Cell F42 reference and it should be F45.</t>
  </si>
  <si>
    <t>(2) On the 'Calc Data" tab, Cell E96 has been limited to the tax collections at the compressed rate.  To do this</t>
  </si>
  <si>
    <t>the easiest way, I added a new data entry cell (H74) on the 'Data Entry - SOF' tab.</t>
  </si>
  <si>
    <t>(3) The additional $.04 above the compressed rate and it's interaction with hold harmless and Chapter 41 recapture</t>
  </si>
  <si>
    <t>was not being done correctly and hopefully has been fixed.</t>
  </si>
  <si>
    <t>Release 2.0; May 17, 2006</t>
  </si>
  <si>
    <t>231901</t>
  </si>
  <si>
    <t>231902</t>
  </si>
  <si>
    <t>232901</t>
  </si>
  <si>
    <t>232902</t>
  </si>
  <si>
    <t>232903</t>
  </si>
  <si>
    <t>UVALDE CISD</t>
  </si>
  <si>
    <t>232904</t>
  </si>
  <si>
    <t>233901</t>
  </si>
  <si>
    <t>233903</t>
  </si>
  <si>
    <t>234902</t>
  </si>
  <si>
    <t>234903</t>
  </si>
  <si>
    <t>234904</t>
  </si>
  <si>
    <t>234905</t>
  </si>
  <si>
    <t>234906</t>
  </si>
  <si>
    <t>234907</t>
  </si>
  <si>
    <t>234909</t>
  </si>
  <si>
    <t>235901</t>
  </si>
  <si>
    <t>235902</t>
  </si>
  <si>
    <t>235904</t>
  </si>
  <si>
    <t>236901</t>
  </si>
  <si>
    <t>236902</t>
  </si>
  <si>
    <t>237902</t>
  </si>
  <si>
    <t>237904</t>
  </si>
  <si>
    <t>237905</t>
  </si>
  <si>
    <t>238902</t>
  </si>
  <si>
    <t>238904</t>
  </si>
  <si>
    <t>239901</t>
  </si>
  <si>
    <t>239903</t>
  </si>
  <si>
    <t>240901</t>
  </si>
  <si>
    <t>240903</t>
  </si>
  <si>
    <t>240904</t>
  </si>
  <si>
    <t>WEBB CISD</t>
  </si>
  <si>
    <t>241901</t>
  </si>
  <si>
    <t>241902</t>
  </si>
  <si>
    <t>241903</t>
  </si>
  <si>
    <t>241904</t>
  </si>
  <si>
    <t>241906</t>
  </si>
  <si>
    <t>242902</t>
  </si>
  <si>
    <t>242903</t>
  </si>
  <si>
    <t>242905</t>
  </si>
  <si>
    <t>242906</t>
  </si>
  <si>
    <t>243901</t>
  </si>
  <si>
    <t>243902</t>
  </si>
  <si>
    <t>243903</t>
  </si>
  <si>
    <t>IOWA PARK CISD</t>
  </si>
  <si>
    <t>243905</t>
  </si>
  <si>
    <t>243906</t>
  </si>
  <si>
    <t>244901</t>
  </si>
  <si>
    <t>244903</t>
  </si>
  <si>
    <t>244905</t>
  </si>
  <si>
    <t>245901</t>
  </si>
  <si>
    <t>245902</t>
  </si>
  <si>
    <t>245903</t>
  </si>
  <si>
    <t>245904</t>
  </si>
  <si>
    <t>246902</t>
  </si>
  <si>
    <t>246904</t>
  </si>
  <si>
    <t>246905</t>
  </si>
  <si>
    <t>246906</t>
  </si>
  <si>
    <t>246907</t>
  </si>
  <si>
    <t>246908</t>
  </si>
  <si>
    <t>246909</t>
  </si>
  <si>
    <t>246911</t>
  </si>
  <si>
    <t>246912</t>
  </si>
  <si>
    <t>246913</t>
  </si>
  <si>
    <t>246914</t>
  </si>
  <si>
    <t>247901</t>
  </si>
  <si>
    <t>247903</t>
  </si>
  <si>
    <t>247904</t>
  </si>
  <si>
    <t>247906</t>
  </si>
  <si>
    <t>248901</t>
  </si>
  <si>
    <t>248902</t>
  </si>
  <si>
    <t>249901</t>
  </si>
  <si>
    <t>249902</t>
  </si>
  <si>
    <t>249903</t>
  </si>
  <si>
    <t>249904</t>
  </si>
  <si>
    <t>249905</t>
  </si>
  <si>
    <t>249906</t>
  </si>
  <si>
    <t>249908</t>
  </si>
  <si>
    <t>250902</t>
  </si>
  <si>
    <t>250903</t>
  </si>
  <si>
    <t>250904</t>
  </si>
  <si>
    <t>250905</t>
  </si>
  <si>
    <t>250906</t>
  </si>
  <si>
    <t>250907</t>
  </si>
  <si>
    <t>251901</t>
  </si>
  <si>
    <t>251902</t>
  </si>
  <si>
    <t>252901</t>
  </si>
  <si>
    <t>252902</t>
  </si>
  <si>
    <t>252903</t>
  </si>
  <si>
    <t>253901</t>
  </si>
  <si>
    <t>254901</t>
  </si>
  <si>
    <t>254902</t>
  </si>
  <si>
    <t>FINAL  DPV05 CPTD values and tax rates from the Self Report05</t>
  </si>
  <si>
    <t>FSP funding value</t>
  </si>
  <si>
    <t xml:space="preserve">     </t>
  </si>
  <si>
    <t>ADDITIONAL</t>
  </si>
  <si>
    <t>MAINT AND</t>
  </si>
  <si>
    <t>DEBT</t>
  </si>
  <si>
    <t>TOTAL</t>
  </si>
  <si>
    <t>ASSIGNED</t>
  </si>
  <si>
    <t>10K EXMPT</t>
  </si>
  <si>
    <t>LOCAL/OPTIONAL</t>
  </si>
  <si>
    <t>OPERATION</t>
  </si>
  <si>
    <t>SERVICE</t>
  </si>
  <si>
    <t>NUMBER</t>
  </si>
  <si>
    <t>T1 VALUE</t>
  </si>
  <si>
    <t>T2 VALUE</t>
  </si>
  <si>
    <t>T3 VALUE</t>
  </si>
  <si>
    <t>T4 VALUE</t>
  </si>
  <si>
    <t>LOSS</t>
  </si>
  <si>
    <t>50% EXMPT</t>
  </si>
  <si>
    <t>TAX RATE</t>
  </si>
  <si>
    <t>HASKELL ISD</t>
  </si>
  <si>
    <t>FORT STOCKTON ISD</t>
  </si>
  <si>
    <t>I&amp;S</t>
  </si>
  <si>
    <t>M &amp; O</t>
  </si>
  <si>
    <t>LP</t>
  </si>
  <si>
    <t>TOT M&amp;O</t>
  </si>
  <si>
    <t>1903</t>
  </si>
  <si>
    <t>1904</t>
  </si>
  <si>
    <t>1906</t>
  </si>
  <si>
    <t>1907</t>
  </si>
  <si>
    <t>1908</t>
  </si>
  <si>
    <t>1909</t>
  </si>
  <si>
    <t>2901</t>
  </si>
  <si>
    <t>002</t>
  </si>
  <si>
    <t>3801</t>
  </si>
  <si>
    <t>003</t>
  </si>
  <si>
    <t>3902</t>
  </si>
  <si>
    <t>3903</t>
  </si>
  <si>
    <t>3904</t>
  </si>
  <si>
    <t>3905</t>
  </si>
  <si>
    <t>3906</t>
  </si>
  <si>
    <t>3907</t>
  </si>
  <si>
    <t>4901</t>
  </si>
  <si>
    <t>004</t>
  </si>
  <si>
    <t>5901</t>
  </si>
  <si>
    <t>5902</t>
  </si>
  <si>
    <t>5903</t>
  </si>
  <si>
    <t>5904</t>
  </si>
  <si>
    <t>6902</t>
  </si>
  <si>
    <t>7901</t>
  </si>
  <si>
    <t>7902</t>
  </si>
  <si>
    <t>7904</t>
  </si>
  <si>
    <t>7905</t>
  </si>
  <si>
    <t>7906</t>
  </si>
  <si>
    <t>8901</t>
  </si>
  <si>
    <t>8902</t>
  </si>
  <si>
    <t>8903</t>
  </si>
  <si>
    <t>9901</t>
  </si>
  <si>
    <t>10901</t>
  </si>
  <si>
    <t>10902</t>
  </si>
  <si>
    <t>11901</t>
  </si>
  <si>
    <t>11902</t>
  </si>
  <si>
    <t>11904</t>
  </si>
  <si>
    <t>11905</t>
  </si>
  <si>
    <t>12901</t>
  </si>
  <si>
    <t>13801</t>
  </si>
  <si>
    <t>13901</t>
  </si>
  <si>
    <t>13902</t>
  </si>
  <si>
    <t>13903</t>
  </si>
  <si>
    <t>13905</t>
  </si>
  <si>
    <t>14801</t>
  </si>
  <si>
    <t>14802</t>
  </si>
  <si>
    <t>14803</t>
  </si>
  <si>
    <t>14804</t>
  </si>
  <si>
    <t>14901</t>
  </si>
  <si>
    <t>14902</t>
  </si>
  <si>
    <t>14903</t>
  </si>
  <si>
    <t>14905</t>
  </si>
  <si>
    <t>14906</t>
  </si>
  <si>
    <t>14907</t>
  </si>
  <si>
    <t>14908</t>
  </si>
  <si>
    <t>14909</t>
  </si>
  <si>
    <t>14910</t>
  </si>
  <si>
    <t>15801</t>
  </si>
  <si>
    <t>15802</t>
  </si>
  <si>
    <t>15803</t>
  </si>
  <si>
    <t>15805</t>
  </si>
  <si>
    <t>15806</t>
  </si>
  <si>
    <t>15807</t>
  </si>
  <si>
    <t>15808</t>
  </si>
  <si>
    <t>15809</t>
  </si>
  <si>
    <t>15810</t>
  </si>
  <si>
    <t>15811</t>
  </si>
  <si>
    <t>15812</t>
  </si>
  <si>
    <t>15813</t>
  </si>
  <si>
    <t>15814</t>
  </si>
  <si>
    <t>15815</t>
  </si>
  <si>
    <t>15816</t>
  </si>
  <si>
    <t>15817</t>
  </si>
  <si>
    <t>15818</t>
  </si>
  <si>
    <t>15819</t>
  </si>
  <si>
    <t>15820</t>
  </si>
  <si>
    <t>15822</t>
  </si>
  <si>
    <t>15823</t>
  </si>
  <si>
    <t>15824</t>
  </si>
  <si>
    <t>15825</t>
  </si>
  <si>
    <t>15826</t>
  </si>
  <si>
    <t>15901</t>
  </si>
  <si>
    <t>15904</t>
  </si>
  <si>
    <t>15905</t>
  </si>
  <si>
    <t>15906</t>
  </si>
  <si>
    <t>15907</t>
  </si>
  <si>
    <t>15908</t>
  </si>
  <si>
    <t>15909</t>
  </si>
  <si>
    <t>15910</t>
  </si>
  <si>
    <t>15911</t>
  </si>
  <si>
    <t>15912</t>
  </si>
  <si>
    <t>15913</t>
  </si>
  <si>
    <t>15914</t>
  </si>
  <si>
    <t>15915</t>
  </si>
  <si>
    <t>15916</t>
  </si>
  <si>
    <t>15917</t>
  </si>
  <si>
    <t>15950</t>
  </si>
  <si>
    <t>16901</t>
  </si>
  <si>
    <t>16902</t>
  </si>
  <si>
    <t>17901</t>
  </si>
  <si>
    <t>18901</t>
  </si>
  <si>
    <t>18902</t>
  </si>
  <si>
    <t>18903</t>
  </si>
  <si>
    <t>18904</t>
  </si>
  <si>
    <t>18905</t>
  </si>
  <si>
    <t>18906</t>
  </si>
  <si>
    <t>18907</t>
  </si>
  <si>
    <t>18908</t>
  </si>
  <si>
    <t>019-0</t>
  </si>
  <si>
    <t>19000</t>
  </si>
  <si>
    <t>EAGLE ACADEMY OF TEXARKANA</t>
  </si>
  <si>
    <t>19802</t>
  </si>
  <si>
    <t>19901</t>
  </si>
  <si>
    <t>19902</t>
  </si>
  <si>
    <t>19903</t>
  </si>
  <si>
    <t>19905</t>
  </si>
  <si>
    <t>19906</t>
  </si>
  <si>
    <t>19907</t>
  </si>
  <si>
    <t>19908</t>
  </si>
  <si>
    <t>19909</t>
  </si>
  <si>
    <t>19910</t>
  </si>
  <si>
    <t>19911</t>
  </si>
  <si>
    <t>19912</t>
  </si>
  <si>
    <t>19913</t>
  </si>
  <si>
    <t>19914</t>
  </si>
  <si>
    <t>20901</t>
  </si>
  <si>
    <t>20902</t>
  </si>
  <si>
    <t>20904</t>
  </si>
  <si>
    <t>20905</t>
  </si>
  <si>
    <t>20906</t>
  </si>
  <si>
    <t>20907</t>
  </si>
  <si>
    <t>20908</t>
  </si>
  <si>
    <t>20910</t>
  </si>
  <si>
    <t>21802</t>
  </si>
  <si>
    <t>21803</t>
  </si>
  <si>
    <t>21901</t>
  </si>
  <si>
    <t>21902</t>
  </si>
  <si>
    <t>21903</t>
  </si>
  <si>
    <t>022-4</t>
  </si>
  <si>
    <t>22004</t>
  </si>
  <si>
    <t>22901</t>
  </si>
  <si>
    <t>22902</t>
  </si>
  <si>
    <t>22903</t>
  </si>
  <si>
    <t>23902</t>
  </si>
  <si>
    <t>24801</t>
  </si>
  <si>
    <t>24901</t>
  </si>
  <si>
    <t>25901</t>
  </si>
  <si>
    <t>25902</t>
  </si>
  <si>
    <t>25904</t>
  </si>
  <si>
    <t>25905</t>
  </si>
  <si>
    <t>25906</t>
  </si>
  <si>
    <t>25908</t>
  </si>
  <si>
    <t>25909</t>
  </si>
  <si>
    <t>25910</t>
  </si>
  <si>
    <t>25911</t>
  </si>
  <si>
    <t>26901</t>
  </si>
  <si>
    <t>26902</t>
  </si>
  <si>
    <t>26903</t>
  </si>
  <si>
    <t>27903</t>
  </si>
  <si>
    <t>27904</t>
  </si>
  <si>
    <t>28902</t>
  </si>
  <si>
    <t>28903</t>
  </si>
  <si>
    <t>28906</t>
  </si>
  <si>
    <t>29901</t>
  </si>
  <si>
    <t>30901</t>
  </si>
  <si>
    <t>30902</t>
  </si>
  <si>
    <t>30903</t>
  </si>
  <si>
    <t>30906</t>
  </si>
  <si>
    <t>031-801</t>
  </si>
  <si>
    <t>VALLEY HIGH</t>
  </si>
  <si>
    <t>31801</t>
  </si>
  <si>
    <t>31802</t>
  </si>
  <si>
    <t>31901</t>
  </si>
  <si>
    <t>31903</t>
  </si>
  <si>
    <t>31905</t>
  </si>
  <si>
    <t>31906</t>
  </si>
  <si>
    <t>31909</t>
  </si>
  <si>
    <t>31911</t>
  </si>
  <si>
    <t>31912</t>
  </si>
  <si>
    <t>31913</t>
  </si>
  <si>
    <t>31914</t>
  </si>
  <si>
    <t>31916</t>
  </si>
  <si>
    <t>32902</t>
  </si>
  <si>
    <t>33901</t>
  </si>
  <si>
    <t>33902</t>
  </si>
  <si>
    <t>33904</t>
  </si>
  <si>
    <t>34901</t>
  </si>
  <si>
    <t>34902</t>
  </si>
  <si>
    <t>34903</t>
  </si>
  <si>
    <t>34905</t>
  </si>
  <si>
    <t>34906</t>
  </si>
  <si>
    <t>34907</t>
  </si>
  <si>
    <t>34908</t>
  </si>
  <si>
    <t>34909</t>
  </si>
  <si>
    <t>35901</t>
  </si>
  <si>
    <t>35902</t>
  </si>
  <si>
    <t>35903</t>
  </si>
  <si>
    <t>36901</t>
  </si>
  <si>
    <t>36902</t>
  </si>
  <si>
    <t>36903</t>
  </si>
  <si>
    <t>37901</t>
  </si>
  <si>
    <t>37904</t>
  </si>
  <si>
    <t>37907</t>
  </si>
  <si>
    <t>37908</t>
  </si>
  <si>
    <t>37909</t>
  </si>
  <si>
    <t>38901</t>
  </si>
  <si>
    <t>39901</t>
  </si>
  <si>
    <t>39902</t>
  </si>
  <si>
    <t>39903</t>
  </si>
  <si>
    <t>39904</t>
  </si>
  <si>
    <t>39905</t>
  </si>
  <si>
    <t>40901</t>
  </si>
  <si>
    <t>40902</t>
  </si>
  <si>
    <t>41901</t>
  </si>
  <si>
    <t>41902</t>
  </si>
  <si>
    <t>42901</t>
  </si>
  <si>
    <t>42903</t>
  </si>
  <si>
    <t>42905</t>
  </si>
  <si>
    <t>42906</t>
  </si>
  <si>
    <t>43901</t>
  </si>
  <si>
    <t>43902</t>
  </si>
  <si>
    <t>43903</t>
  </si>
  <si>
    <t>43904</t>
  </si>
  <si>
    <t>43905</t>
  </si>
  <si>
    <t>43907</t>
  </si>
  <si>
    <t>43908</t>
  </si>
  <si>
    <t>43910</t>
  </si>
  <si>
    <t>43911</t>
  </si>
  <si>
    <t>43912</t>
  </si>
  <si>
    <t>43914</t>
  </si>
  <si>
    <t>43917</t>
  </si>
  <si>
    <t>43918</t>
  </si>
  <si>
    <t>43919</t>
  </si>
  <si>
    <t>44902</t>
  </si>
  <si>
    <t>44904</t>
  </si>
  <si>
    <t>45902</t>
  </si>
  <si>
    <t>45903</t>
  </si>
  <si>
    <t>45905</t>
  </si>
  <si>
    <t>46801</t>
  </si>
  <si>
    <t>46802</t>
  </si>
  <si>
    <t>46901</t>
  </si>
  <si>
    <t>46902</t>
  </si>
  <si>
    <t>47901</t>
  </si>
  <si>
    <t>47902</t>
  </si>
  <si>
    <t>47903</t>
  </si>
  <si>
    <t>47905</t>
  </si>
  <si>
    <t>48901</t>
  </si>
  <si>
    <t>48903</t>
  </si>
  <si>
    <t>49901</t>
  </si>
  <si>
    <t>49902</t>
  </si>
  <si>
    <t>49903</t>
  </si>
  <si>
    <t>49904</t>
  </si>
  <si>
    <t>49905</t>
  </si>
  <si>
    <t>calculated in previous releases.</t>
  </si>
  <si>
    <t>4) For Chapter 41 districts, the maximum limit for CAD credit was not calculating correctly and has been fixed.</t>
  </si>
  <si>
    <t>this allotment under HB 1.  The same issue existed with the calculations on the 'Health Ins' tab and those have been</t>
  </si>
  <si>
    <t>LEVELLAND ISD</t>
  </si>
  <si>
    <t>ROPES ISD</t>
  </si>
  <si>
    <t>SUNDOWN ISD</t>
  </si>
  <si>
    <t>WHITHARRAL ISD</t>
  </si>
  <si>
    <t>GRANBURY ISD</t>
  </si>
  <si>
    <t>SULPHUR SPRINGS ISD</t>
  </si>
  <si>
    <t>NORTH HOPKINS ISD</t>
  </si>
  <si>
    <t>COMO-PICKTON CISD</t>
  </si>
  <si>
    <t>SALTILLO ISD</t>
  </si>
  <si>
    <t>CROCKETT ISD</t>
  </si>
  <si>
    <t>GRAPELAND ISD</t>
  </si>
  <si>
    <t>LOVELADY ISD</t>
  </si>
  <si>
    <t>LATEXO ISD</t>
  </si>
  <si>
    <t>KENNARD ISD</t>
  </si>
  <si>
    <t>Total Tax Levy</t>
  </si>
  <si>
    <t>Reduction for WADA Sold</t>
  </si>
  <si>
    <r>
      <t xml:space="preserve">school year based on current understanding of legislation enacted by the </t>
    </r>
    <r>
      <rPr>
        <b/>
        <sz val="10"/>
        <rFont val="Arial MT"/>
      </rPr>
      <t>78th</t>
    </r>
    <r>
      <rPr>
        <sz val="10"/>
        <rFont val="Arial MT"/>
      </rPr>
      <t xml:space="preserve"> Session of the Texas Legislature.</t>
    </r>
  </si>
  <si>
    <t>Water Valley ISD</t>
  </si>
  <si>
    <t>227-814</t>
  </si>
  <si>
    <t>Allison ISD</t>
  </si>
  <si>
    <t>Total IFA-Eligible Debt Pymt (bonded debt for which district applied and received IFA assist.)</t>
  </si>
  <si>
    <t>(2) On the 'Calc Data' tab, Cell F10 was referencing Cell E9 and it should be Cell D9 instead.</t>
  </si>
  <si>
    <t>VENUS ISD</t>
  </si>
  <si>
    <t>VERIBEST ISD</t>
  </si>
  <si>
    <t>121-902</t>
  </si>
  <si>
    <t>Brookeland ISD</t>
  </si>
  <si>
    <t>121-906</t>
  </si>
  <si>
    <t>Evadale ISD</t>
  </si>
  <si>
    <t>122-901</t>
  </si>
  <si>
    <t>Ft Davis ISD</t>
  </si>
  <si>
    <t>122-902</t>
  </si>
  <si>
    <t>Valentine ISD</t>
  </si>
  <si>
    <t>123-802</t>
  </si>
  <si>
    <t>EAGLE CHARTER BEAUMONT</t>
  </si>
  <si>
    <t>123-803</t>
  </si>
  <si>
    <t>T E K O A ACADEMY</t>
  </si>
  <si>
    <t>123-907</t>
  </si>
  <si>
    <t>Port Arthur ISD</t>
  </si>
  <si>
    <t>123-908</t>
  </si>
  <si>
    <t>Local Share of Allotment (Line 12 * (Line 8 / 100)</t>
  </si>
  <si>
    <t>Maximum State's Share of Allotment (Line 13 - Line 14)</t>
  </si>
  <si>
    <t>Award #3:</t>
  </si>
  <si>
    <t>133-905</t>
  </si>
  <si>
    <t>Divide ISD</t>
  </si>
  <si>
    <t>134-901</t>
  </si>
  <si>
    <t>Junction ISD</t>
  </si>
  <si>
    <t>West Oso ISD</t>
  </si>
  <si>
    <t>180-901</t>
  </si>
  <si>
    <t>Boys Ranch ISD</t>
  </si>
  <si>
    <t>ERATH EXCELS! ACADEMY</t>
  </si>
  <si>
    <t>220-807</t>
  </si>
  <si>
    <t>TOM BEAN ISD</t>
  </si>
  <si>
    <t>GLADEWATER ISD</t>
  </si>
  <si>
    <t>KILGORE ISD</t>
  </si>
  <si>
    <t>PINE TREE ISD</t>
  </si>
  <si>
    <t>SABINE ISD</t>
  </si>
  <si>
    <t>WHITE OAK ISD</t>
  </si>
  <si>
    <t>ANDERSON-SHIRO CONS ISD</t>
  </si>
  <si>
    <t>IOLA ISD</t>
  </si>
  <si>
    <t>NAVASOTA ISD</t>
  </si>
  <si>
    <t>RICHARDS ISD</t>
  </si>
  <si>
    <t>NAVARRO ISD</t>
  </si>
  <si>
    <t>&lt;= Enter the estimated transportation (you can use 2004-05 if not known at this time).</t>
  </si>
  <si>
    <t>nonpb</t>
  </si>
  <si>
    <t>vocaj</t>
  </si>
  <si>
    <t>preg</t>
  </si>
  <si>
    <t>care</t>
  </si>
  <si>
    <t>main</t>
  </si>
  <si>
    <t>carfte</t>
  </si>
  <si>
    <t>best</t>
  </si>
  <si>
    <t>bilada</t>
  </si>
  <si>
    <t>gifada</t>
  </si>
  <si>
    <t>PINEYWOODS COMMUNITY ACADEMY</t>
  </si>
  <si>
    <t>013-801</t>
  </si>
  <si>
    <t>ST MARY'S ACADEMY CHARTER SCHOOL</t>
  </si>
  <si>
    <t>014-801</t>
  </si>
  <si>
    <t>RICHARD MILBURN ACADEMY-KILLEEN</t>
  </si>
  <si>
    <t>014-802</t>
  </si>
  <si>
    <t>TRANSFORMATIVE CHARTER ACADEMY</t>
  </si>
  <si>
    <t>014-803</t>
  </si>
  <si>
    <t>TEMPLE EDUCATION CENTER</t>
  </si>
  <si>
    <t>014-804</t>
  </si>
  <si>
    <t>CEDAR CREST CHARTER SCHOOL</t>
  </si>
  <si>
    <t>POR VIDA ACAD CHARTER H S</t>
  </si>
  <si>
    <t>015-802</t>
  </si>
  <si>
    <t>GEORGE GERVIN ACADEMY</t>
  </si>
  <si>
    <t>015-803</t>
  </si>
  <si>
    <t>HIGGS/CARTER/KING GIFTED &amp; TALENTE</t>
  </si>
  <si>
    <t>015-805</t>
  </si>
  <si>
    <t>NEW FRONTIERS CHARTER SCHOOL</t>
  </si>
  <si>
    <t>SCHOOL OF EXCELLENCE IN EDUCATION</t>
  </si>
  <si>
    <t>015-807</t>
  </si>
  <si>
    <t>SOUTHWEST PREPARATORY SCHOOL</t>
  </si>
  <si>
    <t>015-808</t>
  </si>
  <si>
    <t>JOHN H WOOD CHARTER SCHOOL</t>
  </si>
  <si>
    <t>015-809</t>
  </si>
  <si>
    <t>BEXAR COUNTY ACADEMY</t>
  </si>
  <si>
    <t>015-810</t>
  </si>
  <si>
    <t>CAREER PLUS LEARNING ACADEMY</t>
  </si>
  <si>
    <t>015-811</t>
  </si>
  <si>
    <t>LA ESCUELA DE LAS AMERICAS</t>
  </si>
  <si>
    <t>015-812</t>
  </si>
  <si>
    <t>GEORGE I SANCHEZ CHARTER HS SAN AN</t>
  </si>
  <si>
    <t>015-813</t>
  </si>
  <si>
    <t>GUARDIAN ANGEL PERFORMANCE ACADEMY</t>
  </si>
  <si>
    <t>015-814</t>
  </si>
  <si>
    <t>POSITIVE SOLUTIONS CHARTER SCHOOL</t>
  </si>
  <si>
    <t>015-815</t>
  </si>
  <si>
    <t>RADIANCE ACADEMY OF LEARNING</t>
  </si>
  <si>
    <t>015-816</t>
  </si>
  <si>
    <t>ACADEMY OF CAREERS AND TECHNOLOGIE</t>
  </si>
  <si>
    <t>015-817</t>
  </si>
  <si>
    <t>SAN ANTONIO CAN! HIGH SCHOOL</t>
  </si>
  <si>
    <t>EAGLE ACADEMY OF SAN ANTONIO</t>
  </si>
  <si>
    <t>015-819</t>
  </si>
  <si>
    <t>SHEKINAH RADIANCE ACADEMY</t>
  </si>
  <si>
    <t>015-820</t>
  </si>
  <si>
    <t>SAN ANTONIO SCHOOL FOR INQUIRY &amp; C</t>
  </si>
  <si>
    <t>015-822</t>
  </si>
  <si>
    <t>JUBILEE ACADEMIC CENTER</t>
  </si>
  <si>
    <t>015-823</t>
  </si>
  <si>
    <t>SAN ANTONIO TECHNOLOGY  ACADEMY</t>
  </si>
  <si>
    <t>015-824</t>
  </si>
  <si>
    <t>SAN ANTONIO PREPARATORY ACADEMY</t>
  </si>
  <si>
    <t>015-825</t>
  </si>
  <si>
    <t>LIGHTHOUSE CHARTER SCHOOL</t>
  </si>
  <si>
    <t>015-826</t>
  </si>
  <si>
    <t>KIPP ASPIRE ACADEMY</t>
  </si>
  <si>
    <t>015-827</t>
  </si>
  <si>
    <t>015-950</t>
  </si>
  <si>
    <t>REG XX EDUCATION SERVICE CENTER</t>
  </si>
  <si>
    <t>019-000</t>
  </si>
  <si>
    <t>BOWIE COUNTY</t>
  </si>
  <si>
    <t>EAGLE ACADEMY OF BRYAN</t>
  </si>
  <si>
    <t>021-803</t>
  </si>
  <si>
    <t>BRAZOS SCHOOL FOR INQUIRY &amp; CREATI</t>
  </si>
  <si>
    <t>021-903</t>
  </si>
  <si>
    <t>J W HAMILTON JR STATE SCHOOL</t>
  </si>
  <si>
    <t>024-801</t>
  </si>
  <si>
    <t>ENCINO SCHOOL</t>
  </si>
  <si>
    <t>025-910</t>
  </si>
  <si>
    <t>RON JACKSON STATE JUVENILE CORR CO</t>
  </si>
  <si>
    <t>025-911</t>
  </si>
  <si>
    <t>EAGLE ACADEMY OF BROWNSVILLE</t>
  </si>
  <si>
    <t>SOUTH TEXAS ISD</t>
  </si>
  <si>
    <t>046-801</t>
  </si>
  <si>
    <t>NANCY NEY CHARTER SCHOOL</t>
  </si>
  <si>
    <t>046-802</t>
  </si>
  <si>
    <t>TRINITY CHARTER SCHOOL</t>
  </si>
  <si>
    <t>049-904</t>
  </si>
  <si>
    <t>GAINESVILLE STATE SCHOOL</t>
  </si>
  <si>
    <t>057-000</t>
  </si>
  <si>
    <t>DALLAS COUNTY SCHOOLS</t>
  </si>
  <si>
    <t>057-804</t>
  </si>
  <si>
    <t>DALLAS CAN ACADEMY CHARTER</t>
  </si>
  <si>
    <t>057-805</t>
  </si>
  <si>
    <t>DALLAS COMMUNITY CHARTER SCHOOL</t>
  </si>
  <si>
    <t>057-807</t>
  </si>
  <si>
    <t>LIFE SCHOOL</t>
  </si>
  <si>
    <t>057-808</t>
  </si>
  <si>
    <t>UNIVERSAL ACADEMY</t>
  </si>
  <si>
    <t>057-809</t>
  </si>
  <si>
    <t>NOVA CHARTER SCHOOL</t>
  </si>
  <si>
    <t>057-810</t>
  </si>
  <si>
    <t>ACADEMY OF DALLAS</t>
  </si>
  <si>
    <t>CHILDREN FIRST ACADEMY OF DALLAS</t>
  </si>
  <si>
    <t>057-813</t>
  </si>
  <si>
    <t>TRINITY BASIN PREPARATORY</t>
  </si>
  <si>
    <t>057-814</t>
  </si>
  <si>
    <t xml:space="preserve">This template is designed to estimate the amount of state/local revenue the district would be entitled to under the </t>
  </si>
  <si>
    <t>2006-07 Additional State Aid for Tax Reduction</t>
  </si>
  <si>
    <t>Springtown ISD</t>
  </si>
  <si>
    <t>Stephenville ISD</t>
  </si>
  <si>
    <t>Stockdale ISD</t>
  </si>
  <si>
    <t>Temple ISD</t>
  </si>
  <si>
    <t>Some of the calculations needed to compute state aid appear below.</t>
  </si>
  <si>
    <t>Tax Base Reduction:</t>
  </si>
  <si>
    <t xml:space="preserve">     Tax Base Retained</t>
  </si>
  <si>
    <t>Sonora ISD</t>
  </si>
  <si>
    <t>226-908</t>
  </si>
  <si>
    <t>Veribest ISD</t>
  </si>
  <si>
    <t>Coolidge ISD (General Obligation Debt)</t>
  </si>
  <si>
    <t>Mexia ISD (General Obligation Debt)</t>
  </si>
  <si>
    <t>Booker ISD (General Obligation Debt)</t>
  </si>
  <si>
    <t>Follett ISD (General Obligation Debt)</t>
  </si>
  <si>
    <t>Darrouzett ISD (General Obligation Debt)</t>
  </si>
  <si>
    <t>Three Rivers ISD (General Obligation Debt)</t>
  </si>
  <si>
    <t>Llano ISD (General Obligation Debt)</t>
  </si>
  <si>
    <t>Lubbock ISD (General Obligation Debt)</t>
  </si>
  <si>
    <t>Slaton ISD (General Obligation Debt)</t>
  </si>
  <si>
    <t>Lubbock-Cooper ISD (General Obligation Debt)</t>
  </si>
  <si>
    <t>Frenship ISD (General Obligation Debt)</t>
  </si>
  <si>
    <t>Shallowater ISD (General Obligation Debt)</t>
  </si>
  <si>
    <t>Idalou ISD (General Obligation Debt)</t>
  </si>
  <si>
    <t>O'Donnell ISD (General Obligation Debt)</t>
  </si>
  <si>
    <t>New Home ISD (General Obligation Debt)</t>
  </si>
  <si>
    <t>Wilson ISD (General Obligation Debt)</t>
  </si>
  <si>
    <t>Madisonville CISD (General Obligation Debt)</t>
  </si>
  <si>
    <t>North Zulch ISD (General Obligation Debt)</t>
  </si>
  <si>
    <t>Jefferson ISD (General Obligation Debt)</t>
  </si>
  <si>
    <t>Mason ISD (General Obligation Debt)</t>
  </si>
  <si>
    <t>Bay City ISD (General Obligation Debt)</t>
  </si>
  <si>
    <t>Palacios ISD (General Obligation Debt)</t>
  </si>
  <si>
    <t>Eagle Pass ISD (General Obligation Debt)</t>
  </si>
  <si>
    <t>Brady ISD (General Obligation Debt)</t>
  </si>
  <si>
    <t>Lohn ISD (General Obligation Debt)</t>
  </si>
  <si>
    <t>Crawford ISD (General Obligation Debt)</t>
  </si>
  <si>
    <t>Midway ISD (General Obligation Debt)</t>
  </si>
  <si>
    <t>La Vega ISD (General Obligation Debt)</t>
  </si>
  <si>
    <t>Lorena ISD (General Obligation Debt)</t>
  </si>
  <si>
    <t>Mart ISD (General Obligation Debt)</t>
  </si>
  <si>
    <t>McGregor ISD (General Obligation Debt)</t>
  </si>
  <si>
    <t>Riesel ISD (General Obligation Debt)</t>
  </si>
  <si>
    <t>Waco ISD (General Obligation Debt)</t>
  </si>
  <si>
    <t>West ISD (General Obligation Debt)</t>
  </si>
  <si>
    <t>China Spring ISD (General Obligation Debt)</t>
  </si>
  <si>
    <t>Connally ISD (General Obligation Debt)</t>
  </si>
  <si>
    <t>Robinson ISD (General Obligation Debt)</t>
  </si>
  <si>
    <t>Bosqueville ISD (General Obligation Debt)</t>
  </si>
  <si>
    <t>McMullen Co ISD (General Obligation Debt)</t>
  </si>
  <si>
    <t>Devine ISD (General Obligation Debt)</t>
  </si>
  <si>
    <t>D'Hanis ISD (General Obligation Debt)</t>
  </si>
  <si>
    <t>Natalia ISD (General Obligation Debt)</t>
  </si>
  <si>
    <t>Hondo ISD (General Obligation Debt)</t>
  </si>
  <si>
    <t>Medina Valley ISD (General Obligation Debt)</t>
  </si>
  <si>
    <t>Midland ISD (General Obligation Debt)</t>
  </si>
  <si>
    <t>Greenwood ISD (General Obligation Debt)</t>
  </si>
  <si>
    <t>Basic Allotment (BA)</t>
  </si>
  <si>
    <t>Small District Adjustment</t>
  </si>
  <si>
    <t>Centerville ISD (General Obligation Debt)</t>
  </si>
  <si>
    <t>Normangee ISD (General Obligation Debt)</t>
  </si>
  <si>
    <t>Leon ISD (General Obligation Debt)</t>
  </si>
  <si>
    <t>Cleveland ISD (General Obligation Debt)</t>
  </si>
  <si>
    <t>Dayton ISD (General Obligation Debt)</t>
  </si>
  <si>
    <t>Devers ISD (General Obligation Debt)</t>
  </si>
  <si>
    <t>Hull-Daisetta ISD (General Obligation Debt)</t>
  </si>
  <si>
    <t>Liberty ISD (General Obligation Debt)</t>
  </si>
  <si>
    <t>Tarkington ISD (General Obligation Debt)</t>
  </si>
  <si>
    <t>071905</t>
  </si>
  <si>
    <t>071906</t>
  </si>
  <si>
    <t>ANTHONY ISD</t>
  </si>
  <si>
    <t>071907</t>
  </si>
  <si>
    <t>071908</t>
  </si>
  <si>
    <t>071909</t>
  </si>
  <si>
    <t>072901</t>
  </si>
  <si>
    <t>072902</t>
  </si>
  <si>
    <t>072903</t>
  </si>
  <si>
    <t>072904</t>
  </si>
  <si>
    <t>072908</t>
  </si>
  <si>
    <t>072909</t>
  </si>
  <si>
    <t>072910</t>
  </si>
  <si>
    <t>073901</t>
  </si>
  <si>
    <t>CHILTON ISD</t>
  </si>
  <si>
    <t>073903</t>
  </si>
  <si>
    <t>073904</t>
  </si>
  <si>
    <t>073905</t>
  </si>
  <si>
    <t>074903</t>
  </si>
  <si>
    <t>074904</t>
  </si>
  <si>
    <t>074905</t>
  </si>
  <si>
    <t>074907</t>
  </si>
  <si>
    <t>074909</t>
  </si>
  <si>
    <t>074911</t>
  </si>
  <si>
    <t>074912</t>
  </si>
  <si>
    <t>074917</t>
  </si>
  <si>
    <t>075901</t>
  </si>
  <si>
    <t>075902</t>
  </si>
  <si>
    <t>075903</t>
  </si>
  <si>
    <t>075906</t>
  </si>
  <si>
    <t>075908</t>
  </si>
  <si>
    <t>076903</t>
  </si>
  <si>
    <t>ROBY CISD</t>
  </si>
  <si>
    <t>076904</t>
  </si>
  <si>
    <t>077901</t>
  </si>
  <si>
    <t>077902</t>
  </si>
  <si>
    <t>078901</t>
  </si>
  <si>
    <t>079901</t>
  </si>
  <si>
    <t>LAMAR CISD</t>
  </si>
  <si>
    <t>079906</t>
  </si>
  <si>
    <t>079907</t>
  </si>
  <si>
    <t>079908</t>
  </si>
  <si>
    <t>079910</t>
  </si>
  <si>
    <t>STAFFORD MSD</t>
  </si>
  <si>
    <t>080901</t>
  </si>
  <si>
    <t>081902</t>
  </si>
  <si>
    <t>081904</t>
  </si>
  <si>
    <t>081905</t>
  </si>
  <si>
    <t>081906</t>
  </si>
  <si>
    <t>082902</t>
  </si>
  <si>
    <t>082903</t>
  </si>
  <si>
    <t>083901</t>
  </si>
  <si>
    <t>083902</t>
  </si>
  <si>
    <t>083903</t>
  </si>
  <si>
    <t>084901</t>
  </si>
  <si>
    <t>084902</t>
  </si>
  <si>
    <t>084903</t>
  </si>
  <si>
    <t>084904</t>
  </si>
  <si>
    <t>084906</t>
  </si>
  <si>
    <t>084908</t>
  </si>
  <si>
    <t>084909</t>
  </si>
  <si>
    <t>084910</t>
  </si>
  <si>
    <t>084911</t>
  </si>
  <si>
    <t>085902</t>
  </si>
  <si>
    <t>085903</t>
  </si>
  <si>
    <t>086024</t>
  </si>
  <si>
    <t>DOSS CONSOLIDATED CSD</t>
  </si>
  <si>
    <t>086901</t>
  </si>
  <si>
    <t>086902</t>
  </si>
  <si>
    <t>087901</t>
  </si>
  <si>
    <t>088902</t>
  </si>
  <si>
    <t>089901</t>
  </si>
  <si>
    <t>089903</t>
  </si>
  <si>
    <t>NIXON-SMILEY CISD</t>
  </si>
  <si>
    <t>089905</t>
  </si>
  <si>
    <t>090902</t>
  </si>
  <si>
    <t>090903</t>
  </si>
  <si>
    <t>090904</t>
  </si>
  <si>
    <t>090905</t>
  </si>
  <si>
    <t>091901</t>
  </si>
  <si>
    <t>091902</t>
  </si>
  <si>
    <t>091903</t>
  </si>
  <si>
    <t>091905</t>
  </si>
  <si>
    <t>091906</t>
  </si>
  <si>
    <t>091907</t>
  </si>
  <si>
    <t>091908</t>
  </si>
  <si>
    <t>091909</t>
  </si>
  <si>
    <t>091910</t>
  </si>
  <si>
    <t>091913</t>
  </si>
  <si>
    <t>091914</t>
  </si>
  <si>
    <t>S AND S CISD</t>
  </si>
  <si>
    <t>091917</t>
  </si>
  <si>
    <t>091918</t>
  </si>
  <si>
    <t>092901</t>
  </si>
  <si>
    <t>092902</t>
  </si>
  <si>
    <t>092903</t>
  </si>
  <si>
    <t>092904</t>
  </si>
  <si>
    <t>092906</t>
  </si>
  <si>
    <t>092907</t>
  </si>
  <si>
    <t>092908</t>
  </si>
  <si>
    <t>093901</t>
  </si>
  <si>
    <t>ANDERSON-SHIRO CISD</t>
  </si>
  <si>
    <t>093903</t>
  </si>
  <si>
    <t>093904</t>
  </si>
  <si>
    <t>093905</t>
  </si>
  <si>
    <t>094901</t>
  </si>
  <si>
    <t>094902</t>
  </si>
  <si>
    <t>094903</t>
  </si>
  <si>
    <t>094904</t>
  </si>
  <si>
    <t>095901</t>
  </si>
  <si>
    <t>095902</t>
  </si>
  <si>
    <t>095903</t>
  </si>
  <si>
    <t>095904</t>
  </si>
  <si>
    <t>095905</t>
  </si>
  <si>
    <t>096904</t>
  </si>
  <si>
    <t>096905</t>
  </si>
  <si>
    <t>097902</t>
  </si>
  <si>
    <t>HAMILTON ISD</t>
  </si>
  <si>
    <t>097903</t>
  </si>
  <si>
    <t>098901</t>
  </si>
  <si>
    <t>098903</t>
  </si>
  <si>
    <t>PRINGLE-MORSE CISD</t>
  </si>
  <si>
    <t>098904</t>
  </si>
  <si>
    <t>099902</t>
  </si>
  <si>
    <t>099903</t>
  </si>
  <si>
    <t>100903</t>
  </si>
  <si>
    <t>100904</t>
  </si>
  <si>
    <t>100905</t>
  </si>
  <si>
    <t>100907</t>
  </si>
  <si>
    <t>100908</t>
  </si>
  <si>
    <t>WEST HARDIN COUNTY CISD</t>
  </si>
  <si>
    <t>101902</t>
  </si>
  <si>
    <t>101903</t>
  </si>
  <si>
    <t>101905</t>
  </si>
  <si>
    <t>101906</t>
  </si>
  <si>
    <t>101907</t>
  </si>
  <si>
    <t>101908</t>
  </si>
  <si>
    <t>101909</t>
  </si>
  <si>
    <t>101910</t>
  </si>
  <si>
    <t>101911</t>
  </si>
  <si>
    <t>101912</t>
  </si>
  <si>
    <t>101913</t>
  </si>
  <si>
    <t>101914</t>
  </si>
  <si>
    <t>101915</t>
  </si>
  <si>
    <t>101916</t>
  </si>
  <si>
    <t>101917</t>
  </si>
  <si>
    <t>101919</t>
  </si>
  <si>
    <t>101920</t>
  </si>
  <si>
    <t>101921</t>
  </si>
  <si>
    <t>101924</t>
  </si>
  <si>
    <t>101925</t>
  </si>
  <si>
    <t>102901</t>
  </si>
  <si>
    <t>102902</t>
  </si>
  <si>
    <t>102903</t>
  </si>
  <si>
    <t>102904</t>
  </si>
  <si>
    <t>102905</t>
  </si>
  <si>
    <t>102906</t>
  </si>
  <si>
    <t>103901</t>
  </si>
  <si>
    <t>103902</t>
  </si>
  <si>
    <t>104901</t>
  </si>
  <si>
    <t>104903</t>
  </si>
  <si>
    <t>104907</t>
  </si>
  <si>
    <t>105902</t>
  </si>
  <si>
    <t>SAN MARCOS CISD</t>
  </si>
  <si>
    <t>105904</t>
  </si>
  <si>
    <t>105905</t>
  </si>
  <si>
    <t>105906</t>
  </si>
  <si>
    <t>HAYS CISD</t>
  </si>
  <si>
    <t>106901</t>
  </si>
  <si>
    <t>107901</t>
  </si>
  <si>
    <t>107902</t>
  </si>
  <si>
    <t>107904</t>
  </si>
  <si>
    <t>107905</t>
  </si>
  <si>
    <t>107906</t>
  </si>
  <si>
    <t>107907</t>
  </si>
  <si>
    <t>107908</t>
  </si>
  <si>
    <t>107910</t>
  </si>
  <si>
    <t>108902</t>
  </si>
  <si>
    <t>DONNA ISD</t>
  </si>
  <si>
    <t>108903</t>
  </si>
  <si>
    <t>108904</t>
  </si>
  <si>
    <t>EDINBURG CISD</t>
  </si>
  <si>
    <t>108905</t>
  </si>
  <si>
    <t>108906</t>
  </si>
  <si>
    <t>108907</t>
  </si>
  <si>
    <t>108908</t>
  </si>
  <si>
    <t>MISSION CISD</t>
  </si>
  <si>
    <t>108909</t>
  </si>
  <si>
    <t>108910</t>
  </si>
  <si>
    <t>108911</t>
  </si>
  <si>
    <t>108912</t>
  </si>
  <si>
    <t>108913</t>
  </si>
  <si>
    <t>108914</t>
  </si>
  <si>
    <t>108915</t>
  </si>
  <si>
    <t>108916</t>
  </si>
  <si>
    <t>109901</t>
  </si>
  <si>
    <t>109902</t>
  </si>
  <si>
    <t>109903</t>
  </si>
  <si>
    <t>109904</t>
  </si>
  <si>
    <t>109905</t>
  </si>
  <si>
    <t>109907</t>
  </si>
  <si>
    <t>109908</t>
  </si>
  <si>
    <t>109910</t>
  </si>
  <si>
    <t>109911</t>
  </si>
  <si>
    <t>109912</t>
  </si>
  <si>
    <t>109913</t>
  </si>
  <si>
    <t>109914</t>
  </si>
  <si>
    <t>110901</t>
  </si>
  <si>
    <t>110902</t>
  </si>
  <si>
    <t>110905</t>
  </si>
  <si>
    <t>110906</t>
  </si>
  <si>
    <t>110907</t>
  </si>
  <si>
    <t>110908</t>
  </si>
  <si>
    <t>111901</t>
  </si>
  <si>
    <t>111902</t>
  </si>
  <si>
    <t>Port Aransas ISD (General Obligation Debt)</t>
  </si>
  <si>
    <t>Robstown ISD (General Obligation Debt)</t>
  </si>
  <si>
    <t>Tuloso-Midway ISD (General Obligation Debt)</t>
  </si>
  <si>
    <t>Banquete ISD (General Obligation Debt)</t>
  </si>
  <si>
    <t>Flour Bluff ISD (General Obligation Debt)</t>
  </si>
  <si>
    <t>West Oso ISD (General Obligation Debt)</t>
  </si>
  <si>
    <t>Perryton ISD (General Obligation Debt)</t>
  </si>
  <si>
    <t>Bridge City ISD (General Obligation Debt)</t>
  </si>
  <si>
    <t>Orangefield ISD (General Obligation Debt)</t>
  </si>
  <si>
    <t>West Orange-Cove CISD (General Obligation Debt)</t>
  </si>
  <si>
    <t>Vidor ISD (General Obligation Debt)</t>
  </si>
  <si>
    <t>Little Cypress-Mauriceville CISD (General Obligation Debt)</t>
  </si>
  <si>
    <t>Gordon ISD (General Obligation Debt)</t>
  </si>
  <si>
    <t>Graford ISD (General Obligation Debt)</t>
  </si>
  <si>
    <t>Mineral Wells ISD (General Obligation Debt)</t>
  </si>
  <si>
    <t>Santo ISD (General Obligation Debt)</t>
  </si>
  <si>
    <t>Palo Pinto ISD (General Obligation Debt)</t>
  </si>
  <si>
    <t>Beckville ISD (General Obligation Debt)</t>
  </si>
  <si>
    <t>Carthage ISD (General Obligation Debt)</t>
  </si>
  <si>
    <t>Gary ISD (General Obligation Debt)</t>
  </si>
  <si>
    <t>Poolville ISD (General Obligation Debt)</t>
  </si>
  <si>
    <t>Springtown ISD (General Obligation Debt)</t>
  </si>
  <si>
    <t>Weatherford ISD (General Obligation Debt)</t>
  </si>
  <si>
    <t>Millsap ISD (General Obligation Debt)</t>
  </si>
  <si>
    <t>Aledo ISD (General Obligation Debt)</t>
  </si>
  <si>
    <t>Peaster ISD (General Obligation Debt)</t>
  </si>
  <si>
    <t>Brock ISD (General Obligation Debt)</t>
  </si>
  <si>
    <t>Garner ISD (General Obligation Debt)</t>
  </si>
  <si>
    <t>Section 42.2516(d) - Gain in 06-07 Using Sec 45.003(d) Max Tax Limit ($1.50)</t>
  </si>
  <si>
    <t xml:space="preserve">(4) The calculations related to the gain from a Chapter 41 partnership have been revised to reflect my latest </t>
  </si>
  <si>
    <t>Era ISD (General Obligation Debt)</t>
  </si>
  <si>
    <t>Lindsay ISD (General Obligation Debt)</t>
  </si>
  <si>
    <t>Gatesville ISD (General Obligation Debt)</t>
  </si>
  <si>
    <t>Oglesby ISD (General Obligation Debt)</t>
  </si>
  <si>
    <t>Copperas Cove ISD (General Obligation Debt)</t>
  </si>
  <si>
    <t>Paducah ISD (General Obligation Debt)</t>
  </si>
  <si>
    <t>Culberson Co-Allamoore ISD (General Obligation Debt)</t>
  </si>
  <si>
    <t>Dalhart ISD (General Obligation Debt)</t>
  </si>
  <si>
    <t>Carrollton-Farmers Branch ISD (General Obligation Debt)</t>
  </si>
  <si>
    <t>Cedar Hill ISD (General Obligation Debt)</t>
  </si>
  <si>
    <t>Dallas ISD (General Obligation Debt)</t>
  </si>
  <si>
    <t>DeSoto ISD (General Obligation Debt)</t>
  </si>
  <si>
    <t>Duncanville ISD (General Obligation Debt)</t>
  </si>
  <si>
    <t>Garland ISD (General Obligation Debt)</t>
  </si>
  <si>
    <t>Grand Prairie ISD (General Obligation Debt)</t>
  </si>
  <si>
    <t>Highland Park ISD (General Obligation Debt)</t>
  </si>
  <si>
    <t>Irving ISD (General Obligation Debt)</t>
  </si>
  <si>
    <t>Lancaster ISD (General Obligation Debt)</t>
  </si>
  <si>
    <t>Mesquite ISD (General Obligation Debt)</t>
  </si>
  <si>
    <t>Richardson ISD (General Obligation Debt)</t>
  </si>
  <si>
    <t>Sunnyvale ISD (General Obligation Debt)</t>
  </si>
  <si>
    <t>Wilmer-Hutchins ISD (General Obligation Debt)</t>
  </si>
  <si>
    <t>Coppell ISD (General Obligation Debt)</t>
  </si>
  <si>
    <t>Dawson ISD (General Obligation Debt)</t>
  </si>
  <si>
    <t>Cooper ISD (General Obligation Debt)</t>
  </si>
  <si>
    <t xml:space="preserve">&lt;= This data element has been loaded automatically.  If the 04-05 EDA local share on the district's latest Summary of Finances (EDA printout that is part of the Summary of Finances) is different, you will have to unprotect this cell and enter the number from the district's latest Summary of Finances.  This number may change when the "final" Summary of Finances for 04-05 is generated.  </t>
  </si>
  <si>
    <t>2005-06 Total State/Local Revenue</t>
  </si>
  <si>
    <t>2005-06 WADA</t>
  </si>
  <si>
    <t>2005-06 Total Revenue per WADA</t>
  </si>
  <si>
    <t>of any other person's or entity's position.  It is how I interpret the ramifications, and I certainly have been wrong</t>
  </si>
  <si>
    <t>before and will be again.</t>
  </si>
  <si>
    <t>WARREN ISD</t>
  </si>
  <si>
    <t>GILMER ISD</t>
  </si>
  <si>
    <t>UNION HILL ISD</t>
  </si>
  <si>
    <t>NEW DIANA ISD</t>
  </si>
  <si>
    <t>UNION GROVE ISD</t>
  </si>
  <si>
    <t>MCCAMEY ISD</t>
  </si>
  <si>
    <t>RANKIN ISD</t>
  </si>
  <si>
    <t>UTOPIA ISD</t>
  </si>
  <si>
    <t>COMSTOCK ISD</t>
  </si>
  <si>
    <t>CANTON ISD</t>
  </si>
  <si>
    <t>VAN ISD</t>
  </si>
  <si>
    <t>WILLS POINT ISD</t>
  </si>
  <si>
    <t>NURSERY ISD</t>
  </si>
  <si>
    <t>HUNTSVILLE ISD</t>
  </si>
  <si>
    <t>ROYAL ISD</t>
  </si>
  <si>
    <t>MONAHANS-WICKETT-PYOTE ISD</t>
  </si>
  <si>
    <t>Note:  On the 'Calc Data' worksheet, the HB 1 hold harmless determination calculates the greater of two numbers.</t>
  </si>
  <si>
    <t>In Section 42.2516 (b)(1) of HB 1, it is actually the greater of three numbers - (b)(1)(A), (b)(1)(B), or (b)(1)(C).  TEA has</t>
  </si>
  <si>
    <t>Northside ISD</t>
  </si>
  <si>
    <t>Northwest ISD</t>
  </si>
  <si>
    <t>031-909</t>
  </si>
  <si>
    <t>Point Isabel ISD</t>
  </si>
  <si>
    <t>031-916</t>
  </si>
  <si>
    <t>South Texas ISD</t>
  </si>
  <si>
    <t>032-902</t>
  </si>
  <si>
    <t>Pittsburg ISD</t>
  </si>
  <si>
    <t>033-901</t>
  </si>
  <si>
    <t xml:space="preserve">Tax Collection Limit for DTR </t>
  </si>
  <si>
    <t>Weighted ADA (WADA)</t>
  </si>
  <si>
    <t>EASTLAND ISD</t>
  </si>
  <si>
    <t>BELLS ISD</t>
  </si>
  <si>
    <t>BELTON ISD</t>
  </si>
  <si>
    <t>BEN BOLT-PALITO BLANCO ISD</t>
  </si>
  <si>
    <t>BIRDVILLE ISD</t>
  </si>
  <si>
    <t>BLANCO ISD</t>
  </si>
  <si>
    <t>BLAND ISD</t>
  </si>
  <si>
    <t>BLANKET ISD</t>
  </si>
  <si>
    <t>BLOOMINGTON ISD</t>
  </si>
  <si>
    <t>BLUE RIDGE ISD</t>
  </si>
  <si>
    <t>BLUM ISD</t>
  </si>
  <si>
    <t>BOLES ISD</t>
  </si>
  <si>
    <t>BOSQUEVILLE ISD</t>
  </si>
  <si>
    <t>BRADY ISD</t>
  </si>
  <si>
    <t>BRIDGE CITY ISD</t>
  </si>
  <si>
    <t>BROCK ISD</t>
  </si>
  <si>
    <t xml:space="preserve">&lt;= If the district entered into an Option 4 agreement with a Chapter 41 district (or districts) and that agreement specified that a portion of the district's profit be sent to another entity (JJAEPs, ESCs, etc), enter the amount of revenue that was sent to those entities. </t>
  </si>
  <si>
    <t>2006-07 Net Gain From Chapter 41 Partnership @ $1.50</t>
  </si>
  <si>
    <t xml:space="preserve">2006-07 Tier I State Aid </t>
  </si>
  <si>
    <t>2006-07 State/Local Revenue per WADA</t>
  </si>
  <si>
    <t>2006-07 Number of WADA Sold to Chapter 41 District(s)</t>
  </si>
  <si>
    <t>2006-07 Charge for Selling WADA (using $1.50 M&amp;O tax rate)</t>
  </si>
  <si>
    <t>2006-07 Payments Received From Chapter 41 District(s)</t>
  </si>
  <si>
    <t xml:space="preserve">2006-07 Net Gain From Option 4 Chapter 41 Partnership </t>
  </si>
  <si>
    <t>2004-05 Maximum State Share of IFA</t>
  </si>
  <si>
    <t>ALLEN ISD</t>
  </si>
  <si>
    <t>ALVARADO ISD</t>
  </si>
  <si>
    <t>ALVIN ISD</t>
  </si>
  <si>
    <t>ALVORD ISD</t>
  </si>
  <si>
    <t>AMARILLO ISD</t>
  </si>
  <si>
    <t>ANAHUAC ISD</t>
  </si>
  <si>
    <t>ANNA ISD</t>
  </si>
  <si>
    <t>ANSON ISD</t>
  </si>
  <si>
    <t>ANTHONY</t>
  </si>
  <si>
    <t>AQUILLA ISD</t>
  </si>
  <si>
    <t>ARANSAS PASS ISD</t>
  </si>
  <si>
    <t>ARLINGTON ISD</t>
  </si>
  <si>
    <t>ARP ISD</t>
  </si>
  <si>
    <t>AUBREY ISD</t>
  </si>
  <si>
    <t>AVALON ISD</t>
  </si>
  <si>
    <t>AVERY ISD</t>
  </si>
  <si>
    <t>AZLE ISD</t>
  </si>
  <si>
    <t>BALMORHEA ISD</t>
  </si>
  <si>
    <t>BANDERA ISD</t>
  </si>
  <si>
    <t>BARTLETT ISD</t>
  </si>
  <si>
    <t>BASTROP ISD</t>
  </si>
  <si>
    <t>BEEVILLE ISD</t>
  </si>
  <si>
    <t>EAGLE CHARTER SAN ANTONIO</t>
  </si>
  <si>
    <t>147-902</t>
  </si>
  <si>
    <t>Groesbeck ISD</t>
  </si>
  <si>
    <t>147-903</t>
  </si>
  <si>
    <t>Mexia ISD</t>
  </si>
  <si>
    <t>148-901</t>
  </si>
  <si>
    <t>&lt; This number comes from the Data Entry sheet, CELL F75 or H75.</t>
  </si>
  <si>
    <t>Actual Gain Using Adopted M&amp;O Rate (excluding the $.04, if applicable)</t>
  </si>
  <si>
    <t>2006-07 M&amp;O Taxes Collected @ Adopted M&amp;O Tax Rate (excludes the $.04, if applicable)</t>
  </si>
  <si>
    <t xml:space="preserve">my understanding of the provisions in House Bill 1 as passed by the 79th Legislature, 3rd Called Session.  It does not </t>
  </si>
  <si>
    <t xml:space="preserve">necessarily reflect the way the Texas Education Agency will implement the provisions on House Bill 1.  However, the </t>
  </si>
  <si>
    <t>results should be similar to the results that the Agency will produce on the 2006-07 Summary of Finances report.</t>
  </si>
  <si>
    <t>Omar Garcia</t>
  </si>
  <si>
    <t>Region XIII Education Service Center</t>
  </si>
  <si>
    <t>2006-07 Tier II State Aid Using DTR Computed @ $1.50 M&amp;O Tax Rate</t>
  </si>
  <si>
    <t>2006-07 M&amp;O Taxes Collected @ $1.50 M&amp;O Tax Rate</t>
  </si>
  <si>
    <t>tax effort @ 1.50</t>
  </si>
  <si>
    <t>dtr @ 1.50</t>
  </si>
  <si>
    <t>cei adjustment</t>
  </si>
  <si>
    <t xml:space="preserve">   Less: Charge for Share of TEC 42.152 Projects</t>
  </si>
  <si>
    <t>1.</t>
  </si>
  <si>
    <t>2.</t>
  </si>
  <si>
    <t>3.</t>
  </si>
  <si>
    <t>Kilgore ISD</t>
  </si>
  <si>
    <t>092-904</t>
  </si>
  <si>
    <t>District Status - 'Y' if Ch 41 (note Column G - see instructions)</t>
  </si>
  <si>
    <t xml:space="preserve">&lt;= If district is a Chapter 41 district, change to Y - Columns F &amp; G are for Chapter 41 status under previous law ($305,000) and Column H is for Chapter 41 status under HB 1 ($319,500). </t>
  </si>
  <si>
    <t xml:space="preserve">There are a hand-full of districts that would have been Chapter 41 in 2006-07 had the law not changed, but are not </t>
  </si>
  <si>
    <t>Local Share of IFA Awarded in 2004-05 (2006-07 under HB 1)</t>
  </si>
  <si>
    <t>CL</t>
  </si>
  <si>
    <t xml:space="preserve">that is greater than the compressed rate plus $.04, the DTRs for Levels 1 and 3 of Tier II were not computing </t>
  </si>
  <si>
    <t>correctly in Release 6….they have been fixed.</t>
  </si>
  <si>
    <t>(1)  For districts that are contemplating going thru a rollback election and thus entering an adopted M&amp;O rate</t>
  </si>
  <si>
    <t>calculating correctly and has been fixed to correspond to the way I think TEA will calculate it.</t>
  </si>
  <si>
    <t>Ferris ISD</t>
  </si>
  <si>
    <t>070-908</t>
  </si>
  <si>
    <t>Bells ISD (General Obligation Debt)</t>
  </si>
  <si>
    <t>Collinsville ISD (General Obligation Debt)</t>
  </si>
  <si>
    <t>Denison ISD (General Obligation Debt)</t>
  </si>
  <si>
    <t>Howe ISD (General Obligation Debt)</t>
  </si>
  <si>
    <t>Sherman ISD (General Obligation Debt)</t>
  </si>
  <si>
    <t>Tioga ISD (General Obligation Debt)</t>
  </si>
  <si>
    <t>Van Alstyne ISD (General Obligation Debt)</t>
  </si>
  <si>
    <t>Whitesboro ISD (General Obligation Debt)</t>
  </si>
  <si>
    <t>Whitewright ISD (General Obligation Debt)</t>
  </si>
  <si>
    <t>Pottsboro ISD (General Obligation Debt)</t>
  </si>
  <si>
    <t>S &amp; S CISD (General Obligation Debt)</t>
  </si>
  <si>
    <t>Gunter ISD (General Obligation Debt)</t>
  </si>
  <si>
    <t>Tom Bean ISD (General Obligation Debt)</t>
  </si>
  <si>
    <t>Gladewater Co Line ISD (General Obligation Debt)</t>
  </si>
  <si>
    <t>Kilgore ISD (General Obligation Debt)</t>
  </si>
  <si>
    <t>Longview ISD (General Obligation Debt)</t>
  </si>
  <si>
    <t>Pine Tree ISD (General Obligation Debt)</t>
  </si>
  <si>
    <t>Spring Hill ISD (General Obligation Debt)</t>
  </si>
  <si>
    <t>White Oak ISD (General Obligation Debt)</t>
  </si>
  <si>
    <t>Anderson-Shiro CISD (General Obligation Debt)</t>
  </si>
  <si>
    <t>Navasota ISD (General Obligation Debt)</t>
  </si>
  <si>
    <t>Seguin ISD (General Obligation Debt)</t>
  </si>
  <si>
    <t>Schertz-Cibolo-Universal City ISD (General Obligation Debt)</t>
  </si>
  <si>
    <t>Navarro ISD (General Obligation Debt)</t>
  </si>
  <si>
    <t>Marion ISD (General Obligation Debt)</t>
  </si>
  <si>
    <t>Petersburg ISD (General Obligation Debt)</t>
  </si>
  <si>
    <t>Hamilton ISD (General Obligation Debt)</t>
  </si>
  <si>
    <t>Hico ISD (General Obligation Debt)</t>
  </si>
  <si>
    <t>Spearman ISD (General Obligation Debt)</t>
  </si>
  <si>
    <t>Quanah ISD (General Obligation Debt)</t>
  </si>
  <si>
    <t>Kountze ISD (General Obligation Debt)</t>
  </si>
  <si>
    <t>Silsbee ISD (General Obligation Debt)</t>
  </si>
  <si>
    <t>Hardin-Jefferson ISD (General Obligation Debt)</t>
  </si>
  <si>
    <t>Lumberton ISD (General Obligation Debt)</t>
  </si>
  <si>
    <t>West Hardin Co CISD (General Obligation Debt)</t>
  </si>
  <si>
    <t>Aldine ISD (General Obligation Debt)</t>
  </si>
  <si>
    <t>Alief ISD (General Obligation Debt)</t>
  </si>
  <si>
    <t>Channelview ISD (General Obligation Debt)</t>
  </si>
  <si>
    <t>Crosby ISD (General Obligation Debt)</t>
  </si>
  <si>
    <t>Cypress-Fairbanks ISD (General Obligation Debt)</t>
  </si>
  <si>
    <t>Deer Park ISD (General Obligation Debt)</t>
  </si>
  <si>
    <t>North Forest ISD (General Obligation Debt)</t>
  </si>
  <si>
    <t>Galena Park ISD (General Obligation Debt)</t>
  </si>
  <si>
    <t>Goose Creek CISD (General Obligation Debt)</t>
  </si>
  <si>
    <t>Houston ISD (General Obligation Debt)</t>
  </si>
  <si>
    <t>Humble ISD (General Obligation Debt)</t>
  </si>
  <si>
    <t>FTE_PREGNANT_SERV</t>
  </si>
  <si>
    <t>RADA_SPECED_MAIN</t>
  </si>
  <si>
    <t>FTE_HOMEBOUND</t>
  </si>
  <si>
    <t>FTE_HOSPITAL</t>
  </si>
  <si>
    <t>FTE_RESOURCE</t>
  </si>
  <si>
    <t>FTE_SELF_CONTAIN</t>
  </si>
  <si>
    <t>FTE_OFF_HOMECAMP</t>
  </si>
  <si>
    <t>FTE_VOC_ADJUST</t>
  </si>
  <si>
    <t>FTE_STATE_SCHOOL</t>
  </si>
  <si>
    <t>FTE_CARE_TREAT</t>
  </si>
  <si>
    <t>FTE_SPECED</t>
  </si>
  <si>
    <t>FTE_VOCED</t>
  </si>
  <si>
    <t>GIFTED_STUD</t>
  </si>
  <si>
    <t>015-831</t>
  </si>
  <si>
    <t>031-803</t>
  </si>
  <si>
    <t>057-842</t>
  </si>
  <si>
    <t>057-843</t>
  </si>
  <si>
    <t>101-862</t>
  </si>
  <si>
    <t>130-801</t>
  </si>
  <si>
    <t>174-801</t>
  </si>
  <si>
    <t>220-815</t>
  </si>
  <si>
    <t>220-816</t>
  </si>
  <si>
    <t>240-804</t>
  </si>
  <si>
    <t>1/2DAY</t>
  </si>
  <si>
    <t>SOF ADA</t>
  </si>
  <si>
    <t>Pre.K</t>
  </si>
  <si>
    <t>BIINGUAL ADA</t>
  </si>
  <si>
    <t>PREK BILINGUAL ADA</t>
  </si>
  <si>
    <t>BILINGUAL</t>
  </si>
  <si>
    <t>BILLINGUAL</t>
  </si>
  <si>
    <t>KNOX CITY-O BRIEN CISD</t>
  </si>
  <si>
    <t>O DONNELL ISD</t>
  </si>
  <si>
    <t>D HANIS ISD</t>
  </si>
  <si>
    <t>2009-10 HB 3646</t>
  </si>
  <si>
    <t>&lt;= uses 96% as an estimate, instead of 98%</t>
  </si>
  <si>
    <t>Career &amp; Technology FTE</t>
  </si>
  <si>
    <t>Cost of Edu. Index</t>
  </si>
  <si>
    <t>STAFFORD MUNICIPAL SCHOOL DIST</t>
  </si>
  <si>
    <t>HAMILTON INDEPENDENT SCHOOL DI</t>
  </si>
  <si>
    <t>DONNA INDEPENDENT SCHOOL DISTR</t>
  </si>
  <si>
    <t>PLEMONS-STINNETT-PHILLIPS CONS</t>
  </si>
  <si>
    <t>CANYON INDEPENDENT SCHOOL DIST</t>
  </si>
  <si>
    <t>0506 Tax Rate</t>
  </si>
  <si>
    <t>Percent of $1.50</t>
  </si>
  <si>
    <t>Basic Allotment</t>
  </si>
  <si>
    <t>Sq. Miles&lt;300=.00025;&gt;300=.0004</t>
  </si>
  <si>
    <t>(Be sure to enter "Excess Hours" each six weeks from Column D)</t>
  </si>
  <si>
    <t>(HIDE)</t>
  </si>
  <si>
    <t xml:space="preserve">2004-2005 Cycle 10 </t>
  </si>
  <si>
    <t>11_NAME</t>
  </si>
  <si>
    <t>Temple Education Center</t>
  </si>
  <si>
    <t>George Gervin Academy</t>
  </si>
  <si>
    <t>Higgs, Carter, King Gifted &amp; Talented Charter Academy</t>
  </si>
  <si>
    <t>School of Excellence in Education</t>
  </si>
  <si>
    <t>Bexar County Academy</t>
  </si>
  <si>
    <t>La Escuela de las Americas</t>
  </si>
  <si>
    <t>Radiance Academy of Learning</t>
  </si>
  <si>
    <t>Shekinah Radiance Academy</t>
  </si>
  <si>
    <t>Jubilee Academy</t>
  </si>
  <si>
    <t>Brazos School for Inquiry and Creativity</t>
  </si>
  <si>
    <t>Gainsville ISD</t>
  </si>
  <si>
    <t>Dallas Community Charter School</t>
  </si>
  <si>
    <t>LTTS Charter School, Inc.</t>
  </si>
  <si>
    <t>Academy of Dallas</t>
  </si>
  <si>
    <t>Children First Academy-Dallas</t>
  </si>
  <si>
    <t>Faith Family Academy of Oak Cliff</t>
  </si>
  <si>
    <t>AW Brown Fellowship Charter School</t>
  </si>
  <si>
    <t>Jean Massieu Academy</t>
  </si>
  <si>
    <t>The School of Liberal Arts and Science</t>
  </si>
  <si>
    <t>Nova Charter School</t>
  </si>
  <si>
    <t>A+ Academy</t>
  </si>
  <si>
    <t>Inspired Vision Academy</t>
  </si>
  <si>
    <t>Waxahachie Faith Family Academy</t>
  </si>
  <si>
    <t>El Paso School of Excellence</t>
  </si>
  <si>
    <t>Ysletta ISD</t>
  </si>
  <si>
    <t>Mainland Preparatory Academy</t>
  </si>
  <si>
    <t>Odyssey Academy</t>
  </si>
  <si>
    <t>Medical Center Charter School</t>
  </si>
  <si>
    <t>SER-Ninos Charter School</t>
  </si>
  <si>
    <t>George I. Sanchez Charter High School</t>
  </si>
  <si>
    <t>Raul Yzaguirre School for Success</t>
  </si>
  <si>
    <t>Academy of Accelerated Learning, Inc.</t>
  </si>
  <si>
    <t>Kipp Academy</t>
  </si>
  <si>
    <t>The Varnett Charter School</t>
  </si>
  <si>
    <t>Alief Montessori Community School</t>
  </si>
  <si>
    <t>Amigos Por Vida-Friends for Life Public Charter School</t>
  </si>
  <si>
    <t>Children First Academy-Houston</t>
  </si>
  <si>
    <t>Houston Heights Learning Academy, Inc.</t>
  </si>
  <si>
    <t>Impact Charter School</t>
  </si>
  <si>
    <t>La Amistad Love and Learning Academy</t>
  </si>
  <si>
    <t>Northwest Mathematics, Science, Language Academy</t>
  </si>
  <si>
    <t>Two Dimensions Preparatory Academy, Inc.</t>
  </si>
  <si>
    <t>Northwest Preparatory Academy Charter School</t>
  </si>
  <si>
    <t>Accelerated Intermediate Academy</t>
  </si>
  <si>
    <t>Elysian Fields</t>
  </si>
  <si>
    <t>One Stop Multi-Service Charter</t>
  </si>
  <si>
    <t>Vanguard Academy</t>
  </si>
  <si>
    <t>Edinburg ISD</t>
  </si>
  <si>
    <t>Hidaldo ISD</t>
  </si>
  <si>
    <t>Phoenix Charter School</t>
  </si>
  <si>
    <t>Beaumont Charter Academy</t>
  </si>
  <si>
    <t>Tekoa Academy of Accelerated Studies</t>
  </si>
  <si>
    <t>Ehrhart School (The)</t>
  </si>
  <si>
    <t>Ben Bolt-Palito ISD</t>
  </si>
  <si>
    <t>Cedar Ridge Charter School</t>
  </si>
  <si>
    <t xml:space="preserve">Rise Academy </t>
  </si>
  <si>
    <t>Rapaport Academy Charter School</t>
  </si>
  <si>
    <t>178-916</t>
  </si>
  <si>
    <t xml:space="preserve">West Oso ISD </t>
  </si>
  <si>
    <t>Iraan Sheffield ISD</t>
  </si>
  <si>
    <t>198-908</t>
  </si>
  <si>
    <t>Juaquin ISD</t>
  </si>
  <si>
    <t>Rio Grande City CISD</t>
  </si>
  <si>
    <t>East Fort Worth Montessori Academy</t>
  </si>
  <si>
    <t>Mt. Pleasant ISD</t>
  </si>
  <si>
    <t>Texas Academy of Excellence</t>
  </si>
  <si>
    <t>Gabriel Tafolla Charter School</t>
  </si>
  <si>
    <t>Uvalde CISD</t>
  </si>
  <si>
    <t>San Felipe Del Rio CISD</t>
  </si>
  <si>
    <t>Brenham</t>
  </si>
  <si>
    <t>Lyford ISD</t>
  </si>
  <si>
    <t>ST MARY'S ACADEMY CHARTER SCHO</t>
  </si>
  <si>
    <t>RICHARD MILBURN ALTER HIGH SCH</t>
  </si>
  <si>
    <t>ORENDA CHARTER SCHOOL</t>
  </si>
  <si>
    <t>HIGGS CARTER KING GIFTED &amp; TAL</t>
  </si>
  <si>
    <t>SCHOOL OF EXCELLENCE IN EDUCAT</t>
  </si>
  <si>
    <t>JOHN H WOOD JR PUBLIC CHARTER</t>
  </si>
  <si>
    <t>GEORGE I SANCHEZ CHARTER HS SA</t>
  </si>
  <si>
    <t>GUARDIAN ANGEL PERFORMANCE ART</t>
  </si>
  <si>
    <t>POSITIVE SOLUTIONS CHARTER SCH</t>
  </si>
  <si>
    <t>ACADEMY OF CAREERS AND TECHNOL</t>
  </si>
  <si>
    <t>SAN ANTONIO CAN HIGH SCHOOL</t>
  </si>
  <si>
    <t>SAN ANTONIO SCHOOL FOR INQUIRY</t>
  </si>
  <si>
    <t>SAN ANTONIO TECHNOLOGY  ACADEM</t>
  </si>
  <si>
    <t>SAN ANTONIO PREPARATORY ACADEM</t>
  </si>
  <si>
    <t>SCHOOL OF SCIENCE AND TECHNOLO</t>
  </si>
  <si>
    <t>HARMONY SCIENCE ACAD (SAN ANTO</t>
  </si>
  <si>
    <t>BROOKS ACADEMY OF SCIENCE AND</t>
  </si>
  <si>
    <t>015-832</t>
  </si>
  <si>
    <t>CITY CENTER HEALTH CAREERS</t>
  </si>
  <si>
    <t>015-833</t>
  </si>
  <si>
    <t>HENRY FORD ACADEMY SAN ANTONIO</t>
  </si>
  <si>
    <t>BRAZOS SCHOOL FOR INQUIRY &amp; CR</t>
  </si>
  <si>
    <t>HARMONY SCIENCE ACAD (COLLEGE</t>
  </si>
  <si>
    <t>HARMONY SCIENCE ACADEMY - BROW</t>
  </si>
  <si>
    <t>PEGASUS SCHOOL OF LIBERAL ARTS</t>
  </si>
  <si>
    <t>NORTH HILLS PREPARATORY SCHOOL</t>
  </si>
  <si>
    <t>DALLAS COMMUNITY CHARTER SCHOO</t>
  </si>
  <si>
    <t>ADVANTAGE ACADEMY</t>
  </si>
  <si>
    <t>NOVA ACADEMY</t>
  </si>
  <si>
    <t>CHILDREN FIRST ACADEMY OF DALL</t>
  </si>
  <si>
    <t>FAITH FAMILY ACADEMY OF OAK CL</t>
  </si>
  <si>
    <t>AW BROWN-FELLOWSHIP CHARTER SC</t>
  </si>
  <si>
    <t>THE SCHOOL OF LIBERAL ARTS AND</t>
  </si>
  <si>
    <t>NOVA ACADEMY (SOUTHEAST)</t>
  </si>
  <si>
    <t>WINFREE ACADEMY CHARTER SCHOOL</t>
  </si>
  <si>
    <t>EDUCATION CENTER INTERNATIONAL</t>
  </si>
  <si>
    <t>EVOLUTION ACADEMY CHARTER SCHO</t>
  </si>
  <si>
    <t>PEAK PREPARATORY SCHOOL</t>
  </si>
  <si>
    <t>LA ACADEMIA DE ESTRELLAS</t>
  </si>
  <si>
    <t>RICHLAND COLLEGIATE HS OF MATH</t>
  </si>
  <si>
    <t>RECONCILIATION ACADEMY</t>
  </si>
  <si>
    <t>WILLIAMS PREPARATORY</t>
  </si>
  <si>
    <t>HAMPTON PREPARATORY</t>
  </si>
  <si>
    <t>057-844</t>
  </si>
  <si>
    <t>MANARA ACADEMY</t>
  </si>
  <si>
    <t>061-803</t>
  </si>
  <si>
    <t>THE LEGENDS ACADEMY</t>
  </si>
  <si>
    <t>RICHARD MILBURN ACADEMY (ECTOR</t>
  </si>
  <si>
    <t>WAXAHACHIE FAITH FAMILY ACADEM</t>
  </si>
  <si>
    <t>BURNHAM WOOD CHARTER SCHOOL DI</t>
  </si>
  <si>
    <t>PASO DEL NORTE</t>
  </si>
  <si>
    <t>HARMONY SCIENCE ACAD (EL PASO)</t>
  </si>
  <si>
    <t>LA FE PREPARATORY SCHOOL</t>
  </si>
  <si>
    <t>PARADIGM ACCELERATED CHARTER S</t>
  </si>
  <si>
    <t>AMBASSADORS PREPARATORY ACADEM</t>
  </si>
  <si>
    <t>RAUL YZAGUIRRE SCHOOL FOR SUCC</t>
  </si>
  <si>
    <t>UNIVERSITY OF HOUSTON CHARTER</t>
  </si>
  <si>
    <t>BAY AREA CHARTER INC</t>
  </si>
  <si>
    <t>ACADEMY OF ACCELERATED LEARNIN</t>
  </si>
  <si>
    <t>EXCEL ACADEMY</t>
  </si>
  <si>
    <t>HOUSTON CAN ACADEMY CHARTER SC</t>
  </si>
  <si>
    <t>THE VARNETT PUBLIC SCHOOL</t>
  </si>
  <si>
    <t>ALIEF MONTESSORI COMMUNITY SCH</t>
  </si>
  <si>
    <t>AMIGOS POR VIDA-FRIENDS FOR LI</t>
  </si>
  <si>
    <t>BENJI'S SPECIAL EDUCATIONAL AC</t>
  </si>
  <si>
    <t>HOUSTON HEIGHTS HIGH SCHOOL</t>
  </si>
  <si>
    <t>CHILDREN FIRST ACADEMY OF HOUS</t>
  </si>
  <si>
    <t>HOUSTON GATEWAY ACADEMY INC</t>
  </si>
  <si>
    <t>HOUSTON HEIGHTS LEARNING ACADE</t>
  </si>
  <si>
    <t>LA AMISTAD LOVE &amp; LEARNING ACA</t>
  </si>
  <si>
    <t>SOUTHWEST SCHOOL</t>
  </si>
  <si>
    <t>TWO DIMENSIONS PREPARATORY ACA</t>
  </si>
  <si>
    <t>YES PREPARATORY PUBLIC SCHOOLS</t>
  </si>
  <si>
    <t>BEATRICE MAYES INSTITUTE CHART</t>
  </si>
  <si>
    <t>ACCELERATED INTERMEDIATE ACADE</t>
  </si>
  <si>
    <t>ZOE LEARNING ACADEMY</t>
  </si>
  <si>
    <t>HOUSTON ALTERNATIVE PREPARATOR</t>
  </si>
  <si>
    <t>RICHARD MILBURN ACADEMY (SUBUR</t>
  </si>
  <si>
    <t>HARMONY SCHOOL OF INNOVATION</t>
  </si>
  <si>
    <t>HARMONY SCHOOL OF EXCELLENCE</t>
  </si>
  <si>
    <t>STEPPING STONES CHARTER EL</t>
  </si>
  <si>
    <t>KIPP SOUTHEAST HOUSTON</t>
  </si>
  <si>
    <t>THE RHODES SCHOOL</t>
  </si>
  <si>
    <t>HARMONY SCHOOL OF SCIENCE - HO</t>
  </si>
  <si>
    <t>ONE STOP MULTISERVICE CHARTER</t>
  </si>
  <si>
    <t>TECHNOLOGY EDUCATION CHARTER H</t>
  </si>
  <si>
    <t>IDEA  PUBLIC SCHOOLS</t>
  </si>
  <si>
    <t>TEKOA ACADEMY OF ACCELERATED S</t>
  </si>
  <si>
    <t>RICHARD MILBURN ACADEMY (BEAUM</t>
  </si>
  <si>
    <t>HARMONY SCIENCE ACAD (BEAUMONT</t>
  </si>
  <si>
    <t>MEADOWLAND CHARTER SCHOOL</t>
  </si>
  <si>
    <t>SOUTH PLAINS</t>
  </si>
  <si>
    <t>HARMONY SCIENCE ACAD (LUBBOCK)</t>
  </si>
  <si>
    <t>WACO CHARTER SCHOOL</t>
  </si>
  <si>
    <t>RAPOPORT ACADEMY PUBLIC SCHOOL</t>
  </si>
  <si>
    <t>HARMONY SCIENCE ACAD (WACO)</t>
  </si>
  <si>
    <t>STEPHEN F AUSTIN STATE UNIVERS</t>
  </si>
  <si>
    <t>DR M L GARZA-GONZALEZ CHARTER</t>
  </si>
  <si>
    <t>CORPUS CHRISTI MONTESSORI SCHO</t>
  </si>
  <si>
    <t>SEASHORE MIDDLE ACAD</t>
  </si>
  <si>
    <t>178-809</t>
  </si>
  <si>
    <t>CROSSTIMBERS ACADEMY</t>
  </si>
  <si>
    <t>RICHARD MILBURN ACADEMY (AMARI</t>
  </si>
  <si>
    <t>METRO ACADEMY OF MATH AND SCIE</t>
  </si>
  <si>
    <t>FORT WORTH ACADEMY OF FINE ART</t>
  </si>
  <si>
    <t>WESTLAKE ACADEMY CHARTER SCHOO</t>
  </si>
  <si>
    <t>EAST FORT WORTH MONTESSORI ACA</t>
  </si>
  <si>
    <t>RICHARD MILBURN ACADEMY (FORT</t>
  </si>
  <si>
    <t>HARMONY SCIENCE ACAD (FORT WOR</t>
  </si>
  <si>
    <t>TEXAS ELEMENTARY SCHOOL OF THE</t>
  </si>
  <si>
    <t>CHAPEL HILL ACADEMY</t>
  </si>
  <si>
    <t>SUMMIT INTERNATIONAL PREPARATO</t>
  </si>
  <si>
    <t>RESPONSIVE EDUCATION SOLUTIONS</t>
  </si>
  <si>
    <t>226-801</t>
  </si>
  <si>
    <t>TLC ACADEMY</t>
  </si>
  <si>
    <t>AMERICAN YOUTHWORKS CHARTER SC</t>
  </si>
  <si>
    <t>UNIVERSITY OF TEXAS UNIVERSITY</t>
  </si>
  <si>
    <t>HARMONY SCIENCE ACADEMY (AUSTI</t>
  </si>
  <si>
    <t>AUSTIN CAN ACADEMY CHARTER SCH</t>
  </si>
  <si>
    <t>UNIVERSITY OF TEXAS ELEMENTARY</t>
  </si>
  <si>
    <t>KIPP AUSTIN PUBLIC SCHOOLS INC</t>
  </si>
  <si>
    <t>AUSTIN DISCOVERY SCHOOL</t>
  </si>
  <si>
    <t>HARMONY SCHOOL OF SCIENCE AUST</t>
  </si>
  <si>
    <t>227-824</t>
  </si>
  <si>
    <t>THE EAST AUSTIN COLLEGE PREP A</t>
  </si>
  <si>
    <t>TEXAS SCH FOR THE BLIND &amp; VISU</t>
  </si>
  <si>
    <t>GABRIEL TAFOLLA ACADEMY</t>
  </si>
  <si>
    <t>OUTREACH ACADEMY</t>
  </si>
  <si>
    <t>GATEWAY (STUDENT ALTERNATIVE P</t>
  </si>
  <si>
    <t>HARMONY SCIENCE ACADEMY - LARE</t>
  </si>
  <si>
    <t>2010 - 2011</t>
  </si>
  <si>
    <t>FM114110</t>
  </si>
  <si>
    <t>015-829</t>
  </si>
  <si>
    <t>031-504</t>
  </si>
  <si>
    <t>UNIVERSITY OF TEXAS AT BROWNSV</t>
  </si>
  <si>
    <t>071-808</t>
  </si>
  <si>
    <t>SOMERSET CHARTER SCHOOL</t>
  </si>
  <si>
    <t>071-809</t>
  </si>
  <si>
    <t>VISTA DEL FUTURO CHARTER SCHOO</t>
  </si>
  <si>
    <t>TEXAS A &amp; M UNIVERSITY AT GALV</t>
  </si>
  <si>
    <t>101-0</t>
  </si>
  <si>
    <t>HARRIS COUNTY DEPT OF ED</t>
  </si>
  <si>
    <t>ALPHONSO CRUTCH'S-LIFE SUPPORT</t>
  </si>
  <si>
    <t>101-863</t>
  </si>
  <si>
    <t>KOINONIA COMMUNITY LEARN</t>
  </si>
  <si>
    <t>TEXAS ACADEMY OF LEADERSHIP IN</t>
  </si>
  <si>
    <t>123-807</t>
  </si>
  <si>
    <t>BOB HOPE SCHOOL</t>
  </si>
  <si>
    <t>161-805</t>
  </si>
  <si>
    <t>227-823</t>
  </si>
  <si>
    <t>SAILL</t>
  </si>
  <si>
    <t>TOTRADA</t>
  </si>
  <si>
    <t>RADA_BILING_ESL</t>
  </si>
  <si>
    <t>FTE_SPEECH</t>
  </si>
  <si>
    <t xml:space="preserve">REGRADA </t>
  </si>
  <si>
    <t>HIGH SCHOOL ADA</t>
  </si>
  <si>
    <t>FM111100</t>
  </si>
  <si>
    <t>FM111600</t>
  </si>
  <si>
    <t>FM111222</t>
  </si>
  <si>
    <t>FM111226</t>
  </si>
  <si>
    <t>FM111212</t>
  </si>
  <si>
    <t>FM111210</t>
  </si>
  <si>
    <t>FM111211</t>
  </si>
  <si>
    <t>FM111213</t>
  </si>
  <si>
    <t>FM111214</t>
  </si>
  <si>
    <t>FM111216</t>
  </si>
  <si>
    <t>FM111220</t>
  </si>
  <si>
    <t>FM111218</t>
  </si>
  <si>
    <t>FM111225</t>
  </si>
  <si>
    <t>FM111250</t>
  </si>
  <si>
    <t>FM111300</t>
  </si>
  <si>
    <t>FM111400</t>
  </si>
  <si>
    <t>FM111700</t>
  </si>
  <si>
    <t>FM110200</t>
  </si>
  <si>
    <t>FM111221</t>
  </si>
  <si>
    <t>101-865</t>
  </si>
  <si>
    <t>2011 - 2012</t>
  </si>
  <si>
    <t>2010 - 11</t>
  </si>
  <si>
    <r>
      <t xml:space="preserve">2010-11 </t>
    </r>
    <r>
      <rPr>
        <b/>
        <sz val="10"/>
        <color indexed="10"/>
        <rFont val="Arial MT"/>
      </rPr>
      <t>&amp; 2011-12 Data:</t>
    </r>
  </si>
  <si>
    <t>Distname</t>
  </si>
  <si>
    <t xml:space="preserve"> 2010 State Certified Property Value</t>
  </si>
  <si>
    <t xml:space="preserve"> 2011 Refined ADA</t>
  </si>
  <si>
    <t>Release 09-10; Revised 10/18/11</t>
  </si>
  <si>
    <t>based on my current understanding.</t>
  </si>
  <si>
    <r>
      <t xml:space="preserve">This template calculates an estimate of state aid by Special Education instructiuonal settings that will be EARNED for the </t>
    </r>
    <r>
      <rPr>
        <b/>
        <u/>
        <sz val="10"/>
        <color indexed="10"/>
        <rFont val="Arial MT"/>
      </rPr>
      <t xml:space="preserve">2011 - 12 </t>
    </r>
    <r>
      <rPr>
        <sz val="10"/>
        <rFont val="Arial MT"/>
      </rPr>
      <t xml:space="preserve">school year </t>
    </r>
  </si>
  <si>
    <t xml:space="preserve">It is the responsibility of the user to use the appropriate, correct data.  </t>
  </si>
  <si>
    <t>Eligible Days Present   (Line F)</t>
  </si>
  <si>
    <t>Days Membership    (Line B)</t>
  </si>
  <si>
    <t>Days Taught            (Line A)</t>
  </si>
  <si>
    <t xml:space="preserve">   Total Refined ADM</t>
  </si>
  <si>
    <t xml:space="preserve"> Total Refined ADA</t>
  </si>
  <si>
    <t>Days Present for Grades  9 - 12</t>
  </si>
  <si>
    <t xml:space="preserve"> GIFTED &amp; TALENTED STUDENT COUNT (From Table IV; May not exceed 5% of District's ADA)</t>
  </si>
  <si>
    <t xml:space="preserve">      Six Weeks</t>
  </si>
  <si>
    <t>6TH</t>
  </si>
  <si>
    <t>Count:</t>
  </si>
  <si>
    <t xml:space="preserve"> ESL/BILINGUAL DAYS PRESENT                               (From Table I - Line G)</t>
  </si>
  <si>
    <t xml:space="preserve">       Six Weeks</t>
  </si>
  <si>
    <t xml:space="preserve"> Eligible Days Biling/ESL</t>
  </si>
  <si>
    <t>Refined ADA</t>
  </si>
  <si>
    <t xml:space="preserve"> COMPENSATORY FUNDING: Pregnant Eligible Days Present:   (From Table I - Line H)</t>
  </si>
  <si>
    <t>Eligible Days Preg. Rel. Serv.</t>
  </si>
  <si>
    <t>COMPENSATORY EDUCATION:</t>
  </si>
  <si>
    <t>Tier I Allotments</t>
  </si>
  <si>
    <t>Program Intent Codes - Allotments</t>
  </si>
  <si>
    <t>11-Regular Program Allotment</t>
  </si>
  <si>
    <t>23-Special Education Adjusted Allotment (Spend 52%)</t>
  </si>
  <si>
    <t>22-Career &amp; Technology Allotment (Spend 58%)</t>
  </si>
  <si>
    <t>21-Gifted &amp; Talented Adjusted Allotment (Spend 55%)</t>
  </si>
  <si>
    <t>25-Bilingual Education Allotment (Spend 52%)</t>
  </si>
  <si>
    <t>11-Public Education Grant</t>
  </si>
  <si>
    <t>99-New Instructional Facilities Allotment (NIFA)</t>
  </si>
  <si>
    <t>31-High School Allotment</t>
  </si>
  <si>
    <t xml:space="preserve">Total Cost of Tier I                                                         </t>
  </si>
  <si>
    <t xml:space="preserve">99-Transportation Allotment </t>
  </si>
  <si>
    <t>24-Comp Ed Allotment (Spend 52%)</t>
  </si>
  <si>
    <t>Regular Progrqam ADA</t>
  </si>
  <si>
    <t>FUNDING:</t>
  </si>
  <si>
    <t xml:space="preserve">TOTAL REGULAR PROGRAM </t>
  </si>
  <si>
    <t>TOTAL SPECIAL EDUCATION</t>
  </si>
  <si>
    <t>TOTAL FUNDING</t>
  </si>
  <si>
    <t>Wgt. FTE</t>
  </si>
  <si>
    <t>Comp Ed. Funding</t>
  </si>
  <si>
    <t>Weight</t>
  </si>
  <si>
    <t>SCE_ENROLL</t>
  </si>
  <si>
    <t>015-834</t>
  </si>
  <si>
    <t>015-835</t>
  </si>
  <si>
    <t>015-836</t>
  </si>
  <si>
    <t>015-837</t>
  </si>
  <si>
    <t>021-805</t>
  </si>
  <si>
    <t>031-505</t>
  </si>
  <si>
    <t>043-801</t>
  </si>
  <si>
    <t>057-845</t>
  </si>
  <si>
    <t>057-846</t>
  </si>
  <si>
    <t>057-847</t>
  </si>
  <si>
    <t>057-848</t>
  </si>
  <si>
    <t>057-849</t>
  </si>
  <si>
    <t>061-804</t>
  </si>
  <si>
    <t>068-802</t>
  </si>
  <si>
    <t>068-803</t>
  </si>
  <si>
    <t>071-810</t>
  </si>
  <si>
    <t>084-805</t>
  </si>
  <si>
    <t>101-864</t>
  </si>
  <si>
    <t>101-866</t>
  </si>
  <si>
    <t>101-867</t>
  </si>
  <si>
    <t>101-868</t>
  </si>
  <si>
    <t>101-869</t>
  </si>
  <si>
    <t>101-870</t>
  </si>
  <si>
    <t>105-803</t>
  </si>
  <si>
    <t>108-809</t>
  </si>
  <si>
    <t>212-804</t>
  </si>
  <si>
    <t>220-817</t>
  </si>
  <si>
    <t>220-819</t>
  </si>
  <si>
    <t>227-622</t>
  </si>
  <si>
    <t>227-825</t>
  </si>
  <si>
    <t>227-826</t>
  </si>
  <si>
    <t>227-827</t>
  </si>
  <si>
    <t>227-828</t>
  </si>
  <si>
    <t>240-503</t>
  </si>
  <si>
    <t>246-801</t>
  </si>
  <si>
    <t>Name</t>
  </si>
  <si>
    <t>RICHARD MILBURN ALTER HIGH SCHOOL (KILLEEN)</t>
  </si>
  <si>
    <t>PRIORITY CHARTER SCHOOLS</t>
  </si>
  <si>
    <t>HIGGS CARTER KING GIFTED &amp; TALENTED CHARTER ACAD</t>
  </si>
  <si>
    <t>JOHN H WOOD JR PUBLIC CHARTER DISTRICT</t>
  </si>
  <si>
    <t>ACADEMY OF CAREERS AND TECHNOLOGIES CHARTER SCHOOL</t>
  </si>
  <si>
    <t>SAN ANTONIO SCHOOL FOR INQUIRY &amp; CREATIVITY</t>
  </si>
  <si>
    <t>SAN ANTONIO TECHNOLOGY ACADEMY</t>
  </si>
  <si>
    <t>KIPP SAN ANTONIO</t>
  </si>
  <si>
    <t>SCHOOL OF SCIENCE AND TECHNOLOGY</t>
  </si>
  <si>
    <t>HARMONY SCIENCE ACAD (SAN ANTONIO)</t>
  </si>
  <si>
    <t>BROOKS ACADEMY OF SCIENCE AND ENGINEERING</t>
  </si>
  <si>
    <t>SCHOOL OF SCIENCE AND TECHNOLOGY DISCOVERY</t>
  </si>
  <si>
    <t>HENRY FORD ACADEMY ALAMEDA SCHOOL FOR ART + DESIGN</t>
  </si>
  <si>
    <t>BASIS TEXAS</t>
  </si>
  <si>
    <t>GREAT HEARTS TEXAS</t>
  </si>
  <si>
    <t>ELEANOR KOLITZ HEBREW LANGUAGE ACADEMY</t>
  </si>
  <si>
    <t>BRAZOS SCHOOL FOR INQUIRY &amp; CREATIVITY</t>
  </si>
  <si>
    <t>ARROW ACADEMY</t>
  </si>
  <si>
    <t>UNIVERSITY OF TEXAS AT BROWNSVILLE</t>
  </si>
  <si>
    <t>PETROLIA CISD</t>
  </si>
  <si>
    <t>IMAGINE INTERNATIONAL ACADEMY OF NORTH TEXAS</t>
  </si>
  <si>
    <t>CROCKETT COUNTY CONSOLIDATED CSD</t>
  </si>
  <si>
    <t>PEGASUS SCHOOL OF LIBERAL ARTS AND SCIENCES</t>
  </si>
  <si>
    <t>UPLIFT EDUCATION - NORTH HILLS PREPARATORY</t>
  </si>
  <si>
    <t>TEXANS CAN ACADEMIES</t>
  </si>
  <si>
    <t>LUMIN EDUCATION</t>
  </si>
  <si>
    <t>ACADEMY FOR ACADEMIC EXCELLENCE</t>
  </si>
  <si>
    <t>A W BROWN-FELLOWSHIP LEADERSHIP ACADEMY</t>
  </si>
  <si>
    <t>WINFREE ACADEMY CHARTER SCHOOLS</t>
  </si>
  <si>
    <t>EDUCATION CENTER INTERNATIONAL ACADEMY</t>
  </si>
  <si>
    <t>KIPP DALLAS-FORT WORTH</t>
  </si>
  <si>
    <t>UPLIFT EDUCATION - PEAK PREPARATORY</t>
  </si>
  <si>
    <t>RICHLAND COLLEGIATE HIGH SCHOOL</t>
  </si>
  <si>
    <t>CITYSCAPE SCHOOLS</t>
  </si>
  <si>
    <t>UPLIFT EDUCATION - WILLIAMS PREPARATORY</t>
  </si>
  <si>
    <t>UPLIFT EDUCATION - HAMPTON PREPARATORY</t>
  </si>
  <si>
    <t>UME PREPARATORY ACADEMY</t>
  </si>
  <si>
    <t>LEGACY PREPARATORY</t>
  </si>
  <si>
    <t>VILLAGE TECH SCHOOLS</t>
  </si>
  <si>
    <t>INTERNATIONAL LEADERSHIP OF TEXAS (ILT)</t>
  </si>
  <si>
    <t>NORTH TEXAS COLLEGIATE ACADEMY</t>
  </si>
  <si>
    <t>LEADERSHIP PREP SCHOOL</t>
  </si>
  <si>
    <t>COMPASS ACADEMY CHARTER SCHOOL</t>
  </si>
  <si>
    <t>UTPB STEM ACADEMY</t>
  </si>
  <si>
    <t>BURNHAM WOOD CHARTER SCHOOL DISTRICT</t>
  </si>
  <si>
    <t>PASO DEL NORTE ACADEMY CHARTER DISTRICT</t>
  </si>
  <si>
    <t>VISTA DEL FUTURO CHARTER SCHOOL</t>
  </si>
  <si>
    <t>EL PASO LEADERSHIP ACADEMY</t>
  </si>
  <si>
    <t>PREMIER HIGH SCHOOLS</t>
  </si>
  <si>
    <t>STEPHENVILLE ISD</t>
  </si>
  <si>
    <t>AMBASSADORS PREPARATORY ACADEMY</t>
  </si>
  <si>
    <t>PREMIER LEARNING ACADEMY</t>
  </si>
  <si>
    <t>101-000</t>
  </si>
  <si>
    <t>ARISTOI CLASSICAL ACADEMY</t>
  </si>
  <si>
    <t>GIRLS &amp; BOYS PREPARATORY ACADEMY</t>
  </si>
  <si>
    <t>UNIVERSITY OF HOUSTON CHARTER SCHOOL</t>
  </si>
  <si>
    <t>ACADEMY OF ACCELERATED LEARNING INC</t>
  </si>
  <si>
    <t>AMIGOS POR VIDA-FRIENDS FOR LIFE PUB CHTR SCH</t>
  </si>
  <si>
    <t>HOUSTON HEIGHTS LEARNING ACADEMY INC</t>
  </si>
  <si>
    <t>YES PREP PUBLIC SCHOOLS INC</t>
  </si>
  <si>
    <t>BEATRICE MAYES INSTITUTE CHARTER SCHOOL</t>
  </si>
  <si>
    <t>PROMISE COMMUNITY SCHOOL</t>
  </si>
  <si>
    <t>STEP CHARTER SCHOOL</t>
  </si>
  <si>
    <t>HARMONY SCHOOL OF SCIENCE - HOUSTON</t>
  </si>
  <si>
    <t>THE LAWSON ACADEMY</t>
  </si>
  <si>
    <t>VICTORY PREP</t>
  </si>
  <si>
    <t>GLOBAL LEARNING VILLAGE</t>
  </si>
  <si>
    <t>FALLBROOK COLLEGE PREPARATORY ACADEMY</t>
  </si>
  <si>
    <t>THE PRO-VISION ACADEMY</t>
  </si>
  <si>
    <t>C O R E ACADEMY</t>
  </si>
  <si>
    <t>IGNITE PUBLIC SCHOOLS AND COMMUNITY SERVICE CENTER</t>
  </si>
  <si>
    <t>HORIZON MONTESSORI PUBLIC SCHOOLS</t>
  </si>
  <si>
    <t>MIDVALLEY ACADEMY CHARTER DISTRICT</t>
  </si>
  <si>
    <t>IDEA PUBLIC SCHOOLS</t>
  </si>
  <si>
    <t>EXCELLENCE IN LEADERSHIP ACADEMY</t>
  </si>
  <si>
    <t>TEXAS ACADEMY OF LEADERSHIP IN THE HUMANITIES</t>
  </si>
  <si>
    <t>TEKOA ACADEMY OF ACCELERATED STUDIES STEM SCHOOL</t>
  </si>
  <si>
    <t>SOUTH PLAINS ACADEMY CHARTER DISTRICT</t>
  </si>
  <si>
    <t>STEPHEN F AUSTIN STATE UNIVERSITY CHARTER SCHOOL</t>
  </si>
  <si>
    <t>ROSCOE COLLEGIATE ISD</t>
  </si>
  <si>
    <t>DR M L GARZA-GONZALEZ CHARTER SCHOOL</t>
  </si>
  <si>
    <t>CORPUS CHRISTI MONTESSORI SCHOOL</t>
  </si>
  <si>
    <t>SEASHORE CHARTER SCHOOLS</t>
  </si>
  <si>
    <t>WEST RUSK COUNTY CONSOLIDATED ISD</t>
  </si>
  <si>
    <t>UT TYLER INNOVATION ACADEMY</t>
  </si>
  <si>
    <t>WESTLAKE ACADEMY CHARTER SCHOOL</t>
  </si>
  <si>
    <t>TEXAS SCHOOL OF THE ARTS</t>
  </si>
  <si>
    <t>UPLIFT EDUCATION-SUMMIT INTERNATIONAL PREPARATORY</t>
  </si>
  <si>
    <t>NEWMAN INTERNATIONAL ACADEMY OF ARLINGTON</t>
  </si>
  <si>
    <t>TEXAS COLLEGE PREPARATORY ACADEMIES</t>
  </si>
  <si>
    <t>TEXAS LEADERSHIP</t>
  </si>
  <si>
    <t>TEXAS JUVENILE JUSTICE DEPARTMENT</t>
  </si>
  <si>
    <t>WAYSIDE SCHOOLS</t>
  </si>
  <si>
    <t>UNIVERSITY OF TEXAS UNIVERSITY CHARTER SCHOOL</t>
  </si>
  <si>
    <t>CHAPARRAL STAR ACADEMY</t>
  </si>
  <si>
    <t>HARMONY SCIENCE ACADEMY (AUSTIN)</t>
  </si>
  <si>
    <t>UNIVERSITY OF TEXAS ELEMENTARY CHARTER SCHOOL</t>
  </si>
  <si>
    <t>THE EAST AUSTIN COLLEGE PREP ACADEMY</t>
  </si>
  <si>
    <t>AUSTIN ACHIEVE PUBLIC SCHOOLS</t>
  </si>
  <si>
    <t>MONTESSORI FOR ALL</t>
  </si>
  <si>
    <t>THE EXCEL CENTER (FOR ADULTS)</t>
  </si>
  <si>
    <t>TEXAS SCH FOR THE BLIND &amp; VISUALLY IMPAIRED</t>
  </si>
  <si>
    <t>TEXAS A&amp;M INTERNATIONAL UNIVERSITY ISD</t>
  </si>
  <si>
    <t>GATEWAY ACADEMY CHARTER DISTRICT</t>
  </si>
  <si>
    <t>MERIDIAN WORLD SCHOOL LLC</t>
  </si>
  <si>
    <t>Enter County-Dist Number (with dash)</t>
  </si>
  <si>
    <t>Enter District's Adjusted Allotment from Summary of Finance Webpage</t>
  </si>
  <si>
    <t>DISTRICT_ID</t>
  </si>
  <si>
    <t>DISTRICT_NAME</t>
  </si>
  <si>
    <t>ASGN T1</t>
  </si>
  <si>
    <t>ASGN T2</t>
  </si>
  <si>
    <t>ASGN T3</t>
  </si>
  <si>
    <t>ASGN T4</t>
  </si>
  <si>
    <t>ASGN T5</t>
  </si>
  <si>
    <t>ASGN T6</t>
  </si>
  <si>
    <t>ASGN T7</t>
  </si>
  <si>
    <t>ASGN T8</t>
  </si>
  <si>
    <t>ASGN T9</t>
  </si>
  <si>
    <t>ASGN T10</t>
  </si>
  <si>
    <t>ASGN T11</t>
  </si>
  <si>
    <t>ASGN T12</t>
  </si>
  <si>
    <t>to calculate "earned" revenue for each Special Education instructional setting.</t>
  </si>
  <si>
    <r>
      <t>Step 1</t>
    </r>
    <r>
      <rPr>
        <b/>
        <sz val="14"/>
        <color indexed="10"/>
        <rFont val="Arial MT"/>
      </rPr>
      <t xml:space="preserve">: You will enter each six week's </t>
    </r>
    <r>
      <rPr>
        <b/>
        <u/>
        <sz val="14"/>
        <color indexed="10"/>
        <rFont val="Arial MT"/>
      </rPr>
      <t>Day's Taught fromTable 1, Line A</t>
    </r>
  </si>
  <si>
    <r>
      <t xml:space="preserve">Step 2: </t>
    </r>
    <r>
      <rPr>
        <b/>
        <sz val="14"/>
        <color indexed="10"/>
        <rFont val="Arial MT"/>
      </rPr>
      <t xml:space="preserve">Enter Eligible Days Present and "excess"  </t>
    </r>
    <r>
      <rPr>
        <b/>
        <u/>
        <sz val="14"/>
        <color indexed="10"/>
        <rFont val="Arial MT"/>
      </rPr>
      <t>by Instructional Setting</t>
    </r>
    <r>
      <rPr>
        <b/>
        <sz val="14"/>
        <color indexed="10"/>
        <rFont val="Arial MT"/>
      </rPr>
      <t xml:space="preserve"> from Table III</t>
    </r>
  </si>
  <si>
    <r>
      <t>Step 3</t>
    </r>
    <r>
      <rPr>
        <b/>
        <sz val="14"/>
        <color indexed="10"/>
        <rFont val="Arial MT"/>
      </rPr>
      <t>: Enter Special Ed Mainstream Days Present from Table I, Line I.</t>
    </r>
  </si>
  <si>
    <t>number (with dash).</t>
  </si>
  <si>
    <r>
      <t>On the</t>
    </r>
    <r>
      <rPr>
        <b/>
        <u/>
        <sz val="14"/>
        <color indexed="10"/>
        <rFont val="Arial MT"/>
      </rPr>
      <t xml:space="preserve"> "Enter Attendance Funding" Worksheet</t>
    </r>
    <r>
      <rPr>
        <b/>
        <sz val="14"/>
        <color indexed="10"/>
        <rFont val="Arial MT"/>
      </rPr>
      <t xml:space="preserve">, you will need to enter your County-District </t>
    </r>
  </si>
  <si>
    <t>In order to calculate this data, you will need to enter attendance data from Tables I &amp; III of TxEIS or Skyward.</t>
  </si>
  <si>
    <t>You will need the district's adjusted allotment amount found on line 23 of the "Report SOF1718" worksheet</t>
  </si>
  <si>
    <t>PY2_DPV_T1</t>
  </si>
  <si>
    <t>PY2_DPV_T2</t>
  </si>
  <si>
    <t>PY2_DPV_T3</t>
  </si>
  <si>
    <t>PY2_DPV_T4</t>
  </si>
  <si>
    <t>PY2_DPV_T5</t>
  </si>
  <si>
    <t>PY2_DPV_T6</t>
  </si>
  <si>
    <t>PY2_DPV_T7</t>
  </si>
  <si>
    <t>PY2_DPV_T8</t>
  </si>
  <si>
    <t>PY2_DPV_T9</t>
  </si>
  <si>
    <t>PY2_DPV_T10</t>
  </si>
  <si>
    <t xml:space="preserve"> (Less E/C Set-Aside)</t>
  </si>
  <si>
    <t>000-000</t>
  </si>
  <si>
    <t>ESC 12</t>
  </si>
  <si>
    <t>254.297.1120</t>
  </si>
  <si>
    <t xml:space="preserve"> 2023 - 24 STUDENT ATTENDANCE COUNT FROM SUPT'S REPORT:</t>
  </si>
  <si>
    <t>Cody Harvey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</si>
</sst>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6" formatCode="&quot;$&quot;#,##0_);[Red]\(&quot;$&quot;#,##0\)"/>
    <numFmt numFmtId="44" formatCode="_(&quot;$&quot;* #,##0.00_);_(&quot;$&quot;* \(#,##0.00\);_(&quot;$&quot;* &quot;-&quot;??_);_(@_)"/>
    <numFmt numFmtId="43" formatCode="_(* #,##0.00_);_(* \(#,##0.00\);_(* &quot;-&quot;??_);_(@_)"/>
    <numFmt numFmtId="164" formatCode="#,##0.000_);\(#,##0.000\)"/>
    <numFmt numFmtId="165" formatCode=";;"/>
    <numFmt numFmtId="166" formatCode="#,##0.0_);\(#,##0.0\)"/>
    <numFmt numFmtId="167" formatCode="0.000"/>
    <numFmt numFmtId="168" formatCode="#,##0.0000_);\(#,##0.0000\)"/>
    <numFmt numFmtId="169" formatCode="#,##0.000000_);\(#,##0.000000\)"/>
    <numFmt numFmtId="170" formatCode="#,##0.000"/>
    <numFmt numFmtId="171" formatCode="#,##0.00000_);\(#,##0.00000\)"/>
    <numFmt numFmtId="172" formatCode="0.00000"/>
    <numFmt numFmtId="173" formatCode="0_);\(0\)"/>
    <numFmt numFmtId="174" formatCode="000\-000"/>
    <numFmt numFmtId="175" formatCode="&quot;$&quot;#,##0"/>
    <numFmt numFmtId="176" formatCode="0.00000%"/>
    <numFmt numFmtId="177" formatCode="#,##0.0000_);[Red]\(#,##0.0000\)"/>
    <numFmt numFmtId="178" formatCode="#,##0.000_);[Red]\(#,##0.000\)"/>
    <numFmt numFmtId="179" formatCode="#,##0.0000"/>
    <numFmt numFmtId="180" formatCode="0.00_);[Red]\(0.00\)"/>
    <numFmt numFmtId="181" formatCode="0.00;[Red]0.00"/>
    <numFmt numFmtId="182" formatCode="#,##0.000000_);[Red]\(#,##0.000000\)"/>
    <numFmt numFmtId="183" formatCode="0.000000"/>
    <numFmt numFmtId="184" formatCode="[h]:mm:ss;@"/>
    <numFmt numFmtId="185" formatCode="0.0"/>
    <numFmt numFmtId="186" formatCode="dd\-mmm\-yy"/>
    <numFmt numFmtId="187" formatCode="#,##0.0"/>
    <numFmt numFmtId="188" formatCode="0.0000"/>
    <numFmt numFmtId="189" formatCode="0.0%"/>
    <numFmt numFmtId="190" formatCode="0.0_);[Red]\(0.0\)"/>
    <numFmt numFmtId="191" formatCode="_(* #,##0_);_(* \(#,##0\);_(* &quot;-&quot;??_);_(@_)"/>
    <numFmt numFmtId="192" formatCode="0.00000_);\(0.00000\)"/>
    <numFmt numFmtId="193" formatCode="000000"/>
    <numFmt numFmtId="194" formatCode="_(&quot;$&quot;* #,##0_);_(&quot;$&quot;* \(#,##0\);_(&quot;$&quot;* &quot;-&quot;??_);_(@_)"/>
  </numFmts>
  <fonts count="116">
    <font>
      <sz val="10"/>
      <name val="Arial MT"/>
    </font>
    <font>
      <sz val="11"/>
      <color theme="1"/>
      <name val="Calibri"/>
      <family val="2"/>
      <scheme val="minor"/>
    </font>
    <font>
      <b/>
      <sz val="10"/>
      <color indexed="8"/>
      <name val="Arial MT"/>
    </font>
    <font>
      <b/>
      <u/>
      <sz val="14"/>
      <color indexed="8"/>
      <name val="Arial MT"/>
    </font>
    <font>
      <sz val="10"/>
      <name val="Arial"/>
      <family val="2"/>
    </font>
    <font>
      <b/>
      <sz val="12"/>
      <color indexed="8"/>
      <name val="Arial MT"/>
    </font>
    <font>
      <b/>
      <sz val="10"/>
      <name val="Arial MT"/>
    </font>
    <font>
      <sz val="12"/>
      <color indexed="8"/>
      <name val="Arial MT"/>
    </font>
    <font>
      <sz val="10"/>
      <color indexed="8"/>
      <name val="Arial MT"/>
    </font>
    <font>
      <sz val="10"/>
      <name val="Arial MT"/>
    </font>
    <font>
      <b/>
      <sz val="12"/>
      <name val="Arial MT"/>
    </font>
    <font>
      <sz val="10"/>
      <color indexed="8"/>
      <name val="Arial"/>
      <family val="2"/>
    </font>
    <font>
      <b/>
      <sz val="10"/>
      <color indexed="10"/>
      <name val="Arial MT"/>
    </font>
    <font>
      <sz val="10"/>
      <color indexed="10"/>
      <name val="Arial MT"/>
    </font>
    <font>
      <b/>
      <sz val="10"/>
      <color indexed="12"/>
      <name val="Arial MT"/>
    </font>
    <font>
      <b/>
      <sz val="10"/>
      <color indexed="48"/>
      <name val="Arial MT"/>
    </font>
    <font>
      <sz val="10"/>
      <color indexed="48"/>
      <name val="Arial MT"/>
    </font>
    <font>
      <sz val="10"/>
      <color indexed="12"/>
      <name val="Arial MT"/>
    </font>
    <font>
      <b/>
      <sz val="10"/>
      <color indexed="20"/>
      <name val="Arial MT"/>
    </font>
    <font>
      <b/>
      <sz val="12"/>
      <color indexed="10"/>
      <name val="Arial MT"/>
    </font>
    <font>
      <sz val="12"/>
      <name val="Arial MT"/>
    </font>
    <font>
      <u/>
      <sz val="10"/>
      <color indexed="12"/>
      <name val="Arial MT"/>
    </font>
    <font>
      <b/>
      <u/>
      <sz val="10"/>
      <color indexed="10"/>
      <name val="Arial MT"/>
    </font>
    <font>
      <b/>
      <u/>
      <sz val="10"/>
      <color indexed="20"/>
      <name val="Arial MT"/>
    </font>
    <font>
      <u/>
      <sz val="10"/>
      <name val="Arial MT"/>
    </font>
    <font>
      <b/>
      <u/>
      <sz val="10"/>
      <name val="Arial MT"/>
    </font>
    <font>
      <b/>
      <sz val="12"/>
      <color indexed="16"/>
      <name val="Arial MT"/>
    </font>
    <font>
      <b/>
      <sz val="14"/>
      <color indexed="10"/>
      <name val="Arial MT"/>
    </font>
    <font>
      <sz val="16"/>
      <name val="Arial MT"/>
    </font>
    <font>
      <b/>
      <u/>
      <sz val="12"/>
      <color indexed="10"/>
      <name val="Arial MT"/>
    </font>
    <font>
      <u/>
      <sz val="16"/>
      <name val="Arial MT"/>
    </font>
    <font>
      <u/>
      <sz val="16"/>
      <color indexed="8"/>
      <name val="Arial MT"/>
    </font>
    <font>
      <b/>
      <u/>
      <sz val="16"/>
      <name val="Arial MT"/>
    </font>
    <font>
      <sz val="8"/>
      <name val="Arial MT"/>
    </font>
    <font>
      <sz val="8"/>
      <name val="Arial"/>
      <family val="2"/>
    </font>
    <font>
      <sz val="10"/>
      <color indexed="31"/>
      <name val="Arial MT"/>
    </font>
    <font>
      <b/>
      <sz val="12"/>
      <color indexed="12"/>
      <name val="Arial MT"/>
    </font>
    <font>
      <sz val="10"/>
      <name val="MS Sans Serif"/>
      <family val="2"/>
    </font>
    <font>
      <sz val="10"/>
      <name val="MS Sans Serif"/>
      <family val="2"/>
    </font>
    <font>
      <b/>
      <sz val="10"/>
      <color indexed="60"/>
      <name val="Arial MT"/>
    </font>
    <font>
      <sz val="10"/>
      <color indexed="60"/>
      <name val="Arial MT"/>
    </font>
    <font>
      <b/>
      <sz val="10"/>
      <color indexed="18"/>
      <name val="Arial MT"/>
    </font>
    <font>
      <b/>
      <sz val="16"/>
      <name val="Arial"/>
      <family val="2"/>
    </font>
    <font>
      <b/>
      <sz val="10"/>
      <name val="Arial"/>
      <family val="2"/>
    </font>
    <font>
      <b/>
      <sz val="10"/>
      <color indexed="57"/>
      <name val="Arial MT"/>
    </font>
    <font>
      <b/>
      <sz val="10"/>
      <color indexed="10"/>
      <name val="Arial"/>
      <family val="2"/>
    </font>
    <font>
      <b/>
      <sz val="10"/>
      <color indexed="33"/>
      <name val="Arial MT"/>
    </font>
    <font>
      <b/>
      <sz val="10"/>
      <color indexed="17"/>
      <name val="Arial MT"/>
    </font>
    <font>
      <b/>
      <i/>
      <sz val="10"/>
      <color indexed="20"/>
      <name val="Arial MT"/>
    </font>
    <font>
      <b/>
      <sz val="10"/>
      <color indexed="38"/>
      <name val="Arial MT"/>
    </font>
    <font>
      <b/>
      <u/>
      <sz val="10"/>
      <color indexed="38"/>
      <name val="Arial MT"/>
    </font>
    <font>
      <b/>
      <i/>
      <sz val="10"/>
      <color indexed="38"/>
      <name val="Arial MT"/>
    </font>
    <font>
      <b/>
      <u/>
      <sz val="10"/>
      <color indexed="17"/>
      <name val="Arial MT"/>
    </font>
    <font>
      <sz val="10"/>
      <color indexed="17"/>
      <name val="Arial MT"/>
    </font>
    <font>
      <sz val="8"/>
      <color indexed="81"/>
      <name val="Tahoma"/>
      <family val="2"/>
    </font>
    <font>
      <b/>
      <sz val="8"/>
      <color indexed="81"/>
      <name val="Tahoma"/>
      <family val="2"/>
    </font>
    <font>
      <b/>
      <sz val="10"/>
      <name val="MS Sans Serif"/>
      <family val="2"/>
    </font>
    <font>
      <b/>
      <sz val="10"/>
      <color indexed="8"/>
      <name val="Arial"/>
      <family val="2"/>
    </font>
    <font>
      <b/>
      <u/>
      <sz val="20"/>
      <color indexed="10"/>
      <name val="Arial MT"/>
    </font>
    <font>
      <sz val="14"/>
      <color indexed="10"/>
      <name val="Arial MT"/>
    </font>
    <font>
      <b/>
      <sz val="14"/>
      <color indexed="12"/>
      <name val="Arial MT"/>
    </font>
    <font>
      <b/>
      <u/>
      <sz val="14"/>
      <color indexed="10"/>
      <name val="Arial MT"/>
    </font>
    <font>
      <b/>
      <sz val="14"/>
      <color indexed="48"/>
      <name val="Arial MT"/>
    </font>
    <font>
      <b/>
      <sz val="14"/>
      <name val="Arial MT"/>
    </font>
    <font>
      <sz val="14"/>
      <name val="Arial MT"/>
    </font>
    <font>
      <b/>
      <sz val="18"/>
      <color indexed="10"/>
      <name val="Arial MT"/>
    </font>
    <font>
      <sz val="18"/>
      <color indexed="10"/>
      <name val="Arial MT"/>
    </font>
    <font>
      <b/>
      <u/>
      <sz val="18"/>
      <color indexed="10"/>
      <name val="Arial MT"/>
    </font>
    <font>
      <b/>
      <sz val="10"/>
      <color indexed="18"/>
      <name val="Arial Unicode MS"/>
      <family val="2"/>
    </font>
    <font>
      <b/>
      <sz val="11"/>
      <color indexed="10"/>
      <name val="Arial Unicode MS"/>
      <family val="2"/>
    </font>
    <font>
      <b/>
      <sz val="11"/>
      <color indexed="10"/>
      <name val="Arial MT"/>
    </font>
    <font>
      <sz val="11"/>
      <name val="Arial MT"/>
    </font>
    <font>
      <b/>
      <sz val="11"/>
      <name val="Arial MT"/>
    </font>
    <font>
      <sz val="11"/>
      <color indexed="12"/>
      <name val="Arial MT"/>
    </font>
    <font>
      <sz val="11"/>
      <color indexed="10"/>
      <name val="Arial MT"/>
    </font>
    <font>
      <b/>
      <sz val="11"/>
      <color indexed="18"/>
      <name val="Arial Unicode MS"/>
      <family val="2"/>
    </font>
    <font>
      <b/>
      <sz val="10"/>
      <color indexed="10"/>
      <name val="Tahoma"/>
      <family val="2"/>
    </font>
    <font>
      <b/>
      <sz val="10"/>
      <color indexed="81"/>
      <name val="Tahoma"/>
      <family val="2"/>
    </font>
    <font>
      <b/>
      <u/>
      <sz val="10"/>
      <color indexed="81"/>
      <name val="Tahoma"/>
      <family val="2"/>
    </font>
    <font>
      <b/>
      <sz val="10"/>
      <color indexed="16"/>
      <name val="Arial MT"/>
    </font>
    <font>
      <sz val="9"/>
      <name val="Arial MT"/>
    </font>
    <font>
      <b/>
      <sz val="9"/>
      <color indexed="10"/>
      <name val="Arial MT"/>
    </font>
    <font>
      <sz val="10"/>
      <color indexed="16"/>
      <name val="Arial MT"/>
    </font>
    <font>
      <sz val="10"/>
      <color indexed="22"/>
      <name val="Arial MT"/>
    </font>
    <font>
      <b/>
      <sz val="9"/>
      <name val="Arial MT"/>
    </font>
    <font>
      <b/>
      <sz val="9"/>
      <color indexed="8"/>
      <name val="Arial MT"/>
    </font>
    <font>
      <sz val="9"/>
      <color indexed="10"/>
      <name val="Arial MT"/>
    </font>
    <font>
      <sz val="9"/>
      <color indexed="12"/>
      <name val="Arial MT"/>
    </font>
    <font>
      <sz val="10"/>
      <color indexed="8"/>
      <name val="Arial Unicode MS"/>
      <family val="2"/>
    </font>
    <font>
      <b/>
      <sz val="18"/>
      <color indexed="8"/>
      <name val="Arial MT"/>
    </font>
    <font>
      <sz val="18"/>
      <name val="Arial MT"/>
    </font>
    <font>
      <b/>
      <sz val="9"/>
      <color indexed="12"/>
      <name val="Arial MT"/>
    </font>
    <font>
      <sz val="10"/>
      <color indexed="81"/>
      <name val="Tahoma"/>
      <family val="2"/>
    </font>
    <font>
      <b/>
      <sz val="11"/>
      <color indexed="8"/>
      <name val="Calibri"/>
      <family val="2"/>
    </font>
    <font>
      <sz val="11"/>
      <color indexed="8"/>
      <name val="Calibri"/>
      <family val="2"/>
    </font>
    <font>
      <sz val="10"/>
      <color indexed="8"/>
      <name val="Arial"/>
      <family val="2"/>
    </font>
    <font>
      <b/>
      <sz val="9"/>
      <color rgb="FFFF0000"/>
      <name val="Arial MT"/>
    </font>
    <font>
      <b/>
      <sz val="10"/>
      <color rgb="FFFF0000"/>
      <name val="Arial MT"/>
    </font>
    <font>
      <b/>
      <sz val="14"/>
      <color rgb="FFFF0000"/>
      <name val="Arial MT"/>
    </font>
    <font>
      <b/>
      <sz val="12"/>
      <name val="Arial"/>
      <family val="2"/>
    </font>
    <font>
      <sz val="11"/>
      <name val="Calibri"/>
      <family val="2"/>
    </font>
    <font>
      <b/>
      <sz val="11"/>
      <name val="Calibri"/>
      <family val="2"/>
    </font>
    <font>
      <sz val="10"/>
      <name val="Calibri"/>
      <family val="2"/>
    </font>
    <font>
      <b/>
      <sz val="14"/>
      <color indexed="49"/>
      <name val="Arial MT"/>
    </font>
    <font>
      <b/>
      <sz val="12"/>
      <color rgb="FFFF0000"/>
      <name val="Arial MT"/>
    </font>
    <font>
      <b/>
      <sz val="10"/>
      <name val="Calibri"/>
      <family val="2"/>
      <scheme val="minor"/>
    </font>
    <font>
      <sz val="10"/>
      <name val="Calibri"/>
      <family val="2"/>
      <scheme val="minor"/>
    </font>
    <font>
      <b/>
      <sz val="10"/>
      <color indexed="8"/>
      <name val="Calibri"/>
      <family val="2"/>
    </font>
    <font>
      <sz val="10"/>
      <color indexed="8"/>
      <name val="Calibri"/>
      <family val="2"/>
    </font>
    <font>
      <b/>
      <sz val="12"/>
      <color theme="0"/>
      <name val="Arial MT"/>
    </font>
    <font>
      <b/>
      <sz val="12"/>
      <color theme="1"/>
      <name val="Arial MT"/>
    </font>
    <font>
      <b/>
      <sz val="14"/>
      <color theme="0"/>
      <name val="Arial MT"/>
    </font>
    <font>
      <b/>
      <sz val="12"/>
      <name val="Calibri"/>
      <family val="2"/>
      <scheme val="minor"/>
    </font>
    <font>
      <b/>
      <sz val="12"/>
      <color theme="1"/>
      <name val="Calibri"/>
      <family val="2"/>
      <scheme val="minor"/>
    </font>
    <font>
      <sz val="12"/>
      <name val="Calibri"/>
      <family val="2"/>
      <scheme val="minor"/>
    </font>
    <font>
      <b/>
      <sz val="12"/>
      <color indexed="8"/>
      <name val="Calibri"/>
      <family val="2"/>
    </font>
  </fonts>
  <fills count="30">
    <fill>
      <patternFill patternType="none"/>
    </fill>
    <fill>
      <patternFill patternType="gray125"/>
    </fill>
    <fill>
      <patternFill patternType="solid">
        <fgColor indexed="9"/>
      </patternFill>
    </fill>
    <fill>
      <patternFill patternType="solid">
        <fgColor indexed="9"/>
        <bgColor indexed="9"/>
      </patternFill>
    </fill>
    <fill>
      <patternFill patternType="solid">
        <fgColor indexed="9"/>
        <bgColor indexed="64"/>
      </patternFill>
    </fill>
    <fill>
      <patternFill patternType="solid">
        <fgColor indexed="31"/>
        <bgColor indexed="64"/>
      </patternFill>
    </fill>
    <fill>
      <patternFill patternType="solid">
        <fgColor indexed="29"/>
        <bgColor indexed="64"/>
      </patternFill>
    </fill>
    <fill>
      <patternFill patternType="solid">
        <fgColor indexed="46"/>
        <bgColor indexed="64"/>
      </patternFill>
    </fill>
    <fill>
      <patternFill patternType="solid">
        <fgColor indexed="12"/>
        <bgColor indexed="64"/>
      </patternFill>
    </fill>
    <fill>
      <patternFill patternType="solid">
        <fgColor indexed="10"/>
        <bgColor indexed="64"/>
      </patternFill>
    </fill>
    <fill>
      <patternFill patternType="solid">
        <fgColor indexed="26"/>
        <bgColor indexed="64"/>
      </patternFill>
    </fill>
    <fill>
      <patternFill patternType="solid">
        <fgColor indexed="27"/>
        <bgColor indexed="64"/>
      </patternFill>
    </fill>
    <fill>
      <patternFill patternType="solid">
        <fgColor indexed="13"/>
        <bgColor indexed="64"/>
      </patternFill>
    </fill>
    <fill>
      <patternFill patternType="solid">
        <fgColor indexed="22"/>
        <bgColor indexed="0"/>
      </patternFill>
    </fill>
    <fill>
      <patternFill patternType="solid">
        <fgColor indexed="15"/>
        <bgColor indexed="64"/>
      </patternFill>
    </fill>
    <fill>
      <patternFill patternType="solid">
        <fgColor indexed="22"/>
        <bgColor indexed="64"/>
      </patternFill>
    </fill>
    <fill>
      <patternFill patternType="solid">
        <fgColor indexed="43"/>
        <bgColor indexed="64"/>
      </patternFill>
    </fill>
    <fill>
      <patternFill patternType="solid">
        <fgColor indexed="44"/>
        <bgColor indexed="64"/>
      </patternFill>
    </fill>
    <fill>
      <patternFill patternType="solid">
        <fgColor indexed="16"/>
        <bgColor indexed="64"/>
      </patternFill>
    </fill>
    <fill>
      <patternFill patternType="solid">
        <fgColor indexed="18"/>
        <bgColor indexed="64"/>
      </patternFill>
    </fill>
    <fill>
      <patternFill patternType="solid">
        <fgColor indexed="41"/>
        <bgColor indexed="64"/>
      </patternFill>
    </fill>
    <fill>
      <patternFill patternType="solid">
        <fgColor rgb="FFFFFF00"/>
        <bgColor indexed="64"/>
      </patternFill>
    </fill>
    <fill>
      <patternFill patternType="solid">
        <fgColor indexed="45"/>
        <bgColor indexed="64"/>
      </patternFill>
    </fill>
    <fill>
      <patternFill patternType="solid">
        <fgColor theme="0"/>
        <bgColor indexed="64"/>
      </patternFill>
    </fill>
    <fill>
      <patternFill patternType="solid">
        <fgColor rgb="FF99CCFF"/>
        <bgColor indexed="64"/>
      </patternFill>
    </fill>
    <fill>
      <patternFill patternType="solid">
        <fgColor theme="0" tint="-0.249977111117893"/>
        <bgColor indexed="64"/>
      </patternFill>
    </fill>
    <fill>
      <patternFill patternType="solid">
        <fgColor theme="3" tint="0.59999389629810485"/>
        <bgColor indexed="64"/>
      </patternFill>
    </fill>
    <fill>
      <patternFill patternType="solid">
        <fgColor theme="0" tint="-4.9989318521683403E-2"/>
        <bgColor indexed="64"/>
      </patternFill>
    </fill>
    <fill>
      <patternFill patternType="solid">
        <fgColor theme="7" tint="0.39997558519241921"/>
        <bgColor indexed="64"/>
      </patternFill>
    </fill>
    <fill>
      <patternFill patternType="solid">
        <fgColor rgb="FFC0C0C0"/>
        <bgColor indexed="64"/>
      </patternFill>
    </fill>
  </fills>
  <borders count="88">
    <border>
      <left/>
      <right/>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right/>
      <top/>
      <bottom style="double">
        <color indexed="8"/>
      </bottom>
      <diagonal/>
    </border>
    <border>
      <left/>
      <right/>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style="double">
        <color indexed="64"/>
      </bottom>
      <diagonal/>
    </border>
    <border>
      <left/>
      <right/>
      <top style="double">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10"/>
      </left>
      <right/>
      <top style="medium">
        <color indexed="10"/>
      </top>
      <bottom style="medium">
        <color indexed="10"/>
      </bottom>
      <diagonal/>
    </border>
    <border>
      <left/>
      <right/>
      <top style="medium">
        <color indexed="10"/>
      </top>
      <bottom style="medium">
        <color indexed="10"/>
      </bottom>
      <diagonal/>
    </border>
    <border>
      <left/>
      <right style="medium">
        <color indexed="10"/>
      </right>
      <top style="medium">
        <color indexed="10"/>
      </top>
      <bottom style="medium">
        <color indexed="10"/>
      </bottom>
      <diagonal/>
    </border>
    <border>
      <left/>
      <right/>
      <top style="medium">
        <color indexed="12"/>
      </top>
      <bottom/>
      <diagonal/>
    </border>
    <border>
      <left/>
      <right style="medium">
        <color indexed="12"/>
      </right>
      <top style="medium">
        <color indexed="12"/>
      </top>
      <bottom/>
      <diagonal/>
    </border>
    <border>
      <left/>
      <right style="medium">
        <color indexed="12"/>
      </right>
      <top/>
      <bottom/>
      <diagonal/>
    </border>
    <border>
      <left/>
      <right/>
      <top/>
      <bottom style="medium">
        <color indexed="12"/>
      </bottom>
      <diagonal/>
    </border>
    <border>
      <left/>
      <right style="medium">
        <color indexed="12"/>
      </right>
      <top/>
      <bottom style="medium">
        <color indexed="12"/>
      </bottom>
      <diagonal/>
    </border>
    <border>
      <left style="medium">
        <color indexed="12"/>
      </left>
      <right/>
      <top style="medium">
        <color indexed="12"/>
      </top>
      <bottom/>
      <diagonal/>
    </border>
    <border>
      <left style="medium">
        <color indexed="12"/>
      </left>
      <right/>
      <top/>
      <bottom/>
      <diagonal/>
    </border>
    <border>
      <left style="medium">
        <color indexed="12"/>
      </left>
      <right/>
      <top/>
      <bottom style="medium">
        <color indexed="12"/>
      </bottom>
      <diagonal/>
    </border>
    <border>
      <left style="thin">
        <color indexed="22"/>
      </left>
      <right style="thin">
        <color indexed="22"/>
      </right>
      <top style="thin">
        <color indexed="22"/>
      </top>
      <bottom style="thin">
        <color indexed="22"/>
      </bottom>
      <diagonal/>
    </border>
    <border>
      <left style="thin">
        <color indexed="10"/>
      </left>
      <right/>
      <top style="thin">
        <color indexed="10"/>
      </top>
      <bottom/>
      <diagonal/>
    </border>
    <border>
      <left/>
      <right/>
      <top style="thin">
        <color indexed="10"/>
      </top>
      <bottom/>
      <diagonal/>
    </border>
    <border>
      <left/>
      <right style="thin">
        <color indexed="10"/>
      </right>
      <top style="thin">
        <color indexed="10"/>
      </top>
      <bottom/>
      <diagonal/>
    </border>
    <border>
      <left/>
      <right style="thin">
        <color indexed="10"/>
      </right>
      <top/>
      <bottom/>
      <diagonal/>
    </border>
    <border>
      <left style="thin">
        <color indexed="10"/>
      </left>
      <right/>
      <top/>
      <bottom style="thin">
        <color indexed="10"/>
      </bottom>
      <diagonal/>
    </border>
    <border>
      <left/>
      <right/>
      <top/>
      <bottom style="thin">
        <color indexed="10"/>
      </bottom>
      <diagonal/>
    </border>
    <border>
      <left/>
      <right style="thin">
        <color indexed="10"/>
      </right>
      <top/>
      <bottom style="thin">
        <color indexed="10"/>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style="thick">
        <color indexed="10"/>
      </left>
      <right/>
      <top/>
      <bottom/>
      <diagonal/>
    </border>
    <border>
      <left/>
      <right style="thick">
        <color indexed="10"/>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ck">
        <color indexed="12"/>
      </left>
      <right style="thick">
        <color indexed="12"/>
      </right>
      <top style="thick">
        <color indexed="12"/>
      </top>
      <bottom style="thick">
        <color indexed="12"/>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10"/>
      </left>
      <right/>
      <top/>
      <bottom/>
      <diagonal/>
    </border>
    <border>
      <left/>
      <right style="double">
        <color indexed="64"/>
      </right>
      <top style="double">
        <color indexed="64"/>
      </top>
      <bottom/>
      <diagonal/>
    </border>
    <border>
      <left/>
      <right style="double">
        <color indexed="64"/>
      </right>
      <top/>
      <bottom/>
      <diagonal/>
    </border>
    <border>
      <left style="double">
        <color indexed="64"/>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style="double">
        <color indexed="64"/>
      </right>
      <top/>
      <bottom style="double">
        <color indexed="64"/>
      </bottom>
      <diagonal/>
    </border>
    <border>
      <left style="double">
        <color indexed="10"/>
      </left>
      <right/>
      <top style="double">
        <color indexed="10"/>
      </top>
      <bottom/>
      <diagonal/>
    </border>
    <border>
      <left/>
      <right/>
      <top style="double">
        <color indexed="10"/>
      </top>
      <bottom/>
      <diagonal/>
    </border>
    <border>
      <left/>
      <right style="double">
        <color indexed="10"/>
      </right>
      <top style="double">
        <color indexed="10"/>
      </top>
      <bottom/>
      <diagonal/>
    </border>
    <border>
      <left style="double">
        <color indexed="10"/>
      </left>
      <right/>
      <top/>
      <bottom/>
      <diagonal/>
    </border>
    <border>
      <left/>
      <right style="double">
        <color indexed="10"/>
      </right>
      <top/>
      <bottom/>
      <diagonal/>
    </border>
    <border>
      <left style="double">
        <color indexed="10"/>
      </left>
      <right/>
      <top/>
      <bottom style="double">
        <color indexed="10"/>
      </bottom>
      <diagonal/>
    </border>
    <border>
      <left/>
      <right/>
      <top/>
      <bottom style="double">
        <color indexed="10"/>
      </bottom>
      <diagonal/>
    </border>
    <border>
      <left/>
      <right style="double">
        <color indexed="10"/>
      </right>
      <top/>
      <bottom style="double">
        <color indexed="10"/>
      </bottom>
      <diagonal/>
    </border>
    <border>
      <left/>
      <right style="double">
        <color indexed="10"/>
      </right>
      <top/>
      <bottom style="thin">
        <color indexed="10"/>
      </bottom>
      <diagonal/>
    </border>
    <border>
      <left/>
      <right style="double">
        <color indexed="10"/>
      </right>
      <top style="thin">
        <color indexed="10"/>
      </top>
      <bottom style="double">
        <color indexed="10"/>
      </bottom>
      <diagonal/>
    </border>
    <border>
      <left/>
      <right style="double">
        <color indexed="64"/>
      </right>
      <top/>
      <bottom style="thin">
        <color indexed="64"/>
      </bottom>
      <diagonal/>
    </border>
    <border>
      <left/>
      <right/>
      <top/>
      <bottom style="medium">
        <color indexed="64"/>
      </bottom>
      <diagonal/>
    </border>
    <border>
      <left style="thin">
        <color indexed="8"/>
      </left>
      <right/>
      <top/>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8"/>
      </top>
      <bottom style="thin">
        <color indexed="64"/>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s>
  <cellStyleXfs count="7">
    <xf numFmtId="0" fontId="0" fillId="2" borderId="0"/>
    <xf numFmtId="43" fontId="4" fillId="0" borderId="0" applyFont="0" applyFill="0" applyBorder="0" applyAlignment="0" applyProtection="0"/>
    <xf numFmtId="0" fontId="21" fillId="0" borderId="0" applyNumberFormat="0" applyFill="0" applyBorder="0" applyAlignment="0" applyProtection="0">
      <alignment vertical="top"/>
      <protection locked="0"/>
    </xf>
    <xf numFmtId="0" fontId="37" fillId="0" borderId="0"/>
    <xf numFmtId="0" fontId="37" fillId="0" borderId="0"/>
    <xf numFmtId="0" fontId="1" fillId="0" borderId="0"/>
    <xf numFmtId="44" fontId="9" fillId="0" borderId="0" applyFont="0" applyFill="0" applyBorder="0" applyAlignment="0" applyProtection="0"/>
  </cellStyleXfs>
  <cellXfs count="1230">
    <xf numFmtId="0" fontId="0" fillId="2" borderId="0" xfId="0" applyNumberFormat="1"/>
    <xf numFmtId="37" fontId="0" fillId="2" borderId="0" xfId="0" applyNumberFormat="1" applyProtection="1">
      <protection locked="0"/>
    </xf>
    <xf numFmtId="164" fontId="0" fillId="2" borderId="0" xfId="0" applyNumberFormat="1" applyProtection="1">
      <protection locked="0"/>
    </xf>
    <xf numFmtId="165" fontId="0" fillId="2" borderId="0" xfId="0" applyNumberFormat="1" applyProtection="1">
      <protection locked="0"/>
    </xf>
    <xf numFmtId="0" fontId="0" fillId="2" borderId="0" xfId="0" applyNumberFormat="1" applyProtection="1">
      <protection locked="0"/>
    </xf>
    <xf numFmtId="37" fontId="0" fillId="2" borderId="0" xfId="0" applyNumberFormat="1"/>
    <xf numFmtId="166" fontId="0" fillId="2" borderId="0" xfId="0" applyNumberFormat="1"/>
    <xf numFmtId="164" fontId="0" fillId="2" borderId="0" xfId="0" applyNumberFormat="1"/>
    <xf numFmtId="165" fontId="0" fillId="2" borderId="0" xfId="0" applyNumberFormat="1"/>
    <xf numFmtId="37" fontId="0" fillId="2" borderId="1" xfId="0" applyNumberFormat="1" applyBorder="1" applyProtection="1">
      <protection locked="0"/>
    </xf>
    <xf numFmtId="164" fontId="0" fillId="2" borderId="1" xfId="0" applyNumberFormat="1" applyBorder="1" applyProtection="1">
      <protection locked="0"/>
    </xf>
    <xf numFmtId="37" fontId="0" fillId="2" borderId="1" xfId="0" applyNumberFormat="1" applyBorder="1"/>
    <xf numFmtId="164" fontId="0" fillId="2" borderId="1" xfId="0" applyNumberFormat="1" applyBorder="1"/>
    <xf numFmtId="168" fontId="0" fillId="2" borderId="1" xfId="0" applyNumberFormat="1" applyBorder="1"/>
    <xf numFmtId="169" fontId="0" fillId="2" borderId="1" xfId="0" applyNumberFormat="1" applyBorder="1"/>
    <xf numFmtId="0" fontId="0" fillId="2" borderId="1" xfId="0" applyNumberFormat="1" applyBorder="1"/>
    <xf numFmtId="0" fontId="0" fillId="2" borderId="2" xfId="0" applyNumberFormat="1" applyBorder="1"/>
    <xf numFmtId="0" fontId="0" fillId="2" borderId="3" xfId="0" applyNumberFormat="1" applyBorder="1"/>
    <xf numFmtId="0" fontId="0" fillId="2" borderId="4" xfId="0" applyNumberFormat="1" applyBorder="1" applyProtection="1">
      <protection locked="0"/>
    </xf>
    <xf numFmtId="0" fontId="0" fillId="2" borderId="4" xfId="0" applyNumberFormat="1" applyBorder="1"/>
    <xf numFmtId="0" fontId="0" fillId="2" borderId="0" xfId="0" applyNumberFormat="1" applyAlignment="1" applyProtection="1">
      <alignment horizontal="left"/>
      <protection locked="0"/>
    </xf>
    <xf numFmtId="15" fontId="0" fillId="2" borderId="0" xfId="0" applyNumberFormat="1" applyAlignment="1">
      <alignment horizontal="left"/>
    </xf>
    <xf numFmtId="0" fontId="2" fillId="2" borderId="0" xfId="0" applyNumberFormat="1" applyFont="1" applyProtection="1">
      <protection locked="0"/>
    </xf>
    <xf numFmtId="37" fontId="2" fillId="2" borderId="0" xfId="0" applyNumberFormat="1" applyFont="1"/>
    <xf numFmtId="39" fontId="2" fillId="2" borderId="0" xfId="0" applyNumberFormat="1" applyFont="1"/>
    <xf numFmtId="164" fontId="2" fillId="2" borderId="0" xfId="0" applyNumberFormat="1" applyFont="1"/>
    <xf numFmtId="168" fontId="2" fillId="2" borderId="0" xfId="0" applyNumberFormat="1" applyFont="1"/>
    <xf numFmtId="0" fontId="2" fillId="2" borderId="0" xfId="0" applyNumberFormat="1" applyFont="1"/>
    <xf numFmtId="0" fontId="2" fillId="2" borderId="5" xfId="0" applyNumberFormat="1" applyFont="1" applyBorder="1"/>
    <xf numFmtId="0" fontId="3" fillId="2" borderId="0" xfId="0" applyNumberFormat="1" applyFont="1" applyAlignment="1">
      <alignment horizontal="center"/>
    </xf>
    <xf numFmtId="0" fontId="2" fillId="2" borderId="0" xfId="0" applyNumberFormat="1" applyFont="1" applyAlignment="1">
      <alignment horizontal="left"/>
    </xf>
    <xf numFmtId="0" fontId="0" fillId="2" borderId="6" xfId="0" applyNumberFormat="1" applyBorder="1"/>
    <xf numFmtId="0" fontId="2" fillId="2" borderId="2" xfId="0" applyNumberFormat="1" applyFont="1" applyBorder="1"/>
    <xf numFmtId="0" fontId="2" fillId="2" borderId="0" xfId="0" applyNumberFormat="1" applyFont="1" applyAlignment="1">
      <alignment horizontal="center"/>
    </xf>
    <xf numFmtId="37" fontId="2" fillId="2" borderId="4" xfId="0" applyNumberFormat="1" applyFont="1" applyBorder="1"/>
    <xf numFmtId="37" fontId="2" fillId="3" borderId="0" xfId="0" applyNumberFormat="1" applyFont="1" applyFill="1"/>
    <xf numFmtId="37" fontId="2" fillId="2" borderId="3" xfId="0" applyNumberFormat="1" applyFont="1" applyBorder="1"/>
    <xf numFmtId="0" fontId="2" fillId="2" borderId="3" xfId="0" applyNumberFormat="1" applyFont="1" applyBorder="1"/>
    <xf numFmtId="37" fontId="2" fillId="2" borderId="0" xfId="0" applyNumberFormat="1" applyFont="1" applyBorder="1"/>
    <xf numFmtId="14" fontId="0" fillId="2" borderId="4" xfId="0" applyNumberFormat="1" applyBorder="1" applyAlignment="1">
      <alignment horizontal="left"/>
    </xf>
    <xf numFmtId="37" fontId="0" fillId="2" borderId="0" xfId="0" applyNumberFormat="1" applyBorder="1" applyProtection="1">
      <protection locked="0"/>
    </xf>
    <xf numFmtId="0" fontId="2" fillId="2" borderId="0" xfId="0" applyNumberFormat="1" applyFont="1" applyBorder="1"/>
    <xf numFmtId="0" fontId="0" fillId="2" borderId="0" xfId="0" applyNumberFormat="1" applyBorder="1"/>
    <xf numFmtId="37" fontId="2" fillId="2" borderId="4" xfId="0" applyNumberFormat="1" applyFont="1" applyBorder="1" applyAlignment="1">
      <alignment horizontal="right"/>
    </xf>
    <xf numFmtId="37" fontId="2" fillId="2" borderId="0" xfId="0" applyNumberFormat="1" applyFont="1" applyAlignment="1">
      <alignment horizontal="right"/>
    </xf>
    <xf numFmtId="37" fontId="2" fillId="2" borderId="3" xfId="0" applyNumberFormat="1" applyFont="1" applyBorder="1" applyAlignment="1">
      <alignment horizontal="right"/>
    </xf>
    <xf numFmtId="37" fontId="2" fillId="2" borderId="1" xfId="0" applyNumberFormat="1" applyFont="1" applyBorder="1" applyAlignment="1">
      <alignment horizontal="right"/>
    </xf>
    <xf numFmtId="168" fontId="2" fillId="2" borderId="1" xfId="0" applyNumberFormat="1" applyFont="1" applyBorder="1" applyAlignment="1">
      <alignment horizontal="right"/>
    </xf>
    <xf numFmtId="0" fontId="5" fillId="2" borderId="0" xfId="0" applyNumberFormat="1" applyFont="1"/>
    <xf numFmtId="0" fontId="5" fillId="2" borderId="0" xfId="0" applyNumberFormat="1" applyFont="1" applyAlignment="1" applyProtection="1">
      <alignment horizontal="center"/>
      <protection locked="0"/>
    </xf>
    <xf numFmtId="0" fontId="0" fillId="2" borderId="0" xfId="0" applyNumberFormat="1" applyAlignment="1">
      <alignment horizontal="left"/>
    </xf>
    <xf numFmtId="0" fontId="5" fillId="2" borderId="0" xfId="0" applyNumberFormat="1" applyFont="1" applyAlignment="1">
      <alignment horizontal="left"/>
    </xf>
    <xf numFmtId="0" fontId="5" fillId="2" borderId="5" xfId="0" applyNumberFormat="1" applyFont="1" applyBorder="1" applyAlignment="1">
      <alignment horizontal="left"/>
    </xf>
    <xf numFmtId="37" fontId="0" fillId="2" borderId="0" xfId="0" applyNumberFormat="1" applyBorder="1"/>
    <xf numFmtId="171" fontId="0" fillId="2" borderId="1" xfId="0" applyNumberFormat="1" applyBorder="1"/>
    <xf numFmtId="171" fontId="0" fillId="2" borderId="0" xfId="0" applyNumberFormat="1"/>
    <xf numFmtId="0" fontId="5" fillId="2" borderId="1" xfId="0" applyNumberFormat="1" applyFont="1" applyBorder="1"/>
    <xf numFmtId="0" fontId="6" fillId="2" borderId="0" xfId="0" applyNumberFormat="1" applyFont="1"/>
    <xf numFmtId="0" fontId="7" fillId="2" borderId="0" xfId="0" quotePrefix="1" applyNumberFormat="1" applyFont="1"/>
    <xf numFmtId="0" fontId="0" fillId="2" borderId="0" xfId="0" applyNumberFormat="1" applyAlignment="1">
      <alignment horizontal="right"/>
    </xf>
    <xf numFmtId="0" fontId="0" fillId="2" borderId="7" xfId="0" applyNumberFormat="1" applyBorder="1"/>
    <xf numFmtId="0" fontId="0" fillId="2" borderId="7" xfId="0" applyNumberFormat="1" applyBorder="1" applyAlignment="1">
      <alignment horizontal="right"/>
    </xf>
    <xf numFmtId="0" fontId="7" fillId="2" borderId="7" xfId="0" quotePrefix="1" applyNumberFormat="1" applyFont="1" applyBorder="1"/>
    <xf numFmtId="0" fontId="0" fillId="2" borderId="0" xfId="0" quotePrefix="1" applyNumberFormat="1" applyAlignment="1">
      <alignment horizontal="left"/>
    </xf>
    <xf numFmtId="37" fontId="0" fillId="2" borderId="8" xfId="0" applyNumberFormat="1" applyBorder="1"/>
    <xf numFmtId="172" fontId="0" fillId="2" borderId="8" xfId="0" applyNumberFormat="1" applyBorder="1"/>
    <xf numFmtId="0" fontId="0" fillId="2" borderId="9" xfId="0" applyNumberFormat="1" applyBorder="1"/>
    <xf numFmtId="0" fontId="0" fillId="2" borderId="10" xfId="0" applyNumberFormat="1" applyBorder="1"/>
    <xf numFmtId="0" fontId="0" fillId="2" borderId="11" xfId="0" applyNumberFormat="1" applyBorder="1"/>
    <xf numFmtId="37" fontId="2" fillId="2" borderId="0" xfId="0" applyNumberFormat="1" applyFont="1" applyBorder="1" applyAlignment="1">
      <alignment horizontal="right"/>
    </xf>
    <xf numFmtId="37" fontId="2" fillId="2" borderId="12" xfId="0" applyNumberFormat="1" applyFont="1" applyBorder="1"/>
    <xf numFmtId="0" fontId="0" fillId="2" borderId="0" xfId="0" quotePrefix="1" applyNumberFormat="1"/>
    <xf numFmtId="171" fontId="0" fillId="2" borderId="0" xfId="0" applyNumberFormat="1" applyBorder="1"/>
    <xf numFmtId="0" fontId="6" fillId="2" borderId="0" xfId="0" quotePrefix="1" applyNumberFormat="1" applyFont="1"/>
    <xf numFmtId="37" fontId="0" fillId="2" borderId="12" xfId="0" applyNumberFormat="1" applyBorder="1"/>
    <xf numFmtId="37" fontId="0" fillId="2" borderId="13" xfId="0" applyNumberFormat="1" applyBorder="1"/>
    <xf numFmtId="37" fontId="0" fillId="2" borderId="1" xfId="0" applyNumberFormat="1" applyBorder="1" applyProtection="1">
      <protection hidden="1"/>
    </xf>
    <xf numFmtId="169" fontId="0" fillId="2" borderId="1" xfId="0" applyNumberFormat="1" applyBorder="1" applyProtection="1">
      <protection hidden="1"/>
    </xf>
    <xf numFmtId="0" fontId="0" fillId="2" borderId="0" xfId="0" applyNumberFormat="1" applyProtection="1">
      <protection hidden="1"/>
    </xf>
    <xf numFmtId="37" fontId="2" fillId="2" borderId="0" xfId="0" applyNumberFormat="1" applyFont="1" applyProtection="1">
      <protection hidden="1"/>
    </xf>
    <xf numFmtId="37" fontId="2" fillId="3" borderId="0" xfId="0" applyNumberFormat="1" applyFont="1" applyFill="1" applyProtection="1">
      <protection hidden="1"/>
    </xf>
    <xf numFmtId="37" fontId="2" fillId="2" borderId="4" xfId="0" applyNumberFormat="1" applyFont="1" applyBorder="1" applyProtection="1">
      <protection hidden="1"/>
    </xf>
    <xf numFmtId="0" fontId="2" fillId="2" borderId="0" xfId="0" applyNumberFormat="1" applyFont="1" applyProtection="1">
      <protection hidden="1"/>
    </xf>
    <xf numFmtId="37" fontId="2" fillId="2" borderId="4" xfId="0" applyNumberFormat="1" applyFont="1" applyBorder="1" applyAlignment="1" applyProtection="1">
      <alignment horizontal="right"/>
      <protection hidden="1"/>
    </xf>
    <xf numFmtId="37" fontId="2" fillId="2" borderId="0" xfId="0" applyNumberFormat="1" applyFont="1" applyAlignment="1" applyProtection="1">
      <alignment horizontal="right"/>
      <protection hidden="1"/>
    </xf>
    <xf numFmtId="37" fontId="6" fillId="2" borderId="1" xfId="0" applyNumberFormat="1" applyFont="1" applyBorder="1"/>
    <xf numFmtId="37" fontId="2" fillId="2" borderId="12" xfId="0" applyNumberFormat="1" applyFont="1" applyBorder="1" applyAlignment="1">
      <alignment horizontal="right"/>
    </xf>
    <xf numFmtId="0" fontId="8" fillId="2" borderId="0" xfId="0" applyNumberFormat="1" applyFont="1"/>
    <xf numFmtId="0" fontId="2" fillId="2" borderId="11" xfId="0" applyNumberFormat="1" applyFont="1" applyBorder="1"/>
    <xf numFmtId="0" fontId="2" fillId="2" borderId="10" xfId="0" quotePrefix="1" applyNumberFormat="1" applyFont="1" applyBorder="1"/>
    <xf numFmtId="0" fontId="0" fillId="2" borderId="0" xfId="0" quotePrefix="1" applyNumberFormat="1" applyAlignment="1">
      <alignment horizontal="center"/>
    </xf>
    <xf numFmtId="0" fontId="8" fillId="2" borderId="0" xfId="0" quotePrefix="1" applyNumberFormat="1" applyFont="1" applyAlignment="1">
      <alignment horizontal="left"/>
    </xf>
    <xf numFmtId="37" fontId="0" fillId="2" borderId="0" xfId="0" applyNumberFormat="1" applyProtection="1">
      <protection hidden="1"/>
    </xf>
    <xf numFmtId="0" fontId="6" fillId="2" borderId="0" xfId="0" applyNumberFormat="1" applyFont="1" applyBorder="1"/>
    <xf numFmtId="0" fontId="0" fillId="2" borderId="0" xfId="0" applyNumberFormat="1" applyAlignment="1">
      <alignment horizontal="center"/>
    </xf>
    <xf numFmtId="14" fontId="0" fillId="2" borderId="4" xfId="0" quotePrefix="1" applyNumberFormat="1" applyBorder="1" applyAlignment="1" applyProtection="1">
      <alignment horizontal="left"/>
      <protection locked="0"/>
    </xf>
    <xf numFmtId="0" fontId="6" fillId="2" borderId="0" xfId="0" applyNumberFormat="1" applyFont="1" applyBorder="1" applyAlignment="1">
      <alignment horizontal="center"/>
    </xf>
    <xf numFmtId="0" fontId="6" fillId="2" borderId="8" xfId="0" applyNumberFormat="1" applyFont="1" applyBorder="1" applyAlignment="1">
      <alignment horizontal="center"/>
    </xf>
    <xf numFmtId="0" fontId="8" fillId="2" borderId="0" xfId="0" quotePrefix="1" applyNumberFormat="1" applyFont="1"/>
    <xf numFmtId="0" fontId="5" fillId="2" borderId="9" xfId="0" applyNumberFormat="1" applyFont="1" applyBorder="1" applyAlignment="1">
      <alignment horizontal="left"/>
    </xf>
    <xf numFmtId="0" fontId="10" fillId="2" borderId="0" xfId="0" applyNumberFormat="1" applyFont="1"/>
    <xf numFmtId="37" fontId="9" fillId="2" borderId="8" xfId="0" applyNumberFormat="1" applyFont="1" applyBorder="1" applyAlignment="1" applyProtection="1">
      <alignment horizontal="right"/>
      <protection locked="0"/>
    </xf>
    <xf numFmtId="37" fontId="9" fillId="2" borderId="8" xfId="0" applyNumberFormat="1" applyFont="1" applyBorder="1" applyAlignment="1" applyProtection="1"/>
    <xf numFmtId="164" fontId="0" fillId="2" borderId="1" xfId="0" applyNumberFormat="1" applyBorder="1" applyProtection="1"/>
    <xf numFmtId="173" fontId="0" fillId="2" borderId="8" xfId="0" applyNumberFormat="1" applyBorder="1" applyProtection="1">
      <protection locked="0"/>
    </xf>
    <xf numFmtId="37" fontId="9" fillId="2" borderId="0" xfId="0" applyNumberFormat="1" applyFont="1" applyBorder="1" applyAlignment="1" applyProtection="1"/>
    <xf numFmtId="14" fontId="6" fillId="2" borderId="0" xfId="0" applyNumberFormat="1" applyFont="1" applyAlignment="1">
      <alignment horizontal="right"/>
    </xf>
    <xf numFmtId="0" fontId="2" fillId="2" borderId="0" xfId="0" applyNumberFormat="1" applyFont="1" applyAlignment="1">
      <alignment horizontal="right"/>
    </xf>
    <xf numFmtId="0" fontId="0" fillId="2" borderId="4" xfId="0" applyNumberFormat="1" applyBorder="1" applyAlignment="1" applyProtection="1">
      <alignment horizontal="left"/>
      <protection locked="0"/>
    </xf>
    <xf numFmtId="174" fontId="0" fillId="2" borderId="4" xfId="0" quotePrefix="1" applyNumberFormat="1" applyBorder="1" applyAlignment="1" applyProtection="1">
      <alignment horizontal="left"/>
      <protection locked="0"/>
    </xf>
    <xf numFmtId="174" fontId="0" fillId="2" borderId="4" xfId="0" applyNumberFormat="1" applyBorder="1" applyAlignment="1" applyProtection="1">
      <alignment horizontal="left"/>
      <protection locked="0"/>
    </xf>
    <xf numFmtId="37" fontId="9" fillId="2" borderId="8" xfId="0" applyNumberFormat="1" applyFont="1" applyBorder="1" applyAlignment="1" applyProtection="1">
      <alignment horizontal="right"/>
    </xf>
    <xf numFmtId="0" fontId="0" fillId="2" borderId="0" xfId="0" applyNumberFormat="1" applyProtection="1"/>
    <xf numFmtId="0" fontId="6" fillId="2" borderId="0" xfId="0" applyNumberFormat="1" applyFont="1" applyBorder="1" applyAlignment="1" applyProtection="1">
      <alignment horizontal="center"/>
    </xf>
    <xf numFmtId="37" fontId="0" fillId="2" borderId="1" xfId="0" applyNumberFormat="1" applyBorder="1" applyProtection="1"/>
    <xf numFmtId="15" fontId="0" fillId="2" borderId="4" xfId="0" applyNumberFormat="1" applyBorder="1" applyAlignment="1">
      <alignment horizontal="left"/>
    </xf>
    <xf numFmtId="15" fontId="0" fillId="2" borderId="4" xfId="0" quotePrefix="1" applyNumberFormat="1" applyBorder="1" applyAlignment="1" applyProtection="1">
      <alignment horizontal="left"/>
      <protection locked="0"/>
    </xf>
    <xf numFmtId="0" fontId="6" fillId="2" borderId="0" xfId="0" applyNumberFormat="1" applyFont="1" applyAlignment="1">
      <alignment horizontal="left"/>
    </xf>
    <xf numFmtId="37" fontId="6" fillId="2" borderId="0" xfId="0" applyNumberFormat="1" applyFont="1"/>
    <xf numFmtId="0" fontId="0" fillId="2" borderId="14" xfId="0" applyNumberFormat="1" applyBorder="1"/>
    <xf numFmtId="37" fontId="2" fillId="2" borderId="14" xfId="0" applyNumberFormat="1" applyFont="1" applyBorder="1"/>
    <xf numFmtId="37" fontId="2" fillId="2" borderId="8" xfId="0" applyNumberFormat="1" applyFont="1" applyBorder="1"/>
    <xf numFmtId="37" fontId="6" fillId="2" borderId="12" xfId="0" applyNumberFormat="1" applyFont="1" applyBorder="1"/>
    <xf numFmtId="0" fontId="9" fillId="2" borderId="0" xfId="0" applyNumberFormat="1" applyFont="1"/>
    <xf numFmtId="168" fontId="0" fillId="2" borderId="8" xfId="0" applyNumberFormat="1" applyBorder="1"/>
    <xf numFmtId="37" fontId="0" fillId="2" borderId="7" xfId="0" applyNumberFormat="1" applyBorder="1"/>
    <xf numFmtId="171" fontId="0" fillId="2" borderId="8" xfId="0" applyNumberFormat="1" applyBorder="1"/>
    <xf numFmtId="0" fontId="12" fillId="4" borderId="0" xfId="0" applyNumberFormat="1" applyFont="1" applyFill="1"/>
    <xf numFmtId="0" fontId="12" fillId="4" borderId="0" xfId="0" applyNumberFormat="1" applyFont="1" applyFill="1" applyAlignment="1">
      <alignment horizontal="left"/>
    </xf>
    <xf numFmtId="0" fontId="2" fillId="4" borderId="0" xfId="0" applyNumberFormat="1" applyFont="1" applyFill="1" applyAlignment="1">
      <alignment horizontal="left"/>
    </xf>
    <xf numFmtId="37" fontId="6" fillId="2" borderId="0" xfId="0" applyNumberFormat="1" applyFont="1" applyBorder="1"/>
    <xf numFmtId="0" fontId="13" fillId="2" borderId="0" xfId="0" quotePrefix="1" applyNumberFormat="1" applyFont="1" applyProtection="1"/>
    <xf numFmtId="0" fontId="12" fillId="2" borderId="0" xfId="0" applyNumberFormat="1" applyFont="1"/>
    <xf numFmtId="0" fontId="6" fillId="2" borderId="0" xfId="0" quotePrefix="1" applyNumberFormat="1" applyFont="1" applyAlignment="1">
      <alignment horizontal="right"/>
    </xf>
    <xf numFmtId="0" fontId="6" fillId="2" borderId="0" xfId="0" applyNumberFormat="1" applyFont="1" applyAlignment="1">
      <alignment horizontal="right"/>
    </xf>
    <xf numFmtId="0" fontId="6" fillId="2" borderId="0" xfId="0" quotePrefix="1" applyNumberFormat="1" applyFont="1" applyBorder="1" applyAlignment="1">
      <alignment horizontal="right"/>
    </xf>
    <xf numFmtId="0" fontId="14" fillId="2" borderId="0" xfId="0" applyNumberFormat="1" applyFont="1"/>
    <xf numFmtId="37" fontId="14" fillId="2" borderId="8" xfId="0" applyNumberFormat="1" applyFont="1" applyBorder="1"/>
    <xf numFmtId="0" fontId="14" fillId="2" borderId="9" xfId="0" applyNumberFormat="1" applyFont="1" applyBorder="1"/>
    <xf numFmtId="0" fontId="14" fillId="2" borderId="0" xfId="0" quotePrefix="1" applyNumberFormat="1" applyFont="1" applyAlignment="1">
      <alignment horizontal="right"/>
    </xf>
    <xf numFmtId="37" fontId="0" fillId="2" borderId="8" xfId="0" applyNumberFormat="1" applyBorder="1" applyProtection="1">
      <protection locked="0"/>
    </xf>
    <xf numFmtId="37" fontId="14" fillId="2" borderId="0" xfId="0" applyNumberFormat="1" applyFont="1" applyBorder="1"/>
    <xf numFmtId="0" fontId="16" fillId="2" borderId="0" xfId="0" applyNumberFormat="1" applyFont="1"/>
    <xf numFmtId="0" fontId="15" fillId="4" borderId="0" xfId="0" applyNumberFormat="1" applyFont="1" applyFill="1"/>
    <xf numFmtId="37" fontId="14" fillId="2" borderId="1" xfId="0" applyNumberFormat="1" applyFont="1" applyBorder="1"/>
    <xf numFmtId="0" fontId="12" fillId="2" borderId="15" xfId="0" applyNumberFormat="1" applyFont="1" applyBorder="1"/>
    <xf numFmtId="0" fontId="12" fillId="2" borderId="16" xfId="0" applyNumberFormat="1" applyFont="1" applyBorder="1"/>
    <xf numFmtId="0" fontId="12" fillId="2" borderId="17" xfId="0" applyNumberFormat="1" applyFont="1" applyBorder="1"/>
    <xf numFmtId="0" fontId="12" fillId="2" borderId="18" xfId="0" applyNumberFormat="1" applyFont="1" applyBorder="1"/>
    <xf numFmtId="0" fontId="12" fillId="2" borderId="0" xfId="0" applyNumberFormat="1" applyFont="1" applyBorder="1"/>
    <xf numFmtId="0" fontId="12" fillId="2" borderId="19" xfId="0" applyNumberFormat="1" applyFont="1" applyBorder="1"/>
    <xf numFmtId="0" fontId="12" fillId="2" borderId="20" xfId="0" applyNumberFormat="1" applyFont="1" applyBorder="1"/>
    <xf numFmtId="0" fontId="12" fillId="2" borderId="12" xfId="0" applyNumberFormat="1" applyFont="1" applyBorder="1"/>
    <xf numFmtId="0" fontId="12" fillId="2" borderId="21" xfId="0" applyNumberFormat="1" applyFont="1" applyBorder="1"/>
    <xf numFmtId="0" fontId="17" fillId="2" borderId="0" xfId="0" quotePrefix="1" applyNumberFormat="1" applyFont="1" applyAlignment="1">
      <alignment horizontal="left"/>
    </xf>
    <xf numFmtId="0" fontId="14" fillId="4" borderId="0" xfId="0" applyNumberFormat="1" applyFont="1" applyFill="1" applyAlignment="1">
      <alignment horizontal="left"/>
    </xf>
    <xf numFmtId="37" fontId="0" fillId="2" borderId="8" xfId="0" applyNumberFormat="1" applyBorder="1" applyProtection="1"/>
    <xf numFmtId="171" fontId="0" fillId="2" borderId="12" xfId="0" applyNumberFormat="1" applyBorder="1"/>
    <xf numFmtId="0" fontId="19" fillId="2" borderId="22" xfId="0" applyNumberFormat="1" applyFont="1" applyBorder="1"/>
    <xf numFmtId="0" fontId="20" fillId="2" borderId="23" xfId="0" applyNumberFormat="1" applyFont="1" applyBorder="1"/>
    <xf numFmtId="0" fontId="20" fillId="2" borderId="24" xfId="0" applyNumberFormat="1" applyFont="1" applyBorder="1"/>
    <xf numFmtId="0" fontId="0" fillId="2" borderId="25" xfId="0" applyNumberFormat="1" applyBorder="1"/>
    <xf numFmtId="37" fontId="0" fillId="2" borderId="25" xfId="0" applyNumberFormat="1" applyBorder="1"/>
    <xf numFmtId="0" fontId="0" fillId="2" borderId="26" xfId="0" applyNumberFormat="1" applyBorder="1"/>
    <xf numFmtId="0" fontId="0" fillId="2" borderId="27" xfId="0" applyNumberFormat="1" applyBorder="1"/>
    <xf numFmtId="0" fontId="0" fillId="2" borderId="28" xfId="0" applyNumberFormat="1" applyBorder="1"/>
    <xf numFmtId="37" fontId="0" fillId="2" borderId="28" xfId="0" applyNumberFormat="1" applyBorder="1"/>
    <xf numFmtId="0" fontId="0" fillId="2" borderId="29" xfId="0" applyNumberFormat="1" applyBorder="1"/>
    <xf numFmtId="0" fontId="17" fillId="2" borderId="25" xfId="0" applyNumberFormat="1" applyFont="1" applyBorder="1"/>
    <xf numFmtId="0" fontId="17" fillId="2" borderId="0" xfId="0" applyNumberFormat="1" applyFont="1" applyBorder="1"/>
    <xf numFmtId="0" fontId="17" fillId="2" borderId="28" xfId="0" applyNumberFormat="1" applyFont="1" applyBorder="1"/>
    <xf numFmtId="0" fontId="14" fillId="4" borderId="0" xfId="0" applyNumberFormat="1" applyFont="1" applyFill="1"/>
    <xf numFmtId="0" fontId="19" fillId="2" borderId="30" xfId="0" applyNumberFormat="1" applyFont="1" applyBorder="1"/>
    <xf numFmtId="0" fontId="19" fillId="2" borderId="31" xfId="0" applyNumberFormat="1" applyFont="1" applyBorder="1"/>
    <xf numFmtId="0" fontId="19" fillId="2" borderId="32" xfId="0" applyNumberFormat="1" applyFont="1" applyBorder="1"/>
    <xf numFmtId="37" fontId="12" fillId="2" borderId="8" xfId="0" applyNumberFormat="1" applyFont="1" applyBorder="1"/>
    <xf numFmtId="0" fontId="12" fillId="2" borderId="0" xfId="0" quotePrefix="1" applyNumberFormat="1" applyFont="1"/>
    <xf numFmtId="39" fontId="0" fillId="2" borderId="0" xfId="0" applyNumberFormat="1"/>
    <xf numFmtId="0" fontId="22" fillId="2" borderId="0" xfId="0" applyNumberFormat="1" applyFont="1" applyBorder="1"/>
    <xf numFmtId="0" fontId="14" fillId="2" borderId="0" xfId="0" quotePrefix="1" applyNumberFormat="1" applyFont="1"/>
    <xf numFmtId="37" fontId="14" fillId="2" borderId="0" xfId="0" applyNumberFormat="1" applyFont="1" applyAlignment="1">
      <alignment horizontal="right"/>
    </xf>
    <xf numFmtId="0" fontId="17" fillId="2" borderId="0" xfId="0" applyNumberFormat="1" applyFont="1"/>
    <xf numFmtId="0" fontId="18" fillId="2" borderId="0" xfId="0" applyNumberFormat="1" applyFont="1"/>
    <xf numFmtId="171" fontId="14" fillId="2" borderId="1" xfId="0" applyNumberFormat="1" applyFont="1" applyBorder="1"/>
    <xf numFmtId="0" fontId="12" fillId="2" borderId="9" xfId="0" applyNumberFormat="1" applyFont="1" applyBorder="1"/>
    <xf numFmtId="0" fontId="22" fillId="2" borderId="10" xfId="0" applyNumberFormat="1" applyFont="1" applyBorder="1"/>
    <xf numFmtId="37" fontId="14" fillId="2" borderId="12" xfId="0" applyNumberFormat="1" applyFont="1" applyBorder="1"/>
    <xf numFmtId="0" fontId="0" fillId="2" borderId="0" xfId="0"/>
    <xf numFmtId="174" fontId="0" fillId="2" borderId="0" xfId="0" applyNumberFormat="1"/>
    <xf numFmtId="17" fontId="0" fillId="2" borderId="0" xfId="0" applyNumberFormat="1"/>
    <xf numFmtId="0" fontId="14" fillId="2" borderId="0" xfId="0" applyNumberFormat="1" applyFont="1" applyAlignment="1">
      <alignment horizontal="center"/>
    </xf>
    <xf numFmtId="0" fontId="14" fillId="2" borderId="8" xfId="0" applyNumberFormat="1" applyFont="1" applyBorder="1"/>
    <xf numFmtId="37" fontId="14" fillId="2" borderId="0" xfId="0" applyNumberFormat="1" applyFont="1"/>
    <xf numFmtId="37" fontId="24" fillId="2" borderId="0" xfId="0" applyNumberFormat="1" applyFont="1"/>
    <xf numFmtId="0" fontId="6" fillId="2" borderId="0" xfId="0" quotePrefix="1" applyNumberFormat="1" applyFont="1" applyAlignment="1">
      <alignment horizontal="center"/>
    </xf>
    <xf numFmtId="37" fontId="0" fillId="2" borderId="17" xfId="0" applyNumberFormat="1" applyBorder="1"/>
    <xf numFmtId="0" fontId="0" fillId="2" borderId="19" xfId="0" applyNumberFormat="1" applyBorder="1"/>
    <xf numFmtId="37" fontId="0" fillId="2" borderId="19" xfId="0" applyNumberFormat="1" applyBorder="1"/>
    <xf numFmtId="37" fontId="0" fillId="2" borderId="21" xfId="0" applyNumberFormat="1" applyBorder="1"/>
    <xf numFmtId="37" fontId="0" fillId="2" borderId="0" xfId="0" applyNumberFormat="1" applyBorder="1" applyAlignment="1">
      <alignment horizontal="right"/>
    </xf>
    <xf numFmtId="0" fontId="0" fillId="2" borderId="0" xfId="0" applyNumberFormat="1" applyBorder="1" applyAlignment="1">
      <alignment horizontal="right"/>
    </xf>
    <xf numFmtId="37" fontId="9" fillId="2" borderId="0" xfId="0" applyNumberFormat="1" applyFont="1" applyBorder="1" applyAlignment="1">
      <alignment horizontal="right"/>
    </xf>
    <xf numFmtId="0" fontId="9" fillId="2" borderId="0" xfId="0" applyNumberFormat="1" applyFont="1" applyBorder="1" applyAlignment="1">
      <alignment horizontal="right"/>
    </xf>
    <xf numFmtId="37" fontId="2" fillId="2" borderId="15" xfId="0" applyNumberFormat="1" applyFont="1" applyBorder="1" applyAlignment="1">
      <alignment horizontal="right"/>
    </xf>
    <xf numFmtId="37" fontId="2" fillId="2" borderId="16" xfId="0" applyNumberFormat="1" applyFont="1" applyBorder="1" applyAlignment="1">
      <alignment horizontal="right"/>
    </xf>
    <xf numFmtId="37" fontId="0" fillId="2" borderId="16" xfId="0" applyNumberFormat="1" applyBorder="1" applyAlignment="1">
      <alignment horizontal="right"/>
    </xf>
    <xf numFmtId="37" fontId="2" fillId="2" borderId="18" xfId="0" applyNumberFormat="1" applyFont="1" applyBorder="1" applyAlignment="1">
      <alignment horizontal="right"/>
    </xf>
    <xf numFmtId="37" fontId="14" fillId="2" borderId="18" xfId="0" applyNumberFormat="1" applyFont="1" applyBorder="1" applyAlignment="1">
      <alignment horizontal="right"/>
    </xf>
    <xf numFmtId="37" fontId="14" fillId="2" borderId="0" xfId="0" applyNumberFormat="1" applyFont="1" applyBorder="1" applyAlignment="1">
      <alignment horizontal="right"/>
    </xf>
    <xf numFmtId="37" fontId="0" fillId="2" borderId="12" xfId="0" applyNumberFormat="1" applyBorder="1" applyAlignment="1">
      <alignment horizontal="right"/>
    </xf>
    <xf numFmtId="0" fontId="0" fillId="0" borderId="0" xfId="0" applyNumberFormat="1" applyFill="1" applyBorder="1"/>
    <xf numFmtId="0" fontId="0" fillId="2" borderId="12" xfId="0" applyNumberFormat="1" applyBorder="1"/>
    <xf numFmtId="0" fontId="0" fillId="0" borderId="0" xfId="0" applyNumberFormat="1" applyFill="1"/>
    <xf numFmtId="0" fontId="25" fillId="2" borderId="0" xfId="0" applyNumberFormat="1" applyFont="1"/>
    <xf numFmtId="0" fontId="0" fillId="2" borderId="0" xfId="0" applyAlignment="1">
      <alignment horizontal="center"/>
    </xf>
    <xf numFmtId="38" fontId="0" fillId="2" borderId="0" xfId="0" applyNumberFormat="1"/>
    <xf numFmtId="0" fontId="11" fillId="0" borderId="33" xfId="0" applyFont="1" applyFill="1" applyBorder="1" applyAlignment="1">
      <alignment wrapText="1"/>
    </xf>
    <xf numFmtId="0" fontId="14" fillId="2" borderId="0" xfId="0" applyNumberFormat="1" applyFont="1" applyBorder="1"/>
    <xf numFmtId="170" fontId="0" fillId="2" borderId="0" xfId="0" applyNumberFormat="1"/>
    <xf numFmtId="178" fontId="0" fillId="2" borderId="0" xfId="0" applyNumberFormat="1"/>
    <xf numFmtId="37" fontId="12" fillId="2" borderId="8" xfId="0" applyNumberFormat="1" applyFont="1" applyBorder="1" applyAlignment="1">
      <alignment horizontal="right"/>
    </xf>
    <xf numFmtId="37" fontId="12" fillId="2" borderId="3" xfId="0" applyNumberFormat="1" applyFont="1" applyBorder="1" applyAlignment="1">
      <alignment horizontal="right"/>
    </xf>
    <xf numFmtId="0" fontId="0" fillId="2" borderId="18" xfId="0" applyNumberFormat="1" applyBorder="1"/>
    <xf numFmtId="0" fontId="5" fillId="2" borderId="5" xfId="0" applyNumberFormat="1" applyFont="1" applyBorder="1"/>
    <xf numFmtId="37" fontId="0" fillId="2" borderId="2" xfId="0" applyNumberFormat="1" applyBorder="1"/>
    <xf numFmtId="0" fontId="14" fillId="2" borderId="0" xfId="0" quotePrefix="1" applyNumberFormat="1" applyFont="1" applyBorder="1" applyAlignment="1">
      <alignment horizontal="center"/>
    </xf>
    <xf numFmtId="0" fontId="10" fillId="2" borderId="0" xfId="0" applyNumberFormat="1" applyFont="1" applyBorder="1" applyAlignment="1">
      <alignment horizontal="center"/>
    </xf>
    <xf numFmtId="0" fontId="10" fillId="2" borderId="0" xfId="0" applyNumberFormat="1" applyFont="1" applyAlignment="1">
      <alignment horizontal="center"/>
    </xf>
    <xf numFmtId="37" fontId="0" fillId="2" borderId="1" xfId="0" applyNumberFormat="1" applyBorder="1" applyAlignment="1">
      <alignment horizontal="right"/>
    </xf>
    <xf numFmtId="164" fontId="0" fillId="2" borderId="1" xfId="0" applyNumberFormat="1" applyBorder="1" applyAlignment="1">
      <alignment horizontal="right"/>
    </xf>
    <xf numFmtId="38" fontId="14" fillId="2" borderId="12" xfId="0" applyNumberFormat="1" applyFont="1" applyBorder="1"/>
    <xf numFmtId="0" fontId="10" fillId="2" borderId="15" xfId="0" applyNumberFormat="1" applyFont="1" applyBorder="1"/>
    <xf numFmtId="0" fontId="0" fillId="2" borderId="16" xfId="0" applyNumberFormat="1" applyBorder="1"/>
    <xf numFmtId="0" fontId="0" fillId="2" borderId="17" xfId="0" applyNumberFormat="1" applyBorder="1"/>
    <xf numFmtId="0" fontId="10" fillId="2" borderId="18" xfId="0" applyNumberFormat="1" applyFont="1" applyBorder="1"/>
    <xf numFmtId="0" fontId="10" fillId="2" borderId="20" xfId="0" applyNumberFormat="1" applyFont="1" applyBorder="1"/>
    <xf numFmtId="0" fontId="0" fillId="2" borderId="21" xfId="0" applyNumberFormat="1" applyBorder="1"/>
    <xf numFmtId="37" fontId="10" fillId="2" borderId="0" xfId="0" applyNumberFormat="1" applyFont="1" applyAlignment="1">
      <alignment horizontal="center"/>
    </xf>
    <xf numFmtId="0" fontId="19" fillId="4" borderId="0" xfId="0" applyNumberFormat="1" applyFont="1" applyFill="1"/>
    <xf numFmtId="0" fontId="19" fillId="2" borderId="0" xfId="0" applyNumberFormat="1" applyFont="1"/>
    <xf numFmtId="0" fontId="26" fillId="2" borderId="15" xfId="0" applyNumberFormat="1" applyFont="1" applyBorder="1"/>
    <xf numFmtId="0" fontId="26" fillId="2" borderId="18" xfId="0" applyNumberFormat="1" applyFont="1" applyBorder="1"/>
    <xf numFmtId="0" fontId="26" fillId="2" borderId="20" xfId="0" applyNumberFormat="1" applyFont="1" applyBorder="1"/>
    <xf numFmtId="0" fontId="0" fillId="2" borderId="20" xfId="0" applyNumberFormat="1" applyBorder="1"/>
    <xf numFmtId="38" fontId="0" fillId="2" borderId="21" xfId="0" applyNumberFormat="1" applyBorder="1"/>
    <xf numFmtId="0" fontId="14" fillId="2" borderId="0" xfId="0" quotePrefix="1" applyNumberFormat="1" applyFont="1" applyAlignment="1">
      <alignment horizontal="center"/>
    </xf>
    <xf numFmtId="3" fontId="0" fillId="2" borderId="0" xfId="0" applyNumberFormat="1"/>
    <xf numFmtId="0" fontId="27" fillId="0" borderId="0" xfId="0" applyNumberFormat="1" applyFont="1" applyFill="1" applyAlignment="1">
      <alignment horizontal="left"/>
    </xf>
    <xf numFmtId="0" fontId="14" fillId="2" borderId="0" xfId="0" applyNumberFormat="1" applyFont="1" applyAlignment="1">
      <alignment horizontal="right"/>
    </xf>
    <xf numFmtId="0" fontId="12" fillId="2" borderId="8" xfId="0" applyNumberFormat="1" applyFont="1" applyBorder="1" applyAlignment="1">
      <alignment horizontal="center"/>
    </xf>
    <xf numFmtId="37" fontId="12" fillId="2" borderId="0" xfId="0" applyNumberFormat="1" applyFont="1" applyBorder="1"/>
    <xf numFmtId="179" fontId="0" fillId="2" borderId="0" xfId="0" applyNumberFormat="1"/>
    <xf numFmtId="0" fontId="14" fillId="2" borderId="18" xfId="0" applyNumberFormat="1" applyFont="1" applyBorder="1"/>
    <xf numFmtId="38" fontId="14" fillId="2" borderId="0" xfId="0" applyNumberFormat="1" applyFont="1" applyBorder="1"/>
    <xf numFmtId="180" fontId="0" fillId="2" borderId="0" xfId="0" applyNumberFormat="1"/>
    <xf numFmtId="181" fontId="0" fillId="2" borderId="8" xfId="0" applyNumberFormat="1" applyBorder="1" applyProtection="1">
      <protection locked="0"/>
    </xf>
    <xf numFmtId="0" fontId="28" fillId="2" borderId="0" xfId="0" applyNumberFormat="1" applyFont="1"/>
    <xf numFmtId="0" fontId="28" fillId="2" borderId="0" xfId="0" applyNumberFormat="1" applyFont="1" applyBorder="1"/>
    <xf numFmtId="0" fontId="30" fillId="2" borderId="0" xfId="0" applyNumberFormat="1" applyFont="1" applyBorder="1" applyAlignment="1">
      <alignment horizontal="right"/>
    </xf>
    <xf numFmtId="0" fontId="31" fillId="2" borderId="0" xfId="0" quotePrefix="1" applyNumberFormat="1" applyFont="1" applyBorder="1"/>
    <xf numFmtId="0" fontId="30" fillId="2" borderId="0" xfId="0" applyNumberFormat="1" applyFont="1" applyBorder="1"/>
    <xf numFmtId="0" fontId="32" fillId="2" borderId="0" xfId="0" applyNumberFormat="1" applyFont="1" applyBorder="1"/>
    <xf numFmtId="0" fontId="0" fillId="2" borderId="34" xfId="0" applyNumberFormat="1" applyBorder="1"/>
    <xf numFmtId="0" fontId="0" fillId="2" borderId="35" xfId="0" applyNumberFormat="1" applyBorder="1"/>
    <xf numFmtId="0" fontId="5" fillId="2" borderId="35" xfId="0" applyNumberFormat="1" applyFont="1" applyBorder="1"/>
    <xf numFmtId="0" fontId="0" fillId="2" borderId="36" xfId="0" applyNumberFormat="1" applyBorder="1"/>
    <xf numFmtId="0" fontId="5" fillId="2" borderId="0" xfId="0" applyNumberFormat="1" applyFont="1" applyBorder="1"/>
    <xf numFmtId="0" fontId="0" fillId="2" borderId="37" xfId="0" applyNumberFormat="1" applyBorder="1"/>
    <xf numFmtId="0" fontId="0" fillId="2" borderId="38" xfId="0" applyNumberFormat="1" applyBorder="1"/>
    <xf numFmtId="0" fontId="0" fillId="2" borderId="39" xfId="0" applyNumberFormat="1" applyBorder="1"/>
    <xf numFmtId="0" fontId="5" fillId="2" borderId="39" xfId="0" applyNumberFormat="1" applyFont="1" applyBorder="1"/>
    <xf numFmtId="0" fontId="0" fillId="2" borderId="40" xfId="0" applyNumberFormat="1" applyBorder="1"/>
    <xf numFmtId="0" fontId="0" fillId="2" borderId="0" xfId="0" applyNumberFormat="1" applyBorder="1" applyAlignment="1">
      <alignment horizontal="center"/>
    </xf>
    <xf numFmtId="0" fontId="29" fillId="2" borderId="41" xfId="0" applyNumberFormat="1" applyFont="1" applyBorder="1"/>
    <xf numFmtId="0" fontId="32" fillId="2" borderId="42" xfId="0" applyNumberFormat="1" applyFont="1" applyBorder="1"/>
    <xf numFmtId="0" fontId="32" fillId="2" borderId="43" xfId="0" applyNumberFormat="1" applyFont="1" applyBorder="1"/>
    <xf numFmtId="0" fontId="29" fillId="2" borderId="44" xfId="0" applyNumberFormat="1" applyFont="1" applyBorder="1"/>
    <xf numFmtId="0" fontId="32" fillId="2" borderId="45" xfId="0" applyNumberFormat="1" applyFont="1" applyBorder="1"/>
    <xf numFmtId="0" fontId="0" fillId="2" borderId="46" xfId="0" applyNumberFormat="1" applyBorder="1"/>
    <xf numFmtId="0" fontId="0" fillId="2" borderId="47" xfId="0" applyNumberFormat="1" applyBorder="1"/>
    <xf numFmtId="0" fontId="0" fillId="2" borderId="48" xfId="0" applyNumberFormat="1" applyBorder="1"/>
    <xf numFmtId="0" fontId="30" fillId="2" borderId="42" xfId="0" applyNumberFormat="1" applyFont="1" applyBorder="1" applyAlignment="1">
      <alignment horizontal="right"/>
    </xf>
    <xf numFmtId="0" fontId="31" fillId="2" borderId="42" xfId="0" quotePrefix="1" applyNumberFormat="1" applyFont="1" applyBorder="1"/>
    <xf numFmtId="0" fontId="30" fillId="2" borderId="42" xfId="0" applyNumberFormat="1" applyFont="1" applyBorder="1"/>
    <xf numFmtId="0" fontId="28" fillId="2" borderId="43" xfId="0" applyNumberFormat="1" applyFont="1" applyBorder="1"/>
    <xf numFmtId="0" fontId="28" fillId="2" borderId="45" xfId="0" applyNumberFormat="1" applyFont="1" applyBorder="1"/>
    <xf numFmtId="0" fontId="29" fillId="2" borderId="46" xfId="0" applyNumberFormat="1" applyFont="1" applyBorder="1"/>
    <xf numFmtId="0" fontId="30" fillId="2" borderId="47" xfId="0" applyNumberFormat="1" applyFont="1" applyBorder="1" applyAlignment="1">
      <alignment horizontal="right"/>
    </xf>
    <xf numFmtId="0" fontId="31" fillId="2" borderId="47" xfId="0" quotePrefix="1" applyNumberFormat="1" applyFont="1" applyBorder="1"/>
    <xf numFmtId="0" fontId="30" fillId="2" borderId="47" xfId="0" applyNumberFormat="1" applyFont="1" applyBorder="1"/>
    <xf numFmtId="0" fontId="28" fillId="2" borderId="48" xfId="0" applyNumberFormat="1" applyFont="1" applyBorder="1"/>
    <xf numFmtId="37" fontId="0" fillId="2" borderId="49" xfId="0" applyNumberFormat="1" applyBorder="1" applyProtection="1">
      <protection locked="0"/>
    </xf>
    <xf numFmtId="0" fontId="0" fillId="4" borderId="0" xfId="0" applyNumberFormat="1" applyFill="1" applyBorder="1"/>
    <xf numFmtId="0" fontId="12" fillId="2" borderId="0" xfId="0" quotePrefix="1" applyNumberFormat="1" applyFont="1" applyAlignment="1">
      <alignment horizontal="center"/>
    </xf>
    <xf numFmtId="0" fontId="12" fillId="2" borderId="0" xfId="0" applyNumberFormat="1" applyFont="1" applyAlignment="1">
      <alignment horizontal="right"/>
    </xf>
    <xf numFmtId="0" fontId="12" fillId="2" borderId="50" xfId="0" applyNumberFormat="1" applyFont="1" applyBorder="1" applyAlignment="1">
      <alignment horizontal="left"/>
    </xf>
    <xf numFmtId="0" fontId="12" fillId="2" borderId="51" xfId="0" applyNumberFormat="1" applyFont="1" applyBorder="1" applyAlignment="1">
      <alignment horizontal="left"/>
    </xf>
    <xf numFmtId="0" fontId="12" fillId="2" borderId="51" xfId="0" applyNumberFormat="1" applyFont="1" applyBorder="1"/>
    <xf numFmtId="0" fontId="12" fillId="2" borderId="52" xfId="0" applyNumberFormat="1" applyFont="1" applyBorder="1"/>
    <xf numFmtId="38" fontId="14" fillId="2" borderId="0" xfId="0" applyNumberFormat="1" applyFont="1"/>
    <xf numFmtId="0" fontId="0" fillId="2" borderId="0" xfId="0" applyBorder="1"/>
    <xf numFmtId="38" fontId="14" fillId="2" borderId="7" xfId="0" applyNumberFormat="1" applyFont="1" applyBorder="1"/>
    <xf numFmtId="38" fontId="12" fillId="2" borderId="0" xfId="0" applyNumberFormat="1" applyFont="1" applyBorder="1"/>
    <xf numFmtId="38" fontId="12" fillId="2" borderId="19" xfId="0" applyNumberFormat="1" applyFont="1" applyBorder="1"/>
    <xf numFmtId="38" fontId="12" fillId="2" borderId="21" xfId="0" applyNumberFormat="1" applyFont="1" applyBorder="1"/>
    <xf numFmtId="164" fontId="0" fillId="0" borderId="0" xfId="0" applyNumberFormat="1" applyFill="1" applyBorder="1" applyProtection="1">
      <protection locked="0"/>
    </xf>
    <xf numFmtId="0" fontId="2" fillId="2" borderId="9" xfId="0" applyNumberFormat="1" applyFont="1" applyBorder="1"/>
    <xf numFmtId="0" fontId="0" fillId="5" borderId="0" xfId="0" applyNumberFormat="1" applyFill="1"/>
    <xf numFmtId="38" fontId="0" fillId="2" borderId="8" xfId="0" applyNumberFormat="1" applyBorder="1"/>
    <xf numFmtId="40" fontId="0" fillId="2" borderId="8" xfId="0" applyNumberFormat="1" applyBorder="1"/>
    <xf numFmtId="39" fontId="34" fillId="2" borderId="0" xfId="0" applyNumberFormat="1" applyFont="1"/>
    <xf numFmtId="167" fontId="34" fillId="2" borderId="0" xfId="0" applyNumberFormat="1" applyFont="1"/>
    <xf numFmtId="37" fontId="0" fillId="2" borderId="0" xfId="0" applyNumberFormat="1" applyBorder="1" applyProtection="1">
      <protection hidden="1"/>
    </xf>
    <xf numFmtId="37" fontId="0" fillId="2" borderId="0" xfId="0" applyNumberFormat="1" applyBorder="1" applyAlignment="1" applyProtection="1">
      <alignment horizontal="right"/>
      <protection hidden="1"/>
    </xf>
    <xf numFmtId="0" fontId="0" fillId="5" borderId="0" xfId="0" quotePrefix="1" applyNumberFormat="1" applyFill="1"/>
    <xf numFmtId="0" fontId="14" fillId="2" borderId="10" xfId="0" applyNumberFormat="1" applyFont="1" applyBorder="1"/>
    <xf numFmtId="38" fontId="0" fillId="2" borderId="0" xfId="0" applyNumberFormat="1" applyBorder="1"/>
    <xf numFmtId="0" fontId="12" fillId="2" borderId="0" xfId="0" applyNumberFormat="1" applyFont="1" applyAlignment="1">
      <alignment horizontal="center"/>
    </xf>
    <xf numFmtId="0" fontId="0" fillId="5" borderId="1" xfId="0" applyNumberFormat="1" applyFill="1" applyBorder="1" applyAlignment="1">
      <alignment horizontal="center"/>
    </xf>
    <xf numFmtId="0" fontId="0" fillId="6" borderId="1" xfId="0" applyNumberFormat="1" applyFill="1" applyBorder="1" applyAlignment="1">
      <alignment horizontal="center"/>
    </xf>
    <xf numFmtId="37" fontId="14" fillId="2" borderId="1" xfId="0" applyNumberFormat="1" applyFont="1" applyBorder="1" applyProtection="1"/>
    <xf numFmtId="37" fontId="14" fillId="2" borderId="0" xfId="0" applyNumberFormat="1" applyFont="1" applyBorder="1" applyProtection="1">
      <protection locked="0"/>
    </xf>
    <xf numFmtId="37" fontId="14" fillId="2" borderId="8" xfId="0" applyNumberFormat="1" applyFont="1" applyBorder="1" applyProtection="1"/>
    <xf numFmtId="164" fontId="14" fillId="2" borderId="1" xfId="0" applyNumberFormat="1" applyFont="1" applyBorder="1" applyProtection="1"/>
    <xf numFmtId="171" fontId="14" fillId="2" borderId="8" xfId="0" applyNumberFormat="1" applyFont="1" applyBorder="1"/>
    <xf numFmtId="171" fontId="14" fillId="2" borderId="0" xfId="0" applyNumberFormat="1" applyFont="1" applyBorder="1"/>
    <xf numFmtId="171" fontId="14" fillId="2" borderId="0" xfId="0" applyNumberFormat="1" applyFont="1"/>
    <xf numFmtId="37" fontId="12" fillId="2" borderId="1" xfId="0" applyNumberFormat="1" applyFont="1" applyBorder="1" applyProtection="1"/>
    <xf numFmtId="37" fontId="12" fillId="2" borderId="0" xfId="0" applyNumberFormat="1" applyFont="1" applyBorder="1" applyProtection="1">
      <protection locked="0"/>
    </xf>
    <xf numFmtId="37" fontId="12" fillId="2" borderId="8" xfId="0" applyNumberFormat="1" applyFont="1" applyBorder="1" applyProtection="1"/>
    <xf numFmtId="164" fontId="12" fillId="2" borderId="1" xfId="0" applyNumberFormat="1" applyFont="1" applyBorder="1" applyProtection="1"/>
    <xf numFmtId="171" fontId="12" fillId="2" borderId="8" xfId="0" applyNumberFormat="1" applyFont="1" applyBorder="1"/>
    <xf numFmtId="171" fontId="12" fillId="2" borderId="0" xfId="0" applyNumberFormat="1" applyFont="1" applyBorder="1"/>
    <xf numFmtId="171" fontId="12" fillId="2" borderId="1" xfId="0" applyNumberFormat="1" applyFont="1" applyBorder="1"/>
    <xf numFmtId="37" fontId="12" fillId="2" borderId="0" xfId="0" applyNumberFormat="1" applyFont="1"/>
    <xf numFmtId="37" fontId="12" fillId="2" borderId="1" xfId="0" applyNumberFormat="1" applyFont="1" applyBorder="1"/>
    <xf numFmtId="171" fontId="12" fillId="2" borderId="0" xfId="0" applyNumberFormat="1" applyFont="1"/>
    <xf numFmtId="37" fontId="12" fillId="2" borderId="12" xfId="0" applyNumberFormat="1" applyFont="1" applyBorder="1"/>
    <xf numFmtId="0" fontId="14" fillId="0" borderId="0" xfId="0" applyNumberFormat="1" applyFont="1" applyFill="1" applyBorder="1"/>
    <xf numFmtId="164" fontId="14" fillId="2" borderId="0" xfId="0" applyNumberFormat="1" applyFont="1"/>
    <xf numFmtId="0" fontId="12" fillId="0" borderId="0" xfId="0" applyNumberFormat="1" applyFont="1" applyFill="1" applyBorder="1"/>
    <xf numFmtId="164" fontId="12" fillId="2" borderId="0" xfId="0" applyNumberFormat="1" applyFont="1"/>
    <xf numFmtId="0" fontId="36" fillId="2" borderId="0" xfId="0" applyNumberFormat="1" applyFont="1" applyAlignment="1">
      <alignment horizontal="center"/>
    </xf>
    <xf numFmtId="0" fontId="36" fillId="2" borderId="0" xfId="0" applyNumberFormat="1" applyFont="1" applyBorder="1" applyAlignment="1">
      <alignment horizontal="center"/>
    </xf>
    <xf numFmtId="37" fontId="14" fillId="2" borderId="1" xfId="0" applyNumberFormat="1" applyFont="1" applyBorder="1" applyAlignment="1">
      <alignment horizontal="right"/>
    </xf>
    <xf numFmtId="164" fontId="14" fillId="2" borderId="1" xfId="0" applyNumberFormat="1" applyFont="1" applyBorder="1"/>
    <xf numFmtId="164" fontId="14" fillId="2" borderId="1" xfId="0" applyNumberFormat="1" applyFont="1" applyBorder="1" applyAlignment="1">
      <alignment horizontal="right"/>
    </xf>
    <xf numFmtId="0" fontId="14" fillId="2" borderId="16" xfId="0" applyNumberFormat="1" applyFont="1" applyBorder="1"/>
    <xf numFmtId="0" fontId="19" fillId="2" borderId="0" xfId="0" applyNumberFormat="1" applyFont="1" applyAlignment="1">
      <alignment horizontal="center"/>
    </xf>
    <xf numFmtId="0" fontId="19" fillId="2" borderId="0" xfId="0" applyNumberFormat="1" applyFont="1" applyBorder="1" applyAlignment="1">
      <alignment horizontal="center"/>
    </xf>
    <xf numFmtId="164" fontId="12" fillId="2" borderId="1" xfId="0" applyNumberFormat="1" applyFont="1" applyBorder="1"/>
    <xf numFmtId="37" fontId="12" fillId="2" borderId="0" xfId="0" applyNumberFormat="1" applyFont="1" applyBorder="1" applyAlignment="1">
      <alignment horizontal="right"/>
    </xf>
    <xf numFmtId="16" fontId="14" fillId="2" borderId="0" xfId="0" applyNumberFormat="1" applyFont="1" applyAlignment="1">
      <alignment horizontal="center"/>
    </xf>
    <xf numFmtId="168" fontId="14" fillId="2" borderId="8" xfId="0" applyNumberFormat="1" applyFont="1" applyBorder="1"/>
    <xf numFmtId="37" fontId="14" fillId="2" borderId="7" xfId="0" applyNumberFormat="1" applyFont="1" applyBorder="1"/>
    <xf numFmtId="168" fontId="12" fillId="2" borderId="8" xfId="0" applyNumberFormat="1" applyFont="1" applyBorder="1"/>
    <xf numFmtId="37" fontId="12" fillId="2" borderId="7" xfId="0" applyNumberFormat="1" applyFont="1" applyBorder="1"/>
    <xf numFmtId="0" fontId="6" fillId="5" borderId="0" xfId="0" applyNumberFormat="1" applyFont="1" applyFill="1"/>
    <xf numFmtId="0" fontId="6" fillId="5" borderId="0" xfId="0" applyNumberFormat="1" applyFont="1" applyFill="1" applyBorder="1"/>
    <xf numFmtId="0" fontId="12" fillId="5" borderId="0" xfId="0" applyNumberFormat="1" applyFont="1" applyFill="1" applyBorder="1"/>
    <xf numFmtId="168" fontId="14" fillId="2" borderId="0" xfId="0" applyNumberFormat="1" applyFont="1"/>
    <xf numFmtId="176" fontId="14" fillId="2" borderId="0" xfId="0" applyNumberFormat="1" applyFont="1"/>
    <xf numFmtId="168" fontId="12" fillId="2" borderId="0" xfId="0" applyNumberFormat="1" applyFont="1"/>
    <xf numFmtId="176" fontId="12" fillId="2" borderId="0" xfId="0" applyNumberFormat="1" applyFont="1"/>
    <xf numFmtId="38" fontId="12" fillId="2" borderId="8" xfId="0" applyNumberFormat="1" applyFont="1" applyBorder="1"/>
    <xf numFmtId="0" fontId="37" fillId="0" borderId="8" xfId="3" quotePrefix="1" applyFont="1" applyBorder="1"/>
    <xf numFmtId="0" fontId="37" fillId="0" borderId="8" xfId="3" quotePrefix="1" applyBorder="1"/>
    <xf numFmtId="0" fontId="37" fillId="0" borderId="8" xfId="4" quotePrefix="1" applyNumberFormat="1" applyBorder="1" applyAlignment="1">
      <alignment horizontal="center"/>
    </xf>
    <xf numFmtId="0" fontId="37" fillId="0" borderId="8" xfId="4" applyNumberFormat="1" applyFont="1" applyBorder="1" applyAlignment="1">
      <alignment horizontal="center"/>
    </xf>
    <xf numFmtId="6" fontId="38" fillId="0" borderId="8" xfId="4" applyNumberFormat="1" applyFont="1" applyBorder="1" applyAlignment="1">
      <alignment horizontal="right"/>
    </xf>
    <xf numFmtId="6" fontId="37" fillId="0" borderId="8" xfId="4" applyNumberFormat="1" applyFont="1" applyFill="1" applyBorder="1"/>
    <xf numFmtId="174" fontId="37" fillId="0" borderId="8" xfId="3" quotePrefix="1" applyNumberFormat="1" applyFont="1" applyBorder="1"/>
    <xf numFmtId="174" fontId="37" fillId="0" borderId="8" xfId="3" applyNumberFormat="1" applyFont="1" applyBorder="1"/>
    <xf numFmtId="173" fontId="0" fillId="2" borderId="8" xfId="0" applyNumberFormat="1" applyBorder="1" applyAlignment="1" applyProtection="1">
      <alignment horizontal="center"/>
      <protection locked="0"/>
    </xf>
    <xf numFmtId="175" fontId="0" fillId="2" borderId="0" xfId="0" applyNumberFormat="1" applyBorder="1"/>
    <xf numFmtId="0" fontId="12" fillId="2" borderId="0" xfId="0" applyNumberFormat="1" applyFont="1" applyAlignment="1">
      <alignment horizontal="left"/>
    </xf>
    <xf numFmtId="37" fontId="0" fillId="2" borderId="0" xfId="0" applyNumberFormat="1" applyBorder="1" applyProtection="1"/>
    <xf numFmtId="0" fontId="14" fillId="2" borderId="9" xfId="0" applyNumberFormat="1" applyFont="1" applyBorder="1" applyAlignment="1">
      <alignment horizontal="right"/>
    </xf>
    <xf numFmtId="37" fontId="14" fillId="2" borderId="11" xfId="0" applyNumberFormat="1" applyFont="1" applyBorder="1" applyAlignment="1">
      <alignment horizontal="right"/>
    </xf>
    <xf numFmtId="0" fontId="12" fillId="2" borderId="9" xfId="0" applyNumberFormat="1" applyFont="1" applyBorder="1" applyAlignment="1">
      <alignment horizontal="right"/>
    </xf>
    <xf numFmtId="37" fontId="12" fillId="2" borderId="11" xfId="0" applyNumberFormat="1" applyFont="1" applyBorder="1" applyAlignment="1">
      <alignment horizontal="right"/>
    </xf>
    <xf numFmtId="0" fontId="9" fillId="5" borderId="0" xfId="0" applyNumberFormat="1" applyFont="1" applyFill="1"/>
    <xf numFmtId="0" fontId="13" fillId="2" borderId="53" xfId="0" applyNumberFormat="1" applyFont="1" applyBorder="1"/>
    <xf numFmtId="0" fontId="14" fillId="2" borderId="15" xfId="0" applyNumberFormat="1" applyFont="1" applyBorder="1"/>
    <xf numFmtId="38" fontId="14" fillId="2" borderId="17" xfId="0" applyNumberFormat="1" applyFont="1" applyBorder="1"/>
    <xf numFmtId="38" fontId="14" fillId="2" borderId="21" xfId="0" applyNumberFormat="1" applyFont="1" applyBorder="1"/>
    <xf numFmtId="0" fontId="14" fillId="2" borderId="20" xfId="0" applyNumberFormat="1" applyFont="1" applyBorder="1"/>
    <xf numFmtId="0" fontId="14" fillId="2" borderId="12" xfId="0" applyNumberFormat="1" applyFont="1" applyBorder="1"/>
    <xf numFmtId="38" fontId="12" fillId="2" borderId="50" xfId="0" applyNumberFormat="1" applyFont="1" applyBorder="1"/>
    <xf numFmtId="38" fontId="12" fillId="2" borderId="52" xfId="0" applyNumberFormat="1" applyFont="1" applyBorder="1"/>
    <xf numFmtId="38" fontId="14" fillId="2" borderId="8" xfId="0" applyNumberFormat="1" applyFont="1" applyBorder="1"/>
    <xf numFmtId="37" fontId="14" fillId="2" borderId="1" xfId="0" applyNumberFormat="1" applyFont="1" applyBorder="1" applyAlignment="1">
      <alignment horizontal="center"/>
    </xf>
    <xf numFmtId="38" fontId="14" fillId="2" borderId="1" xfId="0" applyNumberFormat="1" applyFont="1" applyBorder="1"/>
    <xf numFmtId="37" fontId="12" fillId="2" borderId="1" xfId="0" applyNumberFormat="1" applyFont="1" applyBorder="1" applyAlignment="1">
      <alignment horizontal="center"/>
    </xf>
    <xf numFmtId="38" fontId="12" fillId="2" borderId="1" xfId="0" applyNumberFormat="1" applyFont="1" applyBorder="1"/>
    <xf numFmtId="38" fontId="12" fillId="2" borderId="0" xfId="0" applyNumberFormat="1" applyFont="1"/>
    <xf numFmtId="38" fontId="12" fillId="2" borderId="7" xfId="0" applyNumberFormat="1" applyFont="1" applyBorder="1"/>
    <xf numFmtId="177" fontId="14" fillId="2" borderId="1" xfId="0" applyNumberFormat="1" applyFont="1" applyBorder="1"/>
    <xf numFmtId="40" fontId="14" fillId="2" borderId="1" xfId="0" applyNumberFormat="1" applyFont="1" applyBorder="1"/>
    <xf numFmtId="177" fontId="12" fillId="2" borderId="1" xfId="0" applyNumberFormat="1" applyFont="1" applyBorder="1"/>
    <xf numFmtId="40" fontId="12" fillId="2" borderId="1" xfId="0" applyNumberFormat="1" applyFont="1" applyBorder="1"/>
    <xf numFmtId="37" fontId="14" fillId="2" borderId="13" xfId="0" applyNumberFormat="1" applyFont="1" applyBorder="1" applyAlignment="1">
      <alignment horizontal="right"/>
    </xf>
    <xf numFmtId="0" fontId="14" fillId="2" borderId="15" xfId="0" quotePrefix="1" applyNumberFormat="1" applyFont="1" applyBorder="1"/>
    <xf numFmtId="0" fontId="14" fillId="2" borderId="17" xfId="0" applyNumberFormat="1" applyFont="1" applyBorder="1"/>
    <xf numFmtId="0" fontId="14" fillId="2" borderId="19" xfId="0" applyNumberFormat="1" applyFont="1" applyBorder="1"/>
    <xf numFmtId="38" fontId="14" fillId="2" borderId="19" xfId="0" applyNumberFormat="1" applyFont="1" applyBorder="1"/>
    <xf numFmtId="37" fontId="14" fillId="2" borderId="19" xfId="0" applyNumberFormat="1" applyFont="1" applyBorder="1"/>
    <xf numFmtId="0" fontId="14" fillId="2" borderId="18" xfId="0" quotePrefix="1" applyNumberFormat="1" applyFont="1" applyBorder="1"/>
    <xf numFmtId="0" fontId="14" fillId="2" borderId="20" xfId="0" quotePrefix="1" applyNumberFormat="1" applyFont="1" applyBorder="1"/>
    <xf numFmtId="0" fontId="14" fillId="2" borderId="0" xfId="0" quotePrefix="1" applyNumberFormat="1" applyFont="1" applyBorder="1"/>
    <xf numFmtId="0" fontId="12" fillId="2" borderId="15" xfId="0" quotePrefix="1" applyNumberFormat="1" applyFont="1" applyBorder="1"/>
    <xf numFmtId="37" fontId="12" fillId="2" borderId="19" xfId="0" applyNumberFormat="1" applyFont="1" applyBorder="1"/>
    <xf numFmtId="0" fontId="12" fillId="2" borderId="18" xfId="0" quotePrefix="1" applyNumberFormat="1" applyFont="1" applyBorder="1"/>
    <xf numFmtId="0" fontId="12" fillId="2" borderId="20" xfId="0" quotePrefix="1" applyNumberFormat="1" applyFont="1" applyBorder="1"/>
    <xf numFmtId="0" fontId="12" fillId="2" borderId="0" xfId="0" quotePrefix="1" applyNumberFormat="1" applyFont="1" applyBorder="1"/>
    <xf numFmtId="37" fontId="12" fillId="2" borderId="13" xfId="0" applyNumberFormat="1" applyFont="1" applyBorder="1" applyAlignment="1">
      <alignment horizontal="right"/>
    </xf>
    <xf numFmtId="37" fontId="14" fillId="2" borderId="8" xfId="0" applyNumberFormat="1" applyFont="1" applyBorder="1" applyAlignment="1">
      <alignment horizontal="right"/>
    </xf>
    <xf numFmtId="38" fontId="12" fillId="2" borderId="12" xfId="0" applyNumberFormat="1" applyFont="1" applyBorder="1"/>
    <xf numFmtId="38" fontId="12" fillId="2" borderId="8" xfId="0" applyNumberFormat="1" applyFont="1" applyBorder="1" applyAlignment="1">
      <alignment horizontal="right"/>
    </xf>
    <xf numFmtId="0" fontId="39" fillId="2" borderId="10" xfId="0" applyNumberFormat="1" applyFont="1" applyBorder="1"/>
    <xf numFmtId="0" fontId="14" fillId="2" borderId="0" xfId="0" applyNumberFormat="1" applyFont="1" applyBorder="1" applyAlignment="1">
      <alignment horizontal="center"/>
    </xf>
    <xf numFmtId="0" fontId="12" fillId="5" borderId="0" xfId="0" quotePrefix="1" applyNumberFormat="1" applyFont="1" applyFill="1"/>
    <xf numFmtId="49" fontId="0" fillId="2" borderId="0" xfId="0" applyNumberFormat="1" applyAlignment="1">
      <alignment horizontal="center"/>
    </xf>
    <xf numFmtId="49" fontId="0" fillId="2" borderId="0" xfId="0" applyNumberFormat="1"/>
    <xf numFmtId="38" fontId="0" fillId="2" borderId="8" xfId="0" applyNumberFormat="1" applyBorder="1" applyProtection="1">
      <protection locked="0"/>
    </xf>
    <xf numFmtId="178" fontId="0" fillId="2" borderId="8" xfId="0" applyNumberFormat="1" applyBorder="1" applyProtection="1">
      <protection locked="0"/>
    </xf>
    <xf numFmtId="0" fontId="9" fillId="2" borderId="0" xfId="0" applyNumberFormat="1" applyFont="1" applyBorder="1"/>
    <xf numFmtId="168" fontId="0" fillId="2" borderId="2" xfId="0" applyNumberFormat="1" applyBorder="1"/>
    <xf numFmtId="169" fontId="0" fillId="2" borderId="2" xfId="0" applyNumberFormat="1" applyBorder="1"/>
    <xf numFmtId="178" fontId="0" fillId="2" borderId="8" xfId="0" applyNumberFormat="1" applyBorder="1"/>
    <xf numFmtId="37" fontId="0" fillId="2" borderId="8" xfId="0" quotePrefix="1" applyNumberFormat="1" applyBorder="1"/>
    <xf numFmtId="37" fontId="6" fillId="2" borderId="8" xfId="0" applyNumberFormat="1" applyFont="1" applyBorder="1"/>
    <xf numFmtId="0" fontId="0" fillId="2" borderId="15" xfId="0" applyNumberFormat="1" applyBorder="1"/>
    <xf numFmtId="0" fontId="41" fillId="2" borderId="8" xfId="0" applyNumberFormat="1" applyFont="1" applyBorder="1" applyAlignment="1">
      <alignment horizontal="center"/>
    </xf>
    <xf numFmtId="0" fontId="41" fillId="2" borderId="0" xfId="0" applyNumberFormat="1" applyFont="1"/>
    <xf numFmtId="177" fontId="0" fillId="2" borderId="0" xfId="0" applyNumberFormat="1"/>
    <xf numFmtId="168" fontId="0" fillId="2" borderId="0" xfId="0" applyNumberFormat="1" applyBorder="1"/>
    <xf numFmtId="40" fontId="0" fillId="2" borderId="0" xfId="0" applyNumberFormat="1" applyBorder="1"/>
    <xf numFmtId="37" fontId="0" fillId="2" borderId="0" xfId="0" quotePrefix="1" applyNumberFormat="1" applyBorder="1"/>
    <xf numFmtId="0" fontId="0" fillId="7" borderId="1" xfId="0" applyNumberFormat="1" applyFill="1" applyBorder="1" applyAlignment="1">
      <alignment horizontal="center"/>
    </xf>
    <xf numFmtId="37" fontId="0" fillId="7" borderId="1" xfId="0" applyNumberFormat="1" applyFill="1" applyBorder="1"/>
    <xf numFmtId="0" fontId="0" fillId="7" borderId="1" xfId="0" applyNumberFormat="1" applyFill="1" applyBorder="1"/>
    <xf numFmtId="169" fontId="0" fillId="0" borderId="1" xfId="0" applyNumberFormat="1" applyFill="1" applyBorder="1"/>
    <xf numFmtId="182" fontId="0" fillId="2" borderId="0" xfId="0" applyNumberFormat="1"/>
    <xf numFmtId="182" fontId="0" fillId="2" borderId="8" xfId="0" applyNumberFormat="1" applyBorder="1"/>
    <xf numFmtId="0" fontId="12" fillId="2" borderId="0" xfId="0" applyNumberFormat="1" applyFont="1" applyBorder="1" applyAlignment="1">
      <alignment horizontal="center"/>
    </xf>
    <xf numFmtId="0" fontId="14" fillId="8" borderId="1" xfId="0" applyNumberFormat="1" applyFont="1" applyFill="1" applyBorder="1"/>
    <xf numFmtId="0" fontId="12" fillId="2" borderId="0" xfId="0" applyNumberFormat="1" applyFont="1" applyBorder="1" applyAlignment="1">
      <alignment horizontal="left"/>
    </xf>
    <xf numFmtId="0" fontId="0" fillId="2" borderId="0" xfId="0" applyNumberFormat="1" applyBorder="1" applyProtection="1">
      <protection hidden="1"/>
    </xf>
    <xf numFmtId="169" fontId="0" fillId="2" borderId="0" xfId="0" applyNumberFormat="1" applyBorder="1" applyProtection="1">
      <protection hidden="1"/>
    </xf>
    <xf numFmtId="0" fontId="0" fillId="2" borderId="0" xfId="0" applyNumberFormat="1" applyBorder="1" applyAlignment="1" applyProtection="1">
      <alignment horizontal="right"/>
      <protection hidden="1"/>
    </xf>
    <xf numFmtId="37" fontId="6" fillId="2" borderId="11" xfId="0" applyNumberFormat="1" applyFont="1" applyBorder="1"/>
    <xf numFmtId="38" fontId="12" fillId="9" borderId="1" xfId="0" applyNumberFormat="1" applyFont="1" applyFill="1" applyBorder="1"/>
    <xf numFmtId="40" fontId="42" fillId="2" borderId="0" xfId="0" applyNumberFormat="1" applyFont="1"/>
    <xf numFmtId="40" fontId="0" fillId="2" borderId="0" xfId="0" applyNumberFormat="1"/>
    <xf numFmtId="40" fontId="0" fillId="10" borderId="8" xfId="0" applyNumberFormat="1" applyFill="1" applyBorder="1" applyProtection="1">
      <protection locked="0"/>
    </xf>
    <xf numFmtId="40" fontId="43" fillId="2" borderId="0" xfId="0" applyNumberFormat="1" applyFont="1"/>
    <xf numFmtId="40" fontId="0" fillId="2" borderId="8" xfId="0" applyNumberFormat="1" applyBorder="1" applyAlignment="1">
      <alignment horizontal="center" wrapText="1"/>
    </xf>
    <xf numFmtId="40" fontId="0" fillId="2" borderId="8" xfId="0" quotePrefix="1" applyNumberFormat="1" applyBorder="1" applyAlignment="1">
      <alignment horizontal="center" wrapText="1"/>
    </xf>
    <xf numFmtId="0" fontId="43" fillId="2" borderId="8" xfId="0" applyFont="1" applyBorder="1" applyAlignment="1">
      <alignment horizontal="center" wrapText="1"/>
    </xf>
    <xf numFmtId="178" fontId="6" fillId="2" borderId="8" xfId="0" applyNumberFormat="1" applyFont="1" applyBorder="1"/>
    <xf numFmtId="0" fontId="6" fillId="2" borderId="0" xfId="0" applyNumberFormat="1" applyFont="1" applyAlignment="1">
      <alignment horizontal="center" wrapText="1"/>
    </xf>
    <xf numFmtId="178" fontId="6" fillId="0" borderId="8" xfId="0" applyNumberFormat="1" applyFont="1" applyFill="1" applyBorder="1"/>
    <xf numFmtId="178" fontId="6" fillId="0" borderId="8" xfId="0" applyNumberFormat="1" applyFont="1" applyFill="1" applyBorder="1" applyProtection="1">
      <protection locked="0"/>
    </xf>
    <xf numFmtId="0" fontId="6" fillId="2" borderId="16" xfId="0" applyNumberFormat="1" applyFont="1" applyBorder="1"/>
    <xf numFmtId="0" fontId="44" fillId="0" borderId="8" xfId="0" applyNumberFormat="1" applyFont="1" applyFill="1" applyBorder="1" applyAlignment="1">
      <alignment horizontal="center"/>
    </xf>
    <xf numFmtId="0" fontId="44" fillId="0" borderId="0" xfId="0" applyNumberFormat="1" applyFont="1" applyFill="1"/>
    <xf numFmtId="0" fontId="12" fillId="0" borderId="0" xfId="0" applyNumberFormat="1" applyFont="1" applyFill="1"/>
    <xf numFmtId="0" fontId="44" fillId="4" borderId="0" xfId="0" applyNumberFormat="1" applyFont="1" applyFill="1"/>
    <xf numFmtId="0" fontId="44" fillId="4" borderId="0" xfId="0" applyNumberFormat="1" applyFont="1" applyFill="1" applyBorder="1"/>
    <xf numFmtId="0" fontId="0" fillId="4" borderId="0" xfId="0" applyNumberFormat="1" applyFill="1"/>
    <xf numFmtId="0" fontId="43" fillId="2" borderId="0" xfId="0" applyFont="1"/>
    <xf numFmtId="38" fontId="43" fillId="2" borderId="0" xfId="0" applyNumberFormat="1" applyFont="1"/>
    <xf numFmtId="38" fontId="43" fillId="2" borderId="12" xfId="0" applyNumberFormat="1" applyFont="1" applyBorder="1"/>
    <xf numFmtId="38" fontId="43" fillId="2" borderId="0" xfId="0" applyNumberFormat="1" applyFont="1" applyBorder="1"/>
    <xf numFmtId="0" fontId="43" fillId="5" borderId="0" xfId="0" applyFont="1" applyFill="1"/>
    <xf numFmtId="0" fontId="43" fillId="2" borderId="0" xfId="0" quotePrefix="1" applyFont="1" applyAlignment="1">
      <alignment horizontal="center"/>
    </xf>
    <xf numFmtId="0" fontId="43" fillId="2" borderId="0" xfId="0" applyFont="1" applyAlignment="1">
      <alignment horizontal="center"/>
    </xf>
    <xf numFmtId="0" fontId="43" fillId="2" borderId="12" xfId="0" applyFont="1" applyBorder="1"/>
    <xf numFmtId="0" fontId="43" fillId="2" borderId="0" xfId="0" quotePrefix="1" applyFont="1"/>
    <xf numFmtId="38" fontId="43" fillId="2" borderId="7" xfId="0" applyNumberFormat="1" applyFont="1" applyBorder="1"/>
    <xf numFmtId="0" fontId="45" fillId="2" borderId="0" xfId="0" applyFont="1"/>
    <xf numFmtId="38" fontId="45" fillId="2" borderId="0" xfId="0" applyNumberFormat="1" applyFont="1"/>
    <xf numFmtId="38" fontId="45" fillId="2" borderId="12" xfId="0" applyNumberFormat="1" applyFont="1" applyBorder="1"/>
    <xf numFmtId="38" fontId="45" fillId="2" borderId="7" xfId="0" applyNumberFormat="1" applyFont="1" applyBorder="1"/>
    <xf numFmtId="0" fontId="6" fillId="2" borderId="12" xfId="0" applyFont="1" applyBorder="1" applyAlignment="1">
      <alignment horizontal="center"/>
    </xf>
    <xf numFmtId="0" fontId="43" fillId="2" borderId="12" xfId="0" quotePrefix="1" applyFont="1" applyBorder="1" applyAlignment="1">
      <alignment horizontal="center"/>
    </xf>
    <xf numFmtId="0" fontId="43" fillId="2" borderId="12" xfId="0" applyFont="1" applyBorder="1" applyAlignment="1">
      <alignment horizontal="center"/>
    </xf>
    <xf numFmtId="0" fontId="45" fillId="2" borderId="12" xfId="0" applyFont="1" applyBorder="1" applyAlignment="1">
      <alignment horizontal="center"/>
    </xf>
    <xf numFmtId="0" fontId="22" fillId="2" borderId="0" xfId="0" applyFont="1"/>
    <xf numFmtId="0" fontId="22" fillId="2" borderId="0" xfId="0" applyNumberFormat="1" applyFont="1"/>
    <xf numFmtId="37" fontId="9" fillId="2" borderId="0" xfId="0" quotePrefix="1" applyNumberFormat="1" applyFont="1" applyBorder="1"/>
    <xf numFmtId="165" fontId="12" fillId="2" borderId="0" xfId="0" applyNumberFormat="1" applyFont="1" applyProtection="1">
      <protection locked="0"/>
    </xf>
    <xf numFmtId="0" fontId="46" fillId="2" borderId="8" xfId="0" applyNumberFormat="1" applyFont="1" applyBorder="1" applyAlignment="1">
      <alignment horizontal="center"/>
    </xf>
    <xf numFmtId="0" fontId="46" fillId="2" borderId="0" xfId="0" applyNumberFormat="1" applyFont="1" applyBorder="1"/>
    <xf numFmtId="0" fontId="46" fillId="2" borderId="0" xfId="0" applyNumberFormat="1" applyFont="1"/>
    <xf numFmtId="0" fontId="39" fillId="2" borderId="8" xfId="0" applyNumberFormat="1" applyFont="1" applyBorder="1" applyAlignment="1">
      <alignment horizontal="center"/>
    </xf>
    <xf numFmtId="0" fontId="39" fillId="2" borderId="0" xfId="0" applyNumberFormat="1" applyFont="1"/>
    <xf numFmtId="0" fontId="47" fillId="2" borderId="8" xfId="0" applyNumberFormat="1" applyFont="1" applyBorder="1" applyAlignment="1">
      <alignment horizontal="center"/>
    </xf>
    <xf numFmtId="0" fontId="47" fillId="2" borderId="0" xfId="0" applyNumberFormat="1" applyFont="1"/>
    <xf numFmtId="0" fontId="47" fillId="2" borderId="0" xfId="0" applyNumberFormat="1" applyFont="1" applyBorder="1"/>
    <xf numFmtId="0" fontId="47" fillId="2" borderId="0" xfId="0" quotePrefix="1" applyNumberFormat="1" applyFont="1"/>
    <xf numFmtId="0" fontId="0" fillId="2" borderId="54" xfId="0" applyNumberFormat="1" applyBorder="1"/>
    <xf numFmtId="0" fontId="2" fillId="2" borderId="55" xfId="0" applyNumberFormat="1" applyFont="1" applyBorder="1"/>
    <xf numFmtId="0" fontId="0" fillId="2" borderId="55" xfId="0" applyNumberFormat="1" applyBorder="1"/>
    <xf numFmtId="37" fontId="2" fillId="2" borderId="55" xfId="0" applyNumberFormat="1" applyFont="1" applyBorder="1" applyAlignment="1">
      <alignment horizontal="right"/>
    </xf>
    <xf numFmtId="0" fontId="0" fillId="2" borderId="56" xfId="0" applyNumberFormat="1" applyBorder="1"/>
    <xf numFmtId="0" fontId="2" fillId="2" borderId="57" xfId="0" applyNumberFormat="1" applyFont="1" applyBorder="1"/>
    <xf numFmtId="0" fontId="0" fillId="2" borderId="57" xfId="0" applyNumberFormat="1" applyBorder="1"/>
    <xf numFmtId="0" fontId="0" fillId="2" borderId="58" xfId="0" applyNumberFormat="1" applyBorder="1"/>
    <xf numFmtId="0" fontId="0" fillId="2" borderId="59" xfId="0" applyNumberFormat="1" applyBorder="1"/>
    <xf numFmtId="0" fontId="12" fillId="2" borderId="60" xfId="0" applyNumberFormat="1" applyFont="1" applyBorder="1"/>
    <xf numFmtId="0" fontId="12" fillId="2" borderId="61" xfId="0" applyNumberFormat="1" applyFont="1" applyBorder="1"/>
    <xf numFmtId="37" fontId="12" fillId="2" borderId="62" xfId="0" applyNumberFormat="1" applyFont="1" applyBorder="1"/>
    <xf numFmtId="0" fontId="12" fillId="2" borderId="63" xfId="0" applyNumberFormat="1" applyFont="1" applyBorder="1"/>
    <xf numFmtId="37" fontId="12" fillId="2" borderId="64" xfId="0" applyNumberFormat="1" applyFont="1" applyBorder="1"/>
    <xf numFmtId="37" fontId="12" fillId="2" borderId="64" xfId="0" applyNumberFormat="1" applyFont="1" applyBorder="1" applyAlignment="1">
      <alignment horizontal="right"/>
    </xf>
    <xf numFmtId="0" fontId="12" fillId="2" borderId="65" xfId="0" applyNumberFormat="1" applyFont="1" applyBorder="1"/>
    <xf numFmtId="0" fontId="12" fillId="2" borderId="66" xfId="0" applyNumberFormat="1" applyFont="1" applyBorder="1"/>
    <xf numFmtId="37" fontId="12" fillId="2" borderId="67" xfId="0" applyNumberFormat="1" applyFont="1" applyBorder="1"/>
    <xf numFmtId="37" fontId="12" fillId="2" borderId="68" xfId="0" applyNumberFormat="1" applyFont="1" applyBorder="1"/>
    <xf numFmtId="37" fontId="12" fillId="2" borderId="69" xfId="0" applyNumberFormat="1" applyFont="1" applyBorder="1"/>
    <xf numFmtId="182" fontId="0" fillId="2" borderId="52" xfId="0" applyNumberFormat="1" applyBorder="1"/>
    <xf numFmtId="0" fontId="18" fillId="2" borderId="8" xfId="0" applyNumberFormat="1" applyFont="1" applyBorder="1" applyAlignment="1">
      <alignment horizontal="center"/>
    </xf>
    <xf numFmtId="0" fontId="47" fillId="2" borderId="0" xfId="0" applyNumberFormat="1" applyFont="1" applyAlignment="1">
      <alignment horizontal="center"/>
    </xf>
    <xf numFmtId="37" fontId="47" fillId="2" borderId="0" xfId="0" applyNumberFormat="1" applyFont="1" applyBorder="1"/>
    <xf numFmtId="37" fontId="47" fillId="2" borderId="12" xfId="0" applyNumberFormat="1" applyFont="1" applyBorder="1"/>
    <xf numFmtId="0" fontId="47" fillId="0" borderId="0" xfId="0" applyNumberFormat="1" applyFont="1" applyFill="1" applyBorder="1"/>
    <xf numFmtId="37" fontId="47" fillId="2" borderId="8" xfId="0" applyNumberFormat="1" applyFont="1" applyBorder="1"/>
    <xf numFmtId="38" fontId="47" fillId="2" borderId="8" xfId="0" applyNumberFormat="1" applyFont="1" applyBorder="1" applyAlignment="1">
      <alignment horizontal="right"/>
    </xf>
    <xf numFmtId="37" fontId="47" fillId="2" borderId="8" xfId="0" applyNumberFormat="1" applyFont="1" applyBorder="1" applyAlignment="1">
      <alignment horizontal="right"/>
    </xf>
    <xf numFmtId="37" fontId="47" fillId="2" borderId="0" xfId="0" quotePrefix="1" applyNumberFormat="1" applyFont="1" applyBorder="1" applyAlignment="1">
      <alignment horizontal="center"/>
    </xf>
    <xf numFmtId="37" fontId="47" fillId="2" borderId="12" xfId="0" quotePrefix="1" applyNumberFormat="1" applyFont="1" applyBorder="1" applyAlignment="1">
      <alignment horizontal="center"/>
    </xf>
    <xf numFmtId="0" fontId="6" fillId="2" borderId="12" xfId="0" applyNumberFormat="1" applyFont="1" applyBorder="1"/>
    <xf numFmtId="0" fontId="6" fillId="2" borderId="0" xfId="0" applyNumberFormat="1" applyFont="1" applyAlignment="1">
      <alignment horizontal="center"/>
    </xf>
    <xf numFmtId="37" fontId="6" fillId="2" borderId="0" xfId="0" applyNumberFormat="1" applyFont="1" applyAlignment="1">
      <alignment horizontal="right"/>
    </xf>
    <xf numFmtId="37" fontId="47" fillId="2" borderId="0" xfId="0" applyNumberFormat="1" applyFont="1"/>
    <xf numFmtId="38" fontId="47" fillId="2" borderId="0" xfId="0" applyNumberFormat="1" applyFont="1"/>
    <xf numFmtId="38" fontId="47" fillId="2" borderId="12" xfId="0" applyNumberFormat="1" applyFont="1" applyBorder="1"/>
    <xf numFmtId="38" fontId="47" fillId="2" borderId="7" xfId="0" applyNumberFormat="1" applyFont="1" applyBorder="1"/>
    <xf numFmtId="164" fontId="47" fillId="2" borderId="0" xfId="0" applyNumberFormat="1" applyFont="1"/>
    <xf numFmtId="171" fontId="47" fillId="2" borderId="0" xfId="0" applyNumberFormat="1" applyFont="1"/>
    <xf numFmtId="0" fontId="47" fillId="2" borderId="0" xfId="0" quotePrefix="1" applyNumberFormat="1" applyFont="1" applyAlignment="1">
      <alignment horizontal="center"/>
    </xf>
    <xf numFmtId="37" fontId="47" fillId="2" borderId="0" xfId="0" applyNumberFormat="1" applyFont="1" applyBorder="1" applyAlignment="1">
      <alignment horizontal="center"/>
    </xf>
    <xf numFmtId="37" fontId="47" fillId="2" borderId="12" xfId="0" applyNumberFormat="1" applyFont="1" applyBorder="1" applyAlignment="1">
      <alignment horizontal="center"/>
    </xf>
    <xf numFmtId="0" fontId="18" fillId="2" borderId="0" xfId="0" applyNumberFormat="1" applyFont="1" applyBorder="1"/>
    <xf numFmtId="0" fontId="18" fillId="2" borderId="0" xfId="0" applyNumberFormat="1" applyFont="1" applyAlignment="1">
      <alignment horizontal="left"/>
    </xf>
    <xf numFmtId="37" fontId="2" fillId="2" borderId="70" xfId="0" applyNumberFormat="1" applyFont="1" applyBorder="1" applyAlignment="1">
      <alignment horizontal="right"/>
    </xf>
    <xf numFmtId="0" fontId="41" fillId="4" borderId="8" xfId="0" applyNumberFormat="1" applyFont="1" applyFill="1" applyBorder="1" applyAlignment="1">
      <alignment horizontal="center"/>
    </xf>
    <xf numFmtId="0" fontId="41" fillId="4" borderId="0" xfId="0" applyNumberFormat="1" applyFont="1" applyFill="1"/>
    <xf numFmtId="0" fontId="41" fillId="4" borderId="0" xfId="0" quotePrefix="1" applyNumberFormat="1" applyFont="1" applyFill="1"/>
    <xf numFmtId="0" fontId="12" fillId="4" borderId="0" xfId="0" applyNumberFormat="1" applyFont="1" applyFill="1" applyBorder="1"/>
    <xf numFmtId="0" fontId="49" fillId="4" borderId="8" xfId="0" applyNumberFormat="1" applyFont="1" applyFill="1" applyBorder="1" applyAlignment="1">
      <alignment horizontal="center"/>
    </xf>
    <xf numFmtId="0" fontId="14" fillId="2" borderId="18" xfId="0" applyNumberFormat="1" applyFont="1" applyBorder="1" applyAlignment="1">
      <alignment horizontal="left"/>
    </xf>
    <xf numFmtId="38" fontId="0" fillId="2" borderId="19" xfId="0" applyNumberFormat="1" applyBorder="1"/>
    <xf numFmtId="37" fontId="14" fillId="2" borderId="21" xfId="0" applyNumberFormat="1" applyFont="1" applyBorder="1"/>
    <xf numFmtId="37" fontId="0" fillId="2" borderId="21" xfId="0" quotePrefix="1" applyNumberFormat="1" applyBorder="1"/>
    <xf numFmtId="37" fontId="0" fillId="2" borderId="17" xfId="0" quotePrefix="1" applyNumberFormat="1" applyBorder="1"/>
    <xf numFmtId="37" fontId="0" fillId="2" borderId="19" xfId="0" quotePrefix="1" applyNumberFormat="1" applyBorder="1"/>
    <xf numFmtId="177" fontId="0" fillId="2" borderId="8" xfId="0" quotePrefix="1" applyNumberFormat="1" applyBorder="1"/>
    <xf numFmtId="178" fontId="0" fillId="2" borderId="8" xfId="0" quotePrefix="1" applyNumberFormat="1" applyBorder="1"/>
    <xf numFmtId="0" fontId="12" fillId="2" borderId="10" xfId="0" applyNumberFormat="1" applyFont="1" applyBorder="1"/>
    <xf numFmtId="0" fontId="12" fillId="2" borderId="11" xfId="0" applyNumberFormat="1" applyFont="1" applyBorder="1"/>
    <xf numFmtId="37" fontId="12" fillId="2" borderId="8" xfId="0" quotePrefix="1" applyNumberFormat="1" applyFont="1" applyBorder="1"/>
    <xf numFmtId="37" fontId="12" fillId="2" borderId="17" xfId="0" quotePrefix="1" applyNumberFormat="1" applyFont="1" applyBorder="1"/>
    <xf numFmtId="37" fontId="12" fillId="2" borderId="19" xfId="0" quotePrefix="1" applyNumberFormat="1" applyFont="1" applyBorder="1"/>
    <xf numFmtId="0" fontId="49" fillId="4" borderId="0" xfId="0" applyNumberFormat="1" applyFont="1" applyFill="1" applyBorder="1" applyAlignment="1"/>
    <xf numFmtId="0" fontId="50" fillId="4" borderId="0" xfId="0" applyNumberFormat="1" applyFont="1" applyFill="1" applyBorder="1" applyAlignment="1"/>
    <xf numFmtId="38" fontId="0" fillId="0" borderId="1" xfId="0" applyNumberFormat="1" applyFill="1" applyBorder="1" applyAlignment="1">
      <alignment horizontal="right"/>
    </xf>
    <xf numFmtId="182" fontId="0" fillId="2" borderId="0" xfId="0" applyNumberFormat="1" applyBorder="1"/>
    <xf numFmtId="38" fontId="0" fillId="2" borderId="52" xfId="0" applyNumberFormat="1" applyBorder="1"/>
    <xf numFmtId="182" fontId="6" fillId="10" borderId="52" xfId="0" applyNumberFormat="1" applyFont="1" applyFill="1" applyBorder="1"/>
    <xf numFmtId="182" fontId="6" fillId="10" borderId="8" xfId="0" applyNumberFormat="1" applyFont="1" applyFill="1" applyBorder="1"/>
    <xf numFmtId="0" fontId="6" fillId="4" borderId="0" xfId="0" applyNumberFormat="1" applyFont="1" applyFill="1"/>
    <xf numFmtId="38" fontId="0" fillId="4" borderId="0" xfId="0" applyNumberFormat="1" applyFill="1" applyBorder="1"/>
    <xf numFmtId="0" fontId="6" fillId="10" borderId="0" xfId="0" applyNumberFormat="1" applyFont="1" applyFill="1" applyAlignment="1">
      <alignment horizontal="center"/>
    </xf>
    <xf numFmtId="164" fontId="0" fillId="10" borderId="1" xfId="0" applyNumberFormat="1" applyFill="1" applyBorder="1" applyProtection="1">
      <protection hidden="1"/>
    </xf>
    <xf numFmtId="0" fontId="0" fillId="10" borderId="1" xfId="0" applyNumberFormat="1" applyFill="1" applyBorder="1" applyProtection="1">
      <protection hidden="1"/>
    </xf>
    <xf numFmtId="37" fontId="0" fillId="10" borderId="1" xfId="0" applyNumberFormat="1" applyFill="1" applyBorder="1" applyProtection="1">
      <protection hidden="1"/>
    </xf>
    <xf numFmtId="37" fontId="0" fillId="10" borderId="1" xfId="0" applyNumberFormat="1" applyFill="1" applyBorder="1"/>
    <xf numFmtId="168" fontId="0" fillId="10" borderId="1" xfId="0" applyNumberFormat="1" applyFill="1" applyBorder="1" applyProtection="1">
      <protection hidden="1"/>
    </xf>
    <xf numFmtId="169" fontId="0" fillId="10" borderId="1" xfId="0" applyNumberFormat="1" applyFill="1" applyBorder="1" applyProtection="1">
      <protection hidden="1"/>
    </xf>
    <xf numFmtId="37" fontId="6" fillId="5" borderId="0" xfId="0" applyNumberFormat="1" applyFont="1" applyFill="1" applyBorder="1" applyAlignment="1" applyProtection="1">
      <alignment horizontal="center"/>
      <protection hidden="1"/>
    </xf>
    <xf numFmtId="164" fontId="0" fillId="5" borderId="1" xfId="0" applyNumberFormat="1" applyFill="1" applyBorder="1" applyProtection="1">
      <protection hidden="1"/>
    </xf>
    <xf numFmtId="37" fontId="0" fillId="5" borderId="1" xfId="0" applyNumberFormat="1" applyFill="1" applyBorder="1"/>
    <xf numFmtId="168" fontId="0" fillId="5" borderId="1" xfId="0" applyNumberFormat="1" applyFill="1" applyBorder="1" applyProtection="1">
      <protection hidden="1"/>
    </xf>
    <xf numFmtId="169" fontId="0" fillId="5" borderId="1" xfId="0" applyNumberFormat="1" applyFill="1" applyBorder="1" applyProtection="1">
      <protection hidden="1"/>
    </xf>
    <xf numFmtId="0" fontId="0" fillId="5" borderId="1" xfId="0" applyNumberFormat="1" applyFill="1" applyBorder="1" applyProtection="1">
      <protection hidden="1"/>
    </xf>
    <xf numFmtId="37" fontId="0" fillId="5" borderId="1" xfId="0" applyNumberFormat="1" applyFill="1" applyBorder="1" applyProtection="1">
      <protection hidden="1"/>
    </xf>
    <xf numFmtId="0" fontId="6" fillId="5" borderId="0" xfId="0" applyNumberFormat="1" applyFont="1" applyFill="1" applyAlignment="1">
      <alignment horizontal="center"/>
    </xf>
    <xf numFmtId="164" fontId="0" fillId="5" borderId="1" xfId="0" applyNumberFormat="1" applyFill="1" applyBorder="1" applyAlignment="1" applyProtection="1">
      <alignment horizontal="right"/>
      <protection hidden="1"/>
    </xf>
    <xf numFmtId="0" fontId="0" fillId="5" borderId="1" xfId="0" applyNumberFormat="1" applyFill="1" applyBorder="1" applyAlignment="1" applyProtection="1">
      <alignment horizontal="right"/>
      <protection hidden="1"/>
    </xf>
    <xf numFmtId="37" fontId="0" fillId="5" borderId="1" xfId="0" applyNumberFormat="1" applyFill="1" applyBorder="1" applyAlignment="1" applyProtection="1">
      <alignment horizontal="right"/>
      <protection hidden="1"/>
    </xf>
    <xf numFmtId="0" fontId="0" fillId="5" borderId="0" xfId="0" applyNumberFormat="1" applyFill="1" applyAlignment="1">
      <alignment horizontal="center"/>
    </xf>
    <xf numFmtId="37" fontId="2" fillId="5" borderId="4" xfId="0" applyNumberFormat="1" applyFont="1" applyFill="1" applyBorder="1"/>
    <xf numFmtId="37" fontId="2" fillId="10" borderId="4" xfId="0" applyNumberFormat="1" applyFont="1" applyFill="1" applyBorder="1"/>
    <xf numFmtId="37" fontId="2" fillId="11" borderId="4" xfId="0" applyNumberFormat="1" applyFont="1" applyFill="1" applyBorder="1"/>
    <xf numFmtId="0" fontId="0" fillId="10" borderId="0" xfId="0" applyNumberFormat="1" applyFill="1"/>
    <xf numFmtId="0" fontId="0" fillId="11" borderId="0" xfId="0" applyNumberFormat="1" applyFill="1"/>
    <xf numFmtId="37" fontId="2" fillId="0" borderId="4" xfId="0" applyNumberFormat="1" applyFont="1" applyFill="1" applyBorder="1" applyAlignment="1" applyProtection="1">
      <alignment horizontal="right"/>
      <protection hidden="1"/>
    </xf>
    <xf numFmtId="0" fontId="21" fillId="2" borderId="0" xfId="2" applyNumberFormat="1" applyFill="1" applyAlignment="1" applyProtection="1"/>
    <xf numFmtId="0" fontId="52" fillId="2" borderId="0" xfId="0" applyNumberFormat="1" applyFont="1"/>
    <xf numFmtId="0" fontId="47" fillId="2" borderId="15" xfId="0" quotePrefix="1" applyNumberFormat="1" applyFont="1" applyBorder="1"/>
    <xf numFmtId="0" fontId="47" fillId="2" borderId="16" xfId="0" applyNumberFormat="1" applyFont="1" applyBorder="1"/>
    <xf numFmtId="0" fontId="47" fillId="2" borderId="17" xfId="0" applyNumberFormat="1" applyFont="1" applyBorder="1"/>
    <xf numFmtId="0" fontId="47" fillId="2" borderId="18" xfId="0" applyNumberFormat="1" applyFont="1" applyBorder="1"/>
    <xf numFmtId="0" fontId="47" fillId="2" borderId="19" xfId="0" applyNumberFormat="1" applyFont="1" applyBorder="1"/>
    <xf numFmtId="38" fontId="47" fillId="2" borderId="19" xfId="0" applyNumberFormat="1" applyFont="1" applyBorder="1"/>
    <xf numFmtId="37" fontId="47" fillId="2" borderId="19" xfId="0" applyNumberFormat="1" applyFont="1" applyBorder="1"/>
    <xf numFmtId="0" fontId="47" fillId="2" borderId="18" xfId="0" quotePrefix="1" applyNumberFormat="1" applyFont="1" applyBorder="1"/>
    <xf numFmtId="0" fontId="47" fillId="2" borderId="20" xfId="0" quotePrefix="1" applyNumberFormat="1" applyFont="1" applyBorder="1"/>
    <xf numFmtId="0" fontId="47" fillId="2" borderId="12" xfId="0" applyNumberFormat="1" applyFont="1" applyBorder="1"/>
    <xf numFmtId="38" fontId="47" fillId="2" borderId="21" xfId="0" applyNumberFormat="1" applyFont="1" applyBorder="1"/>
    <xf numFmtId="0" fontId="47" fillId="2" borderId="0" xfId="0" quotePrefix="1" applyNumberFormat="1" applyFont="1" applyBorder="1"/>
    <xf numFmtId="38" fontId="47" fillId="2" borderId="0" xfId="0" applyNumberFormat="1" applyFont="1" applyBorder="1"/>
    <xf numFmtId="37" fontId="47" fillId="2" borderId="1" xfId="0" applyNumberFormat="1" applyFont="1" applyBorder="1"/>
    <xf numFmtId="0" fontId="13" fillId="2" borderId="0" xfId="0" applyNumberFormat="1" applyFont="1"/>
    <xf numFmtId="37" fontId="47" fillId="2" borderId="13" xfId="0" applyNumberFormat="1" applyFont="1" applyBorder="1" applyAlignment="1">
      <alignment horizontal="right"/>
    </xf>
    <xf numFmtId="0" fontId="53" fillId="2" borderId="16" xfId="0" applyNumberFormat="1" applyFont="1" applyBorder="1"/>
    <xf numFmtId="0" fontId="53" fillId="2" borderId="0" xfId="0" applyNumberFormat="1" applyFont="1" applyBorder="1"/>
    <xf numFmtId="0" fontId="53" fillId="2" borderId="12" xfId="0" applyNumberFormat="1" applyFont="1" applyBorder="1"/>
    <xf numFmtId="0" fontId="47" fillId="2" borderId="9" xfId="0" applyNumberFormat="1" applyFont="1" applyBorder="1" applyAlignment="1">
      <alignment horizontal="right"/>
    </xf>
    <xf numFmtId="37" fontId="47" fillId="2" borderId="11" xfId="0" applyNumberFormat="1" applyFont="1" applyBorder="1" applyAlignment="1">
      <alignment horizontal="right"/>
    </xf>
    <xf numFmtId="0" fontId="13" fillId="2" borderId="16" xfId="0" applyNumberFormat="1" applyFont="1" applyBorder="1"/>
    <xf numFmtId="0" fontId="13" fillId="2" borderId="0" xfId="0" applyNumberFormat="1" applyFont="1" applyBorder="1"/>
    <xf numFmtId="0" fontId="13" fillId="2" borderId="12" xfId="0" applyNumberFormat="1" applyFont="1" applyBorder="1"/>
    <xf numFmtId="16" fontId="0" fillId="2" borderId="0" xfId="0" quotePrefix="1" applyNumberFormat="1" applyAlignment="1"/>
    <xf numFmtId="0" fontId="0" fillId="2" borderId="0" xfId="0" applyNumberFormat="1" applyAlignment="1"/>
    <xf numFmtId="0" fontId="15" fillId="4" borderId="8" xfId="0" applyNumberFormat="1" applyFont="1" applyFill="1" applyBorder="1" applyAlignment="1">
      <alignment horizontal="center"/>
    </xf>
    <xf numFmtId="0" fontId="15" fillId="2" borderId="0" xfId="0" applyNumberFormat="1" applyFont="1"/>
    <xf numFmtId="0" fontId="56" fillId="2" borderId="12" xfId="0" quotePrefix="1" applyNumberFormat="1" applyFont="1" applyBorder="1"/>
    <xf numFmtId="0" fontId="56" fillId="12" borderId="8" xfId="0" applyNumberFormat="1" applyFont="1" applyFill="1" applyBorder="1"/>
    <xf numFmtId="0" fontId="56" fillId="12" borderId="8" xfId="0" quotePrefix="1" applyNumberFormat="1" applyFont="1" applyFill="1" applyBorder="1"/>
    <xf numFmtId="1" fontId="0" fillId="2" borderId="0" xfId="0" applyNumberFormat="1"/>
    <xf numFmtId="0" fontId="11" fillId="13" borderId="33" xfId="0" applyFont="1" applyFill="1" applyBorder="1" applyAlignment="1">
      <alignment horizontal="center"/>
    </xf>
    <xf numFmtId="175" fontId="11" fillId="13" borderId="33" xfId="0" applyNumberFormat="1" applyFont="1" applyFill="1" applyBorder="1" applyAlignment="1">
      <alignment horizontal="center"/>
    </xf>
    <xf numFmtId="49" fontId="0" fillId="2" borderId="0" xfId="0" applyNumberFormat="1" applyAlignment="1">
      <alignment horizontal="right"/>
    </xf>
    <xf numFmtId="0" fontId="11" fillId="13" borderId="0" xfId="0" applyFont="1" applyFill="1" applyAlignment="1">
      <alignment horizontal="center"/>
    </xf>
    <xf numFmtId="0" fontId="57" fillId="12" borderId="0" xfId="0" applyFont="1" applyFill="1" applyAlignment="1">
      <alignment horizontal="center"/>
    </xf>
    <xf numFmtId="175" fontId="57" fillId="12" borderId="0" xfId="0" applyNumberFormat="1" applyFont="1" applyFill="1" applyAlignment="1">
      <alignment horizontal="center"/>
    </xf>
    <xf numFmtId="0" fontId="57" fillId="2" borderId="0" xfId="0" applyFont="1" applyAlignment="1">
      <alignment horizontal="center"/>
    </xf>
    <xf numFmtId="49" fontId="57" fillId="2" borderId="0" xfId="0" applyNumberFormat="1" applyFont="1" applyAlignment="1">
      <alignment horizontal="center"/>
    </xf>
    <xf numFmtId="0" fontId="11" fillId="0" borderId="1" xfId="0" applyFont="1" applyFill="1" applyBorder="1" applyAlignment="1">
      <alignment wrapText="1"/>
    </xf>
    <xf numFmtId="175" fontId="11" fillId="0" borderId="1" xfId="0" applyNumberFormat="1" applyFont="1" applyFill="1" applyBorder="1" applyAlignment="1">
      <alignment horizontal="right" wrapText="1"/>
    </xf>
    <xf numFmtId="0" fontId="0" fillId="2" borderId="1" xfId="0" applyBorder="1"/>
    <xf numFmtId="175" fontId="11" fillId="0" borderId="33" xfId="0" applyNumberFormat="1" applyFont="1" applyFill="1" applyBorder="1" applyAlignment="1">
      <alignment horizontal="right" wrapText="1"/>
    </xf>
    <xf numFmtId="175" fontId="0" fillId="2" borderId="0" xfId="0" applyNumberFormat="1"/>
    <xf numFmtId="0" fontId="57" fillId="14" borderId="0" xfId="0" applyFont="1" applyFill="1"/>
    <xf numFmtId="0" fontId="57" fillId="12" borderId="0" xfId="0" applyFont="1" applyFill="1"/>
    <xf numFmtId="175" fontId="57" fillId="12" borderId="0" xfId="0" applyNumberFormat="1" applyFont="1" applyFill="1"/>
    <xf numFmtId="0" fontId="11" fillId="2" borderId="0" xfId="0" applyFont="1"/>
    <xf numFmtId="183" fontId="11" fillId="2" borderId="0" xfId="0" applyNumberFormat="1" applyFont="1"/>
    <xf numFmtId="0" fontId="11" fillId="2" borderId="0" xfId="0" applyFont="1" applyAlignment="1">
      <alignment wrapText="1"/>
    </xf>
    <xf numFmtId="183" fontId="11" fillId="2" borderId="0" xfId="0" applyNumberFormat="1" applyFont="1" applyAlignment="1">
      <alignment wrapText="1"/>
    </xf>
    <xf numFmtId="49" fontId="11" fillId="2" borderId="0" xfId="0" applyNumberFormat="1" applyFont="1"/>
    <xf numFmtId="3" fontId="11" fillId="2" borderId="0" xfId="0" applyNumberFormat="1" applyFont="1"/>
    <xf numFmtId="0" fontId="0" fillId="2" borderId="0" xfId="0" applyAlignment="1">
      <alignment wrapText="1"/>
    </xf>
    <xf numFmtId="3" fontId="0" fillId="2" borderId="0" xfId="0" applyNumberFormat="1" applyAlignment="1">
      <alignment wrapText="1"/>
    </xf>
    <xf numFmtId="183" fontId="0" fillId="2" borderId="0" xfId="0" applyNumberFormat="1" applyAlignment="1">
      <alignment wrapText="1"/>
    </xf>
    <xf numFmtId="0" fontId="0" fillId="2" borderId="0" xfId="0" applyAlignment="1">
      <alignment horizontal="right" wrapText="1"/>
    </xf>
    <xf numFmtId="0" fontId="0" fillId="2" borderId="0" xfId="0" applyAlignment="1">
      <alignment horizontal="center" wrapText="1"/>
    </xf>
    <xf numFmtId="3" fontId="0" fillId="2" borderId="0" xfId="0" applyNumberFormat="1" applyAlignment="1">
      <alignment horizontal="right" wrapText="1"/>
    </xf>
    <xf numFmtId="183" fontId="0" fillId="2" borderId="0" xfId="0" applyNumberFormat="1" applyAlignment="1">
      <alignment horizontal="right" wrapText="1"/>
    </xf>
    <xf numFmtId="0" fontId="0" fillId="2" borderId="0" xfId="0" applyAlignment="1">
      <alignment horizontal="right"/>
    </xf>
    <xf numFmtId="0" fontId="6" fillId="12" borderId="0" xfId="0" applyFont="1" applyFill="1" applyAlignment="1">
      <alignment wrapText="1"/>
    </xf>
    <xf numFmtId="0" fontId="6" fillId="12" borderId="0" xfId="0" applyFont="1" applyFill="1" applyAlignment="1">
      <alignment horizontal="center" wrapText="1"/>
    </xf>
    <xf numFmtId="3" fontId="6" fillId="12" borderId="0" xfId="0" applyNumberFormat="1" applyFont="1" applyFill="1" applyAlignment="1">
      <alignment wrapText="1"/>
    </xf>
    <xf numFmtId="183" fontId="6" fillId="12" borderId="0" xfId="0" applyNumberFormat="1" applyFont="1" applyFill="1" applyAlignment="1">
      <alignment wrapText="1"/>
    </xf>
    <xf numFmtId="0" fontId="6" fillId="2" borderId="0" xfId="0" applyFont="1"/>
    <xf numFmtId="183" fontId="0" fillId="2" borderId="0" xfId="0" applyNumberFormat="1"/>
    <xf numFmtId="38" fontId="43" fillId="2" borderId="0" xfId="0" applyNumberFormat="1" applyFont="1" applyAlignment="1">
      <alignment horizontal="center"/>
    </xf>
    <xf numFmtId="184" fontId="43" fillId="2" borderId="0" xfId="0" applyNumberFormat="1" applyFont="1"/>
    <xf numFmtId="49" fontId="43" fillId="2" borderId="0" xfId="0" applyNumberFormat="1" applyFont="1"/>
    <xf numFmtId="2" fontId="43" fillId="12" borderId="9" xfId="0" applyNumberFormat="1" applyFont="1" applyFill="1" applyBorder="1" applyAlignment="1">
      <alignment horizontal="center"/>
    </xf>
    <xf numFmtId="0" fontId="43" fillId="12" borderId="10" xfId="0" applyFont="1" applyFill="1" applyBorder="1" applyAlignment="1">
      <alignment horizontal="center"/>
    </xf>
    <xf numFmtId="38" fontId="43" fillId="12" borderId="10" xfId="0" applyNumberFormat="1" applyFont="1" applyFill="1" applyBorder="1" applyAlignment="1">
      <alignment horizontal="center"/>
    </xf>
    <xf numFmtId="0" fontId="43" fillId="4" borderId="0" xfId="0" applyFont="1" applyFill="1" applyAlignment="1">
      <alignment horizontal="center"/>
    </xf>
    <xf numFmtId="184" fontId="43" fillId="4" borderId="0" xfId="0" applyNumberFormat="1" applyFont="1" applyFill="1" applyAlignment="1">
      <alignment horizontal="center"/>
    </xf>
    <xf numFmtId="49" fontId="43" fillId="4" borderId="0" xfId="0" applyNumberFormat="1" applyFont="1" applyFill="1" applyAlignment="1">
      <alignment horizontal="center"/>
    </xf>
    <xf numFmtId="0" fontId="6" fillId="2" borderId="0" xfId="0" applyFont="1" applyAlignment="1">
      <alignment horizontal="right"/>
    </xf>
    <xf numFmtId="0" fontId="0" fillId="2" borderId="0" xfId="0" quotePrefix="1"/>
    <xf numFmtId="0" fontId="6" fillId="2" borderId="0" xfId="0" quotePrefix="1" applyFont="1" applyAlignment="1">
      <alignment horizontal="right"/>
    </xf>
    <xf numFmtId="184" fontId="0" fillId="2" borderId="0" xfId="0" applyNumberFormat="1"/>
    <xf numFmtId="0" fontId="58" fillId="2" borderId="0" xfId="0" applyNumberFormat="1" applyFont="1" applyAlignment="1">
      <alignment horizontal="center"/>
    </xf>
    <xf numFmtId="0" fontId="27" fillId="2" borderId="0" xfId="0" applyNumberFormat="1" applyFont="1"/>
    <xf numFmtId="0" fontId="27" fillId="2" borderId="0" xfId="0" applyNumberFormat="1" applyFont="1" applyAlignment="1">
      <alignment horizontal="left"/>
    </xf>
    <xf numFmtId="0" fontId="59" fillId="2" borderId="0" xfId="0" applyNumberFormat="1" applyFont="1"/>
    <xf numFmtId="0" fontId="60" fillId="2" borderId="0" xfId="0" applyNumberFormat="1" applyFont="1"/>
    <xf numFmtId="0" fontId="0" fillId="15" borderId="0" xfId="0" applyNumberFormat="1" applyFill="1"/>
    <xf numFmtId="0" fontId="27" fillId="15" borderId="0" xfId="0" applyNumberFormat="1" applyFont="1" applyFill="1"/>
    <xf numFmtId="0" fontId="61" fillId="2" borderId="0" xfId="0" applyNumberFormat="1" applyFont="1"/>
    <xf numFmtId="0" fontId="63" fillId="2" borderId="0" xfId="0" applyNumberFormat="1" applyFont="1"/>
    <xf numFmtId="0" fontId="64" fillId="2" borderId="0" xfId="0" applyNumberFormat="1" applyFont="1"/>
    <xf numFmtId="0" fontId="62" fillId="0" borderId="0" xfId="0" applyNumberFormat="1" applyFont="1" applyFill="1"/>
    <xf numFmtId="0" fontId="0" fillId="2" borderId="0" xfId="0" applyNumberFormat="1" applyAlignment="1" applyProtection="1">
      <alignment horizontal="left"/>
    </xf>
    <xf numFmtId="0" fontId="65" fillId="2" borderId="0" xfId="0" applyNumberFormat="1" applyFont="1" applyAlignment="1" applyProtection="1">
      <alignment horizontal="left"/>
    </xf>
    <xf numFmtId="0" fontId="65" fillId="2" borderId="0" xfId="0" applyNumberFormat="1" applyFont="1" applyAlignment="1" applyProtection="1">
      <alignment horizontal="center"/>
    </xf>
    <xf numFmtId="0" fontId="66" fillId="2" borderId="0" xfId="0" applyNumberFormat="1" applyFont="1" applyAlignment="1" applyProtection="1">
      <alignment horizontal="center"/>
    </xf>
    <xf numFmtId="3" fontId="6" fillId="2" borderId="0" xfId="0" applyNumberFormat="1" applyFont="1" applyAlignment="1" applyProtection="1">
      <alignment horizontal="center"/>
    </xf>
    <xf numFmtId="167" fontId="0" fillId="2" borderId="0" xfId="0" applyNumberFormat="1" applyProtection="1"/>
    <xf numFmtId="0" fontId="13" fillId="2" borderId="0" xfId="0" applyNumberFormat="1" applyFont="1" applyAlignment="1" applyProtection="1">
      <alignment horizontal="center"/>
    </xf>
    <xf numFmtId="0" fontId="0" fillId="2" borderId="0" xfId="0" applyNumberFormat="1" applyBorder="1" applyProtection="1"/>
    <xf numFmtId="0" fontId="0" fillId="2" borderId="0" xfId="0" applyNumberFormat="1" applyAlignment="1" applyProtection="1">
      <alignment horizontal="right"/>
    </xf>
    <xf numFmtId="3" fontId="65" fillId="2" borderId="0" xfId="0" applyNumberFormat="1" applyFont="1" applyAlignment="1" applyProtection="1">
      <alignment horizontal="center"/>
    </xf>
    <xf numFmtId="0" fontId="0" fillId="2" borderId="71" xfId="0" applyNumberFormat="1" applyBorder="1" applyProtection="1"/>
    <xf numFmtId="0" fontId="0" fillId="2" borderId="71" xfId="0" applyNumberFormat="1" applyBorder="1" applyAlignment="1" applyProtection="1">
      <alignment horizontal="left"/>
    </xf>
    <xf numFmtId="0" fontId="0" fillId="2" borderId="71" xfId="0" applyNumberFormat="1" applyBorder="1" applyAlignment="1" applyProtection="1">
      <alignment horizontal="right"/>
    </xf>
    <xf numFmtId="0" fontId="65" fillId="2" borderId="71" xfId="0" applyNumberFormat="1" applyFont="1" applyBorder="1" applyAlignment="1" applyProtection="1">
      <alignment horizontal="left"/>
    </xf>
    <xf numFmtId="0" fontId="65" fillId="2" borderId="71" xfId="0" applyNumberFormat="1" applyFont="1" applyBorder="1" applyAlignment="1" applyProtection="1">
      <alignment horizontal="center"/>
    </xf>
    <xf numFmtId="3" fontId="65" fillId="2" borderId="71" xfId="0" applyNumberFormat="1" applyFont="1" applyBorder="1" applyAlignment="1" applyProtection="1">
      <alignment horizontal="center"/>
    </xf>
    <xf numFmtId="167" fontId="0" fillId="2" borderId="71" xfId="0" applyNumberFormat="1" applyBorder="1" applyProtection="1"/>
    <xf numFmtId="0" fontId="13" fillId="2" borderId="71" xfId="0" applyNumberFormat="1" applyFont="1" applyBorder="1" applyAlignment="1" applyProtection="1">
      <alignment horizontal="center"/>
    </xf>
    <xf numFmtId="0" fontId="2" fillId="2" borderId="12" xfId="0" applyNumberFormat="1" applyFont="1" applyBorder="1" applyProtection="1"/>
    <xf numFmtId="0" fontId="0" fillId="2" borderId="12" xfId="0" applyNumberFormat="1" applyBorder="1" applyProtection="1"/>
    <xf numFmtId="3" fontId="6" fillId="2" borderId="12" xfId="0" applyNumberFormat="1" applyFont="1" applyBorder="1" applyAlignment="1" applyProtection="1">
      <alignment horizontal="center"/>
    </xf>
    <xf numFmtId="167" fontId="6" fillId="2" borderId="12" xfId="0" applyNumberFormat="1" applyFont="1" applyBorder="1" applyAlignment="1" applyProtection="1">
      <alignment horizontal="center"/>
    </xf>
    <xf numFmtId="164" fontId="6" fillId="2" borderId="12" xfId="0" applyNumberFormat="1" applyFont="1" applyBorder="1" applyAlignment="1" applyProtection="1">
      <alignment horizontal="center"/>
    </xf>
    <xf numFmtId="180" fontId="6" fillId="2" borderId="0" xfId="0" applyNumberFormat="1" applyFont="1" applyBorder="1" applyProtection="1"/>
    <xf numFmtId="0" fontId="68" fillId="2" borderId="0" xfId="0" applyNumberFormat="1" applyFont="1" applyProtection="1"/>
    <xf numFmtId="170" fontId="6" fillId="2" borderId="0" xfId="0" applyNumberFormat="1" applyFont="1" applyProtection="1"/>
    <xf numFmtId="170" fontId="6" fillId="16" borderId="0" xfId="0" applyNumberFormat="1" applyFont="1" applyFill="1" applyProtection="1"/>
    <xf numFmtId="178" fontId="2" fillId="2" borderId="0" xfId="0" applyNumberFormat="1" applyFont="1" applyProtection="1"/>
    <xf numFmtId="167" fontId="6" fillId="2" borderId="0" xfId="0" applyNumberFormat="1" applyFont="1" applyBorder="1" applyProtection="1"/>
    <xf numFmtId="0" fontId="0" fillId="4" borderId="0" xfId="0" applyNumberFormat="1" applyFill="1" applyBorder="1" applyProtection="1"/>
    <xf numFmtId="0" fontId="2" fillId="2" borderId="0" xfId="0" applyNumberFormat="1" applyFont="1" applyAlignment="1" applyProtection="1">
      <alignment horizontal="left"/>
    </xf>
    <xf numFmtId="0" fontId="0" fillId="4" borderId="0" xfId="0" applyNumberFormat="1" applyFont="1" applyFill="1" applyBorder="1" applyProtection="1"/>
    <xf numFmtId="0" fontId="27" fillId="4" borderId="0" xfId="0" applyNumberFormat="1" applyFont="1" applyFill="1" applyBorder="1" applyAlignment="1" applyProtection="1">
      <alignment horizontal="center"/>
    </xf>
    <xf numFmtId="3" fontId="6" fillId="2" borderId="0" xfId="0" applyNumberFormat="1" applyFont="1" applyProtection="1"/>
    <xf numFmtId="3" fontId="6" fillId="16" borderId="0" xfId="0" applyNumberFormat="1" applyFont="1" applyFill="1" applyProtection="1"/>
    <xf numFmtId="185" fontId="63" fillId="4" borderId="0" xfId="0" applyNumberFormat="1" applyFont="1" applyFill="1" applyBorder="1" applyAlignment="1" applyProtection="1">
      <alignment horizontal="center"/>
    </xf>
    <xf numFmtId="38" fontId="2" fillId="2" borderId="0" xfId="0" applyNumberFormat="1" applyFont="1" applyProtection="1"/>
    <xf numFmtId="0" fontId="0" fillId="2" borderId="0" xfId="0" applyNumberFormat="1" applyFont="1" applyBorder="1" applyProtection="1"/>
    <xf numFmtId="1" fontId="6" fillId="16" borderId="0" xfId="0" applyNumberFormat="1" applyFont="1" applyFill="1" applyProtection="1"/>
    <xf numFmtId="4" fontId="6" fillId="2" borderId="0" xfId="0" applyNumberFormat="1" applyFont="1" applyProtection="1"/>
    <xf numFmtId="2" fontId="6" fillId="16" borderId="0" xfId="0" applyNumberFormat="1" applyFont="1" applyFill="1" applyProtection="1"/>
    <xf numFmtId="0" fontId="6" fillId="2" borderId="0" xfId="0" applyNumberFormat="1" applyFont="1" applyProtection="1"/>
    <xf numFmtId="167" fontId="6" fillId="16" borderId="0" xfId="0" applyNumberFormat="1" applyFont="1" applyFill="1" applyProtection="1"/>
    <xf numFmtId="178" fontId="2" fillId="2" borderId="0" xfId="0" applyNumberFormat="1" applyFont="1" applyBorder="1" applyProtection="1"/>
    <xf numFmtId="165" fontId="0" fillId="2" borderId="0" xfId="0" applyNumberFormat="1" applyBorder="1" applyProtection="1"/>
    <xf numFmtId="37" fontId="6" fillId="2" borderId="0" xfId="0" applyNumberFormat="1" applyFont="1" applyAlignment="1" applyProtection="1">
      <alignment horizontal="right"/>
    </xf>
    <xf numFmtId="186" fontId="0" fillId="2" borderId="0" xfId="0" applyNumberFormat="1" applyAlignment="1" applyProtection="1">
      <alignment horizontal="left"/>
    </xf>
    <xf numFmtId="3" fontId="6" fillId="2" borderId="0" xfId="0" applyNumberFormat="1" applyFont="1" applyBorder="1" applyAlignment="1" applyProtection="1">
      <alignment horizontal="right"/>
    </xf>
    <xf numFmtId="3" fontId="6" fillId="2" borderId="0" xfId="0" applyNumberFormat="1" applyFont="1" applyAlignment="1" applyProtection="1">
      <alignment horizontal="right"/>
    </xf>
    <xf numFmtId="37" fontId="2" fillId="4" borderId="0" xfId="0" applyNumberFormat="1" applyFont="1" applyFill="1" applyBorder="1" applyAlignment="1" applyProtection="1">
      <alignment horizontal="right"/>
    </xf>
    <xf numFmtId="0" fontId="0" fillId="4" borderId="0" xfId="0" applyNumberFormat="1" applyFill="1" applyProtection="1"/>
    <xf numFmtId="0" fontId="2" fillId="4" borderId="0" xfId="0" applyNumberFormat="1" applyFont="1" applyFill="1" applyAlignment="1" applyProtection="1">
      <alignment horizontal="left"/>
    </xf>
    <xf numFmtId="0" fontId="2" fillId="4" borderId="0" xfId="0" applyNumberFormat="1" applyFont="1" applyFill="1" applyProtection="1"/>
    <xf numFmtId="38" fontId="2" fillId="2" borderId="0" xfId="0" applyNumberFormat="1" applyFont="1" applyBorder="1" applyProtection="1"/>
    <xf numFmtId="3" fontId="0" fillId="2" borderId="0" xfId="0" applyNumberFormat="1" applyFont="1" applyAlignment="1" applyProtection="1">
      <alignment horizontal="right"/>
    </xf>
    <xf numFmtId="3" fontId="6" fillId="16" borderId="12" xfId="0" applyNumberFormat="1" applyFont="1" applyFill="1" applyBorder="1" applyProtection="1"/>
    <xf numFmtId="38" fontId="2" fillId="2" borderId="12" xfId="0" applyNumberFormat="1" applyFont="1" applyBorder="1" applyProtection="1"/>
    <xf numFmtId="37" fontId="0" fillId="2" borderId="0" xfId="0" applyNumberFormat="1" applyFont="1" applyBorder="1" applyAlignment="1" applyProtection="1">
      <alignment horizontal="right"/>
    </xf>
    <xf numFmtId="38" fontId="6" fillId="2" borderId="0" xfId="0" applyNumberFormat="1" applyFont="1" applyProtection="1"/>
    <xf numFmtId="38" fontId="6" fillId="16" borderId="0" xfId="0" applyNumberFormat="1" applyFont="1" applyFill="1" applyProtection="1"/>
    <xf numFmtId="37" fontId="8" fillId="2" borderId="0" xfId="0" applyNumberFormat="1" applyFont="1" applyAlignment="1" applyProtection="1">
      <alignment horizontal="right"/>
    </xf>
    <xf numFmtId="0" fontId="2" fillId="2" borderId="0" xfId="0" applyNumberFormat="1" applyFont="1" applyProtection="1"/>
    <xf numFmtId="37" fontId="68" fillId="2" borderId="0" xfId="0" applyNumberFormat="1" applyFont="1" applyProtection="1"/>
    <xf numFmtId="3" fontId="6" fillId="16" borderId="0" xfId="0" applyNumberFormat="1" applyFont="1" applyFill="1" applyBorder="1" applyProtection="1"/>
    <xf numFmtId="0" fontId="69" fillId="2" borderId="0" xfId="0" applyNumberFormat="1" applyFont="1" applyBorder="1" applyAlignment="1">
      <alignment horizontal="left"/>
    </xf>
    <xf numFmtId="0" fontId="70" fillId="2" borderId="0" xfId="0" applyNumberFormat="1" applyFont="1" applyBorder="1"/>
    <xf numFmtId="0" fontId="71" fillId="2" borderId="0" xfId="0" applyNumberFormat="1" applyFont="1" applyProtection="1"/>
    <xf numFmtId="0" fontId="69" fillId="2" borderId="0" xfId="0" applyNumberFormat="1" applyFont="1"/>
    <xf numFmtId="0" fontId="73" fillId="2" borderId="0" xfId="0" applyNumberFormat="1" applyFont="1"/>
    <xf numFmtId="0" fontId="70" fillId="2" borderId="0" xfId="0" applyNumberFormat="1" applyFont="1"/>
    <xf numFmtId="0" fontId="69" fillId="2" borderId="0" xfId="0" applyNumberFormat="1" applyFont="1" applyAlignment="1">
      <alignment horizontal="left"/>
    </xf>
    <xf numFmtId="0" fontId="71" fillId="2" borderId="0" xfId="0" applyNumberFormat="1" applyFont="1"/>
    <xf numFmtId="0" fontId="69" fillId="2" borderId="7" xfId="0" applyNumberFormat="1" applyFont="1" applyBorder="1"/>
    <xf numFmtId="0" fontId="74" fillId="2" borderId="7" xfId="0" applyNumberFormat="1" applyFont="1" applyBorder="1"/>
    <xf numFmtId="0" fontId="71" fillId="2" borderId="0" xfId="0" applyNumberFormat="1" applyFont="1" applyBorder="1" applyProtection="1"/>
    <xf numFmtId="3" fontId="6" fillId="16" borderId="7" xfId="0" applyNumberFormat="1" applyFont="1" applyFill="1" applyBorder="1" applyProtection="1"/>
    <xf numFmtId="0" fontId="71" fillId="2" borderId="7" xfId="0" applyNumberFormat="1" applyFont="1" applyBorder="1" applyProtection="1"/>
    <xf numFmtId="0" fontId="75" fillId="2" borderId="0" xfId="0" applyNumberFormat="1" applyFont="1" applyProtection="1"/>
    <xf numFmtId="3" fontId="72" fillId="16" borderId="0" xfId="0" applyNumberFormat="1" applyFont="1" applyFill="1" applyBorder="1" applyProtection="1"/>
    <xf numFmtId="38" fontId="72" fillId="2" borderId="0" xfId="0" applyNumberFormat="1" applyFont="1" applyProtection="1"/>
    <xf numFmtId="0" fontId="80" fillId="17" borderId="8" xfId="0" applyNumberFormat="1" applyFont="1" applyFill="1" applyBorder="1" applyAlignment="1" applyProtection="1">
      <alignment horizontal="center"/>
      <protection locked="0"/>
    </xf>
    <xf numFmtId="0" fontId="6" fillId="2" borderId="75" xfId="0" applyNumberFormat="1" applyFont="1" applyBorder="1" applyAlignment="1" applyProtection="1">
      <alignment horizontal="left"/>
    </xf>
    <xf numFmtId="0" fontId="86" fillId="2" borderId="8" xfId="0" applyNumberFormat="1" applyFont="1" applyBorder="1" applyProtection="1"/>
    <xf numFmtId="167" fontId="86" fillId="2" borderId="8" xfId="0" applyNumberFormat="1" applyFont="1" applyBorder="1" applyAlignment="1" applyProtection="1">
      <alignment horizontal="center"/>
    </xf>
    <xf numFmtId="0" fontId="86" fillId="2" borderId="9" xfId="0" applyNumberFormat="1" applyFont="1" applyBorder="1" applyProtection="1"/>
    <xf numFmtId="0" fontId="86" fillId="2" borderId="52" xfId="0" applyNumberFormat="1" applyFont="1" applyBorder="1" applyProtection="1"/>
    <xf numFmtId="167" fontId="86" fillId="2" borderId="50" xfId="0" applyNumberFormat="1" applyFont="1" applyBorder="1" applyAlignment="1" applyProtection="1">
      <alignment horizontal="center"/>
    </xf>
    <xf numFmtId="0" fontId="86" fillId="2" borderId="50" xfId="0" applyNumberFormat="1" applyFont="1" applyBorder="1" applyProtection="1"/>
    <xf numFmtId="0" fontId="85" fillId="2" borderId="15" xfId="0" applyNumberFormat="1" applyFont="1" applyBorder="1" applyProtection="1"/>
    <xf numFmtId="0" fontId="80" fillId="2" borderId="16" xfId="0" applyNumberFormat="1" applyFont="1" applyBorder="1" applyProtection="1"/>
    <xf numFmtId="0" fontId="85" fillId="2" borderId="0" xfId="0" applyNumberFormat="1" applyFont="1" applyBorder="1" applyProtection="1"/>
    <xf numFmtId="0" fontId="80" fillId="2" borderId="0" xfId="0" applyNumberFormat="1" applyFont="1" applyBorder="1" applyProtection="1"/>
    <xf numFmtId="0" fontId="84" fillId="2" borderId="12" xfId="0" applyNumberFormat="1" applyFont="1" applyBorder="1" applyProtection="1"/>
    <xf numFmtId="0" fontId="80" fillId="2" borderId="12" xfId="0" applyNumberFormat="1" applyFont="1" applyBorder="1" applyProtection="1"/>
    <xf numFmtId="0" fontId="6" fillId="2" borderId="0" xfId="0" applyFont="1" applyAlignment="1">
      <alignment horizontal="center"/>
    </xf>
    <xf numFmtId="0" fontId="0" fillId="17" borderId="0" xfId="0" applyNumberFormat="1" applyFill="1"/>
    <xf numFmtId="0" fontId="0" fillId="17" borderId="0" xfId="0" applyNumberFormat="1" applyFill="1" applyBorder="1"/>
    <xf numFmtId="0" fontId="88" fillId="2" borderId="0" xfId="0" applyNumberFormat="1" applyFont="1"/>
    <xf numFmtId="170" fontId="6" fillId="2" borderId="7" xfId="0" applyNumberFormat="1" applyFont="1" applyBorder="1" applyProtection="1"/>
    <xf numFmtId="179" fontId="6" fillId="2" borderId="0" xfId="0" applyNumberFormat="1" applyFont="1" applyProtection="1"/>
    <xf numFmtId="188" fontId="6" fillId="16" borderId="0" xfId="0" applyNumberFormat="1" applyFont="1" applyFill="1" applyProtection="1"/>
    <xf numFmtId="0" fontId="63" fillId="0" borderId="0" xfId="0" applyNumberFormat="1" applyFont="1" applyFill="1"/>
    <xf numFmtId="0" fontId="21" fillId="2" borderId="0" xfId="2" applyFill="1" applyAlignment="1" applyProtection="1"/>
    <xf numFmtId="0" fontId="6" fillId="15" borderId="0" xfId="0" applyNumberFormat="1" applyFont="1" applyFill="1" applyBorder="1" applyAlignment="1" applyProtection="1"/>
    <xf numFmtId="189" fontId="9" fillId="15" borderId="0" xfId="0" applyNumberFormat="1" applyFont="1" applyFill="1" applyBorder="1" applyAlignment="1" applyProtection="1">
      <alignment horizontal="center"/>
    </xf>
    <xf numFmtId="10" fontId="9" fillId="15" borderId="0" xfId="0" applyNumberFormat="1" applyFont="1" applyFill="1" applyBorder="1" applyAlignment="1" applyProtection="1">
      <alignment horizontal="center"/>
    </xf>
    <xf numFmtId="0" fontId="20" fillId="2" borderId="0" xfId="0" applyNumberFormat="1" applyFont="1"/>
    <xf numFmtId="164" fontId="81" fillId="2" borderId="8" xfId="0" applyNumberFormat="1" applyFont="1" applyBorder="1" applyProtection="1"/>
    <xf numFmtId="0" fontId="86" fillId="2" borderId="11" xfId="0" applyNumberFormat="1" applyFont="1" applyBorder="1" applyProtection="1"/>
    <xf numFmtId="0" fontId="86" fillId="2" borderId="10" xfId="0" applyNumberFormat="1" applyFont="1" applyBorder="1" applyProtection="1"/>
    <xf numFmtId="0" fontId="86" fillId="2" borderId="21" xfId="0" applyNumberFormat="1" applyFont="1" applyBorder="1" applyProtection="1"/>
    <xf numFmtId="0" fontId="86" fillId="2" borderId="17" xfId="0" applyNumberFormat="1" applyFont="1" applyBorder="1" applyProtection="1"/>
    <xf numFmtId="39" fontId="86" fillId="2" borderId="16" xfId="0" applyNumberFormat="1" applyFont="1" applyBorder="1" applyProtection="1"/>
    <xf numFmtId="0" fontId="84" fillId="2" borderId="20" xfId="0" applyNumberFormat="1" applyFont="1" applyBorder="1" applyProtection="1"/>
    <xf numFmtId="190" fontId="8" fillId="2" borderId="0" xfId="0" applyNumberFormat="1" applyFont="1" applyAlignment="1">
      <alignment horizontal="center"/>
    </xf>
    <xf numFmtId="190" fontId="9" fillId="2" borderId="0" xfId="0" applyNumberFormat="1" applyFont="1" applyAlignment="1">
      <alignment horizontal="center"/>
    </xf>
    <xf numFmtId="190" fontId="9" fillId="2" borderId="10" xfId="0" applyNumberFormat="1" applyFont="1" applyBorder="1" applyAlignment="1">
      <alignment horizontal="center"/>
    </xf>
    <xf numFmtId="190" fontId="8" fillId="2" borderId="0" xfId="0" applyNumberFormat="1" applyFont="1" applyBorder="1" applyAlignment="1">
      <alignment horizontal="center"/>
    </xf>
    <xf numFmtId="190" fontId="8" fillId="5" borderId="0" xfId="0" applyNumberFormat="1" applyFont="1" applyFill="1" applyBorder="1" applyAlignment="1">
      <alignment horizontal="center"/>
    </xf>
    <xf numFmtId="190" fontId="9" fillId="4" borderId="0" xfId="0" applyNumberFormat="1" applyFont="1" applyFill="1" applyBorder="1" applyAlignment="1" applyProtection="1">
      <alignment horizontal="center"/>
    </xf>
    <xf numFmtId="190" fontId="0" fillId="4" borderId="0" xfId="0" applyNumberFormat="1" applyFill="1"/>
    <xf numFmtId="190" fontId="8" fillId="2" borderId="0" xfId="0" applyNumberFormat="1" applyFont="1" applyBorder="1" applyAlignment="1" applyProtection="1">
      <alignment horizontal="center"/>
    </xf>
    <xf numFmtId="190" fontId="8" fillId="10" borderId="1" xfId="0" applyNumberFormat="1" applyFont="1" applyFill="1" applyBorder="1" applyAlignment="1" applyProtection="1">
      <alignment horizontal="center"/>
      <protection locked="0"/>
    </xf>
    <xf numFmtId="190" fontId="8" fillId="4" borderId="0" xfId="0" applyNumberFormat="1" applyFont="1" applyFill="1" applyBorder="1" applyAlignment="1">
      <alignment horizontal="center"/>
    </xf>
    <xf numFmtId="190" fontId="9" fillId="4" borderId="0" xfId="0" applyNumberFormat="1" applyFont="1" applyFill="1" applyAlignment="1">
      <alignment horizontal="center"/>
    </xf>
    <xf numFmtId="190" fontId="8" fillId="2" borderId="4" xfId="0" applyNumberFormat="1" applyFont="1" applyBorder="1" applyAlignment="1">
      <alignment horizontal="center"/>
    </xf>
    <xf numFmtId="190" fontId="9" fillId="2" borderId="4" xfId="0" applyNumberFormat="1" applyFont="1" applyBorder="1" applyAlignment="1">
      <alignment horizontal="center"/>
    </xf>
    <xf numFmtId="190" fontId="8" fillId="2" borderId="0" xfId="0" applyNumberFormat="1" applyFont="1" applyBorder="1" applyAlignment="1" applyProtection="1">
      <alignment horizontal="center"/>
      <protection locked="0"/>
    </xf>
    <xf numFmtId="0" fontId="6" fillId="4" borderId="0" xfId="0" applyNumberFormat="1" applyFont="1" applyFill="1" applyBorder="1" applyProtection="1"/>
    <xf numFmtId="0" fontId="6" fillId="2" borderId="0" xfId="0" applyNumberFormat="1" applyFont="1" applyBorder="1" applyProtection="1"/>
    <xf numFmtId="190" fontId="2" fillId="2" borderId="0" xfId="0" applyNumberFormat="1" applyFont="1" applyBorder="1" applyAlignment="1" applyProtection="1">
      <alignment horizontal="center"/>
    </xf>
    <xf numFmtId="0" fontId="12" fillId="0" borderId="0" xfId="0" quotePrefix="1" applyNumberFormat="1" applyFont="1" applyFill="1" applyProtection="1"/>
    <xf numFmtId="0" fontId="2" fillId="2" borderId="0" xfId="0" applyNumberFormat="1" applyFont="1" applyBorder="1" applyProtection="1"/>
    <xf numFmtId="0" fontId="9" fillId="2" borderId="0" xfId="0" applyNumberFormat="1" applyFont="1" applyProtection="1"/>
    <xf numFmtId="0" fontId="0" fillId="0" borderId="0" xfId="0" applyNumberFormat="1" applyFill="1" applyProtection="1"/>
    <xf numFmtId="0" fontId="2" fillId="0" borderId="0" xfId="0" applyNumberFormat="1" applyFont="1" applyFill="1" applyProtection="1"/>
    <xf numFmtId="0" fontId="0" fillId="17" borderId="0" xfId="0" applyNumberFormat="1" applyFill="1" applyProtection="1"/>
    <xf numFmtId="190" fontId="9" fillId="2" borderId="0" xfId="0" applyNumberFormat="1" applyFont="1" applyAlignment="1" applyProtection="1">
      <alignment horizontal="center"/>
    </xf>
    <xf numFmtId="0" fontId="9" fillId="2" borderId="0" xfId="0" applyNumberFormat="1" applyFont="1" applyBorder="1" applyProtection="1"/>
    <xf numFmtId="0" fontId="9" fillId="17" borderId="0" xfId="0" applyNumberFormat="1" applyFont="1" applyFill="1" applyBorder="1" applyProtection="1"/>
    <xf numFmtId="0" fontId="6" fillId="17" borderId="0" xfId="0" applyNumberFormat="1" applyFont="1" applyFill="1" applyBorder="1" applyProtection="1"/>
    <xf numFmtId="0" fontId="0" fillId="2" borderId="4" xfId="0" applyNumberFormat="1" applyBorder="1" applyProtection="1"/>
    <xf numFmtId="190" fontId="8" fillId="2" borderId="0" xfId="0" applyNumberFormat="1" applyFont="1" applyAlignment="1" applyProtection="1">
      <alignment horizontal="center"/>
    </xf>
    <xf numFmtId="14" fontId="0" fillId="2" borderId="4" xfId="0" quotePrefix="1" applyNumberFormat="1" applyBorder="1" applyAlignment="1" applyProtection="1">
      <alignment horizontal="left"/>
    </xf>
    <xf numFmtId="15" fontId="0" fillId="2" borderId="0" xfId="0" applyNumberFormat="1" applyAlignment="1" applyProtection="1">
      <alignment horizontal="right"/>
    </xf>
    <xf numFmtId="0" fontId="8" fillId="2" borderId="0" xfId="0" applyNumberFormat="1" applyFont="1" applyProtection="1"/>
    <xf numFmtId="0" fontId="14" fillId="2" borderId="9" xfId="0" applyNumberFormat="1" applyFont="1" applyBorder="1" applyProtection="1"/>
    <xf numFmtId="0" fontId="0" fillId="2" borderId="10" xfId="0" applyNumberFormat="1" applyBorder="1" applyProtection="1"/>
    <xf numFmtId="0" fontId="22" fillId="2" borderId="10" xfId="0" applyNumberFormat="1" applyFont="1" applyBorder="1" applyProtection="1"/>
    <xf numFmtId="190" fontId="9" fillId="2" borderId="10" xfId="0" applyNumberFormat="1" applyFont="1" applyBorder="1" applyAlignment="1" applyProtection="1">
      <alignment horizontal="center"/>
    </xf>
    <xf numFmtId="4" fontId="0" fillId="2" borderId="0" xfId="0" applyNumberFormat="1" applyProtection="1"/>
    <xf numFmtId="4" fontId="0" fillId="2" borderId="10" xfId="0" applyNumberFormat="1" applyBorder="1" applyProtection="1"/>
    <xf numFmtId="4" fontId="2" fillId="2" borderId="0" xfId="0" applyNumberFormat="1" applyFont="1"/>
    <xf numFmtId="4" fontId="0" fillId="2" borderId="11" xfId="0" applyNumberFormat="1" applyBorder="1"/>
    <xf numFmtId="4" fontId="0" fillId="2" borderId="0" xfId="0" applyNumberFormat="1"/>
    <xf numFmtId="4" fontId="2" fillId="2" borderId="0" xfId="0" applyNumberFormat="1" applyFont="1" applyBorder="1"/>
    <xf numFmtId="4" fontId="40" fillId="16" borderId="8" xfId="0" applyNumberFormat="1" applyFont="1" applyFill="1" applyBorder="1" applyProtection="1"/>
    <xf numFmtId="4" fontId="40" fillId="2" borderId="8" xfId="0" applyNumberFormat="1" applyFont="1" applyBorder="1" applyProtection="1"/>
    <xf numFmtId="4" fontId="40" fillId="18" borderId="8" xfId="0" applyNumberFormat="1" applyFont="1" applyFill="1" applyBorder="1" applyProtection="1"/>
    <xf numFmtId="4" fontId="40" fillId="5" borderId="8" xfId="0" applyNumberFormat="1" applyFont="1" applyFill="1" applyBorder="1" applyProtection="1">
      <protection locked="0"/>
    </xf>
    <xf numFmtId="4" fontId="0" fillId="0" borderId="0" xfId="0" applyNumberFormat="1" applyFill="1" applyBorder="1" applyProtection="1">
      <protection locked="0"/>
    </xf>
    <xf numFmtId="4" fontId="14" fillId="2" borderId="0" xfId="0" applyNumberFormat="1" applyFont="1" applyBorder="1" applyAlignment="1" applyProtection="1">
      <alignment horizontal="center"/>
    </xf>
    <xf numFmtId="4" fontId="17" fillId="16" borderId="1" xfId="0" applyNumberFormat="1" applyFont="1" applyFill="1" applyBorder="1" applyProtection="1"/>
    <xf numFmtId="4" fontId="17" fillId="17" borderId="1" xfId="0" applyNumberFormat="1" applyFont="1" applyFill="1" applyBorder="1" applyProtection="1"/>
    <xf numFmtId="4" fontId="14" fillId="0" borderId="0" xfId="0" applyNumberFormat="1" applyFont="1" applyFill="1" applyBorder="1" applyAlignment="1" applyProtection="1">
      <alignment horizontal="center"/>
    </xf>
    <xf numFmtId="4" fontId="17" fillId="16" borderId="1" xfId="0" applyNumberFormat="1" applyFont="1" applyFill="1" applyBorder="1" applyAlignment="1" applyProtection="1">
      <alignment horizontal="right"/>
    </xf>
    <xf numFmtId="4" fontId="17" fillId="16" borderId="80" xfId="0" applyNumberFormat="1" applyFont="1" applyFill="1" applyBorder="1" applyProtection="1"/>
    <xf numFmtId="4" fontId="35" fillId="0" borderId="0" xfId="0" applyNumberFormat="1" applyFont="1" applyFill="1" applyBorder="1" applyAlignment="1" applyProtection="1">
      <alignment horizontal="right"/>
      <protection hidden="1"/>
    </xf>
    <xf numFmtId="4" fontId="35" fillId="4" borderId="0" xfId="0" applyNumberFormat="1" applyFont="1" applyFill="1" applyBorder="1" applyAlignment="1" applyProtection="1">
      <alignment horizontal="right"/>
      <protection hidden="1"/>
    </xf>
    <xf numFmtId="4" fontId="17" fillId="16" borderId="8" xfId="0" applyNumberFormat="1" applyFont="1" applyFill="1" applyBorder="1" applyProtection="1"/>
    <xf numFmtId="4" fontId="17" fillId="8" borderId="8" xfId="0" applyNumberFormat="1" applyFont="1" applyFill="1" applyBorder="1" applyProtection="1"/>
    <xf numFmtId="4" fontId="17" fillId="17" borderId="8" xfId="0" applyNumberFormat="1" applyFont="1" applyFill="1" applyBorder="1" applyProtection="1"/>
    <xf numFmtId="4" fontId="17" fillId="0" borderId="0" xfId="0" applyNumberFormat="1" applyFont="1" applyFill="1" applyBorder="1" applyProtection="1"/>
    <xf numFmtId="4" fontId="17" fillId="2" borderId="0" xfId="0" applyNumberFormat="1" applyFont="1" applyBorder="1" applyProtection="1"/>
    <xf numFmtId="4" fontId="17" fillId="17" borderId="1" xfId="0" applyNumberFormat="1" applyFont="1" applyFill="1" applyBorder="1" applyProtection="1">
      <protection locked="0"/>
    </xf>
    <xf numFmtId="4" fontId="17" fillId="0" borderId="1" xfId="0" applyNumberFormat="1" applyFont="1" applyFill="1" applyBorder="1" applyProtection="1">
      <protection locked="0"/>
    </xf>
    <xf numFmtId="4" fontId="9" fillId="5" borderId="8" xfId="0" applyNumberFormat="1" applyFont="1" applyFill="1" applyBorder="1" applyProtection="1">
      <protection locked="0"/>
    </xf>
    <xf numFmtId="4" fontId="17" fillId="0" borderId="1" xfId="0" applyNumberFormat="1" applyFont="1" applyFill="1" applyBorder="1" applyAlignment="1" applyProtection="1">
      <alignment horizontal="center"/>
      <protection locked="0"/>
    </xf>
    <xf numFmtId="4" fontId="17" fillId="16" borderId="81" xfId="0" applyNumberFormat="1" applyFont="1" applyFill="1" applyBorder="1" applyProtection="1"/>
    <xf numFmtId="4" fontId="17" fillId="17" borderId="8" xfId="0" applyNumberFormat="1" applyFont="1" applyFill="1" applyBorder="1" applyProtection="1">
      <protection locked="0"/>
    </xf>
    <xf numFmtId="4" fontId="17" fillId="8" borderId="8" xfId="0" applyNumberFormat="1" applyFont="1" applyFill="1" applyBorder="1" applyProtection="1">
      <protection locked="0"/>
    </xf>
    <xf numFmtId="4" fontId="14" fillId="5" borderId="0" xfId="0" applyNumberFormat="1" applyFont="1" applyFill="1" applyBorder="1" applyAlignment="1">
      <alignment horizontal="center"/>
    </xf>
    <xf numFmtId="4" fontId="17" fillId="5" borderId="8" xfId="0" applyNumberFormat="1" applyFont="1" applyFill="1" applyBorder="1" applyProtection="1">
      <protection locked="0"/>
    </xf>
    <xf numFmtId="4" fontId="17" fillId="19" borderId="8" xfId="0" quotePrefix="1" applyNumberFormat="1" applyFont="1" applyFill="1" applyBorder="1" applyAlignment="1" applyProtection="1">
      <alignment horizontal="right"/>
    </xf>
    <xf numFmtId="4" fontId="17" fillId="19" borderId="8" xfId="0" applyNumberFormat="1" applyFont="1" applyFill="1" applyBorder="1" applyProtection="1"/>
    <xf numFmtId="4" fontId="2" fillId="10" borderId="4" xfId="0" applyNumberFormat="1" applyFont="1" applyFill="1" applyBorder="1"/>
    <xf numFmtId="4" fontId="0" fillId="2" borderId="4" xfId="0" applyNumberFormat="1" applyBorder="1"/>
    <xf numFmtId="4" fontId="2" fillId="5" borderId="4" xfId="0" applyNumberFormat="1" applyFont="1" applyFill="1" applyBorder="1"/>
    <xf numFmtId="4" fontId="0" fillId="2" borderId="0" xfId="0" applyNumberFormat="1" applyProtection="1">
      <protection locked="0"/>
    </xf>
    <xf numFmtId="4" fontId="2" fillId="2" borderId="0" xfId="0" applyNumberFormat="1" applyFont="1" applyAlignment="1" applyProtection="1">
      <alignment horizontal="right"/>
    </xf>
    <xf numFmtId="4" fontId="6" fillId="2" borderId="0" xfId="0" applyNumberFormat="1" applyFont="1" applyAlignment="1" applyProtection="1">
      <alignment horizontal="right"/>
    </xf>
    <xf numFmtId="4" fontId="0" fillId="2" borderId="11" xfId="0" applyNumberFormat="1" applyBorder="1" applyProtection="1"/>
    <xf numFmtId="4" fontId="0" fillId="5" borderId="0" xfId="0" applyNumberFormat="1" applyFill="1"/>
    <xf numFmtId="4" fontId="12" fillId="2" borderId="0" xfId="0" applyNumberFormat="1" applyFont="1" applyAlignment="1" applyProtection="1">
      <alignment horizontal="center"/>
    </xf>
    <xf numFmtId="4" fontId="13" fillId="16" borderId="1" xfId="0" applyNumberFormat="1" applyFont="1" applyFill="1" applyBorder="1" applyProtection="1"/>
    <xf numFmtId="4" fontId="13" fillId="17" borderId="1" xfId="0" applyNumberFormat="1" applyFont="1" applyFill="1" applyBorder="1" applyProtection="1"/>
    <xf numFmtId="4" fontId="12" fillId="0" borderId="0" xfId="0" applyNumberFormat="1" applyFont="1" applyFill="1" applyBorder="1" applyAlignment="1" applyProtection="1">
      <alignment horizontal="center"/>
    </xf>
    <xf numFmtId="4" fontId="13" fillId="16" borderId="1" xfId="0" applyNumberFormat="1" applyFont="1" applyFill="1" applyBorder="1" applyAlignment="1" applyProtection="1">
      <alignment horizontal="right"/>
    </xf>
    <xf numFmtId="4" fontId="13" fillId="16" borderId="8" xfId="0" applyNumberFormat="1" applyFont="1" applyFill="1" applyBorder="1" applyProtection="1"/>
    <xf numFmtId="4" fontId="13" fillId="9" borderId="8" xfId="0" applyNumberFormat="1" applyFont="1" applyFill="1" applyBorder="1" applyProtection="1"/>
    <xf numFmtId="4" fontId="13" fillId="17" borderId="8" xfId="0" applyNumberFormat="1" applyFont="1" applyFill="1" applyBorder="1" applyProtection="1"/>
    <xf numFmtId="4" fontId="13" fillId="2" borderId="0" xfId="0" applyNumberFormat="1" applyFont="1" applyBorder="1" applyProtection="1"/>
    <xf numFmtId="4" fontId="13" fillId="17" borderId="1" xfId="0" applyNumberFormat="1" applyFont="1" applyFill="1" applyBorder="1" applyProtection="1">
      <protection locked="0"/>
    </xf>
    <xf numFmtId="4" fontId="13" fillId="0" borderId="1" xfId="0" applyNumberFormat="1" applyFont="1" applyFill="1" applyBorder="1" applyProtection="1">
      <protection locked="0"/>
    </xf>
    <xf numFmtId="4" fontId="13" fillId="0" borderId="1" xfId="0" applyNumberFormat="1" applyFont="1" applyFill="1" applyBorder="1" applyAlignment="1" applyProtection="1">
      <alignment horizontal="center"/>
      <protection locked="0"/>
    </xf>
    <xf numFmtId="4" fontId="13" fillId="9" borderId="1" xfId="0" applyNumberFormat="1" applyFont="1" applyFill="1" applyBorder="1" applyProtection="1">
      <protection locked="0"/>
    </xf>
    <xf numFmtId="4" fontId="0" fillId="5" borderId="8" xfId="0" applyNumberFormat="1" applyFill="1" applyBorder="1" applyProtection="1">
      <protection locked="0"/>
    </xf>
    <xf numFmtId="4" fontId="12" fillId="5" borderId="0" xfId="0" applyNumberFormat="1" applyFont="1" applyFill="1" applyAlignment="1">
      <alignment horizontal="center"/>
    </xf>
    <xf numFmtId="4" fontId="13" fillId="5" borderId="8" xfId="0" applyNumberFormat="1" applyFont="1" applyFill="1" applyBorder="1" applyProtection="1">
      <protection locked="0"/>
    </xf>
    <xf numFmtId="4" fontId="13" fillId="5" borderId="8" xfId="0" applyNumberFormat="1" applyFont="1" applyFill="1" applyBorder="1" applyProtection="1"/>
    <xf numFmtId="4" fontId="2" fillId="11" borderId="4" xfId="0" applyNumberFormat="1" applyFont="1" applyFill="1" applyBorder="1"/>
    <xf numFmtId="37" fontId="0" fillId="10" borderId="0" xfId="0" applyNumberFormat="1" applyFill="1" applyBorder="1" applyProtection="1">
      <protection hidden="1"/>
    </xf>
    <xf numFmtId="170" fontId="14" fillId="16" borderId="1" xfId="0" applyNumberFormat="1" applyFont="1" applyFill="1" applyBorder="1" applyProtection="1"/>
    <xf numFmtId="170" fontId="17" fillId="19" borderId="1" xfId="0" applyNumberFormat="1" applyFont="1" applyFill="1" applyBorder="1" applyProtection="1"/>
    <xf numFmtId="170" fontId="14" fillId="16" borderId="52" xfId="0" applyNumberFormat="1" applyFont="1" applyFill="1" applyBorder="1" applyProtection="1"/>
    <xf numFmtId="170" fontId="17" fillId="16" borderId="1" xfId="0" applyNumberFormat="1" applyFont="1" applyFill="1" applyBorder="1" applyProtection="1"/>
    <xf numFmtId="170" fontId="12" fillId="16" borderId="1" xfId="0" applyNumberFormat="1" applyFont="1" applyFill="1" applyBorder="1" applyProtection="1"/>
    <xf numFmtId="170" fontId="13" fillId="16" borderId="1" xfId="0" applyNumberFormat="1" applyFont="1" applyFill="1" applyBorder="1" applyProtection="1"/>
    <xf numFmtId="170" fontId="12" fillId="16" borderId="52" xfId="0" applyNumberFormat="1" applyFont="1" applyFill="1" applyBorder="1" applyProtection="1"/>
    <xf numFmtId="0" fontId="93" fillId="2" borderId="0" xfId="0" applyFont="1"/>
    <xf numFmtId="1" fontId="0" fillId="20" borderId="0" xfId="0" applyNumberFormat="1" applyFill="1"/>
    <xf numFmtId="191" fontId="94" fillId="0" borderId="0" xfId="1" applyNumberFormat="1" applyFont="1"/>
    <xf numFmtId="191" fontId="94" fillId="0" borderId="0" xfId="1" applyNumberFormat="1" applyFont="1" applyFill="1" applyAlignment="1">
      <alignment horizontal="center"/>
    </xf>
    <xf numFmtId="1" fontId="93" fillId="12" borderId="0" xfId="0" applyNumberFormat="1" applyFont="1" applyFill="1"/>
    <xf numFmtId="3" fontId="93" fillId="12" borderId="0" xfId="0" applyNumberFormat="1" applyFont="1" applyFill="1"/>
    <xf numFmtId="3" fontId="93" fillId="12" borderId="0" xfId="0" applyNumberFormat="1" applyFont="1" applyFill="1" applyAlignment="1">
      <alignment horizontal="center"/>
    </xf>
    <xf numFmtId="191" fontId="93" fillId="12" borderId="0" xfId="1" applyNumberFormat="1" applyFont="1" applyFill="1"/>
    <xf numFmtId="191" fontId="93" fillId="0" borderId="0" xfId="1" applyNumberFormat="1" applyFont="1"/>
    <xf numFmtId="3" fontId="93" fillId="0" borderId="0" xfId="0" applyNumberFormat="1" applyFont="1" applyFill="1" applyAlignment="1">
      <alignment horizontal="center"/>
    </xf>
    <xf numFmtId="43" fontId="94" fillId="0" borderId="0" xfId="1" applyNumberFormat="1" applyFont="1"/>
    <xf numFmtId="191" fontId="0" fillId="2" borderId="0" xfId="0" applyNumberFormat="1"/>
    <xf numFmtId="0" fontId="14" fillId="7" borderId="1" xfId="0" applyNumberFormat="1" applyFont="1" applyFill="1" applyBorder="1" applyAlignment="1">
      <alignment horizontal="center"/>
    </xf>
    <xf numFmtId="0" fontId="95" fillId="0" borderId="33" xfId="0" applyFont="1" applyFill="1" applyBorder="1" applyAlignment="1">
      <alignment wrapText="1"/>
    </xf>
    <xf numFmtId="0" fontId="6" fillId="21" borderId="0" xfId="0" applyNumberFormat="1" applyFont="1" applyFill="1"/>
    <xf numFmtId="0" fontId="6" fillId="2" borderId="0" xfId="0" applyNumberFormat="1" applyFont="1" applyProtection="1">
      <protection locked="0"/>
    </xf>
    <xf numFmtId="0" fontId="6" fillId="21" borderId="0" xfId="0" applyNumberFormat="1" applyFont="1" applyFill="1" applyProtection="1">
      <protection locked="0"/>
    </xf>
    <xf numFmtId="37" fontId="0" fillId="2" borderId="5" xfId="0" applyNumberFormat="1" applyBorder="1"/>
    <xf numFmtId="37" fontId="0" fillId="2" borderId="82" xfId="0" applyNumberFormat="1" applyBorder="1"/>
    <xf numFmtId="3" fontId="0" fillId="2" borderId="8" xfId="0" applyNumberFormat="1" applyBorder="1"/>
    <xf numFmtId="2" fontId="6" fillId="21" borderId="0" xfId="0" applyNumberFormat="1" applyFont="1" applyFill="1"/>
    <xf numFmtId="188" fontId="6" fillId="21" borderId="0" xfId="0" applyNumberFormat="1" applyFont="1" applyFill="1"/>
    <xf numFmtId="3" fontId="6" fillId="21" borderId="0" xfId="0" applyNumberFormat="1" applyFont="1" applyFill="1"/>
    <xf numFmtId="3" fontId="0" fillId="2" borderId="1" xfId="0" applyNumberFormat="1" applyBorder="1"/>
    <xf numFmtId="2" fontId="80" fillId="17" borderId="52" xfId="0" applyNumberFormat="1" applyFont="1" applyFill="1" applyBorder="1" applyAlignment="1" applyProtection="1">
      <alignment horizontal="center"/>
      <protection locked="0"/>
    </xf>
    <xf numFmtId="2" fontId="80" fillId="17" borderId="8" xfId="0" applyNumberFormat="1" applyFont="1" applyFill="1" applyBorder="1" applyAlignment="1" applyProtection="1">
      <alignment horizontal="center"/>
      <protection locked="0"/>
    </xf>
    <xf numFmtId="2" fontId="80" fillId="17" borderId="78" xfId="0" applyNumberFormat="1" applyFont="1" applyFill="1" applyBorder="1" applyAlignment="1" applyProtection="1">
      <alignment horizontal="center"/>
      <protection locked="0"/>
    </xf>
    <xf numFmtId="0" fontId="0" fillId="2" borderId="81" xfId="0" applyNumberFormat="1" applyBorder="1"/>
    <xf numFmtId="192" fontId="0" fillId="2" borderId="8" xfId="0" applyNumberFormat="1" applyBorder="1"/>
    <xf numFmtId="0" fontId="84" fillId="2" borderId="0" xfId="0" applyNumberFormat="1" applyFont="1" applyBorder="1" applyProtection="1"/>
    <xf numFmtId="167" fontId="80" fillId="2" borderId="0" xfId="0" applyNumberFormat="1" applyFont="1" applyBorder="1" applyProtection="1"/>
    <xf numFmtId="167" fontId="81" fillId="2" borderId="0" xfId="0" applyNumberFormat="1" applyFont="1" applyBorder="1" applyAlignment="1" applyProtection="1">
      <alignment horizontal="center"/>
    </xf>
    <xf numFmtId="175" fontId="19" fillId="2" borderId="0" xfId="0" applyNumberFormat="1" applyFont="1" applyBorder="1" applyAlignment="1" applyProtection="1">
      <alignment horizontal="right"/>
    </xf>
    <xf numFmtId="0" fontId="6" fillId="2" borderId="8" xfId="0" applyNumberFormat="1" applyFont="1" applyBorder="1" applyAlignment="1" applyProtection="1">
      <alignment horizontal="center"/>
    </xf>
    <xf numFmtId="0" fontId="84" fillId="4" borderId="8" xfId="0" applyNumberFormat="1" applyFont="1" applyFill="1" applyBorder="1" applyAlignment="1" applyProtection="1">
      <alignment horizontal="center"/>
    </xf>
    <xf numFmtId="0" fontId="6" fillId="2" borderId="9" xfId="0" applyNumberFormat="1" applyFont="1" applyBorder="1" applyAlignment="1" applyProtection="1">
      <alignment horizontal="center"/>
    </xf>
    <xf numFmtId="167" fontId="81" fillId="0" borderId="0" xfId="0" applyNumberFormat="1" applyFont="1" applyFill="1" applyBorder="1" applyProtection="1"/>
    <xf numFmtId="2" fontId="80" fillId="17" borderId="50" xfId="0" applyNumberFormat="1" applyFont="1" applyFill="1" applyBorder="1" applyAlignment="1" applyProtection="1">
      <alignment horizontal="center"/>
      <protection locked="0"/>
    </xf>
    <xf numFmtId="167" fontId="81" fillId="2" borderId="78" xfId="0" applyNumberFormat="1" applyFont="1" applyBorder="1" applyAlignment="1" applyProtection="1">
      <alignment horizontal="center"/>
    </xf>
    <xf numFmtId="164" fontId="81" fillId="2" borderId="8" xfId="0" applyNumberFormat="1" applyFont="1" applyBorder="1" applyAlignment="1" applyProtection="1">
      <alignment horizontal="center"/>
    </xf>
    <xf numFmtId="4" fontId="97" fillId="0" borderId="0" xfId="0" applyNumberFormat="1" applyFont="1" applyFill="1" applyBorder="1" applyAlignment="1" applyProtection="1">
      <alignment horizontal="center"/>
    </xf>
    <xf numFmtId="167" fontId="80" fillId="2" borderId="12" xfId="0" applyNumberFormat="1" applyFont="1" applyBorder="1" applyProtection="1"/>
    <xf numFmtId="1" fontId="99" fillId="22" borderId="0" xfId="0" applyNumberFormat="1" applyFont="1" applyFill="1"/>
    <xf numFmtId="1" fontId="43" fillId="2" borderId="0" xfId="0" applyNumberFormat="1" applyFont="1"/>
    <xf numFmtId="49" fontId="43" fillId="2" borderId="0" xfId="0" applyNumberFormat="1" applyFont="1" applyAlignment="1">
      <alignment horizontal="right"/>
    </xf>
    <xf numFmtId="1" fontId="43" fillId="12" borderId="8" xfId="0" applyNumberFormat="1" applyFont="1" applyFill="1" applyBorder="1" applyAlignment="1">
      <alignment horizontal="center"/>
    </xf>
    <xf numFmtId="0" fontId="6" fillId="21" borderId="8" xfId="0" applyFont="1" applyFill="1" applyBorder="1" applyAlignment="1">
      <alignment horizontal="center"/>
    </xf>
    <xf numFmtId="1" fontId="0" fillId="0" borderId="0" xfId="0" applyNumberFormat="1" applyFill="1"/>
    <xf numFmtId="0" fontId="4" fillId="2" borderId="0" xfId="0" applyFont="1" applyAlignment="1">
      <alignment wrapText="1"/>
    </xf>
    <xf numFmtId="0" fontId="4" fillId="2" borderId="0" xfId="0" applyFont="1"/>
    <xf numFmtId="0" fontId="56" fillId="2" borderId="0" xfId="0" applyFont="1"/>
    <xf numFmtId="3" fontId="56" fillId="2" borderId="0" xfId="0" applyNumberFormat="1" applyFont="1"/>
    <xf numFmtId="0" fontId="56" fillId="21" borderId="0" xfId="0" applyFont="1" applyFill="1"/>
    <xf numFmtId="3" fontId="56" fillId="21" borderId="0" xfId="0" applyNumberFormat="1" applyFont="1" applyFill="1"/>
    <xf numFmtId="0" fontId="0" fillId="2" borderId="12" xfId="0" applyNumberFormat="1" applyFont="1" applyBorder="1" applyProtection="1"/>
    <xf numFmtId="4" fontId="17" fillId="24" borderId="1" xfId="0" applyNumberFormat="1" applyFont="1" applyFill="1" applyBorder="1" applyProtection="1">
      <protection locked="0"/>
    </xf>
    <xf numFmtId="0" fontId="0" fillId="24" borderId="4" xfId="0" applyNumberFormat="1" applyFont="1" applyFill="1" applyBorder="1" applyProtection="1">
      <protection locked="0"/>
    </xf>
    <xf numFmtId="0" fontId="0" fillId="23" borderId="4" xfId="0" applyNumberFormat="1" applyFill="1" applyBorder="1" applyProtection="1"/>
    <xf numFmtId="170" fontId="4" fillId="2" borderId="0" xfId="0" applyNumberFormat="1" applyFont="1" applyAlignment="1">
      <alignment wrapText="1"/>
    </xf>
    <xf numFmtId="170" fontId="4" fillId="2" borderId="0" xfId="0" applyNumberFormat="1" applyFont="1"/>
    <xf numFmtId="0" fontId="43" fillId="12" borderId="83" xfId="0" applyFont="1" applyFill="1" applyBorder="1"/>
    <xf numFmtId="0" fontId="43" fillId="12" borderId="84" xfId="0" applyFont="1" applyFill="1" applyBorder="1"/>
    <xf numFmtId="170" fontId="43" fillId="12" borderId="85" xfId="0" applyNumberFormat="1" applyFont="1" applyFill="1" applyBorder="1"/>
    <xf numFmtId="0" fontId="100" fillId="15" borderId="0" xfId="0" applyFont="1" applyFill="1" applyBorder="1" applyAlignment="1">
      <alignment horizontal="center" wrapText="1"/>
    </xf>
    <xf numFmtId="175" fontId="100" fillId="15" borderId="0" xfId="0" applyNumberFormat="1" applyFont="1" applyFill="1" applyBorder="1" applyAlignment="1">
      <alignment horizontal="right" wrapText="1"/>
    </xf>
    <xf numFmtId="170" fontId="100" fillId="15" borderId="0" xfId="0" applyNumberFormat="1" applyFont="1" applyFill="1" applyBorder="1" applyAlignment="1">
      <alignment horizontal="right" wrapText="1"/>
    </xf>
    <xf numFmtId="0" fontId="100" fillId="0" borderId="0" xfId="0" applyFont="1" applyFill="1" applyBorder="1" applyAlignment="1">
      <alignment horizontal="center" wrapText="1"/>
    </xf>
    <xf numFmtId="0" fontId="101" fillId="12" borderId="0" xfId="0" applyFont="1" applyFill="1" applyBorder="1" applyAlignment="1">
      <alignment horizontal="center" wrapText="1"/>
    </xf>
    <xf numFmtId="175" fontId="101" fillId="12" borderId="0" xfId="0" applyNumberFormat="1" applyFont="1" applyFill="1" applyBorder="1" applyAlignment="1">
      <alignment horizontal="right" wrapText="1"/>
    </xf>
    <xf numFmtId="170" fontId="101" fillId="12" borderId="0" xfId="0" applyNumberFormat="1" applyFont="1" applyFill="1" applyBorder="1" applyAlignment="1">
      <alignment horizontal="right" wrapText="1"/>
    </xf>
    <xf numFmtId="0" fontId="101" fillId="0" borderId="0" xfId="0" applyFont="1" applyFill="1" applyBorder="1" applyAlignment="1">
      <alignment horizontal="center" wrapText="1"/>
    </xf>
    <xf numFmtId="0" fontId="102" fillId="0" borderId="0" xfId="0" applyFont="1" applyFill="1" applyBorder="1" applyAlignment="1">
      <alignment horizontal="left"/>
    </xf>
    <xf numFmtId="175" fontId="102" fillId="0" borderId="0" xfId="0" applyNumberFormat="1" applyFont="1" applyFill="1" applyBorder="1" applyAlignment="1">
      <alignment horizontal="right"/>
    </xf>
    <xf numFmtId="170" fontId="102" fillId="0" borderId="0" xfId="0" applyNumberFormat="1" applyFont="1" applyFill="1" applyBorder="1" applyAlignment="1">
      <alignment horizontal="right"/>
    </xf>
    <xf numFmtId="0" fontId="102" fillId="0" borderId="14" xfId="0" applyFont="1" applyFill="1" applyBorder="1" applyAlignment="1">
      <alignment horizontal="left"/>
    </xf>
    <xf numFmtId="175" fontId="102" fillId="0" borderId="14" xfId="0" applyNumberFormat="1" applyFont="1" applyFill="1" applyBorder="1" applyAlignment="1">
      <alignment horizontal="right"/>
    </xf>
    <xf numFmtId="170" fontId="102" fillId="0" borderId="14" xfId="0" applyNumberFormat="1" applyFont="1" applyFill="1" applyBorder="1" applyAlignment="1">
      <alignment horizontal="right"/>
    </xf>
    <xf numFmtId="0" fontId="6" fillId="2" borderId="0" xfId="0" applyNumberFormat="1" applyFont="1" applyBorder="1" applyAlignment="1" applyProtection="1">
      <alignment horizontal="left"/>
    </xf>
    <xf numFmtId="4" fontId="97" fillId="23" borderId="8" xfId="0" applyNumberFormat="1" applyFont="1" applyFill="1" applyBorder="1" applyAlignment="1" applyProtection="1">
      <alignment horizontal="center"/>
    </xf>
    <xf numFmtId="0" fontId="6" fillId="2" borderId="9" xfId="0" applyNumberFormat="1" applyFont="1" applyBorder="1" applyAlignment="1" applyProtection="1">
      <alignment horizontal="left"/>
    </xf>
    <xf numFmtId="4" fontId="97" fillId="24" borderId="8" xfId="0" applyNumberFormat="1" applyFont="1" applyFill="1" applyBorder="1" applyAlignment="1" applyProtection="1">
      <alignment horizontal="center"/>
    </xf>
    <xf numFmtId="0" fontId="6" fillId="25" borderId="0" xfId="0" applyNumberFormat="1" applyFont="1" applyFill="1" applyBorder="1" applyAlignment="1" applyProtection="1">
      <alignment horizontal="left"/>
    </xf>
    <xf numFmtId="4" fontId="97" fillId="25" borderId="0" xfId="0" applyNumberFormat="1" applyFont="1" applyFill="1" applyBorder="1" applyAlignment="1" applyProtection="1">
      <alignment horizontal="center"/>
    </xf>
    <xf numFmtId="4" fontId="12" fillId="25" borderId="0" xfId="0" applyNumberFormat="1" applyFont="1" applyFill="1" applyBorder="1" applyAlignment="1" applyProtection="1">
      <alignment horizontal="center"/>
    </xf>
    <xf numFmtId="0" fontId="6" fillId="4" borderId="0" xfId="0" applyNumberFormat="1" applyFont="1" applyFill="1" applyBorder="1" applyAlignment="1" applyProtection="1">
      <alignment horizontal="left"/>
    </xf>
    <xf numFmtId="0" fontId="0" fillId="2" borderId="0" xfId="0" applyProtection="1"/>
    <xf numFmtId="2" fontId="12" fillId="4" borderId="0" xfId="0" quotePrefix="1" applyNumberFormat="1" applyFont="1" applyFill="1" applyBorder="1" applyAlignment="1" applyProtection="1">
      <alignment horizontal="left"/>
    </xf>
    <xf numFmtId="2" fontId="6" fillId="4" borderId="0" xfId="0" applyNumberFormat="1" applyFont="1" applyFill="1" applyBorder="1" applyAlignment="1" applyProtection="1">
      <alignment horizontal="center"/>
    </xf>
    <xf numFmtId="0" fontId="6" fillId="2" borderId="0" xfId="0" applyFont="1" applyProtection="1"/>
    <xf numFmtId="0" fontId="63" fillId="16" borderId="9" xfId="0" applyNumberFormat="1" applyFont="1" applyFill="1" applyBorder="1" applyAlignment="1">
      <alignment horizontal="left"/>
    </xf>
    <xf numFmtId="0" fontId="103" fillId="16" borderId="11" xfId="0" applyNumberFormat="1" applyFont="1" applyFill="1" applyBorder="1" applyAlignment="1">
      <alignment horizontal="center"/>
    </xf>
    <xf numFmtId="0" fontId="10" fillId="16" borderId="8" xfId="0" applyNumberFormat="1" applyFont="1" applyFill="1" applyBorder="1"/>
    <xf numFmtId="0" fontId="20" fillId="2" borderId="8" xfId="0" applyNumberFormat="1" applyFont="1" applyBorder="1"/>
    <xf numFmtId="6" fontId="20" fillId="2" borderId="8" xfId="0" applyNumberFormat="1" applyFont="1" applyBorder="1"/>
    <xf numFmtId="0" fontId="63" fillId="2" borderId="0" xfId="0" applyNumberFormat="1" applyFont="1" applyBorder="1"/>
    <xf numFmtId="0" fontId="20" fillId="2" borderId="0" xfId="0" applyNumberFormat="1" applyFont="1" applyBorder="1"/>
    <xf numFmtId="6" fontId="20" fillId="2" borderId="0" xfId="0" applyNumberFormat="1" applyFont="1" applyBorder="1"/>
    <xf numFmtId="0" fontId="10" fillId="2" borderId="0" xfId="0" applyNumberFormat="1" applyFont="1" applyBorder="1"/>
    <xf numFmtId="6" fontId="10" fillId="2" borderId="0" xfId="0" applyNumberFormat="1" applyFont="1" applyBorder="1"/>
    <xf numFmtId="0" fontId="10" fillId="16" borderId="8" xfId="0" applyNumberFormat="1" applyFont="1" applyFill="1" applyBorder="1" applyAlignment="1">
      <alignment horizontal="left"/>
    </xf>
    <xf numFmtId="0" fontId="6" fillId="0" borderId="8" xfId="0" applyNumberFormat="1" applyFont="1" applyFill="1" applyBorder="1" applyAlignment="1" applyProtection="1">
      <alignment horizontal="left"/>
    </xf>
    <xf numFmtId="0" fontId="81" fillId="23" borderId="9" xfId="0" applyNumberFormat="1" applyFont="1" applyFill="1" applyBorder="1" applyAlignment="1" applyProtection="1">
      <alignment horizontal="center"/>
    </xf>
    <xf numFmtId="4" fontId="12" fillId="4" borderId="11" xfId="0" applyNumberFormat="1" applyFont="1" applyFill="1" applyBorder="1" applyAlignment="1" applyProtection="1">
      <alignment horizontal="center"/>
    </xf>
    <xf numFmtId="164" fontId="81" fillId="2" borderId="11" xfId="0" applyNumberFormat="1" applyFont="1" applyBorder="1" applyAlignment="1" applyProtection="1">
      <alignment horizontal="center"/>
    </xf>
    <xf numFmtId="167" fontId="81" fillId="2" borderId="52" xfId="0" applyNumberFormat="1" applyFont="1" applyBorder="1" applyAlignment="1" applyProtection="1">
      <alignment horizontal="center"/>
    </xf>
    <xf numFmtId="0" fontId="6" fillId="0" borderId="0" xfId="0" applyNumberFormat="1" applyFont="1" applyFill="1" applyBorder="1" applyAlignment="1" applyProtection="1"/>
    <xf numFmtId="0" fontId="10" fillId="2" borderId="52" xfId="0" applyFont="1" applyBorder="1"/>
    <xf numFmtId="0" fontId="10" fillId="2" borderId="52" xfId="0" applyNumberFormat="1" applyFont="1" applyBorder="1"/>
    <xf numFmtId="6" fontId="10" fillId="2" borderId="52" xfId="0" applyNumberFormat="1" applyFont="1" applyBorder="1"/>
    <xf numFmtId="0" fontId="20" fillId="2" borderId="78" xfId="0" applyNumberFormat="1" applyFont="1" applyBorder="1"/>
    <xf numFmtId="6" fontId="20" fillId="2" borderId="78" xfId="0" applyNumberFormat="1" applyFont="1" applyBorder="1"/>
    <xf numFmtId="185" fontId="81" fillId="2" borderId="11" xfId="0" applyNumberFormat="1" applyFont="1" applyBorder="1" applyAlignment="1" applyProtection="1">
      <alignment horizontal="center"/>
    </xf>
    <xf numFmtId="185" fontId="81" fillId="2" borderId="52" xfId="0" applyNumberFormat="1" applyFont="1" applyBorder="1" applyAlignment="1" applyProtection="1">
      <alignment horizontal="center"/>
    </xf>
    <xf numFmtId="4" fontId="97" fillId="26" borderId="8" xfId="0" applyNumberFormat="1" applyFont="1" applyFill="1" applyBorder="1" applyAlignment="1" applyProtection="1">
      <alignment horizontal="center"/>
    </xf>
    <xf numFmtId="189" fontId="9" fillId="26" borderId="8" xfId="0" applyNumberFormat="1" applyFont="1" applyFill="1" applyBorder="1" applyAlignment="1" applyProtection="1">
      <alignment horizontal="center"/>
    </xf>
    <xf numFmtId="185" fontId="81" fillId="2" borderId="8" xfId="0" applyNumberFormat="1" applyFont="1" applyBorder="1" applyProtection="1"/>
    <xf numFmtId="0" fontId="105" fillId="26" borderId="0" xfId="0" applyFont="1" applyFill="1" applyAlignment="1">
      <alignment horizontal="center"/>
    </xf>
    <xf numFmtId="4" fontId="106" fillId="28" borderId="0" xfId="0" applyNumberFormat="1" applyFont="1" applyFill="1"/>
    <xf numFmtId="0" fontId="106" fillId="2" borderId="0" xfId="0" applyFont="1"/>
    <xf numFmtId="0" fontId="105" fillId="21" borderId="0" xfId="0" applyFont="1" applyFill="1" applyAlignment="1">
      <alignment horizontal="center"/>
    </xf>
    <xf numFmtId="4" fontId="106" fillId="21" borderId="0" xfId="0" applyNumberFormat="1" applyFont="1" applyFill="1"/>
    <xf numFmtId="0" fontId="105" fillId="2" borderId="0" xfId="0" applyFont="1" applyAlignment="1">
      <alignment horizontal="center"/>
    </xf>
    <xf numFmtId="4" fontId="106" fillId="2" borderId="0" xfId="0" applyNumberFormat="1" applyFont="1"/>
    <xf numFmtId="193" fontId="107" fillId="16" borderId="0" xfId="0" applyNumberFormat="1" applyFont="1" applyFill="1" applyBorder="1" applyAlignment="1" applyProtection="1">
      <alignment horizontal="center" wrapText="1"/>
    </xf>
    <xf numFmtId="0" fontId="108" fillId="16" borderId="0" xfId="0" applyNumberFormat="1" applyFont="1" applyFill="1" applyBorder="1" applyAlignment="1" applyProtection="1">
      <alignment horizontal="center" wrapText="1"/>
    </xf>
    <xf numFmtId="193" fontId="108" fillId="16" borderId="0" xfId="0" applyNumberFormat="1" applyFont="1" applyFill="1" applyBorder="1" applyAlignment="1" applyProtection="1">
      <alignment horizontal="center" wrapText="1"/>
    </xf>
    <xf numFmtId="170" fontId="108" fillId="16" borderId="0" xfId="0" applyNumberFormat="1" applyFont="1" applyFill="1" applyBorder="1" applyAlignment="1" applyProtection="1">
      <alignment horizontal="center" wrapText="1"/>
    </xf>
    <xf numFmtId="0" fontId="102" fillId="2" borderId="0" xfId="0" applyFont="1"/>
    <xf numFmtId="170" fontId="93" fillId="12" borderId="0" xfId="0" applyNumberFormat="1" applyFont="1" applyFill="1" applyBorder="1" applyAlignment="1" applyProtection="1">
      <alignment horizontal="right" wrapText="1"/>
    </xf>
    <xf numFmtId="170" fontId="93" fillId="12" borderId="0" xfId="0" applyNumberFormat="1" applyFont="1" applyFill="1" applyBorder="1" applyAlignment="1" applyProtection="1">
      <alignment horizontal="center" wrapText="1"/>
    </xf>
    <xf numFmtId="170" fontId="101" fillId="12" borderId="0" xfId="0" applyNumberFormat="1" applyFont="1" applyFill="1" applyAlignment="1">
      <alignment horizontal="right"/>
    </xf>
    <xf numFmtId="4" fontId="12" fillId="23" borderId="9" xfId="0" applyNumberFormat="1" applyFont="1" applyFill="1" applyBorder="1" applyAlignment="1" applyProtection="1">
      <alignment horizontal="center"/>
    </xf>
    <xf numFmtId="175" fontId="12" fillId="21" borderId="8" xfId="0" applyNumberFormat="1" applyFont="1" applyFill="1" applyBorder="1" applyAlignment="1" applyProtection="1">
      <alignment horizontal="right"/>
    </xf>
    <xf numFmtId="6" fontId="6" fillId="21" borderId="78" xfId="0" applyNumberFormat="1" applyFont="1" applyFill="1" applyBorder="1" applyAlignment="1" applyProtection="1">
      <alignment horizontal="right"/>
    </xf>
    <xf numFmtId="175" fontId="19" fillId="21" borderId="52" xfId="0" applyNumberFormat="1" applyFont="1" applyFill="1" applyBorder="1" applyAlignment="1" applyProtection="1">
      <alignment horizontal="right"/>
    </xf>
    <xf numFmtId="167" fontId="86" fillId="25" borderId="0" xfId="0" applyNumberFormat="1" applyFont="1" applyFill="1" applyBorder="1" applyAlignment="1" applyProtection="1">
      <alignment horizontal="center"/>
    </xf>
    <xf numFmtId="0" fontId="106" fillId="2" borderId="0" xfId="0" applyFont="1" applyAlignment="1">
      <alignment horizontal="center"/>
    </xf>
    <xf numFmtId="0" fontId="1" fillId="0" borderId="0" xfId="5"/>
    <xf numFmtId="0" fontId="112" fillId="26" borderId="0" xfId="0" applyFont="1" applyFill="1" applyAlignment="1">
      <alignment horizontal="center"/>
    </xf>
    <xf numFmtId="0" fontId="112" fillId="21" borderId="0" xfId="0" applyFont="1" applyFill="1"/>
    <xf numFmtId="3" fontId="112" fillId="21" borderId="0" xfId="0" applyNumberFormat="1" applyFont="1" applyFill="1"/>
    <xf numFmtId="0" fontId="113" fillId="0" borderId="0" xfId="5" applyFont="1"/>
    <xf numFmtId="0" fontId="112" fillId="2" borderId="0" xfId="0" applyFont="1"/>
    <xf numFmtId="175" fontId="106" fillId="2" borderId="0" xfId="0" applyNumberFormat="1" applyFont="1"/>
    <xf numFmtId="37" fontId="81" fillId="2" borderId="8" xfId="0" applyNumberFormat="1" applyFont="1" applyBorder="1" applyProtection="1"/>
    <xf numFmtId="164" fontId="81" fillId="2" borderId="52" xfId="0" applyNumberFormat="1" applyFont="1" applyBorder="1" applyProtection="1"/>
    <xf numFmtId="185" fontId="81" fillId="2" borderId="21" xfId="0" applyNumberFormat="1" applyFont="1" applyBorder="1" applyProtection="1"/>
    <xf numFmtId="164" fontId="81" fillId="2" borderId="21" xfId="0" applyNumberFormat="1" applyFont="1" applyBorder="1" applyProtection="1"/>
    <xf numFmtId="164" fontId="81" fillId="2" borderId="78" xfId="0" applyNumberFormat="1" applyFont="1" applyBorder="1" applyAlignment="1" applyProtection="1">
      <alignment horizontal="center"/>
    </xf>
    <xf numFmtId="185" fontId="81" fillId="2" borderId="86" xfId="0" applyNumberFormat="1" applyFont="1" applyBorder="1" applyAlignment="1" applyProtection="1">
      <alignment horizontal="center"/>
    </xf>
    <xf numFmtId="164" fontId="81" fillId="2" borderId="86" xfId="0" applyNumberFormat="1" applyFont="1" applyBorder="1" applyAlignment="1" applyProtection="1">
      <alignment horizontal="center"/>
    </xf>
    <xf numFmtId="4" fontId="97" fillId="0" borderId="52" xfId="0" applyNumberFormat="1" applyFont="1" applyFill="1" applyBorder="1" applyAlignment="1" applyProtection="1">
      <alignment horizontal="center"/>
    </xf>
    <xf numFmtId="4" fontId="97" fillId="23" borderId="52" xfId="0" applyNumberFormat="1" applyFont="1" applyFill="1" applyBorder="1" applyAlignment="1" applyProtection="1">
      <alignment horizontal="center"/>
    </xf>
    <xf numFmtId="4" fontId="97" fillId="0" borderId="21" xfId="0" applyNumberFormat="1" applyFont="1" applyFill="1" applyBorder="1" applyAlignment="1" applyProtection="1">
      <alignment horizontal="center"/>
    </xf>
    <xf numFmtId="4" fontId="12" fillId="23" borderId="20" xfId="0" applyNumberFormat="1" applyFont="1" applyFill="1" applyBorder="1" applyAlignment="1" applyProtection="1">
      <alignment horizontal="center"/>
    </xf>
    <xf numFmtId="4" fontId="12" fillId="27" borderId="87" xfId="0" applyNumberFormat="1" applyFont="1" applyFill="1" applyBorder="1" applyAlignment="1" applyProtection="1">
      <alignment horizontal="center"/>
    </xf>
    <xf numFmtId="0" fontId="21" fillId="23" borderId="0" xfId="2" applyFill="1" applyBorder="1" applyAlignment="1" applyProtection="1"/>
    <xf numFmtId="0" fontId="81" fillId="23" borderId="20" xfId="0" applyNumberFormat="1" applyFont="1" applyFill="1" applyBorder="1" applyAlignment="1" applyProtection="1">
      <alignment horizontal="center"/>
    </xf>
    <xf numFmtId="0" fontId="81" fillId="23" borderId="0" xfId="0" applyNumberFormat="1" applyFont="1" applyFill="1" applyBorder="1" applyAlignment="1" applyProtection="1">
      <alignment horizontal="center"/>
    </xf>
    <xf numFmtId="10" fontId="9" fillId="29" borderId="0" xfId="0" applyNumberFormat="1" applyFont="1" applyFill="1" applyBorder="1" applyAlignment="1" applyProtection="1">
      <alignment horizontal="center"/>
    </xf>
    <xf numFmtId="3" fontId="114" fillId="2" borderId="8" xfId="0" applyNumberFormat="1" applyFont="1" applyBorder="1"/>
    <xf numFmtId="3" fontId="114" fillId="2" borderId="0" xfId="0" applyNumberFormat="1" applyFont="1"/>
    <xf numFmtId="0" fontId="20" fillId="21" borderId="0" xfId="0" applyNumberFormat="1" applyFont="1" applyFill="1"/>
    <xf numFmtId="3" fontId="114" fillId="21" borderId="0" xfId="0" applyNumberFormat="1" applyFont="1" applyFill="1"/>
    <xf numFmtId="0" fontId="10" fillId="2" borderId="0" xfId="0" applyNumberFormat="1" applyFont="1" applyProtection="1"/>
    <xf numFmtId="0" fontId="20" fillId="2" borderId="0" xfId="0" applyNumberFormat="1" applyFont="1" applyProtection="1"/>
    <xf numFmtId="0" fontId="109" fillId="2" borderId="0" xfId="0" applyNumberFormat="1" applyFont="1" applyProtection="1"/>
    <xf numFmtId="0" fontId="19" fillId="4" borderId="0" xfId="0" applyNumberFormat="1" applyFont="1" applyFill="1" applyProtection="1"/>
    <xf numFmtId="0" fontId="19" fillId="2" borderId="0" xfId="0" applyNumberFormat="1" applyFont="1" applyBorder="1" applyAlignment="1" applyProtection="1">
      <alignment horizontal="left"/>
    </xf>
    <xf numFmtId="175" fontId="19" fillId="2" borderId="0" xfId="0" applyNumberFormat="1" applyFont="1" applyBorder="1" applyAlignment="1" applyProtection="1">
      <alignment horizontal="left"/>
    </xf>
    <xf numFmtId="0" fontId="20" fillId="4" borderId="0" xfId="0" applyNumberFormat="1" applyFont="1" applyFill="1" applyProtection="1"/>
    <xf numFmtId="175" fontId="20" fillId="2" borderId="0" xfId="0" applyNumberFormat="1" applyFont="1" applyAlignment="1" applyProtection="1">
      <alignment horizontal="right"/>
    </xf>
    <xf numFmtId="0" fontId="5" fillId="2" borderId="0" xfId="0" applyNumberFormat="1" applyFont="1" applyAlignment="1" applyProtection="1">
      <alignment horizontal="center"/>
    </xf>
    <xf numFmtId="0" fontId="0" fillId="15" borderId="0" xfId="0" applyNumberFormat="1" applyFill="1" applyProtection="1"/>
    <xf numFmtId="0" fontId="0" fillId="15" borderId="0" xfId="0" applyNumberFormat="1" applyFill="1" applyBorder="1" applyProtection="1"/>
    <xf numFmtId="0" fontId="27" fillId="2" borderId="0" xfId="0" applyNumberFormat="1" applyFont="1" applyProtection="1"/>
    <xf numFmtId="0" fontId="64" fillId="2" borderId="0" xfId="0" applyNumberFormat="1" applyFont="1" applyProtection="1"/>
    <xf numFmtId="0" fontId="111" fillId="2" borderId="0" xfId="0" applyNumberFormat="1" applyFont="1" applyProtection="1"/>
    <xf numFmtId="0" fontId="19" fillId="2" borderId="0" xfId="0" applyNumberFormat="1" applyFont="1" applyProtection="1"/>
    <xf numFmtId="0" fontId="27" fillId="2" borderId="0" xfId="0" applyNumberFormat="1" applyFont="1" applyAlignment="1" applyProtection="1">
      <alignment horizontal="right"/>
    </xf>
    <xf numFmtId="0" fontId="65" fillId="2" borderId="0" xfId="0" applyNumberFormat="1" applyFont="1" applyBorder="1" applyAlignment="1" applyProtection="1">
      <alignment horizontal="left"/>
    </xf>
    <xf numFmtId="0" fontId="66" fillId="2" borderId="0" xfId="0" applyNumberFormat="1" applyFont="1" applyBorder="1" applyAlignment="1" applyProtection="1">
      <alignment horizontal="right"/>
    </xf>
    <xf numFmtId="0" fontId="66" fillId="4" borderId="0" xfId="0" applyNumberFormat="1" applyFont="1" applyFill="1" applyBorder="1" applyProtection="1"/>
    <xf numFmtId="175" fontId="89" fillId="2" borderId="0" xfId="0" applyNumberFormat="1" applyFont="1" applyBorder="1" applyAlignment="1" applyProtection="1">
      <alignment horizontal="right"/>
    </xf>
    <xf numFmtId="0" fontId="89" fillId="2" borderId="0" xfId="0" applyNumberFormat="1" applyFont="1" applyAlignment="1" applyProtection="1">
      <alignment horizontal="center"/>
    </xf>
    <xf numFmtId="0" fontId="90" fillId="2" borderId="0" xfId="0" applyNumberFormat="1" applyFont="1" applyProtection="1"/>
    <xf numFmtId="0" fontId="97" fillId="21" borderId="8" xfId="0" applyNumberFormat="1" applyFont="1" applyFill="1" applyBorder="1" applyAlignment="1" applyProtection="1">
      <alignment horizontal="center"/>
    </xf>
    <xf numFmtId="175" fontId="0" fillId="2" borderId="0" xfId="0" applyNumberFormat="1" applyAlignment="1" applyProtection="1">
      <alignment horizontal="right"/>
    </xf>
    <xf numFmtId="0" fontId="6" fillId="2" borderId="0" xfId="0" applyNumberFormat="1" applyFont="1" applyAlignment="1" applyProtection="1">
      <alignment horizontal="center"/>
    </xf>
    <xf numFmtId="0" fontId="6" fillId="2" borderId="76" xfId="0" applyNumberFormat="1" applyFont="1" applyBorder="1" applyAlignment="1" applyProtection="1">
      <alignment horizontal="center"/>
    </xf>
    <xf numFmtId="0" fontId="79" fillId="4" borderId="8" xfId="0" applyNumberFormat="1" applyFont="1" applyFill="1" applyBorder="1" applyAlignment="1" applyProtection="1">
      <alignment horizontal="center"/>
    </xf>
    <xf numFmtId="0" fontId="79" fillId="4" borderId="20" xfId="0" applyNumberFormat="1" applyFont="1" applyFill="1" applyBorder="1" applyAlignment="1" applyProtection="1">
      <alignment horizontal="center"/>
    </xf>
    <xf numFmtId="0" fontId="12" fillId="2" borderId="9" xfId="0" applyNumberFormat="1" applyFont="1" applyBorder="1" applyAlignment="1" applyProtection="1">
      <alignment horizontal="left"/>
    </xf>
    <xf numFmtId="0" fontId="80" fillId="17" borderId="8" xfId="0" applyNumberFormat="1" applyFont="1" applyFill="1" applyBorder="1" applyAlignment="1" applyProtection="1">
      <alignment horizontal="center"/>
    </xf>
    <xf numFmtId="0" fontId="80" fillId="17" borderId="9" xfId="0" applyNumberFormat="1" applyFont="1" applyFill="1" applyBorder="1" applyAlignment="1" applyProtection="1">
      <alignment horizontal="center"/>
    </xf>
    <xf numFmtId="0" fontId="13" fillId="2" borderId="0" xfId="0" applyNumberFormat="1" applyFont="1" applyProtection="1"/>
    <xf numFmtId="0" fontId="84" fillId="4" borderId="0" xfId="0" applyNumberFormat="1" applyFont="1" applyFill="1" applyBorder="1" applyAlignment="1" applyProtection="1">
      <alignment horizontal="center"/>
    </xf>
    <xf numFmtId="175" fontId="80" fillId="2" borderId="0" xfId="0" applyNumberFormat="1" applyFont="1" applyAlignment="1" applyProtection="1">
      <alignment horizontal="right"/>
    </xf>
    <xf numFmtId="0" fontId="12" fillId="2" borderId="73" xfId="0" applyNumberFormat="1" applyFont="1" applyBorder="1" applyAlignment="1" applyProtection="1">
      <alignment horizontal="left"/>
    </xf>
    <xf numFmtId="187" fontId="9" fillId="17" borderId="74" xfId="0" applyNumberFormat="1" applyFont="1" applyFill="1" applyBorder="1" applyAlignment="1" applyProtection="1">
      <alignment horizontal="center"/>
    </xf>
    <xf numFmtId="187" fontId="9" fillId="17" borderId="9" xfId="0" applyNumberFormat="1" applyFont="1" applyFill="1" applyBorder="1" applyAlignment="1" applyProtection="1">
      <alignment horizontal="center"/>
    </xf>
    <xf numFmtId="0" fontId="13" fillId="23" borderId="0" xfId="0" applyNumberFormat="1" applyFont="1" applyFill="1" applyBorder="1" applyProtection="1"/>
    <xf numFmtId="0" fontId="0" fillId="4" borderId="0" xfId="0" applyNumberFormat="1" applyFill="1" applyAlignment="1" applyProtection="1">
      <alignment horizontal="left"/>
    </xf>
    <xf numFmtId="187" fontId="9" fillId="24" borderId="74" xfId="0" applyNumberFormat="1" applyFont="1" applyFill="1" applyBorder="1" applyAlignment="1" applyProtection="1">
      <alignment horizontal="center"/>
    </xf>
    <xf numFmtId="187" fontId="9" fillId="17" borderId="10" xfId="0" applyNumberFormat="1" applyFont="1" applyFill="1" applyBorder="1" applyAlignment="1" applyProtection="1">
      <alignment horizontal="center"/>
    </xf>
    <xf numFmtId="187" fontId="0" fillId="21" borderId="52" xfId="0" applyNumberFormat="1" applyFill="1" applyBorder="1" applyProtection="1"/>
    <xf numFmtId="2" fontId="97" fillId="4" borderId="11" xfId="0" applyNumberFormat="1" applyFont="1" applyFill="1" applyBorder="1" applyAlignment="1" applyProtection="1">
      <alignment horizontal="center"/>
    </xf>
    <xf numFmtId="2" fontId="9" fillId="4" borderId="0" xfId="0" applyNumberFormat="1" applyFont="1" applyFill="1" applyBorder="1" applyAlignment="1" applyProtection="1">
      <alignment horizontal="center"/>
    </xf>
    <xf numFmtId="2" fontId="82" fillId="4" borderId="0" xfId="0" applyNumberFormat="1" applyFont="1" applyFill="1" applyBorder="1" applyAlignment="1" applyProtection="1">
      <alignment horizontal="center"/>
    </xf>
    <xf numFmtId="187" fontId="9" fillId="17" borderId="16" xfId="0" applyNumberFormat="1" applyFont="1" applyFill="1" applyBorder="1" applyAlignment="1" applyProtection="1">
      <alignment horizontal="center"/>
    </xf>
    <xf numFmtId="187" fontId="0" fillId="21" borderId="8" xfId="0" applyNumberFormat="1" applyFill="1" applyBorder="1" applyProtection="1"/>
    <xf numFmtId="2" fontId="6" fillId="4" borderId="0" xfId="0" applyNumberFormat="1" applyFont="1" applyFill="1" applyBorder="1" applyAlignment="1" applyProtection="1">
      <alignment horizontal="left"/>
    </xf>
    <xf numFmtId="187" fontId="9" fillId="24" borderId="78" xfId="0" applyNumberFormat="1" applyFont="1" applyFill="1" applyBorder="1" applyAlignment="1" applyProtection="1">
      <alignment horizontal="center"/>
    </xf>
    <xf numFmtId="187" fontId="9" fillId="24" borderId="13" xfId="0" applyNumberFormat="1" applyFont="1" applyFill="1" applyBorder="1" applyAlignment="1" applyProtection="1">
      <alignment horizontal="center"/>
    </xf>
    <xf numFmtId="187" fontId="0" fillId="21" borderId="78" xfId="0" applyNumberFormat="1" applyFill="1" applyBorder="1" applyProtection="1"/>
    <xf numFmtId="9" fontId="82" fillId="21" borderId="52" xfId="0" applyNumberFormat="1" applyFont="1" applyFill="1" applyBorder="1" applyAlignment="1" applyProtection="1">
      <alignment horizontal="center"/>
    </xf>
    <xf numFmtId="9" fontId="82" fillId="4" borderId="0" xfId="0" applyNumberFormat="1" applyFont="1" applyFill="1" applyBorder="1" applyAlignment="1" applyProtection="1">
      <alignment horizontal="center"/>
    </xf>
    <xf numFmtId="9" fontId="82" fillId="21" borderId="8" xfId="0" applyNumberFormat="1" applyFont="1" applyFill="1" applyBorder="1" applyAlignment="1" applyProtection="1">
      <alignment horizontal="center"/>
    </xf>
    <xf numFmtId="175" fontId="97" fillId="21" borderId="8" xfId="0" applyNumberFormat="1" applyFont="1" applyFill="1" applyBorder="1" applyAlignment="1" applyProtection="1">
      <alignment horizontal="center"/>
    </xf>
    <xf numFmtId="0" fontId="0" fillId="21" borderId="0" xfId="0" applyNumberFormat="1" applyFill="1" applyProtection="1"/>
    <xf numFmtId="175" fontId="97" fillId="21" borderId="8" xfId="0" applyNumberFormat="1" applyFont="1" applyFill="1" applyBorder="1" applyAlignment="1" applyProtection="1">
      <alignment horizontal="center" readingOrder="1"/>
    </xf>
    <xf numFmtId="0" fontId="83" fillId="4" borderId="0" xfId="0" applyNumberFormat="1" applyFont="1" applyFill="1" applyBorder="1" applyProtection="1"/>
    <xf numFmtId="0" fontId="98" fillId="29" borderId="0" xfId="0" applyNumberFormat="1" applyFont="1" applyFill="1" applyAlignment="1" applyProtection="1">
      <alignment horizontal="left" readingOrder="1"/>
    </xf>
    <xf numFmtId="0" fontId="83" fillId="29" borderId="0" xfId="0" applyNumberFormat="1" applyFont="1" applyFill="1" applyBorder="1" applyProtection="1"/>
    <xf numFmtId="0" fontId="0" fillId="29" borderId="0" xfId="0" applyNumberFormat="1" applyFill="1" applyProtection="1"/>
    <xf numFmtId="175" fontId="0" fillId="29" borderId="0" xfId="0" applyNumberFormat="1" applyFill="1" applyAlignment="1" applyProtection="1">
      <alignment horizontal="right"/>
    </xf>
    <xf numFmtId="0" fontId="6" fillId="29" borderId="0" xfId="0" applyNumberFormat="1" applyFont="1" applyFill="1" applyAlignment="1" applyProtection="1">
      <alignment horizontal="center"/>
    </xf>
    <xf numFmtId="0" fontId="19" fillId="2" borderId="72" xfId="0" applyNumberFormat="1" applyFont="1" applyBorder="1" applyAlignment="1" applyProtection="1">
      <alignment horizontal="left"/>
    </xf>
    <xf numFmtId="0" fontId="80" fillId="29" borderId="0" xfId="0" applyNumberFormat="1" applyFont="1" applyFill="1" applyProtection="1"/>
    <xf numFmtId="175" fontId="80" fillId="29" borderId="0" xfId="0" applyNumberFormat="1" applyFont="1" applyFill="1" applyAlignment="1" applyProtection="1">
      <alignment horizontal="right"/>
    </xf>
    <xf numFmtId="0" fontId="91" fillId="29" borderId="0" xfId="0" applyNumberFormat="1" applyFont="1" applyFill="1" applyBorder="1" applyAlignment="1" applyProtection="1">
      <alignment horizontal="center"/>
    </xf>
    <xf numFmtId="0" fontId="84" fillId="2" borderId="0" xfId="0" applyNumberFormat="1" applyFont="1" applyProtection="1"/>
    <xf numFmtId="0" fontId="80" fillId="2" borderId="0" xfId="0" applyNumberFormat="1" applyFont="1" applyProtection="1"/>
    <xf numFmtId="0" fontId="85" fillId="2" borderId="8" xfId="0" applyNumberFormat="1" applyFont="1" applyBorder="1" applyProtection="1"/>
    <xf numFmtId="0" fontId="84" fillId="2" borderId="77" xfId="0" applyNumberFormat="1" applyFont="1" applyBorder="1" applyAlignment="1" applyProtection="1">
      <alignment horizontal="center"/>
    </xf>
    <xf numFmtId="0" fontId="84" fillId="2" borderId="50" xfId="0" applyNumberFormat="1" applyFont="1" applyBorder="1" applyAlignment="1" applyProtection="1">
      <alignment horizontal="center"/>
    </xf>
    <xf numFmtId="0" fontId="84" fillId="2" borderId="8" xfId="0" applyNumberFormat="1" applyFont="1" applyBorder="1" applyAlignment="1" applyProtection="1">
      <alignment horizontal="center"/>
    </xf>
    <xf numFmtId="0" fontId="80" fillId="2" borderId="8" xfId="0" applyNumberFormat="1" applyFont="1" applyBorder="1" applyAlignment="1" applyProtection="1">
      <alignment horizontal="center"/>
    </xf>
    <xf numFmtId="0" fontId="85" fillId="2" borderId="8" xfId="0" applyNumberFormat="1" applyFont="1" applyBorder="1" applyAlignment="1" applyProtection="1">
      <alignment horizontal="center"/>
    </xf>
    <xf numFmtId="0" fontId="85" fillId="2" borderId="9" xfId="0" applyNumberFormat="1" applyFont="1" applyBorder="1" applyAlignment="1" applyProtection="1">
      <alignment horizontal="center"/>
    </xf>
    <xf numFmtId="185" fontId="85" fillId="2" borderId="11" xfId="0" applyNumberFormat="1" applyFont="1" applyBorder="1" applyAlignment="1" applyProtection="1">
      <alignment horizontal="center"/>
    </xf>
    <xf numFmtId="0" fontId="85" fillId="2" borderId="11" xfId="0" applyNumberFormat="1" applyFont="1" applyBorder="1" applyAlignment="1" applyProtection="1">
      <alignment horizontal="center"/>
    </xf>
    <xf numFmtId="175" fontId="6" fillId="2" borderId="11" xfId="0" applyNumberFormat="1" applyFont="1" applyBorder="1" applyAlignment="1" applyProtection="1">
      <alignment horizontal="center"/>
    </xf>
    <xf numFmtId="175" fontId="6" fillId="21" borderId="8" xfId="0" applyNumberFormat="1" applyFont="1" applyFill="1" applyBorder="1" applyAlignment="1" applyProtection="1">
      <alignment horizontal="center"/>
    </xf>
    <xf numFmtId="0" fontId="6" fillId="15" borderId="0" xfId="0" applyNumberFormat="1" applyFont="1" applyFill="1" applyBorder="1" applyAlignment="1" applyProtection="1">
      <alignment horizontal="center"/>
    </xf>
    <xf numFmtId="167" fontId="0" fillId="2" borderId="8" xfId="0" applyNumberFormat="1" applyFont="1" applyBorder="1" applyAlignment="1" applyProtection="1">
      <alignment horizontal="center"/>
    </xf>
    <xf numFmtId="4" fontId="6" fillId="15" borderId="0" xfId="0" applyNumberFormat="1" applyFont="1" applyFill="1" applyBorder="1" applyAlignment="1" applyProtection="1">
      <alignment horizontal="center"/>
    </xf>
    <xf numFmtId="175" fontId="6" fillId="15" borderId="0" xfId="0" applyNumberFormat="1" applyFont="1" applyFill="1" applyBorder="1" applyAlignment="1" applyProtection="1">
      <alignment horizontal="center"/>
    </xf>
    <xf numFmtId="175" fontId="6" fillId="29" borderId="0" xfId="0" applyNumberFormat="1" applyFont="1" applyFill="1" applyBorder="1" applyAlignment="1" applyProtection="1">
      <alignment horizontal="center"/>
    </xf>
    <xf numFmtId="4" fontId="81" fillId="2" borderId="52" xfId="0" applyNumberFormat="1" applyFont="1" applyBorder="1" applyAlignment="1" applyProtection="1">
      <alignment horizontal="center"/>
    </xf>
    <xf numFmtId="0" fontId="86" fillId="2" borderId="0" xfId="0" applyNumberFormat="1" applyFont="1" applyBorder="1" applyAlignment="1" applyProtection="1">
      <alignment horizontal="center"/>
    </xf>
    <xf numFmtId="0" fontId="80" fillId="4" borderId="0" xfId="0" applyNumberFormat="1" applyFont="1" applyFill="1" applyBorder="1" applyAlignment="1" applyProtection="1">
      <alignment horizontal="center"/>
    </xf>
    <xf numFmtId="0" fontId="86" fillId="2" borderId="8" xfId="0" applyNumberFormat="1" applyFont="1" applyBorder="1" applyAlignment="1" applyProtection="1">
      <alignment horizontal="center"/>
    </xf>
    <xf numFmtId="0" fontId="0" fillId="4" borderId="78" xfId="0" applyNumberFormat="1" applyFill="1" applyBorder="1" applyProtection="1"/>
    <xf numFmtId="2" fontId="80" fillId="17" borderId="12" xfId="0" applyNumberFormat="1" applyFont="1" applyFill="1" applyBorder="1" applyAlignment="1" applyProtection="1">
      <alignment horizontal="center"/>
    </xf>
    <xf numFmtId="0" fontId="6" fillId="4" borderId="79" xfId="0" applyNumberFormat="1" applyFont="1" applyFill="1" applyBorder="1" applyProtection="1"/>
    <xf numFmtId="175" fontId="10" fillId="15" borderId="0" xfId="0" applyNumberFormat="1" applyFont="1" applyFill="1" applyBorder="1" applyAlignment="1" applyProtection="1">
      <alignment horizontal="center"/>
    </xf>
    <xf numFmtId="175" fontId="0" fillId="15" borderId="0" xfId="0" applyNumberFormat="1" applyFill="1" applyAlignment="1" applyProtection="1">
      <alignment horizontal="right"/>
    </xf>
    <xf numFmtId="0" fontId="6" fillId="15" borderId="0" xfId="0" applyNumberFormat="1" applyFont="1" applyFill="1" applyAlignment="1" applyProtection="1">
      <alignment horizontal="center"/>
    </xf>
    <xf numFmtId="0" fontId="87" fillId="2" borderId="0" xfId="0" applyNumberFormat="1" applyFont="1" applyBorder="1" applyAlignment="1" applyProtection="1">
      <alignment horizontal="center"/>
    </xf>
    <xf numFmtId="167" fontId="86" fillId="15" borderId="0" xfId="0" applyNumberFormat="1" applyFont="1" applyFill="1" applyBorder="1" applyAlignment="1" applyProtection="1">
      <alignment horizontal="center"/>
    </xf>
    <xf numFmtId="164" fontId="81" fillId="15" borderId="0" xfId="0" applyNumberFormat="1" applyFont="1" applyFill="1" applyBorder="1" applyAlignment="1" applyProtection="1">
      <alignment horizontal="center"/>
    </xf>
    <xf numFmtId="0" fontId="2" fillId="2" borderId="9" xfId="0" applyNumberFormat="1" applyFont="1" applyBorder="1" applyProtection="1"/>
    <xf numFmtId="0" fontId="6" fillId="2" borderId="11" xfId="0" applyNumberFormat="1" applyFont="1" applyBorder="1" applyAlignment="1" applyProtection="1">
      <alignment horizontal="center"/>
    </xf>
    <xf numFmtId="3" fontId="12" fillId="21" borderId="8" xfId="0" applyNumberFormat="1" applyFont="1" applyFill="1" applyBorder="1" applyProtection="1"/>
    <xf numFmtId="0" fontId="0" fillId="15" borderId="0" xfId="0" applyNumberFormat="1" applyFont="1" applyFill="1" applyProtection="1"/>
    <xf numFmtId="164" fontId="12" fillId="15" borderId="0" xfId="0" applyNumberFormat="1" applyFont="1" applyFill="1" applyBorder="1" applyAlignment="1" applyProtection="1">
      <alignment horizontal="center"/>
    </xf>
    <xf numFmtId="175" fontId="0" fillId="15" borderId="0" xfId="0" applyNumberFormat="1" applyFont="1" applyFill="1" applyAlignment="1" applyProtection="1">
      <alignment horizontal="right"/>
    </xf>
    <xf numFmtId="0" fontId="0" fillId="2" borderId="0" xfId="0" applyNumberFormat="1" applyFont="1" applyProtection="1"/>
    <xf numFmtId="2" fontId="96" fillId="17" borderId="8" xfId="0" applyNumberFormat="1" applyFont="1" applyFill="1" applyBorder="1" applyAlignment="1" applyProtection="1">
      <alignment horizontal="center"/>
    </xf>
    <xf numFmtId="2" fontId="96" fillId="23" borderId="9" xfId="0" applyNumberFormat="1" applyFont="1" applyFill="1" applyBorder="1" applyAlignment="1" applyProtection="1">
      <alignment horizontal="center"/>
    </xf>
    <xf numFmtId="0" fontId="6" fillId="25" borderId="8" xfId="0" applyNumberFormat="1" applyFont="1" applyFill="1" applyBorder="1" applyProtection="1"/>
    <xf numFmtId="2" fontId="6" fillId="25" borderId="8" xfId="0" applyNumberFormat="1" applyFont="1" applyFill="1" applyBorder="1" applyProtection="1"/>
    <xf numFmtId="0" fontId="6" fillId="0" borderId="9" xfId="0" applyNumberFormat="1" applyFont="1" applyFill="1" applyBorder="1" applyProtection="1"/>
    <xf numFmtId="0" fontId="0" fillId="21" borderId="8" xfId="0" applyNumberFormat="1" applyFill="1" applyBorder="1" applyProtection="1"/>
    <xf numFmtId="0" fontId="0" fillId="25" borderId="0" xfId="0" applyNumberFormat="1" applyFill="1" applyProtection="1"/>
    <xf numFmtId="175" fontId="0" fillId="25" borderId="0" xfId="0" applyNumberFormat="1" applyFill="1" applyAlignment="1" applyProtection="1">
      <alignment horizontal="right"/>
    </xf>
    <xf numFmtId="0" fontId="6" fillId="25" borderId="0" xfId="0" applyNumberFormat="1" applyFont="1" applyFill="1" applyAlignment="1" applyProtection="1">
      <alignment horizontal="center"/>
    </xf>
    <xf numFmtId="0" fontId="97" fillId="23" borderId="8" xfId="0" applyNumberFormat="1" applyFont="1" applyFill="1" applyBorder="1" applyProtection="1"/>
    <xf numFmtId="2" fontId="97" fillId="23" borderId="8" xfId="0" applyNumberFormat="1" applyFont="1" applyFill="1" applyBorder="1" applyAlignment="1" applyProtection="1">
      <alignment horizontal="center"/>
    </xf>
    <xf numFmtId="0" fontId="97" fillId="23" borderId="8" xfId="0" applyNumberFormat="1" applyFont="1" applyFill="1" applyBorder="1" applyAlignment="1" applyProtection="1">
      <alignment horizontal="center"/>
    </xf>
    <xf numFmtId="0" fontId="12" fillId="23" borderId="8" xfId="0" applyNumberFormat="1" applyFont="1" applyFill="1" applyBorder="1" applyAlignment="1" applyProtection="1">
      <alignment horizontal="center"/>
    </xf>
    <xf numFmtId="37" fontId="12" fillId="23" borderId="9" xfId="0" applyNumberFormat="1" applyFont="1" applyFill="1" applyBorder="1" applyProtection="1"/>
    <xf numFmtId="0" fontId="6" fillId="23" borderId="8" xfId="0" applyNumberFormat="1" applyFont="1" applyFill="1" applyBorder="1" applyProtection="1"/>
    <xf numFmtId="2" fontId="6" fillId="2" borderId="11" xfId="0" applyNumberFormat="1" applyFont="1" applyBorder="1" applyAlignment="1" applyProtection="1">
      <alignment horizontal="center"/>
    </xf>
    <xf numFmtId="0" fontId="6" fillId="23" borderId="9" xfId="0" applyNumberFormat="1" applyFont="1" applyFill="1" applyBorder="1" applyProtection="1"/>
    <xf numFmtId="2" fontId="6" fillId="24" borderId="8" xfId="0" applyNumberFormat="1" applyFont="1" applyFill="1" applyBorder="1" applyProtection="1"/>
    <xf numFmtId="0" fontId="6" fillId="24" borderId="8" xfId="0" applyNumberFormat="1" applyFont="1" applyFill="1" applyBorder="1" applyProtection="1"/>
    <xf numFmtId="2" fontId="97" fillId="23" borderId="9" xfId="0" applyNumberFormat="1" applyFont="1" applyFill="1" applyBorder="1" applyAlignment="1" applyProtection="1">
      <alignment horizontal="center"/>
    </xf>
    <xf numFmtId="2" fontId="97" fillId="23" borderId="8" xfId="0" applyNumberFormat="1" applyFont="1" applyFill="1" applyBorder="1" applyProtection="1"/>
    <xf numFmtId="2" fontId="6" fillId="24" borderId="78" xfId="0" applyNumberFormat="1" applyFont="1" applyFill="1" applyBorder="1" applyProtection="1"/>
    <xf numFmtId="0" fontId="6" fillId="24" borderId="78" xfId="0" applyNumberFormat="1" applyFont="1" applyFill="1" applyBorder="1" applyProtection="1"/>
    <xf numFmtId="2" fontId="6" fillId="23" borderId="52" xfId="0" applyNumberFormat="1" applyFont="1" applyFill="1" applyBorder="1" applyProtection="1"/>
    <xf numFmtId="0" fontId="97" fillId="23" borderId="9" xfId="0" applyNumberFormat="1" applyFont="1" applyFill="1" applyBorder="1" applyAlignment="1" applyProtection="1">
      <alignment horizontal="center"/>
    </xf>
    <xf numFmtId="0" fontId="104" fillId="0" borderId="8" xfId="0" applyNumberFormat="1" applyFont="1" applyFill="1" applyBorder="1" applyProtection="1"/>
    <xf numFmtId="0" fontId="0" fillId="0" borderId="8" xfId="0" applyNumberFormat="1" applyFill="1" applyBorder="1" applyProtection="1"/>
    <xf numFmtId="175" fontId="104" fillId="21" borderId="8" xfId="0" applyNumberFormat="1" applyFont="1" applyFill="1" applyBorder="1" applyProtection="1"/>
    <xf numFmtId="175" fontId="0" fillId="25" borderId="0" xfId="0" applyNumberFormat="1" applyFill="1" applyProtection="1"/>
    <xf numFmtId="0" fontId="104" fillId="0" borderId="78" xfId="0" applyNumberFormat="1" applyFont="1" applyFill="1" applyBorder="1" applyProtection="1"/>
    <xf numFmtId="0" fontId="0" fillId="0" borderId="78" xfId="0" applyNumberFormat="1" applyFill="1" applyBorder="1" applyProtection="1"/>
    <xf numFmtId="175" fontId="104" fillId="21" borderId="78" xfId="0" applyNumberFormat="1" applyFont="1" applyFill="1" applyBorder="1" applyAlignment="1" applyProtection="1">
      <alignment horizontal="center"/>
    </xf>
    <xf numFmtId="0" fontId="104" fillId="0" borderId="52" xfId="0" applyNumberFormat="1" applyFont="1" applyFill="1" applyBorder="1" applyAlignment="1" applyProtection="1">
      <alignment horizontal="center"/>
    </xf>
    <xf numFmtId="0" fontId="0" fillId="0" borderId="52" xfId="0" applyNumberFormat="1" applyFill="1" applyBorder="1" applyProtection="1"/>
    <xf numFmtId="175" fontId="104" fillId="21" borderId="52" xfId="0" applyNumberFormat="1" applyFont="1" applyFill="1" applyBorder="1" applyAlignment="1" applyProtection="1">
      <alignment horizontal="center"/>
    </xf>
    <xf numFmtId="0" fontId="110" fillId="26" borderId="8" xfId="0" applyNumberFormat="1" applyFont="1" applyFill="1" applyBorder="1" applyAlignment="1" applyProtection="1">
      <alignment horizontal="center"/>
      <protection locked="0"/>
    </xf>
    <xf numFmtId="175" fontId="110" fillId="26" borderId="0" xfId="0" applyNumberFormat="1" applyFont="1" applyFill="1" applyBorder="1" applyAlignment="1" applyProtection="1">
      <alignment horizontal="center"/>
      <protection locked="0"/>
    </xf>
    <xf numFmtId="0" fontId="86" fillId="2" borderId="78" xfId="0" applyNumberFormat="1" applyFont="1" applyBorder="1" applyProtection="1"/>
    <xf numFmtId="4" fontId="80" fillId="17" borderId="8" xfId="0" applyNumberFormat="1" applyFont="1" applyFill="1" applyBorder="1" applyAlignment="1" applyProtection="1">
      <alignment horizontal="center"/>
      <protection locked="0"/>
    </xf>
    <xf numFmtId="4" fontId="80" fillId="17" borderId="78" xfId="0" applyNumberFormat="1" applyFont="1" applyFill="1" applyBorder="1" applyAlignment="1" applyProtection="1">
      <alignment horizontal="center"/>
      <protection locked="0"/>
    </xf>
    <xf numFmtId="4" fontId="80" fillId="17" borderId="78" xfId="0" applyNumberFormat="1" applyFont="1" applyFill="1" applyBorder="1" applyAlignment="1" applyProtection="1">
      <alignment horizontal="centerContinuous"/>
      <protection locked="0"/>
    </xf>
    <xf numFmtId="0" fontId="0" fillId="17" borderId="0" xfId="0" applyFill="1"/>
    <xf numFmtId="0" fontId="0" fillId="2" borderId="0" xfId="0" applyAlignment="1">
      <alignment horizontal="left"/>
    </xf>
    <xf numFmtId="194" fontId="0" fillId="0" borderId="0" xfId="6" applyNumberFormat="1" applyFont="1" applyAlignment="1">
      <alignment horizontal="right"/>
    </xf>
    <xf numFmtId="0" fontId="115" fillId="12" borderId="0" xfId="0" applyFont="1" applyFill="1"/>
    <xf numFmtId="0" fontId="115" fillId="12" borderId="0" xfId="0" applyFont="1" applyFill="1" applyAlignment="1">
      <alignment horizontal="left"/>
    </xf>
    <xf numFmtId="175" fontId="115" fillId="12" borderId="0" xfId="0" applyNumberFormat="1" applyFont="1" applyFill="1" applyAlignment="1">
      <alignment horizontal="right"/>
    </xf>
    <xf numFmtId="0" fontId="115" fillId="2" borderId="0" xfId="0" applyFont="1"/>
  </cellXfs>
  <cellStyles count="7">
    <cellStyle name="Comma" xfId="1" builtinId="3"/>
    <cellStyle name="Currency" xfId="6" builtinId="4"/>
    <cellStyle name="Hyperlink" xfId="2" builtinId="8"/>
    <cellStyle name="Normal" xfId="0" builtinId="0"/>
    <cellStyle name="Normal 2" xfId="5" xr:uid="{00000000-0005-0000-0000-000004000000}"/>
    <cellStyle name="Normal_combinefinalADA.cptd.pmts" xfId="3" xr:uid="{00000000-0005-0000-0000-000005000000}"/>
    <cellStyle name="Normal_compare merge debt info w paid info" xfId="4" xr:uid="{00000000-0005-0000-0000-000006000000}"/>
  </cellStyles>
  <dxfs count="1">
    <dxf>
      <font>
        <condense val="0"/>
        <extend val="0"/>
        <color auto="1"/>
      </font>
      <fill>
        <patternFill>
          <bgColor indexed="44"/>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0C0C0"/>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838200</xdr:colOff>
      <xdr:row>0</xdr:row>
      <xdr:rowOff>19050</xdr:rowOff>
    </xdr:from>
    <xdr:to>
      <xdr:col>0</xdr:col>
      <xdr:colOff>6143625</xdr:colOff>
      <xdr:row>5</xdr:row>
      <xdr:rowOff>76200</xdr:rowOff>
    </xdr:to>
    <xdr:pic>
      <xdr:nvPicPr>
        <xdr:cNvPr id="2049" name="Picture 1" descr="R13_noadd_4color_tagline">
          <a:extLst>
            <a:ext uri="{FF2B5EF4-FFF2-40B4-BE49-F238E27FC236}">
              <a16:creationId xmlns:a16="http://schemas.microsoft.com/office/drawing/2014/main" id="{00000000-0008-0000-0100-000001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38200" y="19050"/>
          <a:ext cx="5305425" cy="866775"/>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857250</xdr:colOff>
      <xdr:row>12</xdr:row>
      <xdr:rowOff>142875</xdr:rowOff>
    </xdr:from>
    <xdr:to>
      <xdr:col>7</xdr:col>
      <xdr:colOff>619125</xdr:colOff>
      <xdr:row>33</xdr:row>
      <xdr:rowOff>152400</xdr:rowOff>
    </xdr:to>
    <xdr:sp macro="" textlink="">
      <xdr:nvSpPr>
        <xdr:cNvPr id="3088" name="AutoShape 16">
          <a:extLst>
            <a:ext uri="{FF2B5EF4-FFF2-40B4-BE49-F238E27FC236}">
              <a16:creationId xmlns:a16="http://schemas.microsoft.com/office/drawing/2014/main" id="{00000000-0008-0000-0900-0000100C0000}"/>
            </a:ext>
          </a:extLst>
        </xdr:cNvPr>
        <xdr:cNvSpPr>
          <a:spLocks noChangeArrowheads="1"/>
        </xdr:cNvSpPr>
      </xdr:nvSpPr>
      <xdr:spPr bwMode="auto">
        <a:xfrm>
          <a:off x="5133975" y="2095500"/>
          <a:ext cx="1323975" cy="333375"/>
        </a:xfrm>
        <a:prstGeom prst="wedgeRectCallout">
          <a:avLst>
            <a:gd name="adj1" fmla="val -43259"/>
            <a:gd name="adj2" fmla="val 95454"/>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FF0000"/>
              </a:solidFill>
              <a:latin typeface="Arial MT"/>
            </a:rPr>
            <a:t>Note: 2010 - 11 Data entered for you.</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21</xdr:col>
      <xdr:colOff>114300</xdr:colOff>
      <xdr:row>0</xdr:row>
      <xdr:rowOff>28575</xdr:rowOff>
    </xdr:from>
    <xdr:to>
      <xdr:col>24</xdr:col>
      <xdr:colOff>990600</xdr:colOff>
      <xdr:row>3</xdr:row>
      <xdr:rowOff>200025</xdr:rowOff>
    </xdr:to>
    <xdr:sp macro="" textlink="">
      <xdr:nvSpPr>
        <xdr:cNvPr id="2" name="Rounded Rectangular Callout 1">
          <a:extLst>
            <a:ext uri="{FF2B5EF4-FFF2-40B4-BE49-F238E27FC236}">
              <a16:creationId xmlns:a16="http://schemas.microsoft.com/office/drawing/2014/main" id="{00000000-0008-0000-0C00-000002000000}"/>
            </a:ext>
          </a:extLst>
        </xdr:cNvPr>
        <xdr:cNvSpPr/>
      </xdr:nvSpPr>
      <xdr:spPr>
        <a:xfrm>
          <a:off x="10410825" y="28575"/>
          <a:ext cx="2819400" cy="885825"/>
        </a:xfrm>
        <a:prstGeom prst="wedgeRoundRectCallout">
          <a:avLst>
            <a:gd name="adj1" fmla="val -37633"/>
            <a:gd name="adj2" fmla="val 103723"/>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0" cap="none" spc="0">
              <a:ln w="0"/>
              <a:solidFill>
                <a:srgbClr val="FF0000"/>
              </a:solidFill>
              <a:effectLst>
                <a:outerShdw blurRad="38100" dist="19050" dir="2700000" algn="tl" rotWithShape="0">
                  <a:schemeClr val="dk1">
                    <a:alpha val="40000"/>
                  </a:schemeClr>
                </a:outerShdw>
              </a:effectLst>
            </a:rPr>
            <a:t>Calculate</a:t>
          </a:r>
          <a:r>
            <a:rPr lang="en-US" sz="1100" b="0" cap="none" spc="0" baseline="0">
              <a:ln w="0"/>
              <a:solidFill>
                <a:srgbClr val="FF0000"/>
              </a:solidFill>
              <a:effectLst>
                <a:outerShdw blurRad="38100" dist="19050" dir="2700000" algn="tl" rotWithShape="0">
                  <a:schemeClr val="dk1">
                    <a:alpha val="40000"/>
                  </a:schemeClr>
                </a:outerShdw>
              </a:effectLst>
            </a:rPr>
            <a:t> FTE's by multiplying  days present in six weeks per Instructional setting by C/H factor less "Excessive Hours divided by "days taught" times 6.</a:t>
          </a:r>
          <a:endParaRPr lang="en-US" sz="1100" b="0" cap="none" spc="0">
            <a:ln w="0"/>
            <a:solidFill>
              <a:srgbClr val="FF0000"/>
            </a:solidFill>
            <a:effectLst>
              <a:outerShdw blurRad="38100" dist="19050" dir="2700000" algn="tl" rotWithShape="0">
                <a:schemeClr val="dk1">
                  <a:alpha val="40000"/>
                </a:schemeClr>
              </a:outerShdw>
            </a:effectLst>
          </a:endParaRPr>
        </a:p>
      </xdr:txBody>
    </xdr:sp>
    <xdr:clientData/>
  </xdr:twoCellAnchor>
  <xdr:twoCellAnchor>
    <xdr:from>
      <xdr:col>24</xdr:col>
      <xdr:colOff>1190625</xdr:colOff>
      <xdr:row>1</xdr:row>
      <xdr:rowOff>228601</xdr:rowOff>
    </xdr:from>
    <xdr:to>
      <xdr:col>28</xdr:col>
      <xdr:colOff>266700</xdr:colOff>
      <xdr:row>6</xdr:row>
      <xdr:rowOff>142875</xdr:rowOff>
    </xdr:to>
    <xdr:sp macro="" textlink="">
      <xdr:nvSpPr>
        <xdr:cNvPr id="3" name="Rounded Rectangular Callout 2">
          <a:extLst>
            <a:ext uri="{FF2B5EF4-FFF2-40B4-BE49-F238E27FC236}">
              <a16:creationId xmlns:a16="http://schemas.microsoft.com/office/drawing/2014/main" id="{00000000-0008-0000-0C00-000003000000}"/>
            </a:ext>
          </a:extLst>
        </xdr:cNvPr>
        <xdr:cNvSpPr/>
      </xdr:nvSpPr>
      <xdr:spPr>
        <a:xfrm>
          <a:off x="13430250" y="495301"/>
          <a:ext cx="2466975" cy="628649"/>
        </a:xfrm>
        <a:prstGeom prst="wedgeRoundRectCallout">
          <a:avLst>
            <a:gd name="adj1" fmla="val -100289"/>
            <a:gd name="adj2" fmla="val 16098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rgbClr val="FF0000"/>
              </a:solidFill>
            </a:rPr>
            <a:t>Calculate Weighted FTE's by multiplying</a:t>
          </a:r>
          <a:r>
            <a:rPr lang="en-US" sz="1100" b="1" baseline="0">
              <a:solidFill>
                <a:srgbClr val="FF0000"/>
              </a:solidFill>
            </a:rPr>
            <a:t> FTE's by Weights.</a:t>
          </a:r>
          <a:endParaRPr lang="en-US" sz="1100" b="1">
            <a:solidFill>
              <a:srgbClr val="FF0000"/>
            </a:solidFill>
          </a:endParaRPr>
        </a:p>
      </xdr:txBody>
    </xdr:sp>
    <xdr:clientData/>
  </xdr:twoCellAnchor>
  <xdr:twoCellAnchor>
    <xdr:from>
      <xdr:col>10</xdr:col>
      <xdr:colOff>209550</xdr:colOff>
      <xdr:row>10</xdr:row>
      <xdr:rowOff>57150</xdr:rowOff>
    </xdr:from>
    <xdr:to>
      <xdr:col>14</xdr:col>
      <xdr:colOff>257175</xdr:colOff>
      <xdr:row>14</xdr:row>
      <xdr:rowOff>38099</xdr:rowOff>
    </xdr:to>
    <xdr:sp macro="" textlink="">
      <xdr:nvSpPr>
        <xdr:cNvPr id="6" name="Rounded Rectangular Callout 5">
          <a:extLst>
            <a:ext uri="{FF2B5EF4-FFF2-40B4-BE49-F238E27FC236}">
              <a16:creationId xmlns:a16="http://schemas.microsoft.com/office/drawing/2014/main" id="{00000000-0008-0000-0C00-000006000000}"/>
            </a:ext>
          </a:extLst>
        </xdr:cNvPr>
        <xdr:cNvSpPr/>
      </xdr:nvSpPr>
      <xdr:spPr>
        <a:xfrm>
          <a:off x="7458075" y="1914525"/>
          <a:ext cx="2371725" cy="628649"/>
        </a:xfrm>
        <a:prstGeom prst="wedgeRoundRectCallout">
          <a:avLst>
            <a:gd name="adj1" fmla="val -95131"/>
            <a:gd name="adj2" fmla="val 42803"/>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rgbClr val="FF0000"/>
              </a:solidFill>
            </a:rPr>
            <a:t>Total</a:t>
          </a:r>
          <a:r>
            <a:rPr lang="en-US" sz="1100" b="1" baseline="0">
              <a:solidFill>
                <a:srgbClr val="FF0000"/>
              </a:solidFill>
            </a:rPr>
            <a:t> Refined ADA less Special Ed. and Career &amp; Tech FTE's.</a:t>
          </a:r>
          <a:endParaRPr lang="en-US" sz="1100" b="1">
            <a:solidFill>
              <a:srgbClr val="FF0000"/>
            </a:solidFill>
          </a:endParaRPr>
        </a:p>
      </xdr:txBody>
    </xdr:sp>
    <xdr:clientData/>
  </xdr:twoCellAnchor>
  <xdr:twoCellAnchor>
    <xdr:from>
      <xdr:col>22</xdr:col>
      <xdr:colOff>561975</xdr:colOff>
      <xdr:row>35</xdr:row>
      <xdr:rowOff>123826</xdr:rowOff>
    </xdr:from>
    <xdr:to>
      <xdr:col>24</xdr:col>
      <xdr:colOff>76200</xdr:colOff>
      <xdr:row>37</xdr:row>
      <xdr:rowOff>76200</xdr:rowOff>
    </xdr:to>
    <xdr:cxnSp macro="">
      <xdr:nvCxnSpPr>
        <xdr:cNvPr id="7" name="Straight Arrow Connector 6">
          <a:extLst>
            <a:ext uri="{FF2B5EF4-FFF2-40B4-BE49-F238E27FC236}">
              <a16:creationId xmlns:a16="http://schemas.microsoft.com/office/drawing/2014/main" id="{00000000-0008-0000-0C00-000007000000}"/>
            </a:ext>
          </a:extLst>
        </xdr:cNvPr>
        <xdr:cNvCxnSpPr/>
      </xdr:nvCxnSpPr>
      <xdr:spPr>
        <a:xfrm flipV="1">
          <a:off x="11506200" y="4143376"/>
          <a:ext cx="809625" cy="314324"/>
        </a:xfrm>
        <a:prstGeom prst="straightConnector1">
          <a:avLst/>
        </a:prstGeom>
        <a:ln>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9525</xdr:colOff>
      <xdr:row>96</xdr:row>
      <xdr:rowOff>123825</xdr:rowOff>
    </xdr:from>
    <xdr:to>
      <xdr:col>3</xdr:col>
      <xdr:colOff>171450</xdr:colOff>
      <xdr:row>110</xdr:row>
      <xdr:rowOff>0</xdr:rowOff>
    </xdr:to>
    <xdr:sp macro="" textlink="">
      <xdr:nvSpPr>
        <xdr:cNvPr id="1037" name="Line 13">
          <a:extLst>
            <a:ext uri="{FF2B5EF4-FFF2-40B4-BE49-F238E27FC236}">
              <a16:creationId xmlns:a16="http://schemas.microsoft.com/office/drawing/2014/main" id="{00000000-0008-0000-1900-00000D040000}"/>
            </a:ext>
          </a:extLst>
        </xdr:cNvPr>
        <xdr:cNvSpPr>
          <a:spLocks noChangeShapeType="1"/>
        </xdr:cNvSpPr>
      </xdr:nvSpPr>
      <xdr:spPr bwMode="auto">
        <a:xfrm flipV="1">
          <a:off x="1333500" y="14735175"/>
          <a:ext cx="1066800" cy="2162175"/>
        </a:xfrm>
        <a:prstGeom prst="line">
          <a:avLst/>
        </a:prstGeom>
        <a:noFill/>
        <a:ln w="9525">
          <a:solidFill>
            <a:srgbClr val="000000"/>
          </a:solidFill>
          <a:round/>
          <a:headEnd/>
          <a:tailEnd type="triangle" w="med" len="me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5.esc13.net/terms.html"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5" Type="http://schemas.openxmlformats.org/officeDocument/2006/relationships/comments" Target="../comments2.xml"/><Relationship Id="rId4" Type="http://schemas.openxmlformats.org/officeDocument/2006/relationships/vmlDrawing" Target="../drawings/vmlDrawing3.v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7.bin"/><Relationship Id="rId5" Type="http://schemas.openxmlformats.org/officeDocument/2006/relationships/comments" Target="../comments4.xml"/><Relationship Id="rId4" Type="http://schemas.openxmlformats.org/officeDocument/2006/relationships/vmlDrawing" Target="../drawings/vmlDrawing6.v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1" Type="http://schemas.openxmlformats.org/officeDocument/2006/relationships/hyperlink" Target="mailto:wbrewton@esc12.net"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vmlDrawing" Target="../drawings/vmlDrawing9.v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17"/>
  <sheetViews>
    <sheetView workbookViewId="0"/>
  </sheetViews>
  <sheetFormatPr defaultRowHeight="13.2"/>
  <cols>
    <col min="1" max="1" width="98.77734375" customWidth="1"/>
  </cols>
  <sheetData>
    <row r="1" spans="1:1">
      <c r="A1" s="132" t="s">
        <v>3776</v>
      </c>
    </row>
    <row r="2" spans="1:1">
      <c r="A2" s="132"/>
    </row>
    <row r="3" spans="1:1">
      <c r="A3" s="132" t="s">
        <v>3777</v>
      </c>
    </row>
    <row r="4" spans="1:1">
      <c r="A4" s="132" t="s">
        <v>6014</v>
      </c>
    </row>
    <row r="5" spans="1:1">
      <c r="A5" s="600" t="s">
        <v>6015</v>
      </c>
    </row>
    <row r="6" spans="1:1">
      <c r="A6" s="132"/>
    </row>
    <row r="7" spans="1:1">
      <c r="A7" s="132" t="s">
        <v>6016</v>
      </c>
    </row>
    <row r="8" spans="1:1">
      <c r="A8" s="132" t="s">
        <v>6017</v>
      </c>
    </row>
    <row r="9" spans="1:1">
      <c r="A9" s="132" t="s">
        <v>6018</v>
      </c>
    </row>
    <row r="10" spans="1:1">
      <c r="A10" s="132"/>
    </row>
    <row r="11" spans="1:1">
      <c r="A11" s="132"/>
    </row>
    <row r="12" spans="1:1">
      <c r="A12" s="132"/>
    </row>
    <row r="13" spans="1:1">
      <c r="A13" s="132"/>
    </row>
    <row r="14" spans="1:1">
      <c r="A14" s="132"/>
    </row>
    <row r="15" spans="1:1">
      <c r="A15" s="132"/>
    </row>
    <row r="16" spans="1:1">
      <c r="A16" s="132"/>
    </row>
    <row r="17" spans="1:1">
      <c r="A17" s="132"/>
    </row>
  </sheetData>
  <sheetProtection sheet="1" objects="1" scenarios="1"/>
  <phoneticPr fontId="33" type="noConversion"/>
  <hyperlinks>
    <hyperlink ref="A5" r:id="rId1" xr:uid="{00000000-0004-0000-0000-000000000000}"/>
  </hyperlinks>
  <pageMargins left="0.75" right="0.75" top="1" bottom="1" header="0.5" footer="0.5"/>
  <pageSetup orientation="portrait" r:id="rId2"/>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P440"/>
  <sheetViews>
    <sheetView showOutlineSymbols="0" workbookViewId="0">
      <selection activeCell="B3" sqref="B3"/>
    </sheetView>
  </sheetViews>
  <sheetFormatPr defaultColWidth="10.77734375" defaultRowHeight="13.2"/>
  <cols>
    <col min="1" max="1" width="22.5546875" customWidth="1"/>
    <col min="2" max="2" width="11" customWidth="1"/>
    <col min="3" max="3" width="16" customWidth="1"/>
    <col min="4" max="4" width="13.21875" customWidth="1"/>
    <col min="5" max="5" width="1.21875" customWidth="1"/>
    <col min="6" max="6" width="15.77734375" style="848" customWidth="1"/>
    <col min="7" max="7" width="7.77734375" style="809" customWidth="1"/>
    <col min="8" max="8" width="15.77734375" style="848" customWidth="1"/>
    <col min="9" max="9" width="2.77734375" customWidth="1"/>
    <col min="10" max="10" width="76.21875" customWidth="1"/>
    <col min="11" max="11" width="22.5546875" customWidth="1"/>
    <col min="12" max="12" width="76.21875" customWidth="1"/>
    <col min="13" max="13" width="19.21875" customWidth="1"/>
    <col min="14" max="14" width="30.77734375" customWidth="1"/>
    <col min="16" max="16" width="12.77734375" customWidth="1"/>
  </cols>
  <sheetData>
    <row r="1" spans="1:10" s="112" customFormat="1">
      <c r="A1" s="755" t="s">
        <v>6151</v>
      </c>
      <c r="B1" s="967" t="e">
        <f>'0506 ADA'!B2</f>
        <v>#N/A</v>
      </c>
      <c r="C1" s="835"/>
      <c r="D1" s="701"/>
      <c r="F1" s="844"/>
      <c r="G1" s="836"/>
      <c r="H1" s="883"/>
    </row>
    <row r="2" spans="1:10" s="112" customFormat="1">
      <c r="A2" s="755" t="s">
        <v>6152</v>
      </c>
      <c r="B2" s="969" t="str">
        <f>'Enter Attendance.Funding Sheet'!A1</f>
        <v>000-000</v>
      </c>
      <c r="C2" s="131" t="s">
        <v>1364</v>
      </c>
      <c r="F2" s="844"/>
      <c r="G2" s="836"/>
      <c r="H2" s="883" t="s">
        <v>8084</v>
      </c>
      <c r="J2" s="755"/>
    </row>
    <row r="3" spans="1:10" s="112" customFormat="1">
      <c r="A3" s="755" t="s">
        <v>6154</v>
      </c>
      <c r="B3" s="837">
        <f ca="1">NOW()</f>
        <v>45352.58606238426</v>
      </c>
      <c r="F3" s="844"/>
      <c r="G3" s="831"/>
      <c r="H3" s="884"/>
      <c r="J3" s="838"/>
    </row>
    <row r="4" spans="1:10" s="112" customFormat="1">
      <c r="A4" s="755" t="s">
        <v>5061</v>
      </c>
      <c r="B4" s="970"/>
      <c r="F4" s="844"/>
      <c r="G4" s="831"/>
      <c r="H4" s="844"/>
    </row>
    <row r="5" spans="1:10" s="112" customFormat="1">
      <c r="A5" s="755"/>
      <c r="B5" s="701"/>
      <c r="F5" s="844"/>
      <c r="G5" s="831"/>
      <c r="H5" s="844"/>
    </row>
    <row r="6" spans="1:10" s="112" customFormat="1">
      <c r="B6" s="839" t="s">
        <v>3909</v>
      </c>
      <c r="F6" s="844"/>
      <c r="G6" s="831"/>
      <c r="H6" s="844"/>
    </row>
    <row r="7" spans="1:10" s="112" customFormat="1">
      <c r="B7" s="839" t="s">
        <v>27</v>
      </c>
      <c r="F7" s="844"/>
      <c r="G7" s="831"/>
      <c r="H7" s="844"/>
    </row>
    <row r="8" spans="1:10" s="112" customFormat="1">
      <c r="A8" s="112" t="s">
        <v>8086</v>
      </c>
      <c r="F8" s="844"/>
      <c r="G8" s="831"/>
      <c r="H8" s="844"/>
    </row>
    <row r="9" spans="1:10" s="112" customFormat="1">
      <c r="A9" s="112" t="s">
        <v>8085</v>
      </c>
      <c r="F9" s="844"/>
      <c r="G9" s="831"/>
      <c r="H9" s="844"/>
    </row>
    <row r="10" spans="1:10" s="112" customFormat="1" ht="12.75" hidden="1" customHeight="1">
      <c r="A10" s="840" t="s">
        <v>21</v>
      </c>
      <c r="B10" s="841"/>
      <c r="C10" s="842"/>
      <c r="D10" s="841"/>
      <c r="E10" s="841"/>
      <c r="F10" s="845"/>
      <c r="G10" s="843"/>
      <c r="H10" s="885"/>
      <c r="I10" s="701"/>
    </row>
    <row r="11" spans="1:10" s="112" customFormat="1">
      <c r="A11" s="112" t="s">
        <v>8087</v>
      </c>
      <c r="F11" s="844"/>
      <c r="G11" s="831"/>
      <c r="H11" s="844"/>
    </row>
    <row r="12" spans="1:10" ht="12.75" customHeight="1">
      <c r="A12" s="27" t="s">
        <v>6153</v>
      </c>
      <c r="C12" s="27"/>
      <c r="D12" s="27"/>
      <c r="E12" s="27"/>
      <c r="F12" s="846"/>
      <c r="G12" s="808"/>
      <c r="H12" s="846"/>
      <c r="I12" s="27"/>
    </row>
    <row r="13" spans="1:10">
      <c r="A13" s="306" t="s">
        <v>5014</v>
      </c>
      <c r="B13" s="561" t="s">
        <v>3954</v>
      </c>
      <c r="C13" s="67"/>
      <c r="D13" s="67"/>
      <c r="E13" s="67"/>
      <c r="F13" s="847"/>
      <c r="G13" s="810"/>
      <c r="H13" s="847"/>
      <c r="I13" s="42"/>
    </row>
    <row r="14" spans="1:10" ht="12.75" customHeight="1">
      <c r="C14" s="20"/>
    </row>
    <row r="15" spans="1:10" hidden="1">
      <c r="A15" s="66"/>
      <c r="B15" s="419" t="s">
        <v>4056</v>
      </c>
      <c r="C15" s="66"/>
      <c r="D15" s="68"/>
      <c r="E15" s="42"/>
      <c r="F15" s="849"/>
      <c r="G15" s="811"/>
    </row>
    <row r="16" spans="1:10" hidden="1">
      <c r="A16" t="s">
        <v>4051</v>
      </c>
      <c r="C16" s="21"/>
      <c r="F16" s="850">
        <f>IF(ISNA('DE1'!D15),0,'DE1'!D15)</f>
        <v>0</v>
      </c>
      <c r="G16" s="811"/>
      <c r="J16" s="123" t="s">
        <v>216</v>
      </c>
    </row>
    <row r="17" spans="1:10" hidden="1">
      <c r="A17" t="s">
        <v>815</v>
      </c>
      <c r="C17" s="21"/>
      <c r="F17" s="850">
        <f>IF(ISNA('DE1'!D16),0,'DE1'!D16)</f>
        <v>0</v>
      </c>
      <c r="G17" s="811"/>
      <c r="J17" s="123" t="s">
        <v>2078</v>
      </c>
    </row>
    <row r="18" spans="1:10" hidden="1">
      <c r="A18" t="s">
        <v>4052</v>
      </c>
      <c r="F18" s="850" t="e">
        <f>'0405 Tax Coll'!G2</f>
        <v>#N/A</v>
      </c>
      <c r="G18" s="811"/>
      <c r="J18" s="123" t="s">
        <v>3005</v>
      </c>
    </row>
    <row r="19" spans="1:10" hidden="1">
      <c r="A19" t="s">
        <v>1772</v>
      </c>
      <c r="F19" s="850" t="e">
        <f>'0405 Tax Coll'!C2</f>
        <v>#N/A</v>
      </c>
      <c r="G19" s="811"/>
      <c r="J19" s="123" t="s">
        <v>3607</v>
      </c>
    </row>
    <row r="20" spans="1:10" hidden="1">
      <c r="A20" t="s">
        <v>4053</v>
      </c>
      <c r="F20" s="850">
        <f>IF(ISNA('DE1'!D19),0,'DE1'!D19)</f>
        <v>0</v>
      </c>
      <c r="G20" s="811"/>
      <c r="J20" s="123" t="s">
        <v>1372</v>
      </c>
    </row>
    <row r="21" spans="1:10" hidden="1">
      <c r="A21" s="210" t="s">
        <v>4054</v>
      </c>
      <c r="F21" s="850">
        <f>IF(ISNA('DE1'!D19),0,'DE1'!D19)</f>
        <v>0</v>
      </c>
      <c r="G21" s="811"/>
      <c r="J21" s="123" t="s">
        <v>4057</v>
      </c>
    </row>
    <row r="22" spans="1:10" hidden="1">
      <c r="A22" t="s">
        <v>4055</v>
      </c>
      <c r="D22" s="212"/>
      <c r="F22" s="850">
        <f>IF(ISNA('DE1'!D22),0,'DE1'!D22)</f>
        <v>0</v>
      </c>
      <c r="G22" s="811"/>
      <c r="J22" s="123" t="s">
        <v>7617</v>
      </c>
    </row>
    <row r="23" spans="1:10" hidden="1">
      <c r="A23" t="s">
        <v>1678</v>
      </c>
      <c r="F23" s="850">
        <f>IF(ISNA('DE1'!D24),0,'DE1'!D24)</f>
        <v>0</v>
      </c>
      <c r="G23" s="811"/>
      <c r="J23" s="123" t="s">
        <v>3771</v>
      </c>
    </row>
    <row r="24" spans="1:10" hidden="1">
      <c r="A24" s="42" t="s">
        <v>483</v>
      </c>
      <c r="F24" s="851">
        <f>IF(ISNA('DE1'!G16),0,'DE1'!G16)</f>
        <v>0</v>
      </c>
      <c r="G24" s="811"/>
      <c r="H24" s="854"/>
      <c r="I24" s="305"/>
      <c r="J24" s="123" t="s">
        <v>514</v>
      </c>
    </row>
    <row r="25" spans="1:10" hidden="1">
      <c r="A25" s="42" t="s">
        <v>3526</v>
      </c>
      <c r="F25" s="851">
        <f>IF(ISNA('DE1'!G17),0,'DE1'!G17)</f>
        <v>0</v>
      </c>
      <c r="G25" s="811"/>
      <c r="J25" s="421" t="s">
        <v>811</v>
      </c>
    </row>
    <row r="26" spans="1:10" hidden="1">
      <c r="A26" s="357" t="s">
        <v>4970</v>
      </c>
      <c r="B26" s="307"/>
      <c r="C26" s="307"/>
      <c r="D26" s="307"/>
      <c r="E26" s="307"/>
      <c r="F26" s="852"/>
      <c r="G26" s="812"/>
      <c r="H26" s="886"/>
      <c r="I26" s="307"/>
      <c r="J26" s="421" t="s">
        <v>811</v>
      </c>
    </row>
    <row r="27" spans="1:10" hidden="1">
      <c r="A27" s="381" t="s">
        <v>2656</v>
      </c>
      <c r="B27" s="307"/>
      <c r="C27" s="307"/>
      <c r="D27" s="307"/>
      <c r="E27" s="307"/>
      <c r="F27" s="853">
        <v>0</v>
      </c>
      <c r="G27" s="812"/>
      <c r="H27" s="886"/>
      <c r="I27" s="307"/>
      <c r="J27" s="307" t="s">
        <v>1648</v>
      </c>
    </row>
    <row r="28" spans="1:10" hidden="1">
      <c r="A28" s="381" t="s">
        <v>5142</v>
      </c>
      <c r="B28" s="307"/>
      <c r="C28" s="307"/>
      <c r="D28" s="307"/>
      <c r="E28" s="307"/>
      <c r="F28" s="853">
        <v>0</v>
      </c>
      <c r="G28" s="812"/>
      <c r="H28" s="886"/>
      <c r="I28" s="307"/>
      <c r="J28" s="314" t="s">
        <v>5233</v>
      </c>
    </row>
    <row r="29" spans="1:10" hidden="1">
      <c r="A29" s="381" t="s">
        <v>5143</v>
      </c>
      <c r="B29" s="307"/>
      <c r="C29" s="307"/>
      <c r="D29" s="307"/>
      <c r="E29" s="307"/>
      <c r="F29" s="853">
        <v>0</v>
      </c>
      <c r="G29" s="812"/>
      <c r="H29" s="886"/>
      <c r="I29" s="307"/>
      <c r="J29" s="314" t="s">
        <v>5233</v>
      </c>
    </row>
    <row r="30" spans="1:10" hidden="1">
      <c r="A30" s="381" t="s">
        <v>680</v>
      </c>
      <c r="B30" s="307"/>
      <c r="C30" s="307"/>
      <c r="D30" s="307"/>
      <c r="E30" s="307"/>
      <c r="F30" s="853">
        <v>0</v>
      </c>
      <c r="G30" s="812"/>
      <c r="H30" s="886"/>
      <c r="I30" s="307"/>
      <c r="J30" s="314" t="s">
        <v>5233</v>
      </c>
    </row>
    <row r="31" spans="1:10" hidden="1">
      <c r="A31" s="381" t="s">
        <v>681</v>
      </c>
      <c r="B31" s="307"/>
      <c r="C31" s="307"/>
      <c r="D31" s="307"/>
      <c r="E31" s="307"/>
      <c r="F31" s="853">
        <v>0</v>
      </c>
      <c r="G31" s="812"/>
      <c r="H31" s="886"/>
      <c r="I31" s="307"/>
      <c r="J31" s="314" t="s">
        <v>5233</v>
      </c>
    </row>
    <row r="32" spans="1:10" hidden="1">
      <c r="A32" s="307" t="s">
        <v>2772</v>
      </c>
      <c r="B32" s="307"/>
      <c r="C32" s="307"/>
      <c r="D32" s="307"/>
      <c r="E32" s="307"/>
      <c r="F32" s="853">
        <v>332282</v>
      </c>
      <c r="G32" s="812"/>
      <c r="H32" s="886"/>
      <c r="I32" s="307"/>
    </row>
    <row r="33" spans="1:10" hidden="1">
      <c r="A33" s="292"/>
      <c r="C33" s="42"/>
      <c r="F33" s="854"/>
      <c r="G33" s="811"/>
    </row>
    <row r="34" spans="1:10">
      <c r="A34" s="66"/>
      <c r="B34" s="315" t="s">
        <v>8080</v>
      </c>
      <c r="C34" s="67"/>
      <c r="D34" s="68"/>
      <c r="F34" s="849"/>
      <c r="G34" s="811"/>
    </row>
    <row r="35" spans="1:10" s="112" customFormat="1">
      <c r="A35" s="822" t="s">
        <v>2773</v>
      </c>
      <c r="B35" s="822"/>
      <c r="C35" s="823"/>
      <c r="D35" s="701"/>
      <c r="F35" s="855" t="s">
        <v>8032</v>
      </c>
      <c r="G35" s="824" t="s">
        <v>5549</v>
      </c>
      <c r="H35" s="887" t="s">
        <v>8078</v>
      </c>
      <c r="J35" s="825"/>
    </row>
    <row r="36" spans="1:10" s="112" customFormat="1" ht="12.75" customHeight="1">
      <c r="A36" s="112" t="s">
        <v>2589</v>
      </c>
      <c r="B36" s="826"/>
      <c r="C36" s="701"/>
      <c r="D36" s="744"/>
      <c r="F36" s="906" t="e">
        <f>'2006 CPTD'!D2</f>
        <v>#N/A</v>
      </c>
      <c r="G36" s="813" t="e">
        <f>H36-F36</f>
        <v>#DIV/0!</v>
      </c>
      <c r="H36" s="910" t="e">
        <f>'Enter Attendance.Funding Sheet'!I13</f>
        <v>#DIV/0!</v>
      </c>
      <c r="I36" s="746"/>
      <c r="J36" s="827" t="s">
        <v>2774</v>
      </c>
    </row>
    <row r="37" spans="1:10" s="112" customFormat="1" ht="12.75" hidden="1" customHeight="1">
      <c r="A37" s="112" t="s">
        <v>3644</v>
      </c>
      <c r="B37" s="826"/>
      <c r="C37" s="701"/>
      <c r="D37" s="828"/>
      <c r="F37" s="907"/>
      <c r="G37" s="813"/>
      <c r="H37" s="911" t="e">
        <f>#REF!</f>
        <v>#REF!</v>
      </c>
      <c r="I37" s="829"/>
      <c r="J37" s="827" t="s">
        <v>6294</v>
      </c>
    </row>
    <row r="38" spans="1:10" s="112" customFormat="1" ht="12.75" customHeight="1">
      <c r="A38" s="112" t="s">
        <v>389</v>
      </c>
      <c r="F38" s="908" t="e">
        <f>SUM(F39:F49)</f>
        <v>#N/A</v>
      </c>
      <c r="G38" s="813" t="e">
        <f>H38-F38</f>
        <v>#N/A</v>
      </c>
      <c r="H38" s="912">
        <f>SUM(H39:H49)</f>
        <v>0</v>
      </c>
    </row>
    <row r="39" spans="1:10" s="112" customFormat="1">
      <c r="A39" s="112" t="s">
        <v>2590</v>
      </c>
      <c r="F39" s="909" t="e">
        <f>'0607 PEIMS'!G3</f>
        <v>#N/A</v>
      </c>
      <c r="G39" s="813" t="e">
        <f t="shared" ref="G39:G48" si="0">H39-F39</f>
        <v>#N/A</v>
      </c>
      <c r="H39" s="911">
        <f>'Enter Attendance.Funding Sheet'!V24</f>
        <v>0</v>
      </c>
      <c r="J39" s="827" t="s">
        <v>481</v>
      </c>
    </row>
    <row r="40" spans="1:10" s="112" customFormat="1">
      <c r="A40" s="112" t="s">
        <v>2591</v>
      </c>
      <c r="F40" s="909" t="e">
        <f>'0607 PEIMS'!H3</f>
        <v>#N/A</v>
      </c>
      <c r="G40" s="813" t="e">
        <f t="shared" si="0"/>
        <v>#N/A</v>
      </c>
      <c r="H40" s="911">
        <f>'Enter Attendance.Funding Sheet'!V25</f>
        <v>0</v>
      </c>
      <c r="J40" s="827" t="s">
        <v>1771</v>
      </c>
    </row>
    <row r="41" spans="1:10" s="112" customFormat="1">
      <c r="A41" s="112" t="s">
        <v>32</v>
      </c>
      <c r="F41" s="909" t="e">
        <f>'0607 PEIMS'!F3</f>
        <v>#N/A</v>
      </c>
      <c r="G41" s="813" t="e">
        <f t="shared" si="0"/>
        <v>#N/A</v>
      </c>
      <c r="H41" s="911">
        <f>'Enter Attendance.Funding Sheet'!V23</f>
        <v>0</v>
      </c>
      <c r="J41" s="827" t="s">
        <v>816</v>
      </c>
    </row>
    <row r="42" spans="1:10" s="112" customFormat="1">
      <c r="A42" s="112" t="s">
        <v>33</v>
      </c>
      <c r="F42" s="909" t="e">
        <f>'0607 PEIMS'!I3</f>
        <v>#N/A</v>
      </c>
      <c r="G42" s="813" t="e">
        <f t="shared" si="0"/>
        <v>#N/A</v>
      </c>
      <c r="H42" s="911">
        <f>'Enter Attendance.Funding Sheet'!V28+'Enter Attendance.Funding Sheet'!V29</f>
        <v>0</v>
      </c>
      <c r="J42" s="827" t="s">
        <v>817</v>
      </c>
    </row>
    <row r="43" spans="1:10" s="112" customFormat="1">
      <c r="A43" s="112" t="s">
        <v>34</v>
      </c>
      <c r="F43" s="909" t="e">
        <f>'0607 PEIMS'!J3</f>
        <v>#N/A</v>
      </c>
      <c r="G43" s="813" t="e">
        <f t="shared" si="0"/>
        <v>#N/A</v>
      </c>
      <c r="H43" s="911">
        <f>'Enter Attendance.Funding Sheet'!V30+'Enter Attendance.Funding Sheet'!V31</f>
        <v>0</v>
      </c>
      <c r="J43" s="827" t="s">
        <v>4916</v>
      </c>
    </row>
    <row r="44" spans="1:10" s="112" customFormat="1">
      <c r="A44" s="112" t="s">
        <v>3569</v>
      </c>
      <c r="F44" s="909" t="e">
        <f>'0607 PEIMS'!K3</f>
        <v>#N/A</v>
      </c>
      <c r="G44" s="813" t="e">
        <f t="shared" si="0"/>
        <v>#N/A</v>
      </c>
      <c r="H44" s="911">
        <f>'Enter Attendance.Funding Sheet'!V34</f>
        <v>0</v>
      </c>
      <c r="J44" s="827" t="s">
        <v>4917</v>
      </c>
    </row>
    <row r="45" spans="1:10" s="112" customFormat="1">
      <c r="A45" s="112" t="s">
        <v>3570</v>
      </c>
      <c r="F45" s="909" t="e">
        <f>'0607 PEIMS'!L3</f>
        <v>#N/A</v>
      </c>
      <c r="G45" s="813" t="e">
        <f t="shared" si="0"/>
        <v>#N/A</v>
      </c>
      <c r="H45" s="911">
        <f>'Enter Attendance.Funding Sheet'!V26</f>
        <v>0</v>
      </c>
      <c r="J45" s="827" t="s">
        <v>4918</v>
      </c>
    </row>
    <row r="46" spans="1:10" s="112" customFormat="1">
      <c r="A46" s="112" t="s">
        <v>2592</v>
      </c>
      <c r="F46" s="909" t="e">
        <f>'0607 PEIMS'!M3</f>
        <v>#N/A</v>
      </c>
      <c r="G46" s="813" t="e">
        <f t="shared" si="0"/>
        <v>#N/A</v>
      </c>
      <c r="H46" s="911">
        <f>'Enter Attendance.Funding Sheet'!V27</f>
        <v>0</v>
      </c>
      <c r="J46" s="827" t="s">
        <v>4919</v>
      </c>
    </row>
    <row r="47" spans="1:10" s="112" customFormat="1">
      <c r="A47" s="112" t="s">
        <v>385</v>
      </c>
      <c r="F47" s="909">
        <v>0</v>
      </c>
      <c r="G47" s="813">
        <f t="shared" si="0"/>
        <v>0</v>
      </c>
      <c r="H47" s="911">
        <f>'Enter Attendance.Funding Sheet'!V35</f>
        <v>0</v>
      </c>
      <c r="J47" s="827" t="s">
        <v>5903</v>
      </c>
    </row>
    <row r="48" spans="1:10" s="112" customFormat="1">
      <c r="A48" s="112" t="s">
        <v>386</v>
      </c>
      <c r="F48" s="909" t="e">
        <f>'0607 PEIMS'!N3</f>
        <v>#N/A</v>
      </c>
      <c r="G48" s="813" t="e">
        <f t="shared" si="0"/>
        <v>#N/A</v>
      </c>
      <c r="H48" s="911">
        <f>'Enter Attendance.Funding Sheet'!V33</f>
        <v>0</v>
      </c>
      <c r="J48" s="827" t="s">
        <v>5904</v>
      </c>
    </row>
    <row r="49" spans="1:10" s="112" customFormat="1">
      <c r="A49" s="112" t="s">
        <v>387</v>
      </c>
      <c r="D49" s="702" t="s">
        <v>5550</v>
      </c>
      <c r="F49" s="907"/>
      <c r="G49" s="813"/>
      <c r="H49" s="911">
        <f>'Enter Attendance.Funding Sheet'!V32</f>
        <v>0</v>
      </c>
      <c r="J49" s="827" t="s">
        <v>5905</v>
      </c>
    </row>
    <row r="50" spans="1:10" s="112" customFormat="1">
      <c r="A50" s="112" t="s">
        <v>388</v>
      </c>
      <c r="F50" s="906" t="e">
        <f>'0607 PEIMS'!E3</f>
        <v>#N/A</v>
      </c>
      <c r="G50" s="813" t="e">
        <f t="shared" ref="G50:G55" si="1">H50-F50</f>
        <v>#DIV/0!</v>
      </c>
      <c r="H50" s="910" t="e">
        <f>'Enter Attendance.Funding Sheet'!V38</f>
        <v>#DIV/0!</v>
      </c>
      <c r="J50" s="827" t="s">
        <v>5906</v>
      </c>
    </row>
    <row r="51" spans="1:10" s="112" customFormat="1" ht="15.6" customHeight="1">
      <c r="A51" s="112" t="s">
        <v>1793</v>
      </c>
      <c r="F51" s="906" t="e">
        <f>'0607 PEIMS'!P3</f>
        <v>#N/A</v>
      </c>
      <c r="G51" s="813" t="e">
        <f t="shared" si="1"/>
        <v>#DIV/0!</v>
      </c>
      <c r="H51" s="910" t="e">
        <f>'Enter Attendance.Funding Sheet'!I43</f>
        <v>#DIV/0!</v>
      </c>
      <c r="J51" s="827" t="s">
        <v>5140</v>
      </c>
    </row>
    <row r="52" spans="1:10" s="112" customFormat="1" hidden="1">
      <c r="A52" s="112" t="s">
        <v>390</v>
      </c>
      <c r="F52" s="856" t="e">
        <f>'0506 ADA'!R2</f>
        <v>#N/A</v>
      </c>
      <c r="G52" s="813" t="e">
        <f t="shared" si="1"/>
        <v>#REF!</v>
      </c>
      <c r="H52" s="888" t="e">
        <f>#REF!</f>
        <v>#REF!</v>
      </c>
      <c r="J52" s="827" t="s">
        <v>1774</v>
      </c>
    </row>
    <row r="53" spans="1:10" s="112" customFormat="1" hidden="1">
      <c r="A53" s="112" t="s">
        <v>391</v>
      </c>
      <c r="F53" s="856" t="e">
        <f>'0506 ADA'!N2</f>
        <v>#N/A</v>
      </c>
      <c r="G53" s="813" t="e">
        <f t="shared" si="1"/>
        <v>#REF!</v>
      </c>
      <c r="H53" s="888" t="e">
        <f>SUM(#REF!)*0.2936</f>
        <v>#REF!</v>
      </c>
      <c r="J53" s="827" t="s">
        <v>5907</v>
      </c>
    </row>
    <row r="54" spans="1:10" s="112" customFormat="1" hidden="1">
      <c r="A54" s="112" t="s">
        <v>3145</v>
      </c>
      <c r="F54" s="856" t="e">
        <f>'0506 ADA'!S2</f>
        <v>#N/A</v>
      </c>
      <c r="G54" s="813" t="e">
        <f t="shared" si="1"/>
        <v>#REF!</v>
      </c>
      <c r="H54" s="888" t="e">
        <f>#REF!</f>
        <v>#REF!</v>
      </c>
      <c r="J54" s="827" t="s">
        <v>2042</v>
      </c>
    </row>
    <row r="55" spans="1:10" s="112" customFormat="1" hidden="1">
      <c r="A55" s="112" t="s">
        <v>392</v>
      </c>
      <c r="F55" s="856" t="e">
        <f>'0506 ADA'!T2</f>
        <v>#N/A</v>
      </c>
      <c r="G55" s="813" t="e">
        <f t="shared" si="1"/>
        <v>#REF!</v>
      </c>
      <c r="H55" s="888" t="e">
        <f>IF(#REF!&lt;'Data Entry - SOF'!H36*5%,#REF!,'Data Entry - SOF'!H36*5%)</f>
        <v>#REF!</v>
      </c>
      <c r="J55" s="827" t="s">
        <v>2551</v>
      </c>
    </row>
    <row r="56" spans="1:10" s="112" customFormat="1" hidden="1">
      <c r="A56" s="830" t="s">
        <v>393</v>
      </c>
      <c r="B56" s="830"/>
      <c r="C56" s="830"/>
      <c r="D56" s="830"/>
      <c r="E56" s="830"/>
      <c r="F56" s="857">
        <v>0</v>
      </c>
      <c r="G56" s="813"/>
      <c r="H56" s="889">
        <f>F56</f>
        <v>0</v>
      </c>
      <c r="J56" s="827" t="s">
        <v>5908</v>
      </c>
    </row>
    <row r="57" spans="1:10" s="112" customFormat="1" hidden="1">
      <c r="A57" s="830" t="s">
        <v>394</v>
      </c>
      <c r="B57" s="830"/>
      <c r="C57" s="830"/>
      <c r="D57" s="830"/>
      <c r="E57" s="830"/>
      <c r="F57" s="857">
        <v>0</v>
      </c>
      <c r="G57" s="813"/>
      <c r="H57" s="889">
        <f>F57</f>
        <v>0</v>
      </c>
      <c r="J57" s="827" t="s">
        <v>5886</v>
      </c>
    </row>
    <row r="58" spans="1:10" s="112" customFormat="1" hidden="1">
      <c r="F58" s="844"/>
      <c r="G58" s="831"/>
      <c r="H58" s="844"/>
      <c r="J58" s="827"/>
    </row>
    <row r="59" spans="1:10" s="112" customFormat="1" hidden="1">
      <c r="A59" s="823" t="s">
        <v>3606</v>
      </c>
      <c r="B59" s="823"/>
      <c r="C59" s="823"/>
      <c r="F59" s="858" t="s">
        <v>2775</v>
      </c>
      <c r="G59" s="831"/>
      <c r="H59" s="890" t="s">
        <v>2776</v>
      </c>
    </row>
    <row r="60" spans="1:10" s="112" customFormat="1" hidden="1">
      <c r="A60" s="112" t="s">
        <v>2777</v>
      </c>
      <c r="F60" s="856" t="e">
        <f>'0405 CPTD'!D1</f>
        <v>#N/A</v>
      </c>
      <c r="G60" s="815"/>
      <c r="H60" s="888" t="e">
        <f>'0506 CPTD'!D5</f>
        <v>#N/A</v>
      </c>
      <c r="J60" s="827" t="s">
        <v>1794</v>
      </c>
    </row>
    <row r="61" spans="1:10" s="112" customFormat="1" hidden="1">
      <c r="A61" s="827" t="s">
        <v>5381</v>
      </c>
      <c r="F61" s="859" t="e">
        <f>F60</f>
        <v>#N/A</v>
      </c>
      <c r="G61" s="815"/>
      <c r="H61" s="891" t="e">
        <f>H60</f>
        <v>#N/A</v>
      </c>
      <c r="J61" s="827" t="s">
        <v>2971</v>
      </c>
    </row>
    <row r="62" spans="1:10" s="112" customFormat="1" hidden="1">
      <c r="A62" s="112" t="s">
        <v>2778</v>
      </c>
      <c r="F62" s="859" t="e">
        <f>IF(F77&lt;12,(F61-(F90/0.015)),F61)</f>
        <v>#N/A</v>
      </c>
      <c r="G62" s="815"/>
      <c r="H62" s="891" t="e">
        <f>IF(H77&lt;12,(H61-(H90/0.015)),H61)</f>
        <v>#N/A</v>
      </c>
      <c r="J62" s="827" t="s">
        <v>684</v>
      </c>
    </row>
    <row r="63" spans="1:10" s="112" customFormat="1" hidden="1">
      <c r="A63" s="112" t="s">
        <v>2779</v>
      </c>
      <c r="F63" s="860" t="e">
        <f>'0405 CPTD'!C1</f>
        <v>#N/A</v>
      </c>
      <c r="G63" s="815"/>
      <c r="H63" s="892" t="e">
        <f>'0506 CPTD'!C5</f>
        <v>#N/A</v>
      </c>
      <c r="J63" s="827" t="s">
        <v>1795</v>
      </c>
    </row>
    <row r="64" spans="1:10" s="112" customFormat="1" hidden="1">
      <c r="F64" s="861" t="e">
        <f>IF(F77&lt;12,(F61-(F90/0.015)),F61)</f>
        <v>#N/A</v>
      </c>
      <c r="G64" s="815"/>
      <c r="H64" s="861" t="e">
        <f>IF(H77&lt;12,(H61-(H90/0.015)),H61)</f>
        <v>#N/A</v>
      </c>
      <c r="J64" s="827"/>
    </row>
    <row r="65" spans="1:10" s="112" customFormat="1" hidden="1">
      <c r="F65" s="862"/>
      <c r="G65" s="815"/>
      <c r="H65" s="862"/>
      <c r="J65" s="827"/>
    </row>
    <row r="66" spans="1:10" s="112" customFormat="1" hidden="1">
      <c r="A66" s="823" t="s">
        <v>2780</v>
      </c>
      <c r="B66" s="823"/>
      <c r="C66" s="823"/>
      <c r="F66" s="855" t="s">
        <v>1849</v>
      </c>
      <c r="G66" s="815"/>
      <c r="H66" s="887" t="s">
        <v>1850</v>
      </c>
    </row>
    <row r="67" spans="1:10" s="112" customFormat="1" hidden="1">
      <c r="A67" s="832" t="s">
        <v>5090</v>
      </c>
      <c r="B67" s="823"/>
      <c r="C67" s="823"/>
      <c r="F67" s="863" t="e">
        <f>'0506 CPTD'!J5</f>
        <v>#N/A</v>
      </c>
      <c r="G67" s="815"/>
      <c r="H67" s="893">
        <v>0</v>
      </c>
      <c r="J67" s="827" t="s">
        <v>1777</v>
      </c>
    </row>
    <row r="68" spans="1:10" s="112" customFormat="1" hidden="1">
      <c r="A68" s="832" t="s">
        <v>6685</v>
      </c>
      <c r="B68" s="823"/>
      <c r="C68" s="823"/>
      <c r="F68" s="864"/>
      <c r="G68" s="815"/>
      <c r="H68" s="892" t="e">
        <f>F67*0.8867</f>
        <v>#N/A</v>
      </c>
      <c r="J68" s="827" t="s">
        <v>6686</v>
      </c>
    </row>
    <row r="69" spans="1:10" s="112" customFormat="1" hidden="1">
      <c r="A69" s="833" t="s">
        <v>6726</v>
      </c>
      <c r="B69" s="834"/>
      <c r="C69" s="834"/>
      <c r="D69" s="830"/>
      <c r="E69" s="830"/>
      <c r="F69" s="864"/>
      <c r="G69" s="815"/>
      <c r="H69" s="892" t="e">
        <f>H68+0.04</f>
        <v>#N/A</v>
      </c>
      <c r="J69" s="827" t="s">
        <v>4549</v>
      </c>
    </row>
    <row r="70" spans="1:10" s="112" customFormat="1" hidden="1">
      <c r="A70" s="830" t="s">
        <v>1839</v>
      </c>
      <c r="B70" s="830"/>
      <c r="C70" s="830"/>
      <c r="D70" s="830"/>
      <c r="E70" s="830"/>
      <c r="F70" s="865">
        <v>0</v>
      </c>
      <c r="G70" s="815"/>
      <c r="H70" s="894">
        <v>0</v>
      </c>
      <c r="J70" s="827" t="s">
        <v>685</v>
      </c>
    </row>
    <row r="71" spans="1:10" s="112" customFormat="1" hidden="1">
      <c r="A71" s="830" t="s">
        <v>1776</v>
      </c>
      <c r="B71" s="830"/>
      <c r="C71" s="830"/>
      <c r="D71" s="830"/>
      <c r="E71" s="830">
        <v>126412</v>
      </c>
      <c r="F71" s="865">
        <v>0</v>
      </c>
      <c r="G71" s="815"/>
      <c r="H71" s="893">
        <v>0</v>
      </c>
      <c r="J71" s="827" t="s">
        <v>6647</v>
      </c>
    </row>
    <row r="72" spans="1:10" s="112" customFormat="1" hidden="1">
      <c r="A72" s="830" t="s">
        <v>3911</v>
      </c>
      <c r="B72" s="830"/>
      <c r="C72" s="830"/>
      <c r="D72" s="830"/>
      <c r="E72" s="830"/>
      <c r="F72" s="864">
        <v>0</v>
      </c>
      <c r="G72" s="815"/>
      <c r="H72" s="894">
        <v>0</v>
      </c>
      <c r="J72" s="827" t="s">
        <v>2782</v>
      </c>
    </row>
    <row r="73" spans="1:10" s="112" customFormat="1" hidden="1">
      <c r="A73" s="830" t="s">
        <v>3147</v>
      </c>
      <c r="B73" s="830"/>
      <c r="C73" s="830"/>
      <c r="D73" s="830"/>
      <c r="E73" s="830"/>
      <c r="F73" s="863" t="e">
        <f>'Existing Debt'!G61+IFA!F72+IFA!H72</f>
        <v>#N/A</v>
      </c>
      <c r="G73" s="815"/>
      <c r="H73" s="892" t="e">
        <f>'Existing Debt'!H61+IFA!J72+IFA!L72</f>
        <v>#N/A</v>
      </c>
      <c r="J73" s="735" t="s">
        <v>5009</v>
      </c>
    </row>
    <row r="74" spans="1:10" s="112" customFormat="1" hidden="1">
      <c r="F74" s="866"/>
      <c r="G74" s="815"/>
      <c r="H74" s="892" t="e">
        <f>'0405 Tax Coll'!E2</f>
        <v>#N/A</v>
      </c>
      <c r="J74" s="827" t="s">
        <v>5551</v>
      </c>
    </row>
    <row r="75" spans="1:10" s="112" customFormat="1">
      <c r="F75" s="867"/>
      <c r="G75" s="815"/>
      <c r="H75" s="895"/>
    </row>
    <row r="76" spans="1:10" s="112" customFormat="1">
      <c r="A76" s="823" t="s">
        <v>2781</v>
      </c>
      <c r="B76" s="823"/>
      <c r="C76" s="823"/>
      <c r="F76" s="855" t="s">
        <v>8079</v>
      </c>
      <c r="G76" s="815"/>
      <c r="H76" s="887" t="s">
        <v>8078</v>
      </c>
      <c r="J76" s="825"/>
    </row>
    <row r="77" spans="1:10">
      <c r="A77" t="s">
        <v>395</v>
      </c>
      <c r="F77" s="968">
        <v>0</v>
      </c>
      <c r="G77" s="821"/>
      <c r="H77" s="896">
        <f t="shared" ref="H77:H84" si="2">F77</f>
        <v>0</v>
      </c>
      <c r="J77" s="123" t="s">
        <v>482</v>
      </c>
    </row>
    <row r="78" spans="1:10">
      <c r="A78" t="s">
        <v>396</v>
      </c>
      <c r="F78" s="863">
        <f>IF(ISNA('DE1'!G35),0,'DE1'!G35)</f>
        <v>0</v>
      </c>
      <c r="G78" s="811"/>
      <c r="H78" s="888">
        <f t="shared" si="2"/>
        <v>0</v>
      </c>
      <c r="J78" s="123" t="s">
        <v>3829</v>
      </c>
    </row>
    <row r="79" spans="1:10">
      <c r="A79" t="s">
        <v>6280</v>
      </c>
      <c r="F79" s="968">
        <v>0</v>
      </c>
      <c r="G79" s="821"/>
      <c r="H79" s="896">
        <f t="shared" si="2"/>
        <v>0</v>
      </c>
      <c r="J79" s="123" t="s">
        <v>2823</v>
      </c>
    </row>
    <row r="80" spans="1:10" hidden="1">
      <c r="A80" t="s">
        <v>6281</v>
      </c>
      <c r="F80" s="863">
        <f>IF(ISNA('DE1'!G37),0,'DE1'!G37)</f>
        <v>0</v>
      </c>
      <c r="G80" s="811"/>
      <c r="H80" s="888">
        <f t="shared" si="2"/>
        <v>0</v>
      </c>
      <c r="J80" s="123" t="s">
        <v>2824</v>
      </c>
    </row>
    <row r="81" spans="1:10" hidden="1">
      <c r="A81" s="789" t="s">
        <v>5141</v>
      </c>
      <c r="B81" s="789"/>
      <c r="C81" s="789"/>
      <c r="D81" s="789"/>
      <c r="E81" s="789"/>
      <c r="F81" s="868">
        <v>0</v>
      </c>
      <c r="G81" s="811"/>
      <c r="H81" s="888">
        <f>LPE.DPE!G41</f>
        <v>0</v>
      </c>
      <c r="J81" s="71" t="s">
        <v>7171</v>
      </c>
    </row>
    <row r="82" spans="1:10" hidden="1">
      <c r="A82" t="s">
        <v>6282</v>
      </c>
      <c r="F82" s="856">
        <v>0</v>
      </c>
      <c r="G82" s="811"/>
      <c r="H82" s="897">
        <f t="shared" si="2"/>
        <v>0</v>
      </c>
      <c r="J82" s="123" t="s">
        <v>2825</v>
      </c>
    </row>
    <row r="83" spans="1:10" hidden="1">
      <c r="A83" t="s">
        <v>6283</v>
      </c>
      <c r="F83" s="869">
        <v>0</v>
      </c>
      <c r="G83" s="811"/>
      <c r="H83" s="897">
        <f t="shared" si="2"/>
        <v>0</v>
      </c>
      <c r="J83" s="123" t="s">
        <v>2826</v>
      </c>
    </row>
    <row r="84" spans="1:10" hidden="1">
      <c r="A84" t="s">
        <v>7123</v>
      </c>
      <c r="F84" s="869">
        <v>0</v>
      </c>
      <c r="G84" s="811"/>
      <c r="H84" s="897">
        <f t="shared" si="2"/>
        <v>0</v>
      </c>
      <c r="J84" s="123" t="s">
        <v>3955</v>
      </c>
    </row>
    <row r="85" spans="1:10" hidden="1">
      <c r="A85" s="307" t="s">
        <v>7124</v>
      </c>
      <c r="B85" s="307"/>
      <c r="C85" s="307"/>
      <c r="D85" s="307"/>
      <c r="E85" s="307"/>
      <c r="F85" s="870">
        <v>0</v>
      </c>
      <c r="G85" s="814"/>
      <c r="H85" s="870">
        <v>0</v>
      </c>
      <c r="J85" s="123" t="s">
        <v>2827</v>
      </c>
    </row>
    <row r="86" spans="1:10" hidden="1">
      <c r="A86" t="s">
        <v>4974</v>
      </c>
      <c r="F86" s="856" t="e">
        <f>-F60*0.00000089</f>
        <v>#N/A</v>
      </c>
      <c r="G86" s="815"/>
      <c r="H86" s="888" t="e">
        <f>-H60*0.00000082</f>
        <v>#N/A</v>
      </c>
      <c r="J86" s="123" t="s">
        <v>6095</v>
      </c>
    </row>
    <row r="87" spans="1:10" hidden="1">
      <c r="A87" t="s">
        <v>4975</v>
      </c>
      <c r="F87" s="856" t="e">
        <f>-F60*0.000173445</f>
        <v>#N/A</v>
      </c>
      <c r="G87" s="815"/>
      <c r="H87" s="888" t="e">
        <f>-H60*0.000171265</f>
        <v>#N/A</v>
      </c>
      <c r="J87" s="123" t="s">
        <v>597</v>
      </c>
    </row>
    <row r="88" spans="1:10" hidden="1">
      <c r="A88" t="s">
        <v>4976</v>
      </c>
      <c r="F88" s="856" t="e">
        <f>-F60*0.00002296</f>
        <v>#N/A</v>
      </c>
      <c r="G88" s="815"/>
      <c r="H88" s="888" t="e">
        <f>-H60*0.00002118</f>
        <v>#N/A</v>
      </c>
      <c r="J88" s="123" t="s">
        <v>598</v>
      </c>
    </row>
    <row r="89" spans="1:10" hidden="1">
      <c r="A89" s="57" t="s">
        <v>7724</v>
      </c>
      <c r="F89" s="871" t="s">
        <v>1489</v>
      </c>
      <c r="G89" s="816" t="str">
        <f>F89</f>
        <v>n</v>
      </c>
      <c r="H89" s="898" t="str">
        <f>F89</f>
        <v>n</v>
      </c>
      <c r="J89" s="57" t="s">
        <v>7725</v>
      </c>
    </row>
    <row r="90" spans="1:10" hidden="1">
      <c r="A90" t="s">
        <v>2477</v>
      </c>
      <c r="D90" s="305"/>
      <c r="F90" s="869">
        <v>0</v>
      </c>
      <c r="G90" s="811"/>
      <c r="H90" s="897">
        <f>F90</f>
        <v>0</v>
      </c>
      <c r="J90" s="123" t="s">
        <v>686</v>
      </c>
    </row>
    <row r="91" spans="1:10" hidden="1">
      <c r="A91" t="s">
        <v>24</v>
      </c>
      <c r="F91" s="872">
        <f>IF(ISNA('Bond Debt'!C2),0,'Bond Debt'!C2)</f>
        <v>0</v>
      </c>
      <c r="G91" s="811"/>
      <c r="H91" s="888">
        <f>IF(ISNA('Bond Debt'!D2),0,'Bond Debt'!D2)</f>
        <v>0</v>
      </c>
      <c r="J91" s="123" t="s">
        <v>2587</v>
      </c>
    </row>
    <row r="92" spans="1:10" hidden="1">
      <c r="A92" s="307" t="s">
        <v>5552</v>
      </c>
      <c r="B92" s="307"/>
      <c r="C92" s="307"/>
      <c r="D92" s="307"/>
      <c r="E92" s="307"/>
      <c r="F92" s="870">
        <v>0</v>
      </c>
      <c r="G92" s="817"/>
      <c r="H92" s="899">
        <v>0</v>
      </c>
      <c r="J92" s="123" t="s">
        <v>2694</v>
      </c>
    </row>
    <row r="93" spans="1:10" hidden="1">
      <c r="A93" s="307" t="s">
        <v>2696</v>
      </c>
      <c r="B93" s="307"/>
      <c r="C93" s="307"/>
      <c r="D93" s="307"/>
      <c r="E93" s="307"/>
      <c r="F93" s="870">
        <v>0</v>
      </c>
      <c r="G93" s="814"/>
      <c r="H93" s="900">
        <v>0</v>
      </c>
      <c r="J93" s="123" t="s">
        <v>2697</v>
      </c>
    </row>
    <row r="94" spans="1:10" hidden="1">
      <c r="A94" s="307" t="s">
        <v>5553</v>
      </c>
      <c r="B94" s="307"/>
      <c r="C94" s="307"/>
      <c r="D94" s="307"/>
      <c r="E94" s="307"/>
      <c r="F94" s="870">
        <v>0</v>
      </c>
      <c r="G94" s="814"/>
      <c r="H94" s="900">
        <v>0</v>
      </c>
      <c r="J94" s="123" t="s">
        <v>1778</v>
      </c>
    </row>
    <row r="95" spans="1:10" hidden="1">
      <c r="A95" s="307" t="s">
        <v>2698</v>
      </c>
      <c r="B95" s="307"/>
      <c r="C95" s="307"/>
      <c r="D95" s="307"/>
      <c r="E95" s="307"/>
      <c r="F95" s="870">
        <v>0</v>
      </c>
      <c r="G95" s="814"/>
      <c r="H95" s="900">
        <v>0</v>
      </c>
      <c r="J95" s="123" t="s">
        <v>7668</v>
      </c>
    </row>
    <row r="96" spans="1:10" hidden="1">
      <c r="A96" s="789" t="s">
        <v>25</v>
      </c>
      <c r="B96" s="789"/>
      <c r="C96" s="789"/>
      <c r="D96" s="789"/>
      <c r="E96" s="790"/>
      <c r="F96" s="873">
        <v>0</v>
      </c>
      <c r="G96" s="817"/>
      <c r="H96" s="896">
        <f>F96</f>
        <v>0</v>
      </c>
      <c r="J96" s="123" t="s">
        <v>23</v>
      </c>
    </row>
    <row r="97" spans="1:10" hidden="1">
      <c r="A97" s="789" t="s">
        <v>26</v>
      </c>
      <c r="B97" s="789"/>
      <c r="C97" s="789"/>
      <c r="D97" s="789"/>
      <c r="E97" s="789"/>
      <c r="F97" s="873">
        <v>0</v>
      </c>
      <c r="G97" s="817"/>
      <c r="H97" s="896">
        <f>F97</f>
        <v>0</v>
      </c>
      <c r="J97" s="123" t="s">
        <v>1770</v>
      </c>
    </row>
    <row r="98" spans="1:10" hidden="1">
      <c r="A98" s="789" t="s">
        <v>2150</v>
      </c>
      <c r="B98" s="789"/>
      <c r="C98" s="789"/>
      <c r="D98" s="789"/>
      <c r="E98" s="789"/>
      <c r="F98" s="874">
        <v>0</v>
      </c>
      <c r="G98" s="817"/>
      <c r="H98" s="896">
        <v>0</v>
      </c>
      <c r="J98" s="123" t="s">
        <v>5353</v>
      </c>
    </row>
    <row r="99" spans="1:10" hidden="1">
      <c r="A99" s="789" t="s">
        <v>2151</v>
      </c>
      <c r="B99" s="789"/>
      <c r="C99" s="789"/>
      <c r="D99" s="789"/>
      <c r="E99" s="789"/>
      <c r="F99" s="874">
        <v>0</v>
      </c>
      <c r="G99" s="817"/>
      <c r="H99" s="896">
        <v>0</v>
      </c>
      <c r="J99" s="123" t="s">
        <v>5354</v>
      </c>
    </row>
    <row r="100" spans="1:10" hidden="1">
      <c r="A100" s="358" t="s">
        <v>4970</v>
      </c>
      <c r="B100" s="359"/>
      <c r="C100" s="359"/>
      <c r="D100" s="307"/>
      <c r="E100" s="307"/>
      <c r="F100" s="875" t="s">
        <v>1849</v>
      </c>
      <c r="G100" s="817"/>
      <c r="H100" s="901" t="s">
        <v>1850</v>
      </c>
      <c r="I100" s="307"/>
      <c r="J100" s="421" t="s">
        <v>811</v>
      </c>
    </row>
    <row r="101" spans="1:10" hidden="1">
      <c r="A101" s="307" t="s">
        <v>3146</v>
      </c>
      <c r="B101" s="307"/>
      <c r="C101" s="307"/>
      <c r="D101" s="307"/>
      <c r="E101" s="307"/>
      <c r="F101" s="876" t="e">
        <f>F67</f>
        <v>#N/A</v>
      </c>
      <c r="G101" s="817"/>
      <c r="H101" s="902" t="e">
        <f>H69</f>
        <v>#N/A</v>
      </c>
      <c r="I101" s="307"/>
      <c r="J101" s="381" t="s">
        <v>1755</v>
      </c>
    </row>
    <row r="102" spans="1:10" hidden="1">
      <c r="A102" s="307" t="s">
        <v>687</v>
      </c>
      <c r="B102" s="307"/>
      <c r="C102" s="307"/>
      <c r="D102" s="307"/>
      <c r="E102" s="307"/>
      <c r="F102" s="877">
        <v>0</v>
      </c>
      <c r="G102" s="817"/>
      <c r="H102" s="903" t="e">
        <f>'Calc Data'!F43</f>
        <v>#N/A</v>
      </c>
      <c r="I102" s="307"/>
      <c r="J102" s="381" t="s">
        <v>3920</v>
      </c>
    </row>
    <row r="103" spans="1:10" hidden="1">
      <c r="A103" s="381" t="s">
        <v>57</v>
      </c>
      <c r="B103" s="307"/>
      <c r="C103" s="307"/>
      <c r="D103" s="307"/>
      <c r="E103" s="307"/>
      <c r="F103" s="876">
        <v>0</v>
      </c>
      <c r="G103" s="817"/>
      <c r="H103" s="902">
        <f>F103</f>
        <v>0</v>
      </c>
      <c r="I103" s="307"/>
      <c r="J103" s="381" t="s">
        <v>6093</v>
      </c>
    </row>
    <row r="104" spans="1:10" hidden="1">
      <c r="A104" s="381" t="s">
        <v>812</v>
      </c>
      <c r="B104" s="307"/>
      <c r="C104" s="307"/>
      <c r="D104" s="307"/>
      <c r="E104" s="307"/>
      <c r="F104" s="876">
        <v>0</v>
      </c>
      <c r="G104" s="817"/>
      <c r="H104" s="902">
        <f>F104</f>
        <v>0</v>
      </c>
      <c r="I104" s="307"/>
      <c r="J104" s="314" t="s">
        <v>3523</v>
      </c>
    </row>
    <row r="105" spans="1:10" hidden="1">
      <c r="A105" s="381" t="s">
        <v>56</v>
      </c>
      <c r="B105" s="307"/>
      <c r="C105" s="307"/>
      <c r="D105" s="307"/>
      <c r="E105" s="307"/>
      <c r="F105" s="876">
        <v>0</v>
      </c>
      <c r="G105" s="817"/>
      <c r="H105" s="902">
        <f>F105</f>
        <v>0</v>
      </c>
      <c r="I105" s="307"/>
      <c r="J105" s="314" t="s">
        <v>2288</v>
      </c>
    </row>
    <row r="106" spans="1:10" hidden="1">
      <c r="A106" s="307" t="s">
        <v>5888</v>
      </c>
      <c r="B106" s="307"/>
      <c r="C106" s="307"/>
      <c r="D106" s="307"/>
      <c r="E106" s="307"/>
      <c r="F106" s="876">
        <v>0</v>
      </c>
      <c r="G106" s="817"/>
      <c r="H106" s="902">
        <f>F106</f>
        <v>0</v>
      </c>
      <c r="I106" s="307"/>
      <c r="J106" s="314" t="s">
        <v>4173</v>
      </c>
    </row>
    <row r="107" spans="1:10" hidden="1">
      <c r="A107" s="307" t="s">
        <v>2851</v>
      </c>
      <c r="B107" s="307"/>
      <c r="C107" s="307"/>
      <c r="D107" s="307"/>
      <c r="E107" s="307"/>
      <c r="F107" s="876">
        <v>0</v>
      </c>
      <c r="G107" s="817"/>
      <c r="H107" s="902">
        <f>F107</f>
        <v>0</v>
      </c>
      <c r="I107" s="307"/>
      <c r="J107" s="314" t="s">
        <v>4174</v>
      </c>
    </row>
    <row r="108" spans="1:10" ht="12.75" hidden="1" customHeight="1">
      <c r="A108" s="307" t="s">
        <v>50</v>
      </c>
      <c r="B108" s="307"/>
      <c r="C108" s="307"/>
      <c r="D108" s="307"/>
      <c r="E108" s="307"/>
      <c r="F108" s="878"/>
      <c r="G108" s="817"/>
      <c r="H108" s="893"/>
      <c r="I108" s="307"/>
      <c r="J108" s="307"/>
    </row>
    <row r="109" spans="1:10" ht="12.75" hidden="1" customHeight="1">
      <c r="A109" s="314" t="s">
        <v>4176</v>
      </c>
      <c r="B109" s="307"/>
      <c r="C109" s="307"/>
      <c r="D109" s="307"/>
      <c r="E109" s="307"/>
      <c r="F109" s="876">
        <v>0</v>
      </c>
      <c r="G109" s="817"/>
      <c r="H109" s="902">
        <f>F109</f>
        <v>0</v>
      </c>
      <c r="I109" s="307"/>
      <c r="J109" s="314" t="s">
        <v>2289</v>
      </c>
    </row>
    <row r="110" spans="1:10" ht="12.75" hidden="1" customHeight="1">
      <c r="A110" s="307" t="s">
        <v>5887</v>
      </c>
      <c r="B110" s="307"/>
      <c r="C110" s="307"/>
      <c r="D110" s="307"/>
      <c r="E110" s="307"/>
      <c r="F110" s="876">
        <v>0</v>
      </c>
      <c r="G110" s="817"/>
      <c r="H110" s="902">
        <f>F110</f>
        <v>0</v>
      </c>
      <c r="I110" s="307"/>
      <c r="J110" s="314" t="s">
        <v>2820</v>
      </c>
    </row>
    <row r="111" spans="1:10" ht="12.75" hidden="1" customHeight="1">
      <c r="A111" s="307" t="s">
        <v>1504</v>
      </c>
      <c r="B111" s="307"/>
      <c r="C111" s="307"/>
      <c r="D111" s="307"/>
      <c r="E111" s="307"/>
      <c r="F111" s="876">
        <v>0</v>
      </c>
      <c r="G111" s="817"/>
      <c r="H111" s="902">
        <f>F111</f>
        <v>0</v>
      </c>
      <c r="I111" s="307"/>
      <c r="J111" s="314" t="s">
        <v>4175</v>
      </c>
    </row>
    <row r="112" spans="1:10" ht="12.75" hidden="1" customHeight="1">
      <c r="G112" s="818"/>
    </row>
    <row r="113" spans="1:1" hidden="1">
      <c r="A113" s="470"/>
    </row>
    <row r="114" spans="1:1">
      <c r="A114" s="470"/>
    </row>
    <row r="115" spans="1:1">
      <c r="A115" s="470"/>
    </row>
    <row r="116" spans="1:1">
      <c r="A116" s="470"/>
    </row>
    <row r="123" spans="1:1" ht="9" customHeight="1"/>
    <row r="158" ht="12" customHeight="1"/>
    <row r="169" spans="3:12">
      <c r="C169" s="27"/>
      <c r="D169" s="27"/>
      <c r="L169" s="8"/>
    </row>
    <row r="170" spans="3:12">
      <c r="C170" s="27"/>
      <c r="D170" s="27"/>
      <c r="L170" s="8"/>
    </row>
    <row r="171" spans="3:12">
      <c r="C171" s="27"/>
      <c r="D171" s="27"/>
      <c r="L171" s="8"/>
    </row>
    <row r="172" spans="3:12">
      <c r="C172" s="27"/>
      <c r="D172" s="27"/>
      <c r="L172" s="8"/>
    </row>
    <row r="173" spans="3:12">
      <c r="C173" s="27"/>
      <c r="D173" s="27"/>
      <c r="L173" s="8"/>
    </row>
    <row r="174" spans="3:12">
      <c r="C174" s="27"/>
      <c r="D174" s="27"/>
      <c r="L174" s="8"/>
    </row>
    <row r="175" spans="3:12">
      <c r="C175" s="27"/>
      <c r="D175" s="27"/>
      <c r="L175" s="8"/>
    </row>
    <row r="176" spans="3:12">
      <c r="C176" s="27"/>
      <c r="D176" s="27"/>
      <c r="L176" s="8"/>
    </row>
    <row r="177" spans="3:12">
      <c r="C177" s="27"/>
      <c r="D177" s="27"/>
      <c r="L177" s="8"/>
    </row>
    <row r="178" spans="3:12">
      <c r="C178" s="27"/>
      <c r="D178" s="27"/>
      <c r="L178" s="8"/>
    </row>
    <row r="179" spans="3:12">
      <c r="C179" s="27"/>
      <c r="D179" s="27"/>
      <c r="L179" s="8"/>
    </row>
    <row r="180" spans="3:12">
      <c r="C180" s="27"/>
      <c r="D180" s="27"/>
      <c r="L180" s="8"/>
    </row>
    <row r="181" spans="3:12">
      <c r="C181" s="27"/>
      <c r="D181" s="27"/>
      <c r="L181" s="8"/>
    </row>
    <row r="182" spans="3:12">
      <c r="C182" s="27"/>
      <c r="D182" s="27"/>
      <c r="L182" s="8"/>
    </row>
    <row r="183" spans="3:12">
      <c r="C183" s="27"/>
      <c r="D183" s="27"/>
      <c r="L183" s="8"/>
    </row>
    <row r="184" spans="3:12">
      <c r="C184" s="27"/>
      <c r="D184" s="27"/>
      <c r="L184" s="8"/>
    </row>
    <row r="185" spans="3:12">
      <c r="C185" s="27"/>
      <c r="D185" s="27"/>
      <c r="L185" s="8"/>
    </row>
    <row r="186" spans="3:12">
      <c r="C186" s="27"/>
      <c r="D186" s="27"/>
      <c r="L186" s="8"/>
    </row>
    <row r="187" spans="3:12">
      <c r="C187" s="27"/>
      <c r="D187" s="27"/>
      <c r="L187" s="8"/>
    </row>
    <row r="188" spans="3:12">
      <c r="C188" s="27"/>
      <c r="D188" s="27"/>
      <c r="L188" s="8"/>
    </row>
    <row r="189" spans="3:12">
      <c r="C189" s="27"/>
      <c r="D189" s="27"/>
      <c r="L189" s="8"/>
    </row>
    <row r="190" spans="3:12">
      <c r="C190" s="27"/>
      <c r="D190" s="27"/>
      <c r="L190" s="8"/>
    </row>
    <row r="191" spans="3:12">
      <c r="C191" s="27"/>
      <c r="D191" s="27"/>
      <c r="L191" s="8"/>
    </row>
    <row r="192" spans="3:12">
      <c r="C192" s="27"/>
      <c r="D192" s="27"/>
      <c r="L192" s="8"/>
    </row>
    <row r="193" spans="2:15">
      <c r="C193" s="27"/>
      <c r="D193" s="27"/>
      <c r="L193" s="8"/>
    </row>
    <row r="194" spans="2:15">
      <c r="C194" s="27"/>
      <c r="D194" s="27"/>
      <c r="L194" s="8"/>
    </row>
    <row r="195" spans="2:15">
      <c r="C195" s="27"/>
      <c r="D195" s="27"/>
      <c r="L195" s="8"/>
    </row>
    <row r="196" spans="2:15">
      <c r="C196" s="27"/>
      <c r="D196" s="27"/>
      <c r="L196" s="8"/>
    </row>
    <row r="197" spans="2:15">
      <c r="C197" s="27"/>
      <c r="D197" s="27"/>
      <c r="L197" s="8"/>
    </row>
    <row r="198" spans="2:15">
      <c r="B198" s="27"/>
      <c r="C198" s="27"/>
      <c r="D198" s="27"/>
      <c r="L198" s="8"/>
    </row>
    <row r="199" spans="2:15">
      <c r="C199" s="27"/>
      <c r="D199" s="27"/>
      <c r="L199" s="8"/>
    </row>
    <row r="200" spans="2:15">
      <c r="C200" s="27"/>
      <c r="D200" s="27"/>
      <c r="L200" s="8"/>
    </row>
    <row r="201" spans="2:15">
      <c r="L201" s="8"/>
      <c r="O201" s="4"/>
    </row>
    <row r="202" spans="2:15">
      <c r="L202" s="8"/>
    </row>
    <row r="203" spans="2:15">
      <c r="L203" s="8"/>
      <c r="O203" s="4"/>
    </row>
    <row r="204" spans="2:15">
      <c r="L204" s="8"/>
      <c r="O204" s="4"/>
    </row>
    <row r="205" spans="2:15">
      <c r="L205" s="8"/>
      <c r="O205" s="4"/>
    </row>
    <row r="206" spans="2:15">
      <c r="L206" s="8"/>
      <c r="O206" s="4"/>
    </row>
    <row r="208" spans="2:15">
      <c r="L208" s="3"/>
    </row>
    <row r="209" spans="12:16">
      <c r="L209" s="8"/>
      <c r="O209" s="4"/>
    </row>
    <row r="210" spans="12:16">
      <c r="L210" s="8"/>
      <c r="O210" s="4"/>
    </row>
    <row r="211" spans="12:16">
      <c r="L211" s="8"/>
      <c r="O211" s="4"/>
    </row>
    <row r="212" spans="12:16">
      <c r="L212" s="3"/>
      <c r="O212" s="4"/>
    </row>
    <row r="213" spans="12:16">
      <c r="L213" s="8"/>
    </row>
    <row r="214" spans="12:16">
      <c r="L214" s="8"/>
      <c r="O214" s="4"/>
      <c r="P214" s="8" t="s">
        <v>5645</v>
      </c>
    </row>
    <row r="215" spans="12:16">
      <c r="L215" s="8"/>
      <c r="O215" s="4"/>
    </row>
    <row r="216" spans="12:16">
      <c r="L216" s="8"/>
      <c r="O216" s="4"/>
    </row>
    <row r="225" spans="1:15">
      <c r="L225" s="8"/>
      <c r="O225" s="4"/>
    </row>
    <row r="226" spans="1:15">
      <c r="L226" s="8"/>
      <c r="O226" s="4"/>
    </row>
    <row r="227" spans="1:15">
      <c r="L227" s="8"/>
      <c r="O227" s="4"/>
    </row>
    <row r="228" spans="1:15">
      <c r="L228" s="8"/>
      <c r="O228" s="4"/>
    </row>
    <row r="229" spans="1:15">
      <c r="A229" s="597" t="s">
        <v>1849</v>
      </c>
      <c r="L229" s="8"/>
      <c r="O229" s="4"/>
    </row>
    <row r="230" spans="1:15">
      <c r="A230" s="307" t="s">
        <v>2761</v>
      </c>
      <c r="K230" s="4"/>
      <c r="L230" s="3"/>
      <c r="O230" s="4"/>
    </row>
    <row r="231" spans="1:15">
      <c r="A231" s="598" t="s">
        <v>2762</v>
      </c>
      <c r="L231" s="8"/>
      <c r="O231" s="4"/>
    </row>
    <row r="235" spans="1:15">
      <c r="A235" s="593" t="s">
        <v>1850</v>
      </c>
      <c r="J235" s="595" t="e">
        <f>ROUND(IF((F60*0.0086)+'SOF0506-CL'!U78&gt;='SOF0506-CL'!H38,'SOF0506-CL'!H38-'SOF0506-CL'!U78,F60*0.0086),0)</f>
        <v>#N/A</v>
      </c>
    </row>
    <row r="236" spans="1:15">
      <c r="A236" s="594" t="e">
        <f>ROUND(IF((H60*0.0086)+'SOF0607-CL'!F79&gt;='SOF0607-CL'!F38,'SOF0607-CL'!F38-'SOF0607-CL'!F79,H60*0.0086),0)</f>
        <v>#N/A</v>
      </c>
      <c r="C236" s="595" t="e">
        <f>ROUND(IF((F63*0.0086)+'SOF0506-CL'!U78&gt;='SOF0506-CL'!AB38,'SOF0506-CL'!AB38-'SOF0506-CL'!U78,F63*0.0086),0)</f>
        <v>#N/A</v>
      </c>
      <c r="D236" s="595" t="e">
        <f>ROUND(IF((F63*0.0086)+'SOF0506-CL'!F78&gt;='SOF0506-CL'!AA38,'SOF0506-CL'!AA38-'SOF0506-CL'!F78,F63*0.0086),0)</f>
        <v>#N/A</v>
      </c>
      <c r="F236" s="879" t="e">
        <f>ROUND(IF((F60*0.0086)+'SOF0506-CL'!F78&gt;='SOF0506-CL'!L38,'SOF0506-CL'!L38-'SOF0506-CL'!F78,F60*0.0086),0)</f>
        <v>#N/A</v>
      </c>
      <c r="G236" s="819"/>
      <c r="H236" s="879" t="e">
        <f>ROUND(IF((F60*0.0086)+'SOF0506-CL'!F78&gt;='SOF0506-CL'!F38,'SOF0506-CL'!F38-'SOF0506-CL'!F78,F60*0.0086),0)</f>
        <v>#N/A</v>
      </c>
      <c r="I236" s="34"/>
      <c r="J236" s="595" t="e">
        <f>ROUND(IF(F62=F60,J235,IF((F62*0.0086)+'SOF0506-CL'!U78&gt;='SOF0506-CL'!H38,'SOF0506-CL'!H38-'SOF0506-CL'!U78,F62*0.0086)),0)</f>
        <v>#N/A</v>
      </c>
      <c r="L236" s="595" t="e">
        <f>ROUND(IF((F60*0.0086)+'SOF0506-CL'!U78&gt;='SOF0506-CL'!U38,'SOF0506-CL'!U38-'SOF0506-CL'!U78,F60*0.0086),0)</f>
        <v>#N/A</v>
      </c>
    </row>
    <row r="237" spans="1:15">
      <c r="A237" s="594" t="e">
        <f>ROUND(IF(H62=H60,A236,IF((H62*0.0086)+'SOF0607-CL'!F79&gt;='SOF0607-CL'!F38,'SOF0607-CL'!F38-'SOF0607-CL'!F79,H62*0.0086)),0)</f>
        <v>#N/A</v>
      </c>
      <c r="C237" s="595" t="e">
        <f>ROUND(IF(F62=F60,C236,IF((F63*0.0086)+'SOF0506-CL'!U78&gt;='SOF0506-CL'!AB38,'SOF0506-CL'!AB38-'SOF0506-CL'!U78,F63*0.0086)),0)</f>
        <v>#N/A</v>
      </c>
      <c r="D237" s="595" t="e">
        <f>ROUND(IF(F62=F60,D236,IF((F63*0.0086)+'SOF0506-CL'!F78&gt;='SOF0506-CL'!AA38,'SOF0506-CL'!AA38-'SOF0506-CL'!F78,F63*0.0086)),0)</f>
        <v>#N/A</v>
      </c>
      <c r="F237" s="879" t="e">
        <f>ROUND(IF(F62=F60,F236,IF((F62*0.0086)+'SOF0506-CL'!F78&gt;='SOF0506-CL'!L38,'SOF0506-CL'!L38-'SOF0506-CL'!F78,F62*0.0086)),0)</f>
        <v>#N/A</v>
      </c>
      <c r="G237" s="819"/>
      <c r="H237" s="879" t="e">
        <f>ROUND(IF(F62=F60,H236,IF((F62*0.0086)+'SOF0506-CL'!F78&gt;='SOF0506-CL'!F38,'SOF0506-CL'!F38-'SOF0506-CL'!F78,F62*0.0086)),0)</f>
        <v>#N/A</v>
      </c>
      <c r="I237" s="34"/>
      <c r="J237" s="595" t="e">
        <f>ROUND(IF(F61*0.0086=J235,J235,IF((F61*0.0086)+'SOF0506-CL'!U78&gt;='SOF0506-CL'!H38,'SOF0506-CL'!H38-'SOF0506-CL'!U78,F61*0.0086)),0)</f>
        <v>#N/A</v>
      </c>
      <c r="L237" s="595" t="e">
        <f>ROUND(IF(F62=F60,L236,IF((F62*0.0086)+'SOF0506-CL'!U78&gt;='SOF0506-CL'!U38,'SOF0506-CL'!U38-'SOF0506-CL'!U78,F62*0.0086)),0)</f>
        <v>#N/A</v>
      </c>
      <c r="O237" s="4"/>
    </row>
    <row r="238" spans="1:15">
      <c r="A238" s="594" t="e">
        <f>ROUND(IF(H61*0.0086=A236,A236,IF((H61*0.0086)+'SOF0607-CL'!F79&gt;='SOF0607-CL'!F38,'SOF0607-CL'!F38-'SOF0607-CL'!F79,H61*0.0086)),0)</f>
        <v>#N/A</v>
      </c>
      <c r="C238" s="595" t="e">
        <f>ROUND(IF(F63*0.0086=C236,C236,IF((F63*0.0086)+'SOF0506-CL'!U78&gt;='SOF0506-CL'!AB38,'SOF0506-CL'!AB38-'SOF0506-CL'!U78,F63*0.0086)),0)</f>
        <v>#N/A</v>
      </c>
      <c r="D238" s="595" t="e">
        <f>ROUND(IF(F63*0.0086=D236,D236,IF((F63*0.0086)+'SOF0506-CL'!F78&gt;='SOF0506-CL'!AA38,'SOF0506-CL'!AA38-'SOF0506-CL'!F78,F63*0.0086)),0)</f>
        <v>#N/A</v>
      </c>
      <c r="F238" s="879" t="e">
        <f>ROUND(IF(F61*0.0086=F236,F236,IF((F61*0.0086)+'SOF0506-CL'!F78&gt;='SOF0506-CL'!L38,'SOF0506-CL'!L38-'SOF0506-CL'!F78,F61*0.0086)),0)</f>
        <v>#N/A</v>
      </c>
      <c r="G238" s="819"/>
      <c r="H238" s="879" t="e">
        <f>ROUND(IF(F61*0.0086=H236,H236,IF((F61*0.0086)+'SOF0506-CL'!F78&gt;='SOF0506-CL'!F38,'SOF0506-CL'!F38-'SOF0506-CL'!F78,F61*0.0086)),0)</f>
        <v>#N/A</v>
      </c>
      <c r="I238" s="34"/>
      <c r="L238" s="595" t="e">
        <f>ROUND(IF(F61*0.0086=L236,L236,IF((F61*0.0086)+'SOF0506-CL'!U78&gt;='SOF0506-CL'!U38,'SOF0506-CL'!U38-'SOF0506-CL'!U78,F61*0.0086)),0)</f>
        <v>#N/A</v>
      </c>
      <c r="O238" s="4"/>
    </row>
    <row r="239" spans="1:15">
      <c r="B239" s="19"/>
      <c r="C239" s="19"/>
      <c r="D239" s="19"/>
      <c r="E239" s="19"/>
      <c r="F239" s="880"/>
      <c r="G239" s="820"/>
      <c r="H239" s="880"/>
      <c r="I239" s="42"/>
      <c r="J239" s="594" t="e">
        <f>ROUND(IF((H60*0.0086)+'SOF0607-CL'!U79&gt;='SOF0607-CL'!H38,'SOF0607-CL'!H38-'SOF0607-CL'!U79,H60*0.0086),0)</f>
        <v>#N/A</v>
      </c>
      <c r="L239" s="8"/>
      <c r="O239" s="4"/>
    </row>
    <row r="240" spans="1:15">
      <c r="A240" s="94"/>
      <c r="C240" s="594" t="e">
        <f>ROUND(IF((H63*0.0086)+'SOF0607-CL'!U79&gt;='SOF0607-CL'!AB38,'SOF0607-CL'!AB38-'SOF0607-CL'!U79,H63*0.0086),0)</f>
        <v>#N/A</v>
      </c>
      <c r="D240" s="594" t="e">
        <f>ROUND(IF((H63*0.0086)+'SOF0607-CL'!F79&gt;='SOF0607-CL'!AA38,'SOF0607-CL'!AA38-'SOF0607-CL'!F79,H63*0.0086),0)</f>
        <v>#N/A</v>
      </c>
      <c r="F240" s="881" t="e">
        <f>ROUND(IF((H60*0.0086)+'SOF0607-CL'!F79&gt;='SOF0607-CL'!L38,'SOF0607-CL'!L38-'SOF0607-CL'!F79,H60*0.0086),0)</f>
        <v>#N/A</v>
      </c>
      <c r="H240" s="904" t="e">
        <f>ROUND(IF((H60*0.0086)+'SOF0607-HB1'!F95&gt;='SOF0607-HB1'!L38,'SOF0607-HB1'!L38-'SOF0607-HB1'!F95,H60*0.0086),0)</f>
        <v>#N/A</v>
      </c>
      <c r="J240" s="594" t="e">
        <f>ROUND(IF(H62=H60,J239,IF((H62*0.0086)+'SOF0607-CL'!U79&gt;='SOF0607-CL'!H38,'SOF0607-CL'!H38-'SOF0607-CL'!U79,H62*0.0086)),0)</f>
        <v>#N/A</v>
      </c>
      <c r="L240" s="594" t="e">
        <f>ROUND(IF((H60*0.0086)+'SOF0607-CL'!U79&gt;='SOF0607-CL'!U38,'SOF0607-CL'!U38-'SOF0607-CL'!U79,H60*0.0086),0)</f>
        <v>#N/A</v>
      </c>
      <c r="O240" s="4"/>
    </row>
    <row r="241" spans="1:15">
      <c r="A241" s="596" t="e">
        <f>ROUND(IF((H60*0.0086)+'SOF0607-HB1'!F95&gt;='SOF0607-HB1'!F38,'SOF0607-HB1'!F38-'SOF0607-HB1'!F95,H60*0.0086),0)</f>
        <v>#N/A</v>
      </c>
      <c r="C241" s="594" t="e">
        <f>ROUND(IF(H62=H60,C240,IF((H63*0.0086)+'SOF0607-CL'!U79&gt;='SOF0607-CL'!AB38,'SOF0607-CL'!AB38-'SOF0607-CL'!U79,H63*0.0086)),0)</f>
        <v>#N/A</v>
      </c>
      <c r="D241" s="594" t="e">
        <f>ROUND(IF(H62=H60,D240,IF((H63*0.0086)+'SOF0607-CL'!F79&gt;='SOF0607-CL'!AA38,'SOF0607-CL'!AA38-'SOF0607-CL'!F79,H63*0.0086)),0)</f>
        <v>#N/A</v>
      </c>
      <c r="F241" s="881" t="e">
        <f>ROUND(IF(H62=H60,F240,IF((H62*0.0086)+'SOF0607-CL'!F79&gt;='SOF0607-CL'!L38,'SOF0607-CL'!L38-'SOF0607-CL'!F79,H62*0.0086)),0)</f>
        <v>#N/A</v>
      </c>
      <c r="H241" s="904" t="e">
        <f>ROUND(IF(H62=H60,H240,IF((H62*0.0086)+'SOF0607-CL'!F95&gt;='SOF0607-CL'!L38,'SOF0607-CL'!L38-'SOF0607-CL'!F95,H62*0.0086)),0)</f>
        <v>#N/A</v>
      </c>
      <c r="J241" s="594" t="e">
        <f>ROUND(IF(H60*0.0086=J239,J239,IF((H60*0.0086)+'SOF0607-CL'!U79&gt;='SOF0607-CL'!H38,'SOF0607-CL'!H38-'SOF0607-CL'!U79,H61*0.0086)),0)</f>
        <v>#N/A</v>
      </c>
      <c r="L241" s="594" t="e">
        <f>ROUND(IF(H62=H60,L240,IF((H62*0.0086)+'SOF0607-CL'!U79&gt;='SOF0607-CL'!U38,'SOF0607-CL'!U38-'SOF0607-CL'!U79,H62*0.0086)),0)</f>
        <v>#N/A</v>
      </c>
    </row>
    <row r="242" spans="1:15">
      <c r="A242" s="596" t="e">
        <f>ROUND(IF(H62=H60,A241,IF((H62*0.0086)+'SOF0607-HB1'!F95&gt;='SOF0607-HB1'!F38,'SOF0607-HB1'!F38-'SOF0607-HB1'!F95,H62*0.0086)),0)</f>
        <v>#N/A</v>
      </c>
      <c r="C242" s="594" t="e">
        <f>ROUND(IF(H63*0.0086=C240,C240,IF((H63*0.0086)+'SOF0607-CL'!U79&gt;='SOF0607-CL'!AB38,'SOF0607-CL'!AB38-'SOF0607-CL'!U79,H63*0.0086)),0)</f>
        <v>#N/A</v>
      </c>
      <c r="D242" s="594" t="e">
        <f>ROUND(IF(H63*0.0086=D240,D240,IF((H63*0.0086)+'SOF0607-CL'!F79&gt;='SOF0607-CL'!AA38,'SOF0607-CL'!AA38-'SOF0607-CL'!F79,H63*0.0086)),0)</f>
        <v>#N/A</v>
      </c>
      <c r="F242" s="881" t="e">
        <f>ROUND(IF(H61*0.0086=F240,F240,IF((H61*0.0086)+'SOF0607-CL'!F79&gt;='SOF0607-CL'!L38,'SOF0607-CL'!L38-'SOF0607-CL'!F79,H61*0.0086)),0)</f>
        <v>#N/A</v>
      </c>
      <c r="H242" s="904" t="e">
        <f>ROUND(IF(H61*0.0086=H240,H240,IF((H61*0.0086)+'SOF0607-HB1'!F95&gt;='SOF0607-HB1'!L38,'SOF0607-HB1'!L38-'SOF0607-HB1'!F95,H61*0.0086)),0)</f>
        <v>#N/A</v>
      </c>
      <c r="L242" s="594" t="e">
        <f>ROUND(IF(H61*0.0086=L240,L240,IF((H61*0.0086)+'SOF0607-CL'!U79&gt;='SOF0607-CL'!U38,'SOF0607-CL'!U38-'SOF0607-CL'!U79,H61*0.0086)),0)</f>
        <v>#N/A</v>
      </c>
    </row>
    <row r="243" spans="1:15">
      <c r="A243" s="596" t="e">
        <f>ROUND(IF(H61*0.0086=A241,A241,IF((H61*0.0086)+'SOF0607-HB1'!F95&gt;='SOF0607-HB1'!F38,'SOF0607-HB1'!F38-'SOF0607-HB1'!F95,H61*0.0086)),0)</f>
        <v>#N/A</v>
      </c>
      <c r="J243" s="596" t="e">
        <f>ROUND(IF((H60*0.0086)+'SOF0607-HB1'!U95&gt;='SOF0607-HB1'!U38,'SOF0607-HB1'!U38-'SOF0607-HB1'!U95,H60*0.0086),0)</f>
        <v>#N/A</v>
      </c>
    </row>
    <row r="244" spans="1:15">
      <c r="J244" s="596" t="e">
        <f>ROUND(IF(H62=H60,J243,IF((H62*0.0086)+'SOF0607-HB1'!U95&gt;='SOF0607-HB1'!U38,'SOF0607-HB1'!U38-'SOF0607-HB1'!U95,H62*0.0086)),0)</f>
        <v>#N/A</v>
      </c>
      <c r="L244" s="596" t="e">
        <f>ROUND(IF((H60*0.0086)+'SOF0607-HB1'!U95&gt;='SOF0607-HB1'!U38,'SOF0607-HB1'!U38-'SOF0607-HB1'!U95,H60*0.0086),0)</f>
        <v>#N/A</v>
      </c>
    </row>
    <row r="245" spans="1:15">
      <c r="A245" s="596" t="e">
        <f>ROUND(IF((H63*0.0086)+'SOF0607-HB1'!F95&gt;='SOF0607-HB1'!AA38,'SOF0607-HB1'!AA38-'SOF0607-HB1'!F95,H63*0.0086),0)</f>
        <v>#N/A</v>
      </c>
      <c r="C245" s="596" t="e">
        <f>ROUND(IF((H63*0.0086)+'SOF0607-HB1'!U95&gt;='SOF0607-HB1'!AB38,'SOF0607-HB1'!AB38-'SOF0607-HB1'!U95,H63*0.0086),0)</f>
        <v>#N/A</v>
      </c>
      <c r="J245" s="596" t="e">
        <f>ROUND(IF(H61*0.0086=J243,J243,IF((H61*0.0086)+'SOF0607-HB1'!U95&gt;='SOF0607-HB1'!U38,'SOF0607-HB1'!U38-'SOF0607-HB1'!U95,H61*0.0086)),0)</f>
        <v>#N/A</v>
      </c>
      <c r="L245" s="596" t="e">
        <f>ROUND(IF(H62=H60,L244,IF((H62*0.0086)+'SOF0607-HB1'!U95&gt;='SOF0607-HB1'!U38,'SOF0607-HB1'!U38-'SOF0607-HB1'!U95,H62*0.0086)),0)</f>
        <v>#N/A</v>
      </c>
      <c r="O245" s="4"/>
    </row>
    <row r="246" spans="1:15">
      <c r="A246" s="596" t="e">
        <f>ROUND(IF(H67=H65,A245,IF((H63*0.0086)+'SOF0607-HB1'!F95&gt;='SOF0607-HB1'!AA38,'SOF0607-HB1'!AA38-'SOF0607-HB1'!F95,H63*0.0086)),0)</f>
        <v>#N/A</v>
      </c>
      <c r="C246" s="596" t="e">
        <f>ROUND(IF(H62=H60,C245,IF((H63*0.0086)+'SOF0607-HB1'!U95&gt;='SOF0607-HB1'!AB38,'SOF0607-HB1'!AB38-'SOF0607-HB1'!U95,H63*0.0086)),0)</f>
        <v>#N/A</v>
      </c>
      <c r="I246" s="5"/>
      <c r="L246" s="596" t="e">
        <f>ROUND(IF(H61*0.0086=L244,L244,IF((H61*0.0086)+'SOF0607-HB1'!U95&gt;='SOF0607-HB1'!U38,'SOF0607-HB1'!U38-'SOF0607-HB1'!U95,H61*0.0086)),0)</f>
        <v>#N/A</v>
      </c>
      <c r="O246" s="4"/>
    </row>
    <row r="247" spans="1:15">
      <c r="A247" s="596" t="e">
        <f>ROUND(IF(H63*0.0086=A245,A245,IF((H63*0.0086)+'SOF0607-HB1'!F95&gt;='SOF0607-HB1'!AA38,'SOF0607-HB1'!AA38-'SOF0607-HB1'!F95,H63*0.0086)),0)</f>
        <v>#N/A</v>
      </c>
      <c r="C247" s="596" t="e">
        <f>ROUND(IF(H63*0.0086=C245,C245,IF((H63*0.0086)+'SOF0607-HB1'!U95&gt;='SOF0607-HB1'!AB38,'SOF0607-HB1'!AB38-'SOF0607-HB1'!U95,H63*0.0086)),0)</f>
        <v>#N/A</v>
      </c>
      <c r="D247" s="8" t="e">
        <f>IF(F55&gt;(F36*0.05),F36*0.05,F55)</f>
        <v>#N/A</v>
      </c>
      <c r="F247" s="848" t="e">
        <f>IF(H55&gt;(H36*0.05),H36*0.05,H55)</f>
        <v>#REF!</v>
      </c>
      <c r="L247" s="8"/>
      <c r="O247" s="4"/>
    </row>
    <row r="248" spans="1:15">
      <c r="L248" s="8"/>
      <c r="O248" s="4"/>
    </row>
    <row r="249" spans="1:15">
      <c r="L249" s="8"/>
      <c r="O249" s="4"/>
    </row>
    <row r="250" spans="1:15">
      <c r="L250" s="8"/>
      <c r="O250" s="4"/>
    </row>
    <row r="251" spans="1:15">
      <c r="K251" s="4"/>
      <c r="L251" s="8"/>
      <c r="O251" s="4"/>
    </row>
    <row r="252" spans="1:15">
      <c r="L252" s="8"/>
      <c r="O252" s="4"/>
    </row>
    <row r="253" spans="1:15">
      <c r="L253" s="8"/>
      <c r="O253" s="4"/>
    </row>
    <row r="254" spans="1:15">
      <c r="L254" s="8"/>
      <c r="O254" s="4"/>
    </row>
    <row r="255" spans="1:15">
      <c r="L255" s="8"/>
      <c r="O255" s="4"/>
    </row>
    <row r="256" spans="1:15">
      <c r="L256" s="8"/>
      <c r="O256" s="4"/>
    </row>
    <row r="257" spans="3:15">
      <c r="L257" s="8"/>
      <c r="O257" s="4"/>
    </row>
    <row r="258" spans="3:15">
      <c r="L258" s="8"/>
      <c r="O258" s="4"/>
    </row>
    <row r="259" spans="3:15">
      <c r="L259" s="8"/>
      <c r="O259" s="4"/>
    </row>
    <row r="260" spans="3:15">
      <c r="C260" s="27"/>
      <c r="H260" s="846"/>
      <c r="I260" s="26"/>
      <c r="L260" s="8"/>
      <c r="O260" s="4"/>
    </row>
    <row r="261" spans="3:15">
      <c r="C261" s="27"/>
      <c r="H261" s="846"/>
      <c r="I261" s="26"/>
      <c r="L261" s="8"/>
      <c r="O261" s="4"/>
    </row>
    <row r="262" spans="3:15">
      <c r="C262" s="27"/>
      <c r="H262" s="846"/>
      <c r="I262" s="26"/>
      <c r="L262" s="8"/>
      <c r="O262" s="4"/>
    </row>
    <row r="263" spans="3:15">
      <c r="C263" s="27"/>
      <c r="H263" s="846"/>
      <c r="I263" s="26"/>
      <c r="L263" s="8"/>
      <c r="O263" s="4"/>
    </row>
    <row r="264" spans="3:15">
      <c r="C264" s="27"/>
      <c r="H264" s="846"/>
      <c r="I264" s="26"/>
      <c r="L264" s="8"/>
      <c r="O264" s="4"/>
    </row>
    <row r="265" spans="3:15">
      <c r="C265" s="27"/>
      <c r="H265" s="846"/>
      <c r="I265" s="26"/>
      <c r="J265" s="8"/>
      <c r="L265" s="8"/>
      <c r="O265" s="4"/>
    </row>
    <row r="266" spans="3:15">
      <c r="L266" s="8"/>
    </row>
    <row r="267" spans="3:15">
      <c r="D267" s="8" t="e">
        <f>IF(F55&gt;(F36*0.05),F36*0.05,F55)</f>
        <v>#N/A</v>
      </c>
      <c r="F267" s="848" t="e">
        <f>IF(H55&gt;(H36*0.05),H36*0.05,H55)</f>
        <v>#REF!</v>
      </c>
      <c r="H267" s="848" t="s">
        <v>5646</v>
      </c>
      <c r="I267" s="8"/>
      <c r="J267" s="8">
        <f>ROUND(0.64*('SOF0506-CL'!H9/100),0)</f>
        <v>0</v>
      </c>
      <c r="L267" s="8"/>
    </row>
    <row r="268" spans="3:15">
      <c r="D268" s="8" t="e">
        <f>IF(H55&gt;(H36*0.05),H36*0.05,H55)</f>
        <v>#REF!</v>
      </c>
      <c r="H268" s="848" t="s">
        <v>5647</v>
      </c>
      <c r="I268" s="8"/>
      <c r="J268" s="8" t="e">
        <f>IF(AND(F36&lt;2000,#REF!&gt;1600),'SOF0506-CL'!H65*(1+((2000-F36)*0.00014)),'SOF0506-CL'!H65)</f>
        <v>#N/A</v>
      </c>
      <c r="L268" s="3"/>
    </row>
    <row r="269" spans="3:15">
      <c r="H269" s="848" t="s">
        <v>7717</v>
      </c>
      <c r="I269" s="8"/>
      <c r="J269" s="8"/>
      <c r="L269" s="3"/>
    </row>
    <row r="270" spans="3:15">
      <c r="I270" s="8"/>
      <c r="J270" s="8"/>
      <c r="L270" s="8"/>
    </row>
    <row r="271" spans="3:15">
      <c r="I271" s="8"/>
      <c r="J271" s="8"/>
      <c r="L271" s="8"/>
    </row>
    <row r="272" spans="3:15">
      <c r="I272" s="8"/>
      <c r="L272" s="8"/>
    </row>
    <row r="273" spans="4:12">
      <c r="D273" s="8" t="e">
        <f>IF(OR('Calc Data'!D14&gt;129.999,F77&lt;12),0,IF(OR(F17&gt;89.5,F36&gt;89.5),130,IF(AND(OR(F17&lt;89.5,F36&lt;89.5),F79&gt;29.5),130,0)))</f>
        <v>#N/A</v>
      </c>
      <c r="F273" s="848" t="e">
        <f>IF(OR('Calc Data'!E14&gt;129.999,H77&lt;12),0,IF(OR(F36&gt;89.5,H36&gt;89.5),130,IF(AND(OR(F36&lt;89.5,H36&lt;89.5),H79&gt;29.5),130,0)))</f>
        <v>#DIV/0!</v>
      </c>
      <c r="I273" s="8"/>
      <c r="L273" s="8"/>
    </row>
    <row r="274" spans="4:12">
      <c r="D274" s="3" t="e">
        <f>IF(OR('Calc Data'!D14&gt;129.999,F77&lt;8),0,IF(OR(F17&gt;49.5,F36&gt;49.5),75,IF(AND(OR(F17&lt;49.5,F36&lt;49.5),F79&gt;29.5),75,0)))</f>
        <v>#N/A</v>
      </c>
      <c r="F274" s="882" t="e">
        <f>IF(OR('Calc Data'!E14&gt;129.999,H77&lt;8),0,IF(OR(F36&gt;49.5,H36&gt;49.5),75,IF(AND(OR(F36&lt;49.5,H36&lt;49.5),H79&gt;29.5),75,0)))</f>
        <v>#DIV/0!</v>
      </c>
      <c r="I274" s="8"/>
      <c r="L274" s="8"/>
    </row>
    <row r="275" spans="4:12">
      <c r="D275" s="3" t="e">
        <f>IF(OR('Calc Data'!D14&gt;129.999,F77&lt;6),0,IF(OR(F17&gt;39.5,F36&gt;39.5),60,IF(AND(OR(F17&lt;39.5,F36&lt;39.5),F79&gt;29.5),60,0)))</f>
        <v>#N/A</v>
      </c>
      <c r="F275" s="882" t="e">
        <f>IF(OR('Calc Data'!E14&gt;129.999,H77&lt;6),0,IF(OR(F36&gt;39.5,H36&gt;39.5),60,IF(AND(OR(F36&lt;39.5,H36&lt;39.5),H79&gt;29.5),60,0)))</f>
        <v>#DIV/0!</v>
      </c>
      <c r="I275" s="8"/>
      <c r="J275" s="8"/>
      <c r="L275" s="8"/>
    </row>
    <row r="276" spans="4:12">
      <c r="D276" s="8"/>
      <c r="I276" s="8"/>
      <c r="J276" s="8"/>
      <c r="L276" s="8"/>
    </row>
    <row r="277" spans="4:12">
      <c r="I277" s="8"/>
      <c r="J277" s="8"/>
      <c r="L277" s="8"/>
    </row>
    <row r="278" spans="4:12">
      <c r="I278" s="8"/>
      <c r="J278" s="8"/>
      <c r="L278" s="8"/>
    </row>
    <row r="279" spans="4:12">
      <c r="I279" s="8"/>
      <c r="J279" s="8"/>
      <c r="L279" s="8"/>
    </row>
    <row r="280" spans="4:12">
      <c r="I280" s="8"/>
      <c r="J280" s="8"/>
      <c r="L280" s="8"/>
    </row>
    <row r="281" spans="4:12">
      <c r="I281" s="8"/>
      <c r="J281" s="8"/>
      <c r="L281" s="8"/>
    </row>
    <row r="282" spans="4:12">
      <c r="I282" s="8"/>
      <c r="J282" s="8"/>
      <c r="L282" s="8"/>
    </row>
    <row r="283" spans="4:12">
      <c r="I283" s="8"/>
      <c r="J283" s="8"/>
      <c r="L283" s="8"/>
    </row>
    <row r="284" spans="4:12">
      <c r="I284" s="8"/>
      <c r="J284" s="8"/>
      <c r="L284" s="8"/>
    </row>
    <row r="285" spans="4:12">
      <c r="I285" s="8"/>
      <c r="J285" s="8"/>
      <c r="L285" s="8"/>
    </row>
    <row r="286" spans="4:12">
      <c r="I286" s="8"/>
      <c r="J286" s="8"/>
      <c r="L286" s="8"/>
    </row>
    <row r="287" spans="4:12">
      <c r="I287" s="8"/>
      <c r="J287" s="8"/>
      <c r="L287" s="8"/>
    </row>
    <row r="288" spans="4:12">
      <c r="I288" s="8"/>
      <c r="J288" s="8"/>
      <c r="L288" s="8"/>
    </row>
    <row r="289" spans="10:12">
      <c r="J289" s="8"/>
      <c r="L289" s="8"/>
    </row>
    <row r="290" spans="10:12">
      <c r="J290" s="8"/>
      <c r="L290" s="8"/>
    </row>
    <row r="291" spans="10:12">
      <c r="J291" s="8"/>
      <c r="L291" s="8"/>
    </row>
    <row r="292" spans="10:12">
      <c r="J292" s="8"/>
      <c r="L292" s="8"/>
    </row>
    <row r="293" spans="10:12">
      <c r="J293" s="8"/>
      <c r="L293" s="8"/>
    </row>
    <row r="294" spans="10:12">
      <c r="J294" s="8"/>
      <c r="L294" s="8"/>
    </row>
    <row r="295" spans="10:12">
      <c r="J295" s="8"/>
      <c r="L295" s="8"/>
    </row>
    <row r="296" spans="10:12">
      <c r="J296" s="8"/>
      <c r="L296" s="8"/>
    </row>
    <row r="297" spans="10:12">
      <c r="J297" s="8"/>
      <c r="L297" s="8"/>
    </row>
    <row r="298" spans="10:12">
      <c r="J298" s="8"/>
      <c r="L298" s="8"/>
    </row>
    <row r="299" spans="10:12">
      <c r="J299" s="8"/>
      <c r="L299" s="8"/>
    </row>
    <row r="300" spans="10:12">
      <c r="J300" s="8"/>
      <c r="L300" s="8"/>
    </row>
    <row r="301" spans="10:12">
      <c r="J301" s="8"/>
      <c r="L301" s="8"/>
    </row>
    <row r="302" spans="10:12">
      <c r="J302" s="8"/>
      <c r="L302" s="8"/>
    </row>
    <row r="303" spans="10:12">
      <c r="J303" s="8"/>
      <c r="L303" s="8"/>
    </row>
    <row r="304" spans="10:12">
      <c r="J304" s="8"/>
      <c r="L304" s="8"/>
    </row>
    <row r="305" spans="10:12">
      <c r="J305" s="8"/>
      <c r="L305" s="8"/>
    </row>
    <row r="306" spans="10:12">
      <c r="J306" s="8"/>
      <c r="L306" s="8"/>
    </row>
    <row r="307" spans="10:12">
      <c r="J307" s="8"/>
      <c r="L307" s="8"/>
    </row>
    <row r="308" spans="10:12">
      <c r="J308" s="8"/>
      <c r="L308" s="8"/>
    </row>
    <row r="309" spans="10:12">
      <c r="J309" s="8"/>
      <c r="L309" s="8"/>
    </row>
    <row r="310" spans="10:12">
      <c r="J310" s="8"/>
      <c r="L310" s="8"/>
    </row>
    <row r="311" spans="10:12">
      <c r="J311" s="8"/>
      <c r="L311" s="8"/>
    </row>
    <row r="312" spans="10:12">
      <c r="J312" s="8"/>
      <c r="L312" s="8"/>
    </row>
    <row r="313" spans="10:12">
      <c r="J313" s="8"/>
      <c r="L313" s="8"/>
    </row>
    <row r="314" spans="10:12">
      <c r="J314" s="8"/>
      <c r="L314" s="8"/>
    </row>
    <row r="315" spans="10:12">
      <c r="J315" s="8"/>
      <c r="L315" s="8"/>
    </row>
    <row r="316" spans="10:12">
      <c r="J316" s="8"/>
      <c r="L316" s="8"/>
    </row>
    <row r="317" spans="10:12">
      <c r="J317" s="8"/>
      <c r="L317" s="8"/>
    </row>
    <row r="318" spans="10:12">
      <c r="J318" s="8"/>
      <c r="L318" s="8"/>
    </row>
    <row r="319" spans="10:12">
      <c r="J319" s="8"/>
      <c r="L319" s="8"/>
    </row>
    <row r="320" spans="10:12">
      <c r="J320" s="8"/>
      <c r="L320" s="8"/>
    </row>
    <row r="321" spans="8:12">
      <c r="J321" s="8"/>
      <c r="L321" s="8"/>
    </row>
    <row r="322" spans="8:12">
      <c r="J322" s="8"/>
      <c r="L322" s="8"/>
    </row>
    <row r="323" spans="8:12">
      <c r="J323" s="8"/>
      <c r="L323" s="8"/>
    </row>
    <row r="324" spans="8:12">
      <c r="J324" s="8"/>
      <c r="L324" s="8"/>
    </row>
    <row r="325" spans="8:12">
      <c r="J325" s="8"/>
    </row>
    <row r="326" spans="8:12">
      <c r="J326" s="8"/>
    </row>
    <row r="327" spans="8:12">
      <c r="H327" s="882"/>
      <c r="I327" s="2"/>
      <c r="J327" s="8"/>
    </row>
    <row r="328" spans="8:12">
      <c r="H328" s="882"/>
      <c r="I328" s="2"/>
      <c r="J328" s="8"/>
    </row>
    <row r="329" spans="8:12">
      <c r="H329" s="882"/>
      <c r="I329" s="2"/>
      <c r="J329" s="8"/>
    </row>
    <row r="330" spans="8:12">
      <c r="H330" s="882"/>
      <c r="I330" s="2"/>
      <c r="J330" s="8"/>
    </row>
    <row r="331" spans="8:12">
      <c r="H331" s="882"/>
      <c r="I331" s="2"/>
      <c r="J331" s="8"/>
    </row>
    <row r="332" spans="8:12">
      <c r="H332" s="882"/>
      <c r="I332" s="2"/>
      <c r="J332" s="8"/>
    </row>
    <row r="333" spans="8:12">
      <c r="H333" s="882"/>
      <c r="I333" s="2"/>
      <c r="J333" s="8"/>
    </row>
    <row r="334" spans="8:12">
      <c r="H334" s="882"/>
      <c r="I334" s="2"/>
      <c r="J334" s="8"/>
    </row>
    <row r="335" spans="8:12">
      <c r="H335" s="882"/>
      <c r="I335" s="2"/>
      <c r="J335" s="8"/>
    </row>
    <row r="336" spans="8:12">
      <c r="H336" s="882"/>
      <c r="I336" s="2"/>
      <c r="J336" s="8"/>
    </row>
    <row r="337" spans="8:10">
      <c r="H337" s="882"/>
      <c r="I337" s="2"/>
      <c r="J337" s="8"/>
    </row>
    <row r="338" spans="8:10">
      <c r="H338" s="882"/>
      <c r="I338" s="2"/>
      <c r="J338" s="8"/>
    </row>
    <row r="339" spans="8:10">
      <c r="H339" s="882"/>
      <c r="I339" s="2"/>
      <c r="J339" s="8"/>
    </row>
    <row r="340" spans="8:10">
      <c r="J340" s="8"/>
    </row>
    <row r="341" spans="8:10">
      <c r="J341" s="8"/>
    </row>
    <row r="342" spans="8:10">
      <c r="I342" s="7"/>
      <c r="J342" s="8"/>
    </row>
    <row r="343" spans="8:10">
      <c r="H343" s="882"/>
      <c r="I343" s="2"/>
      <c r="J343" s="8"/>
    </row>
    <row r="344" spans="8:10">
      <c r="I344" s="7"/>
      <c r="J344" s="8"/>
    </row>
    <row r="345" spans="8:10">
      <c r="I345" s="7"/>
      <c r="J345" s="8"/>
    </row>
    <row r="346" spans="8:10">
      <c r="J346" s="7"/>
    </row>
    <row r="347" spans="8:10">
      <c r="J347" s="7"/>
    </row>
    <row r="348" spans="8:10">
      <c r="J348" s="7"/>
    </row>
    <row r="349" spans="8:10">
      <c r="J349" s="6"/>
    </row>
    <row r="350" spans="8:10">
      <c r="J350" s="2"/>
    </row>
    <row r="351" spans="8:10">
      <c r="J351" s="2"/>
    </row>
    <row r="352" spans="8:10">
      <c r="J352" s="2"/>
    </row>
    <row r="353" spans="10:10">
      <c r="J353" s="2"/>
    </row>
    <row r="404" spans="10:10">
      <c r="J404" s="5"/>
    </row>
    <row r="405" spans="10:10">
      <c r="J405" s="5"/>
    </row>
    <row r="406" spans="10:10">
      <c r="J406" s="5"/>
    </row>
    <row r="408" spans="10:10">
      <c r="J408" s="5"/>
    </row>
    <row r="409" spans="10:10">
      <c r="J409" s="5"/>
    </row>
    <row r="410" spans="10:10">
      <c r="J410" s="5"/>
    </row>
    <row r="411" spans="10:10">
      <c r="J411" s="5"/>
    </row>
    <row r="412" spans="10:10">
      <c r="J412" s="5"/>
    </row>
    <row r="413" spans="10:10">
      <c r="J413" s="5"/>
    </row>
    <row r="414" spans="10:10">
      <c r="J414" s="5"/>
    </row>
    <row r="415" spans="10:10">
      <c r="J415" s="5"/>
    </row>
    <row r="416" spans="10:10">
      <c r="J416" s="5"/>
    </row>
    <row r="417" spans="2:10">
      <c r="J417" s="5"/>
    </row>
    <row r="418" spans="2:10">
      <c r="J418" s="5"/>
    </row>
    <row r="419" spans="2:10">
      <c r="J419" s="5"/>
    </row>
    <row r="420" spans="2:10">
      <c r="J420" s="5"/>
    </row>
    <row r="421" spans="2:10">
      <c r="J421" s="5"/>
    </row>
    <row r="422" spans="2:10">
      <c r="J422" s="5"/>
    </row>
    <row r="423" spans="2:10">
      <c r="J423" s="5"/>
    </row>
    <row r="424" spans="2:10">
      <c r="J424" s="5"/>
    </row>
    <row r="425" spans="2:10">
      <c r="J425" s="5"/>
    </row>
    <row r="427" spans="2:10">
      <c r="I427" s="5"/>
    </row>
    <row r="428" spans="2:10">
      <c r="I428" s="5"/>
    </row>
    <row r="429" spans="2:10">
      <c r="B429" s="4"/>
      <c r="J429" s="5"/>
    </row>
    <row r="430" spans="2:10">
      <c r="J430" s="5"/>
    </row>
    <row r="431" spans="2:10">
      <c r="J431" s="5"/>
    </row>
    <row r="432" spans="2:10">
      <c r="J432" s="5"/>
    </row>
    <row r="433" spans="10:10">
      <c r="J433" s="5"/>
    </row>
    <row r="434" spans="10:10">
      <c r="J434" s="1"/>
    </row>
    <row r="435" spans="10:10">
      <c r="J435" s="5"/>
    </row>
    <row r="437" spans="10:10">
      <c r="J437" s="5"/>
    </row>
    <row r="439" spans="10:10">
      <c r="J439" s="5"/>
    </row>
    <row r="440" spans="10:10">
      <c r="J440" s="5"/>
    </row>
  </sheetData>
  <phoneticPr fontId="0" type="noConversion"/>
  <conditionalFormatting sqref="H52">
    <cfRule type="cellIs" dxfId="0" priority="1" stopIfTrue="1" operator="equal">
      <formula>0</formula>
    </cfRule>
  </conditionalFormatting>
  <dataValidations count="1">
    <dataValidation type="decimal" errorStyle="warning" allowBlank="1" showInputMessage="1" showErrorMessage="1" errorTitle="WARNING!!" error="The ADA entered is more/less than the average percentage increase/decrease over the last four years.  Are you sure you entered the right ADA?" sqref="G36:G57" xr:uid="{00000000-0002-0000-0900-000000000000}">
      <formula1>G17*(1+#REF!)</formula1>
      <formula2>G17*(1+#REF!)</formula2>
    </dataValidation>
  </dataValidations>
  <pageMargins left="0.25" right="0.25" top="0.5" bottom="0" header="0.5" footer="0.5"/>
  <pageSetup fitToHeight="2" orientation="portrait" r:id="rId1"/>
  <headerFooter alignWithMargins="0">
    <oddFooter>&amp;L&amp;G</oddFooter>
  </headerFooter>
  <rowBreaks count="3" manualBreakCount="3">
    <brk id="57" max="7" man="1"/>
    <brk id="125" max="6" man="1"/>
    <brk id="217" max="65535" man="1"/>
  </rowBreaks>
  <drawing r:id="rId2"/>
  <legacyDrawing r:id="rId3"/>
  <legacyDrawingHF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1027"/>
  <sheetViews>
    <sheetView workbookViewId="0">
      <selection activeCell="A2" sqref="A2"/>
    </sheetView>
  </sheetViews>
  <sheetFormatPr defaultRowHeight="13.8"/>
  <cols>
    <col min="1" max="1" width="8.77734375" style="984" customWidth="1"/>
    <col min="2" max="2" width="30.44140625" style="984" bestFit="1" customWidth="1"/>
    <col min="3" max="3" width="33.21875" style="985" bestFit="1" customWidth="1"/>
    <col min="4" max="4" width="17.44140625" style="986" bestFit="1" customWidth="1"/>
    <col min="5" max="256" width="9.21875" style="984"/>
    <col min="257" max="257" width="8.77734375" style="984" customWidth="1"/>
    <col min="258" max="258" width="30.44140625" style="984" bestFit="1" customWidth="1"/>
    <col min="259" max="259" width="33.21875" style="984" bestFit="1" customWidth="1"/>
    <col min="260" max="260" width="17.44140625" style="984" bestFit="1" customWidth="1"/>
    <col min="261" max="512" width="9.21875" style="984"/>
    <col min="513" max="513" width="8.77734375" style="984" customWidth="1"/>
    <col min="514" max="514" width="30.44140625" style="984" bestFit="1" customWidth="1"/>
    <col min="515" max="515" width="33.21875" style="984" bestFit="1" customWidth="1"/>
    <col min="516" max="516" width="17.44140625" style="984" bestFit="1" customWidth="1"/>
    <col min="517" max="768" width="9.21875" style="984"/>
    <col min="769" max="769" width="8.77734375" style="984" customWidth="1"/>
    <col min="770" max="770" width="30.44140625" style="984" bestFit="1" customWidth="1"/>
    <col min="771" max="771" width="33.21875" style="984" bestFit="1" customWidth="1"/>
    <col min="772" max="772" width="17.44140625" style="984" bestFit="1" customWidth="1"/>
    <col min="773" max="1024" width="9.21875" style="984"/>
    <col min="1025" max="1025" width="8.77734375" style="984" customWidth="1"/>
    <col min="1026" max="1026" width="30.44140625" style="984" bestFit="1" customWidth="1"/>
    <col min="1027" max="1027" width="33.21875" style="984" bestFit="1" customWidth="1"/>
    <col min="1028" max="1028" width="17.44140625" style="984" bestFit="1" customWidth="1"/>
    <col min="1029" max="1280" width="9.21875" style="984"/>
    <col min="1281" max="1281" width="8.77734375" style="984" customWidth="1"/>
    <col min="1282" max="1282" width="30.44140625" style="984" bestFit="1" customWidth="1"/>
    <col min="1283" max="1283" width="33.21875" style="984" bestFit="1" customWidth="1"/>
    <col min="1284" max="1284" width="17.44140625" style="984" bestFit="1" customWidth="1"/>
    <col min="1285" max="1536" width="9.21875" style="984"/>
    <col min="1537" max="1537" width="8.77734375" style="984" customWidth="1"/>
    <col min="1538" max="1538" width="30.44140625" style="984" bestFit="1" customWidth="1"/>
    <col min="1539" max="1539" width="33.21875" style="984" bestFit="1" customWidth="1"/>
    <col min="1540" max="1540" width="17.44140625" style="984" bestFit="1" customWidth="1"/>
    <col min="1541" max="1792" width="9.21875" style="984"/>
    <col min="1793" max="1793" width="8.77734375" style="984" customWidth="1"/>
    <col min="1794" max="1794" width="30.44140625" style="984" bestFit="1" customWidth="1"/>
    <col min="1795" max="1795" width="33.21875" style="984" bestFit="1" customWidth="1"/>
    <col min="1796" max="1796" width="17.44140625" style="984" bestFit="1" customWidth="1"/>
    <col min="1797" max="2048" width="9.21875" style="984"/>
    <col min="2049" max="2049" width="8.77734375" style="984" customWidth="1"/>
    <col min="2050" max="2050" width="30.44140625" style="984" bestFit="1" customWidth="1"/>
    <col min="2051" max="2051" width="33.21875" style="984" bestFit="1" customWidth="1"/>
    <col min="2052" max="2052" width="17.44140625" style="984" bestFit="1" customWidth="1"/>
    <col min="2053" max="2304" width="9.21875" style="984"/>
    <col min="2305" max="2305" width="8.77734375" style="984" customWidth="1"/>
    <col min="2306" max="2306" width="30.44140625" style="984" bestFit="1" customWidth="1"/>
    <col min="2307" max="2307" width="33.21875" style="984" bestFit="1" customWidth="1"/>
    <col min="2308" max="2308" width="17.44140625" style="984" bestFit="1" customWidth="1"/>
    <col min="2309" max="2560" width="9.21875" style="984"/>
    <col min="2561" max="2561" width="8.77734375" style="984" customWidth="1"/>
    <col min="2562" max="2562" width="30.44140625" style="984" bestFit="1" customWidth="1"/>
    <col min="2563" max="2563" width="33.21875" style="984" bestFit="1" customWidth="1"/>
    <col min="2564" max="2564" width="17.44140625" style="984" bestFit="1" customWidth="1"/>
    <col min="2565" max="2816" width="9.21875" style="984"/>
    <col min="2817" max="2817" width="8.77734375" style="984" customWidth="1"/>
    <col min="2818" max="2818" width="30.44140625" style="984" bestFit="1" customWidth="1"/>
    <col min="2819" max="2819" width="33.21875" style="984" bestFit="1" customWidth="1"/>
    <col min="2820" max="2820" width="17.44140625" style="984" bestFit="1" customWidth="1"/>
    <col min="2821" max="3072" width="9.21875" style="984"/>
    <col min="3073" max="3073" width="8.77734375" style="984" customWidth="1"/>
    <col min="3074" max="3074" width="30.44140625" style="984" bestFit="1" customWidth="1"/>
    <col min="3075" max="3075" width="33.21875" style="984" bestFit="1" customWidth="1"/>
    <col min="3076" max="3076" width="17.44140625" style="984" bestFit="1" customWidth="1"/>
    <col min="3077" max="3328" width="9.21875" style="984"/>
    <col min="3329" max="3329" width="8.77734375" style="984" customWidth="1"/>
    <col min="3330" max="3330" width="30.44140625" style="984" bestFit="1" customWidth="1"/>
    <col min="3331" max="3331" width="33.21875" style="984" bestFit="1" customWidth="1"/>
    <col min="3332" max="3332" width="17.44140625" style="984" bestFit="1" customWidth="1"/>
    <col min="3333" max="3584" width="9.21875" style="984"/>
    <col min="3585" max="3585" width="8.77734375" style="984" customWidth="1"/>
    <col min="3586" max="3586" width="30.44140625" style="984" bestFit="1" customWidth="1"/>
    <col min="3587" max="3587" width="33.21875" style="984" bestFit="1" customWidth="1"/>
    <col min="3588" max="3588" width="17.44140625" style="984" bestFit="1" customWidth="1"/>
    <col min="3589" max="3840" width="9.21875" style="984"/>
    <col min="3841" max="3841" width="8.77734375" style="984" customWidth="1"/>
    <col min="3842" max="3842" width="30.44140625" style="984" bestFit="1" customWidth="1"/>
    <col min="3843" max="3843" width="33.21875" style="984" bestFit="1" customWidth="1"/>
    <col min="3844" max="3844" width="17.44140625" style="984" bestFit="1" customWidth="1"/>
    <col min="3845" max="4096" width="9.21875" style="984"/>
    <col min="4097" max="4097" width="8.77734375" style="984" customWidth="1"/>
    <col min="4098" max="4098" width="30.44140625" style="984" bestFit="1" customWidth="1"/>
    <col min="4099" max="4099" width="33.21875" style="984" bestFit="1" customWidth="1"/>
    <col min="4100" max="4100" width="17.44140625" style="984" bestFit="1" customWidth="1"/>
    <col min="4101" max="4352" width="9.21875" style="984"/>
    <col min="4353" max="4353" width="8.77734375" style="984" customWidth="1"/>
    <col min="4354" max="4354" width="30.44140625" style="984" bestFit="1" customWidth="1"/>
    <col min="4355" max="4355" width="33.21875" style="984" bestFit="1" customWidth="1"/>
    <col min="4356" max="4356" width="17.44140625" style="984" bestFit="1" customWidth="1"/>
    <col min="4357" max="4608" width="9.21875" style="984"/>
    <col min="4609" max="4609" width="8.77734375" style="984" customWidth="1"/>
    <col min="4610" max="4610" width="30.44140625" style="984" bestFit="1" customWidth="1"/>
    <col min="4611" max="4611" width="33.21875" style="984" bestFit="1" customWidth="1"/>
    <col min="4612" max="4612" width="17.44140625" style="984" bestFit="1" customWidth="1"/>
    <col min="4613" max="4864" width="9.21875" style="984"/>
    <col min="4865" max="4865" width="8.77734375" style="984" customWidth="1"/>
    <col min="4866" max="4866" width="30.44140625" style="984" bestFit="1" customWidth="1"/>
    <col min="4867" max="4867" width="33.21875" style="984" bestFit="1" customWidth="1"/>
    <col min="4868" max="4868" width="17.44140625" style="984" bestFit="1" customWidth="1"/>
    <col min="4869" max="5120" width="9.21875" style="984"/>
    <col min="5121" max="5121" width="8.77734375" style="984" customWidth="1"/>
    <col min="5122" max="5122" width="30.44140625" style="984" bestFit="1" customWidth="1"/>
    <col min="5123" max="5123" width="33.21875" style="984" bestFit="1" customWidth="1"/>
    <col min="5124" max="5124" width="17.44140625" style="984" bestFit="1" customWidth="1"/>
    <col min="5125" max="5376" width="9.21875" style="984"/>
    <col min="5377" max="5377" width="8.77734375" style="984" customWidth="1"/>
    <col min="5378" max="5378" width="30.44140625" style="984" bestFit="1" customWidth="1"/>
    <col min="5379" max="5379" width="33.21875" style="984" bestFit="1" customWidth="1"/>
    <col min="5380" max="5380" width="17.44140625" style="984" bestFit="1" customWidth="1"/>
    <col min="5381" max="5632" width="9.21875" style="984"/>
    <col min="5633" max="5633" width="8.77734375" style="984" customWidth="1"/>
    <col min="5634" max="5634" width="30.44140625" style="984" bestFit="1" customWidth="1"/>
    <col min="5635" max="5635" width="33.21875" style="984" bestFit="1" customWidth="1"/>
    <col min="5636" max="5636" width="17.44140625" style="984" bestFit="1" customWidth="1"/>
    <col min="5637" max="5888" width="9.21875" style="984"/>
    <col min="5889" max="5889" width="8.77734375" style="984" customWidth="1"/>
    <col min="5890" max="5890" width="30.44140625" style="984" bestFit="1" customWidth="1"/>
    <col min="5891" max="5891" width="33.21875" style="984" bestFit="1" customWidth="1"/>
    <col min="5892" max="5892" width="17.44140625" style="984" bestFit="1" customWidth="1"/>
    <col min="5893" max="6144" width="9.21875" style="984"/>
    <col min="6145" max="6145" width="8.77734375" style="984" customWidth="1"/>
    <col min="6146" max="6146" width="30.44140625" style="984" bestFit="1" customWidth="1"/>
    <col min="6147" max="6147" width="33.21875" style="984" bestFit="1" customWidth="1"/>
    <col min="6148" max="6148" width="17.44140625" style="984" bestFit="1" customWidth="1"/>
    <col min="6149" max="6400" width="9.21875" style="984"/>
    <col min="6401" max="6401" width="8.77734375" style="984" customWidth="1"/>
    <col min="6402" max="6402" width="30.44140625" style="984" bestFit="1" customWidth="1"/>
    <col min="6403" max="6403" width="33.21875" style="984" bestFit="1" customWidth="1"/>
    <col min="6404" max="6404" width="17.44140625" style="984" bestFit="1" customWidth="1"/>
    <col min="6405" max="6656" width="9.21875" style="984"/>
    <col min="6657" max="6657" width="8.77734375" style="984" customWidth="1"/>
    <col min="6658" max="6658" width="30.44140625" style="984" bestFit="1" customWidth="1"/>
    <col min="6659" max="6659" width="33.21875" style="984" bestFit="1" customWidth="1"/>
    <col min="6660" max="6660" width="17.44140625" style="984" bestFit="1" customWidth="1"/>
    <col min="6661" max="6912" width="9.21875" style="984"/>
    <col min="6913" max="6913" width="8.77734375" style="984" customWidth="1"/>
    <col min="6914" max="6914" width="30.44140625" style="984" bestFit="1" customWidth="1"/>
    <col min="6915" max="6915" width="33.21875" style="984" bestFit="1" customWidth="1"/>
    <col min="6916" max="6916" width="17.44140625" style="984" bestFit="1" customWidth="1"/>
    <col min="6917" max="7168" width="9.21875" style="984"/>
    <col min="7169" max="7169" width="8.77734375" style="984" customWidth="1"/>
    <col min="7170" max="7170" width="30.44140625" style="984" bestFit="1" customWidth="1"/>
    <col min="7171" max="7171" width="33.21875" style="984" bestFit="1" customWidth="1"/>
    <col min="7172" max="7172" width="17.44140625" style="984" bestFit="1" customWidth="1"/>
    <col min="7173" max="7424" width="9.21875" style="984"/>
    <col min="7425" max="7425" width="8.77734375" style="984" customWidth="1"/>
    <col min="7426" max="7426" width="30.44140625" style="984" bestFit="1" customWidth="1"/>
    <col min="7427" max="7427" width="33.21875" style="984" bestFit="1" customWidth="1"/>
    <col min="7428" max="7428" width="17.44140625" style="984" bestFit="1" customWidth="1"/>
    <col min="7429" max="7680" width="9.21875" style="984"/>
    <col min="7681" max="7681" width="8.77734375" style="984" customWidth="1"/>
    <col min="7682" max="7682" width="30.44140625" style="984" bestFit="1" customWidth="1"/>
    <col min="7683" max="7683" width="33.21875" style="984" bestFit="1" customWidth="1"/>
    <col min="7684" max="7684" width="17.44140625" style="984" bestFit="1" customWidth="1"/>
    <col min="7685" max="7936" width="9.21875" style="984"/>
    <col min="7937" max="7937" width="8.77734375" style="984" customWidth="1"/>
    <col min="7938" max="7938" width="30.44140625" style="984" bestFit="1" customWidth="1"/>
    <col min="7939" max="7939" width="33.21875" style="984" bestFit="1" customWidth="1"/>
    <col min="7940" max="7940" width="17.44140625" style="984" bestFit="1" customWidth="1"/>
    <col min="7941" max="8192" width="9.21875" style="984"/>
    <col min="8193" max="8193" width="8.77734375" style="984" customWidth="1"/>
    <col min="8194" max="8194" width="30.44140625" style="984" bestFit="1" customWidth="1"/>
    <col min="8195" max="8195" width="33.21875" style="984" bestFit="1" customWidth="1"/>
    <col min="8196" max="8196" width="17.44140625" style="984" bestFit="1" customWidth="1"/>
    <col min="8197" max="8448" width="9.21875" style="984"/>
    <col min="8449" max="8449" width="8.77734375" style="984" customWidth="1"/>
    <col min="8450" max="8450" width="30.44140625" style="984" bestFit="1" customWidth="1"/>
    <col min="8451" max="8451" width="33.21875" style="984" bestFit="1" customWidth="1"/>
    <col min="8452" max="8452" width="17.44140625" style="984" bestFit="1" customWidth="1"/>
    <col min="8453" max="8704" width="9.21875" style="984"/>
    <col min="8705" max="8705" width="8.77734375" style="984" customWidth="1"/>
    <col min="8706" max="8706" width="30.44140625" style="984" bestFit="1" customWidth="1"/>
    <col min="8707" max="8707" width="33.21875" style="984" bestFit="1" customWidth="1"/>
    <col min="8708" max="8708" width="17.44140625" style="984" bestFit="1" customWidth="1"/>
    <col min="8709" max="8960" width="9.21875" style="984"/>
    <col min="8961" max="8961" width="8.77734375" style="984" customWidth="1"/>
    <col min="8962" max="8962" width="30.44140625" style="984" bestFit="1" customWidth="1"/>
    <col min="8963" max="8963" width="33.21875" style="984" bestFit="1" customWidth="1"/>
    <col min="8964" max="8964" width="17.44140625" style="984" bestFit="1" customWidth="1"/>
    <col min="8965" max="9216" width="9.21875" style="984"/>
    <col min="9217" max="9217" width="8.77734375" style="984" customWidth="1"/>
    <col min="9218" max="9218" width="30.44140625" style="984" bestFit="1" customWidth="1"/>
    <col min="9219" max="9219" width="33.21875" style="984" bestFit="1" customWidth="1"/>
    <col min="9220" max="9220" width="17.44140625" style="984" bestFit="1" customWidth="1"/>
    <col min="9221" max="9472" width="9.21875" style="984"/>
    <col min="9473" max="9473" width="8.77734375" style="984" customWidth="1"/>
    <col min="9474" max="9474" width="30.44140625" style="984" bestFit="1" customWidth="1"/>
    <col min="9475" max="9475" width="33.21875" style="984" bestFit="1" customWidth="1"/>
    <col min="9476" max="9476" width="17.44140625" style="984" bestFit="1" customWidth="1"/>
    <col min="9477" max="9728" width="9.21875" style="984"/>
    <col min="9729" max="9729" width="8.77734375" style="984" customWidth="1"/>
    <col min="9730" max="9730" width="30.44140625" style="984" bestFit="1" customWidth="1"/>
    <col min="9731" max="9731" width="33.21875" style="984" bestFit="1" customWidth="1"/>
    <col min="9732" max="9732" width="17.44140625" style="984" bestFit="1" customWidth="1"/>
    <col min="9733" max="9984" width="9.21875" style="984"/>
    <col min="9985" max="9985" width="8.77734375" style="984" customWidth="1"/>
    <col min="9986" max="9986" width="30.44140625" style="984" bestFit="1" customWidth="1"/>
    <col min="9987" max="9987" width="33.21875" style="984" bestFit="1" customWidth="1"/>
    <col min="9988" max="9988" width="17.44140625" style="984" bestFit="1" customWidth="1"/>
    <col min="9989" max="10240" width="9.21875" style="984"/>
    <col min="10241" max="10241" width="8.77734375" style="984" customWidth="1"/>
    <col min="10242" max="10242" width="30.44140625" style="984" bestFit="1" customWidth="1"/>
    <col min="10243" max="10243" width="33.21875" style="984" bestFit="1" customWidth="1"/>
    <col min="10244" max="10244" width="17.44140625" style="984" bestFit="1" customWidth="1"/>
    <col min="10245" max="10496" width="9.21875" style="984"/>
    <col min="10497" max="10497" width="8.77734375" style="984" customWidth="1"/>
    <col min="10498" max="10498" width="30.44140625" style="984" bestFit="1" customWidth="1"/>
    <col min="10499" max="10499" width="33.21875" style="984" bestFit="1" customWidth="1"/>
    <col min="10500" max="10500" width="17.44140625" style="984" bestFit="1" customWidth="1"/>
    <col min="10501" max="10752" width="9.21875" style="984"/>
    <col min="10753" max="10753" width="8.77734375" style="984" customWidth="1"/>
    <col min="10754" max="10754" width="30.44140625" style="984" bestFit="1" customWidth="1"/>
    <col min="10755" max="10755" width="33.21875" style="984" bestFit="1" customWidth="1"/>
    <col min="10756" max="10756" width="17.44140625" style="984" bestFit="1" customWidth="1"/>
    <col min="10757" max="11008" width="9.21875" style="984"/>
    <col min="11009" max="11009" width="8.77734375" style="984" customWidth="1"/>
    <col min="11010" max="11010" width="30.44140625" style="984" bestFit="1" customWidth="1"/>
    <col min="11011" max="11011" width="33.21875" style="984" bestFit="1" customWidth="1"/>
    <col min="11012" max="11012" width="17.44140625" style="984" bestFit="1" customWidth="1"/>
    <col min="11013" max="11264" width="9.21875" style="984"/>
    <col min="11265" max="11265" width="8.77734375" style="984" customWidth="1"/>
    <col min="11266" max="11266" width="30.44140625" style="984" bestFit="1" customWidth="1"/>
    <col min="11267" max="11267" width="33.21875" style="984" bestFit="1" customWidth="1"/>
    <col min="11268" max="11268" width="17.44140625" style="984" bestFit="1" customWidth="1"/>
    <col min="11269" max="11520" width="9.21875" style="984"/>
    <col min="11521" max="11521" width="8.77734375" style="984" customWidth="1"/>
    <col min="11522" max="11522" width="30.44140625" style="984" bestFit="1" customWidth="1"/>
    <col min="11523" max="11523" width="33.21875" style="984" bestFit="1" customWidth="1"/>
    <col min="11524" max="11524" width="17.44140625" style="984" bestFit="1" customWidth="1"/>
    <col min="11525" max="11776" width="9.21875" style="984"/>
    <col min="11777" max="11777" width="8.77734375" style="984" customWidth="1"/>
    <col min="11778" max="11778" width="30.44140625" style="984" bestFit="1" customWidth="1"/>
    <col min="11779" max="11779" width="33.21875" style="984" bestFit="1" customWidth="1"/>
    <col min="11780" max="11780" width="17.44140625" style="984" bestFit="1" customWidth="1"/>
    <col min="11781" max="12032" width="9.21875" style="984"/>
    <col min="12033" max="12033" width="8.77734375" style="984" customWidth="1"/>
    <col min="12034" max="12034" width="30.44140625" style="984" bestFit="1" customWidth="1"/>
    <col min="12035" max="12035" width="33.21875" style="984" bestFit="1" customWidth="1"/>
    <col min="12036" max="12036" width="17.44140625" style="984" bestFit="1" customWidth="1"/>
    <col min="12037" max="12288" width="9.21875" style="984"/>
    <col min="12289" max="12289" width="8.77734375" style="984" customWidth="1"/>
    <col min="12290" max="12290" width="30.44140625" style="984" bestFit="1" customWidth="1"/>
    <col min="12291" max="12291" width="33.21875" style="984" bestFit="1" customWidth="1"/>
    <col min="12292" max="12292" width="17.44140625" style="984" bestFit="1" customWidth="1"/>
    <col min="12293" max="12544" width="9.21875" style="984"/>
    <col min="12545" max="12545" width="8.77734375" style="984" customWidth="1"/>
    <col min="12546" max="12546" width="30.44140625" style="984" bestFit="1" customWidth="1"/>
    <col min="12547" max="12547" width="33.21875" style="984" bestFit="1" customWidth="1"/>
    <col min="12548" max="12548" width="17.44140625" style="984" bestFit="1" customWidth="1"/>
    <col min="12549" max="12800" width="9.21875" style="984"/>
    <col min="12801" max="12801" width="8.77734375" style="984" customWidth="1"/>
    <col min="12802" max="12802" width="30.44140625" style="984" bestFit="1" customWidth="1"/>
    <col min="12803" max="12803" width="33.21875" style="984" bestFit="1" customWidth="1"/>
    <col min="12804" max="12804" width="17.44140625" style="984" bestFit="1" customWidth="1"/>
    <col min="12805" max="13056" width="9.21875" style="984"/>
    <col min="13057" max="13057" width="8.77734375" style="984" customWidth="1"/>
    <col min="13058" max="13058" width="30.44140625" style="984" bestFit="1" customWidth="1"/>
    <col min="13059" max="13059" width="33.21875" style="984" bestFit="1" customWidth="1"/>
    <col min="13060" max="13060" width="17.44140625" style="984" bestFit="1" customWidth="1"/>
    <col min="13061" max="13312" width="9.21875" style="984"/>
    <col min="13313" max="13313" width="8.77734375" style="984" customWidth="1"/>
    <col min="13314" max="13314" width="30.44140625" style="984" bestFit="1" customWidth="1"/>
    <col min="13315" max="13315" width="33.21875" style="984" bestFit="1" customWidth="1"/>
    <col min="13316" max="13316" width="17.44140625" style="984" bestFit="1" customWidth="1"/>
    <col min="13317" max="13568" width="9.21875" style="984"/>
    <col min="13569" max="13569" width="8.77734375" style="984" customWidth="1"/>
    <col min="13570" max="13570" width="30.44140625" style="984" bestFit="1" customWidth="1"/>
    <col min="13571" max="13571" width="33.21875" style="984" bestFit="1" customWidth="1"/>
    <col min="13572" max="13572" width="17.44140625" style="984" bestFit="1" customWidth="1"/>
    <col min="13573" max="13824" width="9.21875" style="984"/>
    <col min="13825" max="13825" width="8.77734375" style="984" customWidth="1"/>
    <col min="13826" max="13826" width="30.44140625" style="984" bestFit="1" customWidth="1"/>
    <col min="13827" max="13827" width="33.21875" style="984" bestFit="1" customWidth="1"/>
    <col min="13828" max="13828" width="17.44140625" style="984" bestFit="1" customWidth="1"/>
    <col min="13829" max="14080" width="9.21875" style="984"/>
    <col min="14081" max="14081" width="8.77734375" style="984" customWidth="1"/>
    <col min="14082" max="14082" width="30.44140625" style="984" bestFit="1" customWidth="1"/>
    <col min="14083" max="14083" width="33.21875" style="984" bestFit="1" customWidth="1"/>
    <col min="14084" max="14084" width="17.44140625" style="984" bestFit="1" customWidth="1"/>
    <col min="14085" max="14336" width="9.21875" style="984"/>
    <col min="14337" max="14337" width="8.77734375" style="984" customWidth="1"/>
    <col min="14338" max="14338" width="30.44140625" style="984" bestFit="1" customWidth="1"/>
    <col min="14339" max="14339" width="33.21875" style="984" bestFit="1" customWidth="1"/>
    <col min="14340" max="14340" width="17.44140625" style="984" bestFit="1" customWidth="1"/>
    <col min="14341" max="14592" width="9.21875" style="984"/>
    <col min="14593" max="14593" width="8.77734375" style="984" customWidth="1"/>
    <col min="14594" max="14594" width="30.44140625" style="984" bestFit="1" customWidth="1"/>
    <col min="14595" max="14595" width="33.21875" style="984" bestFit="1" customWidth="1"/>
    <col min="14596" max="14596" width="17.44140625" style="984" bestFit="1" customWidth="1"/>
    <col min="14597" max="14848" width="9.21875" style="984"/>
    <col min="14849" max="14849" width="8.77734375" style="984" customWidth="1"/>
    <col min="14850" max="14850" width="30.44140625" style="984" bestFit="1" customWidth="1"/>
    <col min="14851" max="14851" width="33.21875" style="984" bestFit="1" customWidth="1"/>
    <col min="14852" max="14852" width="17.44140625" style="984" bestFit="1" customWidth="1"/>
    <col min="14853" max="15104" width="9.21875" style="984"/>
    <col min="15105" max="15105" width="8.77734375" style="984" customWidth="1"/>
    <col min="15106" max="15106" width="30.44140625" style="984" bestFit="1" customWidth="1"/>
    <col min="15107" max="15107" width="33.21875" style="984" bestFit="1" customWidth="1"/>
    <col min="15108" max="15108" width="17.44140625" style="984" bestFit="1" customWidth="1"/>
    <col min="15109" max="15360" width="9.21875" style="984"/>
    <col min="15361" max="15361" width="8.77734375" style="984" customWidth="1"/>
    <col min="15362" max="15362" width="30.44140625" style="984" bestFit="1" customWidth="1"/>
    <col min="15363" max="15363" width="33.21875" style="984" bestFit="1" customWidth="1"/>
    <col min="15364" max="15364" width="17.44140625" style="984" bestFit="1" customWidth="1"/>
    <col min="15365" max="15616" width="9.21875" style="984"/>
    <col min="15617" max="15617" width="8.77734375" style="984" customWidth="1"/>
    <col min="15618" max="15618" width="30.44140625" style="984" bestFit="1" customWidth="1"/>
    <col min="15619" max="15619" width="33.21875" style="984" bestFit="1" customWidth="1"/>
    <col min="15620" max="15620" width="17.44140625" style="984" bestFit="1" customWidth="1"/>
    <col min="15621" max="15872" width="9.21875" style="984"/>
    <col min="15873" max="15873" width="8.77734375" style="984" customWidth="1"/>
    <col min="15874" max="15874" width="30.44140625" style="984" bestFit="1" customWidth="1"/>
    <col min="15875" max="15875" width="33.21875" style="984" bestFit="1" customWidth="1"/>
    <col min="15876" max="15876" width="17.44140625" style="984" bestFit="1" customWidth="1"/>
    <col min="15877" max="16128" width="9.21875" style="984"/>
    <col min="16129" max="16129" width="8.77734375" style="984" customWidth="1"/>
    <col min="16130" max="16130" width="30.44140625" style="984" bestFit="1" customWidth="1"/>
    <col min="16131" max="16131" width="33.21875" style="984" bestFit="1" customWidth="1"/>
    <col min="16132" max="16132" width="17.44140625" style="984" bestFit="1" customWidth="1"/>
    <col min="16133" max="16384" width="9.21875" style="984"/>
  </cols>
  <sheetData>
    <row r="1" spans="1:4" s="979" customFormat="1" ht="25.5" customHeight="1">
      <c r="A1" s="976" t="str">
        <f>'Data Entry - SOF'!B2</f>
        <v>000-000</v>
      </c>
      <c r="B1" s="976" t="s">
        <v>8081</v>
      </c>
      <c r="C1" s="977" t="s">
        <v>8082</v>
      </c>
      <c r="D1" s="978" t="s">
        <v>8083</v>
      </c>
    </row>
    <row r="2" spans="1:4" s="983" customFormat="1" ht="25.5" customHeight="1">
      <c r="A2" s="980" t="e">
        <f>VLOOKUP($A$1,$A$3:A1030,1,FALSE)</f>
        <v>#N/A</v>
      </c>
      <c r="B2" s="980" t="e">
        <f>VLOOKUP($A$1,$A$3:B1030,2,FALSE)</f>
        <v>#N/A</v>
      </c>
      <c r="C2" s="981" t="e">
        <f>VLOOKUP($A$1,$A$3:C1030,3,FALSE)</f>
        <v>#N/A</v>
      </c>
      <c r="D2" s="982" t="e">
        <f>VLOOKUP($A$1,$A$3:D1030,4,FALSE)</f>
        <v>#N/A</v>
      </c>
    </row>
    <row r="3" spans="1:4">
      <c r="A3" s="984" t="s">
        <v>3890</v>
      </c>
      <c r="B3" s="984" t="s">
        <v>1763</v>
      </c>
      <c r="C3" s="985">
        <v>303242025</v>
      </c>
      <c r="D3" s="986">
        <v>576.61700000000008</v>
      </c>
    </row>
    <row r="4" spans="1:4">
      <c r="A4" s="984" t="s">
        <v>694</v>
      </c>
      <c r="B4" s="984" t="s">
        <v>1764</v>
      </c>
      <c r="C4" s="985">
        <v>244205496</v>
      </c>
      <c r="D4" s="986">
        <v>1226.52</v>
      </c>
    </row>
    <row r="5" spans="1:4">
      <c r="A5" s="984" t="s">
        <v>696</v>
      </c>
      <c r="B5" s="984" t="s">
        <v>1765</v>
      </c>
      <c r="C5" s="985">
        <v>299715628</v>
      </c>
      <c r="D5" s="986">
        <v>731.41499999999996</v>
      </c>
    </row>
    <row r="6" spans="1:4">
      <c r="A6" s="984" t="s">
        <v>698</v>
      </c>
      <c r="B6" s="984" t="s">
        <v>1766</v>
      </c>
      <c r="C6" s="985">
        <v>97469093</v>
      </c>
      <c r="D6" s="986">
        <v>357.14100000000002</v>
      </c>
    </row>
    <row r="7" spans="1:4">
      <c r="A7" s="984" t="s">
        <v>700</v>
      </c>
      <c r="B7" s="984" t="s">
        <v>1767</v>
      </c>
      <c r="C7" s="985">
        <v>986811913</v>
      </c>
      <c r="D7" s="986">
        <v>3000.819</v>
      </c>
    </row>
    <row r="8" spans="1:4">
      <c r="A8" s="984" t="s">
        <v>1491</v>
      </c>
      <c r="B8" s="984" t="s">
        <v>1768</v>
      </c>
      <c r="C8" s="985">
        <v>437974883</v>
      </c>
      <c r="D8" s="986">
        <v>1616.2740000000001</v>
      </c>
    </row>
    <row r="9" spans="1:4">
      <c r="A9" s="984" t="s">
        <v>6212</v>
      </c>
      <c r="B9" s="984" t="s">
        <v>1769</v>
      </c>
      <c r="C9" s="985">
        <v>100984773</v>
      </c>
      <c r="D9" s="986">
        <v>376.93200000000002</v>
      </c>
    </row>
    <row r="10" spans="1:4">
      <c r="A10" s="984" t="s">
        <v>2753</v>
      </c>
      <c r="B10" s="984" t="s">
        <v>5003</v>
      </c>
      <c r="C10" s="985">
        <v>3765328630</v>
      </c>
      <c r="D10" s="986">
        <v>2976.6330000000003</v>
      </c>
    </row>
    <row r="11" spans="1:4">
      <c r="A11" s="984" t="s">
        <v>3080</v>
      </c>
      <c r="B11" s="984" t="s">
        <v>3853</v>
      </c>
      <c r="C11" s="985">
        <v>362566052</v>
      </c>
      <c r="D11" s="986">
        <v>2487.8890000000001</v>
      </c>
    </row>
    <row r="12" spans="1:4">
      <c r="A12" s="984" t="s">
        <v>2842</v>
      </c>
      <c r="B12" s="984" t="s">
        <v>5004</v>
      </c>
      <c r="C12" s="985">
        <v>2109500335</v>
      </c>
      <c r="D12" s="986">
        <v>7836.7120000000004</v>
      </c>
    </row>
    <row r="13" spans="1:4">
      <c r="A13" s="984" t="s">
        <v>1874</v>
      </c>
      <c r="B13" s="984" t="s">
        <v>3857</v>
      </c>
      <c r="C13" s="985">
        <v>211057575</v>
      </c>
      <c r="D13" s="986">
        <v>1611.625</v>
      </c>
    </row>
    <row r="14" spans="1:4">
      <c r="A14" s="984" t="s">
        <v>2844</v>
      </c>
      <c r="B14" s="984" t="s">
        <v>5005</v>
      </c>
      <c r="C14" s="985">
        <v>264877573</v>
      </c>
      <c r="D14" s="986">
        <v>1784.5720000000001</v>
      </c>
    </row>
    <row r="15" spans="1:4">
      <c r="A15" s="984" t="s">
        <v>2846</v>
      </c>
      <c r="B15" s="984" t="s">
        <v>5006</v>
      </c>
      <c r="C15" s="985">
        <v>89573118</v>
      </c>
      <c r="D15" s="986">
        <v>427.23700000000002</v>
      </c>
    </row>
    <row r="16" spans="1:4">
      <c r="A16" s="984" t="s">
        <v>2848</v>
      </c>
      <c r="B16" s="984" t="s">
        <v>5007</v>
      </c>
      <c r="C16" s="985">
        <v>262854199</v>
      </c>
      <c r="D16" s="986">
        <v>1447.3030000000001</v>
      </c>
    </row>
    <row r="17" spans="1:4">
      <c r="A17" s="984" t="s">
        <v>1225</v>
      </c>
      <c r="B17" s="984" t="s">
        <v>5008</v>
      </c>
      <c r="C17" s="985">
        <v>2456442895</v>
      </c>
      <c r="D17" s="986">
        <v>2847.7020000000002</v>
      </c>
    </row>
    <row r="18" spans="1:4">
      <c r="A18" s="984" t="s">
        <v>1227</v>
      </c>
      <c r="B18" s="984" t="s">
        <v>4094</v>
      </c>
      <c r="C18" s="985">
        <v>174059987</v>
      </c>
      <c r="D18" s="986">
        <v>471.815</v>
      </c>
    </row>
    <row r="19" spans="1:4">
      <c r="A19" s="984" t="s">
        <v>1229</v>
      </c>
      <c r="B19" s="984" t="s">
        <v>4095</v>
      </c>
      <c r="C19" s="985">
        <v>249650483</v>
      </c>
      <c r="D19" s="986">
        <v>858.43700000000001</v>
      </c>
    </row>
    <row r="20" spans="1:4">
      <c r="A20" s="984" t="s">
        <v>2360</v>
      </c>
      <c r="B20" s="984" t="s">
        <v>2004</v>
      </c>
      <c r="C20" s="985">
        <v>61996825</v>
      </c>
      <c r="D20" s="986">
        <v>447.84800000000001</v>
      </c>
    </row>
    <row r="21" spans="1:4">
      <c r="A21" s="984" t="s">
        <v>1233</v>
      </c>
      <c r="B21" s="984" t="s">
        <v>4097</v>
      </c>
      <c r="C21" s="985">
        <v>98245507</v>
      </c>
      <c r="D21" s="986">
        <v>334.95300000000003</v>
      </c>
    </row>
    <row r="22" spans="1:4">
      <c r="A22" s="984" t="s">
        <v>3081</v>
      </c>
      <c r="B22" s="984" t="s">
        <v>6107</v>
      </c>
      <c r="C22" s="985">
        <v>105815507</v>
      </c>
      <c r="D22" s="986">
        <v>481.697</v>
      </c>
    </row>
    <row r="23" spans="1:4">
      <c r="A23" s="984" t="s">
        <v>1235</v>
      </c>
      <c r="B23" s="984" t="s">
        <v>4098</v>
      </c>
      <c r="C23" s="985">
        <v>454208883</v>
      </c>
      <c r="D23" s="986">
        <v>1272.24</v>
      </c>
    </row>
    <row r="24" spans="1:4">
      <c r="A24" s="984" t="s">
        <v>2999</v>
      </c>
      <c r="B24" s="984" t="s">
        <v>4099</v>
      </c>
      <c r="C24" s="985">
        <v>213517471</v>
      </c>
      <c r="D24" s="986">
        <v>1612.806</v>
      </c>
    </row>
    <row r="25" spans="1:4">
      <c r="A25" s="984" t="s">
        <v>5127</v>
      </c>
      <c r="B25" s="984" t="s">
        <v>342</v>
      </c>
      <c r="C25" s="985">
        <v>686043248</v>
      </c>
      <c r="D25" s="986">
        <v>3203.4660000000003</v>
      </c>
    </row>
    <row r="26" spans="1:4">
      <c r="A26" s="984" t="s">
        <v>2563</v>
      </c>
      <c r="B26" s="984" t="s">
        <v>345</v>
      </c>
      <c r="C26" s="985">
        <v>178093761</v>
      </c>
      <c r="D26" s="986">
        <v>1611.866</v>
      </c>
    </row>
    <row r="27" spans="1:4">
      <c r="A27" s="984" t="s">
        <v>1237</v>
      </c>
      <c r="B27" s="984" t="s">
        <v>4100</v>
      </c>
      <c r="C27" s="985">
        <v>968000229</v>
      </c>
      <c r="D27" s="986">
        <v>2022.2810000000002</v>
      </c>
    </row>
    <row r="28" spans="1:4">
      <c r="A28" s="984" t="s">
        <v>1239</v>
      </c>
      <c r="B28" s="984" t="s">
        <v>4101</v>
      </c>
      <c r="C28" s="985">
        <v>1074994591</v>
      </c>
      <c r="D28" s="986">
        <v>2456.366</v>
      </c>
    </row>
    <row r="29" spans="1:4">
      <c r="A29" s="984" t="s">
        <v>1241</v>
      </c>
      <c r="B29" s="984" t="s">
        <v>4102</v>
      </c>
      <c r="C29" s="985">
        <v>326473639</v>
      </c>
      <c r="D29" s="986">
        <v>785.86800000000005</v>
      </c>
    </row>
    <row r="30" spans="1:4">
      <c r="A30" s="984" t="s">
        <v>1243</v>
      </c>
      <c r="B30" s="984" t="s">
        <v>4103</v>
      </c>
      <c r="C30" s="985">
        <v>256603730</v>
      </c>
      <c r="D30" s="986">
        <v>1375.85</v>
      </c>
    </row>
    <row r="31" spans="1:4">
      <c r="A31" s="984" t="s">
        <v>1245</v>
      </c>
      <c r="B31" s="984" t="s">
        <v>4104</v>
      </c>
      <c r="C31" s="985">
        <v>193200626</v>
      </c>
      <c r="D31" s="986">
        <v>285.42400000000004</v>
      </c>
    </row>
    <row r="32" spans="1:4">
      <c r="A32" s="984" t="s">
        <v>2361</v>
      </c>
      <c r="B32" s="984" t="s">
        <v>7695</v>
      </c>
      <c r="C32" s="985">
        <v>1291941216</v>
      </c>
      <c r="D32" s="986">
        <v>2259.759</v>
      </c>
    </row>
    <row r="33" spans="1:4">
      <c r="A33" s="984" t="s">
        <v>948</v>
      </c>
      <c r="B33" s="984" t="s">
        <v>7697</v>
      </c>
      <c r="C33" s="985">
        <v>2677709399</v>
      </c>
      <c r="D33" s="986">
        <v>8406.8469999999998</v>
      </c>
    </row>
    <row r="34" spans="1:4">
      <c r="A34" s="984" t="s">
        <v>1522</v>
      </c>
      <c r="B34" s="984" t="s">
        <v>1928</v>
      </c>
      <c r="C34" s="985">
        <v>867902027</v>
      </c>
      <c r="D34" s="986">
        <v>3637.87</v>
      </c>
    </row>
    <row r="35" spans="1:4">
      <c r="A35" s="984" t="s">
        <v>438</v>
      </c>
      <c r="B35" s="984" t="s">
        <v>2343</v>
      </c>
      <c r="C35" s="985">
        <v>579200829</v>
      </c>
      <c r="D35" s="986">
        <v>1616.6680000000001</v>
      </c>
    </row>
    <row r="36" spans="1:4">
      <c r="A36" s="984" t="s">
        <v>2565</v>
      </c>
      <c r="B36" s="984" t="s">
        <v>6074</v>
      </c>
      <c r="C36" s="985">
        <v>70615981</v>
      </c>
      <c r="D36" s="986">
        <v>162.78400000000002</v>
      </c>
    </row>
    <row r="37" spans="1:4">
      <c r="A37" s="984" t="s">
        <v>1248</v>
      </c>
      <c r="B37" s="984" t="s">
        <v>4105</v>
      </c>
      <c r="C37" s="985">
        <v>148618442</v>
      </c>
      <c r="D37" s="986">
        <v>546.404</v>
      </c>
    </row>
    <row r="38" spans="1:4">
      <c r="A38" s="984" t="s">
        <v>439</v>
      </c>
      <c r="B38" s="984" t="s">
        <v>7698</v>
      </c>
      <c r="C38" s="985">
        <v>565400380</v>
      </c>
      <c r="D38" s="986">
        <v>3218.9170000000004</v>
      </c>
    </row>
    <row r="39" spans="1:4">
      <c r="A39" s="984" t="s">
        <v>1250</v>
      </c>
      <c r="B39" s="984" t="s">
        <v>4106</v>
      </c>
      <c r="C39" s="985">
        <v>158544187</v>
      </c>
      <c r="D39" s="986">
        <v>146.15200000000002</v>
      </c>
    </row>
    <row r="40" spans="1:4">
      <c r="A40" s="984" t="s">
        <v>1252</v>
      </c>
      <c r="B40" s="984" t="s">
        <v>4107</v>
      </c>
      <c r="C40" s="985">
        <v>157906981</v>
      </c>
      <c r="D40" s="986">
        <v>381.72700000000003</v>
      </c>
    </row>
    <row r="41" spans="1:4">
      <c r="A41" s="984" t="s">
        <v>2399</v>
      </c>
      <c r="B41" s="984" t="s">
        <v>2341</v>
      </c>
      <c r="C41" s="985">
        <v>130587281</v>
      </c>
      <c r="D41" s="986">
        <v>771.13</v>
      </c>
    </row>
    <row r="42" spans="1:4">
      <c r="A42" s="984" t="s">
        <v>2566</v>
      </c>
      <c r="B42" s="984" t="s">
        <v>4108</v>
      </c>
      <c r="C42" s="985">
        <v>223244237</v>
      </c>
      <c r="D42" s="986">
        <v>1051.6199999999999</v>
      </c>
    </row>
    <row r="43" spans="1:4">
      <c r="A43" s="984" t="s">
        <v>947</v>
      </c>
      <c r="B43" s="984" t="s">
        <v>7696</v>
      </c>
      <c r="C43" s="985">
        <v>86161492</v>
      </c>
      <c r="D43" s="986">
        <v>342.85200000000003</v>
      </c>
    </row>
    <row r="44" spans="1:4">
      <c r="A44" s="984" t="s">
        <v>950</v>
      </c>
      <c r="B44" s="984" t="s">
        <v>7654</v>
      </c>
      <c r="C44" s="985">
        <v>1975956310</v>
      </c>
      <c r="D44" s="986">
        <v>8658.2350000000006</v>
      </c>
    </row>
    <row r="45" spans="1:4">
      <c r="A45" s="984" t="s">
        <v>1869</v>
      </c>
      <c r="B45" s="984" t="s">
        <v>3848</v>
      </c>
      <c r="C45" s="985">
        <v>82657666</v>
      </c>
      <c r="D45" s="986">
        <v>543.78300000000002</v>
      </c>
    </row>
    <row r="46" spans="1:4">
      <c r="A46" s="984" t="s">
        <v>6033</v>
      </c>
      <c r="B46" s="984" t="s">
        <v>1920</v>
      </c>
      <c r="C46" s="985">
        <v>6047687214</v>
      </c>
      <c r="D46" s="986">
        <v>36540.546000000002</v>
      </c>
    </row>
    <row r="47" spans="1:4">
      <c r="A47" s="984" t="s">
        <v>2309</v>
      </c>
      <c r="B47" s="984" t="s">
        <v>367</v>
      </c>
      <c r="C47" s="985">
        <v>140944935</v>
      </c>
      <c r="D47" s="986">
        <v>841.06</v>
      </c>
    </row>
    <row r="48" spans="1:4">
      <c r="A48" s="984" t="s">
        <v>2384</v>
      </c>
      <c r="B48" s="984" t="s">
        <v>376</v>
      </c>
      <c r="C48" s="985">
        <v>592474634</v>
      </c>
      <c r="D48" s="986">
        <v>1276.576</v>
      </c>
    </row>
    <row r="49" spans="1:4">
      <c r="A49" s="984" t="s">
        <v>2411</v>
      </c>
      <c r="B49" s="984" t="s">
        <v>5364</v>
      </c>
      <c r="C49" s="985">
        <v>2635372123</v>
      </c>
      <c r="D49" s="986">
        <v>7901.0710000000008</v>
      </c>
    </row>
    <row r="50" spans="1:4">
      <c r="A50" s="984" t="s">
        <v>2416</v>
      </c>
      <c r="B50" s="984" t="s">
        <v>5369</v>
      </c>
      <c r="C50" s="985">
        <v>238181794</v>
      </c>
      <c r="D50" s="986">
        <v>1215.1780000000001</v>
      </c>
    </row>
    <row r="51" spans="1:4">
      <c r="A51" s="984" t="s">
        <v>37</v>
      </c>
      <c r="B51" s="984" t="s">
        <v>4109</v>
      </c>
      <c r="C51" s="985">
        <v>4838847397</v>
      </c>
      <c r="D51" s="986">
        <v>4483.2150000000001</v>
      </c>
    </row>
    <row r="52" spans="1:4">
      <c r="A52" s="984" t="s">
        <v>1860</v>
      </c>
      <c r="B52" s="984" t="s">
        <v>3918</v>
      </c>
      <c r="C52" s="985">
        <v>1158339712</v>
      </c>
      <c r="D52" s="986">
        <v>13442.194</v>
      </c>
    </row>
    <row r="53" spans="1:4">
      <c r="A53" s="984" t="s">
        <v>1520</v>
      </c>
      <c r="B53" s="984" t="s">
        <v>1926</v>
      </c>
      <c r="C53" s="985">
        <v>881933829</v>
      </c>
      <c r="D53" s="986">
        <v>10628.087</v>
      </c>
    </row>
    <row r="54" spans="1:4">
      <c r="A54" s="984" t="s">
        <v>2386</v>
      </c>
      <c r="B54" s="984" t="s">
        <v>379</v>
      </c>
      <c r="C54" s="985">
        <v>11732769072</v>
      </c>
      <c r="D54" s="986">
        <v>48842.048999999999</v>
      </c>
    </row>
    <row r="55" spans="1:4">
      <c r="A55" s="984" t="s">
        <v>2403</v>
      </c>
      <c r="B55" s="984" t="s">
        <v>2347</v>
      </c>
      <c r="C55" s="985">
        <v>1186876341</v>
      </c>
      <c r="D55" s="986">
        <v>8987.9850000000006</v>
      </c>
    </row>
    <row r="56" spans="1:4">
      <c r="A56" s="984" t="s">
        <v>2402</v>
      </c>
      <c r="B56" s="984" t="s">
        <v>2346</v>
      </c>
      <c r="C56" s="985">
        <v>322217779</v>
      </c>
      <c r="D56" s="986">
        <v>3409.2040000000002</v>
      </c>
    </row>
    <row r="57" spans="1:4">
      <c r="A57" s="984" t="s">
        <v>6183</v>
      </c>
      <c r="B57" s="984" t="s">
        <v>1937</v>
      </c>
      <c r="C57" s="985">
        <v>27190783576</v>
      </c>
      <c r="D57" s="986">
        <v>62697.768000000004</v>
      </c>
    </row>
    <row r="58" spans="1:4">
      <c r="A58" s="984" t="s">
        <v>1517</v>
      </c>
      <c r="B58" s="984" t="s">
        <v>3013</v>
      </c>
      <c r="C58" s="985">
        <v>1839757044</v>
      </c>
      <c r="D58" s="986">
        <v>8764.8010000000013</v>
      </c>
    </row>
    <row r="59" spans="1:4">
      <c r="A59" s="984" t="s">
        <v>3082</v>
      </c>
      <c r="B59" s="984" t="s">
        <v>2349</v>
      </c>
      <c r="C59" s="985">
        <v>1476777038</v>
      </c>
      <c r="D59" s="986">
        <v>11012.217000000001</v>
      </c>
    </row>
    <row r="60" spans="1:4">
      <c r="A60" s="984" t="s">
        <v>6185</v>
      </c>
      <c r="B60" s="984" t="s">
        <v>1939</v>
      </c>
      <c r="C60" s="985">
        <v>31945348180</v>
      </c>
      <c r="D60" s="986">
        <v>88580.581000000006</v>
      </c>
    </row>
    <row r="61" spans="1:4">
      <c r="A61" s="984" t="s">
        <v>6026</v>
      </c>
      <c r="B61" s="984" t="s">
        <v>1911</v>
      </c>
      <c r="C61" s="985">
        <v>5984505497</v>
      </c>
      <c r="D61" s="986">
        <v>20566.524000000001</v>
      </c>
    </row>
    <row r="62" spans="1:4">
      <c r="A62" s="984" t="s">
        <v>2404</v>
      </c>
      <c r="B62" s="984" t="s">
        <v>2348</v>
      </c>
      <c r="C62" s="985">
        <v>472609886</v>
      </c>
      <c r="D62" s="986">
        <v>4839.1440000000002</v>
      </c>
    </row>
    <row r="63" spans="1:4">
      <c r="A63" s="984" t="s">
        <v>45</v>
      </c>
      <c r="B63" s="984" t="s">
        <v>4113</v>
      </c>
      <c r="C63" s="985">
        <v>562300309</v>
      </c>
      <c r="D63" s="986">
        <v>675.72300000000007</v>
      </c>
    </row>
    <row r="64" spans="1:4">
      <c r="A64" s="984" t="s">
        <v>952</v>
      </c>
      <c r="B64" s="984" t="s">
        <v>7657</v>
      </c>
      <c r="C64" s="985">
        <v>654434161</v>
      </c>
      <c r="D64" s="986">
        <v>909.10800000000006</v>
      </c>
    </row>
    <row r="65" spans="1:4">
      <c r="A65" s="984" t="s">
        <v>47</v>
      </c>
      <c r="B65" s="984" t="s">
        <v>4114</v>
      </c>
      <c r="C65" s="985">
        <v>849037011</v>
      </c>
      <c r="D65" s="986">
        <v>216.06800000000001</v>
      </c>
    </row>
    <row r="66" spans="1:4">
      <c r="A66" s="984" t="s">
        <v>740</v>
      </c>
      <c r="B66" s="984" t="s">
        <v>6115</v>
      </c>
      <c r="C66" s="985">
        <v>468814447</v>
      </c>
      <c r="D66" s="986">
        <v>1051.5230000000001</v>
      </c>
    </row>
    <row r="67" spans="1:4">
      <c r="A67" s="984" t="s">
        <v>49</v>
      </c>
      <c r="B67" s="984" t="s">
        <v>4115</v>
      </c>
      <c r="C67" s="985">
        <v>139359105</v>
      </c>
      <c r="D67" s="986">
        <v>490.75400000000002</v>
      </c>
    </row>
    <row r="68" spans="1:4">
      <c r="A68" s="984" t="s">
        <v>1337</v>
      </c>
      <c r="B68" s="984" t="s">
        <v>4116</v>
      </c>
      <c r="C68" s="985">
        <v>57234923</v>
      </c>
      <c r="D68" s="986">
        <v>112.01300000000001</v>
      </c>
    </row>
    <row r="69" spans="1:4">
      <c r="A69" s="984" t="s">
        <v>1339</v>
      </c>
      <c r="B69" s="984" t="s">
        <v>4117</v>
      </c>
      <c r="C69" s="985">
        <v>184605257</v>
      </c>
      <c r="D69" s="986">
        <v>593.96100000000001</v>
      </c>
    </row>
    <row r="70" spans="1:4">
      <c r="A70" s="984" t="s">
        <v>2474</v>
      </c>
      <c r="B70" s="984" t="s">
        <v>329</v>
      </c>
      <c r="C70" s="985">
        <v>73654405</v>
      </c>
      <c r="D70" s="986">
        <v>179.25300000000001</v>
      </c>
    </row>
    <row r="71" spans="1:4">
      <c r="A71" s="984" t="s">
        <v>1341</v>
      </c>
      <c r="B71" s="984" t="s">
        <v>1663</v>
      </c>
      <c r="C71" s="985">
        <v>67757164</v>
      </c>
      <c r="D71" s="986">
        <v>126.05300000000001</v>
      </c>
    </row>
    <row r="72" spans="1:4">
      <c r="A72" s="984" t="s">
        <v>1343</v>
      </c>
      <c r="B72" s="984" t="s">
        <v>1664</v>
      </c>
      <c r="C72" s="985">
        <v>103433922</v>
      </c>
      <c r="D72" s="986">
        <v>229.23400000000001</v>
      </c>
    </row>
    <row r="73" spans="1:4">
      <c r="A73" s="984" t="s">
        <v>1345</v>
      </c>
      <c r="B73" s="984" t="s">
        <v>885</v>
      </c>
      <c r="C73" s="985">
        <v>67021372</v>
      </c>
      <c r="D73" s="986">
        <v>105.99600000000001</v>
      </c>
    </row>
    <row r="74" spans="1:4">
      <c r="A74" s="984" t="s">
        <v>963</v>
      </c>
      <c r="B74" s="984" t="s">
        <v>996</v>
      </c>
      <c r="C74" s="985">
        <v>160276524</v>
      </c>
      <c r="D74" s="986">
        <v>744.46300000000008</v>
      </c>
    </row>
    <row r="75" spans="1:4">
      <c r="A75" s="984" t="s">
        <v>3083</v>
      </c>
      <c r="B75" s="984" t="s">
        <v>3850</v>
      </c>
      <c r="C75" s="985">
        <v>137934766</v>
      </c>
      <c r="D75" s="986">
        <v>879.93799999999999</v>
      </c>
    </row>
    <row r="76" spans="1:4">
      <c r="A76" s="984" t="s">
        <v>2568</v>
      </c>
      <c r="B76" s="984" t="s">
        <v>6070</v>
      </c>
      <c r="C76" s="985">
        <v>54286199</v>
      </c>
      <c r="D76" s="986">
        <v>476.488</v>
      </c>
    </row>
    <row r="77" spans="1:4">
      <c r="A77" s="984" t="s">
        <v>1349</v>
      </c>
      <c r="B77" s="984" t="s">
        <v>886</v>
      </c>
      <c r="C77" s="985">
        <v>332932737</v>
      </c>
      <c r="D77" s="986">
        <v>1287.569</v>
      </c>
    </row>
    <row r="78" spans="1:4">
      <c r="A78" s="984" t="s">
        <v>6083</v>
      </c>
      <c r="B78" s="984" t="s">
        <v>887</v>
      </c>
      <c r="C78" s="985">
        <v>189597013</v>
      </c>
      <c r="D78" s="986">
        <v>1040.9490000000001</v>
      </c>
    </row>
    <row r="79" spans="1:4">
      <c r="A79" s="984" t="s">
        <v>6085</v>
      </c>
      <c r="B79" s="984" t="s">
        <v>888</v>
      </c>
      <c r="C79" s="985">
        <v>1790265087</v>
      </c>
      <c r="D79" s="986">
        <v>6324.442</v>
      </c>
    </row>
    <row r="80" spans="1:4">
      <c r="A80" s="984" t="s">
        <v>1998</v>
      </c>
      <c r="B80" s="984" t="s">
        <v>889</v>
      </c>
      <c r="C80" s="985">
        <v>507507128</v>
      </c>
      <c r="D80" s="986">
        <v>2540.25</v>
      </c>
    </row>
    <row r="81" spans="1:4">
      <c r="A81" s="984" t="s">
        <v>2570</v>
      </c>
      <c r="B81" s="984" t="s">
        <v>1467</v>
      </c>
      <c r="C81" s="985">
        <v>92010389</v>
      </c>
      <c r="D81" s="986">
        <v>499.25900000000001</v>
      </c>
    </row>
    <row r="82" spans="1:4">
      <c r="A82" s="984" t="s">
        <v>4076</v>
      </c>
      <c r="B82" s="984" t="s">
        <v>6061</v>
      </c>
      <c r="C82" s="985">
        <v>17579093</v>
      </c>
      <c r="D82" s="986">
        <v>115.715</v>
      </c>
    </row>
    <row r="83" spans="1:4">
      <c r="A83" s="984" t="s">
        <v>1963</v>
      </c>
      <c r="B83" s="984" t="s">
        <v>890</v>
      </c>
      <c r="C83" s="985">
        <v>162955518</v>
      </c>
      <c r="D83" s="986">
        <v>450.23200000000003</v>
      </c>
    </row>
    <row r="84" spans="1:4">
      <c r="A84" s="984" t="s">
        <v>2000</v>
      </c>
      <c r="B84" s="984" t="s">
        <v>891</v>
      </c>
      <c r="C84" s="985">
        <v>801349431</v>
      </c>
      <c r="D84" s="986">
        <v>1812.7670000000001</v>
      </c>
    </row>
    <row r="85" spans="1:4">
      <c r="A85" s="984" t="s">
        <v>2002</v>
      </c>
      <c r="B85" s="984" t="s">
        <v>3852</v>
      </c>
      <c r="C85" s="985">
        <v>17752144</v>
      </c>
      <c r="D85" s="986">
        <v>89.923000000000002</v>
      </c>
    </row>
    <row r="86" spans="1:4">
      <c r="A86" s="984" t="s">
        <v>1964</v>
      </c>
      <c r="B86" s="984" t="s">
        <v>892</v>
      </c>
      <c r="C86" s="985">
        <v>29124505</v>
      </c>
      <c r="D86" s="986">
        <v>103.90400000000001</v>
      </c>
    </row>
    <row r="87" spans="1:4">
      <c r="A87" s="984" t="s">
        <v>2136</v>
      </c>
      <c r="B87" s="984" t="s">
        <v>7679</v>
      </c>
      <c r="C87" s="985">
        <v>3618969987</v>
      </c>
      <c r="D87" s="986">
        <v>16076.95</v>
      </c>
    </row>
    <row r="88" spans="1:4">
      <c r="A88" s="984" t="s">
        <v>2966</v>
      </c>
      <c r="B88" s="984" t="s">
        <v>893</v>
      </c>
      <c r="C88" s="985">
        <v>2145243182</v>
      </c>
      <c r="D88" s="986">
        <v>5958.1289999999999</v>
      </c>
    </row>
    <row r="89" spans="1:4">
      <c r="A89" s="984" t="s">
        <v>3084</v>
      </c>
      <c r="B89" s="984" t="s">
        <v>992</v>
      </c>
      <c r="C89" s="985">
        <v>186292525</v>
      </c>
      <c r="D89" s="986">
        <v>723.06</v>
      </c>
    </row>
    <row r="90" spans="1:4">
      <c r="A90" s="984" t="s">
        <v>6252</v>
      </c>
      <c r="B90" s="984" t="s">
        <v>1571</v>
      </c>
      <c r="C90" s="985">
        <v>6406446078</v>
      </c>
      <c r="D90" s="986">
        <v>11706.08</v>
      </c>
    </row>
    <row r="91" spans="1:4">
      <c r="A91" s="984" t="s">
        <v>6254</v>
      </c>
      <c r="B91" s="984" t="s">
        <v>1572</v>
      </c>
      <c r="C91" s="985">
        <v>1343741238</v>
      </c>
      <c r="D91" s="986">
        <v>1855.682</v>
      </c>
    </row>
    <row r="92" spans="1:4">
      <c r="A92" s="984" t="s">
        <v>233</v>
      </c>
      <c r="B92" s="984" t="s">
        <v>2640</v>
      </c>
      <c r="C92" s="985">
        <v>767180698</v>
      </c>
      <c r="D92" s="986">
        <v>2855.4320000000002</v>
      </c>
    </row>
    <row r="93" spans="1:4">
      <c r="A93" s="984" t="s">
        <v>6195</v>
      </c>
      <c r="B93" s="984" t="s">
        <v>5293</v>
      </c>
      <c r="C93" s="985">
        <v>5557444216</v>
      </c>
      <c r="D93" s="986">
        <v>17824.753000000001</v>
      </c>
    </row>
    <row r="94" spans="1:4">
      <c r="A94" s="984" t="s">
        <v>6256</v>
      </c>
      <c r="B94" s="984" t="s">
        <v>1573</v>
      </c>
      <c r="C94" s="985">
        <v>43117397</v>
      </c>
      <c r="D94" s="986">
        <v>164.09200000000001</v>
      </c>
    </row>
    <row r="95" spans="1:4">
      <c r="A95" s="984" t="s">
        <v>743</v>
      </c>
      <c r="B95" s="984" t="s">
        <v>6119</v>
      </c>
      <c r="C95" s="985">
        <v>5865522105</v>
      </c>
      <c r="D95" s="986">
        <v>9815.7090000000007</v>
      </c>
    </row>
    <row r="96" spans="1:4">
      <c r="A96" s="984" t="s">
        <v>960</v>
      </c>
      <c r="B96" s="984" t="s">
        <v>2143</v>
      </c>
      <c r="C96" s="985">
        <v>4666171958</v>
      </c>
      <c r="D96" s="986">
        <v>14478.105</v>
      </c>
    </row>
    <row r="97" spans="1:4">
      <c r="A97" s="984" t="s">
        <v>6991</v>
      </c>
      <c r="B97" s="984" t="s">
        <v>107</v>
      </c>
      <c r="C97" s="985">
        <v>59601181</v>
      </c>
      <c r="D97" s="986">
        <v>102.39200000000001</v>
      </c>
    </row>
    <row r="98" spans="1:4">
      <c r="A98" s="984" t="s">
        <v>6262</v>
      </c>
      <c r="B98" s="984" t="s">
        <v>108</v>
      </c>
      <c r="C98" s="985">
        <v>380110953</v>
      </c>
      <c r="D98" s="986">
        <v>1014.378</v>
      </c>
    </row>
    <row r="99" spans="1:4">
      <c r="A99" s="984" t="s">
        <v>6264</v>
      </c>
      <c r="B99" s="984" t="s">
        <v>3792</v>
      </c>
      <c r="C99" s="985">
        <v>60576144</v>
      </c>
      <c r="D99" s="986">
        <v>47.611000000000004</v>
      </c>
    </row>
    <row r="100" spans="1:4">
      <c r="A100" s="984" t="s">
        <v>6266</v>
      </c>
      <c r="B100" s="984" t="s">
        <v>3793</v>
      </c>
      <c r="C100" s="985">
        <v>7117289</v>
      </c>
      <c r="D100" s="986">
        <v>18.802</v>
      </c>
    </row>
    <row r="101" spans="1:4">
      <c r="A101" s="984" t="s">
        <v>6268</v>
      </c>
      <c r="B101" s="984" t="s">
        <v>3794</v>
      </c>
      <c r="C101" s="985">
        <v>52641783</v>
      </c>
      <c r="D101" s="986">
        <v>167.84800000000001</v>
      </c>
    </row>
    <row r="102" spans="1:4">
      <c r="A102" s="984" t="s">
        <v>6270</v>
      </c>
      <c r="B102" s="984" t="s">
        <v>3795</v>
      </c>
      <c r="C102" s="985">
        <v>798949705</v>
      </c>
      <c r="D102" s="986">
        <v>1333.663</v>
      </c>
    </row>
    <row r="103" spans="1:4">
      <c r="A103" s="984" t="s">
        <v>6272</v>
      </c>
      <c r="B103" s="984" t="s">
        <v>3796</v>
      </c>
      <c r="C103" s="985">
        <v>274804746</v>
      </c>
      <c r="D103" s="986">
        <v>1020.6840000000001</v>
      </c>
    </row>
    <row r="104" spans="1:4">
      <c r="A104" s="984" t="s">
        <v>2291</v>
      </c>
      <c r="B104" s="984" t="s">
        <v>3797</v>
      </c>
      <c r="C104" s="985">
        <v>1063020790</v>
      </c>
      <c r="D104" s="986">
        <v>3320.5630000000001</v>
      </c>
    </row>
    <row r="105" spans="1:4">
      <c r="A105" s="984" t="s">
        <v>954</v>
      </c>
      <c r="B105" s="984" t="s">
        <v>7659</v>
      </c>
      <c r="C105" s="985">
        <v>37947854</v>
      </c>
      <c r="D105" s="986">
        <v>199.19499999999999</v>
      </c>
    </row>
    <row r="106" spans="1:4">
      <c r="A106" s="984" t="s">
        <v>6166</v>
      </c>
      <c r="B106" s="984" t="s">
        <v>6071</v>
      </c>
      <c r="C106" s="985">
        <v>137210304</v>
      </c>
      <c r="D106" s="986">
        <v>252.61600000000001</v>
      </c>
    </row>
    <row r="107" spans="1:4">
      <c r="A107" s="984" t="s">
        <v>864</v>
      </c>
      <c r="B107" s="984" t="s">
        <v>2011</v>
      </c>
      <c r="C107" s="985">
        <v>35055423</v>
      </c>
      <c r="D107" s="986">
        <v>190.916</v>
      </c>
    </row>
    <row r="108" spans="1:4">
      <c r="A108" s="984" t="s">
        <v>3085</v>
      </c>
      <c r="B108" s="984" t="s">
        <v>2141</v>
      </c>
      <c r="C108" s="985">
        <v>47321113</v>
      </c>
      <c r="D108" s="986">
        <v>155.02100000000002</v>
      </c>
    </row>
    <row r="109" spans="1:4">
      <c r="A109" s="984" t="s">
        <v>1518</v>
      </c>
      <c r="B109" s="984" t="s">
        <v>3012</v>
      </c>
      <c r="C109" s="985">
        <v>225903611</v>
      </c>
      <c r="D109" s="986">
        <v>1208.817</v>
      </c>
    </row>
    <row r="110" spans="1:4">
      <c r="A110" s="984" t="s">
        <v>2293</v>
      </c>
      <c r="B110" s="984" t="s">
        <v>3798</v>
      </c>
      <c r="C110" s="985">
        <v>747345434</v>
      </c>
      <c r="D110" s="986">
        <v>1752.9340000000002</v>
      </c>
    </row>
    <row r="111" spans="1:4">
      <c r="A111" s="984" t="s">
        <v>2295</v>
      </c>
      <c r="B111" s="984" t="s">
        <v>3799</v>
      </c>
      <c r="C111" s="985">
        <v>193967511</v>
      </c>
      <c r="D111" s="986">
        <v>425.56900000000002</v>
      </c>
    </row>
    <row r="112" spans="1:4">
      <c r="A112" s="984" t="s">
        <v>2297</v>
      </c>
      <c r="B112" s="984" t="s">
        <v>3800</v>
      </c>
      <c r="C112" s="985">
        <v>139578496</v>
      </c>
      <c r="D112" s="986">
        <v>476.81100000000004</v>
      </c>
    </row>
    <row r="113" spans="1:4">
      <c r="A113" s="984" t="s">
        <v>978</v>
      </c>
      <c r="B113" s="984" t="s">
        <v>4670</v>
      </c>
      <c r="C113" s="985">
        <v>1677344674</v>
      </c>
      <c r="D113" s="986">
        <v>3128.5550000000003</v>
      </c>
    </row>
    <row r="114" spans="1:4">
      <c r="A114" s="984" t="s">
        <v>3003</v>
      </c>
      <c r="B114" s="984" t="s">
        <v>6063</v>
      </c>
      <c r="C114" s="985">
        <v>2857190130</v>
      </c>
      <c r="D114" s="986">
        <v>3750.8630000000003</v>
      </c>
    </row>
    <row r="115" spans="1:4">
      <c r="A115" s="984" t="s">
        <v>2993</v>
      </c>
      <c r="B115" s="984" t="s">
        <v>196</v>
      </c>
      <c r="C115" s="985">
        <v>888129272</v>
      </c>
      <c r="D115" s="986">
        <v>4321.942</v>
      </c>
    </row>
    <row r="116" spans="1:4">
      <c r="A116" s="984" t="s">
        <v>518</v>
      </c>
      <c r="B116" s="984" t="s">
        <v>6056</v>
      </c>
      <c r="C116" s="985">
        <v>336170958</v>
      </c>
      <c r="D116" s="986">
        <v>1320.2910000000002</v>
      </c>
    </row>
    <row r="117" spans="1:4">
      <c r="A117" s="984" t="s">
        <v>2299</v>
      </c>
      <c r="B117" s="984" t="s">
        <v>3801</v>
      </c>
      <c r="C117" s="985">
        <v>105918616</v>
      </c>
      <c r="D117" s="986">
        <v>209.572</v>
      </c>
    </row>
    <row r="118" spans="1:4">
      <c r="A118" s="984" t="s">
        <v>3971</v>
      </c>
      <c r="B118" s="984" t="s">
        <v>4676</v>
      </c>
      <c r="C118" s="985">
        <v>3008601015</v>
      </c>
      <c r="D118" s="986">
        <v>3861.2070000000003</v>
      </c>
    </row>
    <row r="119" spans="1:4">
      <c r="A119" s="984" t="s">
        <v>2161</v>
      </c>
      <c r="B119" s="984" t="s">
        <v>3803</v>
      </c>
      <c r="C119" s="985">
        <v>103877703</v>
      </c>
      <c r="D119" s="986">
        <v>334.92200000000003</v>
      </c>
    </row>
    <row r="120" spans="1:4">
      <c r="A120" s="984" t="s">
        <v>3086</v>
      </c>
      <c r="B120" s="984" t="s">
        <v>4679</v>
      </c>
      <c r="C120" s="985">
        <v>335977885</v>
      </c>
      <c r="D120" s="986">
        <v>1360.89</v>
      </c>
    </row>
    <row r="121" spans="1:4">
      <c r="A121" s="984" t="s">
        <v>2605</v>
      </c>
      <c r="B121" s="984" t="s">
        <v>3804</v>
      </c>
      <c r="C121" s="985">
        <v>111051362</v>
      </c>
      <c r="D121" s="986">
        <v>280.58999999999997</v>
      </c>
    </row>
    <row r="122" spans="1:4">
      <c r="A122" s="984" t="s">
        <v>4181</v>
      </c>
      <c r="B122" s="984" t="s">
        <v>3805</v>
      </c>
      <c r="C122" s="985">
        <v>215842201</v>
      </c>
      <c r="D122" s="986">
        <v>362.036</v>
      </c>
    </row>
    <row r="123" spans="1:4">
      <c r="A123" s="984" t="s">
        <v>959</v>
      </c>
      <c r="B123" s="984" t="s">
        <v>2142</v>
      </c>
      <c r="C123" s="985">
        <v>4907687261</v>
      </c>
      <c r="D123" s="986">
        <v>45868.946000000004</v>
      </c>
    </row>
    <row r="124" spans="1:4">
      <c r="A124" s="984" t="s">
        <v>1861</v>
      </c>
      <c r="B124" s="984" t="s">
        <v>4684</v>
      </c>
      <c r="C124" s="985">
        <v>3013697929</v>
      </c>
      <c r="D124" s="986">
        <v>17075.231</v>
      </c>
    </row>
    <row r="125" spans="1:4">
      <c r="A125" s="984" t="s">
        <v>6037</v>
      </c>
      <c r="B125" s="984" t="s">
        <v>2152</v>
      </c>
      <c r="C125" s="985">
        <v>342791542</v>
      </c>
      <c r="D125" s="986">
        <v>3288.79</v>
      </c>
    </row>
    <row r="126" spans="1:4">
      <c r="A126" s="984" t="s">
        <v>2995</v>
      </c>
      <c r="B126" s="984" t="s">
        <v>4687</v>
      </c>
      <c r="C126" s="985">
        <v>1223750937</v>
      </c>
      <c r="D126" s="986">
        <v>9199.134</v>
      </c>
    </row>
    <row r="127" spans="1:4">
      <c r="A127" s="984" t="s">
        <v>7643</v>
      </c>
      <c r="B127" s="984" t="s">
        <v>3806</v>
      </c>
      <c r="C127" s="985">
        <v>3647328802</v>
      </c>
      <c r="D127" s="986">
        <v>2317.4380000000001</v>
      </c>
    </row>
    <row r="128" spans="1:4">
      <c r="A128" s="984" t="s">
        <v>3087</v>
      </c>
      <c r="B128" s="984" t="s">
        <v>361</v>
      </c>
      <c r="C128" s="985">
        <v>206958634</v>
      </c>
      <c r="D128" s="986">
        <v>2107.6970000000001</v>
      </c>
    </row>
    <row r="129" spans="1:4">
      <c r="A129" s="984" t="s">
        <v>2387</v>
      </c>
      <c r="B129" s="984" t="s">
        <v>4691</v>
      </c>
      <c r="C129" s="985">
        <v>812992753</v>
      </c>
      <c r="D129" s="986">
        <v>10274.964</v>
      </c>
    </row>
    <row r="130" spans="1:4">
      <c r="A130" s="984" t="s">
        <v>3088</v>
      </c>
      <c r="B130" s="984" t="s">
        <v>1459</v>
      </c>
      <c r="C130" s="985">
        <v>38774503</v>
      </c>
      <c r="D130" s="986">
        <v>635.12599999999998</v>
      </c>
    </row>
    <row r="131" spans="1:4">
      <c r="A131" s="984" t="s">
        <v>2393</v>
      </c>
      <c r="B131" s="984" t="s">
        <v>1460</v>
      </c>
      <c r="C131" s="985">
        <v>66183696</v>
      </c>
      <c r="D131" s="986">
        <v>1111.2560000000001</v>
      </c>
    </row>
    <row r="132" spans="1:4">
      <c r="A132" s="984" t="s">
        <v>7647</v>
      </c>
      <c r="B132" s="984" t="s">
        <v>3807</v>
      </c>
      <c r="C132" s="985">
        <v>670033114</v>
      </c>
      <c r="D132" s="986">
        <v>2328.5219999999999</v>
      </c>
    </row>
    <row r="133" spans="1:4">
      <c r="A133" s="984" t="s">
        <v>7649</v>
      </c>
      <c r="B133" s="984" t="s">
        <v>3808</v>
      </c>
      <c r="C133" s="985">
        <v>70542621</v>
      </c>
      <c r="D133" s="986">
        <v>123.15700000000001</v>
      </c>
    </row>
    <row r="134" spans="1:4">
      <c r="A134" s="984" t="s">
        <v>1786</v>
      </c>
      <c r="B134" s="984" t="s">
        <v>3809</v>
      </c>
      <c r="C134" s="985">
        <v>546216584</v>
      </c>
      <c r="D134" s="986">
        <v>633.20699999999999</v>
      </c>
    </row>
    <row r="135" spans="1:4">
      <c r="A135" s="984" t="s">
        <v>1788</v>
      </c>
      <c r="B135" s="984" t="s">
        <v>6208</v>
      </c>
      <c r="C135" s="985">
        <v>385416890</v>
      </c>
      <c r="D135" s="986">
        <v>353.77499999999998</v>
      </c>
    </row>
    <row r="136" spans="1:4">
      <c r="A136" s="984" t="s">
        <v>1790</v>
      </c>
      <c r="B136" s="984" t="s">
        <v>6209</v>
      </c>
      <c r="C136" s="985">
        <v>537222317</v>
      </c>
      <c r="D136" s="986">
        <v>1646.8</v>
      </c>
    </row>
    <row r="137" spans="1:4">
      <c r="A137" s="984" t="s">
        <v>1792</v>
      </c>
      <c r="B137" s="984" t="s">
        <v>6210</v>
      </c>
      <c r="C137" s="985">
        <v>51670196</v>
      </c>
      <c r="D137" s="986">
        <v>128.36000000000001</v>
      </c>
    </row>
    <row r="138" spans="1:4">
      <c r="A138" s="984" t="s">
        <v>2982</v>
      </c>
      <c r="B138" s="984" t="s">
        <v>6211</v>
      </c>
      <c r="C138" s="985">
        <v>347951225</v>
      </c>
      <c r="D138" s="986">
        <v>1031.9670000000001</v>
      </c>
    </row>
    <row r="139" spans="1:4">
      <c r="A139" s="984" t="s">
        <v>2984</v>
      </c>
      <c r="B139" s="984" t="s">
        <v>4702</v>
      </c>
      <c r="C139" s="985">
        <v>228741714</v>
      </c>
      <c r="D139" s="986">
        <v>733.23300000000006</v>
      </c>
    </row>
    <row r="140" spans="1:4">
      <c r="A140" s="984" t="s">
        <v>965</v>
      </c>
      <c r="B140" s="984" t="s">
        <v>6077</v>
      </c>
      <c r="C140" s="985">
        <v>32891628</v>
      </c>
      <c r="D140" s="986">
        <v>416.73700000000002</v>
      </c>
    </row>
    <row r="141" spans="1:4">
      <c r="A141" s="984" t="s">
        <v>6704</v>
      </c>
      <c r="B141" s="984" t="s">
        <v>3814</v>
      </c>
      <c r="C141" s="985">
        <v>374722609</v>
      </c>
      <c r="D141" s="986">
        <v>996.96500000000003</v>
      </c>
    </row>
    <row r="142" spans="1:4">
      <c r="A142" s="984" t="s">
        <v>690</v>
      </c>
      <c r="B142" s="984" t="s">
        <v>3816</v>
      </c>
      <c r="C142" s="985">
        <v>34686429</v>
      </c>
      <c r="D142" s="986">
        <v>248.55100000000002</v>
      </c>
    </row>
    <row r="143" spans="1:4">
      <c r="A143" s="984" t="s">
        <v>692</v>
      </c>
      <c r="B143" s="984" t="s">
        <v>3817</v>
      </c>
      <c r="C143" s="985">
        <v>202404770</v>
      </c>
      <c r="D143" s="986">
        <v>1109.5899999999999</v>
      </c>
    </row>
    <row r="144" spans="1:4">
      <c r="A144" s="984" t="s">
        <v>895</v>
      </c>
      <c r="B144" s="984" t="s">
        <v>3818</v>
      </c>
      <c r="C144" s="985">
        <v>61967170</v>
      </c>
      <c r="D144" s="986">
        <v>267.28500000000003</v>
      </c>
    </row>
    <row r="145" spans="1:4">
      <c r="A145" s="984" t="s">
        <v>6177</v>
      </c>
      <c r="B145" s="984" t="s">
        <v>506</v>
      </c>
      <c r="C145" s="985">
        <v>31225910</v>
      </c>
      <c r="D145" s="986">
        <v>234.631</v>
      </c>
    </row>
    <row r="146" spans="1:4">
      <c r="A146" s="984" t="s">
        <v>265</v>
      </c>
      <c r="B146" s="984" t="s">
        <v>7682</v>
      </c>
      <c r="C146" s="985">
        <v>310658720</v>
      </c>
      <c r="D146" s="986">
        <v>1164.798</v>
      </c>
    </row>
    <row r="147" spans="1:4">
      <c r="A147" s="984" t="s">
        <v>897</v>
      </c>
      <c r="B147" s="984" t="s">
        <v>3819</v>
      </c>
      <c r="C147" s="985">
        <v>2924703552</v>
      </c>
      <c r="D147" s="986">
        <v>3988.77</v>
      </c>
    </row>
    <row r="148" spans="1:4">
      <c r="A148" s="984" t="s">
        <v>899</v>
      </c>
      <c r="B148" s="984" t="s">
        <v>3820</v>
      </c>
      <c r="C148" s="985">
        <v>249672372</v>
      </c>
      <c r="D148" s="986">
        <v>1242.4770000000001</v>
      </c>
    </row>
    <row r="149" spans="1:4">
      <c r="A149" s="984" t="s">
        <v>901</v>
      </c>
      <c r="B149" s="984" t="s">
        <v>3821</v>
      </c>
      <c r="C149" s="985">
        <v>145267533</v>
      </c>
      <c r="D149" s="986">
        <v>631.26499999999999</v>
      </c>
    </row>
    <row r="150" spans="1:4">
      <c r="A150" s="984" t="s">
        <v>6023</v>
      </c>
      <c r="B150" s="984" t="s">
        <v>1908</v>
      </c>
      <c r="C150" s="985">
        <v>926429047</v>
      </c>
      <c r="D150" s="986">
        <v>4570.3460000000005</v>
      </c>
    </row>
    <row r="151" spans="1:4">
      <c r="A151" s="984" t="s">
        <v>2383</v>
      </c>
      <c r="B151" s="984" t="s">
        <v>374</v>
      </c>
      <c r="C151" s="985">
        <v>362937175</v>
      </c>
      <c r="D151" s="986">
        <v>1995.9160000000002</v>
      </c>
    </row>
    <row r="152" spans="1:4">
      <c r="A152" s="984" t="s">
        <v>6180</v>
      </c>
      <c r="B152" s="984" t="s">
        <v>1934</v>
      </c>
      <c r="C152" s="985">
        <v>52191606</v>
      </c>
      <c r="D152" s="986">
        <v>458.69</v>
      </c>
    </row>
    <row r="153" spans="1:4">
      <c r="A153" s="984" t="s">
        <v>903</v>
      </c>
      <c r="B153" s="984" t="s">
        <v>3822</v>
      </c>
      <c r="C153" s="985">
        <v>84506162</v>
      </c>
      <c r="D153" s="986">
        <v>307.02800000000002</v>
      </c>
    </row>
    <row r="154" spans="1:4">
      <c r="A154" s="984" t="s">
        <v>736</v>
      </c>
      <c r="B154" s="984" t="s">
        <v>6109</v>
      </c>
      <c r="C154" s="985">
        <v>204782833</v>
      </c>
      <c r="D154" s="986">
        <v>1033.6099999999999</v>
      </c>
    </row>
    <row r="155" spans="1:4">
      <c r="A155" s="984" t="s">
        <v>5336</v>
      </c>
      <c r="B155" s="984" t="s">
        <v>3823</v>
      </c>
      <c r="C155" s="985">
        <v>23417325</v>
      </c>
      <c r="D155" s="986">
        <v>70.977000000000004</v>
      </c>
    </row>
    <row r="156" spans="1:4">
      <c r="A156" s="984" t="s">
        <v>2117</v>
      </c>
      <c r="B156" s="984" t="s">
        <v>3824</v>
      </c>
      <c r="C156" s="985">
        <v>316026923</v>
      </c>
      <c r="D156" s="986">
        <v>895.61700000000008</v>
      </c>
    </row>
    <row r="157" spans="1:4">
      <c r="A157" s="984" t="s">
        <v>3089</v>
      </c>
      <c r="B157" s="984" t="s">
        <v>338</v>
      </c>
      <c r="C157" s="985">
        <v>90843233</v>
      </c>
      <c r="D157" s="986">
        <v>435.351</v>
      </c>
    </row>
    <row r="158" spans="1:4">
      <c r="A158" s="984" t="s">
        <v>2119</v>
      </c>
      <c r="B158" s="984" t="s">
        <v>3825</v>
      </c>
      <c r="C158" s="985">
        <v>48481042</v>
      </c>
      <c r="D158" s="986">
        <v>170.762</v>
      </c>
    </row>
    <row r="159" spans="1:4">
      <c r="A159" s="984" t="s">
        <v>2121</v>
      </c>
      <c r="B159" s="984" t="s">
        <v>2855</v>
      </c>
      <c r="C159" s="985">
        <v>86363064</v>
      </c>
      <c r="D159" s="986">
        <v>98.462000000000003</v>
      </c>
    </row>
    <row r="160" spans="1:4">
      <c r="A160" s="984" t="s">
        <v>2123</v>
      </c>
      <c r="B160" s="984" t="s">
        <v>2856</v>
      </c>
      <c r="C160" s="985">
        <v>67591780</v>
      </c>
      <c r="D160" s="986">
        <v>417.46</v>
      </c>
    </row>
    <row r="161" spans="1:4">
      <c r="A161" s="984" t="s">
        <v>3130</v>
      </c>
      <c r="B161" s="984" t="s">
        <v>4726</v>
      </c>
      <c r="C161" s="985">
        <v>863012124</v>
      </c>
      <c r="D161" s="986">
        <v>264.49400000000003</v>
      </c>
    </row>
    <row r="162" spans="1:4">
      <c r="A162" s="984" t="s">
        <v>3132</v>
      </c>
      <c r="B162" s="984" t="s">
        <v>2858</v>
      </c>
      <c r="C162" s="985">
        <v>94916567</v>
      </c>
      <c r="D162" s="986">
        <v>286.303</v>
      </c>
    </row>
    <row r="163" spans="1:4">
      <c r="A163" s="984" t="s">
        <v>1322</v>
      </c>
      <c r="B163" s="984" t="s">
        <v>2859</v>
      </c>
      <c r="C163" s="985">
        <v>288052704</v>
      </c>
      <c r="D163" s="986">
        <v>225.63900000000001</v>
      </c>
    </row>
    <row r="164" spans="1:4">
      <c r="A164" s="984" t="s">
        <v>742</v>
      </c>
      <c r="B164" s="984" t="s">
        <v>6118</v>
      </c>
      <c r="C164" s="985">
        <v>110534471</v>
      </c>
      <c r="D164" s="986">
        <v>836.36400000000003</v>
      </c>
    </row>
    <row r="165" spans="1:4">
      <c r="A165" s="984" t="s">
        <v>440</v>
      </c>
      <c r="B165" s="984" t="s">
        <v>1457</v>
      </c>
      <c r="C165" s="985">
        <v>58957464</v>
      </c>
      <c r="D165" s="986">
        <v>255.16499999999999</v>
      </c>
    </row>
    <row r="166" spans="1:4">
      <c r="A166" s="984" t="s">
        <v>1324</v>
      </c>
      <c r="B166" s="984" t="s">
        <v>4732</v>
      </c>
      <c r="C166" s="985">
        <v>119633366</v>
      </c>
      <c r="D166" s="986">
        <v>152.93200000000002</v>
      </c>
    </row>
    <row r="167" spans="1:4">
      <c r="A167" s="984" t="s">
        <v>1326</v>
      </c>
      <c r="B167" s="984" t="s">
        <v>2861</v>
      </c>
      <c r="C167" s="985">
        <v>44610586</v>
      </c>
      <c r="D167" s="986">
        <v>79.293000000000006</v>
      </c>
    </row>
    <row r="168" spans="1:4">
      <c r="A168" s="984" t="s">
        <v>818</v>
      </c>
      <c r="B168" s="984" t="s">
        <v>7677</v>
      </c>
      <c r="C168" s="985">
        <v>7254839590</v>
      </c>
      <c r="D168" s="986">
        <v>18142.690999999999</v>
      </c>
    </row>
    <row r="169" spans="1:4">
      <c r="A169" s="984" t="s">
        <v>266</v>
      </c>
      <c r="B169" s="984" t="s">
        <v>7683</v>
      </c>
      <c r="C169" s="985">
        <v>504279072</v>
      </c>
      <c r="D169" s="986">
        <v>2168.8020000000001</v>
      </c>
    </row>
    <row r="170" spans="1:4">
      <c r="A170" s="984" t="s">
        <v>441</v>
      </c>
      <c r="B170" s="984" t="s">
        <v>6104</v>
      </c>
      <c r="C170" s="985">
        <v>638243646</v>
      </c>
      <c r="D170" s="986">
        <v>1873.14</v>
      </c>
    </row>
    <row r="171" spans="1:4">
      <c r="A171" s="984" t="s">
        <v>1526</v>
      </c>
      <c r="B171" s="984" t="s">
        <v>110</v>
      </c>
      <c r="C171" s="985">
        <v>326559604</v>
      </c>
      <c r="D171" s="986">
        <v>1389.1780000000001</v>
      </c>
    </row>
    <row r="172" spans="1:4">
      <c r="A172" s="984" t="s">
        <v>1312</v>
      </c>
      <c r="B172" s="984" t="s">
        <v>117</v>
      </c>
      <c r="C172" s="985">
        <v>15822439986</v>
      </c>
      <c r="D172" s="986">
        <v>35891.614999999998</v>
      </c>
    </row>
    <row r="173" spans="1:4">
      <c r="A173" s="984" t="s">
        <v>6168</v>
      </c>
      <c r="B173" s="984" t="s">
        <v>6076</v>
      </c>
      <c r="C173" s="985">
        <v>8874739236</v>
      </c>
      <c r="D173" s="986">
        <v>23086.859</v>
      </c>
    </row>
    <row r="174" spans="1:4">
      <c r="A174" s="984" t="s">
        <v>5913</v>
      </c>
      <c r="B174" s="984" t="s">
        <v>2862</v>
      </c>
      <c r="C174" s="985">
        <v>417622955</v>
      </c>
      <c r="D174" s="986">
        <v>1376.16</v>
      </c>
    </row>
    <row r="175" spans="1:4">
      <c r="A175" s="984" t="s">
        <v>3546</v>
      </c>
      <c r="B175" s="984" t="s">
        <v>2863</v>
      </c>
      <c r="C175" s="985">
        <v>32920118828</v>
      </c>
      <c r="D175" s="986">
        <v>52412.735999999997</v>
      </c>
    </row>
    <row r="176" spans="1:4">
      <c r="A176" s="984" t="s">
        <v>5132</v>
      </c>
      <c r="B176" s="984" t="s">
        <v>352</v>
      </c>
      <c r="C176" s="985">
        <v>500227368</v>
      </c>
      <c r="D176" s="986">
        <v>2951.3270000000002</v>
      </c>
    </row>
    <row r="177" spans="1:4">
      <c r="A177" s="984" t="s">
        <v>649</v>
      </c>
      <c r="B177" s="984" t="s">
        <v>354</v>
      </c>
      <c r="C177" s="985">
        <v>1757872883</v>
      </c>
      <c r="D177" s="986">
        <v>4114.9840000000004</v>
      </c>
    </row>
    <row r="178" spans="1:4">
      <c r="A178" s="984" t="s">
        <v>861</v>
      </c>
      <c r="B178" s="984" t="s">
        <v>2008</v>
      </c>
      <c r="C178" s="985">
        <v>3152341542</v>
      </c>
      <c r="D178" s="986">
        <v>11929.739</v>
      </c>
    </row>
    <row r="179" spans="1:4">
      <c r="A179" s="984" t="s">
        <v>956</v>
      </c>
      <c r="B179" s="984" t="s">
        <v>7661</v>
      </c>
      <c r="C179" s="985">
        <v>122029736</v>
      </c>
      <c r="D179" s="986">
        <v>597.17600000000004</v>
      </c>
    </row>
    <row r="180" spans="1:4">
      <c r="A180" s="984" t="s">
        <v>236</v>
      </c>
      <c r="B180" s="984" t="s">
        <v>2643</v>
      </c>
      <c r="C180" s="985">
        <v>457424550</v>
      </c>
      <c r="D180" s="986">
        <v>1527.9660000000001</v>
      </c>
    </row>
    <row r="181" spans="1:4">
      <c r="A181" s="984" t="s">
        <v>3548</v>
      </c>
      <c r="B181" s="984" t="s">
        <v>2864</v>
      </c>
      <c r="C181" s="985">
        <v>1484600020</v>
      </c>
      <c r="D181" s="986">
        <v>3276.2930000000001</v>
      </c>
    </row>
    <row r="182" spans="1:4">
      <c r="A182" s="984" t="s">
        <v>3550</v>
      </c>
      <c r="B182" s="984" t="s">
        <v>2865</v>
      </c>
      <c r="C182" s="985">
        <v>90723078</v>
      </c>
      <c r="D182" s="986">
        <v>498.65800000000002</v>
      </c>
    </row>
    <row r="183" spans="1:4">
      <c r="A183" s="984" t="s">
        <v>206</v>
      </c>
      <c r="B183" s="984" t="s">
        <v>2866</v>
      </c>
      <c r="C183" s="985">
        <v>36665927</v>
      </c>
      <c r="D183" s="986">
        <v>56.378</v>
      </c>
    </row>
    <row r="184" spans="1:4">
      <c r="A184" s="984" t="s">
        <v>234</v>
      </c>
      <c r="B184" s="984" t="s">
        <v>2641</v>
      </c>
      <c r="C184" s="985">
        <v>768046803</v>
      </c>
      <c r="D184" s="986">
        <v>1456.2860000000001</v>
      </c>
    </row>
    <row r="185" spans="1:4">
      <c r="A185" s="984" t="s">
        <v>208</v>
      </c>
      <c r="B185" s="984" t="s">
        <v>4752</v>
      </c>
      <c r="C185" s="985">
        <v>566003540</v>
      </c>
      <c r="D185" s="986">
        <v>1201.558</v>
      </c>
    </row>
    <row r="186" spans="1:4">
      <c r="A186" s="984" t="s">
        <v>210</v>
      </c>
      <c r="B186" s="984" t="s">
        <v>2868</v>
      </c>
      <c r="C186" s="985">
        <v>259809821</v>
      </c>
      <c r="D186" s="986">
        <v>522.33100000000002</v>
      </c>
    </row>
    <row r="187" spans="1:4">
      <c r="A187" s="984" t="s">
        <v>212</v>
      </c>
      <c r="B187" s="984" t="s">
        <v>2869</v>
      </c>
      <c r="C187" s="985">
        <v>2927578726</v>
      </c>
      <c r="D187" s="986">
        <v>7429.7</v>
      </c>
    </row>
    <row r="188" spans="1:4">
      <c r="A188" s="984" t="s">
        <v>214</v>
      </c>
      <c r="B188" s="984" t="s">
        <v>2870</v>
      </c>
      <c r="C188" s="985">
        <v>10280086341</v>
      </c>
      <c r="D188" s="986">
        <v>16262.547</v>
      </c>
    </row>
    <row r="189" spans="1:4">
      <c r="A189" s="984" t="s">
        <v>2714</v>
      </c>
      <c r="B189" s="984" t="s">
        <v>2871</v>
      </c>
      <c r="C189" s="985">
        <v>267298487</v>
      </c>
      <c r="D189" s="986">
        <v>1125.2139999999999</v>
      </c>
    </row>
    <row r="190" spans="1:4">
      <c r="A190" s="984" t="s">
        <v>250</v>
      </c>
      <c r="B190" s="984" t="s">
        <v>995</v>
      </c>
      <c r="C190" s="985">
        <v>156172194</v>
      </c>
      <c r="D190" s="986">
        <v>652.68799999999999</v>
      </c>
    </row>
    <row r="191" spans="1:4">
      <c r="A191" s="984" t="s">
        <v>2162</v>
      </c>
      <c r="B191" s="984" t="s">
        <v>3915</v>
      </c>
      <c r="C191" s="985">
        <v>42400358</v>
      </c>
      <c r="D191" s="986">
        <v>207.21900000000002</v>
      </c>
    </row>
    <row r="192" spans="1:4">
      <c r="A192" s="984" t="s">
        <v>2716</v>
      </c>
      <c r="B192" s="984" t="s">
        <v>2872</v>
      </c>
      <c r="C192" s="985">
        <v>21017029</v>
      </c>
      <c r="D192" s="986">
        <v>107.75800000000001</v>
      </c>
    </row>
    <row r="193" spans="1:4">
      <c r="A193" s="984" t="s">
        <v>2718</v>
      </c>
      <c r="B193" s="984" t="s">
        <v>4761</v>
      </c>
      <c r="C193" s="985">
        <v>141091807</v>
      </c>
      <c r="D193" s="986">
        <v>243.51499999999999</v>
      </c>
    </row>
    <row r="194" spans="1:4">
      <c r="A194" s="984" t="s">
        <v>2720</v>
      </c>
      <c r="B194" s="984" t="s">
        <v>2874</v>
      </c>
      <c r="C194" s="985">
        <v>66082791</v>
      </c>
      <c r="D194" s="986">
        <v>131.64600000000002</v>
      </c>
    </row>
    <row r="195" spans="1:4">
      <c r="A195" s="984" t="s">
        <v>1314</v>
      </c>
      <c r="B195" s="984" t="s">
        <v>119</v>
      </c>
      <c r="C195" s="985">
        <v>879564518</v>
      </c>
      <c r="D195" s="986">
        <v>2526.5340000000001</v>
      </c>
    </row>
    <row r="196" spans="1:4">
      <c r="A196" s="984" t="s">
        <v>2722</v>
      </c>
      <c r="B196" s="984" t="s">
        <v>2875</v>
      </c>
      <c r="C196" s="985">
        <v>307905184</v>
      </c>
      <c r="D196" s="986">
        <v>437.25100000000003</v>
      </c>
    </row>
    <row r="197" spans="1:4">
      <c r="A197" s="984" t="s">
        <v>442</v>
      </c>
      <c r="B197" s="984" t="s">
        <v>5372</v>
      </c>
      <c r="C197" s="985">
        <v>220921924</v>
      </c>
      <c r="D197" s="986">
        <v>613.048</v>
      </c>
    </row>
    <row r="198" spans="1:4">
      <c r="A198" s="984" t="s">
        <v>2724</v>
      </c>
      <c r="B198" s="984" t="s">
        <v>2876</v>
      </c>
      <c r="C198" s="985">
        <v>544494225</v>
      </c>
      <c r="D198" s="986">
        <v>1105.7619999999999</v>
      </c>
    </row>
    <row r="199" spans="1:4">
      <c r="A199" s="984" t="s">
        <v>5321</v>
      </c>
      <c r="B199" s="984" t="s">
        <v>2877</v>
      </c>
      <c r="C199" s="985">
        <v>107757047</v>
      </c>
      <c r="D199" s="986">
        <v>411.70800000000003</v>
      </c>
    </row>
    <row r="200" spans="1:4">
      <c r="A200" s="984" t="s">
        <v>5323</v>
      </c>
      <c r="B200" s="984" t="s">
        <v>2878</v>
      </c>
      <c r="C200" s="985">
        <v>227323216</v>
      </c>
      <c r="D200" s="986">
        <v>526.71600000000001</v>
      </c>
    </row>
    <row r="201" spans="1:4">
      <c r="A201" s="984" t="s">
        <v>5325</v>
      </c>
      <c r="B201" s="984" t="s">
        <v>2879</v>
      </c>
      <c r="C201" s="985">
        <v>24396297</v>
      </c>
      <c r="D201" s="986">
        <v>59.711000000000006</v>
      </c>
    </row>
    <row r="202" spans="1:4">
      <c r="A202" s="984" t="s">
        <v>5327</v>
      </c>
      <c r="B202" s="984" t="s">
        <v>2880</v>
      </c>
      <c r="C202" s="985">
        <v>112477840</v>
      </c>
      <c r="D202" s="986">
        <v>60.113</v>
      </c>
    </row>
    <row r="203" spans="1:4">
      <c r="A203" s="984" t="s">
        <v>5329</v>
      </c>
      <c r="B203" s="984" t="s">
        <v>2881</v>
      </c>
      <c r="C203" s="985">
        <v>77124971</v>
      </c>
      <c r="D203" s="986">
        <v>217.14500000000001</v>
      </c>
    </row>
    <row r="204" spans="1:4">
      <c r="A204" s="984" t="s">
        <v>5331</v>
      </c>
      <c r="B204" s="984" t="s">
        <v>2882</v>
      </c>
      <c r="C204" s="985">
        <v>563129594</v>
      </c>
      <c r="D204" s="986">
        <v>2698.18</v>
      </c>
    </row>
    <row r="205" spans="1:4">
      <c r="A205" s="984" t="s">
        <v>585</v>
      </c>
      <c r="B205" s="984" t="s">
        <v>3833</v>
      </c>
      <c r="C205" s="985">
        <v>33859848</v>
      </c>
      <c r="D205" s="986">
        <v>145.46</v>
      </c>
    </row>
    <row r="206" spans="1:4">
      <c r="A206" s="984" t="s">
        <v>5333</v>
      </c>
      <c r="B206" s="984" t="s">
        <v>2883</v>
      </c>
      <c r="C206" s="985">
        <v>57594148</v>
      </c>
      <c r="D206" s="986">
        <v>129.447</v>
      </c>
    </row>
    <row r="207" spans="1:4">
      <c r="A207" s="984" t="s">
        <v>239</v>
      </c>
      <c r="B207" s="984" t="s">
        <v>2647</v>
      </c>
      <c r="C207" s="985">
        <v>1194704790</v>
      </c>
      <c r="D207" s="986">
        <v>7387.7450000000008</v>
      </c>
    </row>
    <row r="208" spans="1:4">
      <c r="A208" s="984" t="s">
        <v>5335</v>
      </c>
      <c r="B208" s="984" t="s">
        <v>2884</v>
      </c>
      <c r="C208" s="985">
        <v>137156762</v>
      </c>
      <c r="D208" s="986">
        <v>217.73400000000001</v>
      </c>
    </row>
    <row r="209" spans="1:4">
      <c r="A209" s="984" t="s">
        <v>2450</v>
      </c>
      <c r="B209" s="984" t="s">
        <v>2885</v>
      </c>
      <c r="C209" s="985">
        <v>2199073240</v>
      </c>
      <c r="D209" s="986">
        <v>903.49700000000007</v>
      </c>
    </row>
    <row r="210" spans="1:4">
      <c r="A210" s="984" t="s">
        <v>5685</v>
      </c>
      <c r="B210" s="984" t="s">
        <v>4779</v>
      </c>
      <c r="C210" s="985">
        <v>2273801990</v>
      </c>
      <c r="D210" s="986">
        <v>692.58300000000008</v>
      </c>
    </row>
    <row r="211" spans="1:4">
      <c r="A211" s="984" t="s">
        <v>2454</v>
      </c>
      <c r="B211" s="984" t="s">
        <v>4781</v>
      </c>
      <c r="C211" s="985">
        <v>85141840</v>
      </c>
      <c r="D211" s="986">
        <v>377.529</v>
      </c>
    </row>
    <row r="212" spans="1:4">
      <c r="A212" s="984" t="s">
        <v>2456</v>
      </c>
      <c r="B212" s="984" t="s">
        <v>2888</v>
      </c>
      <c r="C212" s="985">
        <v>139730183</v>
      </c>
      <c r="D212" s="986">
        <v>284.637</v>
      </c>
    </row>
    <row r="213" spans="1:4">
      <c r="A213" s="984" t="s">
        <v>2458</v>
      </c>
      <c r="B213" s="984" t="s">
        <v>2889</v>
      </c>
      <c r="C213" s="985">
        <v>112812144</v>
      </c>
      <c r="D213" s="986">
        <v>498.58</v>
      </c>
    </row>
    <row r="214" spans="1:4">
      <c r="A214" s="984" t="s">
        <v>2460</v>
      </c>
      <c r="B214" s="984" t="s">
        <v>2890</v>
      </c>
      <c r="C214" s="985">
        <v>298399313</v>
      </c>
      <c r="D214" s="986">
        <v>413.06200000000001</v>
      </c>
    </row>
    <row r="215" spans="1:4">
      <c r="A215" s="984" t="s">
        <v>2462</v>
      </c>
      <c r="B215" s="984" t="s">
        <v>2891</v>
      </c>
      <c r="C215" s="985">
        <v>573768612</v>
      </c>
      <c r="D215" s="986">
        <v>1527.739</v>
      </c>
    </row>
    <row r="216" spans="1:4">
      <c r="A216" s="984" t="s">
        <v>2464</v>
      </c>
      <c r="B216" s="984" t="s">
        <v>2892</v>
      </c>
      <c r="C216" s="985">
        <v>90195616</v>
      </c>
      <c r="D216" s="986">
        <v>158.52600000000001</v>
      </c>
    </row>
    <row r="217" spans="1:4">
      <c r="A217" s="984" t="s">
        <v>2104</v>
      </c>
      <c r="B217" s="984" t="s">
        <v>2893</v>
      </c>
      <c r="C217" s="985">
        <v>13047986849</v>
      </c>
      <c r="D217" s="986">
        <v>24456.707999999999</v>
      </c>
    </row>
    <row r="218" spans="1:4">
      <c r="A218" s="984" t="s">
        <v>2106</v>
      </c>
      <c r="B218" s="984" t="s">
        <v>2894</v>
      </c>
      <c r="C218" s="985">
        <v>2578056853</v>
      </c>
      <c r="D218" s="986">
        <v>7697.5340000000006</v>
      </c>
    </row>
    <row r="219" spans="1:4">
      <c r="A219" s="984" t="s">
        <v>2108</v>
      </c>
      <c r="B219" s="984" t="s">
        <v>2895</v>
      </c>
      <c r="C219" s="985">
        <v>75227203776</v>
      </c>
      <c r="D219" s="986">
        <v>141899.5</v>
      </c>
    </row>
    <row r="220" spans="1:4">
      <c r="A220" s="984" t="s">
        <v>2110</v>
      </c>
      <c r="B220" s="984" t="s">
        <v>2896</v>
      </c>
      <c r="C220" s="985">
        <v>2085200182</v>
      </c>
      <c r="D220" s="986">
        <v>8572.0439999999999</v>
      </c>
    </row>
    <row r="221" spans="1:4">
      <c r="A221" s="984" t="s">
        <v>2112</v>
      </c>
      <c r="B221" s="984" t="s">
        <v>2897</v>
      </c>
      <c r="C221" s="985">
        <v>3187029187</v>
      </c>
      <c r="D221" s="986">
        <v>12058.324000000001</v>
      </c>
    </row>
    <row r="222" spans="1:4">
      <c r="A222" s="984" t="s">
        <v>1317</v>
      </c>
      <c r="B222" s="984" t="s">
        <v>122</v>
      </c>
      <c r="C222" s="985">
        <v>13283690318</v>
      </c>
      <c r="D222" s="986">
        <v>54375.42</v>
      </c>
    </row>
    <row r="223" spans="1:4">
      <c r="A223" s="984" t="s">
        <v>587</v>
      </c>
      <c r="B223" s="984" t="s">
        <v>4966</v>
      </c>
      <c r="C223" s="985">
        <v>4640991983</v>
      </c>
      <c r="D223" s="986">
        <v>24581.309000000001</v>
      </c>
    </row>
    <row r="224" spans="1:4">
      <c r="A224" s="984" t="s">
        <v>4569</v>
      </c>
      <c r="B224" s="984" t="s">
        <v>2898</v>
      </c>
      <c r="C224" s="985">
        <v>11958653298</v>
      </c>
      <c r="D224" s="986">
        <v>6454.174</v>
      </c>
    </row>
    <row r="225" spans="1:4">
      <c r="A225" s="984" t="s">
        <v>6021</v>
      </c>
      <c r="B225" s="984" t="s">
        <v>3860</v>
      </c>
      <c r="C225" s="985">
        <v>8675256140</v>
      </c>
      <c r="D225" s="986">
        <v>31489.464</v>
      </c>
    </row>
    <row r="226" spans="1:4">
      <c r="A226" s="984" t="s">
        <v>4571</v>
      </c>
      <c r="B226" s="984" t="s">
        <v>2899</v>
      </c>
      <c r="C226" s="985">
        <v>1497922549</v>
      </c>
      <c r="D226" s="986">
        <v>5745.8140000000003</v>
      </c>
    </row>
    <row r="227" spans="1:4">
      <c r="A227" s="984" t="s">
        <v>6171</v>
      </c>
      <c r="B227" s="984" t="s">
        <v>496</v>
      </c>
      <c r="C227" s="985">
        <v>5989665004</v>
      </c>
      <c r="D227" s="986">
        <v>35907.947999999997</v>
      </c>
    </row>
    <row r="228" spans="1:4">
      <c r="A228" s="984" t="s">
        <v>4573</v>
      </c>
      <c r="B228" s="984" t="s">
        <v>2900</v>
      </c>
      <c r="C228" s="985">
        <v>16156805401</v>
      </c>
      <c r="D228" s="986">
        <v>33667.983999999997</v>
      </c>
    </row>
    <row r="229" spans="1:4">
      <c r="A229" s="984" t="s">
        <v>4575</v>
      </c>
      <c r="B229" s="984" t="s">
        <v>2901</v>
      </c>
      <c r="C229" s="985">
        <v>783059151</v>
      </c>
      <c r="D229" s="986">
        <v>1106.0540000000001</v>
      </c>
    </row>
    <row r="230" spans="1:4">
      <c r="A230" s="984" t="s">
        <v>4579</v>
      </c>
      <c r="B230" s="984" t="s">
        <v>2676</v>
      </c>
      <c r="C230" s="985">
        <v>7143333514</v>
      </c>
      <c r="D230" s="986">
        <v>9814.9490000000005</v>
      </c>
    </row>
    <row r="231" spans="1:4">
      <c r="A231" s="984" t="s">
        <v>4581</v>
      </c>
      <c r="B231" s="984" t="s">
        <v>993</v>
      </c>
      <c r="C231" s="985">
        <v>275056149</v>
      </c>
      <c r="D231" s="986">
        <v>141.44999999999999</v>
      </c>
    </row>
    <row r="232" spans="1:4">
      <c r="A232" s="984" t="s">
        <v>4582</v>
      </c>
      <c r="B232" s="984" t="s">
        <v>2677</v>
      </c>
      <c r="C232" s="985">
        <v>612368507</v>
      </c>
      <c r="D232" s="986">
        <v>218.566</v>
      </c>
    </row>
    <row r="233" spans="1:4">
      <c r="A233" s="984" t="s">
        <v>4584</v>
      </c>
      <c r="B233" s="984" t="s">
        <v>2678</v>
      </c>
      <c r="C233" s="985">
        <v>424257514</v>
      </c>
      <c r="D233" s="986">
        <v>1722.0260000000001</v>
      </c>
    </row>
    <row r="234" spans="1:4">
      <c r="A234" s="984" t="s">
        <v>4586</v>
      </c>
      <c r="B234" s="984" t="s">
        <v>2679</v>
      </c>
      <c r="C234" s="985">
        <v>405486846</v>
      </c>
      <c r="D234" s="986">
        <v>217.89500000000001</v>
      </c>
    </row>
    <row r="235" spans="1:4">
      <c r="A235" s="984" t="s">
        <v>1865</v>
      </c>
      <c r="B235" s="984" t="s">
        <v>3843</v>
      </c>
      <c r="C235" s="985">
        <v>971179110</v>
      </c>
      <c r="D235" s="986">
        <v>3934.7780000000002</v>
      </c>
    </row>
    <row r="236" spans="1:4">
      <c r="A236" s="984" t="s">
        <v>5018</v>
      </c>
      <c r="B236" s="984" t="s">
        <v>2680</v>
      </c>
      <c r="C236" s="985">
        <v>44078262</v>
      </c>
      <c r="D236" s="986">
        <v>119.19900000000001</v>
      </c>
    </row>
    <row r="237" spans="1:4">
      <c r="A237" s="984" t="s">
        <v>5020</v>
      </c>
      <c r="B237" s="984" t="s">
        <v>2681</v>
      </c>
      <c r="C237" s="985">
        <v>149699257</v>
      </c>
      <c r="D237" s="986">
        <v>758.83199999999999</v>
      </c>
    </row>
    <row r="238" spans="1:4">
      <c r="A238" s="984" t="s">
        <v>589</v>
      </c>
      <c r="B238" s="984" t="s">
        <v>109</v>
      </c>
      <c r="C238" s="985">
        <v>54318853</v>
      </c>
      <c r="D238" s="986">
        <v>168.232</v>
      </c>
    </row>
    <row r="239" spans="1:4">
      <c r="A239" s="984" t="s">
        <v>5022</v>
      </c>
      <c r="B239" s="984" t="s">
        <v>2682</v>
      </c>
      <c r="C239" s="985">
        <v>9326322854</v>
      </c>
      <c r="D239" s="986">
        <v>22435.688000000002</v>
      </c>
    </row>
    <row r="240" spans="1:4">
      <c r="A240" s="984" t="s">
        <v>2989</v>
      </c>
      <c r="B240" s="984" t="s">
        <v>190</v>
      </c>
      <c r="C240" s="985">
        <v>22500390406</v>
      </c>
      <c r="D240" s="986">
        <v>48876.518000000004</v>
      </c>
    </row>
    <row r="241" spans="1:4">
      <c r="A241" s="984" t="s">
        <v>5126</v>
      </c>
      <c r="B241" s="984" t="s">
        <v>341</v>
      </c>
      <c r="C241" s="985">
        <v>486486591</v>
      </c>
      <c r="D241" s="986">
        <v>1451.4660000000001</v>
      </c>
    </row>
    <row r="242" spans="1:4">
      <c r="A242" s="984" t="s">
        <v>3090</v>
      </c>
      <c r="B242" s="984" t="s">
        <v>5640</v>
      </c>
      <c r="C242" s="985">
        <v>741708482</v>
      </c>
      <c r="D242" s="986">
        <v>1607.4270000000001</v>
      </c>
    </row>
    <row r="243" spans="1:4">
      <c r="A243" s="984" t="s">
        <v>5128</v>
      </c>
      <c r="B243" s="984" t="s">
        <v>343</v>
      </c>
      <c r="C243" s="985">
        <v>915267033</v>
      </c>
      <c r="D243" s="986">
        <v>1157.23</v>
      </c>
    </row>
    <row r="244" spans="1:4">
      <c r="A244" s="984" t="s">
        <v>270</v>
      </c>
      <c r="B244" s="984" t="s">
        <v>7690</v>
      </c>
      <c r="C244" s="985">
        <v>539782504</v>
      </c>
      <c r="D244" s="986">
        <v>1784.1390000000001</v>
      </c>
    </row>
    <row r="245" spans="1:4">
      <c r="A245" s="984" t="s">
        <v>2391</v>
      </c>
      <c r="B245" s="984" t="s">
        <v>1456</v>
      </c>
      <c r="C245" s="985">
        <v>701189321</v>
      </c>
      <c r="D245" s="986">
        <v>2438.5140000000001</v>
      </c>
    </row>
    <row r="246" spans="1:4">
      <c r="A246" s="984" t="s">
        <v>2746</v>
      </c>
      <c r="B246" s="984" t="s">
        <v>2683</v>
      </c>
      <c r="C246" s="985">
        <v>1032239121</v>
      </c>
      <c r="D246" s="986">
        <v>1737.1780000000001</v>
      </c>
    </row>
    <row r="247" spans="1:4">
      <c r="A247" s="984" t="s">
        <v>6186</v>
      </c>
      <c r="B247" s="984" t="s">
        <v>3831</v>
      </c>
      <c r="C247" s="985">
        <v>10239291005</v>
      </c>
      <c r="D247" s="986">
        <v>14588.584000000001</v>
      </c>
    </row>
    <row r="248" spans="1:4">
      <c r="A248" s="984" t="s">
        <v>6041</v>
      </c>
      <c r="B248" s="984" t="s">
        <v>185</v>
      </c>
      <c r="C248" s="985">
        <v>1204264598</v>
      </c>
      <c r="D248" s="986">
        <v>3876.8590000000004</v>
      </c>
    </row>
    <row r="249" spans="1:4">
      <c r="A249" s="984" t="s">
        <v>591</v>
      </c>
      <c r="B249" s="984" t="s">
        <v>194</v>
      </c>
      <c r="C249" s="985">
        <v>1639746886</v>
      </c>
      <c r="D249" s="986">
        <v>5852.2650000000003</v>
      </c>
    </row>
    <row r="250" spans="1:4">
      <c r="A250" s="984" t="s">
        <v>443</v>
      </c>
      <c r="B250" s="984" t="s">
        <v>990</v>
      </c>
      <c r="C250" s="985">
        <v>421703800</v>
      </c>
      <c r="D250" s="986">
        <v>1736.5890000000002</v>
      </c>
    </row>
    <row r="251" spans="1:4">
      <c r="A251" s="984" t="s">
        <v>2748</v>
      </c>
      <c r="B251" s="984" t="s">
        <v>2684</v>
      </c>
      <c r="C251" s="985">
        <v>123185919</v>
      </c>
      <c r="D251" s="986">
        <v>98.716999999999999</v>
      </c>
    </row>
    <row r="252" spans="1:4">
      <c r="A252" s="984" t="s">
        <v>862</v>
      </c>
      <c r="B252" s="984" t="s">
        <v>2009</v>
      </c>
      <c r="C252" s="985">
        <v>360671933</v>
      </c>
      <c r="D252" s="986">
        <v>1474.337</v>
      </c>
    </row>
    <row r="253" spans="1:4">
      <c r="A253" s="984" t="s">
        <v>2750</v>
      </c>
      <c r="B253" s="984" t="s">
        <v>2685</v>
      </c>
      <c r="C253" s="985">
        <v>140831611</v>
      </c>
      <c r="D253" s="986">
        <v>509.54</v>
      </c>
    </row>
    <row r="254" spans="1:4">
      <c r="A254" s="984" t="s">
        <v>3899</v>
      </c>
      <c r="B254" s="984" t="s">
        <v>2686</v>
      </c>
      <c r="C254" s="985">
        <v>27637653</v>
      </c>
      <c r="D254" s="986">
        <v>39.484000000000002</v>
      </c>
    </row>
    <row r="255" spans="1:4">
      <c r="A255" s="984" t="s">
        <v>3604</v>
      </c>
      <c r="B255" s="984" t="s">
        <v>2687</v>
      </c>
      <c r="C255" s="985">
        <v>63551701</v>
      </c>
      <c r="D255" s="986">
        <v>151.46700000000001</v>
      </c>
    </row>
    <row r="256" spans="1:4">
      <c r="A256" s="984" t="s">
        <v>3166</v>
      </c>
      <c r="B256" s="984" t="s">
        <v>2688</v>
      </c>
      <c r="C256" s="985">
        <v>272843406</v>
      </c>
      <c r="D256" s="986">
        <v>273.32900000000001</v>
      </c>
    </row>
    <row r="257" spans="1:4">
      <c r="A257" s="984" t="s">
        <v>3168</v>
      </c>
      <c r="B257" s="984" t="s">
        <v>2689</v>
      </c>
      <c r="C257" s="985">
        <v>26989968</v>
      </c>
      <c r="D257" s="986">
        <v>83.97</v>
      </c>
    </row>
    <row r="258" spans="1:4">
      <c r="A258" s="984" t="s">
        <v>3091</v>
      </c>
      <c r="B258" s="984" t="s">
        <v>1385</v>
      </c>
      <c r="C258" s="985">
        <v>465556260</v>
      </c>
      <c r="D258" s="986">
        <v>2138.8960000000002</v>
      </c>
    </row>
    <row r="259" spans="1:4">
      <c r="A259" s="984" t="s">
        <v>3171</v>
      </c>
      <c r="B259" s="984" t="s">
        <v>2690</v>
      </c>
      <c r="C259" s="985">
        <v>131368824</v>
      </c>
      <c r="D259" s="986">
        <v>471.89499999999998</v>
      </c>
    </row>
    <row r="260" spans="1:4">
      <c r="A260" s="984" t="s">
        <v>593</v>
      </c>
      <c r="B260" s="984" t="s">
        <v>3841</v>
      </c>
      <c r="C260" s="985">
        <v>40973495</v>
      </c>
      <c r="D260" s="986">
        <v>121.616</v>
      </c>
    </row>
    <row r="261" spans="1:4">
      <c r="A261" s="984" t="s">
        <v>5786</v>
      </c>
      <c r="B261" s="984" t="s">
        <v>2691</v>
      </c>
      <c r="C261" s="985">
        <v>26116869</v>
      </c>
      <c r="D261" s="986">
        <v>33.233000000000004</v>
      </c>
    </row>
    <row r="262" spans="1:4">
      <c r="A262" s="984" t="s">
        <v>3175</v>
      </c>
      <c r="B262" s="984" t="s">
        <v>2692</v>
      </c>
      <c r="C262" s="985">
        <v>285808500</v>
      </c>
      <c r="D262" s="986">
        <v>356.96899999999999</v>
      </c>
    </row>
    <row r="263" spans="1:4">
      <c r="A263" s="984" t="s">
        <v>3092</v>
      </c>
      <c r="B263" s="984" t="s">
        <v>381</v>
      </c>
      <c r="C263" s="985">
        <v>126960204</v>
      </c>
      <c r="D263" s="986">
        <v>1208.3599999999999</v>
      </c>
    </row>
    <row r="264" spans="1:4">
      <c r="A264" s="984" t="s">
        <v>673</v>
      </c>
      <c r="B264" s="984" t="s">
        <v>2693</v>
      </c>
      <c r="C264" s="985">
        <v>415316327</v>
      </c>
      <c r="D264" s="986">
        <v>769.32</v>
      </c>
    </row>
    <row r="265" spans="1:4">
      <c r="A265" s="984" t="s">
        <v>322</v>
      </c>
      <c r="B265" s="984" t="s">
        <v>325</v>
      </c>
      <c r="C265" s="985">
        <v>434787046</v>
      </c>
      <c r="D265" s="986">
        <v>773.86500000000001</v>
      </c>
    </row>
    <row r="266" spans="1:4">
      <c r="A266" s="984" t="s">
        <v>675</v>
      </c>
      <c r="B266" s="984" t="s">
        <v>7652</v>
      </c>
      <c r="C266" s="985">
        <v>358558340</v>
      </c>
      <c r="D266" s="986">
        <v>1058.8910000000001</v>
      </c>
    </row>
    <row r="267" spans="1:4">
      <c r="A267" s="984" t="s">
        <v>677</v>
      </c>
      <c r="B267" s="984" t="s">
        <v>1259</v>
      </c>
      <c r="C267" s="985">
        <v>54978419</v>
      </c>
      <c r="D267" s="986">
        <v>320.47700000000003</v>
      </c>
    </row>
    <row r="268" spans="1:4">
      <c r="A268" s="984" t="s">
        <v>679</v>
      </c>
      <c r="B268" s="984" t="s">
        <v>1260</v>
      </c>
      <c r="C268" s="985">
        <v>88396206</v>
      </c>
      <c r="D268" s="986">
        <v>437.10700000000003</v>
      </c>
    </row>
    <row r="269" spans="1:4">
      <c r="A269" s="984" t="s">
        <v>2960</v>
      </c>
      <c r="B269" s="984" t="s">
        <v>1261</v>
      </c>
      <c r="C269" s="985">
        <v>33614273</v>
      </c>
      <c r="D269" s="986">
        <v>199.893</v>
      </c>
    </row>
    <row r="270" spans="1:4">
      <c r="A270" s="984" t="s">
        <v>1994</v>
      </c>
      <c r="B270" s="984" t="s">
        <v>1262</v>
      </c>
      <c r="C270" s="985">
        <v>9988366477</v>
      </c>
      <c r="D270" s="986">
        <v>25546.435000000001</v>
      </c>
    </row>
    <row r="271" spans="1:4">
      <c r="A271" s="984" t="s">
        <v>2735</v>
      </c>
      <c r="B271" s="984" t="s">
        <v>1263</v>
      </c>
      <c r="C271" s="985">
        <v>283668881</v>
      </c>
      <c r="D271" s="986">
        <v>276.35399999999998</v>
      </c>
    </row>
    <row r="272" spans="1:4">
      <c r="A272" s="984" t="s">
        <v>2737</v>
      </c>
      <c r="B272" s="984" t="s">
        <v>1264</v>
      </c>
      <c r="C272" s="985">
        <v>213105404</v>
      </c>
      <c r="D272" s="986">
        <v>265.98700000000002</v>
      </c>
    </row>
    <row r="273" spans="1:4">
      <c r="A273" s="984" t="s">
        <v>1976</v>
      </c>
      <c r="B273" s="984" t="s">
        <v>7691</v>
      </c>
      <c r="C273" s="985">
        <v>33437778</v>
      </c>
      <c r="D273" s="986">
        <v>282.34700000000004</v>
      </c>
    </row>
    <row r="274" spans="1:4">
      <c r="A274" s="984" t="s">
        <v>3648</v>
      </c>
      <c r="B274" s="984" t="s">
        <v>1265</v>
      </c>
      <c r="C274" s="985">
        <v>1684130038</v>
      </c>
      <c r="D274" s="986">
        <v>5417.76</v>
      </c>
    </row>
    <row r="275" spans="1:4">
      <c r="A275" s="984" t="s">
        <v>3650</v>
      </c>
      <c r="B275" s="984" t="s">
        <v>1266</v>
      </c>
      <c r="C275" s="985">
        <v>313870860</v>
      </c>
      <c r="D275" s="986">
        <v>2253.8040000000001</v>
      </c>
    </row>
    <row r="276" spans="1:4">
      <c r="A276" s="984" t="s">
        <v>3093</v>
      </c>
      <c r="B276" s="984" t="s">
        <v>1906</v>
      </c>
      <c r="C276" s="985">
        <v>97441383</v>
      </c>
      <c r="D276" s="986">
        <v>565.149</v>
      </c>
    </row>
    <row r="277" spans="1:4">
      <c r="A277" s="984" t="s">
        <v>7734</v>
      </c>
      <c r="B277" s="984" t="s">
        <v>1267</v>
      </c>
      <c r="C277" s="985">
        <v>2729448277</v>
      </c>
      <c r="D277" s="986">
        <v>7192.9780000000001</v>
      </c>
    </row>
    <row r="278" spans="1:4">
      <c r="A278" s="984" t="s">
        <v>915</v>
      </c>
      <c r="B278" s="984" t="s">
        <v>1268</v>
      </c>
      <c r="C278" s="985">
        <v>65078658</v>
      </c>
      <c r="D278" s="986">
        <v>233.459</v>
      </c>
    </row>
    <row r="279" spans="1:4">
      <c r="A279" s="984" t="s">
        <v>1978</v>
      </c>
      <c r="B279" s="984" t="s">
        <v>3628</v>
      </c>
      <c r="C279" s="985">
        <v>214590193</v>
      </c>
      <c r="D279" s="986">
        <v>1041.6880000000001</v>
      </c>
    </row>
    <row r="280" spans="1:4">
      <c r="A280" s="984" t="s">
        <v>2767</v>
      </c>
      <c r="B280" s="984" t="s">
        <v>357</v>
      </c>
      <c r="C280" s="985">
        <v>1159415210</v>
      </c>
      <c r="D280" s="986">
        <v>5234.009</v>
      </c>
    </row>
    <row r="281" spans="1:4">
      <c r="A281" s="984" t="s">
        <v>3555</v>
      </c>
      <c r="B281" s="984" t="s">
        <v>4063</v>
      </c>
      <c r="C281" s="985">
        <v>2731854934</v>
      </c>
      <c r="D281" s="986">
        <v>6951.7850000000008</v>
      </c>
    </row>
    <row r="282" spans="1:4">
      <c r="A282" s="984" t="s">
        <v>3094</v>
      </c>
      <c r="B282" s="984" t="s">
        <v>6072</v>
      </c>
      <c r="C282" s="985">
        <v>258668048</v>
      </c>
      <c r="D282" s="986">
        <v>1005.697</v>
      </c>
    </row>
    <row r="283" spans="1:4">
      <c r="A283" s="984" t="s">
        <v>741</v>
      </c>
      <c r="B283" s="984" t="s">
        <v>6116</v>
      </c>
      <c r="C283" s="985">
        <v>937573371</v>
      </c>
      <c r="D283" s="986">
        <v>10806.951999999999</v>
      </c>
    </row>
    <row r="284" spans="1:4">
      <c r="A284" s="984" t="s">
        <v>4035</v>
      </c>
      <c r="B284" s="984" t="s">
        <v>1269</v>
      </c>
      <c r="C284" s="985">
        <v>14479896729</v>
      </c>
      <c r="D284" s="986">
        <v>59343.377999999997</v>
      </c>
    </row>
    <row r="285" spans="1:4">
      <c r="A285" s="984" t="s">
        <v>1524</v>
      </c>
      <c r="B285" s="984" t="s">
        <v>1930</v>
      </c>
      <c r="C285" s="985">
        <v>132658266</v>
      </c>
      <c r="D285" s="986">
        <v>2342.1820000000002</v>
      </c>
    </row>
    <row r="286" spans="1:4">
      <c r="A286" s="984" t="s">
        <v>2388</v>
      </c>
      <c r="B286" s="984" t="s">
        <v>382</v>
      </c>
      <c r="C286" s="985">
        <v>151539609</v>
      </c>
      <c r="D286" s="986">
        <v>3769.3980000000001</v>
      </c>
    </row>
    <row r="287" spans="1:4">
      <c r="A287" s="984" t="s">
        <v>863</v>
      </c>
      <c r="B287" s="984" t="s">
        <v>2010</v>
      </c>
      <c r="C287" s="985">
        <v>6560878861</v>
      </c>
      <c r="D287" s="986">
        <v>41347.548999999999</v>
      </c>
    </row>
    <row r="288" spans="1:4">
      <c r="A288" s="984" t="s">
        <v>268</v>
      </c>
      <c r="B288" s="984" t="s">
        <v>7349</v>
      </c>
      <c r="C288" s="985">
        <v>152895091</v>
      </c>
      <c r="D288" s="986">
        <v>772.76700000000005</v>
      </c>
    </row>
    <row r="289" spans="1:4">
      <c r="A289" s="984" t="s">
        <v>981</v>
      </c>
      <c r="B289" s="984" t="s">
        <v>6099</v>
      </c>
      <c r="C289" s="985">
        <v>1347225890</v>
      </c>
      <c r="D289" s="986">
        <v>5518.152</v>
      </c>
    </row>
    <row r="290" spans="1:4">
      <c r="A290" s="984" t="s">
        <v>2414</v>
      </c>
      <c r="B290" s="984" t="s">
        <v>5367</v>
      </c>
      <c r="C290" s="985">
        <v>52406145</v>
      </c>
      <c r="D290" s="986">
        <v>1247.431</v>
      </c>
    </row>
    <row r="291" spans="1:4">
      <c r="A291" s="984" t="s">
        <v>2401</v>
      </c>
      <c r="B291" s="984" t="s">
        <v>2345</v>
      </c>
      <c r="C291" s="985">
        <v>7039799874</v>
      </c>
      <c r="D291" s="986">
        <v>39603.855000000003</v>
      </c>
    </row>
    <row r="292" spans="1:4">
      <c r="A292" s="984" t="s">
        <v>4037</v>
      </c>
      <c r="B292" s="984" t="s">
        <v>1270</v>
      </c>
      <c r="C292" s="985">
        <v>43664760</v>
      </c>
      <c r="D292" s="986">
        <v>60.089000000000006</v>
      </c>
    </row>
    <row r="293" spans="1:4">
      <c r="A293" s="984" t="s">
        <v>2140</v>
      </c>
      <c r="B293" s="984" t="s">
        <v>1271</v>
      </c>
      <c r="C293" s="985">
        <v>257005187</v>
      </c>
      <c r="D293" s="986">
        <v>1152.7830000000001</v>
      </c>
    </row>
    <row r="294" spans="1:4">
      <c r="A294" s="984" t="s">
        <v>2408</v>
      </c>
      <c r="B294" s="984" t="s">
        <v>2355</v>
      </c>
      <c r="C294" s="985">
        <v>1241830087</v>
      </c>
      <c r="D294" s="986">
        <v>3386.6290000000004</v>
      </c>
    </row>
    <row r="295" spans="1:4">
      <c r="A295" s="984" t="s">
        <v>2700</v>
      </c>
      <c r="B295" s="984" t="s">
        <v>1272</v>
      </c>
      <c r="C295" s="985">
        <v>120450806</v>
      </c>
      <c r="D295" s="986">
        <v>90.472999999999999</v>
      </c>
    </row>
    <row r="296" spans="1:4">
      <c r="A296" s="984" t="s">
        <v>2702</v>
      </c>
      <c r="B296" s="984" t="s">
        <v>1273</v>
      </c>
      <c r="C296" s="985">
        <v>113952192</v>
      </c>
      <c r="D296" s="986">
        <v>186.25400000000002</v>
      </c>
    </row>
    <row r="297" spans="1:4">
      <c r="A297" s="984" t="s">
        <v>2828</v>
      </c>
      <c r="B297" s="984" t="s">
        <v>192</v>
      </c>
      <c r="C297" s="985">
        <v>100028030</v>
      </c>
      <c r="D297" s="986">
        <v>214.40200000000002</v>
      </c>
    </row>
    <row r="298" spans="1:4">
      <c r="A298" s="984" t="s">
        <v>2704</v>
      </c>
      <c r="B298" s="984" t="s">
        <v>1274</v>
      </c>
      <c r="C298" s="985">
        <v>74398513</v>
      </c>
      <c r="D298" s="986">
        <v>110.227</v>
      </c>
    </row>
    <row r="299" spans="1:4">
      <c r="A299" s="984" t="s">
        <v>2706</v>
      </c>
      <c r="B299" s="984" t="s">
        <v>7361</v>
      </c>
      <c r="C299" s="985">
        <v>49039137</v>
      </c>
      <c r="D299" s="986">
        <v>457.74400000000003</v>
      </c>
    </row>
    <row r="300" spans="1:4">
      <c r="A300" s="984" t="s">
        <v>6162</v>
      </c>
      <c r="B300" s="984" t="s">
        <v>6066</v>
      </c>
      <c r="C300" s="985">
        <v>188508356</v>
      </c>
      <c r="D300" s="986">
        <v>1001.8670000000001</v>
      </c>
    </row>
    <row r="301" spans="1:4">
      <c r="A301" s="984" t="s">
        <v>967</v>
      </c>
      <c r="B301" s="984" t="s">
        <v>4068</v>
      </c>
      <c r="C301" s="985">
        <v>14421148</v>
      </c>
      <c r="D301" s="986">
        <v>150.65700000000001</v>
      </c>
    </row>
    <row r="302" spans="1:4">
      <c r="A302" s="984" t="s">
        <v>2708</v>
      </c>
      <c r="B302" s="984" t="s">
        <v>1276</v>
      </c>
      <c r="C302" s="985">
        <v>128535098</v>
      </c>
      <c r="D302" s="986">
        <v>697.45100000000002</v>
      </c>
    </row>
    <row r="303" spans="1:4">
      <c r="A303" s="984" t="s">
        <v>2710</v>
      </c>
      <c r="B303" s="984" t="s">
        <v>1277</v>
      </c>
      <c r="C303" s="985">
        <v>539384588</v>
      </c>
      <c r="D303" s="986">
        <v>1755.0620000000001</v>
      </c>
    </row>
    <row r="304" spans="1:4">
      <c r="A304" s="984" t="s">
        <v>2830</v>
      </c>
      <c r="B304" s="984" t="s">
        <v>2282</v>
      </c>
      <c r="C304" s="985">
        <v>35617018</v>
      </c>
      <c r="D304" s="986">
        <v>298.214</v>
      </c>
    </row>
    <row r="305" spans="1:4">
      <c r="A305" s="984" t="s">
        <v>3095</v>
      </c>
      <c r="B305" s="984" t="s">
        <v>3014</v>
      </c>
      <c r="C305" s="985">
        <v>33086075</v>
      </c>
      <c r="D305" s="986">
        <v>254.042</v>
      </c>
    </row>
    <row r="306" spans="1:4">
      <c r="A306" s="984" t="s">
        <v>2712</v>
      </c>
      <c r="B306" s="984" t="s">
        <v>1278</v>
      </c>
      <c r="C306" s="985">
        <v>157982925</v>
      </c>
      <c r="D306" s="986">
        <v>561.28499999999997</v>
      </c>
    </row>
    <row r="307" spans="1:4">
      <c r="A307" s="984" t="s">
        <v>2424</v>
      </c>
      <c r="B307" s="984" t="s">
        <v>1279</v>
      </c>
      <c r="C307" s="985">
        <v>133428272</v>
      </c>
      <c r="D307" s="986">
        <v>852.06500000000005</v>
      </c>
    </row>
    <row r="308" spans="1:4">
      <c r="A308" s="984" t="s">
        <v>2426</v>
      </c>
      <c r="B308" s="984" t="s">
        <v>1280</v>
      </c>
      <c r="C308" s="985">
        <v>83097122</v>
      </c>
      <c r="D308" s="986">
        <v>287.36099999999999</v>
      </c>
    </row>
    <row r="309" spans="1:4">
      <c r="A309" s="984" t="s">
        <v>2428</v>
      </c>
      <c r="B309" s="984" t="s">
        <v>1281</v>
      </c>
      <c r="C309" s="985">
        <v>145132596</v>
      </c>
      <c r="D309" s="986">
        <v>521.33199999999999</v>
      </c>
    </row>
    <row r="310" spans="1:4">
      <c r="A310" s="984" t="s">
        <v>2832</v>
      </c>
      <c r="B310" s="984" t="s">
        <v>377</v>
      </c>
      <c r="C310" s="985">
        <v>79362931</v>
      </c>
      <c r="D310" s="986">
        <v>409.07499999999999</v>
      </c>
    </row>
    <row r="311" spans="1:4">
      <c r="A311" s="984" t="s">
        <v>4923</v>
      </c>
      <c r="B311" s="984" t="s">
        <v>1282</v>
      </c>
      <c r="C311" s="985">
        <v>240275909</v>
      </c>
      <c r="D311" s="986">
        <v>534.27700000000004</v>
      </c>
    </row>
    <row r="312" spans="1:4">
      <c r="A312" s="984" t="s">
        <v>4925</v>
      </c>
      <c r="B312" s="984" t="s">
        <v>1283</v>
      </c>
      <c r="C312" s="985">
        <v>921612384</v>
      </c>
      <c r="D312" s="986">
        <v>1759.365</v>
      </c>
    </row>
    <row r="313" spans="1:4">
      <c r="A313" s="984" t="s">
        <v>4927</v>
      </c>
      <c r="B313" s="984" t="s">
        <v>1284</v>
      </c>
      <c r="C313" s="985">
        <v>348983416</v>
      </c>
      <c r="D313" s="986">
        <v>679.74700000000007</v>
      </c>
    </row>
    <row r="314" spans="1:4">
      <c r="A314" s="984" t="s">
        <v>4929</v>
      </c>
      <c r="B314" s="984" t="s">
        <v>1285</v>
      </c>
      <c r="C314" s="985">
        <v>166026674</v>
      </c>
      <c r="D314" s="986">
        <v>203.27200000000002</v>
      </c>
    </row>
    <row r="315" spans="1:4">
      <c r="A315" s="984" t="s">
        <v>4931</v>
      </c>
      <c r="B315" s="984" t="s">
        <v>1286</v>
      </c>
      <c r="C315" s="985">
        <v>326747105</v>
      </c>
      <c r="D315" s="986">
        <v>235.51900000000001</v>
      </c>
    </row>
    <row r="316" spans="1:4">
      <c r="A316" s="984" t="s">
        <v>4933</v>
      </c>
      <c r="B316" s="984" t="s">
        <v>7379</v>
      </c>
      <c r="C316" s="985">
        <v>84000285</v>
      </c>
      <c r="D316" s="986">
        <v>272.30799999999999</v>
      </c>
    </row>
    <row r="317" spans="1:4">
      <c r="A317" s="984" t="s">
        <v>444</v>
      </c>
      <c r="B317" s="984" t="s">
        <v>370</v>
      </c>
      <c r="C317" s="985">
        <v>77408019</v>
      </c>
      <c r="D317" s="986">
        <v>284.88100000000003</v>
      </c>
    </row>
    <row r="318" spans="1:4">
      <c r="A318" s="984" t="s">
        <v>3558</v>
      </c>
      <c r="B318" s="984" t="s">
        <v>1288</v>
      </c>
      <c r="C318" s="985">
        <v>216313746</v>
      </c>
      <c r="D318" s="986">
        <v>786.55700000000002</v>
      </c>
    </row>
    <row r="319" spans="1:4">
      <c r="A319" s="984" t="s">
        <v>3560</v>
      </c>
      <c r="B319" s="984" t="s">
        <v>2909</v>
      </c>
      <c r="C319" s="985">
        <v>89268008</v>
      </c>
      <c r="D319" s="986">
        <v>509.03300000000002</v>
      </c>
    </row>
    <row r="320" spans="1:4">
      <c r="A320" s="984" t="s">
        <v>3562</v>
      </c>
      <c r="B320" s="984" t="s">
        <v>2910</v>
      </c>
      <c r="C320" s="985">
        <v>74329291</v>
      </c>
      <c r="D320" s="986">
        <v>217.26700000000002</v>
      </c>
    </row>
    <row r="321" spans="1:4">
      <c r="A321" s="984" t="s">
        <v>3564</v>
      </c>
      <c r="B321" s="984" t="s">
        <v>7385</v>
      </c>
      <c r="C321" s="985">
        <v>9880865868</v>
      </c>
      <c r="D321" s="986">
        <v>23016.92</v>
      </c>
    </row>
    <row r="322" spans="1:4">
      <c r="A322" s="984" t="s">
        <v>6179</v>
      </c>
      <c r="B322" s="984" t="s">
        <v>1932</v>
      </c>
      <c r="C322" s="985">
        <v>591573513</v>
      </c>
      <c r="D322" s="986">
        <v>2474.2809999999999</v>
      </c>
    </row>
    <row r="323" spans="1:4">
      <c r="A323" s="984" t="s">
        <v>1309</v>
      </c>
      <c r="B323" s="984" t="s">
        <v>114</v>
      </c>
      <c r="C323" s="985">
        <v>23352441854</v>
      </c>
      <c r="D323" s="986">
        <v>65905.279999999999</v>
      </c>
    </row>
    <row r="324" spans="1:4">
      <c r="A324" s="984" t="s">
        <v>3568</v>
      </c>
      <c r="B324" s="984" t="s">
        <v>7390</v>
      </c>
      <c r="C324" s="985">
        <v>2024859024</v>
      </c>
      <c r="D324" s="986">
        <v>3010.4650000000001</v>
      </c>
    </row>
    <row r="325" spans="1:4">
      <c r="A325" s="984" t="s">
        <v>1607</v>
      </c>
      <c r="B325" s="984" t="s">
        <v>2914</v>
      </c>
      <c r="C325" s="985">
        <v>892845152</v>
      </c>
      <c r="D325" s="986">
        <v>1478.5360000000001</v>
      </c>
    </row>
    <row r="326" spans="1:4">
      <c r="A326" s="984" t="s">
        <v>2482</v>
      </c>
      <c r="B326" s="984" t="s">
        <v>2915</v>
      </c>
      <c r="C326" s="985">
        <v>2164001088</v>
      </c>
      <c r="D326" s="986">
        <v>1659.7160000000001</v>
      </c>
    </row>
    <row r="327" spans="1:4">
      <c r="A327" s="984" t="s">
        <v>2484</v>
      </c>
      <c r="B327" s="984" t="s">
        <v>2916</v>
      </c>
      <c r="C327" s="985">
        <v>1567935352</v>
      </c>
      <c r="D327" s="986">
        <v>1161.4449999999999</v>
      </c>
    </row>
    <row r="328" spans="1:4">
      <c r="A328" s="984" t="s">
        <v>2486</v>
      </c>
      <c r="B328" s="984" t="s">
        <v>2917</v>
      </c>
      <c r="C328" s="985">
        <v>135336328</v>
      </c>
      <c r="D328" s="986">
        <v>474.036</v>
      </c>
    </row>
    <row r="329" spans="1:4">
      <c r="A329" s="984" t="s">
        <v>2488</v>
      </c>
      <c r="B329" s="984" t="s">
        <v>2918</v>
      </c>
      <c r="C329" s="985">
        <v>376457596</v>
      </c>
      <c r="D329" s="986">
        <v>146.47499999999999</v>
      </c>
    </row>
    <row r="330" spans="1:4">
      <c r="A330" s="984" t="s">
        <v>2834</v>
      </c>
      <c r="B330" s="984" t="s">
        <v>1002</v>
      </c>
      <c r="C330" s="985">
        <v>134699557</v>
      </c>
      <c r="D330" s="986">
        <v>832.46300000000008</v>
      </c>
    </row>
    <row r="331" spans="1:4">
      <c r="A331" s="984" t="s">
        <v>445</v>
      </c>
      <c r="B331" s="984" t="s">
        <v>5294</v>
      </c>
      <c r="C331" s="985">
        <v>443856250</v>
      </c>
      <c r="D331" s="986">
        <v>2051.1660000000002</v>
      </c>
    </row>
    <row r="332" spans="1:4">
      <c r="A332" s="984" t="s">
        <v>2490</v>
      </c>
      <c r="B332" s="984" t="s">
        <v>2919</v>
      </c>
      <c r="C332" s="985">
        <v>245189936</v>
      </c>
      <c r="D332" s="986">
        <v>550.84900000000005</v>
      </c>
    </row>
    <row r="333" spans="1:4">
      <c r="A333" s="984" t="s">
        <v>2492</v>
      </c>
      <c r="B333" s="984" t="s">
        <v>2920</v>
      </c>
      <c r="C333" s="985">
        <v>497560058</v>
      </c>
      <c r="D333" s="986">
        <v>111.41300000000001</v>
      </c>
    </row>
    <row r="334" spans="1:4">
      <c r="A334" s="984" t="s">
        <v>2494</v>
      </c>
      <c r="B334" s="984" t="s">
        <v>2921</v>
      </c>
      <c r="C334" s="985">
        <v>4836405046</v>
      </c>
      <c r="D334" s="986">
        <v>2292.2690000000002</v>
      </c>
    </row>
    <row r="335" spans="1:4">
      <c r="A335" s="984" t="s">
        <v>2498</v>
      </c>
      <c r="B335" s="984" t="s">
        <v>2922</v>
      </c>
      <c r="C335" s="985">
        <v>2346310851</v>
      </c>
      <c r="D335" s="986">
        <v>8382.8170000000009</v>
      </c>
    </row>
    <row r="336" spans="1:4">
      <c r="A336" s="984" t="s">
        <v>1670</v>
      </c>
      <c r="B336" s="984" t="s">
        <v>2923</v>
      </c>
      <c r="C336" s="985">
        <v>4506894347</v>
      </c>
      <c r="D336" s="986">
        <v>5714.2690000000002</v>
      </c>
    </row>
    <row r="337" spans="1:4">
      <c r="A337" s="984" t="s">
        <v>1867</v>
      </c>
      <c r="B337" s="984" t="s">
        <v>3846</v>
      </c>
      <c r="C337" s="985">
        <v>63749690</v>
      </c>
      <c r="D337" s="986">
        <v>164.87900000000002</v>
      </c>
    </row>
    <row r="338" spans="1:4">
      <c r="A338" s="984" t="s">
        <v>1672</v>
      </c>
      <c r="B338" s="984" t="s">
        <v>2924</v>
      </c>
      <c r="C338" s="985">
        <v>1403926168</v>
      </c>
      <c r="D338" s="986">
        <v>2681.8530000000001</v>
      </c>
    </row>
    <row r="339" spans="1:4">
      <c r="A339" s="984" t="s">
        <v>1674</v>
      </c>
      <c r="B339" s="984" t="s">
        <v>2925</v>
      </c>
      <c r="C339" s="985">
        <v>3742606839</v>
      </c>
      <c r="D339" s="986">
        <v>5422.6559999999999</v>
      </c>
    </row>
    <row r="340" spans="1:4">
      <c r="A340" s="984" t="s">
        <v>5048</v>
      </c>
      <c r="B340" s="984" t="s">
        <v>2926</v>
      </c>
      <c r="C340" s="985">
        <v>479221560</v>
      </c>
      <c r="D340" s="986">
        <v>1109.681</v>
      </c>
    </row>
    <row r="341" spans="1:4">
      <c r="A341" s="984" t="s">
        <v>2392</v>
      </c>
      <c r="B341" s="984" t="s">
        <v>1458</v>
      </c>
      <c r="C341" s="985">
        <v>989259094</v>
      </c>
      <c r="D341" s="986">
        <v>4214.28</v>
      </c>
    </row>
    <row r="342" spans="1:4">
      <c r="A342" s="984" t="s">
        <v>5050</v>
      </c>
      <c r="B342" s="984" t="s">
        <v>2927</v>
      </c>
      <c r="C342" s="985">
        <v>15316666927</v>
      </c>
      <c r="D342" s="986">
        <v>36224.908000000003</v>
      </c>
    </row>
    <row r="343" spans="1:4">
      <c r="A343" s="984" t="s">
        <v>1311</v>
      </c>
      <c r="B343" s="984" t="s">
        <v>116</v>
      </c>
      <c r="C343" s="985">
        <v>2032944951</v>
      </c>
      <c r="D343" s="986">
        <v>5710.6820000000007</v>
      </c>
    </row>
    <row r="344" spans="1:4">
      <c r="A344" s="984" t="s">
        <v>3222</v>
      </c>
      <c r="B344" s="984" t="s">
        <v>2928</v>
      </c>
      <c r="C344" s="985">
        <v>774974706</v>
      </c>
      <c r="D344" s="986">
        <v>711.93</v>
      </c>
    </row>
    <row r="345" spans="1:4">
      <c r="A345" s="984" t="s">
        <v>3224</v>
      </c>
      <c r="B345" s="984" t="s">
        <v>2929</v>
      </c>
      <c r="C345" s="985">
        <v>80146417</v>
      </c>
      <c r="D345" s="986">
        <v>145.6</v>
      </c>
    </row>
    <row r="346" spans="1:4">
      <c r="A346" s="984" t="s">
        <v>6218</v>
      </c>
      <c r="B346" s="984" t="s">
        <v>7413</v>
      </c>
      <c r="C346" s="985">
        <v>34973189</v>
      </c>
      <c r="D346" s="986">
        <v>18.885000000000002</v>
      </c>
    </row>
    <row r="347" spans="1:4">
      <c r="A347" s="984" t="s">
        <v>3228</v>
      </c>
      <c r="B347" s="984" t="s">
        <v>2931</v>
      </c>
      <c r="C347" s="985">
        <v>2281733004</v>
      </c>
      <c r="D347" s="986">
        <v>2794.15</v>
      </c>
    </row>
    <row r="348" spans="1:4">
      <c r="A348" s="984" t="s">
        <v>3230</v>
      </c>
      <c r="B348" s="984" t="s">
        <v>2932</v>
      </c>
      <c r="C348" s="985">
        <v>364312016</v>
      </c>
      <c r="D348" s="986">
        <v>567.33100000000002</v>
      </c>
    </row>
    <row r="349" spans="1:4">
      <c r="A349" s="984" t="s">
        <v>3232</v>
      </c>
      <c r="B349" s="984" t="s">
        <v>3788</v>
      </c>
      <c r="C349" s="985">
        <v>1251737674</v>
      </c>
      <c r="D349" s="986">
        <v>265.767</v>
      </c>
    </row>
    <row r="350" spans="1:4">
      <c r="A350" s="984" t="s">
        <v>1899</v>
      </c>
      <c r="B350" s="984" t="s">
        <v>3789</v>
      </c>
      <c r="C350" s="985">
        <v>1022881648</v>
      </c>
      <c r="D350" s="986">
        <v>1280.7060000000001</v>
      </c>
    </row>
    <row r="351" spans="1:4">
      <c r="A351" s="984" t="s">
        <v>1853</v>
      </c>
      <c r="B351" s="984" t="s">
        <v>4964</v>
      </c>
      <c r="C351" s="985">
        <v>593541018</v>
      </c>
      <c r="D351" s="986">
        <v>2389.7040000000002</v>
      </c>
    </row>
    <row r="352" spans="1:4">
      <c r="A352" s="984" t="s">
        <v>1901</v>
      </c>
      <c r="B352" s="984" t="s">
        <v>7420</v>
      </c>
      <c r="C352" s="985">
        <v>176434555</v>
      </c>
      <c r="D352" s="986">
        <v>954.46800000000007</v>
      </c>
    </row>
    <row r="353" spans="1:4">
      <c r="A353" s="984" t="s">
        <v>1903</v>
      </c>
      <c r="B353" s="984" t="s">
        <v>3791</v>
      </c>
      <c r="C353" s="985">
        <v>124776827</v>
      </c>
      <c r="D353" s="986">
        <v>229.76499999999999</v>
      </c>
    </row>
    <row r="354" spans="1:4">
      <c r="A354" s="984" t="s">
        <v>52</v>
      </c>
      <c r="B354" s="984" t="s">
        <v>5666</v>
      </c>
      <c r="C354" s="985">
        <v>157466652</v>
      </c>
      <c r="D354" s="986">
        <v>158.65900000000002</v>
      </c>
    </row>
    <row r="355" spans="1:4">
      <c r="A355" s="984" t="s">
        <v>54</v>
      </c>
      <c r="B355" s="984" t="s">
        <v>5667</v>
      </c>
      <c r="C355" s="985">
        <v>142996459</v>
      </c>
      <c r="D355" s="986">
        <v>200.45100000000002</v>
      </c>
    </row>
    <row r="356" spans="1:4">
      <c r="A356" s="984" t="s">
        <v>6191</v>
      </c>
      <c r="B356" s="984" t="s">
        <v>3629</v>
      </c>
      <c r="C356" s="985">
        <v>1023908450</v>
      </c>
      <c r="D356" s="986">
        <v>3173.3070000000002</v>
      </c>
    </row>
    <row r="357" spans="1:4">
      <c r="A357" s="984" t="s">
        <v>732</v>
      </c>
      <c r="B357" s="984" t="s">
        <v>5668</v>
      </c>
      <c r="C357" s="985">
        <v>123139450</v>
      </c>
      <c r="D357" s="986">
        <v>46.047000000000004</v>
      </c>
    </row>
    <row r="358" spans="1:4">
      <c r="A358" s="984" t="s">
        <v>949</v>
      </c>
      <c r="B358" s="984" t="s">
        <v>7653</v>
      </c>
      <c r="C358" s="985">
        <v>195896115</v>
      </c>
      <c r="D358" s="986">
        <v>707.45900000000006</v>
      </c>
    </row>
    <row r="359" spans="1:4">
      <c r="A359" s="984" t="s">
        <v>3980</v>
      </c>
      <c r="B359" s="984" t="s">
        <v>5669</v>
      </c>
      <c r="C359" s="985">
        <v>123505355</v>
      </c>
      <c r="D359" s="986">
        <v>504.31300000000005</v>
      </c>
    </row>
    <row r="360" spans="1:4">
      <c r="A360" s="984" t="s">
        <v>3982</v>
      </c>
      <c r="B360" s="984" t="s">
        <v>5670</v>
      </c>
      <c r="C360" s="985">
        <v>1350318365</v>
      </c>
      <c r="D360" s="986">
        <v>4163.4740000000002</v>
      </c>
    </row>
    <row r="361" spans="1:4">
      <c r="A361" s="984" t="s">
        <v>1871</v>
      </c>
      <c r="B361" s="984" t="s">
        <v>3851</v>
      </c>
      <c r="C361" s="985">
        <v>196271441</v>
      </c>
      <c r="D361" s="986">
        <v>949.28399999999999</v>
      </c>
    </row>
    <row r="362" spans="1:4">
      <c r="A362" s="984" t="s">
        <v>3116</v>
      </c>
      <c r="B362" s="984" t="s">
        <v>5242</v>
      </c>
      <c r="C362" s="985">
        <v>2319828089</v>
      </c>
      <c r="D362" s="986">
        <v>6236.3010000000004</v>
      </c>
    </row>
    <row r="363" spans="1:4">
      <c r="A363" s="984" t="s">
        <v>3118</v>
      </c>
      <c r="B363" s="984" t="s">
        <v>5243</v>
      </c>
      <c r="C363" s="985">
        <v>72888432</v>
      </c>
      <c r="D363" s="986">
        <v>126.524</v>
      </c>
    </row>
    <row r="364" spans="1:4">
      <c r="A364" s="984" t="s">
        <v>2836</v>
      </c>
      <c r="B364" s="984" t="s">
        <v>5373</v>
      </c>
      <c r="C364" s="985">
        <v>406566167</v>
      </c>
      <c r="D364" s="986">
        <v>1286.2530000000002</v>
      </c>
    </row>
    <row r="365" spans="1:4">
      <c r="A365" s="984" t="s">
        <v>2838</v>
      </c>
      <c r="B365" s="984" t="s">
        <v>4071</v>
      </c>
      <c r="C365" s="985">
        <v>490445654</v>
      </c>
      <c r="D365" s="986">
        <v>1422.9060000000002</v>
      </c>
    </row>
    <row r="366" spans="1:4">
      <c r="A366" s="984" t="s">
        <v>5220</v>
      </c>
      <c r="B366" s="984" t="s">
        <v>5244</v>
      </c>
      <c r="C366" s="985">
        <v>156536368</v>
      </c>
      <c r="D366" s="986">
        <v>713.25900000000001</v>
      </c>
    </row>
    <row r="367" spans="1:4">
      <c r="A367" s="984" t="s">
        <v>5129</v>
      </c>
      <c r="B367" s="984" t="s">
        <v>347</v>
      </c>
      <c r="C367" s="985">
        <v>658012798</v>
      </c>
      <c r="D367" s="986">
        <v>1200.8579999999999</v>
      </c>
    </row>
    <row r="368" spans="1:4">
      <c r="A368" s="984" t="s">
        <v>5222</v>
      </c>
      <c r="B368" s="984" t="s">
        <v>7437</v>
      </c>
      <c r="C368" s="985">
        <v>339352593</v>
      </c>
      <c r="D368" s="986">
        <v>768.23599999999999</v>
      </c>
    </row>
    <row r="369" spans="1:4">
      <c r="A369" s="984" t="s">
        <v>1858</v>
      </c>
      <c r="B369" s="984" t="s">
        <v>3914</v>
      </c>
      <c r="C369" s="985">
        <v>216861803</v>
      </c>
      <c r="D369" s="986">
        <v>754.62200000000007</v>
      </c>
    </row>
    <row r="370" spans="1:4">
      <c r="A370" s="984" t="s">
        <v>5224</v>
      </c>
      <c r="B370" s="984" t="s">
        <v>7160</v>
      </c>
      <c r="C370" s="985">
        <v>157193816</v>
      </c>
      <c r="D370" s="986">
        <v>744.36300000000006</v>
      </c>
    </row>
    <row r="371" spans="1:4">
      <c r="A371" s="984" t="s">
        <v>5228</v>
      </c>
      <c r="B371" s="984" t="s">
        <v>7161</v>
      </c>
      <c r="C371" s="985">
        <v>528382589</v>
      </c>
      <c r="D371" s="986">
        <v>1873.7840000000001</v>
      </c>
    </row>
    <row r="372" spans="1:4">
      <c r="A372" s="984" t="s">
        <v>5230</v>
      </c>
      <c r="B372" s="984" t="s">
        <v>7162</v>
      </c>
      <c r="C372" s="985">
        <v>1698268804</v>
      </c>
      <c r="D372" s="986">
        <v>3572.2490000000003</v>
      </c>
    </row>
    <row r="373" spans="1:4">
      <c r="A373" s="984" t="s">
        <v>2994</v>
      </c>
      <c r="B373" s="984" t="s">
        <v>199</v>
      </c>
      <c r="C373" s="985">
        <v>3735077681</v>
      </c>
      <c r="D373" s="986">
        <v>7714.7049999999999</v>
      </c>
    </row>
    <row r="374" spans="1:4">
      <c r="A374" s="984" t="s">
        <v>7723</v>
      </c>
      <c r="B374" s="984" t="s">
        <v>7163</v>
      </c>
      <c r="C374" s="985">
        <v>1601156861</v>
      </c>
      <c r="D374" s="986">
        <v>4328.8860000000004</v>
      </c>
    </row>
    <row r="375" spans="1:4">
      <c r="A375" s="984" t="s">
        <v>221</v>
      </c>
      <c r="B375" s="984" t="s">
        <v>7164</v>
      </c>
      <c r="C375" s="985">
        <v>380605936</v>
      </c>
      <c r="D375" s="986">
        <v>1228.8390000000002</v>
      </c>
    </row>
    <row r="376" spans="1:4">
      <c r="A376" s="984" t="s">
        <v>2406</v>
      </c>
      <c r="B376" s="984" t="s">
        <v>2351</v>
      </c>
      <c r="C376" s="985">
        <v>446400686</v>
      </c>
      <c r="D376" s="986">
        <v>1777.999</v>
      </c>
    </row>
    <row r="377" spans="1:4">
      <c r="A377" s="984" t="s">
        <v>223</v>
      </c>
      <c r="B377" s="984" t="s">
        <v>7165</v>
      </c>
      <c r="C377" s="985">
        <v>341779727</v>
      </c>
      <c r="D377" s="986">
        <v>1373.91</v>
      </c>
    </row>
    <row r="378" spans="1:4">
      <c r="A378" s="984" t="s">
        <v>225</v>
      </c>
      <c r="B378" s="984" t="s">
        <v>7448</v>
      </c>
      <c r="C378" s="985">
        <v>449666156</v>
      </c>
      <c r="D378" s="986">
        <v>681.26499999999999</v>
      </c>
    </row>
    <row r="379" spans="1:4">
      <c r="A379" s="984" t="s">
        <v>227</v>
      </c>
      <c r="B379" s="984" t="s">
        <v>7167</v>
      </c>
      <c r="C379" s="985">
        <v>163139065</v>
      </c>
      <c r="D379" s="986">
        <v>461.50300000000004</v>
      </c>
    </row>
    <row r="380" spans="1:4">
      <c r="A380" s="984" t="s">
        <v>229</v>
      </c>
      <c r="B380" s="984" t="s">
        <v>7168</v>
      </c>
      <c r="C380" s="985">
        <v>1312187108</v>
      </c>
      <c r="D380" s="986">
        <v>2701.3969999999999</v>
      </c>
    </row>
    <row r="381" spans="1:4">
      <c r="A381" s="984" t="s">
        <v>4039</v>
      </c>
      <c r="B381" s="984" t="s">
        <v>7169</v>
      </c>
      <c r="C381" s="985">
        <v>149490722</v>
      </c>
      <c r="D381" s="986">
        <v>136.62200000000001</v>
      </c>
    </row>
    <row r="382" spans="1:4">
      <c r="A382" s="984" t="s">
        <v>2396</v>
      </c>
      <c r="B382" s="984" t="s">
        <v>1463</v>
      </c>
      <c r="C382" s="985">
        <v>2503646333</v>
      </c>
      <c r="D382" s="986">
        <v>6809.7260000000006</v>
      </c>
    </row>
    <row r="383" spans="1:4">
      <c r="A383" s="984" t="s">
        <v>2394</v>
      </c>
      <c r="B383" s="984" t="s">
        <v>1461</v>
      </c>
      <c r="C383" s="985">
        <v>3429630647</v>
      </c>
      <c r="D383" s="986">
        <v>11793.067000000001</v>
      </c>
    </row>
    <row r="384" spans="1:4">
      <c r="A384" s="984" t="s">
        <v>4042</v>
      </c>
      <c r="B384" s="984" t="s">
        <v>7170</v>
      </c>
      <c r="C384" s="985">
        <v>515095706</v>
      </c>
      <c r="D384" s="986">
        <v>1466.1849999999999</v>
      </c>
    </row>
    <row r="385" spans="1:4">
      <c r="A385" s="984" t="s">
        <v>3004</v>
      </c>
      <c r="B385" s="984" t="s">
        <v>6065</v>
      </c>
      <c r="C385" s="985">
        <v>459620486</v>
      </c>
      <c r="D385" s="986">
        <v>1261.5320000000002</v>
      </c>
    </row>
    <row r="386" spans="1:4">
      <c r="A386" s="984" t="s">
        <v>4044</v>
      </c>
      <c r="B386" s="984" t="s">
        <v>5272</v>
      </c>
      <c r="C386" s="985">
        <v>465786303</v>
      </c>
      <c r="D386" s="986">
        <v>733.42100000000005</v>
      </c>
    </row>
    <row r="387" spans="1:4">
      <c r="A387" s="984" t="s">
        <v>4046</v>
      </c>
      <c r="B387" s="984" t="s">
        <v>5273</v>
      </c>
      <c r="C387" s="985">
        <v>41714264</v>
      </c>
      <c r="D387" s="986">
        <v>112.1</v>
      </c>
    </row>
    <row r="388" spans="1:4">
      <c r="A388" s="984" t="s">
        <v>5402</v>
      </c>
      <c r="B388" s="984" t="s">
        <v>5274</v>
      </c>
      <c r="C388" s="985">
        <v>85040341</v>
      </c>
      <c r="D388" s="986">
        <v>615.16</v>
      </c>
    </row>
    <row r="389" spans="1:4">
      <c r="A389" s="984" t="s">
        <v>5404</v>
      </c>
      <c r="B389" s="984" t="s">
        <v>5275</v>
      </c>
      <c r="C389" s="985">
        <v>62820402</v>
      </c>
      <c r="D389" s="986">
        <v>259.80099999999999</v>
      </c>
    </row>
    <row r="390" spans="1:4">
      <c r="A390" s="984" t="s">
        <v>423</v>
      </c>
      <c r="B390" s="984" t="s">
        <v>5276</v>
      </c>
      <c r="C390" s="985">
        <v>1125400000</v>
      </c>
      <c r="D390" s="986">
        <v>5337.5630000000001</v>
      </c>
    </row>
    <row r="391" spans="1:4">
      <c r="A391" s="984" t="s">
        <v>425</v>
      </c>
      <c r="B391" s="984" t="s">
        <v>5277</v>
      </c>
      <c r="C391" s="985">
        <v>117111479</v>
      </c>
      <c r="D391" s="986">
        <v>499.28400000000005</v>
      </c>
    </row>
    <row r="392" spans="1:4">
      <c r="A392" s="984" t="s">
        <v>427</v>
      </c>
      <c r="B392" s="984" t="s">
        <v>5278</v>
      </c>
      <c r="C392" s="985">
        <v>39397422</v>
      </c>
      <c r="D392" s="986">
        <v>201.447</v>
      </c>
    </row>
    <row r="393" spans="1:4">
      <c r="A393" s="984" t="s">
        <v>429</v>
      </c>
      <c r="B393" s="984" t="s">
        <v>7464</v>
      </c>
      <c r="C393" s="985">
        <v>270137644</v>
      </c>
      <c r="D393" s="986">
        <v>761.399</v>
      </c>
    </row>
    <row r="394" spans="1:4">
      <c r="A394" s="984" t="s">
        <v>446</v>
      </c>
      <c r="B394" s="984" t="s">
        <v>3844</v>
      </c>
      <c r="C394" s="985">
        <v>152343788</v>
      </c>
      <c r="D394" s="986">
        <v>561.35800000000006</v>
      </c>
    </row>
    <row r="395" spans="1:4">
      <c r="A395" s="984" t="s">
        <v>431</v>
      </c>
      <c r="B395" s="984" t="s">
        <v>5280</v>
      </c>
      <c r="C395" s="985">
        <v>435516018</v>
      </c>
      <c r="D395" s="986">
        <v>392.82499999999999</v>
      </c>
    </row>
    <row r="396" spans="1:4">
      <c r="A396" s="984" t="s">
        <v>4945</v>
      </c>
      <c r="B396" s="984" t="s">
        <v>7468</v>
      </c>
      <c r="C396" s="985">
        <v>246004780</v>
      </c>
      <c r="D396" s="986">
        <v>109.45100000000001</v>
      </c>
    </row>
    <row r="397" spans="1:4">
      <c r="A397" s="984" t="s">
        <v>4947</v>
      </c>
      <c r="B397" s="984" t="s">
        <v>5282</v>
      </c>
      <c r="C397" s="985">
        <v>448667920</v>
      </c>
      <c r="D397" s="986">
        <v>778.84700000000009</v>
      </c>
    </row>
    <row r="398" spans="1:4">
      <c r="A398" s="984" t="s">
        <v>4949</v>
      </c>
      <c r="B398" s="984" t="s">
        <v>5283</v>
      </c>
      <c r="C398" s="985">
        <v>117618625</v>
      </c>
      <c r="D398" s="986">
        <v>190.07300000000001</v>
      </c>
    </row>
    <row r="399" spans="1:4">
      <c r="A399" s="984" t="s">
        <v>4951</v>
      </c>
      <c r="B399" s="984" t="s">
        <v>5284</v>
      </c>
      <c r="C399" s="985">
        <v>234473357</v>
      </c>
      <c r="D399" s="986">
        <v>508.77200000000005</v>
      </c>
    </row>
    <row r="400" spans="1:4">
      <c r="A400" s="984" t="s">
        <v>1560</v>
      </c>
      <c r="B400" s="984" t="s">
        <v>5285</v>
      </c>
      <c r="C400" s="985">
        <v>344148541</v>
      </c>
      <c r="D400" s="986">
        <v>1266.241</v>
      </c>
    </row>
    <row r="401" spans="1:4">
      <c r="A401" s="984" t="s">
        <v>2398</v>
      </c>
      <c r="B401" s="984" t="s">
        <v>1466</v>
      </c>
      <c r="C401" s="985">
        <v>641268994</v>
      </c>
      <c r="D401" s="986">
        <v>2668.7650000000003</v>
      </c>
    </row>
    <row r="402" spans="1:4">
      <c r="A402" s="984" t="s">
        <v>1562</v>
      </c>
      <c r="B402" s="984" t="s">
        <v>5286</v>
      </c>
      <c r="C402" s="985">
        <v>1046402558</v>
      </c>
      <c r="D402" s="986">
        <v>1894.11</v>
      </c>
    </row>
    <row r="403" spans="1:4">
      <c r="A403" s="984" t="s">
        <v>2997</v>
      </c>
      <c r="B403" s="984" t="s">
        <v>6057</v>
      </c>
      <c r="C403" s="985">
        <v>866407520</v>
      </c>
      <c r="D403" s="986">
        <v>3726.4090000000001</v>
      </c>
    </row>
    <row r="404" spans="1:4">
      <c r="A404" s="984" t="s">
        <v>856</v>
      </c>
      <c r="B404" s="984" t="s">
        <v>7477</v>
      </c>
      <c r="C404" s="985">
        <v>159230387</v>
      </c>
      <c r="D404" s="986">
        <v>551.77300000000002</v>
      </c>
    </row>
    <row r="405" spans="1:4">
      <c r="A405" s="984" t="s">
        <v>819</v>
      </c>
      <c r="B405" s="984" t="s">
        <v>3901</v>
      </c>
      <c r="C405" s="985">
        <v>12523849025</v>
      </c>
      <c r="D405" s="986">
        <v>57551.648999999998</v>
      </c>
    </row>
    <row r="406" spans="1:4">
      <c r="A406" s="984" t="s">
        <v>3887</v>
      </c>
      <c r="B406" s="984" t="s">
        <v>1844</v>
      </c>
      <c r="C406" s="985">
        <v>10678843235</v>
      </c>
      <c r="D406" s="986">
        <v>41995.555</v>
      </c>
    </row>
    <row r="407" spans="1:4">
      <c r="A407" s="984" t="s">
        <v>1988</v>
      </c>
      <c r="B407" s="984" t="s">
        <v>303</v>
      </c>
      <c r="C407" s="985">
        <v>2273045125</v>
      </c>
      <c r="D407" s="986">
        <v>8058.6630000000005</v>
      </c>
    </row>
    <row r="408" spans="1:4">
      <c r="A408" s="984" t="s">
        <v>245</v>
      </c>
      <c r="B408" s="984" t="s">
        <v>1667</v>
      </c>
      <c r="C408" s="985">
        <v>1285400411</v>
      </c>
      <c r="D408" s="986">
        <v>4730.277</v>
      </c>
    </row>
    <row r="409" spans="1:4">
      <c r="A409" s="984" t="s">
        <v>1990</v>
      </c>
      <c r="B409" s="984" t="s">
        <v>304</v>
      </c>
      <c r="C409" s="985">
        <v>34012717447</v>
      </c>
      <c r="D409" s="986">
        <v>99495.360000000001</v>
      </c>
    </row>
    <row r="410" spans="1:4">
      <c r="A410" s="984" t="s">
        <v>2115</v>
      </c>
      <c r="B410" s="984" t="s">
        <v>305</v>
      </c>
      <c r="C410" s="985">
        <v>6801299539</v>
      </c>
      <c r="D410" s="986">
        <v>11805.349</v>
      </c>
    </row>
    <row r="411" spans="1:4">
      <c r="A411" s="984" t="s">
        <v>6184</v>
      </c>
      <c r="B411" s="984" t="s">
        <v>1938</v>
      </c>
      <c r="C411" s="985">
        <v>1497165415</v>
      </c>
      <c r="D411" s="986">
        <v>6482.7820000000002</v>
      </c>
    </row>
    <row r="412" spans="1:4">
      <c r="A412" s="984" t="s">
        <v>1315</v>
      </c>
      <c r="B412" s="984" t="s">
        <v>120</v>
      </c>
      <c r="C412" s="985">
        <v>5667291160</v>
      </c>
      <c r="D412" s="986">
        <v>20085.197</v>
      </c>
    </row>
    <row r="413" spans="1:4">
      <c r="A413" s="984" t="s">
        <v>5622</v>
      </c>
      <c r="B413" s="984" t="s">
        <v>306</v>
      </c>
      <c r="C413" s="985">
        <v>8129916315</v>
      </c>
      <c r="D413" s="986">
        <v>19743.271000000001</v>
      </c>
    </row>
    <row r="414" spans="1:4">
      <c r="A414" s="984" t="s">
        <v>5624</v>
      </c>
      <c r="B414" s="984" t="s">
        <v>95</v>
      </c>
      <c r="C414" s="985">
        <v>104937180911</v>
      </c>
      <c r="D414" s="986">
        <v>182724.47399999999</v>
      </c>
    </row>
    <row r="415" spans="1:4">
      <c r="A415" s="984" t="s">
        <v>1873</v>
      </c>
      <c r="B415" s="984" t="s">
        <v>3856</v>
      </c>
      <c r="C415" s="985">
        <v>9858957340</v>
      </c>
      <c r="D415" s="986">
        <v>33175.273999999998</v>
      </c>
    </row>
    <row r="416" spans="1:4">
      <c r="A416" s="984" t="s">
        <v>6028</v>
      </c>
      <c r="B416" s="984" t="s">
        <v>1913</v>
      </c>
      <c r="C416" s="985">
        <v>19503025525</v>
      </c>
      <c r="D416" s="986">
        <v>57679.167000000001</v>
      </c>
    </row>
    <row r="417" spans="1:4">
      <c r="A417" s="984" t="s">
        <v>6035</v>
      </c>
      <c r="B417" s="984" t="s">
        <v>1923</v>
      </c>
      <c r="C417" s="985">
        <v>12512261885</v>
      </c>
      <c r="D417" s="986">
        <v>42612.726999999999</v>
      </c>
    </row>
    <row r="418" spans="1:4">
      <c r="A418" s="984" t="s">
        <v>5626</v>
      </c>
      <c r="B418" s="984" t="s">
        <v>96</v>
      </c>
      <c r="C418" s="985">
        <v>5977113370</v>
      </c>
      <c r="D418" s="986">
        <v>7235.5440000000008</v>
      </c>
    </row>
    <row r="419" spans="1:4">
      <c r="A419" s="984" t="s">
        <v>6194</v>
      </c>
      <c r="B419" s="984" t="s">
        <v>5292</v>
      </c>
      <c r="C419" s="985">
        <v>9746239711</v>
      </c>
      <c r="D419" s="986">
        <v>48340.368000000002</v>
      </c>
    </row>
    <row r="420" spans="1:4">
      <c r="A420" s="984" t="s">
        <v>1539</v>
      </c>
      <c r="B420" s="984" t="s">
        <v>97</v>
      </c>
      <c r="C420" s="985">
        <v>7295906150</v>
      </c>
      <c r="D420" s="986">
        <v>33483.127999999997</v>
      </c>
    </row>
    <row r="421" spans="1:4">
      <c r="A421" s="984" t="s">
        <v>911</v>
      </c>
      <c r="B421" s="984" t="s">
        <v>98</v>
      </c>
      <c r="C421" s="985">
        <v>18990380031</v>
      </c>
      <c r="D421" s="986">
        <v>30369.517</v>
      </c>
    </row>
    <row r="422" spans="1:4">
      <c r="A422" s="984" t="s">
        <v>1428</v>
      </c>
      <c r="B422" s="984" t="s">
        <v>99</v>
      </c>
      <c r="C422" s="985">
        <v>5124116088</v>
      </c>
      <c r="D422" s="986">
        <v>10065.588</v>
      </c>
    </row>
    <row r="423" spans="1:4">
      <c r="A423" s="984" t="s">
        <v>1430</v>
      </c>
      <c r="B423" s="984" t="s">
        <v>100</v>
      </c>
      <c r="C423" s="985">
        <v>4131135907</v>
      </c>
      <c r="D423" s="986">
        <v>6306.8389999999999</v>
      </c>
    </row>
    <row r="424" spans="1:4">
      <c r="A424" s="984" t="s">
        <v>4971</v>
      </c>
      <c r="B424" s="984" t="s">
        <v>3854</v>
      </c>
      <c r="C424" s="985">
        <v>778603239</v>
      </c>
      <c r="D424" s="986">
        <v>2990.7870000000003</v>
      </c>
    </row>
    <row r="425" spans="1:4">
      <c r="A425" s="984" t="s">
        <v>1432</v>
      </c>
      <c r="B425" s="984" t="s">
        <v>101</v>
      </c>
      <c r="C425" s="985">
        <v>233134622</v>
      </c>
      <c r="D425" s="986">
        <v>180.95100000000002</v>
      </c>
    </row>
    <row r="426" spans="1:4">
      <c r="A426" s="984" t="s">
        <v>1434</v>
      </c>
      <c r="B426" s="984" t="s">
        <v>877</v>
      </c>
      <c r="C426" s="985">
        <v>2827210368</v>
      </c>
      <c r="D426" s="986">
        <v>5393.25</v>
      </c>
    </row>
    <row r="427" spans="1:4">
      <c r="A427" s="984" t="s">
        <v>1436</v>
      </c>
      <c r="B427" s="984" t="s">
        <v>878</v>
      </c>
      <c r="C427" s="985">
        <v>457866639</v>
      </c>
      <c r="D427" s="986">
        <v>729.54499999999996</v>
      </c>
    </row>
    <row r="428" spans="1:4">
      <c r="A428" s="984" t="s">
        <v>1438</v>
      </c>
      <c r="B428" s="984" t="s">
        <v>879</v>
      </c>
      <c r="C428" s="985">
        <v>2231521108</v>
      </c>
      <c r="D428" s="986">
        <v>4099.4690000000001</v>
      </c>
    </row>
    <row r="429" spans="1:4">
      <c r="A429" s="984" t="s">
        <v>2580</v>
      </c>
      <c r="B429" s="984" t="s">
        <v>880</v>
      </c>
      <c r="C429" s="985">
        <v>171260552</v>
      </c>
      <c r="D429" s="986">
        <v>691.93600000000004</v>
      </c>
    </row>
    <row r="430" spans="1:4">
      <c r="A430" s="984" t="s">
        <v>2582</v>
      </c>
      <c r="B430" s="984" t="s">
        <v>881</v>
      </c>
      <c r="C430" s="985">
        <v>638237153</v>
      </c>
      <c r="D430" s="986">
        <v>966.8</v>
      </c>
    </row>
    <row r="431" spans="1:4">
      <c r="A431" s="984" t="s">
        <v>2584</v>
      </c>
      <c r="B431" s="984" t="s">
        <v>834</v>
      </c>
      <c r="C431" s="985">
        <v>153973906</v>
      </c>
      <c r="D431" s="986">
        <v>151.084</v>
      </c>
    </row>
    <row r="432" spans="1:4">
      <c r="A432" s="984" t="s">
        <v>1578</v>
      </c>
      <c r="B432" s="984" t="s">
        <v>835</v>
      </c>
      <c r="C432" s="985">
        <v>128520713</v>
      </c>
      <c r="D432" s="986">
        <v>174.822</v>
      </c>
    </row>
    <row r="433" spans="1:4">
      <c r="A433" s="984" t="s">
        <v>1580</v>
      </c>
      <c r="B433" s="984" t="s">
        <v>3838</v>
      </c>
      <c r="C433" s="985">
        <v>159771716</v>
      </c>
      <c r="D433" s="986">
        <v>592.97800000000007</v>
      </c>
    </row>
    <row r="434" spans="1:4">
      <c r="A434" s="984" t="s">
        <v>1582</v>
      </c>
      <c r="B434" s="984" t="s">
        <v>837</v>
      </c>
      <c r="C434" s="985">
        <v>34033459</v>
      </c>
      <c r="D434" s="986">
        <v>125.51900000000001</v>
      </c>
    </row>
    <row r="435" spans="1:4">
      <c r="A435" s="984" t="s">
        <v>1584</v>
      </c>
      <c r="B435" s="984" t="s">
        <v>838</v>
      </c>
      <c r="C435" s="985">
        <v>36633472</v>
      </c>
      <c r="D435" s="986">
        <v>153.958</v>
      </c>
    </row>
    <row r="436" spans="1:4">
      <c r="A436" s="984" t="s">
        <v>1588</v>
      </c>
      <c r="B436" s="984" t="s">
        <v>7510</v>
      </c>
      <c r="C436" s="985">
        <v>3296757102</v>
      </c>
      <c r="D436" s="986">
        <v>6663.5160000000005</v>
      </c>
    </row>
    <row r="437" spans="1:4">
      <c r="A437" s="984" t="s">
        <v>1292</v>
      </c>
      <c r="B437" s="984" t="s">
        <v>3010</v>
      </c>
      <c r="C437" s="985">
        <v>2501044288</v>
      </c>
      <c r="D437" s="986">
        <v>4256.366</v>
      </c>
    </row>
    <row r="438" spans="1:4">
      <c r="A438" s="984" t="s">
        <v>1590</v>
      </c>
      <c r="B438" s="984" t="s">
        <v>840</v>
      </c>
      <c r="C438" s="985">
        <v>1405314916</v>
      </c>
      <c r="D438" s="986">
        <v>1909.8010000000002</v>
      </c>
    </row>
    <row r="439" spans="1:4">
      <c r="A439" s="984" t="s">
        <v>1864</v>
      </c>
      <c r="B439" s="984" t="s">
        <v>7514</v>
      </c>
      <c r="C439" s="985">
        <v>3679003564</v>
      </c>
      <c r="D439" s="986">
        <v>14379.187</v>
      </c>
    </row>
    <row r="440" spans="1:4">
      <c r="A440" s="984" t="s">
        <v>1592</v>
      </c>
      <c r="B440" s="984" t="s">
        <v>841</v>
      </c>
      <c r="C440" s="985">
        <v>1641487847</v>
      </c>
      <c r="D440" s="986">
        <v>774.09400000000005</v>
      </c>
    </row>
    <row r="441" spans="1:4">
      <c r="A441" s="984" t="s">
        <v>1594</v>
      </c>
      <c r="B441" s="984" t="s">
        <v>842</v>
      </c>
      <c r="C441" s="985">
        <v>1149537983</v>
      </c>
      <c r="D441" s="986">
        <v>3163.9920000000002</v>
      </c>
    </row>
    <row r="442" spans="1:4">
      <c r="A442" s="984" t="s">
        <v>1596</v>
      </c>
      <c r="B442" s="984" t="s">
        <v>843</v>
      </c>
      <c r="C442" s="985">
        <v>670526532</v>
      </c>
      <c r="D442" s="986">
        <v>2692.5419999999999</v>
      </c>
    </row>
    <row r="443" spans="1:4">
      <c r="A443" s="984" t="s">
        <v>1598</v>
      </c>
      <c r="B443" s="984" t="s">
        <v>844</v>
      </c>
      <c r="C443" s="985">
        <v>346170274</v>
      </c>
      <c r="D443" s="986">
        <v>582.42100000000005</v>
      </c>
    </row>
    <row r="444" spans="1:4">
      <c r="A444" s="984" t="s">
        <v>1600</v>
      </c>
      <c r="B444" s="984" t="s">
        <v>845</v>
      </c>
      <c r="C444" s="985">
        <v>506595832</v>
      </c>
      <c r="D444" s="986">
        <v>1374.9549999999999</v>
      </c>
    </row>
    <row r="445" spans="1:4">
      <c r="A445" s="984" t="s">
        <v>5260</v>
      </c>
      <c r="B445" s="984" t="s">
        <v>846</v>
      </c>
      <c r="C445" s="985">
        <v>998717294</v>
      </c>
      <c r="D445" s="986">
        <v>1161.6870000000001</v>
      </c>
    </row>
    <row r="446" spans="1:4">
      <c r="A446" s="984" t="s">
        <v>2415</v>
      </c>
      <c r="B446" s="984" t="s">
        <v>5368</v>
      </c>
      <c r="C446" s="985">
        <v>45246211</v>
      </c>
      <c r="D446" s="986">
        <v>161.12200000000001</v>
      </c>
    </row>
    <row r="447" spans="1:4">
      <c r="A447" s="984" t="s">
        <v>4973</v>
      </c>
      <c r="B447" s="984" t="s">
        <v>328</v>
      </c>
      <c r="C447" s="985">
        <v>41141150</v>
      </c>
      <c r="D447" s="986">
        <v>126.009</v>
      </c>
    </row>
    <row r="448" spans="1:4">
      <c r="A448" s="984" t="s">
        <v>5262</v>
      </c>
      <c r="B448" s="984" t="s">
        <v>847</v>
      </c>
      <c r="C448" s="985">
        <v>372432623</v>
      </c>
      <c r="D448" s="986">
        <v>425.83600000000001</v>
      </c>
    </row>
    <row r="449" spans="1:4">
      <c r="A449" s="984" t="s">
        <v>2054</v>
      </c>
      <c r="B449" s="984" t="s">
        <v>7525</v>
      </c>
      <c r="C449" s="985">
        <v>937242433</v>
      </c>
      <c r="D449" s="986">
        <v>13881.45</v>
      </c>
    </row>
    <row r="450" spans="1:4">
      <c r="A450" s="984" t="s">
        <v>1519</v>
      </c>
      <c r="B450" s="984" t="s">
        <v>3015</v>
      </c>
      <c r="C450" s="985">
        <v>244916987</v>
      </c>
      <c r="D450" s="986">
        <v>4946.835</v>
      </c>
    </row>
    <row r="451" spans="1:4">
      <c r="A451" s="984" t="s">
        <v>1521</v>
      </c>
      <c r="B451" s="984" t="s">
        <v>7528</v>
      </c>
      <c r="C451" s="985">
        <v>5363024156</v>
      </c>
      <c r="D451" s="986">
        <v>30835.274000000001</v>
      </c>
    </row>
    <row r="452" spans="1:4">
      <c r="A452" s="984" t="s">
        <v>1866</v>
      </c>
      <c r="B452" s="984" t="s">
        <v>3845</v>
      </c>
      <c r="C452" s="985">
        <v>400055912</v>
      </c>
      <c r="D452" s="986">
        <v>3087.4360000000001</v>
      </c>
    </row>
    <row r="453" spans="1:4">
      <c r="A453" s="984" t="s">
        <v>6167</v>
      </c>
      <c r="B453" s="984" t="s">
        <v>6073</v>
      </c>
      <c r="C453" s="985">
        <v>5960760548</v>
      </c>
      <c r="D453" s="986">
        <v>23601.674999999999</v>
      </c>
    </row>
    <row r="454" spans="1:4">
      <c r="A454" s="984" t="s">
        <v>6170</v>
      </c>
      <c r="B454" s="984" t="s">
        <v>495</v>
      </c>
      <c r="C454" s="985">
        <v>439960872</v>
      </c>
      <c r="D454" s="986">
        <v>5292.5290000000005</v>
      </c>
    </row>
    <row r="455" spans="1:4">
      <c r="A455" s="984" t="s">
        <v>6176</v>
      </c>
      <c r="B455" s="984" t="s">
        <v>7533</v>
      </c>
      <c r="C455" s="985">
        <v>1596929676</v>
      </c>
      <c r="D455" s="986">
        <v>14510.734</v>
      </c>
    </row>
    <row r="456" spans="1:4">
      <c r="A456" s="984" t="s">
        <v>5125</v>
      </c>
      <c r="B456" s="984" t="s">
        <v>340</v>
      </c>
      <c r="C456" s="985">
        <v>3397952055</v>
      </c>
      <c r="D456" s="986">
        <v>28520.587</v>
      </c>
    </row>
    <row r="457" spans="1:4">
      <c r="A457" s="984" t="s">
        <v>648</v>
      </c>
      <c r="B457" s="984" t="s">
        <v>353</v>
      </c>
      <c r="C457" s="985">
        <v>124048317</v>
      </c>
      <c r="D457" s="986">
        <v>2040.9</v>
      </c>
    </row>
    <row r="458" spans="1:4">
      <c r="A458" s="984" t="s">
        <v>780</v>
      </c>
      <c r="B458" s="984" t="s">
        <v>848</v>
      </c>
      <c r="C458" s="985">
        <v>2437376542</v>
      </c>
      <c r="D458" s="986">
        <v>9465.4770000000008</v>
      </c>
    </row>
    <row r="459" spans="1:4">
      <c r="A459" s="984" t="s">
        <v>6038</v>
      </c>
      <c r="B459" s="984" t="s">
        <v>2153</v>
      </c>
      <c r="C459" s="985">
        <v>2181969970</v>
      </c>
      <c r="D459" s="986">
        <v>25782.767</v>
      </c>
    </row>
    <row r="460" spans="1:4">
      <c r="A460" s="984" t="s">
        <v>3096</v>
      </c>
      <c r="B460" s="984" t="s">
        <v>4065</v>
      </c>
      <c r="C460" s="985">
        <v>1773879770</v>
      </c>
      <c r="D460" s="986">
        <v>16426.579000000002</v>
      </c>
    </row>
    <row r="461" spans="1:4">
      <c r="A461" s="984" t="s">
        <v>6040</v>
      </c>
      <c r="B461" s="984" t="s">
        <v>184</v>
      </c>
      <c r="C461" s="985">
        <v>91063508</v>
      </c>
      <c r="D461" s="986">
        <v>579.62</v>
      </c>
    </row>
    <row r="462" spans="1:4">
      <c r="A462" s="984" t="s">
        <v>3097</v>
      </c>
      <c r="B462" s="984" t="s">
        <v>503</v>
      </c>
      <c r="C462" s="985">
        <v>70657102</v>
      </c>
      <c r="D462" s="986">
        <v>867.8180000000001</v>
      </c>
    </row>
    <row r="463" spans="1:4">
      <c r="A463" s="984" t="s">
        <v>2419</v>
      </c>
      <c r="B463" s="984" t="s">
        <v>5372</v>
      </c>
      <c r="C463" s="985">
        <v>418304817</v>
      </c>
      <c r="D463" s="986">
        <v>4375.1400000000003</v>
      </c>
    </row>
    <row r="464" spans="1:4">
      <c r="A464" s="984" t="s">
        <v>2608</v>
      </c>
      <c r="B464" s="984" t="s">
        <v>324</v>
      </c>
      <c r="C464" s="985">
        <v>48305735</v>
      </c>
      <c r="D464" s="986">
        <v>276.858</v>
      </c>
    </row>
    <row r="465" spans="1:4">
      <c r="A465" s="984" t="s">
        <v>448</v>
      </c>
      <c r="B465" s="984" t="s">
        <v>6096</v>
      </c>
      <c r="C465" s="985">
        <v>54018416</v>
      </c>
      <c r="D465" s="986">
        <v>226.05100000000002</v>
      </c>
    </row>
    <row r="466" spans="1:4">
      <c r="A466" s="984" t="s">
        <v>243</v>
      </c>
      <c r="B466" s="984" t="s">
        <v>5246</v>
      </c>
      <c r="C466" s="985">
        <v>97086688</v>
      </c>
      <c r="D466" s="986">
        <v>260.39400000000001</v>
      </c>
    </row>
    <row r="467" spans="1:4">
      <c r="A467" s="984" t="s">
        <v>1868</v>
      </c>
      <c r="B467" s="984" t="s">
        <v>3847</v>
      </c>
      <c r="C467" s="985">
        <v>521986349</v>
      </c>
      <c r="D467" s="986">
        <v>1736.9749999999999</v>
      </c>
    </row>
    <row r="468" spans="1:4">
      <c r="A468" s="984" t="s">
        <v>3098</v>
      </c>
      <c r="B468" s="984" t="s">
        <v>3852</v>
      </c>
      <c r="C468" s="985">
        <v>67794724</v>
      </c>
      <c r="D468" s="986">
        <v>376.34100000000001</v>
      </c>
    </row>
    <row r="469" spans="1:4">
      <c r="A469" s="984" t="s">
        <v>6022</v>
      </c>
      <c r="B469" s="984" t="s">
        <v>1907</v>
      </c>
      <c r="C469" s="985">
        <v>202488086</v>
      </c>
      <c r="D469" s="986">
        <v>665.37200000000007</v>
      </c>
    </row>
    <row r="470" spans="1:4">
      <c r="A470" s="984" t="s">
        <v>2610</v>
      </c>
      <c r="B470" s="984" t="s">
        <v>326</v>
      </c>
      <c r="C470" s="985">
        <v>34061455</v>
      </c>
      <c r="D470" s="986">
        <v>85.581000000000003</v>
      </c>
    </row>
    <row r="471" spans="1:4">
      <c r="A471" s="984" t="s">
        <v>2612</v>
      </c>
      <c r="B471" s="984" t="s">
        <v>504</v>
      </c>
      <c r="C471" s="985">
        <v>22323849</v>
      </c>
      <c r="D471" s="986">
        <v>153.72200000000001</v>
      </c>
    </row>
    <row r="472" spans="1:4">
      <c r="A472" s="984" t="s">
        <v>782</v>
      </c>
      <c r="B472" s="984" t="s">
        <v>849</v>
      </c>
      <c r="C472" s="985">
        <v>532964164</v>
      </c>
      <c r="D472" s="986">
        <v>1414.164</v>
      </c>
    </row>
    <row r="473" spans="1:4">
      <c r="A473" s="984" t="s">
        <v>2614</v>
      </c>
      <c r="B473" s="984" t="s">
        <v>7686</v>
      </c>
      <c r="C473" s="985">
        <v>52154780</v>
      </c>
      <c r="D473" s="986">
        <v>241.74800000000002</v>
      </c>
    </row>
    <row r="474" spans="1:4">
      <c r="A474" s="984" t="s">
        <v>2468</v>
      </c>
      <c r="B474" s="984" t="s">
        <v>7662</v>
      </c>
      <c r="C474" s="985">
        <v>136883782</v>
      </c>
      <c r="D474" s="986">
        <v>340.12800000000004</v>
      </c>
    </row>
    <row r="475" spans="1:4">
      <c r="A475" s="984" t="s">
        <v>2616</v>
      </c>
      <c r="B475" s="984" t="s">
        <v>336</v>
      </c>
      <c r="C475" s="985">
        <v>20748009</v>
      </c>
      <c r="D475" s="986">
        <v>168.624</v>
      </c>
    </row>
    <row r="476" spans="1:4">
      <c r="A476" s="984" t="s">
        <v>784</v>
      </c>
      <c r="B476" s="984" t="s">
        <v>850</v>
      </c>
      <c r="C476" s="985">
        <v>120850430</v>
      </c>
      <c r="D476" s="986">
        <v>227.73700000000002</v>
      </c>
    </row>
    <row r="477" spans="1:4">
      <c r="A477" s="984" t="s">
        <v>786</v>
      </c>
      <c r="B477" s="984" t="s">
        <v>7109</v>
      </c>
      <c r="C477" s="985">
        <v>1618339961</v>
      </c>
      <c r="D477" s="986">
        <v>2647.817</v>
      </c>
    </row>
    <row r="478" spans="1:4">
      <c r="A478" s="984" t="s">
        <v>788</v>
      </c>
      <c r="B478" s="984" t="s">
        <v>7110</v>
      </c>
      <c r="C478" s="985">
        <v>90711275</v>
      </c>
      <c r="D478" s="986">
        <v>301.56</v>
      </c>
    </row>
    <row r="479" spans="1:4">
      <c r="A479" s="984" t="s">
        <v>969</v>
      </c>
      <c r="B479" s="984" t="s">
        <v>2344</v>
      </c>
      <c r="C479" s="985">
        <v>106105028</v>
      </c>
      <c r="D479" s="986">
        <v>338.76400000000001</v>
      </c>
    </row>
    <row r="480" spans="1:4">
      <c r="A480" s="984" t="s">
        <v>790</v>
      </c>
      <c r="B480" s="984" t="s">
        <v>7111</v>
      </c>
      <c r="C480" s="985">
        <v>1593430193</v>
      </c>
      <c r="D480" s="986">
        <v>579.81200000000001</v>
      </c>
    </row>
    <row r="481" spans="1:4">
      <c r="A481" s="984" t="s">
        <v>792</v>
      </c>
      <c r="B481" s="984" t="s">
        <v>7112</v>
      </c>
      <c r="C481" s="985">
        <v>81251653</v>
      </c>
      <c r="D481" s="986">
        <v>183.27500000000001</v>
      </c>
    </row>
    <row r="482" spans="1:4">
      <c r="A482" s="984" t="s">
        <v>794</v>
      </c>
      <c r="B482" s="984" t="s">
        <v>7113</v>
      </c>
      <c r="C482" s="985">
        <v>4738669330</v>
      </c>
      <c r="D482" s="986">
        <v>6128.7880000000005</v>
      </c>
    </row>
    <row r="483" spans="1:4">
      <c r="A483" s="984" t="s">
        <v>2991</v>
      </c>
      <c r="B483" s="984" t="s">
        <v>193</v>
      </c>
      <c r="C483" s="985">
        <v>182222745</v>
      </c>
      <c r="D483" s="986">
        <v>257.20300000000003</v>
      </c>
    </row>
    <row r="484" spans="1:4">
      <c r="A484" s="984" t="s">
        <v>2413</v>
      </c>
      <c r="B484" s="984" t="s">
        <v>5366</v>
      </c>
      <c r="C484" s="985">
        <v>214898404</v>
      </c>
      <c r="D484" s="986">
        <v>591.26499999999999</v>
      </c>
    </row>
    <row r="485" spans="1:4">
      <c r="A485" s="984" t="s">
        <v>796</v>
      </c>
      <c r="B485" s="984" t="s">
        <v>7114</v>
      </c>
      <c r="C485" s="985">
        <v>1098022635</v>
      </c>
      <c r="D485" s="986">
        <v>3846.1190000000001</v>
      </c>
    </row>
    <row r="486" spans="1:4">
      <c r="A486" s="984" t="s">
        <v>2044</v>
      </c>
      <c r="B486" s="984" t="s">
        <v>991</v>
      </c>
      <c r="C486" s="985">
        <v>64511630</v>
      </c>
      <c r="D486" s="986">
        <v>385.58100000000002</v>
      </c>
    </row>
    <row r="487" spans="1:4">
      <c r="A487" s="984" t="s">
        <v>798</v>
      </c>
      <c r="B487" s="984" t="s">
        <v>7115</v>
      </c>
      <c r="C487" s="985">
        <v>89104903</v>
      </c>
      <c r="D487" s="986">
        <v>397.69800000000004</v>
      </c>
    </row>
    <row r="488" spans="1:4">
      <c r="A488" s="984" t="s">
        <v>2358</v>
      </c>
      <c r="B488" s="984" t="s">
        <v>499</v>
      </c>
      <c r="C488" s="985">
        <v>46799119</v>
      </c>
      <c r="D488" s="986">
        <v>230.07900000000001</v>
      </c>
    </row>
    <row r="489" spans="1:4">
      <c r="A489" s="984" t="s">
        <v>800</v>
      </c>
      <c r="B489" s="984" t="s">
        <v>7116</v>
      </c>
      <c r="C489" s="985">
        <v>136259011</v>
      </c>
      <c r="D489" s="986">
        <v>753.58699999999999</v>
      </c>
    </row>
    <row r="490" spans="1:4">
      <c r="A490" s="984" t="s">
        <v>802</v>
      </c>
      <c r="B490" s="984" t="s">
        <v>7117</v>
      </c>
      <c r="C490" s="985">
        <v>40287009</v>
      </c>
      <c r="D490" s="986">
        <v>239.006</v>
      </c>
    </row>
    <row r="491" spans="1:4">
      <c r="A491" s="984" t="s">
        <v>2046</v>
      </c>
      <c r="B491" s="984" t="s">
        <v>2357</v>
      </c>
      <c r="C491" s="985">
        <v>58711655</v>
      </c>
      <c r="D491" s="986">
        <v>213.87200000000001</v>
      </c>
    </row>
    <row r="492" spans="1:4">
      <c r="A492" s="984" t="s">
        <v>804</v>
      </c>
      <c r="B492" s="984" t="s">
        <v>7118</v>
      </c>
      <c r="C492" s="985">
        <v>390851915</v>
      </c>
      <c r="D492" s="986">
        <v>1305.721</v>
      </c>
    </row>
    <row r="493" spans="1:4">
      <c r="A493" s="984" t="s">
        <v>806</v>
      </c>
      <c r="B493" s="984" t="s">
        <v>7119</v>
      </c>
      <c r="C493" s="985">
        <v>252675752</v>
      </c>
      <c r="D493" s="986">
        <v>463.96899999999999</v>
      </c>
    </row>
    <row r="494" spans="1:4">
      <c r="A494" s="984" t="s">
        <v>808</v>
      </c>
      <c r="B494" s="984" t="s">
        <v>7120</v>
      </c>
      <c r="C494" s="985">
        <v>240582237</v>
      </c>
      <c r="D494" s="986">
        <v>476.14300000000003</v>
      </c>
    </row>
    <row r="495" spans="1:4">
      <c r="A495" s="984" t="s">
        <v>810</v>
      </c>
      <c r="B495" s="984" t="s">
        <v>7121</v>
      </c>
      <c r="C495" s="985">
        <v>140246341</v>
      </c>
      <c r="D495" s="986">
        <v>421.24400000000003</v>
      </c>
    </row>
    <row r="496" spans="1:4">
      <c r="A496" s="984" t="s">
        <v>667</v>
      </c>
      <c r="B496" s="984" t="s">
        <v>7122</v>
      </c>
      <c r="C496" s="985">
        <v>152899268</v>
      </c>
      <c r="D496" s="986">
        <v>293.80700000000002</v>
      </c>
    </row>
    <row r="497" spans="1:4">
      <c r="A497" s="984" t="s">
        <v>1707</v>
      </c>
      <c r="B497" s="984" t="s">
        <v>3864</v>
      </c>
      <c r="C497" s="985">
        <v>1029450792</v>
      </c>
      <c r="D497" s="986">
        <v>3609.3740000000003</v>
      </c>
    </row>
    <row r="498" spans="1:4">
      <c r="A498" s="984" t="s">
        <v>1709</v>
      </c>
      <c r="B498" s="984" t="s">
        <v>3865</v>
      </c>
      <c r="C498" s="985">
        <v>387703355</v>
      </c>
      <c r="D498" s="986">
        <v>735.02200000000005</v>
      </c>
    </row>
    <row r="499" spans="1:4">
      <c r="A499" s="984" t="s">
        <v>1711</v>
      </c>
      <c r="B499" s="984" t="s">
        <v>3866</v>
      </c>
      <c r="C499" s="985">
        <v>515561351</v>
      </c>
      <c r="D499" s="986">
        <v>653.58600000000001</v>
      </c>
    </row>
    <row r="500" spans="1:4">
      <c r="A500" s="984" t="s">
        <v>1713</v>
      </c>
      <c r="B500" s="984" t="s">
        <v>3867</v>
      </c>
      <c r="C500" s="985">
        <v>157390044</v>
      </c>
      <c r="D500" s="986">
        <v>493.108</v>
      </c>
    </row>
    <row r="501" spans="1:4">
      <c r="A501" s="984" t="s">
        <v>1330</v>
      </c>
      <c r="B501" s="984" t="s">
        <v>3868</v>
      </c>
      <c r="C501" s="985">
        <v>78224346</v>
      </c>
      <c r="D501" s="986">
        <v>141.69999999999999</v>
      </c>
    </row>
    <row r="502" spans="1:4">
      <c r="A502" s="984" t="s">
        <v>1332</v>
      </c>
      <c r="B502" s="984" t="s">
        <v>3869</v>
      </c>
      <c r="C502" s="985">
        <v>58532091</v>
      </c>
      <c r="D502" s="986">
        <v>88.6</v>
      </c>
    </row>
    <row r="503" spans="1:4">
      <c r="A503" s="984" t="s">
        <v>979</v>
      </c>
      <c r="B503" s="984" t="s">
        <v>6097</v>
      </c>
      <c r="C503" s="985">
        <v>345530129</v>
      </c>
      <c r="D503" s="986">
        <v>1416.578</v>
      </c>
    </row>
    <row r="504" spans="1:4">
      <c r="A504" s="984" t="s">
        <v>1334</v>
      </c>
      <c r="B504" s="984" t="s">
        <v>3870</v>
      </c>
      <c r="C504" s="985">
        <v>74892627</v>
      </c>
      <c r="D504" s="986">
        <v>453.03400000000005</v>
      </c>
    </row>
    <row r="505" spans="1:4">
      <c r="A505" s="984" t="s">
        <v>235</v>
      </c>
      <c r="B505" s="984" t="s">
        <v>2642</v>
      </c>
      <c r="C505" s="985">
        <v>424909938</v>
      </c>
      <c r="D505" s="986">
        <v>1482.6570000000002</v>
      </c>
    </row>
    <row r="506" spans="1:4">
      <c r="A506" s="984" t="s">
        <v>3961</v>
      </c>
      <c r="B506" s="984" t="s">
        <v>3871</v>
      </c>
      <c r="C506" s="985">
        <v>1567845247</v>
      </c>
      <c r="D506" s="986">
        <v>4433.7350000000006</v>
      </c>
    </row>
    <row r="507" spans="1:4">
      <c r="A507" s="984" t="s">
        <v>2359</v>
      </c>
      <c r="B507" s="984" t="s">
        <v>198</v>
      </c>
      <c r="C507" s="985">
        <v>215227020</v>
      </c>
      <c r="D507" s="986">
        <v>831.47200000000009</v>
      </c>
    </row>
    <row r="508" spans="1:4">
      <c r="A508" s="984" t="s">
        <v>650</v>
      </c>
      <c r="B508" s="984" t="s">
        <v>355</v>
      </c>
      <c r="C508" s="985">
        <v>667616250</v>
      </c>
      <c r="D508" s="986">
        <v>2334.9059999999999</v>
      </c>
    </row>
    <row r="509" spans="1:4">
      <c r="A509" s="984" t="s">
        <v>2127</v>
      </c>
      <c r="B509" s="984" t="s">
        <v>2007</v>
      </c>
      <c r="C509" s="985">
        <v>93770559</v>
      </c>
      <c r="D509" s="986">
        <v>581.12700000000007</v>
      </c>
    </row>
    <row r="510" spans="1:4">
      <c r="A510" s="984" t="s">
        <v>3963</v>
      </c>
      <c r="B510" s="984" t="s">
        <v>3872</v>
      </c>
      <c r="C510" s="985">
        <v>73616372</v>
      </c>
      <c r="D510" s="986">
        <v>372.00800000000004</v>
      </c>
    </row>
    <row r="511" spans="1:4">
      <c r="A511" s="984" t="s">
        <v>953</v>
      </c>
      <c r="B511" s="984" t="s">
        <v>7658</v>
      </c>
      <c r="C511" s="985">
        <v>117500732</v>
      </c>
      <c r="D511" s="986">
        <v>554.29499999999996</v>
      </c>
    </row>
    <row r="512" spans="1:4">
      <c r="A512" s="984" t="s">
        <v>971</v>
      </c>
      <c r="B512" s="984" t="s">
        <v>7663</v>
      </c>
      <c r="C512" s="985">
        <v>16435061</v>
      </c>
      <c r="D512" s="986">
        <v>483.05700000000002</v>
      </c>
    </row>
    <row r="513" spans="1:4">
      <c r="A513" s="984" t="s">
        <v>3965</v>
      </c>
      <c r="B513" s="984" t="s">
        <v>3873</v>
      </c>
      <c r="C513" s="985">
        <v>548516238</v>
      </c>
      <c r="D513" s="986">
        <v>2514.9250000000002</v>
      </c>
    </row>
    <row r="514" spans="1:4">
      <c r="A514" s="984" t="s">
        <v>3967</v>
      </c>
      <c r="B514" s="984" t="s">
        <v>3683</v>
      </c>
      <c r="C514" s="985">
        <v>155661946</v>
      </c>
      <c r="D514" s="986">
        <v>752.09500000000003</v>
      </c>
    </row>
    <row r="515" spans="1:4">
      <c r="A515" s="984" t="s">
        <v>3969</v>
      </c>
      <c r="B515" s="984" t="s">
        <v>3685</v>
      </c>
      <c r="C515" s="985">
        <v>966506778</v>
      </c>
      <c r="D515" s="986">
        <v>566.13</v>
      </c>
    </row>
    <row r="516" spans="1:4">
      <c r="A516" s="984" t="s">
        <v>757</v>
      </c>
      <c r="B516" s="984" t="s">
        <v>3057</v>
      </c>
      <c r="C516" s="985">
        <v>56598485</v>
      </c>
      <c r="D516" s="986">
        <v>76.694999999999993</v>
      </c>
    </row>
    <row r="517" spans="1:4">
      <c r="A517" s="984" t="s">
        <v>759</v>
      </c>
      <c r="B517" s="984" t="s">
        <v>3688</v>
      </c>
      <c r="C517" s="985">
        <v>691306631</v>
      </c>
      <c r="D517" s="986">
        <v>323.62</v>
      </c>
    </row>
    <row r="518" spans="1:4">
      <c r="A518" s="984" t="s">
        <v>69</v>
      </c>
      <c r="B518" s="984" t="s">
        <v>3059</v>
      </c>
      <c r="C518" s="985">
        <v>149877597</v>
      </c>
      <c r="D518" s="986">
        <v>185.99700000000001</v>
      </c>
    </row>
    <row r="519" spans="1:4">
      <c r="A519" s="984" t="s">
        <v>71</v>
      </c>
      <c r="B519" s="984" t="s">
        <v>3060</v>
      </c>
      <c r="C519" s="985">
        <v>764081987</v>
      </c>
      <c r="D519" s="986">
        <v>888.024</v>
      </c>
    </row>
    <row r="520" spans="1:4">
      <c r="A520" s="984" t="s">
        <v>73</v>
      </c>
      <c r="B520" s="984" t="s">
        <v>3692</v>
      </c>
      <c r="C520" s="985">
        <v>375820106</v>
      </c>
      <c r="D520" s="986">
        <v>347.61</v>
      </c>
    </row>
    <row r="521" spans="1:4">
      <c r="A521" s="984" t="s">
        <v>75</v>
      </c>
      <c r="B521" s="984" t="s">
        <v>3062</v>
      </c>
      <c r="C521" s="985">
        <v>403073176</v>
      </c>
      <c r="D521" s="986">
        <v>1298.4740000000002</v>
      </c>
    </row>
    <row r="522" spans="1:4">
      <c r="A522" s="984" t="s">
        <v>1316</v>
      </c>
      <c r="B522" s="984" t="s">
        <v>121</v>
      </c>
      <c r="C522" s="985">
        <v>162289562</v>
      </c>
      <c r="D522" s="986">
        <v>627.85700000000008</v>
      </c>
    </row>
    <row r="523" spans="1:4">
      <c r="A523" s="984" t="s">
        <v>2600</v>
      </c>
      <c r="B523" s="984" t="s">
        <v>3063</v>
      </c>
      <c r="C523" s="985">
        <v>520751902</v>
      </c>
      <c r="D523" s="986">
        <v>1074.8990000000001</v>
      </c>
    </row>
    <row r="524" spans="1:4">
      <c r="A524" s="984" t="s">
        <v>7133</v>
      </c>
      <c r="B524" s="984" t="s">
        <v>3064</v>
      </c>
      <c r="C524" s="985">
        <v>183679000</v>
      </c>
      <c r="D524" s="986">
        <v>383.66200000000003</v>
      </c>
    </row>
    <row r="525" spans="1:4">
      <c r="A525" s="984" t="s">
        <v>961</v>
      </c>
      <c r="B525" s="984" t="s">
        <v>2145</v>
      </c>
      <c r="C525" s="985">
        <v>255006508</v>
      </c>
      <c r="D525" s="986">
        <v>1439.999</v>
      </c>
    </row>
    <row r="526" spans="1:4">
      <c r="A526" s="984" t="s">
        <v>6024</v>
      </c>
      <c r="B526" s="984" t="s">
        <v>1909</v>
      </c>
      <c r="C526" s="985">
        <v>701587473</v>
      </c>
      <c r="D526" s="986">
        <v>2548.0730000000003</v>
      </c>
    </row>
    <row r="527" spans="1:4">
      <c r="A527" s="984" t="s">
        <v>6034</v>
      </c>
      <c r="B527" s="984" t="s">
        <v>1922</v>
      </c>
      <c r="C527" s="985">
        <v>197179153</v>
      </c>
      <c r="D527" s="986">
        <v>1349.4280000000001</v>
      </c>
    </row>
    <row r="528" spans="1:4">
      <c r="A528" s="984" t="s">
        <v>7135</v>
      </c>
      <c r="B528" s="984" t="s">
        <v>3065</v>
      </c>
      <c r="C528" s="985">
        <v>354525647</v>
      </c>
      <c r="D528" s="986">
        <v>397.99400000000003</v>
      </c>
    </row>
    <row r="529" spans="1:4">
      <c r="A529" s="984" t="s">
        <v>7137</v>
      </c>
      <c r="B529" s="984" t="s">
        <v>3066</v>
      </c>
      <c r="C529" s="985">
        <v>168264457</v>
      </c>
      <c r="D529" s="986">
        <v>283.67</v>
      </c>
    </row>
    <row r="530" spans="1:4">
      <c r="A530" s="984" t="s">
        <v>7139</v>
      </c>
      <c r="B530" s="984" t="s">
        <v>3067</v>
      </c>
      <c r="C530" s="985">
        <v>36560121</v>
      </c>
      <c r="D530" s="986">
        <v>46.42</v>
      </c>
    </row>
    <row r="531" spans="1:4">
      <c r="A531" s="984" t="s">
        <v>6178</v>
      </c>
      <c r="B531" s="984" t="s">
        <v>3519</v>
      </c>
      <c r="C531" s="985">
        <v>1897677878</v>
      </c>
      <c r="D531" s="986">
        <v>4727.0010000000002</v>
      </c>
    </row>
    <row r="532" spans="1:4">
      <c r="A532" s="984" t="s">
        <v>7145</v>
      </c>
      <c r="B532" s="984" t="s">
        <v>3068</v>
      </c>
      <c r="C532" s="985">
        <v>4376458960</v>
      </c>
      <c r="D532" s="986">
        <v>7984.2710000000006</v>
      </c>
    </row>
    <row r="533" spans="1:4">
      <c r="A533" s="984" t="s">
        <v>7147</v>
      </c>
      <c r="B533" s="984" t="s">
        <v>3069</v>
      </c>
      <c r="C533" s="985">
        <v>2752748497</v>
      </c>
      <c r="D533" s="986">
        <v>4384.5280000000002</v>
      </c>
    </row>
    <row r="534" spans="1:4">
      <c r="A534" s="984" t="s">
        <v>2808</v>
      </c>
      <c r="B534" s="984" t="s">
        <v>3054</v>
      </c>
      <c r="C534" s="985">
        <v>8788794079</v>
      </c>
      <c r="D534" s="986">
        <v>18183.240000000002</v>
      </c>
    </row>
    <row r="535" spans="1:4">
      <c r="A535" s="984" t="s">
        <v>2810</v>
      </c>
      <c r="B535" s="984" t="s">
        <v>6648</v>
      </c>
      <c r="C535" s="985">
        <v>609171717</v>
      </c>
      <c r="D535" s="986">
        <v>309.101</v>
      </c>
    </row>
    <row r="536" spans="1:4">
      <c r="A536" s="984" t="s">
        <v>1859</v>
      </c>
      <c r="B536" s="984" t="s">
        <v>3916</v>
      </c>
      <c r="C536" s="985">
        <v>623170332</v>
      </c>
      <c r="D536" s="986">
        <v>1650.5260000000001</v>
      </c>
    </row>
    <row r="537" spans="1:4">
      <c r="A537" s="984" t="s">
        <v>2812</v>
      </c>
      <c r="B537" s="984" t="s">
        <v>6649</v>
      </c>
      <c r="C537" s="985">
        <v>413865073</v>
      </c>
      <c r="D537" s="986">
        <v>1027.183</v>
      </c>
    </row>
    <row r="538" spans="1:4">
      <c r="A538" s="984" t="s">
        <v>820</v>
      </c>
      <c r="B538" s="984" t="s">
        <v>1843</v>
      </c>
      <c r="C538" s="985">
        <v>1086514257</v>
      </c>
      <c r="D538" s="986">
        <v>4725.58</v>
      </c>
    </row>
    <row r="539" spans="1:4">
      <c r="A539" s="984" t="s">
        <v>127</v>
      </c>
      <c r="B539" s="984" t="s">
        <v>7655</v>
      </c>
      <c r="C539" s="985">
        <v>70626098</v>
      </c>
      <c r="D539" s="986">
        <v>556.11900000000003</v>
      </c>
    </row>
    <row r="540" spans="1:4">
      <c r="A540" s="984" t="s">
        <v>6189</v>
      </c>
      <c r="B540" s="984" t="s">
        <v>3625</v>
      </c>
      <c r="C540" s="985">
        <v>204397033</v>
      </c>
      <c r="D540" s="986">
        <v>1690.5310000000002</v>
      </c>
    </row>
    <row r="541" spans="1:4">
      <c r="A541" s="984" t="s">
        <v>5130</v>
      </c>
      <c r="B541" s="984" t="s">
        <v>349</v>
      </c>
      <c r="C541" s="985">
        <v>148352040</v>
      </c>
      <c r="D541" s="986">
        <v>545.76499999999999</v>
      </c>
    </row>
    <row r="542" spans="1:4">
      <c r="A542" s="984" t="s">
        <v>2815</v>
      </c>
      <c r="B542" s="984" t="s">
        <v>6650</v>
      </c>
      <c r="C542" s="985">
        <v>48061445</v>
      </c>
      <c r="D542" s="986">
        <v>107.69200000000001</v>
      </c>
    </row>
    <row r="543" spans="1:4">
      <c r="A543" s="984" t="s">
        <v>3888</v>
      </c>
      <c r="B543" s="984" t="s">
        <v>7678</v>
      </c>
      <c r="C543" s="985">
        <v>1536036178</v>
      </c>
      <c r="D543" s="986">
        <v>3249.13</v>
      </c>
    </row>
    <row r="544" spans="1:4">
      <c r="A544" s="984" t="s">
        <v>977</v>
      </c>
      <c r="B544" s="984" t="s">
        <v>2147</v>
      </c>
      <c r="C544" s="985">
        <v>3413672292</v>
      </c>
      <c r="D544" s="986">
        <v>9396.6760000000013</v>
      </c>
    </row>
    <row r="545" spans="1:4">
      <c r="A545" s="984" t="s">
        <v>739</v>
      </c>
      <c r="B545" s="984" t="s">
        <v>6113</v>
      </c>
      <c r="C545" s="985">
        <v>2956444927</v>
      </c>
      <c r="D545" s="986">
        <v>6378.6640000000007</v>
      </c>
    </row>
    <row r="546" spans="1:4">
      <c r="A546" s="984" t="s">
        <v>1855</v>
      </c>
      <c r="B546" s="984" t="s">
        <v>4968</v>
      </c>
      <c r="C546" s="985">
        <v>330864545</v>
      </c>
      <c r="D546" s="986">
        <v>1029.3050000000001</v>
      </c>
    </row>
    <row r="547" spans="1:4">
      <c r="A547" s="984" t="s">
        <v>6025</v>
      </c>
      <c r="B547" s="984" t="s">
        <v>1910</v>
      </c>
      <c r="C547" s="985">
        <v>1517358150</v>
      </c>
      <c r="D547" s="986">
        <v>4515.6210000000001</v>
      </c>
    </row>
    <row r="548" spans="1:4">
      <c r="A548" s="984" t="s">
        <v>2817</v>
      </c>
      <c r="B548" s="984" t="s">
        <v>6651</v>
      </c>
      <c r="C548" s="985">
        <v>173507370</v>
      </c>
      <c r="D548" s="986">
        <v>775.69600000000003</v>
      </c>
    </row>
    <row r="549" spans="1:4">
      <c r="A549" s="984" t="s">
        <v>128</v>
      </c>
      <c r="B549" s="984" t="s">
        <v>362</v>
      </c>
      <c r="C549" s="985">
        <v>288182390</v>
      </c>
      <c r="D549" s="986">
        <v>817.14200000000005</v>
      </c>
    </row>
    <row r="550" spans="1:4">
      <c r="A550" s="984" t="s">
        <v>3551</v>
      </c>
      <c r="B550" s="984" t="s">
        <v>7131</v>
      </c>
      <c r="C550" s="985">
        <v>390148310</v>
      </c>
      <c r="D550" s="986">
        <v>1753.5130000000001</v>
      </c>
    </row>
    <row r="551" spans="1:4">
      <c r="A551" s="984" t="s">
        <v>1851</v>
      </c>
      <c r="B551" s="984" t="s">
        <v>126</v>
      </c>
      <c r="C551" s="985">
        <v>1336372072</v>
      </c>
      <c r="D551" s="986">
        <v>1500.587</v>
      </c>
    </row>
    <row r="552" spans="1:4">
      <c r="A552" s="984" t="s">
        <v>267</v>
      </c>
      <c r="B552" s="984" t="s">
        <v>7684</v>
      </c>
      <c r="C552" s="985">
        <v>125174176</v>
      </c>
      <c r="D552" s="986">
        <v>644.92200000000003</v>
      </c>
    </row>
    <row r="553" spans="1:4">
      <c r="A553" s="984" t="s">
        <v>2819</v>
      </c>
      <c r="B553" s="984" t="s">
        <v>6652</v>
      </c>
      <c r="C553" s="985">
        <v>144593132</v>
      </c>
      <c r="D553" s="986">
        <v>463.488</v>
      </c>
    </row>
    <row r="554" spans="1:4">
      <c r="A554" s="984" t="s">
        <v>1863</v>
      </c>
      <c r="B554" s="984" t="s">
        <v>3839</v>
      </c>
      <c r="C554" s="985">
        <v>96316258</v>
      </c>
      <c r="D554" s="986">
        <v>684.07400000000007</v>
      </c>
    </row>
    <row r="555" spans="1:4">
      <c r="A555" s="984" t="s">
        <v>449</v>
      </c>
      <c r="B555" s="984" t="s">
        <v>6155</v>
      </c>
      <c r="C555" s="985">
        <v>63512653</v>
      </c>
      <c r="D555" s="986">
        <v>109.16600000000001</v>
      </c>
    </row>
    <row r="556" spans="1:4">
      <c r="A556" s="984" t="s">
        <v>5138</v>
      </c>
      <c r="B556" s="984" t="s">
        <v>2354</v>
      </c>
      <c r="C556" s="985">
        <v>78667011</v>
      </c>
      <c r="D556" s="986">
        <v>579.26</v>
      </c>
    </row>
    <row r="557" spans="1:4">
      <c r="A557" s="984" t="s">
        <v>6027</v>
      </c>
      <c r="B557" s="984" t="s">
        <v>1912</v>
      </c>
      <c r="C557" s="985">
        <v>262930069</v>
      </c>
      <c r="D557" s="986">
        <v>913.93600000000004</v>
      </c>
    </row>
    <row r="558" spans="1:4">
      <c r="A558" s="984" t="s">
        <v>450</v>
      </c>
      <c r="B558" s="984" t="s">
        <v>1917</v>
      </c>
      <c r="C558" s="985">
        <v>151689649</v>
      </c>
      <c r="D558" s="986">
        <v>602.14300000000003</v>
      </c>
    </row>
    <row r="559" spans="1:4">
      <c r="A559" s="984" t="s">
        <v>516</v>
      </c>
      <c r="B559" s="984" t="s">
        <v>6653</v>
      </c>
      <c r="C559" s="985">
        <v>70242884</v>
      </c>
      <c r="D559" s="986">
        <v>285.88100000000003</v>
      </c>
    </row>
    <row r="560" spans="1:4">
      <c r="A560" s="984" t="s">
        <v>1525</v>
      </c>
      <c r="B560" s="984" t="s">
        <v>1931</v>
      </c>
      <c r="C560" s="985">
        <v>81508445</v>
      </c>
      <c r="D560" s="986">
        <v>334.43700000000001</v>
      </c>
    </row>
    <row r="561" spans="1:4">
      <c r="A561" s="984" t="s">
        <v>244</v>
      </c>
      <c r="B561" s="984" t="s">
        <v>1665</v>
      </c>
      <c r="C561" s="985">
        <v>538762508</v>
      </c>
      <c r="D561" s="986">
        <v>2701.9970000000003</v>
      </c>
    </row>
    <row r="562" spans="1:4">
      <c r="A562" s="984" t="s">
        <v>1308</v>
      </c>
      <c r="B562" s="984" t="s">
        <v>113</v>
      </c>
      <c r="C562" s="985">
        <v>2268190493</v>
      </c>
      <c r="D562" s="986">
        <v>7735.02</v>
      </c>
    </row>
    <row r="563" spans="1:4">
      <c r="A563" s="984" t="s">
        <v>6029</v>
      </c>
      <c r="B563" s="984" t="s">
        <v>1914</v>
      </c>
      <c r="C563" s="985">
        <v>618157206</v>
      </c>
      <c r="D563" s="986">
        <v>3450.2820000000002</v>
      </c>
    </row>
    <row r="564" spans="1:4">
      <c r="A564" s="984" t="s">
        <v>6031</v>
      </c>
      <c r="B564" s="984" t="s">
        <v>1916</v>
      </c>
      <c r="C564" s="985">
        <v>329944384</v>
      </c>
      <c r="D564" s="986">
        <v>1442.8790000000001</v>
      </c>
    </row>
    <row r="565" spans="1:4">
      <c r="A565" s="984" t="s">
        <v>5628</v>
      </c>
      <c r="B565" s="984" t="s">
        <v>6654</v>
      </c>
      <c r="C565" s="985">
        <v>1025263785</v>
      </c>
      <c r="D565" s="986">
        <v>3067.9410000000003</v>
      </c>
    </row>
    <row r="566" spans="1:4">
      <c r="A566" s="984" t="s">
        <v>5630</v>
      </c>
      <c r="B566" s="984" t="s">
        <v>6655</v>
      </c>
      <c r="C566" s="985">
        <v>1322256452</v>
      </c>
      <c r="D566" s="986">
        <v>3794.8560000000002</v>
      </c>
    </row>
    <row r="567" spans="1:4">
      <c r="A567" s="984" t="s">
        <v>2395</v>
      </c>
      <c r="B567" s="984" t="s">
        <v>1462</v>
      </c>
      <c r="C567" s="985">
        <v>157900314</v>
      </c>
      <c r="D567" s="986">
        <v>872.00400000000002</v>
      </c>
    </row>
    <row r="568" spans="1:4">
      <c r="A568" s="984" t="s">
        <v>5632</v>
      </c>
      <c r="B568" s="984" t="s">
        <v>6656</v>
      </c>
      <c r="C568" s="985">
        <v>4477920918</v>
      </c>
      <c r="D568" s="986">
        <v>6349.5650000000005</v>
      </c>
    </row>
    <row r="569" spans="1:4">
      <c r="A569" s="984" t="s">
        <v>6147</v>
      </c>
      <c r="B569" s="984" t="s">
        <v>6657</v>
      </c>
      <c r="C569" s="985">
        <v>647108316</v>
      </c>
      <c r="D569" s="986">
        <v>1087.8820000000001</v>
      </c>
    </row>
    <row r="570" spans="1:4">
      <c r="A570" s="984" t="s">
        <v>5612</v>
      </c>
      <c r="B570" s="984" t="s">
        <v>6658</v>
      </c>
      <c r="C570" s="985">
        <v>1067504452</v>
      </c>
      <c r="D570" s="986">
        <v>72.302000000000007</v>
      </c>
    </row>
    <row r="571" spans="1:4">
      <c r="A571" s="984" t="s">
        <v>1419</v>
      </c>
      <c r="B571" s="984" t="s">
        <v>6659</v>
      </c>
      <c r="C571" s="985">
        <v>672412247</v>
      </c>
      <c r="D571" s="986">
        <v>140.28700000000001</v>
      </c>
    </row>
    <row r="572" spans="1:4">
      <c r="A572" s="984" t="s">
        <v>2469</v>
      </c>
      <c r="B572" s="984" t="s">
        <v>6105</v>
      </c>
      <c r="C572" s="985">
        <v>218300822</v>
      </c>
      <c r="D572" s="986">
        <v>597.40200000000004</v>
      </c>
    </row>
    <row r="573" spans="1:4">
      <c r="A573" s="984" t="s">
        <v>1421</v>
      </c>
      <c r="B573" s="984" t="s">
        <v>6660</v>
      </c>
      <c r="C573" s="985">
        <v>301602058</v>
      </c>
      <c r="D573" s="986">
        <v>161.61600000000001</v>
      </c>
    </row>
    <row r="574" spans="1:4">
      <c r="A574" s="984" t="s">
        <v>1423</v>
      </c>
      <c r="B574" s="984" t="s">
        <v>6661</v>
      </c>
      <c r="C574" s="985">
        <v>2205428089</v>
      </c>
      <c r="D574" s="986">
        <v>4499.3090000000002</v>
      </c>
    </row>
    <row r="575" spans="1:4">
      <c r="A575" s="984" t="s">
        <v>1425</v>
      </c>
      <c r="B575" s="984" t="s">
        <v>6662</v>
      </c>
      <c r="C575" s="985">
        <v>431962957</v>
      </c>
      <c r="D575" s="986">
        <v>970.64600000000007</v>
      </c>
    </row>
    <row r="576" spans="1:4">
      <c r="A576" s="984" t="s">
        <v>7151</v>
      </c>
      <c r="B576" s="984" t="s">
        <v>6663</v>
      </c>
      <c r="C576" s="985">
        <v>51573337</v>
      </c>
      <c r="D576" s="986">
        <v>20.697000000000003</v>
      </c>
    </row>
    <row r="577" spans="1:4">
      <c r="A577" s="984" t="s">
        <v>7153</v>
      </c>
      <c r="B577" s="984" t="s">
        <v>6664</v>
      </c>
      <c r="C577" s="985">
        <v>315785558</v>
      </c>
      <c r="D577" s="986">
        <v>638.50800000000004</v>
      </c>
    </row>
    <row r="578" spans="1:4">
      <c r="A578" s="984" t="s">
        <v>6426</v>
      </c>
      <c r="B578" s="984" t="s">
        <v>6665</v>
      </c>
      <c r="C578" s="985">
        <v>268322671</v>
      </c>
      <c r="D578" s="986">
        <v>110.48400000000001</v>
      </c>
    </row>
    <row r="579" spans="1:4">
      <c r="A579" s="984" t="s">
        <v>1835</v>
      </c>
      <c r="B579" s="984" t="s">
        <v>6666</v>
      </c>
      <c r="C579" s="985">
        <v>165975930</v>
      </c>
      <c r="D579" s="986">
        <v>583.904</v>
      </c>
    </row>
    <row r="580" spans="1:4">
      <c r="A580" s="984" t="s">
        <v>510</v>
      </c>
      <c r="B580" s="984" t="s">
        <v>1921</v>
      </c>
      <c r="C580" s="985">
        <v>701916301</v>
      </c>
      <c r="D580" s="986">
        <v>3513.3990000000003</v>
      </c>
    </row>
    <row r="581" spans="1:4">
      <c r="A581" s="984" t="s">
        <v>3530</v>
      </c>
      <c r="B581" s="984" t="s">
        <v>6667</v>
      </c>
      <c r="C581" s="985">
        <v>134697380</v>
      </c>
      <c r="D581" s="986">
        <v>609.65100000000007</v>
      </c>
    </row>
    <row r="582" spans="1:4">
      <c r="A582" s="984" t="s">
        <v>3532</v>
      </c>
      <c r="B582" s="984" t="s">
        <v>6668</v>
      </c>
      <c r="C582" s="985">
        <v>272125098</v>
      </c>
      <c r="D582" s="986">
        <v>445.19600000000003</v>
      </c>
    </row>
    <row r="583" spans="1:4">
      <c r="A583" s="984" t="s">
        <v>3534</v>
      </c>
      <c r="B583" s="984" t="s">
        <v>6669</v>
      </c>
      <c r="C583" s="985">
        <v>180386496</v>
      </c>
      <c r="D583" s="986">
        <v>368.50300000000004</v>
      </c>
    </row>
    <row r="584" spans="1:4">
      <c r="A584" s="984" t="s">
        <v>511</v>
      </c>
      <c r="B584" s="984" t="s">
        <v>5639</v>
      </c>
      <c r="C584" s="985">
        <v>79650501</v>
      </c>
      <c r="D584" s="986">
        <v>256.38600000000002</v>
      </c>
    </row>
    <row r="585" spans="1:4">
      <c r="A585" s="984" t="s">
        <v>3539</v>
      </c>
      <c r="B585" s="984" t="s">
        <v>6670</v>
      </c>
      <c r="C585" s="985">
        <v>46894718</v>
      </c>
      <c r="D585" s="986">
        <v>339.14300000000003</v>
      </c>
    </row>
    <row r="586" spans="1:4">
      <c r="A586" s="984" t="s">
        <v>3541</v>
      </c>
      <c r="B586" s="984" t="s">
        <v>6671</v>
      </c>
      <c r="C586" s="985">
        <v>27477535</v>
      </c>
      <c r="D586" s="986">
        <v>68.805000000000007</v>
      </c>
    </row>
    <row r="587" spans="1:4">
      <c r="A587" s="984" t="s">
        <v>3543</v>
      </c>
      <c r="B587" s="984" t="s">
        <v>278</v>
      </c>
      <c r="C587" s="985">
        <v>777768535</v>
      </c>
      <c r="D587" s="986">
        <v>786.34199999999998</v>
      </c>
    </row>
    <row r="588" spans="1:4">
      <c r="A588" s="984" t="s">
        <v>129</v>
      </c>
      <c r="B588" s="984" t="s">
        <v>372</v>
      </c>
      <c r="C588" s="985">
        <v>68661587</v>
      </c>
      <c r="D588" s="986">
        <v>181.59700000000001</v>
      </c>
    </row>
    <row r="589" spans="1:4">
      <c r="A589" s="984" t="s">
        <v>6193</v>
      </c>
      <c r="B589" s="984" t="s">
        <v>3891</v>
      </c>
      <c r="C589" s="985">
        <v>688736825</v>
      </c>
      <c r="D589" s="986">
        <v>3405.5650000000001</v>
      </c>
    </row>
    <row r="590" spans="1:4">
      <c r="A590" s="984" t="s">
        <v>2674</v>
      </c>
      <c r="B590" s="984" t="s">
        <v>279</v>
      </c>
      <c r="C590" s="985">
        <v>883027585</v>
      </c>
      <c r="D590" s="986">
        <v>2786.1680000000001</v>
      </c>
    </row>
    <row r="591" spans="1:4">
      <c r="A591" s="984" t="s">
        <v>512</v>
      </c>
      <c r="B591" s="984" t="s">
        <v>348</v>
      </c>
      <c r="C591" s="985">
        <v>198696093</v>
      </c>
      <c r="D591" s="986">
        <v>1054.3050000000001</v>
      </c>
    </row>
    <row r="592" spans="1:4">
      <c r="A592" s="984" t="s">
        <v>600</v>
      </c>
      <c r="B592" s="984" t="s">
        <v>280</v>
      </c>
      <c r="C592" s="985">
        <v>51219364</v>
      </c>
      <c r="D592" s="986">
        <v>156.87700000000001</v>
      </c>
    </row>
    <row r="593" spans="1:4">
      <c r="A593" s="984" t="s">
        <v>602</v>
      </c>
      <c r="B593" s="984" t="s">
        <v>281</v>
      </c>
      <c r="C593" s="985">
        <v>232482095</v>
      </c>
      <c r="D593" s="986">
        <v>1358.335</v>
      </c>
    </row>
    <row r="594" spans="1:4">
      <c r="A594" s="984" t="s">
        <v>6188</v>
      </c>
      <c r="B594" s="984" t="s">
        <v>3836</v>
      </c>
      <c r="C594" s="985">
        <v>145419367</v>
      </c>
      <c r="D594" s="986">
        <v>637.221</v>
      </c>
    </row>
    <row r="595" spans="1:4">
      <c r="A595" s="984" t="s">
        <v>2018</v>
      </c>
      <c r="B595" s="984" t="s">
        <v>283</v>
      </c>
      <c r="C595" s="985">
        <v>84397595</v>
      </c>
      <c r="D595" s="986">
        <v>365.08</v>
      </c>
    </row>
    <row r="596" spans="1:4">
      <c r="A596" s="984" t="s">
        <v>2020</v>
      </c>
      <c r="B596" s="984" t="s">
        <v>284</v>
      </c>
      <c r="C596" s="985">
        <v>368944497</v>
      </c>
      <c r="D596" s="986">
        <v>393.60500000000002</v>
      </c>
    </row>
    <row r="597" spans="1:4">
      <c r="A597" s="984" t="s">
        <v>2024</v>
      </c>
      <c r="B597" s="984" t="s">
        <v>285</v>
      </c>
      <c r="C597" s="985">
        <v>940798342</v>
      </c>
      <c r="D597" s="986">
        <v>3170.1710000000003</v>
      </c>
    </row>
    <row r="598" spans="1:4">
      <c r="A598" s="984" t="s">
        <v>2026</v>
      </c>
      <c r="B598" s="984" t="s">
        <v>286</v>
      </c>
      <c r="C598" s="985">
        <v>87100494</v>
      </c>
      <c r="D598" s="986">
        <v>285.53899999999999</v>
      </c>
    </row>
    <row r="599" spans="1:4">
      <c r="A599" s="984" t="s">
        <v>242</v>
      </c>
      <c r="B599" s="984" t="s">
        <v>2650</v>
      </c>
      <c r="C599" s="985">
        <v>527373512</v>
      </c>
      <c r="D599" s="986">
        <v>1084.749</v>
      </c>
    </row>
    <row r="600" spans="1:4">
      <c r="A600" s="984" t="s">
        <v>2028</v>
      </c>
      <c r="B600" s="984" t="s">
        <v>287</v>
      </c>
      <c r="C600" s="985">
        <v>617413066</v>
      </c>
      <c r="D600" s="986">
        <v>820.05900000000008</v>
      </c>
    </row>
    <row r="601" spans="1:4">
      <c r="A601" s="984" t="s">
        <v>2030</v>
      </c>
      <c r="B601" s="984" t="s">
        <v>288</v>
      </c>
      <c r="C601" s="985">
        <v>88370513</v>
      </c>
      <c r="D601" s="986">
        <v>295.52100000000002</v>
      </c>
    </row>
    <row r="602" spans="1:4">
      <c r="A602" s="984" t="s">
        <v>2032</v>
      </c>
      <c r="B602" s="984" t="s">
        <v>289</v>
      </c>
      <c r="C602" s="985">
        <v>202059993</v>
      </c>
      <c r="D602" s="986">
        <v>547.85800000000006</v>
      </c>
    </row>
    <row r="603" spans="1:4">
      <c r="A603" s="984" t="s">
        <v>2034</v>
      </c>
      <c r="B603" s="984" t="s">
        <v>290</v>
      </c>
      <c r="C603" s="985">
        <v>49719939</v>
      </c>
      <c r="D603" s="986">
        <v>88.555000000000007</v>
      </c>
    </row>
    <row r="604" spans="1:4">
      <c r="A604" s="984" t="s">
        <v>2036</v>
      </c>
      <c r="B604" s="984" t="s">
        <v>291</v>
      </c>
      <c r="C604" s="985">
        <v>51912528</v>
      </c>
      <c r="D604" s="986">
        <v>117.58200000000001</v>
      </c>
    </row>
    <row r="605" spans="1:4">
      <c r="A605" s="984" t="s">
        <v>308</v>
      </c>
      <c r="B605" s="984" t="s">
        <v>292</v>
      </c>
      <c r="C605" s="985">
        <v>91549286</v>
      </c>
      <c r="D605" s="986">
        <v>56.521000000000001</v>
      </c>
    </row>
    <row r="606" spans="1:4">
      <c r="A606" s="984" t="s">
        <v>310</v>
      </c>
      <c r="B606" s="984" t="s">
        <v>293</v>
      </c>
      <c r="C606" s="985">
        <v>775835576</v>
      </c>
      <c r="D606" s="986">
        <v>1760.009</v>
      </c>
    </row>
    <row r="607" spans="1:4">
      <c r="A607" s="984" t="s">
        <v>312</v>
      </c>
      <c r="B607" s="984" t="s">
        <v>294</v>
      </c>
      <c r="C607" s="985">
        <v>317110285</v>
      </c>
      <c r="D607" s="986">
        <v>866.59800000000007</v>
      </c>
    </row>
    <row r="608" spans="1:4">
      <c r="A608" s="984" t="s">
        <v>314</v>
      </c>
      <c r="B608" s="984" t="s">
        <v>295</v>
      </c>
      <c r="C608" s="985">
        <v>177309605</v>
      </c>
      <c r="D608" s="986">
        <v>164.92500000000001</v>
      </c>
    </row>
    <row r="609" spans="1:4">
      <c r="A609" s="984" t="s">
        <v>316</v>
      </c>
      <c r="B609" s="984" t="s">
        <v>296</v>
      </c>
      <c r="C609" s="985">
        <v>380511049</v>
      </c>
      <c r="D609" s="986">
        <v>843.92</v>
      </c>
    </row>
    <row r="610" spans="1:4">
      <c r="A610" s="984" t="s">
        <v>318</v>
      </c>
      <c r="B610" s="984" t="s">
        <v>297</v>
      </c>
      <c r="C610" s="985">
        <v>281850752</v>
      </c>
      <c r="D610" s="986">
        <v>669.61099999999999</v>
      </c>
    </row>
    <row r="611" spans="1:4">
      <c r="A611" s="984" t="s">
        <v>320</v>
      </c>
      <c r="B611" s="984" t="s">
        <v>298</v>
      </c>
      <c r="C611" s="985">
        <v>297555881</v>
      </c>
      <c r="D611" s="986">
        <v>476.67500000000001</v>
      </c>
    </row>
    <row r="612" spans="1:4">
      <c r="A612" s="984" t="s">
        <v>2319</v>
      </c>
      <c r="B612" s="984" t="s">
        <v>299</v>
      </c>
      <c r="C612" s="985">
        <v>183769062</v>
      </c>
      <c r="D612" s="986">
        <v>191.41</v>
      </c>
    </row>
    <row r="613" spans="1:4">
      <c r="A613" s="984" t="s">
        <v>2321</v>
      </c>
      <c r="B613" s="984" t="s">
        <v>300</v>
      </c>
      <c r="C613" s="985">
        <v>907733174</v>
      </c>
      <c r="D613" s="986">
        <v>706.01700000000005</v>
      </c>
    </row>
    <row r="614" spans="1:4">
      <c r="A614" s="984" t="s">
        <v>3178</v>
      </c>
      <c r="B614" s="984" t="s">
        <v>6114</v>
      </c>
      <c r="C614" s="985">
        <v>712266248</v>
      </c>
      <c r="D614" s="986">
        <v>3490.6930000000002</v>
      </c>
    </row>
    <row r="615" spans="1:4">
      <c r="A615" s="984" t="s">
        <v>249</v>
      </c>
      <c r="B615" s="984" t="s">
        <v>994</v>
      </c>
      <c r="C615" s="985">
        <v>1325954199</v>
      </c>
      <c r="D615" s="986">
        <v>4561.7840000000006</v>
      </c>
    </row>
    <row r="616" spans="1:4">
      <c r="A616" s="984" t="s">
        <v>2323</v>
      </c>
      <c r="B616" s="984" t="s">
        <v>301</v>
      </c>
      <c r="C616" s="985">
        <v>290242458</v>
      </c>
      <c r="D616" s="986">
        <v>159.233</v>
      </c>
    </row>
    <row r="617" spans="1:4">
      <c r="A617" s="984" t="s">
        <v>513</v>
      </c>
      <c r="B617" s="984" t="s">
        <v>3917</v>
      </c>
      <c r="C617" s="985">
        <v>253909615</v>
      </c>
      <c r="D617" s="986">
        <v>1157.729</v>
      </c>
    </row>
    <row r="618" spans="1:4">
      <c r="A618" s="984" t="s">
        <v>1872</v>
      </c>
      <c r="B618" s="984" t="s">
        <v>3855</v>
      </c>
      <c r="C618" s="985">
        <v>268632685</v>
      </c>
      <c r="D618" s="986">
        <v>466.83800000000002</v>
      </c>
    </row>
    <row r="619" spans="1:4">
      <c r="A619" s="984" t="s">
        <v>2325</v>
      </c>
      <c r="B619" s="984" t="s">
        <v>302</v>
      </c>
      <c r="C619" s="985">
        <v>720961153</v>
      </c>
      <c r="D619" s="986">
        <v>1990.241</v>
      </c>
    </row>
    <row r="620" spans="1:4">
      <c r="A620" s="984" t="s">
        <v>2327</v>
      </c>
      <c r="B620" s="984" t="s">
        <v>2163</v>
      </c>
      <c r="C620" s="985">
        <v>393733718</v>
      </c>
      <c r="D620" s="986">
        <v>1775.65</v>
      </c>
    </row>
    <row r="621" spans="1:4">
      <c r="A621" s="984" t="s">
        <v>5236</v>
      </c>
      <c r="B621" s="984" t="s">
        <v>2646</v>
      </c>
      <c r="C621" s="985">
        <v>34821893</v>
      </c>
      <c r="D621" s="986">
        <v>276.38800000000003</v>
      </c>
    </row>
    <row r="622" spans="1:4">
      <c r="A622" s="984" t="s">
        <v>7700</v>
      </c>
      <c r="B622" s="984" t="s">
        <v>2164</v>
      </c>
      <c r="C622" s="985">
        <v>2206983065</v>
      </c>
      <c r="D622" s="986">
        <v>1448.374</v>
      </c>
    </row>
    <row r="623" spans="1:4">
      <c r="A623" s="984" t="s">
        <v>7702</v>
      </c>
      <c r="B623" s="984" t="s">
        <v>2165</v>
      </c>
      <c r="C623" s="985">
        <v>408020622</v>
      </c>
      <c r="D623" s="986">
        <v>1916.979</v>
      </c>
    </row>
    <row r="624" spans="1:4">
      <c r="A624" s="984" t="s">
        <v>7704</v>
      </c>
      <c r="B624" s="984" t="s">
        <v>2166</v>
      </c>
      <c r="C624" s="985">
        <v>252857526</v>
      </c>
      <c r="D624" s="986">
        <v>357.26600000000002</v>
      </c>
    </row>
    <row r="625" spans="1:4">
      <c r="A625" s="984" t="s">
        <v>5634</v>
      </c>
      <c r="B625" s="984" t="s">
        <v>2167</v>
      </c>
      <c r="C625" s="985">
        <v>288800407</v>
      </c>
      <c r="D625" s="986">
        <v>154.078</v>
      </c>
    </row>
    <row r="626" spans="1:4">
      <c r="A626" s="984" t="s">
        <v>5636</v>
      </c>
      <c r="B626" s="984" t="s">
        <v>2168</v>
      </c>
      <c r="C626" s="985">
        <v>316797220</v>
      </c>
      <c r="D626" s="986">
        <v>91.442999999999998</v>
      </c>
    </row>
    <row r="627" spans="1:4">
      <c r="A627" s="984" t="s">
        <v>4016</v>
      </c>
      <c r="B627" s="984" t="s">
        <v>2169</v>
      </c>
      <c r="C627" s="985">
        <v>196421531</v>
      </c>
      <c r="D627" s="986">
        <v>139.47300000000001</v>
      </c>
    </row>
    <row r="628" spans="1:4">
      <c r="A628" s="984" t="s">
        <v>4018</v>
      </c>
      <c r="B628" s="984" t="s">
        <v>2170</v>
      </c>
      <c r="C628" s="985">
        <v>489162989</v>
      </c>
      <c r="D628" s="986">
        <v>1013.52</v>
      </c>
    </row>
    <row r="629" spans="1:4">
      <c r="A629" s="984" t="s">
        <v>4020</v>
      </c>
      <c r="B629" s="984" t="s">
        <v>5648</v>
      </c>
      <c r="C629" s="985">
        <v>576743366</v>
      </c>
      <c r="D629" s="986">
        <v>575.04</v>
      </c>
    </row>
    <row r="630" spans="1:4">
      <c r="A630" s="984" t="s">
        <v>4022</v>
      </c>
      <c r="B630" s="984" t="s">
        <v>5649</v>
      </c>
      <c r="C630" s="985">
        <v>2911389015</v>
      </c>
      <c r="D630" s="986">
        <v>1745.2370000000001</v>
      </c>
    </row>
    <row r="631" spans="1:4">
      <c r="A631" s="984" t="s">
        <v>2996</v>
      </c>
      <c r="B631" s="984" t="s">
        <v>202</v>
      </c>
      <c r="C631" s="985">
        <v>8655446155</v>
      </c>
      <c r="D631" s="986">
        <v>26406.48</v>
      </c>
    </row>
    <row r="632" spans="1:4">
      <c r="A632" s="984" t="s">
        <v>4028</v>
      </c>
      <c r="B632" s="984" t="s">
        <v>5650</v>
      </c>
      <c r="C632" s="985">
        <v>197703912</v>
      </c>
      <c r="D632" s="986">
        <v>692.63800000000003</v>
      </c>
    </row>
    <row r="633" spans="1:4">
      <c r="A633" s="984" t="s">
        <v>4030</v>
      </c>
      <c r="B633" s="984" t="s">
        <v>5651</v>
      </c>
      <c r="C633" s="985">
        <v>263837066</v>
      </c>
      <c r="D633" s="986">
        <v>1170.6970000000001</v>
      </c>
    </row>
    <row r="634" spans="1:4">
      <c r="A634" s="984" t="s">
        <v>2903</v>
      </c>
      <c r="B634" s="984" t="s">
        <v>203</v>
      </c>
      <c r="C634" s="985">
        <v>1514741357</v>
      </c>
      <c r="D634" s="986">
        <v>3788.125</v>
      </c>
    </row>
    <row r="635" spans="1:4">
      <c r="A635" s="984" t="s">
        <v>1310</v>
      </c>
      <c r="B635" s="984" t="s">
        <v>115</v>
      </c>
      <c r="C635" s="985">
        <v>2377761509</v>
      </c>
      <c r="D635" s="986">
        <v>7145.1289999999999</v>
      </c>
    </row>
    <row r="636" spans="1:4">
      <c r="A636" s="984" t="s">
        <v>4032</v>
      </c>
      <c r="B636" s="984" t="s">
        <v>5652</v>
      </c>
      <c r="C636" s="985">
        <v>224748259</v>
      </c>
      <c r="D636" s="986">
        <v>1011.937</v>
      </c>
    </row>
    <row r="637" spans="1:4">
      <c r="A637" s="984" t="s">
        <v>2397</v>
      </c>
      <c r="B637" s="984" t="s">
        <v>1464</v>
      </c>
      <c r="C637" s="985">
        <v>239422698</v>
      </c>
      <c r="D637" s="986">
        <v>1420.4390000000001</v>
      </c>
    </row>
    <row r="638" spans="1:4">
      <c r="A638" s="984" t="s">
        <v>669</v>
      </c>
      <c r="B638" s="984" t="s">
        <v>5653</v>
      </c>
      <c r="C638" s="985">
        <v>209497060</v>
      </c>
      <c r="D638" s="986">
        <v>890.55100000000004</v>
      </c>
    </row>
    <row r="639" spans="1:4">
      <c r="A639" s="984" t="s">
        <v>4151</v>
      </c>
      <c r="B639" s="984" t="s">
        <v>5654</v>
      </c>
      <c r="C639" s="985">
        <v>102756377</v>
      </c>
      <c r="D639" s="986">
        <v>289.69100000000003</v>
      </c>
    </row>
    <row r="640" spans="1:4">
      <c r="A640" s="984" t="s">
        <v>4153</v>
      </c>
      <c r="B640" s="984" t="s">
        <v>3100</v>
      </c>
      <c r="C640" s="985">
        <v>119534982</v>
      </c>
      <c r="D640" s="986">
        <v>563.89600000000007</v>
      </c>
    </row>
    <row r="641" spans="1:4">
      <c r="A641" s="984" t="s">
        <v>4155</v>
      </c>
      <c r="B641" s="984" t="s">
        <v>3101</v>
      </c>
      <c r="C641" s="985">
        <v>50933807</v>
      </c>
      <c r="D641" s="986">
        <v>179.548</v>
      </c>
    </row>
    <row r="642" spans="1:4">
      <c r="A642" s="984" t="s">
        <v>4157</v>
      </c>
      <c r="B642" s="984" t="s">
        <v>3102</v>
      </c>
      <c r="C642" s="985">
        <v>49504606</v>
      </c>
      <c r="D642" s="986">
        <v>117.71600000000001</v>
      </c>
    </row>
    <row r="643" spans="1:4">
      <c r="A643" s="984" t="s">
        <v>3000</v>
      </c>
      <c r="B643" s="984" t="s">
        <v>6547</v>
      </c>
      <c r="C643" s="985">
        <v>448691826</v>
      </c>
      <c r="D643" s="986">
        <v>2098.491</v>
      </c>
    </row>
    <row r="644" spans="1:4">
      <c r="A644" s="984" t="s">
        <v>4159</v>
      </c>
      <c r="B644" s="984" t="s">
        <v>3103</v>
      </c>
      <c r="C644" s="985">
        <v>134732842</v>
      </c>
      <c r="D644" s="986">
        <v>327.399</v>
      </c>
    </row>
    <row r="645" spans="1:4">
      <c r="A645" s="984" t="s">
        <v>4161</v>
      </c>
      <c r="B645" s="984" t="s">
        <v>3104</v>
      </c>
      <c r="C645" s="985">
        <v>582520104</v>
      </c>
      <c r="D645" s="986">
        <v>1138.385</v>
      </c>
    </row>
    <row r="646" spans="1:4">
      <c r="A646" s="984" t="s">
        <v>4163</v>
      </c>
      <c r="B646" s="984" t="s">
        <v>3105</v>
      </c>
      <c r="C646" s="985">
        <v>866135312</v>
      </c>
      <c r="D646" s="986">
        <v>729.40600000000006</v>
      </c>
    </row>
    <row r="647" spans="1:4">
      <c r="A647" s="984" t="s">
        <v>4165</v>
      </c>
      <c r="B647" s="984" t="s">
        <v>3106</v>
      </c>
      <c r="C647" s="985">
        <v>893164620</v>
      </c>
      <c r="D647" s="986">
        <v>214.36600000000001</v>
      </c>
    </row>
    <row r="648" spans="1:4">
      <c r="A648" s="984" t="s">
        <v>4167</v>
      </c>
      <c r="B648" s="984" t="s">
        <v>3107</v>
      </c>
      <c r="C648" s="985">
        <v>271321813</v>
      </c>
      <c r="D648" s="986">
        <v>620.85</v>
      </c>
    </row>
    <row r="649" spans="1:4">
      <c r="A649" s="984" t="s">
        <v>4169</v>
      </c>
      <c r="B649" s="984" t="s">
        <v>3108</v>
      </c>
      <c r="C649" s="985">
        <v>1005148101</v>
      </c>
      <c r="D649" s="986">
        <v>3469.11</v>
      </c>
    </row>
    <row r="650" spans="1:4">
      <c r="A650" s="984" t="s">
        <v>4171</v>
      </c>
      <c r="B650" s="984" t="s">
        <v>713</v>
      </c>
      <c r="C650" s="985">
        <v>1142702360</v>
      </c>
      <c r="D650" s="986">
        <v>752.51100000000008</v>
      </c>
    </row>
    <row r="651" spans="1:4">
      <c r="A651" s="984" t="s">
        <v>2055</v>
      </c>
      <c r="B651" s="984" t="s">
        <v>714</v>
      </c>
      <c r="C651" s="985">
        <v>253028876</v>
      </c>
      <c r="D651" s="986">
        <v>92.533000000000001</v>
      </c>
    </row>
    <row r="652" spans="1:4">
      <c r="A652" s="984" t="s">
        <v>2057</v>
      </c>
      <c r="B652" s="984" t="s">
        <v>715</v>
      </c>
      <c r="C652" s="985">
        <v>1561575280</v>
      </c>
      <c r="D652" s="986">
        <v>1420.9860000000001</v>
      </c>
    </row>
    <row r="653" spans="1:4">
      <c r="A653" s="984" t="s">
        <v>2059</v>
      </c>
      <c r="B653" s="984" t="s">
        <v>716</v>
      </c>
      <c r="C653" s="985">
        <v>539376404</v>
      </c>
      <c r="D653" s="986">
        <v>913.75800000000004</v>
      </c>
    </row>
    <row r="654" spans="1:4">
      <c r="A654" s="984" t="s">
        <v>1814</v>
      </c>
      <c r="B654" s="984" t="s">
        <v>3011</v>
      </c>
      <c r="C654" s="985">
        <v>1717091925</v>
      </c>
      <c r="D654" s="986">
        <v>13765.699000000001</v>
      </c>
    </row>
    <row r="655" spans="1:4">
      <c r="A655" s="984" t="s">
        <v>958</v>
      </c>
      <c r="B655" s="984" t="s">
        <v>7665</v>
      </c>
      <c r="C655" s="985">
        <v>350855939</v>
      </c>
      <c r="D655" s="986">
        <v>1161.6849999999999</v>
      </c>
    </row>
    <row r="656" spans="1:4">
      <c r="A656" s="984" t="s">
        <v>2061</v>
      </c>
      <c r="B656" s="984" t="s">
        <v>717</v>
      </c>
      <c r="C656" s="985">
        <v>45308385</v>
      </c>
      <c r="D656" s="986">
        <v>192.47200000000001</v>
      </c>
    </row>
    <row r="657" spans="1:4">
      <c r="A657" s="984" t="s">
        <v>1845</v>
      </c>
      <c r="B657" s="984" t="s">
        <v>197</v>
      </c>
      <c r="C657" s="985">
        <v>19664741</v>
      </c>
      <c r="D657" s="986">
        <v>100.05500000000001</v>
      </c>
    </row>
    <row r="658" spans="1:4">
      <c r="A658" s="984" t="s">
        <v>5237</v>
      </c>
      <c r="B658" s="984" t="s">
        <v>1666</v>
      </c>
      <c r="C658" s="985">
        <v>135797629</v>
      </c>
      <c r="D658" s="986">
        <v>576.75599999999997</v>
      </c>
    </row>
    <row r="659" spans="1:4">
      <c r="A659" s="984" t="s">
        <v>2065</v>
      </c>
      <c r="B659" s="984" t="s">
        <v>2855</v>
      </c>
      <c r="C659" s="985">
        <v>3471439502</v>
      </c>
      <c r="D659" s="986">
        <v>6834.8040000000001</v>
      </c>
    </row>
    <row r="660" spans="1:4">
      <c r="A660" s="984" t="s">
        <v>2905</v>
      </c>
      <c r="B660" s="984" t="s">
        <v>2155</v>
      </c>
      <c r="C660" s="985">
        <v>610075932</v>
      </c>
      <c r="D660" s="986">
        <v>2653.027</v>
      </c>
    </row>
    <row r="661" spans="1:4">
      <c r="A661" s="984" t="s">
        <v>5238</v>
      </c>
      <c r="B661" s="984" t="s">
        <v>200</v>
      </c>
      <c r="C661" s="985">
        <v>363701382</v>
      </c>
      <c r="D661" s="986">
        <v>1523.758</v>
      </c>
    </row>
    <row r="662" spans="1:4">
      <c r="A662" s="984" t="s">
        <v>6163</v>
      </c>
      <c r="B662" s="984" t="s">
        <v>6067</v>
      </c>
      <c r="C662" s="985">
        <v>94120360</v>
      </c>
      <c r="D662" s="986">
        <v>537.98</v>
      </c>
    </row>
    <row r="663" spans="1:4">
      <c r="A663" s="984" t="s">
        <v>2470</v>
      </c>
      <c r="B663" s="984" t="s">
        <v>6075</v>
      </c>
      <c r="C663" s="985">
        <v>257171985</v>
      </c>
      <c r="D663" s="986">
        <v>1242.163</v>
      </c>
    </row>
    <row r="664" spans="1:4">
      <c r="A664" s="984" t="s">
        <v>973</v>
      </c>
      <c r="B664" s="984" t="s">
        <v>718</v>
      </c>
      <c r="C664" s="985">
        <v>137628047</v>
      </c>
      <c r="D664" s="986">
        <v>644.23099999999999</v>
      </c>
    </row>
    <row r="665" spans="1:4">
      <c r="A665" s="984" t="s">
        <v>2769</v>
      </c>
      <c r="B665" s="984" t="s">
        <v>359</v>
      </c>
      <c r="C665" s="985">
        <v>265774528</v>
      </c>
      <c r="D665" s="986">
        <v>557.03499999999997</v>
      </c>
    </row>
    <row r="666" spans="1:4">
      <c r="A666" s="984" t="s">
        <v>3553</v>
      </c>
      <c r="B666" s="984" t="s">
        <v>4060</v>
      </c>
      <c r="C666" s="985">
        <v>3674465910</v>
      </c>
      <c r="D666" s="986">
        <v>13778.465</v>
      </c>
    </row>
    <row r="667" spans="1:4">
      <c r="A667" s="984" t="s">
        <v>3556</v>
      </c>
      <c r="B667" s="984" t="s">
        <v>4067</v>
      </c>
      <c r="C667" s="985">
        <v>313129782</v>
      </c>
      <c r="D667" s="986">
        <v>1410.0050000000001</v>
      </c>
    </row>
    <row r="668" spans="1:4">
      <c r="A668" s="984" t="s">
        <v>5052</v>
      </c>
      <c r="B668" s="984" t="s">
        <v>719</v>
      </c>
      <c r="C668" s="985">
        <v>97098018</v>
      </c>
      <c r="D668" s="986">
        <v>742.625</v>
      </c>
    </row>
    <row r="669" spans="1:4">
      <c r="A669" s="984" t="s">
        <v>5054</v>
      </c>
      <c r="B669" s="984" t="s">
        <v>720</v>
      </c>
      <c r="C669" s="985">
        <v>138744786</v>
      </c>
      <c r="D669" s="986">
        <v>805.11700000000008</v>
      </c>
    </row>
    <row r="670" spans="1:4">
      <c r="A670" s="984" t="s">
        <v>737</v>
      </c>
      <c r="B670" s="984" t="s">
        <v>6110</v>
      </c>
      <c r="C670" s="985">
        <v>546439585</v>
      </c>
      <c r="D670" s="986">
        <v>2213.4940000000001</v>
      </c>
    </row>
    <row r="671" spans="1:4">
      <c r="A671" s="984" t="s">
        <v>237</v>
      </c>
      <c r="B671" s="984" t="s">
        <v>2644</v>
      </c>
      <c r="C671" s="985">
        <v>508285845</v>
      </c>
      <c r="D671" s="986">
        <v>2275.5549999999998</v>
      </c>
    </row>
    <row r="672" spans="1:4">
      <c r="A672" s="984" t="s">
        <v>2307</v>
      </c>
      <c r="B672" s="984" t="s">
        <v>365</v>
      </c>
      <c r="C672" s="985">
        <v>458841204</v>
      </c>
      <c r="D672" s="986">
        <v>2059.7359999999999</v>
      </c>
    </row>
    <row r="673" spans="1:4">
      <c r="A673" s="984" t="s">
        <v>957</v>
      </c>
      <c r="B673" s="984" t="s">
        <v>7664</v>
      </c>
      <c r="C673" s="985">
        <v>122746478</v>
      </c>
      <c r="D673" s="986">
        <v>532.09</v>
      </c>
    </row>
    <row r="674" spans="1:4">
      <c r="A674" s="984" t="s">
        <v>5056</v>
      </c>
      <c r="B674" s="984" t="s">
        <v>721</v>
      </c>
      <c r="C674" s="985">
        <v>67253187</v>
      </c>
      <c r="D674" s="986">
        <v>96.294000000000011</v>
      </c>
    </row>
    <row r="675" spans="1:4">
      <c r="A675" s="984" t="s">
        <v>5137</v>
      </c>
      <c r="B675" s="984" t="s">
        <v>722</v>
      </c>
      <c r="C675" s="985">
        <v>34629440</v>
      </c>
      <c r="D675" s="986">
        <v>136.554</v>
      </c>
    </row>
    <row r="676" spans="1:4">
      <c r="A676" s="984" t="s">
        <v>4568</v>
      </c>
      <c r="B676" s="984" t="s">
        <v>723</v>
      </c>
      <c r="C676" s="985">
        <v>468311949</v>
      </c>
      <c r="D676" s="986">
        <v>164.20400000000001</v>
      </c>
    </row>
    <row r="677" spans="1:4">
      <c r="A677" s="984" t="s">
        <v>2053</v>
      </c>
      <c r="B677" s="984" t="s">
        <v>999</v>
      </c>
      <c r="C677" s="985">
        <v>307378446</v>
      </c>
      <c r="D677" s="986">
        <v>1824.83</v>
      </c>
    </row>
    <row r="678" spans="1:4">
      <c r="A678" s="984" t="s">
        <v>1846</v>
      </c>
      <c r="B678" s="984" t="s">
        <v>1001</v>
      </c>
      <c r="C678" s="985">
        <v>89969173</v>
      </c>
      <c r="D678" s="986">
        <v>304.267</v>
      </c>
    </row>
    <row r="679" spans="1:4">
      <c r="A679" s="984" t="s">
        <v>5239</v>
      </c>
      <c r="B679" s="984" t="s">
        <v>505</v>
      </c>
      <c r="C679" s="985">
        <v>143063310</v>
      </c>
      <c r="D679" s="986">
        <v>981.077</v>
      </c>
    </row>
    <row r="680" spans="1:4">
      <c r="A680" s="984" t="s">
        <v>1870</v>
      </c>
      <c r="B680" s="984" t="s">
        <v>3849</v>
      </c>
      <c r="C680" s="985">
        <v>438432990</v>
      </c>
      <c r="D680" s="986">
        <v>2053.8620000000001</v>
      </c>
    </row>
    <row r="681" spans="1:4">
      <c r="A681" s="984" t="s">
        <v>6169</v>
      </c>
      <c r="B681" s="984" t="s">
        <v>6079</v>
      </c>
      <c r="C681" s="985">
        <v>954676007</v>
      </c>
      <c r="D681" s="986">
        <v>3280.1610000000001</v>
      </c>
    </row>
    <row r="682" spans="1:4">
      <c r="A682" s="984" t="s">
        <v>574</v>
      </c>
      <c r="B682" s="984" t="s">
        <v>724</v>
      </c>
      <c r="C682" s="985">
        <v>160646629</v>
      </c>
      <c r="D682" s="986">
        <v>300.65600000000001</v>
      </c>
    </row>
    <row r="683" spans="1:4">
      <c r="A683" s="984" t="s">
        <v>6172</v>
      </c>
      <c r="B683" s="984" t="s">
        <v>497</v>
      </c>
      <c r="C683" s="985">
        <v>10870578794</v>
      </c>
      <c r="D683" s="986">
        <v>19983.327000000001</v>
      </c>
    </row>
    <row r="684" spans="1:4">
      <c r="A684" s="984" t="s">
        <v>578</v>
      </c>
      <c r="B684" s="984" t="s">
        <v>725</v>
      </c>
      <c r="C684" s="985">
        <v>767193987</v>
      </c>
      <c r="D684" s="986">
        <v>1609.8110000000001</v>
      </c>
    </row>
    <row r="685" spans="1:4">
      <c r="A685" s="984" t="s">
        <v>980</v>
      </c>
      <c r="B685" s="984" t="s">
        <v>6098</v>
      </c>
      <c r="C685" s="985">
        <v>269902180</v>
      </c>
      <c r="D685" s="986">
        <v>1458.3430000000001</v>
      </c>
    </row>
    <row r="686" spans="1:4">
      <c r="A686" s="984" t="s">
        <v>3972</v>
      </c>
      <c r="B686" s="984" t="s">
        <v>726</v>
      </c>
      <c r="C686" s="985">
        <v>79696568</v>
      </c>
      <c r="D686" s="986">
        <v>161.92400000000001</v>
      </c>
    </row>
    <row r="687" spans="1:4">
      <c r="A687" s="984" t="s">
        <v>6173</v>
      </c>
      <c r="B687" s="984" t="s">
        <v>727</v>
      </c>
      <c r="C687" s="985">
        <v>77482712</v>
      </c>
      <c r="D687" s="986">
        <v>376.64800000000002</v>
      </c>
    </row>
    <row r="688" spans="1:4">
      <c r="A688" s="984" t="s">
        <v>3974</v>
      </c>
      <c r="B688" s="984" t="s">
        <v>728</v>
      </c>
      <c r="C688" s="985">
        <v>1246175997</v>
      </c>
      <c r="D688" s="986">
        <v>1598.615</v>
      </c>
    </row>
    <row r="689" spans="1:4">
      <c r="A689" s="984" t="s">
        <v>814</v>
      </c>
      <c r="B689" s="984" t="s">
        <v>729</v>
      </c>
      <c r="C689" s="985">
        <v>112588000</v>
      </c>
      <c r="D689" s="986">
        <v>517.73300000000006</v>
      </c>
    </row>
    <row r="690" spans="1:4">
      <c r="A690" s="984" t="s">
        <v>4587</v>
      </c>
      <c r="B690" s="984" t="s">
        <v>2144</v>
      </c>
      <c r="C690" s="985">
        <v>26147993</v>
      </c>
      <c r="D690" s="986">
        <v>164.09100000000001</v>
      </c>
    </row>
    <row r="691" spans="1:4">
      <c r="A691" s="984" t="s">
        <v>1852</v>
      </c>
      <c r="B691" s="984" t="s">
        <v>4963</v>
      </c>
      <c r="C691" s="985">
        <v>144623733</v>
      </c>
      <c r="D691" s="986">
        <v>566.68900000000008</v>
      </c>
    </row>
    <row r="692" spans="1:4">
      <c r="A692" s="984" t="s">
        <v>141</v>
      </c>
      <c r="B692" s="984" t="s">
        <v>730</v>
      </c>
      <c r="C692" s="985">
        <v>53807999</v>
      </c>
      <c r="D692" s="986">
        <v>92.413000000000011</v>
      </c>
    </row>
    <row r="693" spans="1:4">
      <c r="A693" s="984" t="s">
        <v>143</v>
      </c>
      <c r="B693" s="984" t="s">
        <v>524</v>
      </c>
      <c r="C693" s="985">
        <v>31716452</v>
      </c>
      <c r="D693" s="986">
        <v>58.001000000000005</v>
      </c>
    </row>
    <row r="694" spans="1:4">
      <c r="A694" s="984" t="s">
        <v>1847</v>
      </c>
      <c r="B694" s="984" t="s">
        <v>351</v>
      </c>
      <c r="C694" s="985">
        <v>18970719</v>
      </c>
      <c r="D694" s="986">
        <v>99.424000000000007</v>
      </c>
    </row>
    <row r="695" spans="1:4">
      <c r="A695" s="984" t="s">
        <v>145</v>
      </c>
      <c r="B695" s="984" t="s">
        <v>525</v>
      </c>
      <c r="C695" s="985">
        <v>341813744</v>
      </c>
      <c r="D695" s="986">
        <v>982.60800000000006</v>
      </c>
    </row>
    <row r="696" spans="1:4">
      <c r="A696" s="984" t="s">
        <v>147</v>
      </c>
      <c r="B696" s="984" t="s">
        <v>526</v>
      </c>
      <c r="C696" s="985">
        <v>62060262</v>
      </c>
      <c r="D696" s="986">
        <v>134.91300000000001</v>
      </c>
    </row>
    <row r="697" spans="1:4">
      <c r="A697" s="984" t="s">
        <v>149</v>
      </c>
      <c r="B697" s="984" t="s">
        <v>527</v>
      </c>
      <c r="C697" s="985">
        <v>553483980</v>
      </c>
      <c r="D697" s="986">
        <v>192.495</v>
      </c>
    </row>
    <row r="698" spans="1:4">
      <c r="A698" s="984" t="s">
        <v>1956</v>
      </c>
      <c r="B698" s="984" t="s">
        <v>528</v>
      </c>
      <c r="C698" s="985">
        <v>603249109</v>
      </c>
      <c r="D698" s="986">
        <v>1536.1120000000001</v>
      </c>
    </row>
    <row r="699" spans="1:4">
      <c r="A699" s="984" t="s">
        <v>1958</v>
      </c>
      <c r="B699" s="984" t="s">
        <v>529</v>
      </c>
      <c r="C699" s="985">
        <v>180208044</v>
      </c>
      <c r="D699" s="986">
        <v>761.27</v>
      </c>
    </row>
    <row r="700" spans="1:4">
      <c r="A700" s="984" t="s">
        <v>1960</v>
      </c>
      <c r="B700" s="984" t="s">
        <v>530</v>
      </c>
      <c r="C700" s="985">
        <v>67035986</v>
      </c>
      <c r="D700" s="986">
        <v>100.074</v>
      </c>
    </row>
    <row r="701" spans="1:4">
      <c r="A701" s="984" t="s">
        <v>2039</v>
      </c>
      <c r="B701" s="984" t="s">
        <v>531</v>
      </c>
      <c r="C701" s="985">
        <v>30361268</v>
      </c>
      <c r="D701" s="986">
        <v>91.067999999999998</v>
      </c>
    </row>
    <row r="702" spans="1:4">
      <c r="A702" s="984" t="s">
        <v>2041</v>
      </c>
      <c r="B702" s="984" t="s">
        <v>532</v>
      </c>
      <c r="C702" s="985">
        <v>129820812</v>
      </c>
      <c r="D702" s="986">
        <v>132.428</v>
      </c>
    </row>
    <row r="703" spans="1:4">
      <c r="A703" s="984" t="s">
        <v>1825</v>
      </c>
      <c r="B703" s="984" t="s">
        <v>533</v>
      </c>
      <c r="C703" s="985">
        <v>135926067</v>
      </c>
      <c r="D703" s="986">
        <v>199.833</v>
      </c>
    </row>
    <row r="704" spans="1:4">
      <c r="A704" s="984" t="s">
        <v>1827</v>
      </c>
      <c r="B704" s="984" t="s">
        <v>534</v>
      </c>
      <c r="C704" s="985">
        <v>172194439</v>
      </c>
      <c r="D704" s="986">
        <v>270.17400000000004</v>
      </c>
    </row>
    <row r="705" spans="1:4">
      <c r="A705" s="984" t="s">
        <v>238</v>
      </c>
      <c r="B705" s="984" t="s">
        <v>2645</v>
      </c>
      <c r="C705" s="985">
        <v>20197453537</v>
      </c>
      <c r="D705" s="986">
        <v>47882.36</v>
      </c>
    </row>
    <row r="706" spans="1:4">
      <c r="A706" s="984" t="s">
        <v>1829</v>
      </c>
      <c r="B706" s="984" t="s">
        <v>535</v>
      </c>
      <c r="C706" s="985">
        <v>3542263753</v>
      </c>
      <c r="D706" s="986">
        <v>6538.5830000000005</v>
      </c>
    </row>
    <row r="707" spans="1:4">
      <c r="A707" s="984" t="s">
        <v>859</v>
      </c>
      <c r="B707" s="984" t="s">
        <v>2003</v>
      </c>
      <c r="C707" s="985">
        <v>2037831003</v>
      </c>
      <c r="D707" s="986">
        <v>5939.933</v>
      </c>
    </row>
    <row r="708" spans="1:4">
      <c r="A708" s="984" t="s">
        <v>3001</v>
      </c>
      <c r="B708" s="984" t="s">
        <v>6060</v>
      </c>
      <c r="C708" s="985">
        <v>3492426860</v>
      </c>
      <c r="D708" s="986">
        <v>11064.287</v>
      </c>
    </row>
    <row r="709" spans="1:4">
      <c r="A709" s="984" t="s">
        <v>2405</v>
      </c>
      <c r="B709" s="984" t="s">
        <v>2350</v>
      </c>
      <c r="C709" s="985">
        <v>362655861</v>
      </c>
      <c r="D709" s="986">
        <v>3203.875</v>
      </c>
    </row>
    <row r="710" spans="1:4">
      <c r="A710" s="984" t="s">
        <v>2907</v>
      </c>
      <c r="B710" s="984" t="s">
        <v>1933</v>
      </c>
      <c r="C710" s="985">
        <v>2032708276</v>
      </c>
      <c r="D710" s="986">
        <v>9480.6930000000011</v>
      </c>
    </row>
    <row r="711" spans="1:4">
      <c r="A711" s="984" t="s">
        <v>1222</v>
      </c>
      <c r="B711" s="984" t="s">
        <v>536</v>
      </c>
      <c r="C711" s="985">
        <v>2070931623</v>
      </c>
      <c r="D711" s="986">
        <v>4197.4790000000003</v>
      </c>
    </row>
    <row r="712" spans="1:4">
      <c r="A712" s="984" t="s">
        <v>1224</v>
      </c>
      <c r="B712" s="984" t="s">
        <v>537</v>
      </c>
      <c r="C712" s="985">
        <v>401575051</v>
      </c>
      <c r="D712" s="986">
        <v>496.02800000000002</v>
      </c>
    </row>
    <row r="713" spans="1:4">
      <c r="A713" s="984" t="s">
        <v>5375</v>
      </c>
      <c r="B713" s="984" t="s">
        <v>538</v>
      </c>
      <c r="C713" s="985">
        <v>730254612</v>
      </c>
      <c r="D713" s="986">
        <v>1150.145</v>
      </c>
    </row>
    <row r="714" spans="1:4">
      <c r="A714" s="984" t="s">
        <v>5377</v>
      </c>
      <c r="B714" s="984" t="s">
        <v>6619</v>
      </c>
      <c r="C714" s="985">
        <v>305896575</v>
      </c>
      <c r="D714" s="986">
        <v>943.04200000000003</v>
      </c>
    </row>
    <row r="715" spans="1:4">
      <c r="A715" s="984" t="s">
        <v>5379</v>
      </c>
      <c r="B715" s="984" t="s">
        <v>540</v>
      </c>
      <c r="C715" s="985">
        <v>83106416</v>
      </c>
      <c r="D715" s="986">
        <v>173.78300000000002</v>
      </c>
    </row>
    <row r="716" spans="1:4">
      <c r="A716" s="984" t="s">
        <v>642</v>
      </c>
      <c r="B716" s="984" t="s">
        <v>6111</v>
      </c>
      <c r="C716" s="985">
        <v>87160544</v>
      </c>
      <c r="D716" s="986">
        <v>322.291</v>
      </c>
    </row>
    <row r="717" spans="1:4">
      <c r="A717" s="984" t="s">
        <v>2618</v>
      </c>
      <c r="B717" s="984" t="s">
        <v>541</v>
      </c>
      <c r="C717" s="985">
        <v>424888079</v>
      </c>
      <c r="D717" s="986">
        <v>450.85400000000004</v>
      </c>
    </row>
    <row r="718" spans="1:4">
      <c r="A718" s="984" t="s">
        <v>644</v>
      </c>
      <c r="B718" s="984" t="s">
        <v>123</v>
      </c>
      <c r="C718" s="985">
        <v>226165798</v>
      </c>
      <c r="D718" s="986">
        <v>674.51800000000003</v>
      </c>
    </row>
    <row r="719" spans="1:4">
      <c r="A719" s="984" t="s">
        <v>2620</v>
      </c>
      <c r="B719" s="984" t="s">
        <v>542</v>
      </c>
      <c r="C719" s="985">
        <v>1804029712</v>
      </c>
      <c r="D719" s="986">
        <v>5986.5</v>
      </c>
    </row>
    <row r="720" spans="1:4">
      <c r="A720" s="984" t="s">
        <v>4588</v>
      </c>
      <c r="B720" s="984" t="s">
        <v>2006</v>
      </c>
      <c r="C720" s="985">
        <v>133393436</v>
      </c>
      <c r="D720" s="986">
        <v>767.60300000000007</v>
      </c>
    </row>
    <row r="721" spans="1:4">
      <c r="A721" s="984" t="s">
        <v>2622</v>
      </c>
      <c r="B721" s="984" t="s">
        <v>543</v>
      </c>
      <c r="C721" s="985">
        <v>114211993</v>
      </c>
      <c r="D721" s="986">
        <v>882.15499999999997</v>
      </c>
    </row>
    <row r="722" spans="1:4">
      <c r="A722" s="984" t="s">
        <v>2624</v>
      </c>
      <c r="B722" s="984" t="s">
        <v>544</v>
      </c>
      <c r="C722" s="985">
        <v>87878377</v>
      </c>
      <c r="D722" s="986">
        <v>333.57100000000003</v>
      </c>
    </row>
    <row r="723" spans="1:4">
      <c r="A723" s="984" t="s">
        <v>1523</v>
      </c>
      <c r="B723" s="984" t="s">
        <v>1929</v>
      </c>
      <c r="C723" s="985">
        <v>43828166</v>
      </c>
      <c r="D723" s="986">
        <v>138.398</v>
      </c>
    </row>
    <row r="724" spans="1:4">
      <c r="A724" s="984" t="s">
        <v>2626</v>
      </c>
      <c r="B724" s="984" t="s">
        <v>545</v>
      </c>
      <c r="C724" s="985">
        <v>179281069</v>
      </c>
      <c r="D724" s="986">
        <v>363.82900000000001</v>
      </c>
    </row>
    <row r="725" spans="1:4">
      <c r="A725" s="984" t="s">
        <v>2628</v>
      </c>
      <c r="B725" s="984" t="s">
        <v>546</v>
      </c>
      <c r="C725" s="985">
        <v>123193849</v>
      </c>
      <c r="D725" s="986">
        <v>788.471</v>
      </c>
    </row>
    <row r="726" spans="1:4">
      <c r="A726" s="984" t="s">
        <v>241</v>
      </c>
      <c r="B726" s="984" t="s">
        <v>2649</v>
      </c>
      <c r="C726" s="985">
        <v>1335351243</v>
      </c>
      <c r="D726" s="986">
        <v>5311.2719999999999</v>
      </c>
    </row>
    <row r="727" spans="1:4">
      <c r="A727" s="984" t="s">
        <v>248</v>
      </c>
      <c r="B727" s="984" t="s">
        <v>993</v>
      </c>
      <c r="C727" s="985">
        <v>94444046</v>
      </c>
      <c r="D727" s="986">
        <v>414.78800000000001</v>
      </c>
    </row>
    <row r="728" spans="1:4">
      <c r="A728" s="984" t="s">
        <v>5084</v>
      </c>
      <c r="B728" s="984" t="s">
        <v>547</v>
      </c>
      <c r="C728" s="985">
        <v>70911634</v>
      </c>
      <c r="D728" s="986">
        <v>327.149</v>
      </c>
    </row>
    <row r="729" spans="1:4">
      <c r="A729" s="984" t="s">
        <v>2534</v>
      </c>
      <c r="B729" s="984" t="s">
        <v>1919</v>
      </c>
      <c r="C729" s="985">
        <v>231039634</v>
      </c>
      <c r="D729" s="986">
        <v>585.58500000000004</v>
      </c>
    </row>
    <row r="730" spans="1:4">
      <c r="A730" s="984" t="s">
        <v>5086</v>
      </c>
      <c r="B730" s="984" t="s">
        <v>548</v>
      </c>
      <c r="C730" s="985">
        <v>376192352</v>
      </c>
      <c r="D730" s="986">
        <v>699.81799999999998</v>
      </c>
    </row>
    <row r="731" spans="1:4">
      <c r="A731" s="984" t="s">
        <v>2768</v>
      </c>
      <c r="B731" s="984" t="s">
        <v>358</v>
      </c>
      <c r="C731" s="985">
        <v>97454505</v>
      </c>
      <c r="D731" s="986">
        <v>784.11500000000001</v>
      </c>
    </row>
    <row r="732" spans="1:4">
      <c r="A732" s="984" t="s">
        <v>5088</v>
      </c>
      <c r="B732" s="984" t="s">
        <v>549</v>
      </c>
      <c r="C732" s="985">
        <v>159611509</v>
      </c>
      <c r="D732" s="986">
        <v>279.05200000000002</v>
      </c>
    </row>
    <row r="733" spans="1:4">
      <c r="A733" s="984" t="s">
        <v>6181</v>
      </c>
      <c r="B733" s="984" t="s">
        <v>1936</v>
      </c>
      <c r="C733" s="985">
        <v>258056743</v>
      </c>
      <c r="D733" s="986">
        <v>1053.2260000000001</v>
      </c>
    </row>
    <row r="734" spans="1:4">
      <c r="A734" s="984" t="s">
        <v>1848</v>
      </c>
      <c r="B734" s="984" t="s">
        <v>1000</v>
      </c>
      <c r="C734" s="985">
        <v>420454950</v>
      </c>
      <c r="D734" s="986">
        <v>621.654</v>
      </c>
    </row>
    <row r="735" spans="1:4">
      <c r="A735" s="984" t="s">
        <v>2471</v>
      </c>
      <c r="B735" s="984" t="s">
        <v>369</v>
      </c>
      <c r="C735" s="985">
        <v>143122773</v>
      </c>
      <c r="D735" s="986">
        <v>313.79700000000003</v>
      </c>
    </row>
    <row r="736" spans="1:4">
      <c r="A736" s="984" t="s">
        <v>6044</v>
      </c>
      <c r="B736" s="984" t="s">
        <v>550</v>
      </c>
      <c r="C736" s="985">
        <v>540674319</v>
      </c>
      <c r="D736" s="986">
        <v>2082.8870000000002</v>
      </c>
    </row>
    <row r="737" spans="1:4">
      <c r="A737" s="984" t="s">
        <v>6046</v>
      </c>
      <c r="B737" s="984" t="s">
        <v>4207</v>
      </c>
      <c r="C737" s="985">
        <v>274015231</v>
      </c>
      <c r="D737" s="986">
        <v>150.977</v>
      </c>
    </row>
    <row r="738" spans="1:4">
      <c r="A738" s="984" t="s">
        <v>4185</v>
      </c>
      <c r="B738" s="984" t="s">
        <v>552</v>
      </c>
      <c r="C738" s="985">
        <v>201081592</v>
      </c>
      <c r="D738" s="986">
        <v>205.32900000000001</v>
      </c>
    </row>
    <row r="739" spans="1:4">
      <c r="A739" s="984" t="s">
        <v>6689</v>
      </c>
      <c r="B739" s="984" t="s">
        <v>553</v>
      </c>
      <c r="C739" s="985">
        <v>128302679</v>
      </c>
      <c r="D739" s="986">
        <v>338.024</v>
      </c>
    </row>
    <row r="740" spans="1:4">
      <c r="A740" s="984" t="s">
        <v>6691</v>
      </c>
      <c r="B740" s="984" t="s">
        <v>4211</v>
      </c>
      <c r="C740" s="985">
        <v>462993135</v>
      </c>
      <c r="D740" s="986">
        <v>1144.681</v>
      </c>
    </row>
    <row r="741" spans="1:4">
      <c r="A741" s="984" t="s">
        <v>6693</v>
      </c>
      <c r="B741" s="984" t="s">
        <v>555</v>
      </c>
      <c r="C741" s="985">
        <v>1098021928</v>
      </c>
      <c r="D741" s="986">
        <v>3605.893</v>
      </c>
    </row>
    <row r="742" spans="1:4">
      <c r="A742" s="984" t="s">
        <v>240</v>
      </c>
      <c r="B742" s="984" t="s">
        <v>2648</v>
      </c>
      <c r="C742" s="985">
        <v>10867347845</v>
      </c>
      <c r="D742" s="986">
        <v>35436.243000000002</v>
      </c>
    </row>
    <row r="743" spans="1:4">
      <c r="A743" s="984" t="s">
        <v>6695</v>
      </c>
      <c r="B743" s="984" t="s">
        <v>556</v>
      </c>
      <c r="C743" s="985">
        <v>138645178</v>
      </c>
      <c r="D743" s="986">
        <v>264.79300000000001</v>
      </c>
    </row>
    <row r="744" spans="1:4">
      <c r="A744" s="984" t="s">
        <v>745</v>
      </c>
      <c r="B744" s="984" t="s">
        <v>557</v>
      </c>
      <c r="C744" s="985">
        <v>219828019</v>
      </c>
      <c r="D744" s="986">
        <v>374.536</v>
      </c>
    </row>
    <row r="745" spans="1:4">
      <c r="A745" s="984" t="s">
        <v>747</v>
      </c>
      <c r="B745" s="984" t="s">
        <v>558</v>
      </c>
      <c r="C745" s="985">
        <v>1609227228</v>
      </c>
      <c r="D745" s="986">
        <v>521.28200000000004</v>
      </c>
    </row>
    <row r="746" spans="1:4">
      <c r="A746" s="984" t="s">
        <v>2308</v>
      </c>
      <c r="B746" s="984" t="s">
        <v>366</v>
      </c>
      <c r="C746" s="985">
        <v>337016590</v>
      </c>
      <c r="D746" s="986">
        <v>2962.3879999999999</v>
      </c>
    </row>
    <row r="747" spans="1:4">
      <c r="A747" s="984" t="s">
        <v>749</v>
      </c>
      <c r="B747" s="984" t="s">
        <v>559</v>
      </c>
      <c r="C747" s="985">
        <v>1472414412</v>
      </c>
      <c r="D747" s="986">
        <v>3364.8150000000001</v>
      </c>
    </row>
    <row r="748" spans="1:4">
      <c r="A748" s="984" t="s">
        <v>2953</v>
      </c>
      <c r="B748" s="984" t="s">
        <v>560</v>
      </c>
      <c r="C748" s="985">
        <v>263532357</v>
      </c>
      <c r="D748" s="986">
        <v>748.27800000000002</v>
      </c>
    </row>
    <row r="749" spans="1:4">
      <c r="A749" s="984" t="s">
        <v>2955</v>
      </c>
      <c r="B749" s="984" t="s">
        <v>561</v>
      </c>
      <c r="C749" s="985">
        <v>2255311527</v>
      </c>
      <c r="D749" s="986">
        <v>5209.7179999999998</v>
      </c>
    </row>
    <row r="750" spans="1:4">
      <c r="A750" s="984" t="s">
        <v>2957</v>
      </c>
      <c r="B750" s="984" t="s">
        <v>562</v>
      </c>
      <c r="C750" s="985">
        <v>528786163</v>
      </c>
      <c r="D750" s="986">
        <v>1891.9349999999999</v>
      </c>
    </row>
    <row r="751" spans="1:4">
      <c r="A751" s="984" t="s">
        <v>5123</v>
      </c>
      <c r="B751" s="984" t="s">
        <v>337</v>
      </c>
      <c r="C751" s="985">
        <v>979114198</v>
      </c>
      <c r="D751" s="986">
        <v>2112.6190000000001</v>
      </c>
    </row>
    <row r="752" spans="1:4">
      <c r="A752" s="984" t="s">
        <v>4119</v>
      </c>
      <c r="B752" s="984" t="s">
        <v>563</v>
      </c>
      <c r="C752" s="985">
        <v>114624566</v>
      </c>
      <c r="D752" s="986">
        <v>313.51600000000002</v>
      </c>
    </row>
    <row r="753" spans="1:4">
      <c r="A753" s="984" t="s">
        <v>4121</v>
      </c>
      <c r="B753" s="984" t="s">
        <v>564</v>
      </c>
      <c r="C753" s="985">
        <v>44269808</v>
      </c>
      <c r="D753" s="986">
        <v>126.971</v>
      </c>
    </row>
    <row r="754" spans="1:4">
      <c r="A754" s="984" t="s">
        <v>4123</v>
      </c>
      <c r="B754" s="984" t="s">
        <v>565</v>
      </c>
      <c r="C754" s="985">
        <v>38444122</v>
      </c>
      <c r="D754" s="986">
        <v>87.471000000000004</v>
      </c>
    </row>
    <row r="755" spans="1:4">
      <c r="A755" s="984" t="s">
        <v>5032</v>
      </c>
      <c r="B755" s="984" t="s">
        <v>7666</v>
      </c>
      <c r="C755" s="985">
        <v>808213046</v>
      </c>
      <c r="D755" s="986">
        <v>2448.3589999999999</v>
      </c>
    </row>
    <row r="756" spans="1:4">
      <c r="A756" s="984" t="s">
        <v>4125</v>
      </c>
      <c r="B756" s="984" t="s">
        <v>566</v>
      </c>
      <c r="C756" s="985">
        <v>416943239</v>
      </c>
      <c r="D756" s="986">
        <v>1614.5740000000001</v>
      </c>
    </row>
    <row r="757" spans="1:4">
      <c r="A757" s="984" t="s">
        <v>4127</v>
      </c>
      <c r="B757" s="984" t="s">
        <v>4229</v>
      </c>
      <c r="C757" s="985">
        <v>1550526179</v>
      </c>
      <c r="D757" s="986">
        <v>2231.2660000000001</v>
      </c>
    </row>
    <row r="758" spans="1:4">
      <c r="A758" s="984" t="s">
        <v>5033</v>
      </c>
      <c r="B758" s="984" t="s">
        <v>4059</v>
      </c>
      <c r="C758" s="985">
        <v>862710094</v>
      </c>
      <c r="D758" s="986">
        <v>4580.4690000000001</v>
      </c>
    </row>
    <row r="759" spans="1:4">
      <c r="A759" s="984" t="s">
        <v>4129</v>
      </c>
      <c r="B759" s="984" t="s">
        <v>4232</v>
      </c>
      <c r="C759" s="985">
        <v>950942109</v>
      </c>
      <c r="D759" s="986">
        <v>3355.0710000000004</v>
      </c>
    </row>
    <row r="760" spans="1:4">
      <c r="A760" s="984" t="s">
        <v>4131</v>
      </c>
      <c r="B760" s="984" t="s">
        <v>1622</v>
      </c>
      <c r="C760" s="985">
        <v>139527792</v>
      </c>
      <c r="D760" s="986">
        <v>198.63900000000001</v>
      </c>
    </row>
    <row r="761" spans="1:4">
      <c r="A761" s="984" t="s">
        <v>4133</v>
      </c>
      <c r="B761" s="984" t="s">
        <v>1623</v>
      </c>
      <c r="C761" s="985">
        <v>706359534</v>
      </c>
      <c r="D761" s="986">
        <v>272.16200000000003</v>
      </c>
    </row>
    <row r="762" spans="1:4">
      <c r="A762" s="984" t="s">
        <v>6175</v>
      </c>
      <c r="B762" s="984" t="s">
        <v>501</v>
      </c>
      <c r="C762" s="985">
        <v>743803308</v>
      </c>
      <c r="D762" s="986">
        <v>3259.69</v>
      </c>
    </row>
    <row r="763" spans="1:4">
      <c r="A763" s="984" t="s">
        <v>4135</v>
      </c>
      <c r="B763" s="984" t="s">
        <v>1624</v>
      </c>
      <c r="C763" s="985">
        <v>259644679</v>
      </c>
      <c r="D763" s="986">
        <v>477.50300000000004</v>
      </c>
    </row>
    <row r="764" spans="1:4">
      <c r="A764" s="984" t="s">
        <v>4137</v>
      </c>
      <c r="B764" s="984" t="s">
        <v>1625</v>
      </c>
      <c r="C764" s="985">
        <v>73578311</v>
      </c>
      <c r="D764" s="986">
        <v>164.78900000000002</v>
      </c>
    </row>
    <row r="765" spans="1:4">
      <c r="A765" s="984" t="s">
        <v>4139</v>
      </c>
      <c r="B765" s="984" t="s">
        <v>1626</v>
      </c>
      <c r="C765" s="985">
        <v>475658571</v>
      </c>
      <c r="D765" s="986">
        <v>97.647000000000006</v>
      </c>
    </row>
    <row r="766" spans="1:4">
      <c r="A766" s="984" t="s">
        <v>4141</v>
      </c>
      <c r="B766" s="984" t="s">
        <v>1627</v>
      </c>
      <c r="C766" s="985">
        <v>733790593</v>
      </c>
      <c r="D766" s="986">
        <v>614.13100000000009</v>
      </c>
    </row>
    <row r="767" spans="1:4">
      <c r="A767" s="984" t="s">
        <v>4143</v>
      </c>
      <c r="B767" s="984" t="s">
        <v>1628</v>
      </c>
      <c r="C767" s="985">
        <v>3435287384</v>
      </c>
      <c r="D767" s="986">
        <v>2627.152</v>
      </c>
    </row>
    <row r="768" spans="1:4">
      <c r="A768" s="984" t="s">
        <v>1318</v>
      </c>
      <c r="B768" s="984" t="s">
        <v>124</v>
      </c>
      <c r="C768" s="985">
        <v>318288453</v>
      </c>
      <c r="D768" s="986">
        <v>373.52499999999998</v>
      </c>
    </row>
    <row r="769" spans="1:4">
      <c r="A769" s="984" t="s">
        <v>2536</v>
      </c>
      <c r="B769" s="984" t="s">
        <v>344</v>
      </c>
      <c r="C769" s="985">
        <v>176491626</v>
      </c>
      <c r="D769" s="986">
        <v>469.51800000000003</v>
      </c>
    </row>
    <row r="770" spans="1:4">
      <c r="A770" s="984" t="s">
        <v>2407</v>
      </c>
      <c r="B770" s="984" t="s">
        <v>2352</v>
      </c>
      <c r="C770" s="985">
        <v>893447599</v>
      </c>
      <c r="D770" s="986">
        <v>3180.232</v>
      </c>
    </row>
    <row r="771" spans="1:4">
      <c r="A771" s="984" t="s">
        <v>5034</v>
      </c>
      <c r="B771" s="984" t="s">
        <v>4064</v>
      </c>
      <c r="C771" s="985">
        <v>3365735977</v>
      </c>
      <c r="D771" s="986">
        <v>7196.3320000000003</v>
      </c>
    </row>
    <row r="772" spans="1:4">
      <c r="A772" s="984" t="s">
        <v>6174</v>
      </c>
      <c r="B772" s="984" t="s">
        <v>500</v>
      </c>
      <c r="C772" s="985">
        <v>290655240</v>
      </c>
      <c r="D772" s="986">
        <v>719.97800000000007</v>
      </c>
    </row>
    <row r="773" spans="1:4">
      <c r="A773" s="984" t="s">
        <v>4145</v>
      </c>
      <c r="B773" s="984" t="s">
        <v>1629</v>
      </c>
      <c r="C773" s="985">
        <v>2578963597</v>
      </c>
      <c r="D773" s="986">
        <v>4403.5529999999999</v>
      </c>
    </row>
    <row r="774" spans="1:4">
      <c r="A774" s="984" t="s">
        <v>6196</v>
      </c>
      <c r="B774" s="984" t="s">
        <v>5295</v>
      </c>
      <c r="C774" s="985">
        <v>266310574</v>
      </c>
      <c r="D774" s="986">
        <v>1025.376</v>
      </c>
    </row>
    <row r="775" spans="1:4">
      <c r="A775" s="984" t="s">
        <v>6131</v>
      </c>
      <c r="B775" s="984" t="s">
        <v>7667</v>
      </c>
      <c r="C775" s="985">
        <v>462349704</v>
      </c>
      <c r="D775" s="986">
        <v>845.02800000000002</v>
      </c>
    </row>
    <row r="776" spans="1:4">
      <c r="A776" s="984" t="s">
        <v>254</v>
      </c>
      <c r="B776" s="984" t="s">
        <v>1630</v>
      </c>
      <c r="C776" s="985">
        <v>152586742</v>
      </c>
      <c r="D776" s="986">
        <v>183.291</v>
      </c>
    </row>
    <row r="777" spans="1:4">
      <c r="A777" s="984" t="s">
        <v>256</v>
      </c>
      <c r="B777" s="984" t="s">
        <v>1631</v>
      </c>
      <c r="C777" s="985">
        <v>70499058</v>
      </c>
      <c r="D777" s="986">
        <v>463.75300000000004</v>
      </c>
    </row>
    <row r="778" spans="1:4">
      <c r="A778" s="984" t="s">
        <v>258</v>
      </c>
      <c r="B778" s="984" t="s">
        <v>1632</v>
      </c>
      <c r="C778" s="985">
        <v>134036633</v>
      </c>
      <c r="D778" s="986">
        <v>540.48599999999999</v>
      </c>
    </row>
    <row r="779" spans="1:4">
      <c r="A779" s="984" t="s">
        <v>260</v>
      </c>
      <c r="B779" s="984" t="s">
        <v>1633</v>
      </c>
      <c r="C779" s="985">
        <v>293470747</v>
      </c>
      <c r="D779" s="986">
        <v>1121.6020000000001</v>
      </c>
    </row>
    <row r="780" spans="1:4">
      <c r="A780" s="984" t="s">
        <v>262</v>
      </c>
      <c r="B780" s="984" t="s">
        <v>1634</v>
      </c>
      <c r="C780" s="985">
        <v>57395841</v>
      </c>
      <c r="D780" s="986">
        <v>139.142</v>
      </c>
    </row>
    <row r="781" spans="1:4">
      <c r="A781" s="984" t="s">
        <v>872</v>
      </c>
      <c r="B781" s="984" t="s">
        <v>397</v>
      </c>
      <c r="C781" s="985">
        <v>238299391</v>
      </c>
      <c r="D781" s="986">
        <v>96.28</v>
      </c>
    </row>
    <row r="782" spans="1:4">
      <c r="A782" s="984" t="s">
        <v>874</v>
      </c>
      <c r="B782" s="984" t="s">
        <v>6848</v>
      </c>
      <c r="C782" s="985">
        <v>1871699193</v>
      </c>
      <c r="D782" s="986">
        <v>2206.5010000000002</v>
      </c>
    </row>
    <row r="783" spans="1:4">
      <c r="A783" s="984" t="s">
        <v>876</v>
      </c>
      <c r="B783" s="984" t="s">
        <v>399</v>
      </c>
      <c r="C783" s="985">
        <v>1754861541</v>
      </c>
      <c r="D783" s="986">
        <v>443.61</v>
      </c>
    </row>
    <row r="784" spans="1:4">
      <c r="A784" s="984" t="s">
        <v>3040</v>
      </c>
      <c r="B784" s="984" t="s">
        <v>400</v>
      </c>
      <c r="C784" s="985">
        <v>278305845</v>
      </c>
      <c r="D784" s="986">
        <v>453.488</v>
      </c>
    </row>
    <row r="785" spans="1:4">
      <c r="A785" s="984" t="s">
        <v>3042</v>
      </c>
      <c r="B785" s="984" t="s">
        <v>401</v>
      </c>
      <c r="C785" s="985">
        <v>111366763</v>
      </c>
      <c r="D785" s="986">
        <v>223.59</v>
      </c>
    </row>
    <row r="786" spans="1:4">
      <c r="A786" s="984" t="s">
        <v>709</v>
      </c>
      <c r="B786" s="984" t="s">
        <v>402</v>
      </c>
      <c r="C786" s="985">
        <v>250268652</v>
      </c>
      <c r="D786" s="986">
        <v>922.93400000000008</v>
      </c>
    </row>
    <row r="787" spans="1:4">
      <c r="A787" s="984" t="s">
        <v>3044</v>
      </c>
      <c r="B787" s="984" t="s">
        <v>403</v>
      </c>
      <c r="C787" s="985">
        <v>140578014</v>
      </c>
      <c r="D787" s="986">
        <v>170.392</v>
      </c>
    </row>
    <row r="788" spans="1:4">
      <c r="A788" s="984" t="s">
        <v>2992</v>
      </c>
      <c r="B788" s="984" t="s">
        <v>195</v>
      </c>
      <c r="C788" s="985">
        <v>1216167587</v>
      </c>
      <c r="D788" s="986">
        <v>3829.09</v>
      </c>
    </row>
    <row r="789" spans="1:4">
      <c r="A789" s="984" t="s">
        <v>3046</v>
      </c>
      <c r="B789" s="984" t="s">
        <v>404</v>
      </c>
      <c r="C789" s="985">
        <v>379643669</v>
      </c>
      <c r="D789" s="986">
        <v>889.39400000000001</v>
      </c>
    </row>
    <row r="790" spans="1:4">
      <c r="A790" s="984" t="s">
        <v>264</v>
      </c>
      <c r="B790" s="984" t="s">
        <v>7681</v>
      </c>
      <c r="C790" s="985">
        <v>7244290050</v>
      </c>
      <c r="D790" s="986">
        <v>29331.031999999999</v>
      </c>
    </row>
    <row r="791" spans="1:4">
      <c r="A791" s="984" t="s">
        <v>2306</v>
      </c>
      <c r="B791" s="984" t="s">
        <v>363</v>
      </c>
      <c r="C791" s="985">
        <v>244590174</v>
      </c>
      <c r="D791" s="986">
        <v>1367.8510000000001</v>
      </c>
    </row>
    <row r="792" spans="1:4">
      <c r="A792" s="984" t="s">
        <v>3048</v>
      </c>
      <c r="B792" s="984" t="s">
        <v>2898</v>
      </c>
      <c r="C792" s="985">
        <v>852907293</v>
      </c>
      <c r="D792" s="986">
        <v>893.32400000000007</v>
      </c>
    </row>
    <row r="793" spans="1:4">
      <c r="A793" s="984" t="s">
        <v>3049</v>
      </c>
      <c r="B793" s="984" t="s">
        <v>405</v>
      </c>
      <c r="C793" s="985">
        <v>822370831</v>
      </c>
      <c r="D793" s="986">
        <v>1226.827</v>
      </c>
    </row>
    <row r="794" spans="1:4">
      <c r="A794" s="984" t="s">
        <v>5035</v>
      </c>
      <c r="B794" s="984" t="s">
        <v>6064</v>
      </c>
      <c r="C794" s="985">
        <v>138523592</v>
      </c>
      <c r="D794" s="986">
        <v>332.13300000000004</v>
      </c>
    </row>
    <row r="795" spans="1:4">
      <c r="A795" s="984" t="s">
        <v>5131</v>
      </c>
      <c r="B795" s="984" t="s">
        <v>350</v>
      </c>
      <c r="C795" s="985">
        <v>89581275</v>
      </c>
      <c r="D795" s="986">
        <v>1347.6280000000002</v>
      </c>
    </row>
    <row r="796" spans="1:4">
      <c r="A796" s="984" t="s">
        <v>5231</v>
      </c>
      <c r="B796" s="984" t="s">
        <v>406</v>
      </c>
      <c r="C796" s="985">
        <v>488403531</v>
      </c>
      <c r="D796" s="986">
        <v>1528.4560000000001</v>
      </c>
    </row>
    <row r="797" spans="1:4">
      <c r="A797" s="984" t="s">
        <v>3109</v>
      </c>
      <c r="B797" s="984" t="s">
        <v>4271</v>
      </c>
      <c r="C797" s="985">
        <v>3049403507</v>
      </c>
      <c r="D797" s="986">
        <v>8385.8180000000011</v>
      </c>
    </row>
    <row r="798" spans="1:4">
      <c r="A798" s="984" t="s">
        <v>3111</v>
      </c>
      <c r="B798" s="984" t="s">
        <v>3193</v>
      </c>
      <c r="C798" s="985">
        <v>1790906660</v>
      </c>
      <c r="D798" s="986">
        <v>726.8</v>
      </c>
    </row>
    <row r="799" spans="1:4">
      <c r="A799" s="984" t="s">
        <v>3113</v>
      </c>
      <c r="B799" s="984" t="s">
        <v>3194</v>
      </c>
      <c r="C799" s="985">
        <v>271781535</v>
      </c>
      <c r="D799" s="986">
        <v>235.90800000000002</v>
      </c>
    </row>
    <row r="800" spans="1:4">
      <c r="A800" s="984" t="s">
        <v>975</v>
      </c>
      <c r="B800" s="984" t="s">
        <v>7692</v>
      </c>
      <c r="C800" s="985">
        <v>44747199</v>
      </c>
      <c r="D800" s="986">
        <v>367.79400000000004</v>
      </c>
    </row>
    <row r="801" spans="1:4">
      <c r="A801" s="984" t="s">
        <v>2771</v>
      </c>
      <c r="B801" s="984" t="s">
        <v>364</v>
      </c>
      <c r="C801" s="985">
        <v>210277308</v>
      </c>
      <c r="D801" s="986">
        <v>688.40499999999997</v>
      </c>
    </row>
    <row r="802" spans="1:4">
      <c r="A802" s="984" t="s">
        <v>2821</v>
      </c>
      <c r="B802" s="984" t="s">
        <v>3195</v>
      </c>
      <c r="C802" s="985">
        <v>183719016</v>
      </c>
      <c r="D802" s="986">
        <v>651.69200000000001</v>
      </c>
    </row>
    <row r="803" spans="1:4">
      <c r="A803" s="984" t="s">
        <v>4589</v>
      </c>
      <c r="B803" s="984" t="s">
        <v>998</v>
      </c>
      <c r="C803" s="985">
        <v>57809747</v>
      </c>
      <c r="D803" s="986">
        <v>443.548</v>
      </c>
    </row>
    <row r="804" spans="1:4">
      <c r="A804" s="984" t="s">
        <v>2572</v>
      </c>
      <c r="B804" s="984" t="s">
        <v>3196</v>
      </c>
      <c r="C804" s="985">
        <v>950642367</v>
      </c>
      <c r="D804" s="986">
        <v>2012.4730000000002</v>
      </c>
    </row>
    <row r="805" spans="1:4">
      <c r="A805" s="984" t="s">
        <v>1507</v>
      </c>
      <c r="B805" s="984" t="s">
        <v>7694</v>
      </c>
      <c r="C805" s="985">
        <v>29078656</v>
      </c>
      <c r="D805" s="986">
        <v>149.464</v>
      </c>
    </row>
    <row r="806" spans="1:4">
      <c r="A806" s="984" t="s">
        <v>2574</v>
      </c>
      <c r="B806" s="984" t="s">
        <v>3197</v>
      </c>
      <c r="C806" s="985">
        <v>444677038</v>
      </c>
      <c r="D806" s="986">
        <v>149.56900000000002</v>
      </c>
    </row>
    <row r="807" spans="1:4">
      <c r="A807" s="984" t="s">
        <v>2576</v>
      </c>
      <c r="B807" s="984" t="s">
        <v>3198</v>
      </c>
      <c r="C807" s="985">
        <v>132129712</v>
      </c>
      <c r="D807" s="986">
        <v>461.78700000000003</v>
      </c>
    </row>
    <row r="808" spans="1:4">
      <c r="A808" s="984" t="s">
        <v>2578</v>
      </c>
      <c r="B808" s="984" t="s">
        <v>3199</v>
      </c>
      <c r="C808" s="985">
        <v>596434052</v>
      </c>
      <c r="D808" s="986">
        <v>665.8</v>
      </c>
    </row>
    <row r="809" spans="1:4">
      <c r="A809" s="984" t="s">
        <v>158</v>
      </c>
      <c r="B809" s="984" t="s">
        <v>3200</v>
      </c>
      <c r="C809" s="985">
        <v>780382083</v>
      </c>
      <c r="D809" s="986">
        <v>174.54300000000001</v>
      </c>
    </row>
    <row r="810" spans="1:4">
      <c r="A810" s="984" t="s">
        <v>5211</v>
      </c>
      <c r="B810" s="984" t="s">
        <v>3201</v>
      </c>
      <c r="C810" s="985">
        <v>403424464</v>
      </c>
      <c r="D810" s="986">
        <v>424.99800000000005</v>
      </c>
    </row>
    <row r="811" spans="1:4">
      <c r="A811" s="984" t="s">
        <v>5213</v>
      </c>
      <c r="B811" s="984" t="s">
        <v>3202</v>
      </c>
      <c r="C811" s="985">
        <v>87347789</v>
      </c>
      <c r="D811" s="986">
        <v>150.38</v>
      </c>
    </row>
    <row r="812" spans="1:4">
      <c r="A812" s="984" t="s">
        <v>5215</v>
      </c>
      <c r="B812" s="984" t="s">
        <v>3203</v>
      </c>
      <c r="C812" s="985">
        <v>3166525609</v>
      </c>
      <c r="D812" s="986">
        <v>961.73099999999999</v>
      </c>
    </row>
    <row r="813" spans="1:4">
      <c r="A813" s="984" t="s">
        <v>5217</v>
      </c>
      <c r="B813" s="984" t="s">
        <v>3204</v>
      </c>
      <c r="C813" s="985">
        <v>338745501</v>
      </c>
      <c r="D813" s="986">
        <v>946.06200000000001</v>
      </c>
    </row>
    <row r="814" spans="1:4">
      <c r="A814" s="984" t="s">
        <v>5219</v>
      </c>
      <c r="B814" s="984" t="s">
        <v>3205</v>
      </c>
      <c r="C814" s="985">
        <v>94847428</v>
      </c>
      <c r="D814" s="986">
        <v>487.202</v>
      </c>
    </row>
    <row r="815" spans="1:4">
      <c r="A815" s="984" t="s">
        <v>2125</v>
      </c>
      <c r="B815" s="984" t="s">
        <v>3206</v>
      </c>
      <c r="C815" s="985">
        <v>5727477202</v>
      </c>
      <c r="D815" s="986">
        <v>13302.576000000001</v>
      </c>
    </row>
    <row r="816" spans="1:4">
      <c r="A816" s="984" t="s">
        <v>870</v>
      </c>
      <c r="B816" s="984" t="s">
        <v>373</v>
      </c>
      <c r="C816" s="985">
        <v>1052739014</v>
      </c>
      <c r="D816" s="986">
        <v>4294.5610000000006</v>
      </c>
    </row>
    <row r="817" spans="1:4">
      <c r="A817" s="984" t="s">
        <v>5615</v>
      </c>
      <c r="B817" s="984" t="s">
        <v>3207</v>
      </c>
      <c r="C817" s="985">
        <v>244896792</v>
      </c>
      <c r="D817" s="986">
        <v>920.36300000000006</v>
      </c>
    </row>
    <row r="818" spans="1:4">
      <c r="A818" s="984" t="s">
        <v>4590</v>
      </c>
      <c r="B818" s="984" t="s">
        <v>498</v>
      </c>
      <c r="C818" s="985">
        <v>63198789</v>
      </c>
      <c r="D818" s="986">
        <v>394.69100000000003</v>
      </c>
    </row>
    <row r="819" spans="1:4">
      <c r="A819" s="984" t="s">
        <v>860</v>
      </c>
      <c r="B819" s="984" t="s">
        <v>2005</v>
      </c>
      <c r="C819" s="985">
        <v>213716791</v>
      </c>
      <c r="D819" s="986">
        <v>559.98300000000006</v>
      </c>
    </row>
    <row r="820" spans="1:4">
      <c r="A820" s="984" t="s">
        <v>4591</v>
      </c>
      <c r="B820" s="984" t="s">
        <v>3834</v>
      </c>
      <c r="C820" s="985">
        <v>5006757</v>
      </c>
      <c r="D820" s="986">
        <v>59.75</v>
      </c>
    </row>
    <row r="821" spans="1:4">
      <c r="A821" s="984" t="s">
        <v>5617</v>
      </c>
      <c r="B821" s="984" t="s">
        <v>3208</v>
      </c>
      <c r="C821" s="985">
        <v>1855864560</v>
      </c>
      <c r="D821" s="986">
        <v>3099.096</v>
      </c>
    </row>
    <row r="822" spans="1:4">
      <c r="A822" s="984" t="s">
        <v>3150</v>
      </c>
      <c r="B822" s="984" t="s">
        <v>3209</v>
      </c>
      <c r="C822" s="985">
        <v>87916386</v>
      </c>
      <c r="D822" s="986">
        <v>148.048</v>
      </c>
    </row>
    <row r="823" spans="1:4">
      <c r="A823" s="984" t="s">
        <v>3152</v>
      </c>
      <c r="B823" s="984" t="s">
        <v>3210</v>
      </c>
      <c r="C823" s="985">
        <v>38027896</v>
      </c>
      <c r="D823" s="986">
        <v>228.34900000000002</v>
      </c>
    </row>
    <row r="824" spans="1:4">
      <c r="A824" s="984" t="s">
        <v>1949</v>
      </c>
      <c r="B824" s="984" t="s">
        <v>327</v>
      </c>
      <c r="C824" s="985">
        <v>61951685</v>
      </c>
      <c r="D824" s="986">
        <v>355.82100000000003</v>
      </c>
    </row>
    <row r="825" spans="1:4">
      <c r="A825" s="984" t="s">
        <v>1951</v>
      </c>
      <c r="B825" s="984" t="s">
        <v>3627</v>
      </c>
      <c r="C825" s="985">
        <v>72557147</v>
      </c>
      <c r="D825" s="986">
        <v>503.94300000000004</v>
      </c>
    </row>
    <row r="826" spans="1:4">
      <c r="A826" s="984" t="s">
        <v>3154</v>
      </c>
      <c r="B826" s="984" t="s">
        <v>3211</v>
      </c>
      <c r="C826" s="985">
        <v>1942609823</v>
      </c>
      <c r="D826" s="986">
        <v>1449.106</v>
      </c>
    </row>
    <row r="827" spans="1:4">
      <c r="A827" s="984" t="s">
        <v>3883</v>
      </c>
      <c r="B827" s="984" t="s">
        <v>6100</v>
      </c>
      <c r="C827" s="985">
        <v>99751064</v>
      </c>
      <c r="D827" s="986">
        <v>621.56200000000001</v>
      </c>
    </row>
    <row r="828" spans="1:4">
      <c r="A828" s="984" t="s">
        <v>3156</v>
      </c>
      <c r="B828" s="984" t="s">
        <v>3212</v>
      </c>
      <c r="C828" s="985">
        <v>465345077</v>
      </c>
      <c r="D828" s="986">
        <v>890.14499999999998</v>
      </c>
    </row>
    <row r="829" spans="1:4">
      <c r="A829" s="984" t="s">
        <v>3158</v>
      </c>
      <c r="B829" s="984" t="s">
        <v>3213</v>
      </c>
      <c r="C829" s="985">
        <v>376057041</v>
      </c>
      <c r="D829" s="986">
        <v>843.99200000000008</v>
      </c>
    </row>
    <row r="830" spans="1:4">
      <c r="A830" s="984" t="s">
        <v>3160</v>
      </c>
      <c r="B830" s="984" t="s">
        <v>3214</v>
      </c>
      <c r="C830" s="985">
        <v>88785162</v>
      </c>
      <c r="D830" s="986">
        <v>599.78700000000003</v>
      </c>
    </row>
    <row r="831" spans="1:4">
      <c r="A831" s="984" t="s">
        <v>3162</v>
      </c>
      <c r="B831" s="984" t="s">
        <v>3215</v>
      </c>
      <c r="C831" s="985">
        <v>307664798</v>
      </c>
      <c r="D831" s="986">
        <v>763.21</v>
      </c>
    </row>
    <row r="832" spans="1:4">
      <c r="A832" s="984" t="s">
        <v>569</v>
      </c>
      <c r="B832" s="984" t="s">
        <v>3216</v>
      </c>
      <c r="C832" s="985">
        <v>93497294</v>
      </c>
      <c r="D832" s="986">
        <v>425.55200000000002</v>
      </c>
    </row>
    <row r="833" spans="1:4">
      <c r="A833" s="984" t="s">
        <v>571</v>
      </c>
      <c r="B833" s="984" t="s">
        <v>4309</v>
      </c>
      <c r="C833" s="985">
        <v>901846611</v>
      </c>
      <c r="D833" s="986">
        <v>1519.6780000000001</v>
      </c>
    </row>
    <row r="834" spans="1:4">
      <c r="A834" s="984" t="s">
        <v>3181</v>
      </c>
      <c r="B834" s="984" t="s">
        <v>3596</v>
      </c>
      <c r="C834" s="985">
        <v>307791524</v>
      </c>
      <c r="D834" s="986">
        <v>1780.001</v>
      </c>
    </row>
    <row r="835" spans="1:4">
      <c r="A835" s="984" t="s">
        <v>2071</v>
      </c>
      <c r="B835" s="984" t="s">
        <v>7687</v>
      </c>
      <c r="C835" s="985">
        <v>625578346</v>
      </c>
      <c r="D835" s="986">
        <v>1638.1960000000001</v>
      </c>
    </row>
    <row r="836" spans="1:4">
      <c r="A836" s="984" t="s">
        <v>3183</v>
      </c>
      <c r="B836" s="984" t="s">
        <v>3597</v>
      </c>
      <c r="C836" s="985">
        <v>1096252627</v>
      </c>
      <c r="D836" s="986">
        <v>4067.2910000000002</v>
      </c>
    </row>
    <row r="837" spans="1:4">
      <c r="A837" s="984" t="s">
        <v>924</v>
      </c>
      <c r="B837" s="984" t="s">
        <v>3598</v>
      </c>
      <c r="C837" s="985">
        <v>1161239759</v>
      </c>
      <c r="D837" s="986">
        <v>1968.527</v>
      </c>
    </row>
    <row r="838" spans="1:4">
      <c r="A838" s="984" t="s">
        <v>6165</v>
      </c>
      <c r="B838" s="984" t="s">
        <v>6069</v>
      </c>
      <c r="C838" s="985">
        <v>244535278</v>
      </c>
      <c r="D838" s="986">
        <v>1602.018</v>
      </c>
    </row>
    <row r="839" spans="1:4">
      <c r="A839" s="984" t="s">
        <v>6187</v>
      </c>
      <c r="B839" s="984" t="s">
        <v>3832</v>
      </c>
      <c r="C839" s="985">
        <v>269300899</v>
      </c>
      <c r="D839" s="986">
        <v>1003.52</v>
      </c>
    </row>
    <row r="840" spans="1:4">
      <c r="A840" s="984" t="s">
        <v>1837</v>
      </c>
      <c r="B840" s="984" t="s">
        <v>1468</v>
      </c>
      <c r="C840" s="985">
        <v>388500152</v>
      </c>
      <c r="D840" s="986">
        <v>1981.952</v>
      </c>
    </row>
    <row r="841" spans="1:4">
      <c r="A841" s="984" t="s">
        <v>3884</v>
      </c>
      <c r="B841" s="984" t="s">
        <v>5362</v>
      </c>
      <c r="C841" s="985">
        <v>306387861</v>
      </c>
      <c r="D841" s="986">
        <v>1029.58</v>
      </c>
    </row>
    <row r="842" spans="1:4">
      <c r="A842" s="984" t="s">
        <v>2390</v>
      </c>
      <c r="B842" s="984" t="s">
        <v>1455</v>
      </c>
      <c r="C842" s="985">
        <v>177231797</v>
      </c>
      <c r="D842" s="986">
        <v>660.51900000000001</v>
      </c>
    </row>
    <row r="843" spans="1:4">
      <c r="A843" s="984" t="s">
        <v>926</v>
      </c>
      <c r="B843" s="984" t="s">
        <v>3599</v>
      </c>
      <c r="C843" s="985">
        <v>51117802</v>
      </c>
      <c r="D843" s="986">
        <v>118.46600000000001</v>
      </c>
    </row>
    <row r="844" spans="1:4">
      <c r="A844" s="984" t="s">
        <v>928</v>
      </c>
      <c r="B844" s="984" t="s">
        <v>1840</v>
      </c>
      <c r="C844" s="985">
        <v>38124415</v>
      </c>
      <c r="D844" s="986">
        <v>109.70100000000001</v>
      </c>
    </row>
    <row r="845" spans="1:4">
      <c r="A845" s="984" t="s">
        <v>930</v>
      </c>
      <c r="B845" s="984" t="s">
        <v>1841</v>
      </c>
      <c r="C845" s="985">
        <v>380872647</v>
      </c>
      <c r="D845" s="986">
        <v>545.178</v>
      </c>
    </row>
    <row r="846" spans="1:4">
      <c r="A846" s="984" t="s">
        <v>932</v>
      </c>
      <c r="B846" s="984" t="s">
        <v>1842</v>
      </c>
      <c r="C846" s="985">
        <v>400135257</v>
      </c>
      <c r="D846" s="986">
        <v>207.34800000000001</v>
      </c>
    </row>
    <row r="847" spans="1:4">
      <c r="A847" s="984" t="s">
        <v>934</v>
      </c>
      <c r="B847" s="984" t="s">
        <v>0</v>
      </c>
      <c r="C847" s="985">
        <v>2395447393</v>
      </c>
      <c r="D847" s="986">
        <v>2518.761</v>
      </c>
    </row>
    <row r="848" spans="1:4">
      <c r="A848" s="984" t="s">
        <v>936</v>
      </c>
      <c r="B848" s="984" t="s">
        <v>1</v>
      </c>
      <c r="C848" s="985">
        <v>227069061</v>
      </c>
      <c r="D848" s="986">
        <v>248.63499999999999</v>
      </c>
    </row>
    <row r="849" spans="1:4">
      <c r="A849" s="984" t="s">
        <v>5145</v>
      </c>
      <c r="B849" s="984" t="s">
        <v>2</v>
      </c>
      <c r="C849" s="985">
        <v>300284887</v>
      </c>
      <c r="D849" s="986">
        <v>472.85599999999999</v>
      </c>
    </row>
    <row r="850" spans="1:4">
      <c r="A850" s="984" t="s">
        <v>2950</v>
      </c>
      <c r="B850" s="984" t="s">
        <v>3</v>
      </c>
      <c r="C850" s="985">
        <v>59254947</v>
      </c>
      <c r="D850" s="986">
        <v>144.905</v>
      </c>
    </row>
    <row r="851" spans="1:4">
      <c r="A851" s="984" t="s">
        <v>2952</v>
      </c>
      <c r="B851" s="984" t="s">
        <v>4</v>
      </c>
      <c r="C851" s="985">
        <v>538687762</v>
      </c>
      <c r="D851" s="986">
        <v>2381.8510000000001</v>
      </c>
    </row>
    <row r="852" spans="1:4">
      <c r="A852" s="984" t="s">
        <v>2526</v>
      </c>
      <c r="B852" s="984" t="s">
        <v>5</v>
      </c>
      <c r="C852" s="985">
        <v>218901564</v>
      </c>
      <c r="D852" s="986">
        <v>683.58699999999999</v>
      </c>
    </row>
    <row r="853" spans="1:4">
      <c r="A853" s="984" t="s">
        <v>3885</v>
      </c>
      <c r="B853" s="984" t="s">
        <v>1465</v>
      </c>
      <c r="C853" s="985">
        <v>224105536</v>
      </c>
      <c r="D853" s="986">
        <v>704.22300000000007</v>
      </c>
    </row>
    <row r="854" spans="1:4">
      <c r="A854" s="984" t="s">
        <v>2528</v>
      </c>
      <c r="B854" s="984" t="s">
        <v>6</v>
      </c>
      <c r="C854" s="985">
        <v>77071811</v>
      </c>
      <c r="D854" s="986">
        <v>492.12300000000005</v>
      </c>
    </row>
    <row r="855" spans="1:4">
      <c r="A855" s="984" t="s">
        <v>2530</v>
      </c>
      <c r="B855" s="984" t="s">
        <v>7</v>
      </c>
      <c r="C855" s="985">
        <v>152672972</v>
      </c>
      <c r="D855" s="986">
        <v>579.15800000000002</v>
      </c>
    </row>
    <row r="856" spans="1:4">
      <c r="A856" s="984" t="s">
        <v>2532</v>
      </c>
      <c r="B856" s="984" t="s">
        <v>8</v>
      </c>
      <c r="C856" s="985">
        <v>46515765</v>
      </c>
      <c r="D856" s="986">
        <v>101.01700000000001</v>
      </c>
    </row>
    <row r="857" spans="1:4">
      <c r="A857" s="984" t="s">
        <v>2316</v>
      </c>
      <c r="B857" s="984" t="s">
        <v>9</v>
      </c>
      <c r="C857" s="985">
        <v>157395360</v>
      </c>
      <c r="D857" s="986">
        <v>85.213999999999999</v>
      </c>
    </row>
    <row r="858" spans="1:4">
      <c r="A858" s="984" t="s">
        <v>5105</v>
      </c>
      <c r="B858" s="984" t="s">
        <v>10</v>
      </c>
      <c r="C858" s="985">
        <v>461905875</v>
      </c>
      <c r="D858" s="986">
        <v>545.57000000000005</v>
      </c>
    </row>
    <row r="859" spans="1:4">
      <c r="A859" s="984" t="s">
        <v>5036</v>
      </c>
      <c r="B859" s="984" t="s">
        <v>7689</v>
      </c>
      <c r="C859" s="985">
        <v>369413544</v>
      </c>
      <c r="D859" s="986">
        <v>839.05</v>
      </c>
    </row>
    <row r="860" spans="1:4">
      <c r="A860" s="984" t="s">
        <v>2430</v>
      </c>
      <c r="B860" s="984" t="s">
        <v>11</v>
      </c>
      <c r="C860" s="985">
        <v>717689245</v>
      </c>
      <c r="D860" s="986">
        <v>1966.3960000000002</v>
      </c>
    </row>
    <row r="861" spans="1:4">
      <c r="A861" s="984" t="s">
        <v>2432</v>
      </c>
      <c r="B861" s="984" t="s">
        <v>12</v>
      </c>
      <c r="C861" s="985">
        <v>1033464681</v>
      </c>
      <c r="D861" s="986">
        <v>3540.462</v>
      </c>
    </row>
    <row r="862" spans="1:4">
      <c r="A862" s="984" t="s">
        <v>5339</v>
      </c>
      <c r="B862" s="984" t="s">
        <v>13</v>
      </c>
      <c r="C862" s="985">
        <v>376153233</v>
      </c>
      <c r="D862" s="986">
        <v>1004.3130000000001</v>
      </c>
    </row>
    <row r="863" spans="1:4">
      <c r="A863" s="984" t="s">
        <v>5341</v>
      </c>
      <c r="B863" s="984" t="s">
        <v>14</v>
      </c>
      <c r="C863" s="985">
        <v>7010205694</v>
      </c>
      <c r="D863" s="986">
        <v>17328.361000000001</v>
      </c>
    </row>
    <row r="864" spans="1:4">
      <c r="A864" s="984" t="s">
        <v>858</v>
      </c>
      <c r="B864" s="984" t="s">
        <v>4070</v>
      </c>
      <c r="C864" s="985">
        <v>1605441397</v>
      </c>
      <c r="D864" s="986">
        <v>4309.6109999999999</v>
      </c>
    </row>
    <row r="865" spans="1:4">
      <c r="A865" s="984" t="s">
        <v>5343</v>
      </c>
      <c r="B865" s="984" t="s">
        <v>6106</v>
      </c>
      <c r="C865" s="985">
        <v>1068681213</v>
      </c>
      <c r="D865" s="986">
        <v>3088.5770000000002</v>
      </c>
    </row>
    <row r="866" spans="1:4">
      <c r="A866" s="984" t="s">
        <v>5344</v>
      </c>
      <c r="B866" s="984" t="s">
        <v>15</v>
      </c>
      <c r="C866" s="985">
        <v>347402716</v>
      </c>
      <c r="D866" s="986">
        <v>955.36800000000005</v>
      </c>
    </row>
    <row r="867" spans="1:4">
      <c r="A867" s="984" t="s">
        <v>5346</v>
      </c>
      <c r="B867" s="984" t="s">
        <v>16</v>
      </c>
      <c r="C867" s="985">
        <v>3406434557</v>
      </c>
      <c r="D867" s="986">
        <v>1542.9160000000002</v>
      </c>
    </row>
    <row r="868" spans="1:4">
      <c r="A868" s="984" t="s">
        <v>2770</v>
      </c>
      <c r="B868" s="984" t="s">
        <v>360</v>
      </c>
      <c r="C868" s="985">
        <v>1294662975</v>
      </c>
      <c r="D868" s="986">
        <v>9888.6110000000008</v>
      </c>
    </row>
    <row r="869" spans="1:4">
      <c r="A869" s="984" t="s">
        <v>5348</v>
      </c>
      <c r="B869" s="984" t="s">
        <v>1718</v>
      </c>
      <c r="C869" s="985">
        <v>306443536</v>
      </c>
      <c r="D869" s="986">
        <v>257.72000000000003</v>
      </c>
    </row>
    <row r="870" spans="1:4">
      <c r="A870" s="984" t="s">
        <v>3886</v>
      </c>
      <c r="B870" s="984" t="s">
        <v>368</v>
      </c>
      <c r="C870" s="985">
        <v>400552395</v>
      </c>
      <c r="D870" s="986">
        <v>6103.9180000000006</v>
      </c>
    </row>
    <row r="871" spans="1:4">
      <c r="A871" s="984" t="s">
        <v>5350</v>
      </c>
      <c r="B871" s="984" t="s">
        <v>1719</v>
      </c>
      <c r="C871" s="985">
        <v>850849079</v>
      </c>
      <c r="D871" s="986">
        <v>1436.077</v>
      </c>
    </row>
    <row r="872" spans="1:4">
      <c r="A872" s="984" t="s">
        <v>3139</v>
      </c>
      <c r="B872" s="984" t="s">
        <v>1720</v>
      </c>
      <c r="C872" s="985">
        <v>902406595</v>
      </c>
      <c r="D872" s="986">
        <v>205.709</v>
      </c>
    </row>
    <row r="873" spans="1:4">
      <c r="A873" s="984" t="s">
        <v>1530</v>
      </c>
      <c r="B873" s="984" t="s">
        <v>1721</v>
      </c>
      <c r="C873" s="985">
        <v>216602360</v>
      </c>
      <c r="D873" s="986">
        <v>215.29900000000001</v>
      </c>
    </row>
    <row r="874" spans="1:4">
      <c r="A874" s="984" t="s">
        <v>1532</v>
      </c>
      <c r="B874" s="984" t="s">
        <v>1722</v>
      </c>
      <c r="C874" s="985">
        <v>1068236482</v>
      </c>
      <c r="D874" s="986">
        <v>837.86500000000001</v>
      </c>
    </row>
    <row r="875" spans="1:4">
      <c r="A875" s="984" t="s">
        <v>624</v>
      </c>
      <c r="B875" s="984" t="s">
        <v>1723</v>
      </c>
      <c r="C875" s="985">
        <v>73564668</v>
      </c>
      <c r="D875" s="986">
        <v>239.02500000000001</v>
      </c>
    </row>
    <row r="876" spans="1:4">
      <c r="A876" s="984" t="s">
        <v>626</v>
      </c>
      <c r="B876" s="984" t="s">
        <v>1724</v>
      </c>
      <c r="C876" s="985">
        <v>138763414</v>
      </c>
      <c r="D876" s="986">
        <v>987.77499999999998</v>
      </c>
    </row>
    <row r="877" spans="1:4">
      <c r="A877" s="984" t="s">
        <v>628</v>
      </c>
      <c r="B877" s="984" t="s">
        <v>1725</v>
      </c>
      <c r="C877" s="985">
        <v>56924426</v>
      </c>
      <c r="D877" s="986">
        <v>207.251</v>
      </c>
    </row>
    <row r="878" spans="1:4">
      <c r="A878" s="984" t="s">
        <v>269</v>
      </c>
      <c r="B878" s="984" t="s">
        <v>7688</v>
      </c>
      <c r="C878" s="985">
        <v>18762592239</v>
      </c>
      <c r="D878" s="986">
        <v>59075.624000000003</v>
      </c>
    </row>
    <row r="879" spans="1:4">
      <c r="A879" s="984" t="s">
        <v>951</v>
      </c>
      <c r="B879" s="984" t="s">
        <v>7656</v>
      </c>
      <c r="C879" s="985">
        <v>6836900825</v>
      </c>
      <c r="D879" s="986">
        <v>21820.489000000001</v>
      </c>
    </row>
    <row r="880" spans="1:4">
      <c r="A880" s="984" t="s">
        <v>409</v>
      </c>
      <c r="B880" s="984" t="s">
        <v>1726</v>
      </c>
      <c r="C880" s="985">
        <v>1069020454</v>
      </c>
      <c r="D880" s="986">
        <v>4687.6170000000002</v>
      </c>
    </row>
    <row r="881" spans="1:4">
      <c r="A881" s="984" t="s">
        <v>3996</v>
      </c>
      <c r="B881" s="984" t="s">
        <v>1727</v>
      </c>
      <c r="C881" s="985">
        <v>24651432658</v>
      </c>
      <c r="D881" s="986">
        <v>73526.625</v>
      </c>
    </row>
    <row r="882" spans="1:4">
      <c r="A882" s="984" t="s">
        <v>3998</v>
      </c>
      <c r="B882" s="984" t="s">
        <v>1728</v>
      </c>
      <c r="C882" s="985">
        <v>9881995591</v>
      </c>
      <c r="D882" s="986">
        <v>13032.566000000001</v>
      </c>
    </row>
    <row r="883" spans="1:4">
      <c r="A883" s="984" t="s">
        <v>6030</v>
      </c>
      <c r="B883" s="984" t="s">
        <v>1915</v>
      </c>
      <c r="C883" s="985">
        <v>10719185348</v>
      </c>
      <c r="D883" s="986">
        <v>31111.762999999999</v>
      </c>
    </row>
    <row r="884" spans="1:4">
      <c r="A884" s="984" t="s">
        <v>3002</v>
      </c>
      <c r="B884" s="984" t="s">
        <v>6062</v>
      </c>
      <c r="C884" s="985">
        <v>9084043857</v>
      </c>
      <c r="D884" s="986">
        <v>30549.932000000001</v>
      </c>
    </row>
    <row r="885" spans="1:4">
      <c r="A885" s="984" t="s">
        <v>2986</v>
      </c>
      <c r="B885" s="984" t="s">
        <v>186</v>
      </c>
      <c r="C885" s="985">
        <v>683789201</v>
      </c>
      <c r="D885" s="986">
        <v>2845.373</v>
      </c>
    </row>
    <row r="886" spans="1:4">
      <c r="A886" s="984" t="s">
        <v>246</v>
      </c>
      <c r="B886" s="984" t="s">
        <v>1668</v>
      </c>
      <c r="C886" s="985">
        <v>4664119848</v>
      </c>
      <c r="D886" s="986">
        <v>14120.611000000001</v>
      </c>
    </row>
    <row r="887" spans="1:4">
      <c r="A887" s="984" t="s">
        <v>6032</v>
      </c>
      <c r="B887" s="984" t="s">
        <v>1918</v>
      </c>
      <c r="C887" s="985">
        <v>940659046</v>
      </c>
      <c r="D887" s="986">
        <v>2985.1550000000002</v>
      </c>
    </row>
    <row r="888" spans="1:4">
      <c r="A888" s="984" t="s">
        <v>946</v>
      </c>
      <c r="B888" s="984" t="s">
        <v>7693</v>
      </c>
      <c r="C888" s="985">
        <v>2351893097</v>
      </c>
      <c r="D888" s="986">
        <v>5412.4980000000005</v>
      </c>
    </row>
    <row r="889" spans="1:4">
      <c r="A889" s="984" t="s">
        <v>1875</v>
      </c>
      <c r="B889" s="984" t="s">
        <v>3858</v>
      </c>
      <c r="C889" s="985">
        <v>8341225419</v>
      </c>
      <c r="D889" s="986">
        <v>19879.767</v>
      </c>
    </row>
    <row r="890" spans="1:4">
      <c r="A890" s="984" t="s">
        <v>6682</v>
      </c>
      <c r="B890" s="984" t="s">
        <v>6103</v>
      </c>
      <c r="C890" s="985">
        <v>433795389</v>
      </c>
      <c r="D890" s="986">
        <v>3338.6590000000001</v>
      </c>
    </row>
    <row r="891" spans="1:4">
      <c r="A891" s="984" t="s">
        <v>4002</v>
      </c>
      <c r="B891" s="984" t="s">
        <v>1729</v>
      </c>
      <c r="C891" s="985">
        <v>6013464819</v>
      </c>
      <c r="D891" s="986">
        <v>15664.875</v>
      </c>
    </row>
    <row r="892" spans="1:4">
      <c r="A892" s="984" t="s">
        <v>6681</v>
      </c>
      <c r="B892" s="984" t="s">
        <v>6102</v>
      </c>
      <c r="C892" s="985">
        <v>5278933739</v>
      </c>
      <c r="D892" s="986">
        <v>7342.4660000000003</v>
      </c>
    </row>
    <row r="893" spans="1:4">
      <c r="A893" s="984" t="s">
        <v>857</v>
      </c>
      <c r="B893" s="984" t="s">
        <v>4069</v>
      </c>
      <c r="C893" s="985">
        <v>1462901885</v>
      </c>
      <c r="D893" s="986">
        <v>5754.67</v>
      </c>
    </row>
    <row r="894" spans="1:4">
      <c r="A894" s="984" t="s">
        <v>4006</v>
      </c>
      <c r="B894" s="984" t="s">
        <v>1730</v>
      </c>
      <c r="C894" s="985">
        <v>3810069042</v>
      </c>
      <c r="D894" s="986">
        <v>15575.806</v>
      </c>
    </row>
    <row r="895" spans="1:4">
      <c r="A895" s="984" t="s">
        <v>4008</v>
      </c>
      <c r="B895" s="984" t="s">
        <v>1731</v>
      </c>
      <c r="C895" s="985">
        <v>384062252</v>
      </c>
      <c r="D895" s="986">
        <v>1057.9690000000001</v>
      </c>
    </row>
    <row r="896" spans="1:4">
      <c r="A896" s="984" t="s">
        <v>4010</v>
      </c>
      <c r="B896" s="984" t="s">
        <v>1732</v>
      </c>
      <c r="C896" s="985">
        <v>149147396</v>
      </c>
      <c r="D896" s="986">
        <v>176.03200000000001</v>
      </c>
    </row>
    <row r="897" spans="1:4">
      <c r="A897" s="984" t="s">
        <v>4012</v>
      </c>
      <c r="B897" s="984" t="s">
        <v>4374</v>
      </c>
      <c r="C897" s="985">
        <v>385902494</v>
      </c>
      <c r="D897" s="986">
        <v>971.81500000000005</v>
      </c>
    </row>
    <row r="898" spans="1:4">
      <c r="A898" s="984" t="s">
        <v>4014</v>
      </c>
      <c r="B898" s="984" t="s">
        <v>2008</v>
      </c>
      <c r="C898" s="985">
        <v>1239779112</v>
      </c>
      <c r="D898" s="986">
        <v>3168.4540000000002</v>
      </c>
    </row>
    <row r="899" spans="1:4">
      <c r="A899" s="984" t="s">
        <v>4015</v>
      </c>
      <c r="B899" s="984" t="s">
        <v>1734</v>
      </c>
      <c r="C899" s="985">
        <v>642754072</v>
      </c>
      <c r="D899" s="986">
        <v>123.96</v>
      </c>
    </row>
    <row r="900" spans="1:4">
      <c r="A900" s="984" t="s">
        <v>6120</v>
      </c>
      <c r="B900" s="984" t="s">
        <v>1735</v>
      </c>
      <c r="C900" s="985">
        <v>796771952</v>
      </c>
      <c r="D900" s="986">
        <v>1663.0030000000002</v>
      </c>
    </row>
    <row r="901" spans="1:4">
      <c r="A901" s="984" t="s">
        <v>6679</v>
      </c>
      <c r="B901" s="984" t="s">
        <v>6078</v>
      </c>
      <c r="C901" s="985">
        <v>75797716</v>
      </c>
      <c r="D901" s="986">
        <v>272.71700000000004</v>
      </c>
    </row>
    <row r="902" spans="1:4">
      <c r="A902" s="984" t="s">
        <v>6122</v>
      </c>
      <c r="B902" s="984" t="s">
        <v>4380</v>
      </c>
      <c r="C902" s="985">
        <v>182124065</v>
      </c>
      <c r="D902" s="986">
        <v>215.554</v>
      </c>
    </row>
    <row r="903" spans="1:4">
      <c r="A903" s="984" t="s">
        <v>1801</v>
      </c>
      <c r="B903" s="984" t="s">
        <v>1737</v>
      </c>
      <c r="C903" s="985">
        <v>122661088</v>
      </c>
      <c r="D903" s="986">
        <v>197.19</v>
      </c>
    </row>
    <row r="904" spans="1:4">
      <c r="A904" s="984" t="s">
        <v>1803</v>
      </c>
      <c r="B904" s="984" t="s">
        <v>1738</v>
      </c>
      <c r="C904" s="985">
        <v>35007220</v>
      </c>
      <c r="D904" s="986">
        <v>92.947000000000003</v>
      </c>
    </row>
    <row r="905" spans="1:4">
      <c r="A905" s="984" t="s">
        <v>1805</v>
      </c>
      <c r="B905" s="984" t="s">
        <v>1739</v>
      </c>
      <c r="C905" s="985">
        <v>2151598043</v>
      </c>
      <c r="D905" s="986">
        <v>4828.241</v>
      </c>
    </row>
    <row r="906" spans="1:4">
      <c r="A906" s="984" t="s">
        <v>1807</v>
      </c>
      <c r="B906" s="984" t="s">
        <v>1740</v>
      </c>
      <c r="C906" s="985">
        <v>54546912</v>
      </c>
      <c r="D906" s="986">
        <v>151.352</v>
      </c>
    </row>
    <row r="907" spans="1:4">
      <c r="A907" s="984" t="s">
        <v>5037</v>
      </c>
      <c r="B907" s="984" t="s">
        <v>6106</v>
      </c>
      <c r="C907" s="985">
        <v>109833518</v>
      </c>
      <c r="D907" s="986">
        <v>901.20300000000009</v>
      </c>
    </row>
    <row r="908" spans="1:4">
      <c r="A908" s="984" t="s">
        <v>1809</v>
      </c>
      <c r="B908" s="984" t="s">
        <v>1741</v>
      </c>
      <c r="C908" s="985">
        <v>145645602</v>
      </c>
      <c r="D908" s="986">
        <v>426.66800000000001</v>
      </c>
    </row>
    <row r="909" spans="1:4">
      <c r="A909" s="984" t="s">
        <v>1697</v>
      </c>
      <c r="B909" s="984" t="s">
        <v>1742</v>
      </c>
      <c r="C909" s="985">
        <v>278330768</v>
      </c>
      <c r="D909" s="986">
        <v>430.76</v>
      </c>
    </row>
    <row r="910" spans="1:4">
      <c r="A910" s="984" t="s">
        <v>2385</v>
      </c>
      <c r="B910" s="984" t="s">
        <v>378</v>
      </c>
      <c r="C910" s="985">
        <v>3367273539</v>
      </c>
      <c r="D910" s="986">
        <v>13235.09</v>
      </c>
    </row>
    <row r="911" spans="1:4">
      <c r="A911" s="984" t="s">
        <v>1699</v>
      </c>
      <c r="B911" s="984" t="s">
        <v>1743</v>
      </c>
      <c r="C911" s="985">
        <v>123265735</v>
      </c>
      <c r="D911" s="986">
        <v>295.04900000000004</v>
      </c>
    </row>
    <row r="912" spans="1:4">
      <c r="A912" s="984" t="s">
        <v>3554</v>
      </c>
      <c r="B912" s="984" t="s">
        <v>4061</v>
      </c>
      <c r="C912" s="985">
        <v>285933118</v>
      </c>
      <c r="D912" s="986">
        <v>1014.873</v>
      </c>
    </row>
    <row r="913" spans="1:4">
      <c r="A913" s="984" t="s">
        <v>1857</v>
      </c>
      <c r="B913" s="984" t="s">
        <v>3913</v>
      </c>
      <c r="C913" s="985">
        <v>145245438</v>
      </c>
      <c r="D913" s="986">
        <v>1001.835</v>
      </c>
    </row>
    <row r="914" spans="1:4">
      <c r="A914" s="984" t="s">
        <v>7288</v>
      </c>
      <c r="B914" s="984" t="s">
        <v>7132</v>
      </c>
      <c r="C914" s="985">
        <v>84284992</v>
      </c>
      <c r="D914" s="986">
        <v>247.85499999999999</v>
      </c>
    </row>
    <row r="915" spans="1:4">
      <c r="A915" s="984" t="s">
        <v>2791</v>
      </c>
      <c r="B915" s="984" t="s">
        <v>1744</v>
      </c>
      <c r="C915" s="985">
        <v>59878940779</v>
      </c>
      <c r="D915" s="986">
        <v>77981.952999999994</v>
      </c>
    </row>
    <row r="916" spans="1:4">
      <c r="A916" s="984" t="s">
        <v>5124</v>
      </c>
      <c r="B916" s="984" t="s">
        <v>339</v>
      </c>
      <c r="C916" s="985">
        <v>7211421805</v>
      </c>
      <c r="D916" s="986">
        <v>21354.3</v>
      </c>
    </row>
    <row r="917" spans="1:4">
      <c r="A917" s="984" t="s">
        <v>2793</v>
      </c>
      <c r="B917" s="984" t="s">
        <v>1745</v>
      </c>
      <c r="C917" s="985">
        <v>2589100410</v>
      </c>
      <c r="D917" s="986">
        <v>6456.299</v>
      </c>
    </row>
    <row r="918" spans="1:4">
      <c r="A918" s="984" t="s">
        <v>2795</v>
      </c>
      <c r="B918" s="984" t="s">
        <v>1746</v>
      </c>
      <c r="C918" s="985">
        <v>9177352917</v>
      </c>
      <c r="D918" s="986">
        <v>7435.4360000000006</v>
      </c>
    </row>
    <row r="919" spans="1:4">
      <c r="A919" s="984" t="s">
        <v>2052</v>
      </c>
      <c r="B919" s="984" t="s">
        <v>997</v>
      </c>
      <c r="C919" s="985">
        <v>2913381313</v>
      </c>
      <c r="D919" s="986">
        <v>9824.0069999999996</v>
      </c>
    </row>
    <row r="920" spans="1:4">
      <c r="A920" s="984" t="s">
        <v>2797</v>
      </c>
      <c r="B920" s="984" t="s">
        <v>1747</v>
      </c>
      <c r="C920" s="985">
        <v>1411602331</v>
      </c>
      <c r="D920" s="986">
        <v>1209.569</v>
      </c>
    </row>
    <row r="921" spans="1:4">
      <c r="A921" s="984" t="s">
        <v>2799</v>
      </c>
      <c r="B921" s="984" t="s">
        <v>1748</v>
      </c>
      <c r="C921" s="985">
        <v>6787465234</v>
      </c>
      <c r="D921" s="986">
        <v>6614.3820000000005</v>
      </c>
    </row>
    <row r="922" spans="1:4">
      <c r="A922" s="984" t="s">
        <v>2801</v>
      </c>
      <c r="B922" s="984" t="s">
        <v>1749</v>
      </c>
      <c r="C922" s="985">
        <v>230013399</v>
      </c>
      <c r="D922" s="986">
        <v>696.89100000000008</v>
      </c>
    </row>
    <row r="923" spans="1:4">
      <c r="A923" s="984" t="s">
        <v>2803</v>
      </c>
      <c r="B923" s="984" t="s">
        <v>1750</v>
      </c>
      <c r="C923" s="985">
        <v>277677322</v>
      </c>
      <c r="D923" s="986">
        <v>1096.546</v>
      </c>
    </row>
    <row r="924" spans="1:4">
      <c r="A924" s="984" t="s">
        <v>2805</v>
      </c>
      <c r="B924" s="984" t="s">
        <v>297</v>
      </c>
      <c r="C924" s="985">
        <v>26055685</v>
      </c>
      <c r="D924" s="986">
        <v>142.69499999999999</v>
      </c>
    </row>
    <row r="925" spans="1:4">
      <c r="A925" s="984" t="s">
        <v>2806</v>
      </c>
      <c r="B925" s="984" t="s">
        <v>1751</v>
      </c>
      <c r="C925" s="985">
        <v>29249206</v>
      </c>
      <c r="D925" s="986">
        <v>171.50700000000001</v>
      </c>
    </row>
    <row r="926" spans="1:4">
      <c r="A926" s="984" t="s">
        <v>232</v>
      </c>
      <c r="B926" s="984" t="s">
        <v>2639</v>
      </c>
      <c r="C926" s="985">
        <v>114569066</v>
      </c>
      <c r="D926" s="986">
        <v>448.33</v>
      </c>
    </row>
    <row r="927" spans="1:4">
      <c r="A927" s="984" t="s">
        <v>3572</v>
      </c>
      <c r="B927" s="984" t="s">
        <v>1752</v>
      </c>
      <c r="C927" s="985">
        <v>905134370</v>
      </c>
      <c r="D927" s="986">
        <v>1222.06</v>
      </c>
    </row>
    <row r="928" spans="1:4">
      <c r="A928" s="984" t="s">
        <v>3574</v>
      </c>
      <c r="B928" s="984" t="s">
        <v>7623</v>
      </c>
      <c r="C928" s="985">
        <v>252542260</v>
      </c>
      <c r="D928" s="986">
        <v>1140.066</v>
      </c>
    </row>
    <row r="929" spans="1:4">
      <c r="A929" s="984" t="s">
        <v>4072</v>
      </c>
      <c r="B929" s="984" t="s">
        <v>2353</v>
      </c>
      <c r="C929" s="985">
        <v>67052627</v>
      </c>
      <c r="D929" s="986">
        <v>343.20800000000003</v>
      </c>
    </row>
    <row r="930" spans="1:4">
      <c r="A930" s="984" t="s">
        <v>735</v>
      </c>
      <c r="B930" s="984" t="s">
        <v>6108</v>
      </c>
      <c r="C930" s="985">
        <v>61707081</v>
      </c>
      <c r="D930" s="986">
        <v>173.90800000000002</v>
      </c>
    </row>
    <row r="931" spans="1:4">
      <c r="A931" s="984" t="s">
        <v>3576</v>
      </c>
      <c r="B931" s="984" t="s">
        <v>400</v>
      </c>
      <c r="C931" s="985">
        <v>177403235</v>
      </c>
      <c r="D931" s="986">
        <v>665.08699999999999</v>
      </c>
    </row>
    <row r="932" spans="1:4">
      <c r="A932" s="984" t="s">
        <v>3577</v>
      </c>
      <c r="B932" s="984" t="s">
        <v>7624</v>
      </c>
      <c r="C932" s="985">
        <v>866993222</v>
      </c>
      <c r="D932" s="986">
        <v>2203.5280000000002</v>
      </c>
    </row>
    <row r="933" spans="1:4">
      <c r="A933" s="984" t="s">
        <v>6190</v>
      </c>
      <c r="B933" s="984" t="s">
        <v>3626</v>
      </c>
      <c r="C933" s="985">
        <v>139589218</v>
      </c>
      <c r="D933" s="986">
        <v>792.226</v>
      </c>
    </row>
    <row r="934" spans="1:4">
      <c r="A934" s="984" t="s">
        <v>3580</v>
      </c>
      <c r="B934" s="984" t="s">
        <v>7625</v>
      </c>
      <c r="C934" s="985">
        <v>89847445</v>
      </c>
      <c r="D934" s="986">
        <v>278.13499999999999</v>
      </c>
    </row>
    <row r="935" spans="1:4">
      <c r="A935" s="984" t="s">
        <v>1862</v>
      </c>
      <c r="B935" s="984" t="s">
        <v>3837</v>
      </c>
      <c r="C935" s="985">
        <v>382151471</v>
      </c>
      <c r="D935" s="986">
        <v>1002.272</v>
      </c>
    </row>
    <row r="936" spans="1:4">
      <c r="A936" s="984" t="s">
        <v>3582</v>
      </c>
      <c r="B936" s="984" t="s">
        <v>7626</v>
      </c>
      <c r="C936" s="985">
        <v>161762148</v>
      </c>
      <c r="D936" s="986">
        <v>944.30700000000002</v>
      </c>
    </row>
    <row r="937" spans="1:4">
      <c r="A937" s="984" t="s">
        <v>3584</v>
      </c>
      <c r="B937" s="984" t="s">
        <v>7627</v>
      </c>
      <c r="C937" s="985">
        <v>187645770</v>
      </c>
      <c r="D937" s="986">
        <v>702.73099999999999</v>
      </c>
    </row>
    <row r="938" spans="1:4">
      <c r="A938" s="984" t="s">
        <v>3586</v>
      </c>
      <c r="B938" s="984" t="s">
        <v>7628</v>
      </c>
      <c r="C938" s="985">
        <v>1529022230</v>
      </c>
      <c r="D938" s="986">
        <v>451.85200000000003</v>
      </c>
    </row>
    <row r="939" spans="1:4">
      <c r="A939" s="984" t="s">
        <v>3588</v>
      </c>
      <c r="B939" s="984" t="s">
        <v>7629</v>
      </c>
      <c r="C939" s="985">
        <v>2452880660</v>
      </c>
      <c r="D939" s="986">
        <v>213.00700000000001</v>
      </c>
    </row>
    <row r="940" spans="1:4">
      <c r="A940" s="984" t="s">
        <v>6036</v>
      </c>
      <c r="B940" s="984" t="s">
        <v>5638</v>
      </c>
      <c r="C940" s="985">
        <v>47569881</v>
      </c>
      <c r="D940" s="986">
        <v>235.178</v>
      </c>
    </row>
    <row r="941" spans="1:4">
      <c r="A941" s="984" t="s">
        <v>2472</v>
      </c>
      <c r="B941" s="984" t="s">
        <v>375</v>
      </c>
      <c r="C941" s="985">
        <v>205661124</v>
      </c>
      <c r="D941" s="986">
        <v>485.67200000000003</v>
      </c>
    </row>
    <row r="942" spans="1:4">
      <c r="A942" s="984" t="s">
        <v>2418</v>
      </c>
      <c r="B942" s="984" t="s">
        <v>6740</v>
      </c>
      <c r="C942" s="985">
        <v>804247578</v>
      </c>
      <c r="D942" s="986">
        <v>4455.0520000000006</v>
      </c>
    </row>
    <row r="943" spans="1:4">
      <c r="A943" s="984" t="s">
        <v>3590</v>
      </c>
      <c r="B943" s="984" t="s">
        <v>7630</v>
      </c>
      <c r="C943" s="985">
        <v>167011847</v>
      </c>
      <c r="D943" s="986">
        <v>188.428</v>
      </c>
    </row>
    <row r="944" spans="1:4">
      <c r="A944" s="984" t="s">
        <v>2389</v>
      </c>
      <c r="B944" s="984" t="s">
        <v>2014</v>
      </c>
      <c r="C944" s="985">
        <v>1462988000</v>
      </c>
      <c r="D944" s="986">
        <v>9669.4860000000008</v>
      </c>
    </row>
    <row r="945" spans="1:4">
      <c r="A945" s="984" t="s">
        <v>3594</v>
      </c>
      <c r="B945" s="984" t="s">
        <v>7631</v>
      </c>
      <c r="C945" s="985">
        <v>185260689</v>
      </c>
      <c r="D945" s="986">
        <v>202.751</v>
      </c>
    </row>
    <row r="946" spans="1:4">
      <c r="A946" s="984" t="s">
        <v>6241</v>
      </c>
      <c r="B946" s="984" t="s">
        <v>7632</v>
      </c>
      <c r="C946" s="985">
        <v>600016902</v>
      </c>
      <c r="D946" s="986">
        <v>1923.9160000000002</v>
      </c>
    </row>
    <row r="947" spans="1:4">
      <c r="A947" s="984" t="s">
        <v>6243</v>
      </c>
      <c r="B947" s="984" t="s">
        <v>1926</v>
      </c>
      <c r="C947" s="985">
        <v>206357985</v>
      </c>
      <c r="D947" s="986">
        <v>849.31200000000001</v>
      </c>
    </row>
    <row r="948" spans="1:4">
      <c r="A948" s="984" t="s">
        <v>1832</v>
      </c>
      <c r="B948" s="984" t="s">
        <v>4967</v>
      </c>
      <c r="C948" s="985">
        <v>232359885</v>
      </c>
      <c r="D948" s="986">
        <v>1020.8330000000001</v>
      </c>
    </row>
    <row r="949" spans="1:4">
      <c r="A949" s="984" t="s">
        <v>6164</v>
      </c>
      <c r="B949" s="984" t="s">
        <v>6068</v>
      </c>
      <c r="C949" s="985">
        <v>88697868</v>
      </c>
      <c r="D949" s="986">
        <v>452.04200000000003</v>
      </c>
    </row>
    <row r="950" spans="1:4">
      <c r="A950" s="984" t="s">
        <v>6244</v>
      </c>
      <c r="B950" s="984" t="s">
        <v>7633</v>
      </c>
      <c r="C950" s="985">
        <v>580386921</v>
      </c>
      <c r="D950" s="986">
        <v>2137.79</v>
      </c>
    </row>
    <row r="951" spans="1:4">
      <c r="A951" s="984" t="s">
        <v>6246</v>
      </c>
      <c r="B951" s="984" t="s">
        <v>7634</v>
      </c>
      <c r="C951" s="985">
        <v>498064253</v>
      </c>
      <c r="D951" s="986">
        <v>2434.598</v>
      </c>
    </row>
    <row r="952" spans="1:4">
      <c r="A952" s="984" t="s">
        <v>1313</v>
      </c>
      <c r="B952" s="984" t="s">
        <v>118</v>
      </c>
      <c r="C952" s="985">
        <v>58219645</v>
      </c>
      <c r="D952" s="986">
        <v>379.15700000000004</v>
      </c>
    </row>
    <row r="953" spans="1:4">
      <c r="A953" s="984" t="s">
        <v>955</v>
      </c>
      <c r="B953" s="984" t="s">
        <v>7660</v>
      </c>
      <c r="C953" s="985">
        <v>143986028</v>
      </c>
      <c r="D953" s="986">
        <v>753.71900000000005</v>
      </c>
    </row>
    <row r="954" spans="1:4">
      <c r="A954" s="984" t="s">
        <v>3552</v>
      </c>
      <c r="B954" s="984" t="s">
        <v>4058</v>
      </c>
      <c r="C954" s="985">
        <v>4295787566</v>
      </c>
      <c r="D954" s="986">
        <v>12615.389000000001</v>
      </c>
    </row>
    <row r="955" spans="1:4">
      <c r="A955" s="984" t="s">
        <v>6248</v>
      </c>
      <c r="B955" s="984" t="s">
        <v>7635</v>
      </c>
      <c r="C955" s="985">
        <v>180005829</v>
      </c>
      <c r="D955" s="986">
        <v>107.706</v>
      </c>
    </row>
    <row r="956" spans="1:4">
      <c r="A956" s="984" t="s">
        <v>6182</v>
      </c>
      <c r="B956" s="984" t="s">
        <v>1935</v>
      </c>
      <c r="C956" s="985">
        <v>199672025</v>
      </c>
      <c r="D956" s="986">
        <v>830.23599999999999</v>
      </c>
    </row>
    <row r="957" spans="1:4">
      <c r="A957" s="984" t="s">
        <v>6250</v>
      </c>
      <c r="B957" s="984" t="s">
        <v>7636</v>
      </c>
      <c r="C957" s="985">
        <v>1770994768</v>
      </c>
      <c r="D957" s="986">
        <v>5748.625</v>
      </c>
    </row>
    <row r="958" spans="1:4">
      <c r="A958" s="984" t="s">
        <v>5038</v>
      </c>
      <c r="B958" s="984" t="s">
        <v>3842</v>
      </c>
      <c r="C958" s="985">
        <v>406929090</v>
      </c>
      <c r="D958" s="986">
        <v>1391.62</v>
      </c>
    </row>
    <row r="959" spans="1:4">
      <c r="A959" s="984" t="s">
        <v>5039</v>
      </c>
      <c r="B959" s="984" t="s">
        <v>4062</v>
      </c>
      <c r="C959" s="985">
        <v>1766140058</v>
      </c>
      <c r="D959" s="986">
        <v>5104.3720000000003</v>
      </c>
    </row>
    <row r="960" spans="1:4">
      <c r="A960" s="984" t="s">
        <v>2082</v>
      </c>
      <c r="B960" s="984" t="s">
        <v>7637</v>
      </c>
      <c r="C960" s="985">
        <v>735192087</v>
      </c>
      <c r="D960" s="986">
        <v>1830.751</v>
      </c>
    </row>
    <row r="961" spans="1:4">
      <c r="A961" s="984" t="s">
        <v>2084</v>
      </c>
      <c r="B961" s="984" t="s">
        <v>7638</v>
      </c>
      <c r="C961" s="985">
        <v>1378403110</v>
      </c>
      <c r="D961" s="986">
        <v>1836.925</v>
      </c>
    </row>
    <row r="962" spans="1:4">
      <c r="A962" s="984" t="s">
        <v>2086</v>
      </c>
      <c r="B962" s="984" t="s">
        <v>2936</v>
      </c>
      <c r="C962" s="985">
        <v>121307030</v>
      </c>
      <c r="D962" s="986">
        <v>104.712</v>
      </c>
    </row>
    <row r="963" spans="1:4">
      <c r="A963" s="984" t="s">
        <v>2088</v>
      </c>
      <c r="B963" s="984" t="s">
        <v>2937</v>
      </c>
      <c r="C963" s="985">
        <v>2004394529</v>
      </c>
      <c r="D963" s="986">
        <v>4530.7489999999998</v>
      </c>
    </row>
    <row r="964" spans="1:4">
      <c r="A964" s="984" t="s">
        <v>2090</v>
      </c>
      <c r="B964" s="984" t="s">
        <v>2938</v>
      </c>
      <c r="C964" s="985">
        <v>372041403</v>
      </c>
      <c r="D964" s="986">
        <v>348.53800000000001</v>
      </c>
    </row>
    <row r="965" spans="1:4">
      <c r="A965" s="984" t="s">
        <v>2987</v>
      </c>
      <c r="B965" s="984" t="s">
        <v>187</v>
      </c>
      <c r="C965" s="985">
        <v>2165747005</v>
      </c>
      <c r="D965" s="986">
        <v>22494.242999999999</v>
      </c>
    </row>
    <row r="966" spans="1:4">
      <c r="A966" s="984" t="s">
        <v>2417</v>
      </c>
      <c r="B966" s="984" t="s">
        <v>5370</v>
      </c>
      <c r="C966" s="985">
        <v>9840032534</v>
      </c>
      <c r="D966" s="986">
        <v>38838.953999999998</v>
      </c>
    </row>
    <row r="967" spans="1:4">
      <c r="A967" s="984" t="s">
        <v>78</v>
      </c>
      <c r="B967" s="984" t="s">
        <v>6766</v>
      </c>
      <c r="C967" s="985">
        <v>1481653187</v>
      </c>
      <c r="D967" s="986">
        <v>309.334</v>
      </c>
    </row>
    <row r="968" spans="1:4">
      <c r="A968" s="984" t="s">
        <v>80</v>
      </c>
      <c r="B968" s="984" t="s">
        <v>2941</v>
      </c>
      <c r="C968" s="985">
        <v>199698724</v>
      </c>
      <c r="D968" s="986">
        <v>967.15600000000006</v>
      </c>
    </row>
    <row r="969" spans="1:4">
      <c r="A969" s="984" t="s">
        <v>82</v>
      </c>
      <c r="B969" s="984" t="s">
        <v>6720</v>
      </c>
      <c r="C969" s="985">
        <v>278935282</v>
      </c>
      <c r="D969" s="986">
        <v>902.09300000000007</v>
      </c>
    </row>
    <row r="970" spans="1:4">
      <c r="A970" s="984" t="s">
        <v>84</v>
      </c>
      <c r="B970" s="984" t="s">
        <v>6721</v>
      </c>
      <c r="C970" s="985">
        <v>1118819638</v>
      </c>
      <c r="D970" s="986">
        <v>3265.2090000000003</v>
      </c>
    </row>
    <row r="971" spans="1:4">
      <c r="A971" s="984" t="s">
        <v>86</v>
      </c>
      <c r="B971" s="984" t="s">
        <v>6722</v>
      </c>
      <c r="C971" s="985">
        <v>864911755</v>
      </c>
      <c r="D971" s="986">
        <v>1991.443</v>
      </c>
    </row>
    <row r="972" spans="1:4">
      <c r="A972" s="984" t="s">
        <v>88</v>
      </c>
      <c r="B972" s="984" t="s">
        <v>6723</v>
      </c>
      <c r="C972" s="985">
        <v>166982744</v>
      </c>
      <c r="D972" s="986">
        <v>459.15100000000001</v>
      </c>
    </row>
    <row r="973" spans="1:4">
      <c r="A973" s="984" t="s">
        <v>90</v>
      </c>
      <c r="B973" s="984" t="s">
        <v>6724</v>
      </c>
      <c r="C973" s="985">
        <v>145665502</v>
      </c>
      <c r="D973" s="986">
        <v>321.54200000000003</v>
      </c>
    </row>
    <row r="974" spans="1:4">
      <c r="A974" s="984" t="s">
        <v>92</v>
      </c>
      <c r="B974" s="984" t="s">
        <v>1546</v>
      </c>
      <c r="C974" s="985">
        <v>298169022</v>
      </c>
      <c r="D974" s="986">
        <v>386.14499999999998</v>
      </c>
    </row>
    <row r="975" spans="1:4">
      <c r="A975" s="984" t="s">
        <v>2332</v>
      </c>
      <c r="B975" s="984" t="s">
        <v>1547</v>
      </c>
      <c r="C975" s="985">
        <v>754431298</v>
      </c>
      <c r="D975" s="986">
        <v>133.453</v>
      </c>
    </row>
    <row r="976" spans="1:4">
      <c r="A976" s="984" t="s">
        <v>2334</v>
      </c>
      <c r="B976" s="984" t="s">
        <v>1548</v>
      </c>
      <c r="C976" s="985">
        <v>1592894429</v>
      </c>
      <c r="D976" s="986">
        <v>128.17600000000002</v>
      </c>
    </row>
    <row r="977" spans="1:4">
      <c r="A977" s="984" t="s">
        <v>962</v>
      </c>
      <c r="B977" s="984" t="s">
        <v>2146</v>
      </c>
      <c r="C977" s="985">
        <v>730593777</v>
      </c>
      <c r="D977" s="986">
        <v>3027.0030000000002</v>
      </c>
    </row>
    <row r="978" spans="1:4">
      <c r="A978" s="984" t="s">
        <v>2336</v>
      </c>
      <c r="B978" s="984" t="s">
        <v>1549</v>
      </c>
      <c r="C978" s="985">
        <v>243537941</v>
      </c>
      <c r="D978" s="986">
        <v>443.25</v>
      </c>
    </row>
    <row r="979" spans="1:4">
      <c r="A979" s="984" t="s">
        <v>2338</v>
      </c>
      <c r="B979" s="984" t="s">
        <v>6779</v>
      </c>
      <c r="C979" s="985">
        <v>534657556</v>
      </c>
      <c r="D979" s="986">
        <v>1679.11</v>
      </c>
    </row>
    <row r="980" spans="1:4">
      <c r="A980" s="984" t="s">
        <v>2340</v>
      </c>
      <c r="B980" s="984" t="s">
        <v>1551</v>
      </c>
      <c r="C980" s="985">
        <v>3860305332</v>
      </c>
      <c r="D980" s="986">
        <v>13491.808000000001</v>
      </c>
    </row>
    <row r="981" spans="1:4">
      <c r="A981" s="984" t="s">
        <v>738</v>
      </c>
      <c r="B981" s="984" t="s">
        <v>6112</v>
      </c>
      <c r="C981" s="985">
        <v>165609938</v>
      </c>
      <c r="D981" s="986">
        <v>848.46699999999998</v>
      </c>
    </row>
    <row r="982" spans="1:4">
      <c r="A982" s="984" t="s">
        <v>3219</v>
      </c>
      <c r="B982" s="984" t="s">
        <v>1485</v>
      </c>
      <c r="C982" s="985">
        <v>47780392</v>
      </c>
      <c r="D982" s="986">
        <v>103.652</v>
      </c>
    </row>
    <row r="983" spans="1:4">
      <c r="A983" s="984" t="s">
        <v>608</v>
      </c>
      <c r="B983" s="984" t="s">
        <v>1486</v>
      </c>
      <c r="C983" s="985">
        <v>702699275</v>
      </c>
      <c r="D983" s="986">
        <v>2095.8980000000001</v>
      </c>
    </row>
    <row r="984" spans="1:4">
      <c r="A984" s="984" t="s">
        <v>610</v>
      </c>
      <c r="B984" s="984" t="s">
        <v>1939</v>
      </c>
      <c r="C984" s="985">
        <v>27943733</v>
      </c>
      <c r="D984" s="986">
        <v>186.46600000000001</v>
      </c>
    </row>
    <row r="985" spans="1:4">
      <c r="A985" s="984" t="s">
        <v>6145</v>
      </c>
      <c r="B985" s="984" t="s">
        <v>188</v>
      </c>
      <c r="C985" s="985">
        <v>37470286</v>
      </c>
      <c r="D985" s="986">
        <v>436.59900000000005</v>
      </c>
    </row>
    <row r="986" spans="1:4">
      <c r="A986" s="984" t="s">
        <v>2998</v>
      </c>
      <c r="B986" s="984" t="s">
        <v>6058</v>
      </c>
      <c r="C986" s="985">
        <v>203758339</v>
      </c>
      <c r="D986" s="986">
        <v>1427</v>
      </c>
    </row>
    <row r="987" spans="1:4">
      <c r="A987" s="984" t="s">
        <v>2766</v>
      </c>
      <c r="B987" s="984" t="s">
        <v>356</v>
      </c>
      <c r="C987" s="985">
        <v>380783403</v>
      </c>
      <c r="D987" s="986">
        <v>2049.5529999999999</v>
      </c>
    </row>
    <row r="988" spans="1:4">
      <c r="A988" s="984" t="s">
        <v>5040</v>
      </c>
      <c r="B988" s="984" t="s">
        <v>384</v>
      </c>
      <c r="C988" s="985">
        <v>66259265</v>
      </c>
      <c r="D988" s="986">
        <v>264.51600000000002</v>
      </c>
    </row>
    <row r="989" spans="1:4">
      <c r="A989" s="984" t="s">
        <v>1307</v>
      </c>
      <c r="B989" s="984" t="s">
        <v>111</v>
      </c>
      <c r="C989" s="985">
        <v>267670103</v>
      </c>
      <c r="D989" s="986">
        <v>932.86700000000008</v>
      </c>
    </row>
    <row r="990" spans="1:4">
      <c r="A990" s="984" t="s">
        <v>1319</v>
      </c>
      <c r="B990" s="984" t="s">
        <v>125</v>
      </c>
      <c r="C990" s="985">
        <v>5302577646</v>
      </c>
      <c r="D990" s="986">
        <v>9795.3870000000006</v>
      </c>
    </row>
    <row r="991" spans="1:4">
      <c r="A991" s="984" t="s">
        <v>1856</v>
      </c>
      <c r="B991" s="984" t="s">
        <v>3912</v>
      </c>
      <c r="C991" s="985">
        <v>103972564</v>
      </c>
      <c r="D991" s="986">
        <v>383.75600000000003</v>
      </c>
    </row>
    <row r="992" spans="1:4">
      <c r="A992" s="984" t="s">
        <v>6020</v>
      </c>
      <c r="B992" s="984" t="s">
        <v>3859</v>
      </c>
      <c r="C992" s="985">
        <v>1378919252</v>
      </c>
      <c r="D992" s="986">
        <v>5145.134</v>
      </c>
    </row>
    <row r="993" spans="1:4">
      <c r="A993" s="984" t="s">
        <v>611</v>
      </c>
      <c r="B993" s="984" t="s">
        <v>1487</v>
      </c>
      <c r="C993" s="985">
        <v>621318481</v>
      </c>
      <c r="D993" s="986">
        <v>898.45300000000009</v>
      </c>
    </row>
    <row r="994" spans="1:4">
      <c r="A994" s="984" t="s">
        <v>2990</v>
      </c>
      <c r="B994" s="984" t="s">
        <v>191</v>
      </c>
      <c r="C994" s="985">
        <v>1018942192</v>
      </c>
      <c r="D994" s="986">
        <v>2576.3470000000002</v>
      </c>
    </row>
    <row r="995" spans="1:4">
      <c r="A995" s="984" t="s">
        <v>2382</v>
      </c>
      <c r="B995" s="984" t="s">
        <v>371</v>
      </c>
      <c r="C995" s="985">
        <v>19869616193</v>
      </c>
      <c r="D995" s="986">
        <v>42139.703999999998</v>
      </c>
    </row>
    <row r="996" spans="1:4">
      <c r="A996" s="984" t="s">
        <v>2473</v>
      </c>
      <c r="B996" s="984" t="s">
        <v>5363</v>
      </c>
      <c r="C996" s="985">
        <v>766489336</v>
      </c>
      <c r="D996" s="986">
        <v>2857.221</v>
      </c>
    </row>
    <row r="997" spans="1:4">
      <c r="A997" s="984" t="s">
        <v>2412</v>
      </c>
      <c r="B997" s="984" t="s">
        <v>5365</v>
      </c>
      <c r="C997" s="985">
        <v>167522697</v>
      </c>
      <c r="D997" s="986">
        <v>619.00800000000004</v>
      </c>
    </row>
    <row r="998" spans="1:4">
      <c r="A998" s="984" t="s">
        <v>2988</v>
      </c>
      <c r="B998" s="984" t="s">
        <v>189</v>
      </c>
      <c r="C998" s="985">
        <v>12848267104</v>
      </c>
      <c r="D998" s="986">
        <v>30494.923999999999</v>
      </c>
    </row>
    <row r="999" spans="1:4">
      <c r="A999" s="984" t="s">
        <v>613</v>
      </c>
      <c r="B999" s="984" t="s">
        <v>1003</v>
      </c>
      <c r="C999" s="985">
        <v>55020768</v>
      </c>
      <c r="D999" s="986">
        <v>118.70700000000001</v>
      </c>
    </row>
    <row r="1000" spans="1:4">
      <c r="A1000" s="984" t="s">
        <v>5041</v>
      </c>
      <c r="B1000" s="984" t="s">
        <v>112</v>
      </c>
      <c r="C1000" s="985">
        <v>954176119</v>
      </c>
      <c r="D1000" s="986">
        <v>3537.1910000000003</v>
      </c>
    </row>
    <row r="1001" spans="1:4">
      <c r="A1001" s="984" t="s">
        <v>6039</v>
      </c>
      <c r="B1001" s="984" t="s">
        <v>183</v>
      </c>
      <c r="C1001" s="985">
        <v>703931294</v>
      </c>
      <c r="D1001" s="986">
        <v>2869.2570000000001</v>
      </c>
    </row>
    <row r="1002" spans="1:4">
      <c r="A1002" s="984" t="s">
        <v>5043</v>
      </c>
      <c r="B1002" s="984" t="s">
        <v>346</v>
      </c>
      <c r="C1002" s="985">
        <v>170899635</v>
      </c>
      <c r="D1002" s="986">
        <v>775.327</v>
      </c>
    </row>
    <row r="1003" spans="1:4">
      <c r="A1003" s="984" t="s">
        <v>2409</v>
      </c>
      <c r="B1003" s="984" t="s">
        <v>2356</v>
      </c>
      <c r="C1003" s="985">
        <v>164611057</v>
      </c>
      <c r="D1003" s="986">
        <v>737.36400000000003</v>
      </c>
    </row>
    <row r="1004" spans="1:4">
      <c r="A1004" s="984" t="s">
        <v>615</v>
      </c>
      <c r="B1004" s="984" t="s">
        <v>1004</v>
      </c>
      <c r="C1004" s="985">
        <v>981727322</v>
      </c>
      <c r="D1004" s="986">
        <v>1125.2170000000001</v>
      </c>
    </row>
    <row r="1005" spans="1:4">
      <c r="A1005" s="984" t="s">
        <v>617</v>
      </c>
      <c r="B1005" s="984" t="s">
        <v>1005</v>
      </c>
      <c r="C1005" s="985">
        <v>1392055112</v>
      </c>
      <c r="D1005" s="986">
        <v>308.27699999999999</v>
      </c>
    </row>
    <row r="1006" spans="1:4">
      <c r="A1006" s="984" t="s">
        <v>3889</v>
      </c>
      <c r="B1006" s="984" t="s">
        <v>7680</v>
      </c>
      <c r="C1006" s="985">
        <v>299580542</v>
      </c>
      <c r="D1006" s="986">
        <v>701.10200000000009</v>
      </c>
    </row>
    <row r="1007" spans="1:4">
      <c r="A1007" s="984" t="s">
        <v>619</v>
      </c>
      <c r="B1007" s="984" t="s">
        <v>1006</v>
      </c>
      <c r="C1007" s="985">
        <v>825918773</v>
      </c>
      <c r="D1007" s="986">
        <v>1023.8380000000001</v>
      </c>
    </row>
    <row r="1008" spans="1:4">
      <c r="A1008" s="984" t="s">
        <v>1328</v>
      </c>
      <c r="B1008" s="984" t="s">
        <v>1007</v>
      </c>
      <c r="C1008" s="985">
        <v>1226863541</v>
      </c>
      <c r="D1008" s="986">
        <v>2158.346</v>
      </c>
    </row>
    <row r="1009" spans="1:4">
      <c r="A1009" s="984" t="s">
        <v>6708</v>
      </c>
      <c r="B1009" s="984" t="s">
        <v>1008</v>
      </c>
      <c r="C1009" s="985">
        <v>536810122</v>
      </c>
      <c r="D1009" s="986">
        <v>536.73500000000001</v>
      </c>
    </row>
    <row r="1010" spans="1:4">
      <c r="A1010" s="984" t="s">
        <v>6710</v>
      </c>
      <c r="B1010" s="984" t="s">
        <v>1009</v>
      </c>
      <c r="C1010" s="985">
        <v>2298498258</v>
      </c>
      <c r="D1010" s="986">
        <v>2838.9970000000003</v>
      </c>
    </row>
    <row r="1011" spans="1:4">
      <c r="A1011" s="984" t="s">
        <v>6192</v>
      </c>
      <c r="B1011" s="984" t="s">
        <v>3630</v>
      </c>
      <c r="C1011" s="985">
        <v>371524650</v>
      </c>
      <c r="D1011" s="986">
        <v>1012.7370000000001</v>
      </c>
    </row>
    <row r="1012" spans="1:4">
      <c r="A1012" s="984" t="s">
        <v>2400</v>
      </c>
      <c r="B1012" s="984" t="s">
        <v>2342</v>
      </c>
      <c r="C1012" s="985">
        <v>201771505</v>
      </c>
      <c r="D1012" s="986">
        <v>236.69200000000001</v>
      </c>
    </row>
    <row r="1013" spans="1:4">
      <c r="A1013" s="984" t="s">
        <v>6712</v>
      </c>
      <c r="B1013" s="984" t="s">
        <v>1010</v>
      </c>
      <c r="C1013" s="985">
        <v>617112754</v>
      </c>
      <c r="D1013" s="986">
        <v>694.64</v>
      </c>
    </row>
    <row r="1014" spans="1:4">
      <c r="A1014" s="984" t="s">
        <v>6714</v>
      </c>
      <c r="B1014" s="984" t="s">
        <v>1011</v>
      </c>
      <c r="C1014" s="985">
        <v>449930672</v>
      </c>
      <c r="D1014" s="986">
        <v>1491.106</v>
      </c>
    </row>
    <row r="1015" spans="1:4">
      <c r="A1015" s="984" t="s">
        <v>6716</v>
      </c>
      <c r="B1015" s="984" t="s">
        <v>1012</v>
      </c>
      <c r="C1015" s="985">
        <v>415465940</v>
      </c>
      <c r="D1015" s="986">
        <v>1060.8970000000002</v>
      </c>
    </row>
    <row r="1016" spans="1:4">
      <c r="A1016" s="984" t="s">
        <v>6718</v>
      </c>
      <c r="B1016" s="984" t="s">
        <v>1013</v>
      </c>
      <c r="C1016" s="985">
        <v>260174767</v>
      </c>
      <c r="D1016" s="986">
        <v>320.63300000000004</v>
      </c>
    </row>
    <row r="1017" spans="1:4">
      <c r="A1017" s="984" t="s">
        <v>2443</v>
      </c>
      <c r="B1017" s="984" t="s">
        <v>1014</v>
      </c>
      <c r="C1017" s="985">
        <v>234719442</v>
      </c>
      <c r="D1017" s="986">
        <v>791.22400000000005</v>
      </c>
    </row>
    <row r="1018" spans="1:4">
      <c r="A1018" s="984" t="s">
        <v>2445</v>
      </c>
      <c r="B1018" s="984" t="s">
        <v>1015</v>
      </c>
      <c r="C1018" s="985">
        <v>398398486</v>
      </c>
      <c r="D1018" s="986">
        <v>1338.4460000000001</v>
      </c>
    </row>
    <row r="1019" spans="1:4">
      <c r="A1019" s="984" t="s">
        <v>2447</v>
      </c>
      <c r="B1019" s="984" t="s">
        <v>1016</v>
      </c>
      <c r="C1019" s="985">
        <v>3015083166</v>
      </c>
      <c r="D1019" s="986">
        <v>1387.8870000000002</v>
      </c>
    </row>
    <row r="1020" spans="1:4">
      <c r="A1020" s="984" t="s">
        <v>905</v>
      </c>
      <c r="B1020" s="984" t="s">
        <v>1017</v>
      </c>
      <c r="C1020" s="985">
        <v>990006857</v>
      </c>
      <c r="D1020" s="986">
        <v>477.79200000000003</v>
      </c>
    </row>
    <row r="1021" spans="1:4">
      <c r="A1021" s="984" t="s">
        <v>1854</v>
      </c>
      <c r="B1021" s="984" t="s">
        <v>4965</v>
      </c>
      <c r="C1021" s="985">
        <v>656056478</v>
      </c>
      <c r="D1021" s="986">
        <v>2382.826</v>
      </c>
    </row>
    <row r="1022" spans="1:4">
      <c r="A1022" s="984" t="s">
        <v>907</v>
      </c>
      <c r="B1022" s="984" t="s">
        <v>1018</v>
      </c>
      <c r="C1022" s="985">
        <v>54456602</v>
      </c>
      <c r="D1022" s="986">
        <v>168.995</v>
      </c>
    </row>
    <row r="1023" spans="1:4">
      <c r="A1023" s="984" t="s">
        <v>6146</v>
      </c>
      <c r="B1023" s="984" t="s">
        <v>3835</v>
      </c>
      <c r="C1023" s="985">
        <v>195394797</v>
      </c>
      <c r="D1023" s="986">
        <v>661.96400000000006</v>
      </c>
    </row>
    <row r="1024" spans="1:4">
      <c r="A1024" s="984" t="s">
        <v>909</v>
      </c>
      <c r="B1024" s="984" t="s">
        <v>1019</v>
      </c>
      <c r="C1024" s="985">
        <v>2706263297</v>
      </c>
      <c r="D1024" s="986">
        <v>3174.9840000000004</v>
      </c>
    </row>
    <row r="1025" spans="1:4">
      <c r="A1025" s="984" t="s">
        <v>247</v>
      </c>
      <c r="B1025" s="984" t="s">
        <v>989</v>
      </c>
      <c r="C1025" s="985">
        <v>196003064</v>
      </c>
      <c r="D1025" s="986">
        <v>1779.85</v>
      </c>
    </row>
    <row r="1026" spans="1:4" ht="14.4" thickBot="1">
      <c r="A1026" s="984" t="s">
        <v>1527</v>
      </c>
      <c r="B1026" s="984" t="s">
        <v>2154</v>
      </c>
      <c r="C1026" s="985">
        <v>43704223</v>
      </c>
      <c r="D1026" s="986">
        <v>463.93900000000002</v>
      </c>
    </row>
    <row r="1027" spans="1:4" ht="14.4" thickTop="1">
      <c r="A1027" s="987"/>
      <c r="B1027" s="987"/>
      <c r="C1027" s="988">
        <f>SUM(C3:C1026)</f>
        <v>1671116451264</v>
      </c>
      <c r="D1027" s="989">
        <f>SUM(D3:D1026)</f>
        <v>4432063.8220000016</v>
      </c>
    </row>
  </sheetData>
  <phoneticPr fontId="33" type="noConversion"/>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305"/>
  <sheetViews>
    <sheetView workbookViewId="0">
      <selection activeCell="A4" sqref="A4"/>
    </sheetView>
  </sheetViews>
  <sheetFormatPr defaultRowHeight="13.2"/>
  <cols>
    <col min="1" max="1" width="9.21875" style="214" customWidth="1"/>
    <col min="2" max="2" width="47.77734375" style="633" bestFit="1" customWidth="1"/>
    <col min="3" max="3" width="9.21875" style="187" customWidth="1"/>
    <col min="4" max="4" width="0" style="187" hidden="1" customWidth="1"/>
    <col min="5" max="5" width="7" style="187" hidden="1" customWidth="1"/>
    <col min="6" max="6" width="0" style="423" hidden="1" customWidth="1"/>
    <col min="7" max="7" width="0" style="187" hidden="1" customWidth="1"/>
    <col min="8" max="256" width="9.21875" style="187"/>
    <col min="257" max="257" width="9.21875" style="187" customWidth="1"/>
    <col min="258" max="258" width="47.77734375" style="187" bestFit="1" customWidth="1"/>
    <col min="259" max="259" width="9.21875" style="187" customWidth="1"/>
    <col min="260" max="263" width="0" style="187" hidden="1" customWidth="1"/>
    <col min="264" max="512" width="9.21875" style="187"/>
    <col min="513" max="513" width="9.21875" style="187" customWidth="1"/>
    <col min="514" max="514" width="47.77734375" style="187" bestFit="1" customWidth="1"/>
    <col min="515" max="515" width="9.21875" style="187" customWidth="1"/>
    <col min="516" max="519" width="0" style="187" hidden="1" customWidth="1"/>
    <col min="520" max="768" width="9.21875" style="187"/>
    <col min="769" max="769" width="9.21875" style="187" customWidth="1"/>
    <col min="770" max="770" width="47.77734375" style="187" bestFit="1" customWidth="1"/>
    <col min="771" max="771" width="9.21875" style="187" customWidth="1"/>
    <col min="772" max="775" width="0" style="187" hidden="1" customWidth="1"/>
    <col min="776" max="1024" width="9.21875" style="187"/>
    <col min="1025" max="1025" width="9.21875" style="187" customWidth="1"/>
    <col min="1026" max="1026" width="47.77734375" style="187" bestFit="1" customWidth="1"/>
    <col min="1027" max="1027" width="9.21875" style="187" customWidth="1"/>
    <col min="1028" max="1031" width="0" style="187" hidden="1" customWidth="1"/>
    <col min="1032" max="1280" width="9.21875" style="187"/>
    <col min="1281" max="1281" width="9.21875" style="187" customWidth="1"/>
    <col min="1282" max="1282" width="47.77734375" style="187" bestFit="1" customWidth="1"/>
    <col min="1283" max="1283" width="9.21875" style="187" customWidth="1"/>
    <col min="1284" max="1287" width="0" style="187" hidden="1" customWidth="1"/>
    <col min="1288" max="1536" width="9.21875" style="187"/>
    <col min="1537" max="1537" width="9.21875" style="187" customWidth="1"/>
    <col min="1538" max="1538" width="47.77734375" style="187" bestFit="1" customWidth="1"/>
    <col min="1539" max="1539" width="9.21875" style="187" customWidth="1"/>
    <col min="1540" max="1543" width="0" style="187" hidden="1" customWidth="1"/>
    <col min="1544" max="1792" width="9.21875" style="187"/>
    <col min="1793" max="1793" width="9.21875" style="187" customWidth="1"/>
    <col min="1794" max="1794" width="47.77734375" style="187" bestFit="1" customWidth="1"/>
    <col min="1795" max="1795" width="9.21875" style="187" customWidth="1"/>
    <col min="1796" max="1799" width="0" style="187" hidden="1" customWidth="1"/>
    <col min="1800" max="2048" width="9.21875" style="187"/>
    <col min="2049" max="2049" width="9.21875" style="187" customWidth="1"/>
    <col min="2050" max="2050" width="47.77734375" style="187" bestFit="1" customWidth="1"/>
    <col min="2051" max="2051" width="9.21875" style="187" customWidth="1"/>
    <col min="2052" max="2055" width="0" style="187" hidden="1" customWidth="1"/>
    <col min="2056" max="2304" width="9.21875" style="187"/>
    <col min="2305" max="2305" width="9.21875" style="187" customWidth="1"/>
    <col min="2306" max="2306" width="47.77734375" style="187" bestFit="1" customWidth="1"/>
    <col min="2307" max="2307" width="9.21875" style="187" customWidth="1"/>
    <col min="2308" max="2311" width="0" style="187" hidden="1" customWidth="1"/>
    <col min="2312" max="2560" width="9.21875" style="187"/>
    <col min="2561" max="2561" width="9.21875" style="187" customWidth="1"/>
    <col min="2562" max="2562" width="47.77734375" style="187" bestFit="1" customWidth="1"/>
    <col min="2563" max="2563" width="9.21875" style="187" customWidth="1"/>
    <col min="2564" max="2567" width="0" style="187" hidden="1" customWidth="1"/>
    <col min="2568" max="2816" width="9.21875" style="187"/>
    <col min="2817" max="2817" width="9.21875" style="187" customWidth="1"/>
    <col min="2818" max="2818" width="47.77734375" style="187" bestFit="1" customWidth="1"/>
    <col min="2819" max="2819" width="9.21875" style="187" customWidth="1"/>
    <col min="2820" max="2823" width="0" style="187" hidden="1" customWidth="1"/>
    <col min="2824" max="3072" width="9.21875" style="187"/>
    <col min="3073" max="3073" width="9.21875" style="187" customWidth="1"/>
    <col min="3074" max="3074" width="47.77734375" style="187" bestFit="1" customWidth="1"/>
    <col min="3075" max="3075" width="9.21875" style="187" customWidth="1"/>
    <col min="3076" max="3079" width="0" style="187" hidden="1" customWidth="1"/>
    <col min="3080" max="3328" width="9.21875" style="187"/>
    <col min="3329" max="3329" width="9.21875" style="187" customWidth="1"/>
    <col min="3330" max="3330" width="47.77734375" style="187" bestFit="1" customWidth="1"/>
    <col min="3331" max="3331" width="9.21875" style="187" customWidth="1"/>
    <col min="3332" max="3335" width="0" style="187" hidden="1" customWidth="1"/>
    <col min="3336" max="3584" width="9.21875" style="187"/>
    <col min="3585" max="3585" width="9.21875" style="187" customWidth="1"/>
    <col min="3586" max="3586" width="47.77734375" style="187" bestFit="1" customWidth="1"/>
    <col min="3587" max="3587" width="9.21875" style="187" customWidth="1"/>
    <col min="3588" max="3591" width="0" style="187" hidden="1" customWidth="1"/>
    <col min="3592" max="3840" width="9.21875" style="187"/>
    <col min="3841" max="3841" width="9.21875" style="187" customWidth="1"/>
    <col min="3842" max="3842" width="47.77734375" style="187" bestFit="1" customWidth="1"/>
    <col min="3843" max="3843" width="9.21875" style="187" customWidth="1"/>
    <col min="3844" max="3847" width="0" style="187" hidden="1" customWidth="1"/>
    <col min="3848" max="4096" width="9.21875" style="187"/>
    <col min="4097" max="4097" width="9.21875" style="187" customWidth="1"/>
    <col min="4098" max="4098" width="47.77734375" style="187" bestFit="1" customWidth="1"/>
    <col min="4099" max="4099" width="9.21875" style="187" customWidth="1"/>
    <col min="4100" max="4103" width="0" style="187" hidden="1" customWidth="1"/>
    <col min="4104" max="4352" width="9.21875" style="187"/>
    <col min="4353" max="4353" width="9.21875" style="187" customWidth="1"/>
    <col min="4354" max="4354" width="47.77734375" style="187" bestFit="1" customWidth="1"/>
    <col min="4355" max="4355" width="9.21875" style="187" customWidth="1"/>
    <col min="4356" max="4359" width="0" style="187" hidden="1" customWidth="1"/>
    <col min="4360" max="4608" width="9.21875" style="187"/>
    <col min="4609" max="4609" width="9.21875" style="187" customWidth="1"/>
    <col min="4610" max="4610" width="47.77734375" style="187" bestFit="1" customWidth="1"/>
    <col min="4611" max="4611" width="9.21875" style="187" customWidth="1"/>
    <col min="4612" max="4615" width="0" style="187" hidden="1" customWidth="1"/>
    <col min="4616" max="4864" width="9.21875" style="187"/>
    <col min="4865" max="4865" width="9.21875" style="187" customWidth="1"/>
    <col min="4866" max="4866" width="47.77734375" style="187" bestFit="1" customWidth="1"/>
    <col min="4867" max="4867" width="9.21875" style="187" customWidth="1"/>
    <col min="4868" max="4871" width="0" style="187" hidden="1" customWidth="1"/>
    <col min="4872" max="5120" width="9.21875" style="187"/>
    <col min="5121" max="5121" width="9.21875" style="187" customWidth="1"/>
    <col min="5122" max="5122" width="47.77734375" style="187" bestFit="1" customWidth="1"/>
    <col min="5123" max="5123" width="9.21875" style="187" customWidth="1"/>
    <col min="5124" max="5127" width="0" style="187" hidden="1" customWidth="1"/>
    <col min="5128" max="5376" width="9.21875" style="187"/>
    <col min="5377" max="5377" width="9.21875" style="187" customWidth="1"/>
    <col min="5378" max="5378" width="47.77734375" style="187" bestFit="1" customWidth="1"/>
    <col min="5379" max="5379" width="9.21875" style="187" customWidth="1"/>
    <col min="5380" max="5383" width="0" style="187" hidden="1" customWidth="1"/>
    <col min="5384" max="5632" width="9.21875" style="187"/>
    <col min="5633" max="5633" width="9.21875" style="187" customWidth="1"/>
    <col min="5634" max="5634" width="47.77734375" style="187" bestFit="1" customWidth="1"/>
    <col min="5635" max="5635" width="9.21875" style="187" customWidth="1"/>
    <col min="5636" max="5639" width="0" style="187" hidden="1" customWidth="1"/>
    <col min="5640" max="5888" width="9.21875" style="187"/>
    <col min="5889" max="5889" width="9.21875" style="187" customWidth="1"/>
    <col min="5890" max="5890" width="47.77734375" style="187" bestFit="1" customWidth="1"/>
    <col min="5891" max="5891" width="9.21875" style="187" customWidth="1"/>
    <col min="5892" max="5895" width="0" style="187" hidden="1" customWidth="1"/>
    <col min="5896" max="6144" width="9.21875" style="187"/>
    <col min="6145" max="6145" width="9.21875" style="187" customWidth="1"/>
    <col min="6146" max="6146" width="47.77734375" style="187" bestFit="1" customWidth="1"/>
    <col min="6147" max="6147" width="9.21875" style="187" customWidth="1"/>
    <col min="6148" max="6151" width="0" style="187" hidden="1" customWidth="1"/>
    <col min="6152" max="6400" width="9.21875" style="187"/>
    <col min="6401" max="6401" width="9.21875" style="187" customWidth="1"/>
    <col min="6402" max="6402" width="47.77734375" style="187" bestFit="1" customWidth="1"/>
    <col min="6403" max="6403" width="9.21875" style="187" customWidth="1"/>
    <col min="6404" max="6407" width="0" style="187" hidden="1" customWidth="1"/>
    <col min="6408" max="6656" width="9.21875" style="187"/>
    <col min="6657" max="6657" width="9.21875" style="187" customWidth="1"/>
    <col min="6658" max="6658" width="47.77734375" style="187" bestFit="1" customWidth="1"/>
    <col min="6659" max="6659" width="9.21875" style="187" customWidth="1"/>
    <col min="6660" max="6663" width="0" style="187" hidden="1" customWidth="1"/>
    <col min="6664" max="6912" width="9.21875" style="187"/>
    <col min="6913" max="6913" width="9.21875" style="187" customWidth="1"/>
    <col min="6914" max="6914" width="47.77734375" style="187" bestFit="1" customWidth="1"/>
    <col min="6915" max="6915" width="9.21875" style="187" customWidth="1"/>
    <col min="6916" max="6919" width="0" style="187" hidden="1" customWidth="1"/>
    <col min="6920" max="7168" width="9.21875" style="187"/>
    <col min="7169" max="7169" width="9.21875" style="187" customWidth="1"/>
    <col min="7170" max="7170" width="47.77734375" style="187" bestFit="1" customWidth="1"/>
    <col min="7171" max="7171" width="9.21875" style="187" customWidth="1"/>
    <col min="7172" max="7175" width="0" style="187" hidden="1" customWidth="1"/>
    <col min="7176" max="7424" width="9.21875" style="187"/>
    <col min="7425" max="7425" width="9.21875" style="187" customWidth="1"/>
    <col min="7426" max="7426" width="47.77734375" style="187" bestFit="1" customWidth="1"/>
    <col min="7427" max="7427" width="9.21875" style="187" customWidth="1"/>
    <col min="7428" max="7431" width="0" style="187" hidden="1" customWidth="1"/>
    <col min="7432" max="7680" width="9.21875" style="187"/>
    <col min="7681" max="7681" width="9.21875" style="187" customWidth="1"/>
    <col min="7682" max="7682" width="47.77734375" style="187" bestFit="1" customWidth="1"/>
    <col min="7683" max="7683" width="9.21875" style="187" customWidth="1"/>
    <col min="7684" max="7687" width="0" style="187" hidden="1" customWidth="1"/>
    <col min="7688" max="7936" width="9.21875" style="187"/>
    <col min="7937" max="7937" width="9.21875" style="187" customWidth="1"/>
    <col min="7938" max="7938" width="47.77734375" style="187" bestFit="1" customWidth="1"/>
    <col min="7939" max="7939" width="9.21875" style="187" customWidth="1"/>
    <col min="7940" max="7943" width="0" style="187" hidden="1" customWidth="1"/>
    <col min="7944" max="8192" width="9.21875" style="187"/>
    <col min="8193" max="8193" width="9.21875" style="187" customWidth="1"/>
    <col min="8194" max="8194" width="47.77734375" style="187" bestFit="1" customWidth="1"/>
    <col min="8195" max="8195" width="9.21875" style="187" customWidth="1"/>
    <col min="8196" max="8199" width="0" style="187" hidden="1" customWidth="1"/>
    <col min="8200" max="8448" width="9.21875" style="187"/>
    <col min="8449" max="8449" width="9.21875" style="187" customWidth="1"/>
    <col min="8450" max="8450" width="47.77734375" style="187" bestFit="1" customWidth="1"/>
    <col min="8451" max="8451" width="9.21875" style="187" customWidth="1"/>
    <col min="8452" max="8455" width="0" style="187" hidden="1" customWidth="1"/>
    <col min="8456" max="8704" width="9.21875" style="187"/>
    <col min="8705" max="8705" width="9.21875" style="187" customWidth="1"/>
    <col min="8706" max="8706" width="47.77734375" style="187" bestFit="1" customWidth="1"/>
    <col min="8707" max="8707" width="9.21875" style="187" customWidth="1"/>
    <col min="8708" max="8711" width="0" style="187" hidden="1" customWidth="1"/>
    <col min="8712" max="8960" width="9.21875" style="187"/>
    <col min="8961" max="8961" width="9.21875" style="187" customWidth="1"/>
    <col min="8962" max="8962" width="47.77734375" style="187" bestFit="1" customWidth="1"/>
    <col min="8963" max="8963" width="9.21875" style="187" customWidth="1"/>
    <col min="8964" max="8967" width="0" style="187" hidden="1" customWidth="1"/>
    <col min="8968" max="9216" width="9.21875" style="187"/>
    <col min="9217" max="9217" width="9.21875" style="187" customWidth="1"/>
    <col min="9218" max="9218" width="47.77734375" style="187" bestFit="1" customWidth="1"/>
    <col min="9219" max="9219" width="9.21875" style="187" customWidth="1"/>
    <col min="9220" max="9223" width="0" style="187" hidden="1" customWidth="1"/>
    <col min="9224" max="9472" width="9.21875" style="187"/>
    <col min="9473" max="9473" width="9.21875" style="187" customWidth="1"/>
    <col min="9474" max="9474" width="47.77734375" style="187" bestFit="1" customWidth="1"/>
    <col min="9475" max="9475" width="9.21875" style="187" customWidth="1"/>
    <col min="9476" max="9479" width="0" style="187" hidden="1" customWidth="1"/>
    <col min="9480" max="9728" width="9.21875" style="187"/>
    <col min="9729" max="9729" width="9.21875" style="187" customWidth="1"/>
    <col min="9730" max="9730" width="47.77734375" style="187" bestFit="1" customWidth="1"/>
    <col min="9731" max="9731" width="9.21875" style="187" customWidth="1"/>
    <col min="9732" max="9735" width="0" style="187" hidden="1" customWidth="1"/>
    <col min="9736" max="9984" width="9.21875" style="187"/>
    <col min="9985" max="9985" width="9.21875" style="187" customWidth="1"/>
    <col min="9986" max="9986" width="47.77734375" style="187" bestFit="1" customWidth="1"/>
    <col min="9987" max="9987" width="9.21875" style="187" customWidth="1"/>
    <col min="9988" max="9991" width="0" style="187" hidden="1" customWidth="1"/>
    <col min="9992" max="10240" width="9.21875" style="187"/>
    <col min="10241" max="10241" width="9.21875" style="187" customWidth="1"/>
    <col min="10242" max="10242" width="47.77734375" style="187" bestFit="1" customWidth="1"/>
    <col min="10243" max="10243" width="9.21875" style="187" customWidth="1"/>
    <col min="10244" max="10247" width="0" style="187" hidden="1" customWidth="1"/>
    <col min="10248" max="10496" width="9.21875" style="187"/>
    <col min="10497" max="10497" width="9.21875" style="187" customWidth="1"/>
    <col min="10498" max="10498" width="47.77734375" style="187" bestFit="1" customWidth="1"/>
    <col min="10499" max="10499" width="9.21875" style="187" customWidth="1"/>
    <col min="10500" max="10503" width="0" style="187" hidden="1" customWidth="1"/>
    <col min="10504" max="10752" width="9.21875" style="187"/>
    <col min="10753" max="10753" width="9.21875" style="187" customWidth="1"/>
    <col min="10754" max="10754" width="47.77734375" style="187" bestFit="1" customWidth="1"/>
    <col min="10755" max="10755" width="9.21875" style="187" customWidth="1"/>
    <col min="10756" max="10759" width="0" style="187" hidden="1" customWidth="1"/>
    <col min="10760" max="11008" width="9.21875" style="187"/>
    <col min="11009" max="11009" width="9.21875" style="187" customWidth="1"/>
    <col min="11010" max="11010" width="47.77734375" style="187" bestFit="1" customWidth="1"/>
    <col min="11011" max="11011" width="9.21875" style="187" customWidth="1"/>
    <col min="11012" max="11015" width="0" style="187" hidden="1" customWidth="1"/>
    <col min="11016" max="11264" width="9.21875" style="187"/>
    <col min="11265" max="11265" width="9.21875" style="187" customWidth="1"/>
    <col min="11266" max="11266" width="47.77734375" style="187" bestFit="1" customWidth="1"/>
    <col min="11267" max="11267" width="9.21875" style="187" customWidth="1"/>
    <col min="11268" max="11271" width="0" style="187" hidden="1" customWidth="1"/>
    <col min="11272" max="11520" width="9.21875" style="187"/>
    <col min="11521" max="11521" width="9.21875" style="187" customWidth="1"/>
    <col min="11522" max="11522" width="47.77734375" style="187" bestFit="1" customWidth="1"/>
    <col min="11523" max="11523" width="9.21875" style="187" customWidth="1"/>
    <col min="11524" max="11527" width="0" style="187" hidden="1" customWidth="1"/>
    <col min="11528" max="11776" width="9.21875" style="187"/>
    <col min="11777" max="11777" width="9.21875" style="187" customWidth="1"/>
    <col min="11778" max="11778" width="47.77734375" style="187" bestFit="1" customWidth="1"/>
    <col min="11779" max="11779" width="9.21875" style="187" customWidth="1"/>
    <col min="11780" max="11783" width="0" style="187" hidden="1" customWidth="1"/>
    <col min="11784" max="12032" width="9.21875" style="187"/>
    <col min="12033" max="12033" width="9.21875" style="187" customWidth="1"/>
    <col min="12034" max="12034" width="47.77734375" style="187" bestFit="1" customWidth="1"/>
    <col min="12035" max="12035" width="9.21875" style="187" customWidth="1"/>
    <col min="12036" max="12039" width="0" style="187" hidden="1" customWidth="1"/>
    <col min="12040" max="12288" width="9.21875" style="187"/>
    <col min="12289" max="12289" width="9.21875" style="187" customWidth="1"/>
    <col min="12290" max="12290" width="47.77734375" style="187" bestFit="1" customWidth="1"/>
    <col min="12291" max="12291" width="9.21875" style="187" customWidth="1"/>
    <col min="12292" max="12295" width="0" style="187" hidden="1" customWidth="1"/>
    <col min="12296" max="12544" width="9.21875" style="187"/>
    <col min="12545" max="12545" width="9.21875" style="187" customWidth="1"/>
    <col min="12546" max="12546" width="47.77734375" style="187" bestFit="1" customWidth="1"/>
    <col min="12547" max="12547" width="9.21875" style="187" customWidth="1"/>
    <col min="12548" max="12551" width="0" style="187" hidden="1" customWidth="1"/>
    <col min="12552" max="12800" width="9.21875" style="187"/>
    <col min="12801" max="12801" width="9.21875" style="187" customWidth="1"/>
    <col min="12802" max="12802" width="47.77734375" style="187" bestFit="1" customWidth="1"/>
    <col min="12803" max="12803" width="9.21875" style="187" customWidth="1"/>
    <col min="12804" max="12807" width="0" style="187" hidden="1" customWidth="1"/>
    <col min="12808" max="13056" width="9.21875" style="187"/>
    <col min="13057" max="13057" width="9.21875" style="187" customWidth="1"/>
    <col min="13058" max="13058" width="47.77734375" style="187" bestFit="1" customWidth="1"/>
    <col min="13059" max="13059" width="9.21875" style="187" customWidth="1"/>
    <col min="13060" max="13063" width="0" style="187" hidden="1" customWidth="1"/>
    <col min="13064" max="13312" width="9.21875" style="187"/>
    <col min="13313" max="13313" width="9.21875" style="187" customWidth="1"/>
    <col min="13314" max="13314" width="47.77734375" style="187" bestFit="1" customWidth="1"/>
    <col min="13315" max="13315" width="9.21875" style="187" customWidth="1"/>
    <col min="13316" max="13319" width="0" style="187" hidden="1" customWidth="1"/>
    <col min="13320" max="13568" width="9.21875" style="187"/>
    <col min="13569" max="13569" width="9.21875" style="187" customWidth="1"/>
    <col min="13570" max="13570" width="47.77734375" style="187" bestFit="1" customWidth="1"/>
    <col min="13571" max="13571" width="9.21875" style="187" customWidth="1"/>
    <col min="13572" max="13575" width="0" style="187" hidden="1" customWidth="1"/>
    <col min="13576" max="13824" width="9.21875" style="187"/>
    <col min="13825" max="13825" width="9.21875" style="187" customWidth="1"/>
    <col min="13826" max="13826" width="47.77734375" style="187" bestFit="1" customWidth="1"/>
    <col min="13827" max="13827" width="9.21875" style="187" customWidth="1"/>
    <col min="13828" max="13831" width="0" style="187" hidden="1" customWidth="1"/>
    <col min="13832" max="14080" width="9.21875" style="187"/>
    <col min="14081" max="14081" width="9.21875" style="187" customWidth="1"/>
    <col min="14082" max="14082" width="47.77734375" style="187" bestFit="1" customWidth="1"/>
    <col min="14083" max="14083" width="9.21875" style="187" customWidth="1"/>
    <col min="14084" max="14087" width="0" style="187" hidden="1" customWidth="1"/>
    <col min="14088" max="14336" width="9.21875" style="187"/>
    <col min="14337" max="14337" width="9.21875" style="187" customWidth="1"/>
    <col min="14338" max="14338" width="47.77734375" style="187" bestFit="1" customWidth="1"/>
    <col min="14339" max="14339" width="9.21875" style="187" customWidth="1"/>
    <col min="14340" max="14343" width="0" style="187" hidden="1" customWidth="1"/>
    <col min="14344" max="14592" width="9.21875" style="187"/>
    <col min="14593" max="14593" width="9.21875" style="187" customWidth="1"/>
    <col min="14594" max="14594" width="47.77734375" style="187" bestFit="1" customWidth="1"/>
    <col min="14595" max="14595" width="9.21875" style="187" customWidth="1"/>
    <col min="14596" max="14599" width="0" style="187" hidden="1" customWidth="1"/>
    <col min="14600" max="14848" width="9.21875" style="187"/>
    <col min="14849" max="14849" width="9.21875" style="187" customWidth="1"/>
    <col min="14850" max="14850" width="47.77734375" style="187" bestFit="1" customWidth="1"/>
    <col min="14851" max="14851" width="9.21875" style="187" customWidth="1"/>
    <col min="14852" max="14855" width="0" style="187" hidden="1" customWidth="1"/>
    <col min="14856" max="15104" width="9.21875" style="187"/>
    <col min="15105" max="15105" width="9.21875" style="187" customWidth="1"/>
    <col min="15106" max="15106" width="47.77734375" style="187" bestFit="1" customWidth="1"/>
    <col min="15107" max="15107" width="9.21875" style="187" customWidth="1"/>
    <col min="15108" max="15111" width="0" style="187" hidden="1" customWidth="1"/>
    <col min="15112" max="15360" width="9.21875" style="187"/>
    <col min="15361" max="15361" width="9.21875" style="187" customWidth="1"/>
    <col min="15362" max="15362" width="47.77734375" style="187" bestFit="1" customWidth="1"/>
    <col min="15363" max="15363" width="9.21875" style="187" customWidth="1"/>
    <col min="15364" max="15367" width="0" style="187" hidden="1" customWidth="1"/>
    <col min="15368" max="15616" width="9.21875" style="187"/>
    <col min="15617" max="15617" width="9.21875" style="187" customWidth="1"/>
    <col min="15618" max="15618" width="47.77734375" style="187" bestFit="1" customWidth="1"/>
    <col min="15619" max="15619" width="9.21875" style="187" customWidth="1"/>
    <col min="15620" max="15623" width="0" style="187" hidden="1" customWidth="1"/>
    <col min="15624" max="15872" width="9.21875" style="187"/>
    <col min="15873" max="15873" width="9.21875" style="187" customWidth="1"/>
    <col min="15874" max="15874" width="47.77734375" style="187" bestFit="1" customWidth="1"/>
    <col min="15875" max="15875" width="9.21875" style="187" customWidth="1"/>
    <col min="15876" max="15879" width="0" style="187" hidden="1" customWidth="1"/>
    <col min="15880" max="16128" width="9.21875" style="187"/>
    <col min="16129" max="16129" width="9.21875" style="187" customWidth="1"/>
    <col min="16130" max="16130" width="47.77734375" style="187" bestFit="1" customWidth="1"/>
    <col min="16131" max="16131" width="9.21875" style="187" customWidth="1"/>
    <col min="16132" max="16135" width="0" style="187" hidden="1" customWidth="1"/>
    <col min="16136" max="16384" width="9.21875" style="187"/>
  </cols>
  <sheetData>
    <row r="1" spans="1:7" ht="15.6">
      <c r="B1" s="955" t="s">
        <v>7829</v>
      </c>
    </row>
    <row r="2" spans="1:7">
      <c r="B2" s="956" t="s">
        <v>7830</v>
      </c>
      <c r="E2" s="957" t="s">
        <v>3471</v>
      </c>
    </row>
    <row r="3" spans="1:7">
      <c r="A3" s="958" t="str">
        <f>'Data Entry - SOF'!B2</f>
        <v>000-000</v>
      </c>
      <c r="B3" s="958" t="e">
        <f>VLOOKUP(A3,A4:B305,2,FALSE)</f>
        <v>#N/A</v>
      </c>
      <c r="C3" s="959">
        <f>IF(ISNA(B3),0,1)</f>
        <v>0</v>
      </c>
      <c r="E3" s="957"/>
    </row>
    <row r="4" spans="1:7">
      <c r="A4" s="214" t="s">
        <v>694</v>
      </c>
      <c r="B4" s="633" t="s">
        <v>695</v>
      </c>
      <c r="D4" s="423" t="s">
        <v>3472</v>
      </c>
      <c r="E4" s="187">
        <v>1</v>
      </c>
      <c r="F4" s="423">
        <v>903</v>
      </c>
      <c r="G4" s="214" t="str">
        <f t="shared" ref="G4:G67" si="0">D4&amp;E4&amp;"-"&amp;F4</f>
        <v>001-903</v>
      </c>
    </row>
    <row r="5" spans="1:7">
      <c r="A5" s="214" t="s">
        <v>1491</v>
      </c>
      <c r="B5" s="633" t="s">
        <v>1492</v>
      </c>
      <c r="D5" s="423" t="s">
        <v>3472</v>
      </c>
      <c r="E5" s="187">
        <v>1</v>
      </c>
      <c r="F5" s="423">
        <v>908</v>
      </c>
      <c r="G5" s="214" t="str">
        <f t="shared" si="0"/>
        <v>001-908</v>
      </c>
    </row>
    <row r="6" spans="1:7">
      <c r="A6" s="214" t="s">
        <v>6212</v>
      </c>
      <c r="B6" s="633" t="s">
        <v>2752</v>
      </c>
      <c r="D6" s="423" t="s">
        <v>3472</v>
      </c>
      <c r="E6" s="187">
        <v>1</v>
      </c>
      <c r="F6" s="423">
        <v>909</v>
      </c>
      <c r="G6" s="214" t="str">
        <f t="shared" si="0"/>
        <v>001-909</v>
      </c>
    </row>
    <row r="7" spans="1:7">
      <c r="A7" s="214" t="s">
        <v>3080</v>
      </c>
      <c r="B7" s="633" t="s">
        <v>5389</v>
      </c>
      <c r="D7" s="423" t="s">
        <v>3472</v>
      </c>
      <c r="E7" s="187">
        <v>3</v>
      </c>
      <c r="F7" s="423">
        <v>902</v>
      </c>
      <c r="G7" s="214" t="str">
        <f t="shared" si="0"/>
        <v>003-902</v>
      </c>
    </row>
    <row r="8" spans="1:7">
      <c r="A8" s="214" t="s">
        <v>2842</v>
      </c>
      <c r="B8" s="633" t="s">
        <v>2843</v>
      </c>
      <c r="D8" s="423" t="s">
        <v>3472</v>
      </c>
      <c r="E8" s="187">
        <v>3</v>
      </c>
      <c r="F8" s="423">
        <v>903</v>
      </c>
      <c r="G8" s="214" t="str">
        <f t="shared" si="0"/>
        <v>003-903</v>
      </c>
    </row>
    <row r="9" spans="1:7">
      <c r="A9" s="214" t="s">
        <v>2844</v>
      </c>
      <c r="B9" s="633" t="s">
        <v>2845</v>
      </c>
      <c r="D9" s="423" t="s">
        <v>3472</v>
      </c>
      <c r="E9" s="187">
        <v>3</v>
      </c>
      <c r="F9" s="423">
        <v>905</v>
      </c>
      <c r="G9" s="214" t="str">
        <f t="shared" si="0"/>
        <v>003-905</v>
      </c>
    </row>
    <row r="10" spans="1:7">
      <c r="A10" s="214" t="s">
        <v>2999</v>
      </c>
      <c r="B10" s="633" t="s">
        <v>1320</v>
      </c>
      <c r="D10" s="423" t="s">
        <v>3472</v>
      </c>
      <c r="E10" s="187">
        <v>7</v>
      </c>
      <c r="F10" s="423">
        <v>904</v>
      </c>
      <c r="G10" s="214" t="str">
        <f t="shared" si="0"/>
        <v>007-904</v>
      </c>
    </row>
    <row r="11" spans="1:7">
      <c r="A11" s="214" t="s">
        <v>439</v>
      </c>
      <c r="B11" s="633" t="s">
        <v>1445</v>
      </c>
      <c r="D11" s="187">
        <v>0</v>
      </c>
      <c r="E11" s="187">
        <v>13</v>
      </c>
      <c r="F11" s="423">
        <v>901</v>
      </c>
      <c r="G11" s="214" t="str">
        <f t="shared" si="0"/>
        <v>013-901</v>
      </c>
    </row>
    <row r="12" spans="1:7">
      <c r="A12" s="214" t="s">
        <v>7188</v>
      </c>
      <c r="B12" s="633" t="s">
        <v>7831</v>
      </c>
      <c r="D12" s="187">
        <v>0</v>
      </c>
      <c r="E12" s="187">
        <v>14</v>
      </c>
      <c r="F12" s="423">
        <v>803</v>
      </c>
      <c r="G12" s="214" t="str">
        <f t="shared" si="0"/>
        <v>014-803</v>
      </c>
    </row>
    <row r="13" spans="1:7">
      <c r="A13" s="214" t="s">
        <v>950</v>
      </c>
      <c r="B13" s="633" t="s">
        <v>2135</v>
      </c>
      <c r="D13" s="187">
        <v>0</v>
      </c>
      <c r="E13" s="187">
        <v>14</v>
      </c>
      <c r="F13" s="423">
        <v>903</v>
      </c>
      <c r="G13" s="214" t="str">
        <f t="shared" si="0"/>
        <v>014-903</v>
      </c>
    </row>
    <row r="14" spans="1:7">
      <c r="A14" s="214" t="s">
        <v>6033</v>
      </c>
      <c r="B14" s="633" t="s">
        <v>462</v>
      </c>
      <c r="D14" s="187">
        <v>0</v>
      </c>
      <c r="E14" s="187">
        <v>14</v>
      </c>
      <c r="F14" s="423">
        <v>906</v>
      </c>
      <c r="G14" s="214" t="str">
        <f t="shared" si="0"/>
        <v>014-906</v>
      </c>
    </row>
    <row r="15" spans="1:7">
      <c r="A15" s="214" t="s">
        <v>2309</v>
      </c>
      <c r="B15" s="633" t="s">
        <v>657</v>
      </c>
      <c r="D15" s="187">
        <v>0</v>
      </c>
      <c r="E15" s="187">
        <v>14</v>
      </c>
      <c r="F15" s="423">
        <v>907</v>
      </c>
      <c r="G15" s="214" t="str">
        <f t="shared" si="0"/>
        <v>014-907</v>
      </c>
    </row>
    <row r="16" spans="1:7">
      <c r="A16" s="214" t="s">
        <v>2411</v>
      </c>
      <c r="B16" s="633" t="s">
        <v>7283</v>
      </c>
      <c r="D16" s="187">
        <v>0</v>
      </c>
      <c r="E16" s="187">
        <v>14</v>
      </c>
      <c r="F16" s="423">
        <v>909</v>
      </c>
      <c r="G16" s="214" t="str">
        <f t="shared" si="0"/>
        <v>014-909</v>
      </c>
    </row>
    <row r="17" spans="1:7">
      <c r="A17" s="214" t="s">
        <v>7193</v>
      </c>
      <c r="B17" s="633" t="s">
        <v>7832</v>
      </c>
      <c r="D17" s="187">
        <v>0</v>
      </c>
      <c r="E17" s="187">
        <v>15</v>
      </c>
      <c r="F17" s="423">
        <v>802</v>
      </c>
      <c r="G17" s="214" t="str">
        <f t="shared" si="0"/>
        <v>015-802</v>
      </c>
    </row>
    <row r="18" spans="1:7">
      <c r="A18" s="214" t="s">
        <v>7195</v>
      </c>
      <c r="B18" s="633" t="s">
        <v>7833</v>
      </c>
      <c r="D18" s="187">
        <v>0</v>
      </c>
      <c r="E18" s="187">
        <v>15</v>
      </c>
      <c r="F18" s="423">
        <v>803</v>
      </c>
      <c r="G18" s="214" t="str">
        <f t="shared" si="0"/>
        <v>015-803</v>
      </c>
    </row>
    <row r="19" spans="1:7">
      <c r="A19" s="214" t="s">
        <v>1256</v>
      </c>
      <c r="B19" s="633" t="s">
        <v>7834</v>
      </c>
      <c r="D19" s="187">
        <v>0</v>
      </c>
      <c r="E19" s="187">
        <v>15</v>
      </c>
      <c r="F19" s="423">
        <v>806</v>
      </c>
      <c r="G19" s="214" t="str">
        <f t="shared" si="0"/>
        <v>015-806</v>
      </c>
    </row>
    <row r="20" spans="1:7">
      <c r="A20" s="214" t="s">
        <v>7204</v>
      </c>
      <c r="B20" s="633" t="s">
        <v>7835</v>
      </c>
      <c r="D20" s="187">
        <v>0</v>
      </c>
      <c r="E20" s="187">
        <v>15</v>
      </c>
      <c r="F20" s="423">
        <v>809</v>
      </c>
      <c r="G20" s="214" t="str">
        <f t="shared" si="0"/>
        <v>015-809</v>
      </c>
    </row>
    <row r="21" spans="1:7">
      <c r="A21" s="214" t="s">
        <v>7208</v>
      </c>
      <c r="B21" s="633" t="s">
        <v>7836</v>
      </c>
      <c r="D21" s="187">
        <v>0</v>
      </c>
      <c r="E21" s="187">
        <v>15</v>
      </c>
      <c r="F21" s="423">
        <v>811</v>
      </c>
      <c r="G21" s="214" t="str">
        <f t="shared" si="0"/>
        <v>015-811</v>
      </c>
    </row>
    <row r="22" spans="1:7">
      <c r="A22" s="214" t="s">
        <v>7216</v>
      </c>
      <c r="B22" s="633" t="s">
        <v>7837</v>
      </c>
      <c r="D22" s="187">
        <v>0</v>
      </c>
      <c r="E22" s="187">
        <v>15</v>
      </c>
      <c r="F22" s="423">
        <v>815</v>
      </c>
      <c r="G22" s="214" t="str">
        <f t="shared" si="0"/>
        <v>015-815</v>
      </c>
    </row>
    <row r="23" spans="1:7">
      <c r="A23" s="214" t="s">
        <v>7223</v>
      </c>
      <c r="B23" s="633" t="s">
        <v>7838</v>
      </c>
      <c r="D23" s="187">
        <v>0</v>
      </c>
      <c r="E23" s="187">
        <v>15</v>
      </c>
      <c r="F23" s="423">
        <v>819</v>
      </c>
      <c r="G23" s="214" t="str">
        <f t="shared" si="0"/>
        <v>015-819</v>
      </c>
    </row>
    <row r="24" spans="1:7">
      <c r="A24" s="214" t="s">
        <v>7227</v>
      </c>
      <c r="B24" s="633" t="s">
        <v>7839</v>
      </c>
      <c r="D24" s="187">
        <v>0</v>
      </c>
      <c r="E24" s="187">
        <v>15</v>
      </c>
      <c r="F24" s="423">
        <v>822</v>
      </c>
      <c r="G24" s="214" t="str">
        <f t="shared" si="0"/>
        <v>015-822</v>
      </c>
    </row>
    <row r="25" spans="1:7">
      <c r="A25" s="214" t="s">
        <v>1860</v>
      </c>
      <c r="B25" s="633" t="s">
        <v>4989</v>
      </c>
      <c r="D25" s="187">
        <v>0</v>
      </c>
      <c r="E25" s="187">
        <v>15</v>
      </c>
      <c r="F25" s="423">
        <v>904</v>
      </c>
      <c r="G25" s="214" t="str">
        <f t="shared" si="0"/>
        <v>015-904</v>
      </c>
    </row>
    <row r="26" spans="1:7">
      <c r="A26" s="214" t="s">
        <v>1520</v>
      </c>
      <c r="B26" s="633" t="s">
        <v>3135</v>
      </c>
      <c r="D26" s="187">
        <v>0</v>
      </c>
      <c r="E26" s="187">
        <v>15</v>
      </c>
      <c r="F26" s="423">
        <v>905</v>
      </c>
      <c r="G26" s="214" t="str">
        <f t="shared" si="0"/>
        <v>015-905</v>
      </c>
    </row>
    <row r="27" spans="1:7">
      <c r="A27" s="214" t="s">
        <v>2386</v>
      </c>
      <c r="B27" s="633" t="s">
        <v>662</v>
      </c>
      <c r="D27" s="187">
        <v>0</v>
      </c>
      <c r="E27" s="187">
        <v>15</v>
      </c>
      <c r="F27" s="423">
        <v>907</v>
      </c>
      <c r="G27" s="214" t="str">
        <f t="shared" si="0"/>
        <v>015-907</v>
      </c>
    </row>
    <row r="28" spans="1:7">
      <c r="A28" s="214" t="s">
        <v>2403</v>
      </c>
      <c r="B28" s="633" t="s">
        <v>2961</v>
      </c>
      <c r="D28" s="187">
        <v>0</v>
      </c>
      <c r="E28" s="187">
        <v>15</v>
      </c>
      <c r="F28" s="423">
        <v>908</v>
      </c>
      <c r="G28" s="214" t="str">
        <f t="shared" si="0"/>
        <v>015-908</v>
      </c>
    </row>
    <row r="29" spans="1:7">
      <c r="A29" s="214" t="s">
        <v>2402</v>
      </c>
      <c r="B29" s="633" t="s">
        <v>2552</v>
      </c>
      <c r="D29" s="187">
        <v>0</v>
      </c>
      <c r="E29" s="187">
        <v>15</v>
      </c>
      <c r="F29" s="423">
        <v>909</v>
      </c>
      <c r="G29" s="214" t="str">
        <f t="shared" si="0"/>
        <v>015-909</v>
      </c>
    </row>
    <row r="30" spans="1:7">
      <c r="A30" s="214" t="s">
        <v>1517</v>
      </c>
      <c r="B30" s="633" t="s">
        <v>5618</v>
      </c>
      <c r="D30" s="187">
        <v>0</v>
      </c>
      <c r="E30" s="187">
        <v>15</v>
      </c>
      <c r="F30" s="423">
        <v>911</v>
      </c>
      <c r="G30" s="214" t="str">
        <f t="shared" si="0"/>
        <v>015-911</v>
      </c>
    </row>
    <row r="31" spans="1:7">
      <c r="A31" s="214" t="s">
        <v>41</v>
      </c>
      <c r="B31" s="633" t="s">
        <v>42</v>
      </c>
      <c r="D31" s="187">
        <v>0</v>
      </c>
      <c r="E31" s="187">
        <v>15</v>
      </c>
      <c r="F31" s="423">
        <v>913</v>
      </c>
      <c r="G31" s="214" t="str">
        <f t="shared" si="0"/>
        <v>015-913</v>
      </c>
    </row>
    <row r="32" spans="1:7">
      <c r="A32" s="214" t="s">
        <v>1339</v>
      </c>
      <c r="B32" s="633" t="s">
        <v>1340</v>
      </c>
      <c r="D32" s="187">
        <v>0</v>
      </c>
      <c r="E32" s="187">
        <v>18</v>
      </c>
      <c r="F32" s="423">
        <v>904</v>
      </c>
      <c r="G32" s="214" t="str">
        <f t="shared" si="0"/>
        <v>018-904</v>
      </c>
    </row>
    <row r="33" spans="1:7">
      <c r="A33" s="214" t="s">
        <v>2474</v>
      </c>
      <c r="B33" s="633" t="s">
        <v>2467</v>
      </c>
      <c r="D33" s="187">
        <v>0</v>
      </c>
      <c r="E33" s="187">
        <v>18</v>
      </c>
      <c r="F33" s="423">
        <v>905</v>
      </c>
      <c r="G33" s="214" t="str">
        <f t="shared" si="0"/>
        <v>018-905</v>
      </c>
    </row>
    <row r="34" spans="1:7">
      <c r="A34" s="214" t="s">
        <v>1345</v>
      </c>
      <c r="B34" s="633" t="s">
        <v>1346</v>
      </c>
      <c r="D34" s="187">
        <v>0</v>
      </c>
      <c r="E34" s="187">
        <v>18</v>
      </c>
      <c r="F34" s="423">
        <v>908</v>
      </c>
      <c r="G34" s="214" t="str">
        <f t="shared" si="0"/>
        <v>018-908</v>
      </c>
    </row>
    <row r="35" spans="1:7">
      <c r="A35" s="214" t="s">
        <v>963</v>
      </c>
      <c r="B35" s="633" t="s">
        <v>3473</v>
      </c>
      <c r="D35" s="187">
        <v>0</v>
      </c>
      <c r="E35" s="187">
        <v>19</v>
      </c>
      <c r="F35" s="423">
        <v>901</v>
      </c>
      <c r="G35" s="214" t="str">
        <f t="shared" si="0"/>
        <v>019-901</v>
      </c>
    </row>
    <row r="36" spans="1:7">
      <c r="A36" s="214" t="s">
        <v>3083</v>
      </c>
      <c r="B36" s="633" t="s">
        <v>5392</v>
      </c>
      <c r="D36" s="187">
        <v>0</v>
      </c>
      <c r="E36" s="187">
        <v>19</v>
      </c>
      <c r="F36" s="423">
        <v>902</v>
      </c>
      <c r="G36" s="214" t="str">
        <f t="shared" si="0"/>
        <v>019-902</v>
      </c>
    </row>
    <row r="37" spans="1:7">
      <c r="A37" s="214" t="s">
        <v>6085</v>
      </c>
      <c r="B37" s="633" t="s">
        <v>6086</v>
      </c>
      <c r="D37" s="187">
        <v>0</v>
      </c>
      <c r="E37" s="187">
        <v>19</v>
      </c>
      <c r="F37" s="423">
        <v>907</v>
      </c>
      <c r="G37" s="214" t="str">
        <f t="shared" si="0"/>
        <v>019-907</v>
      </c>
    </row>
    <row r="38" spans="1:7">
      <c r="A38" s="214" t="s">
        <v>2000</v>
      </c>
      <c r="B38" s="633" t="s">
        <v>2001</v>
      </c>
      <c r="D38" s="187">
        <v>0</v>
      </c>
      <c r="E38" s="187">
        <v>19</v>
      </c>
      <c r="F38" s="423">
        <v>912</v>
      </c>
      <c r="G38" s="214" t="str">
        <f t="shared" si="0"/>
        <v>019-912</v>
      </c>
    </row>
    <row r="39" spans="1:7">
      <c r="A39" s="214" t="s">
        <v>233</v>
      </c>
      <c r="B39" s="633" t="s">
        <v>3906</v>
      </c>
      <c r="D39" s="187">
        <v>0</v>
      </c>
      <c r="E39" s="187">
        <v>20</v>
      </c>
      <c r="F39" s="423">
        <v>907</v>
      </c>
      <c r="G39" s="214" t="str">
        <f t="shared" si="0"/>
        <v>020-907</v>
      </c>
    </row>
    <row r="40" spans="1:7">
      <c r="A40" s="214" t="s">
        <v>7243</v>
      </c>
      <c r="B40" s="633" t="s">
        <v>7840</v>
      </c>
      <c r="D40" s="187">
        <v>0</v>
      </c>
      <c r="E40" s="187">
        <v>21</v>
      </c>
      <c r="F40" s="423">
        <v>803</v>
      </c>
      <c r="G40" s="214" t="str">
        <f t="shared" si="0"/>
        <v>021-803</v>
      </c>
    </row>
    <row r="41" spans="1:7">
      <c r="A41" s="214" t="s">
        <v>6270</v>
      </c>
      <c r="B41" s="633" t="s">
        <v>3474</v>
      </c>
      <c r="D41" s="187">
        <v>0</v>
      </c>
      <c r="E41" s="187">
        <v>24</v>
      </c>
      <c r="F41" s="423">
        <v>901</v>
      </c>
      <c r="G41" s="214" t="str">
        <f t="shared" si="0"/>
        <v>024-901</v>
      </c>
    </row>
    <row r="42" spans="1:7">
      <c r="A42" s="214" t="s">
        <v>2291</v>
      </c>
      <c r="B42" s="633" t="s">
        <v>2292</v>
      </c>
      <c r="D42" s="187">
        <v>0</v>
      </c>
      <c r="E42" s="187">
        <v>25</v>
      </c>
      <c r="F42" s="423">
        <v>902</v>
      </c>
      <c r="G42" s="214" t="str">
        <f t="shared" si="0"/>
        <v>025-902</v>
      </c>
    </row>
    <row r="43" spans="1:7">
      <c r="A43" s="214" t="s">
        <v>2297</v>
      </c>
      <c r="B43" s="633" t="s">
        <v>2298</v>
      </c>
      <c r="D43" s="187">
        <v>0</v>
      </c>
      <c r="E43" s="187">
        <v>26</v>
      </c>
      <c r="F43" s="423">
        <v>903</v>
      </c>
      <c r="G43" s="214" t="str">
        <f t="shared" si="0"/>
        <v>026-903</v>
      </c>
    </row>
    <row r="44" spans="1:7">
      <c r="A44" s="214" t="s">
        <v>3003</v>
      </c>
      <c r="B44" s="633" t="s">
        <v>5002</v>
      </c>
      <c r="D44" s="187">
        <v>0</v>
      </c>
      <c r="E44" s="187">
        <v>27</v>
      </c>
      <c r="F44" s="423">
        <v>904</v>
      </c>
      <c r="G44" s="214" t="str">
        <f t="shared" si="0"/>
        <v>027-904</v>
      </c>
    </row>
    <row r="45" spans="1:7">
      <c r="A45" s="214" t="s">
        <v>959</v>
      </c>
      <c r="B45" s="633" t="s">
        <v>1205</v>
      </c>
      <c r="D45" s="187">
        <v>0</v>
      </c>
      <c r="E45" s="187">
        <v>31</v>
      </c>
      <c r="F45" s="423">
        <v>901</v>
      </c>
      <c r="G45" s="214" t="str">
        <f t="shared" si="0"/>
        <v>031-901</v>
      </c>
    </row>
    <row r="46" spans="1:7">
      <c r="A46" s="214" t="s">
        <v>6037</v>
      </c>
      <c r="B46" s="633" t="s">
        <v>468</v>
      </c>
      <c r="D46" s="187">
        <v>0</v>
      </c>
      <c r="E46" s="187">
        <v>31</v>
      </c>
      <c r="F46" s="423">
        <v>905</v>
      </c>
      <c r="G46" s="214" t="str">
        <f t="shared" si="0"/>
        <v>031-905</v>
      </c>
    </row>
    <row r="47" spans="1:7">
      <c r="A47" s="214" t="s">
        <v>3087</v>
      </c>
      <c r="B47" s="633" t="s">
        <v>453</v>
      </c>
      <c r="D47" s="187">
        <v>0</v>
      </c>
      <c r="E47" s="187">
        <v>31</v>
      </c>
      <c r="F47" s="423">
        <v>911</v>
      </c>
      <c r="G47" s="214" t="str">
        <f t="shared" si="0"/>
        <v>031-911</v>
      </c>
    </row>
    <row r="48" spans="1:7">
      <c r="A48" s="214" t="s">
        <v>3088</v>
      </c>
      <c r="B48" s="633" t="s">
        <v>454</v>
      </c>
      <c r="D48" s="187">
        <v>0</v>
      </c>
      <c r="E48" s="187">
        <v>31</v>
      </c>
      <c r="F48" s="423">
        <v>913</v>
      </c>
      <c r="G48" s="214" t="str">
        <f t="shared" si="0"/>
        <v>031-913</v>
      </c>
    </row>
    <row r="49" spans="1:7">
      <c r="A49" s="214" t="s">
        <v>901</v>
      </c>
      <c r="B49" s="633" t="s">
        <v>902</v>
      </c>
      <c r="D49" s="187">
        <v>0</v>
      </c>
      <c r="E49" s="187">
        <v>37</v>
      </c>
      <c r="F49" s="423">
        <v>901</v>
      </c>
      <c r="G49" s="214" t="str">
        <f t="shared" si="0"/>
        <v>037-901</v>
      </c>
    </row>
    <row r="50" spans="1:7">
      <c r="A50" s="214" t="s">
        <v>6023</v>
      </c>
      <c r="B50" s="633" t="s">
        <v>4564</v>
      </c>
      <c r="D50" s="187">
        <v>0</v>
      </c>
      <c r="E50" s="187">
        <v>37</v>
      </c>
      <c r="F50" s="423">
        <v>904</v>
      </c>
      <c r="G50" s="214" t="str">
        <f t="shared" si="0"/>
        <v>037-904</v>
      </c>
    </row>
    <row r="51" spans="1:7">
      <c r="A51" s="214" t="s">
        <v>2383</v>
      </c>
      <c r="B51" s="633" t="s">
        <v>659</v>
      </c>
      <c r="D51" s="187">
        <v>0</v>
      </c>
      <c r="E51" s="187">
        <v>37</v>
      </c>
      <c r="F51" s="423">
        <v>907</v>
      </c>
      <c r="G51" s="214" t="str">
        <f t="shared" si="0"/>
        <v>037-907</v>
      </c>
    </row>
    <row r="52" spans="1:7">
      <c r="A52" s="214" t="s">
        <v>736</v>
      </c>
      <c r="B52" s="633" t="s">
        <v>1577</v>
      </c>
      <c r="D52" s="187">
        <v>0</v>
      </c>
      <c r="E52" s="187">
        <v>38</v>
      </c>
      <c r="F52" s="423">
        <v>901</v>
      </c>
      <c r="G52" s="214" t="str">
        <f t="shared" si="0"/>
        <v>038-901</v>
      </c>
    </row>
    <row r="53" spans="1:7">
      <c r="A53" s="214" t="s">
        <v>2117</v>
      </c>
      <c r="B53" s="633" t="s">
        <v>2118</v>
      </c>
      <c r="D53" s="187">
        <v>0</v>
      </c>
      <c r="E53" s="187">
        <v>39</v>
      </c>
      <c r="F53" s="423">
        <v>902</v>
      </c>
      <c r="G53" s="214" t="str">
        <f t="shared" si="0"/>
        <v>039-902</v>
      </c>
    </row>
    <row r="54" spans="1:7">
      <c r="A54" s="214" t="s">
        <v>3089</v>
      </c>
      <c r="B54" s="633" t="s">
        <v>3609</v>
      </c>
      <c r="D54" s="187">
        <v>0</v>
      </c>
      <c r="E54" s="187">
        <v>39</v>
      </c>
      <c r="F54" s="423">
        <v>903</v>
      </c>
      <c r="G54" s="214" t="str">
        <f t="shared" si="0"/>
        <v>039-903</v>
      </c>
    </row>
    <row r="55" spans="1:7">
      <c r="A55" s="214" t="s">
        <v>861</v>
      </c>
      <c r="B55" s="633" t="s">
        <v>1473</v>
      </c>
      <c r="D55" s="187">
        <v>0</v>
      </c>
      <c r="E55" s="187">
        <v>43</v>
      </c>
      <c r="F55" s="423">
        <v>914</v>
      </c>
      <c r="G55" s="214" t="str">
        <f t="shared" si="0"/>
        <v>043-914</v>
      </c>
    </row>
    <row r="56" spans="1:7">
      <c r="A56" s="214" t="s">
        <v>1314</v>
      </c>
      <c r="B56" s="633" t="s">
        <v>7841</v>
      </c>
      <c r="D56" s="187">
        <v>0</v>
      </c>
      <c r="E56" s="187">
        <v>49</v>
      </c>
      <c r="F56" s="423">
        <v>901</v>
      </c>
      <c r="G56" s="214" t="str">
        <f t="shared" si="0"/>
        <v>049-901</v>
      </c>
    </row>
    <row r="57" spans="1:7">
      <c r="A57" s="214" t="s">
        <v>239</v>
      </c>
      <c r="B57" s="633" t="s">
        <v>469</v>
      </c>
      <c r="D57" s="187">
        <v>0</v>
      </c>
      <c r="E57" s="187">
        <v>50</v>
      </c>
      <c r="F57" s="423">
        <v>910</v>
      </c>
      <c r="G57" s="214" t="str">
        <f t="shared" si="0"/>
        <v>050-910</v>
      </c>
    </row>
    <row r="58" spans="1:7">
      <c r="A58" s="214" t="s">
        <v>2452</v>
      </c>
      <c r="B58" s="633" t="s">
        <v>3475</v>
      </c>
      <c r="D58" s="187">
        <v>0</v>
      </c>
      <c r="E58" s="187">
        <v>53</v>
      </c>
      <c r="F58" s="423" t="s">
        <v>3476</v>
      </c>
      <c r="G58" s="214" t="str">
        <f t="shared" si="0"/>
        <v>053-001</v>
      </c>
    </row>
    <row r="59" spans="1:7">
      <c r="A59" s="214" t="s">
        <v>2454</v>
      </c>
      <c r="B59" s="633" t="s">
        <v>3477</v>
      </c>
      <c r="D59" s="187">
        <v>0</v>
      </c>
      <c r="E59" s="187">
        <v>54</v>
      </c>
      <c r="F59" s="423">
        <v>901</v>
      </c>
      <c r="G59" s="214" t="str">
        <f t="shared" si="0"/>
        <v>054-901</v>
      </c>
    </row>
    <row r="60" spans="1:7">
      <c r="A60" s="214" t="s">
        <v>2456</v>
      </c>
      <c r="B60" s="633" t="s">
        <v>2457</v>
      </c>
      <c r="D60" s="187">
        <v>0</v>
      </c>
      <c r="E60" s="187">
        <v>54</v>
      </c>
      <c r="F60" s="423">
        <v>902</v>
      </c>
      <c r="G60" s="214" t="str">
        <f t="shared" si="0"/>
        <v>054-902</v>
      </c>
    </row>
    <row r="61" spans="1:7">
      <c r="A61" s="214" t="s">
        <v>2458</v>
      </c>
      <c r="B61" s="633" t="s">
        <v>2459</v>
      </c>
      <c r="D61" s="187">
        <v>0</v>
      </c>
      <c r="E61" s="187">
        <v>54</v>
      </c>
      <c r="F61" s="423">
        <v>903</v>
      </c>
      <c r="G61" s="214" t="str">
        <f t="shared" si="0"/>
        <v>054-903</v>
      </c>
    </row>
    <row r="62" spans="1:7">
      <c r="A62" s="214" t="s">
        <v>7264</v>
      </c>
      <c r="B62" s="633" t="s">
        <v>7842</v>
      </c>
      <c r="D62" s="187">
        <v>0</v>
      </c>
      <c r="E62" s="187">
        <v>57</v>
      </c>
      <c r="F62" s="423">
        <v>805</v>
      </c>
      <c r="G62" s="214" t="str">
        <f t="shared" si="0"/>
        <v>057-805</v>
      </c>
    </row>
    <row r="63" spans="1:7">
      <c r="A63" s="214" t="s">
        <v>7268</v>
      </c>
      <c r="B63" s="633" t="s">
        <v>7843</v>
      </c>
      <c r="D63" s="187">
        <v>0</v>
      </c>
      <c r="E63" s="187">
        <v>57</v>
      </c>
      <c r="F63" s="423">
        <v>808</v>
      </c>
      <c r="G63" s="214" t="str">
        <f t="shared" si="0"/>
        <v>057-808</v>
      </c>
    </row>
    <row r="64" spans="1:7">
      <c r="A64" s="214" t="s">
        <v>7272</v>
      </c>
      <c r="B64" s="633" t="s">
        <v>7844</v>
      </c>
      <c r="D64" s="187">
        <v>0</v>
      </c>
      <c r="E64" s="187">
        <v>57</v>
      </c>
      <c r="F64" s="423">
        <v>810</v>
      </c>
      <c r="G64" s="214" t="str">
        <f t="shared" si="0"/>
        <v>057-810</v>
      </c>
    </row>
    <row r="65" spans="1:7">
      <c r="A65" s="214" t="s">
        <v>5307</v>
      </c>
      <c r="B65" s="633" t="s">
        <v>7845</v>
      </c>
      <c r="D65" s="187">
        <v>0</v>
      </c>
      <c r="E65" s="187">
        <v>57</v>
      </c>
      <c r="F65" s="423">
        <v>811</v>
      </c>
      <c r="G65" s="214" t="str">
        <f t="shared" si="0"/>
        <v>057-811</v>
      </c>
    </row>
    <row r="66" spans="1:7">
      <c r="A66" s="214" t="s">
        <v>3254</v>
      </c>
      <c r="B66" s="633" t="s">
        <v>7846</v>
      </c>
      <c r="D66" s="187">
        <v>0</v>
      </c>
      <c r="E66" s="187">
        <v>57</v>
      </c>
      <c r="F66" s="423">
        <v>815</v>
      </c>
      <c r="G66" s="214" t="str">
        <f t="shared" si="0"/>
        <v>057-815</v>
      </c>
    </row>
    <row r="67" spans="1:7">
      <c r="A67" s="214" t="s">
        <v>5309</v>
      </c>
      <c r="B67" s="633" t="s">
        <v>7847</v>
      </c>
      <c r="D67" s="187">
        <v>0</v>
      </c>
      <c r="E67" s="187">
        <v>57</v>
      </c>
      <c r="F67" s="423">
        <v>816</v>
      </c>
      <c r="G67" s="214" t="str">
        <f t="shared" si="0"/>
        <v>057-816</v>
      </c>
    </row>
    <row r="68" spans="1:7">
      <c r="A68" s="214" t="s">
        <v>5315</v>
      </c>
      <c r="B68" s="633" t="s">
        <v>7848</v>
      </c>
      <c r="D68" s="187">
        <v>0</v>
      </c>
      <c r="E68" s="187">
        <v>57</v>
      </c>
      <c r="F68" s="423">
        <v>819</v>
      </c>
      <c r="G68" s="214" t="str">
        <f t="shared" ref="G68:G131" si="1">D68&amp;E68&amp;"-"&amp;F68</f>
        <v>057-819</v>
      </c>
    </row>
    <row r="69" spans="1:7">
      <c r="A69" s="214" t="s">
        <v>5317</v>
      </c>
      <c r="B69" s="633" t="s">
        <v>7849</v>
      </c>
      <c r="D69" s="187">
        <v>0</v>
      </c>
      <c r="E69" s="187">
        <v>57</v>
      </c>
      <c r="F69" s="423">
        <v>821</v>
      </c>
      <c r="G69" s="214" t="str">
        <f t="shared" si="1"/>
        <v>057-821</v>
      </c>
    </row>
    <row r="70" spans="1:7">
      <c r="A70" s="214" t="s">
        <v>2100</v>
      </c>
      <c r="B70" s="633" t="s">
        <v>7850</v>
      </c>
      <c r="D70" s="187">
        <v>0</v>
      </c>
      <c r="E70" s="187">
        <v>57</v>
      </c>
      <c r="F70" s="423">
        <v>827</v>
      </c>
      <c r="G70" s="214" t="str">
        <f t="shared" si="1"/>
        <v>057-827</v>
      </c>
    </row>
    <row r="71" spans="1:7">
      <c r="A71" s="214" t="s">
        <v>3262</v>
      </c>
      <c r="B71" s="633" t="s">
        <v>7851</v>
      </c>
      <c r="D71" s="187">
        <v>0</v>
      </c>
      <c r="E71" s="187">
        <v>57</v>
      </c>
      <c r="F71" s="423">
        <v>829</v>
      </c>
      <c r="G71" s="214" t="str">
        <f t="shared" si="1"/>
        <v>057-829</v>
      </c>
    </row>
    <row r="72" spans="1:7">
      <c r="A72" s="214" t="s">
        <v>3264</v>
      </c>
      <c r="B72" s="633" t="s">
        <v>7852</v>
      </c>
      <c r="D72" s="187">
        <v>0</v>
      </c>
      <c r="E72" s="187">
        <v>57</v>
      </c>
      <c r="F72" s="423">
        <v>830</v>
      </c>
      <c r="G72" s="214" t="str">
        <f t="shared" si="1"/>
        <v>057-830</v>
      </c>
    </row>
    <row r="73" spans="1:7">
      <c r="A73" s="214" t="s">
        <v>2108</v>
      </c>
      <c r="B73" s="633" t="s">
        <v>2109</v>
      </c>
      <c r="D73" s="187">
        <v>0</v>
      </c>
      <c r="E73" s="187">
        <v>57</v>
      </c>
      <c r="F73" s="423">
        <v>905</v>
      </c>
      <c r="G73" s="214" t="str">
        <f t="shared" si="1"/>
        <v>057-905</v>
      </c>
    </row>
    <row r="74" spans="1:7">
      <c r="A74" s="214" t="s">
        <v>4571</v>
      </c>
      <c r="B74" s="633" t="s">
        <v>4572</v>
      </c>
      <c r="D74" s="187">
        <v>0</v>
      </c>
      <c r="E74" s="187">
        <v>57</v>
      </c>
      <c r="F74" s="423">
        <v>913</v>
      </c>
      <c r="G74" s="214" t="str">
        <f t="shared" si="1"/>
        <v>057-913</v>
      </c>
    </row>
    <row r="75" spans="1:7">
      <c r="A75" s="214" t="s">
        <v>4577</v>
      </c>
      <c r="B75" s="633" t="s">
        <v>4578</v>
      </c>
      <c r="D75" s="187">
        <v>0</v>
      </c>
      <c r="E75" s="187">
        <v>57</v>
      </c>
      <c r="F75" s="423">
        <v>920</v>
      </c>
      <c r="G75" s="214" t="str">
        <f t="shared" si="1"/>
        <v>057-920</v>
      </c>
    </row>
    <row r="76" spans="1:7">
      <c r="A76" s="214" t="s">
        <v>4584</v>
      </c>
      <c r="B76" s="633" t="s">
        <v>4585</v>
      </c>
      <c r="D76" s="187">
        <v>0</v>
      </c>
      <c r="E76" s="187">
        <v>58</v>
      </c>
      <c r="F76" s="423">
        <v>906</v>
      </c>
      <c r="G76" s="214" t="str">
        <f t="shared" si="1"/>
        <v>058-906</v>
      </c>
    </row>
    <row r="77" spans="1:7">
      <c r="A77" s="214" t="s">
        <v>1865</v>
      </c>
      <c r="B77" s="633" t="s">
        <v>1996</v>
      </c>
      <c r="D77" s="187">
        <v>0</v>
      </c>
      <c r="E77" s="187">
        <v>59</v>
      </c>
      <c r="F77" s="423">
        <v>901</v>
      </c>
      <c r="G77" s="214" t="str">
        <f t="shared" si="1"/>
        <v>059-901</v>
      </c>
    </row>
    <row r="78" spans="1:7">
      <c r="A78" s="214" t="s">
        <v>589</v>
      </c>
      <c r="B78" s="633" t="s">
        <v>590</v>
      </c>
      <c r="D78" s="187">
        <v>0</v>
      </c>
      <c r="E78" s="187">
        <v>60</v>
      </c>
      <c r="F78" s="423">
        <v>914</v>
      </c>
      <c r="G78" s="214" t="str">
        <f t="shared" si="1"/>
        <v>060-914</v>
      </c>
    </row>
    <row r="79" spans="1:7">
      <c r="A79" s="214" t="s">
        <v>6186</v>
      </c>
      <c r="B79" s="633" t="s">
        <v>7642</v>
      </c>
      <c r="D79" s="187">
        <v>0</v>
      </c>
      <c r="E79" s="187">
        <v>61</v>
      </c>
      <c r="F79" s="423">
        <v>911</v>
      </c>
      <c r="G79" s="214" t="str">
        <f t="shared" si="1"/>
        <v>061-911</v>
      </c>
    </row>
    <row r="80" spans="1:7">
      <c r="A80" s="214" t="s">
        <v>591</v>
      </c>
      <c r="B80" s="633" t="s">
        <v>592</v>
      </c>
      <c r="D80" s="187">
        <v>0</v>
      </c>
      <c r="E80" s="187">
        <v>61</v>
      </c>
      <c r="F80" s="423">
        <v>914</v>
      </c>
      <c r="G80" s="214" t="str">
        <f t="shared" si="1"/>
        <v>061-914</v>
      </c>
    </row>
    <row r="81" spans="1:7">
      <c r="A81" s="214" t="s">
        <v>2750</v>
      </c>
      <c r="B81" s="633" t="s">
        <v>2751</v>
      </c>
      <c r="D81" s="187">
        <v>0</v>
      </c>
      <c r="E81" s="187">
        <v>62</v>
      </c>
      <c r="F81" s="423">
        <v>904</v>
      </c>
      <c r="G81" s="214" t="str">
        <f t="shared" si="1"/>
        <v>062-904</v>
      </c>
    </row>
    <row r="82" spans="1:7">
      <c r="A82" s="214" t="s">
        <v>3091</v>
      </c>
      <c r="B82" s="633" t="s">
        <v>3478</v>
      </c>
      <c r="D82" s="187">
        <v>0</v>
      </c>
      <c r="E82" s="187">
        <v>64</v>
      </c>
      <c r="F82" s="423">
        <v>903</v>
      </c>
      <c r="G82" s="214" t="str">
        <f t="shared" si="1"/>
        <v>064-903</v>
      </c>
    </row>
    <row r="83" spans="1:7">
      <c r="A83" s="214" t="s">
        <v>3173</v>
      </c>
      <c r="B83" s="633" t="s">
        <v>3174</v>
      </c>
      <c r="D83" s="187">
        <v>0</v>
      </c>
      <c r="E83" s="187">
        <v>66</v>
      </c>
      <c r="F83" s="423" t="s">
        <v>3479</v>
      </c>
      <c r="G83" s="214" t="str">
        <f t="shared" si="1"/>
        <v>066-005</v>
      </c>
    </row>
    <row r="84" spans="1:7">
      <c r="A84" s="214" t="s">
        <v>3175</v>
      </c>
      <c r="B84" s="633" t="s">
        <v>3176</v>
      </c>
      <c r="D84" s="187">
        <v>0</v>
      </c>
      <c r="E84" s="187">
        <v>66</v>
      </c>
      <c r="F84" s="423">
        <v>901</v>
      </c>
      <c r="G84" s="214" t="str">
        <f t="shared" si="1"/>
        <v>066-901</v>
      </c>
    </row>
    <row r="85" spans="1:7">
      <c r="A85" s="214" t="s">
        <v>3092</v>
      </c>
      <c r="B85" s="633" t="s">
        <v>3611</v>
      </c>
      <c r="D85" s="187">
        <v>0</v>
      </c>
      <c r="E85" s="187">
        <v>66</v>
      </c>
      <c r="F85" s="423">
        <v>902</v>
      </c>
      <c r="G85" s="214" t="str">
        <f t="shared" si="1"/>
        <v>066-902</v>
      </c>
    </row>
    <row r="86" spans="1:7">
      <c r="A86" s="214" t="s">
        <v>677</v>
      </c>
      <c r="B86" s="633" t="s">
        <v>678</v>
      </c>
      <c r="D86" s="187">
        <v>0</v>
      </c>
      <c r="E86" s="187">
        <v>67</v>
      </c>
      <c r="F86" s="423">
        <v>904</v>
      </c>
      <c r="G86" s="214" t="str">
        <f t="shared" si="1"/>
        <v>067-904</v>
      </c>
    </row>
    <row r="87" spans="1:7">
      <c r="A87" s="214" t="s">
        <v>3646</v>
      </c>
      <c r="B87" s="633" t="s">
        <v>7853</v>
      </c>
      <c r="D87" s="187">
        <v>0</v>
      </c>
      <c r="E87" s="187">
        <v>70</v>
      </c>
      <c r="F87" s="423">
        <v>801</v>
      </c>
      <c r="G87" s="214" t="str">
        <f t="shared" si="1"/>
        <v>070-801</v>
      </c>
    </row>
    <row r="88" spans="1:7">
      <c r="A88" s="214" t="s">
        <v>3648</v>
      </c>
      <c r="B88" s="633" t="s">
        <v>3649</v>
      </c>
      <c r="D88" s="187">
        <v>0</v>
      </c>
      <c r="E88" s="187">
        <v>70</v>
      </c>
      <c r="F88" s="423">
        <v>903</v>
      </c>
      <c r="G88" s="214" t="str">
        <f t="shared" si="1"/>
        <v>070-903</v>
      </c>
    </row>
    <row r="89" spans="1:7">
      <c r="A89" s="214" t="s">
        <v>3293</v>
      </c>
      <c r="B89" s="633" t="s">
        <v>7854</v>
      </c>
      <c r="D89" s="187">
        <v>0</v>
      </c>
      <c r="E89" s="187">
        <v>71</v>
      </c>
      <c r="F89" s="423">
        <v>805</v>
      </c>
      <c r="G89" s="214" t="str">
        <f t="shared" si="1"/>
        <v>071-805</v>
      </c>
    </row>
    <row r="90" spans="1:7">
      <c r="A90" s="214" t="s">
        <v>1524</v>
      </c>
      <c r="B90" s="633" t="s">
        <v>1537</v>
      </c>
      <c r="D90" s="187">
        <v>0</v>
      </c>
      <c r="E90" s="187">
        <v>71</v>
      </c>
      <c r="F90" s="423">
        <v>903</v>
      </c>
      <c r="G90" s="214" t="str">
        <f t="shared" si="1"/>
        <v>071-903</v>
      </c>
    </row>
    <row r="91" spans="1:7">
      <c r="A91" s="214" t="s">
        <v>2388</v>
      </c>
      <c r="B91" s="633" t="s">
        <v>664</v>
      </c>
      <c r="D91" s="187">
        <v>0</v>
      </c>
      <c r="E91" s="187">
        <v>71</v>
      </c>
      <c r="F91" s="423">
        <v>904</v>
      </c>
      <c r="G91" s="214" t="str">
        <f t="shared" si="1"/>
        <v>071-904</v>
      </c>
    </row>
    <row r="92" spans="1:7">
      <c r="A92" s="214" t="s">
        <v>863</v>
      </c>
      <c r="B92" s="633" t="s">
        <v>7855</v>
      </c>
      <c r="D92" s="187">
        <v>0</v>
      </c>
      <c r="E92" s="187">
        <v>71</v>
      </c>
      <c r="F92" s="423">
        <v>905</v>
      </c>
      <c r="G92" s="214" t="str">
        <f t="shared" si="1"/>
        <v>071-905</v>
      </c>
    </row>
    <row r="93" spans="1:7">
      <c r="A93" s="214" t="s">
        <v>2828</v>
      </c>
      <c r="B93" s="633" t="s">
        <v>2829</v>
      </c>
      <c r="D93" s="187">
        <v>0</v>
      </c>
      <c r="E93" s="187">
        <v>72</v>
      </c>
      <c r="F93" s="423">
        <v>909</v>
      </c>
      <c r="G93" s="214" t="str">
        <f t="shared" si="1"/>
        <v>072-909</v>
      </c>
    </row>
    <row r="94" spans="1:7">
      <c r="A94" s="214" t="s">
        <v>2830</v>
      </c>
      <c r="B94" s="633" t="s">
        <v>2831</v>
      </c>
      <c r="D94" s="187">
        <v>0</v>
      </c>
      <c r="E94" s="187">
        <v>74</v>
      </c>
      <c r="F94" s="423">
        <v>904</v>
      </c>
      <c r="G94" s="214" t="str">
        <f t="shared" si="1"/>
        <v>074-904</v>
      </c>
    </row>
    <row r="95" spans="1:7">
      <c r="A95" s="214" t="s">
        <v>2424</v>
      </c>
      <c r="B95" s="633" t="s">
        <v>2425</v>
      </c>
      <c r="D95" s="187">
        <v>0</v>
      </c>
      <c r="E95" s="187">
        <v>74</v>
      </c>
      <c r="F95" s="423">
        <v>909</v>
      </c>
      <c r="G95" s="214" t="str">
        <f t="shared" si="1"/>
        <v>074-909</v>
      </c>
    </row>
    <row r="96" spans="1:7">
      <c r="A96" s="214" t="s">
        <v>2482</v>
      </c>
      <c r="B96" s="633" t="s">
        <v>2483</v>
      </c>
      <c r="D96" s="187">
        <v>0</v>
      </c>
      <c r="E96" s="187">
        <v>81</v>
      </c>
      <c r="F96" s="423">
        <v>902</v>
      </c>
      <c r="G96" s="214" t="str">
        <f t="shared" si="1"/>
        <v>081-902</v>
      </c>
    </row>
    <row r="97" spans="1:7">
      <c r="A97" s="214" t="s">
        <v>445</v>
      </c>
      <c r="B97" s="633" t="s">
        <v>1450</v>
      </c>
      <c r="D97" s="187">
        <v>0</v>
      </c>
      <c r="E97" s="187">
        <v>82</v>
      </c>
      <c r="F97" s="423">
        <v>903</v>
      </c>
      <c r="G97" s="214" t="str">
        <f t="shared" si="1"/>
        <v>082-903</v>
      </c>
    </row>
    <row r="98" spans="1:7">
      <c r="A98" s="214" t="s">
        <v>2494</v>
      </c>
      <c r="B98" s="633" t="s">
        <v>2495</v>
      </c>
      <c r="D98" s="187">
        <v>0</v>
      </c>
      <c r="E98" s="187">
        <v>83</v>
      </c>
      <c r="F98" s="423">
        <v>903</v>
      </c>
      <c r="G98" s="214" t="str">
        <f t="shared" si="1"/>
        <v>083-903</v>
      </c>
    </row>
    <row r="99" spans="1:7">
      <c r="A99" s="214" t="s">
        <v>3303</v>
      </c>
      <c r="B99" s="633" t="s">
        <v>7856</v>
      </c>
      <c r="D99" s="187">
        <v>0</v>
      </c>
      <c r="E99" s="187">
        <v>84</v>
      </c>
      <c r="F99" s="423">
        <v>801</v>
      </c>
      <c r="G99" s="214" t="str">
        <f t="shared" si="1"/>
        <v>084-801</v>
      </c>
    </row>
    <row r="100" spans="1:7">
      <c r="A100" s="214" t="s">
        <v>2496</v>
      </c>
      <c r="B100" s="960" t="s">
        <v>7857</v>
      </c>
      <c r="D100" s="187">
        <v>0</v>
      </c>
      <c r="E100" s="187">
        <v>84</v>
      </c>
      <c r="F100" s="423">
        <v>802</v>
      </c>
      <c r="G100" s="214" t="str">
        <f t="shared" si="1"/>
        <v>084-802</v>
      </c>
    </row>
    <row r="101" spans="1:7">
      <c r="A101" s="214" t="s">
        <v>5048</v>
      </c>
      <c r="B101" s="633" t="s">
        <v>5049</v>
      </c>
      <c r="D101" s="187">
        <v>0</v>
      </c>
      <c r="E101" s="187">
        <v>84</v>
      </c>
      <c r="F101" s="423">
        <v>908</v>
      </c>
      <c r="G101" s="214" t="str">
        <f t="shared" si="1"/>
        <v>084-908</v>
      </c>
    </row>
    <row r="102" spans="1:7">
      <c r="A102" s="214" t="s">
        <v>2392</v>
      </c>
      <c r="B102" s="633" t="s">
        <v>4599</v>
      </c>
      <c r="D102" s="187">
        <v>0</v>
      </c>
      <c r="E102" s="187">
        <v>84</v>
      </c>
      <c r="F102" s="423">
        <v>909</v>
      </c>
      <c r="G102" s="214" t="str">
        <f t="shared" si="1"/>
        <v>084-909</v>
      </c>
    </row>
    <row r="103" spans="1:7">
      <c r="A103" s="214" t="s">
        <v>1899</v>
      </c>
      <c r="B103" s="633" t="s">
        <v>1900</v>
      </c>
      <c r="D103" s="187">
        <v>0</v>
      </c>
      <c r="E103" s="187">
        <v>88</v>
      </c>
      <c r="F103" s="423">
        <v>902</v>
      </c>
      <c r="G103" s="214" t="str">
        <f t="shared" si="1"/>
        <v>088-902</v>
      </c>
    </row>
    <row r="104" spans="1:7">
      <c r="A104" s="214" t="s">
        <v>1853</v>
      </c>
      <c r="B104" s="633" t="s">
        <v>6124</v>
      </c>
      <c r="D104" s="187">
        <v>0</v>
      </c>
      <c r="E104" s="187">
        <v>89</v>
      </c>
      <c r="F104" s="423">
        <v>901</v>
      </c>
      <c r="G104" s="214" t="str">
        <f t="shared" si="1"/>
        <v>089-901</v>
      </c>
    </row>
    <row r="105" spans="1:7">
      <c r="A105" s="214" t="s">
        <v>5230</v>
      </c>
      <c r="B105" s="633" t="s">
        <v>7722</v>
      </c>
      <c r="D105" s="187">
        <v>0</v>
      </c>
      <c r="E105" s="187">
        <v>92</v>
      </c>
      <c r="F105" s="423">
        <v>902</v>
      </c>
      <c r="G105" s="214" t="str">
        <f t="shared" si="1"/>
        <v>092-902</v>
      </c>
    </row>
    <row r="106" spans="1:7">
      <c r="A106" s="214" t="s">
        <v>2396</v>
      </c>
      <c r="B106" s="633" t="s">
        <v>1818</v>
      </c>
      <c r="D106" s="187">
        <v>0</v>
      </c>
      <c r="E106" s="187">
        <v>94</v>
      </c>
      <c r="F106" s="423">
        <v>901</v>
      </c>
      <c r="G106" s="214" t="str">
        <f t="shared" si="1"/>
        <v>094-901</v>
      </c>
    </row>
    <row r="107" spans="1:7">
      <c r="A107" s="214" t="s">
        <v>5404</v>
      </c>
      <c r="B107" s="633" t="s">
        <v>422</v>
      </c>
      <c r="D107" s="187">
        <v>0</v>
      </c>
      <c r="E107" s="187">
        <v>95</v>
      </c>
      <c r="F107" s="423">
        <v>904</v>
      </c>
      <c r="G107" s="214" t="str">
        <f t="shared" si="1"/>
        <v>095-904</v>
      </c>
    </row>
    <row r="108" spans="1:7">
      <c r="A108" s="214" t="s">
        <v>1021</v>
      </c>
      <c r="B108" s="633" t="s">
        <v>7858</v>
      </c>
      <c r="E108" s="187">
        <v>101</v>
      </c>
      <c r="F108" s="423">
        <v>801</v>
      </c>
      <c r="G108" s="214" t="str">
        <f t="shared" si="1"/>
        <v>101-801</v>
      </c>
    </row>
    <row r="109" spans="1:7">
      <c r="A109" s="214" t="s">
        <v>1023</v>
      </c>
      <c r="B109" s="633" t="s">
        <v>7859</v>
      </c>
      <c r="E109" s="187">
        <v>101</v>
      </c>
      <c r="F109" s="423">
        <v>802</v>
      </c>
      <c r="G109" s="214" t="str">
        <f t="shared" si="1"/>
        <v>101-802</v>
      </c>
    </row>
    <row r="110" spans="1:7">
      <c r="A110" s="214" t="s">
        <v>1027</v>
      </c>
      <c r="B110" s="633" t="s">
        <v>7860</v>
      </c>
      <c r="E110" s="187">
        <v>101</v>
      </c>
      <c r="F110" s="423">
        <v>804</v>
      </c>
      <c r="G110" s="214" t="str">
        <f t="shared" si="1"/>
        <v>101-804</v>
      </c>
    </row>
    <row r="111" spans="1:7">
      <c r="A111" s="214" t="s">
        <v>1030</v>
      </c>
      <c r="B111" s="633" t="s">
        <v>7861</v>
      </c>
      <c r="E111" s="187">
        <v>101</v>
      </c>
      <c r="F111" s="423">
        <v>806</v>
      </c>
      <c r="G111" s="214" t="str">
        <f t="shared" si="1"/>
        <v>101-806</v>
      </c>
    </row>
    <row r="112" spans="1:7">
      <c r="A112" s="214" t="s">
        <v>1034</v>
      </c>
      <c r="B112" s="633" t="s">
        <v>7862</v>
      </c>
      <c r="E112" s="187">
        <v>101</v>
      </c>
      <c r="F112" s="423">
        <v>810</v>
      </c>
      <c r="G112" s="214" t="str">
        <f t="shared" si="1"/>
        <v>101-810</v>
      </c>
    </row>
    <row r="113" spans="1:7">
      <c r="A113" s="214" t="s">
        <v>1040</v>
      </c>
      <c r="B113" s="633" t="s">
        <v>7863</v>
      </c>
      <c r="E113" s="187">
        <v>101</v>
      </c>
      <c r="F113" s="423">
        <v>813</v>
      </c>
      <c r="G113" s="214" t="str">
        <f t="shared" si="1"/>
        <v>101-813</v>
      </c>
    </row>
    <row r="114" spans="1:7">
      <c r="A114" s="214" t="s">
        <v>1568</v>
      </c>
      <c r="B114" s="633" t="s">
        <v>7864</v>
      </c>
      <c r="E114" s="187">
        <v>101</v>
      </c>
      <c r="F114" s="423">
        <v>814</v>
      </c>
      <c r="G114" s="214" t="str">
        <f t="shared" si="1"/>
        <v>101-814</v>
      </c>
    </row>
    <row r="115" spans="1:7">
      <c r="A115" s="214" t="s">
        <v>1570</v>
      </c>
      <c r="B115" s="633" t="s">
        <v>7865</v>
      </c>
      <c r="E115" s="187">
        <v>101</v>
      </c>
      <c r="F115" s="423">
        <v>815</v>
      </c>
      <c r="G115" s="214" t="str">
        <f t="shared" si="1"/>
        <v>101-815</v>
      </c>
    </row>
    <row r="116" spans="1:7">
      <c r="A116" s="214" t="s">
        <v>1046</v>
      </c>
      <c r="B116" s="633" t="s">
        <v>7866</v>
      </c>
      <c r="E116" s="187">
        <v>101</v>
      </c>
      <c r="F116" s="423">
        <v>819</v>
      </c>
      <c r="G116" s="214" t="str">
        <f t="shared" si="1"/>
        <v>101-819</v>
      </c>
    </row>
    <row r="117" spans="1:7">
      <c r="A117" s="214" t="s">
        <v>5109</v>
      </c>
      <c r="B117" s="633" t="s">
        <v>7867</v>
      </c>
      <c r="E117" s="187">
        <v>101</v>
      </c>
      <c r="F117" s="423">
        <v>823</v>
      </c>
      <c r="G117" s="214" t="str">
        <f t="shared" si="1"/>
        <v>101-823</v>
      </c>
    </row>
    <row r="118" spans="1:7">
      <c r="A118" s="214" t="s">
        <v>1059</v>
      </c>
      <c r="B118" s="633" t="s">
        <v>7868</v>
      </c>
      <c r="E118" s="187">
        <v>101</v>
      </c>
      <c r="F118" s="423">
        <v>829</v>
      </c>
      <c r="G118" s="214" t="str">
        <f t="shared" si="1"/>
        <v>101-829</v>
      </c>
    </row>
    <row r="119" spans="1:7">
      <c r="A119" s="214" t="s">
        <v>1061</v>
      </c>
      <c r="B119" s="633" t="s">
        <v>7869</v>
      </c>
      <c r="E119" s="187">
        <v>101</v>
      </c>
      <c r="F119" s="423">
        <v>830</v>
      </c>
      <c r="G119" s="214" t="str">
        <f t="shared" si="1"/>
        <v>101-830</v>
      </c>
    </row>
    <row r="120" spans="1:7">
      <c r="A120" s="214" t="s">
        <v>1063</v>
      </c>
      <c r="B120" s="633" t="s">
        <v>7870</v>
      </c>
      <c r="E120" s="187">
        <v>101</v>
      </c>
      <c r="F120" s="423">
        <v>833</v>
      </c>
      <c r="G120" s="214" t="str">
        <f t="shared" si="1"/>
        <v>101-833</v>
      </c>
    </row>
    <row r="121" spans="1:7">
      <c r="A121" s="214" t="s">
        <v>1067</v>
      </c>
      <c r="B121" s="633" t="s">
        <v>7871</v>
      </c>
      <c r="E121" s="187">
        <v>101</v>
      </c>
      <c r="F121" s="423">
        <v>835</v>
      </c>
      <c r="G121" s="214" t="str">
        <f t="shared" si="1"/>
        <v>101-835</v>
      </c>
    </row>
    <row r="122" spans="1:7">
      <c r="A122" s="214" t="s">
        <v>1982</v>
      </c>
      <c r="B122" s="633" t="s">
        <v>7872</v>
      </c>
      <c r="E122" s="187">
        <v>101</v>
      </c>
      <c r="F122" s="423">
        <v>840</v>
      </c>
      <c r="G122" s="214" t="str">
        <f t="shared" si="1"/>
        <v>101-840</v>
      </c>
    </row>
    <row r="123" spans="1:7">
      <c r="A123" s="214" t="s">
        <v>1080</v>
      </c>
      <c r="B123" s="633" t="s">
        <v>7873</v>
      </c>
      <c r="E123" s="187">
        <v>101</v>
      </c>
      <c r="F123" s="423">
        <v>848</v>
      </c>
      <c r="G123" s="214" t="str">
        <f t="shared" si="1"/>
        <v>101-848</v>
      </c>
    </row>
    <row r="124" spans="1:7">
      <c r="A124" s="214" t="s">
        <v>1082</v>
      </c>
      <c r="B124" s="633" t="s">
        <v>7874</v>
      </c>
      <c r="E124" s="187">
        <v>101</v>
      </c>
      <c r="F124" s="423">
        <v>849</v>
      </c>
      <c r="G124" s="214" t="str">
        <f t="shared" si="1"/>
        <v>101-849</v>
      </c>
    </row>
    <row r="125" spans="1:7">
      <c r="A125" s="214" t="s">
        <v>1988</v>
      </c>
      <c r="B125" s="633" t="s">
        <v>1989</v>
      </c>
      <c r="E125" s="187">
        <v>101</v>
      </c>
      <c r="F125" s="423">
        <v>905</v>
      </c>
      <c r="G125" s="214" t="str">
        <f t="shared" si="1"/>
        <v>101-905</v>
      </c>
    </row>
    <row r="126" spans="1:7">
      <c r="A126" s="214" t="s">
        <v>5624</v>
      </c>
      <c r="B126" s="633" t="s">
        <v>5625</v>
      </c>
      <c r="E126" s="187">
        <v>101</v>
      </c>
      <c r="F126" s="423">
        <v>912</v>
      </c>
      <c r="G126" s="214" t="str">
        <f t="shared" si="1"/>
        <v>101-912</v>
      </c>
    </row>
    <row r="127" spans="1:7">
      <c r="A127" s="214" t="s">
        <v>5626</v>
      </c>
      <c r="B127" s="633" t="s">
        <v>5627</v>
      </c>
      <c r="E127" s="187">
        <v>101</v>
      </c>
      <c r="F127" s="423">
        <v>916</v>
      </c>
      <c r="G127" s="214" t="str">
        <f t="shared" si="1"/>
        <v>101-916</v>
      </c>
    </row>
    <row r="128" spans="1:7">
      <c r="A128" s="214" t="s">
        <v>911</v>
      </c>
      <c r="B128" s="633" t="s">
        <v>1427</v>
      </c>
      <c r="E128" s="187">
        <v>101</v>
      </c>
      <c r="F128" s="423">
        <v>920</v>
      </c>
      <c r="G128" s="214" t="str">
        <f t="shared" si="1"/>
        <v>101-920</v>
      </c>
    </row>
    <row r="129" spans="1:7">
      <c r="A129" s="214" t="s">
        <v>1436</v>
      </c>
      <c r="B129" s="633" t="s">
        <v>1437</v>
      </c>
      <c r="E129" s="187">
        <v>102</v>
      </c>
      <c r="F129" s="423">
        <v>903</v>
      </c>
      <c r="G129" s="214" t="str">
        <f t="shared" si="1"/>
        <v>102-903</v>
      </c>
    </row>
    <row r="130" spans="1:7">
      <c r="A130" s="214" t="s">
        <v>2582</v>
      </c>
      <c r="B130" s="633" t="s">
        <v>7875</v>
      </c>
      <c r="E130" s="187">
        <v>102</v>
      </c>
      <c r="F130" s="423">
        <v>906</v>
      </c>
      <c r="G130" s="214" t="str">
        <f t="shared" si="1"/>
        <v>102-906</v>
      </c>
    </row>
    <row r="131" spans="1:7">
      <c r="A131" s="214" t="s">
        <v>1588</v>
      </c>
      <c r="B131" s="633" t="s">
        <v>3480</v>
      </c>
      <c r="E131" s="187">
        <v>105</v>
      </c>
      <c r="F131" s="423">
        <v>902</v>
      </c>
      <c r="G131" s="214" t="str">
        <f t="shared" si="1"/>
        <v>105-902</v>
      </c>
    </row>
    <row r="132" spans="1:7">
      <c r="A132" s="214" t="s">
        <v>1864</v>
      </c>
      <c r="B132" s="633" t="s">
        <v>3481</v>
      </c>
      <c r="E132" s="187">
        <v>105</v>
      </c>
      <c r="F132" s="423">
        <v>906</v>
      </c>
      <c r="G132" s="214" t="str">
        <f t="shared" ref="G132:G195" si="2">D132&amp;E132&amp;"-"&amp;F132</f>
        <v>105-906</v>
      </c>
    </row>
    <row r="133" spans="1:7">
      <c r="A133" s="214" t="s">
        <v>1594</v>
      </c>
      <c r="B133" s="633" t="s">
        <v>1595</v>
      </c>
      <c r="E133" s="187">
        <v>107</v>
      </c>
      <c r="F133" s="423">
        <v>901</v>
      </c>
      <c r="G133" s="214" t="str">
        <f t="shared" si="2"/>
        <v>107-901</v>
      </c>
    </row>
    <row r="134" spans="1:7">
      <c r="A134" s="214" t="s">
        <v>1600</v>
      </c>
      <c r="B134" s="633" t="s">
        <v>5259</v>
      </c>
      <c r="E134" s="187">
        <v>107</v>
      </c>
      <c r="F134" s="423">
        <v>905</v>
      </c>
      <c r="G134" s="214" t="str">
        <f t="shared" si="2"/>
        <v>107-905</v>
      </c>
    </row>
    <row r="135" spans="1:7">
      <c r="A135" s="214" t="s">
        <v>5260</v>
      </c>
      <c r="B135" s="633" t="s">
        <v>5261</v>
      </c>
      <c r="E135" s="187">
        <v>107</v>
      </c>
      <c r="F135" s="423">
        <v>906</v>
      </c>
      <c r="G135" s="214" t="str">
        <f t="shared" si="2"/>
        <v>107-906</v>
      </c>
    </row>
    <row r="136" spans="1:7">
      <c r="A136" s="214" t="s">
        <v>1104</v>
      </c>
      <c r="B136" s="633" t="s">
        <v>7876</v>
      </c>
      <c r="E136" s="187">
        <v>108</v>
      </c>
      <c r="F136" s="423">
        <v>801</v>
      </c>
      <c r="G136" s="214" t="str">
        <f t="shared" si="2"/>
        <v>108-801</v>
      </c>
    </row>
    <row r="137" spans="1:7">
      <c r="A137" s="214" t="s">
        <v>1113</v>
      </c>
      <c r="B137" s="633" t="s">
        <v>7877</v>
      </c>
      <c r="E137" s="187">
        <v>108</v>
      </c>
      <c r="F137" s="423">
        <v>808</v>
      </c>
      <c r="G137" s="214" t="str">
        <f t="shared" si="2"/>
        <v>108-808</v>
      </c>
    </row>
    <row r="138" spans="1:7">
      <c r="A138" s="214" t="s">
        <v>2054</v>
      </c>
      <c r="B138" s="633" t="s">
        <v>6142</v>
      </c>
      <c r="E138" s="187">
        <v>108</v>
      </c>
      <c r="F138" s="423">
        <v>902</v>
      </c>
      <c r="G138" s="214" t="str">
        <f t="shared" si="2"/>
        <v>108-902</v>
      </c>
    </row>
    <row r="139" spans="1:7">
      <c r="A139" s="214" t="s">
        <v>1521</v>
      </c>
      <c r="B139" s="633" t="s">
        <v>7878</v>
      </c>
      <c r="E139" s="187">
        <v>108</v>
      </c>
      <c r="F139" s="423">
        <v>904</v>
      </c>
      <c r="G139" s="214" t="str">
        <f t="shared" si="2"/>
        <v>108-904</v>
      </c>
    </row>
    <row r="140" spans="1:7">
      <c r="A140" s="214" t="s">
        <v>1866</v>
      </c>
      <c r="B140" s="633" t="s">
        <v>7879</v>
      </c>
      <c r="E140" s="187">
        <v>108</v>
      </c>
      <c r="F140" s="423">
        <v>905</v>
      </c>
      <c r="G140" s="214" t="str">
        <f t="shared" si="2"/>
        <v>108-905</v>
      </c>
    </row>
    <row r="141" spans="1:7">
      <c r="A141" s="214" t="s">
        <v>6167</v>
      </c>
      <c r="B141" s="633" t="s">
        <v>2369</v>
      </c>
      <c r="E141" s="187">
        <v>108</v>
      </c>
      <c r="F141" s="423">
        <v>906</v>
      </c>
      <c r="G141" s="214" t="str">
        <f t="shared" si="2"/>
        <v>108-906</v>
      </c>
    </row>
    <row r="142" spans="1:7">
      <c r="A142" s="214" t="s">
        <v>5125</v>
      </c>
      <c r="B142" s="633" t="s">
        <v>1301</v>
      </c>
      <c r="E142" s="187">
        <v>108</v>
      </c>
      <c r="F142" s="423">
        <v>909</v>
      </c>
      <c r="G142" s="214" t="str">
        <f t="shared" si="2"/>
        <v>108-909</v>
      </c>
    </row>
    <row r="143" spans="1:7">
      <c r="A143" s="214" t="s">
        <v>648</v>
      </c>
      <c r="B143" s="633" t="s">
        <v>2586</v>
      </c>
      <c r="E143" s="187">
        <v>108</v>
      </c>
      <c r="F143" s="423">
        <v>910</v>
      </c>
      <c r="G143" s="214" t="str">
        <f t="shared" si="2"/>
        <v>108-910</v>
      </c>
    </row>
    <row r="144" spans="1:7">
      <c r="A144" s="214" t="s">
        <v>6038</v>
      </c>
      <c r="B144" s="633" t="s">
        <v>1686</v>
      </c>
      <c r="E144" s="187">
        <v>108</v>
      </c>
      <c r="F144" s="423">
        <v>912</v>
      </c>
      <c r="G144" s="214" t="str">
        <f t="shared" si="2"/>
        <v>108-912</v>
      </c>
    </row>
    <row r="145" spans="1:7">
      <c r="A145" s="214" t="s">
        <v>6040</v>
      </c>
      <c r="B145" s="633" t="s">
        <v>1688</v>
      </c>
      <c r="E145" s="187">
        <v>108</v>
      </c>
      <c r="F145" s="423">
        <v>914</v>
      </c>
      <c r="G145" s="214" t="str">
        <f t="shared" si="2"/>
        <v>108-914</v>
      </c>
    </row>
    <row r="146" spans="1:7">
      <c r="A146" s="214" t="s">
        <v>3097</v>
      </c>
      <c r="B146" s="633" t="s">
        <v>3616</v>
      </c>
      <c r="E146" s="187">
        <v>108</v>
      </c>
      <c r="F146" s="423">
        <v>915</v>
      </c>
      <c r="G146" s="214" t="str">
        <f t="shared" si="2"/>
        <v>108-915</v>
      </c>
    </row>
    <row r="147" spans="1:7">
      <c r="A147" s="214" t="s">
        <v>2419</v>
      </c>
      <c r="B147" s="633" t="s">
        <v>3141</v>
      </c>
      <c r="E147" s="187">
        <v>108</v>
      </c>
      <c r="F147" s="423">
        <v>916</v>
      </c>
      <c r="G147" s="214" t="str">
        <f t="shared" si="2"/>
        <v>108-916</v>
      </c>
    </row>
    <row r="148" spans="1:7">
      <c r="A148" s="214" t="s">
        <v>448</v>
      </c>
      <c r="B148" s="633" t="s">
        <v>1453</v>
      </c>
      <c r="E148" s="187">
        <v>109</v>
      </c>
      <c r="F148" s="423">
        <v>902</v>
      </c>
      <c r="G148" s="214" t="str">
        <f t="shared" si="2"/>
        <v>109-902</v>
      </c>
    </row>
    <row r="149" spans="1:7">
      <c r="A149" s="214" t="s">
        <v>3098</v>
      </c>
      <c r="B149" s="633" t="s">
        <v>3617</v>
      </c>
      <c r="E149" s="187">
        <v>109</v>
      </c>
      <c r="F149" s="423">
        <v>905</v>
      </c>
      <c r="G149" s="214" t="str">
        <f t="shared" si="2"/>
        <v>109-905</v>
      </c>
    </row>
    <row r="150" spans="1:7">
      <c r="A150" s="214" t="s">
        <v>6022</v>
      </c>
      <c r="B150" s="633" t="s">
        <v>4563</v>
      </c>
      <c r="E150" s="187">
        <v>109</v>
      </c>
      <c r="F150" s="423">
        <v>907</v>
      </c>
      <c r="G150" s="214" t="str">
        <f t="shared" si="2"/>
        <v>109-907</v>
      </c>
    </row>
    <row r="151" spans="1:7">
      <c r="A151" s="214" t="s">
        <v>2610</v>
      </c>
      <c r="B151" s="633" t="s">
        <v>2611</v>
      </c>
      <c r="E151" s="187">
        <v>109</v>
      </c>
      <c r="F151" s="423">
        <v>908</v>
      </c>
      <c r="G151" s="214" t="str">
        <f t="shared" si="2"/>
        <v>109-908</v>
      </c>
    </row>
    <row r="152" spans="1:7">
      <c r="A152" s="214" t="s">
        <v>2612</v>
      </c>
      <c r="B152" s="633" t="s">
        <v>2613</v>
      </c>
      <c r="E152" s="187">
        <v>109</v>
      </c>
      <c r="F152" s="423">
        <v>910</v>
      </c>
      <c r="G152" s="214" t="str">
        <f t="shared" si="2"/>
        <v>109-910</v>
      </c>
    </row>
    <row r="153" spans="1:7">
      <c r="A153" s="214" t="s">
        <v>2468</v>
      </c>
      <c r="B153" s="633" t="s">
        <v>4147</v>
      </c>
      <c r="E153" s="187">
        <v>109</v>
      </c>
      <c r="F153" s="423">
        <v>913</v>
      </c>
      <c r="G153" s="214" t="str">
        <f t="shared" si="2"/>
        <v>109-913</v>
      </c>
    </row>
    <row r="154" spans="1:7">
      <c r="A154" s="214" t="s">
        <v>2616</v>
      </c>
      <c r="B154" s="633" t="s">
        <v>2617</v>
      </c>
      <c r="E154" s="187">
        <v>109</v>
      </c>
      <c r="F154" s="423">
        <v>914</v>
      </c>
      <c r="G154" s="214" t="str">
        <f t="shared" si="2"/>
        <v>109-914</v>
      </c>
    </row>
    <row r="155" spans="1:7">
      <c r="A155" s="214" t="s">
        <v>786</v>
      </c>
      <c r="B155" s="633" t="s">
        <v>787</v>
      </c>
      <c r="E155" s="187">
        <v>110</v>
      </c>
      <c r="F155" s="423">
        <v>902</v>
      </c>
      <c r="G155" s="214" t="str">
        <f t="shared" si="2"/>
        <v>110-902</v>
      </c>
    </row>
    <row r="156" spans="1:7">
      <c r="A156" s="214" t="s">
        <v>969</v>
      </c>
      <c r="B156" s="960" t="s">
        <v>970</v>
      </c>
      <c r="E156" s="187">
        <v>110</v>
      </c>
      <c r="F156" s="423">
        <v>906</v>
      </c>
      <c r="G156" s="214" t="str">
        <f t="shared" si="2"/>
        <v>110-906</v>
      </c>
    </row>
    <row r="157" spans="1:7">
      <c r="A157" s="214" t="s">
        <v>796</v>
      </c>
      <c r="B157" s="633" t="s">
        <v>797</v>
      </c>
      <c r="E157" s="187">
        <v>112</v>
      </c>
      <c r="F157" s="423">
        <v>901</v>
      </c>
      <c r="G157" s="214" t="str">
        <f t="shared" si="2"/>
        <v>112-901</v>
      </c>
    </row>
    <row r="158" spans="1:7">
      <c r="A158" s="214" t="s">
        <v>2044</v>
      </c>
      <c r="B158" s="633" t="s">
        <v>2045</v>
      </c>
      <c r="E158" s="187">
        <v>112</v>
      </c>
      <c r="F158" s="423">
        <v>905</v>
      </c>
      <c r="G158" s="214" t="str">
        <f t="shared" si="2"/>
        <v>112-905</v>
      </c>
    </row>
    <row r="159" spans="1:7">
      <c r="A159" s="214" t="s">
        <v>802</v>
      </c>
      <c r="B159" s="633" t="s">
        <v>803</v>
      </c>
      <c r="E159" s="187">
        <v>112</v>
      </c>
      <c r="F159" s="423">
        <v>909</v>
      </c>
      <c r="G159" s="214" t="str">
        <f t="shared" si="2"/>
        <v>112-909</v>
      </c>
    </row>
    <row r="160" spans="1:7">
      <c r="A160" s="214" t="s">
        <v>2046</v>
      </c>
      <c r="B160" s="633" t="s">
        <v>2047</v>
      </c>
      <c r="E160" s="187">
        <v>112</v>
      </c>
      <c r="F160" s="423">
        <v>910</v>
      </c>
      <c r="G160" s="214" t="str">
        <f t="shared" si="2"/>
        <v>112-910</v>
      </c>
    </row>
    <row r="161" spans="1:7">
      <c r="A161" s="214" t="s">
        <v>804</v>
      </c>
      <c r="B161" s="633" t="s">
        <v>805</v>
      </c>
      <c r="E161" s="187">
        <v>113</v>
      </c>
      <c r="F161" s="423">
        <v>901</v>
      </c>
      <c r="G161" s="214" t="str">
        <f t="shared" si="2"/>
        <v>113-901</v>
      </c>
    </row>
    <row r="162" spans="1:7">
      <c r="A162" s="214" t="s">
        <v>1121</v>
      </c>
      <c r="B162" s="633" t="s">
        <v>7880</v>
      </c>
      <c r="E162" s="187">
        <v>116</v>
      </c>
      <c r="F162" s="423">
        <v>801</v>
      </c>
      <c r="G162" s="214" t="str">
        <f t="shared" si="2"/>
        <v>116-801</v>
      </c>
    </row>
    <row r="163" spans="1:7">
      <c r="A163" s="214" t="s">
        <v>979</v>
      </c>
      <c r="B163" s="633" t="s">
        <v>1211</v>
      </c>
      <c r="E163" s="187">
        <v>116</v>
      </c>
      <c r="F163" s="423">
        <v>901</v>
      </c>
      <c r="G163" s="214" t="str">
        <f t="shared" si="2"/>
        <v>116-901</v>
      </c>
    </row>
    <row r="164" spans="1:7">
      <c r="A164" s="214" t="s">
        <v>1334</v>
      </c>
      <c r="B164" s="633" t="s">
        <v>1335</v>
      </c>
      <c r="E164" s="187">
        <v>116</v>
      </c>
      <c r="F164" s="423">
        <v>902</v>
      </c>
      <c r="G164" s="214" t="str">
        <f t="shared" si="2"/>
        <v>116-902</v>
      </c>
    </row>
    <row r="165" spans="1:7">
      <c r="A165" s="214" t="s">
        <v>235</v>
      </c>
      <c r="B165" s="633" t="s">
        <v>3908</v>
      </c>
      <c r="E165" s="187">
        <v>116</v>
      </c>
      <c r="F165" s="423">
        <v>903</v>
      </c>
      <c r="G165" s="214" t="str">
        <f t="shared" si="2"/>
        <v>116-903</v>
      </c>
    </row>
    <row r="166" spans="1:7">
      <c r="A166" s="214" t="s">
        <v>3961</v>
      </c>
      <c r="B166" s="633" t="s">
        <v>3962</v>
      </c>
      <c r="E166" s="187">
        <v>116</v>
      </c>
      <c r="F166" s="423">
        <v>905</v>
      </c>
      <c r="G166" s="214" t="str">
        <f t="shared" si="2"/>
        <v>116-905</v>
      </c>
    </row>
    <row r="167" spans="1:7">
      <c r="A167" s="214" t="s">
        <v>2359</v>
      </c>
      <c r="B167" s="633" t="s">
        <v>3619</v>
      </c>
      <c r="E167" s="187">
        <v>116</v>
      </c>
      <c r="F167" s="423">
        <v>906</v>
      </c>
      <c r="G167" s="214" t="str">
        <f t="shared" si="2"/>
        <v>116-906</v>
      </c>
    </row>
    <row r="168" spans="1:7">
      <c r="A168" s="214" t="s">
        <v>650</v>
      </c>
      <c r="B168" s="633" t="s">
        <v>64</v>
      </c>
      <c r="E168" s="187">
        <v>116</v>
      </c>
      <c r="F168" s="423">
        <v>908</v>
      </c>
      <c r="G168" s="214" t="str">
        <f t="shared" si="2"/>
        <v>116-908</v>
      </c>
    </row>
    <row r="169" spans="1:7">
      <c r="A169" s="214" t="s">
        <v>2127</v>
      </c>
      <c r="B169" s="633" t="s">
        <v>2128</v>
      </c>
      <c r="E169" s="187">
        <v>116</v>
      </c>
      <c r="F169" s="423">
        <v>909</v>
      </c>
      <c r="G169" s="214" t="str">
        <f t="shared" si="2"/>
        <v>116-909</v>
      </c>
    </row>
    <row r="170" spans="1:7">
      <c r="A170" s="214" t="s">
        <v>3963</v>
      </c>
      <c r="B170" s="633" t="s">
        <v>3964</v>
      </c>
      <c r="E170" s="187">
        <v>116</v>
      </c>
      <c r="F170" s="423">
        <v>910</v>
      </c>
      <c r="G170" s="214" t="str">
        <f t="shared" si="2"/>
        <v>116-910</v>
      </c>
    </row>
    <row r="171" spans="1:7">
      <c r="A171" s="214" t="s">
        <v>953</v>
      </c>
      <c r="B171" s="633" t="s">
        <v>1199</v>
      </c>
      <c r="E171" s="187">
        <v>116</v>
      </c>
      <c r="F171" s="423">
        <v>915</v>
      </c>
      <c r="G171" s="214" t="str">
        <f t="shared" si="2"/>
        <v>116-915</v>
      </c>
    </row>
    <row r="172" spans="1:7">
      <c r="A172" s="214" t="s">
        <v>971</v>
      </c>
      <c r="B172" s="633" t="s">
        <v>972</v>
      </c>
      <c r="E172" s="187">
        <v>116</v>
      </c>
      <c r="F172" s="423">
        <v>916</v>
      </c>
      <c r="G172" s="214" t="str">
        <f t="shared" si="2"/>
        <v>116-916</v>
      </c>
    </row>
    <row r="173" spans="1:7">
      <c r="A173" s="214" t="s">
        <v>75</v>
      </c>
      <c r="B173" s="633" t="s">
        <v>2599</v>
      </c>
      <c r="E173" s="187">
        <v>120</v>
      </c>
      <c r="F173" s="423">
        <v>901</v>
      </c>
      <c r="G173" s="214" t="str">
        <f t="shared" si="2"/>
        <v>120-901</v>
      </c>
    </row>
    <row r="174" spans="1:7">
      <c r="A174" s="214" t="s">
        <v>1125</v>
      </c>
      <c r="B174" s="633" t="s">
        <v>7881</v>
      </c>
      <c r="E174" s="187">
        <v>123</v>
      </c>
      <c r="F174" s="423">
        <v>801</v>
      </c>
      <c r="G174" s="214" t="str">
        <f t="shared" si="2"/>
        <v>123-801</v>
      </c>
    </row>
    <row r="175" spans="1:7">
      <c r="A175" s="214" t="s">
        <v>7143</v>
      </c>
      <c r="B175" s="633" t="s">
        <v>7882</v>
      </c>
      <c r="E175" s="187">
        <v>123</v>
      </c>
      <c r="F175" s="423">
        <v>803</v>
      </c>
      <c r="G175" s="214" t="str">
        <f t="shared" si="2"/>
        <v>123-803</v>
      </c>
    </row>
    <row r="176" spans="1:7">
      <c r="A176" s="214" t="s">
        <v>1131</v>
      </c>
      <c r="B176" s="633" t="s">
        <v>7883</v>
      </c>
      <c r="E176" s="187">
        <v>123</v>
      </c>
      <c r="F176" s="423">
        <v>805</v>
      </c>
      <c r="G176" s="214" t="str">
        <f t="shared" si="2"/>
        <v>123-805</v>
      </c>
    </row>
    <row r="177" spans="1:7">
      <c r="A177" s="214" t="s">
        <v>7145</v>
      </c>
      <c r="B177" s="633" t="s">
        <v>7146</v>
      </c>
      <c r="E177" s="187">
        <v>123</v>
      </c>
      <c r="F177" s="423">
        <v>907</v>
      </c>
      <c r="G177" s="214" t="str">
        <f t="shared" si="2"/>
        <v>123-907</v>
      </c>
    </row>
    <row r="178" spans="1:7">
      <c r="A178" s="214" t="s">
        <v>2812</v>
      </c>
      <c r="B178" s="633" t="s">
        <v>2813</v>
      </c>
      <c r="E178" s="187">
        <v>124</v>
      </c>
      <c r="F178" s="423">
        <v>901</v>
      </c>
      <c r="G178" s="214" t="str">
        <f t="shared" si="2"/>
        <v>124-901</v>
      </c>
    </row>
    <row r="179" spans="1:7">
      <c r="A179" s="214" t="s">
        <v>820</v>
      </c>
      <c r="B179" s="633" t="s">
        <v>1981</v>
      </c>
      <c r="E179" s="187">
        <v>125</v>
      </c>
      <c r="F179" s="423">
        <v>901</v>
      </c>
      <c r="G179" s="214" t="str">
        <f t="shared" si="2"/>
        <v>125-901</v>
      </c>
    </row>
    <row r="180" spans="1:7">
      <c r="A180" s="214" t="s">
        <v>127</v>
      </c>
      <c r="B180" s="633" t="s">
        <v>7884</v>
      </c>
      <c r="E180" s="187">
        <v>125</v>
      </c>
      <c r="F180" s="423">
        <v>902</v>
      </c>
      <c r="G180" s="214" t="str">
        <f t="shared" si="2"/>
        <v>125-902</v>
      </c>
    </row>
    <row r="181" spans="1:7">
      <c r="A181" s="214" t="s">
        <v>6027</v>
      </c>
      <c r="B181" s="633" t="s">
        <v>456</v>
      </c>
      <c r="E181" s="187">
        <v>128</v>
      </c>
      <c r="F181" s="423">
        <v>901</v>
      </c>
      <c r="G181" s="214" t="str">
        <f t="shared" si="2"/>
        <v>128-901</v>
      </c>
    </row>
    <row r="182" spans="1:7">
      <c r="A182" s="214" t="s">
        <v>450</v>
      </c>
      <c r="B182" s="633" t="s">
        <v>2593</v>
      </c>
      <c r="E182" s="187">
        <v>128</v>
      </c>
      <c r="F182" s="423">
        <v>902</v>
      </c>
      <c r="G182" s="214" t="str">
        <f t="shared" si="2"/>
        <v>128-902</v>
      </c>
    </row>
    <row r="183" spans="1:7">
      <c r="A183" s="214" t="s">
        <v>1308</v>
      </c>
      <c r="B183" s="633" t="s">
        <v>253</v>
      </c>
      <c r="E183" s="187">
        <v>129</v>
      </c>
      <c r="F183" s="423">
        <v>902</v>
      </c>
      <c r="G183" s="214" t="str">
        <f t="shared" si="2"/>
        <v>129-902</v>
      </c>
    </row>
    <row r="184" spans="1:7">
      <c r="A184" s="214" t="s">
        <v>6029</v>
      </c>
      <c r="B184" s="633" t="s">
        <v>458</v>
      </c>
      <c r="E184" s="187">
        <v>129</v>
      </c>
      <c r="F184" s="423">
        <v>903</v>
      </c>
      <c r="G184" s="214" t="str">
        <f t="shared" si="2"/>
        <v>129-903</v>
      </c>
    </row>
    <row r="185" spans="1:7">
      <c r="A185" s="214" t="s">
        <v>6031</v>
      </c>
      <c r="B185" s="633" t="s">
        <v>460</v>
      </c>
      <c r="E185" s="187">
        <v>129</v>
      </c>
      <c r="F185" s="423">
        <v>904</v>
      </c>
      <c r="G185" s="214" t="str">
        <f t="shared" si="2"/>
        <v>129-904</v>
      </c>
    </row>
    <row r="186" spans="1:7">
      <c r="A186" s="214" t="s">
        <v>510</v>
      </c>
      <c r="B186" s="633" t="s">
        <v>2594</v>
      </c>
      <c r="E186" s="187">
        <v>137</v>
      </c>
      <c r="F186" s="423">
        <v>901</v>
      </c>
      <c r="G186" s="214" t="str">
        <f t="shared" si="2"/>
        <v>137-901</v>
      </c>
    </row>
    <row r="187" spans="1:7">
      <c r="A187" s="214" t="s">
        <v>6193</v>
      </c>
      <c r="B187" s="633" t="s">
        <v>5383</v>
      </c>
      <c r="E187" s="187">
        <v>139</v>
      </c>
      <c r="F187" s="423">
        <v>909</v>
      </c>
      <c r="G187" s="214" t="str">
        <f t="shared" si="2"/>
        <v>139-909</v>
      </c>
    </row>
    <row r="188" spans="1:7">
      <c r="A188" s="214" t="s">
        <v>602</v>
      </c>
      <c r="B188" s="633" t="s">
        <v>2015</v>
      </c>
      <c r="E188" s="187">
        <v>140</v>
      </c>
      <c r="F188" s="423">
        <v>904</v>
      </c>
      <c r="G188" s="214" t="str">
        <f t="shared" si="2"/>
        <v>140-904</v>
      </c>
    </row>
    <row r="189" spans="1:7">
      <c r="A189" s="214" t="s">
        <v>6188</v>
      </c>
      <c r="B189" s="633" t="s">
        <v>1542</v>
      </c>
      <c r="E189" s="187">
        <v>140</v>
      </c>
      <c r="F189" s="423">
        <v>905</v>
      </c>
      <c r="G189" s="214" t="str">
        <f t="shared" si="2"/>
        <v>140-905</v>
      </c>
    </row>
    <row r="190" spans="1:7">
      <c r="A190" s="214" t="s">
        <v>2016</v>
      </c>
      <c r="B190" s="633" t="s">
        <v>2017</v>
      </c>
      <c r="E190" s="187">
        <v>140</v>
      </c>
      <c r="F190" s="423">
        <v>906</v>
      </c>
      <c r="G190" s="214" t="str">
        <f t="shared" si="2"/>
        <v>140-906</v>
      </c>
    </row>
    <row r="191" spans="1:7">
      <c r="A191" s="214" t="s">
        <v>2018</v>
      </c>
      <c r="B191" s="633" t="s">
        <v>2019</v>
      </c>
      <c r="E191" s="187">
        <v>140</v>
      </c>
      <c r="F191" s="423">
        <v>907</v>
      </c>
      <c r="G191" s="214" t="str">
        <f t="shared" si="2"/>
        <v>140-907</v>
      </c>
    </row>
    <row r="192" spans="1:7">
      <c r="A192" s="214" t="s">
        <v>2022</v>
      </c>
      <c r="B192" s="633" t="s">
        <v>7885</v>
      </c>
      <c r="E192" s="187">
        <v>141</v>
      </c>
      <c r="F192" s="423">
        <v>801</v>
      </c>
      <c r="G192" s="214" t="str">
        <f t="shared" si="2"/>
        <v>141-801</v>
      </c>
    </row>
    <row r="193" spans="1:7">
      <c r="A193" s="214" t="s">
        <v>312</v>
      </c>
      <c r="B193" s="633" t="s">
        <v>313</v>
      </c>
      <c r="E193" s="187">
        <v>144</v>
      </c>
      <c r="F193" s="423">
        <v>902</v>
      </c>
      <c r="G193" s="214" t="str">
        <f t="shared" si="2"/>
        <v>144-902</v>
      </c>
    </row>
    <row r="194" spans="1:7">
      <c r="A194" s="214" t="s">
        <v>2325</v>
      </c>
      <c r="B194" s="633" t="s">
        <v>2326</v>
      </c>
      <c r="E194" s="187">
        <v>146</v>
      </c>
      <c r="F194" s="423">
        <v>906</v>
      </c>
      <c r="G194" s="214" t="str">
        <f t="shared" si="2"/>
        <v>146-906</v>
      </c>
    </row>
    <row r="195" spans="1:7">
      <c r="A195" s="214" t="s">
        <v>5236</v>
      </c>
      <c r="B195" s="633" t="s">
        <v>3623</v>
      </c>
      <c r="E195" s="187">
        <v>147</v>
      </c>
      <c r="F195" s="423">
        <v>901</v>
      </c>
      <c r="G195" s="214" t="str">
        <f t="shared" si="2"/>
        <v>147-901</v>
      </c>
    </row>
    <row r="196" spans="1:7">
      <c r="A196" s="214" t="s">
        <v>7704</v>
      </c>
      <c r="B196" s="633" t="s">
        <v>5633</v>
      </c>
      <c r="E196" s="187">
        <v>148</v>
      </c>
      <c r="F196" s="423">
        <v>901</v>
      </c>
      <c r="G196" s="214" t="str">
        <f t="shared" ref="G196:G259" si="3">D196&amp;E196&amp;"-"&amp;F196</f>
        <v>148-901</v>
      </c>
    </row>
    <row r="197" spans="1:7">
      <c r="A197" s="214" t="s">
        <v>4024</v>
      </c>
      <c r="B197" s="633" t="s">
        <v>7886</v>
      </c>
      <c r="E197" s="187">
        <v>152</v>
      </c>
      <c r="F197" s="423">
        <v>802</v>
      </c>
      <c r="G197" s="214" t="str">
        <f t="shared" si="3"/>
        <v>152-802</v>
      </c>
    </row>
    <row r="198" spans="1:7">
      <c r="A198" s="214" t="s">
        <v>2996</v>
      </c>
      <c r="B198" s="633" t="s">
        <v>2499</v>
      </c>
      <c r="E198" s="187">
        <v>152</v>
      </c>
      <c r="F198" s="423">
        <v>901</v>
      </c>
      <c r="G198" s="214" t="str">
        <f t="shared" si="3"/>
        <v>152-901</v>
      </c>
    </row>
    <row r="199" spans="1:7">
      <c r="A199" s="214" t="s">
        <v>4030</v>
      </c>
      <c r="B199" s="633" t="s">
        <v>4031</v>
      </c>
      <c r="E199" s="187">
        <v>152</v>
      </c>
      <c r="F199" s="423">
        <v>903</v>
      </c>
      <c r="G199" s="214" t="str">
        <f t="shared" si="3"/>
        <v>152-903</v>
      </c>
    </row>
    <row r="200" spans="1:7">
      <c r="A200" s="214" t="s">
        <v>2903</v>
      </c>
      <c r="B200" s="960" t="s">
        <v>2904</v>
      </c>
      <c r="E200" s="187">
        <v>152</v>
      </c>
      <c r="F200" s="423">
        <v>906</v>
      </c>
      <c r="G200" s="214" t="str">
        <f t="shared" si="3"/>
        <v>152-906</v>
      </c>
    </row>
    <row r="201" spans="1:7">
      <c r="A201" s="214" t="s">
        <v>4032</v>
      </c>
      <c r="B201" s="633" t="s">
        <v>4033</v>
      </c>
      <c r="E201" s="187">
        <v>152</v>
      </c>
      <c r="F201" s="423">
        <v>908</v>
      </c>
      <c r="G201" s="214" t="str">
        <f t="shared" si="3"/>
        <v>152-908</v>
      </c>
    </row>
    <row r="202" spans="1:7">
      <c r="A202" s="214" t="s">
        <v>4151</v>
      </c>
      <c r="B202" s="960" t="s">
        <v>3482</v>
      </c>
      <c r="E202" s="187">
        <v>153</v>
      </c>
      <c r="F202" s="423">
        <v>903</v>
      </c>
      <c r="G202" s="214" t="str">
        <f t="shared" si="3"/>
        <v>153-903</v>
      </c>
    </row>
    <row r="203" spans="1:7">
      <c r="A203" s="214" t="s">
        <v>4157</v>
      </c>
      <c r="B203" s="633" t="s">
        <v>4158</v>
      </c>
      <c r="E203" s="187">
        <v>153</v>
      </c>
      <c r="F203" s="423">
        <v>907</v>
      </c>
      <c r="G203" s="214" t="str">
        <f t="shared" si="3"/>
        <v>153-907</v>
      </c>
    </row>
    <row r="204" spans="1:7">
      <c r="A204" s="214" t="s">
        <v>3000</v>
      </c>
      <c r="B204" s="633" t="s">
        <v>3483</v>
      </c>
      <c r="E204" s="187">
        <v>154</v>
      </c>
      <c r="F204" s="423">
        <v>901</v>
      </c>
      <c r="G204" s="214" t="str">
        <f t="shared" si="3"/>
        <v>154-901</v>
      </c>
    </row>
    <row r="205" spans="1:7">
      <c r="A205" s="214" t="s">
        <v>4159</v>
      </c>
      <c r="B205" s="633" t="s">
        <v>4160</v>
      </c>
      <c r="E205" s="187">
        <v>154</v>
      </c>
      <c r="F205" s="423">
        <v>903</v>
      </c>
      <c r="G205" s="214" t="str">
        <f t="shared" si="3"/>
        <v>154-903</v>
      </c>
    </row>
    <row r="206" spans="1:7">
      <c r="A206" s="214" t="s">
        <v>4161</v>
      </c>
      <c r="B206" s="633" t="s">
        <v>4162</v>
      </c>
      <c r="E206" s="187">
        <v>155</v>
      </c>
      <c r="F206" s="423">
        <v>901</v>
      </c>
      <c r="G206" s="214" t="str">
        <f t="shared" si="3"/>
        <v>155-901</v>
      </c>
    </row>
    <row r="207" spans="1:7">
      <c r="A207" s="214" t="s">
        <v>958</v>
      </c>
      <c r="B207" s="633" t="s">
        <v>1204</v>
      </c>
      <c r="E207" s="187">
        <v>160</v>
      </c>
      <c r="F207" s="423">
        <v>901</v>
      </c>
      <c r="G207" s="214" t="str">
        <f t="shared" si="3"/>
        <v>160-901</v>
      </c>
    </row>
    <row r="208" spans="1:7">
      <c r="A208" s="214" t="s">
        <v>1148</v>
      </c>
      <c r="B208" s="633" t="s">
        <v>7887</v>
      </c>
      <c r="E208" s="187">
        <v>161</v>
      </c>
      <c r="F208" s="423">
        <v>802</v>
      </c>
      <c r="G208" s="214" t="str">
        <f t="shared" si="3"/>
        <v>161-802</v>
      </c>
    </row>
    <row r="209" spans="1:7">
      <c r="A209" s="214" t="s">
        <v>3553</v>
      </c>
      <c r="B209" s="633" t="s">
        <v>3144</v>
      </c>
      <c r="E209" s="187">
        <v>161</v>
      </c>
      <c r="F209" s="423">
        <v>914</v>
      </c>
      <c r="G209" s="214" t="str">
        <f t="shared" si="3"/>
        <v>161-914</v>
      </c>
    </row>
    <row r="210" spans="1:7">
      <c r="A210" s="214" t="s">
        <v>737</v>
      </c>
      <c r="B210" s="633" t="s">
        <v>2659</v>
      </c>
      <c r="E210" s="187">
        <v>161</v>
      </c>
      <c r="F210" s="423">
        <v>920</v>
      </c>
      <c r="G210" s="214" t="str">
        <f t="shared" si="3"/>
        <v>161-920</v>
      </c>
    </row>
    <row r="211" spans="1:7">
      <c r="A211" s="214" t="s">
        <v>237</v>
      </c>
      <c r="B211" s="633" t="s">
        <v>4957</v>
      </c>
      <c r="E211" s="187">
        <v>161</v>
      </c>
      <c r="F211" s="423">
        <v>921</v>
      </c>
      <c r="G211" s="214" t="str">
        <f t="shared" si="3"/>
        <v>161-921</v>
      </c>
    </row>
    <row r="212" spans="1:7">
      <c r="A212" s="214" t="s">
        <v>957</v>
      </c>
      <c r="B212" s="633" t="s">
        <v>1203</v>
      </c>
      <c r="E212" s="187">
        <v>161</v>
      </c>
      <c r="F212" s="423">
        <v>923</v>
      </c>
      <c r="G212" s="214" t="str">
        <f t="shared" si="3"/>
        <v>161-923</v>
      </c>
    </row>
    <row r="213" spans="1:7">
      <c r="A213" s="214" t="s">
        <v>6169</v>
      </c>
      <c r="B213" s="633" t="s">
        <v>2371</v>
      </c>
      <c r="E213" s="187">
        <v>163</v>
      </c>
      <c r="F213" s="423">
        <v>908</v>
      </c>
      <c r="G213" s="214" t="str">
        <f t="shared" si="3"/>
        <v>163-908</v>
      </c>
    </row>
    <row r="214" spans="1:7">
      <c r="A214" s="214" t="s">
        <v>6172</v>
      </c>
      <c r="B214" s="633" t="s">
        <v>2374</v>
      </c>
      <c r="E214" s="187">
        <v>165</v>
      </c>
      <c r="F214" s="423">
        <v>901</v>
      </c>
      <c r="G214" s="214" t="str">
        <f t="shared" si="3"/>
        <v>165-901</v>
      </c>
    </row>
    <row r="215" spans="1:7">
      <c r="A215" s="214" t="s">
        <v>147</v>
      </c>
      <c r="B215" s="633" t="s">
        <v>148</v>
      </c>
      <c r="E215" s="187">
        <v>168</v>
      </c>
      <c r="F215" s="423">
        <v>902</v>
      </c>
      <c r="G215" s="214" t="str">
        <f t="shared" si="3"/>
        <v>168-902</v>
      </c>
    </row>
    <row r="216" spans="1:7">
      <c r="A216" s="214" t="s">
        <v>1956</v>
      </c>
      <c r="B216" s="633" t="s">
        <v>1957</v>
      </c>
      <c r="E216" s="187">
        <v>169</v>
      </c>
      <c r="F216" s="423">
        <v>901</v>
      </c>
      <c r="G216" s="214" t="str">
        <f t="shared" si="3"/>
        <v>169-901</v>
      </c>
    </row>
    <row r="217" spans="1:7">
      <c r="A217" s="214" t="s">
        <v>1224</v>
      </c>
      <c r="B217" s="633" t="s">
        <v>5374</v>
      </c>
      <c r="E217" s="187">
        <v>171</v>
      </c>
      <c r="F217" s="423">
        <v>902</v>
      </c>
      <c r="G217" s="214" t="str">
        <f t="shared" si="3"/>
        <v>171-902</v>
      </c>
    </row>
    <row r="218" spans="1:7">
      <c r="A218" s="214" t="s">
        <v>5375</v>
      </c>
      <c r="B218" s="633" t="s">
        <v>5376</v>
      </c>
      <c r="E218" s="187">
        <v>172</v>
      </c>
      <c r="F218" s="423">
        <v>902</v>
      </c>
      <c r="G218" s="214" t="str">
        <f t="shared" si="3"/>
        <v>172-902</v>
      </c>
    </row>
    <row r="219" spans="1:7">
      <c r="A219" s="214" t="s">
        <v>5379</v>
      </c>
      <c r="B219" s="633" t="s">
        <v>5380</v>
      </c>
      <c r="E219" s="187">
        <v>173</v>
      </c>
      <c r="F219" s="423">
        <v>901</v>
      </c>
      <c r="G219" s="214" t="str">
        <f t="shared" si="3"/>
        <v>173-901</v>
      </c>
    </row>
    <row r="220" spans="1:7">
      <c r="A220" s="214" t="s">
        <v>642</v>
      </c>
      <c r="B220" s="633" t="s">
        <v>643</v>
      </c>
      <c r="E220" s="187">
        <v>174</v>
      </c>
      <c r="F220" s="423">
        <v>901</v>
      </c>
      <c r="G220" s="214" t="str">
        <f t="shared" si="3"/>
        <v>174-901</v>
      </c>
    </row>
    <row r="221" spans="1:7">
      <c r="A221" s="214" t="s">
        <v>644</v>
      </c>
      <c r="B221" s="633" t="s">
        <v>645</v>
      </c>
      <c r="E221" s="187">
        <v>174</v>
      </c>
      <c r="F221" s="423">
        <v>903</v>
      </c>
      <c r="G221" s="214" t="str">
        <f t="shared" si="3"/>
        <v>174-903</v>
      </c>
    </row>
    <row r="222" spans="1:7">
      <c r="A222" s="214" t="s">
        <v>4588</v>
      </c>
      <c r="B222" s="633" t="s">
        <v>6675</v>
      </c>
      <c r="E222" s="187">
        <v>174</v>
      </c>
      <c r="F222" s="423">
        <v>906</v>
      </c>
      <c r="G222" s="214" t="str">
        <f t="shared" si="3"/>
        <v>174-906</v>
      </c>
    </row>
    <row r="223" spans="1:7">
      <c r="A223" s="214" t="s">
        <v>2622</v>
      </c>
      <c r="B223" s="633" t="s">
        <v>2623</v>
      </c>
      <c r="E223" s="187">
        <v>174</v>
      </c>
      <c r="F223" s="423">
        <v>908</v>
      </c>
      <c r="G223" s="214" t="str">
        <f t="shared" si="3"/>
        <v>174-908</v>
      </c>
    </row>
    <row r="224" spans="1:7">
      <c r="A224" s="214" t="s">
        <v>241</v>
      </c>
      <c r="B224" s="633" t="s">
        <v>6697</v>
      </c>
      <c r="E224" s="187">
        <v>175</v>
      </c>
      <c r="F224" s="423">
        <v>903</v>
      </c>
      <c r="G224" s="214" t="str">
        <f t="shared" si="3"/>
        <v>175-903</v>
      </c>
    </row>
    <row r="225" spans="1:7">
      <c r="A225" s="214" t="s">
        <v>5084</v>
      </c>
      <c r="B225" s="633" t="s">
        <v>5085</v>
      </c>
      <c r="E225" s="187">
        <v>175</v>
      </c>
      <c r="F225" s="423">
        <v>905</v>
      </c>
      <c r="G225" s="214" t="str">
        <f t="shared" si="3"/>
        <v>175-905</v>
      </c>
    </row>
    <row r="226" spans="1:7">
      <c r="A226" s="214" t="s">
        <v>240</v>
      </c>
      <c r="B226" s="633" t="s">
        <v>6696</v>
      </c>
      <c r="E226" s="187">
        <v>178</v>
      </c>
      <c r="F226" s="423">
        <v>904</v>
      </c>
      <c r="G226" s="214" t="str">
        <f t="shared" si="3"/>
        <v>178-904</v>
      </c>
    </row>
    <row r="227" spans="1:7">
      <c r="A227" s="214" t="s">
        <v>6695</v>
      </c>
      <c r="B227" s="633" t="s">
        <v>744</v>
      </c>
      <c r="E227" s="187">
        <v>178</v>
      </c>
      <c r="F227" s="423">
        <v>905</v>
      </c>
      <c r="G227" s="214" t="str">
        <f t="shared" si="3"/>
        <v>178-905</v>
      </c>
    </row>
    <row r="228" spans="1:7">
      <c r="A228" s="214" t="s">
        <v>7888</v>
      </c>
      <c r="B228" s="633" t="s">
        <v>7889</v>
      </c>
      <c r="E228" s="187">
        <v>178</v>
      </c>
      <c r="F228" s="423">
        <v>916</v>
      </c>
      <c r="G228" s="214" t="str">
        <f t="shared" si="3"/>
        <v>178-916</v>
      </c>
    </row>
    <row r="229" spans="1:7">
      <c r="A229" s="214" t="s">
        <v>5032</v>
      </c>
      <c r="B229" s="633" t="s">
        <v>5028</v>
      </c>
      <c r="E229" s="187">
        <v>181</v>
      </c>
      <c r="F229" s="423">
        <v>901</v>
      </c>
      <c r="G229" s="214" t="str">
        <f t="shared" si="3"/>
        <v>181-901</v>
      </c>
    </row>
    <row r="230" spans="1:7">
      <c r="A230" s="214" t="s">
        <v>4141</v>
      </c>
      <c r="B230" s="633" t="s">
        <v>4142</v>
      </c>
      <c r="E230" s="187">
        <v>183</v>
      </c>
      <c r="F230" s="423">
        <v>901</v>
      </c>
      <c r="G230" s="214" t="str">
        <f t="shared" si="3"/>
        <v>183-901</v>
      </c>
    </row>
    <row r="231" spans="1:7">
      <c r="A231" s="214" t="s">
        <v>2407</v>
      </c>
      <c r="B231" s="633" t="s">
        <v>7280</v>
      </c>
      <c r="E231" s="187">
        <v>184</v>
      </c>
      <c r="F231" s="423">
        <v>902</v>
      </c>
      <c r="G231" s="214" t="str">
        <f t="shared" si="3"/>
        <v>184-902</v>
      </c>
    </row>
    <row r="232" spans="1:7">
      <c r="A232" s="214" t="s">
        <v>876</v>
      </c>
      <c r="B232" s="633" t="s">
        <v>7890</v>
      </c>
      <c r="E232" s="187">
        <v>186</v>
      </c>
      <c r="F232" s="423">
        <v>903</v>
      </c>
      <c r="G232" s="214" t="str">
        <f t="shared" si="3"/>
        <v>186-903</v>
      </c>
    </row>
    <row r="233" spans="1:7">
      <c r="A233" s="214" t="s">
        <v>3042</v>
      </c>
      <c r="B233" s="633" t="s">
        <v>708</v>
      </c>
      <c r="E233" s="187">
        <v>187</v>
      </c>
      <c r="F233" s="423">
        <v>903</v>
      </c>
      <c r="G233" s="214" t="str">
        <f t="shared" si="3"/>
        <v>187-903</v>
      </c>
    </row>
    <row r="234" spans="1:7">
      <c r="A234" s="214" t="s">
        <v>3048</v>
      </c>
      <c r="B234" s="633" t="s">
        <v>4570</v>
      </c>
      <c r="E234" s="187">
        <v>188</v>
      </c>
      <c r="F234" s="423">
        <v>903</v>
      </c>
      <c r="G234" s="214" t="str">
        <f t="shared" si="3"/>
        <v>188-903</v>
      </c>
    </row>
    <row r="235" spans="1:7">
      <c r="A235" s="214" t="s">
        <v>5131</v>
      </c>
      <c r="B235" s="633" t="s">
        <v>4179</v>
      </c>
      <c r="E235" s="187">
        <v>189</v>
      </c>
      <c r="F235" s="423">
        <v>902</v>
      </c>
      <c r="G235" s="214" t="str">
        <f t="shared" si="3"/>
        <v>189-902</v>
      </c>
    </row>
    <row r="236" spans="1:7">
      <c r="A236" s="214" t="s">
        <v>1507</v>
      </c>
      <c r="B236" s="633" t="s">
        <v>1508</v>
      </c>
      <c r="E236" s="187">
        <v>195</v>
      </c>
      <c r="F236" s="423">
        <v>902</v>
      </c>
      <c r="G236" s="214" t="str">
        <f t="shared" si="3"/>
        <v>195-902</v>
      </c>
    </row>
    <row r="237" spans="1:7">
      <c r="A237" s="214" t="s">
        <v>5213</v>
      </c>
      <c r="B237" s="633" t="s">
        <v>5214</v>
      </c>
      <c r="E237" s="187">
        <v>198</v>
      </c>
      <c r="F237" s="423">
        <v>902</v>
      </c>
      <c r="G237" s="214" t="str">
        <f t="shared" si="3"/>
        <v>198-902</v>
      </c>
    </row>
    <row r="238" spans="1:7">
      <c r="A238" s="214" t="s">
        <v>5217</v>
      </c>
      <c r="B238" s="633" t="s">
        <v>5218</v>
      </c>
      <c r="E238" s="187">
        <v>198</v>
      </c>
      <c r="F238" s="423">
        <v>905</v>
      </c>
      <c r="G238" s="214" t="str">
        <f t="shared" si="3"/>
        <v>198-905</v>
      </c>
    </row>
    <row r="239" spans="1:7">
      <c r="A239" s="214" t="s">
        <v>7891</v>
      </c>
      <c r="B239" s="633" t="s">
        <v>2124</v>
      </c>
      <c r="E239" s="187">
        <v>198</v>
      </c>
      <c r="F239" s="423">
        <v>908</v>
      </c>
      <c r="G239" s="214" t="str">
        <f t="shared" si="3"/>
        <v>198-908</v>
      </c>
    </row>
    <row r="240" spans="1:7">
      <c r="A240" s="214" t="s">
        <v>5615</v>
      </c>
      <c r="B240" s="633" t="s">
        <v>5616</v>
      </c>
      <c r="E240" s="187">
        <v>200</v>
      </c>
      <c r="F240" s="423">
        <v>901</v>
      </c>
      <c r="G240" s="214" t="str">
        <f t="shared" si="3"/>
        <v>200-901</v>
      </c>
    </row>
    <row r="241" spans="1:7">
      <c r="A241" s="214" t="s">
        <v>4591</v>
      </c>
      <c r="B241" s="633" t="s">
        <v>3073</v>
      </c>
      <c r="E241" s="187">
        <v>200</v>
      </c>
      <c r="F241" s="423">
        <v>906</v>
      </c>
      <c r="G241" s="214" t="str">
        <f t="shared" si="3"/>
        <v>200-906</v>
      </c>
    </row>
    <row r="242" spans="1:7">
      <c r="A242" s="214" t="s">
        <v>1951</v>
      </c>
      <c r="B242" s="633" t="s">
        <v>2070</v>
      </c>
      <c r="E242" s="187">
        <v>201</v>
      </c>
      <c r="F242" s="423">
        <v>908</v>
      </c>
      <c r="G242" s="214" t="str">
        <f t="shared" si="3"/>
        <v>201-908</v>
      </c>
    </row>
    <row r="243" spans="1:7">
      <c r="A243" s="214" t="s">
        <v>3158</v>
      </c>
      <c r="B243" s="633" t="s">
        <v>3159</v>
      </c>
      <c r="E243" s="187">
        <v>202</v>
      </c>
      <c r="F243" s="423">
        <v>903</v>
      </c>
      <c r="G243" s="214" t="str">
        <f t="shared" si="3"/>
        <v>202-903</v>
      </c>
    </row>
    <row r="244" spans="1:7">
      <c r="A244" s="214" t="s">
        <v>3162</v>
      </c>
      <c r="B244" s="633" t="s">
        <v>568</v>
      </c>
      <c r="E244" s="187">
        <v>203</v>
      </c>
      <c r="F244" s="423">
        <v>901</v>
      </c>
      <c r="G244" s="214" t="str">
        <f t="shared" si="3"/>
        <v>203-901</v>
      </c>
    </row>
    <row r="245" spans="1:7">
      <c r="A245" s="214" t="s">
        <v>569</v>
      </c>
      <c r="B245" s="633" t="s">
        <v>570</v>
      </c>
      <c r="E245" s="187">
        <v>203</v>
      </c>
      <c r="F245" s="423">
        <v>902</v>
      </c>
      <c r="G245" s="214" t="str">
        <f t="shared" si="3"/>
        <v>203-902</v>
      </c>
    </row>
    <row r="246" spans="1:7">
      <c r="A246" s="214" t="s">
        <v>2071</v>
      </c>
      <c r="B246" s="633" t="s">
        <v>2072</v>
      </c>
      <c r="E246" s="187">
        <v>205</v>
      </c>
      <c r="F246" s="423">
        <v>901</v>
      </c>
      <c r="G246" s="214" t="str">
        <f t="shared" si="3"/>
        <v>205-901</v>
      </c>
    </row>
    <row r="247" spans="1:7">
      <c r="A247" s="214" t="s">
        <v>3884</v>
      </c>
      <c r="B247" s="633" t="s">
        <v>3075</v>
      </c>
      <c r="E247" s="187">
        <v>205</v>
      </c>
      <c r="F247" s="423">
        <v>907</v>
      </c>
      <c r="G247" s="214" t="str">
        <f t="shared" si="3"/>
        <v>205-907</v>
      </c>
    </row>
    <row r="248" spans="1:7">
      <c r="A248" s="214" t="s">
        <v>2950</v>
      </c>
      <c r="B248" s="633" t="s">
        <v>2951</v>
      </c>
      <c r="E248" s="187">
        <v>209</v>
      </c>
      <c r="F248" s="423">
        <v>902</v>
      </c>
      <c r="G248" s="214" t="str">
        <f t="shared" si="3"/>
        <v>209-902</v>
      </c>
    </row>
    <row r="249" spans="1:7">
      <c r="A249" s="214" t="s">
        <v>2952</v>
      </c>
      <c r="B249" s="633" t="s">
        <v>2525</v>
      </c>
      <c r="E249" s="187">
        <v>210</v>
      </c>
      <c r="F249" s="423">
        <v>901</v>
      </c>
      <c r="G249" s="214" t="str">
        <f t="shared" si="3"/>
        <v>210-901</v>
      </c>
    </row>
    <row r="250" spans="1:7">
      <c r="A250" s="214" t="s">
        <v>2526</v>
      </c>
      <c r="B250" s="633" t="s">
        <v>7892</v>
      </c>
      <c r="E250" s="187">
        <v>210</v>
      </c>
      <c r="F250" s="423">
        <v>902</v>
      </c>
      <c r="G250" s="214" t="str">
        <f t="shared" si="3"/>
        <v>210-902</v>
      </c>
    </row>
    <row r="251" spans="1:7">
      <c r="A251" s="214" t="s">
        <v>3885</v>
      </c>
      <c r="B251" s="633" t="s">
        <v>3076</v>
      </c>
      <c r="E251" s="187">
        <v>210</v>
      </c>
      <c r="F251" s="423">
        <v>903</v>
      </c>
      <c r="G251" s="214" t="str">
        <f t="shared" si="3"/>
        <v>210-903</v>
      </c>
    </row>
    <row r="252" spans="1:7">
      <c r="A252" s="214" t="s">
        <v>2532</v>
      </c>
      <c r="B252" s="633" t="s">
        <v>2533</v>
      </c>
      <c r="E252" s="187">
        <v>210</v>
      </c>
      <c r="F252" s="423">
        <v>906</v>
      </c>
      <c r="G252" s="214" t="str">
        <f t="shared" si="3"/>
        <v>210-906</v>
      </c>
    </row>
    <row r="253" spans="1:7">
      <c r="A253" s="214" t="s">
        <v>2432</v>
      </c>
      <c r="B253" s="633" t="s">
        <v>2433</v>
      </c>
      <c r="E253" s="187">
        <v>212</v>
      </c>
      <c r="F253" s="423">
        <v>903</v>
      </c>
      <c r="G253" s="214" t="str">
        <f t="shared" si="3"/>
        <v>212-903</v>
      </c>
    </row>
    <row r="254" spans="1:7">
      <c r="A254" s="214" t="s">
        <v>5339</v>
      </c>
      <c r="B254" s="633" t="s">
        <v>5340</v>
      </c>
      <c r="E254" s="187">
        <v>212</v>
      </c>
      <c r="F254" s="423">
        <v>904</v>
      </c>
      <c r="G254" s="214" t="str">
        <f t="shared" si="3"/>
        <v>212-904</v>
      </c>
    </row>
    <row r="255" spans="1:7">
      <c r="A255" s="214" t="s">
        <v>5341</v>
      </c>
      <c r="B255" s="633" t="s">
        <v>5342</v>
      </c>
      <c r="E255" s="187">
        <v>212</v>
      </c>
      <c r="F255" s="423">
        <v>905</v>
      </c>
      <c r="G255" s="214" t="str">
        <f t="shared" si="3"/>
        <v>212-905</v>
      </c>
    </row>
    <row r="256" spans="1:7">
      <c r="A256" s="214" t="s">
        <v>858</v>
      </c>
      <c r="B256" s="633" t="s">
        <v>1470</v>
      </c>
      <c r="E256" s="187">
        <v>212</v>
      </c>
      <c r="F256" s="423">
        <v>906</v>
      </c>
      <c r="G256" s="214" t="str">
        <f t="shared" si="3"/>
        <v>212-906</v>
      </c>
    </row>
    <row r="257" spans="1:7">
      <c r="A257" s="214" t="s">
        <v>5343</v>
      </c>
      <c r="B257" s="633" t="s">
        <v>1610</v>
      </c>
      <c r="E257" s="187">
        <v>212</v>
      </c>
      <c r="F257" s="423">
        <v>909</v>
      </c>
      <c r="G257" s="214" t="str">
        <f t="shared" si="3"/>
        <v>212-909</v>
      </c>
    </row>
    <row r="258" spans="1:7">
      <c r="A258" s="214" t="s">
        <v>5344</v>
      </c>
      <c r="B258" s="633" t="s">
        <v>5345</v>
      </c>
      <c r="E258" s="187">
        <v>212</v>
      </c>
      <c r="F258" s="423">
        <v>910</v>
      </c>
      <c r="G258" s="214" t="str">
        <f t="shared" si="3"/>
        <v>212-910</v>
      </c>
    </row>
    <row r="259" spans="1:7">
      <c r="A259" s="214" t="s">
        <v>2770</v>
      </c>
      <c r="B259" s="633" t="s">
        <v>7893</v>
      </c>
      <c r="E259" s="187">
        <v>214</v>
      </c>
      <c r="F259" s="423">
        <v>901</v>
      </c>
      <c r="G259" s="214" t="str">
        <f t="shared" si="3"/>
        <v>214-901</v>
      </c>
    </row>
    <row r="260" spans="1:7">
      <c r="A260" s="214" t="s">
        <v>3886</v>
      </c>
      <c r="B260" s="633" t="s">
        <v>3077</v>
      </c>
      <c r="E260" s="187">
        <v>214</v>
      </c>
      <c r="F260" s="423">
        <v>903</v>
      </c>
      <c r="G260" s="214" t="str">
        <f t="shared" ref="G260:G305" si="4">D260&amp;E260&amp;"-"&amp;F260</f>
        <v>214-903</v>
      </c>
    </row>
    <row r="261" spans="1:7">
      <c r="A261" s="214" t="s">
        <v>1532</v>
      </c>
      <c r="B261" s="633" t="s">
        <v>7287</v>
      </c>
      <c r="E261" s="187">
        <v>218</v>
      </c>
      <c r="F261" s="423">
        <v>901</v>
      </c>
      <c r="G261" s="214" t="str">
        <f t="shared" si="4"/>
        <v>218-901</v>
      </c>
    </row>
    <row r="262" spans="1:7">
      <c r="A262" s="214" t="s">
        <v>3398</v>
      </c>
      <c r="B262" s="633" t="s">
        <v>7894</v>
      </c>
      <c r="E262" s="187">
        <v>220</v>
      </c>
      <c r="F262" s="423">
        <v>811</v>
      </c>
      <c r="G262" s="214" t="str">
        <f t="shared" si="4"/>
        <v>220-811</v>
      </c>
    </row>
    <row r="263" spans="1:7">
      <c r="A263" s="214" t="s">
        <v>3996</v>
      </c>
      <c r="B263" s="633" t="s">
        <v>3997</v>
      </c>
      <c r="E263" s="187">
        <v>220</v>
      </c>
      <c r="F263" s="423">
        <v>905</v>
      </c>
      <c r="G263" s="214" t="str">
        <f t="shared" si="4"/>
        <v>220-905</v>
      </c>
    </row>
    <row r="264" spans="1:7">
      <c r="A264" s="214" t="s">
        <v>2986</v>
      </c>
      <c r="B264" s="633" t="s">
        <v>1690</v>
      </c>
      <c r="E264" s="187">
        <v>220</v>
      </c>
      <c r="F264" s="423">
        <v>910</v>
      </c>
      <c r="G264" s="214" t="str">
        <f t="shared" si="4"/>
        <v>220-910</v>
      </c>
    </row>
    <row r="265" spans="1:7">
      <c r="A265" s="214" t="s">
        <v>6120</v>
      </c>
      <c r="B265" s="633" t="s">
        <v>6121</v>
      </c>
      <c r="E265" s="187">
        <v>223</v>
      </c>
      <c r="F265" s="423">
        <v>901</v>
      </c>
      <c r="G265" s="214" t="str">
        <f t="shared" si="4"/>
        <v>223-901</v>
      </c>
    </row>
    <row r="266" spans="1:7">
      <c r="A266" s="214" t="s">
        <v>6679</v>
      </c>
      <c r="B266" s="633" t="s">
        <v>6680</v>
      </c>
      <c r="E266" s="187">
        <v>223</v>
      </c>
      <c r="F266" s="423">
        <v>902</v>
      </c>
      <c r="G266" s="214" t="str">
        <f t="shared" si="4"/>
        <v>223-902</v>
      </c>
    </row>
    <row r="267" spans="1:7">
      <c r="A267" s="214" t="s">
        <v>1805</v>
      </c>
      <c r="B267" s="633" t="s">
        <v>7895</v>
      </c>
      <c r="E267" s="187">
        <v>225</v>
      </c>
      <c r="F267" s="423">
        <v>902</v>
      </c>
      <c r="G267" s="214" t="str">
        <f t="shared" si="4"/>
        <v>225-902</v>
      </c>
    </row>
    <row r="268" spans="1:7">
      <c r="A268" s="214" t="s">
        <v>3413</v>
      </c>
      <c r="B268" s="633" t="s">
        <v>7896</v>
      </c>
      <c r="E268" s="187">
        <v>227</v>
      </c>
      <c r="F268" s="423">
        <v>802</v>
      </c>
      <c r="G268" s="214" t="str">
        <f t="shared" si="4"/>
        <v>227-802</v>
      </c>
    </row>
    <row r="269" spans="1:7">
      <c r="A269" s="214" t="s">
        <v>2791</v>
      </c>
      <c r="B269" s="633" t="s">
        <v>2792</v>
      </c>
      <c r="E269" s="187">
        <v>227</v>
      </c>
      <c r="F269" s="423">
        <v>901</v>
      </c>
      <c r="G269" s="214" t="str">
        <f t="shared" si="4"/>
        <v>227-901</v>
      </c>
    </row>
    <row r="270" spans="1:7">
      <c r="A270" s="214" t="s">
        <v>5124</v>
      </c>
      <c r="B270" s="633" t="s">
        <v>5388</v>
      </c>
      <c r="E270" s="187">
        <v>227</v>
      </c>
      <c r="F270" s="423">
        <v>904</v>
      </c>
      <c r="G270" s="214" t="str">
        <f t="shared" si="4"/>
        <v>227-904</v>
      </c>
    </row>
    <row r="271" spans="1:7">
      <c r="A271" s="214" t="s">
        <v>2803</v>
      </c>
      <c r="B271" s="633" t="s">
        <v>2804</v>
      </c>
      <c r="E271" s="187">
        <v>228</v>
      </c>
      <c r="F271" s="423">
        <v>903</v>
      </c>
      <c r="G271" s="214" t="str">
        <f t="shared" si="4"/>
        <v>228-903</v>
      </c>
    </row>
    <row r="272" spans="1:7">
      <c r="A272" s="214" t="s">
        <v>3574</v>
      </c>
      <c r="B272" s="633" t="s">
        <v>3575</v>
      </c>
      <c r="E272" s="187">
        <v>229</v>
      </c>
      <c r="F272" s="423">
        <v>904</v>
      </c>
      <c r="G272" s="214" t="str">
        <f t="shared" si="4"/>
        <v>229-904</v>
      </c>
    </row>
    <row r="273" spans="1:7">
      <c r="A273" s="214" t="s">
        <v>3577</v>
      </c>
      <c r="B273" s="633" t="s">
        <v>3578</v>
      </c>
      <c r="E273" s="187">
        <v>230</v>
      </c>
      <c r="F273" s="423">
        <v>902</v>
      </c>
      <c r="G273" s="214" t="str">
        <f t="shared" si="4"/>
        <v>230-902</v>
      </c>
    </row>
    <row r="274" spans="1:7">
      <c r="A274" s="214" t="s">
        <v>6190</v>
      </c>
      <c r="B274" s="633" t="s">
        <v>3484</v>
      </c>
      <c r="E274" s="187">
        <v>230</v>
      </c>
      <c r="F274" s="423">
        <v>903</v>
      </c>
      <c r="G274" s="214" t="str">
        <f t="shared" si="4"/>
        <v>230-903</v>
      </c>
    </row>
    <row r="275" spans="1:7">
      <c r="A275" s="214" t="s">
        <v>3588</v>
      </c>
      <c r="B275" s="633" t="s">
        <v>3589</v>
      </c>
      <c r="E275" s="187">
        <v>231</v>
      </c>
      <c r="F275" s="423">
        <v>902</v>
      </c>
      <c r="G275" s="214" t="str">
        <f t="shared" si="4"/>
        <v>231-902</v>
      </c>
    </row>
    <row r="276" spans="1:7">
      <c r="A276" s="214" t="s">
        <v>3445</v>
      </c>
      <c r="B276" s="633" t="s">
        <v>7897</v>
      </c>
      <c r="E276" s="187">
        <v>232</v>
      </c>
      <c r="F276" s="423">
        <v>801</v>
      </c>
      <c r="G276" s="214" t="str">
        <f t="shared" si="4"/>
        <v>232-801</v>
      </c>
    </row>
    <row r="277" spans="1:7">
      <c r="A277" s="214" t="s">
        <v>2418</v>
      </c>
      <c r="B277" s="633" t="s">
        <v>7898</v>
      </c>
      <c r="E277" s="187">
        <v>232</v>
      </c>
      <c r="F277" s="423">
        <v>903</v>
      </c>
      <c r="G277" s="214" t="str">
        <f t="shared" si="4"/>
        <v>232-903</v>
      </c>
    </row>
    <row r="278" spans="1:7">
      <c r="A278" s="214" t="s">
        <v>2389</v>
      </c>
      <c r="B278" s="633" t="s">
        <v>7899</v>
      </c>
      <c r="E278" s="187">
        <v>233</v>
      </c>
      <c r="F278" s="423">
        <v>901</v>
      </c>
      <c r="G278" s="214" t="str">
        <f t="shared" si="4"/>
        <v>233-901</v>
      </c>
    </row>
    <row r="279" spans="1:7">
      <c r="A279" s="214" t="s">
        <v>6246</v>
      </c>
      <c r="B279" s="633" t="s">
        <v>6247</v>
      </c>
      <c r="E279" s="187">
        <v>234</v>
      </c>
      <c r="F279" s="423">
        <v>907</v>
      </c>
      <c r="G279" s="214" t="str">
        <f t="shared" si="4"/>
        <v>234-907</v>
      </c>
    </row>
    <row r="280" spans="1:7">
      <c r="A280" s="214" t="s">
        <v>1313</v>
      </c>
      <c r="B280" s="633" t="s">
        <v>2668</v>
      </c>
      <c r="E280" s="187">
        <v>234</v>
      </c>
      <c r="F280" s="423">
        <v>909</v>
      </c>
      <c r="G280" s="214" t="str">
        <f t="shared" si="4"/>
        <v>234-909</v>
      </c>
    </row>
    <row r="281" spans="1:7">
      <c r="A281" s="214" t="s">
        <v>6182</v>
      </c>
      <c r="B281" s="633" t="s">
        <v>4993</v>
      </c>
      <c r="E281" s="187">
        <v>236</v>
      </c>
      <c r="F281" s="423">
        <v>901</v>
      </c>
      <c r="G281" s="214" t="str">
        <f t="shared" si="4"/>
        <v>236-901</v>
      </c>
    </row>
    <row r="282" spans="1:7">
      <c r="A282" s="214" t="s">
        <v>2088</v>
      </c>
      <c r="B282" s="633" t="s">
        <v>7900</v>
      </c>
      <c r="E282" s="187">
        <v>239</v>
      </c>
      <c r="F282" s="423">
        <v>901</v>
      </c>
      <c r="G282" s="214" t="str">
        <f t="shared" si="4"/>
        <v>239-901</v>
      </c>
    </row>
    <row r="283" spans="1:7">
      <c r="A283" s="214" t="s">
        <v>2090</v>
      </c>
      <c r="B283" s="633" t="s">
        <v>2091</v>
      </c>
      <c r="E283" s="187">
        <v>239</v>
      </c>
      <c r="F283" s="423">
        <v>903</v>
      </c>
      <c r="G283" s="214" t="str">
        <f t="shared" si="4"/>
        <v>239-903</v>
      </c>
    </row>
    <row r="284" spans="1:7">
      <c r="A284" s="214" t="s">
        <v>2987</v>
      </c>
      <c r="B284" s="633" t="s">
        <v>1691</v>
      </c>
      <c r="E284" s="187">
        <v>240</v>
      </c>
      <c r="F284" s="423">
        <v>901</v>
      </c>
      <c r="G284" s="214" t="str">
        <f t="shared" si="4"/>
        <v>240-901</v>
      </c>
    </row>
    <row r="285" spans="1:7">
      <c r="A285" s="214" t="s">
        <v>2417</v>
      </c>
      <c r="B285" s="960" t="s">
        <v>332</v>
      </c>
      <c r="E285" s="187">
        <v>240</v>
      </c>
      <c r="F285" s="423">
        <v>903</v>
      </c>
      <c r="G285" s="214" t="str">
        <f t="shared" si="4"/>
        <v>240-903</v>
      </c>
    </row>
    <row r="286" spans="1:7">
      <c r="A286" s="214" t="s">
        <v>82</v>
      </c>
      <c r="B286" s="633" t="s">
        <v>83</v>
      </c>
      <c r="E286" s="187">
        <v>241</v>
      </c>
      <c r="F286" s="423">
        <v>902</v>
      </c>
      <c r="G286" s="214" t="str">
        <f t="shared" si="4"/>
        <v>241-902</v>
      </c>
    </row>
    <row r="287" spans="1:7">
      <c r="A287" s="214" t="s">
        <v>86</v>
      </c>
      <c r="B287" s="633" t="s">
        <v>87</v>
      </c>
      <c r="E287" s="187">
        <v>241</v>
      </c>
      <c r="F287" s="423">
        <v>904</v>
      </c>
      <c r="G287" s="214" t="str">
        <f t="shared" si="4"/>
        <v>241-904</v>
      </c>
    </row>
    <row r="288" spans="1:7">
      <c r="A288" s="214" t="s">
        <v>92</v>
      </c>
      <c r="B288" s="633" t="s">
        <v>93</v>
      </c>
      <c r="E288" s="187">
        <v>242</v>
      </c>
      <c r="F288" s="423">
        <v>903</v>
      </c>
      <c r="G288" s="214" t="str">
        <f t="shared" si="4"/>
        <v>242-903</v>
      </c>
    </row>
    <row r="289" spans="1:7">
      <c r="A289" s="214" t="s">
        <v>962</v>
      </c>
      <c r="B289" s="633" t="s">
        <v>1208</v>
      </c>
      <c r="E289" s="187">
        <v>243</v>
      </c>
      <c r="F289" s="423">
        <v>901</v>
      </c>
      <c r="G289" s="214" t="str">
        <f t="shared" si="4"/>
        <v>243-901</v>
      </c>
    </row>
    <row r="290" spans="1:7">
      <c r="A290" s="214" t="s">
        <v>2340</v>
      </c>
      <c r="B290" s="633" t="s">
        <v>3218</v>
      </c>
      <c r="E290" s="187">
        <v>243</v>
      </c>
      <c r="F290" s="423">
        <v>905</v>
      </c>
      <c r="G290" s="214" t="str">
        <f t="shared" si="4"/>
        <v>243-905</v>
      </c>
    </row>
    <row r="291" spans="1:7">
      <c r="A291" s="214" t="s">
        <v>738</v>
      </c>
      <c r="B291" s="633" t="s">
        <v>2660</v>
      </c>
      <c r="E291" s="187">
        <v>243</v>
      </c>
      <c r="F291" s="423">
        <v>906</v>
      </c>
      <c r="G291" s="214" t="str">
        <f t="shared" si="4"/>
        <v>243-906</v>
      </c>
    </row>
    <row r="292" spans="1:7">
      <c r="A292" s="214" t="s">
        <v>608</v>
      </c>
      <c r="B292" s="633" t="s">
        <v>609</v>
      </c>
      <c r="E292" s="187">
        <v>244</v>
      </c>
      <c r="F292" s="423">
        <v>903</v>
      </c>
      <c r="G292" s="214" t="str">
        <f t="shared" si="4"/>
        <v>244-903</v>
      </c>
    </row>
    <row r="293" spans="1:7">
      <c r="A293" s="214" t="s">
        <v>6145</v>
      </c>
      <c r="B293" s="633" t="s">
        <v>3078</v>
      </c>
      <c r="E293" s="187">
        <v>245</v>
      </c>
      <c r="F293" s="423">
        <v>901</v>
      </c>
      <c r="G293" s="214" t="str">
        <f t="shared" si="4"/>
        <v>245-901</v>
      </c>
    </row>
    <row r="294" spans="1:7">
      <c r="A294" s="214" t="s">
        <v>2998</v>
      </c>
      <c r="B294" s="633" t="s">
        <v>7901</v>
      </c>
      <c r="E294" s="187">
        <v>245</v>
      </c>
      <c r="F294" s="423">
        <v>902</v>
      </c>
      <c r="G294" s="214" t="str">
        <f t="shared" si="4"/>
        <v>245-902</v>
      </c>
    </row>
    <row r="295" spans="1:7">
      <c r="A295" s="214" t="s">
        <v>5040</v>
      </c>
      <c r="B295" s="633" t="s">
        <v>3990</v>
      </c>
      <c r="E295" s="187">
        <v>245</v>
      </c>
      <c r="F295" s="423">
        <v>904</v>
      </c>
      <c r="G295" s="214" t="str">
        <f t="shared" si="4"/>
        <v>245-904</v>
      </c>
    </row>
    <row r="296" spans="1:7">
      <c r="A296" s="214" t="s">
        <v>1307</v>
      </c>
      <c r="B296" s="633" t="s">
        <v>252</v>
      </c>
      <c r="E296" s="187">
        <v>246</v>
      </c>
      <c r="F296" s="423">
        <v>902</v>
      </c>
      <c r="G296" s="214" t="str">
        <f t="shared" si="4"/>
        <v>246-902</v>
      </c>
    </row>
    <row r="297" spans="1:7">
      <c r="A297" s="214" t="s">
        <v>1319</v>
      </c>
      <c r="B297" s="633" t="s">
        <v>4961</v>
      </c>
      <c r="E297" s="187">
        <v>246</v>
      </c>
      <c r="F297" s="423">
        <v>904</v>
      </c>
      <c r="G297" s="214" t="str">
        <f t="shared" si="4"/>
        <v>246-904</v>
      </c>
    </row>
    <row r="298" spans="1:7">
      <c r="A298" s="214" t="s">
        <v>1856</v>
      </c>
      <c r="B298" s="633" t="s">
        <v>2974</v>
      </c>
      <c r="E298" s="187">
        <v>246</v>
      </c>
      <c r="F298" s="423">
        <v>905</v>
      </c>
      <c r="G298" s="214" t="str">
        <f t="shared" si="4"/>
        <v>246-905</v>
      </c>
    </row>
    <row r="299" spans="1:7">
      <c r="A299" s="214" t="s">
        <v>611</v>
      </c>
      <c r="B299" s="633" t="s">
        <v>612</v>
      </c>
      <c r="E299" s="187">
        <v>246</v>
      </c>
      <c r="F299" s="423">
        <v>907</v>
      </c>
      <c r="G299" s="214" t="str">
        <f t="shared" si="4"/>
        <v>246-907</v>
      </c>
    </row>
    <row r="300" spans="1:7">
      <c r="A300" s="214" t="s">
        <v>2990</v>
      </c>
      <c r="B300" s="633" t="s">
        <v>1695</v>
      </c>
      <c r="E300" s="187">
        <v>246</v>
      </c>
      <c r="F300" s="423">
        <v>908</v>
      </c>
      <c r="G300" s="214" t="str">
        <f t="shared" si="4"/>
        <v>246-908</v>
      </c>
    </row>
    <row r="301" spans="1:7">
      <c r="A301" s="214" t="s">
        <v>5041</v>
      </c>
      <c r="B301" s="633" t="s">
        <v>5042</v>
      </c>
      <c r="E301" s="187">
        <v>247</v>
      </c>
      <c r="F301" s="423">
        <v>901</v>
      </c>
      <c r="G301" s="214" t="str">
        <f t="shared" si="4"/>
        <v>247-901</v>
      </c>
    </row>
    <row r="302" spans="1:7">
      <c r="A302" s="214" t="s">
        <v>615</v>
      </c>
      <c r="B302" s="633" t="s">
        <v>616</v>
      </c>
      <c r="E302" s="187">
        <v>248</v>
      </c>
      <c r="F302" s="423">
        <v>901</v>
      </c>
      <c r="G302" s="214" t="str">
        <f t="shared" si="4"/>
        <v>248-901</v>
      </c>
    </row>
    <row r="303" spans="1:7">
      <c r="A303" s="214" t="s">
        <v>2445</v>
      </c>
      <c r="B303" s="633" t="s">
        <v>2446</v>
      </c>
      <c r="E303" s="187">
        <v>250</v>
      </c>
      <c r="F303" s="423">
        <v>907</v>
      </c>
      <c r="G303" s="214" t="str">
        <f t="shared" si="4"/>
        <v>250-907</v>
      </c>
    </row>
    <row r="304" spans="1:7">
      <c r="A304" s="214" t="s">
        <v>909</v>
      </c>
      <c r="B304" s="633" t="s">
        <v>910</v>
      </c>
      <c r="E304" s="187">
        <v>253</v>
      </c>
      <c r="F304" s="423">
        <v>901</v>
      </c>
      <c r="G304" s="214" t="str">
        <f t="shared" si="4"/>
        <v>253-901</v>
      </c>
    </row>
    <row r="305" spans="1:7">
      <c r="A305" s="214" t="s">
        <v>247</v>
      </c>
      <c r="B305" s="633" t="s">
        <v>6136</v>
      </c>
      <c r="E305" s="187">
        <v>254</v>
      </c>
      <c r="F305" s="423">
        <v>901</v>
      </c>
      <c r="G305" s="214" t="str">
        <f t="shared" si="4"/>
        <v>254-901</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sheetPr>
  <dimension ref="A1:AF65"/>
  <sheetViews>
    <sheetView workbookViewId="0"/>
  </sheetViews>
  <sheetFormatPr defaultColWidth="9.21875" defaultRowHeight="13.2"/>
  <cols>
    <col min="1" max="1" width="29.77734375" style="112" customWidth="1"/>
    <col min="2" max="2" width="9.44140625" style="112" bestFit="1" customWidth="1"/>
    <col min="3" max="3" width="9.21875" style="112" bestFit="1" customWidth="1"/>
    <col min="4" max="4" width="9.21875" style="112"/>
    <col min="5" max="5" width="9.21875" style="112" bestFit="1" customWidth="1"/>
    <col min="6" max="6" width="9.21875" style="112"/>
    <col min="7" max="7" width="7.5546875" style="112" customWidth="1"/>
    <col min="8" max="8" width="8.44140625" style="112" hidden="1" customWidth="1"/>
    <col min="9" max="9" width="12.21875" style="112" customWidth="1"/>
    <col min="10" max="10" width="13" style="112" customWidth="1"/>
    <col min="11" max="11" width="11" style="112" customWidth="1"/>
    <col min="12" max="12" width="8.77734375" style="112" customWidth="1"/>
    <col min="13" max="13" width="8.21875" style="112" customWidth="1"/>
    <col min="14" max="14" width="8.5546875" style="112" customWidth="1"/>
    <col min="15" max="15" width="9.21875" style="112" customWidth="1"/>
    <col min="16" max="17" width="11.5546875" style="112" hidden="1" customWidth="1"/>
    <col min="18" max="18" width="9.77734375" style="112" hidden="1" customWidth="1"/>
    <col min="19" max="19" width="9" style="112" hidden="1" customWidth="1"/>
    <col min="20" max="20" width="9.21875" style="112" hidden="1" customWidth="1"/>
    <col min="21" max="21" width="9.77734375" style="112" hidden="1" customWidth="1"/>
    <col min="22" max="24" width="9.77734375" style="112" customWidth="1"/>
    <col min="25" max="25" width="20.21875" style="744" customWidth="1"/>
    <col min="26" max="26" width="13" style="1100" customWidth="1"/>
    <col min="27" max="27" width="7.21875" style="1101" customWidth="1"/>
    <col min="28" max="28" width="10.5546875" style="112" bestFit="1" customWidth="1"/>
    <col min="29" max="16384" width="9.21875" style="112"/>
  </cols>
  <sheetData>
    <row r="1" spans="1:29" s="1078" customFormat="1" ht="21" customHeight="1">
      <c r="A1" s="1217" t="s">
        <v>8303</v>
      </c>
      <c r="B1" s="1077" t="s">
        <v>8268</v>
      </c>
      <c r="C1" s="1077"/>
      <c r="D1" s="1077"/>
      <c r="G1" s="1079" t="e">
        <f>'Data Entry - SOF'!B1</f>
        <v>#N/A</v>
      </c>
      <c r="I1" s="1077" t="e">
        <f>'2014 25K CPTD Values'!B2</f>
        <v>#N/A</v>
      </c>
      <c r="J1" s="1079"/>
      <c r="K1" s="1080"/>
      <c r="L1" s="1081"/>
      <c r="M1" s="1081"/>
      <c r="N1" s="1081"/>
      <c r="O1" s="1081"/>
      <c r="P1" s="1081"/>
      <c r="Q1" s="1081"/>
      <c r="R1" s="1081"/>
      <c r="S1" s="1081"/>
      <c r="T1" s="1081"/>
      <c r="U1" s="1081"/>
      <c r="V1" s="1082"/>
      <c r="W1" s="1082"/>
      <c r="X1" s="1082"/>
      <c r="Y1" s="1083"/>
      <c r="Z1" s="1084"/>
      <c r="AA1" s="1085"/>
    </row>
    <row r="2" spans="1:29" s="1078" customFormat="1" ht="21" customHeight="1">
      <c r="A2" s="1218">
        <v>0</v>
      </c>
      <c r="B2" s="1077" t="s">
        <v>8269</v>
      </c>
      <c r="C2" s="1077"/>
      <c r="D2" s="1077"/>
      <c r="J2" s="1079"/>
      <c r="K2" s="1080"/>
      <c r="L2" s="1081"/>
      <c r="M2" s="1081"/>
      <c r="N2" s="1081"/>
      <c r="O2" s="1081"/>
      <c r="P2" s="1081"/>
      <c r="Q2" s="1081"/>
      <c r="R2" s="1081"/>
      <c r="S2" s="1081"/>
      <c r="T2" s="1081"/>
      <c r="U2" s="1081"/>
      <c r="V2" s="1082"/>
      <c r="W2" s="1082"/>
      <c r="X2" s="1082"/>
      <c r="Y2" s="1083"/>
      <c r="Z2" s="1084"/>
      <c r="AA2" s="1085"/>
    </row>
    <row r="3" spans="1:29" s="1078" customFormat="1" ht="14.25" customHeight="1">
      <c r="A3" s="1086"/>
      <c r="B3" s="1086"/>
      <c r="C3" s="1086"/>
      <c r="D3" s="1086"/>
      <c r="E3" s="1086"/>
      <c r="F3" s="1086"/>
      <c r="G3" s="1086"/>
      <c r="H3" s="1086"/>
      <c r="I3" s="1087"/>
      <c r="J3" s="1087"/>
      <c r="K3" s="1080"/>
      <c r="L3" s="1081"/>
      <c r="M3" s="1081"/>
      <c r="N3" s="1081"/>
      <c r="O3" s="1081"/>
      <c r="P3" s="1081"/>
      <c r="Q3" s="1081"/>
      <c r="R3" s="1081"/>
      <c r="S3" s="1081"/>
      <c r="T3" s="1081"/>
      <c r="U3" s="1081"/>
      <c r="V3" s="1082"/>
      <c r="W3" s="1082"/>
      <c r="X3" s="1082"/>
      <c r="Y3" s="1083"/>
      <c r="Z3" s="1084"/>
      <c r="AA3" s="1085"/>
    </row>
    <row r="4" spans="1:29" s="1078" customFormat="1" ht="21" customHeight="1" thickBot="1">
      <c r="A4" s="1088" t="s">
        <v>8306</v>
      </c>
      <c r="B4" s="1089"/>
      <c r="C4" s="1089"/>
      <c r="D4" s="1089"/>
      <c r="E4" s="1089"/>
      <c r="F4" s="1089"/>
      <c r="G4" s="1089"/>
      <c r="H4" s="1089"/>
      <c r="I4" s="1089"/>
      <c r="J4" s="1090">
        <f>'Data Entry - SOF'!B4</f>
        <v>0</v>
      </c>
      <c r="K4" s="1080"/>
      <c r="L4" s="1081"/>
      <c r="M4" s="1081"/>
      <c r="N4" s="1081"/>
      <c r="O4" s="1081"/>
      <c r="P4" s="1081"/>
      <c r="Q4" s="1081"/>
      <c r="R4" s="1081"/>
      <c r="S4" s="1081"/>
      <c r="T4" s="1081"/>
      <c r="U4" s="1081"/>
      <c r="V4" s="1082"/>
      <c r="W4" s="1082"/>
      <c r="X4" s="1082"/>
      <c r="Y4" s="1083"/>
      <c r="Z4" s="1084"/>
      <c r="AA4" s="1085"/>
    </row>
    <row r="5" spans="1:29" ht="17.25" hidden="1" customHeight="1">
      <c r="A5" s="1091" t="s">
        <v>3953</v>
      </c>
      <c r="D5" s="1092"/>
      <c r="E5" s="1088"/>
      <c r="L5" s="1093"/>
      <c r="M5" s="1093"/>
      <c r="N5" s="1093"/>
      <c r="O5" s="1093"/>
      <c r="P5" s="1093"/>
      <c r="Q5" s="1093"/>
      <c r="R5" s="1093"/>
      <c r="S5" s="1093"/>
      <c r="T5" s="1093"/>
      <c r="U5" s="1093"/>
      <c r="V5" s="1094"/>
      <c r="W5" s="1094"/>
      <c r="X5" s="1094"/>
      <c r="Y5" s="1095"/>
      <c r="Z5" s="1096"/>
      <c r="AA5" s="1097"/>
      <c r="AB5" s="1098"/>
      <c r="AC5" s="1098"/>
    </row>
    <row r="6" spans="1:29" ht="13.8" hidden="1" thickBot="1">
      <c r="A6" s="1086"/>
      <c r="B6" s="1086"/>
      <c r="C6" s="1086"/>
      <c r="D6" s="1086"/>
      <c r="E6" s="1086"/>
      <c r="F6" s="1086"/>
      <c r="G6" s="1086"/>
      <c r="H6" s="1086"/>
      <c r="I6" s="1087"/>
      <c r="J6" s="1099" t="s">
        <v>8119</v>
      </c>
      <c r="K6" s="723"/>
      <c r="L6" s="997" t="s">
        <v>8104</v>
      </c>
      <c r="M6" s="723"/>
      <c r="N6" s="723"/>
      <c r="P6" s="723"/>
      <c r="Q6" s="723"/>
      <c r="R6" s="723"/>
      <c r="S6" s="723"/>
      <c r="T6" s="723"/>
      <c r="U6" s="723"/>
      <c r="V6" s="723"/>
      <c r="W6" s="723"/>
      <c r="X6" s="723"/>
    </row>
    <row r="7" spans="1:29">
      <c r="A7" s="1102" t="s">
        <v>3925</v>
      </c>
      <c r="B7" s="1103" t="s">
        <v>3373</v>
      </c>
      <c r="C7" s="1103" t="s">
        <v>3374</v>
      </c>
      <c r="D7" s="1103" t="s">
        <v>3375</v>
      </c>
      <c r="E7" s="1103" t="s">
        <v>3376</v>
      </c>
      <c r="F7" s="1103" t="s">
        <v>3377</v>
      </c>
      <c r="G7" s="1103" t="s">
        <v>3378</v>
      </c>
      <c r="H7" s="1104"/>
      <c r="I7" s="113"/>
      <c r="K7" s="998"/>
      <c r="L7" s="998"/>
      <c r="M7" s="998"/>
      <c r="N7" s="998"/>
      <c r="P7" s="796"/>
      <c r="Q7" s="796"/>
      <c r="R7" s="796"/>
      <c r="S7" s="796"/>
      <c r="T7" s="796"/>
      <c r="U7" s="796"/>
      <c r="V7" s="796"/>
      <c r="W7" s="796"/>
      <c r="X7" s="796"/>
    </row>
    <row r="8" spans="1:29">
      <c r="A8" s="1105" t="s">
        <v>8090</v>
      </c>
      <c r="B8" s="774">
        <v>1</v>
      </c>
      <c r="C8" s="774">
        <v>1</v>
      </c>
      <c r="D8" s="774">
        <v>1</v>
      </c>
      <c r="E8" s="774">
        <v>1</v>
      </c>
      <c r="F8" s="774">
        <v>1</v>
      </c>
      <c r="G8" s="774">
        <v>1</v>
      </c>
      <c r="H8" s="1107">
        <f>SUM(B8:G8)</f>
        <v>6</v>
      </c>
      <c r="I8" s="1071"/>
      <c r="J8" s="1069"/>
      <c r="K8" s="998"/>
      <c r="L8" s="998"/>
      <c r="M8" s="998"/>
      <c r="N8" s="998"/>
      <c r="P8" s="1108"/>
      <c r="Q8" s="1108"/>
      <c r="R8" s="1108"/>
      <c r="S8" s="1108"/>
      <c r="T8" s="1108"/>
      <c r="U8" s="1108"/>
      <c r="V8" s="1108"/>
      <c r="W8" s="1108"/>
      <c r="X8" s="1108"/>
      <c r="Y8" s="1109"/>
      <c r="Z8" s="1110"/>
    </row>
    <row r="9" spans="1:29" hidden="1">
      <c r="A9" s="1111" t="s">
        <v>3379</v>
      </c>
      <c r="B9" s="1112">
        <v>0</v>
      </c>
      <c r="C9" s="1106"/>
      <c r="D9" s="1106"/>
      <c r="E9" s="1106"/>
      <c r="F9" s="1106"/>
      <c r="G9" s="1107"/>
      <c r="H9" s="1113"/>
      <c r="I9" s="1070"/>
      <c r="J9" s="1114"/>
      <c r="K9" s="1015">
        <v>0</v>
      </c>
      <c r="L9" s="999"/>
      <c r="M9" s="1000"/>
      <c r="N9" s="1001"/>
      <c r="O9" s="735"/>
      <c r="P9" s="796"/>
      <c r="Q9" s="796"/>
      <c r="R9" s="796"/>
      <c r="S9" s="796"/>
      <c r="T9" s="796"/>
      <c r="U9" s="796"/>
      <c r="V9" s="796"/>
      <c r="W9" s="796"/>
      <c r="X9" s="796"/>
      <c r="Y9" s="1115"/>
    </row>
    <row r="10" spans="1:29" hidden="1">
      <c r="A10" s="1111" t="s">
        <v>8089</v>
      </c>
      <c r="B10" s="1116">
        <v>0</v>
      </c>
      <c r="C10" s="1106"/>
      <c r="D10" s="1106"/>
      <c r="E10" s="1106"/>
      <c r="F10" s="1106"/>
      <c r="G10" s="1107"/>
      <c r="H10" s="1117"/>
      <c r="I10" s="1014"/>
      <c r="J10" s="1118"/>
      <c r="K10" s="1119" t="e">
        <f>'2015-16 SCE'!B2</f>
        <v>#N/A</v>
      </c>
      <c r="L10" s="1120"/>
      <c r="M10" s="1120"/>
      <c r="N10" s="1120"/>
      <c r="O10" s="1120"/>
      <c r="P10" s="1120"/>
      <c r="Q10" s="1120"/>
      <c r="R10" s="1120"/>
      <c r="S10" s="1120"/>
      <c r="T10" s="1120"/>
      <c r="U10" s="1120"/>
      <c r="V10" s="1121"/>
      <c r="W10" s="1121"/>
      <c r="X10" s="1121"/>
      <c r="Y10" s="1115"/>
      <c r="AC10" s="112" t="s">
        <v>3926</v>
      </c>
    </row>
    <row r="11" spans="1:29" hidden="1">
      <c r="A11" s="775" t="s">
        <v>8091</v>
      </c>
      <c r="B11" s="991">
        <f>IF(B8=0,"",B10/B8)</f>
        <v>0</v>
      </c>
      <c r="C11" s="991">
        <f t="shared" ref="C11:G11" si="0">IF(C8=0,"",C10/C8)</f>
        <v>0</v>
      </c>
      <c r="D11" s="991"/>
      <c r="E11" s="991">
        <f t="shared" si="0"/>
        <v>0</v>
      </c>
      <c r="F11" s="991">
        <f t="shared" si="0"/>
        <v>0</v>
      </c>
      <c r="G11" s="991">
        <f t="shared" si="0"/>
        <v>0</v>
      </c>
      <c r="H11" s="1122"/>
      <c r="I11" s="1044">
        <f>AVERAGE(B11:G11)</f>
        <v>0</v>
      </c>
      <c r="J11" s="1123"/>
      <c r="K11" s="1124"/>
      <c r="L11" s="1120"/>
      <c r="M11" s="1120"/>
      <c r="N11" s="1120"/>
      <c r="O11" s="1120"/>
      <c r="P11" s="1120"/>
      <c r="Q11" s="1120"/>
      <c r="R11" s="1120"/>
      <c r="S11" s="1120"/>
      <c r="T11" s="1120"/>
      <c r="U11" s="1120"/>
      <c r="V11" s="1121"/>
      <c r="W11" s="1121"/>
      <c r="X11" s="1121"/>
      <c r="Y11" s="1115"/>
    </row>
    <row r="12" spans="1:29" ht="13.8" hidden="1" thickBot="1">
      <c r="A12" s="1111" t="s">
        <v>8088</v>
      </c>
      <c r="B12" s="1125">
        <v>0</v>
      </c>
      <c r="C12" s="1125">
        <v>0</v>
      </c>
      <c r="D12" s="1125">
        <v>0</v>
      </c>
      <c r="E12" s="1125">
        <v>0</v>
      </c>
      <c r="F12" s="1125">
        <v>0</v>
      </c>
      <c r="G12" s="1125">
        <v>0</v>
      </c>
      <c r="H12" s="1126"/>
      <c r="I12" s="1068"/>
      <c r="J12" s="1127"/>
      <c r="K12" s="1124"/>
      <c r="L12" s="1120"/>
      <c r="M12" s="1120"/>
      <c r="N12" s="1120"/>
      <c r="O12" s="1120"/>
      <c r="P12" s="1120"/>
      <c r="Q12" s="1120"/>
      <c r="R12" s="1120"/>
      <c r="S12" s="1120"/>
      <c r="T12" s="1120"/>
      <c r="U12" s="1120"/>
      <c r="V12" s="1121"/>
      <c r="W12" s="1121"/>
      <c r="X12" s="1121"/>
      <c r="Y12" s="1115"/>
    </row>
    <row r="13" spans="1:29" ht="13.8" hidden="1" thickTop="1">
      <c r="A13" s="992" t="s">
        <v>8092</v>
      </c>
      <c r="B13" s="1065" t="str">
        <f t="shared" ref="B13:G13" si="1">IF(B8=1,"",B12/B8)</f>
        <v/>
      </c>
      <c r="C13" s="1065" t="str">
        <f t="shared" si="1"/>
        <v/>
      </c>
      <c r="D13" s="1065" t="str">
        <f t="shared" si="1"/>
        <v/>
      </c>
      <c r="E13" s="1065" t="str">
        <f t="shared" si="1"/>
        <v/>
      </c>
      <c r="F13" s="1065" t="str">
        <f t="shared" si="1"/>
        <v/>
      </c>
      <c r="G13" s="1065" t="str">
        <f t="shared" si="1"/>
        <v/>
      </c>
      <c r="H13" s="1066"/>
      <c r="I13" s="1067" t="e">
        <f>AVERAGE(B13:G13)</f>
        <v>#DIV/0!</v>
      </c>
      <c r="J13" s="1128"/>
      <c r="K13" s="1129"/>
      <c r="L13" s="1129"/>
      <c r="M13" s="1129"/>
      <c r="N13" s="1129"/>
      <c r="O13" s="1129"/>
      <c r="P13" s="1129"/>
      <c r="Q13" s="1129"/>
      <c r="R13" s="1129"/>
      <c r="S13" s="1129"/>
      <c r="T13" s="1129"/>
      <c r="U13" s="1129"/>
      <c r="V13" s="1129"/>
      <c r="W13" s="1129"/>
      <c r="X13" s="1129"/>
    </row>
    <row r="14" spans="1:29" hidden="1">
      <c r="A14" s="994"/>
      <c r="B14" s="995"/>
      <c r="C14" s="995"/>
      <c r="D14" s="995"/>
      <c r="E14" s="995"/>
      <c r="F14" s="995"/>
      <c r="G14" s="995"/>
      <c r="H14" s="995"/>
      <c r="I14" s="996"/>
      <c r="J14" s="1130"/>
      <c r="K14" s="1129"/>
      <c r="L14" s="1129"/>
      <c r="M14" s="1129"/>
      <c r="N14" s="1129"/>
      <c r="O14" s="1129"/>
      <c r="P14" s="1129"/>
      <c r="Q14" s="1129"/>
      <c r="R14" s="1129"/>
      <c r="S14" s="1129"/>
      <c r="T14" s="1129"/>
      <c r="U14" s="1129"/>
      <c r="V14" s="1129"/>
      <c r="W14" s="1129"/>
      <c r="X14" s="1129"/>
    </row>
    <row r="15" spans="1:29" hidden="1">
      <c r="A15" s="1013" t="s">
        <v>8118</v>
      </c>
      <c r="B15" s="1026" t="e">
        <f>IF(B8=0,"",B13-$V$36-B43)</f>
        <v>#VALUE!</v>
      </c>
      <c r="C15" s="1026" t="e">
        <f>IF(C8=0,"",C13-$V$36-C43)</f>
        <v>#VALUE!</v>
      </c>
      <c r="D15" s="1026" t="e">
        <f t="shared" ref="D15:G15" si="2">IF(D8=0,"",D13-$V$36-D43)</f>
        <v>#VALUE!</v>
      </c>
      <c r="E15" s="1026" t="e">
        <f t="shared" si="2"/>
        <v>#VALUE!</v>
      </c>
      <c r="F15" s="1026" t="e">
        <f t="shared" si="2"/>
        <v>#VALUE!</v>
      </c>
      <c r="G15" s="1026" t="e">
        <f t="shared" si="2"/>
        <v>#VALUE!</v>
      </c>
      <c r="H15" s="1026"/>
      <c r="I15" s="1044" t="e">
        <f>AVERAGE(B15:G15)</f>
        <v>#VALUE!</v>
      </c>
      <c r="J15" s="1131" t="e">
        <f>I15*A2</f>
        <v>#VALUE!</v>
      </c>
      <c r="K15" s="1129"/>
      <c r="L15" s="1129"/>
      <c r="M15" s="1129"/>
      <c r="N15" s="1129"/>
      <c r="O15" s="1129"/>
      <c r="P15" s="1129"/>
      <c r="Q15" s="1129"/>
      <c r="R15" s="1129"/>
      <c r="S15" s="1129"/>
      <c r="T15" s="1129"/>
      <c r="U15" s="1129"/>
      <c r="V15" s="1129"/>
      <c r="W15" s="1129"/>
      <c r="X15" s="1129"/>
    </row>
    <row r="16" spans="1:29" hidden="1">
      <c r="A16" s="994"/>
      <c r="B16" s="995"/>
      <c r="C16" s="995"/>
      <c r="D16" s="995"/>
      <c r="E16" s="995"/>
      <c r="F16" s="995"/>
      <c r="G16" s="995"/>
      <c r="H16" s="995"/>
      <c r="I16" s="996"/>
      <c r="J16" s="1130"/>
      <c r="K16" s="1129"/>
      <c r="L16" s="1129"/>
      <c r="M16" s="1129"/>
      <c r="N16" s="1129"/>
      <c r="O16" s="1129"/>
      <c r="P16" s="1129"/>
      <c r="Q16" s="1129"/>
      <c r="R16" s="1129"/>
      <c r="S16" s="1129"/>
      <c r="T16" s="1129"/>
      <c r="U16" s="1129"/>
      <c r="V16" s="1129"/>
      <c r="W16" s="1129"/>
      <c r="X16" s="1129"/>
    </row>
    <row r="17" spans="1:32" hidden="1">
      <c r="A17" s="990" t="s">
        <v>8093</v>
      </c>
      <c r="B17" s="993"/>
      <c r="C17" s="993"/>
      <c r="D17" s="993"/>
      <c r="E17" s="993"/>
      <c r="F17" s="993"/>
      <c r="G17" s="993"/>
      <c r="H17" s="993"/>
      <c r="I17" s="1044" t="e">
        <f>AVERAGE(B17:G17)</f>
        <v>#DIV/0!</v>
      </c>
      <c r="J17" s="1131" t="e">
        <f>275*I17</f>
        <v>#DIV/0!</v>
      </c>
      <c r="K17" s="1129"/>
      <c r="L17" s="1129"/>
      <c r="M17" s="1129"/>
      <c r="N17" s="1129"/>
      <c r="O17" s="1129"/>
      <c r="P17" s="1129"/>
      <c r="Q17" s="1129"/>
      <c r="R17" s="1129"/>
      <c r="S17" s="1129"/>
      <c r="T17" s="1129"/>
      <c r="U17" s="1129"/>
      <c r="V17" s="1129"/>
      <c r="W17" s="1129"/>
      <c r="X17" s="1129"/>
    </row>
    <row r="18" spans="1:32" hidden="1">
      <c r="A18" s="797"/>
      <c r="B18" s="798"/>
      <c r="C18" s="798"/>
      <c r="D18" s="798"/>
      <c r="E18" s="798"/>
      <c r="F18" s="798"/>
      <c r="G18" s="798"/>
      <c r="H18" s="798"/>
      <c r="I18" s="799"/>
      <c r="J18" s="1132"/>
    </row>
    <row r="19" spans="1:32" hidden="1">
      <c r="A19" s="1018" t="s">
        <v>8124</v>
      </c>
      <c r="B19" s="1026"/>
      <c r="C19" s="1027"/>
      <c r="D19" s="1027"/>
      <c r="E19" s="1027"/>
      <c r="F19" s="1027"/>
      <c r="G19" s="1027"/>
      <c r="H19" s="1027"/>
      <c r="I19" s="991">
        <f>B19</f>
        <v>0</v>
      </c>
      <c r="J19" s="1133">
        <f>I19*0.2*A2</f>
        <v>0</v>
      </c>
      <c r="K19" s="1134"/>
      <c r="L19" s="1134"/>
      <c r="M19" s="1134"/>
      <c r="N19" s="1134"/>
      <c r="O19" s="1134"/>
      <c r="P19" s="1134"/>
      <c r="Q19" s="1134"/>
      <c r="R19" s="1134"/>
      <c r="S19" s="1134"/>
      <c r="T19" s="1134"/>
      <c r="U19" s="1134"/>
      <c r="V19" s="1134"/>
      <c r="W19" s="1134"/>
      <c r="X19" s="1134"/>
    </row>
    <row r="20" spans="1:32" ht="17.399999999999999">
      <c r="A20" s="797"/>
      <c r="B20" s="798"/>
      <c r="C20" s="798"/>
      <c r="D20" s="798"/>
      <c r="E20" s="798"/>
      <c r="F20" s="798"/>
      <c r="G20" s="798"/>
      <c r="H20" s="798"/>
      <c r="I20" s="1072"/>
      <c r="J20" s="1135" t="s">
        <v>7827</v>
      </c>
      <c r="K20" s="1136"/>
      <c r="L20" s="1136"/>
      <c r="M20" s="1136"/>
      <c r="N20" s="1136"/>
      <c r="O20" s="1136"/>
      <c r="P20" s="1136"/>
      <c r="Q20" s="1136"/>
      <c r="R20" s="1136"/>
      <c r="S20" s="1136"/>
      <c r="T20" s="1136"/>
      <c r="U20" s="1136"/>
      <c r="V20" s="1136"/>
      <c r="W20" s="1136"/>
      <c r="X20" s="1136"/>
      <c r="Y20" s="1137"/>
      <c r="Z20" s="1138"/>
      <c r="AA20" s="1139"/>
    </row>
    <row r="21" spans="1:32" ht="15.6">
      <c r="A21" s="1140" t="s">
        <v>3927</v>
      </c>
      <c r="B21" s="1078"/>
      <c r="C21" s="1078"/>
      <c r="D21" s="1078"/>
      <c r="E21" s="1078"/>
      <c r="F21" s="1078"/>
      <c r="J21" s="946" t="s">
        <v>3373</v>
      </c>
      <c r="K21" s="946" t="s">
        <v>3374</v>
      </c>
      <c r="L21" s="947" t="s">
        <v>3375</v>
      </c>
      <c r="M21" s="947" t="s">
        <v>3376</v>
      </c>
      <c r="N21" s="946" t="s">
        <v>3377</v>
      </c>
      <c r="O21" s="946" t="s">
        <v>3378</v>
      </c>
      <c r="P21" s="946" t="s">
        <v>3373</v>
      </c>
      <c r="Q21" s="946" t="s">
        <v>3374</v>
      </c>
      <c r="R21" s="947" t="s">
        <v>3375</v>
      </c>
      <c r="S21" s="947" t="s">
        <v>3376</v>
      </c>
      <c r="T21" s="948" t="s">
        <v>3377</v>
      </c>
      <c r="U21" s="948" t="s">
        <v>3378</v>
      </c>
      <c r="V21" s="1141"/>
      <c r="W21" s="1141"/>
      <c r="X21" s="1141"/>
      <c r="Y21" s="1141"/>
      <c r="Z21" s="1142"/>
      <c r="AA21" s="1143"/>
      <c r="AB21" s="1144"/>
      <c r="AC21" s="1144"/>
      <c r="AD21" s="1144"/>
      <c r="AE21" s="1144"/>
      <c r="AF21" s="1145"/>
    </row>
    <row r="22" spans="1:32" ht="13.8" thickBot="1">
      <c r="A22" s="1146" t="s">
        <v>3928</v>
      </c>
      <c r="B22" s="1147" t="s">
        <v>3373</v>
      </c>
      <c r="C22" s="1147" t="s">
        <v>3374</v>
      </c>
      <c r="D22" s="1147" t="s">
        <v>3375</v>
      </c>
      <c r="E22" s="1148" t="s">
        <v>3376</v>
      </c>
      <c r="F22" s="1147" t="s">
        <v>3377</v>
      </c>
      <c r="G22" s="1147" t="s">
        <v>3378</v>
      </c>
      <c r="H22" s="1148" t="s">
        <v>7828</v>
      </c>
      <c r="I22" s="1149" t="s">
        <v>3929</v>
      </c>
      <c r="J22" s="1149" t="s">
        <v>5533</v>
      </c>
      <c r="K22" s="1149" t="s">
        <v>5533</v>
      </c>
      <c r="L22" s="1149" t="s">
        <v>5533</v>
      </c>
      <c r="M22" s="1149" t="s">
        <v>5533</v>
      </c>
      <c r="N22" s="1149" t="s">
        <v>5533</v>
      </c>
      <c r="O22" s="1150" t="s">
        <v>5533</v>
      </c>
      <c r="P22" s="1151" t="s">
        <v>5534</v>
      </c>
      <c r="Q22" s="1151" t="s">
        <v>5534</v>
      </c>
      <c r="R22" s="1151" t="s">
        <v>5534</v>
      </c>
      <c r="S22" s="1151" t="s">
        <v>5534</v>
      </c>
      <c r="T22" s="1152" t="s">
        <v>5534</v>
      </c>
      <c r="U22" s="1152" t="s">
        <v>5534</v>
      </c>
      <c r="V22" s="1151" t="s">
        <v>5534</v>
      </c>
      <c r="W22" s="1153" t="s">
        <v>8125</v>
      </c>
      <c r="X22" s="1154" t="s">
        <v>8123</v>
      </c>
      <c r="Y22" s="1155" t="s">
        <v>3930</v>
      </c>
      <c r="Z22" s="1156" t="s">
        <v>3931</v>
      </c>
      <c r="AA22" s="1157"/>
    </row>
    <row r="23" spans="1:32">
      <c r="A23" s="776" t="s">
        <v>5535</v>
      </c>
      <c r="B23" s="1220">
        <v>0</v>
      </c>
      <c r="C23" s="1220">
        <v>0</v>
      </c>
      <c r="D23" s="1220">
        <v>0</v>
      </c>
      <c r="E23" s="1220">
        <v>0</v>
      </c>
      <c r="F23" s="1220">
        <v>0</v>
      </c>
      <c r="G23" s="1220">
        <v>0</v>
      </c>
      <c r="H23" s="1106">
        <f>SUM(B23:G23)</f>
        <v>0</v>
      </c>
      <c r="I23" s="777">
        <v>0.25</v>
      </c>
      <c r="J23" s="937">
        <v>0</v>
      </c>
      <c r="K23" s="937">
        <v>0</v>
      </c>
      <c r="L23" s="937">
        <v>0</v>
      </c>
      <c r="M23" s="937">
        <v>0</v>
      </c>
      <c r="N23" s="937">
        <v>0</v>
      </c>
      <c r="O23" s="937">
        <v>0</v>
      </c>
      <c r="P23" s="1158" t="str">
        <f>IF(B23&gt;=1,SUM((B23*$I23-J23)/(6*B$8)),"")</f>
        <v/>
      </c>
      <c r="Q23" s="1158" t="str">
        <f t="shared" ref="Q23:U23" si="3">IF(C23&gt;=1,SUM((C23*$I23-K23)/(6*C$8)),"")</f>
        <v/>
      </c>
      <c r="R23" s="1158" t="str">
        <f t="shared" si="3"/>
        <v/>
      </c>
      <c r="S23" s="1158" t="str">
        <f t="shared" si="3"/>
        <v/>
      </c>
      <c r="T23" s="1158" t="str">
        <f t="shared" si="3"/>
        <v/>
      </c>
      <c r="U23" s="1158" t="str">
        <f t="shared" si="3"/>
        <v/>
      </c>
      <c r="V23" s="952">
        <f t="shared" ref="V23:V35" si="4">IF(H23:H136,AVERAGE(P23:U23),0)</f>
        <v>0</v>
      </c>
      <c r="W23" s="1024">
        <v>5</v>
      </c>
      <c r="X23" s="1016">
        <f>V23*W23</f>
        <v>0</v>
      </c>
      <c r="Y23" s="802" t="s">
        <v>3932</v>
      </c>
      <c r="Z23" s="1045">
        <f>X23*A2</f>
        <v>0</v>
      </c>
      <c r="AA23" s="1157"/>
      <c r="AB23" s="699"/>
    </row>
    <row r="24" spans="1:32">
      <c r="A24" s="776" t="s">
        <v>5536</v>
      </c>
      <c r="B24" s="1220">
        <v>0</v>
      </c>
      <c r="C24" s="1220">
        <v>0</v>
      </c>
      <c r="D24" s="1220">
        <v>0</v>
      </c>
      <c r="E24" s="1220">
        <v>0</v>
      </c>
      <c r="F24" s="1220">
        <v>0</v>
      </c>
      <c r="G24" s="1220">
        <v>0</v>
      </c>
      <c r="H24" s="1106">
        <f t="shared" ref="H24:H35" si="5">SUM(B24:G24)</f>
        <v>0</v>
      </c>
      <c r="I24" s="777">
        <v>1</v>
      </c>
      <c r="J24" s="937">
        <v>0</v>
      </c>
      <c r="K24" s="937">
        <v>0</v>
      </c>
      <c r="L24" s="937">
        <v>0</v>
      </c>
      <c r="M24" s="937">
        <v>0</v>
      </c>
      <c r="N24" s="937">
        <v>0</v>
      </c>
      <c r="O24" s="937">
        <v>0</v>
      </c>
      <c r="P24" s="1158" t="str">
        <f t="shared" ref="P24:P35" si="6">IF(B24&gt;=1,SUM((B24*$I24-J24)/(6*B$8)),"")</f>
        <v/>
      </c>
      <c r="Q24" s="1158" t="str">
        <f t="shared" ref="Q24:Q35" si="7">IF(C24&gt;=1,SUM((C24*$I24-K24)/(6*C$8)),"")</f>
        <v/>
      </c>
      <c r="R24" s="1158" t="str">
        <f t="shared" ref="R24:R35" si="8">IF(D24&gt;=1,SUM((D24*$I24-L24)/(6*D$8)),"")</f>
        <v/>
      </c>
      <c r="S24" s="1158" t="str">
        <f t="shared" ref="S24:S35" si="9">IF(E24&gt;=1,SUM((E24*$I24-M24)/(6*E$8)),"")</f>
        <v/>
      </c>
      <c r="T24" s="1158" t="str">
        <f t="shared" ref="T24:T35" si="10">IF(F24&gt;=1,SUM((F24*$I24-N24)/(6*F$8)),"")</f>
        <v/>
      </c>
      <c r="U24" s="1158" t="str">
        <f t="shared" ref="U24:U35" si="11">IF(G24&gt;=1,SUM((G24*$I24-O24)/(6*G$8)),"")</f>
        <v/>
      </c>
      <c r="V24" s="952">
        <f t="shared" si="4"/>
        <v>0</v>
      </c>
      <c r="W24" s="1024">
        <v>5</v>
      </c>
      <c r="X24" s="1016">
        <f t="shared" ref="X24:X35" si="12">V24*W24</f>
        <v>0</v>
      </c>
      <c r="Y24" s="802" t="s">
        <v>3933</v>
      </c>
      <c r="Z24" s="1045">
        <f>X24*A2</f>
        <v>0</v>
      </c>
      <c r="AA24" s="1157"/>
      <c r="AB24" s="699"/>
    </row>
    <row r="25" spans="1:32">
      <c r="A25" s="776" t="s">
        <v>5537</v>
      </c>
      <c r="B25" s="1220">
        <v>0</v>
      </c>
      <c r="C25" s="1220">
        <v>0</v>
      </c>
      <c r="D25" s="1220">
        <v>0</v>
      </c>
      <c r="E25" s="1220">
        <v>0</v>
      </c>
      <c r="F25" s="1220">
        <v>0</v>
      </c>
      <c r="G25" s="1220">
        <v>0</v>
      </c>
      <c r="H25" s="1106">
        <f t="shared" si="5"/>
        <v>0</v>
      </c>
      <c r="I25" s="777">
        <v>4.5</v>
      </c>
      <c r="J25" s="937">
        <v>0</v>
      </c>
      <c r="K25" s="937">
        <v>0</v>
      </c>
      <c r="L25" s="937">
        <v>0</v>
      </c>
      <c r="M25" s="937">
        <v>0</v>
      </c>
      <c r="N25" s="937">
        <v>0</v>
      </c>
      <c r="O25" s="937">
        <v>0</v>
      </c>
      <c r="P25" s="1158" t="str">
        <f t="shared" si="6"/>
        <v/>
      </c>
      <c r="Q25" s="1158" t="str">
        <f t="shared" si="7"/>
        <v/>
      </c>
      <c r="R25" s="1158" t="str">
        <f t="shared" si="8"/>
        <v/>
      </c>
      <c r="S25" s="1158" t="str">
        <f t="shared" si="9"/>
        <v/>
      </c>
      <c r="T25" s="1158" t="str">
        <f t="shared" si="10"/>
        <v/>
      </c>
      <c r="U25" s="1158" t="str">
        <f t="shared" si="11"/>
        <v/>
      </c>
      <c r="V25" s="952">
        <f t="shared" si="4"/>
        <v>0</v>
      </c>
      <c r="W25" s="1024">
        <v>5</v>
      </c>
      <c r="X25" s="1016">
        <f t="shared" si="12"/>
        <v>0</v>
      </c>
      <c r="Y25" s="802" t="s">
        <v>3934</v>
      </c>
      <c r="Z25" s="1045">
        <f>X25*A2</f>
        <v>0</v>
      </c>
      <c r="AA25" s="1157"/>
      <c r="AB25" s="699"/>
    </row>
    <row r="26" spans="1:32">
      <c r="A26" s="778" t="s">
        <v>5538</v>
      </c>
      <c r="B26" s="1220">
        <v>0</v>
      </c>
      <c r="C26" s="1220">
        <v>0</v>
      </c>
      <c r="D26" s="1220">
        <v>0</v>
      </c>
      <c r="E26" s="1220">
        <v>0</v>
      </c>
      <c r="F26" s="1220">
        <v>0</v>
      </c>
      <c r="G26" s="1220">
        <v>0</v>
      </c>
      <c r="H26" s="1106">
        <f t="shared" si="5"/>
        <v>0</v>
      </c>
      <c r="I26" s="777">
        <v>5.5</v>
      </c>
      <c r="J26" s="937">
        <v>0</v>
      </c>
      <c r="K26" s="937">
        <v>0</v>
      </c>
      <c r="L26" s="937">
        <v>0</v>
      </c>
      <c r="M26" s="937">
        <v>0</v>
      </c>
      <c r="N26" s="937">
        <v>0</v>
      </c>
      <c r="O26" s="937">
        <v>0</v>
      </c>
      <c r="P26" s="1158" t="str">
        <f t="shared" si="6"/>
        <v/>
      </c>
      <c r="Q26" s="1158" t="str">
        <f t="shared" si="7"/>
        <v/>
      </c>
      <c r="R26" s="1158" t="str">
        <f t="shared" si="8"/>
        <v/>
      </c>
      <c r="S26" s="1158" t="str">
        <f t="shared" si="9"/>
        <v/>
      </c>
      <c r="T26" s="1158" t="str">
        <f t="shared" si="10"/>
        <v/>
      </c>
      <c r="U26" s="1158" t="str">
        <f t="shared" si="11"/>
        <v/>
      </c>
      <c r="V26" s="952">
        <f t="shared" si="4"/>
        <v>0</v>
      </c>
      <c r="W26" s="1024">
        <v>2.2999999999999998</v>
      </c>
      <c r="X26" s="1016">
        <f t="shared" si="12"/>
        <v>0</v>
      </c>
      <c r="Y26" s="803" t="s">
        <v>3935</v>
      </c>
      <c r="Z26" s="1045">
        <f>X26*A2</f>
        <v>0</v>
      </c>
      <c r="AA26" s="1159"/>
      <c r="AB26" s="699"/>
    </row>
    <row r="27" spans="1:32">
      <c r="A27" s="778" t="s">
        <v>3936</v>
      </c>
      <c r="B27" s="1220">
        <v>0</v>
      </c>
      <c r="C27" s="1220">
        <v>0</v>
      </c>
      <c r="D27" s="1220">
        <v>0</v>
      </c>
      <c r="E27" s="1220">
        <v>0</v>
      </c>
      <c r="F27" s="1220">
        <v>0</v>
      </c>
      <c r="G27" s="1220">
        <v>0</v>
      </c>
      <c r="H27" s="1106">
        <f t="shared" si="5"/>
        <v>0</v>
      </c>
      <c r="I27" s="777">
        <v>5.5</v>
      </c>
      <c r="J27" s="937">
        <v>0</v>
      </c>
      <c r="K27" s="937">
        <v>0</v>
      </c>
      <c r="L27" s="937">
        <v>0</v>
      </c>
      <c r="M27" s="937">
        <v>0</v>
      </c>
      <c r="N27" s="937">
        <v>0</v>
      </c>
      <c r="O27" s="937">
        <v>0</v>
      </c>
      <c r="P27" s="1158" t="str">
        <f t="shared" si="6"/>
        <v/>
      </c>
      <c r="Q27" s="1158" t="str">
        <f t="shared" si="7"/>
        <v/>
      </c>
      <c r="R27" s="1158" t="str">
        <f t="shared" si="8"/>
        <v/>
      </c>
      <c r="S27" s="1158" t="str">
        <f t="shared" si="9"/>
        <v/>
      </c>
      <c r="T27" s="1158" t="str">
        <f t="shared" si="10"/>
        <v/>
      </c>
      <c r="U27" s="1158" t="str">
        <f t="shared" si="11"/>
        <v/>
      </c>
      <c r="V27" s="952">
        <f t="shared" si="4"/>
        <v>0</v>
      </c>
      <c r="W27" s="1024">
        <v>2.8</v>
      </c>
      <c r="X27" s="1016">
        <f t="shared" si="12"/>
        <v>0</v>
      </c>
      <c r="Y27" s="803" t="s">
        <v>3937</v>
      </c>
      <c r="Z27" s="1045">
        <f>X27*A2</f>
        <v>0</v>
      </c>
      <c r="AA27" s="1160"/>
      <c r="AB27" s="699"/>
    </row>
    <row r="28" spans="1:32">
      <c r="A28" s="776" t="s">
        <v>5539</v>
      </c>
      <c r="B28" s="1220">
        <v>0</v>
      </c>
      <c r="C28" s="1220">
        <v>0</v>
      </c>
      <c r="D28" s="1220">
        <v>0</v>
      </c>
      <c r="E28" s="1220">
        <v>0</v>
      </c>
      <c r="F28" s="1220">
        <v>0</v>
      </c>
      <c r="G28" s="1220">
        <v>0</v>
      </c>
      <c r="H28" s="1106">
        <f t="shared" si="5"/>
        <v>0</v>
      </c>
      <c r="I28" s="777">
        <v>2.859</v>
      </c>
      <c r="J28" s="937">
        <v>0</v>
      </c>
      <c r="K28" s="937">
        <v>0</v>
      </c>
      <c r="L28" s="937">
        <v>0</v>
      </c>
      <c r="M28" s="937">
        <v>0</v>
      </c>
      <c r="N28" s="937">
        <v>0</v>
      </c>
      <c r="O28" s="937">
        <v>0</v>
      </c>
      <c r="P28" s="1158" t="str">
        <f t="shared" si="6"/>
        <v/>
      </c>
      <c r="Q28" s="1158" t="str">
        <f t="shared" si="7"/>
        <v/>
      </c>
      <c r="R28" s="1158" t="str">
        <f t="shared" si="8"/>
        <v/>
      </c>
      <c r="S28" s="1158" t="str">
        <f t="shared" si="9"/>
        <v/>
      </c>
      <c r="T28" s="1158" t="str">
        <f t="shared" si="10"/>
        <v/>
      </c>
      <c r="U28" s="1158" t="str">
        <f t="shared" si="11"/>
        <v/>
      </c>
      <c r="V28" s="952">
        <f t="shared" si="4"/>
        <v>0</v>
      </c>
      <c r="W28" s="1024">
        <v>3</v>
      </c>
      <c r="X28" s="1016">
        <f t="shared" si="12"/>
        <v>0</v>
      </c>
      <c r="Y28" s="802" t="s">
        <v>3938</v>
      </c>
      <c r="Z28" s="1045">
        <f>X28*A2</f>
        <v>0</v>
      </c>
      <c r="AA28" s="1159"/>
      <c r="AB28" s="699"/>
    </row>
    <row r="29" spans="1:32">
      <c r="A29" s="776" t="s">
        <v>5540</v>
      </c>
      <c r="B29" s="1220">
        <v>0</v>
      </c>
      <c r="C29" s="1220">
        <v>0</v>
      </c>
      <c r="D29" s="1220">
        <v>0</v>
      </c>
      <c r="E29" s="1220">
        <v>0</v>
      </c>
      <c r="F29" s="1220">
        <v>0</v>
      </c>
      <c r="G29" s="1220">
        <v>0</v>
      </c>
      <c r="H29" s="1106">
        <f t="shared" si="5"/>
        <v>0</v>
      </c>
      <c r="I29" s="777">
        <v>2.859</v>
      </c>
      <c r="J29" s="937">
        <v>0</v>
      </c>
      <c r="K29" s="937">
        <v>0</v>
      </c>
      <c r="L29" s="937">
        <v>0</v>
      </c>
      <c r="M29" s="937">
        <v>0</v>
      </c>
      <c r="N29" s="937">
        <v>0</v>
      </c>
      <c r="O29" s="937">
        <v>0</v>
      </c>
      <c r="P29" s="1158" t="str">
        <f t="shared" si="6"/>
        <v/>
      </c>
      <c r="Q29" s="1158" t="str">
        <f t="shared" si="7"/>
        <v/>
      </c>
      <c r="R29" s="1158" t="str">
        <f t="shared" si="8"/>
        <v/>
      </c>
      <c r="S29" s="1158" t="str">
        <f t="shared" si="9"/>
        <v/>
      </c>
      <c r="T29" s="1158" t="str">
        <f t="shared" si="10"/>
        <v/>
      </c>
      <c r="U29" s="1158" t="str">
        <f t="shared" si="11"/>
        <v/>
      </c>
      <c r="V29" s="952">
        <f t="shared" si="4"/>
        <v>0</v>
      </c>
      <c r="W29" s="1024">
        <v>3</v>
      </c>
      <c r="X29" s="1016">
        <f t="shared" si="12"/>
        <v>0</v>
      </c>
      <c r="Y29" s="802" t="s">
        <v>3939</v>
      </c>
      <c r="Z29" s="1045">
        <f>X29*A2</f>
        <v>0</v>
      </c>
      <c r="AA29" s="1161"/>
      <c r="AB29" s="699"/>
    </row>
    <row r="30" spans="1:32">
      <c r="A30" s="776" t="s">
        <v>5541</v>
      </c>
      <c r="B30" s="1220">
        <v>0</v>
      </c>
      <c r="C30" s="1220">
        <v>0</v>
      </c>
      <c r="D30" s="1220">
        <v>0</v>
      </c>
      <c r="E30" s="1220">
        <v>0</v>
      </c>
      <c r="F30" s="1220">
        <v>0</v>
      </c>
      <c r="G30" s="1220">
        <v>0</v>
      </c>
      <c r="H30" s="1106">
        <f t="shared" si="5"/>
        <v>0</v>
      </c>
      <c r="I30" s="777">
        <v>2.859</v>
      </c>
      <c r="J30" s="937">
        <v>0</v>
      </c>
      <c r="K30" s="937">
        <v>0</v>
      </c>
      <c r="L30" s="937">
        <v>0</v>
      </c>
      <c r="M30" s="937">
        <v>0</v>
      </c>
      <c r="N30" s="937">
        <v>0</v>
      </c>
      <c r="O30" s="937">
        <v>0</v>
      </c>
      <c r="P30" s="1158" t="str">
        <f t="shared" si="6"/>
        <v/>
      </c>
      <c r="Q30" s="1158" t="str">
        <f t="shared" si="7"/>
        <v/>
      </c>
      <c r="R30" s="1158" t="str">
        <f t="shared" si="8"/>
        <v/>
      </c>
      <c r="S30" s="1158" t="str">
        <f t="shared" si="9"/>
        <v/>
      </c>
      <c r="T30" s="1158" t="str">
        <f t="shared" si="10"/>
        <v/>
      </c>
      <c r="U30" s="1158" t="str">
        <f t="shared" si="11"/>
        <v/>
      </c>
      <c r="V30" s="952">
        <f t="shared" si="4"/>
        <v>0</v>
      </c>
      <c r="W30" s="1024">
        <v>3</v>
      </c>
      <c r="X30" s="1016">
        <f t="shared" si="12"/>
        <v>0</v>
      </c>
      <c r="Y30" s="802" t="s">
        <v>3940</v>
      </c>
      <c r="Z30" s="1045">
        <f>X30*A2</f>
        <v>0</v>
      </c>
      <c r="AA30" s="1160"/>
      <c r="AB30" s="699"/>
    </row>
    <row r="31" spans="1:32">
      <c r="A31" s="776" t="s">
        <v>5542</v>
      </c>
      <c r="B31" s="1220">
        <v>0</v>
      </c>
      <c r="C31" s="1220">
        <v>0</v>
      </c>
      <c r="D31" s="1220">
        <v>0</v>
      </c>
      <c r="E31" s="1220">
        <v>0</v>
      </c>
      <c r="F31" s="1220">
        <v>0</v>
      </c>
      <c r="G31" s="1220">
        <v>0</v>
      </c>
      <c r="H31" s="1106">
        <f t="shared" si="5"/>
        <v>0</v>
      </c>
      <c r="I31" s="777">
        <v>2.859</v>
      </c>
      <c r="J31" s="937">
        <v>0</v>
      </c>
      <c r="K31" s="937">
        <v>0</v>
      </c>
      <c r="L31" s="937">
        <v>0</v>
      </c>
      <c r="M31" s="937">
        <v>0</v>
      </c>
      <c r="N31" s="937">
        <v>0</v>
      </c>
      <c r="O31" s="937">
        <v>0</v>
      </c>
      <c r="P31" s="1158" t="str">
        <f t="shared" si="6"/>
        <v/>
      </c>
      <c r="Q31" s="1158" t="str">
        <f t="shared" si="7"/>
        <v/>
      </c>
      <c r="R31" s="1158" t="str">
        <f t="shared" si="8"/>
        <v/>
      </c>
      <c r="S31" s="1158" t="str">
        <f t="shared" si="9"/>
        <v/>
      </c>
      <c r="T31" s="1158" t="str">
        <f t="shared" si="10"/>
        <v/>
      </c>
      <c r="U31" s="1158" t="str">
        <f t="shared" si="11"/>
        <v/>
      </c>
      <c r="V31" s="952">
        <f t="shared" si="4"/>
        <v>0</v>
      </c>
      <c r="W31" s="1024">
        <v>3</v>
      </c>
      <c r="X31" s="1016">
        <f t="shared" si="12"/>
        <v>0</v>
      </c>
      <c r="Y31" s="802" t="s">
        <v>3941</v>
      </c>
      <c r="Z31" s="1045">
        <f>X31*A2</f>
        <v>0</v>
      </c>
      <c r="AA31" s="1160"/>
      <c r="AB31" s="699"/>
    </row>
    <row r="32" spans="1:32">
      <c r="A32" s="779" t="s">
        <v>5543</v>
      </c>
      <c r="B32" s="1220">
        <v>0</v>
      </c>
      <c r="C32" s="1220">
        <v>0</v>
      </c>
      <c r="D32" s="1220">
        <v>0</v>
      </c>
      <c r="E32" s="1220">
        <v>0</v>
      </c>
      <c r="F32" s="1220">
        <v>0</v>
      </c>
      <c r="G32" s="1220">
        <v>0</v>
      </c>
      <c r="H32" s="1106">
        <f t="shared" si="5"/>
        <v>0</v>
      </c>
      <c r="I32" s="777">
        <v>2.859</v>
      </c>
      <c r="J32" s="938">
        <v>0</v>
      </c>
      <c r="K32" s="938">
        <v>0</v>
      </c>
      <c r="L32" s="938">
        <v>0</v>
      </c>
      <c r="M32" s="938">
        <v>0</v>
      </c>
      <c r="N32" s="938">
        <v>0</v>
      </c>
      <c r="O32" s="938">
        <v>0</v>
      </c>
      <c r="P32" s="1158" t="str">
        <f t="shared" si="6"/>
        <v/>
      </c>
      <c r="Q32" s="1158" t="str">
        <f t="shared" si="7"/>
        <v/>
      </c>
      <c r="R32" s="1158" t="str">
        <f t="shared" si="8"/>
        <v/>
      </c>
      <c r="S32" s="1158" t="str">
        <f t="shared" si="9"/>
        <v/>
      </c>
      <c r="T32" s="1158" t="str">
        <f t="shared" si="10"/>
        <v/>
      </c>
      <c r="U32" s="1158" t="str">
        <f t="shared" si="11"/>
        <v/>
      </c>
      <c r="V32" s="952">
        <f t="shared" si="4"/>
        <v>0</v>
      </c>
      <c r="W32" s="1024">
        <v>3</v>
      </c>
      <c r="X32" s="1016">
        <f t="shared" si="12"/>
        <v>0</v>
      </c>
      <c r="Y32" s="804" t="s">
        <v>3942</v>
      </c>
      <c r="Z32" s="1045">
        <f>X32*A2</f>
        <v>0</v>
      </c>
      <c r="AA32" s="1160"/>
      <c r="AB32" s="699"/>
    </row>
    <row r="33" spans="1:32">
      <c r="A33" s="776" t="s">
        <v>3943</v>
      </c>
      <c r="B33" s="1220">
        <v>0</v>
      </c>
      <c r="C33" s="1220">
        <v>0</v>
      </c>
      <c r="D33" s="1220">
        <v>0</v>
      </c>
      <c r="E33" s="1220">
        <v>0</v>
      </c>
      <c r="F33" s="1220">
        <v>0</v>
      </c>
      <c r="G33" s="1220">
        <v>0</v>
      </c>
      <c r="H33" s="1106">
        <f t="shared" si="5"/>
        <v>0</v>
      </c>
      <c r="I33" s="780">
        <v>5.5</v>
      </c>
      <c r="J33" s="938">
        <v>0</v>
      </c>
      <c r="K33" s="938">
        <v>0</v>
      </c>
      <c r="L33" s="938">
        <v>0</v>
      </c>
      <c r="M33" s="938">
        <v>0</v>
      </c>
      <c r="N33" s="938">
        <v>0</v>
      </c>
      <c r="O33" s="938">
        <v>0</v>
      </c>
      <c r="P33" s="1158" t="str">
        <f t="shared" si="6"/>
        <v/>
      </c>
      <c r="Q33" s="1158" t="str">
        <f t="shared" si="7"/>
        <v/>
      </c>
      <c r="R33" s="1158" t="str">
        <f t="shared" si="8"/>
        <v/>
      </c>
      <c r="S33" s="1158" t="str">
        <f t="shared" si="9"/>
        <v/>
      </c>
      <c r="T33" s="1158" t="str">
        <f t="shared" si="10"/>
        <v/>
      </c>
      <c r="U33" s="1158" t="str">
        <f t="shared" si="11"/>
        <v/>
      </c>
      <c r="V33" s="952">
        <f t="shared" si="4"/>
        <v>0</v>
      </c>
      <c r="W33" s="1024">
        <v>4</v>
      </c>
      <c r="X33" s="1016">
        <f t="shared" si="12"/>
        <v>0</v>
      </c>
      <c r="Y33" s="802" t="s">
        <v>3944</v>
      </c>
      <c r="Z33" s="1045">
        <f>X33*A2</f>
        <v>0</v>
      </c>
      <c r="AA33" s="1160"/>
      <c r="AB33" s="699"/>
    </row>
    <row r="34" spans="1:32">
      <c r="A34" s="781" t="s">
        <v>3945</v>
      </c>
      <c r="B34" s="1220">
        <v>0</v>
      </c>
      <c r="C34" s="1220">
        <v>0</v>
      </c>
      <c r="D34" s="1220">
        <v>0</v>
      </c>
      <c r="E34" s="1220">
        <v>0</v>
      </c>
      <c r="F34" s="1220">
        <v>0</v>
      </c>
      <c r="G34" s="1220">
        <v>0</v>
      </c>
      <c r="H34" s="1106">
        <f t="shared" si="5"/>
        <v>0</v>
      </c>
      <c r="I34" s="777">
        <v>4.25</v>
      </c>
      <c r="J34" s="950">
        <v>0</v>
      </c>
      <c r="K34" s="950">
        <v>0</v>
      </c>
      <c r="L34" s="950">
        <v>0</v>
      </c>
      <c r="M34" s="950">
        <v>0</v>
      </c>
      <c r="N34" s="950">
        <v>0</v>
      </c>
      <c r="O34" s="950">
        <v>0</v>
      </c>
      <c r="P34" s="1158" t="str">
        <f t="shared" si="6"/>
        <v/>
      </c>
      <c r="Q34" s="1158" t="str">
        <f t="shared" si="7"/>
        <v/>
      </c>
      <c r="R34" s="1158" t="str">
        <f t="shared" si="8"/>
        <v/>
      </c>
      <c r="S34" s="1158" t="str">
        <f t="shared" si="9"/>
        <v/>
      </c>
      <c r="T34" s="1158" t="str">
        <f t="shared" si="10"/>
        <v/>
      </c>
      <c r="U34" s="1158" t="str">
        <f t="shared" si="11"/>
        <v/>
      </c>
      <c r="V34" s="952">
        <f t="shared" si="4"/>
        <v>0</v>
      </c>
      <c r="W34" s="1024">
        <v>2.7</v>
      </c>
      <c r="X34" s="1016">
        <f t="shared" si="12"/>
        <v>0</v>
      </c>
      <c r="Y34" s="805" t="s">
        <v>3946</v>
      </c>
      <c r="Z34" s="1045">
        <f>X34*A2</f>
        <v>0</v>
      </c>
      <c r="AA34" s="1160"/>
      <c r="AB34" s="699"/>
    </row>
    <row r="35" spans="1:32" ht="13.8" thickBot="1">
      <c r="A35" s="1219" t="s">
        <v>5544</v>
      </c>
      <c r="B35" s="1221">
        <v>0</v>
      </c>
      <c r="C35" s="1222">
        <v>0</v>
      </c>
      <c r="D35" s="1222">
        <v>0</v>
      </c>
      <c r="E35" s="1222">
        <v>0</v>
      </c>
      <c r="F35" s="1222">
        <v>0</v>
      </c>
      <c r="G35" s="1222">
        <v>0</v>
      </c>
      <c r="H35" s="1106">
        <f t="shared" si="5"/>
        <v>0</v>
      </c>
      <c r="I35" s="777">
        <v>0</v>
      </c>
      <c r="J35" s="938">
        <v>0</v>
      </c>
      <c r="K35" s="938">
        <v>0</v>
      </c>
      <c r="L35" s="938">
        <v>0</v>
      </c>
      <c r="M35" s="938">
        <v>0</v>
      </c>
      <c r="N35" s="938">
        <v>0</v>
      </c>
      <c r="O35" s="938">
        <v>0</v>
      </c>
      <c r="P35" s="1158" t="str">
        <f t="shared" si="6"/>
        <v/>
      </c>
      <c r="Q35" s="1158" t="str">
        <f t="shared" si="7"/>
        <v/>
      </c>
      <c r="R35" s="1158" t="str">
        <f t="shared" si="8"/>
        <v/>
      </c>
      <c r="S35" s="1158" t="str">
        <f t="shared" si="9"/>
        <v/>
      </c>
      <c r="T35" s="1158" t="str">
        <f t="shared" si="10"/>
        <v/>
      </c>
      <c r="U35" s="1158" t="str">
        <f t="shared" si="11"/>
        <v/>
      </c>
      <c r="V35" s="1061">
        <f t="shared" si="4"/>
        <v>0</v>
      </c>
      <c r="W35" s="1062">
        <v>0</v>
      </c>
      <c r="X35" s="1063">
        <f t="shared" si="12"/>
        <v>0</v>
      </c>
      <c r="Y35" s="802" t="s">
        <v>3947</v>
      </c>
      <c r="Z35" s="1045">
        <f>X35*A2</f>
        <v>0</v>
      </c>
      <c r="AA35" s="1160"/>
      <c r="AB35" s="699"/>
    </row>
    <row r="36" spans="1:32" ht="14.4" thickTop="1" thickBot="1">
      <c r="B36" s="1162">
        <f t="shared" ref="B36:G36" si="13">SUM(B23:B35)</f>
        <v>0</v>
      </c>
      <c r="C36" s="1162">
        <f t="shared" si="13"/>
        <v>0</v>
      </c>
      <c r="D36" s="1162">
        <f t="shared" si="13"/>
        <v>0</v>
      </c>
      <c r="E36" s="1162">
        <f t="shared" si="13"/>
        <v>0</v>
      </c>
      <c r="F36" s="1162">
        <f t="shared" si="13"/>
        <v>0</v>
      </c>
      <c r="G36" s="1162">
        <f t="shared" si="13"/>
        <v>0</v>
      </c>
      <c r="H36" s="1163"/>
      <c r="J36" s="782" t="s">
        <v>5545</v>
      </c>
      <c r="K36" s="783"/>
      <c r="L36" s="783"/>
      <c r="M36" s="806"/>
      <c r="N36" s="806"/>
      <c r="P36" s="951">
        <f>SUM(P23:P35)</f>
        <v>0</v>
      </c>
      <c r="Q36" s="951">
        <f t="shared" ref="Q36:U36" si="14">SUM(Q23:Q35)</f>
        <v>0</v>
      </c>
      <c r="R36" s="951">
        <f t="shared" si="14"/>
        <v>0</v>
      </c>
      <c r="S36" s="951">
        <f t="shared" si="14"/>
        <v>0</v>
      </c>
      <c r="T36" s="951">
        <f t="shared" si="14"/>
        <v>0</v>
      </c>
      <c r="U36" s="951">
        <f t="shared" si="14"/>
        <v>0</v>
      </c>
      <c r="V36" s="1058">
        <f>SUM(V23:V35)</f>
        <v>0</v>
      </c>
      <c r="W36" s="1059"/>
      <c r="X36" s="1060">
        <f>SUM(X23:X35)</f>
        <v>0</v>
      </c>
      <c r="Y36" s="802" t="s">
        <v>3948</v>
      </c>
      <c r="Z36" s="1045" t="e">
        <f>V38*1.1*A2</f>
        <v>#DIV/0!</v>
      </c>
      <c r="AA36" s="1160"/>
    </row>
    <row r="37" spans="1:32" ht="14.4" thickTop="1" thickBot="1">
      <c r="B37" s="1164"/>
      <c r="C37" s="1164"/>
      <c r="D37" s="1164"/>
      <c r="E37" s="1165"/>
      <c r="F37" s="1164"/>
      <c r="G37" s="1164"/>
      <c r="H37" s="1164"/>
      <c r="I37" s="784" t="s">
        <v>5546</v>
      </c>
      <c r="J37" s="785"/>
      <c r="K37" s="785"/>
      <c r="L37" s="785"/>
      <c r="M37" s="785"/>
      <c r="N37" s="785"/>
      <c r="O37" s="785"/>
      <c r="P37" s="949"/>
      <c r="Q37" s="949"/>
      <c r="R37" s="949"/>
      <c r="S37" s="949"/>
      <c r="T37" s="949"/>
      <c r="U37" s="949"/>
      <c r="V37" s="801"/>
      <c r="W37" s="1028"/>
      <c r="X37" s="1057"/>
      <c r="Y37" s="1166" t="s">
        <v>8302</v>
      </c>
      <c r="Z37" s="1046" t="e">
        <f>-SUM('2016 Certified Values'!D2*0.000010669)</f>
        <v>#N/A</v>
      </c>
      <c r="AA37" s="1160"/>
    </row>
    <row r="38" spans="1:32" ht="16.8" thickTop="1" thickBot="1">
      <c r="A38" s="807" t="s">
        <v>3949</v>
      </c>
      <c r="B38" s="939">
        <v>0</v>
      </c>
      <c r="C38" s="939">
        <v>0</v>
      </c>
      <c r="D38" s="939">
        <v>0</v>
      </c>
      <c r="E38" s="939">
        <v>0</v>
      </c>
      <c r="F38" s="939">
        <v>0</v>
      </c>
      <c r="G38" s="939">
        <v>0</v>
      </c>
      <c r="H38" s="1167"/>
      <c r="I38" s="786" t="s">
        <v>5547</v>
      </c>
      <c r="J38" s="787"/>
      <c r="K38" s="787"/>
      <c r="L38" s="954"/>
      <c r="M38" s="954"/>
      <c r="N38" s="954"/>
      <c r="O38" s="954"/>
      <c r="P38" s="954"/>
      <c r="Q38" s="954"/>
      <c r="R38" s="954"/>
      <c r="S38" s="954"/>
      <c r="T38" s="954"/>
      <c r="U38" s="954"/>
      <c r="V38" s="1017" t="e">
        <f>AVERAGE(B39:G39)</f>
        <v>#DIV/0!</v>
      </c>
      <c r="W38" s="1025">
        <v>1.1000000000000001</v>
      </c>
      <c r="X38" s="1017"/>
      <c r="Y38" s="1168" t="s">
        <v>3950</v>
      </c>
      <c r="Z38" s="1047" t="e">
        <f>SUM(Z23:Z37)</f>
        <v>#DIV/0!</v>
      </c>
      <c r="AA38" s="1169"/>
    </row>
    <row r="39" spans="1:32" ht="16.2" thickTop="1">
      <c r="A39" s="786" t="s">
        <v>5547</v>
      </c>
      <c r="B39" s="1064" t="str">
        <f>IF(B38&lt;1,"",B38/B8)</f>
        <v/>
      </c>
      <c r="C39" s="1064" t="str">
        <f t="shared" ref="C39:G39" si="15">IF(C38&lt;1,"",C38/C8)</f>
        <v/>
      </c>
      <c r="D39" s="1064" t="str">
        <f t="shared" si="15"/>
        <v/>
      </c>
      <c r="E39" s="1064" t="str">
        <f t="shared" si="15"/>
        <v/>
      </c>
      <c r="F39" s="1064" t="str">
        <f t="shared" si="15"/>
        <v/>
      </c>
      <c r="G39" s="1064" t="str">
        <f t="shared" si="15"/>
        <v/>
      </c>
      <c r="H39" s="953"/>
      <c r="I39" s="942"/>
      <c r="J39" s="785"/>
      <c r="K39" s="785"/>
      <c r="L39" s="943"/>
      <c r="M39" s="943"/>
      <c r="N39" s="943"/>
      <c r="O39" s="943"/>
      <c r="P39" s="943"/>
      <c r="Q39" s="943"/>
      <c r="R39" s="943"/>
      <c r="S39" s="943"/>
      <c r="T39" s="943"/>
      <c r="U39" s="943"/>
      <c r="V39" s="944"/>
      <c r="W39" s="944"/>
      <c r="X39" s="944"/>
      <c r="Y39" s="822"/>
      <c r="Z39" s="945"/>
      <c r="AA39" s="1169"/>
    </row>
    <row r="40" spans="1:32" ht="15.75" customHeight="1">
      <c r="A40" s="1086"/>
      <c r="B40" s="1086"/>
      <c r="C40" s="1086"/>
      <c r="D40" s="1086"/>
      <c r="E40" s="1086"/>
      <c r="F40" s="1086"/>
      <c r="G40" s="1086"/>
      <c r="H40" s="1086"/>
      <c r="I40" s="1087"/>
      <c r="J40" s="1087"/>
      <c r="K40" s="1087"/>
      <c r="L40" s="1087"/>
      <c r="M40" s="1087"/>
      <c r="N40" s="1087"/>
      <c r="O40" s="1087"/>
      <c r="P40" s="1087"/>
      <c r="Q40" s="1087"/>
      <c r="R40" s="1087"/>
      <c r="S40" s="1087"/>
      <c r="T40" s="1087"/>
      <c r="U40" s="1087"/>
      <c r="V40" s="1086"/>
      <c r="W40" s="1086"/>
      <c r="X40" s="1086"/>
      <c r="Y40" s="1086"/>
      <c r="Z40" s="1170"/>
      <c r="AA40" s="1171"/>
      <c r="AB40" s="828"/>
      <c r="AC40" s="828"/>
      <c r="AD40" s="828"/>
      <c r="AE40" s="828"/>
      <c r="AF40" s="828"/>
    </row>
    <row r="41" spans="1:32" ht="15.6" hidden="1">
      <c r="A41" s="1140" t="s">
        <v>3951</v>
      </c>
      <c r="G41" s="1172"/>
      <c r="H41" s="1172"/>
      <c r="J41" s="1099" t="s">
        <v>8119</v>
      </c>
      <c r="K41" s="1173"/>
      <c r="L41" s="1174"/>
      <c r="M41" s="1174"/>
      <c r="N41" s="1174"/>
      <c r="O41" s="1174"/>
      <c r="P41" s="1174"/>
      <c r="Q41" s="1174"/>
      <c r="R41" s="1174"/>
      <c r="S41" s="1174"/>
      <c r="T41" s="1174"/>
      <c r="U41" s="1174"/>
      <c r="V41" s="1086"/>
      <c r="W41" s="1086"/>
      <c r="X41" s="1086"/>
      <c r="Y41" s="1086"/>
      <c r="Z41" s="1170"/>
      <c r="AA41" s="1171"/>
    </row>
    <row r="42" spans="1:32" s="1181" customFormat="1" hidden="1">
      <c r="A42" s="1175" t="s">
        <v>3952</v>
      </c>
      <c r="B42" s="1176" t="s">
        <v>3373</v>
      </c>
      <c r="C42" s="946" t="s">
        <v>3374</v>
      </c>
      <c r="D42" s="946" t="s">
        <v>3375</v>
      </c>
      <c r="E42" s="946" t="s">
        <v>3376</v>
      </c>
      <c r="F42" s="946" t="s">
        <v>3377</v>
      </c>
      <c r="G42" s="946" t="s">
        <v>3378</v>
      </c>
      <c r="H42" s="946"/>
      <c r="I42" s="948" t="s">
        <v>5548</v>
      </c>
      <c r="J42" s="1177"/>
      <c r="K42" s="1178"/>
      <c r="L42" s="1179"/>
      <c r="M42" s="1179"/>
      <c r="N42" s="1179"/>
      <c r="O42" s="1179"/>
      <c r="P42" s="1179"/>
      <c r="Q42" s="1179"/>
      <c r="R42" s="1179"/>
      <c r="S42" s="1179"/>
      <c r="T42" s="1179"/>
      <c r="U42" s="1179"/>
      <c r="V42" s="1178"/>
      <c r="W42" s="1178"/>
      <c r="X42" s="1178"/>
      <c r="Y42" s="1178"/>
      <c r="Z42" s="1180"/>
      <c r="AA42" s="1171"/>
    </row>
    <row r="43" spans="1:32" hidden="1">
      <c r="A43" s="784"/>
      <c r="B43" s="1182"/>
      <c r="C43" s="1182"/>
      <c r="D43" s="1182"/>
      <c r="E43" s="1182"/>
      <c r="F43" s="1182"/>
      <c r="G43" s="1182"/>
      <c r="H43" s="1182"/>
      <c r="I43" s="1183" t="e">
        <f>AVERAGE(B43:G43)</f>
        <v>#DIV/0!</v>
      </c>
      <c r="J43" s="1131" t="e">
        <f>I43*1.35*A2</f>
        <v>#DIV/0!</v>
      </c>
      <c r="K43" s="1086"/>
      <c r="L43" s="1086"/>
      <c r="M43" s="1086"/>
      <c r="N43" s="1086"/>
      <c r="O43" s="1086"/>
      <c r="P43" s="1086"/>
      <c r="Q43" s="1086"/>
      <c r="R43" s="1086"/>
      <c r="S43" s="1086"/>
      <c r="T43" s="1086"/>
      <c r="U43" s="1086"/>
      <c r="V43" s="1086"/>
      <c r="W43" s="1086"/>
      <c r="X43" s="1086"/>
      <c r="Y43" s="1086"/>
      <c r="Z43" s="1170"/>
      <c r="AA43" s="1171"/>
    </row>
    <row r="44" spans="1:32" hidden="1">
      <c r="A44" s="1184"/>
      <c r="B44" s="1185"/>
      <c r="C44" s="1184"/>
      <c r="D44" s="1184"/>
      <c r="E44" s="1184"/>
      <c r="F44" s="1184"/>
      <c r="G44" s="1184"/>
      <c r="H44" s="1184"/>
      <c r="I44" s="1186"/>
      <c r="J44" s="1187"/>
      <c r="K44" s="1188"/>
      <c r="L44" s="1188"/>
      <c r="M44" s="1188"/>
      <c r="N44" s="1188"/>
      <c r="O44" s="1188"/>
      <c r="P44" s="1188"/>
      <c r="Q44" s="1188"/>
      <c r="R44" s="1188"/>
      <c r="S44" s="1188"/>
      <c r="T44" s="1188"/>
      <c r="U44" s="1188"/>
      <c r="V44" s="1188"/>
      <c r="W44" s="1188"/>
      <c r="X44" s="1188"/>
      <c r="Y44" s="1188"/>
      <c r="Z44" s="1189"/>
      <c r="AA44" s="1190"/>
    </row>
    <row r="45" spans="1:32" hidden="1">
      <c r="A45" s="1191" t="s">
        <v>8094</v>
      </c>
      <c r="B45" s="1192"/>
      <c r="C45" s="1193"/>
      <c r="D45" s="1193"/>
      <c r="E45" s="1193"/>
      <c r="F45" s="1193"/>
      <c r="G45" s="1193"/>
      <c r="H45" s="1194"/>
      <c r="I45" s="1195"/>
      <c r="J45" s="1187"/>
      <c r="K45" s="1188"/>
      <c r="L45" s="1188"/>
      <c r="M45" s="1188"/>
      <c r="N45" s="1188"/>
      <c r="O45" s="1188"/>
      <c r="P45" s="1188"/>
      <c r="Q45" s="1188"/>
      <c r="R45" s="1188"/>
      <c r="S45" s="1188"/>
      <c r="T45" s="1188"/>
      <c r="U45" s="1188"/>
      <c r="V45" s="1188"/>
      <c r="W45" s="1188"/>
      <c r="X45" s="1188"/>
      <c r="Y45" s="1188"/>
      <c r="Z45" s="1189"/>
      <c r="AA45" s="1190"/>
    </row>
    <row r="46" spans="1:32" hidden="1">
      <c r="A46" s="1196" t="s">
        <v>8095</v>
      </c>
      <c r="B46" s="1197" t="s">
        <v>3373</v>
      </c>
      <c r="C46" s="946" t="s">
        <v>3374</v>
      </c>
      <c r="D46" s="946" t="s">
        <v>3375</v>
      </c>
      <c r="E46" s="946" t="s">
        <v>3376</v>
      </c>
      <c r="F46" s="946" t="s">
        <v>3377</v>
      </c>
      <c r="G46" s="946" t="s">
        <v>3378</v>
      </c>
      <c r="H46" s="1196" t="s">
        <v>8096</v>
      </c>
      <c r="I46" s="1198"/>
      <c r="J46" s="1187"/>
      <c r="K46" s="1188"/>
      <c r="L46" s="1188"/>
      <c r="M46" s="1188"/>
      <c r="N46" s="1048"/>
      <c r="O46" s="1188"/>
      <c r="P46" s="1188"/>
      <c r="Q46" s="1188"/>
      <c r="R46" s="1188"/>
      <c r="S46" s="1188"/>
      <c r="T46" s="1188"/>
      <c r="U46" s="1188"/>
      <c r="V46" s="1188"/>
      <c r="W46" s="1188"/>
      <c r="X46" s="1188"/>
      <c r="Y46" s="1188"/>
      <c r="Z46" s="1189"/>
      <c r="AA46" s="1190"/>
    </row>
    <row r="47" spans="1:32" hidden="1">
      <c r="A47" s="1196" t="s">
        <v>8097</v>
      </c>
      <c r="B47" s="1199">
        <v>0</v>
      </c>
      <c r="C47" s="1200"/>
      <c r="D47" s="1200"/>
      <c r="E47" s="1200"/>
      <c r="F47" s="1200"/>
      <c r="G47" s="1200"/>
      <c r="H47" s="1196">
        <v>0</v>
      </c>
      <c r="I47" s="1201">
        <f>AVERAGE(B47:G47)</f>
        <v>0</v>
      </c>
      <c r="J47" s="1131">
        <f>I47*0.12*A2</f>
        <v>0</v>
      </c>
      <c r="K47" s="1188"/>
      <c r="L47" s="1188"/>
      <c r="M47" s="1188"/>
      <c r="N47" s="1048"/>
      <c r="O47" s="1188"/>
      <c r="P47" s="1188"/>
      <c r="Q47" s="1188"/>
      <c r="R47" s="1188"/>
      <c r="S47" s="1188"/>
      <c r="T47" s="1188"/>
      <c r="U47" s="1188"/>
      <c r="V47" s="1188"/>
      <c r="W47" s="1188"/>
      <c r="X47" s="1188"/>
      <c r="Y47" s="1188"/>
      <c r="Z47" s="1189"/>
      <c r="AA47" s="1190"/>
    </row>
    <row r="48" spans="1:32" s="744" customFormat="1" hidden="1">
      <c r="A48" s="1184"/>
      <c r="B48" s="1185"/>
      <c r="C48" s="1184"/>
      <c r="D48" s="1184"/>
      <c r="E48" s="1184"/>
      <c r="F48" s="1184"/>
      <c r="G48" s="1184"/>
      <c r="H48" s="1184"/>
      <c r="I48" s="1186"/>
      <c r="J48" s="1187"/>
      <c r="K48" s="1188"/>
      <c r="L48" s="1188"/>
      <c r="M48" s="1188"/>
      <c r="N48" s="1048"/>
      <c r="O48" s="1188"/>
      <c r="P48" s="1188"/>
      <c r="Q48" s="1188"/>
      <c r="R48" s="1188"/>
      <c r="S48" s="1188"/>
      <c r="T48" s="1188"/>
      <c r="U48" s="1188"/>
      <c r="V48" s="1188"/>
      <c r="W48" s="1188"/>
      <c r="X48" s="1188"/>
      <c r="Y48" s="1188"/>
      <c r="Z48" s="1189"/>
      <c r="AA48" s="1190"/>
    </row>
    <row r="49" spans="1:27" hidden="1">
      <c r="A49" s="1191" t="s">
        <v>8098</v>
      </c>
      <c r="B49" s="1202"/>
      <c r="C49" s="1191"/>
      <c r="D49" s="1191"/>
      <c r="E49" s="1191"/>
      <c r="F49" s="1191"/>
      <c r="G49" s="1191"/>
      <c r="H49" s="1196"/>
      <c r="I49" s="1198"/>
      <c r="J49" s="1187"/>
      <c r="K49" s="1188"/>
      <c r="L49" s="1188"/>
      <c r="M49" s="1188"/>
      <c r="N49" s="1048"/>
      <c r="O49" s="1188"/>
      <c r="P49" s="1188"/>
      <c r="Q49" s="1188"/>
      <c r="R49" s="1188"/>
      <c r="S49" s="1188"/>
      <c r="T49" s="1188"/>
      <c r="U49" s="1188"/>
      <c r="V49" s="1188"/>
      <c r="W49" s="1188"/>
      <c r="X49" s="1188"/>
      <c r="Y49" s="1188"/>
      <c r="Z49" s="1189"/>
      <c r="AA49" s="1190"/>
    </row>
    <row r="50" spans="1:27" hidden="1">
      <c r="A50" s="1196" t="s">
        <v>8099</v>
      </c>
      <c r="B50" s="1197" t="s">
        <v>3373</v>
      </c>
      <c r="C50" s="946" t="s">
        <v>3374</v>
      </c>
      <c r="D50" s="946" t="s">
        <v>3375</v>
      </c>
      <c r="E50" s="946" t="s">
        <v>3376</v>
      </c>
      <c r="F50" s="946" t="s">
        <v>3377</v>
      </c>
      <c r="G50" s="946" t="s">
        <v>3378</v>
      </c>
      <c r="H50" s="1196" t="s">
        <v>8096</v>
      </c>
      <c r="I50" s="1198"/>
      <c r="J50" s="1187"/>
      <c r="K50" s="1188"/>
      <c r="L50" s="1188"/>
      <c r="M50" s="1188"/>
      <c r="N50" s="1048"/>
      <c r="O50" s="1188"/>
      <c r="P50" s="1188"/>
      <c r="Q50" s="1188"/>
      <c r="R50" s="1188"/>
      <c r="S50" s="1188"/>
      <c r="T50" s="1188"/>
      <c r="U50" s="1188"/>
      <c r="V50" s="1188"/>
      <c r="W50" s="1188"/>
      <c r="X50" s="1188"/>
      <c r="Y50" s="1188"/>
      <c r="Z50" s="1189"/>
      <c r="AA50" s="1190"/>
    </row>
    <row r="51" spans="1:27" ht="13.8" hidden="1" thickBot="1">
      <c r="A51" s="1196" t="s">
        <v>8100</v>
      </c>
      <c r="B51" s="1203"/>
      <c r="C51" s="1204"/>
      <c r="D51" s="1204"/>
      <c r="E51" s="1204"/>
      <c r="F51" s="1204"/>
      <c r="G51" s="1204"/>
      <c r="H51" s="1196">
        <v>0</v>
      </c>
      <c r="I51" s="1198"/>
      <c r="J51" s="1187"/>
      <c r="K51" s="1188"/>
      <c r="L51" s="1188"/>
      <c r="M51" s="1188"/>
      <c r="N51" s="1048"/>
      <c r="O51" s="1188"/>
      <c r="P51" s="1188"/>
      <c r="Q51" s="1188"/>
      <c r="R51" s="1188"/>
      <c r="S51" s="1188"/>
      <c r="T51" s="1188"/>
      <c r="U51" s="1188"/>
      <c r="V51" s="1188"/>
      <c r="W51" s="1188"/>
      <c r="X51" s="1188"/>
      <c r="Y51" s="1188"/>
      <c r="Z51" s="1189"/>
      <c r="AA51" s="1190"/>
    </row>
    <row r="52" spans="1:27" ht="13.8" hidden="1" thickTop="1">
      <c r="A52" s="1196" t="s">
        <v>8101</v>
      </c>
      <c r="B52" s="1205">
        <f>IF(B8=0,"",B51/B8)</f>
        <v>0</v>
      </c>
      <c r="C52" s="1205">
        <f t="shared" ref="C52:G52" si="16">IF(C8=0,"",C51/C8)</f>
        <v>0</v>
      </c>
      <c r="D52" s="1205">
        <f t="shared" si="16"/>
        <v>0</v>
      </c>
      <c r="E52" s="1205">
        <f t="shared" si="16"/>
        <v>0</v>
      </c>
      <c r="F52" s="1205">
        <f t="shared" si="16"/>
        <v>0</v>
      </c>
      <c r="G52" s="1205">
        <f t="shared" si="16"/>
        <v>0</v>
      </c>
      <c r="H52" s="1196">
        <v>0</v>
      </c>
      <c r="I52" s="1206">
        <f>B52</f>
        <v>0</v>
      </c>
      <c r="J52" s="1131">
        <f>I52*0.1*A2</f>
        <v>0</v>
      </c>
      <c r="K52" s="1188"/>
      <c r="L52" s="1188"/>
      <c r="M52" s="1188"/>
      <c r="N52" s="1188"/>
      <c r="O52" s="1188"/>
      <c r="P52" s="1188"/>
      <c r="Q52" s="1188"/>
      <c r="R52" s="1188"/>
      <c r="S52" s="1188"/>
      <c r="T52" s="1188"/>
      <c r="U52" s="1188"/>
      <c r="V52" s="1188"/>
      <c r="W52" s="1188"/>
      <c r="X52" s="1188"/>
      <c r="Y52" s="1188"/>
      <c r="Z52" s="1189"/>
      <c r="AA52" s="1190"/>
    </row>
    <row r="53" spans="1:27" hidden="1">
      <c r="A53" s="1184"/>
      <c r="B53" s="1185"/>
      <c r="C53" s="1184"/>
      <c r="D53" s="1184"/>
      <c r="E53" s="1184"/>
      <c r="F53" s="1184"/>
      <c r="G53" s="1184"/>
      <c r="H53" s="1184"/>
      <c r="I53" s="1186"/>
      <c r="J53" s="1187"/>
      <c r="K53" s="1188"/>
      <c r="L53" s="1188"/>
      <c r="M53" s="1188"/>
      <c r="N53" s="1188"/>
      <c r="O53" s="1188"/>
      <c r="P53" s="1188"/>
      <c r="Q53" s="1188"/>
      <c r="R53" s="1188"/>
      <c r="S53" s="1188"/>
      <c r="T53" s="1188"/>
      <c r="U53" s="1188"/>
      <c r="V53" s="1188"/>
      <c r="W53" s="1188"/>
      <c r="X53" s="1188"/>
      <c r="Y53" s="1188"/>
      <c r="Z53" s="1189"/>
      <c r="AA53" s="1190"/>
    </row>
    <row r="54" spans="1:27" hidden="1">
      <c r="A54" s="1191" t="s">
        <v>8102</v>
      </c>
      <c r="B54" s="1202"/>
      <c r="C54" s="1191"/>
      <c r="D54" s="1191"/>
      <c r="E54" s="1191"/>
      <c r="F54" s="1191"/>
      <c r="G54" s="1191"/>
      <c r="H54" s="1196"/>
      <c r="I54" s="1198"/>
      <c r="J54" s="1187"/>
      <c r="K54" s="1188"/>
      <c r="L54" s="1188"/>
      <c r="M54" s="1188"/>
      <c r="N54" s="1188"/>
      <c r="O54" s="1188"/>
      <c r="P54" s="1188"/>
      <c r="Q54" s="1188"/>
      <c r="R54" s="1188"/>
      <c r="S54" s="1188"/>
      <c r="T54" s="1188"/>
      <c r="U54" s="1188"/>
      <c r="V54" s="1188"/>
      <c r="W54" s="1188"/>
      <c r="X54" s="1188"/>
      <c r="Y54" s="1188"/>
      <c r="Z54" s="1189"/>
      <c r="AA54" s="1190"/>
    </row>
    <row r="55" spans="1:27" hidden="1">
      <c r="A55" s="1196" t="s">
        <v>8099</v>
      </c>
      <c r="B55" s="1197" t="s">
        <v>3373</v>
      </c>
      <c r="C55" s="946" t="s">
        <v>3374</v>
      </c>
      <c r="D55" s="946" t="s">
        <v>3375</v>
      </c>
      <c r="E55" s="946" t="s">
        <v>3376</v>
      </c>
      <c r="F55" s="946" t="s">
        <v>3377</v>
      </c>
      <c r="G55" s="946" t="s">
        <v>3378</v>
      </c>
      <c r="H55" s="1196" t="s">
        <v>8096</v>
      </c>
      <c r="I55" s="1198"/>
      <c r="J55" s="1187"/>
      <c r="K55" s="1188"/>
      <c r="L55" s="1188"/>
      <c r="M55" s="1188"/>
      <c r="N55" s="1188"/>
      <c r="O55" s="1188"/>
      <c r="P55" s="1188"/>
      <c r="Q55" s="1188"/>
      <c r="R55" s="1188"/>
      <c r="S55" s="1188"/>
      <c r="T55" s="1188"/>
      <c r="U55" s="1188"/>
      <c r="V55" s="1188"/>
      <c r="W55" s="1188"/>
      <c r="X55" s="1188"/>
      <c r="Y55" s="1188"/>
      <c r="Z55" s="1189"/>
      <c r="AA55" s="1190"/>
    </row>
    <row r="56" spans="1:27" hidden="1">
      <c r="A56" s="1196" t="s">
        <v>8103</v>
      </c>
      <c r="B56" s="1199"/>
      <c r="C56" s="1199"/>
      <c r="D56" s="1199"/>
      <c r="E56" s="1199"/>
      <c r="F56" s="1199"/>
      <c r="G56" s="1199"/>
      <c r="H56" s="1196">
        <v>0</v>
      </c>
      <c r="J56" s="1099">
        <v>0</v>
      </c>
      <c r="K56" s="1188"/>
      <c r="L56" s="1188"/>
      <c r="M56" s="1188"/>
      <c r="N56" s="1188"/>
      <c r="O56" s="1188"/>
      <c r="P56" s="1188"/>
      <c r="Q56" s="1188"/>
      <c r="R56" s="1188"/>
      <c r="S56" s="1188"/>
      <c r="T56" s="1188"/>
      <c r="U56" s="1188"/>
      <c r="V56" s="1188"/>
      <c r="W56" s="1188"/>
      <c r="X56" s="1188"/>
      <c r="Y56" s="1188"/>
      <c r="Z56" s="1189"/>
      <c r="AA56" s="1190"/>
    </row>
    <row r="57" spans="1:27" hidden="1">
      <c r="A57" s="1196" t="s">
        <v>8101</v>
      </c>
      <c r="B57" s="1196">
        <f>IF(B8=0,"",B56/B8)</f>
        <v>0</v>
      </c>
      <c r="C57" s="1196">
        <f t="shared" ref="C57:G57" si="17">IF(C8=0,"",C56/C8)</f>
        <v>0</v>
      </c>
      <c r="D57" s="1196">
        <f t="shared" si="17"/>
        <v>0</v>
      </c>
      <c r="E57" s="1196">
        <f t="shared" si="17"/>
        <v>0</v>
      </c>
      <c r="F57" s="1196">
        <f t="shared" si="17"/>
        <v>0</v>
      </c>
      <c r="G57" s="1196">
        <f t="shared" si="17"/>
        <v>0</v>
      </c>
      <c r="H57" s="1196">
        <v>0</v>
      </c>
      <c r="I57" s="1206">
        <f>AVERAGE(B57:G57)</f>
        <v>0</v>
      </c>
      <c r="J57" s="1187"/>
      <c r="K57" s="1188"/>
      <c r="L57" s="1188"/>
      <c r="M57" s="1188"/>
      <c r="N57" s="1188"/>
      <c r="O57" s="1188"/>
      <c r="P57" s="1188"/>
      <c r="Q57" s="1188"/>
      <c r="R57" s="1188"/>
      <c r="S57" s="1188"/>
      <c r="T57" s="1188"/>
      <c r="U57" s="1188"/>
      <c r="V57" s="1188"/>
      <c r="W57" s="1188"/>
      <c r="X57" s="1188"/>
      <c r="Y57" s="1188"/>
      <c r="Z57" s="1189"/>
      <c r="AA57" s="1190"/>
    </row>
    <row r="58" spans="1:27" hidden="1">
      <c r="A58" s="1188"/>
      <c r="B58" s="1188"/>
      <c r="C58" s="1188"/>
      <c r="D58" s="1188"/>
      <c r="E58" s="1188"/>
      <c r="F58" s="1188"/>
      <c r="G58" s="1188"/>
      <c r="H58" s="1188"/>
      <c r="I58" s="1188"/>
      <c r="J58" s="1188"/>
      <c r="K58" s="1188"/>
      <c r="L58" s="1188"/>
      <c r="M58" s="1188"/>
      <c r="N58" s="1188"/>
      <c r="O58" s="1188"/>
      <c r="P58" s="1188"/>
      <c r="Q58" s="1188"/>
      <c r="R58" s="1188"/>
      <c r="S58" s="1188"/>
      <c r="T58" s="1188"/>
      <c r="U58" s="1188"/>
      <c r="V58" s="1188"/>
      <c r="W58" s="1188"/>
      <c r="X58" s="1188"/>
      <c r="Y58" s="1188"/>
      <c r="Z58" s="1189"/>
      <c r="AA58" s="1190"/>
    </row>
    <row r="59" spans="1:27" ht="15.6" hidden="1">
      <c r="A59" s="1207" t="s">
        <v>8120</v>
      </c>
      <c r="B59" s="1208"/>
      <c r="C59" s="1208"/>
      <c r="D59" s="1208"/>
      <c r="E59" s="1208"/>
      <c r="F59" s="1208"/>
      <c r="G59" s="1208"/>
      <c r="H59" s="1208"/>
      <c r="I59" s="1208"/>
      <c r="J59" s="1209" t="e">
        <f>SUM(J15+J17+J19+J43+J47+J52)</f>
        <v>#VALUE!</v>
      </c>
      <c r="K59" s="1210"/>
      <c r="L59" s="1188"/>
      <c r="M59" s="1188"/>
      <c r="N59" s="1188"/>
      <c r="O59" s="1188"/>
      <c r="P59" s="1188"/>
      <c r="Q59" s="1188"/>
      <c r="R59" s="1188"/>
      <c r="S59" s="1188"/>
      <c r="T59" s="1188"/>
      <c r="U59" s="1188"/>
      <c r="V59" s="1188"/>
      <c r="W59" s="1188"/>
      <c r="X59" s="1188"/>
      <c r="Y59" s="1188"/>
      <c r="Z59" s="1189"/>
      <c r="AA59" s="1190"/>
    </row>
    <row r="60" spans="1:27" ht="16.2" hidden="1" thickBot="1">
      <c r="A60" s="1211" t="s">
        <v>8121</v>
      </c>
      <c r="B60" s="1212"/>
      <c r="C60" s="1212"/>
      <c r="D60" s="1212"/>
      <c r="E60" s="1212"/>
      <c r="F60" s="1212"/>
      <c r="G60" s="1212"/>
      <c r="H60" s="1212"/>
      <c r="I60" s="1212"/>
      <c r="J60" s="1213" t="e">
        <f>Z38</f>
        <v>#DIV/0!</v>
      </c>
      <c r="K60" s="1188"/>
      <c r="L60" s="1188"/>
      <c r="M60" s="1188"/>
      <c r="N60" s="1188"/>
      <c r="O60" s="1188"/>
      <c r="P60" s="1188"/>
      <c r="Q60" s="1188"/>
      <c r="R60" s="1188"/>
      <c r="S60" s="1188"/>
      <c r="T60" s="1188"/>
      <c r="U60" s="1188"/>
      <c r="V60" s="1188"/>
      <c r="W60" s="1188"/>
      <c r="X60" s="1188"/>
      <c r="Y60" s="1188"/>
      <c r="Z60" s="1189"/>
      <c r="AA60" s="1190"/>
    </row>
    <row r="61" spans="1:27" ht="16.2" hidden="1" thickTop="1">
      <c r="A61" s="1214" t="s">
        <v>8122</v>
      </c>
      <c r="B61" s="1215"/>
      <c r="C61" s="1215"/>
      <c r="D61" s="1215"/>
      <c r="E61" s="1215"/>
      <c r="F61" s="1215"/>
      <c r="G61" s="1215"/>
      <c r="H61" s="1215"/>
      <c r="I61" s="1215"/>
      <c r="J61" s="1216" t="e">
        <f>J59+J60</f>
        <v>#VALUE!</v>
      </c>
      <c r="K61" s="1188"/>
      <c r="L61" s="1188"/>
      <c r="M61" s="1188"/>
      <c r="N61" s="1188"/>
      <c r="O61" s="1188"/>
      <c r="P61" s="1188"/>
      <c r="Q61" s="1188"/>
      <c r="R61" s="1188"/>
      <c r="S61" s="1188"/>
      <c r="T61" s="1188"/>
      <c r="U61" s="1188"/>
      <c r="V61" s="1188"/>
      <c r="W61" s="1188"/>
      <c r="X61" s="1188"/>
      <c r="Y61" s="1188"/>
      <c r="Z61" s="1189"/>
      <c r="AA61" s="1190"/>
    </row>
    <row r="62" spans="1:27" hidden="1">
      <c r="A62" s="1188"/>
      <c r="B62" s="1188"/>
      <c r="C62" s="1188"/>
      <c r="D62" s="1188"/>
      <c r="E62" s="1188"/>
      <c r="F62" s="1188"/>
      <c r="G62" s="1188"/>
      <c r="H62" s="1188"/>
      <c r="I62" s="1188"/>
      <c r="J62" s="1188"/>
      <c r="K62" s="1188"/>
      <c r="L62" s="1188"/>
      <c r="M62" s="1188"/>
      <c r="N62" s="1188"/>
      <c r="O62" s="1188"/>
      <c r="P62" s="1188"/>
      <c r="Q62" s="1188"/>
      <c r="R62" s="1188"/>
      <c r="S62" s="1188"/>
      <c r="T62" s="1188"/>
      <c r="U62" s="1188"/>
      <c r="V62" s="1188"/>
      <c r="W62" s="1188"/>
      <c r="X62" s="1188"/>
      <c r="Y62" s="1188"/>
      <c r="Z62" s="1189"/>
      <c r="AA62" s="1190"/>
    </row>
    <row r="63" spans="1:27" hidden="1">
      <c r="A63" s="1188"/>
      <c r="B63" s="1188"/>
      <c r="C63" s="1188"/>
      <c r="D63" s="1188"/>
      <c r="E63" s="1188"/>
      <c r="F63" s="1188"/>
      <c r="G63" s="1188"/>
      <c r="H63" s="1188"/>
      <c r="I63" s="1188"/>
      <c r="J63" s="1188"/>
      <c r="K63" s="1188"/>
      <c r="L63" s="1188"/>
      <c r="M63" s="1188"/>
      <c r="N63" s="1188"/>
      <c r="O63" s="1188"/>
      <c r="P63" s="1188"/>
      <c r="Q63" s="1188"/>
      <c r="R63" s="1188"/>
      <c r="S63" s="1188"/>
      <c r="T63" s="1188"/>
      <c r="U63" s="1188"/>
      <c r="V63" s="1188"/>
      <c r="W63" s="1188"/>
      <c r="X63" s="1188"/>
      <c r="Y63" s="1188"/>
      <c r="Z63" s="1189"/>
      <c r="AA63" s="1190"/>
    </row>
    <row r="64" spans="1:27" hidden="1">
      <c r="A64" s="1188"/>
      <c r="B64" s="1188"/>
      <c r="C64" s="1188"/>
      <c r="D64" s="1188"/>
      <c r="E64" s="1188"/>
      <c r="F64" s="1188"/>
      <c r="G64" s="1188"/>
      <c r="H64" s="1188"/>
      <c r="I64" s="1188"/>
      <c r="J64" s="1188"/>
      <c r="K64" s="1188"/>
      <c r="L64" s="1188"/>
      <c r="M64" s="1188"/>
      <c r="N64" s="1188"/>
      <c r="O64" s="1188"/>
      <c r="P64" s="1188"/>
      <c r="Q64" s="1188"/>
      <c r="R64" s="1188"/>
      <c r="S64" s="1188"/>
      <c r="T64" s="1188"/>
      <c r="U64" s="1188"/>
      <c r="V64" s="1188"/>
      <c r="W64" s="1188"/>
      <c r="X64" s="1188"/>
      <c r="Y64" s="1188"/>
      <c r="Z64" s="1189"/>
      <c r="AA64" s="1190"/>
    </row>
    <row r="65" spans="1:27">
      <c r="A65" s="1137"/>
      <c r="B65" s="1137"/>
      <c r="C65" s="1137"/>
      <c r="D65" s="1137"/>
      <c r="E65" s="1137"/>
      <c r="F65" s="1137"/>
      <c r="G65" s="1137"/>
      <c r="H65" s="1137"/>
      <c r="I65" s="1137"/>
      <c r="J65" s="1137"/>
      <c r="K65" s="1137"/>
      <c r="L65" s="1137"/>
      <c r="M65" s="1137"/>
      <c r="N65" s="1137"/>
      <c r="O65" s="1137"/>
      <c r="P65" s="1137"/>
      <c r="Q65" s="1137"/>
      <c r="R65" s="1137"/>
      <c r="S65" s="1137"/>
      <c r="T65" s="1137"/>
      <c r="U65" s="1137"/>
      <c r="V65" s="1137"/>
      <c r="W65" s="1137"/>
      <c r="X65" s="1137"/>
      <c r="Y65" s="1137"/>
      <c r="Z65" s="1138"/>
      <c r="AA65" s="1139"/>
    </row>
  </sheetData>
  <phoneticPr fontId="33" type="noConversion"/>
  <dataValidations xWindow="347" yWindow="551" count="3">
    <dataValidation allowBlank="1" showErrorMessage="1" prompt="This ADA number will not match line N (Refined ADA) of Supt's Report if district has full day PK._x000a_This is your actual district six weeks Refined ADA (RADA)." sqref="C13:G13 B14:B17 C15:G15" xr:uid="{00000000-0002-0000-0C00-000000000000}"/>
    <dataValidation allowBlank="1" showInputMessage="1" showErrorMessage="1" promptTitle="Pre Kindergarten" prompt="If your district has a full day Pre-K program, enter &quot;Total Elgible Days Present&quot; from Table 1, Line F in PK column in cell C7 below. (This is necessary to calculate half day funding for the program)" sqref="F5" xr:uid="{00000000-0002-0000-0C00-000001000000}"/>
    <dataValidation allowBlank="1" showErrorMessage="1" sqref="C11:G12 H10:H12 B10:B13" xr:uid="{00000000-0002-0000-0C00-000002000000}"/>
  </dataValidations>
  <pageMargins left="0.75" right="0.75" top="1" bottom="1" header="0.5" footer="0.5"/>
  <pageSetup orientation="portrait" horizontalDpi="300" verticalDpi="300"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1020"/>
  <sheetViews>
    <sheetView workbookViewId="0">
      <selection activeCell="A2" sqref="A2"/>
    </sheetView>
  </sheetViews>
  <sheetFormatPr defaultColWidth="9.21875" defaultRowHeight="13.2"/>
  <cols>
    <col min="1" max="1" width="7.77734375" style="187" customWidth="1"/>
    <col min="2" max="2" width="24.77734375" style="1224" customWidth="1"/>
    <col min="3" max="12" width="20" style="1225" bestFit="1" customWidth="1"/>
    <col min="13" max="16384" width="9.21875" style="187"/>
  </cols>
  <sheetData>
    <row r="1" spans="1:12">
      <c r="A1" s="1223" t="str">
        <f>'Enter Attendance.Funding Sheet'!A1</f>
        <v>000-000</v>
      </c>
      <c r="B1" s="1224" t="s">
        <v>8271</v>
      </c>
      <c r="C1" s="1225" t="s">
        <v>8292</v>
      </c>
      <c r="D1" s="1225" t="s">
        <v>8293</v>
      </c>
      <c r="E1" s="1225" t="s">
        <v>8294</v>
      </c>
      <c r="F1" s="1225" t="s">
        <v>8295</v>
      </c>
      <c r="G1" s="1225" t="s">
        <v>8296</v>
      </c>
      <c r="H1" s="1225" t="s">
        <v>8297</v>
      </c>
      <c r="I1" s="1225" t="s">
        <v>8298</v>
      </c>
      <c r="J1" s="1225" t="s">
        <v>8299</v>
      </c>
      <c r="K1" s="1225" t="s">
        <v>8300</v>
      </c>
      <c r="L1" s="1225" t="s">
        <v>8301</v>
      </c>
    </row>
    <row r="2" spans="1:12" s="1229" customFormat="1" ht="15.6">
      <c r="A2" s="1226" t="e">
        <f>VLOOKUP($A$1,$A$3:A1034,1,FALSE)</f>
        <v>#N/A</v>
      </c>
      <c r="B2" s="1227" t="e">
        <f>VLOOKUP($A$1,$A$3:B1034,2,FALSE)</f>
        <v>#N/A</v>
      </c>
      <c r="C2" s="1228" t="e">
        <f>VLOOKUP($A$1,$A$3:C1034,3,FALSE)</f>
        <v>#N/A</v>
      </c>
      <c r="D2" s="1228" t="e">
        <f>VLOOKUP($A$1,$A$3:D1034,4,FALSE)</f>
        <v>#N/A</v>
      </c>
      <c r="E2" s="1228" t="e">
        <f>VLOOKUP($A$1,$A$3:E1034,5,FALSE)</f>
        <v>#N/A</v>
      </c>
      <c r="F2" s="1228" t="e">
        <f>VLOOKUP($A$1,$A$3:F1034,6,FALSE)</f>
        <v>#N/A</v>
      </c>
      <c r="G2" s="1228" t="e">
        <f>VLOOKUP($A$1,$A$3:G1034,7,FALSE)</f>
        <v>#N/A</v>
      </c>
      <c r="H2" s="1228" t="e">
        <f>VLOOKUP($A$1,$A$3:H1034,8,FALSE)</f>
        <v>#N/A</v>
      </c>
      <c r="I2" s="1228" t="e">
        <f>VLOOKUP($A$1,$A$3:I1034,9,FALSE)</f>
        <v>#N/A</v>
      </c>
      <c r="J2" s="1228" t="e">
        <f>VLOOKUP($A$1,$A$3:J1034,10,FALSE)</f>
        <v>#N/A</v>
      </c>
      <c r="K2" s="1228" t="e">
        <f>VLOOKUP($A$1,$A$3:K1034,11,FALSE)</f>
        <v>#N/A</v>
      </c>
      <c r="L2" s="1228" t="e">
        <f>VLOOKUP($A$1,$A$3:L1034,12,FALSE)</f>
        <v>#N/A</v>
      </c>
    </row>
    <row r="3" spans="1:12">
      <c r="A3" s="187" t="s">
        <v>3890</v>
      </c>
      <c r="B3" s="1224" t="s">
        <v>1763</v>
      </c>
      <c r="C3" s="1225">
        <v>260793410</v>
      </c>
      <c r="D3" s="1225">
        <v>255828367</v>
      </c>
      <c r="E3" s="1225">
        <v>254851721</v>
      </c>
      <c r="F3" s="1225">
        <v>249886678</v>
      </c>
      <c r="G3" s="1225">
        <v>286308506</v>
      </c>
      <c r="H3" s="1225">
        <v>280821698</v>
      </c>
      <c r="I3" s="1225">
        <v>260793410</v>
      </c>
      <c r="J3" s="1225">
        <v>255828367</v>
      </c>
      <c r="K3" s="1225">
        <v>254851721</v>
      </c>
      <c r="L3" s="1225">
        <v>249886678</v>
      </c>
    </row>
    <row r="4" spans="1:12">
      <c r="A4" s="187" t="s">
        <v>694</v>
      </c>
      <c r="B4" s="1224" t="s">
        <v>1764</v>
      </c>
      <c r="C4" s="1225">
        <v>267703658</v>
      </c>
      <c r="D4" s="1225">
        <v>254733010</v>
      </c>
      <c r="E4" s="1225">
        <v>267703658</v>
      </c>
      <c r="F4" s="1225">
        <v>254733010</v>
      </c>
      <c r="G4" s="1225">
        <v>305424649</v>
      </c>
      <c r="H4" s="1225">
        <v>305424649</v>
      </c>
      <c r="I4" s="1225">
        <v>267703658</v>
      </c>
      <c r="J4" s="1225">
        <v>254733010</v>
      </c>
      <c r="K4" s="1225">
        <v>267703658</v>
      </c>
      <c r="L4" s="1225">
        <v>254733010</v>
      </c>
    </row>
    <row r="5" spans="1:12">
      <c r="A5" s="187" t="s">
        <v>696</v>
      </c>
      <c r="B5" s="1224" t="s">
        <v>1765</v>
      </c>
      <c r="C5" s="1225">
        <v>251091175</v>
      </c>
      <c r="D5" s="1225">
        <v>240747748</v>
      </c>
      <c r="E5" s="1225">
        <v>237297397</v>
      </c>
      <c r="F5" s="1225">
        <v>226953970</v>
      </c>
      <c r="G5" s="1225">
        <v>268589357</v>
      </c>
      <c r="H5" s="1225">
        <v>254882444</v>
      </c>
      <c r="I5" s="1225">
        <v>251091175</v>
      </c>
      <c r="J5" s="1225">
        <v>240747748</v>
      </c>
      <c r="K5" s="1225">
        <v>237297397</v>
      </c>
      <c r="L5" s="1225">
        <v>226953970</v>
      </c>
    </row>
    <row r="6" spans="1:12">
      <c r="A6" s="187" t="s">
        <v>698</v>
      </c>
      <c r="B6" s="1224" t="s">
        <v>1766</v>
      </c>
      <c r="C6" s="1225">
        <v>102100305</v>
      </c>
      <c r="D6" s="1225">
        <v>98805242</v>
      </c>
      <c r="E6" s="1225">
        <v>98328220</v>
      </c>
      <c r="F6" s="1225">
        <v>95033157</v>
      </c>
      <c r="G6" s="1225">
        <v>126121448</v>
      </c>
      <c r="H6" s="1225">
        <v>122559640</v>
      </c>
      <c r="I6" s="1225">
        <v>102100305</v>
      </c>
      <c r="J6" s="1225">
        <v>98805242</v>
      </c>
      <c r="K6" s="1225">
        <v>98328220</v>
      </c>
      <c r="L6" s="1225">
        <v>95033157</v>
      </c>
    </row>
    <row r="7" spans="1:12">
      <c r="A7" s="187" t="s">
        <v>700</v>
      </c>
      <c r="B7" s="1224" t="s">
        <v>1767</v>
      </c>
      <c r="C7" s="1225">
        <v>1093932382</v>
      </c>
      <c r="D7" s="1225">
        <v>1053528640</v>
      </c>
      <c r="E7" s="1225">
        <v>1093932382</v>
      </c>
      <c r="F7" s="1225">
        <v>1053528640</v>
      </c>
      <c r="G7" s="1225">
        <v>1016023654</v>
      </c>
      <c r="H7" s="1225">
        <v>1016023654</v>
      </c>
      <c r="I7" s="1225">
        <v>1093932382</v>
      </c>
      <c r="J7" s="1225">
        <v>1053528640</v>
      </c>
      <c r="K7" s="1225">
        <v>1093932382</v>
      </c>
      <c r="L7" s="1225">
        <v>1053528640</v>
      </c>
    </row>
    <row r="8" spans="1:12">
      <c r="A8" s="187" t="s">
        <v>1491</v>
      </c>
      <c r="B8" s="1224" t="s">
        <v>1768</v>
      </c>
      <c r="C8" s="1225">
        <v>504035129</v>
      </c>
      <c r="D8" s="1225">
        <v>487016255</v>
      </c>
      <c r="E8" s="1225">
        <v>504035129</v>
      </c>
      <c r="F8" s="1225">
        <v>487016255</v>
      </c>
      <c r="G8" s="1225">
        <v>436841383</v>
      </c>
      <c r="H8" s="1225">
        <v>436841383</v>
      </c>
      <c r="I8" s="1225">
        <v>504035129</v>
      </c>
      <c r="J8" s="1225">
        <v>487016255</v>
      </c>
      <c r="K8" s="1225">
        <v>504035129</v>
      </c>
      <c r="L8" s="1225">
        <v>487016255</v>
      </c>
    </row>
    <row r="9" spans="1:12">
      <c r="A9" s="187" t="s">
        <v>6212</v>
      </c>
      <c r="B9" s="1224" t="s">
        <v>1769</v>
      </c>
      <c r="C9" s="1225">
        <v>114371171</v>
      </c>
      <c r="D9" s="1225">
        <v>109081785</v>
      </c>
      <c r="E9" s="1225">
        <v>114371171</v>
      </c>
      <c r="F9" s="1225">
        <v>109081785</v>
      </c>
      <c r="G9" s="1225">
        <v>122881361</v>
      </c>
      <c r="H9" s="1225">
        <v>122881361</v>
      </c>
      <c r="I9" s="1225">
        <v>114371171</v>
      </c>
      <c r="J9" s="1225">
        <v>109081785</v>
      </c>
      <c r="K9" s="1225">
        <v>114371171</v>
      </c>
      <c r="L9" s="1225">
        <v>109081785</v>
      </c>
    </row>
    <row r="10" spans="1:12">
      <c r="A10" s="187" t="s">
        <v>2753</v>
      </c>
      <c r="B10" s="1224" t="s">
        <v>5003</v>
      </c>
      <c r="C10" s="1225">
        <v>3389706499</v>
      </c>
      <c r="D10" s="1225">
        <v>3355657448</v>
      </c>
      <c r="E10" s="1225">
        <v>3337268497</v>
      </c>
      <c r="F10" s="1225">
        <v>3303219446</v>
      </c>
      <c r="G10" s="1225">
        <v>7092557160</v>
      </c>
      <c r="H10" s="1225">
        <v>7045900649</v>
      </c>
      <c r="I10" s="1225">
        <v>3389706499</v>
      </c>
      <c r="J10" s="1225">
        <v>3355657448</v>
      </c>
      <c r="K10" s="1225">
        <v>3337268497</v>
      </c>
      <c r="L10" s="1225">
        <v>3303219446</v>
      </c>
    </row>
    <row r="11" spans="1:12">
      <c r="A11" s="187" t="s">
        <v>3080</v>
      </c>
      <c r="B11" s="1224" t="s">
        <v>3853</v>
      </c>
      <c r="C11" s="1225">
        <v>474087233</v>
      </c>
      <c r="D11" s="1225">
        <v>453698962</v>
      </c>
      <c r="E11" s="1225">
        <v>474087233</v>
      </c>
      <c r="F11" s="1225">
        <v>453698962</v>
      </c>
      <c r="G11" s="1225">
        <v>444349992</v>
      </c>
      <c r="H11" s="1225">
        <v>444349992</v>
      </c>
      <c r="I11" s="1225">
        <v>474087233</v>
      </c>
      <c r="J11" s="1225">
        <v>453698962</v>
      </c>
      <c r="K11" s="1225">
        <v>474087233</v>
      </c>
      <c r="L11" s="1225">
        <v>453698962</v>
      </c>
    </row>
    <row r="12" spans="1:12">
      <c r="A12" s="187" t="s">
        <v>2842</v>
      </c>
      <c r="B12" s="1224" t="s">
        <v>5004</v>
      </c>
      <c r="C12" s="1225">
        <v>2301279282</v>
      </c>
      <c r="D12" s="1225">
        <v>2225029045</v>
      </c>
      <c r="E12" s="1225">
        <v>2301279282</v>
      </c>
      <c r="F12" s="1225">
        <v>2225029045</v>
      </c>
      <c r="G12" s="1225">
        <v>2306143147</v>
      </c>
      <c r="H12" s="1225">
        <v>2306143147</v>
      </c>
      <c r="I12" s="1225">
        <v>2301279282</v>
      </c>
      <c r="J12" s="1225">
        <v>2225029045</v>
      </c>
      <c r="K12" s="1225">
        <v>2301279282</v>
      </c>
      <c r="L12" s="1225">
        <v>2225029045</v>
      </c>
    </row>
    <row r="13" spans="1:12">
      <c r="A13" s="187" t="s">
        <v>1874</v>
      </c>
      <c r="B13" s="1224" t="s">
        <v>3857</v>
      </c>
      <c r="C13" s="1225">
        <v>268813521</v>
      </c>
      <c r="D13" s="1225">
        <v>252633590</v>
      </c>
      <c r="E13" s="1225">
        <v>251493437</v>
      </c>
      <c r="F13" s="1225">
        <v>235313506</v>
      </c>
      <c r="G13" s="1225">
        <v>243378998</v>
      </c>
      <c r="H13" s="1225">
        <v>225876294</v>
      </c>
      <c r="I13" s="1225">
        <v>268813521</v>
      </c>
      <c r="J13" s="1225">
        <v>252633590</v>
      </c>
      <c r="K13" s="1225">
        <v>251493437</v>
      </c>
      <c r="L13" s="1225">
        <v>235313506</v>
      </c>
    </row>
    <row r="14" spans="1:12">
      <c r="A14" s="187" t="s">
        <v>2844</v>
      </c>
      <c r="B14" s="1224" t="s">
        <v>5005</v>
      </c>
      <c r="C14" s="1225">
        <v>301603957</v>
      </c>
      <c r="D14" s="1225">
        <v>287914949</v>
      </c>
      <c r="E14" s="1225">
        <v>289307881</v>
      </c>
      <c r="F14" s="1225">
        <v>275618873</v>
      </c>
      <c r="G14" s="1225">
        <v>292396680</v>
      </c>
      <c r="H14" s="1225">
        <v>279745333</v>
      </c>
      <c r="I14" s="1225">
        <v>301603957</v>
      </c>
      <c r="J14" s="1225">
        <v>287914949</v>
      </c>
      <c r="K14" s="1225">
        <v>289307881</v>
      </c>
      <c r="L14" s="1225">
        <v>275618873</v>
      </c>
    </row>
    <row r="15" spans="1:12">
      <c r="A15" s="187" t="s">
        <v>2846</v>
      </c>
      <c r="B15" s="1224" t="s">
        <v>5006</v>
      </c>
      <c r="C15" s="1225">
        <v>110523874</v>
      </c>
      <c r="D15" s="1225">
        <v>104895758</v>
      </c>
      <c r="E15" s="1225">
        <v>105582615</v>
      </c>
      <c r="F15" s="1225">
        <v>99954499</v>
      </c>
      <c r="G15" s="1225">
        <v>99081209</v>
      </c>
      <c r="H15" s="1225">
        <v>94054973</v>
      </c>
      <c r="I15" s="1225">
        <v>110523874</v>
      </c>
      <c r="J15" s="1225">
        <v>104895758</v>
      </c>
      <c r="K15" s="1225">
        <v>105582615</v>
      </c>
      <c r="L15" s="1225">
        <v>99954499</v>
      </c>
    </row>
    <row r="16" spans="1:12">
      <c r="A16" s="187" t="s">
        <v>2848</v>
      </c>
      <c r="B16" s="1224" t="s">
        <v>5007</v>
      </c>
      <c r="C16" s="1225">
        <v>275287340</v>
      </c>
      <c r="D16" s="1225">
        <v>259419370</v>
      </c>
      <c r="E16" s="1225">
        <v>275287340</v>
      </c>
      <c r="F16" s="1225">
        <v>259419370</v>
      </c>
      <c r="G16" s="1225">
        <v>259520865</v>
      </c>
      <c r="H16" s="1225">
        <v>259520865</v>
      </c>
      <c r="I16" s="1225">
        <v>275287340</v>
      </c>
      <c r="J16" s="1225">
        <v>259419370</v>
      </c>
      <c r="K16" s="1225">
        <v>275287340</v>
      </c>
      <c r="L16" s="1225">
        <v>259419370</v>
      </c>
    </row>
    <row r="17" spans="1:12">
      <c r="A17" s="187" t="s">
        <v>1225</v>
      </c>
      <c r="B17" s="1224" t="s">
        <v>5008</v>
      </c>
      <c r="C17" s="1225">
        <v>2807188175</v>
      </c>
      <c r="D17" s="1225">
        <v>2757370325</v>
      </c>
      <c r="E17" s="1225">
        <v>2807188175</v>
      </c>
      <c r="F17" s="1225">
        <v>2757370325</v>
      </c>
      <c r="G17" s="1225">
        <v>2755091019</v>
      </c>
      <c r="H17" s="1225">
        <v>2755091019</v>
      </c>
      <c r="I17" s="1225">
        <v>2807188175</v>
      </c>
      <c r="J17" s="1225">
        <v>2757370325</v>
      </c>
      <c r="K17" s="1225">
        <v>2807188175</v>
      </c>
      <c r="L17" s="1225">
        <v>2757370325</v>
      </c>
    </row>
    <row r="18" spans="1:12">
      <c r="A18" s="187" t="s">
        <v>1227</v>
      </c>
      <c r="B18" s="1224" t="s">
        <v>4094</v>
      </c>
      <c r="C18" s="1225">
        <v>219858290</v>
      </c>
      <c r="D18" s="1225">
        <v>213114230</v>
      </c>
      <c r="E18" s="1225">
        <v>219858290</v>
      </c>
      <c r="F18" s="1225">
        <v>213114230</v>
      </c>
      <c r="G18" s="1225">
        <v>470391702</v>
      </c>
      <c r="H18" s="1225">
        <v>470391702</v>
      </c>
      <c r="I18" s="1225">
        <v>419310790</v>
      </c>
      <c r="J18" s="1225">
        <v>412566730</v>
      </c>
      <c r="K18" s="1225">
        <v>419310790</v>
      </c>
      <c r="L18" s="1225">
        <v>412566730</v>
      </c>
    </row>
    <row r="19" spans="1:12">
      <c r="A19" s="187" t="s">
        <v>1229</v>
      </c>
      <c r="B19" s="1224" t="s">
        <v>4095</v>
      </c>
      <c r="C19" s="1225">
        <v>291780288</v>
      </c>
      <c r="D19" s="1225">
        <v>279858093</v>
      </c>
      <c r="E19" s="1225">
        <v>291780288</v>
      </c>
      <c r="F19" s="1225">
        <v>279858093</v>
      </c>
      <c r="G19" s="1225">
        <v>332318362</v>
      </c>
      <c r="H19" s="1225">
        <v>332318362</v>
      </c>
      <c r="I19" s="1225">
        <v>291780288</v>
      </c>
      <c r="J19" s="1225">
        <v>279858093</v>
      </c>
      <c r="K19" s="1225">
        <v>291780288</v>
      </c>
      <c r="L19" s="1225">
        <v>279858093</v>
      </c>
    </row>
    <row r="20" spans="1:12">
      <c r="A20" s="187" t="s">
        <v>2360</v>
      </c>
      <c r="B20" s="1224" t="s">
        <v>2004</v>
      </c>
      <c r="C20" s="1225">
        <v>89927189</v>
      </c>
      <c r="D20" s="1225">
        <v>86369529</v>
      </c>
      <c r="E20" s="1225">
        <v>89927189</v>
      </c>
      <c r="F20" s="1225">
        <v>86369529</v>
      </c>
      <c r="G20" s="1225">
        <v>76817671</v>
      </c>
      <c r="H20" s="1225">
        <v>76817671</v>
      </c>
      <c r="I20" s="1225">
        <v>89927189</v>
      </c>
      <c r="J20" s="1225">
        <v>86369529</v>
      </c>
      <c r="K20" s="1225">
        <v>89927189</v>
      </c>
      <c r="L20" s="1225">
        <v>86369529</v>
      </c>
    </row>
    <row r="21" spans="1:12">
      <c r="A21" s="187" t="s">
        <v>1233</v>
      </c>
      <c r="B21" s="1224" t="s">
        <v>4097</v>
      </c>
      <c r="C21" s="1225">
        <v>164283555</v>
      </c>
      <c r="D21" s="1225">
        <v>159464915</v>
      </c>
      <c r="E21" s="1225">
        <v>164283555</v>
      </c>
      <c r="F21" s="1225">
        <v>159464915</v>
      </c>
      <c r="G21" s="1225">
        <v>170558391</v>
      </c>
      <c r="H21" s="1225">
        <v>170558391</v>
      </c>
      <c r="I21" s="1225">
        <v>233509655</v>
      </c>
      <c r="J21" s="1225">
        <v>228691015</v>
      </c>
      <c r="K21" s="1225">
        <v>233509655</v>
      </c>
      <c r="L21" s="1225">
        <v>228691015</v>
      </c>
    </row>
    <row r="22" spans="1:12">
      <c r="A22" s="187" t="s">
        <v>3081</v>
      </c>
      <c r="B22" s="1224" t="s">
        <v>6107</v>
      </c>
      <c r="C22" s="1225">
        <v>238633170</v>
      </c>
      <c r="D22" s="1225">
        <v>234979828</v>
      </c>
      <c r="E22" s="1225">
        <v>238633170</v>
      </c>
      <c r="F22" s="1225">
        <v>234979828</v>
      </c>
      <c r="G22" s="1225">
        <v>296303376</v>
      </c>
      <c r="H22" s="1225">
        <v>296303376</v>
      </c>
      <c r="I22" s="1225">
        <v>238633170</v>
      </c>
      <c r="J22" s="1225">
        <v>234979828</v>
      </c>
      <c r="K22" s="1225">
        <v>238633170</v>
      </c>
      <c r="L22" s="1225">
        <v>234979828</v>
      </c>
    </row>
    <row r="23" spans="1:12">
      <c r="A23" s="187" t="s">
        <v>1235</v>
      </c>
      <c r="B23" s="1224" t="s">
        <v>4098</v>
      </c>
      <c r="C23" s="1225">
        <v>761865823</v>
      </c>
      <c r="D23" s="1225">
        <v>751047918</v>
      </c>
      <c r="E23" s="1225">
        <v>761865823</v>
      </c>
      <c r="F23" s="1225">
        <v>751047918</v>
      </c>
      <c r="G23" s="1225">
        <v>827821008</v>
      </c>
      <c r="H23" s="1225">
        <v>827821008</v>
      </c>
      <c r="I23" s="1225">
        <v>761865823</v>
      </c>
      <c r="J23" s="1225">
        <v>751047918</v>
      </c>
      <c r="K23" s="1225">
        <v>761865823</v>
      </c>
      <c r="L23" s="1225">
        <v>751047918</v>
      </c>
    </row>
    <row r="24" spans="1:12">
      <c r="A24" s="187" t="s">
        <v>2999</v>
      </c>
      <c r="B24" s="1224" t="s">
        <v>4099</v>
      </c>
      <c r="C24" s="1225">
        <v>284216035</v>
      </c>
      <c r="D24" s="1225">
        <v>271343193</v>
      </c>
      <c r="E24" s="1225">
        <v>284216035</v>
      </c>
      <c r="F24" s="1225">
        <v>271343193</v>
      </c>
      <c r="G24" s="1225">
        <v>255411510</v>
      </c>
      <c r="H24" s="1225">
        <v>255411510</v>
      </c>
      <c r="I24" s="1225">
        <v>284216035</v>
      </c>
      <c r="J24" s="1225">
        <v>271343193</v>
      </c>
      <c r="K24" s="1225">
        <v>284216035</v>
      </c>
      <c r="L24" s="1225">
        <v>271343193</v>
      </c>
    </row>
    <row r="25" spans="1:12">
      <c r="A25" s="187" t="s">
        <v>5127</v>
      </c>
      <c r="B25" s="1224" t="s">
        <v>342</v>
      </c>
      <c r="C25" s="1225">
        <v>1717627345</v>
      </c>
      <c r="D25" s="1225">
        <v>1685287530</v>
      </c>
      <c r="E25" s="1225">
        <v>1717627345</v>
      </c>
      <c r="F25" s="1225">
        <v>1685287530</v>
      </c>
      <c r="G25" s="1225">
        <v>2248045945</v>
      </c>
      <c r="H25" s="1225">
        <v>2248045945</v>
      </c>
      <c r="I25" s="1225">
        <v>1717627345</v>
      </c>
      <c r="J25" s="1225">
        <v>1685287530</v>
      </c>
      <c r="K25" s="1225">
        <v>1717627345</v>
      </c>
      <c r="L25" s="1225">
        <v>1685287530</v>
      </c>
    </row>
    <row r="26" spans="1:12">
      <c r="A26" s="187" t="s">
        <v>2563</v>
      </c>
      <c r="B26" s="1224" t="s">
        <v>345</v>
      </c>
      <c r="C26" s="1225">
        <v>261770328</v>
      </c>
      <c r="D26" s="1225">
        <v>247775569</v>
      </c>
      <c r="E26" s="1225">
        <v>261770328</v>
      </c>
      <c r="F26" s="1225">
        <v>247775569</v>
      </c>
      <c r="G26" s="1225">
        <v>230053136</v>
      </c>
      <c r="H26" s="1225">
        <v>230053136</v>
      </c>
      <c r="I26" s="1225">
        <v>261770328</v>
      </c>
      <c r="J26" s="1225">
        <v>247775569</v>
      </c>
      <c r="K26" s="1225">
        <v>261770328</v>
      </c>
      <c r="L26" s="1225">
        <v>247775569</v>
      </c>
    </row>
    <row r="27" spans="1:12">
      <c r="A27" s="187" t="s">
        <v>1237</v>
      </c>
      <c r="B27" s="1224" t="s">
        <v>4100</v>
      </c>
      <c r="C27" s="1225">
        <v>1173949192</v>
      </c>
      <c r="D27" s="1225">
        <v>1142498760</v>
      </c>
      <c r="E27" s="1225">
        <v>1173949192</v>
      </c>
      <c r="F27" s="1225">
        <v>1142498760</v>
      </c>
      <c r="G27" s="1225">
        <v>1123785753</v>
      </c>
      <c r="H27" s="1225">
        <v>1123785753</v>
      </c>
      <c r="I27" s="1225">
        <v>1173949192</v>
      </c>
      <c r="J27" s="1225">
        <v>1142498760</v>
      </c>
      <c r="K27" s="1225">
        <v>1173949192</v>
      </c>
      <c r="L27" s="1225">
        <v>1142498760</v>
      </c>
    </row>
    <row r="28" spans="1:12">
      <c r="A28" s="187" t="s">
        <v>1239</v>
      </c>
      <c r="B28" s="1224" t="s">
        <v>4101</v>
      </c>
      <c r="C28" s="1225">
        <v>1228720437</v>
      </c>
      <c r="D28" s="1225">
        <v>1201264432</v>
      </c>
      <c r="E28" s="1225">
        <v>1176645946</v>
      </c>
      <c r="F28" s="1225">
        <v>1149189941</v>
      </c>
      <c r="G28" s="1225">
        <v>1164735902</v>
      </c>
      <c r="H28" s="1225">
        <v>1117877879</v>
      </c>
      <c r="I28" s="1225">
        <v>1228720437</v>
      </c>
      <c r="J28" s="1225">
        <v>1201264432</v>
      </c>
      <c r="K28" s="1225">
        <v>1176645946</v>
      </c>
      <c r="L28" s="1225">
        <v>1149189941</v>
      </c>
    </row>
    <row r="29" spans="1:12">
      <c r="A29" s="187" t="s">
        <v>1241</v>
      </c>
      <c r="B29" s="1224" t="s">
        <v>4102</v>
      </c>
      <c r="C29" s="1225">
        <v>269131224</v>
      </c>
      <c r="D29" s="1225">
        <v>260479581</v>
      </c>
      <c r="E29" s="1225">
        <v>265784991</v>
      </c>
      <c r="F29" s="1225">
        <v>257133348</v>
      </c>
      <c r="G29" s="1225">
        <v>314419337</v>
      </c>
      <c r="H29" s="1225">
        <v>311336861</v>
      </c>
      <c r="I29" s="1225">
        <v>269131224</v>
      </c>
      <c r="J29" s="1225">
        <v>260479581</v>
      </c>
      <c r="K29" s="1225">
        <v>265784991</v>
      </c>
      <c r="L29" s="1225">
        <v>257133348</v>
      </c>
    </row>
    <row r="30" spans="1:12">
      <c r="A30" s="187" t="s">
        <v>1243</v>
      </c>
      <c r="B30" s="1224" t="s">
        <v>4103</v>
      </c>
      <c r="C30" s="1225">
        <v>268442420</v>
      </c>
      <c r="D30" s="1225">
        <v>259262155</v>
      </c>
      <c r="E30" s="1225">
        <v>268442420</v>
      </c>
      <c r="F30" s="1225">
        <v>259262155</v>
      </c>
      <c r="G30" s="1225">
        <v>248873732</v>
      </c>
      <c r="H30" s="1225">
        <v>248873732</v>
      </c>
      <c r="I30" s="1225">
        <v>268442420</v>
      </c>
      <c r="J30" s="1225">
        <v>259262155</v>
      </c>
      <c r="K30" s="1225">
        <v>268442420</v>
      </c>
      <c r="L30" s="1225">
        <v>259262155</v>
      </c>
    </row>
    <row r="31" spans="1:12">
      <c r="A31" s="187" t="s">
        <v>1245</v>
      </c>
      <c r="B31" s="1224" t="s">
        <v>4104</v>
      </c>
      <c r="C31" s="1225">
        <v>240133535</v>
      </c>
      <c r="D31" s="1225">
        <v>234927938</v>
      </c>
      <c r="E31" s="1225">
        <v>240133535</v>
      </c>
      <c r="F31" s="1225">
        <v>234927938</v>
      </c>
      <c r="G31" s="1225">
        <v>228525948</v>
      </c>
      <c r="H31" s="1225">
        <v>228525948</v>
      </c>
      <c r="I31" s="1225">
        <v>240133535</v>
      </c>
      <c r="J31" s="1225">
        <v>234927938</v>
      </c>
      <c r="K31" s="1225">
        <v>240133535</v>
      </c>
      <c r="L31" s="1225">
        <v>234927938</v>
      </c>
    </row>
    <row r="32" spans="1:12">
      <c r="A32" s="187" t="s">
        <v>2361</v>
      </c>
      <c r="B32" s="1224" t="s">
        <v>7695</v>
      </c>
      <c r="C32" s="1225">
        <v>1501187388</v>
      </c>
      <c r="D32" s="1225">
        <v>1454455022</v>
      </c>
      <c r="E32" s="1225">
        <v>1501187388</v>
      </c>
      <c r="F32" s="1225">
        <v>1454455022</v>
      </c>
      <c r="G32" s="1225">
        <v>1437754535</v>
      </c>
      <c r="H32" s="1225">
        <v>1437754535</v>
      </c>
      <c r="I32" s="1225">
        <v>1501187388</v>
      </c>
      <c r="J32" s="1225">
        <v>1454455022</v>
      </c>
      <c r="K32" s="1225">
        <v>1501187388</v>
      </c>
      <c r="L32" s="1225">
        <v>1454455022</v>
      </c>
    </row>
    <row r="33" spans="1:12">
      <c r="A33" s="187" t="s">
        <v>948</v>
      </c>
      <c r="B33" s="1224" t="s">
        <v>7697</v>
      </c>
      <c r="C33" s="1225">
        <v>3419791860</v>
      </c>
      <c r="D33" s="1225">
        <v>3336205139</v>
      </c>
      <c r="E33" s="1225">
        <v>3419791860</v>
      </c>
      <c r="F33" s="1225">
        <v>3336205139</v>
      </c>
      <c r="G33" s="1225">
        <v>3123994439</v>
      </c>
      <c r="H33" s="1225">
        <v>3123994439</v>
      </c>
      <c r="I33" s="1225">
        <v>3419791860</v>
      </c>
      <c r="J33" s="1225">
        <v>3336205139</v>
      </c>
      <c r="K33" s="1225">
        <v>3419791860</v>
      </c>
      <c r="L33" s="1225">
        <v>3336205139</v>
      </c>
    </row>
    <row r="34" spans="1:12">
      <c r="A34" s="187" t="s">
        <v>1522</v>
      </c>
      <c r="B34" s="1224" t="s">
        <v>1928</v>
      </c>
      <c r="C34" s="1225">
        <v>1124779095</v>
      </c>
      <c r="D34" s="1225">
        <v>1086277556</v>
      </c>
      <c r="E34" s="1225">
        <v>1124779095</v>
      </c>
      <c r="F34" s="1225">
        <v>1086277556</v>
      </c>
      <c r="G34" s="1225">
        <v>934072723</v>
      </c>
      <c r="H34" s="1225">
        <v>934072723</v>
      </c>
      <c r="I34" s="1225">
        <v>1124779095</v>
      </c>
      <c r="J34" s="1225">
        <v>1086277556</v>
      </c>
      <c r="K34" s="1225">
        <v>1124779095</v>
      </c>
      <c r="L34" s="1225">
        <v>1086277556</v>
      </c>
    </row>
    <row r="35" spans="1:12">
      <c r="A35" s="187" t="s">
        <v>438</v>
      </c>
      <c r="B35" s="1224" t="s">
        <v>2343</v>
      </c>
      <c r="C35" s="1225">
        <v>781167620</v>
      </c>
      <c r="D35" s="1225">
        <v>758550764</v>
      </c>
      <c r="E35" s="1225">
        <v>781167620</v>
      </c>
      <c r="F35" s="1225">
        <v>758550764</v>
      </c>
      <c r="G35" s="1225">
        <v>641861899</v>
      </c>
      <c r="H35" s="1225">
        <v>641861899</v>
      </c>
      <c r="I35" s="1225">
        <v>781167620</v>
      </c>
      <c r="J35" s="1225">
        <v>758550764</v>
      </c>
      <c r="K35" s="1225">
        <v>781167620</v>
      </c>
      <c r="L35" s="1225">
        <v>758550764</v>
      </c>
    </row>
    <row r="36" spans="1:12">
      <c r="A36" s="187" t="s">
        <v>2565</v>
      </c>
      <c r="B36" s="1224" t="s">
        <v>6074</v>
      </c>
      <c r="C36" s="1225">
        <v>87808150</v>
      </c>
      <c r="D36" s="1225">
        <v>84822917</v>
      </c>
      <c r="E36" s="1225">
        <v>87808150</v>
      </c>
      <c r="F36" s="1225">
        <v>84822917</v>
      </c>
      <c r="G36" s="1225">
        <v>76010917</v>
      </c>
      <c r="H36" s="1225">
        <v>76010917</v>
      </c>
      <c r="I36" s="1225">
        <v>87808150</v>
      </c>
      <c r="J36" s="1225">
        <v>84822917</v>
      </c>
      <c r="K36" s="1225">
        <v>87808150</v>
      </c>
      <c r="L36" s="1225">
        <v>84822917</v>
      </c>
    </row>
    <row r="37" spans="1:12">
      <c r="A37" s="187" t="s">
        <v>1248</v>
      </c>
      <c r="B37" s="1224" t="s">
        <v>4105</v>
      </c>
      <c r="C37" s="1225">
        <v>196440948</v>
      </c>
      <c r="D37" s="1225">
        <v>188848538</v>
      </c>
      <c r="E37" s="1225">
        <v>196440948</v>
      </c>
      <c r="F37" s="1225">
        <v>188848538</v>
      </c>
      <c r="G37" s="1225">
        <v>187072252</v>
      </c>
      <c r="H37" s="1225">
        <v>187072252</v>
      </c>
      <c r="I37" s="1225">
        <v>527043408</v>
      </c>
      <c r="J37" s="1225">
        <v>519450998</v>
      </c>
      <c r="K37" s="1225">
        <v>527043408</v>
      </c>
      <c r="L37" s="1225">
        <v>519450998</v>
      </c>
    </row>
    <row r="38" spans="1:12">
      <c r="A38" s="187" t="s">
        <v>439</v>
      </c>
      <c r="B38" s="1224" t="s">
        <v>7698</v>
      </c>
      <c r="C38" s="1225">
        <v>812504144</v>
      </c>
      <c r="D38" s="1225">
        <v>780268694</v>
      </c>
      <c r="E38" s="1225">
        <v>812504144</v>
      </c>
      <c r="F38" s="1225">
        <v>780268694</v>
      </c>
      <c r="G38" s="1225">
        <v>779833047</v>
      </c>
      <c r="H38" s="1225">
        <v>779833047</v>
      </c>
      <c r="I38" s="1225">
        <v>812504144</v>
      </c>
      <c r="J38" s="1225">
        <v>780268694</v>
      </c>
      <c r="K38" s="1225">
        <v>812504144</v>
      </c>
      <c r="L38" s="1225">
        <v>780268694</v>
      </c>
    </row>
    <row r="39" spans="1:12">
      <c r="A39" s="187" t="s">
        <v>1250</v>
      </c>
      <c r="B39" s="1224" t="s">
        <v>4106</v>
      </c>
      <c r="C39" s="1225">
        <v>328474244</v>
      </c>
      <c r="D39" s="1225">
        <v>326891587</v>
      </c>
      <c r="E39" s="1225">
        <v>326896709</v>
      </c>
      <c r="F39" s="1225">
        <v>325314052</v>
      </c>
      <c r="G39" s="1225">
        <v>521108884</v>
      </c>
      <c r="H39" s="1225">
        <v>519589794</v>
      </c>
      <c r="I39" s="1225">
        <v>328474244</v>
      </c>
      <c r="J39" s="1225">
        <v>326891587</v>
      </c>
      <c r="K39" s="1225">
        <v>326896709</v>
      </c>
      <c r="L39" s="1225">
        <v>325314052</v>
      </c>
    </row>
    <row r="40" spans="1:12">
      <c r="A40" s="187" t="s">
        <v>1252</v>
      </c>
      <c r="B40" s="1224" t="s">
        <v>4107</v>
      </c>
      <c r="C40" s="1225">
        <v>552615733</v>
      </c>
      <c r="D40" s="1225">
        <v>549258118</v>
      </c>
      <c r="E40" s="1225">
        <v>552615733</v>
      </c>
      <c r="F40" s="1225">
        <v>549258118</v>
      </c>
      <c r="G40" s="1225">
        <v>509708658</v>
      </c>
      <c r="H40" s="1225">
        <v>509708658</v>
      </c>
      <c r="I40" s="1225">
        <v>628461783</v>
      </c>
      <c r="J40" s="1225">
        <v>625104168</v>
      </c>
      <c r="K40" s="1225">
        <v>628461783</v>
      </c>
      <c r="L40" s="1225">
        <v>625104168</v>
      </c>
    </row>
    <row r="41" spans="1:12">
      <c r="A41" s="187" t="s">
        <v>2399</v>
      </c>
      <c r="B41" s="1224" t="s">
        <v>2341</v>
      </c>
      <c r="C41" s="1225">
        <v>153347280</v>
      </c>
      <c r="D41" s="1225">
        <v>148543691</v>
      </c>
      <c r="E41" s="1225">
        <v>153347280</v>
      </c>
      <c r="F41" s="1225">
        <v>148543691</v>
      </c>
      <c r="G41" s="1225">
        <v>157143962</v>
      </c>
      <c r="H41" s="1225">
        <v>152400907</v>
      </c>
      <c r="I41" s="1225">
        <v>153347280</v>
      </c>
      <c r="J41" s="1225">
        <v>148543691</v>
      </c>
      <c r="K41" s="1225">
        <v>153347280</v>
      </c>
      <c r="L41" s="1225">
        <v>148543691</v>
      </c>
    </row>
    <row r="42" spans="1:12">
      <c r="A42" s="187" t="s">
        <v>2566</v>
      </c>
      <c r="B42" s="1224" t="s">
        <v>4108</v>
      </c>
      <c r="C42" s="1225">
        <v>364979526</v>
      </c>
      <c r="D42" s="1225">
        <v>349563619</v>
      </c>
      <c r="E42" s="1225">
        <v>364979526</v>
      </c>
      <c r="F42" s="1225">
        <v>349563619</v>
      </c>
      <c r="G42" s="1225">
        <v>302238912</v>
      </c>
      <c r="H42" s="1225">
        <v>302238912</v>
      </c>
      <c r="I42" s="1225">
        <v>364979526</v>
      </c>
      <c r="J42" s="1225">
        <v>349563619</v>
      </c>
      <c r="K42" s="1225">
        <v>364979526</v>
      </c>
      <c r="L42" s="1225">
        <v>349563619</v>
      </c>
    </row>
    <row r="43" spans="1:12">
      <c r="A43" s="187" t="s">
        <v>947</v>
      </c>
      <c r="B43" s="1224" t="s">
        <v>7696</v>
      </c>
      <c r="C43" s="1225">
        <v>111881758</v>
      </c>
      <c r="D43" s="1225">
        <v>107054290</v>
      </c>
      <c r="E43" s="1225">
        <v>111881758</v>
      </c>
      <c r="F43" s="1225">
        <v>107054290</v>
      </c>
      <c r="G43" s="1225">
        <v>103028339</v>
      </c>
      <c r="H43" s="1225">
        <v>103028339</v>
      </c>
      <c r="I43" s="1225">
        <v>111881758</v>
      </c>
      <c r="J43" s="1225">
        <v>107054290</v>
      </c>
      <c r="K43" s="1225">
        <v>111881758</v>
      </c>
      <c r="L43" s="1225">
        <v>107054290</v>
      </c>
    </row>
    <row r="44" spans="1:12">
      <c r="A44" s="187" t="s">
        <v>950</v>
      </c>
      <c r="B44" s="1224" t="s">
        <v>7654</v>
      </c>
      <c r="C44" s="1225">
        <v>2778875360</v>
      </c>
      <c r="D44" s="1225">
        <v>2674828224</v>
      </c>
      <c r="E44" s="1225">
        <v>2778875360</v>
      </c>
      <c r="F44" s="1225">
        <v>2674828224</v>
      </c>
      <c r="G44" s="1225">
        <v>2423117959</v>
      </c>
      <c r="H44" s="1225">
        <v>2423117959</v>
      </c>
      <c r="I44" s="1225">
        <v>2778875360</v>
      </c>
      <c r="J44" s="1225">
        <v>2674828224</v>
      </c>
      <c r="K44" s="1225">
        <v>2778875360</v>
      </c>
      <c r="L44" s="1225">
        <v>2674828224</v>
      </c>
    </row>
    <row r="45" spans="1:12">
      <c r="A45" s="187" t="s">
        <v>1869</v>
      </c>
      <c r="B45" s="1224" t="s">
        <v>3848</v>
      </c>
      <c r="C45" s="1225">
        <v>111874219</v>
      </c>
      <c r="D45" s="1225">
        <v>106593700</v>
      </c>
      <c r="E45" s="1225">
        <v>111874219</v>
      </c>
      <c r="F45" s="1225">
        <v>106593700</v>
      </c>
      <c r="G45" s="1225">
        <v>96088483</v>
      </c>
      <c r="H45" s="1225">
        <v>96088483</v>
      </c>
      <c r="I45" s="1225">
        <v>111874219</v>
      </c>
      <c r="J45" s="1225">
        <v>106593700</v>
      </c>
      <c r="K45" s="1225">
        <v>111874219</v>
      </c>
      <c r="L45" s="1225">
        <v>106593700</v>
      </c>
    </row>
    <row r="46" spans="1:12">
      <c r="A46" s="187" t="s">
        <v>6033</v>
      </c>
      <c r="B46" s="1224" t="s">
        <v>1920</v>
      </c>
      <c r="C46" s="1225">
        <v>7357115263</v>
      </c>
      <c r="D46" s="1225">
        <v>7083905616</v>
      </c>
      <c r="E46" s="1225">
        <v>7357115263</v>
      </c>
      <c r="F46" s="1225">
        <v>7083905616</v>
      </c>
      <c r="G46" s="1225">
        <v>6912567847</v>
      </c>
      <c r="H46" s="1225">
        <v>6912567847</v>
      </c>
      <c r="I46" s="1225">
        <v>7357115263</v>
      </c>
      <c r="J46" s="1225">
        <v>7083905616</v>
      </c>
      <c r="K46" s="1225">
        <v>7357115263</v>
      </c>
      <c r="L46" s="1225">
        <v>7083905616</v>
      </c>
    </row>
    <row r="47" spans="1:12">
      <c r="A47" s="187" t="s">
        <v>2309</v>
      </c>
      <c r="B47" s="1224" t="s">
        <v>367</v>
      </c>
      <c r="C47" s="1225">
        <v>181450158</v>
      </c>
      <c r="D47" s="1225">
        <v>172878184</v>
      </c>
      <c r="E47" s="1225">
        <v>181450158</v>
      </c>
      <c r="F47" s="1225">
        <v>172878184</v>
      </c>
      <c r="G47" s="1225">
        <v>159622460</v>
      </c>
      <c r="H47" s="1225">
        <v>159622460</v>
      </c>
      <c r="I47" s="1225">
        <v>181450158</v>
      </c>
      <c r="J47" s="1225">
        <v>172878184</v>
      </c>
      <c r="K47" s="1225">
        <v>181450158</v>
      </c>
      <c r="L47" s="1225">
        <v>172878184</v>
      </c>
    </row>
    <row r="48" spans="1:12">
      <c r="A48" s="187" t="s">
        <v>2384</v>
      </c>
      <c r="B48" s="1224" t="s">
        <v>376</v>
      </c>
      <c r="C48" s="1225">
        <v>755487759</v>
      </c>
      <c r="D48" s="1225">
        <v>734203271</v>
      </c>
      <c r="E48" s="1225">
        <v>755487759</v>
      </c>
      <c r="F48" s="1225">
        <v>734203271</v>
      </c>
      <c r="G48" s="1225">
        <v>690661356</v>
      </c>
      <c r="H48" s="1225">
        <v>690661356</v>
      </c>
      <c r="I48" s="1225">
        <v>755487759</v>
      </c>
      <c r="J48" s="1225">
        <v>734203271</v>
      </c>
      <c r="K48" s="1225">
        <v>755487759</v>
      </c>
      <c r="L48" s="1225">
        <v>734203271</v>
      </c>
    </row>
    <row r="49" spans="1:12">
      <c r="A49" s="187" t="s">
        <v>2411</v>
      </c>
      <c r="B49" s="1224" t="s">
        <v>5364</v>
      </c>
      <c r="C49" s="1225">
        <v>3030816802</v>
      </c>
      <c r="D49" s="1225">
        <v>2936130576</v>
      </c>
      <c r="E49" s="1225">
        <v>3030816802</v>
      </c>
      <c r="F49" s="1225">
        <v>2936130576</v>
      </c>
      <c r="G49" s="1225">
        <v>3001301122</v>
      </c>
      <c r="H49" s="1225">
        <v>3001301122</v>
      </c>
      <c r="I49" s="1225">
        <v>3030816802</v>
      </c>
      <c r="J49" s="1225">
        <v>2936130576</v>
      </c>
      <c r="K49" s="1225">
        <v>3030816802</v>
      </c>
      <c r="L49" s="1225">
        <v>2936130576</v>
      </c>
    </row>
    <row r="50" spans="1:12">
      <c r="A50" s="187" t="s">
        <v>2416</v>
      </c>
      <c r="B50" s="1224" t="s">
        <v>5369</v>
      </c>
      <c r="C50" s="1225">
        <v>320610757</v>
      </c>
      <c r="D50" s="1225">
        <v>307176645</v>
      </c>
      <c r="E50" s="1225">
        <v>320610757</v>
      </c>
      <c r="F50" s="1225">
        <v>307176645</v>
      </c>
      <c r="G50" s="1225">
        <v>289873351</v>
      </c>
      <c r="H50" s="1225">
        <v>289873351</v>
      </c>
      <c r="I50" s="1225">
        <v>320610757</v>
      </c>
      <c r="J50" s="1225">
        <v>307176645</v>
      </c>
      <c r="K50" s="1225">
        <v>320610757</v>
      </c>
      <c r="L50" s="1225">
        <v>307176645</v>
      </c>
    </row>
    <row r="51" spans="1:12">
      <c r="A51" s="187" t="s">
        <v>37</v>
      </c>
      <c r="B51" s="1224" t="s">
        <v>4109</v>
      </c>
      <c r="C51" s="1225">
        <v>6546284685</v>
      </c>
      <c r="D51" s="1225">
        <v>6476546388</v>
      </c>
      <c r="E51" s="1225">
        <v>6546284685</v>
      </c>
      <c r="F51" s="1225">
        <v>6476546388</v>
      </c>
      <c r="G51" s="1225">
        <v>5760334537</v>
      </c>
      <c r="H51" s="1225">
        <v>5760334537</v>
      </c>
      <c r="I51" s="1225">
        <v>6546284685</v>
      </c>
      <c r="J51" s="1225">
        <v>6476546388</v>
      </c>
      <c r="K51" s="1225">
        <v>6546284685</v>
      </c>
      <c r="L51" s="1225">
        <v>6476546388</v>
      </c>
    </row>
    <row r="52" spans="1:12">
      <c r="A52" s="187" t="s">
        <v>1860</v>
      </c>
      <c r="B52" s="1224" t="s">
        <v>3918</v>
      </c>
      <c r="C52" s="1225">
        <v>1548550279</v>
      </c>
      <c r="D52" s="1225">
        <v>1449425647</v>
      </c>
      <c r="E52" s="1225">
        <v>1548550279</v>
      </c>
      <c r="F52" s="1225">
        <v>1449425647</v>
      </c>
      <c r="G52" s="1225">
        <v>1186590535</v>
      </c>
      <c r="H52" s="1225">
        <v>1186590535</v>
      </c>
      <c r="I52" s="1225">
        <v>1548550279</v>
      </c>
      <c r="J52" s="1225">
        <v>1449425647</v>
      </c>
      <c r="K52" s="1225">
        <v>1548550279</v>
      </c>
      <c r="L52" s="1225">
        <v>1449425647</v>
      </c>
    </row>
    <row r="53" spans="1:12">
      <c r="A53" s="187" t="s">
        <v>1520</v>
      </c>
      <c r="B53" s="1224" t="s">
        <v>1926</v>
      </c>
      <c r="C53" s="1225">
        <v>1261148596</v>
      </c>
      <c r="D53" s="1225">
        <v>1176658209</v>
      </c>
      <c r="E53" s="1225">
        <v>1261148596</v>
      </c>
      <c r="F53" s="1225">
        <v>1176658209</v>
      </c>
      <c r="G53" s="1225">
        <v>959872478</v>
      </c>
      <c r="H53" s="1225">
        <v>959872478</v>
      </c>
      <c r="I53" s="1225">
        <v>1261148596</v>
      </c>
      <c r="J53" s="1225">
        <v>1176658209</v>
      </c>
      <c r="K53" s="1225">
        <v>1261148596</v>
      </c>
      <c r="L53" s="1225">
        <v>1176658209</v>
      </c>
    </row>
    <row r="54" spans="1:12">
      <c r="A54" s="187" t="s">
        <v>2386</v>
      </c>
      <c r="B54" s="1224" t="s">
        <v>379</v>
      </c>
      <c r="C54" s="1225">
        <v>16473244900</v>
      </c>
      <c r="D54" s="1225">
        <v>16028720312</v>
      </c>
      <c r="E54" s="1225">
        <v>16473244900</v>
      </c>
      <c r="F54" s="1225">
        <v>16028720312</v>
      </c>
      <c r="G54" s="1225">
        <v>13111727280</v>
      </c>
      <c r="H54" s="1225">
        <v>13111727280</v>
      </c>
      <c r="I54" s="1225">
        <v>16473244900</v>
      </c>
      <c r="J54" s="1225">
        <v>16028720312</v>
      </c>
      <c r="K54" s="1225">
        <v>16473244900</v>
      </c>
      <c r="L54" s="1225">
        <v>16028720312</v>
      </c>
    </row>
    <row r="55" spans="1:12">
      <c r="A55" s="187" t="s">
        <v>2403</v>
      </c>
      <c r="B55" s="1224" t="s">
        <v>2347</v>
      </c>
      <c r="C55" s="1225">
        <v>1642902303</v>
      </c>
      <c r="D55" s="1225">
        <v>1580541430</v>
      </c>
      <c r="E55" s="1225">
        <v>1642902303</v>
      </c>
      <c r="F55" s="1225">
        <v>1580541430</v>
      </c>
      <c r="G55" s="1225">
        <v>1391562666</v>
      </c>
      <c r="H55" s="1225">
        <v>1391562666</v>
      </c>
      <c r="I55" s="1225">
        <v>1642902303</v>
      </c>
      <c r="J55" s="1225">
        <v>1580541430</v>
      </c>
      <c r="K55" s="1225">
        <v>1642902303</v>
      </c>
      <c r="L55" s="1225">
        <v>1580541430</v>
      </c>
    </row>
    <row r="56" spans="1:12">
      <c r="A56" s="187" t="s">
        <v>2402</v>
      </c>
      <c r="B56" s="1224" t="s">
        <v>2346</v>
      </c>
      <c r="C56" s="1225">
        <v>462461228</v>
      </c>
      <c r="D56" s="1225">
        <v>440838089</v>
      </c>
      <c r="E56" s="1225">
        <v>462461228</v>
      </c>
      <c r="F56" s="1225">
        <v>440838089</v>
      </c>
      <c r="G56" s="1225">
        <v>397523510</v>
      </c>
      <c r="H56" s="1225">
        <v>397523510</v>
      </c>
      <c r="I56" s="1225">
        <v>462461228</v>
      </c>
      <c r="J56" s="1225">
        <v>440838089</v>
      </c>
      <c r="K56" s="1225">
        <v>462461228</v>
      </c>
      <c r="L56" s="1225">
        <v>440838089</v>
      </c>
    </row>
    <row r="57" spans="1:12">
      <c r="A57" s="187" t="s">
        <v>6183</v>
      </c>
      <c r="B57" s="1224" t="s">
        <v>1937</v>
      </c>
      <c r="C57" s="1225">
        <v>36800028031</v>
      </c>
      <c r="D57" s="1225">
        <v>35976258170</v>
      </c>
      <c r="E57" s="1225">
        <v>36800028031</v>
      </c>
      <c r="F57" s="1225">
        <v>35976258170</v>
      </c>
      <c r="G57" s="1225">
        <v>31811475773</v>
      </c>
      <c r="H57" s="1225">
        <v>31811475773</v>
      </c>
      <c r="I57" s="1225">
        <v>36800028031</v>
      </c>
      <c r="J57" s="1225">
        <v>35976258170</v>
      </c>
      <c r="K57" s="1225">
        <v>36800028031</v>
      </c>
      <c r="L57" s="1225">
        <v>35976258170</v>
      </c>
    </row>
    <row r="58" spans="1:12">
      <c r="A58" s="187" t="s">
        <v>1517</v>
      </c>
      <c r="B58" s="1224" t="s">
        <v>3013</v>
      </c>
      <c r="C58" s="1225">
        <v>3557100105</v>
      </c>
      <c r="D58" s="1225">
        <v>3454068646</v>
      </c>
      <c r="E58" s="1225">
        <v>3557100105</v>
      </c>
      <c r="F58" s="1225">
        <v>3454068646</v>
      </c>
      <c r="G58" s="1225">
        <v>2668258792</v>
      </c>
      <c r="H58" s="1225">
        <v>2668258792</v>
      </c>
      <c r="I58" s="1225">
        <v>3557100105</v>
      </c>
      <c r="J58" s="1225">
        <v>3454068646</v>
      </c>
      <c r="K58" s="1225">
        <v>3557100105</v>
      </c>
      <c r="L58" s="1225">
        <v>3454068646</v>
      </c>
    </row>
    <row r="59" spans="1:12">
      <c r="A59" s="187" t="s">
        <v>3082</v>
      </c>
      <c r="B59" s="1224" t="s">
        <v>2349</v>
      </c>
      <c r="C59" s="1225">
        <v>3096890373</v>
      </c>
      <c r="D59" s="1225">
        <v>3011037671</v>
      </c>
      <c r="E59" s="1225">
        <v>3096890373</v>
      </c>
      <c r="F59" s="1225">
        <v>3011037671</v>
      </c>
      <c r="G59" s="1225">
        <v>2091423993</v>
      </c>
      <c r="H59" s="1225">
        <v>2091423993</v>
      </c>
      <c r="I59" s="1225">
        <v>3096890373</v>
      </c>
      <c r="J59" s="1225">
        <v>3011037671</v>
      </c>
      <c r="K59" s="1225">
        <v>3096890373</v>
      </c>
      <c r="L59" s="1225">
        <v>3011037671</v>
      </c>
    </row>
    <row r="60" spans="1:12">
      <c r="A60" s="187" t="s">
        <v>6185</v>
      </c>
      <c r="B60" s="1224" t="s">
        <v>1939</v>
      </c>
      <c r="C60" s="1225">
        <v>48271668924</v>
      </c>
      <c r="D60" s="1225">
        <v>47215842437</v>
      </c>
      <c r="E60" s="1225">
        <v>48271668924</v>
      </c>
      <c r="F60" s="1225">
        <v>47215842437</v>
      </c>
      <c r="G60" s="1225">
        <v>39760933621</v>
      </c>
      <c r="H60" s="1225">
        <v>39760933621</v>
      </c>
      <c r="I60" s="1225">
        <v>48271668924</v>
      </c>
      <c r="J60" s="1225">
        <v>47215842437</v>
      </c>
      <c r="K60" s="1225">
        <v>48271668924</v>
      </c>
      <c r="L60" s="1225">
        <v>47215842437</v>
      </c>
    </row>
    <row r="61" spans="1:12">
      <c r="A61" s="187" t="s">
        <v>6026</v>
      </c>
      <c r="B61" s="1224" t="s">
        <v>1911</v>
      </c>
      <c r="C61" s="1225">
        <v>8451905469</v>
      </c>
      <c r="D61" s="1225">
        <v>8215313119</v>
      </c>
      <c r="E61" s="1225">
        <v>8451905469</v>
      </c>
      <c r="F61" s="1225">
        <v>8215313119</v>
      </c>
      <c r="G61" s="1225">
        <v>6994914104</v>
      </c>
      <c r="H61" s="1225">
        <v>6994914104</v>
      </c>
      <c r="I61" s="1225">
        <v>8451905469</v>
      </c>
      <c r="J61" s="1225">
        <v>8215313119</v>
      </c>
      <c r="K61" s="1225">
        <v>8451905469</v>
      </c>
      <c r="L61" s="1225">
        <v>8215313119</v>
      </c>
    </row>
    <row r="62" spans="1:12">
      <c r="A62" s="187" t="s">
        <v>2404</v>
      </c>
      <c r="B62" s="1224" t="s">
        <v>2348</v>
      </c>
      <c r="C62" s="1225">
        <v>1269469498</v>
      </c>
      <c r="D62" s="1225">
        <v>1235320800</v>
      </c>
      <c r="E62" s="1225">
        <v>1269469498</v>
      </c>
      <c r="F62" s="1225">
        <v>1235320800</v>
      </c>
      <c r="G62" s="1225">
        <v>1168478933</v>
      </c>
      <c r="H62" s="1225">
        <v>1168478933</v>
      </c>
      <c r="I62" s="1225">
        <v>1269469498</v>
      </c>
      <c r="J62" s="1225">
        <v>1235320800</v>
      </c>
      <c r="K62" s="1225">
        <v>1269469498</v>
      </c>
      <c r="L62" s="1225">
        <v>1235320800</v>
      </c>
    </row>
    <row r="63" spans="1:12">
      <c r="A63" s="187" t="s">
        <v>45</v>
      </c>
      <c r="B63" s="1224" t="s">
        <v>4113</v>
      </c>
      <c r="C63" s="1225">
        <v>718444434</v>
      </c>
      <c r="D63" s="1225">
        <v>703856192</v>
      </c>
      <c r="E63" s="1225">
        <v>718444434</v>
      </c>
      <c r="F63" s="1225">
        <v>703856192</v>
      </c>
      <c r="G63" s="1225">
        <v>637872334</v>
      </c>
      <c r="H63" s="1225">
        <v>637872334</v>
      </c>
      <c r="I63" s="1225">
        <v>718444434</v>
      </c>
      <c r="J63" s="1225">
        <v>703856192</v>
      </c>
      <c r="K63" s="1225">
        <v>718444434</v>
      </c>
      <c r="L63" s="1225">
        <v>703856192</v>
      </c>
    </row>
    <row r="64" spans="1:12">
      <c r="A64" s="187" t="s">
        <v>952</v>
      </c>
      <c r="B64" s="1224" t="s">
        <v>7657</v>
      </c>
      <c r="C64" s="1225">
        <v>816106103</v>
      </c>
      <c r="D64" s="1225">
        <v>797748226</v>
      </c>
      <c r="E64" s="1225">
        <v>816106103</v>
      </c>
      <c r="F64" s="1225">
        <v>797748226</v>
      </c>
      <c r="G64" s="1225">
        <v>752423930</v>
      </c>
      <c r="H64" s="1225">
        <v>752423930</v>
      </c>
      <c r="I64" s="1225">
        <v>816106103</v>
      </c>
      <c r="J64" s="1225">
        <v>797748226</v>
      </c>
      <c r="K64" s="1225">
        <v>816106103</v>
      </c>
      <c r="L64" s="1225">
        <v>797748226</v>
      </c>
    </row>
    <row r="65" spans="1:12">
      <c r="A65" s="187" t="s">
        <v>47</v>
      </c>
      <c r="B65" s="1224" t="s">
        <v>4114</v>
      </c>
      <c r="C65" s="1225">
        <v>588480803</v>
      </c>
      <c r="D65" s="1225">
        <v>588062103</v>
      </c>
      <c r="E65" s="1225">
        <v>588212612</v>
      </c>
      <c r="F65" s="1225">
        <v>587793912</v>
      </c>
      <c r="G65" s="1225">
        <v>983152416</v>
      </c>
      <c r="H65" s="1225">
        <v>982868006</v>
      </c>
      <c r="I65" s="1225">
        <v>617210453</v>
      </c>
      <c r="J65" s="1225">
        <v>616791753</v>
      </c>
      <c r="K65" s="1225">
        <v>616942262</v>
      </c>
      <c r="L65" s="1225">
        <v>616523562</v>
      </c>
    </row>
    <row r="66" spans="1:12">
      <c r="A66" s="187" t="s">
        <v>740</v>
      </c>
      <c r="B66" s="1224" t="s">
        <v>6115</v>
      </c>
      <c r="C66" s="1225">
        <v>604811812</v>
      </c>
      <c r="D66" s="1225">
        <v>589293144</v>
      </c>
      <c r="E66" s="1225">
        <v>604811812</v>
      </c>
      <c r="F66" s="1225">
        <v>589293144</v>
      </c>
      <c r="G66" s="1225">
        <v>676327888</v>
      </c>
      <c r="H66" s="1225">
        <v>676327888</v>
      </c>
      <c r="I66" s="1225">
        <v>604811812</v>
      </c>
      <c r="J66" s="1225">
        <v>589293144</v>
      </c>
      <c r="K66" s="1225">
        <v>604811812</v>
      </c>
      <c r="L66" s="1225">
        <v>589293144</v>
      </c>
    </row>
    <row r="67" spans="1:12">
      <c r="A67" s="187" t="s">
        <v>49</v>
      </c>
      <c r="B67" s="1224" t="s">
        <v>4115</v>
      </c>
      <c r="C67" s="1225">
        <v>165432477</v>
      </c>
      <c r="D67" s="1225">
        <v>159787808</v>
      </c>
      <c r="E67" s="1225">
        <v>165432477</v>
      </c>
      <c r="F67" s="1225">
        <v>159787808</v>
      </c>
      <c r="G67" s="1225">
        <v>161523114</v>
      </c>
      <c r="H67" s="1225">
        <v>161523114</v>
      </c>
      <c r="I67" s="1225">
        <v>165432477</v>
      </c>
      <c r="J67" s="1225">
        <v>159787808</v>
      </c>
      <c r="K67" s="1225">
        <v>165432477</v>
      </c>
      <c r="L67" s="1225">
        <v>159787808</v>
      </c>
    </row>
    <row r="68" spans="1:12">
      <c r="A68" s="187" t="s">
        <v>1337</v>
      </c>
      <c r="B68" s="1224" t="s">
        <v>4116</v>
      </c>
      <c r="C68" s="1225">
        <v>58982185</v>
      </c>
      <c r="D68" s="1225">
        <v>57052477</v>
      </c>
      <c r="E68" s="1225">
        <v>58982185</v>
      </c>
      <c r="F68" s="1225">
        <v>57052477</v>
      </c>
      <c r="G68" s="1225">
        <v>58947522</v>
      </c>
      <c r="H68" s="1225">
        <v>58947522</v>
      </c>
      <c r="I68" s="1225">
        <v>58982185</v>
      </c>
      <c r="J68" s="1225">
        <v>57052477</v>
      </c>
      <c r="K68" s="1225">
        <v>58982185</v>
      </c>
      <c r="L68" s="1225">
        <v>57052477</v>
      </c>
    </row>
    <row r="69" spans="1:12">
      <c r="A69" s="187" t="s">
        <v>1339</v>
      </c>
      <c r="B69" s="1224" t="s">
        <v>4117</v>
      </c>
      <c r="C69" s="1225">
        <v>214626321</v>
      </c>
      <c r="D69" s="1225">
        <v>206813616</v>
      </c>
      <c r="E69" s="1225">
        <v>214626321</v>
      </c>
      <c r="F69" s="1225">
        <v>206813616</v>
      </c>
      <c r="G69" s="1225">
        <v>201856207</v>
      </c>
      <c r="H69" s="1225">
        <v>201856207</v>
      </c>
      <c r="I69" s="1225">
        <v>214626321</v>
      </c>
      <c r="J69" s="1225">
        <v>206813616</v>
      </c>
      <c r="K69" s="1225">
        <v>214626321</v>
      </c>
      <c r="L69" s="1225">
        <v>206813616</v>
      </c>
    </row>
    <row r="70" spans="1:12">
      <c r="A70" s="187" t="s">
        <v>2474</v>
      </c>
      <c r="B70" s="1224" t="s">
        <v>329</v>
      </c>
      <c r="C70" s="1225">
        <v>77277446</v>
      </c>
      <c r="D70" s="1225">
        <v>75367631</v>
      </c>
      <c r="E70" s="1225">
        <v>77277446</v>
      </c>
      <c r="F70" s="1225">
        <v>75367631</v>
      </c>
      <c r="G70" s="1225">
        <v>74023616</v>
      </c>
      <c r="H70" s="1225">
        <v>74023616</v>
      </c>
      <c r="I70" s="1225">
        <v>77277446</v>
      </c>
      <c r="J70" s="1225">
        <v>75367631</v>
      </c>
      <c r="K70" s="1225">
        <v>77277446</v>
      </c>
      <c r="L70" s="1225">
        <v>75367631</v>
      </c>
    </row>
    <row r="71" spans="1:12">
      <c r="A71" s="187" t="s">
        <v>1341</v>
      </c>
      <c r="B71" s="1224" t="s">
        <v>1663</v>
      </c>
      <c r="C71" s="1225">
        <v>120470003</v>
      </c>
      <c r="D71" s="1225">
        <v>118007651</v>
      </c>
      <c r="E71" s="1225">
        <v>120470003</v>
      </c>
      <c r="F71" s="1225">
        <v>118007651</v>
      </c>
      <c r="G71" s="1225">
        <v>122232029</v>
      </c>
      <c r="H71" s="1225">
        <v>122232029</v>
      </c>
      <c r="I71" s="1225">
        <v>120470003</v>
      </c>
      <c r="J71" s="1225">
        <v>118007651</v>
      </c>
      <c r="K71" s="1225">
        <v>120470003</v>
      </c>
      <c r="L71" s="1225">
        <v>118007651</v>
      </c>
    </row>
    <row r="72" spans="1:12">
      <c r="A72" s="187" t="s">
        <v>1343</v>
      </c>
      <c r="B72" s="1224" t="s">
        <v>1664</v>
      </c>
      <c r="C72" s="1225">
        <v>113328747</v>
      </c>
      <c r="D72" s="1225">
        <v>108904008</v>
      </c>
      <c r="E72" s="1225">
        <v>113328747</v>
      </c>
      <c r="F72" s="1225">
        <v>108904008</v>
      </c>
      <c r="G72" s="1225">
        <v>104483349</v>
      </c>
      <c r="H72" s="1225">
        <v>104483349</v>
      </c>
      <c r="I72" s="1225">
        <v>113328747</v>
      </c>
      <c r="J72" s="1225">
        <v>108904008</v>
      </c>
      <c r="K72" s="1225">
        <v>113328747</v>
      </c>
      <c r="L72" s="1225">
        <v>108904008</v>
      </c>
    </row>
    <row r="73" spans="1:12">
      <c r="A73" s="187" t="s">
        <v>1345</v>
      </c>
      <c r="B73" s="1224" t="s">
        <v>885</v>
      </c>
      <c r="C73" s="1225">
        <v>78476654</v>
      </c>
      <c r="D73" s="1225">
        <v>76361512</v>
      </c>
      <c r="E73" s="1225">
        <v>78476654</v>
      </c>
      <c r="F73" s="1225">
        <v>76361512</v>
      </c>
      <c r="G73" s="1225">
        <v>77597063</v>
      </c>
      <c r="H73" s="1225">
        <v>77597063</v>
      </c>
      <c r="I73" s="1225">
        <v>78476654</v>
      </c>
      <c r="J73" s="1225">
        <v>76361512</v>
      </c>
      <c r="K73" s="1225">
        <v>78476654</v>
      </c>
      <c r="L73" s="1225">
        <v>76361512</v>
      </c>
    </row>
    <row r="74" spans="1:12">
      <c r="A74" s="187" t="s">
        <v>963</v>
      </c>
      <c r="B74" s="1224" t="s">
        <v>996</v>
      </c>
      <c r="C74" s="1225">
        <v>187599008</v>
      </c>
      <c r="D74" s="1225">
        <v>177920995</v>
      </c>
      <c r="E74" s="1225">
        <v>187599008</v>
      </c>
      <c r="F74" s="1225">
        <v>177920995</v>
      </c>
      <c r="G74" s="1225">
        <v>171505132</v>
      </c>
      <c r="H74" s="1225">
        <v>171505132</v>
      </c>
      <c r="I74" s="1225">
        <v>187599008</v>
      </c>
      <c r="J74" s="1225">
        <v>177920995</v>
      </c>
      <c r="K74" s="1225">
        <v>187599008</v>
      </c>
      <c r="L74" s="1225">
        <v>177920995</v>
      </c>
    </row>
    <row r="75" spans="1:12">
      <c r="A75" s="187" t="s">
        <v>3083</v>
      </c>
      <c r="B75" s="1224" t="s">
        <v>3850</v>
      </c>
      <c r="C75" s="1225">
        <v>158013048</v>
      </c>
      <c r="D75" s="1225">
        <v>149396740</v>
      </c>
      <c r="E75" s="1225">
        <v>158013048</v>
      </c>
      <c r="F75" s="1225">
        <v>149396740</v>
      </c>
      <c r="G75" s="1225">
        <v>142312282</v>
      </c>
      <c r="H75" s="1225">
        <v>142312282</v>
      </c>
      <c r="I75" s="1225">
        <v>158013048</v>
      </c>
      <c r="J75" s="1225">
        <v>149396740</v>
      </c>
      <c r="K75" s="1225">
        <v>158013048</v>
      </c>
      <c r="L75" s="1225">
        <v>149396740</v>
      </c>
    </row>
    <row r="76" spans="1:12">
      <c r="A76" s="187" t="s">
        <v>2568</v>
      </c>
      <c r="B76" s="1224" t="s">
        <v>6070</v>
      </c>
      <c r="C76" s="1225">
        <v>61133877</v>
      </c>
      <c r="D76" s="1225">
        <v>56539183</v>
      </c>
      <c r="E76" s="1225">
        <v>61133877</v>
      </c>
      <c r="F76" s="1225">
        <v>56539183</v>
      </c>
      <c r="G76" s="1225">
        <v>53575281</v>
      </c>
      <c r="H76" s="1225">
        <v>53575281</v>
      </c>
      <c r="I76" s="1225">
        <v>61133877</v>
      </c>
      <c r="J76" s="1225">
        <v>56539183</v>
      </c>
      <c r="K76" s="1225">
        <v>61133877</v>
      </c>
      <c r="L76" s="1225">
        <v>56539183</v>
      </c>
    </row>
    <row r="77" spans="1:12">
      <c r="A77" s="187" t="s">
        <v>1349</v>
      </c>
      <c r="B77" s="1224" t="s">
        <v>886</v>
      </c>
      <c r="C77" s="1225">
        <v>374671025</v>
      </c>
      <c r="D77" s="1225">
        <v>358913079</v>
      </c>
      <c r="E77" s="1225">
        <v>374671025</v>
      </c>
      <c r="F77" s="1225">
        <v>358913079</v>
      </c>
      <c r="G77" s="1225">
        <v>396599467</v>
      </c>
      <c r="H77" s="1225">
        <v>396599467</v>
      </c>
      <c r="I77" s="1225">
        <v>374671025</v>
      </c>
      <c r="J77" s="1225">
        <v>358913079</v>
      </c>
      <c r="K77" s="1225">
        <v>374671025</v>
      </c>
      <c r="L77" s="1225">
        <v>358913079</v>
      </c>
    </row>
    <row r="78" spans="1:12">
      <c r="A78" s="187" t="s">
        <v>6083</v>
      </c>
      <c r="B78" s="1224" t="s">
        <v>887</v>
      </c>
      <c r="C78" s="1225">
        <v>233017230</v>
      </c>
      <c r="D78" s="1225">
        <v>221206292</v>
      </c>
      <c r="E78" s="1225">
        <v>233017230</v>
      </c>
      <c r="F78" s="1225">
        <v>221206292</v>
      </c>
      <c r="G78" s="1225">
        <v>209796426</v>
      </c>
      <c r="H78" s="1225">
        <v>209796426</v>
      </c>
      <c r="I78" s="1225">
        <v>233017230</v>
      </c>
      <c r="J78" s="1225">
        <v>221206292</v>
      </c>
      <c r="K78" s="1225">
        <v>233017230</v>
      </c>
      <c r="L78" s="1225">
        <v>221206292</v>
      </c>
    </row>
    <row r="79" spans="1:12">
      <c r="A79" s="187" t="s">
        <v>6085</v>
      </c>
      <c r="B79" s="1224" t="s">
        <v>888</v>
      </c>
      <c r="C79" s="1225">
        <v>1965936440</v>
      </c>
      <c r="D79" s="1225">
        <v>1920713646</v>
      </c>
      <c r="E79" s="1225">
        <v>1965936440</v>
      </c>
      <c r="F79" s="1225">
        <v>1920713646</v>
      </c>
      <c r="G79" s="1225">
        <v>1902193326</v>
      </c>
      <c r="H79" s="1225">
        <v>1902193326</v>
      </c>
      <c r="I79" s="1225">
        <v>1965936440</v>
      </c>
      <c r="J79" s="1225">
        <v>1920713646</v>
      </c>
      <c r="K79" s="1225">
        <v>1965936440</v>
      </c>
      <c r="L79" s="1225">
        <v>1920713646</v>
      </c>
    </row>
    <row r="80" spans="1:12">
      <c r="A80" s="187" t="s">
        <v>1998</v>
      </c>
      <c r="B80" s="1224" t="s">
        <v>889</v>
      </c>
      <c r="C80" s="1225">
        <v>546168603</v>
      </c>
      <c r="D80" s="1225">
        <v>523546084</v>
      </c>
      <c r="E80" s="1225">
        <v>546168603</v>
      </c>
      <c r="F80" s="1225">
        <v>523546084</v>
      </c>
      <c r="G80" s="1225">
        <v>520690660</v>
      </c>
      <c r="H80" s="1225">
        <v>520690660</v>
      </c>
      <c r="I80" s="1225">
        <v>546168603</v>
      </c>
      <c r="J80" s="1225">
        <v>523546084</v>
      </c>
      <c r="K80" s="1225">
        <v>546168603</v>
      </c>
      <c r="L80" s="1225">
        <v>523546084</v>
      </c>
    </row>
    <row r="81" spans="1:12">
      <c r="A81" s="187" t="s">
        <v>2570</v>
      </c>
      <c r="B81" s="1224" t="s">
        <v>1467</v>
      </c>
      <c r="C81" s="1225">
        <v>109252836</v>
      </c>
      <c r="D81" s="1225">
        <v>102812954</v>
      </c>
      <c r="E81" s="1225">
        <v>109252836</v>
      </c>
      <c r="F81" s="1225">
        <v>102812954</v>
      </c>
      <c r="G81" s="1225">
        <v>101846566</v>
      </c>
      <c r="H81" s="1225">
        <v>101846566</v>
      </c>
      <c r="I81" s="1225">
        <v>109252836</v>
      </c>
      <c r="J81" s="1225">
        <v>102812954</v>
      </c>
      <c r="K81" s="1225">
        <v>109252836</v>
      </c>
      <c r="L81" s="1225">
        <v>102812954</v>
      </c>
    </row>
    <row r="82" spans="1:12">
      <c r="A82" s="187" t="s">
        <v>4076</v>
      </c>
      <c r="B82" s="1224" t="s">
        <v>6061</v>
      </c>
      <c r="C82" s="1225">
        <v>20289217</v>
      </c>
      <c r="D82" s="1225">
        <v>18722105</v>
      </c>
      <c r="E82" s="1225">
        <v>20289217</v>
      </c>
      <c r="F82" s="1225">
        <v>18722105</v>
      </c>
      <c r="G82" s="1225">
        <v>18435046</v>
      </c>
      <c r="H82" s="1225">
        <v>18435046</v>
      </c>
      <c r="I82" s="1225">
        <v>20289217</v>
      </c>
      <c r="J82" s="1225">
        <v>18722105</v>
      </c>
      <c r="K82" s="1225">
        <v>20289217</v>
      </c>
      <c r="L82" s="1225">
        <v>18722105</v>
      </c>
    </row>
    <row r="83" spans="1:12">
      <c r="A83" s="187" t="s">
        <v>1963</v>
      </c>
      <c r="B83" s="1224" t="s">
        <v>890</v>
      </c>
      <c r="C83" s="1225">
        <v>203885753</v>
      </c>
      <c r="D83" s="1225">
        <v>197059680</v>
      </c>
      <c r="E83" s="1225">
        <v>203885753</v>
      </c>
      <c r="F83" s="1225">
        <v>197059680</v>
      </c>
      <c r="G83" s="1225">
        <v>186336516</v>
      </c>
      <c r="H83" s="1225">
        <v>186336516</v>
      </c>
      <c r="I83" s="1225">
        <v>203885753</v>
      </c>
      <c r="J83" s="1225">
        <v>197059680</v>
      </c>
      <c r="K83" s="1225">
        <v>203885753</v>
      </c>
      <c r="L83" s="1225">
        <v>197059680</v>
      </c>
    </row>
    <row r="84" spans="1:12">
      <c r="A84" s="187" t="s">
        <v>2000</v>
      </c>
      <c r="B84" s="1224" t="s">
        <v>891</v>
      </c>
      <c r="C84" s="1225">
        <v>897425631</v>
      </c>
      <c r="D84" s="1225">
        <v>872390271</v>
      </c>
      <c r="E84" s="1225">
        <v>897425631</v>
      </c>
      <c r="F84" s="1225">
        <v>872390271</v>
      </c>
      <c r="G84" s="1225">
        <v>859147803</v>
      </c>
      <c r="H84" s="1225">
        <v>859147803</v>
      </c>
      <c r="I84" s="1225">
        <v>897425631</v>
      </c>
      <c r="J84" s="1225">
        <v>872390271</v>
      </c>
      <c r="K84" s="1225">
        <v>897425631</v>
      </c>
      <c r="L84" s="1225">
        <v>872390271</v>
      </c>
    </row>
    <row r="85" spans="1:12">
      <c r="A85" s="187" t="s">
        <v>2002</v>
      </c>
      <c r="B85" s="1224" t="s">
        <v>3852</v>
      </c>
      <c r="C85" s="1225">
        <v>19891399</v>
      </c>
      <c r="D85" s="1225">
        <v>18405759</v>
      </c>
      <c r="E85" s="1225">
        <v>19891399</v>
      </c>
      <c r="F85" s="1225">
        <v>18405759</v>
      </c>
      <c r="G85" s="1225">
        <v>17835480</v>
      </c>
      <c r="H85" s="1225">
        <v>17835480</v>
      </c>
      <c r="I85" s="1225">
        <v>19891399</v>
      </c>
      <c r="J85" s="1225">
        <v>18405759</v>
      </c>
      <c r="K85" s="1225">
        <v>19891399</v>
      </c>
      <c r="L85" s="1225">
        <v>18405759</v>
      </c>
    </row>
    <row r="86" spans="1:12">
      <c r="A86" s="187" t="s">
        <v>1964</v>
      </c>
      <c r="B86" s="1224" t="s">
        <v>892</v>
      </c>
      <c r="C86" s="1225">
        <v>42155996</v>
      </c>
      <c r="D86" s="1225">
        <v>40387475</v>
      </c>
      <c r="E86" s="1225">
        <v>42155996</v>
      </c>
      <c r="F86" s="1225">
        <v>40387475</v>
      </c>
      <c r="G86" s="1225">
        <v>40864748</v>
      </c>
      <c r="H86" s="1225">
        <v>40864748</v>
      </c>
      <c r="I86" s="1225">
        <v>42155996</v>
      </c>
      <c r="J86" s="1225">
        <v>40387475</v>
      </c>
      <c r="K86" s="1225">
        <v>42155996</v>
      </c>
      <c r="L86" s="1225">
        <v>40387475</v>
      </c>
    </row>
    <row r="87" spans="1:12">
      <c r="A87" s="187" t="s">
        <v>2136</v>
      </c>
      <c r="B87" s="1224" t="s">
        <v>7679</v>
      </c>
      <c r="C87" s="1225">
        <v>5956944789</v>
      </c>
      <c r="D87" s="1225">
        <v>5747214805</v>
      </c>
      <c r="E87" s="1225">
        <v>5956944789</v>
      </c>
      <c r="F87" s="1225">
        <v>5747214805</v>
      </c>
      <c r="G87" s="1225">
        <v>4875683444</v>
      </c>
      <c r="H87" s="1225">
        <v>4875683444</v>
      </c>
      <c r="I87" s="1225">
        <v>5956944789</v>
      </c>
      <c r="J87" s="1225">
        <v>5747214805</v>
      </c>
      <c r="K87" s="1225">
        <v>5956944789</v>
      </c>
      <c r="L87" s="1225">
        <v>5747214805</v>
      </c>
    </row>
    <row r="88" spans="1:12">
      <c r="A88" s="187" t="s">
        <v>2966</v>
      </c>
      <c r="B88" s="1224" t="s">
        <v>893</v>
      </c>
      <c r="C88" s="1225">
        <v>2525501673</v>
      </c>
      <c r="D88" s="1225">
        <v>2461158443</v>
      </c>
      <c r="E88" s="1225">
        <v>2525501673</v>
      </c>
      <c r="F88" s="1225">
        <v>2461158443</v>
      </c>
      <c r="G88" s="1225">
        <v>2333555920</v>
      </c>
      <c r="H88" s="1225">
        <v>2333555920</v>
      </c>
      <c r="I88" s="1225">
        <v>2525501673</v>
      </c>
      <c r="J88" s="1225">
        <v>2461158443</v>
      </c>
      <c r="K88" s="1225">
        <v>2525501673</v>
      </c>
      <c r="L88" s="1225">
        <v>2461158443</v>
      </c>
    </row>
    <row r="89" spans="1:12">
      <c r="A89" s="187" t="s">
        <v>3084</v>
      </c>
      <c r="B89" s="1224" t="s">
        <v>992</v>
      </c>
      <c r="C89" s="1225">
        <v>252646832</v>
      </c>
      <c r="D89" s="1225">
        <v>243448178</v>
      </c>
      <c r="E89" s="1225">
        <v>252646832</v>
      </c>
      <c r="F89" s="1225">
        <v>243448178</v>
      </c>
      <c r="G89" s="1225">
        <v>224776413</v>
      </c>
      <c r="H89" s="1225">
        <v>224776413</v>
      </c>
      <c r="I89" s="1225">
        <v>252646832</v>
      </c>
      <c r="J89" s="1225">
        <v>243448178</v>
      </c>
      <c r="K89" s="1225">
        <v>252646832</v>
      </c>
      <c r="L89" s="1225">
        <v>243448178</v>
      </c>
    </row>
    <row r="90" spans="1:12">
      <c r="A90" s="187" t="s">
        <v>6252</v>
      </c>
      <c r="B90" s="1224" t="s">
        <v>1571</v>
      </c>
      <c r="C90" s="1225">
        <v>8684549805</v>
      </c>
      <c r="D90" s="1225">
        <v>8560898061</v>
      </c>
      <c r="E90" s="1225">
        <v>8590699435</v>
      </c>
      <c r="F90" s="1225">
        <v>8467047691</v>
      </c>
      <c r="G90" s="1225">
        <v>7031003753</v>
      </c>
      <c r="H90" s="1225">
        <v>6945006019</v>
      </c>
      <c r="I90" s="1225">
        <v>9572543065</v>
      </c>
      <c r="J90" s="1225">
        <v>9448891321</v>
      </c>
      <c r="K90" s="1225">
        <v>9478692695</v>
      </c>
      <c r="L90" s="1225">
        <v>9355040951</v>
      </c>
    </row>
    <row r="91" spans="1:12">
      <c r="A91" s="187" t="s">
        <v>6254</v>
      </c>
      <c r="B91" s="1224" t="s">
        <v>1572</v>
      </c>
      <c r="C91" s="1225">
        <v>2163730658</v>
      </c>
      <c r="D91" s="1225">
        <v>2139982621</v>
      </c>
      <c r="E91" s="1225">
        <v>2132233982</v>
      </c>
      <c r="F91" s="1225">
        <v>2108485945</v>
      </c>
      <c r="G91" s="1225">
        <v>1516771731</v>
      </c>
      <c r="H91" s="1225">
        <v>1488696482</v>
      </c>
      <c r="I91" s="1225">
        <v>2163730658</v>
      </c>
      <c r="J91" s="1225">
        <v>2139982621</v>
      </c>
      <c r="K91" s="1225">
        <v>2132233982</v>
      </c>
      <c r="L91" s="1225">
        <v>2108485945</v>
      </c>
    </row>
    <row r="92" spans="1:12">
      <c r="A92" s="187" t="s">
        <v>233</v>
      </c>
      <c r="B92" s="1224" t="s">
        <v>2640</v>
      </c>
      <c r="C92" s="1225">
        <v>1194834893</v>
      </c>
      <c r="D92" s="1225">
        <v>1149814907</v>
      </c>
      <c r="E92" s="1225">
        <v>1163040971</v>
      </c>
      <c r="F92" s="1225">
        <v>1118020985</v>
      </c>
      <c r="G92" s="1225">
        <v>1001933138</v>
      </c>
      <c r="H92" s="1225">
        <v>973901358</v>
      </c>
      <c r="I92" s="1225">
        <v>1194834893</v>
      </c>
      <c r="J92" s="1225">
        <v>1149814907</v>
      </c>
      <c r="K92" s="1225">
        <v>1163040971</v>
      </c>
      <c r="L92" s="1225">
        <v>1118020985</v>
      </c>
    </row>
    <row r="93" spans="1:12">
      <c r="A93" s="187" t="s">
        <v>6195</v>
      </c>
      <c r="B93" s="1224" t="s">
        <v>5293</v>
      </c>
      <c r="C93" s="1225">
        <v>7271507838</v>
      </c>
      <c r="D93" s="1225">
        <v>7037231349</v>
      </c>
      <c r="E93" s="1225">
        <v>7271507838</v>
      </c>
      <c r="F93" s="1225">
        <v>7037231349</v>
      </c>
      <c r="G93" s="1225">
        <v>6099852396</v>
      </c>
      <c r="H93" s="1225">
        <v>6099852396</v>
      </c>
      <c r="I93" s="1225">
        <v>7271507838</v>
      </c>
      <c r="J93" s="1225">
        <v>7037231349</v>
      </c>
      <c r="K93" s="1225">
        <v>7271507838</v>
      </c>
      <c r="L93" s="1225">
        <v>7037231349</v>
      </c>
    </row>
    <row r="94" spans="1:12">
      <c r="A94" s="187" t="s">
        <v>6256</v>
      </c>
      <c r="B94" s="1224" t="s">
        <v>1573</v>
      </c>
      <c r="C94" s="1225">
        <v>60965293</v>
      </c>
      <c r="D94" s="1225">
        <v>58805502</v>
      </c>
      <c r="E94" s="1225">
        <v>60965293</v>
      </c>
      <c r="F94" s="1225">
        <v>58805502</v>
      </c>
      <c r="G94" s="1225">
        <v>50759086</v>
      </c>
      <c r="H94" s="1225">
        <v>50759086</v>
      </c>
      <c r="I94" s="1225">
        <v>60965293</v>
      </c>
      <c r="J94" s="1225">
        <v>58805502</v>
      </c>
      <c r="K94" s="1225">
        <v>60965293</v>
      </c>
      <c r="L94" s="1225">
        <v>58805502</v>
      </c>
    </row>
    <row r="95" spans="1:12">
      <c r="A95" s="187" t="s">
        <v>743</v>
      </c>
      <c r="B95" s="1224" t="s">
        <v>6119</v>
      </c>
      <c r="C95" s="1225">
        <v>8591943483</v>
      </c>
      <c r="D95" s="1225">
        <v>8475506493</v>
      </c>
      <c r="E95" s="1225">
        <v>8591943483</v>
      </c>
      <c r="F95" s="1225">
        <v>8475506493</v>
      </c>
      <c r="G95" s="1225">
        <v>7438296100</v>
      </c>
      <c r="H95" s="1225">
        <v>7438296100</v>
      </c>
      <c r="I95" s="1225">
        <v>8591943483</v>
      </c>
      <c r="J95" s="1225">
        <v>8475506493</v>
      </c>
      <c r="K95" s="1225">
        <v>8591943483</v>
      </c>
      <c r="L95" s="1225">
        <v>8475506493</v>
      </c>
    </row>
    <row r="96" spans="1:12">
      <c r="A96" s="187" t="s">
        <v>960</v>
      </c>
      <c r="B96" s="1224" t="s">
        <v>2143</v>
      </c>
      <c r="C96" s="1225">
        <v>6665405445</v>
      </c>
      <c r="D96" s="1225">
        <v>6529555404</v>
      </c>
      <c r="E96" s="1225">
        <v>6665405445</v>
      </c>
      <c r="F96" s="1225">
        <v>6529555404</v>
      </c>
      <c r="G96" s="1225">
        <v>6413754054</v>
      </c>
      <c r="H96" s="1225">
        <v>6413754054</v>
      </c>
      <c r="I96" s="1225">
        <v>6880623525</v>
      </c>
      <c r="J96" s="1225">
        <v>6744773484</v>
      </c>
      <c r="K96" s="1225">
        <v>6880623525</v>
      </c>
      <c r="L96" s="1225">
        <v>6744773484</v>
      </c>
    </row>
    <row r="97" spans="1:12">
      <c r="A97" s="187" t="s">
        <v>6260</v>
      </c>
      <c r="B97" s="1224" t="s">
        <v>107</v>
      </c>
      <c r="C97" s="1225">
        <v>79268328</v>
      </c>
      <c r="D97" s="1225">
        <v>77905283</v>
      </c>
      <c r="E97" s="1225">
        <v>79268328</v>
      </c>
      <c r="F97" s="1225">
        <v>77905283</v>
      </c>
      <c r="G97" s="1225">
        <v>75470645</v>
      </c>
      <c r="H97" s="1225">
        <v>75470645</v>
      </c>
      <c r="I97" s="1225">
        <v>79268328</v>
      </c>
      <c r="J97" s="1225">
        <v>77905283</v>
      </c>
      <c r="K97" s="1225">
        <v>79268328</v>
      </c>
      <c r="L97" s="1225">
        <v>77905283</v>
      </c>
    </row>
    <row r="98" spans="1:12">
      <c r="A98" s="187" t="s">
        <v>6262</v>
      </c>
      <c r="B98" s="1224" t="s">
        <v>108</v>
      </c>
      <c r="C98" s="1225">
        <v>542188665</v>
      </c>
      <c r="D98" s="1225">
        <v>523531446</v>
      </c>
      <c r="E98" s="1225">
        <v>529226770</v>
      </c>
      <c r="F98" s="1225">
        <v>510569551</v>
      </c>
      <c r="G98" s="1225">
        <v>452279946</v>
      </c>
      <c r="H98" s="1225">
        <v>440303409</v>
      </c>
      <c r="I98" s="1225">
        <v>542188665</v>
      </c>
      <c r="J98" s="1225">
        <v>523531446</v>
      </c>
      <c r="K98" s="1225">
        <v>529226770</v>
      </c>
      <c r="L98" s="1225">
        <v>510569551</v>
      </c>
    </row>
    <row r="99" spans="1:12">
      <c r="A99" s="187" t="s">
        <v>6264</v>
      </c>
      <c r="B99" s="1224" t="s">
        <v>3792</v>
      </c>
      <c r="C99" s="1225">
        <v>88698795</v>
      </c>
      <c r="D99" s="1225">
        <v>87223570</v>
      </c>
      <c r="E99" s="1225">
        <v>88698795</v>
      </c>
      <c r="F99" s="1225">
        <v>87223570</v>
      </c>
      <c r="G99" s="1225">
        <v>78528667</v>
      </c>
      <c r="H99" s="1225">
        <v>78528667</v>
      </c>
      <c r="I99" s="1225">
        <v>88698795</v>
      </c>
      <c r="J99" s="1225">
        <v>87223570</v>
      </c>
      <c r="K99" s="1225">
        <v>88698795</v>
      </c>
      <c r="L99" s="1225">
        <v>87223570</v>
      </c>
    </row>
    <row r="100" spans="1:12">
      <c r="A100" s="187" t="s">
        <v>6266</v>
      </c>
      <c r="B100" s="1224" t="s">
        <v>3793</v>
      </c>
      <c r="C100" s="1225">
        <v>8842296</v>
      </c>
      <c r="D100" s="1225">
        <v>8822296</v>
      </c>
      <c r="E100" s="1225">
        <v>8842296</v>
      </c>
      <c r="F100" s="1225">
        <v>8822296</v>
      </c>
      <c r="G100" s="1225">
        <v>7771441</v>
      </c>
      <c r="H100" s="1225">
        <v>7771441</v>
      </c>
      <c r="I100" s="1225">
        <v>8842296</v>
      </c>
      <c r="J100" s="1225">
        <v>8822296</v>
      </c>
      <c r="K100" s="1225">
        <v>8842296</v>
      </c>
      <c r="L100" s="1225">
        <v>8822296</v>
      </c>
    </row>
    <row r="101" spans="1:12">
      <c r="A101" s="187" t="s">
        <v>6268</v>
      </c>
      <c r="B101" s="1224" t="s">
        <v>3794</v>
      </c>
      <c r="C101" s="1225">
        <v>335616277</v>
      </c>
      <c r="D101" s="1225">
        <v>333859437</v>
      </c>
      <c r="E101" s="1225">
        <v>335616277</v>
      </c>
      <c r="F101" s="1225">
        <v>333859437</v>
      </c>
      <c r="G101" s="1225">
        <v>172787004</v>
      </c>
      <c r="H101" s="1225">
        <v>172787004</v>
      </c>
      <c r="I101" s="1225">
        <v>440855447</v>
      </c>
      <c r="J101" s="1225">
        <v>439098607</v>
      </c>
      <c r="K101" s="1225">
        <v>440855447</v>
      </c>
      <c r="L101" s="1225">
        <v>439098607</v>
      </c>
    </row>
    <row r="102" spans="1:12">
      <c r="A102" s="187" t="s">
        <v>6270</v>
      </c>
      <c r="B102" s="1224" t="s">
        <v>3795</v>
      </c>
      <c r="C102" s="1225">
        <v>473628576</v>
      </c>
      <c r="D102" s="1225">
        <v>464106282</v>
      </c>
      <c r="E102" s="1225">
        <v>473628576</v>
      </c>
      <c r="F102" s="1225">
        <v>464106282</v>
      </c>
      <c r="G102" s="1225">
        <v>689734930</v>
      </c>
      <c r="H102" s="1225">
        <v>689734930</v>
      </c>
      <c r="I102" s="1225">
        <v>473628576</v>
      </c>
      <c r="J102" s="1225">
        <v>464106282</v>
      </c>
      <c r="K102" s="1225">
        <v>473628576</v>
      </c>
      <c r="L102" s="1225">
        <v>464106282</v>
      </c>
    </row>
    <row r="103" spans="1:12">
      <c r="A103" s="187" t="s">
        <v>6272</v>
      </c>
      <c r="B103" s="1224" t="s">
        <v>3796</v>
      </c>
      <c r="C103" s="1225">
        <v>330660965</v>
      </c>
      <c r="D103" s="1225">
        <v>316263798</v>
      </c>
      <c r="E103" s="1225">
        <v>330660965</v>
      </c>
      <c r="F103" s="1225">
        <v>316263798</v>
      </c>
      <c r="G103" s="1225">
        <v>310189396</v>
      </c>
      <c r="H103" s="1225">
        <v>310189396</v>
      </c>
      <c r="I103" s="1225">
        <v>330660965</v>
      </c>
      <c r="J103" s="1225">
        <v>316263798</v>
      </c>
      <c r="K103" s="1225">
        <v>330660965</v>
      </c>
      <c r="L103" s="1225">
        <v>316263798</v>
      </c>
    </row>
    <row r="104" spans="1:12">
      <c r="A104" s="187" t="s">
        <v>2291</v>
      </c>
      <c r="B104" s="1224" t="s">
        <v>3797</v>
      </c>
      <c r="C104" s="1225">
        <v>1359709194</v>
      </c>
      <c r="D104" s="1225">
        <v>1321210233</v>
      </c>
      <c r="E104" s="1225">
        <v>1359709194</v>
      </c>
      <c r="F104" s="1225">
        <v>1321210233</v>
      </c>
      <c r="G104" s="1225">
        <v>1287650693</v>
      </c>
      <c r="H104" s="1225">
        <v>1287650693</v>
      </c>
      <c r="I104" s="1225">
        <v>1359709194</v>
      </c>
      <c r="J104" s="1225">
        <v>1321210233</v>
      </c>
      <c r="K104" s="1225">
        <v>1359709194</v>
      </c>
      <c r="L104" s="1225">
        <v>1321210233</v>
      </c>
    </row>
    <row r="105" spans="1:12">
      <c r="A105" s="187" t="s">
        <v>954</v>
      </c>
      <c r="B105" s="1224" t="s">
        <v>7659</v>
      </c>
      <c r="C105" s="1225">
        <v>60938499</v>
      </c>
      <c r="D105" s="1225">
        <v>58132685</v>
      </c>
      <c r="E105" s="1225">
        <v>60938499</v>
      </c>
      <c r="F105" s="1225">
        <v>58132685</v>
      </c>
      <c r="G105" s="1225">
        <v>42860076</v>
      </c>
      <c r="H105" s="1225">
        <v>42860076</v>
      </c>
      <c r="I105" s="1225">
        <v>124373109</v>
      </c>
      <c r="J105" s="1225">
        <v>121567295</v>
      </c>
      <c r="K105" s="1225">
        <v>124373109</v>
      </c>
      <c r="L105" s="1225">
        <v>121567295</v>
      </c>
    </row>
    <row r="106" spans="1:12">
      <c r="A106" s="187" t="s">
        <v>6166</v>
      </c>
      <c r="B106" s="1224" t="s">
        <v>6071</v>
      </c>
      <c r="C106" s="1225">
        <v>165779668</v>
      </c>
      <c r="D106" s="1225">
        <v>160583627</v>
      </c>
      <c r="E106" s="1225">
        <v>165779668</v>
      </c>
      <c r="F106" s="1225">
        <v>160583627</v>
      </c>
      <c r="G106" s="1225">
        <v>158165442</v>
      </c>
      <c r="H106" s="1225">
        <v>158165442</v>
      </c>
      <c r="I106" s="1225">
        <v>165779668</v>
      </c>
      <c r="J106" s="1225">
        <v>160583627</v>
      </c>
      <c r="K106" s="1225">
        <v>165779668</v>
      </c>
      <c r="L106" s="1225">
        <v>160583627</v>
      </c>
    </row>
    <row r="107" spans="1:12">
      <c r="A107" s="187" t="s">
        <v>864</v>
      </c>
      <c r="B107" s="1224" t="s">
        <v>2011</v>
      </c>
      <c r="C107" s="1225">
        <v>50247327</v>
      </c>
      <c r="D107" s="1225">
        <v>48291097</v>
      </c>
      <c r="E107" s="1225">
        <v>50247327</v>
      </c>
      <c r="F107" s="1225">
        <v>48291097</v>
      </c>
      <c r="G107" s="1225">
        <v>43940622</v>
      </c>
      <c r="H107" s="1225">
        <v>43940622</v>
      </c>
      <c r="I107" s="1225">
        <v>50247327</v>
      </c>
      <c r="J107" s="1225">
        <v>48291097</v>
      </c>
      <c r="K107" s="1225">
        <v>50247327</v>
      </c>
      <c r="L107" s="1225">
        <v>48291097</v>
      </c>
    </row>
    <row r="108" spans="1:12">
      <c r="A108" s="187" t="s">
        <v>3085</v>
      </c>
      <c r="B108" s="1224" t="s">
        <v>2141</v>
      </c>
      <c r="C108" s="1225">
        <v>100865955</v>
      </c>
      <c r="D108" s="1225">
        <v>98623933</v>
      </c>
      <c r="E108" s="1225">
        <v>100865955</v>
      </c>
      <c r="F108" s="1225">
        <v>98623933</v>
      </c>
      <c r="G108" s="1225">
        <v>79008674</v>
      </c>
      <c r="H108" s="1225">
        <v>79008674</v>
      </c>
      <c r="I108" s="1225">
        <v>100865955</v>
      </c>
      <c r="J108" s="1225">
        <v>98623933</v>
      </c>
      <c r="K108" s="1225">
        <v>100865955</v>
      </c>
      <c r="L108" s="1225">
        <v>98623933</v>
      </c>
    </row>
    <row r="109" spans="1:12">
      <c r="A109" s="187" t="s">
        <v>1518</v>
      </c>
      <c r="B109" s="1224" t="s">
        <v>3012</v>
      </c>
      <c r="C109" s="1225">
        <v>292457959</v>
      </c>
      <c r="D109" s="1225">
        <v>279983556</v>
      </c>
      <c r="E109" s="1225">
        <v>292457959</v>
      </c>
      <c r="F109" s="1225">
        <v>279983556</v>
      </c>
      <c r="G109" s="1225">
        <v>271182203</v>
      </c>
      <c r="H109" s="1225">
        <v>271182203</v>
      </c>
      <c r="I109" s="1225">
        <v>292457959</v>
      </c>
      <c r="J109" s="1225">
        <v>279983556</v>
      </c>
      <c r="K109" s="1225">
        <v>292457959</v>
      </c>
      <c r="L109" s="1225">
        <v>279983556</v>
      </c>
    </row>
    <row r="110" spans="1:12">
      <c r="A110" s="187" t="s">
        <v>2293</v>
      </c>
      <c r="B110" s="1224" t="s">
        <v>3798</v>
      </c>
      <c r="C110" s="1225">
        <v>827774501</v>
      </c>
      <c r="D110" s="1225">
        <v>806731055</v>
      </c>
      <c r="E110" s="1225">
        <v>827774501</v>
      </c>
      <c r="F110" s="1225">
        <v>806731055</v>
      </c>
      <c r="G110" s="1225">
        <v>963743067</v>
      </c>
      <c r="H110" s="1225">
        <v>963743067</v>
      </c>
      <c r="I110" s="1225">
        <v>827774501</v>
      </c>
      <c r="J110" s="1225">
        <v>806731055</v>
      </c>
      <c r="K110" s="1225">
        <v>827774501</v>
      </c>
      <c r="L110" s="1225">
        <v>806731055</v>
      </c>
    </row>
    <row r="111" spans="1:12">
      <c r="A111" s="187" t="s">
        <v>2295</v>
      </c>
      <c r="B111" s="1224" t="s">
        <v>3799</v>
      </c>
      <c r="C111" s="1225">
        <v>275727648</v>
      </c>
      <c r="D111" s="1225">
        <v>267108716</v>
      </c>
      <c r="E111" s="1225">
        <v>275727648</v>
      </c>
      <c r="F111" s="1225">
        <v>267108716</v>
      </c>
      <c r="G111" s="1225">
        <v>216008141</v>
      </c>
      <c r="H111" s="1225">
        <v>216008141</v>
      </c>
      <c r="I111" s="1225">
        <v>275727648</v>
      </c>
      <c r="J111" s="1225">
        <v>267108716</v>
      </c>
      <c r="K111" s="1225">
        <v>275727648</v>
      </c>
      <c r="L111" s="1225">
        <v>267108716</v>
      </c>
    </row>
    <row r="112" spans="1:12">
      <c r="A112" s="187" t="s">
        <v>2297</v>
      </c>
      <c r="B112" s="1224" t="s">
        <v>3800</v>
      </c>
      <c r="C112" s="1225">
        <v>225808327</v>
      </c>
      <c r="D112" s="1225">
        <v>220727547</v>
      </c>
      <c r="E112" s="1225">
        <v>225808327</v>
      </c>
      <c r="F112" s="1225">
        <v>220727547</v>
      </c>
      <c r="G112" s="1225">
        <v>150952565</v>
      </c>
      <c r="H112" s="1225">
        <v>150952565</v>
      </c>
      <c r="I112" s="1225">
        <v>225808327</v>
      </c>
      <c r="J112" s="1225">
        <v>220727547</v>
      </c>
      <c r="K112" s="1225">
        <v>225808327</v>
      </c>
      <c r="L112" s="1225">
        <v>220727547</v>
      </c>
    </row>
    <row r="113" spans="1:12">
      <c r="A113" s="187" t="s">
        <v>978</v>
      </c>
      <c r="B113" s="1224" t="s">
        <v>4670</v>
      </c>
      <c r="C113" s="1225">
        <v>2032237881</v>
      </c>
      <c r="D113" s="1225">
        <v>1976552112</v>
      </c>
      <c r="E113" s="1225">
        <v>2032237881</v>
      </c>
      <c r="F113" s="1225">
        <v>1976552112</v>
      </c>
      <c r="G113" s="1225">
        <v>1875486276</v>
      </c>
      <c r="H113" s="1225">
        <v>1875486276</v>
      </c>
      <c r="I113" s="1225">
        <v>2032237881</v>
      </c>
      <c r="J113" s="1225">
        <v>1976552112</v>
      </c>
      <c r="K113" s="1225">
        <v>2032237881</v>
      </c>
      <c r="L113" s="1225">
        <v>1976552112</v>
      </c>
    </row>
    <row r="114" spans="1:12">
      <c r="A114" s="187" t="s">
        <v>3003</v>
      </c>
      <c r="B114" s="1224" t="s">
        <v>6063</v>
      </c>
      <c r="C114" s="1225">
        <v>3326227062</v>
      </c>
      <c r="D114" s="1225">
        <v>3270092355</v>
      </c>
      <c r="E114" s="1225">
        <v>3326227062</v>
      </c>
      <c r="F114" s="1225">
        <v>3270092355</v>
      </c>
      <c r="G114" s="1225">
        <v>3136611060</v>
      </c>
      <c r="H114" s="1225">
        <v>3136611060</v>
      </c>
      <c r="I114" s="1225">
        <v>3326227062</v>
      </c>
      <c r="J114" s="1225">
        <v>3270092355</v>
      </c>
      <c r="K114" s="1225">
        <v>3326227062</v>
      </c>
      <c r="L114" s="1225">
        <v>3270092355</v>
      </c>
    </row>
    <row r="115" spans="1:12">
      <c r="A115" s="187" t="s">
        <v>2993</v>
      </c>
      <c r="B115" s="1224" t="s">
        <v>196</v>
      </c>
      <c r="C115" s="1225">
        <v>1138467015</v>
      </c>
      <c r="D115" s="1225">
        <v>1097065526</v>
      </c>
      <c r="E115" s="1225">
        <v>1138467015</v>
      </c>
      <c r="F115" s="1225">
        <v>1097065526</v>
      </c>
      <c r="G115" s="1225">
        <v>1068661656</v>
      </c>
      <c r="H115" s="1225">
        <v>1068661656</v>
      </c>
      <c r="I115" s="1225">
        <v>1138467015</v>
      </c>
      <c r="J115" s="1225">
        <v>1097065526</v>
      </c>
      <c r="K115" s="1225">
        <v>1138467015</v>
      </c>
      <c r="L115" s="1225">
        <v>1097065526</v>
      </c>
    </row>
    <row r="116" spans="1:12">
      <c r="A116" s="187" t="s">
        <v>518</v>
      </c>
      <c r="B116" s="1224" t="s">
        <v>6056</v>
      </c>
      <c r="C116" s="1225">
        <v>415800259</v>
      </c>
      <c r="D116" s="1225">
        <v>403869409</v>
      </c>
      <c r="E116" s="1225">
        <v>415800259</v>
      </c>
      <c r="F116" s="1225">
        <v>403869409</v>
      </c>
      <c r="G116" s="1225">
        <v>511471885</v>
      </c>
      <c r="H116" s="1225">
        <v>511471885</v>
      </c>
      <c r="I116" s="1225">
        <v>415800259</v>
      </c>
      <c r="J116" s="1225">
        <v>403869409</v>
      </c>
      <c r="K116" s="1225">
        <v>415800259</v>
      </c>
      <c r="L116" s="1225">
        <v>403869409</v>
      </c>
    </row>
    <row r="117" spans="1:12">
      <c r="A117" s="187" t="s">
        <v>2299</v>
      </c>
      <c r="B117" s="1224" t="s">
        <v>3801</v>
      </c>
      <c r="C117" s="1225">
        <v>145701996</v>
      </c>
      <c r="D117" s="1225">
        <v>143721123</v>
      </c>
      <c r="E117" s="1225">
        <v>145701996</v>
      </c>
      <c r="F117" s="1225">
        <v>143721123</v>
      </c>
      <c r="G117" s="1225">
        <v>176941242</v>
      </c>
      <c r="H117" s="1225">
        <v>176941242</v>
      </c>
      <c r="I117" s="1225">
        <v>145701996</v>
      </c>
      <c r="J117" s="1225">
        <v>143721123</v>
      </c>
      <c r="K117" s="1225">
        <v>145701996</v>
      </c>
      <c r="L117" s="1225">
        <v>143721123</v>
      </c>
    </row>
    <row r="118" spans="1:12">
      <c r="A118" s="187" t="s">
        <v>3971</v>
      </c>
      <c r="B118" s="1224" t="s">
        <v>4676</v>
      </c>
      <c r="C118" s="1225">
        <v>3423246322</v>
      </c>
      <c r="D118" s="1225">
        <v>3380889683</v>
      </c>
      <c r="E118" s="1225">
        <v>3370682445</v>
      </c>
      <c r="F118" s="1225">
        <v>3328325806</v>
      </c>
      <c r="G118" s="1225">
        <v>3818534363</v>
      </c>
      <c r="H118" s="1225">
        <v>3765989680</v>
      </c>
      <c r="I118" s="1225">
        <v>3481513122</v>
      </c>
      <c r="J118" s="1225">
        <v>3439156483</v>
      </c>
      <c r="K118" s="1225">
        <v>3428949245</v>
      </c>
      <c r="L118" s="1225">
        <v>3386592606</v>
      </c>
    </row>
    <row r="119" spans="1:12">
      <c r="A119" s="187" t="s">
        <v>2161</v>
      </c>
      <c r="B119" s="1224" t="s">
        <v>3803</v>
      </c>
      <c r="C119" s="1225">
        <v>129500489</v>
      </c>
      <c r="D119" s="1225">
        <v>123028719</v>
      </c>
      <c r="E119" s="1225">
        <v>129500489</v>
      </c>
      <c r="F119" s="1225">
        <v>123028719</v>
      </c>
      <c r="G119" s="1225">
        <v>133801342</v>
      </c>
      <c r="H119" s="1225">
        <v>133801342</v>
      </c>
      <c r="I119" s="1225">
        <v>129500489</v>
      </c>
      <c r="J119" s="1225">
        <v>123028719</v>
      </c>
      <c r="K119" s="1225">
        <v>129500489</v>
      </c>
      <c r="L119" s="1225">
        <v>123028719</v>
      </c>
    </row>
    <row r="120" spans="1:12">
      <c r="A120" s="187" t="s">
        <v>3086</v>
      </c>
      <c r="B120" s="1224" t="s">
        <v>4679</v>
      </c>
      <c r="C120" s="1225">
        <v>526621882</v>
      </c>
      <c r="D120" s="1225">
        <v>507931675</v>
      </c>
      <c r="E120" s="1225">
        <v>526621882</v>
      </c>
      <c r="F120" s="1225">
        <v>507931675</v>
      </c>
      <c r="G120" s="1225">
        <v>318389869</v>
      </c>
      <c r="H120" s="1225">
        <v>318389869</v>
      </c>
      <c r="I120" s="1225">
        <v>526621882</v>
      </c>
      <c r="J120" s="1225">
        <v>507931675</v>
      </c>
      <c r="K120" s="1225">
        <v>526621882</v>
      </c>
      <c r="L120" s="1225">
        <v>507931675</v>
      </c>
    </row>
    <row r="121" spans="1:12">
      <c r="A121" s="187" t="s">
        <v>2605</v>
      </c>
      <c r="B121" s="1224" t="s">
        <v>3804</v>
      </c>
      <c r="C121" s="1225">
        <v>184452300</v>
      </c>
      <c r="D121" s="1225">
        <v>178870880</v>
      </c>
      <c r="E121" s="1225">
        <v>184452300</v>
      </c>
      <c r="F121" s="1225">
        <v>178870880</v>
      </c>
      <c r="G121" s="1225">
        <v>162121316</v>
      </c>
      <c r="H121" s="1225">
        <v>162121316</v>
      </c>
      <c r="I121" s="1225">
        <v>184452300</v>
      </c>
      <c r="J121" s="1225">
        <v>178870880</v>
      </c>
      <c r="K121" s="1225">
        <v>184452300</v>
      </c>
      <c r="L121" s="1225">
        <v>178870880</v>
      </c>
    </row>
    <row r="122" spans="1:12">
      <c r="A122" s="187" t="s">
        <v>4181</v>
      </c>
      <c r="B122" s="1224" t="s">
        <v>3805</v>
      </c>
      <c r="C122" s="1225">
        <v>239670310</v>
      </c>
      <c r="D122" s="1225">
        <v>233810742</v>
      </c>
      <c r="E122" s="1225">
        <v>239670310</v>
      </c>
      <c r="F122" s="1225">
        <v>233810742</v>
      </c>
      <c r="G122" s="1225">
        <v>225629446</v>
      </c>
      <c r="H122" s="1225">
        <v>225629446</v>
      </c>
      <c r="I122" s="1225">
        <v>239670310</v>
      </c>
      <c r="J122" s="1225">
        <v>233810742</v>
      </c>
      <c r="K122" s="1225">
        <v>239670310</v>
      </c>
      <c r="L122" s="1225">
        <v>233810742</v>
      </c>
    </row>
    <row r="123" spans="1:12">
      <c r="A123" s="187" t="s">
        <v>959</v>
      </c>
      <c r="B123" s="1224" t="s">
        <v>2142</v>
      </c>
      <c r="C123" s="1225">
        <v>5654520678</v>
      </c>
      <c r="D123" s="1225">
        <v>5426008380</v>
      </c>
      <c r="E123" s="1225">
        <v>5654520678</v>
      </c>
      <c r="F123" s="1225">
        <v>5426008380</v>
      </c>
      <c r="G123" s="1225">
        <v>5425295447</v>
      </c>
      <c r="H123" s="1225">
        <v>5425295447</v>
      </c>
      <c r="I123" s="1225">
        <v>5654520678</v>
      </c>
      <c r="J123" s="1225">
        <v>5426008380</v>
      </c>
      <c r="K123" s="1225">
        <v>5654520678</v>
      </c>
      <c r="L123" s="1225">
        <v>5426008380</v>
      </c>
    </row>
    <row r="124" spans="1:12">
      <c r="A124" s="187" t="s">
        <v>1861</v>
      </c>
      <c r="B124" s="1224" t="s">
        <v>4684</v>
      </c>
      <c r="C124" s="1225">
        <v>3453027302</v>
      </c>
      <c r="D124" s="1225">
        <v>3335826960</v>
      </c>
      <c r="E124" s="1225">
        <v>3453027302</v>
      </c>
      <c r="F124" s="1225">
        <v>3335826960</v>
      </c>
      <c r="G124" s="1225">
        <v>3382654546</v>
      </c>
      <c r="H124" s="1225">
        <v>3382654546</v>
      </c>
      <c r="I124" s="1225">
        <v>3453027302</v>
      </c>
      <c r="J124" s="1225">
        <v>3335826960</v>
      </c>
      <c r="K124" s="1225">
        <v>3453027302</v>
      </c>
      <c r="L124" s="1225">
        <v>3335826960</v>
      </c>
    </row>
    <row r="125" spans="1:12">
      <c r="A125" s="187" t="s">
        <v>6037</v>
      </c>
      <c r="B125" s="1224" t="s">
        <v>2152</v>
      </c>
      <c r="C125" s="1225">
        <v>414452194</v>
      </c>
      <c r="D125" s="1225">
        <v>397180924</v>
      </c>
      <c r="E125" s="1225">
        <v>414452194</v>
      </c>
      <c r="F125" s="1225">
        <v>397180924</v>
      </c>
      <c r="G125" s="1225">
        <v>369876024</v>
      </c>
      <c r="H125" s="1225">
        <v>369876024</v>
      </c>
      <c r="I125" s="1225">
        <v>414452194</v>
      </c>
      <c r="J125" s="1225">
        <v>397180924</v>
      </c>
      <c r="K125" s="1225">
        <v>414452194</v>
      </c>
      <c r="L125" s="1225">
        <v>397180924</v>
      </c>
    </row>
    <row r="126" spans="1:12">
      <c r="A126" s="187" t="s">
        <v>2995</v>
      </c>
      <c r="B126" s="1224" t="s">
        <v>4687</v>
      </c>
      <c r="C126" s="1225">
        <v>1676903439</v>
      </c>
      <c r="D126" s="1225">
        <v>1618476284</v>
      </c>
      <c r="E126" s="1225">
        <v>1676903439</v>
      </c>
      <c r="F126" s="1225">
        <v>1618476284</v>
      </c>
      <c r="G126" s="1225">
        <v>1489903439</v>
      </c>
      <c r="H126" s="1225">
        <v>1489903439</v>
      </c>
      <c r="I126" s="1225">
        <v>1946903439</v>
      </c>
      <c r="J126" s="1225">
        <v>1888476284</v>
      </c>
      <c r="K126" s="1225">
        <v>1946903439</v>
      </c>
      <c r="L126" s="1225">
        <v>1888476284</v>
      </c>
    </row>
    <row r="127" spans="1:12">
      <c r="A127" s="187" t="s">
        <v>7643</v>
      </c>
      <c r="B127" s="1224" t="s">
        <v>3806</v>
      </c>
      <c r="C127" s="1225">
        <v>3537378253</v>
      </c>
      <c r="D127" s="1225">
        <v>3514802734</v>
      </c>
      <c r="E127" s="1225">
        <v>3537378253</v>
      </c>
      <c r="F127" s="1225">
        <v>3514802734</v>
      </c>
      <c r="G127" s="1225">
        <v>3676638050</v>
      </c>
      <c r="H127" s="1225">
        <v>3676638050</v>
      </c>
      <c r="I127" s="1225">
        <v>3537378253</v>
      </c>
      <c r="J127" s="1225">
        <v>3514802734</v>
      </c>
      <c r="K127" s="1225">
        <v>3537378253</v>
      </c>
      <c r="L127" s="1225">
        <v>3514802734</v>
      </c>
    </row>
    <row r="128" spans="1:12">
      <c r="A128" s="187" t="s">
        <v>3087</v>
      </c>
      <c r="B128" s="1224" t="s">
        <v>361</v>
      </c>
      <c r="C128" s="1225">
        <v>274447961</v>
      </c>
      <c r="D128" s="1225">
        <v>262956958</v>
      </c>
      <c r="E128" s="1225">
        <v>274447961</v>
      </c>
      <c r="F128" s="1225">
        <v>262956958</v>
      </c>
      <c r="G128" s="1225">
        <v>249728568</v>
      </c>
      <c r="H128" s="1225">
        <v>249728568</v>
      </c>
      <c r="I128" s="1225">
        <v>312862751</v>
      </c>
      <c r="J128" s="1225">
        <v>301371748</v>
      </c>
      <c r="K128" s="1225">
        <v>312862751</v>
      </c>
      <c r="L128" s="1225">
        <v>301371748</v>
      </c>
    </row>
    <row r="129" spans="1:12">
      <c r="A129" s="187" t="s">
        <v>2387</v>
      </c>
      <c r="B129" s="1224" t="s">
        <v>4691</v>
      </c>
      <c r="C129" s="1225">
        <v>990617346</v>
      </c>
      <c r="D129" s="1225">
        <v>942118601</v>
      </c>
      <c r="E129" s="1225">
        <v>990617346</v>
      </c>
      <c r="F129" s="1225">
        <v>942118601</v>
      </c>
      <c r="G129" s="1225">
        <v>872018310</v>
      </c>
      <c r="H129" s="1225">
        <v>872018310</v>
      </c>
      <c r="I129" s="1225">
        <v>990617346</v>
      </c>
      <c r="J129" s="1225">
        <v>942118601</v>
      </c>
      <c r="K129" s="1225">
        <v>990617346</v>
      </c>
      <c r="L129" s="1225">
        <v>942118601</v>
      </c>
    </row>
    <row r="130" spans="1:12">
      <c r="A130" s="187" t="s">
        <v>3088</v>
      </c>
      <c r="B130" s="1224" t="s">
        <v>1459</v>
      </c>
      <c r="C130" s="1225">
        <v>53413337</v>
      </c>
      <c r="D130" s="1225">
        <v>51337537</v>
      </c>
      <c r="E130" s="1225">
        <v>53413337</v>
      </c>
      <c r="F130" s="1225">
        <v>51337537</v>
      </c>
      <c r="G130" s="1225">
        <v>41221901</v>
      </c>
      <c r="H130" s="1225">
        <v>41221901</v>
      </c>
      <c r="I130" s="1225">
        <v>53413337</v>
      </c>
      <c r="J130" s="1225">
        <v>51337537</v>
      </c>
      <c r="K130" s="1225">
        <v>53413337</v>
      </c>
      <c r="L130" s="1225">
        <v>51337537</v>
      </c>
    </row>
    <row r="131" spans="1:12">
      <c r="A131" s="187" t="s">
        <v>2393</v>
      </c>
      <c r="B131" s="1224" t="s">
        <v>1460</v>
      </c>
      <c r="C131" s="1225">
        <v>85676859</v>
      </c>
      <c r="D131" s="1225">
        <v>80114515</v>
      </c>
      <c r="E131" s="1225">
        <v>85676859</v>
      </c>
      <c r="F131" s="1225">
        <v>80114515</v>
      </c>
      <c r="G131" s="1225">
        <v>74240107</v>
      </c>
      <c r="H131" s="1225">
        <v>74240107</v>
      </c>
      <c r="I131" s="1225">
        <v>85676859</v>
      </c>
      <c r="J131" s="1225">
        <v>80114515</v>
      </c>
      <c r="K131" s="1225">
        <v>85676859</v>
      </c>
      <c r="L131" s="1225">
        <v>80114515</v>
      </c>
    </row>
    <row r="132" spans="1:12">
      <c r="A132" s="187" t="s">
        <v>7647</v>
      </c>
      <c r="B132" s="1224" t="s">
        <v>3807</v>
      </c>
      <c r="C132" s="1225">
        <v>712724767</v>
      </c>
      <c r="D132" s="1225">
        <v>687638704</v>
      </c>
      <c r="E132" s="1225">
        <v>712724767</v>
      </c>
      <c r="F132" s="1225">
        <v>687638704</v>
      </c>
      <c r="G132" s="1225">
        <v>735329224</v>
      </c>
      <c r="H132" s="1225">
        <v>735329224</v>
      </c>
      <c r="I132" s="1225">
        <v>712724767</v>
      </c>
      <c r="J132" s="1225">
        <v>687638704</v>
      </c>
      <c r="K132" s="1225">
        <v>712724767</v>
      </c>
      <c r="L132" s="1225">
        <v>687638704</v>
      </c>
    </row>
    <row r="133" spans="1:12">
      <c r="A133" s="187" t="s">
        <v>7649</v>
      </c>
      <c r="B133" s="1224" t="s">
        <v>3808</v>
      </c>
      <c r="C133" s="1225">
        <v>128914354</v>
      </c>
      <c r="D133" s="1225">
        <v>126912276</v>
      </c>
      <c r="E133" s="1225">
        <v>128914354</v>
      </c>
      <c r="F133" s="1225">
        <v>126912276</v>
      </c>
      <c r="G133" s="1225">
        <v>89558463</v>
      </c>
      <c r="H133" s="1225">
        <v>89558463</v>
      </c>
      <c r="I133" s="1225">
        <v>357349144</v>
      </c>
      <c r="J133" s="1225">
        <v>355347066</v>
      </c>
      <c r="K133" s="1225">
        <v>357349144</v>
      </c>
      <c r="L133" s="1225">
        <v>355347066</v>
      </c>
    </row>
    <row r="134" spans="1:12">
      <c r="A134" s="187" t="s">
        <v>1786</v>
      </c>
      <c r="B134" s="1224" t="s">
        <v>3809</v>
      </c>
      <c r="C134" s="1225">
        <v>443480597</v>
      </c>
      <c r="D134" s="1225">
        <v>434923167</v>
      </c>
      <c r="E134" s="1225">
        <v>433862267</v>
      </c>
      <c r="F134" s="1225">
        <v>425304837</v>
      </c>
      <c r="G134" s="1225">
        <v>568595701</v>
      </c>
      <c r="H134" s="1225">
        <v>558830210</v>
      </c>
      <c r="I134" s="1225">
        <v>874762257</v>
      </c>
      <c r="J134" s="1225">
        <v>866204827</v>
      </c>
      <c r="K134" s="1225">
        <v>865143927</v>
      </c>
      <c r="L134" s="1225">
        <v>856586497</v>
      </c>
    </row>
    <row r="135" spans="1:12">
      <c r="A135" s="187" t="s">
        <v>1788</v>
      </c>
      <c r="B135" s="1224" t="s">
        <v>6208</v>
      </c>
      <c r="C135" s="1225">
        <v>262953215</v>
      </c>
      <c r="D135" s="1225">
        <v>258901195</v>
      </c>
      <c r="E135" s="1225">
        <v>261372415</v>
      </c>
      <c r="F135" s="1225">
        <v>257320395</v>
      </c>
      <c r="G135" s="1225">
        <v>413057139</v>
      </c>
      <c r="H135" s="1225">
        <v>410215282</v>
      </c>
      <c r="I135" s="1225">
        <v>423503825</v>
      </c>
      <c r="J135" s="1225">
        <v>419451805</v>
      </c>
      <c r="K135" s="1225">
        <v>421923025</v>
      </c>
      <c r="L135" s="1225">
        <v>417871005</v>
      </c>
    </row>
    <row r="136" spans="1:12">
      <c r="A136" s="187" t="s">
        <v>1790</v>
      </c>
      <c r="B136" s="1224" t="s">
        <v>6209</v>
      </c>
      <c r="C136" s="1225">
        <v>544778768</v>
      </c>
      <c r="D136" s="1225">
        <v>519119251</v>
      </c>
      <c r="E136" s="1225">
        <v>544778768</v>
      </c>
      <c r="F136" s="1225">
        <v>519119251</v>
      </c>
      <c r="G136" s="1225">
        <v>543218347</v>
      </c>
      <c r="H136" s="1225">
        <v>543218347</v>
      </c>
      <c r="I136" s="1225">
        <v>544778768</v>
      </c>
      <c r="J136" s="1225">
        <v>519119251</v>
      </c>
      <c r="K136" s="1225">
        <v>544778768</v>
      </c>
      <c r="L136" s="1225">
        <v>519119251</v>
      </c>
    </row>
    <row r="137" spans="1:12">
      <c r="A137" s="187" t="s">
        <v>1792</v>
      </c>
      <c r="B137" s="1224" t="s">
        <v>6210</v>
      </c>
      <c r="C137" s="1225">
        <v>60874027</v>
      </c>
      <c r="D137" s="1225">
        <v>57593751</v>
      </c>
      <c r="E137" s="1225">
        <v>60874027</v>
      </c>
      <c r="F137" s="1225">
        <v>57593751</v>
      </c>
      <c r="G137" s="1225">
        <v>57398259</v>
      </c>
      <c r="H137" s="1225">
        <v>57398259</v>
      </c>
      <c r="I137" s="1225">
        <v>60874027</v>
      </c>
      <c r="J137" s="1225">
        <v>57593751</v>
      </c>
      <c r="K137" s="1225">
        <v>60874027</v>
      </c>
      <c r="L137" s="1225">
        <v>57593751</v>
      </c>
    </row>
    <row r="138" spans="1:12">
      <c r="A138" s="187" t="s">
        <v>2982</v>
      </c>
      <c r="B138" s="1224" t="s">
        <v>6211</v>
      </c>
      <c r="C138" s="1225">
        <v>252497622</v>
      </c>
      <c r="D138" s="1225">
        <v>241360257</v>
      </c>
      <c r="E138" s="1225">
        <v>252497622</v>
      </c>
      <c r="F138" s="1225">
        <v>241360257</v>
      </c>
      <c r="G138" s="1225">
        <v>328942292</v>
      </c>
      <c r="H138" s="1225">
        <v>328942292</v>
      </c>
      <c r="I138" s="1225">
        <v>252497622</v>
      </c>
      <c r="J138" s="1225">
        <v>241360257</v>
      </c>
      <c r="K138" s="1225">
        <v>252497622</v>
      </c>
      <c r="L138" s="1225">
        <v>241360257</v>
      </c>
    </row>
    <row r="139" spans="1:12">
      <c r="A139" s="187" t="s">
        <v>2984</v>
      </c>
      <c r="B139" s="1224" t="s">
        <v>4702</v>
      </c>
      <c r="C139" s="1225">
        <v>224681641</v>
      </c>
      <c r="D139" s="1225">
        <v>210923076</v>
      </c>
      <c r="E139" s="1225">
        <v>224681641</v>
      </c>
      <c r="F139" s="1225">
        <v>210923076</v>
      </c>
      <c r="G139" s="1225">
        <v>218452674</v>
      </c>
      <c r="H139" s="1225">
        <v>218452674</v>
      </c>
      <c r="I139" s="1225">
        <v>224681641</v>
      </c>
      <c r="J139" s="1225">
        <v>210923076</v>
      </c>
      <c r="K139" s="1225">
        <v>224681641</v>
      </c>
      <c r="L139" s="1225">
        <v>210923076</v>
      </c>
    </row>
    <row r="140" spans="1:12">
      <c r="A140" s="187" t="s">
        <v>965</v>
      </c>
      <c r="B140" s="1224" t="s">
        <v>6077</v>
      </c>
      <c r="C140" s="1225">
        <v>28879006</v>
      </c>
      <c r="D140" s="1225">
        <v>26990873</v>
      </c>
      <c r="E140" s="1225">
        <v>28879006</v>
      </c>
      <c r="F140" s="1225">
        <v>26990873</v>
      </c>
      <c r="G140" s="1225">
        <v>33088465</v>
      </c>
      <c r="H140" s="1225">
        <v>33088465</v>
      </c>
      <c r="I140" s="1225">
        <v>28879006</v>
      </c>
      <c r="J140" s="1225">
        <v>26990873</v>
      </c>
      <c r="K140" s="1225">
        <v>28879006</v>
      </c>
      <c r="L140" s="1225">
        <v>26990873</v>
      </c>
    </row>
    <row r="141" spans="1:12">
      <c r="A141" s="187" t="s">
        <v>6704</v>
      </c>
      <c r="B141" s="1224" t="s">
        <v>3814</v>
      </c>
      <c r="C141" s="1225">
        <v>459344645</v>
      </c>
      <c r="D141" s="1225">
        <v>447191758</v>
      </c>
      <c r="E141" s="1225">
        <v>448473546</v>
      </c>
      <c r="F141" s="1225">
        <v>436320659</v>
      </c>
      <c r="G141" s="1225">
        <v>423282997</v>
      </c>
      <c r="H141" s="1225">
        <v>412342431</v>
      </c>
      <c r="I141" s="1225">
        <v>459344645</v>
      </c>
      <c r="J141" s="1225">
        <v>447191758</v>
      </c>
      <c r="K141" s="1225">
        <v>448473546</v>
      </c>
      <c r="L141" s="1225">
        <v>436320659</v>
      </c>
    </row>
    <row r="142" spans="1:12">
      <c r="A142" s="187" t="s">
        <v>690</v>
      </c>
      <c r="B142" s="1224" t="s">
        <v>3816</v>
      </c>
      <c r="C142" s="1225">
        <v>42016565</v>
      </c>
      <c r="D142" s="1225">
        <v>39078778</v>
      </c>
      <c r="E142" s="1225">
        <v>42016565</v>
      </c>
      <c r="F142" s="1225">
        <v>39078778</v>
      </c>
      <c r="G142" s="1225">
        <v>37238737</v>
      </c>
      <c r="H142" s="1225">
        <v>37238737</v>
      </c>
      <c r="I142" s="1225">
        <v>42016565</v>
      </c>
      <c r="J142" s="1225">
        <v>39078778</v>
      </c>
      <c r="K142" s="1225">
        <v>42016565</v>
      </c>
      <c r="L142" s="1225">
        <v>39078778</v>
      </c>
    </row>
    <row r="143" spans="1:12">
      <c r="A143" s="187" t="s">
        <v>692</v>
      </c>
      <c r="B143" s="1224" t="s">
        <v>3817</v>
      </c>
      <c r="C143" s="1225">
        <v>253204562</v>
      </c>
      <c r="D143" s="1225">
        <v>245624812</v>
      </c>
      <c r="E143" s="1225">
        <v>253204562</v>
      </c>
      <c r="F143" s="1225">
        <v>245624812</v>
      </c>
      <c r="G143" s="1225">
        <v>264750432</v>
      </c>
      <c r="H143" s="1225">
        <v>264750432</v>
      </c>
      <c r="I143" s="1225">
        <v>568011982</v>
      </c>
      <c r="J143" s="1225">
        <v>560432232</v>
      </c>
      <c r="K143" s="1225">
        <v>568011982</v>
      </c>
      <c r="L143" s="1225">
        <v>560432232</v>
      </c>
    </row>
    <row r="144" spans="1:12">
      <c r="A144" s="187" t="s">
        <v>895</v>
      </c>
      <c r="B144" s="1224" t="s">
        <v>3818</v>
      </c>
      <c r="C144" s="1225">
        <v>79996962</v>
      </c>
      <c r="D144" s="1225">
        <v>78283942</v>
      </c>
      <c r="E144" s="1225">
        <v>79996962</v>
      </c>
      <c r="F144" s="1225">
        <v>78283942</v>
      </c>
      <c r="G144" s="1225">
        <v>86530533</v>
      </c>
      <c r="H144" s="1225">
        <v>86530533</v>
      </c>
      <c r="I144" s="1225">
        <v>79996962</v>
      </c>
      <c r="J144" s="1225">
        <v>78283942</v>
      </c>
      <c r="K144" s="1225">
        <v>79996962</v>
      </c>
      <c r="L144" s="1225">
        <v>78283942</v>
      </c>
    </row>
    <row r="145" spans="1:12">
      <c r="A145" s="187" t="s">
        <v>6177</v>
      </c>
      <c r="B145" s="1224" t="s">
        <v>506</v>
      </c>
      <c r="C145" s="1225">
        <v>56912652</v>
      </c>
      <c r="D145" s="1225">
        <v>55154702</v>
      </c>
      <c r="E145" s="1225">
        <v>56912652</v>
      </c>
      <c r="F145" s="1225">
        <v>55154702</v>
      </c>
      <c r="G145" s="1225">
        <v>74380050</v>
      </c>
      <c r="H145" s="1225">
        <v>74380050</v>
      </c>
      <c r="I145" s="1225">
        <v>56912652</v>
      </c>
      <c r="J145" s="1225">
        <v>55154702</v>
      </c>
      <c r="K145" s="1225">
        <v>56912652</v>
      </c>
      <c r="L145" s="1225">
        <v>55154702</v>
      </c>
    </row>
    <row r="146" spans="1:12">
      <c r="A146" s="187" t="s">
        <v>265</v>
      </c>
      <c r="B146" s="1224" t="s">
        <v>7682</v>
      </c>
      <c r="C146" s="1225">
        <v>520190528</v>
      </c>
      <c r="D146" s="1225">
        <v>503537038</v>
      </c>
      <c r="E146" s="1225">
        <v>500927363</v>
      </c>
      <c r="F146" s="1225">
        <v>484273873</v>
      </c>
      <c r="G146" s="1225">
        <v>712354746</v>
      </c>
      <c r="H146" s="1225">
        <v>692694535</v>
      </c>
      <c r="I146" s="1225">
        <v>520190528</v>
      </c>
      <c r="J146" s="1225">
        <v>503537038</v>
      </c>
      <c r="K146" s="1225">
        <v>500927363</v>
      </c>
      <c r="L146" s="1225">
        <v>484273873</v>
      </c>
    </row>
    <row r="147" spans="1:12">
      <c r="A147" s="187" t="s">
        <v>897</v>
      </c>
      <c r="B147" s="1224" t="s">
        <v>3819</v>
      </c>
      <c r="C147" s="1225">
        <v>4507904708</v>
      </c>
      <c r="D147" s="1225">
        <v>4458617738</v>
      </c>
      <c r="E147" s="1225">
        <v>4400984288</v>
      </c>
      <c r="F147" s="1225">
        <v>4351697318</v>
      </c>
      <c r="G147" s="1225">
        <v>4884458332</v>
      </c>
      <c r="H147" s="1225">
        <v>4785344077</v>
      </c>
      <c r="I147" s="1225">
        <v>7447878944</v>
      </c>
      <c r="J147" s="1225">
        <v>7398591974</v>
      </c>
      <c r="K147" s="1225">
        <v>7340958524</v>
      </c>
      <c r="L147" s="1225">
        <v>7291671554</v>
      </c>
    </row>
    <row r="148" spans="1:12">
      <c r="A148" s="187" t="s">
        <v>899</v>
      </c>
      <c r="B148" s="1224" t="s">
        <v>3820</v>
      </c>
      <c r="C148" s="1225">
        <v>309134101</v>
      </c>
      <c r="D148" s="1225">
        <v>297003711</v>
      </c>
      <c r="E148" s="1225">
        <v>294763456</v>
      </c>
      <c r="F148" s="1225">
        <v>282633066</v>
      </c>
      <c r="G148" s="1225">
        <v>277968993</v>
      </c>
      <c r="H148" s="1225">
        <v>263112864</v>
      </c>
      <c r="I148" s="1225">
        <v>309134101</v>
      </c>
      <c r="J148" s="1225">
        <v>297003711</v>
      </c>
      <c r="K148" s="1225">
        <v>294763456</v>
      </c>
      <c r="L148" s="1225">
        <v>282633066</v>
      </c>
    </row>
    <row r="149" spans="1:12">
      <c r="A149" s="187" t="s">
        <v>901</v>
      </c>
      <c r="B149" s="1224" t="s">
        <v>3821</v>
      </c>
      <c r="C149" s="1225">
        <v>134294282</v>
      </c>
      <c r="D149" s="1225">
        <v>128865725</v>
      </c>
      <c r="E149" s="1225">
        <v>134294282</v>
      </c>
      <c r="F149" s="1225">
        <v>128865725</v>
      </c>
      <c r="G149" s="1225">
        <v>123398913</v>
      </c>
      <c r="H149" s="1225">
        <v>123398913</v>
      </c>
      <c r="I149" s="1225">
        <v>134294282</v>
      </c>
      <c r="J149" s="1225">
        <v>128865725</v>
      </c>
      <c r="K149" s="1225">
        <v>134294282</v>
      </c>
      <c r="L149" s="1225">
        <v>128865725</v>
      </c>
    </row>
    <row r="150" spans="1:12">
      <c r="A150" s="187" t="s">
        <v>6023</v>
      </c>
      <c r="B150" s="1224" t="s">
        <v>1908</v>
      </c>
      <c r="C150" s="1225">
        <v>1042256799</v>
      </c>
      <c r="D150" s="1225">
        <v>998981924</v>
      </c>
      <c r="E150" s="1225">
        <v>1042256799</v>
      </c>
      <c r="F150" s="1225">
        <v>998981924</v>
      </c>
      <c r="G150" s="1225">
        <v>981158195</v>
      </c>
      <c r="H150" s="1225">
        <v>981158195</v>
      </c>
      <c r="I150" s="1225">
        <v>1042256799</v>
      </c>
      <c r="J150" s="1225">
        <v>998981924</v>
      </c>
      <c r="K150" s="1225">
        <v>1042256799</v>
      </c>
      <c r="L150" s="1225">
        <v>998981924</v>
      </c>
    </row>
    <row r="151" spans="1:12">
      <c r="A151" s="187" t="s">
        <v>2383</v>
      </c>
      <c r="B151" s="1224" t="s">
        <v>374</v>
      </c>
      <c r="C151" s="1225">
        <v>385990836</v>
      </c>
      <c r="D151" s="1225">
        <v>366879329</v>
      </c>
      <c r="E151" s="1225">
        <v>385990836</v>
      </c>
      <c r="F151" s="1225">
        <v>366879329</v>
      </c>
      <c r="G151" s="1225">
        <v>359096839</v>
      </c>
      <c r="H151" s="1225">
        <v>359096839</v>
      </c>
      <c r="I151" s="1225">
        <v>385990836</v>
      </c>
      <c r="J151" s="1225">
        <v>366879329</v>
      </c>
      <c r="K151" s="1225">
        <v>385990836</v>
      </c>
      <c r="L151" s="1225">
        <v>366879329</v>
      </c>
    </row>
    <row r="152" spans="1:12">
      <c r="A152" s="187" t="s">
        <v>6180</v>
      </c>
      <c r="B152" s="1224" t="s">
        <v>1934</v>
      </c>
      <c r="C152" s="1225">
        <v>66710155</v>
      </c>
      <c r="D152" s="1225">
        <v>64400485</v>
      </c>
      <c r="E152" s="1225">
        <v>66710155</v>
      </c>
      <c r="F152" s="1225">
        <v>64400485</v>
      </c>
      <c r="G152" s="1225">
        <v>59690901</v>
      </c>
      <c r="H152" s="1225">
        <v>59690901</v>
      </c>
      <c r="I152" s="1225">
        <v>66710155</v>
      </c>
      <c r="J152" s="1225">
        <v>64400485</v>
      </c>
      <c r="K152" s="1225">
        <v>66710155</v>
      </c>
      <c r="L152" s="1225">
        <v>64400485</v>
      </c>
    </row>
    <row r="153" spans="1:12">
      <c r="A153" s="187" t="s">
        <v>903</v>
      </c>
      <c r="B153" s="1224" t="s">
        <v>3822</v>
      </c>
      <c r="C153" s="1225">
        <v>85255452</v>
      </c>
      <c r="D153" s="1225">
        <v>82335468</v>
      </c>
      <c r="E153" s="1225">
        <v>85255452</v>
      </c>
      <c r="F153" s="1225">
        <v>82335468</v>
      </c>
      <c r="G153" s="1225">
        <v>71212575</v>
      </c>
      <c r="H153" s="1225">
        <v>71212575</v>
      </c>
      <c r="I153" s="1225">
        <v>85255452</v>
      </c>
      <c r="J153" s="1225">
        <v>82335468</v>
      </c>
      <c r="K153" s="1225">
        <v>85255452</v>
      </c>
      <c r="L153" s="1225">
        <v>82335468</v>
      </c>
    </row>
    <row r="154" spans="1:12">
      <c r="A154" s="187" t="s">
        <v>736</v>
      </c>
      <c r="B154" s="1224" t="s">
        <v>6109</v>
      </c>
      <c r="C154" s="1225">
        <v>416907299</v>
      </c>
      <c r="D154" s="1225">
        <v>405059754</v>
      </c>
      <c r="E154" s="1225">
        <v>416907299</v>
      </c>
      <c r="F154" s="1225">
        <v>405059754</v>
      </c>
      <c r="G154" s="1225">
        <v>350349076</v>
      </c>
      <c r="H154" s="1225">
        <v>350349076</v>
      </c>
      <c r="I154" s="1225">
        <v>416907299</v>
      </c>
      <c r="J154" s="1225">
        <v>405059754</v>
      </c>
      <c r="K154" s="1225">
        <v>416907299</v>
      </c>
      <c r="L154" s="1225">
        <v>405059754</v>
      </c>
    </row>
    <row r="155" spans="1:12">
      <c r="A155" s="187" t="s">
        <v>2117</v>
      </c>
      <c r="B155" s="1224" t="s">
        <v>3824</v>
      </c>
      <c r="C155" s="1225">
        <v>310513360</v>
      </c>
      <c r="D155" s="1225">
        <v>297649750</v>
      </c>
      <c r="E155" s="1225">
        <v>310513360</v>
      </c>
      <c r="F155" s="1225">
        <v>297649750</v>
      </c>
      <c r="G155" s="1225">
        <v>342327969</v>
      </c>
      <c r="H155" s="1225">
        <v>342327969</v>
      </c>
      <c r="I155" s="1225">
        <v>310513360</v>
      </c>
      <c r="J155" s="1225">
        <v>297649750</v>
      </c>
      <c r="K155" s="1225">
        <v>310513360</v>
      </c>
      <c r="L155" s="1225">
        <v>297649750</v>
      </c>
    </row>
    <row r="156" spans="1:12">
      <c r="A156" s="187" t="s">
        <v>3089</v>
      </c>
      <c r="B156" s="1224" t="s">
        <v>8182</v>
      </c>
      <c r="C156" s="1225">
        <v>130999631</v>
      </c>
      <c r="D156" s="1225">
        <v>124232531</v>
      </c>
      <c r="E156" s="1225">
        <v>130999631</v>
      </c>
      <c r="F156" s="1225">
        <v>124232531</v>
      </c>
      <c r="G156" s="1225">
        <v>130895077</v>
      </c>
      <c r="H156" s="1225">
        <v>130895077</v>
      </c>
      <c r="I156" s="1225">
        <v>130999631</v>
      </c>
      <c r="J156" s="1225">
        <v>124232531</v>
      </c>
      <c r="K156" s="1225">
        <v>130999631</v>
      </c>
      <c r="L156" s="1225">
        <v>124232531</v>
      </c>
    </row>
    <row r="157" spans="1:12">
      <c r="A157" s="187" t="s">
        <v>2119</v>
      </c>
      <c r="B157" s="1224" t="s">
        <v>3825</v>
      </c>
      <c r="C157" s="1225">
        <v>134943914</v>
      </c>
      <c r="D157" s="1225">
        <v>133331824</v>
      </c>
      <c r="E157" s="1225">
        <v>134943914</v>
      </c>
      <c r="F157" s="1225">
        <v>133331824</v>
      </c>
      <c r="G157" s="1225">
        <v>66153850</v>
      </c>
      <c r="H157" s="1225">
        <v>66153850</v>
      </c>
      <c r="I157" s="1225">
        <v>134943914</v>
      </c>
      <c r="J157" s="1225">
        <v>133331824</v>
      </c>
      <c r="K157" s="1225">
        <v>134943914</v>
      </c>
      <c r="L157" s="1225">
        <v>133331824</v>
      </c>
    </row>
    <row r="158" spans="1:12">
      <c r="A158" s="187" t="s">
        <v>2121</v>
      </c>
      <c r="B158" s="1224" t="s">
        <v>2855</v>
      </c>
      <c r="C158" s="1225">
        <v>79209330</v>
      </c>
      <c r="D158" s="1225">
        <v>77020720</v>
      </c>
      <c r="E158" s="1225">
        <v>79209330</v>
      </c>
      <c r="F158" s="1225">
        <v>77020720</v>
      </c>
      <c r="G158" s="1225">
        <v>100090135</v>
      </c>
      <c r="H158" s="1225">
        <v>100090135</v>
      </c>
      <c r="I158" s="1225">
        <v>375277600</v>
      </c>
      <c r="J158" s="1225">
        <v>373088990</v>
      </c>
      <c r="K158" s="1225">
        <v>375277600</v>
      </c>
      <c r="L158" s="1225">
        <v>373088990</v>
      </c>
    </row>
    <row r="159" spans="1:12">
      <c r="A159" s="187" t="s">
        <v>2123</v>
      </c>
      <c r="B159" s="1224" t="s">
        <v>2856</v>
      </c>
      <c r="C159" s="1225">
        <v>61302178</v>
      </c>
      <c r="D159" s="1225">
        <v>59757698</v>
      </c>
      <c r="E159" s="1225">
        <v>61302178</v>
      </c>
      <c r="F159" s="1225">
        <v>59757698</v>
      </c>
      <c r="G159" s="1225">
        <v>63527003</v>
      </c>
      <c r="H159" s="1225">
        <v>63527003</v>
      </c>
      <c r="I159" s="1225">
        <v>61302178</v>
      </c>
      <c r="J159" s="1225">
        <v>59757698</v>
      </c>
      <c r="K159" s="1225">
        <v>61302178</v>
      </c>
      <c r="L159" s="1225">
        <v>59757698</v>
      </c>
    </row>
    <row r="160" spans="1:12">
      <c r="A160" s="187" t="s">
        <v>3130</v>
      </c>
      <c r="B160" s="1224" t="s">
        <v>4726</v>
      </c>
      <c r="C160" s="1225">
        <v>317043666</v>
      </c>
      <c r="D160" s="1225">
        <v>316048947</v>
      </c>
      <c r="E160" s="1225">
        <v>317043666</v>
      </c>
      <c r="F160" s="1225">
        <v>316048947</v>
      </c>
      <c r="G160" s="1225">
        <v>1007065772</v>
      </c>
      <c r="H160" s="1225">
        <v>1007065772</v>
      </c>
      <c r="I160" s="1225">
        <v>317043666</v>
      </c>
      <c r="J160" s="1225">
        <v>316048947</v>
      </c>
      <c r="K160" s="1225">
        <v>317043666</v>
      </c>
      <c r="L160" s="1225">
        <v>316048947</v>
      </c>
    </row>
    <row r="161" spans="1:12">
      <c r="A161" s="187" t="s">
        <v>3132</v>
      </c>
      <c r="B161" s="1224" t="s">
        <v>2858</v>
      </c>
      <c r="C161" s="1225">
        <v>100349774</v>
      </c>
      <c r="D161" s="1225">
        <v>96668644</v>
      </c>
      <c r="E161" s="1225">
        <v>100349774</v>
      </c>
      <c r="F161" s="1225">
        <v>96668644</v>
      </c>
      <c r="G161" s="1225">
        <v>118749854</v>
      </c>
      <c r="H161" s="1225">
        <v>118749854</v>
      </c>
      <c r="I161" s="1225">
        <v>100349774</v>
      </c>
      <c r="J161" s="1225">
        <v>96668644</v>
      </c>
      <c r="K161" s="1225">
        <v>100349774</v>
      </c>
      <c r="L161" s="1225">
        <v>96668644</v>
      </c>
    </row>
    <row r="162" spans="1:12">
      <c r="A162" s="187" t="s">
        <v>1322</v>
      </c>
      <c r="B162" s="1224" t="s">
        <v>2859</v>
      </c>
      <c r="C162" s="1225">
        <v>155672303</v>
      </c>
      <c r="D162" s="1225">
        <v>151785583</v>
      </c>
      <c r="E162" s="1225">
        <v>152953268</v>
      </c>
      <c r="F162" s="1225">
        <v>149066548</v>
      </c>
      <c r="G162" s="1225">
        <v>254843431</v>
      </c>
      <c r="H162" s="1225">
        <v>252262182</v>
      </c>
      <c r="I162" s="1225">
        <v>239366703</v>
      </c>
      <c r="J162" s="1225">
        <v>235479983</v>
      </c>
      <c r="K162" s="1225">
        <v>236647668</v>
      </c>
      <c r="L162" s="1225">
        <v>232760948</v>
      </c>
    </row>
    <row r="163" spans="1:12">
      <c r="A163" s="187" t="s">
        <v>742</v>
      </c>
      <c r="B163" s="1224" t="s">
        <v>6118</v>
      </c>
      <c r="C163" s="1225">
        <v>188471461</v>
      </c>
      <c r="D163" s="1225">
        <v>178285090</v>
      </c>
      <c r="E163" s="1225">
        <v>188471461</v>
      </c>
      <c r="F163" s="1225">
        <v>178285090</v>
      </c>
      <c r="G163" s="1225">
        <v>173720414</v>
      </c>
      <c r="H163" s="1225">
        <v>173720414</v>
      </c>
      <c r="I163" s="1225">
        <v>188471461</v>
      </c>
      <c r="J163" s="1225">
        <v>178285090</v>
      </c>
      <c r="K163" s="1225">
        <v>188471461</v>
      </c>
      <c r="L163" s="1225">
        <v>178285090</v>
      </c>
    </row>
    <row r="164" spans="1:12">
      <c r="A164" s="187" t="s">
        <v>440</v>
      </c>
      <c r="B164" s="1224" t="s">
        <v>1457</v>
      </c>
      <c r="C164" s="1225">
        <v>92986348</v>
      </c>
      <c r="D164" s="1225">
        <v>90068618</v>
      </c>
      <c r="E164" s="1225">
        <v>92986348</v>
      </c>
      <c r="F164" s="1225">
        <v>90068618</v>
      </c>
      <c r="G164" s="1225">
        <v>91052878</v>
      </c>
      <c r="H164" s="1225">
        <v>91052878</v>
      </c>
      <c r="I164" s="1225">
        <v>92986348</v>
      </c>
      <c r="J164" s="1225">
        <v>90068618</v>
      </c>
      <c r="K164" s="1225">
        <v>92986348</v>
      </c>
      <c r="L164" s="1225">
        <v>90068618</v>
      </c>
    </row>
    <row r="165" spans="1:12">
      <c r="A165" s="187" t="s">
        <v>1324</v>
      </c>
      <c r="B165" s="1224" t="s">
        <v>4732</v>
      </c>
      <c r="C165" s="1225">
        <v>116691541</v>
      </c>
      <c r="D165" s="1225">
        <v>114254081</v>
      </c>
      <c r="E165" s="1225">
        <v>116691541</v>
      </c>
      <c r="F165" s="1225">
        <v>114254081</v>
      </c>
      <c r="G165" s="1225">
        <v>131162698</v>
      </c>
      <c r="H165" s="1225">
        <v>131162698</v>
      </c>
      <c r="I165" s="1225">
        <v>116691541</v>
      </c>
      <c r="J165" s="1225">
        <v>114254081</v>
      </c>
      <c r="K165" s="1225">
        <v>116691541</v>
      </c>
      <c r="L165" s="1225">
        <v>114254081</v>
      </c>
    </row>
    <row r="166" spans="1:12">
      <c r="A166" s="187" t="s">
        <v>818</v>
      </c>
      <c r="B166" s="1224" t="s">
        <v>7677</v>
      </c>
      <c r="C166" s="1225">
        <v>11289512407</v>
      </c>
      <c r="D166" s="1225">
        <v>11078249443</v>
      </c>
      <c r="E166" s="1225">
        <v>11289512407</v>
      </c>
      <c r="F166" s="1225">
        <v>11078249443</v>
      </c>
      <c r="G166" s="1225">
        <v>9363467014</v>
      </c>
      <c r="H166" s="1225">
        <v>9363467014</v>
      </c>
      <c r="I166" s="1225">
        <v>11289512407</v>
      </c>
      <c r="J166" s="1225">
        <v>11078249443</v>
      </c>
      <c r="K166" s="1225">
        <v>11289512407</v>
      </c>
      <c r="L166" s="1225">
        <v>11078249443</v>
      </c>
    </row>
    <row r="167" spans="1:12">
      <c r="A167" s="187" t="s">
        <v>266</v>
      </c>
      <c r="B167" s="1224" t="s">
        <v>7683</v>
      </c>
      <c r="C167" s="1225">
        <v>878349567</v>
      </c>
      <c r="D167" s="1225">
        <v>848819352</v>
      </c>
      <c r="E167" s="1225">
        <v>878349567</v>
      </c>
      <c r="F167" s="1225">
        <v>848819352</v>
      </c>
      <c r="G167" s="1225">
        <v>654962393</v>
      </c>
      <c r="H167" s="1225">
        <v>654962393</v>
      </c>
      <c r="I167" s="1225">
        <v>878349567</v>
      </c>
      <c r="J167" s="1225">
        <v>848819352</v>
      </c>
      <c r="K167" s="1225">
        <v>878349567</v>
      </c>
      <c r="L167" s="1225">
        <v>848819352</v>
      </c>
    </row>
    <row r="168" spans="1:12">
      <c r="A168" s="187" t="s">
        <v>441</v>
      </c>
      <c r="B168" s="1224" t="s">
        <v>6104</v>
      </c>
      <c r="C168" s="1225">
        <v>1008321180</v>
      </c>
      <c r="D168" s="1225">
        <v>985383170</v>
      </c>
      <c r="E168" s="1225">
        <v>1008321180</v>
      </c>
      <c r="F168" s="1225">
        <v>985383170</v>
      </c>
      <c r="G168" s="1225">
        <v>771838792</v>
      </c>
      <c r="H168" s="1225">
        <v>771838792</v>
      </c>
      <c r="I168" s="1225">
        <v>1008321180</v>
      </c>
      <c r="J168" s="1225">
        <v>985383170</v>
      </c>
      <c r="K168" s="1225">
        <v>1008321180</v>
      </c>
      <c r="L168" s="1225">
        <v>985383170</v>
      </c>
    </row>
    <row r="169" spans="1:12">
      <c r="A169" s="187" t="s">
        <v>1526</v>
      </c>
      <c r="B169" s="1224" t="s">
        <v>110</v>
      </c>
      <c r="C169" s="1225">
        <v>462618472</v>
      </c>
      <c r="D169" s="1225">
        <v>445899836</v>
      </c>
      <c r="E169" s="1225">
        <v>462618472</v>
      </c>
      <c r="F169" s="1225">
        <v>445899836</v>
      </c>
      <c r="G169" s="1225">
        <v>369447544</v>
      </c>
      <c r="H169" s="1225">
        <v>369447544</v>
      </c>
      <c r="I169" s="1225">
        <v>462618472</v>
      </c>
      <c r="J169" s="1225">
        <v>445899836</v>
      </c>
      <c r="K169" s="1225">
        <v>462618472</v>
      </c>
      <c r="L169" s="1225">
        <v>445899836</v>
      </c>
    </row>
    <row r="170" spans="1:12">
      <c r="A170" s="187" t="s">
        <v>1312</v>
      </c>
      <c r="B170" s="1224" t="s">
        <v>117</v>
      </c>
      <c r="C170" s="1225">
        <v>29318882245</v>
      </c>
      <c r="D170" s="1225">
        <v>28872385212</v>
      </c>
      <c r="E170" s="1225">
        <v>29318882245</v>
      </c>
      <c r="F170" s="1225">
        <v>28872385212</v>
      </c>
      <c r="G170" s="1225">
        <v>22270240661</v>
      </c>
      <c r="H170" s="1225">
        <v>22270240661</v>
      </c>
      <c r="I170" s="1225">
        <v>29318882245</v>
      </c>
      <c r="J170" s="1225">
        <v>28872385212</v>
      </c>
      <c r="K170" s="1225">
        <v>29318882245</v>
      </c>
      <c r="L170" s="1225">
        <v>28872385212</v>
      </c>
    </row>
    <row r="171" spans="1:12">
      <c r="A171" s="187" t="s">
        <v>6168</v>
      </c>
      <c r="B171" s="1224" t="s">
        <v>6076</v>
      </c>
      <c r="C171" s="1225">
        <v>12707816343</v>
      </c>
      <c r="D171" s="1225">
        <v>12459730276</v>
      </c>
      <c r="E171" s="1225">
        <v>12707816343</v>
      </c>
      <c r="F171" s="1225">
        <v>12459730276</v>
      </c>
      <c r="G171" s="1225">
        <v>10669444996</v>
      </c>
      <c r="H171" s="1225">
        <v>10669444996</v>
      </c>
      <c r="I171" s="1225">
        <v>12707816343</v>
      </c>
      <c r="J171" s="1225">
        <v>12459730276</v>
      </c>
      <c r="K171" s="1225">
        <v>12707816343</v>
      </c>
      <c r="L171" s="1225">
        <v>12459730276</v>
      </c>
    </row>
    <row r="172" spans="1:12">
      <c r="A172" s="187" t="s">
        <v>5913</v>
      </c>
      <c r="B172" s="1224" t="s">
        <v>2862</v>
      </c>
      <c r="C172" s="1225">
        <v>818071016</v>
      </c>
      <c r="D172" s="1225">
        <v>795615242</v>
      </c>
      <c r="E172" s="1225">
        <v>818071016</v>
      </c>
      <c r="F172" s="1225">
        <v>795615242</v>
      </c>
      <c r="G172" s="1225">
        <v>574853977</v>
      </c>
      <c r="H172" s="1225">
        <v>574853977</v>
      </c>
      <c r="I172" s="1225">
        <v>818071016</v>
      </c>
      <c r="J172" s="1225">
        <v>795615242</v>
      </c>
      <c r="K172" s="1225">
        <v>818071016</v>
      </c>
      <c r="L172" s="1225">
        <v>795615242</v>
      </c>
    </row>
    <row r="173" spans="1:12">
      <c r="A173" s="187" t="s">
        <v>3546</v>
      </c>
      <c r="B173" s="1224" t="s">
        <v>2863</v>
      </c>
      <c r="C173" s="1225">
        <v>45164702386</v>
      </c>
      <c r="D173" s="1225">
        <v>44476409130</v>
      </c>
      <c r="E173" s="1225">
        <v>45164702386</v>
      </c>
      <c r="F173" s="1225">
        <v>44476409130</v>
      </c>
      <c r="G173" s="1225">
        <v>38684896710</v>
      </c>
      <c r="H173" s="1225">
        <v>38684896710</v>
      </c>
      <c r="I173" s="1225">
        <v>45164702386</v>
      </c>
      <c r="J173" s="1225">
        <v>44476409130</v>
      </c>
      <c r="K173" s="1225">
        <v>45164702386</v>
      </c>
      <c r="L173" s="1225">
        <v>44476409130</v>
      </c>
    </row>
    <row r="174" spans="1:12">
      <c r="A174" s="187" t="s">
        <v>5132</v>
      </c>
      <c r="B174" s="1224" t="s">
        <v>352</v>
      </c>
      <c r="C174" s="1225">
        <v>774095541</v>
      </c>
      <c r="D174" s="1225">
        <v>743202925</v>
      </c>
      <c r="E174" s="1225">
        <v>774095541</v>
      </c>
      <c r="F174" s="1225">
        <v>743202925</v>
      </c>
      <c r="G174" s="1225">
        <v>574119261</v>
      </c>
      <c r="H174" s="1225">
        <v>574119261</v>
      </c>
      <c r="I174" s="1225">
        <v>774095541</v>
      </c>
      <c r="J174" s="1225">
        <v>743202925</v>
      </c>
      <c r="K174" s="1225">
        <v>774095541</v>
      </c>
      <c r="L174" s="1225">
        <v>743202925</v>
      </c>
    </row>
    <row r="175" spans="1:12">
      <c r="A175" s="187" t="s">
        <v>649</v>
      </c>
      <c r="B175" s="1224" t="s">
        <v>354</v>
      </c>
      <c r="C175" s="1225">
        <v>5022524204</v>
      </c>
      <c r="D175" s="1225">
        <v>4943279405</v>
      </c>
      <c r="E175" s="1225">
        <v>5022524204</v>
      </c>
      <c r="F175" s="1225">
        <v>4943279405</v>
      </c>
      <c r="G175" s="1225">
        <v>3075621861</v>
      </c>
      <c r="H175" s="1225">
        <v>3075621861</v>
      </c>
      <c r="I175" s="1225">
        <v>5022524204</v>
      </c>
      <c r="J175" s="1225">
        <v>4943279405</v>
      </c>
      <c r="K175" s="1225">
        <v>5022524204</v>
      </c>
      <c r="L175" s="1225">
        <v>4943279405</v>
      </c>
    </row>
    <row r="176" spans="1:12">
      <c r="A176" s="187" t="s">
        <v>861</v>
      </c>
      <c r="B176" s="1224" t="s">
        <v>2008</v>
      </c>
      <c r="C176" s="1225">
        <v>4992309823</v>
      </c>
      <c r="D176" s="1225">
        <v>4848706534</v>
      </c>
      <c r="E176" s="1225">
        <v>4992309823</v>
      </c>
      <c r="F176" s="1225">
        <v>4848706534</v>
      </c>
      <c r="G176" s="1225">
        <v>3879085526</v>
      </c>
      <c r="H176" s="1225">
        <v>3879085526</v>
      </c>
      <c r="I176" s="1225">
        <v>4992309823</v>
      </c>
      <c r="J176" s="1225">
        <v>4848706534</v>
      </c>
      <c r="K176" s="1225">
        <v>4992309823</v>
      </c>
      <c r="L176" s="1225">
        <v>4848706534</v>
      </c>
    </row>
    <row r="177" spans="1:12">
      <c r="A177" s="187" t="s">
        <v>956</v>
      </c>
      <c r="B177" s="1224" t="s">
        <v>7661</v>
      </c>
      <c r="C177" s="1225">
        <v>169987964</v>
      </c>
      <c r="D177" s="1225">
        <v>162769520</v>
      </c>
      <c r="E177" s="1225">
        <v>169987964</v>
      </c>
      <c r="F177" s="1225">
        <v>162769520</v>
      </c>
      <c r="G177" s="1225">
        <v>131617230</v>
      </c>
      <c r="H177" s="1225">
        <v>131617230</v>
      </c>
      <c r="I177" s="1225">
        <v>169987964</v>
      </c>
      <c r="J177" s="1225">
        <v>162769520</v>
      </c>
      <c r="K177" s="1225">
        <v>169987964</v>
      </c>
      <c r="L177" s="1225">
        <v>162769520</v>
      </c>
    </row>
    <row r="178" spans="1:12">
      <c r="A178" s="187" t="s">
        <v>236</v>
      </c>
      <c r="B178" s="1224" t="s">
        <v>2643</v>
      </c>
      <c r="C178" s="1225">
        <v>686772061</v>
      </c>
      <c r="D178" s="1225">
        <v>661272280</v>
      </c>
      <c r="E178" s="1225">
        <v>686772061</v>
      </c>
      <c r="F178" s="1225">
        <v>661272280</v>
      </c>
      <c r="G178" s="1225">
        <v>531271391</v>
      </c>
      <c r="H178" s="1225">
        <v>531271391</v>
      </c>
      <c r="I178" s="1225">
        <v>686772061</v>
      </c>
      <c r="J178" s="1225">
        <v>661272280</v>
      </c>
      <c r="K178" s="1225">
        <v>686772061</v>
      </c>
      <c r="L178" s="1225">
        <v>661272280</v>
      </c>
    </row>
    <row r="179" spans="1:12">
      <c r="A179" s="187" t="s">
        <v>3548</v>
      </c>
      <c r="B179" s="1224" t="s">
        <v>2864</v>
      </c>
      <c r="C179" s="1225">
        <v>2199650950</v>
      </c>
      <c r="D179" s="1225">
        <v>2156665212</v>
      </c>
      <c r="E179" s="1225">
        <v>2199650950</v>
      </c>
      <c r="F179" s="1225">
        <v>2156665212</v>
      </c>
      <c r="G179" s="1225">
        <v>1889972831</v>
      </c>
      <c r="H179" s="1225">
        <v>1889972831</v>
      </c>
      <c r="I179" s="1225">
        <v>2199650950</v>
      </c>
      <c r="J179" s="1225">
        <v>2156665212</v>
      </c>
      <c r="K179" s="1225">
        <v>2199650950</v>
      </c>
      <c r="L179" s="1225">
        <v>2156665212</v>
      </c>
    </row>
    <row r="180" spans="1:12">
      <c r="A180" s="187" t="s">
        <v>3550</v>
      </c>
      <c r="B180" s="1224" t="s">
        <v>2865</v>
      </c>
      <c r="C180" s="1225">
        <v>177492652</v>
      </c>
      <c r="D180" s="1225">
        <v>172599564</v>
      </c>
      <c r="E180" s="1225">
        <v>177492652</v>
      </c>
      <c r="F180" s="1225">
        <v>172599564</v>
      </c>
      <c r="G180" s="1225">
        <v>159378569</v>
      </c>
      <c r="H180" s="1225">
        <v>159378569</v>
      </c>
      <c r="I180" s="1225">
        <v>177492652</v>
      </c>
      <c r="J180" s="1225">
        <v>172599564</v>
      </c>
      <c r="K180" s="1225">
        <v>177492652</v>
      </c>
      <c r="L180" s="1225">
        <v>172599564</v>
      </c>
    </row>
    <row r="181" spans="1:12">
      <c r="A181" s="187" t="s">
        <v>234</v>
      </c>
      <c r="B181" s="1224" t="s">
        <v>2641</v>
      </c>
      <c r="C181" s="1225">
        <v>1007815834</v>
      </c>
      <c r="D181" s="1225">
        <v>982210826</v>
      </c>
      <c r="E181" s="1225">
        <v>1007815834</v>
      </c>
      <c r="F181" s="1225">
        <v>982210826</v>
      </c>
      <c r="G181" s="1225">
        <v>938448490</v>
      </c>
      <c r="H181" s="1225">
        <v>931929265</v>
      </c>
      <c r="I181" s="1225">
        <v>1007815834</v>
      </c>
      <c r="J181" s="1225">
        <v>982210826</v>
      </c>
      <c r="K181" s="1225">
        <v>1007815834</v>
      </c>
      <c r="L181" s="1225">
        <v>982210826</v>
      </c>
    </row>
    <row r="182" spans="1:12">
      <c r="A182" s="187" t="s">
        <v>208</v>
      </c>
      <c r="B182" s="1224" t="s">
        <v>4752</v>
      </c>
      <c r="C182" s="1225">
        <v>756925934</v>
      </c>
      <c r="D182" s="1225">
        <v>744079150</v>
      </c>
      <c r="E182" s="1225">
        <v>756925934</v>
      </c>
      <c r="F182" s="1225">
        <v>744079150</v>
      </c>
      <c r="G182" s="1225">
        <v>683354002</v>
      </c>
      <c r="H182" s="1225">
        <v>683354002</v>
      </c>
      <c r="I182" s="1225">
        <v>756925934</v>
      </c>
      <c r="J182" s="1225">
        <v>744079150</v>
      </c>
      <c r="K182" s="1225">
        <v>756925934</v>
      </c>
      <c r="L182" s="1225">
        <v>744079150</v>
      </c>
    </row>
    <row r="183" spans="1:12">
      <c r="A183" s="187" t="s">
        <v>210</v>
      </c>
      <c r="B183" s="1224" t="s">
        <v>2868</v>
      </c>
      <c r="C183" s="1225">
        <v>370416863</v>
      </c>
      <c r="D183" s="1225">
        <v>358639672</v>
      </c>
      <c r="E183" s="1225">
        <v>370416863</v>
      </c>
      <c r="F183" s="1225">
        <v>358639672</v>
      </c>
      <c r="G183" s="1225">
        <v>344812491</v>
      </c>
      <c r="H183" s="1225">
        <v>344812491</v>
      </c>
      <c r="I183" s="1225">
        <v>370416863</v>
      </c>
      <c r="J183" s="1225">
        <v>358639672</v>
      </c>
      <c r="K183" s="1225">
        <v>370416863</v>
      </c>
      <c r="L183" s="1225">
        <v>358639672</v>
      </c>
    </row>
    <row r="184" spans="1:12">
      <c r="A184" s="187" t="s">
        <v>212</v>
      </c>
      <c r="B184" s="1224" t="s">
        <v>2869</v>
      </c>
      <c r="C184" s="1225">
        <v>4369888872</v>
      </c>
      <c r="D184" s="1225">
        <v>4254111366</v>
      </c>
      <c r="E184" s="1225">
        <v>4369888872</v>
      </c>
      <c r="F184" s="1225">
        <v>4254111366</v>
      </c>
      <c r="G184" s="1225">
        <v>3664479741</v>
      </c>
      <c r="H184" s="1225">
        <v>3664479741</v>
      </c>
      <c r="I184" s="1225">
        <v>4369888872</v>
      </c>
      <c r="J184" s="1225">
        <v>4254111366</v>
      </c>
      <c r="K184" s="1225">
        <v>4369888872</v>
      </c>
      <c r="L184" s="1225">
        <v>4254111366</v>
      </c>
    </row>
    <row r="185" spans="1:12">
      <c r="A185" s="187" t="s">
        <v>214</v>
      </c>
      <c r="B185" s="1224" t="s">
        <v>2870</v>
      </c>
      <c r="C185" s="1225">
        <v>14904360033</v>
      </c>
      <c r="D185" s="1225">
        <v>14592522665</v>
      </c>
      <c r="E185" s="1225">
        <v>14014737179</v>
      </c>
      <c r="F185" s="1225">
        <v>13702899811</v>
      </c>
      <c r="G185" s="1225">
        <v>12853504993</v>
      </c>
      <c r="H185" s="1225">
        <v>12080446271</v>
      </c>
      <c r="I185" s="1225">
        <v>14983469333</v>
      </c>
      <c r="J185" s="1225">
        <v>14671631965</v>
      </c>
      <c r="K185" s="1225">
        <v>14093846479</v>
      </c>
      <c r="L185" s="1225">
        <v>13782009111</v>
      </c>
    </row>
    <row r="186" spans="1:12">
      <c r="A186" s="187" t="s">
        <v>2714</v>
      </c>
      <c r="B186" s="1224" t="s">
        <v>2871</v>
      </c>
      <c r="C186" s="1225">
        <v>315832413</v>
      </c>
      <c r="D186" s="1225">
        <v>301058141</v>
      </c>
      <c r="E186" s="1225">
        <v>315832413</v>
      </c>
      <c r="F186" s="1225">
        <v>301058141</v>
      </c>
      <c r="G186" s="1225">
        <v>262438615</v>
      </c>
      <c r="H186" s="1225">
        <v>262438615</v>
      </c>
      <c r="I186" s="1225">
        <v>464774693</v>
      </c>
      <c r="J186" s="1225">
        <v>450000421</v>
      </c>
      <c r="K186" s="1225">
        <v>464774693</v>
      </c>
      <c r="L186" s="1225">
        <v>450000421</v>
      </c>
    </row>
    <row r="187" spans="1:12">
      <c r="A187" s="187" t="s">
        <v>250</v>
      </c>
      <c r="B187" s="1224" t="s">
        <v>995</v>
      </c>
      <c r="C187" s="1225">
        <v>202598670</v>
      </c>
      <c r="D187" s="1225">
        <v>193321767</v>
      </c>
      <c r="E187" s="1225">
        <v>202598670</v>
      </c>
      <c r="F187" s="1225">
        <v>193321767</v>
      </c>
      <c r="G187" s="1225">
        <v>177203875</v>
      </c>
      <c r="H187" s="1225">
        <v>177203875</v>
      </c>
      <c r="I187" s="1225">
        <v>202598670</v>
      </c>
      <c r="J187" s="1225">
        <v>193321767</v>
      </c>
      <c r="K187" s="1225">
        <v>202598670</v>
      </c>
      <c r="L187" s="1225">
        <v>193321767</v>
      </c>
    </row>
    <row r="188" spans="1:12">
      <c r="A188" s="187" t="s">
        <v>2162</v>
      </c>
      <c r="B188" s="1224" t="s">
        <v>3915</v>
      </c>
      <c r="C188" s="1225">
        <v>57391713</v>
      </c>
      <c r="D188" s="1225">
        <v>55145012</v>
      </c>
      <c r="E188" s="1225">
        <v>57391713</v>
      </c>
      <c r="F188" s="1225">
        <v>55145012</v>
      </c>
      <c r="G188" s="1225">
        <v>44593073</v>
      </c>
      <c r="H188" s="1225">
        <v>44593073</v>
      </c>
      <c r="I188" s="1225">
        <v>57391713</v>
      </c>
      <c r="J188" s="1225">
        <v>55145012</v>
      </c>
      <c r="K188" s="1225">
        <v>57391713</v>
      </c>
      <c r="L188" s="1225">
        <v>55145012</v>
      </c>
    </row>
    <row r="189" spans="1:12">
      <c r="A189" s="187" t="s">
        <v>2716</v>
      </c>
      <c r="B189" s="1224" t="s">
        <v>2872</v>
      </c>
      <c r="C189" s="1225">
        <v>27130491</v>
      </c>
      <c r="D189" s="1225">
        <v>25513893</v>
      </c>
      <c r="E189" s="1225">
        <v>27130491</v>
      </c>
      <c r="F189" s="1225">
        <v>25513893</v>
      </c>
      <c r="G189" s="1225">
        <v>23127701</v>
      </c>
      <c r="H189" s="1225">
        <v>23127701</v>
      </c>
      <c r="I189" s="1225">
        <v>27130491</v>
      </c>
      <c r="J189" s="1225">
        <v>25513893</v>
      </c>
      <c r="K189" s="1225">
        <v>27130491</v>
      </c>
      <c r="L189" s="1225">
        <v>25513893</v>
      </c>
    </row>
    <row r="190" spans="1:12">
      <c r="A190" s="187" t="s">
        <v>2718</v>
      </c>
      <c r="B190" s="1224" t="s">
        <v>4761</v>
      </c>
      <c r="C190" s="1225">
        <v>134702058</v>
      </c>
      <c r="D190" s="1225">
        <v>131405648</v>
      </c>
      <c r="E190" s="1225">
        <v>134702058</v>
      </c>
      <c r="F190" s="1225">
        <v>131405648</v>
      </c>
      <c r="G190" s="1225">
        <v>164812145</v>
      </c>
      <c r="H190" s="1225">
        <v>164812145</v>
      </c>
      <c r="I190" s="1225">
        <v>134702058</v>
      </c>
      <c r="J190" s="1225">
        <v>131405648</v>
      </c>
      <c r="K190" s="1225">
        <v>134702058</v>
      </c>
      <c r="L190" s="1225">
        <v>131405648</v>
      </c>
    </row>
    <row r="191" spans="1:12">
      <c r="A191" s="187" t="s">
        <v>2720</v>
      </c>
      <c r="B191" s="1224" t="s">
        <v>2874</v>
      </c>
      <c r="C191" s="1225">
        <v>86201501</v>
      </c>
      <c r="D191" s="1225">
        <v>85426981</v>
      </c>
      <c r="E191" s="1225">
        <v>86201501</v>
      </c>
      <c r="F191" s="1225">
        <v>85426981</v>
      </c>
      <c r="G191" s="1225">
        <v>71505684</v>
      </c>
      <c r="H191" s="1225">
        <v>71505684</v>
      </c>
      <c r="I191" s="1225">
        <v>86201501</v>
      </c>
      <c r="J191" s="1225">
        <v>85426981</v>
      </c>
      <c r="K191" s="1225">
        <v>86201501</v>
      </c>
      <c r="L191" s="1225">
        <v>85426981</v>
      </c>
    </row>
    <row r="192" spans="1:12">
      <c r="A192" s="187" t="s">
        <v>1314</v>
      </c>
      <c r="B192" s="1224" t="s">
        <v>119</v>
      </c>
      <c r="C192" s="1225">
        <v>1018636939</v>
      </c>
      <c r="D192" s="1225">
        <v>988019498</v>
      </c>
      <c r="E192" s="1225">
        <v>1018636939</v>
      </c>
      <c r="F192" s="1225">
        <v>988019498</v>
      </c>
      <c r="G192" s="1225">
        <v>1020638797</v>
      </c>
      <c r="H192" s="1225">
        <v>1020638797</v>
      </c>
      <c r="I192" s="1225">
        <v>1018636939</v>
      </c>
      <c r="J192" s="1225">
        <v>988019498</v>
      </c>
      <c r="K192" s="1225">
        <v>1018636939</v>
      </c>
      <c r="L192" s="1225">
        <v>988019498</v>
      </c>
    </row>
    <row r="193" spans="1:12">
      <c r="A193" s="187" t="s">
        <v>2722</v>
      </c>
      <c r="B193" s="1224" t="s">
        <v>2875</v>
      </c>
      <c r="C193" s="1225">
        <v>274191905</v>
      </c>
      <c r="D193" s="1225">
        <v>266566318</v>
      </c>
      <c r="E193" s="1225">
        <v>274191905</v>
      </c>
      <c r="F193" s="1225">
        <v>266566318</v>
      </c>
      <c r="G193" s="1225">
        <v>352345684</v>
      </c>
      <c r="H193" s="1225">
        <v>352345684</v>
      </c>
      <c r="I193" s="1225">
        <v>326179802</v>
      </c>
      <c r="J193" s="1225">
        <v>318554215</v>
      </c>
      <c r="K193" s="1225">
        <v>326179802</v>
      </c>
      <c r="L193" s="1225">
        <v>318554215</v>
      </c>
    </row>
    <row r="194" spans="1:12">
      <c r="A194" s="187" t="s">
        <v>442</v>
      </c>
      <c r="B194" s="1224" t="s">
        <v>5372</v>
      </c>
      <c r="C194" s="1225">
        <v>261618084</v>
      </c>
      <c r="D194" s="1225">
        <v>253956162</v>
      </c>
      <c r="E194" s="1225">
        <v>261618084</v>
      </c>
      <c r="F194" s="1225">
        <v>253956162</v>
      </c>
      <c r="G194" s="1225">
        <v>231140375</v>
      </c>
      <c r="H194" s="1225">
        <v>231140375</v>
      </c>
      <c r="I194" s="1225">
        <v>261618084</v>
      </c>
      <c r="J194" s="1225">
        <v>253956162</v>
      </c>
      <c r="K194" s="1225">
        <v>261618084</v>
      </c>
      <c r="L194" s="1225">
        <v>253956162</v>
      </c>
    </row>
    <row r="195" spans="1:12">
      <c r="A195" s="187" t="s">
        <v>2724</v>
      </c>
      <c r="B195" s="1224" t="s">
        <v>2876</v>
      </c>
      <c r="C195" s="1225">
        <v>611378944</v>
      </c>
      <c r="D195" s="1225">
        <v>591590434</v>
      </c>
      <c r="E195" s="1225">
        <v>611378944</v>
      </c>
      <c r="F195" s="1225">
        <v>591590434</v>
      </c>
      <c r="G195" s="1225">
        <v>620822092</v>
      </c>
      <c r="H195" s="1225">
        <v>620822092</v>
      </c>
      <c r="I195" s="1225">
        <v>611378944</v>
      </c>
      <c r="J195" s="1225">
        <v>591590434</v>
      </c>
      <c r="K195" s="1225">
        <v>611378944</v>
      </c>
      <c r="L195" s="1225">
        <v>591590434</v>
      </c>
    </row>
    <row r="196" spans="1:12">
      <c r="A196" s="187" t="s">
        <v>5321</v>
      </c>
      <c r="B196" s="1224" t="s">
        <v>2877</v>
      </c>
      <c r="C196" s="1225">
        <v>140981944</v>
      </c>
      <c r="D196" s="1225">
        <v>136446545</v>
      </c>
      <c r="E196" s="1225">
        <v>140981944</v>
      </c>
      <c r="F196" s="1225">
        <v>136446545</v>
      </c>
      <c r="G196" s="1225">
        <v>215639179</v>
      </c>
      <c r="H196" s="1225">
        <v>215639179</v>
      </c>
      <c r="I196" s="1225">
        <v>140981944</v>
      </c>
      <c r="J196" s="1225">
        <v>136446545</v>
      </c>
      <c r="K196" s="1225">
        <v>140981944</v>
      </c>
      <c r="L196" s="1225">
        <v>136446545</v>
      </c>
    </row>
    <row r="197" spans="1:12">
      <c r="A197" s="187" t="s">
        <v>5323</v>
      </c>
      <c r="B197" s="1224" t="s">
        <v>2878</v>
      </c>
      <c r="C197" s="1225">
        <v>499195728</v>
      </c>
      <c r="D197" s="1225">
        <v>493827671</v>
      </c>
      <c r="E197" s="1225">
        <v>499195728</v>
      </c>
      <c r="F197" s="1225">
        <v>493827671</v>
      </c>
      <c r="G197" s="1225">
        <v>445049168</v>
      </c>
      <c r="H197" s="1225">
        <v>445049168</v>
      </c>
      <c r="I197" s="1225">
        <v>499195728</v>
      </c>
      <c r="J197" s="1225">
        <v>493827671</v>
      </c>
      <c r="K197" s="1225">
        <v>499195728</v>
      </c>
      <c r="L197" s="1225">
        <v>493827671</v>
      </c>
    </row>
    <row r="198" spans="1:12">
      <c r="A198" s="187" t="s">
        <v>5325</v>
      </c>
      <c r="B198" s="1224" t="s">
        <v>2879</v>
      </c>
      <c r="C198" s="1225">
        <v>11697706</v>
      </c>
      <c r="D198" s="1225">
        <v>11451832</v>
      </c>
      <c r="E198" s="1225">
        <v>11697706</v>
      </c>
      <c r="F198" s="1225">
        <v>11451832</v>
      </c>
      <c r="G198" s="1225">
        <v>29692645</v>
      </c>
      <c r="H198" s="1225">
        <v>29692645</v>
      </c>
      <c r="I198" s="1225">
        <v>11697706</v>
      </c>
      <c r="J198" s="1225">
        <v>11451832</v>
      </c>
      <c r="K198" s="1225">
        <v>11697706</v>
      </c>
      <c r="L198" s="1225">
        <v>11451832</v>
      </c>
    </row>
    <row r="199" spans="1:12">
      <c r="A199" s="187" t="s">
        <v>5327</v>
      </c>
      <c r="B199" s="1224" t="s">
        <v>2880</v>
      </c>
      <c r="C199" s="1225">
        <v>109886241</v>
      </c>
      <c r="D199" s="1225">
        <v>108674019</v>
      </c>
      <c r="E199" s="1225">
        <v>109886241</v>
      </c>
      <c r="F199" s="1225">
        <v>108674019</v>
      </c>
      <c r="G199" s="1225">
        <v>132170700</v>
      </c>
      <c r="H199" s="1225">
        <v>132170700</v>
      </c>
      <c r="I199" s="1225">
        <v>109886241</v>
      </c>
      <c r="J199" s="1225">
        <v>108674019</v>
      </c>
      <c r="K199" s="1225">
        <v>109886241</v>
      </c>
      <c r="L199" s="1225">
        <v>108674019</v>
      </c>
    </row>
    <row r="200" spans="1:12">
      <c r="A200" s="187" t="s">
        <v>5329</v>
      </c>
      <c r="B200" s="1224" t="s">
        <v>2881</v>
      </c>
      <c r="C200" s="1225">
        <v>97628273</v>
      </c>
      <c r="D200" s="1225">
        <v>93691643</v>
      </c>
      <c r="E200" s="1225">
        <v>97628273</v>
      </c>
      <c r="F200" s="1225">
        <v>93691643</v>
      </c>
      <c r="G200" s="1225">
        <v>86372179</v>
      </c>
      <c r="H200" s="1225">
        <v>86372179</v>
      </c>
      <c r="I200" s="1225">
        <v>97628273</v>
      </c>
      <c r="J200" s="1225">
        <v>93691643</v>
      </c>
      <c r="K200" s="1225">
        <v>97628273</v>
      </c>
      <c r="L200" s="1225">
        <v>93691643</v>
      </c>
    </row>
    <row r="201" spans="1:12">
      <c r="A201" s="187" t="s">
        <v>5331</v>
      </c>
      <c r="B201" s="1224" t="s">
        <v>2882</v>
      </c>
      <c r="C201" s="1225">
        <v>761737196</v>
      </c>
      <c r="D201" s="1225">
        <v>726728348</v>
      </c>
      <c r="E201" s="1225">
        <v>761737196</v>
      </c>
      <c r="F201" s="1225">
        <v>726728348</v>
      </c>
      <c r="G201" s="1225">
        <v>647199513</v>
      </c>
      <c r="H201" s="1225">
        <v>647199513</v>
      </c>
      <c r="I201" s="1225">
        <v>761737196</v>
      </c>
      <c r="J201" s="1225">
        <v>726728348</v>
      </c>
      <c r="K201" s="1225">
        <v>761737196</v>
      </c>
      <c r="L201" s="1225">
        <v>726728348</v>
      </c>
    </row>
    <row r="202" spans="1:12">
      <c r="A202" s="187" t="s">
        <v>585</v>
      </c>
      <c r="B202" s="1224" t="s">
        <v>3833</v>
      </c>
      <c r="C202" s="1225">
        <v>60756010</v>
      </c>
      <c r="D202" s="1225">
        <v>57997297</v>
      </c>
      <c r="E202" s="1225">
        <v>60756010</v>
      </c>
      <c r="F202" s="1225">
        <v>57997297</v>
      </c>
      <c r="G202" s="1225">
        <v>43603085</v>
      </c>
      <c r="H202" s="1225">
        <v>43603085</v>
      </c>
      <c r="I202" s="1225">
        <v>60756010</v>
      </c>
      <c r="J202" s="1225">
        <v>57997297</v>
      </c>
      <c r="K202" s="1225">
        <v>60756010</v>
      </c>
      <c r="L202" s="1225">
        <v>57997297</v>
      </c>
    </row>
    <row r="203" spans="1:12">
      <c r="A203" s="187" t="s">
        <v>5333</v>
      </c>
      <c r="B203" s="1224" t="s">
        <v>2883</v>
      </c>
      <c r="C203" s="1225">
        <v>83413847</v>
      </c>
      <c r="D203" s="1225">
        <v>80546380</v>
      </c>
      <c r="E203" s="1225">
        <v>83413847</v>
      </c>
      <c r="F203" s="1225">
        <v>80546380</v>
      </c>
      <c r="G203" s="1225">
        <v>63285601</v>
      </c>
      <c r="H203" s="1225">
        <v>63285601</v>
      </c>
      <c r="I203" s="1225">
        <v>83413847</v>
      </c>
      <c r="J203" s="1225">
        <v>80546380</v>
      </c>
      <c r="K203" s="1225">
        <v>83413847</v>
      </c>
      <c r="L203" s="1225">
        <v>80546380</v>
      </c>
    </row>
    <row r="204" spans="1:12">
      <c r="A204" s="187" t="s">
        <v>239</v>
      </c>
      <c r="B204" s="1224" t="s">
        <v>2647</v>
      </c>
      <c r="C204" s="1225">
        <v>1395226015</v>
      </c>
      <c r="D204" s="1225">
        <v>1326649618</v>
      </c>
      <c r="E204" s="1225">
        <v>1395226015</v>
      </c>
      <c r="F204" s="1225">
        <v>1326649618</v>
      </c>
      <c r="G204" s="1225">
        <v>1326796662</v>
      </c>
      <c r="H204" s="1225">
        <v>1326796662</v>
      </c>
      <c r="I204" s="1225">
        <v>1395226015</v>
      </c>
      <c r="J204" s="1225">
        <v>1326649618</v>
      </c>
      <c r="K204" s="1225">
        <v>1395226015</v>
      </c>
      <c r="L204" s="1225">
        <v>1326649618</v>
      </c>
    </row>
    <row r="205" spans="1:12">
      <c r="A205" s="187" t="s">
        <v>5335</v>
      </c>
      <c r="B205" s="1224" t="s">
        <v>2884</v>
      </c>
      <c r="C205" s="1225">
        <v>137319338</v>
      </c>
      <c r="D205" s="1225">
        <v>134913508</v>
      </c>
      <c r="E205" s="1225">
        <v>136497493</v>
      </c>
      <c r="F205" s="1225">
        <v>134091663</v>
      </c>
      <c r="G205" s="1225">
        <v>156532853</v>
      </c>
      <c r="H205" s="1225">
        <v>155829699</v>
      </c>
      <c r="I205" s="1225">
        <v>137319338</v>
      </c>
      <c r="J205" s="1225">
        <v>134913508</v>
      </c>
      <c r="K205" s="1225">
        <v>136497493</v>
      </c>
      <c r="L205" s="1225">
        <v>134091663</v>
      </c>
    </row>
    <row r="206" spans="1:12">
      <c r="A206" s="187" t="s">
        <v>2450</v>
      </c>
      <c r="B206" s="1224" t="s">
        <v>2885</v>
      </c>
      <c r="C206" s="1225">
        <v>858300334</v>
      </c>
      <c r="D206" s="1225">
        <v>850950914</v>
      </c>
      <c r="E206" s="1225">
        <v>858300334</v>
      </c>
      <c r="F206" s="1225">
        <v>850950914</v>
      </c>
      <c r="G206" s="1225">
        <v>2323016890</v>
      </c>
      <c r="H206" s="1225">
        <v>2323016890</v>
      </c>
      <c r="I206" s="1225">
        <v>858300334</v>
      </c>
      <c r="J206" s="1225">
        <v>850950914</v>
      </c>
      <c r="K206" s="1225">
        <v>858300334</v>
      </c>
      <c r="L206" s="1225">
        <v>850950914</v>
      </c>
    </row>
    <row r="207" spans="1:12">
      <c r="A207" s="187" t="s">
        <v>2452</v>
      </c>
      <c r="B207" s="1224" t="s">
        <v>8184</v>
      </c>
      <c r="C207" s="1225">
        <v>1218467360</v>
      </c>
      <c r="D207" s="1225">
        <v>1211933920</v>
      </c>
      <c r="E207" s="1225">
        <v>1215398720</v>
      </c>
      <c r="F207" s="1225">
        <v>1208865280</v>
      </c>
      <c r="G207" s="1225">
        <v>2374965507</v>
      </c>
      <c r="H207" s="1225">
        <v>2371679917</v>
      </c>
      <c r="I207" s="1225">
        <v>1218467360</v>
      </c>
      <c r="J207" s="1225">
        <v>1211933920</v>
      </c>
      <c r="K207" s="1225">
        <v>1215398720</v>
      </c>
      <c r="L207" s="1225">
        <v>1208865280</v>
      </c>
    </row>
    <row r="208" spans="1:12">
      <c r="A208" s="187" t="s">
        <v>2454</v>
      </c>
      <c r="B208" s="1224" t="s">
        <v>4781</v>
      </c>
      <c r="C208" s="1225">
        <v>97909046</v>
      </c>
      <c r="D208" s="1225">
        <v>94185043</v>
      </c>
      <c r="E208" s="1225">
        <v>97909046</v>
      </c>
      <c r="F208" s="1225">
        <v>94185043</v>
      </c>
      <c r="G208" s="1225">
        <v>89673466</v>
      </c>
      <c r="H208" s="1225">
        <v>89673466</v>
      </c>
      <c r="I208" s="1225">
        <v>112648698</v>
      </c>
      <c r="J208" s="1225">
        <v>108924695</v>
      </c>
      <c r="K208" s="1225">
        <v>112648698</v>
      </c>
      <c r="L208" s="1225">
        <v>108924695</v>
      </c>
    </row>
    <row r="209" spans="1:12">
      <c r="A209" s="187" t="s">
        <v>2456</v>
      </c>
      <c r="B209" s="1224" t="s">
        <v>2888</v>
      </c>
      <c r="C209" s="1225">
        <v>138545121</v>
      </c>
      <c r="D209" s="1225">
        <v>136346183</v>
      </c>
      <c r="E209" s="1225">
        <v>138545121</v>
      </c>
      <c r="F209" s="1225">
        <v>136346183</v>
      </c>
      <c r="G209" s="1225">
        <v>237493850</v>
      </c>
      <c r="H209" s="1225">
        <v>237493850</v>
      </c>
      <c r="I209" s="1225">
        <v>160694695</v>
      </c>
      <c r="J209" s="1225">
        <v>158495757</v>
      </c>
      <c r="K209" s="1225">
        <v>160694695</v>
      </c>
      <c r="L209" s="1225">
        <v>158495757</v>
      </c>
    </row>
    <row r="210" spans="1:12">
      <c r="A210" s="187" t="s">
        <v>2458</v>
      </c>
      <c r="B210" s="1224" t="s">
        <v>2889</v>
      </c>
      <c r="C210" s="1225">
        <v>131520932</v>
      </c>
      <c r="D210" s="1225">
        <v>128014217</v>
      </c>
      <c r="E210" s="1225">
        <v>131520932</v>
      </c>
      <c r="F210" s="1225">
        <v>128014217</v>
      </c>
      <c r="G210" s="1225">
        <v>162357712</v>
      </c>
      <c r="H210" s="1225">
        <v>162357712</v>
      </c>
      <c r="I210" s="1225">
        <v>131520932</v>
      </c>
      <c r="J210" s="1225">
        <v>128014217</v>
      </c>
      <c r="K210" s="1225">
        <v>131520932</v>
      </c>
      <c r="L210" s="1225">
        <v>128014217</v>
      </c>
    </row>
    <row r="211" spans="1:12">
      <c r="A211" s="187" t="s">
        <v>2460</v>
      </c>
      <c r="B211" s="1224" t="s">
        <v>2890</v>
      </c>
      <c r="C211" s="1225">
        <v>868245945</v>
      </c>
      <c r="D211" s="1225">
        <v>864908469</v>
      </c>
      <c r="E211" s="1225">
        <v>868245945</v>
      </c>
      <c r="F211" s="1225">
        <v>864908469</v>
      </c>
      <c r="G211" s="1225">
        <v>628847536</v>
      </c>
      <c r="H211" s="1225">
        <v>628847536</v>
      </c>
      <c r="I211" s="1225">
        <v>868245945</v>
      </c>
      <c r="J211" s="1225">
        <v>864908469</v>
      </c>
      <c r="K211" s="1225">
        <v>868245945</v>
      </c>
      <c r="L211" s="1225">
        <v>864908469</v>
      </c>
    </row>
    <row r="212" spans="1:12">
      <c r="A212" s="187" t="s">
        <v>2462</v>
      </c>
      <c r="B212" s="1224" t="s">
        <v>2891</v>
      </c>
      <c r="C212" s="1225">
        <v>1055849672</v>
      </c>
      <c r="D212" s="1225">
        <v>1041367888</v>
      </c>
      <c r="E212" s="1225">
        <v>1055849672</v>
      </c>
      <c r="F212" s="1225">
        <v>1041367888</v>
      </c>
      <c r="G212" s="1225">
        <v>744491045</v>
      </c>
      <c r="H212" s="1225">
        <v>744491045</v>
      </c>
      <c r="I212" s="1225">
        <v>1055849672</v>
      </c>
      <c r="J212" s="1225">
        <v>1041367888</v>
      </c>
      <c r="K212" s="1225">
        <v>1055849672</v>
      </c>
      <c r="L212" s="1225">
        <v>1041367888</v>
      </c>
    </row>
    <row r="213" spans="1:12">
      <c r="A213" s="187" t="s">
        <v>2464</v>
      </c>
      <c r="B213" s="1224" t="s">
        <v>2892</v>
      </c>
      <c r="C213" s="1225">
        <v>176054034</v>
      </c>
      <c r="D213" s="1225">
        <v>175110022</v>
      </c>
      <c r="E213" s="1225">
        <v>176054034</v>
      </c>
      <c r="F213" s="1225">
        <v>175110022</v>
      </c>
      <c r="G213" s="1225">
        <v>132190811</v>
      </c>
      <c r="H213" s="1225">
        <v>132190811</v>
      </c>
      <c r="I213" s="1225">
        <v>176054034</v>
      </c>
      <c r="J213" s="1225">
        <v>175110022</v>
      </c>
      <c r="K213" s="1225">
        <v>176054034</v>
      </c>
      <c r="L213" s="1225">
        <v>175110022</v>
      </c>
    </row>
    <row r="214" spans="1:12">
      <c r="A214" s="187" t="s">
        <v>2104</v>
      </c>
      <c r="B214" s="1224" t="s">
        <v>2893</v>
      </c>
      <c r="C214" s="1225">
        <v>16591930453</v>
      </c>
      <c r="D214" s="1225">
        <v>16340114953</v>
      </c>
      <c r="E214" s="1225">
        <v>16591930453</v>
      </c>
      <c r="F214" s="1225">
        <v>16340114953</v>
      </c>
      <c r="G214" s="1225">
        <v>15057052179</v>
      </c>
      <c r="H214" s="1225">
        <v>15057052179</v>
      </c>
      <c r="I214" s="1225">
        <v>16591930453</v>
      </c>
      <c r="J214" s="1225">
        <v>16340114953</v>
      </c>
      <c r="K214" s="1225">
        <v>16591930453</v>
      </c>
      <c r="L214" s="1225">
        <v>16340114953</v>
      </c>
    </row>
    <row r="215" spans="1:12">
      <c r="A215" s="187" t="s">
        <v>2106</v>
      </c>
      <c r="B215" s="1224" t="s">
        <v>2894</v>
      </c>
      <c r="C215" s="1225">
        <v>3007551300</v>
      </c>
      <c r="D215" s="1225">
        <v>2907647170</v>
      </c>
      <c r="E215" s="1225">
        <v>3007551300</v>
      </c>
      <c r="F215" s="1225">
        <v>2907647170</v>
      </c>
      <c r="G215" s="1225">
        <v>2691754917</v>
      </c>
      <c r="H215" s="1225">
        <v>2691754917</v>
      </c>
      <c r="I215" s="1225">
        <v>3007551300</v>
      </c>
      <c r="J215" s="1225">
        <v>2907647170</v>
      </c>
      <c r="K215" s="1225">
        <v>3007551300</v>
      </c>
      <c r="L215" s="1225">
        <v>2907647170</v>
      </c>
    </row>
    <row r="216" spans="1:12">
      <c r="A216" s="187" t="s">
        <v>2108</v>
      </c>
      <c r="B216" s="1224" t="s">
        <v>2895</v>
      </c>
      <c r="C216" s="1225">
        <v>101676634853</v>
      </c>
      <c r="D216" s="1225">
        <v>100195091348</v>
      </c>
      <c r="E216" s="1225">
        <v>99768329899</v>
      </c>
      <c r="F216" s="1225">
        <v>98286786394</v>
      </c>
      <c r="G216" s="1225">
        <v>88376144698</v>
      </c>
      <c r="H216" s="1225">
        <v>86666137525</v>
      </c>
      <c r="I216" s="1225">
        <v>101676634853</v>
      </c>
      <c r="J216" s="1225">
        <v>100195091348</v>
      </c>
      <c r="K216" s="1225">
        <v>99768329899</v>
      </c>
      <c r="L216" s="1225">
        <v>98286786394</v>
      </c>
    </row>
    <row r="217" spans="1:12">
      <c r="A217" s="187" t="s">
        <v>2110</v>
      </c>
      <c r="B217" s="1224" t="s">
        <v>2896</v>
      </c>
      <c r="C217" s="1225">
        <v>2594562853</v>
      </c>
      <c r="D217" s="1225">
        <v>2479192909</v>
      </c>
      <c r="E217" s="1225">
        <v>2594562853</v>
      </c>
      <c r="F217" s="1225">
        <v>2479192909</v>
      </c>
      <c r="G217" s="1225">
        <v>2141200367</v>
      </c>
      <c r="H217" s="1225">
        <v>2141200367</v>
      </c>
      <c r="I217" s="1225">
        <v>2594562853</v>
      </c>
      <c r="J217" s="1225">
        <v>2479192909</v>
      </c>
      <c r="K217" s="1225">
        <v>2594562853</v>
      </c>
      <c r="L217" s="1225">
        <v>2479192909</v>
      </c>
    </row>
    <row r="218" spans="1:12">
      <c r="A218" s="187" t="s">
        <v>2112</v>
      </c>
      <c r="B218" s="1224" t="s">
        <v>2897</v>
      </c>
      <c r="C218" s="1225">
        <v>3948034338</v>
      </c>
      <c r="D218" s="1225">
        <v>3815840148</v>
      </c>
      <c r="E218" s="1225">
        <v>3948034338</v>
      </c>
      <c r="F218" s="1225">
        <v>3815840148</v>
      </c>
      <c r="G218" s="1225">
        <v>3496416948</v>
      </c>
      <c r="H218" s="1225">
        <v>3496416948</v>
      </c>
      <c r="I218" s="1225">
        <v>3948034338</v>
      </c>
      <c r="J218" s="1225">
        <v>3815840148</v>
      </c>
      <c r="K218" s="1225">
        <v>3948034338</v>
      </c>
      <c r="L218" s="1225">
        <v>3815840148</v>
      </c>
    </row>
    <row r="219" spans="1:12">
      <c r="A219" s="187" t="s">
        <v>1317</v>
      </c>
      <c r="B219" s="1224" t="s">
        <v>122</v>
      </c>
      <c r="C219" s="1225">
        <v>15941444274</v>
      </c>
      <c r="D219" s="1225">
        <v>15398541406</v>
      </c>
      <c r="E219" s="1225">
        <v>15941444274</v>
      </c>
      <c r="F219" s="1225">
        <v>15398541406</v>
      </c>
      <c r="G219" s="1225">
        <v>13977161941</v>
      </c>
      <c r="H219" s="1225">
        <v>13977161941</v>
      </c>
      <c r="I219" s="1225">
        <v>15941444274</v>
      </c>
      <c r="J219" s="1225">
        <v>15398541406</v>
      </c>
      <c r="K219" s="1225">
        <v>15941444274</v>
      </c>
      <c r="L219" s="1225">
        <v>15398541406</v>
      </c>
    </row>
    <row r="220" spans="1:12">
      <c r="A220" s="187" t="s">
        <v>587</v>
      </c>
      <c r="B220" s="1224" t="s">
        <v>4966</v>
      </c>
      <c r="C220" s="1225">
        <v>5787566202</v>
      </c>
      <c r="D220" s="1225">
        <v>5598276295</v>
      </c>
      <c r="E220" s="1225">
        <v>5787566202</v>
      </c>
      <c r="F220" s="1225">
        <v>5598276295</v>
      </c>
      <c r="G220" s="1225">
        <v>5043325183</v>
      </c>
      <c r="H220" s="1225">
        <v>5043325183</v>
      </c>
      <c r="I220" s="1225">
        <v>5787566202</v>
      </c>
      <c r="J220" s="1225">
        <v>5598276295</v>
      </c>
      <c r="K220" s="1225">
        <v>5787566202</v>
      </c>
      <c r="L220" s="1225">
        <v>5598276295</v>
      </c>
    </row>
    <row r="221" spans="1:12">
      <c r="A221" s="187" t="s">
        <v>4569</v>
      </c>
      <c r="B221" s="1224" t="s">
        <v>2898</v>
      </c>
      <c r="C221" s="1225">
        <v>15665633203</v>
      </c>
      <c r="D221" s="1225">
        <v>15583170967</v>
      </c>
      <c r="E221" s="1225">
        <v>14365082827</v>
      </c>
      <c r="F221" s="1225">
        <v>14282620591</v>
      </c>
      <c r="G221" s="1225">
        <v>14179763510</v>
      </c>
      <c r="H221" s="1225">
        <v>13018827547</v>
      </c>
      <c r="I221" s="1225">
        <v>15665633203</v>
      </c>
      <c r="J221" s="1225">
        <v>15583170967</v>
      </c>
      <c r="K221" s="1225">
        <v>14365082827</v>
      </c>
      <c r="L221" s="1225">
        <v>14282620591</v>
      </c>
    </row>
    <row r="222" spans="1:12">
      <c r="A222" s="187" t="s">
        <v>6021</v>
      </c>
      <c r="B222" s="1224" t="s">
        <v>3860</v>
      </c>
      <c r="C222" s="1225">
        <v>10634264410</v>
      </c>
      <c r="D222" s="1225">
        <v>10418766103</v>
      </c>
      <c r="E222" s="1225">
        <v>10634264410</v>
      </c>
      <c r="F222" s="1225">
        <v>10418766103</v>
      </c>
      <c r="G222" s="1225">
        <v>9556206941</v>
      </c>
      <c r="H222" s="1225">
        <v>9556206941</v>
      </c>
      <c r="I222" s="1225">
        <v>10634264410</v>
      </c>
      <c r="J222" s="1225">
        <v>10418766103</v>
      </c>
      <c r="K222" s="1225">
        <v>10634264410</v>
      </c>
      <c r="L222" s="1225">
        <v>10418766103</v>
      </c>
    </row>
    <row r="223" spans="1:12">
      <c r="A223" s="187" t="s">
        <v>4571</v>
      </c>
      <c r="B223" s="1224" t="s">
        <v>2899</v>
      </c>
      <c r="C223" s="1225">
        <v>2086062973</v>
      </c>
      <c r="D223" s="1225">
        <v>2014991847</v>
      </c>
      <c r="E223" s="1225">
        <v>2086062973</v>
      </c>
      <c r="F223" s="1225">
        <v>2014991847</v>
      </c>
      <c r="G223" s="1225">
        <v>1643213021</v>
      </c>
      <c r="H223" s="1225">
        <v>1643213021</v>
      </c>
      <c r="I223" s="1225">
        <v>2086062973</v>
      </c>
      <c r="J223" s="1225">
        <v>2014991847</v>
      </c>
      <c r="K223" s="1225">
        <v>2086062973</v>
      </c>
      <c r="L223" s="1225">
        <v>2014991847</v>
      </c>
    </row>
    <row r="224" spans="1:12">
      <c r="A224" s="187" t="s">
        <v>6171</v>
      </c>
      <c r="B224" s="1224" t="s">
        <v>496</v>
      </c>
      <c r="C224" s="1225">
        <v>6983310655</v>
      </c>
      <c r="D224" s="1225">
        <v>6719008388</v>
      </c>
      <c r="E224" s="1225">
        <v>6983310655</v>
      </c>
      <c r="F224" s="1225">
        <v>6719008388</v>
      </c>
      <c r="G224" s="1225">
        <v>6166509470</v>
      </c>
      <c r="H224" s="1225">
        <v>6166509470</v>
      </c>
      <c r="I224" s="1225">
        <v>6983310655</v>
      </c>
      <c r="J224" s="1225">
        <v>6719008388</v>
      </c>
      <c r="K224" s="1225">
        <v>6983310655</v>
      </c>
      <c r="L224" s="1225">
        <v>6719008388</v>
      </c>
    </row>
    <row r="225" spans="1:12">
      <c r="A225" s="187" t="s">
        <v>4573</v>
      </c>
      <c r="B225" s="1224" t="s">
        <v>2900</v>
      </c>
      <c r="C225" s="1225">
        <v>20382347171</v>
      </c>
      <c r="D225" s="1225">
        <v>19975180970</v>
      </c>
      <c r="E225" s="1225">
        <v>19874568962</v>
      </c>
      <c r="F225" s="1225">
        <v>19467402761</v>
      </c>
      <c r="G225" s="1225">
        <v>18144200383</v>
      </c>
      <c r="H225" s="1225">
        <v>17686362886</v>
      </c>
      <c r="I225" s="1225">
        <v>20382347171</v>
      </c>
      <c r="J225" s="1225">
        <v>19975180970</v>
      </c>
      <c r="K225" s="1225">
        <v>19874568962</v>
      </c>
      <c r="L225" s="1225">
        <v>19467402761</v>
      </c>
    </row>
    <row r="226" spans="1:12">
      <c r="A226" s="187" t="s">
        <v>4575</v>
      </c>
      <c r="B226" s="1224" t="s">
        <v>2901</v>
      </c>
      <c r="C226" s="1225">
        <v>1013967200</v>
      </c>
      <c r="D226" s="1225">
        <v>997429700</v>
      </c>
      <c r="E226" s="1225">
        <v>1013967200</v>
      </c>
      <c r="F226" s="1225">
        <v>997429700</v>
      </c>
      <c r="G226" s="1225">
        <v>893566168</v>
      </c>
      <c r="H226" s="1225">
        <v>893566168</v>
      </c>
      <c r="I226" s="1225">
        <v>1013967200</v>
      </c>
      <c r="J226" s="1225">
        <v>997429700</v>
      </c>
      <c r="K226" s="1225">
        <v>1013967200</v>
      </c>
      <c r="L226" s="1225">
        <v>997429700</v>
      </c>
    </row>
    <row r="227" spans="1:12">
      <c r="A227" s="187" t="s">
        <v>4579</v>
      </c>
      <c r="B227" s="1224" t="s">
        <v>2676</v>
      </c>
      <c r="C227" s="1225">
        <v>10314120118</v>
      </c>
      <c r="D227" s="1225">
        <v>10203202358</v>
      </c>
      <c r="E227" s="1225">
        <v>10314120118</v>
      </c>
      <c r="F227" s="1225">
        <v>10203202358</v>
      </c>
      <c r="G227" s="1225">
        <v>8824759042</v>
      </c>
      <c r="H227" s="1225">
        <v>8824759042</v>
      </c>
      <c r="I227" s="1225">
        <v>10314120118</v>
      </c>
      <c r="J227" s="1225">
        <v>10203202358</v>
      </c>
      <c r="K227" s="1225">
        <v>10314120118</v>
      </c>
      <c r="L227" s="1225">
        <v>10203202358</v>
      </c>
    </row>
    <row r="228" spans="1:12">
      <c r="A228" s="187" t="s">
        <v>4581</v>
      </c>
      <c r="B228" s="1224" t="s">
        <v>993</v>
      </c>
      <c r="C228" s="1225">
        <v>94076075</v>
      </c>
      <c r="D228" s="1225">
        <v>93503387</v>
      </c>
      <c r="E228" s="1225">
        <v>94076075</v>
      </c>
      <c r="F228" s="1225">
        <v>93503387</v>
      </c>
      <c r="G228" s="1225">
        <v>266768523</v>
      </c>
      <c r="H228" s="1225">
        <v>266768523</v>
      </c>
      <c r="I228" s="1225">
        <v>94076075</v>
      </c>
      <c r="J228" s="1225">
        <v>93503387</v>
      </c>
      <c r="K228" s="1225">
        <v>94076075</v>
      </c>
      <c r="L228" s="1225">
        <v>93503387</v>
      </c>
    </row>
    <row r="229" spans="1:12">
      <c r="A229" s="187" t="s">
        <v>4582</v>
      </c>
      <c r="B229" s="1224" t="s">
        <v>2677</v>
      </c>
      <c r="C229" s="1225">
        <v>648502455</v>
      </c>
      <c r="D229" s="1225">
        <v>647124395</v>
      </c>
      <c r="E229" s="1225">
        <v>647006860</v>
      </c>
      <c r="F229" s="1225">
        <v>645628800</v>
      </c>
      <c r="G229" s="1225">
        <v>1412176780</v>
      </c>
      <c r="H229" s="1225">
        <v>1410677106</v>
      </c>
      <c r="I229" s="1225">
        <v>648502455</v>
      </c>
      <c r="J229" s="1225">
        <v>647124395</v>
      </c>
      <c r="K229" s="1225">
        <v>647006860</v>
      </c>
      <c r="L229" s="1225">
        <v>645628800</v>
      </c>
    </row>
    <row r="230" spans="1:12">
      <c r="A230" s="187" t="s">
        <v>4584</v>
      </c>
      <c r="B230" s="1224" t="s">
        <v>2678</v>
      </c>
      <c r="C230" s="1225">
        <v>410589076</v>
      </c>
      <c r="D230" s="1225">
        <v>394809926</v>
      </c>
      <c r="E230" s="1225">
        <v>410589076</v>
      </c>
      <c r="F230" s="1225">
        <v>394809926</v>
      </c>
      <c r="G230" s="1225">
        <v>526048724</v>
      </c>
      <c r="H230" s="1225">
        <v>526048724</v>
      </c>
      <c r="I230" s="1225">
        <v>601707186</v>
      </c>
      <c r="J230" s="1225">
        <v>585928036</v>
      </c>
      <c r="K230" s="1225">
        <v>601707186</v>
      </c>
      <c r="L230" s="1225">
        <v>585928036</v>
      </c>
    </row>
    <row r="231" spans="1:12">
      <c r="A231" s="187" t="s">
        <v>4586</v>
      </c>
      <c r="B231" s="1224" t="s">
        <v>2679</v>
      </c>
      <c r="C231" s="1225">
        <v>538243832</v>
      </c>
      <c r="D231" s="1225">
        <v>536989276</v>
      </c>
      <c r="E231" s="1225">
        <v>537095691</v>
      </c>
      <c r="F231" s="1225">
        <v>535841135</v>
      </c>
      <c r="G231" s="1225">
        <v>1323213722</v>
      </c>
      <c r="H231" s="1225">
        <v>1322099131</v>
      </c>
      <c r="I231" s="1225">
        <v>538243832</v>
      </c>
      <c r="J231" s="1225">
        <v>536989276</v>
      </c>
      <c r="K231" s="1225">
        <v>537095691</v>
      </c>
      <c r="L231" s="1225">
        <v>535841135</v>
      </c>
    </row>
    <row r="232" spans="1:12">
      <c r="A232" s="187" t="s">
        <v>1865</v>
      </c>
      <c r="B232" s="1224" t="s">
        <v>3843</v>
      </c>
      <c r="C232" s="1225">
        <v>1241130968</v>
      </c>
      <c r="D232" s="1225">
        <v>1212753993</v>
      </c>
      <c r="E232" s="1225">
        <v>1241130968</v>
      </c>
      <c r="F232" s="1225">
        <v>1212753993</v>
      </c>
      <c r="G232" s="1225">
        <v>1180085538</v>
      </c>
      <c r="H232" s="1225">
        <v>1180085538</v>
      </c>
      <c r="I232" s="1225">
        <v>1449884151</v>
      </c>
      <c r="J232" s="1225">
        <v>1421507176</v>
      </c>
      <c r="K232" s="1225">
        <v>1449884151</v>
      </c>
      <c r="L232" s="1225">
        <v>1421507176</v>
      </c>
    </row>
    <row r="233" spans="1:12">
      <c r="A233" s="187" t="s">
        <v>5018</v>
      </c>
      <c r="B233" s="1224" t="s">
        <v>2680</v>
      </c>
      <c r="C233" s="1225">
        <v>47445040</v>
      </c>
      <c r="D233" s="1225">
        <v>47175640</v>
      </c>
      <c r="E233" s="1225">
        <v>47445040</v>
      </c>
      <c r="F233" s="1225">
        <v>47175640</v>
      </c>
      <c r="G233" s="1225">
        <v>42011260</v>
      </c>
      <c r="H233" s="1225">
        <v>42011260</v>
      </c>
      <c r="I233" s="1225">
        <v>47445040</v>
      </c>
      <c r="J233" s="1225">
        <v>47175640</v>
      </c>
      <c r="K233" s="1225">
        <v>47445040</v>
      </c>
      <c r="L233" s="1225">
        <v>47175640</v>
      </c>
    </row>
    <row r="234" spans="1:12">
      <c r="A234" s="187" t="s">
        <v>5020</v>
      </c>
      <c r="B234" s="1224" t="s">
        <v>2681</v>
      </c>
      <c r="C234" s="1225">
        <v>188677544</v>
      </c>
      <c r="D234" s="1225">
        <v>177932423</v>
      </c>
      <c r="E234" s="1225">
        <v>188677544</v>
      </c>
      <c r="F234" s="1225">
        <v>177932423</v>
      </c>
      <c r="G234" s="1225">
        <v>175043058</v>
      </c>
      <c r="H234" s="1225">
        <v>175043058</v>
      </c>
      <c r="I234" s="1225">
        <v>188677544</v>
      </c>
      <c r="J234" s="1225">
        <v>177932423</v>
      </c>
      <c r="K234" s="1225">
        <v>188677544</v>
      </c>
      <c r="L234" s="1225">
        <v>177932423</v>
      </c>
    </row>
    <row r="235" spans="1:12">
      <c r="A235" s="187" t="s">
        <v>589</v>
      </c>
      <c r="B235" s="1224" t="s">
        <v>109</v>
      </c>
      <c r="C235" s="1225">
        <v>56508968</v>
      </c>
      <c r="D235" s="1225">
        <v>53716348</v>
      </c>
      <c r="E235" s="1225">
        <v>56508968</v>
      </c>
      <c r="F235" s="1225">
        <v>53716348</v>
      </c>
      <c r="G235" s="1225">
        <v>51609460</v>
      </c>
      <c r="H235" s="1225">
        <v>51609460</v>
      </c>
      <c r="I235" s="1225">
        <v>56508968</v>
      </c>
      <c r="J235" s="1225">
        <v>53716348</v>
      </c>
      <c r="K235" s="1225">
        <v>56508968</v>
      </c>
      <c r="L235" s="1225">
        <v>53716348</v>
      </c>
    </row>
    <row r="236" spans="1:12">
      <c r="A236" s="187" t="s">
        <v>5022</v>
      </c>
      <c r="B236" s="1224" t="s">
        <v>2682</v>
      </c>
      <c r="C236" s="1225">
        <v>14268341718</v>
      </c>
      <c r="D236" s="1225">
        <v>13963361639</v>
      </c>
      <c r="E236" s="1225">
        <v>14268341718</v>
      </c>
      <c r="F236" s="1225">
        <v>13963361639</v>
      </c>
      <c r="G236" s="1225">
        <v>12079224911</v>
      </c>
      <c r="H236" s="1225">
        <v>12079224911</v>
      </c>
      <c r="I236" s="1225">
        <v>14268341718</v>
      </c>
      <c r="J236" s="1225">
        <v>13963361639</v>
      </c>
      <c r="K236" s="1225">
        <v>14268341718</v>
      </c>
      <c r="L236" s="1225">
        <v>13963361639</v>
      </c>
    </row>
    <row r="237" spans="1:12">
      <c r="A237" s="187" t="s">
        <v>2989</v>
      </c>
      <c r="B237" s="1224" t="s">
        <v>190</v>
      </c>
      <c r="C237" s="1225">
        <v>32662025500</v>
      </c>
      <c r="D237" s="1225">
        <v>32090944700</v>
      </c>
      <c r="E237" s="1225">
        <v>32662025500</v>
      </c>
      <c r="F237" s="1225">
        <v>32090944700</v>
      </c>
      <c r="G237" s="1225">
        <v>27809306163</v>
      </c>
      <c r="H237" s="1225">
        <v>27809306163</v>
      </c>
      <c r="I237" s="1225">
        <v>32662025500</v>
      </c>
      <c r="J237" s="1225">
        <v>32090944700</v>
      </c>
      <c r="K237" s="1225">
        <v>32662025500</v>
      </c>
      <c r="L237" s="1225">
        <v>32090944700</v>
      </c>
    </row>
    <row r="238" spans="1:12">
      <c r="A238" s="187" t="s">
        <v>5126</v>
      </c>
      <c r="B238" s="1224" t="s">
        <v>341</v>
      </c>
      <c r="C238" s="1225">
        <v>645440524</v>
      </c>
      <c r="D238" s="1225">
        <v>628831702</v>
      </c>
      <c r="E238" s="1225">
        <v>645440524</v>
      </c>
      <c r="F238" s="1225">
        <v>628831702</v>
      </c>
      <c r="G238" s="1225">
        <v>583425506</v>
      </c>
      <c r="H238" s="1225">
        <v>583425506</v>
      </c>
      <c r="I238" s="1225">
        <v>645440524</v>
      </c>
      <c r="J238" s="1225">
        <v>628831702</v>
      </c>
      <c r="K238" s="1225">
        <v>645440524</v>
      </c>
      <c r="L238" s="1225">
        <v>628831702</v>
      </c>
    </row>
    <row r="239" spans="1:12">
      <c r="A239" s="187" t="s">
        <v>3090</v>
      </c>
      <c r="B239" s="1224" t="s">
        <v>5640</v>
      </c>
      <c r="C239" s="1225">
        <v>671796079</v>
      </c>
      <c r="D239" s="1225">
        <v>651911801</v>
      </c>
      <c r="E239" s="1225">
        <v>671796079</v>
      </c>
      <c r="F239" s="1225">
        <v>651911801</v>
      </c>
      <c r="G239" s="1225">
        <v>774327241</v>
      </c>
      <c r="H239" s="1225">
        <v>774327241</v>
      </c>
      <c r="I239" s="1225">
        <v>671796079</v>
      </c>
      <c r="J239" s="1225">
        <v>651911801</v>
      </c>
      <c r="K239" s="1225">
        <v>671796079</v>
      </c>
      <c r="L239" s="1225">
        <v>651911801</v>
      </c>
    </row>
    <row r="240" spans="1:12">
      <c r="A240" s="187" t="s">
        <v>5128</v>
      </c>
      <c r="B240" s="1224" t="s">
        <v>343</v>
      </c>
      <c r="C240" s="1225">
        <v>590580733</v>
      </c>
      <c r="D240" s="1225">
        <v>578417993</v>
      </c>
      <c r="E240" s="1225">
        <v>590580733</v>
      </c>
      <c r="F240" s="1225">
        <v>578417993</v>
      </c>
      <c r="G240" s="1225">
        <v>743143763</v>
      </c>
      <c r="H240" s="1225">
        <v>743143763</v>
      </c>
      <c r="I240" s="1225">
        <v>590580733</v>
      </c>
      <c r="J240" s="1225">
        <v>578417993</v>
      </c>
      <c r="K240" s="1225">
        <v>590580733</v>
      </c>
      <c r="L240" s="1225">
        <v>578417993</v>
      </c>
    </row>
    <row r="241" spans="1:12">
      <c r="A241" s="187" t="s">
        <v>270</v>
      </c>
      <c r="B241" s="1224" t="s">
        <v>7690</v>
      </c>
      <c r="C241" s="1225">
        <v>829568400</v>
      </c>
      <c r="D241" s="1225">
        <v>804493588</v>
      </c>
      <c r="E241" s="1225">
        <v>829568400</v>
      </c>
      <c r="F241" s="1225">
        <v>804493588</v>
      </c>
      <c r="G241" s="1225">
        <v>660242894</v>
      </c>
      <c r="H241" s="1225">
        <v>660242894</v>
      </c>
      <c r="I241" s="1225">
        <v>829568400</v>
      </c>
      <c r="J241" s="1225">
        <v>804493588</v>
      </c>
      <c r="K241" s="1225">
        <v>829568400</v>
      </c>
      <c r="L241" s="1225">
        <v>804493588</v>
      </c>
    </row>
    <row r="242" spans="1:12">
      <c r="A242" s="187" t="s">
        <v>2391</v>
      </c>
      <c r="B242" s="1224" t="s">
        <v>1456</v>
      </c>
      <c r="C242" s="1225">
        <v>946109832</v>
      </c>
      <c r="D242" s="1225">
        <v>917730221</v>
      </c>
      <c r="E242" s="1225">
        <v>946109832</v>
      </c>
      <c r="F242" s="1225">
        <v>917730221</v>
      </c>
      <c r="G242" s="1225">
        <v>799379122</v>
      </c>
      <c r="H242" s="1225">
        <v>799379122</v>
      </c>
      <c r="I242" s="1225">
        <v>946109832</v>
      </c>
      <c r="J242" s="1225">
        <v>917730221</v>
      </c>
      <c r="K242" s="1225">
        <v>946109832</v>
      </c>
      <c r="L242" s="1225">
        <v>917730221</v>
      </c>
    </row>
    <row r="243" spans="1:12">
      <c r="A243" s="187" t="s">
        <v>2746</v>
      </c>
      <c r="B243" s="1224" t="s">
        <v>2683</v>
      </c>
      <c r="C243" s="1225">
        <v>1522885752</v>
      </c>
      <c r="D243" s="1225">
        <v>1497701119</v>
      </c>
      <c r="E243" s="1225">
        <v>1522885752</v>
      </c>
      <c r="F243" s="1225">
        <v>1497701119</v>
      </c>
      <c r="G243" s="1225">
        <v>1224877168</v>
      </c>
      <c r="H243" s="1225">
        <v>1224877168</v>
      </c>
      <c r="I243" s="1225">
        <v>1522885752</v>
      </c>
      <c r="J243" s="1225">
        <v>1497701119</v>
      </c>
      <c r="K243" s="1225">
        <v>1522885752</v>
      </c>
      <c r="L243" s="1225">
        <v>1497701119</v>
      </c>
    </row>
    <row r="244" spans="1:12">
      <c r="A244" s="187" t="s">
        <v>6186</v>
      </c>
      <c r="B244" s="1224" t="s">
        <v>3831</v>
      </c>
      <c r="C244" s="1225">
        <v>13134202193</v>
      </c>
      <c r="D244" s="1225">
        <v>12917014030</v>
      </c>
      <c r="E244" s="1225">
        <v>13134202193</v>
      </c>
      <c r="F244" s="1225">
        <v>12917014030</v>
      </c>
      <c r="G244" s="1225">
        <v>11823977719</v>
      </c>
      <c r="H244" s="1225">
        <v>11823977719</v>
      </c>
      <c r="I244" s="1225">
        <v>13134202193</v>
      </c>
      <c r="J244" s="1225">
        <v>12917014030</v>
      </c>
      <c r="K244" s="1225">
        <v>13134202193</v>
      </c>
      <c r="L244" s="1225">
        <v>12917014030</v>
      </c>
    </row>
    <row r="245" spans="1:12">
      <c r="A245" s="187" t="s">
        <v>6041</v>
      </c>
      <c r="B245" s="1224" t="s">
        <v>185</v>
      </c>
      <c r="C245" s="1225">
        <v>1612882015</v>
      </c>
      <c r="D245" s="1225">
        <v>1565722144</v>
      </c>
      <c r="E245" s="1225">
        <v>1612882015</v>
      </c>
      <c r="F245" s="1225">
        <v>1565722144</v>
      </c>
      <c r="G245" s="1225">
        <v>1372140611</v>
      </c>
      <c r="H245" s="1225">
        <v>1372140611</v>
      </c>
      <c r="I245" s="1225">
        <v>1612882015</v>
      </c>
      <c r="J245" s="1225">
        <v>1565722144</v>
      </c>
      <c r="K245" s="1225">
        <v>1612882015</v>
      </c>
      <c r="L245" s="1225">
        <v>1565722144</v>
      </c>
    </row>
    <row r="246" spans="1:12">
      <c r="A246" s="187" t="s">
        <v>591</v>
      </c>
      <c r="B246" s="1224" t="s">
        <v>194</v>
      </c>
      <c r="C246" s="1225">
        <v>3261071095</v>
      </c>
      <c r="D246" s="1225">
        <v>3176431895</v>
      </c>
      <c r="E246" s="1225">
        <v>3261071095</v>
      </c>
      <c r="F246" s="1225">
        <v>3176431895</v>
      </c>
      <c r="G246" s="1225">
        <v>2389358047</v>
      </c>
      <c r="H246" s="1225">
        <v>2389358047</v>
      </c>
      <c r="I246" s="1225">
        <v>3261071095</v>
      </c>
      <c r="J246" s="1225">
        <v>3176431895</v>
      </c>
      <c r="K246" s="1225">
        <v>3261071095</v>
      </c>
      <c r="L246" s="1225">
        <v>3176431895</v>
      </c>
    </row>
    <row r="247" spans="1:12">
      <c r="A247" s="187" t="s">
        <v>443</v>
      </c>
      <c r="B247" s="1224" t="s">
        <v>990</v>
      </c>
      <c r="C247" s="1225">
        <v>1207220634</v>
      </c>
      <c r="D247" s="1225">
        <v>1189693184</v>
      </c>
      <c r="E247" s="1225">
        <v>1207220634</v>
      </c>
      <c r="F247" s="1225">
        <v>1189693184</v>
      </c>
      <c r="G247" s="1225">
        <v>2478430890</v>
      </c>
      <c r="H247" s="1225">
        <v>2478430890</v>
      </c>
      <c r="I247" s="1225">
        <v>1207220634</v>
      </c>
      <c r="J247" s="1225">
        <v>1189693184</v>
      </c>
      <c r="K247" s="1225">
        <v>1207220634</v>
      </c>
      <c r="L247" s="1225">
        <v>1189693184</v>
      </c>
    </row>
    <row r="248" spans="1:12">
      <c r="A248" s="187" t="s">
        <v>2748</v>
      </c>
      <c r="B248" s="1224" t="s">
        <v>2684</v>
      </c>
      <c r="C248" s="1225">
        <v>491165631</v>
      </c>
      <c r="D248" s="1225">
        <v>489191411</v>
      </c>
      <c r="E248" s="1225">
        <v>491165631</v>
      </c>
      <c r="F248" s="1225">
        <v>489191411</v>
      </c>
      <c r="G248" s="1225">
        <v>843332503</v>
      </c>
      <c r="H248" s="1225">
        <v>843332503</v>
      </c>
      <c r="I248" s="1225">
        <v>491165631</v>
      </c>
      <c r="J248" s="1225">
        <v>489191411</v>
      </c>
      <c r="K248" s="1225">
        <v>491165631</v>
      </c>
      <c r="L248" s="1225">
        <v>489191411</v>
      </c>
    </row>
    <row r="249" spans="1:12">
      <c r="A249" s="187" t="s">
        <v>862</v>
      </c>
      <c r="B249" s="1224" t="s">
        <v>2009</v>
      </c>
      <c r="C249" s="1225">
        <v>649286511</v>
      </c>
      <c r="D249" s="1225">
        <v>630995098</v>
      </c>
      <c r="E249" s="1225">
        <v>649286511</v>
      </c>
      <c r="F249" s="1225">
        <v>630995098</v>
      </c>
      <c r="G249" s="1225">
        <v>1086417188</v>
      </c>
      <c r="H249" s="1225">
        <v>1086417188</v>
      </c>
      <c r="I249" s="1225">
        <v>1091604771</v>
      </c>
      <c r="J249" s="1225">
        <v>1073313358</v>
      </c>
      <c r="K249" s="1225">
        <v>1091604771</v>
      </c>
      <c r="L249" s="1225">
        <v>1073313358</v>
      </c>
    </row>
    <row r="250" spans="1:12">
      <c r="A250" s="187" t="s">
        <v>2750</v>
      </c>
      <c r="B250" s="1224" t="s">
        <v>2685</v>
      </c>
      <c r="C250" s="1225">
        <v>1645144309</v>
      </c>
      <c r="D250" s="1225">
        <v>1636230819</v>
      </c>
      <c r="E250" s="1225">
        <v>1645144309</v>
      </c>
      <c r="F250" s="1225">
        <v>1636230819</v>
      </c>
      <c r="G250" s="1225">
        <v>2741104528</v>
      </c>
      <c r="H250" s="1225">
        <v>2741104528</v>
      </c>
      <c r="I250" s="1225">
        <v>1645144309</v>
      </c>
      <c r="J250" s="1225">
        <v>1636230819</v>
      </c>
      <c r="K250" s="1225">
        <v>1645144309</v>
      </c>
      <c r="L250" s="1225">
        <v>1636230819</v>
      </c>
    </row>
    <row r="251" spans="1:12">
      <c r="A251" s="187" t="s">
        <v>3899</v>
      </c>
      <c r="B251" s="1224" t="s">
        <v>2686</v>
      </c>
      <c r="C251" s="1225">
        <v>1151226762</v>
      </c>
      <c r="D251" s="1225">
        <v>1149947482</v>
      </c>
      <c r="E251" s="1225">
        <v>1151226762</v>
      </c>
      <c r="F251" s="1225">
        <v>1149947482</v>
      </c>
      <c r="G251" s="1225">
        <v>1520851321</v>
      </c>
      <c r="H251" s="1225">
        <v>1520851321</v>
      </c>
      <c r="I251" s="1225">
        <v>1151226762</v>
      </c>
      <c r="J251" s="1225">
        <v>1149947482</v>
      </c>
      <c r="K251" s="1225">
        <v>1151226762</v>
      </c>
      <c r="L251" s="1225">
        <v>1149947482</v>
      </c>
    </row>
    <row r="252" spans="1:12">
      <c r="A252" s="187" t="s">
        <v>3604</v>
      </c>
      <c r="B252" s="1224" t="s">
        <v>2687</v>
      </c>
      <c r="C252" s="1225">
        <v>77046657</v>
      </c>
      <c r="D252" s="1225">
        <v>73768509</v>
      </c>
      <c r="E252" s="1225">
        <v>77046657</v>
      </c>
      <c r="F252" s="1225">
        <v>73768509</v>
      </c>
      <c r="G252" s="1225">
        <v>64618014</v>
      </c>
      <c r="H252" s="1225">
        <v>64618014</v>
      </c>
      <c r="I252" s="1225">
        <v>77046657</v>
      </c>
      <c r="J252" s="1225">
        <v>73768509</v>
      </c>
      <c r="K252" s="1225">
        <v>77046657</v>
      </c>
      <c r="L252" s="1225">
        <v>73768509</v>
      </c>
    </row>
    <row r="253" spans="1:12">
      <c r="A253" s="187" t="s">
        <v>3166</v>
      </c>
      <c r="B253" s="1224" t="s">
        <v>2688</v>
      </c>
      <c r="C253" s="1225">
        <v>123807494</v>
      </c>
      <c r="D253" s="1225">
        <v>120960394</v>
      </c>
      <c r="E253" s="1225">
        <v>123807494</v>
      </c>
      <c r="F253" s="1225">
        <v>120960394</v>
      </c>
      <c r="G253" s="1225">
        <v>220776485</v>
      </c>
      <c r="H253" s="1225">
        <v>220776485</v>
      </c>
      <c r="I253" s="1225">
        <v>209672624</v>
      </c>
      <c r="J253" s="1225">
        <v>206825524</v>
      </c>
      <c r="K253" s="1225">
        <v>209672624</v>
      </c>
      <c r="L253" s="1225">
        <v>206825524</v>
      </c>
    </row>
    <row r="254" spans="1:12">
      <c r="A254" s="187" t="s">
        <v>3168</v>
      </c>
      <c r="B254" s="1224" t="s">
        <v>2689</v>
      </c>
      <c r="C254" s="1225">
        <v>86129069</v>
      </c>
      <c r="D254" s="1225">
        <v>85674649</v>
      </c>
      <c r="E254" s="1225">
        <v>86129069</v>
      </c>
      <c r="F254" s="1225">
        <v>85674649</v>
      </c>
      <c r="G254" s="1225">
        <v>84626534</v>
      </c>
      <c r="H254" s="1225">
        <v>84626534</v>
      </c>
      <c r="I254" s="1225">
        <v>86129069</v>
      </c>
      <c r="J254" s="1225">
        <v>85674649</v>
      </c>
      <c r="K254" s="1225">
        <v>86129069</v>
      </c>
      <c r="L254" s="1225">
        <v>85674649</v>
      </c>
    </row>
    <row r="255" spans="1:12">
      <c r="A255" s="187" t="s">
        <v>3091</v>
      </c>
      <c r="B255" s="1224" t="s">
        <v>1385</v>
      </c>
      <c r="C255" s="1225">
        <v>3557755901</v>
      </c>
      <c r="D255" s="1225">
        <v>3541407953</v>
      </c>
      <c r="E255" s="1225">
        <v>3545473856</v>
      </c>
      <c r="F255" s="1225">
        <v>3529125908</v>
      </c>
      <c r="G255" s="1225">
        <v>7228603830</v>
      </c>
      <c r="H255" s="1225">
        <v>7214918321</v>
      </c>
      <c r="I255" s="1225">
        <v>3557755901</v>
      </c>
      <c r="J255" s="1225">
        <v>3541407953</v>
      </c>
      <c r="K255" s="1225">
        <v>3545473856</v>
      </c>
      <c r="L255" s="1225">
        <v>3529125908</v>
      </c>
    </row>
    <row r="256" spans="1:12">
      <c r="A256" s="187" t="s">
        <v>3171</v>
      </c>
      <c r="B256" s="1224" t="s">
        <v>2690</v>
      </c>
      <c r="C256" s="1225">
        <v>151596515</v>
      </c>
      <c r="D256" s="1225">
        <v>145788357</v>
      </c>
      <c r="E256" s="1225">
        <v>151596515</v>
      </c>
      <c r="F256" s="1225">
        <v>145788357</v>
      </c>
      <c r="G256" s="1225">
        <v>144286945</v>
      </c>
      <c r="H256" s="1225">
        <v>144286945</v>
      </c>
      <c r="I256" s="1225">
        <v>151596515</v>
      </c>
      <c r="J256" s="1225">
        <v>145788357</v>
      </c>
      <c r="K256" s="1225">
        <v>151596515</v>
      </c>
      <c r="L256" s="1225">
        <v>145788357</v>
      </c>
    </row>
    <row r="257" spans="1:12">
      <c r="A257" s="187" t="s">
        <v>593</v>
      </c>
      <c r="B257" s="1224" t="s">
        <v>3841</v>
      </c>
      <c r="C257" s="1225">
        <v>57264598</v>
      </c>
      <c r="D257" s="1225">
        <v>56600510</v>
      </c>
      <c r="E257" s="1225">
        <v>57264598</v>
      </c>
      <c r="F257" s="1225">
        <v>56600510</v>
      </c>
      <c r="G257" s="1225">
        <v>53653074</v>
      </c>
      <c r="H257" s="1225">
        <v>53653074</v>
      </c>
      <c r="I257" s="1225">
        <v>57264598</v>
      </c>
      <c r="J257" s="1225">
        <v>56600510</v>
      </c>
      <c r="K257" s="1225">
        <v>57264598</v>
      </c>
      <c r="L257" s="1225">
        <v>56600510</v>
      </c>
    </row>
    <row r="258" spans="1:12">
      <c r="A258" s="187" t="s">
        <v>3173</v>
      </c>
      <c r="B258" s="1224" t="s">
        <v>2691</v>
      </c>
      <c r="C258" s="1225">
        <v>24363768</v>
      </c>
      <c r="D258" s="1225">
        <v>24129344</v>
      </c>
      <c r="E258" s="1225">
        <v>24178911</v>
      </c>
      <c r="F258" s="1225">
        <v>23944487</v>
      </c>
      <c r="G258" s="1225">
        <v>26005926</v>
      </c>
      <c r="H258" s="1225">
        <v>25907826</v>
      </c>
      <c r="I258" s="1225">
        <v>24363768</v>
      </c>
      <c r="J258" s="1225">
        <v>24129344</v>
      </c>
      <c r="K258" s="1225">
        <v>24178911</v>
      </c>
      <c r="L258" s="1225">
        <v>23944487</v>
      </c>
    </row>
    <row r="259" spans="1:12">
      <c r="A259" s="187" t="s">
        <v>3175</v>
      </c>
      <c r="B259" s="1224" t="s">
        <v>2692</v>
      </c>
      <c r="C259" s="1225">
        <v>203307079</v>
      </c>
      <c r="D259" s="1225">
        <v>199821895</v>
      </c>
      <c r="E259" s="1225">
        <v>203307079</v>
      </c>
      <c r="F259" s="1225">
        <v>199821895</v>
      </c>
      <c r="G259" s="1225">
        <v>248866942</v>
      </c>
      <c r="H259" s="1225">
        <v>248866942</v>
      </c>
      <c r="I259" s="1225">
        <v>203307079</v>
      </c>
      <c r="J259" s="1225">
        <v>199821895</v>
      </c>
      <c r="K259" s="1225">
        <v>203307079</v>
      </c>
      <c r="L259" s="1225">
        <v>199821895</v>
      </c>
    </row>
    <row r="260" spans="1:12">
      <c r="A260" s="187" t="s">
        <v>3092</v>
      </c>
      <c r="B260" s="1224" t="s">
        <v>381</v>
      </c>
      <c r="C260" s="1225">
        <v>192385673</v>
      </c>
      <c r="D260" s="1225">
        <v>184697296</v>
      </c>
      <c r="E260" s="1225">
        <v>192385673</v>
      </c>
      <c r="F260" s="1225">
        <v>184697296</v>
      </c>
      <c r="G260" s="1225">
        <v>205645057</v>
      </c>
      <c r="H260" s="1225">
        <v>205645057</v>
      </c>
      <c r="I260" s="1225">
        <v>192385673</v>
      </c>
      <c r="J260" s="1225">
        <v>184697296</v>
      </c>
      <c r="K260" s="1225">
        <v>192385673</v>
      </c>
      <c r="L260" s="1225">
        <v>184697296</v>
      </c>
    </row>
    <row r="261" spans="1:12">
      <c r="A261" s="187" t="s">
        <v>673</v>
      </c>
      <c r="B261" s="1224" t="s">
        <v>2693</v>
      </c>
      <c r="C261" s="1225">
        <v>272557525</v>
      </c>
      <c r="D261" s="1225">
        <v>266856892</v>
      </c>
      <c r="E261" s="1225">
        <v>269356637</v>
      </c>
      <c r="F261" s="1225">
        <v>263656004</v>
      </c>
      <c r="G261" s="1225">
        <v>363072214</v>
      </c>
      <c r="H261" s="1225">
        <v>360060599</v>
      </c>
      <c r="I261" s="1225">
        <v>272557525</v>
      </c>
      <c r="J261" s="1225">
        <v>266856892</v>
      </c>
      <c r="K261" s="1225">
        <v>269356637</v>
      </c>
      <c r="L261" s="1225">
        <v>263656004</v>
      </c>
    </row>
    <row r="262" spans="1:12">
      <c r="A262" s="187" t="s">
        <v>322</v>
      </c>
      <c r="B262" s="1224" t="s">
        <v>325</v>
      </c>
      <c r="C262" s="1225">
        <v>538554943</v>
      </c>
      <c r="D262" s="1225">
        <v>528422803</v>
      </c>
      <c r="E262" s="1225">
        <v>538554943</v>
      </c>
      <c r="F262" s="1225">
        <v>528422803</v>
      </c>
      <c r="G262" s="1225">
        <v>619228196</v>
      </c>
      <c r="H262" s="1225">
        <v>619228196</v>
      </c>
      <c r="I262" s="1225">
        <v>538554943</v>
      </c>
      <c r="J262" s="1225">
        <v>528422803</v>
      </c>
      <c r="K262" s="1225">
        <v>538554943</v>
      </c>
      <c r="L262" s="1225">
        <v>528422803</v>
      </c>
    </row>
    <row r="263" spans="1:12">
      <c r="A263" s="187" t="s">
        <v>675</v>
      </c>
      <c r="B263" s="1224" t="s">
        <v>7652</v>
      </c>
      <c r="C263" s="1225">
        <v>473544679</v>
      </c>
      <c r="D263" s="1225">
        <v>459030229</v>
      </c>
      <c r="E263" s="1225">
        <v>473544679</v>
      </c>
      <c r="F263" s="1225">
        <v>459030229</v>
      </c>
      <c r="G263" s="1225">
        <v>454733784</v>
      </c>
      <c r="H263" s="1225">
        <v>454733784</v>
      </c>
      <c r="I263" s="1225">
        <v>473544679</v>
      </c>
      <c r="J263" s="1225">
        <v>459030229</v>
      </c>
      <c r="K263" s="1225">
        <v>473544679</v>
      </c>
      <c r="L263" s="1225">
        <v>459030229</v>
      </c>
    </row>
    <row r="264" spans="1:12">
      <c r="A264" s="187" t="s">
        <v>677</v>
      </c>
      <c r="B264" s="1224" t="s">
        <v>1259</v>
      </c>
      <c r="C264" s="1225">
        <v>112387864</v>
      </c>
      <c r="D264" s="1225">
        <v>108897607</v>
      </c>
      <c r="E264" s="1225">
        <v>112387864</v>
      </c>
      <c r="F264" s="1225">
        <v>108897607</v>
      </c>
      <c r="G264" s="1225">
        <v>115053254</v>
      </c>
      <c r="H264" s="1225">
        <v>115053254</v>
      </c>
      <c r="I264" s="1225">
        <v>112387864</v>
      </c>
      <c r="J264" s="1225">
        <v>108897607</v>
      </c>
      <c r="K264" s="1225">
        <v>112387864</v>
      </c>
      <c r="L264" s="1225">
        <v>108897607</v>
      </c>
    </row>
    <row r="265" spans="1:12">
      <c r="A265" s="187" t="s">
        <v>679</v>
      </c>
      <c r="B265" s="1224" t="s">
        <v>1260</v>
      </c>
      <c r="C265" s="1225">
        <v>124703354</v>
      </c>
      <c r="D265" s="1225">
        <v>120576484</v>
      </c>
      <c r="E265" s="1225">
        <v>124703354</v>
      </c>
      <c r="F265" s="1225">
        <v>120576484</v>
      </c>
      <c r="G265" s="1225">
        <v>106028640</v>
      </c>
      <c r="H265" s="1225">
        <v>106028640</v>
      </c>
      <c r="I265" s="1225">
        <v>124703354</v>
      </c>
      <c r="J265" s="1225">
        <v>120576484</v>
      </c>
      <c r="K265" s="1225">
        <v>124703354</v>
      </c>
      <c r="L265" s="1225">
        <v>120576484</v>
      </c>
    </row>
    <row r="266" spans="1:12">
      <c r="A266" s="187" t="s">
        <v>2960</v>
      </c>
      <c r="B266" s="1224" t="s">
        <v>1261</v>
      </c>
      <c r="C266" s="1225">
        <v>49064338</v>
      </c>
      <c r="D266" s="1225">
        <v>46364078</v>
      </c>
      <c r="E266" s="1225">
        <v>49064338</v>
      </c>
      <c r="F266" s="1225">
        <v>46364078</v>
      </c>
      <c r="G266" s="1225">
        <v>44739216</v>
      </c>
      <c r="H266" s="1225">
        <v>44739216</v>
      </c>
      <c r="I266" s="1225">
        <v>49064338</v>
      </c>
      <c r="J266" s="1225">
        <v>46364078</v>
      </c>
      <c r="K266" s="1225">
        <v>49064338</v>
      </c>
      <c r="L266" s="1225">
        <v>46364078</v>
      </c>
    </row>
    <row r="267" spans="1:12">
      <c r="A267" s="187" t="s">
        <v>1994</v>
      </c>
      <c r="B267" s="1224" t="s">
        <v>1262</v>
      </c>
      <c r="C267" s="1225">
        <v>12585471099</v>
      </c>
      <c r="D267" s="1225">
        <v>12328544880</v>
      </c>
      <c r="E267" s="1225">
        <v>12201318857</v>
      </c>
      <c r="F267" s="1225">
        <v>11944392638</v>
      </c>
      <c r="G267" s="1225">
        <v>15280886701</v>
      </c>
      <c r="H267" s="1225">
        <v>14931889394</v>
      </c>
      <c r="I267" s="1225">
        <v>12585471099</v>
      </c>
      <c r="J267" s="1225">
        <v>12328544880</v>
      </c>
      <c r="K267" s="1225">
        <v>12201318857</v>
      </c>
      <c r="L267" s="1225">
        <v>11944392638</v>
      </c>
    </row>
    <row r="268" spans="1:12">
      <c r="A268" s="187" t="s">
        <v>2735</v>
      </c>
      <c r="B268" s="1224" t="s">
        <v>1263</v>
      </c>
      <c r="C268" s="1225">
        <v>297670537</v>
      </c>
      <c r="D268" s="1225">
        <v>294717273</v>
      </c>
      <c r="E268" s="1225">
        <v>297670537</v>
      </c>
      <c r="F268" s="1225">
        <v>294717273</v>
      </c>
      <c r="G268" s="1225">
        <v>322900813</v>
      </c>
      <c r="H268" s="1225">
        <v>322900813</v>
      </c>
      <c r="I268" s="1225">
        <v>297670537</v>
      </c>
      <c r="J268" s="1225">
        <v>294717273</v>
      </c>
      <c r="K268" s="1225">
        <v>297670537</v>
      </c>
      <c r="L268" s="1225">
        <v>294717273</v>
      </c>
    </row>
    <row r="269" spans="1:12">
      <c r="A269" s="187" t="s">
        <v>2737</v>
      </c>
      <c r="B269" s="1224" t="s">
        <v>1264</v>
      </c>
      <c r="C269" s="1225">
        <v>229699355</v>
      </c>
      <c r="D269" s="1225">
        <v>225521316</v>
      </c>
      <c r="E269" s="1225">
        <v>229699355</v>
      </c>
      <c r="F269" s="1225">
        <v>225521316</v>
      </c>
      <c r="G269" s="1225">
        <v>228138818</v>
      </c>
      <c r="H269" s="1225">
        <v>228138818</v>
      </c>
      <c r="I269" s="1225">
        <v>229699355</v>
      </c>
      <c r="J269" s="1225">
        <v>225521316</v>
      </c>
      <c r="K269" s="1225">
        <v>229699355</v>
      </c>
      <c r="L269" s="1225">
        <v>225521316</v>
      </c>
    </row>
    <row r="270" spans="1:12">
      <c r="A270" s="187" t="s">
        <v>1976</v>
      </c>
      <c r="B270" s="1224" t="s">
        <v>7691</v>
      </c>
      <c r="C270" s="1225">
        <v>38013253</v>
      </c>
      <c r="D270" s="1225">
        <v>36627860</v>
      </c>
      <c r="E270" s="1225">
        <v>38013253</v>
      </c>
      <c r="F270" s="1225">
        <v>36627860</v>
      </c>
      <c r="G270" s="1225">
        <v>36314498</v>
      </c>
      <c r="H270" s="1225">
        <v>36314498</v>
      </c>
      <c r="I270" s="1225">
        <v>38013253</v>
      </c>
      <c r="J270" s="1225">
        <v>36627860</v>
      </c>
      <c r="K270" s="1225">
        <v>38013253</v>
      </c>
      <c r="L270" s="1225">
        <v>36627860</v>
      </c>
    </row>
    <row r="271" spans="1:12">
      <c r="A271" s="187" t="s">
        <v>3648</v>
      </c>
      <c r="B271" s="1224" t="s">
        <v>1265</v>
      </c>
      <c r="C271" s="1225">
        <v>1921503922</v>
      </c>
      <c r="D271" s="1225">
        <v>1875991727</v>
      </c>
      <c r="E271" s="1225">
        <v>1921503922</v>
      </c>
      <c r="F271" s="1225">
        <v>1875991727</v>
      </c>
      <c r="G271" s="1225">
        <v>1774754612</v>
      </c>
      <c r="H271" s="1225">
        <v>1774754612</v>
      </c>
      <c r="I271" s="1225">
        <v>1921503922</v>
      </c>
      <c r="J271" s="1225">
        <v>1875991727</v>
      </c>
      <c r="K271" s="1225">
        <v>1921503922</v>
      </c>
      <c r="L271" s="1225">
        <v>1875991727</v>
      </c>
    </row>
    <row r="272" spans="1:12">
      <c r="A272" s="187" t="s">
        <v>3650</v>
      </c>
      <c r="B272" s="1224" t="s">
        <v>1266</v>
      </c>
      <c r="C272" s="1225">
        <v>335113874</v>
      </c>
      <c r="D272" s="1225">
        <v>318868594</v>
      </c>
      <c r="E272" s="1225">
        <v>335113874</v>
      </c>
      <c r="F272" s="1225">
        <v>318868594</v>
      </c>
      <c r="G272" s="1225">
        <v>313570993</v>
      </c>
      <c r="H272" s="1225">
        <v>313570993</v>
      </c>
      <c r="I272" s="1225">
        <v>335113874</v>
      </c>
      <c r="J272" s="1225">
        <v>318868594</v>
      </c>
      <c r="K272" s="1225">
        <v>335113874</v>
      </c>
      <c r="L272" s="1225">
        <v>318868594</v>
      </c>
    </row>
    <row r="273" spans="1:12">
      <c r="A273" s="187" t="s">
        <v>3093</v>
      </c>
      <c r="B273" s="1224" t="s">
        <v>1906</v>
      </c>
      <c r="C273" s="1225">
        <v>112623038</v>
      </c>
      <c r="D273" s="1225">
        <v>107297898</v>
      </c>
      <c r="E273" s="1225">
        <v>112623038</v>
      </c>
      <c r="F273" s="1225">
        <v>107297898</v>
      </c>
      <c r="G273" s="1225">
        <v>98044103</v>
      </c>
      <c r="H273" s="1225">
        <v>98044103</v>
      </c>
      <c r="I273" s="1225">
        <v>112623038</v>
      </c>
      <c r="J273" s="1225">
        <v>107297898</v>
      </c>
      <c r="K273" s="1225">
        <v>112623038</v>
      </c>
      <c r="L273" s="1225">
        <v>107297898</v>
      </c>
    </row>
    <row r="274" spans="1:12">
      <c r="A274" s="187" t="s">
        <v>7734</v>
      </c>
      <c r="B274" s="1224" t="s">
        <v>1267</v>
      </c>
      <c r="C274" s="1225">
        <v>3560604179</v>
      </c>
      <c r="D274" s="1225">
        <v>3466925920</v>
      </c>
      <c r="E274" s="1225">
        <v>3454780757</v>
      </c>
      <c r="F274" s="1225">
        <v>3361102498</v>
      </c>
      <c r="G274" s="1225">
        <v>2987022280</v>
      </c>
      <c r="H274" s="1225">
        <v>2896286132</v>
      </c>
      <c r="I274" s="1225">
        <v>3560604179</v>
      </c>
      <c r="J274" s="1225">
        <v>3466925920</v>
      </c>
      <c r="K274" s="1225">
        <v>3454780757</v>
      </c>
      <c r="L274" s="1225">
        <v>3361102498</v>
      </c>
    </row>
    <row r="275" spans="1:12">
      <c r="A275" s="187" t="s">
        <v>915</v>
      </c>
      <c r="B275" s="1224" t="s">
        <v>1268</v>
      </c>
      <c r="C275" s="1225">
        <v>79196235</v>
      </c>
      <c r="D275" s="1225">
        <v>77049166</v>
      </c>
      <c r="E275" s="1225">
        <v>79196235</v>
      </c>
      <c r="F275" s="1225">
        <v>77049166</v>
      </c>
      <c r="G275" s="1225">
        <v>78799852</v>
      </c>
      <c r="H275" s="1225">
        <v>78799852</v>
      </c>
      <c r="I275" s="1225">
        <v>79196235</v>
      </c>
      <c r="J275" s="1225">
        <v>77049166</v>
      </c>
      <c r="K275" s="1225">
        <v>79196235</v>
      </c>
      <c r="L275" s="1225">
        <v>77049166</v>
      </c>
    </row>
    <row r="276" spans="1:12">
      <c r="A276" s="187" t="s">
        <v>1978</v>
      </c>
      <c r="B276" s="1224" t="s">
        <v>3628</v>
      </c>
      <c r="C276" s="1225">
        <v>241813801</v>
      </c>
      <c r="D276" s="1225">
        <v>230928626</v>
      </c>
      <c r="E276" s="1225">
        <v>241813801</v>
      </c>
      <c r="F276" s="1225">
        <v>230928626</v>
      </c>
      <c r="G276" s="1225">
        <v>216969036</v>
      </c>
      <c r="H276" s="1225">
        <v>216969036</v>
      </c>
      <c r="I276" s="1225">
        <v>241813801</v>
      </c>
      <c r="J276" s="1225">
        <v>230928626</v>
      </c>
      <c r="K276" s="1225">
        <v>241813801</v>
      </c>
      <c r="L276" s="1225">
        <v>230928626</v>
      </c>
    </row>
    <row r="277" spans="1:12">
      <c r="A277" s="187" t="s">
        <v>2767</v>
      </c>
      <c r="B277" s="1224" t="s">
        <v>357</v>
      </c>
      <c r="C277" s="1225">
        <v>1552472316</v>
      </c>
      <c r="D277" s="1225">
        <v>1490766885</v>
      </c>
      <c r="E277" s="1225">
        <v>1552472316</v>
      </c>
      <c r="F277" s="1225">
        <v>1490766885</v>
      </c>
      <c r="G277" s="1225">
        <v>1386194065</v>
      </c>
      <c r="H277" s="1225">
        <v>1386194065</v>
      </c>
      <c r="I277" s="1225">
        <v>1601588856</v>
      </c>
      <c r="J277" s="1225">
        <v>1539883425</v>
      </c>
      <c r="K277" s="1225">
        <v>1601588856</v>
      </c>
      <c r="L277" s="1225">
        <v>1539883425</v>
      </c>
    </row>
    <row r="278" spans="1:12">
      <c r="A278" s="187" t="s">
        <v>3555</v>
      </c>
      <c r="B278" s="1224" t="s">
        <v>4063</v>
      </c>
      <c r="C278" s="1225">
        <v>3409459375</v>
      </c>
      <c r="D278" s="1225">
        <v>3319576781</v>
      </c>
      <c r="E278" s="1225">
        <v>3409459375</v>
      </c>
      <c r="F278" s="1225">
        <v>3319576781</v>
      </c>
      <c r="G278" s="1225">
        <v>3000212327</v>
      </c>
      <c r="H278" s="1225">
        <v>3000212327</v>
      </c>
      <c r="I278" s="1225">
        <v>3409459375</v>
      </c>
      <c r="J278" s="1225">
        <v>3319576781</v>
      </c>
      <c r="K278" s="1225">
        <v>3409459375</v>
      </c>
      <c r="L278" s="1225">
        <v>3319576781</v>
      </c>
    </row>
    <row r="279" spans="1:12">
      <c r="A279" s="187" t="s">
        <v>3094</v>
      </c>
      <c r="B279" s="1224" t="s">
        <v>6072</v>
      </c>
      <c r="C279" s="1225">
        <v>298265685</v>
      </c>
      <c r="D279" s="1225">
        <v>287593029</v>
      </c>
      <c r="E279" s="1225">
        <v>298265685</v>
      </c>
      <c r="F279" s="1225">
        <v>287593029</v>
      </c>
      <c r="G279" s="1225">
        <v>271331150</v>
      </c>
      <c r="H279" s="1225">
        <v>271331150</v>
      </c>
      <c r="I279" s="1225">
        <v>298265685</v>
      </c>
      <c r="J279" s="1225">
        <v>287593029</v>
      </c>
      <c r="K279" s="1225">
        <v>298265685</v>
      </c>
      <c r="L279" s="1225">
        <v>287593029</v>
      </c>
    </row>
    <row r="280" spans="1:12">
      <c r="A280" s="187" t="s">
        <v>741</v>
      </c>
      <c r="B280" s="1224" t="s">
        <v>6116</v>
      </c>
      <c r="C280" s="1225">
        <v>1119067888</v>
      </c>
      <c r="D280" s="1225">
        <v>1058830350</v>
      </c>
      <c r="E280" s="1225">
        <v>1119067888</v>
      </c>
      <c r="F280" s="1225">
        <v>1058830350</v>
      </c>
      <c r="G280" s="1225">
        <v>1043204314</v>
      </c>
      <c r="H280" s="1225">
        <v>1043204314</v>
      </c>
      <c r="I280" s="1225">
        <v>1119067888</v>
      </c>
      <c r="J280" s="1225">
        <v>1058830350</v>
      </c>
      <c r="K280" s="1225">
        <v>1119067888</v>
      </c>
      <c r="L280" s="1225">
        <v>1058830350</v>
      </c>
    </row>
    <row r="281" spans="1:12">
      <c r="A281" s="187" t="s">
        <v>4035</v>
      </c>
      <c r="B281" s="1224" t="s">
        <v>1269</v>
      </c>
      <c r="C281" s="1225">
        <v>16331066551</v>
      </c>
      <c r="D281" s="1225">
        <v>15781063249</v>
      </c>
      <c r="E281" s="1225">
        <v>16331066551</v>
      </c>
      <c r="F281" s="1225">
        <v>15781063249</v>
      </c>
      <c r="G281" s="1225">
        <v>15835167752</v>
      </c>
      <c r="H281" s="1225">
        <v>15835167752</v>
      </c>
      <c r="I281" s="1225">
        <v>16331066551</v>
      </c>
      <c r="J281" s="1225">
        <v>15781063249</v>
      </c>
      <c r="K281" s="1225">
        <v>16331066551</v>
      </c>
      <c r="L281" s="1225">
        <v>15781063249</v>
      </c>
    </row>
    <row r="282" spans="1:12">
      <c r="A282" s="187" t="s">
        <v>1524</v>
      </c>
      <c r="B282" s="1224" t="s">
        <v>1930</v>
      </c>
      <c r="C282" s="1225">
        <v>166108166</v>
      </c>
      <c r="D282" s="1225">
        <v>158173374</v>
      </c>
      <c r="E282" s="1225">
        <v>166108166</v>
      </c>
      <c r="F282" s="1225">
        <v>158173374</v>
      </c>
      <c r="G282" s="1225">
        <v>160551583</v>
      </c>
      <c r="H282" s="1225">
        <v>160551583</v>
      </c>
      <c r="I282" s="1225">
        <v>166108166</v>
      </c>
      <c r="J282" s="1225">
        <v>158173374</v>
      </c>
      <c r="K282" s="1225">
        <v>166108166</v>
      </c>
      <c r="L282" s="1225">
        <v>158173374</v>
      </c>
    </row>
    <row r="283" spans="1:12">
      <c r="A283" s="187" t="s">
        <v>2388</v>
      </c>
      <c r="B283" s="1224" t="s">
        <v>382</v>
      </c>
      <c r="C283" s="1225">
        <v>225056881</v>
      </c>
      <c r="D283" s="1225">
        <v>212427155</v>
      </c>
      <c r="E283" s="1225">
        <v>225056881</v>
      </c>
      <c r="F283" s="1225">
        <v>212427155</v>
      </c>
      <c r="G283" s="1225">
        <v>194967915</v>
      </c>
      <c r="H283" s="1225">
        <v>194967915</v>
      </c>
      <c r="I283" s="1225">
        <v>225056881</v>
      </c>
      <c r="J283" s="1225">
        <v>212427155</v>
      </c>
      <c r="K283" s="1225">
        <v>225056881</v>
      </c>
      <c r="L283" s="1225">
        <v>212427155</v>
      </c>
    </row>
    <row r="284" spans="1:12">
      <c r="A284" s="187" t="s">
        <v>863</v>
      </c>
      <c r="B284" s="1224" t="s">
        <v>2010</v>
      </c>
      <c r="C284" s="1225">
        <v>7187392474</v>
      </c>
      <c r="D284" s="1225">
        <v>6827195892</v>
      </c>
      <c r="E284" s="1225">
        <v>6804456993</v>
      </c>
      <c r="F284" s="1225">
        <v>6444260411</v>
      </c>
      <c r="G284" s="1225">
        <v>6839522537</v>
      </c>
      <c r="H284" s="1225">
        <v>6434387025</v>
      </c>
      <c r="I284" s="1225">
        <v>7187392474</v>
      </c>
      <c r="J284" s="1225">
        <v>6827195892</v>
      </c>
      <c r="K284" s="1225">
        <v>6804456993</v>
      </c>
      <c r="L284" s="1225">
        <v>6444260411</v>
      </c>
    </row>
    <row r="285" spans="1:12">
      <c r="A285" s="187" t="s">
        <v>268</v>
      </c>
      <c r="B285" s="1224" t="s">
        <v>7349</v>
      </c>
      <c r="C285" s="1225">
        <v>191175089</v>
      </c>
      <c r="D285" s="1225">
        <v>184377771</v>
      </c>
      <c r="E285" s="1225">
        <v>191175089</v>
      </c>
      <c r="F285" s="1225">
        <v>184377771</v>
      </c>
      <c r="G285" s="1225">
        <v>178335822</v>
      </c>
      <c r="H285" s="1225">
        <v>178335822</v>
      </c>
      <c r="I285" s="1225">
        <v>191175089</v>
      </c>
      <c r="J285" s="1225">
        <v>184377771</v>
      </c>
      <c r="K285" s="1225">
        <v>191175089</v>
      </c>
      <c r="L285" s="1225">
        <v>184377771</v>
      </c>
    </row>
    <row r="286" spans="1:12">
      <c r="A286" s="187" t="s">
        <v>981</v>
      </c>
      <c r="B286" s="1224" t="s">
        <v>6099</v>
      </c>
      <c r="C286" s="1225">
        <v>1905597678</v>
      </c>
      <c r="D286" s="1225">
        <v>1855099918</v>
      </c>
      <c r="E286" s="1225">
        <v>1905597678</v>
      </c>
      <c r="F286" s="1225">
        <v>1855099918</v>
      </c>
      <c r="G286" s="1225">
        <v>1666600210</v>
      </c>
      <c r="H286" s="1225">
        <v>1666600210</v>
      </c>
      <c r="I286" s="1225">
        <v>1905597678</v>
      </c>
      <c r="J286" s="1225">
        <v>1855099918</v>
      </c>
      <c r="K286" s="1225">
        <v>1905597678</v>
      </c>
      <c r="L286" s="1225">
        <v>1855099918</v>
      </c>
    </row>
    <row r="287" spans="1:12">
      <c r="A287" s="187" t="s">
        <v>2414</v>
      </c>
      <c r="B287" s="1224" t="s">
        <v>5367</v>
      </c>
      <c r="C287" s="1225">
        <v>68888834</v>
      </c>
      <c r="D287" s="1225">
        <v>67070931</v>
      </c>
      <c r="E287" s="1225">
        <v>68888834</v>
      </c>
      <c r="F287" s="1225">
        <v>67070931</v>
      </c>
      <c r="G287" s="1225">
        <v>62492774</v>
      </c>
      <c r="H287" s="1225">
        <v>62492774</v>
      </c>
      <c r="I287" s="1225">
        <v>68888834</v>
      </c>
      <c r="J287" s="1225">
        <v>67070931</v>
      </c>
      <c r="K287" s="1225">
        <v>68888834</v>
      </c>
      <c r="L287" s="1225">
        <v>67070931</v>
      </c>
    </row>
    <row r="288" spans="1:12">
      <c r="A288" s="187" t="s">
        <v>2401</v>
      </c>
      <c r="B288" s="1224" t="s">
        <v>2345</v>
      </c>
      <c r="C288" s="1225">
        <v>9340488830</v>
      </c>
      <c r="D288" s="1225">
        <v>8940898471</v>
      </c>
      <c r="E288" s="1225">
        <v>9340488830</v>
      </c>
      <c r="F288" s="1225">
        <v>8940898471</v>
      </c>
      <c r="G288" s="1225">
        <v>8512919463</v>
      </c>
      <c r="H288" s="1225">
        <v>8512919463</v>
      </c>
      <c r="I288" s="1225">
        <v>9340488830</v>
      </c>
      <c r="J288" s="1225">
        <v>8940898471</v>
      </c>
      <c r="K288" s="1225">
        <v>9340488830</v>
      </c>
      <c r="L288" s="1225">
        <v>8940898471</v>
      </c>
    </row>
    <row r="289" spans="1:12">
      <c r="A289" s="187" t="s">
        <v>4037</v>
      </c>
      <c r="B289" s="1224" t="s">
        <v>1270</v>
      </c>
      <c r="C289" s="1225">
        <v>47377731</v>
      </c>
      <c r="D289" s="1225">
        <v>46084661</v>
      </c>
      <c r="E289" s="1225">
        <v>47377731</v>
      </c>
      <c r="F289" s="1225">
        <v>46084661</v>
      </c>
      <c r="G289" s="1225">
        <v>46897128</v>
      </c>
      <c r="H289" s="1225">
        <v>46897128</v>
      </c>
      <c r="I289" s="1225">
        <v>47377731</v>
      </c>
      <c r="J289" s="1225">
        <v>46084661</v>
      </c>
      <c r="K289" s="1225">
        <v>47377731</v>
      </c>
      <c r="L289" s="1225">
        <v>46084661</v>
      </c>
    </row>
    <row r="290" spans="1:12">
      <c r="A290" s="187" t="s">
        <v>2140</v>
      </c>
      <c r="B290" s="1224" t="s">
        <v>1271</v>
      </c>
      <c r="C290" s="1225">
        <v>299821761</v>
      </c>
      <c r="D290" s="1225">
        <v>286911223</v>
      </c>
      <c r="E290" s="1225">
        <v>299821761</v>
      </c>
      <c r="F290" s="1225">
        <v>286911223</v>
      </c>
      <c r="G290" s="1225">
        <v>279903194</v>
      </c>
      <c r="H290" s="1225">
        <v>279903194</v>
      </c>
      <c r="I290" s="1225">
        <v>299821761</v>
      </c>
      <c r="J290" s="1225">
        <v>286911223</v>
      </c>
      <c r="K290" s="1225">
        <v>299821761</v>
      </c>
      <c r="L290" s="1225">
        <v>286911223</v>
      </c>
    </row>
    <row r="291" spans="1:12">
      <c r="A291" s="187" t="s">
        <v>2408</v>
      </c>
      <c r="B291" s="1224" t="s">
        <v>8212</v>
      </c>
      <c r="C291" s="1225">
        <v>1555224059</v>
      </c>
      <c r="D291" s="1225">
        <v>1513391310</v>
      </c>
      <c r="E291" s="1225">
        <v>1555224059</v>
      </c>
      <c r="F291" s="1225">
        <v>1513391310</v>
      </c>
      <c r="G291" s="1225">
        <v>1462805195</v>
      </c>
      <c r="H291" s="1225">
        <v>1462805195</v>
      </c>
      <c r="I291" s="1225">
        <v>1555224059</v>
      </c>
      <c r="J291" s="1225">
        <v>1513391310</v>
      </c>
      <c r="K291" s="1225">
        <v>1555224059</v>
      </c>
      <c r="L291" s="1225">
        <v>1513391310</v>
      </c>
    </row>
    <row r="292" spans="1:12">
      <c r="A292" s="187" t="s">
        <v>2700</v>
      </c>
      <c r="B292" s="1224" t="s">
        <v>1272</v>
      </c>
      <c r="C292" s="1225">
        <v>131213723</v>
      </c>
      <c r="D292" s="1225">
        <v>128423143</v>
      </c>
      <c r="E292" s="1225">
        <v>131213723</v>
      </c>
      <c r="F292" s="1225">
        <v>128423143</v>
      </c>
      <c r="G292" s="1225">
        <v>123943284</v>
      </c>
      <c r="H292" s="1225">
        <v>123943284</v>
      </c>
      <c r="I292" s="1225">
        <v>131213723</v>
      </c>
      <c r="J292" s="1225">
        <v>128423143</v>
      </c>
      <c r="K292" s="1225">
        <v>131213723</v>
      </c>
      <c r="L292" s="1225">
        <v>128423143</v>
      </c>
    </row>
    <row r="293" spans="1:12">
      <c r="A293" s="187" t="s">
        <v>2702</v>
      </c>
      <c r="B293" s="1224" t="s">
        <v>1273</v>
      </c>
      <c r="C293" s="1225">
        <v>137277340</v>
      </c>
      <c r="D293" s="1225">
        <v>133939652</v>
      </c>
      <c r="E293" s="1225">
        <v>137277340</v>
      </c>
      <c r="F293" s="1225">
        <v>133939652</v>
      </c>
      <c r="G293" s="1225">
        <v>122505564</v>
      </c>
      <c r="H293" s="1225">
        <v>122505564</v>
      </c>
      <c r="I293" s="1225">
        <v>137277340</v>
      </c>
      <c r="J293" s="1225">
        <v>133939652</v>
      </c>
      <c r="K293" s="1225">
        <v>137277340</v>
      </c>
      <c r="L293" s="1225">
        <v>133939652</v>
      </c>
    </row>
    <row r="294" spans="1:12">
      <c r="A294" s="187" t="s">
        <v>2828</v>
      </c>
      <c r="B294" s="1224" t="s">
        <v>192</v>
      </c>
      <c r="C294" s="1225">
        <v>86695242</v>
      </c>
      <c r="D294" s="1225">
        <v>84334582</v>
      </c>
      <c r="E294" s="1225">
        <v>86695242</v>
      </c>
      <c r="F294" s="1225">
        <v>84334582</v>
      </c>
      <c r="G294" s="1225">
        <v>94312367</v>
      </c>
      <c r="H294" s="1225">
        <v>94312367</v>
      </c>
      <c r="I294" s="1225">
        <v>117459332</v>
      </c>
      <c r="J294" s="1225">
        <v>115098672</v>
      </c>
      <c r="K294" s="1225">
        <v>117459332</v>
      </c>
      <c r="L294" s="1225">
        <v>115098672</v>
      </c>
    </row>
    <row r="295" spans="1:12">
      <c r="A295" s="187" t="s">
        <v>2704</v>
      </c>
      <c r="B295" s="1224" t="s">
        <v>1274</v>
      </c>
      <c r="C295" s="1225">
        <v>118645933</v>
      </c>
      <c r="D295" s="1225">
        <v>116165853</v>
      </c>
      <c r="E295" s="1225">
        <v>118645933</v>
      </c>
      <c r="F295" s="1225">
        <v>116165853</v>
      </c>
      <c r="G295" s="1225">
        <v>80820037</v>
      </c>
      <c r="H295" s="1225">
        <v>80820037</v>
      </c>
      <c r="I295" s="1225">
        <v>118645933</v>
      </c>
      <c r="J295" s="1225">
        <v>116165853</v>
      </c>
      <c r="K295" s="1225">
        <v>118645933</v>
      </c>
      <c r="L295" s="1225">
        <v>116165853</v>
      </c>
    </row>
    <row r="296" spans="1:12">
      <c r="A296" s="187" t="s">
        <v>2706</v>
      </c>
      <c r="B296" s="1224" t="s">
        <v>7361</v>
      </c>
      <c r="C296" s="1225">
        <v>63864627</v>
      </c>
      <c r="D296" s="1225">
        <v>60647495</v>
      </c>
      <c r="E296" s="1225">
        <v>63864627</v>
      </c>
      <c r="F296" s="1225">
        <v>60647495</v>
      </c>
      <c r="G296" s="1225">
        <v>60305171</v>
      </c>
      <c r="H296" s="1225">
        <v>60305171</v>
      </c>
      <c r="I296" s="1225">
        <v>63864627</v>
      </c>
      <c r="J296" s="1225">
        <v>60647495</v>
      </c>
      <c r="K296" s="1225">
        <v>63864627</v>
      </c>
      <c r="L296" s="1225">
        <v>60647495</v>
      </c>
    </row>
    <row r="297" spans="1:12">
      <c r="A297" s="187" t="s">
        <v>6162</v>
      </c>
      <c r="B297" s="1224" t="s">
        <v>6066</v>
      </c>
      <c r="C297" s="1225">
        <v>253905299</v>
      </c>
      <c r="D297" s="1225">
        <v>242307774</v>
      </c>
      <c r="E297" s="1225">
        <v>253905299</v>
      </c>
      <c r="F297" s="1225">
        <v>242307774</v>
      </c>
      <c r="G297" s="1225">
        <v>230093838</v>
      </c>
      <c r="H297" s="1225">
        <v>230093838</v>
      </c>
      <c r="I297" s="1225">
        <v>253905299</v>
      </c>
      <c r="J297" s="1225">
        <v>242307774</v>
      </c>
      <c r="K297" s="1225">
        <v>253905299</v>
      </c>
      <c r="L297" s="1225">
        <v>242307774</v>
      </c>
    </row>
    <row r="298" spans="1:12">
      <c r="A298" s="187" t="s">
        <v>967</v>
      </c>
      <c r="B298" s="1224" t="s">
        <v>4068</v>
      </c>
      <c r="C298" s="1225">
        <v>20549406</v>
      </c>
      <c r="D298" s="1225">
        <v>19436994</v>
      </c>
      <c r="E298" s="1225">
        <v>20549406</v>
      </c>
      <c r="F298" s="1225">
        <v>19436994</v>
      </c>
      <c r="G298" s="1225">
        <v>16280935</v>
      </c>
      <c r="H298" s="1225">
        <v>16280935</v>
      </c>
      <c r="I298" s="1225">
        <v>20549406</v>
      </c>
      <c r="J298" s="1225">
        <v>19436994</v>
      </c>
      <c r="K298" s="1225">
        <v>20549406</v>
      </c>
      <c r="L298" s="1225">
        <v>19436994</v>
      </c>
    </row>
    <row r="299" spans="1:12">
      <c r="A299" s="187" t="s">
        <v>2708</v>
      </c>
      <c r="B299" s="1224" t="s">
        <v>1276</v>
      </c>
      <c r="C299" s="1225">
        <v>201456534</v>
      </c>
      <c r="D299" s="1225">
        <v>192899888</v>
      </c>
      <c r="E299" s="1225">
        <v>201456534</v>
      </c>
      <c r="F299" s="1225">
        <v>192899888</v>
      </c>
      <c r="G299" s="1225">
        <v>146336955</v>
      </c>
      <c r="H299" s="1225">
        <v>146336955</v>
      </c>
      <c r="I299" s="1225">
        <v>201456534</v>
      </c>
      <c r="J299" s="1225">
        <v>192899888</v>
      </c>
      <c r="K299" s="1225">
        <v>201456534</v>
      </c>
      <c r="L299" s="1225">
        <v>192899888</v>
      </c>
    </row>
    <row r="300" spans="1:12">
      <c r="A300" s="187" t="s">
        <v>2710</v>
      </c>
      <c r="B300" s="1224" t="s">
        <v>1277</v>
      </c>
      <c r="C300" s="1225">
        <v>644791344</v>
      </c>
      <c r="D300" s="1225">
        <v>614532908</v>
      </c>
      <c r="E300" s="1225">
        <v>644791344</v>
      </c>
      <c r="F300" s="1225">
        <v>614532908</v>
      </c>
      <c r="G300" s="1225">
        <v>571606237</v>
      </c>
      <c r="H300" s="1225">
        <v>571606237</v>
      </c>
      <c r="I300" s="1225">
        <v>644791344</v>
      </c>
      <c r="J300" s="1225">
        <v>614532908</v>
      </c>
      <c r="K300" s="1225">
        <v>644791344</v>
      </c>
      <c r="L300" s="1225">
        <v>614532908</v>
      </c>
    </row>
    <row r="301" spans="1:12">
      <c r="A301" s="187" t="s">
        <v>2830</v>
      </c>
      <c r="B301" s="1224" t="s">
        <v>2282</v>
      </c>
      <c r="C301" s="1225">
        <v>47892677</v>
      </c>
      <c r="D301" s="1225">
        <v>44950981</v>
      </c>
      <c r="E301" s="1225">
        <v>47892677</v>
      </c>
      <c r="F301" s="1225">
        <v>44950981</v>
      </c>
      <c r="G301" s="1225">
        <v>40310330</v>
      </c>
      <c r="H301" s="1225">
        <v>40310330</v>
      </c>
      <c r="I301" s="1225">
        <v>47892677</v>
      </c>
      <c r="J301" s="1225">
        <v>44950981</v>
      </c>
      <c r="K301" s="1225">
        <v>47892677</v>
      </c>
      <c r="L301" s="1225">
        <v>44950981</v>
      </c>
    </row>
    <row r="302" spans="1:12">
      <c r="A302" s="187" t="s">
        <v>3095</v>
      </c>
      <c r="B302" s="1224" t="s">
        <v>3014</v>
      </c>
      <c r="C302" s="1225">
        <v>44001215</v>
      </c>
      <c r="D302" s="1225">
        <v>41667581</v>
      </c>
      <c r="E302" s="1225">
        <v>44001215</v>
      </c>
      <c r="F302" s="1225">
        <v>41667581</v>
      </c>
      <c r="G302" s="1225">
        <v>37733267</v>
      </c>
      <c r="H302" s="1225">
        <v>37733267</v>
      </c>
      <c r="I302" s="1225">
        <v>44001215</v>
      </c>
      <c r="J302" s="1225">
        <v>41667581</v>
      </c>
      <c r="K302" s="1225">
        <v>44001215</v>
      </c>
      <c r="L302" s="1225">
        <v>41667581</v>
      </c>
    </row>
    <row r="303" spans="1:12">
      <c r="A303" s="187" t="s">
        <v>2712</v>
      </c>
      <c r="B303" s="1224" t="s">
        <v>1278</v>
      </c>
      <c r="C303" s="1225">
        <v>185884689</v>
      </c>
      <c r="D303" s="1225">
        <v>177875156</v>
      </c>
      <c r="E303" s="1225">
        <v>185884689</v>
      </c>
      <c r="F303" s="1225">
        <v>177875156</v>
      </c>
      <c r="G303" s="1225">
        <v>175487868</v>
      </c>
      <c r="H303" s="1225">
        <v>175487868</v>
      </c>
      <c r="I303" s="1225">
        <v>185884689</v>
      </c>
      <c r="J303" s="1225">
        <v>177875156</v>
      </c>
      <c r="K303" s="1225">
        <v>185884689</v>
      </c>
      <c r="L303" s="1225">
        <v>177875156</v>
      </c>
    </row>
    <row r="304" spans="1:12">
      <c r="A304" s="187" t="s">
        <v>2424</v>
      </c>
      <c r="B304" s="1224" t="s">
        <v>1279</v>
      </c>
      <c r="C304" s="1225">
        <v>167421643</v>
      </c>
      <c r="D304" s="1225">
        <v>158944074</v>
      </c>
      <c r="E304" s="1225">
        <v>167421643</v>
      </c>
      <c r="F304" s="1225">
        <v>158944074</v>
      </c>
      <c r="G304" s="1225">
        <v>141228711</v>
      </c>
      <c r="H304" s="1225">
        <v>141228711</v>
      </c>
      <c r="I304" s="1225">
        <v>167421643</v>
      </c>
      <c r="J304" s="1225">
        <v>158944074</v>
      </c>
      <c r="K304" s="1225">
        <v>167421643</v>
      </c>
      <c r="L304" s="1225">
        <v>158944074</v>
      </c>
    </row>
    <row r="305" spans="1:12">
      <c r="A305" s="187" t="s">
        <v>2426</v>
      </c>
      <c r="B305" s="1224" t="s">
        <v>1280</v>
      </c>
      <c r="C305" s="1225">
        <v>90151276</v>
      </c>
      <c r="D305" s="1225">
        <v>85396297</v>
      </c>
      <c r="E305" s="1225">
        <v>90151276</v>
      </c>
      <c r="F305" s="1225">
        <v>85396297</v>
      </c>
      <c r="G305" s="1225">
        <v>81311216</v>
      </c>
      <c r="H305" s="1225">
        <v>81311216</v>
      </c>
      <c r="I305" s="1225">
        <v>90151276</v>
      </c>
      <c r="J305" s="1225">
        <v>85396297</v>
      </c>
      <c r="K305" s="1225">
        <v>90151276</v>
      </c>
      <c r="L305" s="1225">
        <v>85396297</v>
      </c>
    </row>
    <row r="306" spans="1:12">
      <c r="A306" s="187" t="s">
        <v>2428</v>
      </c>
      <c r="B306" s="1224" t="s">
        <v>1281</v>
      </c>
      <c r="C306" s="1225">
        <v>179002829</v>
      </c>
      <c r="D306" s="1225">
        <v>170853209</v>
      </c>
      <c r="E306" s="1225">
        <v>179002829</v>
      </c>
      <c r="F306" s="1225">
        <v>170853209</v>
      </c>
      <c r="G306" s="1225">
        <v>149414650</v>
      </c>
      <c r="H306" s="1225">
        <v>149414650</v>
      </c>
      <c r="I306" s="1225">
        <v>179002829</v>
      </c>
      <c r="J306" s="1225">
        <v>170853209</v>
      </c>
      <c r="K306" s="1225">
        <v>179002829</v>
      </c>
      <c r="L306" s="1225">
        <v>170853209</v>
      </c>
    </row>
    <row r="307" spans="1:12">
      <c r="A307" s="187" t="s">
        <v>2832</v>
      </c>
      <c r="B307" s="1224" t="s">
        <v>377</v>
      </c>
      <c r="C307" s="1225">
        <v>108916411</v>
      </c>
      <c r="D307" s="1225">
        <v>102281469</v>
      </c>
      <c r="E307" s="1225">
        <v>108916411</v>
      </c>
      <c r="F307" s="1225">
        <v>102281469</v>
      </c>
      <c r="G307" s="1225">
        <v>93554226</v>
      </c>
      <c r="H307" s="1225">
        <v>93554226</v>
      </c>
      <c r="I307" s="1225">
        <v>108916411</v>
      </c>
      <c r="J307" s="1225">
        <v>102281469</v>
      </c>
      <c r="K307" s="1225">
        <v>108916411</v>
      </c>
      <c r="L307" s="1225">
        <v>102281469</v>
      </c>
    </row>
    <row r="308" spans="1:12">
      <c r="A308" s="187" t="s">
        <v>4923</v>
      </c>
      <c r="B308" s="1224" t="s">
        <v>1282</v>
      </c>
      <c r="C308" s="1225">
        <v>391133848</v>
      </c>
      <c r="D308" s="1225">
        <v>382361086</v>
      </c>
      <c r="E308" s="1225">
        <v>391133848</v>
      </c>
      <c r="F308" s="1225">
        <v>382361086</v>
      </c>
      <c r="G308" s="1225">
        <v>486596684</v>
      </c>
      <c r="H308" s="1225">
        <v>486596684</v>
      </c>
      <c r="I308" s="1225">
        <v>391133848</v>
      </c>
      <c r="J308" s="1225">
        <v>382361086</v>
      </c>
      <c r="K308" s="1225">
        <v>391133848</v>
      </c>
      <c r="L308" s="1225">
        <v>382361086</v>
      </c>
    </row>
    <row r="309" spans="1:12">
      <c r="A309" s="187" t="s">
        <v>4925</v>
      </c>
      <c r="B309" s="1224" t="s">
        <v>1283</v>
      </c>
      <c r="C309" s="1225">
        <v>1137580519</v>
      </c>
      <c r="D309" s="1225">
        <v>1107688604</v>
      </c>
      <c r="E309" s="1225">
        <v>1137580519</v>
      </c>
      <c r="F309" s="1225">
        <v>1107688604</v>
      </c>
      <c r="G309" s="1225">
        <v>1062942339</v>
      </c>
      <c r="H309" s="1225">
        <v>1062942339</v>
      </c>
      <c r="I309" s="1225">
        <v>1137580519</v>
      </c>
      <c r="J309" s="1225">
        <v>1107688604</v>
      </c>
      <c r="K309" s="1225">
        <v>1137580519</v>
      </c>
      <c r="L309" s="1225">
        <v>1107688604</v>
      </c>
    </row>
    <row r="310" spans="1:12">
      <c r="A310" s="187" t="s">
        <v>4927</v>
      </c>
      <c r="B310" s="1224" t="s">
        <v>1284</v>
      </c>
      <c r="C310" s="1225">
        <v>443514496</v>
      </c>
      <c r="D310" s="1225">
        <v>430816331</v>
      </c>
      <c r="E310" s="1225">
        <v>443514496</v>
      </c>
      <c r="F310" s="1225">
        <v>430816331</v>
      </c>
      <c r="G310" s="1225">
        <v>433205544</v>
      </c>
      <c r="H310" s="1225">
        <v>433205544</v>
      </c>
      <c r="I310" s="1225">
        <v>443514496</v>
      </c>
      <c r="J310" s="1225">
        <v>430816331</v>
      </c>
      <c r="K310" s="1225">
        <v>443514496</v>
      </c>
      <c r="L310" s="1225">
        <v>430816331</v>
      </c>
    </row>
    <row r="311" spans="1:12">
      <c r="A311" s="187" t="s">
        <v>4929</v>
      </c>
      <c r="B311" s="1224" t="s">
        <v>1285</v>
      </c>
      <c r="C311" s="1225">
        <v>188833005</v>
      </c>
      <c r="D311" s="1225">
        <v>183930070</v>
      </c>
      <c r="E311" s="1225">
        <v>188833005</v>
      </c>
      <c r="F311" s="1225">
        <v>183930070</v>
      </c>
      <c r="G311" s="1225">
        <v>174532512</v>
      </c>
      <c r="H311" s="1225">
        <v>174532512</v>
      </c>
      <c r="I311" s="1225">
        <v>188833005</v>
      </c>
      <c r="J311" s="1225">
        <v>183930070</v>
      </c>
      <c r="K311" s="1225">
        <v>188833005</v>
      </c>
      <c r="L311" s="1225">
        <v>183930070</v>
      </c>
    </row>
    <row r="312" spans="1:12">
      <c r="A312" s="187" t="s">
        <v>4931</v>
      </c>
      <c r="B312" s="1224" t="s">
        <v>1286</v>
      </c>
      <c r="C312" s="1225">
        <v>297727632</v>
      </c>
      <c r="D312" s="1225">
        <v>291661783</v>
      </c>
      <c r="E312" s="1225">
        <v>286452715</v>
      </c>
      <c r="F312" s="1225">
        <v>280386866</v>
      </c>
      <c r="G312" s="1225">
        <v>340652514</v>
      </c>
      <c r="H312" s="1225">
        <v>330747702</v>
      </c>
      <c r="I312" s="1225">
        <v>297727632</v>
      </c>
      <c r="J312" s="1225">
        <v>291661783</v>
      </c>
      <c r="K312" s="1225">
        <v>286452715</v>
      </c>
      <c r="L312" s="1225">
        <v>280386866</v>
      </c>
    </row>
    <row r="313" spans="1:12">
      <c r="A313" s="187" t="s">
        <v>4933</v>
      </c>
      <c r="B313" s="1224" t="s">
        <v>7379</v>
      </c>
      <c r="C313" s="1225">
        <v>99547695</v>
      </c>
      <c r="D313" s="1225">
        <v>96443905</v>
      </c>
      <c r="E313" s="1225">
        <v>99547695</v>
      </c>
      <c r="F313" s="1225">
        <v>96443905</v>
      </c>
      <c r="G313" s="1225">
        <v>115035636</v>
      </c>
      <c r="H313" s="1225">
        <v>115035636</v>
      </c>
      <c r="I313" s="1225">
        <v>99547695</v>
      </c>
      <c r="J313" s="1225">
        <v>96443905</v>
      </c>
      <c r="K313" s="1225">
        <v>99547695</v>
      </c>
      <c r="L313" s="1225">
        <v>96443905</v>
      </c>
    </row>
    <row r="314" spans="1:12">
      <c r="A314" s="187" t="s">
        <v>444</v>
      </c>
      <c r="B314" s="1224" t="s">
        <v>370</v>
      </c>
      <c r="C314" s="1225">
        <v>121932867</v>
      </c>
      <c r="D314" s="1225">
        <v>118692367</v>
      </c>
      <c r="E314" s="1225">
        <v>121932867</v>
      </c>
      <c r="F314" s="1225">
        <v>118692367</v>
      </c>
      <c r="G314" s="1225">
        <v>119485025</v>
      </c>
      <c r="H314" s="1225">
        <v>119485025</v>
      </c>
      <c r="I314" s="1225">
        <v>146786827</v>
      </c>
      <c r="J314" s="1225">
        <v>143546327</v>
      </c>
      <c r="K314" s="1225">
        <v>146786827</v>
      </c>
      <c r="L314" s="1225">
        <v>143546327</v>
      </c>
    </row>
    <row r="315" spans="1:12">
      <c r="A315" s="187" t="s">
        <v>3558</v>
      </c>
      <c r="B315" s="1224" t="s">
        <v>1288</v>
      </c>
      <c r="C315" s="1225">
        <v>324996390</v>
      </c>
      <c r="D315" s="1225">
        <v>317829830</v>
      </c>
      <c r="E315" s="1225">
        <v>324996390</v>
      </c>
      <c r="F315" s="1225">
        <v>317829830</v>
      </c>
      <c r="G315" s="1225">
        <v>272457821</v>
      </c>
      <c r="H315" s="1225">
        <v>272457821</v>
      </c>
      <c r="I315" s="1225">
        <v>506763590</v>
      </c>
      <c r="J315" s="1225">
        <v>499597030</v>
      </c>
      <c r="K315" s="1225">
        <v>506763590</v>
      </c>
      <c r="L315" s="1225">
        <v>499597030</v>
      </c>
    </row>
    <row r="316" spans="1:12">
      <c r="A316" s="187" t="s">
        <v>3560</v>
      </c>
      <c r="B316" s="1224" t="s">
        <v>2909</v>
      </c>
      <c r="C316" s="1225">
        <v>131187236</v>
      </c>
      <c r="D316" s="1225">
        <v>127145076</v>
      </c>
      <c r="E316" s="1225">
        <v>131187236</v>
      </c>
      <c r="F316" s="1225">
        <v>127145076</v>
      </c>
      <c r="G316" s="1225">
        <v>106119414</v>
      </c>
      <c r="H316" s="1225">
        <v>106119414</v>
      </c>
      <c r="I316" s="1225">
        <v>370265876</v>
      </c>
      <c r="J316" s="1225">
        <v>366223716</v>
      </c>
      <c r="K316" s="1225">
        <v>370265876</v>
      </c>
      <c r="L316" s="1225">
        <v>366223716</v>
      </c>
    </row>
    <row r="317" spans="1:12">
      <c r="A317" s="187" t="s">
        <v>3562</v>
      </c>
      <c r="B317" s="1224" t="s">
        <v>2910</v>
      </c>
      <c r="C317" s="1225">
        <v>221164040</v>
      </c>
      <c r="D317" s="1225">
        <v>218794940</v>
      </c>
      <c r="E317" s="1225">
        <v>221164040</v>
      </c>
      <c r="F317" s="1225">
        <v>218794940</v>
      </c>
      <c r="G317" s="1225">
        <v>181401770</v>
      </c>
      <c r="H317" s="1225">
        <v>181401770</v>
      </c>
      <c r="I317" s="1225">
        <v>221164040</v>
      </c>
      <c r="J317" s="1225">
        <v>218794940</v>
      </c>
      <c r="K317" s="1225">
        <v>221164040</v>
      </c>
      <c r="L317" s="1225">
        <v>218794940</v>
      </c>
    </row>
    <row r="318" spans="1:12">
      <c r="A318" s="187" t="s">
        <v>3564</v>
      </c>
      <c r="B318" s="1224" t="s">
        <v>7385</v>
      </c>
      <c r="C318" s="1225">
        <v>14525403604</v>
      </c>
      <c r="D318" s="1225">
        <v>14204838076</v>
      </c>
      <c r="E318" s="1225">
        <v>14525403604</v>
      </c>
      <c r="F318" s="1225">
        <v>14204838076</v>
      </c>
      <c r="G318" s="1225">
        <v>11940423648</v>
      </c>
      <c r="H318" s="1225">
        <v>11940423648</v>
      </c>
      <c r="I318" s="1225">
        <v>14525403604</v>
      </c>
      <c r="J318" s="1225">
        <v>14204838076</v>
      </c>
      <c r="K318" s="1225">
        <v>14525403604</v>
      </c>
      <c r="L318" s="1225">
        <v>14204838076</v>
      </c>
    </row>
    <row r="319" spans="1:12">
      <c r="A319" s="187" t="s">
        <v>6179</v>
      </c>
      <c r="B319" s="1224" t="s">
        <v>1932</v>
      </c>
      <c r="C319" s="1225">
        <v>824656945</v>
      </c>
      <c r="D319" s="1225">
        <v>793827865</v>
      </c>
      <c r="E319" s="1225">
        <v>824656945</v>
      </c>
      <c r="F319" s="1225">
        <v>793827865</v>
      </c>
      <c r="G319" s="1225">
        <v>689979657</v>
      </c>
      <c r="H319" s="1225">
        <v>689979657</v>
      </c>
      <c r="I319" s="1225">
        <v>824656945</v>
      </c>
      <c r="J319" s="1225">
        <v>793827865</v>
      </c>
      <c r="K319" s="1225">
        <v>824656945</v>
      </c>
      <c r="L319" s="1225">
        <v>793827865</v>
      </c>
    </row>
    <row r="320" spans="1:12">
      <c r="A320" s="187" t="s">
        <v>1309</v>
      </c>
      <c r="B320" s="1224" t="s">
        <v>114</v>
      </c>
      <c r="C320" s="1225">
        <v>35424919164</v>
      </c>
      <c r="D320" s="1225">
        <v>34579628148</v>
      </c>
      <c r="E320" s="1225">
        <v>35424919164</v>
      </c>
      <c r="F320" s="1225">
        <v>34579628148</v>
      </c>
      <c r="G320" s="1225">
        <v>28960187185</v>
      </c>
      <c r="H320" s="1225">
        <v>28960187185</v>
      </c>
      <c r="I320" s="1225">
        <v>35424919164</v>
      </c>
      <c r="J320" s="1225">
        <v>34579628148</v>
      </c>
      <c r="K320" s="1225">
        <v>35424919164</v>
      </c>
      <c r="L320" s="1225">
        <v>34579628148</v>
      </c>
    </row>
    <row r="321" spans="1:12">
      <c r="A321" s="187" t="s">
        <v>3568</v>
      </c>
      <c r="B321" s="1224" t="s">
        <v>7390</v>
      </c>
      <c r="C321" s="1225">
        <v>2377882994</v>
      </c>
      <c r="D321" s="1225">
        <v>2354063252</v>
      </c>
      <c r="E321" s="1225">
        <v>2333180579</v>
      </c>
      <c r="F321" s="1225">
        <v>2309360837</v>
      </c>
      <c r="G321" s="1225">
        <v>2276713340</v>
      </c>
      <c r="H321" s="1225">
        <v>2236987182</v>
      </c>
      <c r="I321" s="1225">
        <v>2377882994</v>
      </c>
      <c r="J321" s="1225">
        <v>2354063252</v>
      </c>
      <c r="K321" s="1225">
        <v>2333180579</v>
      </c>
      <c r="L321" s="1225">
        <v>2309360837</v>
      </c>
    </row>
    <row r="322" spans="1:12">
      <c r="A322" s="187" t="s">
        <v>1607</v>
      </c>
      <c r="B322" s="1224" t="s">
        <v>2914</v>
      </c>
      <c r="C322" s="1225">
        <v>990455173</v>
      </c>
      <c r="D322" s="1225">
        <v>969143773</v>
      </c>
      <c r="E322" s="1225">
        <v>990455173</v>
      </c>
      <c r="F322" s="1225">
        <v>969143773</v>
      </c>
      <c r="G322" s="1225">
        <v>995244035</v>
      </c>
      <c r="H322" s="1225">
        <v>995244035</v>
      </c>
      <c r="I322" s="1225">
        <v>990455173</v>
      </c>
      <c r="J322" s="1225">
        <v>969143773</v>
      </c>
      <c r="K322" s="1225">
        <v>990455173</v>
      </c>
      <c r="L322" s="1225">
        <v>969143773</v>
      </c>
    </row>
    <row r="323" spans="1:12">
      <c r="A323" s="187" t="s">
        <v>2482</v>
      </c>
      <c r="B323" s="1224" t="s">
        <v>2915</v>
      </c>
      <c r="C323" s="1225">
        <v>1489748831</v>
      </c>
      <c r="D323" s="1225">
        <v>1469589827</v>
      </c>
      <c r="E323" s="1225">
        <v>1489748831</v>
      </c>
      <c r="F323" s="1225">
        <v>1469589827</v>
      </c>
      <c r="G323" s="1225">
        <v>1721007206</v>
      </c>
      <c r="H323" s="1225">
        <v>1721007206</v>
      </c>
      <c r="I323" s="1225">
        <v>1489748831</v>
      </c>
      <c r="J323" s="1225">
        <v>1469589827</v>
      </c>
      <c r="K323" s="1225">
        <v>1489748831</v>
      </c>
      <c r="L323" s="1225">
        <v>1469589827</v>
      </c>
    </row>
    <row r="324" spans="1:12">
      <c r="A324" s="187" t="s">
        <v>2484</v>
      </c>
      <c r="B324" s="1224" t="s">
        <v>2916</v>
      </c>
      <c r="C324" s="1225">
        <v>727060111</v>
      </c>
      <c r="D324" s="1225">
        <v>715687471</v>
      </c>
      <c r="E324" s="1225">
        <v>727060111</v>
      </c>
      <c r="F324" s="1225">
        <v>715687471</v>
      </c>
      <c r="G324" s="1225">
        <v>968764498</v>
      </c>
      <c r="H324" s="1225">
        <v>968764498</v>
      </c>
      <c r="I324" s="1225">
        <v>727060111</v>
      </c>
      <c r="J324" s="1225">
        <v>715687471</v>
      </c>
      <c r="K324" s="1225">
        <v>727060111</v>
      </c>
      <c r="L324" s="1225">
        <v>715687471</v>
      </c>
    </row>
    <row r="325" spans="1:12">
      <c r="A325" s="187" t="s">
        <v>2486</v>
      </c>
      <c r="B325" s="1224" t="s">
        <v>2917</v>
      </c>
      <c r="C325" s="1225">
        <v>148237297</v>
      </c>
      <c r="D325" s="1225">
        <v>144433996</v>
      </c>
      <c r="E325" s="1225">
        <v>148237297</v>
      </c>
      <c r="F325" s="1225">
        <v>144433996</v>
      </c>
      <c r="G325" s="1225">
        <v>136184417</v>
      </c>
      <c r="H325" s="1225">
        <v>136184417</v>
      </c>
      <c r="I325" s="1225">
        <v>148237297</v>
      </c>
      <c r="J325" s="1225">
        <v>144433996</v>
      </c>
      <c r="K325" s="1225">
        <v>148237297</v>
      </c>
      <c r="L325" s="1225">
        <v>144433996</v>
      </c>
    </row>
    <row r="326" spans="1:12">
      <c r="A326" s="187" t="s">
        <v>2488</v>
      </c>
      <c r="B326" s="1224" t="s">
        <v>2918</v>
      </c>
      <c r="C326" s="1225">
        <v>146587009</v>
      </c>
      <c r="D326" s="1225">
        <v>144832357</v>
      </c>
      <c r="E326" s="1225">
        <v>146587009</v>
      </c>
      <c r="F326" s="1225">
        <v>144832357</v>
      </c>
      <c r="G326" s="1225">
        <v>205629304</v>
      </c>
      <c r="H326" s="1225">
        <v>205629304</v>
      </c>
      <c r="I326" s="1225">
        <v>146587009</v>
      </c>
      <c r="J326" s="1225">
        <v>144832357</v>
      </c>
      <c r="K326" s="1225">
        <v>146587009</v>
      </c>
      <c r="L326" s="1225">
        <v>144832357</v>
      </c>
    </row>
    <row r="327" spans="1:12">
      <c r="A327" s="187" t="s">
        <v>2834</v>
      </c>
      <c r="B327" s="1224" t="s">
        <v>1002</v>
      </c>
      <c r="C327" s="1225">
        <v>766507754</v>
      </c>
      <c r="D327" s="1225">
        <v>762022254</v>
      </c>
      <c r="E327" s="1225">
        <v>766507754</v>
      </c>
      <c r="F327" s="1225">
        <v>762022254</v>
      </c>
      <c r="G327" s="1225">
        <v>1549176039</v>
      </c>
      <c r="H327" s="1225">
        <v>1549176039</v>
      </c>
      <c r="I327" s="1225">
        <v>766507754</v>
      </c>
      <c r="J327" s="1225">
        <v>762022254</v>
      </c>
      <c r="K327" s="1225">
        <v>766507754</v>
      </c>
      <c r="L327" s="1225">
        <v>762022254</v>
      </c>
    </row>
    <row r="328" spans="1:12">
      <c r="A328" s="187" t="s">
        <v>445</v>
      </c>
      <c r="B328" s="1224" t="s">
        <v>5294</v>
      </c>
      <c r="C328" s="1225">
        <v>1140275253</v>
      </c>
      <c r="D328" s="1225">
        <v>1125378203</v>
      </c>
      <c r="E328" s="1225">
        <v>1140275253</v>
      </c>
      <c r="F328" s="1225">
        <v>1125378203</v>
      </c>
      <c r="G328" s="1225">
        <v>1501582248</v>
      </c>
      <c r="H328" s="1225">
        <v>1501582248</v>
      </c>
      <c r="I328" s="1225">
        <v>1140275253</v>
      </c>
      <c r="J328" s="1225">
        <v>1125378203</v>
      </c>
      <c r="K328" s="1225">
        <v>1140275253</v>
      </c>
      <c r="L328" s="1225">
        <v>1125378203</v>
      </c>
    </row>
    <row r="329" spans="1:12">
      <c r="A329" s="187" t="s">
        <v>2490</v>
      </c>
      <c r="B329" s="1224" t="s">
        <v>2919</v>
      </c>
      <c r="C329" s="1225">
        <v>172295798</v>
      </c>
      <c r="D329" s="1225">
        <v>168287515</v>
      </c>
      <c r="E329" s="1225">
        <v>172295798</v>
      </c>
      <c r="F329" s="1225">
        <v>168287515</v>
      </c>
      <c r="G329" s="1225">
        <v>268885275</v>
      </c>
      <c r="H329" s="1225">
        <v>268885275</v>
      </c>
      <c r="I329" s="1225">
        <v>172295798</v>
      </c>
      <c r="J329" s="1225">
        <v>168287515</v>
      </c>
      <c r="K329" s="1225">
        <v>172295798</v>
      </c>
      <c r="L329" s="1225">
        <v>168287515</v>
      </c>
    </row>
    <row r="330" spans="1:12">
      <c r="A330" s="187" t="s">
        <v>2492</v>
      </c>
      <c r="B330" s="1224" t="s">
        <v>2920</v>
      </c>
      <c r="C330" s="1225">
        <v>186284946</v>
      </c>
      <c r="D330" s="1225">
        <v>185491569</v>
      </c>
      <c r="E330" s="1225">
        <v>185665416</v>
      </c>
      <c r="F330" s="1225">
        <v>184872039</v>
      </c>
      <c r="G330" s="1225">
        <v>512970487</v>
      </c>
      <c r="H330" s="1225">
        <v>512321293</v>
      </c>
      <c r="I330" s="1225">
        <v>186284946</v>
      </c>
      <c r="J330" s="1225">
        <v>185491569</v>
      </c>
      <c r="K330" s="1225">
        <v>185665416</v>
      </c>
      <c r="L330" s="1225">
        <v>184872039</v>
      </c>
    </row>
    <row r="331" spans="1:12">
      <c r="A331" s="187" t="s">
        <v>2494</v>
      </c>
      <c r="B331" s="1224" t="s">
        <v>2921</v>
      </c>
      <c r="C331" s="1225">
        <v>2567794541</v>
      </c>
      <c r="D331" s="1225">
        <v>2542321186</v>
      </c>
      <c r="E331" s="1225">
        <v>2567794541</v>
      </c>
      <c r="F331" s="1225">
        <v>2542321186</v>
      </c>
      <c r="G331" s="1225">
        <v>5908074273</v>
      </c>
      <c r="H331" s="1225">
        <v>5908074273</v>
      </c>
      <c r="I331" s="1225">
        <v>2567794541</v>
      </c>
      <c r="J331" s="1225">
        <v>2542321186</v>
      </c>
      <c r="K331" s="1225">
        <v>2567794541</v>
      </c>
      <c r="L331" s="1225">
        <v>2542321186</v>
      </c>
    </row>
    <row r="332" spans="1:12">
      <c r="A332" s="187" t="s">
        <v>2498</v>
      </c>
      <c r="B332" s="1224" t="s">
        <v>2922</v>
      </c>
      <c r="C332" s="1225">
        <v>3525031585</v>
      </c>
      <c r="D332" s="1225">
        <v>3412946960</v>
      </c>
      <c r="E332" s="1225">
        <v>3525031585</v>
      </c>
      <c r="F332" s="1225">
        <v>3412946960</v>
      </c>
      <c r="G332" s="1225">
        <v>2939340052</v>
      </c>
      <c r="H332" s="1225">
        <v>2939340052</v>
      </c>
      <c r="I332" s="1225">
        <v>3525031585</v>
      </c>
      <c r="J332" s="1225">
        <v>3412946960</v>
      </c>
      <c r="K332" s="1225">
        <v>3525031585</v>
      </c>
      <c r="L332" s="1225">
        <v>3412946960</v>
      </c>
    </row>
    <row r="333" spans="1:12">
      <c r="A333" s="187" t="s">
        <v>1670</v>
      </c>
      <c r="B333" s="1224" t="s">
        <v>2923</v>
      </c>
      <c r="C333" s="1225">
        <v>7128473328</v>
      </c>
      <c r="D333" s="1225">
        <v>7027202651</v>
      </c>
      <c r="E333" s="1225">
        <v>6946254194</v>
      </c>
      <c r="F333" s="1225">
        <v>6844983517</v>
      </c>
      <c r="G333" s="1225">
        <v>5884349071</v>
      </c>
      <c r="H333" s="1225">
        <v>5732173153</v>
      </c>
      <c r="I333" s="1225">
        <v>7128473328</v>
      </c>
      <c r="J333" s="1225">
        <v>7027202651</v>
      </c>
      <c r="K333" s="1225">
        <v>6946254194</v>
      </c>
      <c r="L333" s="1225">
        <v>6844983517</v>
      </c>
    </row>
    <row r="334" spans="1:12">
      <c r="A334" s="187" t="s">
        <v>1867</v>
      </c>
      <c r="B334" s="1224" t="s">
        <v>3846</v>
      </c>
      <c r="C334" s="1225">
        <v>97415237</v>
      </c>
      <c r="D334" s="1225">
        <v>96226426</v>
      </c>
      <c r="E334" s="1225">
        <v>97048547</v>
      </c>
      <c r="F334" s="1225">
        <v>95859736</v>
      </c>
      <c r="G334" s="1225">
        <v>98578640</v>
      </c>
      <c r="H334" s="1225">
        <v>97662787</v>
      </c>
      <c r="I334" s="1225">
        <v>97415237</v>
      </c>
      <c r="J334" s="1225">
        <v>96226426</v>
      </c>
      <c r="K334" s="1225">
        <v>97048547</v>
      </c>
      <c r="L334" s="1225">
        <v>95859736</v>
      </c>
    </row>
    <row r="335" spans="1:12">
      <c r="A335" s="187" t="s">
        <v>1674</v>
      </c>
      <c r="B335" s="1224" t="s">
        <v>2925</v>
      </c>
      <c r="C335" s="1225">
        <v>5067794336</v>
      </c>
      <c r="D335" s="1225">
        <v>4952255025</v>
      </c>
      <c r="E335" s="1225">
        <v>4948007943</v>
      </c>
      <c r="F335" s="1225">
        <v>4832468632</v>
      </c>
      <c r="G335" s="1225">
        <v>4159539401</v>
      </c>
      <c r="H335" s="1225">
        <v>4107096348</v>
      </c>
      <c r="I335" s="1225">
        <v>5067794336</v>
      </c>
      <c r="J335" s="1225">
        <v>4952255025</v>
      </c>
      <c r="K335" s="1225">
        <v>4948007943</v>
      </c>
      <c r="L335" s="1225">
        <v>4832468632</v>
      </c>
    </row>
    <row r="336" spans="1:12">
      <c r="A336" s="187" t="s">
        <v>5048</v>
      </c>
      <c r="B336" s="1224" t="s">
        <v>2926</v>
      </c>
      <c r="C336" s="1225">
        <v>637036485</v>
      </c>
      <c r="D336" s="1225">
        <v>616316169</v>
      </c>
      <c r="E336" s="1225">
        <v>637036485</v>
      </c>
      <c r="F336" s="1225">
        <v>616316169</v>
      </c>
      <c r="G336" s="1225">
        <v>533454529</v>
      </c>
      <c r="H336" s="1225">
        <v>533454529</v>
      </c>
      <c r="I336" s="1225">
        <v>637036485</v>
      </c>
      <c r="J336" s="1225">
        <v>616316169</v>
      </c>
      <c r="K336" s="1225">
        <v>637036485</v>
      </c>
      <c r="L336" s="1225">
        <v>616316169</v>
      </c>
    </row>
    <row r="337" spans="1:12">
      <c r="A337" s="187" t="s">
        <v>2392</v>
      </c>
      <c r="B337" s="1224" t="s">
        <v>1458</v>
      </c>
      <c r="C337" s="1225">
        <v>1362846887</v>
      </c>
      <c r="D337" s="1225">
        <v>1295174084</v>
      </c>
      <c r="E337" s="1225">
        <v>1362846887</v>
      </c>
      <c r="F337" s="1225">
        <v>1295174084</v>
      </c>
      <c r="G337" s="1225">
        <v>1095939260</v>
      </c>
      <c r="H337" s="1225">
        <v>1095939260</v>
      </c>
      <c r="I337" s="1225">
        <v>1362846887</v>
      </c>
      <c r="J337" s="1225">
        <v>1295174084</v>
      </c>
      <c r="K337" s="1225">
        <v>1362846887</v>
      </c>
      <c r="L337" s="1225">
        <v>1295174084</v>
      </c>
    </row>
    <row r="338" spans="1:12">
      <c r="A338" s="187" t="s">
        <v>5050</v>
      </c>
      <c r="B338" s="1224" t="s">
        <v>2927</v>
      </c>
      <c r="C338" s="1225">
        <v>20889462451</v>
      </c>
      <c r="D338" s="1225">
        <v>20363232028</v>
      </c>
      <c r="E338" s="1225">
        <v>20585270070</v>
      </c>
      <c r="F338" s="1225">
        <v>20059039647</v>
      </c>
      <c r="G338" s="1225">
        <v>18063282039</v>
      </c>
      <c r="H338" s="1225">
        <v>17793579631</v>
      </c>
      <c r="I338" s="1225">
        <v>20889462451</v>
      </c>
      <c r="J338" s="1225">
        <v>20363232028</v>
      </c>
      <c r="K338" s="1225">
        <v>20585270070</v>
      </c>
      <c r="L338" s="1225">
        <v>20059039647</v>
      </c>
    </row>
    <row r="339" spans="1:12">
      <c r="A339" s="187" t="s">
        <v>1311</v>
      </c>
      <c r="B339" s="1224" t="s">
        <v>116</v>
      </c>
      <c r="C339" s="1225">
        <v>2823768649</v>
      </c>
      <c r="D339" s="1225">
        <v>2744057750</v>
      </c>
      <c r="E339" s="1225">
        <v>2823768649</v>
      </c>
      <c r="F339" s="1225">
        <v>2744057750</v>
      </c>
      <c r="G339" s="1225">
        <v>2390449284</v>
      </c>
      <c r="H339" s="1225">
        <v>2390449284</v>
      </c>
      <c r="I339" s="1225">
        <v>2823768649</v>
      </c>
      <c r="J339" s="1225">
        <v>2744057750</v>
      </c>
      <c r="K339" s="1225">
        <v>2823768649</v>
      </c>
      <c r="L339" s="1225">
        <v>2744057750</v>
      </c>
    </row>
    <row r="340" spans="1:12">
      <c r="A340" s="187" t="s">
        <v>3222</v>
      </c>
      <c r="B340" s="1224" t="s">
        <v>2928</v>
      </c>
      <c r="C340" s="1225">
        <v>347268539</v>
      </c>
      <c r="D340" s="1225">
        <v>340066224</v>
      </c>
      <c r="E340" s="1225">
        <v>347268539</v>
      </c>
      <c r="F340" s="1225">
        <v>340066224</v>
      </c>
      <c r="G340" s="1225">
        <v>891034882</v>
      </c>
      <c r="H340" s="1225">
        <v>891034882</v>
      </c>
      <c r="I340" s="1225">
        <v>347268539</v>
      </c>
      <c r="J340" s="1225">
        <v>340066224</v>
      </c>
      <c r="K340" s="1225">
        <v>347268539</v>
      </c>
      <c r="L340" s="1225">
        <v>340066224</v>
      </c>
    </row>
    <row r="341" spans="1:12">
      <c r="A341" s="187" t="s">
        <v>3224</v>
      </c>
      <c r="B341" s="1224" t="s">
        <v>2929</v>
      </c>
      <c r="C341" s="1225">
        <v>39654318</v>
      </c>
      <c r="D341" s="1225">
        <v>39207203</v>
      </c>
      <c r="E341" s="1225">
        <v>39654318</v>
      </c>
      <c r="F341" s="1225">
        <v>39207203</v>
      </c>
      <c r="G341" s="1225">
        <v>83427280</v>
      </c>
      <c r="H341" s="1225">
        <v>83427280</v>
      </c>
      <c r="I341" s="1225">
        <v>39654318</v>
      </c>
      <c r="J341" s="1225">
        <v>39207203</v>
      </c>
      <c r="K341" s="1225">
        <v>39654318</v>
      </c>
      <c r="L341" s="1225">
        <v>39207203</v>
      </c>
    </row>
    <row r="342" spans="1:12">
      <c r="A342" s="187" t="s">
        <v>3226</v>
      </c>
      <c r="B342" s="1224" t="s">
        <v>7413</v>
      </c>
      <c r="C342" s="1225">
        <v>43322067</v>
      </c>
      <c r="D342" s="1225">
        <v>42394567</v>
      </c>
      <c r="E342" s="1225">
        <v>43322067</v>
      </c>
      <c r="F342" s="1225">
        <v>42394567</v>
      </c>
      <c r="G342" s="1225">
        <v>38679589</v>
      </c>
      <c r="H342" s="1225">
        <v>38679589</v>
      </c>
      <c r="I342" s="1225">
        <v>43322067</v>
      </c>
      <c r="J342" s="1225">
        <v>42394567</v>
      </c>
      <c r="K342" s="1225">
        <v>43322067</v>
      </c>
      <c r="L342" s="1225">
        <v>42394567</v>
      </c>
    </row>
    <row r="343" spans="1:12">
      <c r="A343" s="187" t="s">
        <v>3228</v>
      </c>
      <c r="B343" s="1224" t="s">
        <v>2931</v>
      </c>
      <c r="C343" s="1225">
        <v>3023799554</v>
      </c>
      <c r="D343" s="1225">
        <v>2963715592</v>
      </c>
      <c r="E343" s="1225">
        <v>3023799554</v>
      </c>
      <c r="F343" s="1225">
        <v>2963715592</v>
      </c>
      <c r="G343" s="1225">
        <v>2661717482</v>
      </c>
      <c r="H343" s="1225">
        <v>2661717482</v>
      </c>
      <c r="I343" s="1225">
        <v>3023799554</v>
      </c>
      <c r="J343" s="1225">
        <v>2963715592</v>
      </c>
      <c r="K343" s="1225">
        <v>3023799554</v>
      </c>
      <c r="L343" s="1225">
        <v>2963715592</v>
      </c>
    </row>
    <row r="344" spans="1:12">
      <c r="A344" s="187" t="s">
        <v>3230</v>
      </c>
      <c r="B344" s="1224" t="s">
        <v>2932</v>
      </c>
      <c r="C344" s="1225">
        <v>408438176</v>
      </c>
      <c r="D344" s="1225">
        <v>396706436</v>
      </c>
      <c r="E344" s="1225">
        <v>408438176</v>
      </c>
      <c r="F344" s="1225">
        <v>396706436</v>
      </c>
      <c r="G344" s="1225">
        <v>382801365</v>
      </c>
      <c r="H344" s="1225">
        <v>382801365</v>
      </c>
      <c r="I344" s="1225">
        <v>408438176</v>
      </c>
      <c r="J344" s="1225">
        <v>396706436</v>
      </c>
      <c r="K344" s="1225">
        <v>408438176</v>
      </c>
      <c r="L344" s="1225">
        <v>396706436</v>
      </c>
    </row>
    <row r="345" spans="1:12">
      <c r="A345" s="187" t="s">
        <v>3232</v>
      </c>
      <c r="B345" s="1224" t="s">
        <v>3788</v>
      </c>
      <c r="C345" s="1225">
        <v>2333697726</v>
      </c>
      <c r="D345" s="1225">
        <v>2331547159</v>
      </c>
      <c r="E345" s="1225">
        <v>2331354083</v>
      </c>
      <c r="F345" s="1225">
        <v>2329203516</v>
      </c>
      <c r="G345" s="1225">
        <v>3742344746</v>
      </c>
      <c r="H345" s="1225">
        <v>3740241229</v>
      </c>
      <c r="I345" s="1225">
        <v>2786735886</v>
      </c>
      <c r="J345" s="1225">
        <v>2784585319</v>
      </c>
      <c r="K345" s="1225">
        <v>2784392243</v>
      </c>
      <c r="L345" s="1225">
        <v>2782241676</v>
      </c>
    </row>
    <row r="346" spans="1:12">
      <c r="A346" s="187" t="s">
        <v>1899</v>
      </c>
      <c r="B346" s="1224" t="s">
        <v>3789</v>
      </c>
      <c r="C346" s="1225">
        <v>857289395</v>
      </c>
      <c r="D346" s="1225">
        <v>839396471</v>
      </c>
      <c r="E346" s="1225">
        <v>836418362</v>
      </c>
      <c r="F346" s="1225">
        <v>818525438</v>
      </c>
      <c r="G346" s="1225">
        <v>1104167678</v>
      </c>
      <c r="H346" s="1225">
        <v>1084263072</v>
      </c>
      <c r="I346" s="1225">
        <v>992713715</v>
      </c>
      <c r="J346" s="1225">
        <v>974820791</v>
      </c>
      <c r="K346" s="1225">
        <v>971842682</v>
      </c>
      <c r="L346" s="1225">
        <v>953949758</v>
      </c>
    </row>
    <row r="347" spans="1:12">
      <c r="A347" s="187" t="s">
        <v>1853</v>
      </c>
      <c r="B347" s="1224" t="s">
        <v>4964</v>
      </c>
      <c r="C347" s="1225">
        <v>1343286388</v>
      </c>
      <c r="D347" s="1225">
        <v>1321947088</v>
      </c>
      <c r="E347" s="1225">
        <v>1343286388</v>
      </c>
      <c r="F347" s="1225">
        <v>1321947088</v>
      </c>
      <c r="G347" s="1225">
        <v>2593336694</v>
      </c>
      <c r="H347" s="1225">
        <v>2593336694</v>
      </c>
      <c r="I347" s="1225">
        <v>1343286388</v>
      </c>
      <c r="J347" s="1225">
        <v>1321947088</v>
      </c>
      <c r="K347" s="1225">
        <v>1343286388</v>
      </c>
      <c r="L347" s="1225">
        <v>1321947088</v>
      </c>
    </row>
    <row r="348" spans="1:12">
      <c r="A348" s="187" t="s">
        <v>1901</v>
      </c>
      <c r="B348" s="1224" t="s">
        <v>7420</v>
      </c>
      <c r="C348" s="1225">
        <v>649357859</v>
      </c>
      <c r="D348" s="1225">
        <v>641941086</v>
      </c>
      <c r="E348" s="1225">
        <v>642352480</v>
      </c>
      <c r="F348" s="1225">
        <v>634935707</v>
      </c>
      <c r="G348" s="1225">
        <v>1735457991</v>
      </c>
      <c r="H348" s="1225">
        <v>1728408001</v>
      </c>
      <c r="I348" s="1225">
        <v>649357859</v>
      </c>
      <c r="J348" s="1225">
        <v>641941086</v>
      </c>
      <c r="K348" s="1225">
        <v>642352480</v>
      </c>
      <c r="L348" s="1225">
        <v>634935707</v>
      </c>
    </row>
    <row r="349" spans="1:12">
      <c r="A349" s="187" t="s">
        <v>1903</v>
      </c>
      <c r="B349" s="1224" t="s">
        <v>3791</v>
      </c>
      <c r="C349" s="1225">
        <v>187353501</v>
      </c>
      <c r="D349" s="1225">
        <v>184632391</v>
      </c>
      <c r="E349" s="1225">
        <v>187353501</v>
      </c>
      <c r="F349" s="1225">
        <v>184632391</v>
      </c>
      <c r="G349" s="1225">
        <v>215547288</v>
      </c>
      <c r="H349" s="1225">
        <v>215547288</v>
      </c>
      <c r="I349" s="1225">
        <v>187353501</v>
      </c>
      <c r="J349" s="1225">
        <v>184632391</v>
      </c>
      <c r="K349" s="1225">
        <v>187353501</v>
      </c>
      <c r="L349" s="1225">
        <v>184632391</v>
      </c>
    </row>
    <row r="350" spans="1:12">
      <c r="A350" s="187" t="s">
        <v>52</v>
      </c>
      <c r="B350" s="1224" t="s">
        <v>5666</v>
      </c>
      <c r="C350" s="1225">
        <v>92560152</v>
      </c>
      <c r="D350" s="1225">
        <v>92008862</v>
      </c>
      <c r="E350" s="1225">
        <v>92560152</v>
      </c>
      <c r="F350" s="1225">
        <v>92008862</v>
      </c>
      <c r="G350" s="1225">
        <v>200557418</v>
      </c>
      <c r="H350" s="1225">
        <v>200557418</v>
      </c>
      <c r="I350" s="1225">
        <v>92560152</v>
      </c>
      <c r="J350" s="1225">
        <v>92008862</v>
      </c>
      <c r="K350" s="1225">
        <v>92560152</v>
      </c>
      <c r="L350" s="1225">
        <v>92008862</v>
      </c>
    </row>
    <row r="351" spans="1:12">
      <c r="A351" s="187" t="s">
        <v>54</v>
      </c>
      <c r="B351" s="1224" t="s">
        <v>5667</v>
      </c>
      <c r="C351" s="1225">
        <v>104972728</v>
      </c>
      <c r="D351" s="1225">
        <v>103462208</v>
      </c>
      <c r="E351" s="1225">
        <v>104972728</v>
      </c>
      <c r="F351" s="1225">
        <v>103462208</v>
      </c>
      <c r="G351" s="1225">
        <v>155285722</v>
      </c>
      <c r="H351" s="1225">
        <v>155285722</v>
      </c>
      <c r="I351" s="1225">
        <v>104972728</v>
      </c>
      <c r="J351" s="1225">
        <v>103462208</v>
      </c>
      <c r="K351" s="1225">
        <v>104972728</v>
      </c>
      <c r="L351" s="1225">
        <v>103462208</v>
      </c>
    </row>
    <row r="352" spans="1:12">
      <c r="A352" s="187" t="s">
        <v>6191</v>
      </c>
      <c r="B352" s="1224" t="s">
        <v>3629</v>
      </c>
      <c r="C352" s="1225">
        <v>1104433060</v>
      </c>
      <c r="D352" s="1225">
        <v>1072366040</v>
      </c>
      <c r="E352" s="1225">
        <v>1104433060</v>
      </c>
      <c r="F352" s="1225">
        <v>1072366040</v>
      </c>
      <c r="G352" s="1225">
        <v>1280401882</v>
      </c>
      <c r="H352" s="1225">
        <v>1280401882</v>
      </c>
      <c r="I352" s="1225">
        <v>1104433060</v>
      </c>
      <c r="J352" s="1225">
        <v>1072366040</v>
      </c>
      <c r="K352" s="1225">
        <v>1104433060</v>
      </c>
      <c r="L352" s="1225">
        <v>1072366040</v>
      </c>
    </row>
    <row r="353" spans="1:12">
      <c r="A353" s="187" t="s">
        <v>732</v>
      </c>
      <c r="B353" s="1224" t="s">
        <v>5668</v>
      </c>
      <c r="C353" s="1225">
        <v>97375199</v>
      </c>
      <c r="D353" s="1225">
        <v>97110599</v>
      </c>
      <c r="E353" s="1225">
        <v>97375199</v>
      </c>
      <c r="F353" s="1225">
        <v>97110599</v>
      </c>
      <c r="G353" s="1225">
        <v>155064002</v>
      </c>
      <c r="H353" s="1225">
        <v>155064002</v>
      </c>
      <c r="I353" s="1225">
        <v>97375199</v>
      </c>
      <c r="J353" s="1225">
        <v>97110599</v>
      </c>
      <c r="K353" s="1225">
        <v>97375199</v>
      </c>
      <c r="L353" s="1225">
        <v>97110599</v>
      </c>
    </row>
    <row r="354" spans="1:12">
      <c r="A354" s="187" t="s">
        <v>949</v>
      </c>
      <c r="B354" s="1224" t="s">
        <v>7653</v>
      </c>
      <c r="C354" s="1225">
        <v>214818961</v>
      </c>
      <c r="D354" s="1225">
        <v>205719051</v>
      </c>
      <c r="E354" s="1225">
        <v>214818961</v>
      </c>
      <c r="F354" s="1225">
        <v>205719051</v>
      </c>
      <c r="G354" s="1225">
        <v>188096406</v>
      </c>
      <c r="H354" s="1225">
        <v>188096406</v>
      </c>
      <c r="I354" s="1225">
        <v>214818961</v>
      </c>
      <c r="J354" s="1225">
        <v>205719051</v>
      </c>
      <c r="K354" s="1225">
        <v>214818961</v>
      </c>
      <c r="L354" s="1225">
        <v>205719051</v>
      </c>
    </row>
    <row r="355" spans="1:12">
      <c r="A355" s="187" t="s">
        <v>3980</v>
      </c>
      <c r="B355" s="1224" t="s">
        <v>5669</v>
      </c>
      <c r="C355" s="1225">
        <v>158738234</v>
      </c>
      <c r="D355" s="1225">
        <v>152327428</v>
      </c>
      <c r="E355" s="1225">
        <v>158738234</v>
      </c>
      <c r="F355" s="1225">
        <v>152327428</v>
      </c>
      <c r="G355" s="1225">
        <v>139402149</v>
      </c>
      <c r="H355" s="1225">
        <v>139402149</v>
      </c>
      <c r="I355" s="1225">
        <v>158738234</v>
      </c>
      <c r="J355" s="1225">
        <v>152327428</v>
      </c>
      <c r="K355" s="1225">
        <v>158738234</v>
      </c>
      <c r="L355" s="1225">
        <v>152327428</v>
      </c>
    </row>
    <row r="356" spans="1:12">
      <c r="A356" s="187" t="s">
        <v>3982</v>
      </c>
      <c r="B356" s="1224" t="s">
        <v>5670</v>
      </c>
      <c r="C356" s="1225">
        <v>1549588695</v>
      </c>
      <c r="D356" s="1225">
        <v>1493833625</v>
      </c>
      <c r="E356" s="1225">
        <v>1549588695</v>
      </c>
      <c r="F356" s="1225">
        <v>1493833625</v>
      </c>
      <c r="G356" s="1225">
        <v>1364515996</v>
      </c>
      <c r="H356" s="1225">
        <v>1364515996</v>
      </c>
      <c r="I356" s="1225">
        <v>1549588695</v>
      </c>
      <c r="J356" s="1225">
        <v>1493833625</v>
      </c>
      <c r="K356" s="1225">
        <v>1549588695</v>
      </c>
      <c r="L356" s="1225">
        <v>1493833625</v>
      </c>
    </row>
    <row r="357" spans="1:12">
      <c r="A357" s="187" t="s">
        <v>1871</v>
      </c>
      <c r="B357" s="1224" t="s">
        <v>3851</v>
      </c>
      <c r="C357" s="1225">
        <v>238765818</v>
      </c>
      <c r="D357" s="1225">
        <v>228486660</v>
      </c>
      <c r="E357" s="1225">
        <v>238765818</v>
      </c>
      <c r="F357" s="1225">
        <v>228486660</v>
      </c>
      <c r="G357" s="1225">
        <v>211801512</v>
      </c>
      <c r="H357" s="1225">
        <v>211801512</v>
      </c>
      <c r="I357" s="1225">
        <v>238765818</v>
      </c>
      <c r="J357" s="1225">
        <v>228486660</v>
      </c>
      <c r="K357" s="1225">
        <v>238765818</v>
      </c>
      <c r="L357" s="1225">
        <v>228486660</v>
      </c>
    </row>
    <row r="358" spans="1:12">
      <c r="A358" s="187" t="s">
        <v>3116</v>
      </c>
      <c r="B358" s="1224" t="s">
        <v>5242</v>
      </c>
      <c r="C358" s="1225">
        <v>2913634730</v>
      </c>
      <c r="D358" s="1225">
        <v>2845067801</v>
      </c>
      <c r="E358" s="1225">
        <v>2913634730</v>
      </c>
      <c r="F358" s="1225">
        <v>2845067801</v>
      </c>
      <c r="G358" s="1225">
        <v>2670804288</v>
      </c>
      <c r="H358" s="1225">
        <v>2670804288</v>
      </c>
      <c r="I358" s="1225">
        <v>2913634730</v>
      </c>
      <c r="J358" s="1225">
        <v>2845067801</v>
      </c>
      <c r="K358" s="1225">
        <v>2913634730</v>
      </c>
      <c r="L358" s="1225">
        <v>2845067801</v>
      </c>
    </row>
    <row r="359" spans="1:12">
      <c r="A359" s="187" t="s">
        <v>3118</v>
      </c>
      <c r="B359" s="1224" t="s">
        <v>5243</v>
      </c>
      <c r="C359" s="1225">
        <v>91094667</v>
      </c>
      <c r="D359" s="1225">
        <v>87708817</v>
      </c>
      <c r="E359" s="1225">
        <v>91094667</v>
      </c>
      <c r="F359" s="1225">
        <v>87708817</v>
      </c>
      <c r="G359" s="1225">
        <v>74977475</v>
      </c>
      <c r="H359" s="1225">
        <v>74977475</v>
      </c>
      <c r="I359" s="1225">
        <v>91094667</v>
      </c>
      <c r="J359" s="1225">
        <v>87708817</v>
      </c>
      <c r="K359" s="1225">
        <v>91094667</v>
      </c>
      <c r="L359" s="1225">
        <v>87708817</v>
      </c>
    </row>
    <row r="360" spans="1:12">
      <c r="A360" s="187" t="s">
        <v>2836</v>
      </c>
      <c r="B360" s="1224" t="s">
        <v>5373</v>
      </c>
      <c r="C360" s="1225">
        <v>572296415</v>
      </c>
      <c r="D360" s="1225">
        <v>554327477</v>
      </c>
      <c r="E360" s="1225">
        <v>572296415</v>
      </c>
      <c r="F360" s="1225">
        <v>554327477</v>
      </c>
      <c r="G360" s="1225">
        <v>502518148</v>
      </c>
      <c r="H360" s="1225">
        <v>502518148</v>
      </c>
      <c r="I360" s="1225">
        <v>572296415</v>
      </c>
      <c r="J360" s="1225">
        <v>554327477</v>
      </c>
      <c r="K360" s="1225">
        <v>572296415</v>
      </c>
      <c r="L360" s="1225">
        <v>554327477</v>
      </c>
    </row>
    <row r="361" spans="1:12">
      <c r="A361" s="187" t="s">
        <v>2838</v>
      </c>
      <c r="B361" s="1224" t="s">
        <v>4071</v>
      </c>
      <c r="C361" s="1225">
        <v>721167760</v>
      </c>
      <c r="D361" s="1225">
        <v>698981535</v>
      </c>
      <c r="E361" s="1225">
        <v>721167760</v>
      </c>
      <c r="F361" s="1225">
        <v>698981535</v>
      </c>
      <c r="G361" s="1225">
        <v>637878974</v>
      </c>
      <c r="H361" s="1225">
        <v>637878974</v>
      </c>
      <c r="I361" s="1225">
        <v>721167760</v>
      </c>
      <c r="J361" s="1225">
        <v>698981535</v>
      </c>
      <c r="K361" s="1225">
        <v>721167760</v>
      </c>
      <c r="L361" s="1225">
        <v>698981535</v>
      </c>
    </row>
    <row r="362" spans="1:12">
      <c r="A362" s="187" t="s">
        <v>5220</v>
      </c>
      <c r="B362" s="1224" t="s">
        <v>5244</v>
      </c>
      <c r="C362" s="1225">
        <v>208159162</v>
      </c>
      <c r="D362" s="1225">
        <v>199971145</v>
      </c>
      <c r="E362" s="1225">
        <v>208159162</v>
      </c>
      <c r="F362" s="1225">
        <v>199971145</v>
      </c>
      <c r="G362" s="1225">
        <v>169518053</v>
      </c>
      <c r="H362" s="1225">
        <v>169518053</v>
      </c>
      <c r="I362" s="1225">
        <v>208159162</v>
      </c>
      <c r="J362" s="1225">
        <v>199971145</v>
      </c>
      <c r="K362" s="1225">
        <v>208159162</v>
      </c>
      <c r="L362" s="1225">
        <v>199971145</v>
      </c>
    </row>
    <row r="363" spans="1:12">
      <c r="A363" s="187" t="s">
        <v>5129</v>
      </c>
      <c r="B363" s="1224" t="s">
        <v>347</v>
      </c>
      <c r="C363" s="1225">
        <v>840878713</v>
      </c>
      <c r="D363" s="1225">
        <v>818825232</v>
      </c>
      <c r="E363" s="1225">
        <v>840878713</v>
      </c>
      <c r="F363" s="1225">
        <v>818825232</v>
      </c>
      <c r="G363" s="1225">
        <v>746606347</v>
      </c>
      <c r="H363" s="1225">
        <v>746606347</v>
      </c>
      <c r="I363" s="1225">
        <v>840878713</v>
      </c>
      <c r="J363" s="1225">
        <v>818825232</v>
      </c>
      <c r="K363" s="1225">
        <v>840878713</v>
      </c>
      <c r="L363" s="1225">
        <v>818825232</v>
      </c>
    </row>
    <row r="364" spans="1:12">
      <c r="A364" s="187" t="s">
        <v>5222</v>
      </c>
      <c r="B364" s="1224" t="s">
        <v>7437</v>
      </c>
      <c r="C364" s="1225">
        <v>342149855</v>
      </c>
      <c r="D364" s="1225">
        <v>329885353</v>
      </c>
      <c r="E364" s="1225">
        <v>342149855</v>
      </c>
      <c r="F364" s="1225">
        <v>329885353</v>
      </c>
      <c r="G364" s="1225">
        <v>378896405</v>
      </c>
      <c r="H364" s="1225">
        <v>378896405</v>
      </c>
      <c r="I364" s="1225">
        <v>342149855</v>
      </c>
      <c r="J364" s="1225">
        <v>329885353</v>
      </c>
      <c r="K364" s="1225">
        <v>342149855</v>
      </c>
      <c r="L364" s="1225">
        <v>329885353</v>
      </c>
    </row>
    <row r="365" spans="1:12">
      <c r="A365" s="187" t="s">
        <v>1858</v>
      </c>
      <c r="B365" s="1224" t="s">
        <v>3914</v>
      </c>
      <c r="C365" s="1225">
        <v>258251806</v>
      </c>
      <c r="D365" s="1225">
        <v>251802532</v>
      </c>
      <c r="E365" s="1225">
        <v>258251806</v>
      </c>
      <c r="F365" s="1225">
        <v>251802532</v>
      </c>
      <c r="G365" s="1225">
        <v>205723676</v>
      </c>
      <c r="H365" s="1225">
        <v>205723676</v>
      </c>
      <c r="I365" s="1225">
        <v>258251806</v>
      </c>
      <c r="J365" s="1225">
        <v>251802532</v>
      </c>
      <c r="K365" s="1225">
        <v>258251806</v>
      </c>
      <c r="L365" s="1225">
        <v>251802532</v>
      </c>
    </row>
    <row r="366" spans="1:12">
      <c r="A366" s="187" t="s">
        <v>5224</v>
      </c>
      <c r="B366" s="1224" t="s">
        <v>7160</v>
      </c>
      <c r="C366" s="1225">
        <v>198142309</v>
      </c>
      <c r="D366" s="1225">
        <v>188364175</v>
      </c>
      <c r="E366" s="1225">
        <v>198142309</v>
      </c>
      <c r="F366" s="1225">
        <v>188364175</v>
      </c>
      <c r="G366" s="1225">
        <v>165357274</v>
      </c>
      <c r="H366" s="1225">
        <v>165357274</v>
      </c>
      <c r="I366" s="1225">
        <v>198142309</v>
      </c>
      <c r="J366" s="1225">
        <v>188364175</v>
      </c>
      <c r="K366" s="1225">
        <v>198142309</v>
      </c>
      <c r="L366" s="1225">
        <v>188364175</v>
      </c>
    </row>
    <row r="367" spans="1:12">
      <c r="A367" s="187" t="s">
        <v>5228</v>
      </c>
      <c r="B367" s="1224" t="s">
        <v>7161</v>
      </c>
      <c r="C367" s="1225">
        <v>493133155</v>
      </c>
      <c r="D367" s="1225">
        <v>471118017</v>
      </c>
      <c r="E367" s="1225">
        <v>468541396</v>
      </c>
      <c r="F367" s="1225">
        <v>446526258</v>
      </c>
      <c r="G367" s="1225">
        <v>554873867</v>
      </c>
      <c r="H367" s="1225">
        <v>530593146</v>
      </c>
      <c r="I367" s="1225">
        <v>493133155</v>
      </c>
      <c r="J367" s="1225">
        <v>471118017</v>
      </c>
      <c r="K367" s="1225">
        <v>468541396</v>
      </c>
      <c r="L367" s="1225">
        <v>446526258</v>
      </c>
    </row>
    <row r="368" spans="1:12">
      <c r="A368" s="187" t="s">
        <v>5230</v>
      </c>
      <c r="B368" s="1224" t="s">
        <v>7162</v>
      </c>
      <c r="C368" s="1225">
        <v>1564944929</v>
      </c>
      <c r="D368" s="1225">
        <v>1523757197</v>
      </c>
      <c r="E368" s="1225">
        <v>1564944929</v>
      </c>
      <c r="F368" s="1225">
        <v>1523757197</v>
      </c>
      <c r="G368" s="1225">
        <v>1724341430</v>
      </c>
      <c r="H368" s="1225">
        <v>1670062820</v>
      </c>
      <c r="I368" s="1225">
        <v>1564944929</v>
      </c>
      <c r="J368" s="1225">
        <v>1523757197</v>
      </c>
      <c r="K368" s="1225">
        <v>1564944929</v>
      </c>
      <c r="L368" s="1225">
        <v>1523757197</v>
      </c>
    </row>
    <row r="369" spans="1:12">
      <c r="A369" s="187" t="s">
        <v>2994</v>
      </c>
      <c r="B369" s="1224" t="s">
        <v>199</v>
      </c>
      <c r="C369" s="1225">
        <v>4087115351</v>
      </c>
      <c r="D369" s="1225">
        <v>3987427458</v>
      </c>
      <c r="E369" s="1225">
        <v>4087115351</v>
      </c>
      <c r="F369" s="1225">
        <v>3987427458</v>
      </c>
      <c r="G369" s="1225">
        <v>4120921482</v>
      </c>
      <c r="H369" s="1225">
        <v>4120921482</v>
      </c>
      <c r="I369" s="1225">
        <v>4087115351</v>
      </c>
      <c r="J369" s="1225">
        <v>3987427458</v>
      </c>
      <c r="K369" s="1225">
        <v>4087115351</v>
      </c>
      <c r="L369" s="1225">
        <v>3987427458</v>
      </c>
    </row>
    <row r="370" spans="1:12">
      <c r="A370" s="187" t="s">
        <v>7723</v>
      </c>
      <c r="B370" s="1224" t="s">
        <v>7163</v>
      </c>
      <c r="C370" s="1225">
        <v>1633009696</v>
      </c>
      <c r="D370" s="1225">
        <v>1582953825</v>
      </c>
      <c r="E370" s="1225">
        <v>1555194489</v>
      </c>
      <c r="F370" s="1225">
        <v>1505138618</v>
      </c>
      <c r="G370" s="1225">
        <v>1650968150</v>
      </c>
      <c r="H370" s="1225">
        <v>1568750085</v>
      </c>
      <c r="I370" s="1225">
        <v>1633009696</v>
      </c>
      <c r="J370" s="1225">
        <v>1582953825</v>
      </c>
      <c r="K370" s="1225">
        <v>1555194489</v>
      </c>
      <c r="L370" s="1225">
        <v>1505138618</v>
      </c>
    </row>
    <row r="371" spans="1:12">
      <c r="A371" s="187" t="s">
        <v>221</v>
      </c>
      <c r="B371" s="1224" t="s">
        <v>7164</v>
      </c>
      <c r="C371" s="1225">
        <v>455520969</v>
      </c>
      <c r="D371" s="1225">
        <v>442003728</v>
      </c>
      <c r="E371" s="1225">
        <v>435378119</v>
      </c>
      <c r="F371" s="1225">
        <v>421860878</v>
      </c>
      <c r="G371" s="1225">
        <v>473045546</v>
      </c>
      <c r="H371" s="1225">
        <v>453550719</v>
      </c>
      <c r="I371" s="1225">
        <v>455520969</v>
      </c>
      <c r="J371" s="1225">
        <v>442003728</v>
      </c>
      <c r="K371" s="1225">
        <v>435378119</v>
      </c>
      <c r="L371" s="1225">
        <v>421860878</v>
      </c>
    </row>
    <row r="372" spans="1:12">
      <c r="A372" s="187" t="s">
        <v>2406</v>
      </c>
      <c r="B372" s="1224" t="s">
        <v>2351</v>
      </c>
      <c r="C372" s="1225">
        <v>525858407</v>
      </c>
      <c r="D372" s="1225">
        <v>506616043</v>
      </c>
      <c r="E372" s="1225">
        <v>494374509</v>
      </c>
      <c r="F372" s="1225">
        <v>475132145</v>
      </c>
      <c r="G372" s="1225">
        <v>518633842</v>
      </c>
      <c r="H372" s="1225">
        <v>486772063</v>
      </c>
      <c r="I372" s="1225">
        <v>525858407</v>
      </c>
      <c r="J372" s="1225">
        <v>506616043</v>
      </c>
      <c r="K372" s="1225">
        <v>494374509</v>
      </c>
      <c r="L372" s="1225">
        <v>475132145</v>
      </c>
    </row>
    <row r="373" spans="1:12">
      <c r="A373" s="187" t="s">
        <v>223</v>
      </c>
      <c r="B373" s="1224" t="s">
        <v>7165</v>
      </c>
      <c r="C373" s="1225">
        <v>346570660</v>
      </c>
      <c r="D373" s="1225">
        <v>332239447</v>
      </c>
      <c r="E373" s="1225">
        <v>324053686</v>
      </c>
      <c r="F373" s="1225">
        <v>309722473</v>
      </c>
      <c r="G373" s="1225">
        <v>400559689</v>
      </c>
      <c r="H373" s="1225">
        <v>377727480</v>
      </c>
      <c r="I373" s="1225">
        <v>346570660</v>
      </c>
      <c r="J373" s="1225">
        <v>332239447</v>
      </c>
      <c r="K373" s="1225">
        <v>324053686</v>
      </c>
      <c r="L373" s="1225">
        <v>309722473</v>
      </c>
    </row>
    <row r="374" spans="1:12">
      <c r="A374" s="187" t="s">
        <v>225</v>
      </c>
      <c r="B374" s="1224" t="s">
        <v>7448</v>
      </c>
      <c r="C374" s="1225">
        <v>576637835</v>
      </c>
      <c r="D374" s="1225">
        <v>568686180</v>
      </c>
      <c r="E374" s="1225">
        <v>576637835</v>
      </c>
      <c r="F374" s="1225">
        <v>568686180</v>
      </c>
      <c r="G374" s="1225">
        <v>521697895</v>
      </c>
      <c r="H374" s="1225">
        <v>521697895</v>
      </c>
      <c r="I374" s="1225">
        <v>576637835</v>
      </c>
      <c r="J374" s="1225">
        <v>568686180</v>
      </c>
      <c r="K374" s="1225">
        <v>576637835</v>
      </c>
      <c r="L374" s="1225">
        <v>568686180</v>
      </c>
    </row>
    <row r="375" spans="1:12">
      <c r="A375" s="187" t="s">
        <v>227</v>
      </c>
      <c r="B375" s="1224" t="s">
        <v>7167</v>
      </c>
      <c r="C375" s="1225">
        <v>270139821</v>
      </c>
      <c r="D375" s="1225">
        <v>263809729</v>
      </c>
      <c r="E375" s="1225">
        <v>270139821</v>
      </c>
      <c r="F375" s="1225">
        <v>263809729</v>
      </c>
      <c r="G375" s="1225">
        <v>307210358</v>
      </c>
      <c r="H375" s="1225">
        <v>307210358</v>
      </c>
      <c r="I375" s="1225">
        <v>270139821</v>
      </c>
      <c r="J375" s="1225">
        <v>263809729</v>
      </c>
      <c r="K375" s="1225">
        <v>270139821</v>
      </c>
      <c r="L375" s="1225">
        <v>263809729</v>
      </c>
    </row>
    <row r="376" spans="1:12">
      <c r="A376" s="187" t="s">
        <v>229</v>
      </c>
      <c r="B376" s="1224" t="s">
        <v>7168</v>
      </c>
      <c r="C376" s="1225">
        <v>1721266188</v>
      </c>
      <c r="D376" s="1225">
        <v>1689198229</v>
      </c>
      <c r="E376" s="1225">
        <v>1673369023</v>
      </c>
      <c r="F376" s="1225">
        <v>1641301064</v>
      </c>
      <c r="G376" s="1225">
        <v>1764382095</v>
      </c>
      <c r="H376" s="1225">
        <v>1724698313</v>
      </c>
      <c r="I376" s="1225">
        <v>1721266188</v>
      </c>
      <c r="J376" s="1225">
        <v>1689198229</v>
      </c>
      <c r="K376" s="1225">
        <v>1673369023</v>
      </c>
      <c r="L376" s="1225">
        <v>1641301064</v>
      </c>
    </row>
    <row r="377" spans="1:12">
      <c r="A377" s="187" t="s">
        <v>4039</v>
      </c>
      <c r="B377" s="1224" t="s">
        <v>7169</v>
      </c>
      <c r="C377" s="1225">
        <v>138153842</v>
      </c>
      <c r="D377" s="1225">
        <v>134292005</v>
      </c>
      <c r="E377" s="1225">
        <v>138153842</v>
      </c>
      <c r="F377" s="1225">
        <v>134292005</v>
      </c>
      <c r="G377" s="1225">
        <v>137676495</v>
      </c>
      <c r="H377" s="1225">
        <v>137676495</v>
      </c>
      <c r="I377" s="1225">
        <v>138153842</v>
      </c>
      <c r="J377" s="1225">
        <v>134292005</v>
      </c>
      <c r="K377" s="1225">
        <v>138153842</v>
      </c>
      <c r="L377" s="1225">
        <v>134292005</v>
      </c>
    </row>
    <row r="378" spans="1:12">
      <c r="A378" s="187" t="s">
        <v>2396</v>
      </c>
      <c r="B378" s="1224" t="s">
        <v>1463</v>
      </c>
      <c r="C378" s="1225">
        <v>3011173951</v>
      </c>
      <c r="D378" s="1225">
        <v>2929736433</v>
      </c>
      <c r="E378" s="1225">
        <v>3011173951</v>
      </c>
      <c r="F378" s="1225">
        <v>2929736433</v>
      </c>
      <c r="G378" s="1225">
        <v>2887223229</v>
      </c>
      <c r="H378" s="1225">
        <v>2887223229</v>
      </c>
      <c r="I378" s="1225">
        <v>3125980293</v>
      </c>
      <c r="J378" s="1225">
        <v>3044542775</v>
      </c>
      <c r="K378" s="1225">
        <v>3125980293</v>
      </c>
      <c r="L378" s="1225">
        <v>3044542775</v>
      </c>
    </row>
    <row r="379" spans="1:12">
      <c r="A379" s="187" t="s">
        <v>2394</v>
      </c>
      <c r="B379" s="1224" t="s">
        <v>1461</v>
      </c>
      <c r="C379" s="1225">
        <v>5109363440</v>
      </c>
      <c r="D379" s="1225">
        <v>4945177268</v>
      </c>
      <c r="E379" s="1225">
        <v>5109363440</v>
      </c>
      <c r="F379" s="1225">
        <v>4945177268</v>
      </c>
      <c r="G379" s="1225">
        <v>4386635993</v>
      </c>
      <c r="H379" s="1225">
        <v>4386635993</v>
      </c>
      <c r="I379" s="1225">
        <v>5109363440</v>
      </c>
      <c r="J379" s="1225">
        <v>4945177268</v>
      </c>
      <c r="K379" s="1225">
        <v>5109363440</v>
      </c>
      <c r="L379" s="1225">
        <v>4945177268</v>
      </c>
    </row>
    <row r="380" spans="1:12">
      <c r="A380" s="187" t="s">
        <v>4042</v>
      </c>
      <c r="B380" s="1224" t="s">
        <v>7170</v>
      </c>
      <c r="C380" s="1225">
        <v>899986153</v>
      </c>
      <c r="D380" s="1225">
        <v>881525514</v>
      </c>
      <c r="E380" s="1225">
        <v>899986153</v>
      </c>
      <c r="F380" s="1225">
        <v>881525514</v>
      </c>
      <c r="G380" s="1225">
        <v>648001225</v>
      </c>
      <c r="H380" s="1225">
        <v>648001225</v>
      </c>
      <c r="I380" s="1225">
        <v>899986153</v>
      </c>
      <c r="J380" s="1225">
        <v>881525514</v>
      </c>
      <c r="K380" s="1225">
        <v>899986153</v>
      </c>
      <c r="L380" s="1225">
        <v>881525514</v>
      </c>
    </row>
    <row r="381" spans="1:12">
      <c r="A381" s="187" t="s">
        <v>3004</v>
      </c>
      <c r="B381" s="1224" t="s">
        <v>6065</v>
      </c>
      <c r="C381" s="1225">
        <v>654395576</v>
      </c>
      <c r="D381" s="1225">
        <v>637901037</v>
      </c>
      <c r="E381" s="1225">
        <v>654395576</v>
      </c>
      <c r="F381" s="1225">
        <v>637901037</v>
      </c>
      <c r="G381" s="1225">
        <v>637779729</v>
      </c>
      <c r="H381" s="1225">
        <v>637779729</v>
      </c>
      <c r="I381" s="1225">
        <v>654395576</v>
      </c>
      <c r="J381" s="1225">
        <v>637901037</v>
      </c>
      <c r="K381" s="1225">
        <v>654395576</v>
      </c>
      <c r="L381" s="1225">
        <v>637901037</v>
      </c>
    </row>
    <row r="382" spans="1:12">
      <c r="A382" s="187" t="s">
        <v>4044</v>
      </c>
      <c r="B382" s="1224" t="s">
        <v>5272</v>
      </c>
      <c r="C382" s="1225">
        <v>544102284</v>
      </c>
      <c r="D382" s="1225">
        <v>537165262</v>
      </c>
      <c r="E382" s="1225">
        <v>544102284</v>
      </c>
      <c r="F382" s="1225">
        <v>537165262</v>
      </c>
      <c r="G382" s="1225">
        <v>632997357</v>
      </c>
      <c r="H382" s="1225">
        <v>632997357</v>
      </c>
      <c r="I382" s="1225">
        <v>544102284</v>
      </c>
      <c r="J382" s="1225">
        <v>537165262</v>
      </c>
      <c r="K382" s="1225">
        <v>544102284</v>
      </c>
      <c r="L382" s="1225">
        <v>537165262</v>
      </c>
    </row>
    <row r="383" spans="1:12">
      <c r="A383" s="187" t="s">
        <v>4046</v>
      </c>
      <c r="B383" s="1224" t="s">
        <v>5273</v>
      </c>
      <c r="C383" s="1225">
        <v>37137977</v>
      </c>
      <c r="D383" s="1225">
        <v>36625681</v>
      </c>
      <c r="E383" s="1225">
        <v>37137977</v>
      </c>
      <c r="F383" s="1225">
        <v>36625681</v>
      </c>
      <c r="G383" s="1225">
        <v>51629462</v>
      </c>
      <c r="H383" s="1225">
        <v>51629462</v>
      </c>
      <c r="I383" s="1225">
        <v>37137977</v>
      </c>
      <c r="J383" s="1225">
        <v>36625681</v>
      </c>
      <c r="K383" s="1225">
        <v>37137977</v>
      </c>
      <c r="L383" s="1225">
        <v>36625681</v>
      </c>
    </row>
    <row r="384" spans="1:12">
      <c r="A384" s="187" t="s">
        <v>5402</v>
      </c>
      <c r="B384" s="1224" t="s">
        <v>5274</v>
      </c>
      <c r="C384" s="1225">
        <v>92664575</v>
      </c>
      <c r="D384" s="1225">
        <v>88042065</v>
      </c>
      <c r="E384" s="1225">
        <v>92664575</v>
      </c>
      <c r="F384" s="1225">
        <v>88042065</v>
      </c>
      <c r="G384" s="1225">
        <v>101383018</v>
      </c>
      <c r="H384" s="1225">
        <v>101383018</v>
      </c>
      <c r="I384" s="1225">
        <v>92664575</v>
      </c>
      <c r="J384" s="1225">
        <v>88042065</v>
      </c>
      <c r="K384" s="1225">
        <v>92664575</v>
      </c>
      <c r="L384" s="1225">
        <v>88042065</v>
      </c>
    </row>
    <row r="385" spans="1:12">
      <c r="A385" s="187" t="s">
        <v>5404</v>
      </c>
      <c r="B385" s="1224" t="s">
        <v>5275</v>
      </c>
      <c r="C385" s="1225">
        <v>74900320</v>
      </c>
      <c r="D385" s="1225">
        <v>72352404</v>
      </c>
      <c r="E385" s="1225">
        <v>74900320</v>
      </c>
      <c r="F385" s="1225">
        <v>72352404</v>
      </c>
      <c r="G385" s="1225">
        <v>69811004</v>
      </c>
      <c r="H385" s="1225">
        <v>69811004</v>
      </c>
      <c r="I385" s="1225">
        <v>74900320</v>
      </c>
      <c r="J385" s="1225">
        <v>72352404</v>
      </c>
      <c r="K385" s="1225">
        <v>74900320</v>
      </c>
      <c r="L385" s="1225">
        <v>72352404</v>
      </c>
    </row>
    <row r="386" spans="1:12">
      <c r="A386" s="187" t="s">
        <v>423</v>
      </c>
      <c r="B386" s="1224" t="s">
        <v>5276</v>
      </c>
      <c r="C386" s="1225">
        <v>1273754864</v>
      </c>
      <c r="D386" s="1225">
        <v>1231556333</v>
      </c>
      <c r="E386" s="1225">
        <v>1273754864</v>
      </c>
      <c r="F386" s="1225">
        <v>1231556333</v>
      </c>
      <c r="G386" s="1225">
        <v>1160178720</v>
      </c>
      <c r="H386" s="1225">
        <v>1160178720</v>
      </c>
      <c r="I386" s="1225">
        <v>1357734424</v>
      </c>
      <c r="J386" s="1225">
        <v>1315535893</v>
      </c>
      <c r="K386" s="1225">
        <v>1357734424</v>
      </c>
      <c r="L386" s="1225">
        <v>1315535893</v>
      </c>
    </row>
    <row r="387" spans="1:12">
      <c r="A387" s="187" t="s">
        <v>425</v>
      </c>
      <c r="B387" s="1224" t="s">
        <v>5277</v>
      </c>
      <c r="C387" s="1225">
        <v>163594194</v>
      </c>
      <c r="D387" s="1225">
        <v>159796304</v>
      </c>
      <c r="E387" s="1225">
        <v>163594194</v>
      </c>
      <c r="F387" s="1225">
        <v>159796304</v>
      </c>
      <c r="G387" s="1225">
        <v>146325372</v>
      </c>
      <c r="H387" s="1225">
        <v>146325372</v>
      </c>
      <c r="I387" s="1225">
        <v>163594194</v>
      </c>
      <c r="J387" s="1225">
        <v>159796304</v>
      </c>
      <c r="K387" s="1225">
        <v>163594194</v>
      </c>
      <c r="L387" s="1225">
        <v>159796304</v>
      </c>
    </row>
    <row r="388" spans="1:12">
      <c r="A388" s="187" t="s">
        <v>427</v>
      </c>
      <c r="B388" s="1224" t="s">
        <v>5278</v>
      </c>
      <c r="C388" s="1225">
        <v>82442355</v>
      </c>
      <c r="D388" s="1225">
        <v>80899696</v>
      </c>
      <c r="E388" s="1225">
        <v>82442355</v>
      </c>
      <c r="F388" s="1225">
        <v>80899696</v>
      </c>
      <c r="G388" s="1225">
        <v>85870148</v>
      </c>
      <c r="H388" s="1225">
        <v>85870148</v>
      </c>
      <c r="I388" s="1225">
        <v>82442355</v>
      </c>
      <c r="J388" s="1225">
        <v>80899696</v>
      </c>
      <c r="K388" s="1225">
        <v>82442355</v>
      </c>
      <c r="L388" s="1225">
        <v>80899696</v>
      </c>
    </row>
    <row r="389" spans="1:12">
      <c r="A389" s="187" t="s">
        <v>429</v>
      </c>
      <c r="B389" s="1224" t="s">
        <v>7464</v>
      </c>
      <c r="C389" s="1225">
        <v>318176525</v>
      </c>
      <c r="D389" s="1225">
        <v>304995089</v>
      </c>
      <c r="E389" s="1225">
        <v>318176525</v>
      </c>
      <c r="F389" s="1225">
        <v>304995089</v>
      </c>
      <c r="G389" s="1225">
        <v>292472235</v>
      </c>
      <c r="H389" s="1225">
        <v>292472235</v>
      </c>
      <c r="I389" s="1225">
        <v>318176525</v>
      </c>
      <c r="J389" s="1225">
        <v>304995089</v>
      </c>
      <c r="K389" s="1225">
        <v>318176525</v>
      </c>
      <c r="L389" s="1225">
        <v>304995089</v>
      </c>
    </row>
    <row r="390" spans="1:12">
      <c r="A390" s="187" t="s">
        <v>446</v>
      </c>
      <c r="B390" s="1224" t="s">
        <v>3844</v>
      </c>
      <c r="C390" s="1225">
        <v>170316008</v>
      </c>
      <c r="D390" s="1225">
        <v>163088589</v>
      </c>
      <c r="E390" s="1225">
        <v>170316008</v>
      </c>
      <c r="F390" s="1225">
        <v>163088589</v>
      </c>
      <c r="G390" s="1225">
        <v>168953842</v>
      </c>
      <c r="H390" s="1225">
        <v>168953842</v>
      </c>
      <c r="I390" s="1225">
        <v>170316008</v>
      </c>
      <c r="J390" s="1225">
        <v>163088589</v>
      </c>
      <c r="K390" s="1225">
        <v>170316008</v>
      </c>
      <c r="L390" s="1225">
        <v>163088589</v>
      </c>
    </row>
    <row r="391" spans="1:12">
      <c r="A391" s="187" t="s">
        <v>431</v>
      </c>
      <c r="B391" s="1224" t="s">
        <v>5280</v>
      </c>
      <c r="C391" s="1225">
        <v>289623592</v>
      </c>
      <c r="D391" s="1225">
        <v>286233145</v>
      </c>
      <c r="E391" s="1225">
        <v>289623592</v>
      </c>
      <c r="F391" s="1225">
        <v>286233145</v>
      </c>
      <c r="G391" s="1225">
        <v>380330368</v>
      </c>
      <c r="H391" s="1225">
        <v>376514655</v>
      </c>
      <c r="I391" s="1225">
        <v>325069592</v>
      </c>
      <c r="J391" s="1225">
        <v>321679145</v>
      </c>
      <c r="K391" s="1225">
        <v>325069592</v>
      </c>
      <c r="L391" s="1225">
        <v>321679145</v>
      </c>
    </row>
    <row r="392" spans="1:12">
      <c r="A392" s="187" t="s">
        <v>4945</v>
      </c>
      <c r="B392" s="1224" t="s">
        <v>7468</v>
      </c>
      <c r="C392" s="1225">
        <v>115490799</v>
      </c>
      <c r="D392" s="1225">
        <v>114898502</v>
      </c>
      <c r="E392" s="1225">
        <v>115048937</v>
      </c>
      <c r="F392" s="1225">
        <v>114456640</v>
      </c>
      <c r="G392" s="1225">
        <v>189362194</v>
      </c>
      <c r="H392" s="1225">
        <v>188854683</v>
      </c>
      <c r="I392" s="1225">
        <v>117419299</v>
      </c>
      <c r="J392" s="1225">
        <v>116827002</v>
      </c>
      <c r="K392" s="1225">
        <v>116977437</v>
      </c>
      <c r="L392" s="1225">
        <v>116385140</v>
      </c>
    </row>
    <row r="393" spans="1:12">
      <c r="A393" s="187" t="s">
        <v>4947</v>
      </c>
      <c r="B393" s="1224" t="s">
        <v>5282</v>
      </c>
      <c r="C393" s="1225">
        <v>355120173</v>
      </c>
      <c r="D393" s="1225">
        <v>347191577</v>
      </c>
      <c r="E393" s="1225">
        <v>355120173</v>
      </c>
      <c r="F393" s="1225">
        <v>347191577</v>
      </c>
      <c r="G393" s="1225">
        <v>490601020</v>
      </c>
      <c r="H393" s="1225">
        <v>490601020</v>
      </c>
      <c r="I393" s="1225">
        <v>385161673</v>
      </c>
      <c r="J393" s="1225">
        <v>377233077</v>
      </c>
      <c r="K393" s="1225">
        <v>385161673</v>
      </c>
      <c r="L393" s="1225">
        <v>377233077</v>
      </c>
    </row>
    <row r="394" spans="1:12">
      <c r="A394" s="187" t="s">
        <v>4949</v>
      </c>
      <c r="B394" s="1224" t="s">
        <v>5283</v>
      </c>
      <c r="C394" s="1225">
        <v>115200385</v>
      </c>
      <c r="D394" s="1225">
        <v>113676195</v>
      </c>
      <c r="E394" s="1225">
        <v>115200385</v>
      </c>
      <c r="F394" s="1225">
        <v>113676195</v>
      </c>
      <c r="G394" s="1225">
        <v>241144081</v>
      </c>
      <c r="H394" s="1225">
        <v>241144081</v>
      </c>
      <c r="I394" s="1225">
        <v>178430965</v>
      </c>
      <c r="J394" s="1225">
        <v>176906775</v>
      </c>
      <c r="K394" s="1225">
        <v>178430965</v>
      </c>
      <c r="L394" s="1225">
        <v>176906775</v>
      </c>
    </row>
    <row r="395" spans="1:12">
      <c r="A395" s="187" t="s">
        <v>4951</v>
      </c>
      <c r="B395" s="1224" t="s">
        <v>5284</v>
      </c>
      <c r="C395" s="1225">
        <v>275528682</v>
      </c>
      <c r="D395" s="1225">
        <v>271132502</v>
      </c>
      <c r="E395" s="1225">
        <v>275528682</v>
      </c>
      <c r="F395" s="1225">
        <v>271132502</v>
      </c>
      <c r="G395" s="1225">
        <v>345873450</v>
      </c>
      <c r="H395" s="1225">
        <v>345873450</v>
      </c>
      <c r="I395" s="1225">
        <v>275528682</v>
      </c>
      <c r="J395" s="1225">
        <v>271132502</v>
      </c>
      <c r="K395" s="1225">
        <v>275528682</v>
      </c>
      <c r="L395" s="1225">
        <v>271132502</v>
      </c>
    </row>
    <row r="396" spans="1:12">
      <c r="A396" s="187" t="s">
        <v>1560</v>
      </c>
      <c r="B396" s="1224" t="s">
        <v>5285</v>
      </c>
      <c r="C396" s="1225">
        <v>372244338</v>
      </c>
      <c r="D396" s="1225">
        <v>355323868</v>
      </c>
      <c r="E396" s="1225">
        <v>364048223</v>
      </c>
      <c r="F396" s="1225">
        <v>347127753</v>
      </c>
      <c r="G396" s="1225">
        <v>398712106</v>
      </c>
      <c r="H396" s="1225">
        <v>390356757</v>
      </c>
      <c r="I396" s="1225">
        <v>372244338</v>
      </c>
      <c r="J396" s="1225">
        <v>355323868</v>
      </c>
      <c r="K396" s="1225">
        <v>364048223</v>
      </c>
      <c r="L396" s="1225">
        <v>347127753</v>
      </c>
    </row>
    <row r="397" spans="1:12">
      <c r="A397" s="187" t="s">
        <v>2398</v>
      </c>
      <c r="B397" s="1224" t="s">
        <v>1466</v>
      </c>
      <c r="C397" s="1225">
        <v>795711628</v>
      </c>
      <c r="D397" s="1225">
        <v>758401088</v>
      </c>
      <c r="E397" s="1225">
        <v>795711628</v>
      </c>
      <c r="F397" s="1225">
        <v>758401088</v>
      </c>
      <c r="G397" s="1225">
        <v>773443282</v>
      </c>
      <c r="H397" s="1225">
        <v>773443282</v>
      </c>
      <c r="I397" s="1225">
        <v>795711628</v>
      </c>
      <c r="J397" s="1225">
        <v>758401088</v>
      </c>
      <c r="K397" s="1225">
        <v>795711628</v>
      </c>
      <c r="L397" s="1225">
        <v>758401088</v>
      </c>
    </row>
    <row r="398" spans="1:12">
      <c r="A398" s="187" t="s">
        <v>1562</v>
      </c>
      <c r="B398" s="1224" t="s">
        <v>5286</v>
      </c>
      <c r="C398" s="1225">
        <v>819589064</v>
      </c>
      <c r="D398" s="1225">
        <v>793103372</v>
      </c>
      <c r="E398" s="1225">
        <v>788280452</v>
      </c>
      <c r="F398" s="1225">
        <v>761794760</v>
      </c>
      <c r="G398" s="1225">
        <v>857138146</v>
      </c>
      <c r="H398" s="1225">
        <v>827775390</v>
      </c>
      <c r="I398" s="1225">
        <v>819589064</v>
      </c>
      <c r="J398" s="1225">
        <v>793103372</v>
      </c>
      <c r="K398" s="1225">
        <v>788280452</v>
      </c>
      <c r="L398" s="1225">
        <v>761794760</v>
      </c>
    </row>
    <row r="399" spans="1:12">
      <c r="A399" s="187" t="s">
        <v>2997</v>
      </c>
      <c r="B399" s="1224" t="s">
        <v>6057</v>
      </c>
      <c r="C399" s="1225">
        <v>1123498482</v>
      </c>
      <c r="D399" s="1225">
        <v>1073389622</v>
      </c>
      <c r="E399" s="1225">
        <v>1123498482</v>
      </c>
      <c r="F399" s="1225">
        <v>1073389622</v>
      </c>
      <c r="G399" s="1225">
        <v>1039085874</v>
      </c>
      <c r="H399" s="1225">
        <v>1039085874</v>
      </c>
      <c r="I399" s="1225">
        <v>1123498482</v>
      </c>
      <c r="J399" s="1225">
        <v>1073389622</v>
      </c>
      <c r="K399" s="1225">
        <v>1123498482</v>
      </c>
      <c r="L399" s="1225">
        <v>1073389622</v>
      </c>
    </row>
    <row r="400" spans="1:12">
      <c r="A400" s="187" t="s">
        <v>856</v>
      </c>
      <c r="B400" s="1224" t="s">
        <v>7477</v>
      </c>
      <c r="C400" s="1225">
        <v>193432615</v>
      </c>
      <c r="D400" s="1225">
        <v>186483935</v>
      </c>
      <c r="E400" s="1225">
        <v>193432615</v>
      </c>
      <c r="F400" s="1225">
        <v>186483935</v>
      </c>
      <c r="G400" s="1225">
        <v>218479113</v>
      </c>
      <c r="H400" s="1225">
        <v>218479113</v>
      </c>
      <c r="I400" s="1225">
        <v>193432615</v>
      </c>
      <c r="J400" s="1225">
        <v>186483935</v>
      </c>
      <c r="K400" s="1225">
        <v>193432615</v>
      </c>
      <c r="L400" s="1225">
        <v>186483935</v>
      </c>
    </row>
    <row r="401" spans="1:12">
      <c r="A401" s="187" t="s">
        <v>819</v>
      </c>
      <c r="B401" s="1224" t="s">
        <v>3901</v>
      </c>
      <c r="C401" s="1225">
        <v>19256145453</v>
      </c>
      <c r="D401" s="1225">
        <v>18926881613</v>
      </c>
      <c r="E401" s="1225">
        <v>19256145453</v>
      </c>
      <c r="F401" s="1225">
        <v>18926881613</v>
      </c>
      <c r="G401" s="1225">
        <v>17302894413</v>
      </c>
      <c r="H401" s="1225">
        <v>17302894413</v>
      </c>
      <c r="I401" s="1225">
        <v>19256145453</v>
      </c>
      <c r="J401" s="1225">
        <v>18926881613</v>
      </c>
      <c r="K401" s="1225">
        <v>19256145453</v>
      </c>
      <c r="L401" s="1225">
        <v>18926881613</v>
      </c>
    </row>
    <row r="402" spans="1:12">
      <c r="A402" s="187" t="s">
        <v>3887</v>
      </c>
      <c r="B402" s="1224" t="s">
        <v>1844</v>
      </c>
      <c r="C402" s="1225">
        <v>14940618926</v>
      </c>
      <c r="D402" s="1225">
        <v>14673777042</v>
      </c>
      <c r="E402" s="1225">
        <v>14940618926</v>
      </c>
      <c r="F402" s="1225">
        <v>14673777042</v>
      </c>
      <c r="G402" s="1225">
        <v>13124030433</v>
      </c>
      <c r="H402" s="1225">
        <v>13124030433</v>
      </c>
      <c r="I402" s="1225">
        <v>14940618926</v>
      </c>
      <c r="J402" s="1225">
        <v>14673777042</v>
      </c>
      <c r="K402" s="1225">
        <v>14940618926</v>
      </c>
      <c r="L402" s="1225">
        <v>14673777042</v>
      </c>
    </row>
    <row r="403" spans="1:12">
      <c r="A403" s="187" t="s">
        <v>1988</v>
      </c>
      <c r="B403" s="1224" t="s">
        <v>303</v>
      </c>
      <c r="C403" s="1225">
        <v>3108260307</v>
      </c>
      <c r="D403" s="1225">
        <v>3051017360</v>
      </c>
      <c r="E403" s="1225">
        <v>3108260307</v>
      </c>
      <c r="F403" s="1225">
        <v>3051017360</v>
      </c>
      <c r="G403" s="1225">
        <v>2797111015</v>
      </c>
      <c r="H403" s="1225">
        <v>2797111015</v>
      </c>
      <c r="I403" s="1225">
        <v>3108260307</v>
      </c>
      <c r="J403" s="1225">
        <v>3051017360</v>
      </c>
      <c r="K403" s="1225">
        <v>3108260307</v>
      </c>
      <c r="L403" s="1225">
        <v>3051017360</v>
      </c>
    </row>
    <row r="404" spans="1:12">
      <c r="A404" s="187" t="s">
        <v>245</v>
      </c>
      <c r="B404" s="1224" t="s">
        <v>1667</v>
      </c>
      <c r="C404" s="1225">
        <v>1784656643</v>
      </c>
      <c r="D404" s="1225">
        <v>1726024240</v>
      </c>
      <c r="E404" s="1225">
        <v>1784656643</v>
      </c>
      <c r="F404" s="1225">
        <v>1726024240</v>
      </c>
      <c r="G404" s="1225">
        <v>1540940595</v>
      </c>
      <c r="H404" s="1225">
        <v>1540940595</v>
      </c>
      <c r="I404" s="1225">
        <v>1784656643</v>
      </c>
      <c r="J404" s="1225">
        <v>1726024240</v>
      </c>
      <c r="K404" s="1225">
        <v>1784656643</v>
      </c>
      <c r="L404" s="1225">
        <v>1726024240</v>
      </c>
    </row>
    <row r="405" spans="1:12">
      <c r="A405" s="187" t="s">
        <v>1990</v>
      </c>
      <c r="B405" s="1224" t="s">
        <v>304</v>
      </c>
      <c r="C405" s="1225">
        <v>52399500670</v>
      </c>
      <c r="D405" s="1225">
        <v>51232390841</v>
      </c>
      <c r="E405" s="1225">
        <v>49944500338</v>
      </c>
      <c r="F405" s="1225">
        <v>48777390509</v>
      </c>
      <c r="G405" s="1225">
        <v>44197728266</v>
      </c>
      <c r="H405" s="1225">
        <v>42099285525</v>
      </c>
      <c r="I405" s="1225">
        <v>52399500670</v>
      </c>
      <c r="J405" s="1225">
        <v>51232390841</v>
      </c>
      <c r="K405" s="1225">
        <v>49944500338</v>
      </c>
      <c r="L405" s="1225">
        <v>48777390509</v>
      </c>
    </row>
    <row r="406" spans="1:12">
      <c r="A406" s="187" t="s">
        <v>2115</v>
      </c>
      <c r="B406" s="1224" t="s">
        <v>305</v>
      </c>
      <c r="C406" s="1225">
        <v>8371153775</v>
      </c>
      <c r="D406" s="1225">
        <v>8258591098</v>
      </c>
      <c r="E406" s="1225">
        <v>8192706967</v>
      </c>
      <c r="F406" s="1225">
        <v>8080144290</v>
      </c>
      <c r="G406" s="1225">
        <v>8199563728</v>
      </c>
      <c r="H406" s="1225">
        <v>8034785944</v>
      </c>
      <c r="I406" s="1225">
        <v>8409075855</v>
      </c>
      <c r="J406" s="1225">
        <v>8296513178</v>
      </c>
      <c r="K406" s="1225">
        <v>8230629047</v>
      </c>
      <c r="L406" s="1225">
        <v>8118066370</v>
      </c>
    </row>
    <row r="407" spans="1:12">
      <c r="A407" s="187" t="s">
        <v>1315</v>
      </c>
      <c r="B407" s="1224" t="s">
        <v>120</v>
      </c>
      <c r="C407" s="1225">
        <v>8546073090</v>
      </c>
      <c r="D407" s="1225">
        <v>8422144129</v>
      </c>
      <c r="E407" s="1225">
        <v>8430055185</v>
      </c>
      <c r="F407" s="1225">
        <v>8306126224</v>
      </c>
      <c r="G407" s="1225">
        <v>7834438993</v>
      </c>
      <c r="H407" s="1225">
        <v>7732577543</v>
      </c>
      <c r="I407" s="1225">
        <v>8546073090</v>
      </c>
      <c r="J407" s="1225">
        <v>8422144129</v>
      </c>
      <c r="K407" s="1225">
        <v>8430055185</v>
      </c>
      <c r="L407" s="1225">
        <v>8306126224</v>
      </c>
    </row>
    <row r="408" spans="1:12">
      <c r="A408" s="187" t="s">
        <v>5622</v>
      </c>
      <c r="B408" s="1224" t="s">
        <v>306</v>
      </c>
      <c r="C408" s="1225">
        <v>10918539524</v>
      </c>
      <c r="D408" s="1225">
        <v>10732671592</v>
      </c>
      <c r="E408" s="1225">
        <v>10802691856</v>
      </c>
      <c r="F408" s="1225">
        <v>10616823924</v>
      </c>
      <c r="G408" s="1225">
        <v>9832079435</v>
      </c>
      <c r="H408" s="1225">
        <v>9729470507</v>
      </c>
      <c r="I408" s="1225">
        <v>11240568440</v>
      </c>
      <c r="J408" s="1225">
        <v>11054700508</v>
      </c>
      <c r="K408" s="1225">
        <v>11124720772</v>
      </c>
      <c r="L408" s="1225">
        <v>10938852840</v>
      </c>
    </row>
    <row r="409" spans="1:12">
      <c r="A409" s="187" t="s">
        <v>5624</v>
      </c>
      <c r="B409" s="1224" t="s">
        <v>95</v>
      </c>
      <c r="C409" s="1225">
        <v>170264157872</v>
      </c>
      <c r="D409" s="1225">
        <v>168099946742</v>
      </c>
      <c r="E409" s="1225">
        <v>163383767557</v>
      </c>
      <c r="F409" s="1225">
        <v>161219556427</v>
      </c>
      <c r="G409" s="1225">
        <v>145721018329</v>
      </c>
      <c r="H409" s="1225">
        <v>139925959363</v>
      </c>
      <c r="I409" s="1225">
        <v>170264157872</v>
      </c>
      <c r="J409" s="1225">
        <v>168099946742</v>
      </c>
      <c r="K409" s="1225">
        <v>163383767557</v>
      </c>
      <c r="L409" s="1225">
        <v>161219556427</v>
      </c>
    </row>
    <row r="410" spans="1:12">
      <c r="A410" s="187" t="s">
        <v>1873</v>
      </c>
      <c r="B410" s="1224" t="s">
        <v>3856</v>
      </c>
      <c r="C410" s="1225">
        <v>14276064804</v>
      </c>
      <c r="D410" s="1225">
        <v>13839245656</v>
      </c>
      <c r="E410" s="1225">
        <v>14276064804</v>
      </c>
      <c r="F410" s="1225">
        <v>13839245656</v>
      </c>
      <c r="G410" s="1225">
        <v>12191746281</v>
      </c>
      <c r="H410" s="1225">
        <v>12191746281</v>
      </c>
      <c r="I410" s="1225">
        <v>14276064804</v>
      </c>
      <c r="J410" s="1225">
        <v>13839245656</v>
      </c>
      <c r="K410" s="1225">
        <v>14276064804</v>
      </c>
      <c r="L410" s="1225">
        <v>13839245656</v>
      </c>
    </row>
    <row r="411" spans="1:12">
      <c r="A411" s="187" t="s">
        <v>6028</v>
      </c>
      <c r="B411" s="1224" t="s">
        <v>1913</v>
      </c>
      <c r="C411" s="1225">
        <v>36465875356</v>
      </c>
      <c r="D411" s="1225">
        <v>35779543377</v>
      </c>
      <c r="E411" s="1225">
        <v>36465875356</v>
      </c>
      <c r="F411" s="1225">
        <v>35779543377</v>
      </c>
      <c r="G411" s="1225">
        <v>28883510437</v>
      </c>
      <c r="H411" s="1225">
        <v>28883510437</v>
      </c>
      <c r="I411" s="1225">
        <v>36481153206</v>
      </c>
      <c r="J411" s="1225">
        <v>35794821227</v>
      </c>
      <c r="K411" s="1225">
        <v>36481153206</v>
      </c>
      <c r="L411" s="1225">
        <v>35794821227</v>
      </c>
    </row>
    <row r="412" spans="1:12">
      <c r="A412" s="187" t="s">
        <v>6035</v>
      </c>
      <c r="B412" s="1224" t="s">
        <v>1923</v>
      </c>
      <c r="C412" s="1225">
        <v>19419269680</v>
      </c>
      <c r="D412" s="1225">
        <v>18878793373</v>
      </c>
      <c r="E412" s="1225">
        <v>19419269680</v>
      </c>
      <c r="F412" s="1225">
        <v>18878793373</v>
      </c>
      <c r="G412" s="1225">
        <v>15815431659</v>
      </c>
      <c r="H412" s="1225">
        <v>15815431659</v>
      </c>
      <c r="I412" s="1225">
        <v>19488112321</v>
      </c>
      <c r="J412" s="1225">
        <v>18947636014</v>
      </c>
      <c r="K412" s="1225">
        <v>19488112321</v>
      </c>
      <c r="L412" s="1225">
        <v>18947636014</v>
      </c>
    </row>
    <row r="413" spans="1:12">
      <c r="A413" s="187" t="s">
        <v>5626</v>
      </c>
      <c r="B413" s="1224" t="s">
        <v>96</v>
      </c>
      <c r="C413" s="1225">
        <v>8490438212</v>
      </c>
      <c r="D413" s="1225">
        <v>8388847824</v>
      </c>
      <c r="E413" s="1225">
        <v>8326607277</v>
      </c>
      <c r="F413" s="1225">
        <v>8225016889</v>
      </c>
      <c r="G413" s="1225">
        <v>7439362850</v>
      </c>
      <c r="H413" s="1225">
        <v>7295998314</v>
      </c>
      <c r="I413" s="1225">
        <v>9679867862</v>
      </c>
      <c r="J413" s="1225">
        <v>9578277474</v>
      </c>
      <c r="K413" s="1225">
        <v>9516036927</v>
      </c>
      <c r="L413" s="1225">
        <v>9414446539</v>
      </c>
    </row>
    <row r="414" spans="1:12">
      <c r="A414" s="187" t="s">
        <v>6194</v>
      </c>
      <c r="B414" s="1224" t="s">
        <v>5292</v>
      </c>
      <c r="C414" s="1225">
        <v>13184494377</v>
      </c>
      <c r="D414" s="1225">
        <v>12819187914</v>
      </c>
      <c r="E414" s="1225">
        <v>12964503359</v>
      </c>
      <c r="F414" s="1225">
        <v>12599196896</v>
      </c>
      <c r="G414" s="1225">
        <v>11400647233</v>
      </c>
      <c r="H414" s="1225">
        <v>11205669019</v>
      </c>
      <c r="I414" s="1225">
        <v>13184494377</v>
      </c>
      <c r="J414" s="1225">
        <v>12819187914</v>
      </c>
      <c r="K414" s="1225">
        <v>12964503359</v>
      </c>
      <c r="L414" s="1225">
        <v>12599196896</v>
      </c>
    </row>
    <row r="415" spans="1:12">
      <c r="A415" s="187" t="s">
        <v>1539</v>
      </c>
      <c r="B415" s="1224" t="s">
        <v>97</v>
      </c>
      <c r="C415" s="1225">
        <v>11809850960</v>
      </c>
      <c r="D415" s="1225">
        <v>11542912332</v>
      </c>
      <c r="E415" s="1225">
        <v>11809850960</v>
      </c>
      <c r="F415" s="1225">
        <v>11542912332</v>
      </c>
      <c r="G415" s="1225">
        <v>9248628433</v>
      </c>
      <c r="H415" s="1225">
        <v>9248628433</v>
      </c>
      <c r="I415" s="1225">
        <v>11809850960</v>
      </c>
      <c r="J415" s="1225">
        <v>11542912332</v>
      </c>
      <c r="K415" s="1225">
        <v>11809850960</v>
      </c>
      <c r="L415" s="1225">
        <v>11542912332</v>
      </c>
    </row>
    <row r="416" spans="1:12">
      <c r="A416" s="187" t="s">
        <v>911</v>
      </c>
      <c r="B416" s="1224" t="s">
        <v>98</v>
      </c>
      <c r="C416" s="1225">
        <v>32121338673</v>
      </c>
      <c r="D416" s="1225">
        <v>31793958644</v>
      </c>
      <c r="E416" s="1225">
        <v>30133347258</v>
      </c>
      <c r="F416" s="1225">
        <v>29805967229</v>
      </c>
      <c r="G416" s="1225">
        <v>26442604550</v>
      </c>
      <c r="H416" s="1225">
        <v>24777294615</v>
      </c>
      <c r="I416" s="1225">
        <v>32121338673</v>
      </c>
      <c r="J416" s="1225">
        <v>31793958644</v>
      </c>
      <c r="K416" s="1225">
        <v>30133347258</v>
      </c>
      <c r="L416" s="1225">
        <v>29805967229</v>
      </c>
    </row>
    <row r="417" spans="1:12">
      <c r="A417" s="187" t="s">
        <v>1428</v>
      </c>
      <c r="B417" s="1224" t="s">
        <v>99</v>
      </c>
      <c r="C417" s="1225">
        <v>10000772311</v>
      </c>
      <c r="D417" s="1225">
        <v>9825852232</v>
      </c>
      <c r="E417" s="1225">
        <v>10000772311</v>
      </c>
      <c r="F417" s="1225">
        <v>9825852232</v>
      </c>
      <c r="G417" s="1225">
        <v>7874175925</v>
      </c>
      <c r="H417" s="1225">
        <v>7874175925</v>
      </c>
      <c r="I417" s="1225">
        <v>10000772311</v>
      </c>
      <c r="J417" s="1225">
        <v>9825852232</v>
      </c>
      <c r="K417" s="1225">
        <v>10000772311</v>
      </c>
      <c r="L417" s="1225">
        <v>9825852232</v>
      </c>
    </row>
    <row r="418" spans="1:12">
      <c r="A418" s="187" t="s">
        <v>1430</v>
      </c>
      <c r="B418" s="1224" t="s">
        <v>100</v>
      </c>
      <c r="C418" s="1225">
        <v>5393822306</v>
      </c>
      <c r="D418" s="1225">
        <v>5339377157</v>
      </c>
      <c r="E418" s="1225">
        <v>5334823837</v>
      </c>
      <c r="F418" s="1225">
        <v>5280378688</v>
      </c>
      <c r="G418" s="1225">
        <v>5185904116</v>
      </c>
      <c r="H418" s="1225">
        <v>5138504272</v>
      </c>
      <c r="I418" s="1225">
        <v>5551260206</v>
      </c>
      <c r="J418" s="1225">
        <v>5496815057</v>
      </c>
      <c r="K418" s="1225">
        <v>5492261737</v>
      </c>
      <c r="L418" s="1225">
        <v>5437816588</v>
      </c>
    </row>
    <row r="419" spans="1:12">
      <c r="A419" s="187" t="s">
        <v>4971</v>
      </c>
      <c r="B419" s="1224" t="s">
        <v>3854</v>
      </c>
      <c r="C419" s="1225">
        <v>1087300435</v>
      </c>
      <c r="D419" s="1225">
        <v>1051085854</v>
      </c>
      <c r="E419" s="1225">
        <v>1087300435</v>
      </c>
      <c r="F419" s="1225">
        <v>1051085854</v>
      </c>
      <c r="G419" s="1225">
        <v>914034019</v>
      </c>
      <c r="H419" s="1225">
        <v>914034019</v>
      </c>
      <c r="I419" s="1225">
        <v>1087300435</v>
      </c>
      <c r="J419" s="1225">
        <v>1051085854</v>
      </c>
      <c r="K419" s="1225">
        <v>1087300435</v>
      </c>
      <c r="L419" s="1225">
        <v>1051085854</v>
      </c>
    </row>
    <row r="420" spans="1:12">
      <c r="A420" s="187" t="s">
        <v>1432</v>
      </c>
      <c r="B420" s="1224" t="s">
        <v>101</v>
      </c>
      <c r="C420" s="1225">
        <v>201687069</v>
      </c>
      <c r="D420" s="1225">
        <v>196902493</v>
      </c>
      <c r="E420" s="1225">
        <v>194718821</v>
      </c>
      <c r="F420" s="1225">
        <v>189934245</v>
      </c>
      <c r="G420" s="1225">
        <v>236706051</v>
      </c>
      <c r="H420" s="1225">
        <v>230163988</v>
      </c>
      <c r="I420" s="1225">
        <v>201687069</v>
      </c>
      <c r="J420" s="1225">
        <v>196902493</v>
      </c>
      <c r="K420" s="1225">
        <v>194718821</v>
      </c>
      <c r="L420" s="1225">
        <v>189934245</v>
      </c>
    </row>
    <row r="421" spans="1:12">
      <c r="A421" s="187" t="s">
        <v>1434</v>
      </c>
      <c r="B421" s="1224" t="s">
        <v>877</v>
      </c>
      <c r="C421" s="1225">
        <v>2437206178</v>
      </c>
      <c r="D421" s="1225">
        <v>2379961395</v>
      </c>
      <c r="E421" s="1225">
        <v>2360766405</v>
      </c>
      <c r="F421" s="1225">
        <v>2303521622</v>
      </c>
      <c r="G421" s="1225">
        <v>2753162555</v>
      </c>
      <c r="H421" s="1225">
        <v>2677105418</v>
      </c>
      <c r="I421" s="1225">
        <v>2437206178</v>
      </c>
      <c r="J421" s="1225">
        <v>2379961395</v>
      </c>
      <c r="K421" s="1225">
        <v>2360766405</v>
      </c>
      <c r="L421" s="1225">
        <v>2303521622</v>
      </c>
    </row>
    <row r="422" spans="1:12">
      <c r="A422" s="187" t="s">
        <v>1436</v>
      </c>
      <c r="B422" s="1224" t="s">
        <v>878</v>
      </c>
      <c r="C422" s="1225">
        <v>356244635</v>
      </c>
      <c r="D422" s="1225">
        <v>349882330</v>
      </c>
      <c r="E422" s="1225">
        <v>347497986</v>
      </c>
      <c r="F422" s="1225">
        <v>341135681</v>
      </c>
      <c r="G422" s="1225">
        <v>441780708</v>
      </c>
      <c r="H422" s="1225">
        <v>433085114</v>
      </c>
      <c r="I422" s="1225">
        <v>356244635</v>
      </c>
      <c r="J422" s="1225">
        <v>349882330</v>
      </c>
      <c r="K422" s="1225">
        <v>347497986</v>
      </c>
      <c r="L422" s="1225">
        <v>341135681</v>
      </c>
    </row>
    <row r="423" spans="1:12">
      <c r="A423" s="187" t="s">
        <v>1438</v>
      </c>
      <c r="B423" s="1224" t="s">
        <v>879</v>
      </c>
      <c r="C423" s="1225">
        <v>2586099925</v>
      </c>
      <c r="D423" s="1225">
        <v>2541652904</v>
      </c>
      <c r="E423" s="1225">
        <v>2498483897</v>
      </c>
      <c r="F423" s="1225">
        <v>2454036876</v>
      </c>
      <c r="G423" s="1225">
        <v>2571958355</v>
      </c>
      <c r="H423" s="1225">
        <v>2489326629</v>
      </c>
      <c r="I423" s="1225">
        <v>2586099925</v>
      </c>
      <c r="J423" s="1225">
        <v>2541652904</v>
      </c>
      <c r="K423" s="1225">
        <v>2498483897</v>
      </c>
      <c r="L423" s="1225">
        <v>2454036876</v>
      </c>
    </row>
    <row r="424" spans="1:12">
      <c r="A424" s="187" t="s">
        <v>2580</v>
      </c>
      <c r="B424" s="1224" t="s">
        <v>880</v>
      </c>
      <c r="C424" s="1225">
        <v>160812028</v>
      </c>
      <c r="D424" s="1225">
        <v>155289825</v>
      </c>
      <c r="E424" s="1225">
        <v>151486010</v>
      </c>
      <c r="F424" s="1225">
        <v>145963807</v>
      </c>
      <c r="G424" s="1225">
        <v>167944739</v>
      </c>
      <c r="H424" s="1225">
        <v>159248602</v>
      </c>
      <c r="I424" s="1225">
        <v>160812028</v>
      </c>
      <c r="J424" s="1225">
        <v>155289825</v>
      </c>
      <c r="K424" s="1225">
        <v>151486010</v>
      </c>
      <c r="L424" s="1225">
        <v>145963807</v>
      </c>
    </row>
    <row r="425" spans="1:12">
      <c r="A425" s="187" t="s">
        <v>2582</v>
      </c>
      <c r="B425" s="1224" t="s">
        <v>881</v>
      </c>
      <c r="C425" s="1225">
        <v>331775222</v>
      </c>
      <c r="D425" s="1225">
        <v>321297951</v>
      </c>
      <c r="E425" s="1225">
        <v>318175083</v>
      </c>
      <c r="F425" s="1225">
        <v>307697812</v>
      </c>
      <c r="G425" s="1225">
        <v>486052582</v>
      </c>
      <c r="H425" s="1225">
        <v>472955566</v>
      </c>
      <c r="I425" s="1225">
        <v>331775222</v>
      </c>
      <c r="J425" s="1225">
        <v>321297951</v>
      </c>
      <c r="K425" s="1225">
        <v>318175083</v>
      </c>
      <c r="L425" s="1225">
        <v>307697812</v>
      </c>
    </row>
    <row r="426" spans="1:12">
      <c r="A426" s="187" t="s">
        <v>2584</v>
      </c>
      <c r="B426" s="1224" t="s">
        <v>834</v>
      </c>
      <c r="C426" s="1225">
        <v>175793026</v>
      </c>
      <c r="D426" s="1225">
        <v>175127676</v>
      </c>
      <c r="E426" s="1225">
        <v>175793026</v>
      </c>
      <c r="F426" s="1225">
        <v>175127676</v>
      </c>
      <c r="G426" s="1225">
        <v>275592155</v>
      </c>
      <c r="H426" s="1225">
        <v>275592155</v>
      </c>
      <c r="I426" s="1225">
        <v>175793026</v>
      </c>
      <c r="J426" s="1225">
        <v>175127676</v>
      </c>
      <c r="K426" s="1225">
        <v>175793026</v>
      </c>
      <c r="L426" s="1225">
        <v>175127676</v>
      </c>
    </row>
    <row r="427" spans="1:12">
      <c r="A427" s="187" t="s">
        <v>1578</v>
      </c>
      <c r="B427" s="1224" t="s">
        <v>835</v>
      </c>
      <c r="C427" s="1225">
        <v>159871962</v>
      </c>
      <c r="D427" s="1225">
        <v>158982522</v>
      </c>
      <c r="E427" s="1225">
        <v>159871962</v>
      </c>
      <c r="F427" s="1225">
        <v>158982522</v>
      </c>
      <c r="G427" s="1225">
        <v>169242710</v>
      </c>
      <c r="H427" s="1225">
        <v>169242710</v>
      </c>
      <c r="I427" s="1225">
        <v>159871962</v>
      </c>
      <c r="J427" s="1225">
        <v>158982522</v>
      </c>
      <c r="K427" s="1225">
        <v>159871962</v>
      </c>
      <c r="L427" s="1225">
        <v>158982522</v>
      </c>
    </row>
    <row r="428" spans="1:12">
      <c r="A428" s="187" t="s">
        <v>1580</v>
      </c>
      <c r="B428" s="1224" t="s">
        <v>3838</v>
      </c>
      <c r="C428" s="1225">
        <v>165530570</v>
      </c>
      <c r="D428" s="1225">
        <v>158218620</v>
      </c>
      <c r="E428" s="1225">
        <v>165530570</v>
      </c>
      <c r="F428" s="1225">
        <v>158218620</v>
      </c>
      <c r="G428" s="1225">
        <v>203158751</v>
      </c>
      <c r="H428" s="1225">
        <v>203158751</v>
      </c>
      <c r="I428" s="1225">
        <v>165530570</v>
      </c>
      <c r="J428" s="1225">
        <v>158218620</v>
      </c>
      <c r="K428" s="1225">
        <v>165530570</v>
      </c>
      <c r="L428" s="1225">
        <v>158218620</v>
      </c>
    </row>
    <row r="429" spans="1:12">
      <c r="A429" s="187" t="s">
        <v>1582</v>
      </c>
      <c r="B429" s="1224" t="s">
        <v>837</v>
      </c>
      <c r="C429" s="1225">
        <v>37868259</v>
      </c>
      <c r="D429" s="1225">
        <v>36684149</v>
      </c>
      <c r="E429" s="1225">
        <v>37222444</v>
      </c>
      <c r="F429" s="1225">
        <v>36038334</v>
      </c>
      <c r="G429" s="1225">
        <v>44140487</v>
      </c>
      <c r="H429" s="1225">
        <v>43514764</v>
      </c>
      <c r="I429" s="1225">
        <v>37868259</v>
      </c>
      <c r="J429" s="1225">
        <v>36684149</v>
      </c>
      <c r="K429" s="1225">
        <v>37222444</v>
      </c>
      <c r="L429" s="1225">
        <v>36038334</v>
      </c>
    </row>
    <row r="430" spans="1:12">
      <c r="A430" s="187" t="s">
        <v>1584</v>
      </c>
      <c r="B430" s="1224" t="s">
        <v>838</v>
      </c>
      <c r="C430" s="1225">
        <v>220946942</v>
      </c>
      <c r="D430" s="1225">
        <v>220370722</v>
      </c>
      <c r="E430" s="1225">
        <v>220946942</v>
      </c>
      <c r="F430" s="1225">
        <v>220370722</v>
      </c>
      <c r="G430" s="1225">
        <v>106427017</v>
      </c>
      <c r="H430" s="1225">
        <v>106427017</v>
      </c>
      <c r="I430" s="1225">
        <v>220946942</v>
      </c>
      <c r="J430" s="1225">
        <v>220370722</v>
      </c>
      <c r="K430" s="1225">
        <v>220946942</v>
      </c>
      <c r="L430" s="1225">
        <v>220370722</v>
      </c>
    </row>
    <row r="431" spans="1:12">
      <c r="A431" s="187" t="s">
        <v>1588</v>
      </c>
      <c r="B431" s="1224" t="s">
        <v>7510</v>
      </c>
      <c r="C431" s="1225">
        <v>4749660022</v>
      </c>
      <c r="D431" s="1225">
        <v>4682325586</v>
      </c>
      <c r="E431" s="1225">
        <v>4749660022</v>
      </c>
      <c r="F431" s="1225">
        <v>4682325586</v>
      </c>
      <c r="G431" s="1225">
        <v>4178103815</v>
      </c>
      <c r="H431" s="1225">
        <v>4178103815</v>
      </c>
      <c r="I431" s="1225">
        <v>4749660022</v>
      </c>
      <c r="J431" s="1225">
        <v>4682325586</v>
      </c>
      <c r="K431" s="1225">
        <v>4749660022</v>
      </c>
      <c r="L431" s="1225">
        <v>4682325586</v>
      </c>
    </row>
    <row r="432" spans="1:12">
      <c r="A432" s="187" t="s">
        <v>1292</v>
      </c>
      <c r="B432" s="1224" t="s">
        <v>3010</v>
      </c>
      <c r="C432" s="1225">
        <v>3979418046</v>
      </c>
      <c r="D432" s="1225">
        <v>3901803025</v>
      </c>
      <c r="E432" s="1225">
        <v>3979418046</v>
      </c>
      <c r="F432" s="1225">
        <v>3901803025</v>
      </c>
      <c r="G432" s="1225">
        <v>3168432342</v>
      </c>
      <c r="H432" s="1225">
        <v>3168432342</v>
      </c>
      <c r="I432" s="1225">
        <v>3979418046</v>
      </c>
      <c r="J432" s="1225">
        <v>3901803025</v>
      </c>
      <c r="K432" s="1225">
        <v>3979418046</v>
      </c>
      <c r="L432" s="1225">
        <v>3901803025</v>
      </c>
    </row>
    <row r="433" spans="1:12">
      <c r="A433" s="187" t="s">
        <v>1590</v>
      </c>
      <c r="B433" s="1224" t="s">
        <v>840</v>
      </c>
      <c r="C433" s="1225">
        <v>1805579681</v>
      </c>
      <c r="D433" s="1225">
        <v>1763165859</v>
      </c>
      <c r="E433" s="1225">
        <v>1805579681</v>
      </c>
      <c r="F433" s="1225">
        <v>1763165859</v>
      </c>
      <c r="G433" s="1225">
        <v>1607484170</v>
      </c>
      <c r="H433" s="1225">
        <v>1607484170</v>
      </c>
      <c r="I433" s="1225">
        <v>1805579681</v>
      </c>
      <c r="J433" s="1225">
        <v>1763165859</v>
      </c>
      <c r="K433" s="1225">
        <v>1805579681</v>
      </c>
      <c r="L433" s="1225">
        <v>1763165859</v>
      </c>
    </row>
    <row r="434" spans="1:12">
      <c r="A434" s="187" t="s">
        <v>1864</v>
      </c>
      <c r="B434" s="1224" t="s">
        <v>7514</v>
      </c>
      <c r="C434" s="1225">
        <v>6222410228</v>
      </c>
      <c r="D434" s="1225">
        <v>6050655594</v>
      </c>
      <c r="E434" s="1225">
        <v>6222410228</v>
      </c>
      <c r="F434" s="1225">
        <v>6050655594</v>
      </c>
      <c r="G434" s="1225">
        <v>4646310333</v>
      </c>
      <c r="H434" s="1225">
        <v>4646310333</v>
      </c>
      <c r="I434" s="1225">
        <v>6222410228</v>
      </c>
      <c r="J434" s="1225">
        <v>6050655594</v>
      </c>
      <c r="K434" s="1225">
        <v>6222410228</v>
      </c>
      <c r="L434" s="1225">
        <v>6050655594</v>
      </c>
    </row>
    <row r="435" spans="1:12">
      <c r="A435" s="187" t="s">
        <v>1592</v>
      </c>
      <c r="B435" s="1224" t="s">
        <v>841</v>
      </c>
      <c r="C435" s="1225">
        <v>1208552487</v>
      </c>
      <c r="D435" s="1225">
        <v>1201440447</v>
      </c>
      <c r="E435" s="1225">
        <v>1199067362</v>
      </c>
      <c r="F435" s="1225">
        <v>1191955322</v>
      </c>
      <c r="G435" s="1225">
        <v>1784945155</v>
      </c>
      <c r="H435" s="1225">
        <v>1775400305</v>
      </c>
      <c r="I435" s="1225">
        <v>1223267187</v>
      </c>
      <c r="J435" s="1225">
        <v>1216155147</v>
      </c>
      <c r="K435" s="1225">
        <v>1213782062</v>
      </c>
      <c r="L435" s="1225">
        <v>1206670022</v>
      </c>
    </row>
    <row r="436" spans="1:12">
      <c r="A436" s="187" t="s">
        <v>1594</v>
      </c>
      <c r="B436" s="1224" t="s">
        <v>842</v>
      </c>
      <c r="C436" s="1225">
        <v>1286195301</v>
      </c>
      <c r="D436" s="1225">
        <v>1241639608</v>
      </c>
      <c r="E436" s="1225">
        <v>1286195301</v>
      </c>
      <c r="F436" s="1225">
        <v>1241639608</v>
      </c>
      <c r="G436" s="1225">
        <v>1278545512</v>
      </c>
      <c r="H436" s="1225">
        <v>1278545512</v>
      </c>
      <c r="I436" s="1225">
        <v>1286195301</v>
      </c>
      <c r="J436" s="1225">
        <v>1241639608</v>
      </c>
      <c r="K436" s="1225">
        <v>1286195301</v>
      </c>
      <c r="L436" s="1225">
        <v>1241639608</v>
      </c>
    </row>
    <row r="437" spans="1:12">
      <c r="A437" s="187" t="s">
        <v>1596</v>
      </c>
      <c r="B437" s="1224" t="s">
        <v>843</v>
      </c>
      <c r="C437" s="1225">
        <v>693066307</v>
      </c>
      <c r="D437" s="1225">
        <v>655317392</v>
      </c>
      <c r="E437" s="1225">
        <v>647693140</v>
      </c>
      <c r="F437" s="1225">
        <v>609944225</v>
      </c>
      <c r="G437" s="1225">
        <v>661969534</v>
      </c>
      <c r="H437" s="1225">
        <v>616260303</v>
      </c>
      <c r="I437" s="1225">
        <v>693066307</v>
      </c>
      <c r="J437" s="1225">
        <v>655317392</v>
      </c>
      <c r="K437" s="1225">
        <v>647693140</v>
      </c>
      <c r="L437" s="1225">
        <v>609944225</v>
      </c>
    </row>
    <row r="438" spans="1:12">
      <c r="A438" s="187" t="s">
        <v>1598</v>
      </c>
      <c r="B438" s="1224" t="s">
        <v>844</v>
      </c>
      <c r="C438" s="1225">
        <v>218116780</v>
      </c>
      <c r="D438" s="1225">
        <v>212078082</v>
      </c>
      <c r="E438" s="1225">
        <v>218116780</v>
      </c>
      <c r="F438" s="1225">
        <v>212078082</v>
      </c>
      <c r="G438" s="1225">
        <v>264102548</v>
      </c>
      <c r="H438" s="1225">
        <v>264102548</v>
      </c>
      <c r="I438" s="1225">
        <v>218116780</v>
      </c>
      <c r="J438" s="1225">
        <v>212078082</v>
      </c>
      <c r="K438" s="1225">
        <v>218116780</v>
      </c>
      <c r="L438" s="1225">
        <v>212078082</v>
      </c>
    </row>
    <row r="439" spans="1:12">
      <c r="A439" s="187" t="s">
        <v>1600</v>
      </c>
      <c r="B439" s="1224" t="s">
        <v>845</v>
      </c>
      <c r="C439" s="1225">
        <v>562635767</v>
      </c>
      <c r="D439" s="1225">
        <v>546154734</v>
      </c>
      <c r="E439" s="1225">
        <v>538005294</v>
      </c>
      <c r="F439" s="1225">
        <v>521524261</v>
      </c>
      <c r="G439" s="1225">
        <v>561979052</v>
      </c>
      <c r="H439" s="1225">
        <v>536484900</v>
      </c>
      <c r="I439" s="1225">
        <v>562635767</v>
      </c>
      <c r="J439" s="1225">
        <v>546154734</v>
      </c>
      <c r="K439" s="1225">
        <v>538005294</v>
      </c>
      <c r="L439" s="1225">
        <v>521524261</v>
      </c>
    </row>
    <row r="440" spans="1:12">
      <c r="A440" s="187" t="s">
        <v>5260</v>
      </c>
      <c r="B440" s="1224" t="s">
        <v>846</v>
      </c>
      <c r="C440" s="1225">
        <v>1191032874</v>
      </c>
      <c r="D440" s="1225">
        <v>1166673109</v>
      </c>
      <c r="E440" s="1225">
        <v>1191032874</v>
      </c>
      <c r="F440" s="1225">
        <v>1166673109</v>
      </c>
      <c r="G440" s="1225">
        <v>1123397888</v>
      </c>
      <c r="H440" s="1225">
        <v>1123397888</v>
      </c>
      <c r="I440" s="1225">
        <v>1191032874</v>
      </c>
      <c r="J440" s="1225">
        <v>1166673109</v>
      </c>
      <c r="K440" s="1225">
        <v>1191032874</v>
      </c>
      <c r="L440" s="1225">
        <v>1166673109</v>
      </c>
    </row>
    <row r="441" spans="1:12">
      <c r="A441" s="187" t="s">
        <v>2415</v>
      </c>
      <c r="B441" s="1224" t="s">
        <v>5368</v>
      </c>
      <c r="C441" s="1225">
        <v>49886196</v>
      </c>
      <c r="D441" s="1225">
        <v>48194990</v>
      </c>
      <c r="E441" s="1225">
        <v>48987924</v>
      </c>
      <c r="F441" s="1225">
        <v>47296718</v>
      </c>
      <c r="G441" s="1225">
        <v>42160768</v>
      </c>
      <c r="H441" s="1225">
        <v>41144530</v>
      </c>
      <c r="I441" s="1225">
        <v>49886196</v>
      </c>
      <c r="J441" s="1225">
        <v>48194990</v>
      </c>
      <c r="K441" s="1225">
        <v>48987924</v>
      </c>
      <c r="L441" s="1225">
        <v>47296718</v>
      </c>
    </row>
    <row r="442" spans="1:12">
      <c r="A442" s="187" t="s">
        <v>4973</v>
      </c>
      <c r="B442" s="1224" t="s">
        <v>328</v>
      </c>
      <c r="C442" s="1225">
        <v>36388691</v>
      </c>
      <c r="D442" s="1225">
        <v>34570141</v>
      </c>
      <c r="E442" s="1225">
        <v>36388691</v>
      </c>
      <c r="F442" s="1225">
        <v>34570141</v>
      </c>
      <c r="G442" s="1225">
        <v>39588027</v>
      </c>
      <c r="H442" s="1225">
        <v>39588027</v>
      </c>
      <c r="I442" s="1225">
        <v>36388691</v>
      </c>
      <c r="J442" s="1225">
        <v>34570141</v>
      </c>
      <c r="K442" s="1225">
        <v>36388691</v>
      </c>
      <c r="L442" s="1225">
        <v>34570141</v>
      </c>
    </row>
    <row r="443" spans="1:12">
      <c r="A443" s="187" t="s">
        <v>5262</v>
      </c>
      <c r="B443" s="1224" t="s">
        <v>847</v>
      </c>
      <c r="C443" s="1225">
        <v>198113485</v>
      </c>
      <c r="D443" s="1225">
        <v>191833769</v>
      </c>
      <c r="E443" s="1225">
        <v>190193854</v>
      </c>
      <c r="F443" s="1225">
        <v>183914138</v>
      </c>
      <c r="G443" s="1225">
        <v>235113552</v>
      </c>
      <c r="H443" s="1225">
        <v>227391830</v>
      </c>
      <c r="I443" s="1225">
        <v>198113485</v>
      </c>
      <c r="J443" s="1225">
        <v>191833769</v>
      </c>
      <c r="K443" s="1225">
        <v>190193854</v>
      </c>
      <c r="L443" s="1225">
        <v>183914138</v>
      </c>
    </row>
    <row r="444" spans="1:12">
      <c r="A444" s="187" t="s">
        <v>2054</v>
      </c>
      <c r="B444" s="1224" t="s">
        <v>7525</v>
      </c>
      <c r="C444" s="1225">
        <v>1280446690</v>
      </c>
      <c r="D444" s="1225">
        <v>1200968522</v>
      </c>
      <c r="E444" s="1225">
        <v>1280446690</v>
      </c>
      <c r="F444" s="1225">
        <v>1200968522</v>
      </c>
      <c r="G444" s="1225">
        <v>1105814874</v>
      </c>
      <c r="H444" s="1225">
        <v>1105814874</v>
      </c>
      <c r="I444" s="1225">
        <v>1280446690</v>
      </c>
      <c r="J444" s="1225">
        <v>1200968522</v>
      </c>
      <c r="K444" s="1225">
        <v>1280446690</v>
      </c>
      <c r="L444" s="1225">
        <v>1200968522</v>
      </c>
    </row>
    <row r="445" spans="1:12">
      <c r="A445" s="187" t="s">
        <v>1519</v>
      </c>
      <c r="B445" s="1224" t="s">
        <v>3015</v>
      </c>
      <c r="C445" s="1225">
        <v>328327546</v>
      </c>
      <c r="D445" s="1225">
        <v>303358252</v>
      </c>
      <c r="E445" s="1225">
        <v>328327546</v>
      </c>
      <c r="F445" s="1225">
        <v>303358252</v>
      </c>
      <c r="G445" s="1225">
        <v>264903176</v>
      </c>
      <c r="H445" s="1225">
        <v>264903176</v>
      </c>
      <c r="I445" s="1225">
        <v>328327546</v>
      </c>
      <c r="J445" s="1225">
        <v>303358252</v>
      </c>
      <c r="K445" s="1225">
        <v>328327546</v>
      </c>
      <c r="L445" s="1225">
        <v>303358252</v>
      </c>
    </row>
    <row r="446" spans="1:12">
      <c r="A446" s="187" t="s">
        <v>1521</v>
      </c>
      <c r="B446" s="1224" t="s">
        <v>7528</v>
      </c>
      <c r="C446" s="1225">
        <v>5807385774</v>
      </c>
      <c r="D446" s="1225">
        <v>5599586224</v>
      </c>
      <c r="E446" s="1225">
        <v>5807385774</v>
      </c>
      <c r="F446" s="1225">
        <v>5599586224</v>
      </c>
      <c r="G446" s="1225">
        <v>5280585861</v>
      </c>
      <c r="H446" s="1225">
        <v>5280585861</v>
      </c>
      <c r="I446" s="1225">
        <v>5807385774</v>
      </c>
      <c r="J446" s="1225">
        <v>5599586224</v>
      </c>
      <c r="K446" s="1225">
        <v>5807385774</v>
      </c>
      <c r="L446" s="1225">
        <v>5599586224</v>
      </c>
    </row>
    <row r="447" spans="1:12">
      <c r="A447" s="187" t="s">
        <v>1866</v>
      </c>
      <c r="B447" s="1224" t="s">
        <v>3845</v>
      </c>
      <c r="C447" s="1225">
        <v>488624378</v>
      </c>
      <c r="D447" s="1225">
        <v>477510411</v>
      </c>
      <c r="E447" s="1225">
        <v>488624378</v>
      </c>
      <c r="F447" s="1225">
        <v>477510411</v>
      </c>
      <c r="G447" s="1225">
        <v>428835395</v>
      </c>
      <c r="H447" s="1225">
        <v>428835395</v>
      </c>
      <c r="I447" s="1225">
        <v>488624378</v>
      </c>
      <c r="J447" s="1225">
        <v>477510411</v>
      </c>
      <c r="K447" s="1225">
        <v>488624378</v>
      </c>
      <c r="L447" s="1225">
        <v>477510411</v>
      </c>
    </row>
    <row r="448" spans="1:12">
      <c r="A448" s="187" t="s">
        <v>6167</v>
      </c>
      <c r="B448" s="1224" t="s">
        <v>6073</v>
      </c>
      <c r="C448" s="1225">
        <v>6968464674</v>
      </c>
      <c r="D448" s="1225">
        <v>6773801924</v>
      </c>
      <c r="E448" s="1225">
        <v>6968464674</v>
      </c>
      <c r="F448" s="1225">
        <v>6773801924</v>
      </c>
      <c r="G448" s="1225">
        <v>6332551858</v>
      </c>
      <c r="H448" s="1225">
        <v>6332551858</v>
      </c>
      <c r="I448" s="1225">
        <v>6968464674</v>
      </c>
      <c r="J448" s="1225">
        <v>6773801924</v>
      </c>
      <c r="K448" s="1225">
        <v>6968464674</v>
      </c>
      <c r="L448" s="1225">
        <v>6773801924</v>
      </c>
    </row>
    <row r="449" spans="1:12">
      <c r="A449" s="187" t="s">
        <v>6170</v>
      </c>
      <c r="B449" s="1224" t="s">
        <v>495</v>
      </c>
      <c r="C449" s="1225">
        <v>504588978</v>
      </c>
      <c r="D449" s="1225">
        <v>476298374</v>
      </c>
      <c r="E449" s="1225">
        <v>504588978</v>
      </c>
      <c r="F449" s="1225">
        <v>476298374</v>
      </c>
      <c r="G449" s="1225">
        <v>480640889</v>
      </c>
      <c r="H449" s="1225">
        <v>480640889</v>
      </c>
      <c r="I449" s="1225">
        <v>504588978</v>
      </c>
      <c r="J449" s="1225">
        <v>476298374</v>
      </c>
      <c r="K449" s="1225">
        <v>504588978</v>
      </c>
      <c r="L449" s="1225">
        <v>476298374</v>
      </c>
    </row>
    <row r="450" spans="1:12">
      <c r="A450" s="187" t="s">
        <v>6176</v>
      </c>
      <c r="B450" s="1224" t="s">
        <v>7533</v>
      </c>
      <c r="C450" s="1225">
        <v>1995473351</v>
      </c>
      <c r="D450" s="1225">
        <v>1896358985</v>
      </c>
      <c r="E450" s="1225">
        <v>1995473351</v>
      </c>
      <c r="F450" s="1225">
        <v>1896358985</v>
      </c>
      <c r="G450" s="1225">
        <v>1701405352</v>
      </c>
      <c r="H450" s="1225">
        <v>1701405352</v>
      </c>
      <c r="I450" s="1225">
        <v>1995473351</v>
      </c>
      <c r="J450" s="1225">
        <v>1896358985</v>
      </c>
      <c r="K450" s="1225">
        <v>1995473351</v>
      </c>
      <c r="L450" s="1225">
        <v>1896358985</v>
      </c>
    </row>
    <row r="451" spans="1:12">
      <c r="A451" s="187" t="s">
        <v>5125</v>
      </c>
      <c r="B451" s="1224" t="s">
        <v>340</v>
      </c>
      <c r="C451" s="1225">
        <v>4205687808</v>
      </c>
      <c r="D451" s="1225">
        <v>4023183469</v>
      </c>
      <c r="E451" s="1225">
        <v>4205687808</v>
      </c>
      <c r="F451" s="1225">
        <v>4023183469</v>
      </c>
      <c r="G451" s="1225">
        <v>3816273192</v>
      </c>
      <c r="H451" s="1225">
        <v>3816273192</v>
      </c>
      <c r="I451" s="1225">
        <v>4205687808</v>
      </c>
      <c r="J451" s="1225">
        <v>4023183469</v>
      </c>
      <c r="K451" s="1225">
        <v>4205687808</v>
      </c>
      <c r="L451" s="1225">
        <v>4023183469</v>
      </c>
    </row>
    <row r="452" spans="1:12">
      <c r="A452" s="187" t="s">
        <v>648</v>
      </c>
      <c r="B452" s="1224" t="s">
        <v>353</v>
      </c>
      <c r="C452" s="1225">
        <v>157770971</v>
      </c>
      <c r="D452" s="1225">
        <v>148076351</v>
      </c>
      <c r="E452" s="1225">
        <v>157770971</v>
      </c>
      <c r="F452" s="1225">
        <v>148076351</v>
      </c>
      <c r="G452" s="1225">
        <v>138657900</v>
      </c>
      <c r="H452" s="1225">
        <v>138657900</v>
      </c>
      <c r="I452" s="1225">
        <v>157770971</v>
      </c>
      <c r="J452" s="1225">
        <v>148076351</v>
      </c>
      <c r="K452" s="1225">
        <v>157770971</v>
      </c>
      <c r="L452" s="1225">
        <v>148076351</v>
      </c>
    </row>
    <row r="453" spans="1:12">
      <c r="A453" s="187" t="s">
        <v>780</v>
      </c>
      <c r="B453" s="1224" t="s">
        <v>848</v>
      </c>
      <c r="C453" s="1225">
        <v>3112749762</v>
      </c>
      <c r="D453" s="1225">
        <v>3035642647</v>
      </c>
      <c r="E453" s="1225">
        <v>3112749762</v>
      </c>
      <c r="F453" s="1225">
        <v>3035642647</v>
      </c>
      <c r="G453" s="1225">
        <v>2784840304</v>
      </c>
      <c r="H453" s="1225">
        <v>2784840304</v>
      </c>
      <c r="I453" s="1225">
        <v>3112749762</v>
      </c>
      <c r="J453" s="1225">
        <v>3035642647</v>
      </c>
      <c r="K453" s="1225">
        <v>3112749762</v>
      </c>
      <c r="L453" s="1225">
        <v>3035642647</v>
      </c>
    </row>
    <row r="454" spans="1:12">
      <c r="A454" s="187" t="s">
        <v>6038</v>
      </c>
      <c r="B454" s="1224" t="s">
        <v>2153</v>
      </c>
      <c r="C454" s="1225">
        <v>2339757554</v>
      </c>
      <c r="D454" s="1225">
        <v>2205353802</v>
      </c>
      <c r="E454" s="1225">
        <v>2339757554</v>
      </c>
      <c r="F454" s="1225">
        <v>2205353802</v>
      </c>
      <c r="G454" s="1225">
        <v>2073951230</v>
      </c>
      <c r="H454" s="1225">
        <v>2073951230</v>
      </c>
      <c r="I454" s="1225">
        <v>2339757554</v>
      </c>
      <c r="J454" s="1225">
        <v>2205353802</v>
      </c>
      <c r="K454" s="1225">
        <v>2339757554</v>
      </c>
      <c r="L454" s="1225">
        <v>2205353802</v>
      </c>
    </row>
    <row r="455" spans="1:12">
      <c r="A455" s="187" t="s">
        <v>3096</v>
      </c>
      <c r="B455" s="1224" t="s">
        <v>4065</v>
      </c>
      <c r="C455" s="1225">
        <v>2236333149</v>
      </c>
      <c r="D455" s="1225">
        <v>2132950261</v>
      </c>
      <c r="E455" s="1225">
        <v>2236333149</v>
      </c>
      <c r="F455" s="1225">
        <v>2132950261</v>
      </c>
      <c r="G455" s="1225">
        <v>2000393014</v>
      </c>
      <c r="H455" s="1225">
        <v>2000393014</v>
      </c>
      <c r="I455" s="1225">
        <v>2236333149</v>
      </c>
      <c r="J455" s="1225">
        <v>2132950261</v>
      </c>
      <c r="K455" s="1225">
        <v>2236333149</v>
      </c>
      <c r="L455" s="1225">
        <v>2132950261</v>
      </c>
    </row>
    <row r="456" spans="1:12">
      <c r="A456" s="187" t="s">
        <v>6040</v>
      </c>
      <c r="B456" s="1224" t="s">
        <v>184</v>
      </c>
      <c r="C456" s="1225">
        <v>104125664</v>
      </c>
      <c r="D456" s="1225">
        <v>100393855</v>
      </c>
      <c r="E456" s="1225">
        <v>104125664</v>
      </c>
      <c r="F456" s="1225">
        <v>100393855</v>
      </c>
      <c r="G456" s="1225">
        <v>102626682</v>
      </c>
      <c r="H456" s="1225">
        <v>102626682</v>
      </c>
      <c r="I456" s="1225">
        <v>104125664</v>
      </c>
      <c r="J456" s="1225">
        <v>100393855</v>
      </c>
      <c r="K456" s="1225">
        <v>104125664</v>
      </c>
      <c r="L456" s="1225">
        <v>100393855</v>
      </c>
    </row>
    <row r="457" spans="1:12">
      <c r="A457" s="187" t="s">
        <v>3097</v>
      </c>
      <c r="B457" s="1224" t="s">
        <v>503</v>
      </c>
      <c r="C457" s="1225">
        <v>95137305</v>
      </c>
      <c r="D457" s="1225">
        <v>90108360</v>
      </c>
      <c r="E457" s="1225">
        <v>95137305</v>
      </c>
      <c r="F457" s="1225">
        <v>90108360</v>
      </c>
      <c r="G457" s="1225">
        <v>84118699</v>
      </c>
      <c r="H457" s="1225">
        <v>84118699</v>
      </c>
      <c r="I457" s="1225">
        <v>95137305</v>
      </c>
      <c r="J457" s="1225">
        <v>90108360</v>
      </c>
      <c r="K457" s="1225">
        <v>95137305</v>
      </c>
      <c r="L457" s="1225">
        <v>90108360</v>
      </c>
    </row>
    <row r="458" spans="1:12">
      <c r="A458" s="187" t="s">
        <v>2419</v>
      </c>
      <c r="B458" s="1224" t="s">
        <v>5372</v>
      </c>
      <c r="C458" s="1225">
        <v>567172370</v>
      </c>
      <c r="D458" s="1225">
        <v>544606081</v>
      </c>
      <c r="E458" s="1225">
        <v>567172370</v>
      </c>
      <c r="F458" s="1225">
        <v>544606081</v>
      </c>
      <c r="G458" s="1225">
        <v>459211615</v>
      </c>
      <c r="H458" s="1225">
        <v>459211615</v>
      </c>
      <c r="I458" s="1225">
        <v>567172370</v>
      </c>
      <c r="J458" s="1225">
        <v>544606081</v>
      </c>
      <c r="K458" s="1225">
        <v>567172370</v>
      </c>
      <c r="L458" s="1225">
        <v>544606081</v>
      </c>
    </row>
    <row r="459" spans="1:12">
      <c r="A459" s="187" t="s">
        <v>2608</v>
      </c>
      <c r="B459" s="1224" t="s">
        <v>324</v>
      </c>
      <c r="C459" s="1225">
        <v>97475446</v>
      </c>
      <c r="D459" s="1225">
        <v>94703894</v>
      </c>
      <c r="E459" s="1225">
        <v>97475446</v>
      </c>
      <c r="F459" s="1225">
        <v>94703894</v>
      </c>
      <c r="G459" s="1225">
        <v>89530952</v>
      </c>
      <c r="H459" s="1225">
        <v>89530952</v>
      </c>
      <c r="I459" s="1225">
        <v>97475446</v>
      </c>
      <c r="J459" s="1225">
        <v>94703894</v>
      </c>
      <c r="K459" s="1225">
        <v>97475446</v>
      </c>
      <c r="L459" s="1225">
        <v>94703894</v>
      </c>
    </row>
    <row r="460" spans="1:12">
      <c r="A460" s="187" t="s">
        <v>448</v>
      </c>
      <c r="B460" s="1224" t="s">
        <v>6096</v>
      </c>
      <c r="C460" s="1225">
        <v>86032472</v>
      </c>
      <c r="D460" s="1225">
        <v>83791647</v>
      </c>
      <c r="E460" s="1225">
        <v>86032472</v>
      </c>
      <c r="F460" s="1225">
        <v>83791647</v>
      </c>
      <c r="G460" s="1225">
        <v>69507493</v>
      </c>
      <c r="H460" s="1225">
        <v>69507493</v>
      </c>
      <c r="I460" s="1225">
        <v>86032472</v>
      </c>
      <c r="J460" s="1225">
        <v>83791647</v>
      </c>
      <c r="K460" s="1225">
        <v>86032472</v>
      </c>
      <c r="L460" s="1225">
        <v>83791647</v>
      </c>
    </row>
    <row r="461" spans="1:12">
      <c r="A461" s="187" t="s">
        <v>243</v>
      </c>
      <c r="B461" s="1224" t="s">
        <v>5246</v>
      </c>
      <c r="C461" s="1225">
        <v>80296688</v>
      </c>
      <c r="D461" s="1225">
        <v>76739983</v>
      </c>
      <c r="E461" s="1225">
        <v>80296688</v>
      </c>
      <c r="F461" s="1225">
        <v>76739983</v>
      </c>
      <c r="G461" s="1225">
        <v>79779493</v>
      </c>
      <c r="H461" s="1225">
        <v>79779493</v>
      </c>
      <c r="I461" s="1225">
        <v>80296688</v>
      </c>
      <c r="J461" s="1225">
        <v>76739983</v>
      </c>
      <c r="K461" s="1225">
        <v>80296688</v>
      </c>
      <c r="L461" s="1225">
        <v>76739983</v>
      </c>
    </row>
    <row r="462" spans="1:12">
      <c r="A462" s="187" t="s">
        <v>1868</v>
      </c>
      <c r="B462" s="1224" t="s">
        <v>3847</v>
      </c>
      <c r="C462" s="1225">
        <v>617263799</v>
      </c>
      <c r="D462" s="1225">
        <v>599771612</v>
      </c>
      <c r="E462" s="1225">
        <v>617263799</v>
      </c>
      <c r="F462" s="1225">
        <v>599771612</v>
      </c>
      <c r="G462" s="1225">
        <v>561695265</v>
      </c>
      <c r="H462" s="1225">
        <v>561695265</v>
      </c>
      <c r="I462" s="1225">
        <v>617263799</v>
      </c>
      <c r="J462" s="1225">
        <v>599771612</v>
      </c>
      <c r="K462" s="1225">
        <v>617263799</v>
      </c>
      <c r="L462" s="1225">
        <v>599771612</v>
      </c>
    </row>
    <row r="463" spans="1:12">
      <c r="A463" s="187" t="s">
        <v>3098</v>
      </c>
      <c r="B463" s="1224" t="s">
        <v>3852</v>
      </c>
      <c r="C463" s="1225">
        <v>74769168</v>
      </c>
      <c r="D463" s="1225">
        <v>70838548</v>
      </c>
      <c r="E463" s="1225">
        <v>74769168</v>
      </c>
      <c r="F463" s="1225">
        <v>70838548</v>
      </c>
      <c r="G463" s="1225">
        <v>67883208</v>
      </c>
      <c r="H463" s="1225">
        <v>67883208</v>
      </c>
      <c r="I463" s="1225">
        <v>74769168</v>
      </c>
      <c r="J463" s="1225">
        <v>70838548</v>
      </c>
      <c r="K463" s="1225">
        <v>74769168</v>
      </c>
      <c r="L463" s="1225">
        <v>70838548</v>
      </c>
    </row>
    <row r="464" spans="1:12">
      <c r="A464" s="187" t="s">
        <v>6022</v>
      </c>
      <c r="B464" s="1224" t="s">
        <v>1907</v>
      </c>
      <c r="C464" s="1225">
        <v>188603388</v>
      </c>
      <c r="D464" s="1225">
        <v>181781319</v>
      </c>
      <c r="E464" s="1225">
        <v>188603388</v>
      </c>
      <c r="F464" s="1225">
        <v>181781319</v>
      </c>
      <c r="G464" s="1225">
        <v>174757954</v>
      </c>
      <c r="H464" s="1225">
        <v>174757954</v>
      </c>
      <c r="I464" s="1225">
        <v>188603388</v>
      </c>
      <c r="J464" s="1225">
        <v>181781319</v>
      </c>
      <c r="K464" s="1225">
        <v>188603388</v>
      </c>
      <c r="L464" s="1225">
        <v>181781319</v>
      </c>
    </row>
    <row r="465" spans="1:12">
      <c r="A465" s="187" t="s">
        <v>2610</v>
      </c>
      <c r="B465" s="1224" t="s">
        <v>326</v>
      </c>
      <c r="C465" s="1225">
        <v>49841300</v>
      </c>
      <c r="D465" s="1225">
        <v>48687139</v>
      </c>
      <c r="E465" s="1225">
        <v>49841300</v>
      </c>
      <c r="F465" s="1225">
        <v>48687139</v>
      </c>
      <c r="G465" s="1225">
        <v>43688219</v>
      </c>
      <c r="H465" s="1225">
        <v>43688219</v>
      </c>
      <c r="I465" s="1225">
        <v>49841300</v>
      </c>
      <c r="J465" s="1225">
        <v>48687139</v>
      </c>
      <c r="K465" s="1225">
        <v>49841300</v>
      </c>
      <c r="L465" s="1225">
        <v>48687139</v>
      </c>
    </row>
    <row r="466" spans="1:12">
      <c r="A466" s="187" t="s">
        <v>2612</v>
      </c>
      <c r="B466" s="1224" t="s">
        <v>504</v>
      </c>
      <c r="C466" s="1225">
        <v>30029502</v>
      </c>
      <c r="D466" s="1225">
        <v>28225923</v>
      </c>
      <c r="E466" s="1225">
        <v>30029502</v>
      </c>
      <c r="F466" s="1225">
        <v>28225923</v>
      </c>
      <c r="G466" s="1225">
        <v>26817974</v>
      </c>
      <c r="H466" s="1225">
        <v>26817974</v>
      </c>
      <c r="I466" s="1225">
        <v>30029502</v>
      </c>
      <c r="J466" s="1225">
        <v>28225923</v>
      </c>
      <c r="K466" s="1225">
        <v>30029502</v>
      </c>
      <c r="L466" s="1225">
        <v>28225923</v>
      </c>
    </row>
    <row r="467" spans="1:12">
      <c r="A467" s="187" t="s">
        <v>782</v>
      </c>
      <c r="B467" s="1224" t="s">
        <v>849</v>
      </c>
      <c r="C467" s="1225">
        <v>589262892</v>
      </c>
      <c r="D467" s="1225">
        <v>566402875</v>
      </c>
      <c r="E467" s="1225">
        <v>589262892</v>
      </c>
      <c r="F467" s="1225">
        <v>566402875</v>
      </c>
      <c r="G467" s="1225">
        <v>567537745</v>
      </c>
      <c r="H467" s="1225">
        <v>567537745</v>
      </c>
      <c r="I467" s="1225">
        <v>589262892</v>
      </c>
      <c r="J467" s="1225">
        <v>566402875</v>
      </c>
      <c r="K467" s="1225">
        <v>589262892</v>
      </c>
      <c r="L467" s="1225">
        <v>566402875</v>
      </c>
    </row>
    <row r="468" spans="1:12">
      <c r="A468" s="187" t="s">
        <v>2614</v>
      </c>
      <c r="B468" s="1224" t="s">
        <v>7686</v>
      </c>
      <c r="C468" s="1225">
        <v>76908900</v>
      </c>
      <c r="D468" s="1225">
        <v>74085345</v>
      </c>
      <c r="E468" s="1225">
        <v>76908900</v>
      </c>
      <c r="F468" s="1225">
        <v>74085345</v>
      </c>
      <c r="G468" s="1225">
        <v>73078624</v>
      </c>
      <c r="H468" s="1225">
        <v>73078624</v>
      </c>
      <c r="I468" s="1225">
        <v>76908900</v>
      </c>
      <c r="J468" s="1225">
        <v>74085345</v>
      </c>
      <c r="K468" s="1225">
        <v>76908900</v>
      </c>
      <c r="L468" s="1225">
        <v>74085345</v>
      </c>
    </row>
    <row r="469" spans="1:12">
      <c r="A469" s="187" t="s">
        <v>2468</v>
      </c>
      <c r="B469" s="1224" t="s">
        <v>7662</v>
      </c>
      <c r="C469" s="1225">
        <v>126059704</v>
      </c>
      <c r="D469" s="1225">
        <v>122346807</v>
      </c>
      <c r="E469" s="1225">
        <v>126059704</v>
      </c>
      <c r="F469" s="1225">
        <v>122346807</v>
      </c>
      <c r="G469" s="1225">
        <v>112553877</v>
      </c>
      <c r="H469" s="1225">
        <v>112553877</v>
      </c>
      <c r="I469" s="1225">
        <v>126059704</v>
      </c>
      <c r="J469" s="1225">
        <v>122346807</v>
      </c>
      <c r="K469" s="1225">
        <v>126059704</v>
      </c>
      <c r="L469" s="1225">
        <v>122346807</v>
      </c>
    </row>
    <row r="470" spans="1:12">
      <c r="A470" s="187" t="s">
        <v>2616</v>
      </c>
      <c r="B470" s="1224" t="s">
        <v>336</v>
      </c>
      <c r="C470" s="1225">
        <v>32739718</v>
      </c>
      <c r="D470" s="1225">
        <v>31475264</v>
      </c>
      <c r="E470" s="1225">
        <v>32739718</v>
      </c>
      <c r="F470" s="1225">
        <v>31475264</v>
      </c>
      <c r="G470" s="1225">
        <v>25001319</v>
      </c>
      <c r="H470" s="1225">
        <v>25001319</v>
      </c>
      <c r="I470" s="1225">
        <v>32739718</v>
      </c>
      <c r="J470" s="1225">
        <v>31475264</v>
      </c>
      <c r="K470" s="1225">
        <v>32739718</v>
      </c>
      <c r="L470" s="1225">
        <v>31475264</v>
      </c>
    </row>
    <row r="471" spans="1:12">
      <c r="A471" s="187" t="s">
        <v>784</v>
      </c>
      <c r="B471" s="1224" t="s">
        <v>850</v>
      </c>
      <c r="C471" s="1225">
        <v>66154846</v>
      </c>
      <c r="D471" s="1225">
        <v>64172039</v>
      </c>
      <c r="E471" s="1225">
        <v>66154846</v>
      </c>
      <c r="F471" s="1225">
        <v>64172039</v>
      </c>
      <c r="G471" s="1225">
        <v>101944447</v>
      </c>
      <c r="H471" s="1225">
        <v>101260707</v>
      </c>
      <c r="I471" s="1225">
        <v>66154846</v>
      </c>
      <c r="J471" s="1225">
        <v>64172039</v>
      </c>
      <c r="K471" s="1225">
        <v>66154846</v>
      </c>
      <c r="L471" s="1225">
        <v>64172039</v>
      </c>
    </row>
    <row r="472" spans="1:12">
      <c r="A472" s="187" t="s">
        <v>786</v>
      </c>
      <c r="B472" s="1224" t="s">
        <v>7109</v>
      </c>
      <c r="C472" s="1225">
        <v>1073143926</v>
      </c>
      <c r="D472" s="1225">
        <v>1043237447</v>
      </c>
      <c r="E472" s="1225">
        <v>1073143926</v>
      </c>
      <c r="F472" s="1225">
        <v>1043237447</v>
      </c>
      <c r="G472" s="1225">
        <v>1922316119</v>
      </c>
      <c r="H472" s="1225">
        <v>1922316119</v>
      </c>
      <c r="I472" s="1225">
        <v>1073143926</v>
      </c>
      <c r="J472" s="1225">
        <v>1043237447</v>
      </c>
      <c r="K472" s="1225">
        <v>1073143926</v>
      </c>
      <c r="L472" s="1225">
        <v>1043237447</v>
      </c>
    </row>
    <row r="473" spans="1:12">
      <c r="A473" s="187" t="s">
        <v>788</v>
      </c>
      <c r="B473" s="1224" t="s">
        <v>7110</v>
      </c>
      <c r="C473" s="1225">
        <v>97624270</v>
      </c>
      <c r="D473" s="1225">
        <v>94825658</v>
      </c>
      <c r="E473" s="1225">
        <v>97624270</v>
      </c>
      <c r="F473" s="1225">
        <v>94825658</v>
      </c>
      <c r="G473" s="1225">
        <v>91478004</v>
      </c>
      <c r="H473" s="1225">
        <v>91478004</v>
      </c>
      <c r="I473" s="1225">
        <v>97624270</v>
      </c>
      <c r="J473" s="1225">
        <v>94825658</v>
      </c>
      <c r="K473" s="1225">
        <v>97624270</v>
      </c>
      <c r="L473" s="1225">
        <v>94825658</v>
      </c>
    </row>
    <row r="474" spans="1:12">
      <c r="A474" s="187" t="s">
        <v>969</v>
      </c>
      <c r="B474" s="1224" t="s">
        <v>2344</v>
      </c>
      <c r="C474" s="1225">
        <v>91169274</v>
      </c>
      <c r="D474" s="1225">
        <v>87626098</v>
      </c>
      <c r="E474" s="1225">
        <v>91169274</v>
      </c>
      <c r="F474" s="1225">
        <v>87626098</v>
      </c>
      <c r="G474" s="1225">
        <v>143660938</v>
      </c>
      <c r="H474" s="1225">
        <v>143660938</v>
      </c>
      <c r="I474" s="1225">
        <v>91169274</v>
      </c>
      <c r="J474" s="1225">
        <v>87626098</v>
      </c>
      <c r="K474" s="1225">
        <v>91169274</v>
      </c>
      <c r="L474" s="1225">
        <v>87626098</v>
      </c>
    </row>
    <row r="475" spans="1:12">
      <c r="A475" s="187" t="s">
        <v>790</v>
      </c>
      <c r="B475" s="1224" t="s">
        <v>7111</v>
      </c>
      <c r="C475" s="1225">
        <v>694141183</v>
      </c>
      <c r="D475" s="1225">
        <v>691388377</v>
      </c>
      <c r="E475" s="1225">
        <v>691798252</v>
      </c>
      <c r="F475" s="1225">
        <v>689045446</v>
      </c>
      <c r="G475" s="1225">
        <v>1653125273</v>
      </c>
      <c r="H475" s="1225">
        <v>1650836339</v>
      </c>
      <c r="I475" s="1225">
        <v>694141183</v>
      </c>
      <c r="J475" s="1225">
        <v>691388377</v>
      </c>
      <c r="K475" s="1225">
        <v>691798252</v>
      </c>
      <c r="L475" s="1225">
        <v>689045446</v>
      </c>
    </row>
    <row r="476" spans="1:12">
      <c r="A476" s="187" t="s">
        <v>792</v>
      </c>
      <c r="B476" s="1224" t="s">
        <v>7112</v>
      </c>
      <c r="C476" s="1225">
        <v>49722233</v>
      </c>
      <c r="D476" s="1225">
        <v>48788333</v>
      </c>
      <c r="E476" s="1225">
        <v>49722233</v>
      </c>
      <c r="F476" s="1225">
        <v>48788333</v>
      </c>
      <c r="G476" s="1225">
        <v>84130672</v>
      </c>
      <c r="H476" s="1225">
        <v>84130672</v>
      </c>
      <c r="I476" s="1225">
        <v>49722233</v>
      </c>
      <c r="J476" s="1225">
        <v>48788333</v>
      </c>
      <c r="K476" s="1225">
        <v>49722233</v>
      </c>
      <c r="L476" s="1225">
        <v>48788333</v>
      </c>
    </row>
    <row r="477" spans="1:12">
      <c r="A477" s="187" t="s">
        <v>794</v>
      </c>
      <c r="B477" s="1224" t="s">
        <v>7113</v>
      </c>
      <c r="C477" s="1225">
        <v>4930872612</v>
      </c>
      <c r="D477" s="1225">
        <v>4817537314</v>
      </c>
      <c r="E477" s="1225">
        <v>4930872612</v>
      </c>
      <c r="F477" s="1225">
        <v>4817537314</v>
      </c>
      <c r="G477" s="1225">
        <v>4840656124</v>
      </c>
      <c r="H477" s="1225">
        <v>4840656124</v>
      </c>
      <c r="I477" s="1225">
        <v>4930872612</v>
      </c>
      <c r="J477" s="1225">
        <v>4817537314</v>
      </c>
      <c r="K477" s="1225">
        <v>4930872612</v>
      </c>
      <c r="L477" s="1225">
        <v>4817537314</v>
      </c>
    </row>
    <row r="478" spans="1:12">
      <c r="A478" s="187" t="s">
        <v>2991</v>
      </c>
      <c r="B478" s="1224" t="s">
        <v>193</v>
      </c>
      <c r="C478" s="1225">
        <v>174354323</v>
      </c>
      <c r="D478" s="1225">
        <v>170175862</v>
      </c>
      <c r="E478" s="1225">
        <v>174354323</v>
      </c>
      <c r="F478" s="1225">
        <v>170175862</v>
      </c>
      <c r="G478" s="1225">
        <v>178115866</v>
      </c>
      <c r="H478" s="1225">
        <v>178115866</v>
      </c>
      <c r="I478" s="1225">
        <v>174354323</v>
      </c>
      <c r="J478" s="1225">
        <v>170175862</v>
      </c>
      <c r="K478" s="1225">
        <v>174354323</v>
      </c>
      <c r="L478" s="1225">
        <v>170175862</v>
      </c>
    </row>
    <row r="479" spans="1:12">
      <c r="A479" s="187" t="s">
        <v>2413</v>
      </c>
      <c r="B479" s="1224" t="s">
        <v>5366</v>
      </c>
      <c r="C479" s="1225">
        <v>214804008</v>
      </c>
      <c r="D479" s="1225">
        <v>209086352</v>
      </c>
      <c r="E479" s="1225">
        <v>214804008</v>
      </c>
      <c r="F479" s="1225">
        <v>209086352</v>
      </c>
      <c r="G479" s="1225">
        <v>205867678</v>
      </c>
      <c r="H479" s="1225">
        <v>205867678</v>
      </c>
      <c r="I479" s="1225">
        <v>214804008</v>
      </c>
      <c r="J479" s="1225">
        <v>209086352</v>
      </c>
      <c r="K479" s="1225">
        <v>214804008</v>
      </c>
      <c r="L479" s="1225">
        <v>209086352</v>
      </c>
    </row>
    <row r="480" spans="1:12">
      <c r="A480" s="187" t="s">
        <v>796</v>
      </c>
      <c r="B480" s="1224" t="s">
        <v>7114</v>
      </c>
      <c r="C480" s="1225">
        <v>1251957456</v>
      </c>
      <c r="D480" s="1225">
        <v>1205618382</v>
      </c>
      <c r="E480" s="1225">
        <v>1251957456</v>
      </c>
      <c r="F480" s="1225">
        <v>1205618382</v>
      </c>
      <c r="G480" s="1225">
        <v>1202040406</v>
      </c>
      <c r="H480" s="1225">
        <v>1202040406</v>
      </c>
      <c r="I480" s="1225">
        <v>1251957456</v>
      </c>
      <c r="J480" s="1225">
        <v>1205618382</v>
      </c>
      <c r="K480" s="1225">
        <v>1251957456</v>
      </c>
      <c r="L480" s="1225">
        <v>1205618382</v>
      </c>
    </row>
    <row r="481" spans="1:12">
      <c r="A481" s="187" t="s">
        <v>2044</v>
      </c>
      <c r="B481" s="1224" t="s">
        <v>991</v>
      </c>
      <c r="C481" s="1225">
        <v>74916592</v>
      </c>
      <c r="D481" s="1225">
        <v>70416643</v>
      </c>
      <c r="E481" s="1225">
        <v>74916592</v>
      </c>
      <c r="F481" s="1225">
        <v>70416643</v>
      </c>
      <c r="G481" s="1225">
        <v>66707966</v>
      </c>
      <c r="H481" s="1225">
        <v>66707966</v>
      </c>
      <c r="I481" s="1225">
        <v>74916592</v>
      </c>
      <c r="J481" s="1225">
        <v>70416643</v>
      </c>
      <c r="K481" s="1225">
        <v>74916592</v>
      </c>
      <c r="L481" s="1225">
        <v>70416643</v>
      </c>
    </row>
    <row r="482" spans="1:12">
      <c r="A482" s="187" t="s">
        <v>798</v>
      </c>
      <c r="B482" s="1224" t="s">
        <v>7115</v>
      </c>
      <c r="C482" s="1225">
        <v>82629266</v>
      </c>
      <c r="D482" s="1225">
        <v>78542377</v>
      </c>
      <c r="E482" s="1225">
        <v>82629266</v>
      </c>
      <c r="F482" s="1225">
        <v>78542377</v>
      </c>
      <c r="G482" s="1225">
        <v>102560103</v>
      </c>
      <c r="H482" s="1225">
        <v>102560103</v>
      </c>
      <c r="I482" s="1225">
        <v>82629266</v>
      </c>
      <c r="J482" s="1225">
        <v>78542377</v>
      </c>
      <c r="K482" s="1225">
        <v>82629266</v>
      </c>
      <c r="L482" s="1225">
        <v>78542377</v>
      </c>
    </row>
    <row r="483" spans="1:12">
      <c r="A483" s="187" t="s">
        <v>2358</v>
      </c>
      <c r="B483" s="1224" t="s">
        <v>499</v>
      </c>
      <c r="C483" s="1225">
        <v>56722166</v>
      </c>
      <c r="D483" s="1225">
        <v>53387192</v>
      </c>
      <c r="E483" s="1225">
        <v>56722166</v>
      </c>
      <c r="F483" s="1225">
        <v>53387192</v>
      </c>
      <c r="G483" s="1225">
        <v>50966651</v>
      </c>
      <c r="H483" s="1225">
        <v>50966651</v>
      </c>
      <c r="I483" s="1225">
        <v>56722166</v>
      </c>
      <c r="J483" s="1225">
        <v>53387192</v>
      </c>
      <c r="K483" s="1225">
        <v>56722166</v>
      </c>
      <c r="L483" s="1225">
        <v>53387192</v>
      </c>
    </row>
    <row r="484" spans="1:12">
      <c r="A484" s="187" t="s">
        <v>800</v>
      </c>
      <c r="B484" s="1224" t="s">
        <v>7116</v>
      </c>
      <c r="C484" s="1225">
        <v>148215240</v>
      </c>
      <c r="D484" s="1225">
        <v>141730964</v>
      </c>
      <c r="E484" s="1225">
        <v>148215240</v>
      </c>
      <c r="F484" s="1225">
        <v>141730964</v>
      </c>
      <c r="G484" s="1225">
        <v>151277713</v>
      </c>
      <c r="H484" s="1225">
        <v>151277713</v>
      </c>
      <c r="I484" s="1225">
        <v>148215240</v>
      </c>
      <c r="J484" s="1225">
        <v>141730964</v>
      </c>
      <c r="K484" s="1225">
        <v>148215240</v>
      </c>
      <c r="L484" s="1225">
        <v>141730964</v>
      </c>
    </row>
    <row r="485" spans="1:12">
      <c r="A485" s="187" t="s">
        <v>802</v>
      </c>
      <c r="B485" s="1224" t="s">
        <v>7117</v>
      </c>
      <c r="C485" s="1225">
        <v>66937542</v>
      </c>
      <c r="D485" s="1225">
        <v>64952258</v>
      </c>
      <c r="E485" s="1225">
        <v>66937542</v>
      </c>
      <c r="F485" s="1225">
        <v>64952258</v>
      </c>
      <c r="G485" s="1225">
        <v>49950932</v>
      </c>
      <c r="H485" s="1225">
        <v>49950932</v>
      </c>
      <c r="I485" s="1225">
        <v>66937542</v>
      </c>
      <c r="J485" s="1225">
        <v>64952258</v>
      </c>
      <c r="K485" s="1225">
        <v>66937542</v>
      </c>
      <c r="L485" s="1225">
        <v>64952258</v>
      </c>
    </row>
    <row r="486" spans="1:12">
      <c r="A486" s="187" t="s">
        <v>2046</v>
      </c>
      <c r="B486" s="1224" t="s">
        <v>2357</v>
      </c>
      <c r="C486" s="1225">
        <v>98276280</v>
      </c>
      <c r="D486" s="1225">
        <v>95599716</v>
      </c>
      <c r="E486" s="1225">
        <v>98276280</v>
      </c>
      <c r="F486" s="1225">
        <v>95599716</v>
      </c>
      <c r="G486" s="1225">
        <v>77116730</v>
      </c>
      <c r="H486" s="1225">
        <v>77116730</v>
      </c>
      <c r="I486" s="1225">
        <v>98276280</v>
      </c>
      <c r="J486" s="1225">
        <v>95599716</v>
      </c>
      <c r="K486" s="1225">
        <v>98276280</v>
      </c>
      <c r="L486" s="1225">
        <v>95599716</v>
      </c>
    </row>
    <row r="487" spans="1:12">
      <c r="A487" s="187" t="s">
        <v>804</v>
      </c>
      <c r="B487" s="1224" t="s">
        <v>7118</v>
      </c>
      <c r="C487" s="1225">
        <v>463697620</v>
      </c>
      <c r="D487" s="1225">
        <v>446540630</v>
      </c>
      <c r="E487" s="1225">
        <v>463697620</v>
      </c>
      <c r="F487" s="1225">
        <v>446540630</v>
      </c>
      <c r="G487" s="1225">
        <v>424690453</v>
      </c>
      <c r="H487" s="1225">
        <v>424690453</v>
      </c>
      <c r="I487" s="1225">
        <v>533697620</v>
      </c>
      <c r="J487" s="1225">
        <v>516540630</v>
      </c>
      <c r="K487" s="1225">
        <v>533697620</v>
      </c>
      <c r="L487" s="1225">
        <v>516540630</v>
      </c>
    </row>
    <row r="488" spans="1:12">
      <c r="A488" s="187" t="s">
        <v>806</v>
      </c>
      <c r="B488" s="1224" t="s">
        <v>7119</v>
      </c>
      <c r="C488" s="1225">
        <v>271889021</v>
      </c>
      <c r="D488" s="1225">
        <v>262048271</v>
      </c>
      <c r="E488" s="1225">
        <v>271889021</v>
      </c>
      <c r="F488" s="1225">
        <v>262048271</v>
      </c>
      <c r="G488" s="1225">
        <v>267688603</v>
      </c>
      <c r="H488" s="1225">
        <v>267688603</v>
      </c>
      <c r="I488" s="1225">
        <v>271889021</v>
      </c>
      <c r="J488" s="1225">
        <v>262048271</v>
      </c>
      <c r="K488" s="1225">
        <v>271889021</v>
      </c>
      <c r="L488" s="1225">
        <v>262048271</v>
      </c>
    </row>
    <row r="489" spans="1:12">
      <c r="A489" s="187" t="s">
        <v>808</v>
      </c>
      <c r="B489" s="1224" t="s">
        <v>7120</v>
      </c>
      <c r="C489" s="1225">
        <v>275565152</v>
      </c>
      <c r="D489" s="1225">
        <v>269112952</v>
      </c>
      <c r="E489" s="1225">
        <v>275565152</v>
      </c>
      <c r="F489" s="1225">
        <v>269112952</v>
      </c>
      <c r="G489" s="1225">
        <v>461519668</v>
      </c>
      <c r="H489" s="1225">
        <v>461519668</v>
      </c>
      <c r="I489" s="1225">
        <v>275565152</v>
      </c>
      <c r="J489" s="1225">
        <v>269112952</v>
      </c>
      <c r="K489" s="1225">
        <v>275565152</v>
      </c>
      <c r="L489" s="1225">
        <v>269112952</v>
      </c>
    </row>
    <row r="490" spans="1:12">
      <c r="A490" s="187" t="s">
        <v>810</v>
      </c>
      <c r="B490" s="1224" t="s">
        <v>7121</v>
      </c>
      <c r="C490" s="1225">
        <v>151998342</v>
      </c>
      <c r="D490" s="1225">
        <v>146179062</v>
      </c>
      <c r="E490" s="1225">
        <v>151998342</v>
      </c>
      <c r="F490" s="1225">
        <v>146179062</v>
      </c>
      <c r="G490" s="1225">
        <v>150602277</v>
      </c>
      <c r="H490" s="1225">
        <v>150602277</v>
      </c>
      <c r="I490" s="1225">
        <v>151998342</v>
      </c>
      <c r="J490" s="1225">
        <v>146179062</v>
      </c>
      <c r="K490" s="1225">
        <v>151998342</v>
      </c>
      <c r="L490" s="1225">
        <v>146179062</v>
      </c>
    </row>
    <row r="491" spans="1:12">
      <c r="A491" s="187" t="s">
        <v>667</v>
      </c>
      <c r="B491" s="1224" t="s">
        <v>7122</v>
      </c>
      <c r="C491" s="1225">
        <v>102393130</v>
      </c>
      <c r="D491" s="1225">
        <v>97180290</v>
      </c>
      <c r="E491" s="1225">
        <v>102393130</v>
      </c>
      <c r="F491" s="1225">
        <v>97180290</v>
      </c>
      <c r="G491" s="1225">
        <v>114991770</v>
      </c>
      <c r="H491" s="1225">
        <v>114991770</v>
      </c>
      <c r="I491" s="1225">
        <v>102393130</v>
      </c>
      <c r="J491" s="1225">
        <v>97180290</v>
      </c>
      <c r="K491" s="1225">
        <v>102393130</v>
      </c>
      <c r="L491" s="1225">
        <v>97180290</v>
      </c>
    </row>
    <row r="492" spans="1:12">
      <c r="A492" s="187" t="s">
        <v>1707</v>
      </c>
      <c r="B492" s="1224" t="s">
        <v>3864</v>
      </c>
      <c r="C492" s="1225">
        <v>1748377033</v>
      </c>
      <c r="D492" s="1225">
        <v>1710395175</v>
      </c>
      <c r="E492" s="1225">
        <v>1710746035</v>
      </c>
      <c r="F492" s="1225">
        <v>1672764177</v>
      </c>
      <c r="G492" s="1225">
        <v>1936604826</v>
      </c>
      <c r="H492" s="1225">
        <v>1903467823</v>
      </c>
      <c r="I492" s="1225">
        <v>1748377033</v>
      </c>
      <c r="J492" s="1225">
        <v>1710395175</v>
      </c>
      <c r="K492" s="1225">
        <v>1710746035</v>
      </c>
      <c r="L492" s="1225">
        <v>1672764177</v>
      </c>
    </row>
    <row r="493" spans="1:12">
      <c r="A493" s="187" t="s">
        <v>1709</v>
      </c>
      <c r="B493" s="1224" t="s">
        <v>3865</v>
      </c>
      <c r="C493" s="1225">
        <v>323867003</v>
      </c>
      <c r="D493" s="1225">
        <v>315227068</v>
      </c>
      <c r="E493" s="1225">
        <v>314268716</v>
      </c>
      <c r="F493" s="1225">
        <v>305628781</v>
      </c>
      <c r="G493" s="1225">
        <v>541991111</v>
      </c>
      <c r="H493" s="1225">
        <v>533926226</v>
      </c>
      <c r="I493" s="1225">
        <v>323867003</v>
      </c>
      <c r="J493" s="1225">
        <v>315227068</v>
      </c>
      <c r="K493" s="1225">
        <v>314268716</v>
      </c>
      <c r="L493" s="1225">
        <v>305628781</v>
      </c>
    </row>
    <row r="494" spans="1:12">
      <c r="A494" s="187" t="s">
        <v>1711</v>
      </c>
      <c r="B494" s="1224" t="s">
        <v>3866</v>
      </c>
      <c r="C494" s="1225">
        <v>346609395</v>
      </c>
      <c r="D494" s="1225">
        <v>341339967</v>
      </c>
      <c r="E494" s="1225">
        <v>339921273</v>
      </c>
      <c r="F494" s="1225">
        <v>334651845</v>
      </c>
      <c r="G494" s="1225">
        <v>826678568</v>
      </c>
      <c r="H494" s="1225">
        <v>821178126</v>
      </c>
      <c r="I494" s="1225">
        <v>463709515</v>
      </c>
      <c r="J494" s="1225">
        <v>458440087</v>
      </c>
      <c r="K494" s="1225">
        <v>457021393</v>
      </c>
      <c r="L494" s="1225">
        <v>451751965</v>
      </c>
    </row>
    <row r="495" spans="1:12">
      <c r="A495" s="187" t="s">
        <v>1713</v>
      </c>
      <c r="B495" s="1224" t="s">
        <v>3867</v>
      </c>
      <c r="C495" s="1225">
        <v>207262930</v>
      </c>
      <c r="D495" s="1225">
        <v>205047530</v>
      </c>
      <c r="E495" s="1225">
        <v>207262930</v>
      </c>
      <c r="F495" s="1225">
        <v>205047530</v>
      </c>
      <c r="G495" s="1225">
        <v>192244062</v>
      </c>
      <c r="H495" s="1225">
        <v>192244062</v>
      </c>
      <c r="I495" s="1225">
        <v>207262930</v>
      </c>
      <c r="J495" s="1225">
        <v>205047530</v>
      </c>
      <c r="K495" s="1225">
        <v>207262930</v>
      </c>
      <c r="L495" s="1225">
        <v>205047530</v>
      </c>
    </row>
    <row r="496" spans="1:12">
      <c r="A496" s="187" t="s">
        <v>1330</v>
      </c>
      <c r="B496" s="1224" t="s">
        <v>3868</v>
      </c>
      <c r="C496" s="1225">
        <v>110527020</v>
      </c>
      <c r="D496" s="1225">
        <v>109852825</v>
      </c>
      <c r="E496" s="1225">
        <v>110527020</v>
      </c>
      <c r="F496" s="1225">
        <v>109852825</v>
      </c>
      <c r="G496" s="1225">
        <v>100838579</v>
      </c>
      <c r="H496" s="1225">
        <v>100838579</v>
      </c>
      <c r="I496" s="1225">
        <v>110527020</v>
      </c>
      <c r="J496" s="1225">
        <v>109852825</v>
      </c>
      <c r="K496" s="1225">
        <v>110527020</v>
      </c>
      <c r="L496" s="1225">
        <v>109852825</v>
      </c>
    </row>
    <row r="497" spans="1:12">
      <c r="A497" s="187" t="s">
        <v>1332</v>
      </c>
      <c r="B497" s="1224" t="s">
        <v>3869</v>
      </c>
      <c r="C497" s="1225">
        <v>64633850</v>
      </c>
      <c r="D497" s="1225">
        <v>64096114</v>
      </c>
      <c r="E497" s="1225">
        <v>64378801</v>
      </c>
      <c r="F497" s="1225">
        <v>63841065</v>
      </c>
      <c r="G497" s="1225">
        <v>62446687</v>
      </c>
      <c r="H497" s="1225">
        <v>62159196</v>
      </c>
      <c r="I497" s="1225">
        <v>64633850</v>
      </c>
      <c r="J497" s="1225">
        <v>64096114</v>
      </c>
      <c r="K497" s="1225">
        <v>64378801</v>
      </c>
      <c r="L497" s="1225">
        <v>63841065</v>
      </c>
    </row>
    <row r="498" spans="1:12">
      <c r="A498" s="187" t="s">
        <v>979</v>
      </c>
      <c r="B498" s="1224" t="s">
        <v>6097</v>
      </c>
      <c r="C498" s="1225">
        <v>405228470</v>
      </c>
      <c r="D498" s="1225">
        <v>389518468</v>
      </c>
      <c r="E498" s="1225">
        <v>405228470</v>
      </c>
      <c r="F498" s="1225">
        <v>389518468</v>
      </c>
      <c r="G498" s="1225">
        <v>366984727</v>
      </c>
      <c r="H498" s="1225">
        <v>366984727</v>
      </c>
      <c r="I498" s="1225">
        <v>405228470</v>
      </c>
      <c r="J498" s="1225">
        <v>389518468</v>
      </c>
      <c r="K498" s="1225">
        <v>405228470</v>
      </c>
      <c r="L498" s="1225">
        <v>389518468</v>
      </c>
    </row>
    <row r="499" spans="1:12">
      <c r="A499" s="187" t="s">
        <v>1334</v>
      </c>
      <c r="B499" s="1224" t="s">
        <v>3870</v>
      </c>
      <c r="C499" s="1225">
        <v>93503488</v>
      </c>
      <c r="D499" s="1225">
        <v>88285388</v>
      </c>
      <c r="E499" s="1225">
        <v>93503488</v>
      </c>
      <c r="F499" s="1225">
        <v>88285388</v>
      </c>
      <c r="G499" s="1225">
        <v>83027871</v>
      </c>
      <c r="H499" s="1225">
        <v>83027871</v>
      </c>
      <c r="I499" s="1225">
        <v>93503488</v>
      </c>
      <c r="J499" s="1225">
        <v>88285388</v>
      </c>
      <c r="K499" s="1225">
        <v>93503488</v>
      </c>
      <c r="L499" s="1225">
        <v>88285388</v>
      </c>
    </row>
    <row r="500" spans="1:12">
      <c r="A500" s="187" t="s">
        <v>235</v>
      </c>
      <c r="B500" s="1224" t="s">
        <v>2642</v>
      </c>
      <c r="C500" s="1225">
        <v>418005624</v>
      </c>
      <c r="D500" s="1225">
        <v>403891798</v>
      </c>
      <c r="E500" s="1225">
        <v>418005624</v>
      </c>
      <c r="F500" s="1225">
        <v>403891798</v>
      </c>
      <c r="G500" s="1225">
        <v>405587419</v>
      </c>
      <c r="H500" s="1225">
        <v>405587419</v>
      </c>
      <c r="I500" s="1225">
        <v>418005624</v>
      </c>
      <c r="J500" s="1225">
        <v>403891798</v>
      </c>
      <c r="K500" s="1225">
        <v>418005624</v>
      </c>
      <c r="L500" s="1225">
        <v>403891798</v>
      </c>
    </row>
    <row r="501" spans="1:12">
      <c r="A501" s="187" t="s">
        <v>3961</v>
      </c>
      <c r="B501" s="1224" t="s">
        <v>3871</v>
      </c>
      <c r="C501" s="1225">
        <v>1973155985</v>
      </c>
      <c r="D501" s="1225">
        <v>1919064244</v>
      </c>
      <c r="E501" s="1225">
        <v>1973155985</v>
      </c>
      <c r="F501" s="1225">
        <v>1919064244</v>
      </c>
      <c r="G501" s="1225">
        <v>1775364939</v>
      </c>
      <c r="H501" s="1225">
        <v>1775364939</v>
      </c>
      <c r="I501" s="1225">
        <v>1973155985</v>
      </c>
      <c r="J501" s="1225">
        <v>1919064244</v>
      </c>
      <c r="K501" s="1225">
        <v>1973155985</v>
      </c>
      <c r="L501" s="1225">
        <v>1919064244</v>
      </c>
    </row>
    <row r="502" spans="1:12">
      <c r="A502" s="187" t="s">
        <v>2359</v>
      </c>
      <c r="B502" s="1224" t="s">
        <v>198</v>
      </c>
      <c r="C502" s="1225">
        <v>229003477</v>
      </c>
      <c r="D502" s="1225">
        <v>218909381</v>
      </c>
      <c r="E502" s="1225">
        <v>229003477</v>
      </c>
      <c r="F502" s="1225">
        <v>218909381</v>
      </c>
      <c r="G502" s="1225">
        <v>205736251</v>
      </c>
      <c r="H502" s="1225">
        <v>205736251</v>
      </c>
      <c r="I502" s="1225">
        <v>229003477</v>
      </c>
      <c r="J502" s="1225">
        <v>218909381</v>
      </c>
      <c r="K502" s="1225">
        <v>229003477</v>
      </c>
      <c r="L502" s="1225">
        <v>218909381</v>
      </c>
    </row>
    <row r="503" spans="1:12">
      <c r="A503" s="187" t="s">
        <v>650</v>
      </c>
      <c r="B503" s="1224" t="s">
        <v>355</v>
      </c>
      <c r="C503" s="1225">
        <v>722366657</v>
      </c>
      <c r="D503" s="1225">
        <v>694562281</v>
      </c>
      <c r="E503" s="1225">
        <v>722366657</v>
      </c>
      <c r="F503" s="1225">
        <v>694562281</v>
      </c>
      <c r="G503" s="1225">
        <v>672519840</v>
      </c>
      <c r="H503" s="1225">
        <v>672519840</v>
      </c>
      <c r="I503" s="1225">
        <v>722366657</v>
      </c>
      <c r="J503" s="1225">
        <v>694562281</v>
      </c>
      <c r="K503" s="1225">
        <v>722366657</v>
      </c>
      <c r="L503" s="1225">
        <v>694562281</v>
      </c>
    </row>
    <row r="504" spans="1:12">
      <c r="A504" s="187" t="s">
        <v>2127</v>
      </c>
      <c r="B504" s="1224" t="s">
        <v>2007</v>
      </c>
      <c r="C504" s="1225">
        <v>113979186</v>
      </c>
      <c r="D504" s="1225">
        <v>107238249</v>
      </c>
      <c r="E504" s="1225">
        <v>113979186</v>
      </c>
      <c r="F504" s="1225">
        <v>107238249</v>
      </c>
      <c r="G504" s="1225">
        <v>100189450</v>
      </c>
      <c r="H504" s="1225">
        <v>100189450</v>
      </c>
      <c r="I504" s="1225">
        <v>113979186</v>
      </c>
      <c r="J504" s="1225">
        <v>107238249</v>
      </c>
      <c r="K504" s="1225">
        <v>113979186</v>
      </c>
      <c r="L504" s="1225">
        <v>107238249</v>
      </c>
    </row>
    <row r="505" spans="1:12">
      <c r="A505" s="187" t="s">
        <v>3963</v>
      </c>
      <c r="B505" s="1224" t="s">
        <v>3872</v>
      </c>
      <c r="C505" s="1225">
        <v>89419817</v>
      </c>
      <c r="D505" s="1225">
        <v>84690945</v>
      </c>
      <c r="E505" s="1225">
        <v>89419817</v>
      </c>
      <c r="F505" s="1225">
        <v>84690945</v>
      </c>
      <c r="G505" s="1225">
        <v>78976233</v>
      </c>
      <c r="H505" s="1225">
        <v>78976233</v>
      </c>
      <c r="I505" s="1225">
        <v>89419817</v>
      </c>
      <c r="J505" s="1225">
        <v>84690945</v>
      </c>
      <c r="K505" s="1225">
        <v>89419817</v>
      </c>
      <c r="L505" s="1225">
        <v>84690945</v>
      </c>
    </row>
    <row r="506" spans="1:12">
      <c r="A506" s="187" t="s">
        <v>953</v>
      </c>
      <c r="B506" s="1224" t="s">
        <v>7658</v>
      </c>
      <c r="C506" s="1225">
        <v>149001303</v>
      </c>
      <c r="D506" s="1225">
        <v>142485899</v>
      </c>
      <c r="E506" s="1225">
        <v>149001303</v>
      </c>
      <c r="F506" s="1225">
        <v>142485899</v>
      </c>
      <c r="G506" s="1225">
        <v>123693645</v>
      </c>
      <c r="H506" s="1225">
        <v>123693645</v>
      </c>
      <c r="I506" s="1225">
        <v>149001303</v>
      </c>
      <c r="J506" s="1225">
        <v>142485899</v>
      </c>
      <c r="K506" s="1225">
        <v>149001303</v>
      </c>
      <c r="L506" s="1225">
        <v>142485899</v>
      </c>
    </row>
    <row r="507" spans="1:12">
      <c r="A507" s="187" t="s">
        <v>971</v>
      </c>
      <c r="B507" s="1224" t="s">
        <v>7663</v>
      </c>
      <c r="C507" s="1225">
        <v>15956661</v>
      </c>
      <c r="D507" s="1225">
        <v>14875161</v>
      </c>
      <c r="E507" s="1225">
        <v>15956661</v>
      </c>
      <c r="F507" s="1225">
        <v>14875161</v>
      </c>
      <c r="G507" s="1225">
        <v>14770329</v>
      </c>
      <c r="H507" s="1225">
        <v>14770329</v>
      </c>
      <c r="I507" s="1225">
        <v>15956661</v>
      </c>
      <c r="J507" s="1225">
        <v>14875161</v>
      </c>
      <c r="K507" s="1225">
        <v>15956661</v>
      </c>
      <c r="L507" s="1225">
        <v>14875161</v>
      </c>
    </row>
    <row r="508" spans="1:12">
      <c r="A508" s="187" t="s">
        <v>3965</v>
      </c>
      <c r="B508" s="1224" t="s">
        <v>3873</v>
      </c>
      <c r="C508" s="1225">
        <v>643621524</v>
      </c>
      <c r="D508" s="1225">
        <v>611457834</v>
      </c>
      <c r="E508" s="1225">
        <v>630616079</v>
      </c>
      <c r="F508" s="1225">
        <v>598452389</v>
      </c>
      <c r="G508" s="1225">
        <v>607953748</v>
      </c>
      <c r="H508" s="1225">
        <v>594379623</v>
      </c>
      <c r="I508" s="1225">
        <v>1004621524</v>
      </c>
      <c r="J508" s="1225">
        <v>972457834</v>
      </c>
      <c r="K508" s="1225">
        <v>991616079</v>
      </c>
      <c r="L508" s="1225">
        <v>959452389</v>
      </c>
    </row>
    <row r="509" spans="1:12">
      <c r="A509" s="187" t="s">
        <v>3967</v>
      </c>
      <c r="B509" s="1224" t="s">
        <v>3683</v>
      </c>
      <c r="C509" s="1225">
        <v>132209671</v>
      </c>
      <c r="D509" s="1225">
        <v>120244836</v>
      </c>
      <c r="E509" s="1225">
        <v>131863116</v>
      </c>
      <c r="F509" s="1225">
        <v>119898281</v>
      </c>
      <c r="G509" s="1225">
        <v>146471979</v>
      </c>
      <c r="H509" s="1225">
        <v>141637333</v>
      </c>
      <c r="I509" s="1225">
        <v>132209671</v>
      </c>
      <c r="J509" s="1225">
        <v>120244836</v>
      </c>
      <c r="K509" s="1225">
        <v>131863116</v>
      </c>
      <c r="L509" s="1225">
        <v>119898281</v>
      </c>
    </row>
    <row r="510" spans="1:12">
      <c r="A510" s="187" t="s">
        <v>3969</v>
      </c>
      <c r="B510" s="1224" t="s">
        <v>3685</v>
      </c>
      <c r="C510" s="1225">
        <v>1127628953</v>
      </c>
      <c r="D510" s="1225">
        <v>1121895293</v>
      </c>
      <c r="E510" s="1225">
        <v>1124179703</v>
      </c>
      <c r="F510" s="1225">
        <v>1118446043</v>
      </c>
      <c r="G510" s="1225">
        <v>1097483032</v>
      </c>
      <c r="H510" s="1225">
        <v>1094173235</v>
      </c>
      <c r="I510" s="1225">
        <v>1170627593</v>
      </c>
      <c r="J510" s="1225">
        <v>1164893933</v>
      </c>
      <c r="K510" s="1225">
        <v>1167178343</v>
      </c>
      <c r="L510" s="1225">
        <v>1161444683</v>
      </c>
    </row>
    <row r="511" spans="1:12">
      <c r="A511" s="187" t="s">
        <v>757</v>
      </c>
      <c r="B511" s="1224" t="s">
        <v>3057</v>
      </c>
      <c r="C511" s="1225">
        <v>35174341</v>
      </c>
      <c r="D511" s="1225">
        <v>35010041</v>
      </c>
      <c r="E511" s="1225">
        <v>35066361</v>
      </c>
      <c r="F511" s="1225">
        <v>34902061</v>
      </c>
      <c r="G511" s="1225">
        <v>52777942</v>
      </c>
      <c r="H511" s="1225">
        <v>52676411</v>
      </c>
      <c r="I511" s="1225">
        <v>35174341</v>
      </c>
      <c r="J511" s="1225">
        <v>35010041</v>
      </c>
      <c r="K511" s="1225">
        <v>35066361</v>
      </c>
      <c r="L511" s="1225">
        <v>34902061</v>
      </c>
    </row>
    <row r="512" spans="1:12">
      <c r="A512" s="187" t="s">
        <v>759</v>
      </c>
      <c r="B512" s="1224" t="s">
        <v>3688</v>
      </c>
      <c r="C512" s="1225">
        <v>1005941213</v>
      </c>
      <c r="D512" s="1225">
        <v>1002661923</v>
      </c>
      <c r="E512" s="1225">
        <v>1005941213</v>
      </c>
      <c r="F512" s="1225">
        <v>1002661923</v>
      </c>
      <c r="G512" s="1225">
        <v>1600532668</v>
      </c>
      <c r="H512" s="1225">
        <v>1600532668</v>
      </c>
      <c r="I512" s="1225">
        <v>1005941213</v>
      </c>
      <c r="J512" s="1225">
        <v>1002661923</v>
      </c>
      <c r="K512" s="1225">
        <v>1005941213</v>
      </c>
      <c r="L512" s="1225">
        <v>1002661923</v>
      </c>
    </row>
    <row r="513" spans="1:12">
      <c r="A513" s="187" t="s">
        <v>69</v>
      </c>
      <c r="B513" s="1224" t="s">
        <v>3059</v>
      </c>
      <c r="C513" s="1225">
        <v>144132151</v>
      </c>
      <c r="D513" s="1225">
        <v>142055791</v>
      </c>
      <c r="E513" s="1225">
        <v>144132151</v>
      </c>
      <c r="F513" s="1225">
        <v>142055791</v>
      </c>
      <c r="G513" s="1225">
        <v>204860697</v>
      </c>
      <c r="H513" s="1225">
        <v>204860697</v>
      </c>
      <c r="I513" s="1225">
        <v>308216791</v>
      </c>
      <c r="J513" s="1225">
        <v>306140431</v>
      </c>
      <c r="K513" s="1225">
        <v>308216791</v>
      </c>
      <c r="L513" s="1225">
        <v>306140431</v>
      </c>
    </row>
    <row r="514" spans="1:12">
      <c r="A514" s="187" t="s">
        <v>71</v>
      </c>
      <c r="B514" s="1224" t="s">
        <v>3060</v>
      </c>
      <c r="C514" s="1225">
        <v>849628384</v>
      </c>
      <c r="D514" s="1225">
        <v>839294094</v>
      </c>
      <c r="E514" s="1225">
        <v>849628384</v>
      </c>
      <c r="F514" s="1225">
        <v>839294094</v>
      </c>
      <c r="G514" s="1225">
        <v>1166959161</v>
      </c>
      <c r="H514" s="1225">
        <v>1166959161</v>
      </c>
      <c r="I514" s="1225">
        <v>931515724</v>
      </c>
      <c r="J514" s="1225">
        <v>921181434</v>
      </c>
      <c r="K514" s="1225">
        <v>931515724</v>
      </c>
      <c r="L514" s="1225">
        <v>921181434</v>
      </c>
    </row>
    <row r="515" spans="1:12">
      <c r="A515" s="187" t="s">
        <v>73</v>
      </c>
      <c r="B515" s="1224" t="s">
        <v>3692</v>
      </c>
      <c r="C515" s="1225">
        <v>268712632</v>
      </c>
      <c r="D515" s="1225">
        <v>264404722</v>
      </c>
      <c r="E515" s="1225">
        <v>268712632</v>
      </c>
      <c r="F515" s="1225">
        <v>264404722</v>
      </c>
      <c r="G515" s="1225">
        <v>327619299</v>
      </c>
      <c r="H515" s="1225">
        <v>327619299</v>
      </c>
      <c r="I515" s="1225">
        <v>279829032</v>
      </c>
      <c r="J515" s="1225">
        <v>275521122</v>
      </c>
      <c r="K515" s="1225">
        <v>279829032</v>
      </c>
      <c r="L515" s="1225">
        <v>275521122</v>
      </c>
    </row>
    <row r="516" spans="1:12">
      <c r="A516" s="187" t="s">
        <v>75</v>
      </c>
      <c r="B516" s="1224" t="s">
        <v>3062</v>
      </c>
      <c r="C516" s="1225">
        <v>466623791</v>
      </c>
      <c r="D516" s="1225">
        <v>450521865</v>
      </c>
      <c r="E516" s="1225">
        <v>466623791</v>
      </c>
      <c r="F516" s="1225">
        <v>450521865</v>
      </c>
      <c r="G516" s="1225">
        <v>605272616</v>
      </c>
      <c r="H516" s="1225">
        <v>605272616</v>
      </c>
      <c r="I516" s="1225">
        <v>566162591</v>
      </c>
      <c r="J516" s="1225">
        <v>550060665</v>
      </c>
      <c r="K516" s="1225">
        <v>566162591</v>
      </c>
      <c r="L516" s="1225">
        <v>550060665</v>
      </c>
    </row>
    <row r="517" spans="1:12">
      <c r="A517" s="187" t="s">
        <v>1316</v>
      </c>
      <c r="B517" s="1224" t="s">
        <v>121</v>
      </c>
      <c r="C517" s="1225">
        <v>220858721</v>
      </c>
      <c r="D517" s="1225">
        <v>213926083</v>
      </c>
      <c r="E517" s="1225">
        <v>220858721</v>
      </c>
      <c r="F517" s="1225">
        <v>213926083</v>
      </c>
      <c r="G517" s="1225">
        <v>479286486</v>
      </c>
      <c r="H517" s="1225">
        <v>479286486</v>
      </c>
      <c r="I517" s="1225">
        <v>515168821</v>
      </c>
      <c r="J517" s="1225">
        <v>508236183</v>
      </c>
      <c r="K517" s="1225">
        <v>515168821</v>
      </c>
      <c r="L517" s="1225">
        <v>508236183</v>
      </c>
    </row>
    <row r="518" spans="1:12">
      <c r="A518" s="187" t="s">
        <v>2600</v>
      </c>
      <c r="B518" s="1224" t="s">
        <v>3063</v>
      </c>
      <c r="C518" s="1225">
        <v>719872980</v>
      </c>
      <c r="D518" s="1225">
        <v>710183265</v>
      </c>
      <c r="E518" s="1225">
        <v>705670320</v>
      </c>
      <c r="F518" s="1225">
        <v>695980605</v>
      </c>
      <c r="G518" s="1225">
        <v>755273486</v>
      </c>
      <c r="H518" s="1225">
        <v>741732072</v>
      </c>
      <c r="I518" s="1225">
        <v>719872980</v>
      </c>
      <c r="J518" s="1225">
        <v>710183265</v>
      </c>
      <c r="K518" s="1225">
        <v>705670320</v>
      </c>
      <c r="L518" s="1225">
        <v>695980605</v>
      </c>
    </row>
    <row r="519" spans="1:12">
      <c r="A519" s="187" t="s">
        <v>7133</v>
      </c>
      <c r="B519" s="1224" t="s">
        <v>3064</v>
      </c>
      <c r="C519" s="1225">
        <v>266675062</v>
      </c>
      <c r="D519" s="1225">
        <v>260032566</v>
      </c>
      <c r="E519" s="1225">
        <v>258097468</v>
      </c>
      <c r="F519" s="1225">
        <v>251454972</v>
      </c>
      <c r="G519" s="1225">
        <v>252721064</v>
      </c>
      <c r="H519" s="1225">
        <v>245126029</v>
      </c>
      <c r="I519" s="1225">
        <v>266675062</v>
      </c>
      <c r="J519" s="1225">
        <v>260032566</v>
      </c>
      <c r="K519" s="1225">
        <v>258097468</v>
      </c>
      <c r="L519" s="1225">
        <v>251454972</v>
      </c>
    </row>
    <row r="520" spans="1:12">
      <c r="A520" s="187" t="s">
        <v>961</v>
      </c>
      <c r="B520" s="1224" t="s">
        <v>2145</v>
      </c>
      <c r="C520" s="1225">
        <v>336080569</v>
      </c>
      <c r="D520" s="1225">
        <v>317473091</v>
      </c>
      <c r="E520" s="1225">
        <v>336080569</v>
      </c>
      <c r="F520" s="1225">
        <v>317473091</v>
      </c>
      <c r="G520" s="1225">
        <v>316351093</v>
      </c>
      <c r="H520" s="1225">
        <v>316351093</v>
      </c>
      <c r="I520" s="1225">
        <v>336080569</v>
      </c>
      <c r="J520" s="1225">
        <v>317473091</v>
      </c>
      <c r="K520" s="1225">
        <v>336080569</v>
      </c>
      <c r="L520" s="1225">
        <v>317473091</v>
      </c>
    </row>
    <row r="521" spans="1:12">
      <c r="A521" s="187" t="s">
        <v>6024</v>
      </c>
      <c r="B521" s="1224" t="s">
        <v>1909</v>
      </c>
      <c r="C521" s="1225">
        <v>943015492</v>
      </c>
      <c r="D521" s="1225">
        <v>912737543</v>
      </c>
      <c r="E521" s="1225">
        <v>943015492</v>
      </c>
      <c r="F521" s="1225">
        <v>912737543</v>
      </c>
      <c r="G521" s="1225">
        <v>972273905</v>
      </c>
      <c r="H521" s="1225">
        <v>972273905</v>
      </c>
      <c r="I521" s="1225">
        <v>943015492</v>
      </c>
      <c r="J521" s="1225">
        <v>912737543</v>
      </c>
      <c r="K521" s="1225">
        <v>943015492</v>
      </c>
      <c r="L521" s="1225">
        <v>912737543</v>
      </c>
    </row>
    <row r="522" spans="1:12">
      <c r="A522" s="187" t="s">
        <v>6034</v>
      </c>
      <c r="B522" s="1224" t="s">
        <v>1922</v>
      </c>
      <c r="C522" s="1225">
        <v>276484376</v>
      </c>
      <c r="D522" s="1225">
        <v>261365258</v>
      </c>
      <c r="E522" s="1225">
        <v>276484376</v>
      </c>
      <c r="F522" s="1225">
        <v>261365258</v>
      </c>
      <c r="G522" s="1225">
        <v>217054543</v>
      </c>
      <c r="H522" s="1225">
        <v>217054543</v>
      </c>
      <c r="I522" s="1225">
        <v>276484376</v>
      </c>
      <c r="J522" s="1225">
        <v>261365258</v>
      </c>
      <c r="K522" s="1225">
        <v>276484376</v>
      </c>
      <c r="L522" s="1225">
        <v>261365258</v>
      </c>
    </row>
    <row r="523" spans="1:12">
      <c r="A523" s="187" t="s">
        <v>7135</v>
      </c>
      <c r="B523" s="1224" t="s">
        <v>3065</v>
      </c>
      <c r="C523" s="1225">
        <v>355507622</v>
      </c>
      <c r="D523" s="1225">
        <v>351718062</v>
      </c>
      <c r="E523" s="1225">
        <v>351914321</v>
      </c>
      <c r="F523" s="1225">
        <v>348124761</v>
      </c>
      <c r="G523" s="1225">
        <v>389883877</v>
      </c>
      <c r="H523" s="1225">
        <v>386496831</v>
      </c>
      <c r="I523" s="1225">
        <v>355507622</v>
      </c>
      <c r="J523" s="1225">
        <v>351718062</v>
      </c>
      <c r="K523" s="1225">
        <v>351914321</v>
      </c>
      <c r="L523" s="1225">
        <v>348124761</v>
      </c>
    </row>
    <row r="524" spans="1:12">
      <c r="A524" s="187" t="s">
        <v>7137</v>
      </c>
      <c r="B524" s="1224" t="s">
        <v>3066</v>
      </c>
      <c r="C524" s="1225">
        <v>194575014</v>
      </c>
      <c r="D524" s="1225">
        <v>189444414</v>
      </c>
      <c r="E524" s="1225">
        <v>194575014</v>
      </c>
      <c r="F524" s="1225">
        <v>189444414</v>
      </c>
      <c r="G524" s="1225">
        <v>181278226</v>
      </c>
      <c r="H524" s="1225">
        <v>181278226</v>
      </c>
      <c r="I524" s="1225">
        <v>194575014</v>
      </c>
      <c r="J524" s="1225">
        <v>189444414</v>
      </c>
      <c r="K524" s="1225">
        <v>194575014</v>
      </c>
      <c r="L524" s="1225">
        <v>189444414</v>
      </c>
    </row>
    <row r="525" spans="1:12">
      <c r="A525" s="187" t="s">
        <v>7139</v>
      </c>
      <c r="B525" s="1224" t="s">
        <v>3067</v>
      </c>
      <c r="C525" s="1225">
        <v>46481869</v>
      </c>
      <c r="D525" s="1225">
        <v>46087599</v>
      </c>
      <c r="E525" s="1225">
        <v>46481869</v>
      </c>
      <c r="F525" s="1225">
        <v>46087599</v>
      </c>
      <c r="G525" s="1225">
        <v>45635965</v>
      </c>
      <c r="H525" s="1225">
        <v>45635965</v>
      </c>
      <c r="I525" s="1225">
        <v>46481869</v>
      </c>
      <c r="J525" s="1225">
        <v>46087599</v>
      </c>
      <c r="K525" s="1225">
        <v>46481869</v>
      </c>
      <c r="L525" s="1225">
        <v>46087599</v>
      </c>
    </row>
    <row r="526" spans="1:12">
      <c r="A526" s="187" t="s">
        <v>6178</v>
      </c>
      <c r="B526" s="1224" t="s">
        <v>3519</v>
      </c>
      <c r="C526" s="1225">
        <v>2229058102</v>
      </c>
      <c r="D526" s="1225">
        <v>2163806540</v>
      </c>
      <c r="E526" s="1225">
        <v>2229058102</v>
      </c>
      <c r="F526" s="1225">
        <v>2163806540</v>
      </c>
      <c r="G526" s="1225">
        <v>2173822708</v>
      </c>
      <c r="H526" s="1225">
        <v>2173822708</v>
      </c>
      <c r="I526" s="1225">
        <v>2400111402</v>
      </c>
      <c r="J526" s="1225">
        <v>2334859840</v>
      </c>
      <c r="K526" s="1225">
        <v>2400111402</v>
      </c>
      <c r="L526" s="1225">
        <v>2334859840</v>
      </c>
    </row>
    <row r="527" spans="1:12">
      <c r="A527" s="187" t="s">
        <v>7145</v>
      </c>
      <c r="B527" s="1224" t="s">
        <v>3068</v>
      </c>
      <c r="C527" s="1225">
        <v>3591870655</v>
      </c>
      <c r="D527" s="1225">
        <v>3497164143</v>
      </c>
      <c r="E527" s="1225">
        <v>3591870655</v>
      </c>
      <c r="F527" s="1225">
        <v>3497164143</v>
      </c>
      <c r="G527" s="1225">
        <v>4104522726</v>
      </c>
      <c r="H527" s="1225">
        <v>4104522726</v>
      </c>
      <c r="I527" s="1225">
        <v>7760232395</v>
      </c>
      <c r="J527" s="1225">
        <v>7665525883</v>
      </c>
      <c r="K527" s="1225">
        <v>7760232395</v>
      </c>
      <c r="L527" s="1225">
        <v>7665525883</v>
      </c>
    </row>
    <row r="528" spans="1:12">
      <c r="A528" s="187" t="s">
        <v>7147</v>
      </c>
      <c r="B528" s="1224" t="s">
        <v>3069</v>
      </c>
      <c r="C528" s="1225">
        <v>2531021501</v>
      </c>
      <c r="D528" s="1225">
        <v>2461660924</v>
      </c>
      <c r="E528" s="1225">
        <v>2436721262</v>
      </c>
      <c r="F528" s="1225">
        <v>2367360685</v>
      </c>
      <c r="G528" s="1225">
        <v>2511698196</v>
      </c>
      <c r="H528" s="1225">
        <v>2416366411</v>
      </c>
      <c r="I528" s="1225">
        <v>2801527731</v>
      </c>
      <c r="J528" s="1225">
        <v>2732167154</v>
      </c>
      <c r="K528" s="1225">
        <v>2707227492</v>
      </c>
      <c r="L528" s="1225">
        <v>2637866915</v>
      </c>
    </row>
    <row r="529" spans="1:12">
      <c r="A529" s="187" t="s">
        <v>2808</v>
      </c>
      <c r="B529" s="1224" t="s">
        <v>3054</v>
      </c>
      <c r="C529" s="1225">
        <v>10036040995</v>
      </c>
      <c r="D529" s="1225">
        <v>9815337313</v>
      </c>
      <c r="E529" s="1225">
        <v>10036040995</v>
      </c>
      <c r="F529" s="1225">
        <v>9815337313</v>
      </c>
      <c r="G529" s="1225">
        <v>10051134744</v>
      </c>
      <c r="H529" s="1225">
        <v>10051134744</v>
      </c>
      <c r="I529" s="1225">
        <v>10203301295</v>
      </c>
      <c r="J529" s="1225">
        <v>9982597613</v>
      </c>
      <c r="K529" s="1225">
        <v>10203301295</v>
      </c>
      <c r="L529" s="1225">
        <v>9982597613</v>
      </c>
    </row>
    <row r="530" spans="1:12">
      <c r="A530" s="187" t="s">
        <v>2810</v>
      </c>
      <c r="B530" s="1224" t="s">
        <v>6648</v>
      </c>
      <c r="C530" s="1225">
        <v>565014076</v>
      </c>
      <c r="D530" s="1225">
        <v>564094206</v>
      </c>
      <c r="E530" s="1225">
        <v>564209417</v>
      </c>
      <c r="F530" s="1225">
        <v>563289547</v>
      </c>
      <c r="G530" s="1225">
        <v>678386918</v>
      </c>
      <c r="H530" s="1225">
        <v>677438114</v>
      </c>
      <c r="I530" s="1225">
        <v>938511776</v>
      </c>
      <c r="J530" s="1225">
        <v>937591906</v>
      </c>
      <c r="K530" s="1225">
        <v>937707117</v>
      </c>
      <c r="L530" s="1225">
        <v>936787247</v>
      </c>
    </row>
    <row r="531" spans="1:12">
      <c r="A531" s="187" t="s">
        <v>1859</v>
      </c>
      <c r="B531" s="1224" t="s">
        <v>3916</v>
      </c>
      <c r="C531" s="1225">
        <v>688102035</v>
      </c>
      <c r="D531" s="1225">
        <v>665556618</v>
      </c>
      <c r="E531" s="1225">
        <v>688102035</v>
      </c>
      <c r="F531" s="1225">
        <v>665556618</v>
      </c>
      <c r="G531" s="1225">
        <v>702448435</v>
      </c>
      <c r="H531" s="1225">
        <v>702448435</v>
      </c>
      <c r="I531" s="1225">
        <v>688102035</v>
      </c>
      <c r="J531" s="1225">
        <v>665556618</v>
      </c>
      <c r="K531" s="1225">
        <v>688102035</v>
      </c>
      <c r="L531" s="1225">
        <v>665556618</v>
      </c>
    </row>
    <row r="532" spans="1:12">
      <c r="A532" s="187" t="s">
        <v>2812</v>
      </c>
      <c r="B532" s="1224" t="s">
        <v>6649</v>
      </c>
      <c r="C532" s="1225">
        <v>348527092</v>
      </c>
      <c r="D532" s="1225">
        <v>339871712</v>
      </c>
      <c r="E532" s="1225">
        <v>345521092</v>
      </c>
      <c r="F532" s="1225">
        <v>336865712</v>
      </c>
      <c r="G532" s="1225">
        <v>392193394</v>
      </c>
      <c r="H532" s="1225">
        <v>389220628</v>
      </c>
      <c r="I532" s="1225">
        <v>448027092</v>
      </c>
      <c r="J532" s="1225">
        <v>439371712</v>
      </c>
      <c r="K532" s="1225">
        <v>445021092</v>
      </c>
      <c r="L532" s="1225">
        <v>436365712</v>
      </c>
    </row>
    <row r="533" spans="1:12">
      <c r="A533" s="187" t="s">
        <v>820</v>
      </c>
      <c r="B533" s="1224" t="s">
        <v>1843</v>
      </c>
      <c r="C533" s="1225">
        <v>1251018869</v>
      </c>
      <c r="D533" s="1225">
        <v>1213953177</v>
      </c>
      <c r="E533" s="1225">
        <v>1251018869</v>
      </c>
      <c r="F533" s="1225">
        <v>1213953177</v>
      </c>
      <c r="G533" s="1225">
        <v>1791623872</v>
      </c>
      <c r="H533" s="1225">
        <v>1791623872</v>
      </c>
      <c r="I533" s="1225">
        <v>1251018869</v>
      </c>
      <c r="J533" s="1225">
        <v>1213953177</v>
      </c>
      <c r="K533" s="1225">
        <v>1251018869</v>
      </c>
      <c r="L533" s="1225">
        <v>1213953177</v>
      </c>
    </row>
    <row r="534" spans="1:12">
      <c r="A534" s="187" t="s">
        <v>127</v>
      </c>
      <c r="B534" s="1224" t="s">
        <v>7655</v>
      </c>
      <c r="C534" s="1225">
        <v>92939523</v>
      </c>
      <c r="D534" s="1225">
        <v>89429006</v>
      </c>
      <c r="E534" s="1225">
        <v>92939523</v>
      </c>
      <c r="F534" s="1225">
        <v>89429006</v>
      </c>
      <c r="G534" s="1225">
        <v>78849553</v>
      </c>
      <c r="H534" s="1225">
        <v>78849553</v>
      </c>
      <c r="I534" s="1225">
        <v>92939523</v>
      </c>
      <c r="J534" s="1225">
        <v>89429006</v>
      </c>
      <c r="K534" s="1225">
        <v>92939523</v>
      </c>
      <c r="L534" s="1225">
        <v>89429006</v>
      </c>
    </row>
    <row r="535" spans="1:12">
      <c r="A535" s="187" t="s">
        <v>6189</v>
      </c>
      <c r="B535" s="1224" t="s">
        <v>3625</v>
      </c>
      <c r="C535" s="1225">
        <v>388695683</v>
      </c>
      <c r="D535" s="1225">
        <v>377600271</v>
      </c>
      <c r="E535" s="1225">
        <v>388695683</v>
      </c>
      <c r="F535" s="1225">
        <v>377600271</v>
      </c>
      <c r="G535" s="1225">
        <v>268183671</v>
      </c>
      <c r="H535" s="1225">
        <v>268183671</v>
      </c>
      <c r="I535" s="1225">
        <v>388695683</v>
      </c>
      <c r="J535" s="1225">
        <v>377600271</v>
      </c>
      <c r="K535" s="1225">
        <v>388695683</v>
      </c>
      <c r="L535" s="1225">
        <v>377600271</v>
      </c>
    </row>
    <row r="536" spans="1:12">
      <c r="A536" s="187" t="s">
        <v>5130</v>
      </c>
      <c r="B536" s="1224" t="s">
        <v>349</v>
      </c>
      <c r="C536" s="1225">
        <v>148709997</v>
      </c>
      <c r="D536" s="1225">
        <v>143745178</v>
      </c>
      <c r="E536" s="1225">
        <v>148709997</v>
      </c>
      <c r="F536" s="1225">
        <v>143745178</v>
      </c>
      <c r="G536" s="1225">
        <v>135324864</v>
      </c>
      <c r="H536" s="1225">
        <v>135324864</v>
      </c>
      <c r="I536" s="1225">
        <v>148709997</v>
      </c>
      <c r="J536" s="1225">
        <v>143745178</v>
      </c>
      <c r="K536" s="1225">
        <v>148709997</v>
      </c>
      <c r="L536" s="1225">
        <v>143745178</v>
      </c>
    </row>
    <row r="537" spans="1:12">
      <c r="A537" s="187" t="s">
        <v>2815</v>
      </c>
      <c r="B537" s="1224" t="s">
        <v>6650</v>
      </c>
      <c r="C537" s="1225">
        <v>56151735</v>
      </c>
      <c r="D537" s="1225">
        <v>55575464</v>
      </c>
      <c r="E537" s="1225">
        <v>56003517</v>
      </c>
      <c r="F537" s="1225">
        <v>55427246</v>
      </c>
      <c r="G537" s="1225">
        <v>63599402</v>
      </c>
      <c r="H537" s="1225">
        <v>63467630</v>
      </c>
      <c r="I537" s="1225">
        <v>56151735</v>
      </c>
      <c r="J537" s="1225">
        <v>55575464</v>
      </c>
      <c r="K537" s="1225">
        <v>56003517</v>
      </c>
      <c r="L537" s="1225">
        <v>55427246</v>
      </c>
    </row>
    <row r="538" spans="1:12">
      <c r="A538" s="187" t="s">
        <v>3888</v>
      </c>
      <c r="B538" s="1224" t="s">
        <v>7678</v>
      </c>
      <c r="C538" s="1225">
        <v>1309220907</v>
      </c>
      <c r="D538" s="1225">
        <v>1277891864</v>
      </c>
      <c r="E538" s="1225">
        <v>1309220907</v>
      </c>
      <c r="F538" s="1225">
        <v>1277891864</v>
      </c>
      <c r="G538" s="1225">
        <v>1486141345</v>
      </c>
      <c r="H538" s="1225">
        <v>1486141345</v>
      </c>
      <c r="I538" s="1225">
        <v>1309220907</v>
      </c>
      <c r="J538" s="1225">
        <v>1277891864</v>
      </c>
      <c r="K538" s="1225">
        <v>1309220907</v>
      </c>
      <c r="L538" s="1225">
        <v>1277891864</v>
      </c>
    </row>
    <row r="539" spans="1:12">
      <c r="A539" s="187" t="s">
        <v>977</v>
      </c>
      <c r="B539" s="1224" t="s">
        <v>2147</v>
      </c>
      <c r="C539" s="1225">
        <v>3902405571</v>
      </c>
      <c r="D539" s="1225">
        <v>3771510158</v>
      </c>
      <c r="E539" s="1225">
        <v>3902405571</v>
      </c>
      <c r="F539" s="1225">
        <v>3771510158</v>
      </c>
      <c r="G539" s="1225">
        <v>3602800255</v>
      </c>
      <c r="H539" s="1225">
        <v>3602800255</v>
      </c>
      <c r="I539" s="1225">
        <v>3902405571</v>
      </c>
      <c r="J539" s="1225">
        <v>3771510158</v>
      </c>
      <c r="K539" s="1225">
        <v>3902405571</v>
      </c>
      <c r="L539" s="1225">
        <v>3771510158</v>
      </c>
    </row>
    <row r="540" spans="1:12">
      <c r="A540" s="187" t="s">
        <v>739</v>
      </c>
      <c r="B540" s="1224" t="s">
        <v>6113</v>
      </c>
      <c r="C540" s="1225">
        <v>2459166664</v>
      </c>
      <c r="D540" s="1225">
        <v>2389950850</v>
      </c>
      <c r="E540" s="1225">
        <v>2459166664</v>
      </c>
      <c r="F540" s="1225">
        <v>2389950850</v>
      </c>
      <c r="G540" s="1225">
        <v>2671129934</v>
      </c>
      <c r="H540" s="1225">
        <v>2671129934</v>
      </c>
      <c r="I540" s="1225">
        <v>2459166664</v>
      </c>
      <c r="J540" s="1225">
        <v>2389950850</v>
      </c>
      <c r="K540" s="1225">
        <v>2459166664</v>
      </c>
      <c r="L540" s="1225">
        <v>2389950850</v>
      </c>
    </row>
    <row r="541" spans="1:12">
      <c r="A541" s="187" t="s">
        <v>1855</v>
      </c>
      <c r="B541" s="1224" t="s">
        <v>4968</v>
      </c>
      <c r="C541" s="1225">
        <v>282309133</v>
      </c>
      <c r="D541" s="1225">
        <v>271294025</v>
      </c>
      <c r="E541" s="1225">
        <v>282309133</v>
      </c>
      <c r="F541" s="1225">
        <v>271294025</v>
      </c>
      <c r="G541" s="1225">
        <v>292994717</v>
      </c>
      <c r="H541" s="1225">
        <v>292994717</v>
      </c>
      <c r="I541" s="1225">
        <v>282309133</v>
      </c>
      <c r="J541" s="1225">
        <v>271294025</v>
      </c>
      <c r="K541" s="1225">
        <v>282309133</v>
      </c>
      <c r="L541" s="1225">
        <v>271294025</v>
      </c>
    </row>
    <row r="542" spans="1:12">
      <c r="A542" s="187" t="s">
        <v>6025</v>
      </c>
      <c r="B542" s="1224" t="s">
        <v>1910</v>
      </c>
      <c r="C542" s="1225">
        <v>1354116611</v>
      </c>
      <c r="D542" s="1225">
        <v>1301582390</v>
      </c>
      <c r="E542" s="1225">
        <v>1354116611</v>
      </c>
      <c r="F542" s="1225">
        <v>1301582390</v>
      </c>
      <c r="G542" s="1225">
        <v>1375858284</v>
      </c>
      <c r="H542" s="1225">
        <v>1375858284</v>
      </c>
      <c r="I542" s="1225">
        <v>1354116611</v>
      </c>
      <c r="J542" s="1225">
        <v>1301582390</v>
      </c>
      <c r="K542" s="1225">
        <v>1354116611</v>
      </c>
      <c r="L542" s="1225">
        <v>1301582390</v>
      </c>
    </row>
    <row r="543" spans="1:12">
      <c r="A543" s="187" t="s">
        <v>2817</v>
      </c>
      <c r="B543" s="1224" t="s">
        <v>6651</v>
      </c>
      <c r="C543" s="1225">
        <v>153235564</v>
      </c>
      <c r="D543" s="1225">
        <v>147357146</v>
      </c>
      <c r="E543" s="1225">
        <v>153235564</v>
      </c>
      <c r="F543" s="1225">
        <v>147357146</v>
      </c>
      <c r="G543" s="1225">
        <v>160002577</v>
      </c>
      <c r="H543" s="1225">
        <v>160002577</v>
      </c>
      <c r="I543" s="1225">
        <v>153235564</v>
      </c>
      <c r="J543" s="1225">
        <v>147357146</v>
      </c>
      <c r="K543" s="1225">
        <v>153235564</v>
      </c>
      <c r="L543" s="1225">
        <v>147357146</v>
      </c>
    </row>
    <row r="544" spans="1:12">
      <c r="A544" s="187" t="s">
        <v>128</v>
      </c>
      <c r="B544" s="1224" t="s">
        <v>362</v>
      </c>
      <c r="C544" s="1225">
        <v>268878137</v>
      </c>
      <c r="D544" s="1225">
        <v>259451033</v>
      </c>
      <c r="E544" s="1225">
        <v>268878137</v>
      </c>
      <c r="F544" s="1225">
        <v>259451033</v>
      </c>
      <c r="G544" s="1225">
        <v>277760409</v>
      </c>
      <c r="H544" s="1225">
        <v>277760409</v>
      </c>
      <c r="I544" s="1225">
        <v>268878137</v>
      </c>
      <c r="J544" s="1225">
        <v>259451033</v>
      </c>
      <c r="K544" s="1225">
        <v>268878137</v>
      </c>
      <c r="L544" s="1225">
        <v>259451033</v>
      </c>
    </row>
    <row r="545" spans="1:12">
      <c r="A545" s="187" t="s">
        <v>3551</v>
      </c>
      <c r="B545" s="1224" t="s">
        <v>7131</v>
      </c>
      <c r="C545" s="1225">
        <v>270655710</v>
      </c>
      <c r="D545" s="1225">
        <v>257881610</v>
      </c>
      <c r="E545" s="1225">
        <v>270655710</v>
      </c>
      <c r="F545" s="1225">
        <v>257881610</v>
      </c>
      <c r="G545" s="1225">
        <v>251348138</v>
      </c>
      <c r="H545" s="1225">
        <v>251348138</v>
      </c>
      <c r="I545" s="1225">
        <v>270655710</v>
      </c>
      <c r="J545" s="1225">
        <v>257881610</v>
      </c>
      <c r="K545" s="1225">
        <v>270655710</v>
      </c>
      <c r="L545" s="1225">
        <v>257881610</v>
      </c>
    </row>
    <row r="546" spans="1:12">
      <c r="A546" s="187" t="s">
        <v>1851</v>
      </c>
      <c r="B546" s="1224" t="s">
        <v>126</v>
      </c>
      <c r="C546" s="1225">
        <v>771902369</v>
      </c>
      <c r="D546" s="1225">
        <v>760018481</v>
      </c>
      <c r="E546" s="1225">
        <v>771902369</v>
      </c>
      <c r="F546" s="1225">
        <v>760018481</v>
      </c>
      <c r="G546" s="1225">
        <v>1046936772</v>
      </c>
      <c r="H546" s="1225">
        <v>1046936772</v>
      </c>
      <c r="I546" s="1225">
        <v>771902369</v>
      </c>
      <c r="J546" s="1225">
        <v>760018481</v>
      </c>
      <c r="K546" s="1225">
        <v>771902369</v>
      </c>
      <c r="L546" s="1225">
        <v>760018481</v>
      </c>
    </row>
    <row r="547" spans="1:12">
      <c r="A547" s="187" t="s">
        <v>267</v>
      </c>
      <c r="B547" s="1224" t="s">
        <v>7684</v>
      </c>
      <c r="C547" s="1225">
        <v>132687097</v>
      </c>
      <c r="D547" s="1225">
        <v>124822947</v>
      </c>
      <c r="E547" s="1225">
        <v>132687097</v>
      </c>
      <c r="F547" s="1225">
        <v>124822947</v>
      </c>
      <c r="G547" s="1225">
        <v>134722551</v>
      </c>
      <c r="H547" s="1225">
        <v>134722551</v>
      </c>
      <c r="I547" s="1225">
        <v>132687097</v>
      </c>
      <c r="J547" s="1225">
        <v>124822947</v>
      </c>
      <c r="K547" s="1225">
        <v>132687097</v>
      </c>
      <c r="L547" s="1225">
        <v>124822947</v>
      </c>
    </row>
    <row r="548" spans="1:12">
      <c r="A548" s="187" t="s">
        <v>2819</v>
      </c>
      <c r="B548" s="1224" t="s">
        <v>6652</v>
      </c>
      <c r="C548" s="1225">
        <v>129605628</v>
      </c>
      <c r="D548" s="1225">
        <v>124954358</v>
      </c>
      <c r="E548" s="1225">
        <v>129605628</v>
      </c>
      <c r="F548" s="1225">
        <v>124954358</v>
      </c>
      <c r="G548" s="1225">
        <v>172005498</v>
      </c>
      <c r="H548" s="1225">
        <v>172005498</v>
      </c>
      <c r="I548" s="1225">
        <v>129605628</v>
      </c>
      <c r="J548" s="1225">
        <v>124954358</v>
      </c>
      <c r="K548" s="1225">
        <v>129605628</v>
      </c>
      <c r="L548" s="1225">
        <v>124954358</v>
      </c>
    </row>
    <row r="549" spans="1:12">
      <c r="A549" s="187" t="s">
        <v>1863</v>
      </c>
      <c r="B549" s="1224" t="s">
        <v>3839</v>
      </c>
      <c r="C549" s="1225">
        <v>147383396</v>
      </c>
      <c r="D549" s="1225">
        <v>139257596</v>
      </c>
      <c r="E549" s="1225">
        <v>147383396</v>
      </c>
      <c r="F549" s="1225">
        <v>139257596</v>
      </c>
      <c r="G549" s="1225">
        <v>124530155</v>
      </c>
      <c r="H549" s="1225">
        <v>124530155</v>
      </c>
      <c r="I549" s="1225">
        <v>147383396</v>
      </c>
      <c r="J549" s="1225">
        <v>139257596</v>
      </c>
      <c r="K549" s="1225">
        <v>147383396</v>
      </c>
      <c r="L549" s="1225">
        <v>139257596</v>
      </c>
    </row>
    <row r="550" spans="1:12">
      <c r="A550" s="187" t="s">
        <v>449</v>
      </c>
      <c r="B550" s="1224" t="s">
        <v>6155</v>
      </c>
      <c r="C550" s="1225">
        <v>77004106</v>
      </c>
      <c r="D550" s="1225">
        <v>75406088</v>
      </c>
      <c r="E550" s="1225">
        <v>77004106</v>
      </c>
      <c r="F550" s="1225">
        <v>75406088</v>
      </c>
      <c r="G550" s="1225">
        <v>100334563</v>
      </c>
      <c r="H550" s="1225">
        <v>100334563</v>
      </c>
      <c r="I550" s="1225">
        <v>77004106</v>
      </c>
      <c r="J550" s="1225">
        <v>75406088</v>
      </c>
      <c r="K550" s="1225">
        <v>77004106</v>
      </c>
      <c r="L550" s="1225">
        <v>75406088</v>
      </c>
    </row>
    <row r="551" spans="1:12">
      <c r="A551" s="187" t="s">
        <v>5138</v>
      </c>
      <c r="B551" s="1224" t="s">
        <v>2354</v>
      </c>
      <c r="C551" s="1225">
        <v>101498693</v>
      </c>
      <c r="D551" s="1225">
        <v>95101603</v>
      </c>
      <c r="E551" s="1225">
        <v>101498693</v>
      </c>
      <c r="F551" s="1225">
        <v>95101603</v>
      </c>
      <c r="G551" s="1225">
        <v>87526312</v>
      </c>
      <c r="H551" s="1225">
        <v>87526312</v>
      </c>
      <c r="I551" s="1225">
        <v>101498693</v>
      </c>
      <c r="J551" s="1225">
        <v>95101603</v>
      </c>
      <c r="K551" s="1225">
        <v>101498693</v>
      </c>
      <c r="L551" s="1225">
        <v>95101603</v>
      </c>
    </row>
    <row r="552" spans="1:12">
      <c r="A552" s="187" t="s">
        <v>6027</v>
      </c>
      <c r="B552" s="1224" t="s">
        <v>1912</v>
      </c>
      <c r="C552" s="1225">
        <v>3284658697</v>
      </c>
      <c r="D552" s="1225">
        <v>3275561222</v>
      </c>
      <c r="E552" s="1225">
        <v>3284658697</v>
      </c>
      <c r="F552" s="1225">
        <v>3275561222</v>
      </c>
      <c r="G552" s="1225">
        <v>6766932439</v>
      </c>
      <c r="H552" s="1225">
        <v>6766932439</v>
      </c>
      <c r="I552" s="1225">
        <v>3284658697</v>
      </c>
      <c r="J552" s="1225">
        <v>3275561222</v>
      </c>
      <c r="K552" s="1225">
        <v>3284658697</v>
      </c>
      <c r="L552" s="1225">
        <v>3275561222</v>
      </c>
    </row>
    <row r="553" spans="1:12">
      <c r="A553" s="187" t="s">
        <v>450</v>
      </c>
      <c r="B553" s="1224" t="s">
        <v>1917</v>
      </c>
      <c r="C553" s="1225">
        <v>947028566</v>
      </c>
      <c r="D553" s="1225">
        <v>939469906</v>
      </c>
      <c r="E553" s="1225">
        <v>947028566</v>
      </c>
      <c r="F553" s="1225">
        <v>939469906</v>
      </c>
      <c r="G553" s="1225">
        <v>1943260579</v>
      </c>
      <c r="H553" s="1225">
        <v>1943260579</v>
      </c>
      <c r="I553" s="1225">
        <v>1082153786</v>
      </c>
      <c r="J553" s="1225">
        <v>1074595126</v>
      </c>
      <c r="K553" s="1225">
        <v>1082153786</v>
      </c>
      <c r="L553" s="1225">
        <v>1074595126</v>
      </c>
    </row>
    <row r="554" spans="1:12">
      <c r="A554" s="187" t="s">
        <v>516</v>
      </c>
      <c r="B554" s="1224" t="s">
        <v>6653</v>
      </c>
      <c r="C554" s="1225">
        <v>316453020</v>
      </c>
      <c r="D554" s="1225">
        <v>314320207</v>
      </c>
      <c r="E554" s="1225">
        <v>316453020</v>
      </c>
      <c r="F554" s="1225">
        <v>314320207</v>
      </c>
      <c r="G554" s="1225">
        <v>1215983663</v>
      </c>
      <c r="H554" s="1225">
        <v>1215983663</v>
      </c>
      <c r="I554" s="1225">
        <v>316453020</v>
      </c>
      <c r="J554" s="1225">
        <v>314320207</v>
      </c>
      <c r="K554" s="1225">
        <v>316453020</v>
      </c>
      <c r="L554" s="1225">
        <v>314320207</v>
      </c>
    </row>
    <row r="555" spans="1:12">
      <c r="A555" s="187" t="s">
        <v>1525</v>
      </c>
      <c r="B555" s="1224" t="s">
        <v>1931</v>
      </c>
      <c r="C555" s="1225">
        <v>418290176</v>
      </c>
      <c r="D555" s="1225">
        <v>413533529</v>
      </c>
      <c r="E555" s="1225">
        <v>418290176</v>
      </c>
      <c r="F555" s="1225">
        <v>413533529</v>
      </c>
      <c r="G555" s="1225">
        <v>1084772318</v>
      </c>
      <c r="H555" s="1225">
        <v>1084772318</v>
      </c>
      <c r="I555" s="1225">
        <v>418290176</v>
      </c>
      <c r="J555" s="1225">
        <v>413533529</v>
      </c>
      <c r="K555" s="1225">
        <v>418290176</v>
      </c>
      <c r="L555" s="1225">
        <v>413533529</v>
      </c>
    </row>
    <row r="556" spans="1:12">
      <c r="A556" s="187" t="s">
        <v>244</v>
      </c>
      <c r="B556" s="1224" t="s">
        <v>1665</v>
      </c>
      <c r="C556" s="1225">
        <v>672732802</v>
      </c>
      <c r="D556" s="1225">
        <v>640174907</v>
      </c>
      <c r="E556" s="1225">
        <v>672732802</v>
      </c>
      <c r="F556" s="1225">
        <v>640174907</v>
      </c>
      <c r="G556" s="1225">
        <v>570368480</v>
      </c>
      <c r="H556" s="1225">
        <v>570368480</v>
      </c>
      <c r="I556" s="1225">
        <v>672732802</v>
      </c>
      <c r="J556" s="1225">
        <v>640174907</v>
      </c>
      <c r="K556" s="1225">
        <v>672732802</v>
      </c>
      <c r="L556" s="1225">
        <v>640174907</v>
      </c>
    </row>
    <row r="557" spans="1:12">
      <c r="A557" s="187" t="s">
        <v>1308</v>
      </c>
      <c r="B557" s="1224" t="s">
        <v>113</v>
      </c>
      <c r="C557" s="1225">
        <v>3155676614</v>
      </c>
      <c r="D557" s="1225">
        <v>3068933561</v>
      </c>
      <c r="E557" s="1225">
        <v>3155676614</v>
      </c>
      <c r="F557" s="1225">
        <v>3068933561</v>
      </c>
      <c r="G557" s="1225">
        <v>2568325277</v>
      </c>
      <c r="H557" s="1225">
        <v>2568325277</v>
      </c>
      <c r="I557" s="1225">
        <v>3155676614</v>
      </c>
      <c r="J557" s="1225">
        <v>3068933561</v>
      </c>
      <c r="K557" s="1225">
        <v>3155676614</v>
      </c>
      <c r="L557" s="1225">
        <v>3068933561</v>
      </c>
    </row>
    <row r="558" spans="1:12">
      <c r="A558" s="187" t="s">
        <v>6029</v>
      </c>
      <c r="B558" s="1224" t="s">
        <v>1914</v>
      </c>
      <c r="C558" s="1225">
        <v>641133585</v>
      </c>
      <c r="D558" s="1225">
        <v>608815152</v>
      </c>
      <c r="E558" s="1225">
        <v>641133585</v>
      </c>
      <c r="F558" s="1225">
        <v>608815152</v>
      </c>
      <c r="G558" s="1225">
        <v>603666576</v>
      </c>
      <c r="H558" s="1225">
        <v>603666576</v>
      </c>
      <c r="I558" s="1225">
        <v>641133585</v>
      </c>
      <c r="J558" s="1225">
        <v>608815152</v>
      </c>
      <c r="K558" s="1225">
        <v>641133585</v>
      </c>
      <c r="L558" s="1225">
        <v>608815152</v>
      </c>
    </row>
    <row r="559" spans="1:12">
      <c r="A559" s="187" t="s">
        <v>6031</v>
      </c>
      <c r="B559" s="1224" t="s">
        <v>1916</v>
      </c>
      <c r="C559" s="1225">
        <v>334818919</v>
      </c>
      <c r="D559" s="1225">
        <v>316764068</v>
      </c>
      <c r="E559" s="1225">
        <v>334818919</v>
      </c>
      <c r="F559" s="1225">
        <v>316764068</v>
      </c>
      <c r="G559" s="1225">
        <v>312014138</v>
      </c>
      <c r="H559" s="1225">
        <v>312014138</v>
      </c>
      <c r="I559" s="1225">
        <v>334818919</v>
      </c>
      <c r="J559" s="1225">
        <v>316764068</v>
      </c>
      <c r="K559" s="1225">
        <v>334818919</v>
      </c>
      <c r="L559" s="1225">
        <v>316764068</v>
      </c>
    </row>
    <row r="560" spans="1:12">
      <c r="A560" s="187" t="s">
        <v>5628</v>
      </c>
      <c r="B560" s="1224" t="s">
        <v>6654</v>
      </c>
      <c r="C560" s="1225">
        <v>1111184876</v>
      </c>
      <c r="D560" s="1225">
        <v>1071885416</v>
      </c>
      <c r="E560" s="1225">
        <v>1111184876</v>
      </c>
      <c r="F560" s="1225">
        <v>1071885416</v>
      </c>
      <c r="G560" s="1225">
        <v>1100795979</v>
      </c>
      <c r="H560" s="1225">
        <v>1100795979</v>
      </c>
      <c r="I560" s="1225">
        <v>1111184876</v>
      </c>
      <c r="J560" s="1225">
        <v>1071885416</v>
      </c>
      <c r="K560" s="1225">
        <v>1111184876</v>
      </c>
      <c r="L560" s="1225">
        <v>1071885416</v>
      </c>
    </row>
    <row r="561" spans="1:12">
      <c r="A561" s="187" t="s">
        <v>5630</v>
      </c>
      <c r="B561" s="1224" t="s">
        <v>6655</v>
      </c>
      <c r="C561" s="1225">
        <v>1444021754</v>
      </c>
      <c r="D561" s="1225">
        <v>1399753557</v>
      </c>
      <c r="E561" s="1225">
        <v>1444021754</v>
      </c>
      <c r="F561" s="1225">
        <v>1399753557</v>
      </c>
      <c r="G561" s="1225">
        <v>1366096751</v>
      </c>
      <c r="H561" s="1225">
        <v>1366096751</v>
      </c>
      <c r="I561" s="1225">
        <v>1444021754</v>
      </c>
      <c r="J561" s="1225">
        <v>1399753557</v>
      </c>
      <c r="K561" s="1225">
        <v>1444021754</v>
      </c>
      <c r="L561" s="1225">
        <v>1399753557</v>
      </c>
    </row>
    <row r="562" spans="1:12">
      <c r="A562" s="187" t="s">
        <v>2395</v>
      </c>
      <c r="B562" s="1224" t="s">
        <v>1462</v>
      </c>
      <c r="C562" s="1225">
        <v>163921904</v>
      </c>
      <c r="D562" s="1225">
        <v>154708694</v>
      </c>
      <c r="E562" s="1225">
        <v>163921904</v>
      </c>
      <c r="F562" s="1225">
        <v>154708694</v>
      </c>
      <c r="G562" s="1225">
        <v>151937388</v>
      </c>
      <c r="H562" s="1225">
        <v>151937388</v>
      </c>
      <c r="I562" s="1225">
        <v>163921904</v>
      </c>
      <c r="J562" s="1225">
        <v>154708694</v>
      </c>
      <c r="K562" s="1225">
        <v>163921904</v>
      </c>
      <c r="L562" s="1225">
        <v>154708694</v>
      </c>
    </row>
    <row r="563" spans="1:12">
      <c r="A563" s="187" t="s">
        <v>5632</v>
      </c>
      <c r="B563" s="1224" t="s">
        <v>6656</v>
      </c>
      <c r="C563" s="1225">
        <v>6083695416</v>
      </c>
      <c r="D563" s="1225">
        <v>5972073704</v>
      </c>
      <c r="E563" s="1225">
        <v>6083695416</v>
      </c>
      <c r="F563" s="1225">
        <v>5972073704</v>
      </c>
      <c r="G563" s="1225">
        <v>5494890819</v>
      </c>
      <c r="H563" s="1225">
        <v>5494890819</v>
      </c>
      <c r="I563" s="1225">
        <v>6083695416</v>
      </c>
      <c r="J563" s="1225">
        <v>5972073704</v>
      </c>
      <c r="K563" s="1225">
        <v>6083695416</v>
      </c>
      <c r="L563" s="1225">
        <v>5972073704</v>
      </c>
    </row>
    <row r="564" spans="1:12">
      <c r="A564" s="187" t="s">
        <v>6147</v>
      </c>
      <c r="B564" s="1224" t="s">
        <v>6657</v>
      </c>
      <c r="C564" s="1225">
        <v>807078500</v>
      </c>
      <c r="D564" s="1225">
        <v>789180057</v>
      </c>
      <c r="E564" s="1225">
        <v>807078500</v>
      </c>
      <c r="F564" s="1225">
        <v>789180057</v>
      </c>
      <c r="G564" s="1225">
        <v>752977262</v>
      </c>
      <c r="H564" s="1225">
        <v>752977262</v>
      </c>
      <c r="I564" s="1225">
        <v>807078500</v>
      </c>
      <c r="J564" s="1225">
        <v>789180057</v>
      </c>
      <c r="K564" s="1225">
        <v>807078500</v>
      </c>
      <c r="L564" s="1225">
        <v>789180057</v>
      </c>
    </row>
    <row r="565" spans="1:12">
      <c r="A565" s="187" t="s">
        <v>1417</v>
      </c>
      <c r="B565" s="1224" t="s">
        <v>6658</v>
      </c>
      <c r="C565" s="1225">
        <v>811380201</v>
      </c>
      <c r="D565" s="1225">
        <v>811197370</v>
      </c>
      <c r="E565" s="1225">
        <v>811126724</v>
      </c>
      <c r="F565" s="1225">
        <v>810943893</v>
      </c>
      <c r="G565" s="1225">
        <v>825578673</v>
      </c>
      <c r="H565" s="1225">
        <v>825322454</v>
      </c>
      <c r="I565" s="1225">
        <v>932019221</v>
      </c>
      <c r="J565" s="1225">
        <v>931836390</v>
      </c>
      <c r="K565" s="1225">
        <v>931765744</v>
      </c>
      <c r="L565" s="1225">
        <v>931582913</v>
      </c>
    </row>
    <row r="566" spans="1:12">
      <c r="A566" s="187" t="s">
        <v>1419</v>
      </c>
      <c r="B566" s="1224" t="s">
        <v>6659</v>
      </c>
      <c r="C566" s="1225">
        <v>329821211</v>
      </c>
      <c r="D566" s="1225">
        <v>328467211</v>
      </c>
      <c r="E566" s="1225">
        <v>329134416</v>
      </c>
      <c r="F566" s="1225">
        <v>327780416</v>
      </c>
      <c r="G566" s="1225">
        <v>840956219</v>
      </c>
      <c r="H566" s="1225">
        <v>840009308</v>
      </c>
      <c r="I566" s="1225">
        <v>329821211</v>
      </c>
      <c r="J566" s="1225">
        <v>328467211</v>
      </c>
      <c r="K566" s="1225">
        <v>329134416</v>
      </c>
      <c r="L566" s="1225">
        <v>327780416</v>
      </c>
    </row>
    <row r="567" spans="1:12">
      <c r="A567" s="187" t="s">
        <v>2469</v>
      </c>
      <c r="B567" s="1224" t="s">
        <v>6105</v>
      </c>
      <c r="C567" s="1225">
        <v>277039908</v>
      </c>
      <c r="D567" s="1225">
        <v>269028472</v>
      </c>
      <c r="E567" s="1225">
        <v>277039908</v>
      </c>
      <c r="F567" s="1225">
        <v>269028472</v>
      </c>
      <c r="G567" s="1225">
        <v>250984354</v>
      </c>
      <c r="H567" s="1225">
        <v>250984354</v>
      </c>
      <c r="I567" s="1225">
        <v>277039908</v>
      </c>
      <c r="J567" s="1225">
        <v>269028472</v>
      </c>
      <c r="K567" s="1225">
        <v>277039908</v>
      </c>
      <c r="L567" s="1225">
        <v>269028472</v>
      </c>
    </row>
    <row r="568" spans="1:12">
      <c r="A568" s="187" t="s">
        <v>1421</v>
      </c>
      <c r="B568" s="1224" t="s">
        <v>6660</v>
      </c>
      <c r="C568" s="1225">
        <v>362541427</v>
      </c>
      <c r="D568" s="1225">
        <v>357861183</v>
      </c>
      <c r="E568" s="1225">
        <v>362541427</v>
      </c>
      <c r="F568" s="1225">
        <v>357861183</v>
      </c>
      <c r="G568" s="1225">
        <v>365038211</v>
      </c>
      <c r="H568" s="1225">
        <v>365038211</v>
      </c>
      <c r="I568" s="1225">
        <v>362541427</v>
      </c>
      <c r="J568" s="1225">
        <v>357861183</v>
      </c>
      <c r="K568" s="1225">
        <v>362541427</v>
      </c>
      <c r="L568" s="1225">
        <v>357861183</v>
      </c>
    </row>
    <row r="569" spans="1:12">
      <c r="A569" s="187" t="s">
        <v>1423</v>
      </c>
      <c r="B569" s="1224" t="s">
        <v>6661</v>
      </c>
      <c r="C569" s="1225">
        <v>2551443745</v>
      </c>
      <c r="D569" s="1225">
        <v>2473400315</v>
      </c>
      <c r="E569" s="1225">
        <v>2551443745</v>
      </c>
      <c r="F569" s="1225">
        <v>2473400315</v>
      </c>
      <c r="G569" s="1225">
        <v>2509223365</v>
      </c>
      <c r="H569" s="1225">
        <v>2509223365</v>
      </c>
      <c r="I569" s="1225">
        <v>2551443745</v>
      </c>
      <c r="J569" s="1225">
        <v>2473400315</v>
      </c>
      <c r="K569" s="1225">
        <v>2551443745</v>
      </c>
      <c r="L569" s="1225">
        <v>2473400315</v>
      </c>
    </row>
    <row r="570" spans="1:12">
      <c r="A570" s="187" t="s">
        <v>1425</v>
      </c>
      <c r="B570" s="1224" t="s">
        <v>6662</v>
      </c>
      <c r="C570" s="1225">
        <v>504593812</v>
      </c>
      <c r="D570" s="1225">
        <v>485333304</v>
      </c>
      <c r="E570" s="1225">
        <v>504593812</v>
      </c>
      <c r="F570" s="1225">
        <v>485333304</v>
      </c>
      <c r="G570" s="1225">
        <v>469907944</v>
      </c>
      <c r="H570" s="1225">
        <v>469907944</v>
      </c>
      <c r="I570" s="1225">
        <v>504593812</v>
      </c>
      <c r="J570" s="1225">
        <v>485333304</v>
      </c>
      <c r="K570" s="1225">
        <v>504593812</v>
      </c>
      <c r="L570" s="1225">
        <v>485333304</v>
      </c>
    </row>
    <row r="571" spans="1:12">
      <c r="A571" s="187" t="s">
        <v>7151</v>
      </c>
      <c r="B571" s="1224" t="s">
        <v>6663</v>
      </c>
      <c r="C571" s="1225">
        <v>61082834</v>
      </c>
      <c r="D571" s="1225">
        <v>60722238</v>
      </c>
      <c r="E571" s="1225">
        <v>61082834</v>
      </c>
      <c r="F571" s="1225">
        <v>60722238</v>
      </c>
      <c r="G571" s="1225">
        <v>56265578</v>
      </c>
      <c r="H571" s="1225">
        <v>56265578</v>
      </c>
      <c r="I571" s="1225">
        <v>61082834</v>
      </c>
      <c r="J571" s="1225">
        <v>60722238</v>
      </c>
      <c r="K571" s="1225">
        <v>61082834</v>
      </c>
      <c r="L571" s="1225">
        <v>60722238</v>
      </c>
    </row>
    <row r="572" spans="1:12">
      <c r="A572" s="187" t="s">
        <v>7153</v>
      </c>
      <c r="B572" s="1224" t="s">
        <v>6664</v>
      </c>
      <c r="C572" s="1225">
        <v>387305071</v>
      </c>
      <c r="D572" s="1225">
        <v>377677150</v>
      </c>
      <c r="E572" s="1225">
        <v>387305071</v>
      </c>
      <c r="F572" s="1225">
        <v>377677150</v>
      </c>
      <c r="G572" s="1225">
        <v>395163022</v>
      </c>
      <c r="H572" s="1225">
        <v>395163022</v>
      </c>
      <c r="I572" s="1225">
        <v>387305071</v>
      </c>
      <c r="J572" s="1225">
        <v>377677150</v>
      </c>
      <c r="K572" s="1225">
        <v>387305071</v>
      </c>
      <c r="L572" s="1225">
        <v>377677150</v>
      </c>
    </row>
    <row r="573" spans="1:12">
      <c r="A573" s="187" t="s">
        <v>1833</v>
      </c>
      <c r="B573" s="1224" t="s">
        <v>6665</v>
      </c>
      <c r="C573" s="1225">
        <v>159659491</v>
      </c>
      <c r="D573" s="1225">
        <v>159495311</v>
      </c>
      <c r="E573" s="1225">
        <v>159537016</v>
      </c>
      <c r="F573" s="1225">
        <v>159372836</v>
      </c>
      <c r="G573" s="1225">
        <v>296829241</v>
      </c>
      <c r="H573" s="1225">
        <v>296694350</v>
      </c>
      <c r="I573" s="1225">
        <v>159659491</v>
      </c>
      <c r="J573" s="1225">
        <v>159495311</v>
      </c>
      <c r="K573" s="1225">
        <v>159537016</v>
      </c>
      <c r="L573" s="1225">
        <v>159372836</v>
      </c>
    </row>
    <row r="574" spans="1:12">
      <c r="A574" s="187" t="s">
        <v>1835</v>
      </c>
      <c r="B574" s="1224" t="s">
        <v>6666</v>
      </c>
      <c r="C574" s="1225">
        <v>311486473</v>
      </c>
      <c r="D574" s="1225">
        <v>303871664</v>
      </c>
      <c r="E574" s="1225">
        <v>311486473</v>
      </c>
      <c r="F574" s="1225">
        <v>303871664</v>
      </c>
      <c r="G574" s="1225">
        <v>255772116</v>
      </c>
      <c r="H574" s="1225">
        <v>255772116</v>
      </c>
      <c r="I574" s="1225">
        <v>467620823</v>
      </c>
      <c r="J574" s="1225">
        <v>460006014</v>
      </c>
      <c r="K574" s="1225">
        <v>467620823</v>
      </c>
      <c r="L574" s="1225">
        <v>460006014</v>
      </c>
    </row>
    <row r="575" spans="1:12">
      <c r="A575" s="187" t="s">
        <v>510</v>
      </c>
      <c r="B575" s="1224" t="s">
        <v>1921</v>
      </c>
      <c r="C575" s="1225">
        <v>875158349</v>
      </c>
      <c r="D575" s="1225">
        <v>840159580</v>
      </c>
      <c r="E575" s="1225">
        <v>875158349</v>
      </c>
      <c r="F575" s="1225">
        <v>840159580</v>
      </c>
      <c r="G575" s="1225">
        <v>742875881</v>
      </c>
      <c r="H575" s="1225">
        <v>742875881</v>
      </c>
      <c r="I575" s="1225">
        <v>875158349</v>
      </c>
      <c r="J575" s="1225">
        <v>840159580</v>
      </c>
      <c r="K575" s="1225">
        <v>875158349</v>
      </c>
      <c r="L575" s="1225">
        <v>840159580</v>
      </c>
    </row>
    <row r="576" spans="1:12">
      <c r="A576" s="187" t="s">
        <v>3530</v>
      </c>
      <c r="B576" s="1224" t="s">
        <v>6667</v>
      </c>
      <c r="C576" s="1225">
        <v>177994869</v>
      </c>
      <c r="D576" s="1225">
        <v>170487833</v>
      </c>
      <c r="E576" s="1225">
        <v>173419432</v>
      </c>
      <c r="F576" s="1225">
        <v>165912396</v>
      </c>
      <c r="G576" s="1225">
        <v>140777789</v>
      </c>
      <c r="H576" s="1225">
        <v>136301612</v>
      </c>
      <c r="I576" s="1225">
        <v>177994869</v>
      </c>
      <c r="J576" s="1225">
        <v>170487833</v>
      </c>
      <c r="K576" s="1225">
        <v>173419432</v>
      </c>
      <c r="L576" s="1225">
        <v>165912396</v>
      </c>
    </row>
    <row r="577" spans="1:12">
      <c r="A577" s="187" t="s">
        <v>3532</v>
      </c>
      <c r="B577" s="1224" t="s">
        <v>6668</v>
      </c>
      <c r="C577" s="1225">
        <v>222647324</v>
      </c>
      <c r="D577" s="1225">
        <v>219198490</v>
      </c>
      <c r="E577" s="1225">
        <v>222647324</v>
      </c>
      <c r="F577" s="1225">
        <v>219198490</v>
      </c>
      <c r="G577" s="1225">
        <v>228959225</v>
      </c>
      <c r="H577" s="1225">
        <v>224828792</v>
      </c>
      <c r="I577" s="1225">
        <v>222647324</v>
      </c>
      <c r="J577" s="1225">
        <v>219198490</v>
      </c>
      <c r="K577" s="1225">
        <v>222647324</v>
      </c>
      <c r="L577" s="1225">
        <v>219198490</v>
      </c>
    </row>
    <row r="578" spans="1:12">
      <c r="A578" s="187" t="s">
        <v>3534</v>
      </c>
      <c r="B578" s="1224" t="s">
        <v>6669</v>
      </c>
      <c r="C578" s="1225">
        <v>130025156</v>
      </c>
      <c r="D578" s="1225">
        <v>130025156</v>
      </c>
      <c r="E578" s="1225">
        <v>130025156</v>
      </c>
      <c r="F578" s="1225">
        <v>130025156</v>
      </c>
      <c r="G578" s="1225">
        <v>203974015</v>
      </c>
      <c r="H578" s="1225">
        <v>203974015</v>
      </c>
      <c r="I578" s="1225">
        <v>130025156</v>
      </c>
      <c r="J578" s="1225">
        <v>130025156</v>
      </c>
      <c r="K578" s="1225">
        <v>130025156</v>
      </c>
      <c r="L578" s="1225">
        <v>130025156</v>
      </c>
    </row>
    <row r="579" spans="1:12">
      <c r="A579" s="187" t="s">
        <v>511</v>
      </c>
      <c r="B579" s="1224" t="s">
        <v>5639</v>
      </c>
      <c r="C579" s="1225">
        <v>76470591</v>
      </c>
      <c r="D579" s="1225">
        <v>73568501</v>
      </c>
      <c r="E579" s="1225">
        <v>76470591</v>
      </c>
      <c r="F579" s="1225">
        <v>73568501</v>
      </c>
      <c r="G579" s="1225">
        <v>114634670</v>
      </c>
      <c r="H579" s="1225">
        <v>114634670</v>
      </c>
      <c r="I579" s="1225">
        <v>76470591</v>
      </c>
      <c r="J579" s="1225">
        <v>73568501</v>
      </c>
      <c r="K579" s="1225">
        <v>76470591</v>
      </c>
      <c r="L579" s="1225">
        <v>73568501</v>
      </c>
    </row>
    <row r="580" spans="1:12">
      <c r="A580" s="187" t="s">
        <v>3539</v>
      </c>
      <c r="B580" s="1224" t="s">
        <v>6670</v>
      </c>
      <c r="C580" s="1225">
        <v>76992567</v>
      </c>
      <c r="D580" s="1225">
        <v>73380167</v>
      </c>
      <c r="E580" s="1225">
        <v>76992567</v>
      </c>
      <c r="F580" s="1225">
        <v>73380167</v>
      </c>
      <c r="G580" s="1225">
        <v>64812576</v>
      </c>
      <c r="H580" s="1225">
        <v>64812576</v>
      </c>
      <c r="I580" s="1225">
        <v>76992567</v>
      </c>
      <c r="J580" s="1225">
        <v>73380167</v>
      </c>
      <c r="K580" s="1225">
        <v>76992567</v>
      </c>
      <c r="L580" s="1225">
        <v>73380167</v>
      </c>
    </row>
    <row r="581" spans="1:12">
      <c r="A581" s="187" t="s">
        <v>3541</v>
      </c>
      <c r="B581" s="1224" t="s">
        <v>6671</v>
      </c>
      <c r="C581" s="1225">
        <v>63918350</v>
      </c>
      <c r="D581" s="1225">
        <v>63357850</v>
      </c>
      <c r="E581" s="1225">
        <v>63918350</v>
      </c>
      <c r="F581" s="1225">
        <v>63357850</v>
      </c>
      <c r="G581" s="1225">
        <v>54961619</v>
      </c>
      <c r="H581" s="1225">
        <v>54961619</v>
      </c>
      <c r="I581" s="1225">
        <v>63918350</v>
      </c>
      <c r="J581" s="1225">
        <v>63357850</v>
      </c>
      <c r="K581" s="1225">
        <v>63918350</v>
      </c>
      <c r="L581" s="1225">
        <v>63357850</v>
      </c>
    </row>
    <row r="582" spans="1:12">
      <c r="A582" s="187" t="s">
        <v>3543</v>
      </c>
      <c r="B582" s="1224" t="s">
        <v>278</v>
      </c>
      <c r="C582" s="1225">
        <v>970453168</v>
      </c>
      <c r="D582" s="1225">
        <v>961648013</v>
      </c>
      <c r="E582" s="1225">
        <v>970453168</v>
      </c>
      <c r="F582" s="1225">
        <v>961648013</v>
      </c>
      <c r="G582" s="1225">
        <v>809014125</v>
      </c>
      <c r="H582" s="1225">
        <v>809014125</v>
      </c>
      <c r="I582" s="1225">
        <v>970453168</v>
      </c>
      <c r="J582" s="1225">
        <v>961648013</v>
      </c>
      <c r="K582" s="1225">
        <v>970453168</v>
      </c>
      <c r="L582" s="1225">
        <v>961648013</v>
      </c>
    </row>
    <row r="583" spans="1:12">
      <c r="A583" s="187" t="s">
        <v>129</v>
      </c>
      <c r="B583" s="1224" t="s">
        <v>372</v>
      </c>
      <c r="C583" s="1225">
        <v>122924744</v>
      </c>
      <c r="D583" s="1225">
        <v>120146939</v>
      </c>
      <c r="E583" s="1225">
        <v>122924744</v>
      </c>
      <c r="F583" s="1225">
        <v>120146939</v>
      </c>
      <c r="G583" s="1225">
        <v>101133799</v>
      </c>
      <c r="H583" s="1225">
        <v>101133799</v>
      </c>
      <c r="I583" s="1225">
        <v>122924744</v>
      </c>
      <c r="J583" s="1225">
        <v>120146939</v>
      </c>
      <c r="K583" s="1225">
        <v>122924744</v>
      </c>
      <c r="L583" s="1225">
        <v>120146939</v>
      </c>
    </row>
    <row r="584" spans="1:12">
      <c r="A584" s="187" t="s">
        <v>6193</v>
      </c>
      <c r="B584" s="1224" t="s">
        <v>3891</v>
      </c>
      <c r="C584" s="1225">
        <v>764241188</v>
      </c>
      <c r="D584" s="1225">
        <v>729137194</v>
      </c>
      <c r="E584" s="1225">
        <v>764241188</v>
      </c>
      <c r="F584" s="1225">
        <v>729137194</v>
      </c>
      <c r="G584" s="1225">
        <v>716313998</v>
      </c>
      <c r="H584" s="1225">
        <v>716313998</v>
      </c>
      <c r="I584" s="1225">
        <v>764241188</v>
      </c>
      <c r="J584" s="1225">
        <v>729137194</v>
      </c>
      <c r="K584" s="1225">
        <v>764241188</v>
      </c>
      <c r="L584" s="1225">
        <v>729137194</v>
      </c>
    </row>
    <row r="585" spans="1:12">
      <c r="A585" s="187" t="s">
        <v>2674</v>
      </c>
      <c r="B585" s="1224" t="s">
        <v>279</v>
      </c>
      <c r="C585" s="1225">
        <v>1186835673</v>
      </c>
      <c r="D585" s="1225">
        <v>1143525141</v>
      </c>
      <c r="E585" s="1225">
        <v>1186835673</v>
      </c>
      <c r="F585" s="1225">
        <v>1143525141</v>
      </c>
      <c r="G585" s="1225">
        <v>1101482667</v>
      </c>
      <c r="H585" s="1225">
        <v>1101482667</v>
      </c>
      <c r="I585" s="1225">
        <v>1186835673</v>
      </c>
      <c r="J585" s="1225">
        <v>1143525141</v>
      </c>
      <c r="K585" s="1225">
        <v>1186835673</v>
      </c>
      <c r="L585" s="1225">
        <v>1143525141</v>
      </c>
    </row>
    <row r="586" spans="1:12">
      <c r="A586" s="187" t="s">
        <v>512</v>
      </c>
      <c r="B586" s="1224" t="s">
        <v>348</v>
      </c>
      <c r="C586" s="1225">
        <v>225748036</v>
      </c>
      <c r="D586" s="1225">
        <v>211270344</v>
      </c>
      <c r="E586" s="1225">
        <v>225748036</v>
      </c>
      <c r="F586" s="1225">
        <v>211270344</v>
      </c>
      <c r="G586" s="1225">
        <v>208055698</v>
      </c>
      <c r="H586" s="1225">
        <v>208055698</v>
      </c>
      <c r="I586" s="1225">
        <v>225748036</v>
      </c>
      <c r="J586" s="1225">
        <v>211270344</v>
      </c>
      <c r="K586" s="1225">
        <v>225748036</v>
      </c>
      <c r="L586" s="1225">
        <v>211270344</v>
      </c>
    </row>
    <row r="587" spans="1:12">
      <c r="A587" s="187" t="s">
        <v>600</v>
      </c>
      <c r="B587" s="1224" t="s">
        <v>280</v>
      </c>
      <c r="C587" s="1225">
        <v>47417686</v>
      </c>
      <c r="D587" s="1225">
        <v>46479252</v>
      </c>
      <c r="E587" s="1225">
        <v>47417686</v>
      </c>
      <c r="F587" s="1225">
        <v>46479252</v>
      </c>
      <c r="G587" s="1225">
        <v>44916165</v>
      </c>
      <c r="H587" s="1225">
        <v>44916165</v>
      </c>
      <c r="I587" s="1225">
        <v>47417686</v>
      </c>
      <c r="J587" s="1225">
        <v>46479252</v>
      </c>
      <c r="K587" s="1225">
        <v>47417686</v>
      </c>
      <c r="L587" s="1225">
        <v>46479252</v>
      </c>
    </row>
    <row r="588" spans="1:12">
      <c r="A588" s="187" t="s">
        <v>602</v>
      </c>
      <c r="B588" s="1224" t="s">
        <v>281</v>
      </c>
      <c r="C588" s="1225">
        <v>196342452</v>
      </c>
      <c r="D588" s="1225">
        <v>187981655</v>
      </c>
      <c r="E588" s="1225">
        <v>196342452</v>
      </c>
      <c r="F588" s="1225">
        <v>187981655</v>
      </c>
      <c r="G588" s="1225">
        <v>216942609</v>
      </c>
      <c r="H588" s="1225">
        <v>216942609</v>
      </c>
      <c r="I588" s="1225">
        <v>196342452</v>
      </c>
      <c r="J588" s="1225">
        <v>187981655</v>
      </c>
      <c r="K588" s="1225">
        <v>196342452</v>
      </c>
      <c r="L588" s="1225">
        <v>187981655</v>
      </c>
    </row>
    <row r="589" spans="1:12">
      <c r="A589" s="187" t="s">
        <v>6188</v>
      </c>
      <c r="B589" s="1224" t="s">
        <v>3836</v>
      </c>
      <c r="C589" s="1225">
        <v>141061459</v>
      </c>
      <c r="D589" s="1225">
        <v>137506690</v>
      </c>
      <c r="E589" s="1225">
        <v>141061459</v>
      </c>
      <c r="F589" s="1225">
        <v>137506690</v>
      </c>
      <c r="G589" s="1225">
        <v>137168117</v>
      </c>
      <c r="H589" s="1225">
        <v>137168117</v>
      </c>
      <c r="I589" s="1225">
        <v>141061459</v>
      </c>
      <c r="J589" s="1225">
        <v>137506690</v>
      </c>
      <c r="K589" s="1225">
        <v>141061459</v>
      </c>
      <c r="L589" s="1225">
        <v>137506690</v>
      </c>
    </row>
    <row r="590" spans="1:12">
      <c r="A590" s="187" t="s">
        <v>2018</v>
      </c>
      <c r="B590" s="1224" t="s">
        <v>283</v>
      </c>
      <c r="C590" s="1225">
        <v>84897860</v>
      </c>
      <c r="D590" s="1225">
        <v>82905433</v>
      </c>
      <c r="E590" s="1225">
        <v>84897860</v>
      </c>
      <c r="F590" s="1225">
        <v>82905433</v>
      </c>
      <c r="G590" s="1225">
        <v>82336274</v>
      </c>
      <c r="H590" s="1225">
        <v>82336274</v>
      </c>
      <c r="I590" s="1225">
        <v>84897860</v>
      </c>
      <c r="J590" s="1225">
        <v>82905433</v>
      </c>
      <c r="K590" s="1225">
        <v>84897860</v>
      </c>
      <c r="L590" s="1225">
        <v>82905433</v>
      </c>
    </row>
    <row r="591" spans="1:12">
      <c r="A591" s="187" t="s">
        <v>2020</v>
      </c>
      <c r="B591" s="1224" t="s">
        <v>284</v>
      </c>
      <c r="C591" s="1225">
        <v>432248414</v>
      </c>
      <c r="D591" s="1225">
        <v>430080870</v>
      </c>
      <c r="E591" s="1225">
        <v>432248414</v>
      </c>
      <c r="F591" s="1225">
        <v>430080870</v>
      </c>
      <c r="G591" s="1225">
        <v>420143721</v>
      </c>
      <c r="H591" s="1225">
        <v>420143721</v>
      </c>
      <c r="I591" s="1225">
        <v>432248414</v>
      </c>
      <c r="J591" s="1225">
        <v>430080870</v>
      </c>
      <c r="K591" s="1225">
        <v>432248414</v>
      </c>
      <c r="L591" s="1225">
        <v>430080870</v>
      </c>
    </row>
    <row r="592" spans="1:12">
      <c r="A592" s="187" t="s">
        <v>2024</v>
      </c>
      <c r="B592" s="1224" t="s">
        <v>285</v>
      </c>
      <c r="C592" s="1225">
        <v>1131994569</v>
      </c>
      <c r="D592" s="1225">
        <v>1083831896</v>
      </c>
      <c r="E592" s="1225">
        <v>1131994569</v>
      </c>
      <c r="F592" s="1225">
        <v>1083831896</v>
      </c>
      <c r="G592" s="1225">
        <v>1049034348</v>
      </c>
      <c r="H592" s="1225">
        <v>1049034348</v>
      </c>
      <c r="I592" s="1225">
        <v>1131994569</v>
      </c>
      <c r="J592" s="1225">
        <v>1083831896</v>
      </c>
      <c r="K592" s="1225">
        <v>1131994569</v>
      </c>
      <c r="L592" s="1225">
        <v>1083831896</v>
      </c>
    </row>
    <row r="593" spans="1:12">
      <c r="A593" s="187" t="s">
        <v>2026</v>
      </c>
      <c r="B593" s="1224" t="s">
        <v>286</v>
      </c>
      <c r="C593" s="1225">
        <v>136252778</v>
      </c>
      <c r="D593" s="1225">
        <v>133069318</v>
      </c>
      <c r="E593" s="1225">
        <v>136252778</v>
      </c>
      <c r="F593" s="1225">
        <v>133069318</v>
      </c>
      <c r="G593" s="1225">
        <v>128550857</v>
      </c>
      <c r="H593" s="1225">
        <v>128550857</v>
      </c>
      <c r="I593" s="1225">
        <v>136252778</v>
      </c>
      <c r="J593" s="1225">
        <v>133069318</v>
      </c>
      <c r="K593" s="1225">
        <v>136252778</v>
      </c>
      <c r="L593" s="1225">
        <v>133069318</v>
      </c>
    </row>
    <row r="594" spans="1:12">
      <c r="A594" s="187" t="s">
        <v>242</v>
      </c>
      <c r="B594" s="1224" t="s">
        <v>2650</v>
      </c>
      <c r="C594" s="1225">
        <v>4601556789</v>
      </c>
      <c r="D594" s="1225">
        <v>4594632689</v>
      </c>
      <c r="E594" s="1225">
        <v>4601556789</v>
      </c>
      <c r="F594" s="1225">
        <v>4594632689</v>
      </c>
      <c r="G594" s="1225">
        <v>7349738133</v>
      </c>
      <c r="H594" s="1225">
        <v>7349738133</v>
      </c>
      <c r="I594" s="1225">
        <v>4601556789</v>
      </c>
      <c r="J594" s="1225">
        <v>4594632689</v>
      </c>
      <c r="K594" s="1225">
        <v>4601556789</v>
      </c>
      <c r="L594" s="1225">
        <v>4594632689</v>
      </c>
    </row>
    <row r="595" spans="1:12">
      <c r="A595" s="187" t="s">
        <v>2028</v>
      </c>
      <c r="B595" s="1224" t="s">
        <v>287</v>
      </c>
      <c r="C595" s="1225">
        <v>690702243</v>
      </c>
      <c r="D595" s="1225">
        <v>672926952</v>
      </c>
      <c r="E595" s="1225">
        <v>690702243</v>
      </c>
      <c r="F595" s="1225">
        <v>672926952</v>
      </c>
      <c r="G595" s="1225">
        <v>777521896</v>
      </c>
      <c r="H595" s="1225">
        <v>777521896</v>
      </c>
      <c r="I595" s="1225">
        <v>690702243</v>
      </c>
      <c r="J595" s="1225">
        <v>672926952</v>
      </c>
      <c r="K595" s="1225">
        <v>690702243</v>
      </c>
      <c r="L595" s="1225">
        <v>672926952</v>
      </c>
    </row>
    <row r="596" spans="1:12">
      <c r="A596" s="187" t="s">
        <v>2030</v>
      </c>
      <c r="B596" s="1224" t="s">
        <v>288</v>
      </c>
      <c r="C596" s="1225">
        <v>305531602</v>
      </c>
      <c r="D596" s="1225">
        <v>300072430</v>
      </c>
      <c r="E596" s="1225">
        <v>299766491</v>
      </c>
      <c r="F596" s="1225">
        <v>294307319</v>
      </c>
      <c r="G596" s="1225">
        <v>625980111</v>
      </c>
      <c r="H596" s="1225">
        <v>620037049</v>
      </c>
      <c r="I596" s="1225">
        <v>305531602</v>
      </c>
      <c r="J596" s="1225">
        <v>300072430</v>
      </c>
      <c r="K596" s="1225">
        <v>299766491</v>
      </c>
      <c r="L596" s="1225">
        <v>294307319</v>
      </c>
    </row>
    <row r="597" spans="1:12">
      <c r="A597" s="187" t="s">
        <v>2032</v>
      </c>
      <c r="B597" s="1224" t="s">
        <v>289</v>
      </c>
      <c r="C597" s="1225">
        <v>579932128</v>
      </c>
      <c r="D597" s="1225">
        <v>568895832</v>
      </c>
      <c r="E597" s="1225">
        <v>579932128</v>
      </c>
      <c r="F597" s="1225">
        <v>568895832</v>
      </c>
      <c r="G597" s="1225">
        <v>841940442</v>
      </c>
      <c r="H597" s="1225">
        <v>841940442</v>
      </c>
      <c r="I597" s="1225">
        <v>579932128</v>
      </c>
      <c r="J597" s="1225">
        <v>568895832</v>
      </c>
      <c r="K597" s="1225">
        <v>579932128</v>
      </c>
      <c r="L597" s="1225">
        <v>568895832</v>
      </c>
    </row>
    <row r="598" spans="1:12">
      <c r="A598" s="187" t="s">
        <v>2034</v>
      </c>
      <c r="B598" s="1224" t="s">
        <v>290</v>
      </c>
      <c r="C598" s="1225">
        <v>59719697</v>
      </c>
      <c r="D598" s="1225">
        <v>57259524</v>
      </c>
      <c r="E598" s="1225">
        <v>56679771</v>
      </c>
      <c r="F598" s="1225">
        <v>54219598</v>
      </c>
      <c r="G598" s="1225">
        <v>60303964</v>
      </c>
      <c r="H598" s="1225">
        <v>57405343</v>
      </c>
      <c r="I598" s="1225">
        <v>59719697</v>
      </c>
      <c r="J598" s="1225">
        <v>57259524</v>
      </c>
      <c r="K598" s="1225">
        <v>56679771</v>
      </c>
      <c r="L598" s="1225">
        <v>54219598</v>
      </c>
    </row>
    <row r="599" spans="1:12">
      <c r="A599" s="187" t="s">
        <v>2036</v>
      </c>
      <c r="B599" s="1224" t="s">
        <v>291</v>
      </c>
      <c r="C599" s="1225">
        <v>70386662</v>
      </c>
      <c r="D599" s="1225">
        <v>67809613</v>
      </c>
      <c r="E599" s="1225">
        <v>70386662</v>
      </c>
      <c r="F599" s="1225">
        <v>67809613</v>
      </c>
      <c r="G599" s="1225">
        <v>66202045</v>
      </c>
      <c r="H599" s="1225">
        <v>66202045</v>
      </c>
      <c r="I599" s="1225">
        <v>70386662</v>
      </c>
      <c r="J599" s="1225">
        <v>67809613</v>
      </c>
      <c r="K599" s="1225">
        <v>70386662</v>
      </c>
      <c r="L599" s="1225">
        <v>67809613</v>
      </c>
    </row>
    <row r="600" spans="1:12">
      <c r="A600" s="187" t="s">
        <v>308</v>
      </c>
      <c r="B600" s="1224" t="s">
        <v>292</v>
      </c>
      <c r="C600" s="1225">
        <v>82577337</v>
      </c>
      <c r="D600" s="1225">
        <v>80225407</v>
      </c>
      <c r="E600" s="1225">
        <v>79983810</v>
      </c>
      <c r="F600" s="1225">
        <v>77631880</v>
      </c>
      <c r="G600" s="1225">
        <v>103622392</v>
      </c>
      <c r="H600" s="1225">
        <v>101017710</v>
      </c>
      <c r="I600" s="1225">
        <v>82577337</v>
      </c>
      <c r="J600" s="1225">
        <v>80225407</v>
      </c>
      <c r="K600" s="1225">
        <v>79983810</v>
      </c>
      <c r="L600" s="1225">
        <v>77631880</v>
      </c>
    </row>
    <row r="601" spans="1:12">
      <c r="A601" s="187" t="s">
        <v>310</v>
      </c>
      <c r="B601" s="1224" t="s">
        <v>293</v>
      </c>
      <c r="C601" s="1225">
        <v>755857516</v>
      </c>
      <c r="D601" s="1225">
        <v>736185386</v>
      </c>
      <c r="E601" s="1225">
        <v>742866606</v>
      </c>
      <c r="F601" s="1225">
        <v>723194476</v>
      </c>
      <c r="G601" s="1225">
        <v>823103116</v>
      </c>
      <c r="H601" s="1225">
        <v>810511592</v>
      </c>
      <c r="I601" s="1225">
        <v>755857516</v>
      </c>
      <c r="J601" s="1225">
        <v>736185386</v>
      </c>
      <c r="K601" s="1225">
        <v>742866606</v>
      </c>
      <c r="L601" s="1225">
        <v>723194476</v>
      </c>
    </row>
    <row r="602" spans="1:12">
      <c r="A602" s="187" t="s">
        <v>312</v>
      </c>
      <c r="B602" s="1224" t="s">
        <v>294</v>
      </c>
      <c r="C602" s="1225">
        <v>408827085</v>
      </c>
      <c r="D602" s="1225">
        <v>395331378</v>
      </c>
      <c r="E602" s="1225">
        <v>408827085</v>
      </c>
      <c r="F602" s="1225">
        <v>395331378</v>
      </c>
      <c r="G602" s="1225">
        <v>387141550</v>
      </c>
      <c r="H602" s="1225">
        <v>383865950</v>
      </c>
      <c r="I602" s="1225">
        <v>408827085</v>
      </c>
      <c r="J602" s="1225">
        <v>395331378</v>
      </c>
      <c r="K602" s="1225">
        <v>408827085</v>
      </c>
      <c r="L602" s="1225">
        <v>395331378</v>
      </c>
    </row>
    <row r="603" spans="1:12">
      <c r="A603" s="187" t="s">
        <v>314</v>
      </c>
      <c r="B603" s="1224" t="s">
        <v>295</v>
      </c>
      <c r="C603" s="1225">
        <v>116921830</v>
      </c>
      <c r="D603" s="1225">
        <v>114153346</v>
      </c>
      <c r="E603" s="1225">
        <v>116269503</v>
      </c>
      <c r="F603" s="1225">
        <v>113501019</v>
      </c>
      <c r="G603" s="1225">
        <v>188349738</v>
      </c>
      <c r="H603" s="1225">
        <v>187657824</v>
      </c>
      <c r="I603" s="1225">
        <v>116921830</v>
      </c>
      <c r="J603" s="1225">
        <v>114153346</v>
      </c>
      <c r="K603" s="1225">
        <v>116269503</v>
      </c>
      <c r="L603" s="1225">
        <v>113501019</v>
      </c>
    </row>
    <row r="604" spans="1:12">
      <c r="A604" s="187" t="s">
        <v>316</v>
      </c>
      <c r="B604" s="1224" t="s">
        <v>296</v>
      </c>
      <c r="C604" s="1225">
        <v>397483815</v>
      </c>
      <c r="D604" s="1225">
        <v>387381111</v>
      </c>
      <c r="E604" s="1225">
        <v>395124503</v>
      </c>
      <c r="F604" s="1225">
        <v>385021799</v>
      </c>
      <c r="G604" s="1225">
        <v>464457854</v>
      </c>
      <c r="H604" s="1225">
        <v>461980702</v>
      </c>
      <c r="I604" s="1225">
        <v>397483815</v>
      </c>
      <c r="J604" s="1225">
        <v>387381111</v>
      </c>
      <c r="K604" s="1225">
        <v>395124503</v>
      </c>
      <c r="L604" s="1225">
        <v>385021799</v>
      </c>
    </row>
    <row r="605" spans="1:12">
      <c r="A605" s="187" t="s">
        <v>318</v>
      </c>
      <c r="B605" s="1224" t="s">
        <v>297</v>
      </c>
      <c r="C605" s="1225">
        <v>322102378</v>
      </c>
      <c r="D605" s="1225">
        <v>311128548</v>
      </c>
      <c r="E605" s="1225">
        <v>316689813</v>
      </c>
      <c r="F605" s="1225">
        <v>305715983</v>
      </c>
      <c r="G605" s="1225">
        <v>492995381</v>
      </c>
      <c r="H605" s="1225">
        <v>488372738</v>
      </c>
      <c r="I605" s="1225">
        <v>322102378</v>
      </c>
      <c r="J605" s="1225">
        <v>311128548</v>
      </c>
      <c r="K605" s="1225">
        <v>316689813</v>
      </c>
      <c r="L605" s="1225">
        <v>305715983</v>
      </c>
    </row>
    <row r="606" spans="1:12">
      <c r="A606" s="187" t="s">
        <v>320</v>
      </c>
      <c r="B606" s="1224" t="s">
        <v>298</v>
      </c>
      <c r="C606" s="1225">
        <v>297641539</v>
      </c>
      <c r="D606" s="1225">
        <v>287640351</v>
      </c>
      <c r="E606" s="1225">
        <v>285182277</v>
      </c>
      <c r="F606" s="1225">
        <v>275181089</v>
      </c>
      <c r="G606" s="1225">
        <v>287345667</v>
      </c>
      <c r="H606" s="1225">
        <v>275561377</v>
      </c>
      <c r="I606" s="1225">
        <v>297641539</v>
      </c>
      <c r="J606" s="1225">
        <v>287640351</v>
      </c>
      <c r="K606" s="1225">
        <v>285182277</v>
      </c>
      <c r="L606" s="1225">
        <v>275181089</v>
      </c>
    </row>
    <row r="607" spans="1:12">
      <c r="A607" s="187" t="s">
        <v>2319</v>
      </c>
      <c r="B607" s="1224" t="s">
        <v>299</v>
      </c>
      <c r="C607" s="1225">
        <v>116988854</v>
      </c>
      <c r="D607" s="1225">
        <v>114875611</v>
      </c>
      <c r="E607" s="1225">
        <v>116988854</v>
      </c>
      <c r="F607" s="1225">
        <v>114875611</v>
      </c>
      <c r="G607" s="1225">
        <v>81531206</v>
      </c>
      <c r="H607" s="1225">
        <v>81531206</v>
      </c>
      <c r="I607" s="1225">
        <v>116988854</v>
      </c>
      <c r="J607" s="1225">
        <v>114875611</v>
      </c>
      <c r="K607" s="1225">
        <v>116988854</v>
      </c>
      <c r="L607" s="1225">
        <v>114875611</v>
      </c>
    </row>
    <row r="608" spans="1:12">
      <c r="A608" s="187" t="s">
        <v>2321</v>
      </c>
      <c r="B608" s="1224" t="s">
        <v>300</v>
      </c>
      <c r="C608" s="1225">
        <v>774963624</v>
      </c>
      <c r="D608" s="1225">
        <v>766622925</v>
      </c>
      <c r="E608" s="1225">
        <v>774963624</v>
      </c>
      <c r="F608" s="1225">
        <v>766622925</v>
      </c>
      <c r="G608" s="1225">
        <v>836159987</v>
      </c>
      <c r="H608" s="1225">
        <v>836159987</v>
      </c>
      <c r="I608" s="1225">
        <v>774963624</v>
      </c>
      <c r="J608" s="1225">
        <v>766622925</v>
      </c>
      <c r="K608" s="1225">
        <v>774963624</v>
      </c>
      <c r="L608" s="1225">
        <v>766622925</v>
      </c>
    </row>
    <row r="609" spans="1:12">
      <c r="A609" s="187" t="s">
        <v>3178</v>
      </c>
      <c r="B609" s="1224" t="s">
        <v>6114</v>
      </c>
      <c r="C609" s="1225">
        <v>1102202337</v>
      </c>
      <c r="D609" s="1225">
        <v>1070246114</v>
      </c>
      <c r="E609" s="1225">
        <v>1102202337</v>
      </c>
      <c r="F609" s="1225">
        <v>1070246114</v>
      </c>
      <c r="G609" s="1225">
        <v>862166302</v>
      </c>
      <c r="H609" s="1225">
        <v>862166302</v>
      </c>
      <c r="I609" s="1225">
        <v>1102202337</v>
      </c>
      <c r="J609" s="1225">
        <v>1070246114</v>
      </c>
      <c r="K609" s="1225">
        <v>1102202337</v>
      </c>
      <c r="L609" s="1225">
        <v>1070246114</v>
      </c>
    </row>
    <row r="610" spans="1:12">
      <c r="A610" s="187" t="s">
        <v>249</v>
      </c>
      <c r="B610" s="1224" t="s">
        <v>994</v>
      </c>
      <c r="C610" s="1225">
        <v>1650771482</v>
      </c>
      <c r="D610" s="1225">
        <v>1604724292</v>
      </c>
      <c r="E610" s="1225">
        <v>1650771482</v>
      </c>
      <c r="F610" s="1225">
        <v>1604724292</v>
      </c>
      <c r="G610" s="1225">
        <v>1550660456</v>
      </c>
      <c r="H610" s="1225">
        <v>1550660456</v>
      </c>
      <c r="I610" s="1225">
        <v>1650771482</v>
      </c>
      <c r="J610" s="1225">
        <v>1604724292</v>
      </c>
      <c r="K610" s="1225">
        <v>1650771482</v>
      </c>
      <c r="L610" s="1225">
        <v>1604724292</v>
      </c>
    </row>
    <row r="611" spans="1:12">
      <c r="A611" s="187" t="s">
        <v>2323</v>
      </c>
      <c r="B611" s="1224" t="s">
        <v>301</v>
      </c>
      <c r="C611" s="1225">
        <v>170609766</v>
      </c>
      <c r="D611" s="1225">
        <v>168602568</v>
      </c>
      <c r="E611" s="1225">
        <v>170609766</v>
      </c>
      <c r="F611" s="1225">
        <v>168602568</v>
      </c>
      <c r="G611" s="1225">
        <v>303443166</v>
      </c>
      <c r="H611" s="1225">
        <v>303443166</v>
      </c>
      <c r="I611" s="1225">
        <v>170609766</v>
      </c>
      <c r="J611" s="1225">
        <v>168602568</v>
      </c>
      <c r="K611" s="1225">
        <v>170609766</v>
      </c>
      <c r="L611" s="1225">
        <v>168602568</v>
      </c>
    </row>
    <row r="612" spans="1:12">
      <c r="A612" s="187" t="s">
        <v>513</v>
      </c>
      <c r="B612" s="1224" t="s">
        <v>3917</v>
      </c>
      <c r="C612" s="1225">
        <v>397611623</v>
      </c>
      <c r="D612" s="1225">
        <v>383180710</v>
      </c>
      <c r="E612" s="1225">
        <v>397611623</v>
      </c>
      <c r="F612" s="1225">
        <v>383180710</v>
      </c>
      <c r="G612" s="1225">
        <v>331408374</v>
      </c>
      <c r="H612" s="1225">
        <v>331408374</v>
      </c>
      <c r="I612" s="1225">
        <v>397611623</v>
      </c>
      <c r="J612" s="1225">
        <v>383180710</v>
      </c>
      <c r="K612" s="1225">
        <v>397611623</v>
      </c>
      <c r="L612" s="1225">
        <v>383180710</v>
      </c>
    </row>
    <row r="613" spans="1:12">
      <c r="A613" s="187" t="s">
        <v>1872</v>
      </c>
      <c r="B613" s="1224" t="s">
        <v>3855</v>
      </c>
      <c r="C613" s="1225">
        <v>234508846</v>
      </c>
      <c r="D613" s="1225">
        <v>228509184</v>
      </c>
      <c r="E613" s="1225">
        <v>234508846</v>
      </c>
      <c r="F613" s="1225">
        <v>228509184</v>
      </c>
      <c r="G613" s="1225">
        <v>262125096</v>
      </c>
      <c r="H613" s="1225">
        <v>262125096</v>
      </c>
      <c r="I613" s="1225">
        <v>234508846</v>
      </c>
      <c r="J613" s="1225">
        <v>228509184</v>
      </c>
      <c r="K613" s="1225">
        <v>234508846</v>
      </c>
      <c r="L613" s="1225">
        <v>228509184</v>
      </c>
    </row>
    <row r="614" spans="1:12">
      <c r="A614" s="187" t="s">
        <v>2325</v>
      </c>
      <c r="B614" s="1224" t="s">
        <v>302</v>
      </c>
      <c r="C614" s="1225">
        <v>864030524</v>
      </c>
      <c r="D614" s="1225">
        <v>843372178</v>
      </c>
      <c r="E614" s="1225">
        <v>864030524</v>
      </c>
      <c r="F614" s="1225">
        <v>843372178</v>
      </c>
      <c r="G614" s="1225">
        <v>862889809</v>
      </c>
      <c r="H614" s="1225">
        <v>862889809</v>
      </c>
      <c r="I614" s="1225">
        <v>925910334</v>
      </c>
      <c r="J614" s="1225">
        <v>905251988</v>
      </c>
      <c r="K614" s="1225">
        <v>925910334</v>
      </c>
      <c r="L614" s="1225">
        <v>905251988</v>
      </c>
    </row>
    <row r="615" spans="1:12">
      <c r="A615" s="187" t="s">
        <v>2327</v>
      </c>
      <c r="B615" s="1224" t="s">
        <v>2163</v>
      </c>
      <c r="C615" s="1225">
        <v>494297898</v>
      </c>
      <c r="D615" s="1225">
        <v>474777496</v>
      </c>
      <c r="E615" s="1225">
        <v>494297898</v>
      </c>
      <c r="F615" s="1225">
        <v>474777496</v>
      </c>
      <c r="G615" s="1225">
        <v>448612412</v>
      </c>
      <c r="H615" s="1225">
        <v>448612412</v>
      </c>
      <c r="I615" s="1225">
        <v>494297898</v>
      </c>
      <c r="J615" s="1225">
        <v>474777496</v>
      </c>
      <c r="K615" s="1225">
        <v>494297898</v>
      </c>
      <c r="L615" s="1225">
        <v>474777496</v>
      </c>
    </row>
    <row r="616" spans="1:12">
      <c r="A616" s="187" t="s">
        <v>5236</v>
      </c>
      <c r="B616" s="1224" t="s">
        <v>2646</v>
      </c>
      <c r="C616" s="1225">
        <v>40270551</v>
      </c>
      <c r="D616" s="1225">
        <v>38482238</v>
      </c>
      <c r="E616" s="1225">
        <v>40270551</v>
      </c>
      <c r="F616" s="1225">
        <v>38482238</v>
      </c>
      <c r="G616" s="1225">
        <v>40323754</v>
      </c>
      <c r="H616" s="1225">
        <v>40323754</v>
      </c>
      <c r="I616" s="1225">
        <v>40270551</v>
      </c>
      <c r="J616" s="1225">
        <v>38482238</v>
      </c>
      <c r="K616" s="1225">
        <v>40270551</v>
      </c>
      <c r="L616" s="1225">
        <v>38482238</v>
      </c>
    </row>
    <row r="617" spans="1:12">
      <c r="A617" s="187" t="s">
        <v>7700</v>
      </c>
      <c r="B617" s="1224" t="s">
        <v>2164</v>
      </c>
      <c r="C617" s="1225">
        <v>1458679099</v>
      </c>
      <c r="D617" s="1225">
        <v>1438594020</v>
      </c>
      <c r="E617" s="1225">
        <v>1458679099</v>
      </c>
      <c r="F617" s="1225">
        <v>1438594020</v>
      </c>
      <c r="G617" s="1225">
        <v>1828134313</v>
      </c>
      <c r="H617" s="1225">
        <v>1805617792</v>
      </c>
      <c r="I617" s="1225">
        <v>1458679099</v>
      </c>
      <c r="J617" s="1225">
        <v>1438594020</v>
      </c>
      <c r="K617" s="1225">
        <v>1458679099</v>
      </c>
      <c r="L617" s="1225">
        <v>1438594020</v>
      </c>
    </row>
    <row r="618" spans="1:12">
      <c r="A618" s="187" t="s">
        <v>7702</v>
      </c>
      <c r="B618" s="1224" t="s">
        <v>2165</v>
      </c>
      <c r="C618" s="1225">
        <v>428617098</v>
      </c>
      <c r="D618" s="1225">
        <v>408677709</v>
      </c>
      <c r="E618" s="1225">
        <v>428617098</v>
      </c>
      <c r="F618" s="1225">
        <v>408677709</v>
      </c>
      <c r="G618" s="1225">
        <v>429598354</v>
      </c>
      <c r="H618" s="1225">
        <v>429598354</v>
      </c>
      <c r="I618" s="1225">
        <v>428617098</v>
      </c>
      <c r="J618" s="1225">
        <v>408677709</v>
      </c>
      <c r="K618" s="1225">
        <v>428617098</v>
      </c>
      <c r="L618" s="1225">
        <v>408677709</v>
      </c>
    </row>
    <row r="619" spans="1:12">
      <c r="A619" s="187" t="s">
        <v>7704</v>
      </c>
      <c r="B619" s="1224" t="s">
        <v>2166</v>
      </c>
      <c r="C619" s="1225">
        <v>200744079</v>
      </c>
      <c r="D619" s="1225">
        <v>198080859</v>
      </c>
      <c r="E619" s="1225">
        <v>200744079</v>
      </c>
      <c r="F619" s="1225">
        <v>198080859</v>
      </c>
      <c r="G619" s="1225">
        <v>389208321</v>
      </c>
      <c r="H619" s="1225">
        <v>389208321</v>
      </c>
      <c r="I619" s="1225">
        <v>200744079</v>
      </c>
      <c r="J619" s="1225">
        <v>198080859</v>
      </c>
      <c r="K619" s="1225">
        <v>200744079</v>
      </c>
      <c r="L619" s="1225">
        <v>198080859</v>
      </c>
    </row>
    <row r="620" spans="1:12">
      <c r="A620" s="187" t="s">
        <v>5634</v>
      </c>
      <c r="B620" s="1224" t="s">
        <v>2167</v>
      </c>
      <c r="C620" s="1225">
        <v>109542822</v>
      </c>
      <c r="D620" s="1225">
        <v>108320962</v>
      </c>
      <c r="E620" s="1225">
        <v>109542822</v>
      </c>
      <c r="F620" s="1225">
        <v>108320962</v>
      </c>
      <c r="G620" s="1225">
        <v>275295144</v>
      </c>
      <c r="H620" s="1225">
        <v>275295144</v>
      </c>
      <c r="I620" s="1225">
        <v>109542822</v>
      </c>
      <c r="J620" s="1225">
        <v>108320962</v>
      </c>
      <c r="K620" s="1225">
        <v>109542822</v>
      </c>
      <c r="L620" s="1225">
        <v>108320962</v>
      </c>
    </row>
    <row r="621" spans="1:12">
      <c r="A621" s="187" t="s">
        <v>5636</v>
      </c>
      <c r="B621" s="1224" t="s">
        <v>2168</v>
      </c>
      <c r="C621" s="1225">
        <v>204991321</v>
      </c>
      <c r="D621" s="1225">
        <v>204090771</v>
      </c>
      <c r="E621" s="1225">
        <v>204991321</v>
      </c>
      <c r="F621" s="1225">
        <v>204090771</v>
      </c>
      <c r="G621" s="1225">
        <v>502458688</v>
      </c>
      <c r="H621" s="1225">
        <v>502458688</v>
      </c>
      <c r="I621" s="1225">
        <v>204991321</v>
      </c>
      <c r="J621" s="1225">
        <v>204090771</v>
      </c>
      <c r="K621" s="1225">
        <v>204991321</v>
      </c>
      <c r="L621" s="1225">
        <v>204090771</v>
      </c>
    </row>
    <row r="622" spans="1:12">
      <c r="A622" s="187" t="s">
        <v>4016</v>
      </c>
      <c r="B622" s="1224" t="s">
        <v>2169</v>
      </c>
      <c r="C622" s="1225">
        <v>74132132</v>
      </c>
      <c r="D622" s="1225">
        <v>73160942</v>
      </c>
      <c r="E622" s="1225">
        <v>74132132</v>
      </c>
      <c r="F622" s="1225">
        <v>73160942</v>
      </c>
      <c r="G622" s="1225">
        <v>156554502</v>
      </c>
      <c r="H622" s="1225">
        <v>156554502</v>
      </c>
      <c r="I622" s="1225">
        <v>74132132</v>
      </c>
      <c r="J622" s="1225">
        <v>73160942</v>
      </c>
      <c r="K622" s="1225">
        <v>74132132</v>
      </c>
      <c r="L622" s="1225">
        <v>73160942</v>
      </c>
    </row>
    <row r="623" spans="1:12">
      <c r="A623" s="187" t="s">
        <v>4018</v>
      </c>
      <c r="B623" s="1224" t="s">
        <v>2170</v>
      </c>
      <c r="C623" s="1225">
        <v>776186284</v>
      </c>
      <c r="D623" s="1225">
        <v>761156420</v>
      </c>
      <c r="E623" s="1225">
        <v>759189712</v>
      </c>
      <c r="F623" s="1225">
        <v>744159848</v>
      </c>
      <c r="G623" s="1225">
        <v>732468238</v>
      </c>
      <c r="H623" s="1225">
        <v>718508692</v>
      </c>
      <c r="I623" s="1225">
        <v>776186284</v>
      </c>
      <c r="J623" s="1225">
        <v>761156420</v>
      </c>
      <c r="K623" s="1225">
        <v>759189712</v>
      </c>
      <c r="L623" s="1225">
        <v>744159848</v>
      </c>
    </row>
    <row r="624" spans="1:12">
      <c r="A624" s="187" t="s">
        <v>4020</v>
      </c>
      <c r="B624" s="1224" t="s">
        <v>5648</v>
      </c>
      <c r="C624" s="1225">
        <v>1375090127</v>
      </c>
      <c r="D624" s="1225">
        <v>1367926883</v>
      </c>
      <c r="E624" s="1225">
        <v>1368181655</v>
      </c>
      <c r="F624" s="1225">
        <v>1361018411</v>
      </c>
      <c r="G624" s="1225">
        <v>2843835197</v>
      </c>
      <c r="H624" s="1225">
        <v>2838074833</v>
      </c>
      <c r="I624" s="1225">
        <v>1375090127</v>
      </c>
      <c r="J624" s="1225">
        <v>1367926883</v>
      </c>
      <c r="K624" s="1225">
        <v>1368181655</v>
      </c>
      <c r="L624" s="1225">
        <v>1361018411</v>
      </c>
    </row>
    <row r="625" spans="1:12">
      <c r="A625" s="187" t="s">
        <v>4022</v>
      </c>
      <c r="B625" s="1224" t="s">
        <v>5649</v>
      </c>
      <c r="C625" s="1225">
        <v>3406775140</v>
      </c>
      <c r="D625" s="1225">
        <v>3361323972</v>
      </c>
      <c r="E625" s="1225">
        <v>3346054344</v>
      </c>
      <c r="F625" s="1225">
        <v>3300603176</v>
      </c>
      <c r="G625" s="1225">
        <v>3262143420</v>
      </c>
      <c r="H625" s="1225">
        <v>3203318016</v>
      </c>
      <c r="I625" s="1225">
        <v>3406775140</v>
      </c>
      <c r="J625" s="1225">
        <v>3361323972</v>
      </c>
      <c r="K625" s="1225">
        <v>3346054344</v>
      </c>
      <c r="L625" s="1225">
        <v>3300603176</v>
      </c>
    </row>
    <row r="626" spans="1:12">
      <c r="A626" s="187" t="s">
        <v>2996</v>
      </c>
      <c r="B626" s="1224" t="s">
        <v>202</v>
      </c>
      <c r="C626" s="1225">
        <v>10366736534</v>
      </c>
      <c r="D626" s="1225">
        <v>10067030736</v>
      </c>
      <c r="E626" s="1225">
        <v>10366736534</v>
      </c>
      <c r="F626" s="1225">
        <v>10067030736</v>
      </c>
      <c r="G626" s="1225">
        <v>9758633965</v>
      </c>
      <c r="H626" s="1225">
        <v>9758633965</v>
      </c>
      <c r="I626" s="1225">
        <v>10366736534</v>
      </c>
      <c r="J626" s="1225">
        <v>10067030736</v>
      </c>
      <c r="K626" s="1225">
        <v>10366736534</v>
      </c>
      <c r="L626" s="1225">
        <v>10067030736</v>
      </c>
    </row>
    <row r="627" spans="1:12">
      <c r="A627" s="187" t="s">
        <v>4028</v>
      </c>
      <c r="B627" s="1224" t="s">
        <v>5650</v>
      </c>
      <c r="C627" s="1225">
        <v>200225163</v>
      </c>
      <c r="D627" s="1225">
        <v>195187128</v>
      </c>
      <c r="E627" s="1225">
        <v>200225163</v>
      </c>
      <c r="F627" s="1225">
        <v>195187128</v>
      </c>
      <c r="G627" s="1225">
        <v>226930995</v>
      </c>
      <c r="H627" s="1225">
        <v>226930995</v>
      </c>
      <c r="I627" s="1225">
        <v>200225163</v>
      </c>
      <c r="J627" s="1225">
        <v>195187128</v>
      </c>
      <c r="K627" s="1225">
        <v>200225163</v>
      </c>
      <c r="L627" s="1225">
        <v>195187128</v>
      </c>
    </row>
    <row r="628" spans="1:12">
      <c r="A628" s="187" t="s">
        <v>4030</v>
      </c>
      <c r="B628" s="1224" t="s">
        <v>5651</v>
      </c>
      <c r="C628" s="1225">
        <v>381373617</v>
      </c>
      <c r="D628" s="1225">
        <v>366511074</v>
      </c>
      <c r="E628" s="1225">
        <v>381373617</v>
      </c>
      <c r="F628" s="1225">
        <v>366511074</v>
      </c>
      <c r="G628" s="1225">
        <v>370116390</v>
      </c>
      <c r="H628" s="1225">
        <v>370116390</v>
      </c>
      <c r="I628" s="1225">
        <v>381373617</v>
      </c>
      <c r="J628" s="1225">
        <v>366511074</v>
      </c>
      <c r="K628" s="1225">
        <v>381373617</v>
      </c>
      <c r="L628" s="1225">
        <v>366511074</v>
      </c>
    </row>
    <row r="629" spans="1:12">
      <c r="A629" s="187" t="s">
        <v>2903</v>
      </c>
      <c r="B629" s="1224" t="s">
        <v>203</v>
      </c>
      <c r="C629" s="1225">
        <v>2616539020</v>
      </c>
      <c r="D629" s="1225">
        <v>2551915121</v>
      </c>
      <c r="E629" s="1225">
        <v>2616539020</v>
      </c>
      <c r="F629" s="1225">
        <v>2551915121</v>
      </c>
      <c r="G629" s="1225">
        <v>2076488731</v>
      </c>
      <c r="H629" s="1225">
        <v>2076488731</v>
      </c>
      <c r="I629" s="1225">
        <v>2616539020</v>
      </c>
      <c r="J629" s="1225">
        <v>2551915121</v>
      </c>
      <c r="K629" s="1225">
        <v>2616539020</v>
      </c>
      <c r="L629" s="1225">
        <v>2551915121</v>
      </c>
    </row>
    <row r="630" spans="1:12">
      <c r="A630" s="187" t="s">
        <v>1310</v>
      </c>
      <c r="B630" s="1224" t="s">
        <v>115</v>
      </c>
      <c r="C630" s="1225">
        <v>3594873976</v>
      </c>
      <c r="D630" s="1225">
        <v>3509643156</v>
      </c>
      <c r="E630" s="1225">
        <v>3594873976</v>
      </c>
      <c r="F630" s="1225">
        <v>3509643156</v>
      </c>
      <c r="G630" s="1225">
        <v>3016055705</v>
      </c>
      <c r="H630" s="1225">
        <v>3016055705</v>
      </c>
      <c r="I630" s="1225">
        <v>3594873976</v>
      </c>
      <c r="J630" s="1225">
        <v>3509643156</v>
      </c>
      <c r="K630" s="1225">
        <v>3594873976</v>
      </c>
      <c r="L630" s="1225">
        <v>3509643156</v>
      </c>
    </row>
    <row r="631" spans="1:12">
      <c r="A631" s="187" t="s">
        <v>4032</v>
      </c>
      <c r="B631" s="1224" t="s">
        <v>5652</v>
      </c>
      <c r="C631" s="1225">
        <v>204539347</v>
      </c>
      <c r="D631" s="1225">
        <v>197129233</v>
      </c>
      <c r="E631" s="1225">
        <v>204539347</v>
      </c>
      <c r="F631" s="1225">
        <v>197129233</v>
      </c>
      <c r="G631" s="1225">
        <v>292682279</v>
      </c>
      <c r="H631" s="1225">
        <v>292682279</v>
      </c>
      <c r="I631" s="1225">
        <v>204539347</v>
      </c>
      <c r="J631" s="1225">
        <v>197129233</v>
      </c>
      <c r="K631" s="1225">
        <v>204539347</v>
      </c>
      <c r="L631" s="1225">
        <v>197129233</v>
      </c>
    </row>
    <row r="632" spans="1:12">
      <c r="A632" s="187" t="s">
        <v>2397</v>
      </c>
      <c r="B632" s="1224" t="s">
        <v>1464</v>
      </c>
      <c r="C632" s="1225">
        <v>270894204</v>
      </c>
      <c r="D632" s="1225">
        <v>261522046</v>
      </c>
      <c r="E632" s="1225">
        <v>270894204</v>
      </c>
      <c r="F632" s="1225">
        <v>261522046</v>
      </c>
      <c r="G632" s="1225">
        <v>301928890</v>
      </c>
      <c r="H632" s="1225">
        <v>301928890</v>
      </c>
      <c r="I632" s="1225">
        <v>270894204</v>
      </c>
      <c r="J632" s="1225">
        <v>261522046</v>
      </c>
      <c r="K632" s="1225">
        <v>270894204</v>
      </c>
      <c r="L632" s="1225">
        <v>261522046</v>
      </c>
    </row>
    <row r="633" spans="1:12">
      <c r="A633" s="187" t="s">
        <v>669</v>
      </c>
      <c r="B633" s="1224" t="s">
        <v>5653</v>
      </c>
      <c r="C633" s="1225">
        <v>236870778</v>
      </c>
      <c r="D633" s="1225">
        <v>228868641</v>
      </c>
      <c r="E633" s="1225">
        <v>236870778</v>
      </c>
      <c r="F633" s="1225">
        <v>228868641</v>
      </c>
      <c r="G633" s="1225">
        <v>243468515</v>
      </c>
      <c r="H633" s="1225">
        <v>243468515</v>
      </c>
      <c r="I633" s="1225">
        <v>236870778</v>
      </c>
      <c r="J633" s="1225">
        <v>228868641</v>
      </c>
      <c r="K633" s="1225">
        <v>236870778</v>
      </c>
      <c r="L633" s="1225">
        <v>228868641</v>
      </c>
    </row>
    <row r="634" spans="1:12">
      <c r="A634" s="187" t="s">
        <v>4151</v>
      </c>
      <c r="B634" s="1224" t="s">
        <v>5654</v>
      </c>
      <c r="C634" s="1225">
        <v>93535173</v>
      </c>
      <c r="D634" s="1225">
        <v>91498353</v>
      </c>
      <c r="E634" s="1225">
        <v>93535173</v>
      </c>
      <c r="F634" s="1225">
        <v>91498353</v>
      </c>
      <c r="G634" s="1225">
        <v>152648182</v>
      </c>
      <c r="H634" s="1225">
        <v>152648182</v>
      </c>
      <c r="I634" s="1225">
        <v>342828473</v>
      </c>
      <c r="J634" s="1225">
        <v>340791653</v>
      </c>
      <c r="K634" s="1225">
        <v>342828473</v>
      </c>
      <c r="L634" s="1225">
        <v>340791653</v>
      </c>
    </row>
    <row r="635" spans="1:12">
      <c r="A635" s="187" t="s">
        <v>4153</v>
      </c>
      <c r="B635" s="1224" t="s">
        <v>3100</v>
      </c>
      <c r="C635" s="1225">
        <v>121278409</v>
      </c>
      <c r="D635" s="1225">
        <v>115872359</v>
      </c>
      <c r="E635" s="1225">
        <v>121278409</v>
      </c>
      <c r="F635" s="1225">
        <v>115872359</v>
      </c>
      <c r="G635" s="1225">
        <v>119712674</v>
      </c>
      <c r="H635" s="1225">
        <v>119712674</v>
      </c>
      <c r="I635" s="1225">
        <v>121278409</v>
      </c>
      <c r="J635" s="1225">
        <v>115872359</v>
      </c>
      <c r="K635" s="1225">
        <v>121278409</v>
      </c>
      <c r="L635" s="1225">
        <v>115872359</v>
      </c>
    </row>
    <row r="636" spans="1:12">
      <c r="A636" s="187" t="s">
        <v>4155</v>
      </c>
      <c r="B636" s="1224" t="s">
        <v>3101</v>
      </c>
      <c r="C636" s="1225">
        <v>68047247</v>
      </c>
      <c r="D636" s="1225">
        <v>66062377</v>
      </c>
      <c r="E636" s="1225">
        <v>68047247</v>
      </c>
      <c r="F636" s="1225">
        <v>66062377</v>
      </c>
      <c r="G636" s="1225">
        <v>60682283</v>
      </c>
      <c r="H636" s="1225">
        <v>60682283</v>
      </c>
      <c r="I636" s="1225">
        <v>68047247</v>
      </c>
      <c r="J636" s="1225">
        <v>66062377</v>
      </c>
      <c r="K636" s="1225">
        <v>68047247</v>
      </c>
      <c r="L636" s="1225">
        <v>66062377</v>
      </c>
    </row>
    <row r="637" spans="1:12">
      <c r="A637" s="187" t="s">
        <v>4157</v>
      </c>
      <c r="B637" s="1224" t="s">
        <v>3102</v>
      </c>
      <c r="C637" s="1225">
        <v>44511423</v>
      </c>
      <c r="D637" s="1225">
        <v>43023333</v>
      </c>
      <c r="E637" s="1225">
        <v>44511423</v>
      </c>
      <c r="F637" s="1225">
        <v>43023333</v>
      </c>
      <c r="G637" s="1225">
        <v>53397768</v>
      </c>
      <c r="H637" s="1225">
        <v>53397768</v>
      </c>
      <c r="I637" s="1225">
        <v>44511423</v>
      </c>
      <c r="J637" s="1225">
        <v>43023333</v>
      </c>
      <c r="K637" s="1225">
        <v>44511423</v>
      </c>
      <c r="L637" s="1225">
        <v>43023333</v>
      </c>
    </row>
    <row r="638" spans="1:12">
      <c r="A638" s="187" t="s">
        <v>3000</v>
      </c>
      <c r="B638" s="1224" t="s">
        <v>6547</v>
      </c>
      <c r="C638" s="1225">
        <v>799199471</v>
      </c>
      <c r="D638" s="1225">
        <v>779088775</v>
      </c>
      <c r="E638" s="1225">
        <v>799199471</v>
      </c>
      <c r="F638" s="1225">
        <v>779088775</v>
      </c>
      <c r="G638" s="1225">
        <v>851664215</v>
      </c>
      <c r="H638" s="1225">
        <v>851664215</v>
      </c>
      <c r="I638" s="1225">
        <v>799199471</v>
      </c>
      <c r="J638" s="1225">
        <v>779088775</v>
      </c>
      <c r="K638" s="1225">
        <v>799199471</v>
      </c>
      <c r="L638" s="1225">
        <v>779088775</v>
      </c>
    </row>
    <row r="639" spans="1:12">
      <c r="A639" s="187" t="s">
        <v>4159</v>
      </c>
      <c r="B639" s="1224" t="s">
        <v>3103</v>
      </c>
      <c r="C639" s="1225">
        <v>228239399</v>
      </c>
      <c r="D639" s="1225">
        <v>224625164</v>
      </c>
      <c r="E639" s="1225">
        <v>228239399</v>
      </c>
      <c r="F639" s="1225">
        <v>224625164</v>
      </c>
      <c r="G639" s="1225">
        <v>417709788</v>
      </c>
      <c r="H639" s="1225">
        <v>417709788</v>
      </c>
      <c r="I639" s="1225">
        <v>228239399</v>
      </c>
      <c r="J639" s="1225">
        <v>224625164</v>
      </c>
      <c r="K639" s="1225">
        <v>228239399</v>
      </c>
      <c r="L639" s="1225">
        <v>224625164</v>
      </c>
    </row>
    <row r="640" spans="1:12">
      <c r="A640" s="187" t="s">
        <v>4161</v>
      </c>
      <c r="B640" s="1224" t="s">
        <v>3104</v>
      </c>
      <c r="C640" s="1225">
        <v>634885944</v>
      </c>
      <c r="D640" s="1225">
        <v>612467594</v>
      </c>
      <c r="E640" s="1225">
        <v>624598159</v>
      </c>
      <c r="F640" s="1225">
        <v>602179809</v>
      </c>
      <c r="G640" s="1225">
        <v>641758606</v>
      </c>
      <c r="H640" s="1225">
        <v>630152746</v>
      </c>
      <c r="I640" s="1225">
        <v>634885944</v>
      </c>
      <c r="J640" s="1225">
        <v>612467594</v>
      </c>
      <c r="K640" s="1225">
        <v>624598159</v>
      </c>
      <c r="L640" s="1225">
        <v>602179809</v>
      </c>
    </row>
    <row r="641" spans="1:12">
      <c r="A641" s="187" t="s">
        <v>4163</v>
      </c>
      <c r="B641" s="1224" t="s">
        <v>3105</v>
      </c>
      <c r="C641" s="1225">
        <v>1856294355</v>
      </c>
      <c r="D641" s="1225">
        <v>1847847637</v>
      </c>
      <c r="E641" s="1225">
        <v>1850962434</v>
      </c>
      <c r="F641" s="1225">
        <v>1842515716</v>
      </c>
      <c r="G641" s="1225">
        <v>2544764907</v>
      </c>
      <c r="H641" s="1225">
        <v>2539617600</v>
      </c>
      <c r="I641" s="1225">
        <v>1930865635</v>
      </c>
      <c r="J641" s="1225">
        <v>1922418917</v>
      </c>
      <c r="K641" s="1225">
        <v>1925533714</v>
      </c>
      <c r="L641" s="1225">
        <v>1917086996</v>
      </c>
    </row>
    <row r="642" spans="1:12">
      <c r="A642" s="187" t="s">
        <v>4165</v>
      </c>
      <c r="B642" s="1224" t="s">
        <v>3106</v>
      </c>
      <c r="C642" s="1225">
        <v>1485436611</v>
      </c>
      <c r="D642" s="1225">
        <v>1484281791</v>
      </c>
      <c r="E642" s="1225">
        <v>1484264656</v>
      </c>
      <c r="F642" s="1225">
        <v>1483109836</v>
      </c>
      <c r="G642" s="1225">
        <v>2269729441</v>
      </c>
      <c r="H642" s="1225">
        <v>2268469873</v>
      </c>
      <c r="I642" s="1225">
        <v>1490735121</v>
      </c>
      <c r="J642" s="1225">
        <v>1489580301</v>
      </c>
      <c r="K642" s="1225">
        <v>1489563166</v>
      </c>
      <c r="L642" s="1225">
        <v>1488408346</v>
      </c>
    </row>
    <row r="643" spans="1:12">
      <c r="A643" s="187" t="s">
        <v>4167</v>
      </c>
      <c r="B643" s="1224" t="s">
        <v>3107</v>
      </c>
      <c r="C643" s="1225">
        <v>346740004</v>
      </c>
      <c r="D643" s="1225">
        <v>335565514</v>
      </c>
      <c r="E643" s="1225">
        <v>346740004</v>
      </c>
      <c r="F643" s="1225">
        <v>335565514</v>
      </c>
      <c r="G643" s="1225">
        <v>335280772</v>
      </c>
      <c r="H643" s="1225">
        <v>335280772</v>
      </c>
      <c r="I643" s="1225">
        <v>346740004</v>
      </c>
      <c r="J643" s="1225">
        <v>335565514</v>
      </c>
      <c r="K643" s="1225">
        <v>346740004</v>
      </c>
      <c r="L643" s="1225">
        <v>335565514</v>
      </c>
    </row>
    <row r="644" spans="1:12">
      <c r="A644" s="187" t="s">
        <v>4169</v>
      </c>
      <c r="B644" s="1224" t="s">
        <v>3108</v>
      </c>
      <c r="C644" s="1225">
        <v>1163056645</v>
      </c>
      <c r="D644" s="1225">
        <v>1128784998</v>
      </c>
      <c r="E644" s="1225">
        <v>1163056645</v>
      </c>
      <c r="F644" s="1225">
        <v>1128784998</v>
      </c>
      <c r="G644" s="1225">
        <v>1123769062</v>
      </c>
      <c r="H644" s="1225">
        <v>1123769062</v>
      </c>
      <c r="I644" s="1225">
        <v>1163056645</v>
      </c>
      <c r="J644" s="1225">
        <v>1128784998</v>
      </c>
      <c r="K644" s="1225">
        <v>1163056645</v>
      </c>
      <c r="L644" s="1225">
        <v>1128784998</v>
      </c>
    </row>
    <row r="645" spans="1:12">
      <c r="A645" s="187" t="s">
        <v>4171</v>
      </c>
      <c r="B645" s="1224" t="s">
        <v>713</v>
      </c>
      <c r="C645" s="1225">
        <v>1061216577</v>
      </c>
      <c r="D645" s="1225">
        <v>1053085377</v>
      </c>
      <c r="E645" s="1225">
        <v>1052338420</v>
      </c>
      <c r="F645" s="1225">
        <v>1044207220</v>
      </c>
      <c r="G645" s="1225">
        <v>1165285082</v>
      </c>
      <c r="H645" s="1225">
        <v>1157002619</v>
      </c>
      <c r="I645" s="1225">
        <v>1061216577</v>
      </c>
      <c r="J645" s="1225">
        <v>1053085377</v>
      </c>
      <c r="K645" s="1225">
        <v>1052338420</v>
      </c>
      <c r="L645" s="1225">
        <v>1044207220</v>
      </c>
    </row>
    <row r="646" spans="1:12">
      <c r="A646" s="187" t="s">
        <v>2055</v>
      </c>
      <c r="B646" s="1224" t="s">
        <v>714</v>
      </c>
      <c r="C646" s="1225">
        <v>276379514</v>
      </c>
      <c r="D646" s="1225">
        <v>273608286</v>
      </c>
      <c r="E646" s="1225">
        <v>271088497</v>
      </c>
      <c r="F646" s="1225">
        <v>268317269</v>
      </c>
      <c r="G646" s="1225">
        <v>269746765</v>
      </c>
      <c r="H646" s="1225">
        <v>264264146</v>
      </c>
      <c r="I646" s="1225">
        <v>276379514</v>
      </c>
      <c r="J646" s="1225">
        <v>273608286</v>
      </c>
      <c r="K646" s="1225">
        <v>271088497</v>
      </c>
      <c r="L646" s="1225">
        <v>268317269</v>
      </c>
    </row>
    <row r="647" spans="1:12">
      <c r="A647" s="187" t="s">
        <v>2057</v>
      </c>
      <c r="B647" s="1224" t="s">
        <v>715</v>
      </c>
      <c r="C647" s="1225">
        <v>1291554237</v>
      </c>
      <c r="D647" s="1225">
        <v>1278060935</v>
      </c>
      <c r="E647" s="1225">
        <v>1275599403</v>
      </c>
      <c r="F647" s="1225">
        <v>1262106101</v>
      </c>
      <c r="G647" s="1225">
        <v>1264363367</v>
      </c>
      <c r="H647" s="1225">
        <v>1249435170</v>
      </c>
      <c r="I647" s="1225">
        <v>1291554237</v>
      </c>
      <c r="J647" s="1225">
        <v>1278060935</v>
      </c>
      <c r="K647" s="1225">
        <v>1275599403</v>
      </c>
      <c r="L647" s="1225">
        <v>1262106101</v>
      </c>
    </row>
    <row r="648" spans="1:12">
      <c r="A648" s="187" t="s">
        <v>2059</v>
      </c>
      <c r="B648" s="1224" t="s">
        <v>716</v>
      </c>
      <c r="C648" s="1225">
        <v>955009262</v>
      </c>
      <c r="D648" s="1225">
        <v>942232329</v>
      </c>
      <c r="E648" s="1225">
        <v>937831373</v>
      </c>
      <c r="F648" s="1225">
        <v>925054440</v>
      </c>
      <c r="G648" s="1225">
        <v>639326329</v>
      </c>
      <c r="H648" s="1225">
        <v>623067354</v>
      </c>
      <c r="I648" s="1225">
        <v>955009262</v>
      </c>
      <c r="J648" s="1225">
        <v>942232329</v>
      </c>
      <c r="K648" s="1225">
        <v>937831373</v>
      </c>
      <c r="L648" s="1225">
        <v>925054440</v>
      </c>
    </row>
    <row r="649" spans="1:12">
      <c r="A649" s="187" t="s">
        <v>1814</v>
      </c>
      <c r="B649" s="1224" t="s">
        <v>3011</v>
      </c>
      <c r="C649" s="1225">
        <v>2304642728</v>
      </c>
      <c r="D649" s="1225">
        <v>2224390806</v>
      </c>
      <c r="E649" s="1225">
        <v>2304642728</v>
      </c>
      <c r="F649" s="1225">
        <v>2224390806</v>
      </c>
      <c r="G649" s="1225">
        <v>2167347779</v>
      </c>
      <c r="H649" s="1225">
        <v>2167347779</v>
      </c>
      <c r="I649" s="1225">
        <v>2304642728</v>
      </c>
      <c r="J649" s="1225">
        <v>2224390806</v>
      </c>
      <c r="K649" s="1225">
        <v>2304642728</v>
      </c>
      <c r="L649" s="1225">
        <v>2224390806</v>
      </c>
    </row>
    <row r="650" spans="1:12">
      <c r="A650" s="187" t="s">
        <v>958</v>
      </c>
      <c r="B650" s="1224" t="s">
        <v>7665</v>
      </c>
      <c r="C650" s="1225">
        <v>456464608</v>
      </c>
      <c r="D650" s="1225">
        <v>441886498</v>
      </c>
      <c r="E650" s="1225">
        <v>456464608</v>
      </c>
      <c r="F650" s="1225">
        <v>441886498</v>
      </c>
      <c r="G650" s="1225">
        <v>476673779</v>
      </c>
      <c r="H650" s="1225">
        <v>476673779</v>
      </c>
      <c r="I650" s="1225">
        <v>456464608</v>
      </c>
      <c r="J650" s="1225">
        <v>441886498</v>
      </c>
      <c r="K650" s="1225">
        <v>456464608</v>
      </c>
      <c r="L650" s="1225">
        <v>441886498</v>
      </c>
    </row>
    <row r="651" spans="1:12">
      <c r="A651" s="187" t="s">
        <v>2061</v>
      </c>
      <c r="B651" s="1224" t="s">
        <v>717</v>
      </c>
      <c r="C651" s="1225">
        <v>64374078</v>
      </c>
      <c r="D651" s="1225">
        <v>62027268</v>
      </c>
      <c r="E651" s="1225">
        <v>64374078</v>
      </c>
      <c r="F651" s="1225">
        <v>62027268</v>
      </c>
      <c r="G651" s="1225">
        <v>55518786</v>
      </c>
      <c r="H651" s="1225">
        <v>55518786</v>
      </c>
      <c r="I651" s="1225">
        <v>64374078</v>
      </c>
      <c r="J651" s="1225">
        <v>62027268</v>
      </c>
      <c r="K651" s="1225">
        <v>64374078</v>
      </c>
      <c r="L651" s="1225">
        <v>62027268</v>
      </c>
    </row>
    <row r="652" spans="1:12">
      <c r="A652" s="187" t="s">
        <v>1845</v>
      </c>
      <c r="B652" s="1224" t="s">
        <v>197</v>
      </c>
      <c r="C652" s="1225">
        <v>27936004</v>
      </c>
      <c r="D652" s="1225">
        <v>27295394</v>
      </c>
      <c r="E652" s="1225">
        <v>27936004</v>
      </c>
      <c r="F652" s="1225">
        <v>27295394</v>
      </c>
      <c r="G652" s="1225">
        <v>23465993</v>
      </c>
      <c r="H652" s="1225">
        <v>23465993</v>
      </c>
      <c r="I652" s="1225">
        <v>27936004</v>
      </c>
      <c r="J652" s="1225">
        <v>27295394</v>
      </c>
      <c r="K652" s="1225">
        <v>27936004</v>
      </c>
      <c r="L652" s="1225">
        <v>27295394</v>
      </c>
    </row>
    <row r="653" spans="1:12">
      <c r="A653" s="187" t="s">
        <v>5237</v>
      </c>
      <c r="B653" s="1224" t="s">
        <v>1666</v>
      </c>
      <c r="C653" s="1225">
        <v>173674537</v>
      </c>
      <c r="D653" s="1225">
        <v>166673001</v>
      </c>
      <c r="E653" s="1225">
        <v>173674537</v>
      </c>
      <c r="F653" s="1225">
        <v>166673001</v>
      </c>
      <c r="G653" s="1225">
        <v>158209784</v>
      </c>
      <c r="H653" s="1225">
        <v>158209784</v>
      </c>
      <c r="I653" s="1225">
        <v>173674537</v>
      </c>
      <c r="J653" s="1225">
        <v>166673001</v>
      </c>
      <c r="K653" s="1225">
        <v>173674537</v>
      </c>
      <c r="L653" s="1225">
        <v>166673001</v>
      </c>
    </row>
    <row r="654" spans="1:12">
      <c r="A654" s="187" t="s">
        <v>2065</v>
      </c>
      <c r="B654" s="1224" t="s">
        <v>2855</v>
      </c>
      <c r="C654" s="1225">
        <v>4657525398</v>
      </c>
      <c r="D654" s="1225">
        <v>4550078802</v>
      </c>
      <c r="E654" s="1225">
        <v>4657525398</v>
      </c>
      <c r="F654" s="1225">
        <v>4550078802</v>
      </c>
      <c r="G654" s="1225">
        <v>4296780817</v>
      </c>
      <c r="H654" s="1225">
        <v>4296780817</v>
      </c>
      <c r="I654" s="1225">
        <v>4657525398</v>
      </c>
      <c r="J654" s="1225">
        <v>4550078802</v>
      </c>
      <c r="K654" s="1225">
        <v>4657525398</v>
      </c>
      <c r="L654" s="1225">
        <v>4550078802</v>
      </c>
    </row>
    <row r="655" spans="1:12">
      <c r="A655" s="187" t="s">
        <v>2905</v>
      </c>
      <c r="B655" s="1224" t="s">
        <v>2155</v>
      </c>
      <c r="C655" s="1225">
        <v>759088261</v>
      </c>
      <c r="D655" s="1225">
        <v>738330984</v>
      </c>
      <c r="E655" s="1225">
        <v>759088261</v>
      </c>
      <c r="F655" s="1225">
        <v>738330984</v>
      </c>
      <c r="G655" s="1225">
        <v>689732178</v>
      </c>
      <c r="H655" s="1225">
        <v>689732178</v>
      </c>
      <c r="I655" s="1225">
        <v>759088261</v>
      </c>
      <c r="J655" s="1225">
        <v>738330984</v>
      </c>
      <c r="K655" s="1225">
        <v>759088261</v>
      </c>
      <c r="L655" s="1225">
        <v>738330984</v>
      </c>
    </row>
    <row r="656" spans="1:12">
      <c r="A656" s="187" t="s">
        <v>5238</v>
      </c>
      <c r="B656" s="1224" t="s">
        <v>200</v>
      </c>
      <c r="C656" s="1225">
        <v>464701076</v>
      </c>
      <c r="D656" s="1225">
        <v>444358579</v>
      </c>
      <c r="E656" s="1225">
        <v>464701076</v>
      </c>
      <c r="F656" s="1225">
        <v>444358579</v>
      </c>
      <c r="G656" s="1225">
        <v>434758229</v>
      </c>
      <c r="H656" s="1225">
        <v>434758229</v>
      </c>
      <c r="I656" s="1225">
        <v>464701076</v>
      </c>
      <c r="J656" s="1225">
        <v>444358579</v>
      </c>
      <c r="K656" s="1225">
        <v>464701076</v>
      </c>
      <c r="L656" s="1225">
        <v>444358579</v>
      </c>
    </row>
    <row r="657" spans="1:12">
      <c r="A657" s="187" t="s">
        <v>6163</v>
      </c>
      <c r="B657" s="1224" t="s">
        <v>6067</v>
      </c>
      <c r="C657" s="1225">
        <v>137035427</v>
      </c>
      <c r="D657" s="1225">
        <v>130863807</v>
      </c>
      <c r="E657" s="1225">
        <v>137035427</v>
      </c>
      <c r="F657" s="1225">
        <v>130863807</v>
      </c>
      <c r="G657" s="1225">
        <v>111147386</v>
      </c>
      <c r="H657" s="1225">
        <v>111147386</v>
      </c>
      <c r="I657" s="1225">
        <v>137035427</v>
      </c>
      <c r="J657" s="1225">
        <v>130863807</v>
      </c>
      <c r="K657" s="1225">
        <v>137035427</v>
      </c>
      <c r="L657" s="1225">
        <v>130863807</v>
      </c>
    </row>
    <row r="658" spans="1:12">
      <c r="A658" s="187" t="s">
        <v>2470</v>
      </c>
      <c r="B658" s="1224" t="s">
        <v>6075</v>
      </c>
      <c r="C658" s="1225">
        <v>394551138</v>
      </c>
      <c r="D658" s="1225">
        <v>382266745</v>
      </c>
      <c r="E658" s="1225">
        <v>394551138</v>
      </c>
      <c r="F658" s="1225">
        <v>382266745</v>
      </c>
      <c r="G658" s="1225">
        <v>329671086</v>
      </c>
      <c r="H658" s="1225">
        <v>329671086</v>
      </c>
      <c r="I658" s="1225">
        <v>394551138</v>
      </c>
      <c r="J658" s="1225">
        <v>382266745</v>
      </c>
      <c r="K658" s="1225">
        <v>394551138</v>
      </c>
      <c r="L658" s="1225">
        <v>382266745</v>
      </c>
    </row>
    <row r="659" spans="1:12">
      <c r="A659" s="187" t="s">
        <v>973</v>
      </c>
      <c r="B659" s="1224" t="s">
        <v>718</v>
      </c>
      <c r="C659" s="1225">
        <v>180206407</v>
      </c>
      <c r="D659" s="1225">
        <v>170666870</v>
      </c>
      <c r="E659" s="1225">
        <v>180206407</v>
      </c>
      <c r="F659" s="1225">
        <v>170666870</v>
      </c>
      <c r="G659" s="1225">
        <v>156597600</v>
      </c>
      <c r="H659" s="1225">
        <v>156597600</v>
      </c>
      <c r="I659" s="1225">
        <v>180206407</v>
      </c>
      <c r="J659" s="1225">
        <v>170666870</v>
      </c>
      <c r="K659" s="1225">
        <v>180206407</v>
      </c>
      <c r="L659" s="1225">
        <v>170666870</v>
      </c>
    </row>
    <row r="660" spans="1:12">
      <c r="A660" s="187" t="s">
        <v>2769</v>
      </c>
      <c r="B660" s="1224" t="s">
        <v>359</v>
      </c>
      <c r="C660" s="1225">
        <v>714386987</v>
      </c>
      <c r="D660" s="1225">
        <v>709081700</v>
      </c>
      <c r="E660" s="1225">
        <v>711571417</v>
      </c>
      <c r="F660" s="1225">
        <v>706266130</v>
      </c>
      <c r="G660" s="1225">
        <v>742950983</v>
      </c>
      <c r="H660" s="1225">
        <v>740149867</v>
      </c>
      <c r="I660" s="1225">
        <v>714386987</v>
      </c>
      <c r="J660" s="1225">
        <v>709081700</v>
      </c>
      <c r="K660" s="1225">
        <v>711571417</v>
      </c>
      <c r="L660" s="1225">
        <v>706266130</v>
      </c>
    </row>
    <row r="661" spans="1:12">
      <c r="A661" s="187" t="s">
        <v>3553</v>
      </c>
      <c r="B661" s="1224" t="s">
        <v>4060</v>
      </c>
      <c r="C661" s="1225">
        <v>4845162967</v>
      </c>
      <c r="D661" s="1225">
        <v>4703592263</v>
      </c>
      <c r="E661" s="1225">
        <v>4845162967</v>
      </c>
      <c r="F661" s="1225">
        <v>4703592263</v>
      </c>
      <c r="G661" s="1225">
        <v>4241317359</v>
      </c>
      <c r="H661" s="1225">
        <v>4241317359</v>
      </c>
      <c r="I661" s="1225">
        <v>4845162967</v>
      </c>
      <c r="J661" s="1225">
        <v>4703592263</v>
      </c>
      <c r="K661" s="1225">
        <v>4845162967</v>
      </c>
      <c r="L661" s="1225">
        <v>4703592263</v>
      </c>
    </row>
    <row r="662" spans="1:12">
      <c r="A662" s="187" t="s">
        <v>3556</v>
      </c>
      <c r="B662" s="1224" t="s">
        <v>4067</v>
      </c>
      <c r="C662" s="1225">
        <v>418299049</v>
      </c>
      <c r="D662" s="1225">
        <v>398728061</v>
      </c>
      <c r="E662" s="1225">
        <v>418299049</v>
      </c>
      <c r="F662" s="1225">
        <v>398728061</v>
      </c>
      <c r="G662" s="1225">
        <v>369842600</v>
      </c>
      <c r="H662" s="1225">
        <v>369842600</v>
      </c>
      <c r="I662" s="1225">
        <v>418299049</v>
      </c>
      <c r="J662" s="1225">
        <v>398728061</v>
      </c>
      <c r="K662" s="1225">
        <v>418299049</v>
      </c>
      <c r="L662" s="1225">
        <v>398728061</v>
      </c>
    </row>
    <row r="663" spans="1:12">
      <c r="A663" s="187" t="s">
        <v>5052</v>
      </c>
      <c r="B663" s="1224" t="s">
        <v>719</v>
      </c>
      <c r="C663" s="1225">
        <v>133061245</v>
      </c>
      <c r="D663" s="1225">
        <v>125370312</v>
      </c>
      <c r="E663" s="1225">
        <v>133061245</v>
      </c>
      <c r="F663" s="1225">
        <v>125370312</v>
      </c>
      <c r="G663" s="1225">
        <v>115465518</v>
      </c>
      <c r="H663" s="1225">
        <v>115465518</v>
      </c>
      <c r="I663" s="1225">
        <v>133061245</v>
      </c>
      <c r="J663" s="1225">
        <v>125370312</v>
      </c>
      <c r="K663" s="1225">
        <v>133061245</v>
      </c>
      <c r="L663" s="1225">
        <v>125370312</v>
      </c>
    </row>
    <row r="664" spans="1:12">
      <c r="A664" s="187" t="s">
        <v>5054</v>
      </c>
      <c r="B664" s="1224" t="s">
        <v>720</v>
      </c>
      <c r="C664" s="1225">
        <v>170731594</v>
      </c>
      <c r="D664" s="1225">
        <v>161611348</v>
      </c>
      <c r="E664" s="1225">
        <v>170731594</v>
      </c>
      <c r="F664" s="1225">
        <v>161611348</v>
      </c>
      <c r="G664" s="1225">
        <v>160284389</v>
      </c>
      <c r="H664" s="1225">
        <v>160284389</v>
      </c>
      <c r="I664" s="1225">
        <v>170731594</v>
      </c>
      <c r="J664" s="1225">
        <v>161611348</v>
      </c>
      <c r="K664" s="1225">
        <v>170731594</v>
      </c>
      <c r="L664" s="1225">
        <v>161611348</v>
      </c>
    </row>
    <row r="665" spans="1:12">
      <c r="A665" s="187" t="s">
        <v>737</v>
      </c>
      <c r="B665" s="1224" t="s">
        <v>6110</v>
      </c>
      <c r="C665" s="1225">
        <v>753517255</v>
      </c>
      <c r="D665" s="1225">
        <v>722175605</v>
      </c>
      <c r="E665" s="1225">
        <v>753517255</v>
      </c>
      <c r="F665" s="1225">
        <v>722175605</v>
      </c>
      <c r="G665" s="1225">
        <v>639789366</v>
      </c>
      <c r="H665" s="1225">
        <v>639789366</v>
      </c>
      <c r="I665" s="1225">
        <v>753517255</v>
      </c>
      <c r="J665" s="1225">
        <v>722175605</v>
      </c>
      <c r="K665" s="1225">
        <v>753517255</v>
      </c>
      <c r="L665" s="1225">
        <v>722175605</v>
      </c>
    </row>
    <row r="666" spans="1:12">
      <c r="A666" s="187" t="s">
        <v>237</v>
      </c>
      <c r="B666" s="1224" t="s">
        <v>2644</v>
      </c>
      <c r="C666" s="1225">
        <v>634658149</v>
      </c>
      <c r="D666" s="1225">
        <v>610270469</v>
      </c>
      <c r="E666" s="1225">
        <v>634658149</v>
      </c>
      <c r="F666" s="1225">
        <v>610270469</v>
      </c>
      <c r="G666" s="1225">
        <v>597344356</v>
      </c>
      <c r="H666" s="1225">
        <v>597344356</v>
      </c>
      <c r="I666" s="1225">
        <v>634658149</v>
      </c>
      <c r="J666" s="1225">
        <v>610270469</v>
      </c>
      <c r="K666" s="1225">
        <v>634658149</v>
      </c>
      <c r="L666" s="1225">
        <v>610270469</v>
      </c>
    </row>
    <row r="667" spans="1:12">
      <c r="A667" s="187" t="s">
        <v>2307</v>
      </c>
      <c r="B667" s="1224" t="s">
        <v>365</v>
      </c>
      <c r="C667" s="1225">
        <v>630934093</v>
      </c>
      <c r="D667" s="1225">
        <v>600531000</v>
      </c>
      <c r="E667" s="1225">
        <v>630934093</v>
      </c>
      <c r="F667" s="1225">
        <v>600531000</v>
      </c>
      <c r="G667" s="1225">
        <v>551989219</v>
      </c>
      <c r="H667" s="1225">
        <v>551989219</v>
      </c>
      <c r="I667" s="1225">
        <v>630934093</v>
      </c>
      <c r="J667" s="1225">
        <v>600531000</v>
      </c>
      <c r="K667" s="1225">
        <v>630934093</v>
      </c>
      <c r="L667" s="1225">
        <v>600531000</v>
      </c>
    </row>
    <row r="668" spans="1:12">
      <c r="A668" s="187" t="s">
        <v>957</v>
      </c>
      <c r="B668" s="1224" t="s">
        <v>7664</v>
      </c>
      <c r="C668" s="1225">
        <v>156219285</v>
      </c>
      <c r="D668" s="1225">
        <v>150643705</v>
      </c>
      <c r="E668" s="1225">
        <v>156219285</v>
      </c>
      <c r="F668" s="1225">
        <v>150643705</v>
      </c>
      <c r="G668" s="1225">
        <v>144615310</v>
      </c>
      <c r="H668" s="1225">
        <v>144615310</v>
      </c>
      <c r="I668" s="1225">
        <v>156219285</v>
      </c>
      <c r="J668" s="1225">
        <v>150643705</v>
      </c>
      <c r="K668" s="1225">
        <v>156219285</v>
      </c>
      <c r="L668" s="1225">
        <v>150643705</v>
      </c>
    </row>
    <row r="669" spans="1:12">
      <c r="A669" s="187" t="s">
        <v>5056</v>
      </c>
      <c r="B669" s="1224" t="s">
        <v>721</v>
      </c>
      <c r="C669" s="1225">
        <v>69727716</v>
      </c>
      <c r="D669" s="1225">
        <v>66620537</v>
      </c>
      <c r="E669" s="1225">
        <v>69727716</v>
      </c>
      <c r="F669" s="1225">
        <v>66620537</v>
      </c>
      <c r="G669" s="1225">
        <v>60535471</v>
      </c>
      <c r="H669" s="1225">
        <v>60535471</v>
      </c>
      <c r="I669" s="1225">
        <v>69727716</v>
      </c>
      <c r="J669" s="1225">
        <v>66620537</v>
      </c>
      <c r="K669" s="1225">
        <v>69727716</v>
      </c>
      <c r="L669" s="1225">
        <v>66620537</v>
      </c>
    </row>
    <row r="670" spans="1:12">
      <c r="A670" s="187" t="s">
        <v>5137</v>
      </c>
      <c r="B670" s="1224" t="s">
        <v>722</v>
      </c>
      <c r="C670" s="1225">
        <v>46389323</v>
      </c>
      <c r="D670" s="1225">
        <v>43234030</v>
      </c>
      <c r="E670" s="1225">
        <v>46389323</v>
      </c>
      <c r="F670" s="1225">
        <v>43234030</v>
      </c>
      <c r="G670" s="1225">
        <v>37836006</v>
      </c>
      <c r="H670" s="1225">
        <v>37836006</v>
      </c>
      <c r="I670" s="1225">
        <v>46389323</v>
      </c>
      <c r="J670" s="1225">
        <v>43234030</v>
      </c>
      <c r="K670" s="1225">
        <v>46389323</v>
      </c>
      <c r="L670" s="1225">
        <v>43234030</v>
      </c>
    </row>
    <row r="671" spans="1:12">
      <c r="A671" s="187" t="s">
        <v>4568</v>
      </c>
      <c r="B671" s="1224" t="s">
        <v>723</v>
      </c>
      <c r="C671" s="1225">
        <v>1794047216</v>
      </c>
      <c r="D671" s="1225">
        <v>1792533511</v>
      </c>
      <c r="E671" s="1225">
        <v>1792369807</v>
      </c>
      <c r="F671" s="1225">
        <v>1790856102</v>
      </c>
      <c r="G671" s="1225">
        <v>4129551126</v>
      </c>
      <c r="H671" s="1225">
        <v>4128380672</v>
      </c>
      <c r="I671" s="1225">
        <v>1794047216</v>
      </c>
      <c r="J671" s="1225">
        <v>1792533511</v>
      </c>
      <c r="K671" s="1225">
        <v>1792369807</v>
      </c>
      <c r="L671" s="1225">
        <v>1790856102</v>
      </c>
    </row>
    <row r="672" spans="1:12">
      <c r="A672" s="187" t="s">
        <v>2053</v>
      </c>
      <c r="B672" s="1224" t="s">
        <v>999</v>
      </c>
      <c r="C672" s="1225">
        <v>439527393</v>
      </c>
      <c r="D672" s="1225">
        <v>420295488</v>
      </c>
      <c r="E672" s="1225">
        <v>439527393</v>
      </c>
      <c r="F672" s="1225">
        <v>420295488</v>
      </c>
      <c r="G672" s="1225">
        <v>377507198</v>
      </c>
      <c r="H672" s="1225">
        <v>377507198</v>
      </c>
      <c r="I672" s="1225">
        <v>439527393</v>
      </c>
      <c r="J672" s="1225">
        <v>420295488</v>
      </c>
      <c r="K672" s="1225">
        <v>439527393</v>
      </c>
      <c r="L672" s="1225">
        <v>420295488</v>
      </c>
    </row>
    <row r="673" spans="1:12">
      <c r="A673" s="187" t="s">
        <v>1846</v>
      </c>
      <c r="B673" s="1224" t="s">
        <v>1001</v>
      </c>
      <c r="C673" s="1225">
        <v>177918462</v>
      </c>
      <c r="D673" s="1225">
        <v>174776188</v>
      </c>
      <c r="E673" s="1225">
        <v>177918462</v>
      </c>
      <c r="F673" s="1225">
        <v>174776188</v>
      </c>
      <c r="G673" s="1225">
        <v>111944416</v>
      </c>
      <c r="H673" s="1225">
        <v>111944416</v>
      </c>
      <c r="I673" s="1225">
        <v>177918462</v>
      </c>
      <c r="J673" s="1225">
        <v>174776188</v>
      </c>
      <c r="K673" s="1225">
        <v>177918462</v>
      </c>
      <c r="L673" s="1225">
        <v>174776188</v>
      </c>
    </row>
    <row r="674" spans="1:12">
      <c r="A674" s="187" t="s">
        <v>5239</v>
      </c>
      <c r="B674" s="1224" t="s">
        <v>505</v>
      </c>
      <c r="C674" s="1225">
        <v>197385630</v>
      </c>
      <c r="D674" s="1225">
        <v>186638386</v>
      </c>
      <c r="E674" s="1225">
        <v>197385630</v>
      </c>
      <c r="F674" s="1225">
        <v>186638386</v>
      </c>
      <c r="G674" s="1225">
        <v>171610114</v>
      </c>
      <c r="H674" s="1225">
        <v>171610114</v>
      </c>
      <c r="I674" s="1225">
        <v>197385630</v>
      </c>
      <c r="J674" s="1225">
        <v>186638386</v>
      </c>
      <c r="K674" s="1225">
        <v>197385630</v>
      </c>
      <c r="L674" s="1225">
        <v>186638386</v>
      </c>
    </row>
    <row r="675" spans="1:12">
      <c r="A675" s="187" t="s">
        <v>1870</v>
      </c>
      <c r="B675" s="1224" t="s">
        <v>3849</v>
      </c>
      <c r="C675" s="1225">
        <v>650981658</v>
      </c>
      <c r="D675" s="1225">
        <v>629136489</v>
      </c>
      <c r="E675" s="1225">
        <v>650981658</v>
      </c>
      <c r="F675" s="1225">
        <v>629136489</v>
      </c>
      <c r="G675" s="1225">
        <v>579345789</v>
      </c>
      <c r="H675" s="1225">
        <v>579345789</v>
      </c>
      <c r="I675" s="1225">
        <v>650981658</v>
      </c>
      <c r="J675" s="1225">
        <v>629136489</v>
      </c>
      <c r="K675" s="1225">
        <v>650981658</v>
      </c>
      <c r="L675" s="1225">
        <v>629136489</v>
      </c>
    </row>
    <row r="676" spans="1:12">
      <c r="A676" s="187" t="s">
        <v>6169</v>
      </c>
      <c r="B676" s="1224" t="s">
        <v>6079</v>
      </c>
      <c r="C676" s="1225">
        <v>1588613132</v>
      </c>
      <c r="D676" s="1225">
        <v>1537810428</v>
      </c>
      <c r="E676" s="1225">
        <v>1588613132</v>
      </c>
      <c r="F676" s="1225">
        <v>1537810428</v>
      </c>
      <c r="G676" s="1225">
        <v>1262456149</v>
      </c>
      <c r="H676" s="1225">
        <v>1262456149</v>
      </c>
      <c r="I676" s="1225">
        <v>1588613132</v>
      </c>
      <c r="J676" s="1225">
        <v>1537810428</v>
      </c>
      <c r="K676" s="1225">
        <v>1588613132</v>
      </c>
      <c r="L676" s="1225">
        <v>1537810428</v>
      </c>
    </row>
    <row r="677" spans="1:12">
      <c r="A677" s="187" t="s">
        <v>574</v>
      </c>
      <c r="B677" s="1224" t="s">
        <v>724</v>
      </c>
      <c r="C677" s="1225">
        <v>165130434</v>
      </c>
      <c r="D677" s="1225">
        <v>160464014</v>
      </c>
      <c r="E677" s="1225">
        <v>165130434</v>
      </c>
      <c r="F677" s="1225">
        <v>160464014</v>
      </c>
      <c r="G677" s="1225">
        <v>182854672</v>
      </c>
      <c r="H677" s="1225">
        <v>182854672</v>
      </c>
      <c r="I677" s="1225">
        <v>165130434</v>
      </c>
      <c r="J677" s="1225">
        <v>160464014</v>
      </c>
      <c r="K677" s="1225">
        <v>165130434</v>
      </c>
      <c r="L677" s="1225">
        <v>160464014</v>
      </c>
    </row>
    <row r="678" spans="1:12">
      <c r="A678" s="187" t="s">
        <v>6172</v>
      </c>
      <c r="B678" s="1224" t="s">
        <v>497</v>
      </c>
      <c r="C678" s="1225">
        <v>19351729483</v>
      </c>
      <c r="D678" s="1225">
        <v>19080727368</v>
      </c>
      <c r="E678" s="1225">
        <v>19040988595</v>
      </c>
      <c r="F678" s="1225">
        <v>18769986480</v>
      </c>
      <c r="G678" s="1225">
        <v>20203357048</v>
      </c>
      <c r="H678" s="1225">
        <v>19933754367</v>
      </c>
      <c r="I678" s="1225">
        <v>19351729483</v>
      </c>
      <c r="J678" s="1225">
        <v>19080727368</v>
      </c>
      <c r="K678" s="1225">
        <v>19040988595</v>
      </c>
      <c r="L678" s="1225">
        <v>18769986480</v>
      </c>
    </row>
    <row r="679" spans="1:12">
      <c r="A679" s="187" t="s">
        <v>578</v>
      </c>
      <c r="B679" s="1224" t="s">
        <v>725</v>
      </c>
      <c r="C679" s="1225">
        <v>1305811565</v>
      </c>
      <c r="D679" s="1225">
        <v>1291375828</v>
      </c>
      <c r="E679" s="1225">
        <v>1269461480</v>
      </c>
      <c r="F679" s="1225">
        <v>1255025743</v>
      </c>
      <c r="G679" s="1225">
        <v>1390196399</v>
      </c>
      <c r="H679" s="1225">
        <v>1361790500</v>
      </c>
      <c r="I679" s="1225">
        <v>1305811565</v>
      </c>
      <c r="J679" s="1225">
        <v>1291375828</v>
      </c>
      <c r="K679" s="1225">
        <v>1269461480</v>
      </c>
      <c r="L679" s="1225">
        <v>1255025743</v>
      </c>
    </row>
    <row r="680" spans="1:12">
      <c r="A680" s="187" t="s">
        <v>980</v>
      </c>
      <c r="B680" s="1224" t="s">
        <v>6098</v>
      </c>
      <c r="C680" s="1225">
        <v>364804234</v>
      </c>
      <c r="D680" s="1225">
        <v>349691984</v>
      </c>
      <c r="E680" s="1225">
        <v>364804234</v>
      </c>
      <c r="F680" s="1225">
        <v>349691984</v>
      </c>
      <c r="G680" s="1225">
        <v>297983477</v>
      </c>
      <c r="H680" s="1225">
        <v>297983477</v>
      </c>
      <c r="I680" s="1225">
        <v>364804234</v>
      </c>
      <c r="J680" s="1225">
        <v>349691984</v>
      </c>
      <c r="K680" s="1225">
        <v>364804234</v>
      </c>
      <c r="L680" s="1225">
        <v>349691984</v>
      </c>
    </row>
    <row r="681" spans="1:12">
      <c r="A681" s="187" t="s">
        <v>3972</v>
      </c>
      <c r="B681" s="1224" t="s">
        <v>726</v>
      </c>
      <c r="C681" s="1225">
        <v>70045706</v>
      </c>
      <c r="D681" s="1225">
        <v>67799565</v>
      </c>
      <c r="E681" s="1225">
        <v>70045706</v>
      </c>
      <c r="F681" s="1225">
        <v>67799565</v>
      </c>
      <c r="G681" s="1225">
        <v>99661862</v>
      </c>
      <c r="H681" s="1225">
        <v>99661862</v>
      </c>
      <c r="I681" s="1225">
        <v>70045706</v>
      </c>
      <c r="J681" s="1225">
        <v>67799565</v>
      </c>
      <c r="K681" s="1225">
        <v>70045706</v>
      </c>
      <c r="L681" s="1225">
        <v>67799565</v>
      </c>
    </row>
    <row r="682" spans="1:12">
      <c r="A682" s="187" t="s">
        <v>6173</v>
      </c>
      <c r="B682" s="1224" t="s">
        <v>727</v>
      </c>
      <c r="C682" s="1225">
        <v>103375909</v>
      </c>
      <c r="D682" s="1225">
        <v>99886936</v>
      </c>
      <c r="E682" s="1225">
        <v>103375909</v>
      </c>
      <c r="F682" s="1225">
        <v>99886936</v>
      </c>
      <c r="G682" s="1225">
        <v>86590851</v>
      </c>
      <c r="H682" s="1225">
        <v>86590851</v>
      </c>
      <c r="I682" s="1225">
        <v>103375909</v>
      </c>
      <c r="J682" s="1225">
        <v>99886936</v>
      </c>
      <c r="K682" s="1225">
        <v>103375909</v>
      </c>
      <c r="L682" s="1225">
        <v>99886936</v>
      </c>
    </row>
    <row r="683" spans="1:12">
      <c r="A683" s="187" t="s">
        <v>3974</v>
      </c>
      <c r="B683" s="1224" t="s">
        <v>728</v>
      </c>
      <c r="C683" s="1225">
        <v>882885398</v>
      </c>
      <c r="D683" s="1225">
        <v>865550372</v>
      </c>
      <c r="E683" s="1225">
        <v>882885398</v>
      </c>
      <c r="F683" s="1225">
        <v>865550372</v>
      </c>
      <c r="G683" s="1225">
        <v>883082785</v>
      </c>
      <c r="H683" s="1225">
        <v>883082785</v>
      </c>
      <c r="I683" s="1225">
        <v>882885398</v>
      </c>
      <c r="J683" s="1225">
        <v>865550372</v>
      </c>
      <c r="K683" s="1225">
        <v>882885398</v>
      </c>
      <c r="L683" s="1225">
        <v>865550372</v>
      </c>
    </row>
    <row r="684" spans="1:12">
      <c r="A684" s="187" t="s">
        <v>814</v>
      </c>
      <c r="B684" s="1224" t="s">
        <v>729</v>
      </c>
      <c r="C684" s="1225">
        <v>154822343</v>
      </c>
      <c r="D684" s="1225">
        <v>148089791</v>
      </c>
      <c r="E684" s="1225">
        <v>154822343</v>
      </c>
      <c r="F684" s="1225">
        <v>148089791</v>
      </c>
      <c r="G684" s="1225">
        <v>125123168</v>
      </c>
      <c r="H684" s="1225">
        <v>125123168</v>
      </c>
      <c r="I684" s="1225">
        <v>154822343</v>
      </c>
      <c r="J684" s="1225">
        <v>148089791</v>
      </c>
      <c r="K684" s="1225">
        <v>154822343</v>
      </c>
      <c r="L684" s="1225">
        <v>148089791</v>
      </c>
    </row>
    <row r="685" spans="1:12">
      <c r="A685" s="187" t="s">
        <v>4587</v>
      </c>
      <c r="B685" s="1224" t="s">
        <v>2144</v>
      </c>
      <c r="C685" s="1225">
        <v>33952687</v>
      </c>
      <c r="D685" s="1225">
        <v>32726592</v>
      </c>
      <c r="E685" s="1225">
        <v>33952687</v>
      </c>
      <c r="F685" s="1225">
        <v>32726592</v>
      </c>
      <c r="G685" s="1225">
        <v>29869376</v>
      </c>
      <c r="H685" s="1225">
        <v>29869376</v>
      </c>
      <c r="I685" s="1225">
        <v>33952687</v>
      </c>
      <c r="J685" s="1225">
        <v>32726592</v>
      </c>
      <c r="K685" s="1225">
        <v>33952687</v>
      </c>
      <c r="L685" s="1225">
        <v>32726592</v>
      </c>
    </row>
    <row r="686" spans="1:12">
      <c r="A686" s="187" t="s">
        <v>1852</v>
      </c>
      <c r="B686" s="1224" t="s">
        <v>4963</v>
      </c>
      <c r="C686" s="1225">
        <v>233777539</v>
      </c>
      <c r="D686" s="1225">
        <v>225230524</v>
      </c>
      <c r="E686" s="1225">
        <v>233777539</v>
      </c>
      <c r="F686" s="1225">
        <v>225230524</v>
      </c>
      <c r="G686" s="1225">
        <v>410282576</v>
      </c>
      <c r="H686" s="1225">
        <v>410282576</v>
      </c>
      <c r="I686" s="1225">
        <v>408509769</v>
      </c>
      <c r="J686" s="1225">
        <v>399962754</v>
      </c>
      <c r="K686" s="1225">
        <v>408509769</v>
      </c>
      <c r="L686" s="1225">
        <v>399962754</v>
      </c>
    </row>
    <row r="687" spans="1:12">
      <c r="A687" s="187" t="s">
        <v>141</v>
      </c>
      <c r="B687" s="1224" t="s">
        <v>730</v>
      </c>
      <c r="C687" s="1225">
        <v>77729654</v>
      </c>
      <c r="D687" s="1225">
        <v>75534764</v>
      </c>
      <c r="E687" s="1225">
        <v>77729654</v>
      </c>
      <c r="F687" s="1225">
        <v>75534764</v>
      </c>
      <c r="G687" s="1225">
        <v>77199702</v>
      </c>
      <c r="H687" s="1225">
        <v>77199702</v>
      </c>
      <c r="I687" s="1225">
        <v>93380754</v>
      </c>
      <c r="J687" s="1225">
        <v>91185864</v>
      </c>
      <c r="K687" s="1225">
        <v>93380754</v>
      </c>
      <c r="L687" s="1225">
        <v>91185864</v>
      </c>
    </row>
    <row r="688" spans="1:12">
      <c r="A688" s="187" t="s">
        <v>1847</v>
      </c>
      <c r="B688" s="1224" t="s">
        <v>351</v>
      </c>
      <c r="C688" s="1225">
        <v>23028898</v>
      </c>
      <c r="D688" s="1225">
        <v>22046748</v>
      </c>
      <c r="E688" s="1225">
        <v>23028898</v>
      </c>
      <c r="F688" s="1225">
        <v>22046748</v>
      </c>
      <c r="G688" s="1225">
        <v>20396574</v>
      </c>
      <c r="H688" s="1225">
        <v>20396574</v>
      </c>
      <c r="I688" s="1225">
        <v>23028898</v>
      </c>
      <c r="J688" s="1225">
        <v>22046748</v>
      </c>
      <c r="K688" s="1225">
        <v>23028898</v>
      </c>
      <c r="L688" s="1225">
        <v>22046748</v>
      </c>
    </row>
    <row r="689" spans="1:12">
      <c r="A689" s="187" t="s">
        <v>145</v>
      </c>
      <c r="B689" s="1224" t="s">
        <v>525</v>
      </c>
      <c r="C689" s="1225">
        <v>392170066</v>
      </c>
      <c r="D689" s="1225">
        <v>381943205</v>
      </c>
      <c r="E689" s="1225">
        <v>392170066</v>
      </c>
      <c r="F689" s="1225">
        <v>381943205</v>
      </c>
      <c r="G689" s="1225">
        <v>446796841</v>
      </c>
      <c r="H689" s="1225">
        <v>446796841</v>
      </c>
      <c r="I689" s="1225">
        <v>392170066</v>
      </c>
      <c r="J689" s="1225">
        <v>381943205</v>
      </c>
      <c r="K689" s="1225">
        <v>392170066</v>
      </c>
      <c r="L689" s="1225">
        <v>381943205</v>
      </c>
    </row>
    <row r="690" spans="1:12">
      <c r="A690" s="187" t="s">
        <v>147</v>
      </c>
      <c r="B690" s="1224" t="s">
        <v>526</v>
      </c>
      <c r="C690" s="1225">
        <v>90755583</v>
      </c>
      <c r="D690" s="1225">
        <v>88901151</v>
      </c>
      <c r="E690" s="1225">
        <v>90755583</v>
      </c>
      <c r="F690" s="1225">
        <v>88901151</v>
      </c>
      <c r="G690" s="1225">
        <v>81534955</v>
      </c>
      <c r="H690" s="1225">
        <v>81534955</v>
      </c>
      <c r="I690" s="1225">
        <v>222169653</v>
      </c>
      <c r="J690" s="1225">
        <v>220315221</v>
      </c>
      <c r="K690" s="1225">
        <v>222169653</v>
      </c>
      <c r="L690" s="1225">
        <v>220315221</v>
      </c>
    </row>
    <row r="691" spans="1:12">
      <c r="A691" s="187" t="s">
        <v>149</v>
      </c>
      <c r="B691" s="1224" t="s">
        <v>527</v>
      </c>
      <c r="C691" s="1225">
        <v>231973613</v>
      </c>
      <c r="D691" s="1225">
        <v>229967213</v>
      </c>
      <c r="E691" s="1225">
        <v>231973613</v>
      </c>
      <c r="F691" s="1225">
        <v>229967213</v>
      </c>
      <c r="G691" s="1225">
        <v>709408397</v>
      </c>
      <c r="H691" s="1225">
        <v>709408397</v>
      </c>
      <c r="I691" s="1225">
        <v>231973613</v>
      </c>
      <c r="J691" s="1225">
        <v>229967213</v>
      </c>
      <c r="K691" s="1225">
        <v>231973613</v>
      </c>
      <c r="L691" s="1225">
        <v>229967213</v>
      </c>
    </row>
    <row r="692" spans="1:12">
      <c r="A692" s="187" t="s">
        <v>1956</v>
      </c>
      <c r="B692" s="1224" t="s">
        <v>528</v>
      </c>
      <c r="C692" s="1225">
        <v>921867080</v>
      </c>
      <c r="D692" s="1225">
        <v>898261388</v>
      </c>
      <c r="E692" s="1225">
        <v>921867080</v>
      </c>
      <c r="F692" s="1225">
        <v>898261388</v>
      </c>
      <c r="G692" s="1225">
        <v>1109216293</v>
      </c>
      <c r="H692" s="1225">
        <v>1109216293</v>
      </c>
      <c r="I692" s="1225">
        <v>921867080</v>
      </c>
      <c r="J692" s="1225">
        <v>898261388</v>
      </c>
      <c r="K692" s="1225">
        <v>921867080</v>
      </c>
      <c r="L692" s="1225">
        <v>898261388</v>
      </c>
    </row>
    <row r="693" spans="1:12">
      <c r="A693" s="187" t="s">
        <v>1958</v>
      </c>
      <c r="B693" s="1224" t="s">
        <v>529</v>
      </c>
      <c r="C693" s="1225">
        <v>240216410</v>
      </c>
      <c r="D693" s="1225">
        <v>230402032</v>
      </c>
      <c r="E693" s="1225">
        <v>240216410</v>
      </c>
      <c r="F693" s="1225">
        <v>230402032</v>
      </c>
      <c r="G693" s="1225">
        <v>252328327</v>
      </c>
      <c r="H693" s="1225">
        <v>252328327</v>
      </c>
      <c r="I693" s="1225">
        <v>240216410</v>
      </c>
      <c r="J693" s="1225">
        <v>230402032</v>
      </c>
      <c r="K693" s="1225">
        <v>240216410</v>
      </c>
      <c r="L693" s="1225">
        <v>230402032</v>
      </c>
    </row>
    <row r="694" spans="1:12">
      <c r="A694" s="187" t="s">
        <v>1960</v>
      </c>
      <c r="B694" s="1224" t="s">
        <v>530</v>
      </c>
      <c r="C694" s="1225">
        <v>95277018</v>
      </c>
      <c r="D694" s="1225">
        <v>93789208</v>
      </c>
      <c r="E694" s="1225">
        <v>95277018</v>
      </c>
      <c r="F694" s="1225">
        <v>93789208</v>
      </c>
      <c r="G694" s="1225">
        <v>100196230</v>
      </c>
      <c r="H694" s="1225">
        <v>100196230</v>
      </c>
      <c r="I694" s="1225">
        <v>95277018</v>
      </c>
      <c r="J694" s="1225">
        <v>93789208</v>
      </c>
      <c r="K694" s="1225">
        <v>95277018</v>
      </c>
      <c r="L694" s="1225">
        <v>93789208</v>
      </c>
    </row>
    <row r="695" spans="1:12">
      <c r="A695" s="187" t="s">
        <v>2039</v>
      </c>
      <c r="B695" s="1224" t="s">
        <v>531</v>
      </c>
      <c r="C695" s="1225">
        <v>35307218</v>
      </c>
      <c r="D695" s="1225">
        <v>33912348</v>
      </c>
      <c r="E695" s="1225">
        <v>35307218</v>
      </c>
      <c r="F695" s="1225">
        <v>33912348</v>
      </c>
      <c r="G695" s="1225">
        <v>39246318</v>
      </c>
      <c r="H695" s="1225">
        <v>39246318</v>
      </c>
      <c r="I695" s="1225">
        <v>35307218</v>
      </c>
      <c r="J695" s="1225">
        <v>33912348</v>
      </c>
      <c r="K695" s="1225">
        <v>35307218</v>
      </c>
      <c r="L695" s="1225">
        <v>33912348</v>
      </c>
    </row>
    <row r="696" spans="1:12">
      <c r="A696" s="187" t="s">
        <v>2041</v>
      </c>
      <c r="B696" s="1224" t="s">
        <v>532</v>
      </c>
      <c r="C696" s="1225">
        <v>88765095</v>
      </c>
      <c r="D696" s="1225">
        <v>87268944</v>
      </c>
      <c r="E696" s="1225">
        <v>88765095</v>
      </c>
      <c r="F696" s="1225">
        <v>87268944</v>
      </c>
      <c r="G696" s="1225">
        <v>173336449</v>
      </c>
      <c r="H696" s="1225">
        <v>173336449</v>
      </c>
      <c r="I696" s="1225">
        <v>88765095</v>
      </c>
      <c r="J696" s="1225">
        <v>87268944</v>
      </c>
      <c r="K696" s="1225">
        <v>88765095</v>
      </c>
      <c r="L696" s="1225">
        <v>87268944</v>
      </c>
    </row>
    <row r="697" spans="1:12">
      <c r="A697" s="187" t="s">
        <v>1825</v>
      </c>
      <c r="B697" s="1224" t="s">
        <v>533</v>
      </c>
      <c r="C697" s="1225">
        <v>244301571</v>
      </c>
      <c r="D697" s="1225">
        <v>241629870</v>
      </c>
      <c r="E697" s="1225">
        <v>244301571</v>
      </c>
      <c r="F697" s="1225">
        <v>241629870</v>
      </c>
      <c r="G697" s="1225">
        <v>371026984</v>
      </c>
      <c r="H697" s="1225">
        <v>371026984</v>
      </c>
      <c r="I697" s="1225">
        <v>244301571</v>
      </c>
      <c r="J697" s="1225">
        <v>241629870</v>
      </c>
      <c r="K697" s="1225">
        <v>244301571</v>
      </c>
      <c r="L697" s="1225">
        <v>241629870</v>
      </c>
    </row>
    <row r="698" spans="1:12">
      <c r="A698" s="187" t="s">
        <v>1827</v>
      </c>
      <c r="B698" s="1224" t="s">
        <v>534</v>
      </c>
      <c r="C698" s="1225">
        <v>192836685</v>
      </c>
      <c r="D698" s="1225">
        <v>189070481</v>
      </c>
      <c r="E698" s="1225">
        <v>192836685</v>
      </c>
      <c r="F698" s="1225">
        <v>189070481</v>
      </c>
      <c r="G698" s="1225">
        <v>275335522</v>
      </c>
      <c r="H698" s="1225">
        <v>275335522</v>
      </c>
      <c r="I698" s="1225">
        <v>192836685</v>
      </c>
      <c r="J698" s="1225">
        <v>189070481</v>
      </c>
      <c r="K698" s="1225">
        <v>192836685</v>
      </c>
      <c r="L698" s="1225">
        <v>189070481</v>
      </c>
    </row>
    <row r="699" spans="1:12">
      <c r="A699" s="187" t="s">
        <v>238</v>
      </c>
      <c r="B699" s="1224" t="s">
        <v>2645</v>
      </c>
      <c r="C699" s="1225">
        <v>32944574799</v>
      </c>
      <c r="D699" s="1225">
        <v>32336064358</v>
      </c>
      <c r="E699" s="1225">
        <v>32944574799</v>
      </c>
      <c r="F699" s="1225">
        <v>32336064358</v>
      </c>
      <c r="G699" s="1225">
        <v>27594289666</v>
      </c>
      <c r="H699" s="1225">
        <v>27594289666</v>
      </c>
      <c r="I699" s="1225">
        <v>32944574799</v>
      </c>
      <c r="J699" s="1225">
        <v>32336064358</v>
      </c>
      <c r="K699" s="1225">
        <v>32944574799</v>
      </c>
      <c r="L699" s="1225">
        <v>32336064358</v>
      </c>
    </row>
    <row r="700" spans="1:12">
      <c r="A700" s="187" t="s">
        <v>1829</v>
      </c>
      <c r="B700" s="1224" t="s">
        <v>535</v>
      </c>
      <c r="C700" s="1225">
        <v>5409214264</v>
      </c>
      <c r="D700" s="1225">
        <v>5287722689</v>
      </c>
      <c r="E700" s="1225">
        <v>5409214264</v>
      </c>
      <c r="F700" s="1225">
        <v>5287722689</v>
      </c>
      <c r="G700" s="1225">
        <v>4509127859</v>
      </c>
      <c r="H700" s="1225">
        <v>4509127859</v>
      </c>
      <c r="I700" s="1225">
        <v>5409214264</v>
      </c>
      <c r="J700" s="1225">
        <v>5287722689</v>
      </c>
      <c r="K700" s="1225">
        <v>5409214264</v>
      </c>
      <c r="L700" s="1225">
        <v>5287722689</v>
      </c>
    </row>
    <row r="701" spans="1:12">
      <c r="A701" s="187" t="s">
        <v>859</v>
      </c>
      <c r="B701" s="1224" t="s">
        <v>2003</v>
      </c>
      <c r="C701" s="1225">
        <v>3143066927</v>
      </c>
      <c r="D701" s="1225">
        <v>3055337525</v>
      </c>
      <c r="E701" s="1225">
        <v>3143066927</v>
      </c>
      <c r="F701" s="1225">
        <v>3055337525</v>
      </c>
      <c r="G701" s="1225">
        <v>2598459650</v>
      </c>
      <c r="H701" s="1225">
        <v>2598459650</v>
      </c>
      <c r="I701" s="1225">
        <v>3143066927</v>
      </c>
      <c r="J701" s="1225">
        <v>3055337525</v>
      </c>
      <c r="K701" s="1225">
        <v>3143066927</v>
      </c>
      <c r="L701" s="1225">
        <v>3055337525</v>
      </c>
    </row>
    <row r="702" spans="1:12">
      <c r="A702" s="187" t="s">
        <v>3001</v>
      </c>
      <c r="B702" s="1224" t="s">
        <v>6060</v>
      </c>
      <c r="C702" s="1225">
        <v>5574885412</v>
      </c>
      <c r="D702" s="1225">
        <v>5441534889</v>
      </c>
      <c r="E702" s="1225">
        <v>5574885412</v>
      </c>
      <c r="F702" s="1225">
        <v>5441534889</v>
      </c>
      <c r="G702" s="1225">
        <v>4550617348</v>
      </c>
      <c r="H702" s="1225">
        <v>4550617348</v>
      </c>
      <c r="I702" s="1225">
        <v>5574885412</v>
      </c>
      <c r="J702" s="1225">
        <v>5441534889</v>
      </c>
      <c r="K702" s="1225">
        <v>5574885412</v>
      </c>
      <c r="L702" s="1225">
        <v>5441534889</v>
      </c>
    </row>
    <row r="703" spans="1:12">
      <c r="A703" s="187" t="s">
        <v>2405</v>
      </c>
      <c r="B703" s="1224" t="s">
        <v>2350</v>
      </c>
      <c r="C703" s="1225">
        <v>659131375</v>
      </c>
      <c r="D703" s="1225">
        <v>633403918</v>
      </c>
      <c r="E703" s="1225">
        <v>659131375</v>
      </c>
      <c r="F703" s="1225">
        <v>633403918</v>
      </c>
      <c r="G703" s="1225">
        <v>467101943</v>
      </c>
      <c r="H703" s="1225">
        <v>467101943</v>
      </c>
      <c r="I703" s="1225">
        <v>659131375</v>
      </c>
      <c r="J703" s="1225">
        <v>633403918</v>
      </c>
      <c r="K703" s="1225">
        <v>659131375</v>
      </c>
      <c r="L703" s="1225">
        <v>633403918</v>
      </c>
    </row>
    <row r="704" spans="1:12">
      <c r="A704" s="187" t="s">
        <v>2907</v>
      </c>
      <c r="B704" s="1224" t="s">
        <v>1933</v>
      </c>
      <c r="C704" s="1225">
        <v>3630545146</v>
      </c>
      <c r="D704" s="1225">
        <v>3531395563</v>
      </c>
      <c r="E704" s="1225">
        <v>3630545146</v>
      </c>
      <c r="F704" s="1225">
        <v>3531395563</v>
      </c>
      <c r="G704" s="1225">
        <v>2770192107</v>
      </c>
      <c r="H704" s="1225">
        <v>2770192107</v>
      </c>
      <c r="I704" s="1225">
        <v>3630545146</v>
      </c>
      <c r="J704" s="1225">
        <v>3531395563</v>
      </c>
      <c r="K704" s="1225">
        <v>3630545146</v>
      </c>
      <c r="L704" s="1225">
        <v>3531395563</v>
      </c>
    </row>
    <row r="705" spans="1:12">
      <c r="A705" s="187" t="s">
        <v>1222</v>
      </c>
      <c r="B705" s="1224" t="s">
        <v>536</v>
      </c>
      <c r="C705" s="1225">
        <v>1794636773</v>
      </c>
      <c r="D705" s="1225">
        <v>1763789577</v>
      </c>
      <c r="E705" s="1225">
        <v>1784171504</v>
      </c>
      <c r="F705" s="1225">
        <v>1753324308</v>
      </c>
      <c r="G705" s="1225">
        <v>2169803452</v>
      </c>
      <c r="H705" s="1225">
        <v>2133936109</v>
      </c>
      <c r="I705" s="1225">
        <v>1794636773</v>
      </c>
      <c r="J705" s="1225">
        <v>1763789577</v>
      </c>
      <c r="K705" s="1225">
        <v>1784171504</v>
      </c>
      <c r="L705" s="1225">
        <v>1753324308</v>
      </c>
    </row>
    <row r="706" spans="1:12">
      <c r="A706" s="187" t="s">
        <v>1224</v>
      </c>
      <c r="B706" s="1224" t="s">
        <v>537</v>
      </c>
      <c r="C706" s="1225">
        <v>263592261</v>
      </c>
      <c r="D706" s="1225">
        <v>259656406</v>
      </c>
      <c r="E706" s="1225">
        <v>263592261</v>
      </c>
      <c r="F706" s="1225">
        <v>259656406</v>
      </c>
      <c r="G706" s="1225">
        <v>377767530</v>
      </c>
      <c r="H706" s="1225">
        <v>377767530</v>
      </c>
      <c r="I706" s="1225">
        <v>268652261</v>
      </c>
      <c r="J706" s="1225">
        <v>264716406</v>
      </c>
      <c r="K706" s="1225">
        <v>268652261</v>
      </c>
      <c r="L706" s="1225">
        <v>264716406</v>
      </c>
    </row>
    <row r="707" spans="1:12">
      <c r="A707" s="187" t="s">
        <v>5375</v>
      </c>
      <c r="B707" s="1224" t="s">
        <v>538</v>
      </c>
      <c r="C707" s="1225">
        <v>804439080</v>
      </c>
      <c r="D707" s="1225">
        <v>784618034</v>
      </c>
      <c r="E707" s="1225">
        <v>804439080</v>
      </c>
      <c r="F707" s="1225">
        <v>784618034</v>
      </c>
      <c r="G707" s="1225">
        <v>864041772</v>
      </c>
      <c r="H707" s="1225">
        <v>847429893</v>
      </c>
      <c r="I707" s="1225">
        <v>804439080</v>
      </c>
      <c r="J707" s="1225">
        <v>784618034</v>
      </c>
      <c r="K707" s="1225">
        <v>804439080</v>
      </c>
      <c r="L707" s="1225">
        <v>784618034</v>
      </c>
    </row>
    <row r="708" spans="1:12">
      <c r="A708" s="187" t="s">
        <v>5377</v>
      </c>
      <c r="B708" s="1224" t="s">
        <v>6619</v>
      </c>
      <c r="C708" s="1225">
        <v>285076526</v>
      </c>
      <c r="D708" s="1225">
        <v>270584086</v>
      </c>
      <c r="E708" s="1225">
        <v>285076526</v>
      </c>
      <c r="F708" s="1225">
        <v>270584086</v>
      </c>
      <c r="G708" s="1225">
        <v>282775667</v>
      </c>
      <c r="H708" s="1225">
        <v>282775667</v>
      </c>
      <c r="I708" s="1225">
        <v>285076526</v>
      </c>
      <c r="J708" s="1225">
        <v>270584086</v>
      </c>
      <c r="K708" s="1225">
        <v>285076526</v>
      </c>
      <c r="L708" s="1225">
        <v>270584086</v>
      </c>
    </row>
    <row r="709" spans="1:12">
      <c r="A709" s="187" t="s">
        <v>5379</v>
      </c>
      <c r="B709" s="1224" t="s">
        <v>540</v>
      </c>
      <c r="C709" s="1225">
        <v>117721425</v>
      </c>
      <c r="D709" s="1225">
        <v>115064695</v>
      </c>
      <c r="E709" s="1225">
        <v>117721425</v>
      </c>
      <c r="F709" s="1225">
        <v>115064695</v>
      </c>
      <c r="G709" s="1225">
        <v>106633465</v>
      </c>
      <c r="H709" s="1225">
        <v>106633465</v>
      </c>
      <c r="I709" s="1225">
        <v>117721425</v>
      </c>
      <c r="J709" s="1225">
        <v>115064695</v>
      </c>
      <c r="K709" s="1225">
        <v>117721425</v>
      </c>
      <c r="L709" s="1225">
        <v>115064695</v>
      </c>
    </row>
    <row r="710" spans="1:12">
      <c r="A710" s="187" t="s">
        <v>642</v>
      </c>
      <c r="B710" s="1224" t="s">
        <v>6111</v>
      </c>
      <c r="C710" s="1225">
        <v>113756594</v>
      </c>
      <c r="D710" s="1225">
        <v>110014124</v>
      </c>
      <c r="E710" s="1225">
        <v>110563189</v>
      </c>
      <c r="F710" s="1225">
        <v>106820719</v>
      </c>
      <c r="G710" s="1225">
        <v>203701184</v>
      </c>
      <c r="H710" s="1225">
        <v>200455775</v>
      </c>
      <c r="I710" s="1225">
        <v>113756594</v>
      </c>
      <c r="J710" s="1225">
        <v>110014124</v>
      </c>
      <c r="K710" s="1225">
        <v>110563189</v>
      </c>
      <c r="L710" s="1225">
        <v>106820719</v>
      </c>
    </row>
    <row r="711" spans="1:12">
      <c r="A711" s="187" t="s">
        <v>2618</v>
      </c>
      <c r="B711" s="1224" t="s">
        <v>541</v>
      </c>
      <c r="C711" s="1225">
        <v>221387081</v>
      </c>
      <c r="D711" s="1225">
        <v>214247061</v>
      </c>
      <c r="E711" s="1225">
        <v>215152311</v>
      </c>
      <c r="F711" s="1225">
        <v>208012291</v>
      </c>
      <c r="G711" s="1225">
        <v>250747827</v>
      </c>
      <c r="H711" s="1225">
        <v>244318104</v>
      </c>
      <c r="I711" s="1225">
        <v>510744101</v>
      </c>
      <c r="J711" s="1225">
        <v>503604081</v>
      </c>
      <c r="K711" s="1225">
        <v>504509331</v>
      </c>
      <c r="L711" s="1225">
        <v>497369311</v>
      </c>
    </row>
    <row r="712" spans="1:12">
      <c r="A712" s="187" t="s">
        <v>644</v>
      </c>
      <c r="B712" s="1224" t="s">
        <v>123</v>
      </c>
      <c r="C712" s="1225">
        <v>146933403</v>
      </c>
      <c r="D712" s="1225">
        <v>140840023</v>
      </c>
      <c r="E712" s="1225">
        <v>140741273</v>
      </c>
      <c r="F712" s="1225">
        <v>134647893</v>
      </c>
      <c r="G712" s="1225">
        <v>158558724</v>
      </c>
      <c r="H712" s="1225">
        <v>152278334</v>
      </c>
      <c r="I712" s="1225">
        <v>146933403</v>
      </c>
      <c r="J712" s="1225">
        <v>140840023</v>
      </c>
      <c r="K712" s="1225">
        <v>140741273</v>
      </c>
      <c r="L712" s="1225">
        <v>134647893</v>
      </c>
    </row>
    <row r="713" spans="1:12">
      <c r="A713" s="187" t="s">
        <v>2620</v>
      </c>
      <c r="B713" s="1224" t="s">
        <v>542</v>
      </c>
      <c r="C713" s="1225">
        <v>2083997364</v>
      </c>
      <c r="D713" s="1225">
        <v>2014438804</v>
      </c>
      <c r="E713" s="1225">
        <v>1987682789</v>
      </c>
      <c r="F713" s="1225">
        <v>1918124229</v>
      </c>
      <c r="G713" s="1225">
        <v>2004745469</v>
      </c>
      <c r="H713" s="1225">
        <v>1903987078</v>
      </c>
      <c r="I713" s="1225">
        <v>2083997364</v>
      </c>
      <c r="J713" s="1225">
        <v>2014438804</v>
      </c>
      <c r="K713" s="1225">
        <v>1987682789</v>
      </c>
      <c r="L713" s="1225">
        <v>1918124229</v>
      </c>
    </row>
    <row r="714" spans="1:12">
      <c r="A714" s="187" t="s">
        <v>4588</v>
      </c>
      <c r="B714" s="1224" t="s">
        <v>2006</v>
      </c>
      <c r="C714" s="1225">
        <v>147568736</v>
      </c>
      <c r="D714" s="1225">
        <v>141299246</v>
      </c>
      <c r="E714" s="1225">
        <v>141116141</v>
      </c>
      <c r="F714" s="1225">
        <v>134846651</v>
      </c>
      <c r="G714" s="1225">
        <v>184225877</v>
      </c>
      <c r="H714" s="1225">
        <v>177650150</v>
      </c>
      <c r="I714" s="1225">
        <v>147568736</v>
      </c>
      <c r="J714" s="1225">
        <v>141299246</v>
      </c>
      <c r="K714" s="1225">
        <v>141116141</v>
      </c>
      <c r="L714" s="1225">
        <v>134846651</v>
      </c>
    </row>
    <row r="715" spans="1:12">
      <c r="A715" s="187" t="s">
        <v>2622</v>
      </c>
      <c r="B715" s="1224" t="s">
        <v>543</v>
      </c>
      <c r="C715" s="1225">
        <v>128244412</v>
      </c>
      <c r="D715" s="1225">
        <v>120634232</v>
      </c>
      <c r="E715" s="1225">
        <v>118834352</v>
      </c>
      <c r="F715" s="1225">
        <v>111224172</v>
      </c>
      <c r="G715" s="1225">
        <v>117739004</v>
      </c>
      <c r="H715" s="1225">
        <v>108783335</v>
      </c>
      <c r="I715" s="1225">
        <v>128244412</v>
      </c>
      <c r="J715" s="1225">
        <v>120634232</v>
      </c>
      <c r="K715" s="1225">
        <v>118834352</v>
      </c>
      <c r="L715" s="1225">
        <v>111224172</v>
      </c>
    </row>
    <row r="716" spans="1:12">
      <c r="A716" s="187" t="s">
        <v>2624</v>
      </c>
      <c r="B716" s="1224" t="s">
        <v>544</v>
      </c>
      <c r="C716" s="1225">
        <v>71583254</v>
      </c>
      <c r="D716" s="1225">
        <v>68435274</v>
      </c>
      <c r="E716" s="1225">
        <v>68222049</v>
      </c>
      <c r="F716" s="1225">
        <v>65074069</v>
      </c>
      <c r="G716" s="1225">
        <v>76629579</v>
      </c>
      <c r="H716" s="1225">
        <v>73195379</v>
      </c>
      <c r="I716" s="1225">
        <v>71583254</v>
      </c>
      <c r="J716" s="1225">
        <v>68435274</v>
      </c>
      <c r="K716" s="1225">
        <v>68222049</v>
      </c>
      <c r="L716" s="1225">
        <v>65074069</v>
      </c>
    </row>
    <row r="717" spans="1:12">
      <c r="A717" s="187" t="s">
        <v>1523</v>
      </c>
      <c r="B717" s="1224" t="s">
        <v>1929</v>
      </c>
      <c r="C717" s="1225">
        <v>49854311</v>
      </c>
      <c r="D717" s="1225">
        <v>46248271</v>
      </c>
      <c r="E717" s="1225">
        <v>46654691</v>
      </c>
      <c r="F717" s="1225">
        <v>43048651</v>
      </c>
      <c r="G717" s="1225">
        <v>48533188</v>
      </c>
      <c r="H717" s="1225">
        <v>45286508</v>
      </c>
      <c r="I717" s="1225">
        <v>49854311</v>
      </c>
      <c r="J717" s="1225">
        <v>46248271</v>
      </c>
      <c r="K717" s="1225">
        <v>46654691</v>
      </c>
      <c r="L717" s="1225">
        <v>43048651</v>
      </c>
    </row>
    <row r="718" spans="1:12">
      <c r="A718" s="187" t="s">
        <v>2626</v>
      </c>
      <c r="B718" s="1224" t="s">
        <v>545</v>
      </c>
      <c r="C718" s="1225">
        <v>157280645</v>
      </c>
      <c r="D718" s="1225">
        <v>151858015</v>
      </c>
      <c r="E718" s="1225">
        <v>149047830</v>
      </c>
      <c r="F718" s="1225">
        <v>143625200</v>
      </c>
      <c r="G718" s="1225">
        <v>169891647</v>
      </c>
      <c r="H718" s="1225">
        <v>161530451</v>
      </c>
      <c r="I718" s="1225">
        <v>157280645</v>
      </c>
      <c r="J718" s="1225">
        <v>151858015</v>
      </c>
      <c r="K718" s="1225">
        <v>149047830</v>
      </c>
      <c r="L718" s="1225">
        <v>143625200</v>
      </c>
    </row>
    <row r="719" spans="1:12">
      <c r="A719" s="187" t="s">
        <v>2628</v>
      </c>
      <c r="B719" s="1224" t="s">
        <v>546</v>
      </c>
      <c r="C719" s="1225">
        <v>175434937</v>
      </c>
      <c r="D719" s="1225">
        <v>166005001</v>
      </c>
      <c r="E719" s="1225">
        <v>175434937</v>
      </c>
      <c r="F719" s="1225">
        <v>166005001</v>
      </c>
      <c r="G719" s="1225">
        <v>151187906</v>
      </c>
      <c r="H719" s="1225">
        <v>151187906</v>
      </c>
      <c r="I719" s="1225">
        <v>175434937</v>
      </c>
      <c r="J719" s="1225">
        <v>166005001</v>
      </c>
      <c r="K719" s="1225">
        <v>175434937</v>
      </c>
      <c r="L719" s="1225">
        <v>166005001</v>
      </c>
    </row>
    <row r="720" spans="1:12">
      <c r="A720" s="187" t="s">
        <v>241</v>
      </c>
      <c r="B720" s="1224" t="s">
        <v>2649</v>
      </c>
      <c r="C720" s="1225">
        <v>1508726978</v>
      </c>
      <c r="D720" s="1225">
        <v>1457842730</v>
      </c>
      <c r="E720" s="1225">
        <v>1508726978</v>
      </c>
      <c r="F720" s="1225">
        <v>1457842730</v>
      </c>
      <c r="G720" s="1225">
        <v>1443841394</v>
      </c>
      <c r="H720" s="1225">
        <v>1443841394</v>
      </c>
      <c r="I720" s="1225">
        <v>1508726978</v>
      </c>
      <c r="J720" s="1225">
        <v>1457842730</v>
      </c>
      <c r="K720" s="1225">
        <v>1508726978</v>
      </c>
      <c r="L720" s="1225">
        <v>1457842730</v>
      </c>
    </row>
    <row r="721" spans="1:12">
      <c r="A721" s="187" t="s">
        <v>248</v>
      </c>
      <c r="B721" s="1224" t="s">
        <v>993</v>
      </c>
      <c r="C721" s="1225">
        <v>154139879</v>
      </c>
      <c r="D721" s="1225">
        <v>147999565</v>
      </c>
      <c r="E721" s="1225">
        <v>154139879</v>
      </c>
      <c r="F721" s="1225">
        <v>147999565</v>
      </c>
      <c r="G721" s="1225">
        <v>152836970</v>
      </c>
      <c r="H721" s="1225">
        <v>152836970</v>
      </c>
      <c r="I721" s="1225">
        <v>154139879</v>
      </c>
      <c r="J721" s="1225">
        <v>147999565</v>
      </c>
      <c r="K721" s="1225">
        <v>154139879</v>
      </c>
      <c r="L721" s="1225">
        <v>147999565</v>
      </c>
    </row>
    <row r="722" spans="1:12">
      <c r="A722" s="187" t="s">
        <v>5084</v>
      </c>
      <c r="B722" s="1224" t="s">
        <v>547</v>
      </c>
      <c r="C722" s="1225">
        <v>97881782</v>
      </c>
      <c r="D722" s="1225">
        <v>94372740</v>
      </c>
      <c r="E722" s="1225">
        <v>97881782</v>
      </c>
      <c r="F722" s="1225">
        <v>94372740</v>
      </c>
      <c r="G722" s="1225">
        <v>99641203</v>
      </c>
      <c r="H722" s="1225">
        <v>99641203</v>
      </c>
      <c r="I722" s="1225">
        <v>97881782</v>
      </c>
      <c r="J722" s="1225">
        <v>94372740</v>
      </c>
      <c r="K722" s="1225">
        <v>97881782</v>
      </c>
      <c r="L722" s="1225">
        <v>94372740</v>
      </c>
    </row>
    <row r="723" spans="1:12">
      <c r="A723" s="187" t="s">
        <v>2534</v>
      </c>
      <c r="B723" s="1224" t="s">
        <v>1919</v>
      </c>
      <c r="C723" s="1225">
        <v>262131976</v>
      </c>
      <c r="D723" s="1225">
        <v>254617684</v>
      </c>
      <c r="E723" s="1225">
        <v>262131976</v>
      </c>
      <c r="F723" s="1225">
        <v>254617684</v>
      </c>
      <c r="G723" s="1225">
        <v>257470470</v>
      </c>
      <c r="H723" s="1225">
        <v>257470470</v>
      </c>
      <c r="I723" s="1225">
        <v>262131976</v>
      </c>
      <c r="J723" s="1225">
        <v>254617684</v>
      </c>
      <c r="K723" s="1225">
        <v>262131976</v>
      </c>
      <c r="L723" s="1225">
        <v>254617684</v>
      </c>
    </row>
    <row r="724" spans="1:12">
      <c r="A724" s="187" t="s">
        <v>5086</v>
      </c>
      <c r="B724" s="1224" t="s">
        <v>548</v>
      </c>
      <c r="C724" s="1225">
        <v>404959602</v>
      </c>
      <c r="D724" s="1225">
        <v>396534260</v>
      </c>
      <c r="E724" s="1225">
        <v>404959602</v>
      </c>
      <c r="F724" s="1225">
        <v>396534260</v>
      </c>
      <c r="G724" s="1225">
        <v>430591089</v>
      </c>
      <c r="H724" s="1225">
        <v>430591089</v>
      </c>
      <c r="I724" s="1225">
        <v>404959602</v>
      </c>
      <c r="J724" s="1225">
        <v>396534260</v>
      </c>
      <c r="K724" s="1225">
        <v>404959602</v>
      </c>
      <c r="L724" s="1225">
        <v>396534260</v>
      </c>
    </row>
    <row r="725" spans="1:12">
      <c r="A725" s="187" t="s">
        <v>2768</v>
      </c>
      <c r="B725" s="1224" t="s">
        <v>358</v>
      </c>
      <c r="C725" s="1225">
        <v>118680267</v>
      </c>
      <c r="D725" s="1225">
        <v>113957914</v>
      </c>
      <c r="E725" s="1225">
        <v>118680267</v>
      </c>
      <c r="F725" s="1225">
        <v>113957914</v>
      </c>
      <c r="G725" s="1225">
        <v>110647778</v>
      </c>
      <c r="H725" s="1225">
        <v>110647778</v>
      </c>
      <c r="I725" s="1225">
        <v>118680267</v>
      </c>
      <c r="J725" s="1225">
        <v>113957914</v>
      </c>
      <c r="K725" s="1225">
        <v>118680267</v>
      </c>
      <c r="L725" s="1225">
        <v>113957914</v>
      </c>
    </row>
    <row r="726" spans="1:12">
      <c r="A726" s="187" t="s">
        <v>5088</v>
      </c>
      <c r="B726" s="1224" t="s">
        <v>549</v>
      </c>
      <c r="C726" s="1225">
        <v>202392357</v>
      </c>
      <c r="D726" s="1225">
        <v>196713932</v>
      </c>
      <c r="E726" s="1225">
        <v>196515045</v>
      </c>
      <c r="F726" s="1225">
        <v>190836620</v>
      </c>
      <c r="G726" s="1225">
        <v>245484247</v>
      </c>
      <c r="H726" s="1225">
        <v>239925905</v>
      </c>
      <c r="I726" s="1225">
        <v>202392357</v>
      </c>
      <c r="J726" s="1225">
        <v>196713932</v>
      </c>
      <c r="K726" s="1225">
        <v>196515045</v>
      </c>
      <c r="L726" s="1225">
        <v>190836620</v>
      </c>
    </row>
    <row r="727" spans="1:12">
      <c r="A727" s="187" t="s">
        <v>6181</v>
      </c>
      <c r="B727" s="1224" t="s">
        <v>1936</v>
      </c>
      <c r="C727" s="1225">
        <v>252009750</v>
      </c>
      <c r="D727" s="1225">
        <v>238369171</v>
      </c>
      <c r="E727" s="1225">
        <v>240193006</v>
      </c>
      <c r="F727" s="1225">
        <v>226552427</v>
      </c>
      <c r="G727" s="1225">
        <v>280519176</v>
      </c>
      <c r="H727" s="1225">
        <v>269100685</v>
      </c>
      <c r="I727" s="1225">
        <v>252009750</v>
      </c>
      <c r="J727" s="1225">
        <v>238369171</v>
      </c>
      <c r="K727" s="1225">
        <v>240193006</v>
      </c>
      <c r="L727" s="1225">
        <v>226552427</v>
      </c>
    </row>
    <row r="728" spans="1:12">
      <c r="A728" s="187" t="s">
        <v>1848</v>
      </c>
      <c r="B728" s="1224" t="s">
        <v>1000</v>
      </c>
      <c r="C728" s="1225">
        <v>574466024</v>
      </c>
      <c r="D728" s="1225">
        <v>566248826</v>
      </c>
      <c r="E728" s="1225">
        <v>567105629</v>
      </c>
      <c r="F728" s="1225">
        <v>558888431</v>
      </c>
      <c r="G728" s="1225">
        <v>579731885</v>
      </c>
      <c r="H728" s="1225">
        <v>572654492</v>
      </c>
      <c r="I728" s="1225">
        <v>574466024</v>
      </c>
      <c r="J728" s="1225">
        <v>566248826</v>
      </c>
      <c r="K728" s="1225">
        <v>567105629</v>
      </c>
      <c r="L728" s="1225">
        <v>558888431</v>
      </c>
    </row>
    <row r="729" spans="1:12">
      <c r="A729" s="187" t="s">
        <v>2471</v>
      </c>
      <c r="B729" s="1224" t="s">
        <v>8242</v>
      </c>
      <c r="C729" s="1225">
        <v>160831486</v>
      </c>
      <c r="D729" s="1225">
        <v>156905236</v>
      </c>
      <c r="E729" s="1225">
        <v>160831486</v>
      </c>
      <c r="F729" s="1225">
        <v>156905236</v>
      </c>
      <c r="G729" s="1225">
        <v>145964695</v>
      </c>
      <c r="H729" s="1225">
        <v>145964695</v>
      </c>
      <c r="I729" s="1225">
        <v>390061066</v>
      </c>
      <c r="J729" s="1225">
        <v>386134816</v>
      </c>
      <c r="K729" s="1225">
        <v>390061066</v>
      </c>
      <c r="L729" s="1225">
        <v>386134816</v>
      </c>
    </row>
    <row r="730" spans="1:12">
      <c r="A730" s="187" t="s">
        <v>6044</v>
      </c>
      <c r="B730" s="1224" t="s">
        <v>550</v>
      </c>
      <c r="C730" s="1225">
        <v>755155970</v>
      </c>
      <c r="D730" s="1225">
        <v>731417250</v>
      </c>
      <c r="E730" s="1225">
        <v>755155970</v>
      </c>
      <c r="F730" s="1225">
        <v>731417250</v>
      </c>
      <c r="G730" s="1225">
        <v>736405001</v>
      </c>
      <c r="H730" s="1225">
        <v>736405001</v>
      </c>
      <c r="I730" s="1225">
        <v>755155970</v>
      </c>
      <c r="J730" s="1225">
        <v>731417250</v>
      </c>
      <c r="K730" s="1225">
        <v>755155970</v>
      </c>
      <c r="L730" s="1225">
        <v>731417250</v>
      </c>
    </row>
    <row r="731" spans="1:12">
      <c r="A731" s="187" t="s">
        <v>6046</v>
      </c>
      <c r="B731" s="1224" t="s">
        <v>4207</v>
      </c>
      <c r="C731" s="1225">
        <v>512629817</v>
      </c>
      <c r="D731" s="1225">
        <v>510445276</v>
      </c>
      <c r="E731" s="1225">
        <v>512629817</v>
      </c>
      <c r="F731" s="1225">
        <v>510445276</v>
      </c>
      <c r="G731" s="1225">
        <v>333858317</v>
      </c>
      <c r="H731" s="1225">
        <v>333858317</v>
      </c>
      <c r="I731" s="1225">
        <v>754644376</v>
      </c>
      <c r="J731" s="1225">
        <v>752459835</v>
      </c>
      <c r="K731" s="1225">
        <v>754644376</v>
      </c>
      <c r="L731" s="1225">
        <v>752459835</v>
      </c>
    </row>
    <row r="732" spans="1:12">
      <c r="A732" s="187" t="s">
        <v>4185</v>
      </c>
      <c r="B732" s="1224" t="s">
        <v>552</v>
      </c>
      <c r="C732" s="1225">
        <v>249430926</v>
      </c>
      <c r="D732" s="1225">
        <v>248547366</v>
      </c>
      <c r="E732" s="1225">
        <v>249430926</v>
      </c>
      <c r="F732" s="1225">
        <v>248547366</v>
      </c>
      <c r="G732" s="1225">
        <v>230037967</v>
      </c>
      <c r="H732" s="1225">
        <v>230037967</v>
      </c>
      <c r="I732" s="1225">
        <v>453483776</v>
      </c>
      <c r="J732" s="1225">
        <v>452600216</v>
      </c>
      <c r="K732" s="1225">
        <v>453483776</v>
      </c>
      <c r="L732" s="1225">
        <v>452600216</v>
      </c>
    </row>
    <row r="733" spans="1:12">
      <c r="A733" s="187" t="s">
        <v>6689</v>
      </c>
      <c r="B733" s="1224" t="s">
        <v>553</v>
      </c>
      <c r="C733" s="1225">
        <v>143535717</v>
      </c>
      <c r="D733" s="1225">
        <v>140998150</v>
      </c>
      <c r="E733" s="1225">
        <v>143535717</v>
      </c>
      <c r="F733" s="1225">
        <v>140998150</v>
      </c>
      <c r="G733" s="1225">
        <v>137832772</v>
      </c>
      <c r="H733" s="1225">
        <v>137832772</v>
      </c>
      <c r="I733" s="1225">
        <v>143535717</v>
      </c>
      <c r="J733" s="1225">
        <v>140998150</v>
      </c>
      <c r="K733" s="1225">
        <v>143535717</v>
      </c>
      <c r="L733" s="1225">
        <v>140998150</v>
      </c>
    </row>
    <row r="734" spans="1:12">
      <c r="A734" s="187" t="s">
        <v>6691</v>
      </c>
      <c r="B734" s="1224" t="s">
        <v>4211</v>
      </c>
      <c r="C734" s="1225">
        <v>519959973</v>
      </c>
      <c r="D734" s="1225">
        <v>507788527</v>
      </c>
      <c r="E734" s="1225">
        <v>507727913</v>
      </c>
      <c r="F734" s="1225">
        <v>495556467</v>
      </c>
      <c r="G734" s="1225">
        <v>511052884</v>
      </c>
      <c r="H734" s="1225">
        <v>500000959</v>
      </c>
      <c r="I734" s="1225">
        <v>519959973</v>
      </c>
      <c r="J734" s="1225">
        <v>507788527</v>
      </c>
      <c r="K734" s="1225">
        <v>507727913</v>
      </c>
      <c r="L734" s="1225">
        <v>495556467</v>
      </c>
    </row>
    <row r="735" spans="1:12">
      <c r="A735" s="187" t="s">
        <v>6693</v>
      </c>
      <c r="B735" s="1224" t="s">
        <v>555</v>
      </c>
      <c r="C735" s="1225">
        <v>1506786029</v>
      </c>
      <c r="D735" s="1225">
        <v>1460597514</v>
      </c>
      <c r="E735" s="1225">
        <v>1506786029</v>
      </c>
      <c r="F735" s="1225">
        <v>1460597514</v>
      </c>
      <c r="G735" s="1225">
        <v>1413263471</v>
      </c>
      <c r="H735" s="1225">
        <v>1413263471</v>
      </c>
      <c r="I735" s="1225">
        <v>1714101289</v>
      </c>
      <c r="J735" s="1225">
        <v>1667912774</v>
      </c>
      <c r="K735" s="1225">
        <v>1714101289</v>
      </c>
      <c r="L735" s="1225">
        <v>1667912774</v>
      </c>
    </row>
    <row r="736" spans="1:12">
      <c r="A736" s="187" t="s">
        <v>240</v>
      </c>
      <c r="B736" s="1224" t="s">
        <v>2648</v>
      </c>
      <c r="C736" s="1225">
        <v>15431349763</v>
      </c>
      <c r="D736" s="1225">
        <v>14987118111</v>
      </c>
      <c r="E736" s="1225">
        <v>15431349763</v>
      </c>
      <c r="F736" s="1225">
        <v>14987118111</v>
      </c>
      <c r="G736" s="1225">
        <v>13731352405</v>
      </c>
      <c r="H736" s="1225">
        <v>13731352405</v>
      </c>
      <c r="I736" s="1225">
        <v>15431349763</v>
      </c>
      <c r="J736" s="1225">
        <v>14987118111</v>
      </c>
      <c r="K736" s="1225">
        <v>15431349763</v>
      </c>
      <c r="L736" s="1225">
        <v>14987118111</v>
      </c>
    </row>
    <row r="737" spans="1:12">
      <c r="A737" s="187" t="s">
        <v>6695</v>
      </c>
      <c r="B737" s="1224" t="s">
        <v>556</v>
      </c>
      <c r="C737" s="1225">
        <v>86526177</v>
      </c>
      <c r="D737" s="1225">
        <v>84431036</v>
      </c>
      <c r="E737" s="1225">
        <v>86526177</v>
      </c>
      <c r="F737" s="1225">
        <v>84431036</v>
      </c>
      <c r="G737" s="1225">
        <v>116161854</v>
      </c>
      <c r="H737" s="1225">
        <v>116161854</v>
      </c>
      <c r="I737" s="1225">
        <v>86526177</v>
      </c>
      <c r="J737" s="1225">
        <v>84431036</v>
      </c>
      <c r="K737" s="1225">
        <v>86526177</v>
      </c>
      <c r="L737" s="1225">
        <v>84431036</v>
      </c>
    </row>
    <row r="738" spans="1:12">
      <c r="A738" s="187" t="s">
        <v>745</v>
      </c>
      <c r="B738" s="1224" t="s">
        <v>557</v>
      </c>
      <c r="C738" s="1225">
        <v>341573247</v>
      </c>
      <c r="D738" s="1225">
        <v>335783242</v>
      </c>
      <c r="E738" s="1225">
        <v>341573247</v>
      </c>
      <c r="F738" s="1225">
        <v>335783242</v>
      </c>
      <c r="G738" s="1225">
        <v>286929658</v>
      </c>
      <c r="H738" s="1225">
        <v>286929658</v>
      </c>
      <c r="I738" s="1225">
        <v>341573247</v>
      </c>
      <c r="J738" s="1225">
        <v>335783242</v>
      </c>
      <c r="K738" s="1225">
        <v>341573247</v>
      </c>
      <c r="L738" s="1225">
        <v>335783242</v>
      </c>
    </row>
    <row r="739" spans="1:12">
      <c r="A739" s="187" t="s">
        <v>747</v>
      </c>
      <c r="B739" s="1224" t="s">
        <v>558</v>
      </c>
      <c r="C739" s="1225">
        <v>2413783834</v>
      </c>
      <c r="D739" s="1225">
        <v>2403278297</v>
      </c>
      <c r="E739" s="1225">
        <v>2413783834</v>
      </c>
      <c r="F739" s="1225">
        <v>2403278297</v>
      </c>
      <c r="G739" s="1225">
        <v>2027243426</v>
      </c>
      <c r="H739" s="1225">
        <v>2027243426</v>
      </c>
      <c r="I739" s="1225">
        <v>2413783834</v>
      </c>
      <c r="J739" s="1225">
        <v>2403278297</v>
      </c>
      <c r="K739" s="1225">
        <v>2413783834</v>
      </c>
      <c r="L739" s="1225">
        <v>2403278297</v>
      </c>
    </row>
    <row r="740" spans="1:12">
      <c r="A740" s="187" t="s">
        <v>2308</v>
      </c>
      <c r="B740" s="1224" t="s">
        <v>366</v>
      </c>
      <c r="C740" s="1225">
        <v>543233141</v>
      </c>
      <c r="D740" s="1225">
        <v>517701081</v>
      </c>
      <c r="E740" s="1225">
        <v>543233141</v>
      </c>
      <c r="F740" s="1225">
        <v>517701081</v>
      </c>
      <c r="G740" s="1225">
        <v>511626316</v>
      </c>
      <c r="H740" s="1225">
        <v>511626316</v>
      </c>
      <c r="I740" s="1225">
        <v>543233141</v>
      </c>
      <c r="J740" s="1225">
        <v>517701081</v>
      </c>
      <c r="K740" s="1225">
        <v>543233141</v>
      </c>
      <c r="L740" s="1225">
        <v>517701081</v>
      </c>
    </row>
    <row r="741" spans="1:12">
      <c r="A741" s="187" t="s">
        <v>749</v>
      </c>
      <c r="B741" s="1224" t="s">
        <v>559</v>
      </c>
      <c r="C741" s="1225">
        <v>2611555410</v>
      </c>
      <c r="D741" s="1225">
        <v>2587554023</v>
      </c>
      <c r="E741" s="1225">
        <v>2577957433</v>
      </c>
      <c r="F741" s="1225">
        <v>2553956046</v>
      </c>
      <c r="G741" s="1225">
        <v>2312687753</v>
      </c>
      <c r="H741" s="1225">
        <v>2282201160</v>
      </c>
      <c r="I741" s="1225">
        <v>2721189573</v>
      </c>
      <c r="J741" s="1225">
        <v>2697188186</v>
      </c>
      <c r="K741" s="1225">
        <v>2687591596</v>
      </c>
      <c r="L741" s="1225">
        <v>2663590209</v>
      </c>
    </row>
    <row r="742" spans="1:12">
      <c r="A742" s="187" t="s">
        <v>2953</v>
      </c>
      <c r="B742" s="1224" t="s">
        <v>560</v>
      </c>
      <c r="C742" s="1225">
        <v>339109029</v>
      </c>
      <c r="D742" s="1225">
        <v>330716439</v>
      </c>
      <c r="E742" s="1225">
        <v>339109029</v>
      </c>
      <c r="F742" s="1225">
        <v>330716439</v>
      </c>
      <c r="G742" s="1225">
        <v>271108664</v>
      </c>
      <c r="H742" s="1225">
        <v>271108664</v>
      </c>
      <c r="I742" s="1225">
        <v>339109029</v>
      </c>
      <c r="J742" s="1225">
        <v>330716439</v>
      </c>
      <c r="K742" s="1225">
        <v>339109029</v>
      </c>
      <c r="L742" s="1225">
        <v>330716439</v>
      </c>
    </row>
    <row r="743" spans="1:12">
      <c r="A743" s="187" t="s">
        <v>2955</v>
      </c>
      <c r="B743" s="1224" t="s">
        <v>561</v>
      </c>
      <c r="C743" s="1225">
        <v>2895988046</v>
      </c>
      <c r="D743" s="1225">
        <v>2830957079</v>
      </c>
      <c r="E743" s="1225">
        <v>2895988046</v>
      </c>
      <c r="F743" s="1225">
        <v>2830957079</v>
      </c>
      <c r="G743" s="1225">
        <v>2616536651</v>
      </c>
      <c r="H743" s="1225">
        <v>2616536651</v>
      </c>
      <c r="I743" s="1225">
        <v>2895988046</v>
      </c>
      <c r="J743" s="1225">
        <v>2830957079</v>
      </c>
      <c r="K743" s="1225">
        <v>2895988046</v>
      </c>
      <c r="L743" s="1225">
        <v>2830957079</v>
      </c>
    </row>
    <row r="744" spans="1:12">
      <c r="A744" s="187" t="s">
        <v>2957</v>
      </c>
      <c r="B744" s="1224" t="s">
        <v>562</v>
      </c>
      <c r="C744" s="1225">
        <v>781097761</v>
      </c>
      <c r="D744" s="1225">
        <v>766963661</v>
      </c>
      <c r="E744" s="1225">
        <v>781097761</v>
      </c>
      <c r="F744" s="1225">
        <v>766963661</v>
      </c>
      <c r="G744" s="1225">
        <v>726657589</v>
      </c>
      <c r="H744" s="1225">
        <v>726657589</v>
      </c>
      <c r="I744" s="1225">
        <v>781097761</v>
      </c>
      <c r="J744" s="1225">
        <v>766963661</v>
      </c>
      <c r="K744" s="1225">
        <v>781097761</v>
      </c>
      <c r="L744" s="1225">
        <v>766963661</v>
      </c>
    </row>
    <row r="745" spans="1:12">
      <c r="A745" s="187" t="s">
        <v>5123</v>
      </c>
      <c r="B745" s="1224" t="s">
        <v>337</v>
      </c>
      <c r="C745" s="1225">
        <v>1144724646</v>
      </c>
      <c r="D745" s="1225">
        <v>1125961445</v>
      </c>
      <c r="E745" s="1225">
        <v>1144724646</v>
      </c>
      <c r="F745" s="1225">
        <v>1125961445</v>
      </c>
      <c r="G745" s="1225">
        <v>1772463969</v>
      </c>
      <c r="H745" s="1225">
        <v>1772463969</v>
      </c>
      <c r="I745" s="1225">
        <v>1344942506</v>
      </c>
      <c r="J745" s="1225">
        <v>1326179305</v>
      </c>
      <c r="K745" s="1225">
        <v>1344942506</v>
      </c>
      <c r="L745" s="1225">
        <v>1326179305</v>
      </c>
    </row>
    <row r="746" spans="1:12">
      <c r="A746" s="187" t="s">
        <v>4119</v>
      </c>
      <c r="B746" s="1224" t="s">
        <v>563</v>
      </c>
      <c r="C746" s="1225">
        <v>146527898</v>
      </c>
      <c r="D746" s="1225">
        <v>143640598</v>
      </c>
      <c r="E746" s="1225">
        <v>146527898</v>
      </c>
      <c r="F746" s="1225">
        <v>143640598</v>
      </c>
      <c r="G746" s="1225">
        <v>230917761</v>
      </c>
      <c r="H746" s="1225">
        <v>230917761</v>
      </c>
      <c r="I746" s="1225">
        <v>464763588</v>
      </c>
      <c r="J746" s="1225">
        <v>461876288</v>
      </c>
      <c r="K746" s="1225">
        <v>464763588</v>
      </c>
      <c r="L746" s="1225">
        <v>461876288</v>
      </c>
    </row>
    <row r="747" spans="1:12">
      <c r="A747" s="187" t="s">
        <v>4121</v>
      </c>
      <c r="B747" s="1224" t="s">
        <v>564</v>
      </c>
      <c r="C747" s="1225">
        <v>63162766</v>
      </c>
      <c r="D747" s="1225">
        <v>62595851</v>
      </c>
      <c r="E747" s="1225">
        <v>63162766</v>
      </c>
      <c r="F747" s="1225">
        <v>62595851</v>
      </c>
      <c r="G747" s="1225">
        <v>73002609</v>
      </c>
      <c r="H747" s="1225">
        <v>73002609</v>
      </c>
      <c r="I747" s="1225">
        <v>328386226</v>
      </c>
      <c r="J747" s="1225">
        <v>327819311</v>
      </c>
      <c r="K747" s="1225">
        <v>328386226</v>
      </c>
      <c r="L747" s="1225">
        <v>327819311</v>
      </c>
    </row>
    <row r="748" spans="1:12">
      <c r="A748" s="187" t="s">
        <v>4123</v>
      </c>
      <c r="B748" s="1224" t="s">
        <v>565</v>
      </c>
      <c r="C748" s="1225">
        <v>72553073</v>
      </c>
      <c r="D748" s="1225">
        <v>71819789</v>
      </c>
      <c r="E748" s="1225">
        <v>72553073</v>
      </c>
      <c r="F748" s="1225">
        <v>71819789</v>
      </c>
      <c r="G748" s="1225">
        <v>83064598</v>
      </c>
      <c r="H748" s="1225">
        <v>83064598</v>
      </c>
      <c r="I748" s="1225">
        <v>208222943</v>
      </c>
      <c r="J748" s="1225">
        <v>207489659</v>
      </c>
      <c r="K748" s="1225">
        <v>208222943</v>
      </c>
      <c r="L748" s="1225">
        <v>207489659</v>
      </c>
    </row>
    <row r="749" spans="1:12">
      <c r="A749" s="187" t="s">
        <v>5032</v>
      </c>
      <c r="B749" s="1224" t="s">
        <v>7666</v>
      </c>
      <c r="C749" s="1225">
        <v>1031756368</v>
      </c>
      <c r="D749" s="1225">
        <v>997220473</v>
      </c>
      <c r="E749" s="1225">
        <v>1031756368</v>
      </c>
      <c r="F749" s="1225">
        <v>997220473</v>
      </c>
      <c r="G749" s="1225">
        <v>946124335</v>
      </c>
      <c r="H749" s="1225">
        <v>921404761</v>
      </c>
      <c r="I749" s="1225">
        <v>1031756368</v>
      </c>
      <c r="J749" s="1225">
        <v>997220473</v>
      </c>
      <c r="K749" s="1225">
        <v>1031756368</v>
      </c>
      <c r="L749" s="1225">
        <v>997220473</v>
      </c>
    </row>
    <row r="750" spans="1:12">
      <c r="A750" s="187" t="s">
        <v>4125</v>
      </c>
      <c r="B750" s="1224" t="s">
        <v>566</v>
      </c>
      <c r="C750" s="1225">
        <v>543424604</v>
      </c>
      <c r="D750" s="1225">
        <v>522570907</v>
      </c>
      <c r="E750" s="1225">
        <v>513914673</v>
      </c>
      <c r="F750" s="1225">
        <v>493060976</v>
      </c>
      <c r="G750" s="1225">
        <v>475038263</v>
      </c>
      <c r="H750" s="1225">
        <v>448377266</v>
      </c>
      <c r="I750" s="1225">
        <v>543424604</v>
      </c>
      <c r="J750" s="1225">
        <v>522570907</v>
      </c>
      <c r="K750" s="1225">
        <v>513914673</v>
      </c>
      <c r="L750" s="1225">
        <v>493060976</v>
      </c>
    </row>
    <row r="751" spans="1:12">
      <c r="A751" s="187" t="s">
        <v>4127</v>
      </c>
      <c r="B751" s="1224" t="s">
        <v>4229</v>
      </c>
      <c r="C751" s="1225">
        <v>1829763568</v>
      </c>
      <c r="D751" s="1225">
        <v>1794942178</v>
      </c>
      <c r="E751" s="1225">
        <v>1799705913</v>
      </c>
      <c r="F751" s="1225">
        <v>1764884523</v>
      </c>
      <c r="G751" s="1225">
        <v>1826951242</v>
      </c>
      <c r="H751" s="1225">
        <v>1796789725</v>
      </c>
      <c r="I751" s="1225">
        <v>1829763568</v>
      </c>
      <c r="J751" s="1225">
        <v>1794942178</v>
      </c>
      <c r="K751" s="1225">
        <v>1799705913</v>
      </c>
      <c r="L751" s="1225">
        <v>1764884523</v>
      </c>
    </row>
    <row r="752" spans="1:12">
      <c r="A752" s="187" t="s">
        <v>5033</v>
      </c>
      <c r="B752" s="1224" t="s">
        <v>4059</v>
      </c>
      <c r="C752" s="1225">
        <v>1147528436</v>
      </c>
      <c r="D752" s="1225">
        <v>1093022887</v>
      </c>
      <c r="E752" s="1225">
        <v>1108168650</v>
      </c>
      <c r="F752" s="1225">
        <v>1053663101</v>
      </c>
      <c r="G752" s="1225">
        <v>1070217986</v>
      </c>
      <c r="H752" s="1225">
        <v>1032651870</v>
      </c>
      <c r="I752" s="1225">
        <v>1147528436</v>
      </c>
      <c r="J752" s="1225">
        <v>1093022887</v>
      </c>
      <c r="K752" s="1225">
        <v>1108168650</v>
      </c>
      <c r="L752" s="1225">
        <v>1053663101</v>
      </c>
    </row>
    <row r="753" spans="1:12">
      <c r="A753" s="187" t="s">
        <v>4129</v>
      </c>
      <c r="B753" s="1224" t="s">
        <v>1621</v>
      </c>
      <c r="C753" s="1225">
        <v>1007407644</v>
      </c>
      <c r="D753" s="1225">
        <v>960368299</v>
      </c>
      <c r="E753" s="1225">
        <v>962273974</v>
      </c>
      <c r="F753" s="1225">
        <v>915234629</v>
      </c>
      <c r="G753" s="1225">
        <v>966932095</v>
      </c>
      <c r="H753" s="1225">
        <v>922593303</v>
      </c>
      <c r="I753" s="1225">
        <v>1007407644</v>
      </c>
      <c r="J753" s="1225">
        <v>960368299</v>
      </c>
      <c r="K753" s="1225">
        <v>962273974</v>
      </c>
      <c r="L753" s="1225">
        <v>915234629</v>
      </c>
    </row>
    <row r="754" spans="1:12">
      <c r="A754" s="187" t="s">
        <v>4131</v>
      </c>
      <c r="B754" s="1224" t="s">
        <v>1622</v>
      </c>
      <c r="C754" s="1225">
        <v>159578995</v>
      </c>
      <c r="D754" s="1225">
        <v>156310135</v>
      </c>
      <c r="E754" s="1225">
        <v>159578995</v>
      </c>
      <c r="F754" s="1225">
        <v>156310135</v>
      </c>
      <c r="G754" s="1225">
        <v>161149944</v>
      </c>
      <c r="H754" s="1225">
        <v>161149944</v>
      </c>
      <c r="I754" s="1225">
        <v>159578995</v>
      </c>
      <c r="J754" s="1225">
        <v>156310135</v>
      </c>
      <c r="K754" s="1225">
        <v>159578995</v>
      </c>
      <c r="L754" s="1225">
        <v>156310135</v>
      </c>
    </row>
    <row r="755" spans="1:12">
      <c r="A755" s="187" t="s">
        <v>4133</v>
      </c>
      <c r="B755" s="1224" t="s">
        <v>1623</v>
      </c>
      <c r="C755" s="1225">
        <v>954404135</v>
      </c>
      <c r="D755" s="1225">
        <v>948992842</v>
      </c>
      <c r="E755" s="1225">
        <v>954404135</v>
      </c>
      <c r="F755" s="1225">
        <v>948992842</v>
      </c>
      <c r="G755" s="1225">
        <v>996383547</v>
      </c>
      <c r="H755" s="1225">
        <v>996383547</v>
      </c>
      <c r="I755" s="1225">
        <v>954404135</v>
      </c>
      <c r="J755" s="1225">
        <v>948992842</v>
      </c>
      <c r="K755" s="1225">
        <v>954404135</v>
      </c>
      <c r="L755" s="1225">
        <v>948992842</v>
      </c>
    </row>
    <row r="756" spans="1:12">
      <c r="A756" s="187" t="s">
        <v>6175</v>
      </c>
      <c r="B756" s="1224" t="s">
        <v>501</v>
      </c>
      <c r="C756" s="1225">
        <v>763224434</v>
      </c>
      <c r="D756" s="1225">
        <v>729129076</v>
      </c>
      <c r="E756" s="1225">
        <v>763224434</v>
      </c>
      <c r="F756" s="1225">
        <v>729129076</v>
      </c>
      <c r="G756" s="1225">
        <v>779256547</v>
      </c>
      <c r="H756" s="1225">
        <v>779256547</v>
      </c>
      <c r="I756" s="1225">
        <v>763224434</v>
      </c>
      <c r="J756" s="1225">
        <v>729129076</v>
      </c>
      <c r="K756" s="1225">
        <v>763224434</v>
      </c>
      <c r="L756" s="1225">
        <v>729129076</v>
      </c>
    </row>
    <row r="757" spans="1:12">
      <c r="A757" s="187" t="s">
        <v>4135</v>
      </c>
      <c r="B757" s="1224" t="s">
        <v>1624</v>
      </c>
      <c r="C757" s="1225">
        <v>276657824</v>
      </c>
      <c r="D757" s="1225">
        <v>268534512</v>
      </c>
      <c r="E757" s="1225">
        <v>276657824</v>
      </c>
      <c r="F757" s="1225">
        <v>268534512</v>
      </c>
      <c r="G757" s="1225">
        <v>282135125</v>
      </c>
      <c r="H757" s="1225">
        <v>282135125</v>
      </c>
      <c r="I757" s="1225">
        <v>276657824</v>
      </c>
      <c r="J757" s="1225">
        <v>268534512</v>
      </c>
      <c r="K757" s="1225">
        <v>276657824</v>
      </c>
      <c r="L757" s="1225">
        <v>268534512</v>
      </c>
    </row>
    <row r="758" spans="1:12">
      <c r="A758" s="187" t="s">
        <v>4137</v>
      </c>
      <c r="B758" s="1224" t="s">
        <v>1625</v>
      </c>
      <c r="C758" s="1225">
        <v>55339244</v>
      </c>
      <c r="D758" s="1225">
        <v>53899855</v>
      </c>
      <c r="E758" s="1225">
        <v>55339244</v>
      </c>
      <c r="F758" s="1225">
        <v>53899855</v>
      </c>
      <c r="G758" s="1225">
        <v>67163881</v>
      </c>
      <c r="H758" s="1225">
        <v>67163881</v>
      </c>
      <c r="I758" s="1225">
        <v>55339244</v>
      </c>
      <c r="J758" s="1225">
        <v>53899855</v>
      </c>
      <c r="K758" s="1225">
        <v>55339244</v>
      </c>
      <c r="L758" s="1225">
        <v>53899855</v>
      </c>
    </row>
    <row r="759" spans="1:12">
      <c r="A759" s="187" t="s">
        <v>4139</v>
      </c>
      <c r="B759" s="1224" t="s">
        <v>1626</v>
      </c>
      <c r="C759" s="1225">
        <v>517247136</v>
      </c>
      <c r="D759" s="1225">
        <v>514744069</v>
      </c>
      <c r="E759" s="1225">
        <v>508769894</v>
      </c>
      <c r="F759" s="1225">
        <v>506266827</v>
      </c>
      <c r="G759" s="1225">
        <v>536754083</v>
      </c>
      <c r="H759" s="1225">
        <v>528389055</v>
      </c>
      <c r="I759" s="1225">
        <v>517247136</v>
      </c>
      <c r="J759" s="1225">
        <v>514744069</v>
      </c>
      <c r="K759" s="1225">
        <v>508769894</v>
      </c>
      <c r="L759" s="1225">
        <v>506266827</v>
      </c>
    </row>
    <row r="760" spans="1:12">
      <c r="A760" s="187" t="s">
        <v>4141</v>
      </c>
      <c r="B760" s="1224" t="s">
        <v>1627</v>
      </c>
      <c r="C760" s="1225">
        <v>386465961</v>
      </c>
      <c r="D760" s="1225">
        <v>380897631</v>
      </c>
      <c r="E760" s="1225">
        <v>379863971</v>
      </c>
      <c r="F760" s="1225">
        <v>374295641</v>
      </c>
      <c r="G760" s="1225">
        <v>491489059</v>
      </c>
      <c r="H760" s="1225">
        <v>484809887</v>
      </c>
      <c r="I760" s="1225">
        <v>386465961</v>
      </c>
      <c r="J760" s="1225">
        <v>380897631</v>
      </c>
      <c r="K760" s="1225">
        <v>379863971</v>
      </c>
      <c r="L760" s="1225">
        <v>374295641</v>
      </c>
    </row>
    <row r="761" spans="1:12">
      <c r="A761" s="187" t="s">
        <v>4143</v>
      </c>
      <c r="B761" s="1224" t="s">
        <v>1628</v>
      </c>
      <c r="C761" s="1225">
        <v>2772069291</v>
      </c>
      <c r="D761" s="1225">
        <v>2734203051</v>
      </c>
      <c r="E761" s="1225">
        <v>2728766031</v>
      </c>
      <c r="F761" s="1225">
        <v>2690899791</v>
      </c>
      <c r="G761" s="1225">
        <v>3572394525</v>
      </c>
      <c r="H761" s="1225">
        <v>3528928652</v>
      </c>
      <c r="I761" s="1225">
        <v>2772069291</v>
      </c>
      <c r="J761" s="1225">
        <v>2734203051</v>
      </c>
      <c r="K761" s="1225">
        <v>2728766031</v>
      </c>
      <c r="L761" s="1225">
        <v>2690899791</v>
      </c>
    </row>
    <row r="762" spans="1:12">
      <c r="A762" s="187" t="s">
        <v>1318</v>
      </c>
      <c r="B762" s="1224" t="s">
        <v>124</v>
      </c>
      <c r="C762" s="1225">
        <v>165447300</v>
      </c>
      <c r="D762" s="1225">
        <v>160988740</v>
      </c>
      <c r="E762" s="1225">
        <v>160968245</v>
      </c>
      <c r="F762" s="1225">
        <v>156509685</v>
      </c>
      <c r="G762" s="1225">
        <v>280719498</v>
      </c>
      <c r="H762" s="1225">
        <v>276079116</v>
      </c>
      <c r="I762" s="1225">
        <v>165447300</v>
      </c>
      <c r="J762" s="1225">
        <v>160988740</v>
      </c>
      <c r="K762" s="1225">
        <v>160968245</v>
      </c>
      <c r="L762" s="1225">
        <v>156509685</v>
      </c>
    </row>
    <row r="763" spans="1:12">
      <c r="A763" s="187" t="s">
        <v>2536</v>
      </c>
      <c r="B763" s="1224" t="s">
        <v>344</v>
      </c>
      <c r="C763" s="1225">
        <v>181640644</v>
      </c>
      <c r="D763" s="1225">
        <v>175536363</v>
      </c>
      <c r="E763" s="1225">
        <v>181640644</v>
      </c>
      <c r="F763" s="1225">
        <v>175536363</v>
      </c>
      <c r="G763" s="1225">
        <v>180457317</v>
      </c>
      <c r="H763" s="1225">
        <v>180457317</v>
      </c>
      <c r="I763" s="1225">
        <v>181640644</v>
      </c>
      <c r="J763" s="1225">
        <v>175536363</v>
      </c>
      <c r="K763" s="1225">
        <v>181640644</v>
      </c>
      <c r="L763" s="1225">
        <v>175536363</v>
      </c>
    </row>
    <row r="764" spans="1:12">
      <c r="A764" s="187" t="s">
        <v>2407</v>
      </c>
      <c r="B764" s="1224" t="s">
        <v>2352</v>
      </c>
      <c r="C764" s="1225">
        <v>937872047</v>
      </c>
      <c r="D764" s="1225">
        <v>894615451</v>
      </c>
      <c r="E764" s="1225">
        <v>937872047</v>
      </c>
      <c r="F764" s="1225">
        <v>894615451</v>
      </c>
      <c r="G764" s="1225">
        <v>925036922</v>
      </c>
      <c r="H764" s="1225">
        <v>925036922</v>
      </c>
      <c r="I764" s="1225">
        <v>937872047</v>
      </c>
      <c r="J764" s="1225">
        <v>894615451</v>
      </c>
      <c r="K764" s="1225">
        <v>937872047</v>
      </c>
      <c r="L764" s="1225">
        <v>894615451</v>
      </c>
    </row>
    <row r="765" spans="1:12">
      <c r="A765" s="187" t="s">
        <v>5034</v>
      </c>
      <c r="B765" s="1224" t="s">
        <v>4064</v>
      </c>
      <c r="C765" s="1225">
        <v>3824369318</v>
      </c>
      <c r="D765" s="1225">
        <v>3711133633</v>
      </c>
      <c r="E765" s="1225">
        <v>3824369318</v>
      </c>
      <c r="F765" s="1225">
        <v>3711133633</v>
      </c>
      <c r="G765" s="1225">
        <v>3674095149</v>
      </c>
      <c r="H765" s="1225">
        <v>3674095149</v>
      </c>
      <c r="I765" s="1225">
        <v>3824369318</v>
      </c>
      <c r="J765" s="1225">
        <v>3711133633</v>
      </c>
      <c r="K765" s="1225">
        <v>3824369318</v>
      </c>
      <c r="L765" s="1225">
        <v>3711133633</v>
      </c>
    </row>
    <row r="766" spans="1:12">
      <c r="A766" s="187" t="s">
        <v>6174</v>
      </c>
      <c r="B766" s="1224" t="s">
        <v>500</v>
      </c>
      <c r="C766" s="1225">
        <v>315771118</v>
      </c>
      <c r="D766" s="1225">
        <v>305609758</v>
      </c>
      <c r="E766" s="1225">
        <v>315771118</v>
      </c>
      <c r="F766" s="1225">
        <v>305609758</v>
      </c>
      <c r="G766" s="1225">
        <v>294401492</v>
      </c>
      <c r="H766" s="1225">
        <v>294401492</v>
      </c>
      <c r="I766" s="1225">
        <v>315771118</v>
      </c>
      <c r="J766" s="1225">
        <v>305609758</v>
      </c>
      <c r="K766" s="1225">
        <v>315771118</v>
      </c>
      <c r="L766" s="1225">
        <v>305609758</v>
      </c>
    </row>
    <row r="767" spans="1:12">
      <c r="A767" s="187" t="s">
        <v>4145</v>
      </c>
      <c r="B767" s="1224" t="s">
        <v>1629</v>
      </c>
      <c r="C767" s="1225">
        <v>2801213966</v>
      </c>
      <c r="D767" s="1225">
        <v>2740323557</v>
      </c>
      <c r="E767" s="1225">
        <v>2801213966</v>
      </c>
      <c r="F767" s="1225">
        <v>2740323557</v>
      </c>
      <c r="G767" s="1225">
        <v>2680825375</v>
      </c>
      <c r="H767" s="1225">
        <v>2680825375</v>
      </c>
      <c r="I767" s="1225">
        <v>2801213966</v>
      </c>
      <c r="J767" s="1225">
        <v>2740323557</v>
      </c>
      <c r="K767" s="1225">
        <v>2801213966</v>
      </c>
      <c r="L767" s="1225">
        <v>2740323557</v>
      </c>
    </row>
    <row r="768" spans="1:12">
      <c r="A768" s="187" t="s">
        <v>6196</v>
      </c>
      <c r="B768" s="1224" t="s">
        <v>5295</v>
      </c>
      <c r="C768" s="1225">
        <v>295146193</v>
      </c>
      <c r="D768" s="1225">
        <v>284438739</v>
      </c>
      <c r="E768" s="1225">
        <v>295146193</v>
      </c>
      <c r="F768" s="1225">
        <v>284438739</v>
      </c>
      <c r="G768" s="1225">
        <v>271547356</v>
      </c>
      <c r="H768" s="1225">
        <v>271547356</v>
      </c>
      <c r="I768" s="1225">
        <v>295146193</v>
      </c>
      <c r="J768" s="1225">
        <v>284438739</v>
      </c>
      <c r="K768" s="1225">
        <v>295146193</v>
      </c>
      <c r="L768" s="1225">
        <v>284438739</v>
      </c>
    </row>
    <row r="769" spans="1:12">
      <c r="A769" s="187" t="s">
        <v>6131</v>
      </c>
      <c r="B769" s="1224" t="s">
        <v>7667</v>
      </c>
      <c r="C769" s="1225">
        <v>524321997</v>
      </c>
      <c r="D769" s="1225">
        <v>511753187</v>
      </c>
      <c r="E769" s="1225">
        <v>524321997</v>
      </c>
      <c r="F769" s="1225">
        <v>511753187</v>
      </c>
      <c r="G769" s="1225">
        <v>474726961</v>
      </c>
      <c r="H769" s="1225">
        <v>474726961</v>
      </c>
      <c r="I769" s="1225">
        <v>524321997</v>
      </c>
      <c r="J769" s="1225">
        <v>511753187</v>
      </c>
      <c r="K769" s="1225">
        <v>524321997</v>
      </c>
      <c r="L769" s="1225">
        <v>511753187</v>
      </c>
    </row>
    <row r="770" spans="1:12">
      <c r="A770" s="187" t="s">
        <v>254</v>
      </c>
      <c r="B770" s="1224" t="s">
        <v>1630</v>
      </c>
      <c r="C770" s="1225">
        <v>169507311</v>
      </c>
      <c r="D770" s="1225">
        <v>165529071</v>
      </c>
      <c r="E770" s="1225">
        <v>169507311</v>
      </c>
      <c r="F770" s="1225">
        <v>165529071</v>
      </c>
      <c r="G770" s="1225">
        <v>170639345</v>
      </c>
      <c r="H770" s="1225">
        <v>170639345</v>
      </c>
      <c r="I770" s="1225">
        <v>169507311</v>
      </c>
      <c r="J770" s="1225">
        <v>165529071</v>
      </c>
      <c r="K770" s="1225">
        <v>169507311</v>
      </c>
      <c r="L770" s="1225">
        <v>165529071</v>
      </c>
    </row>
    <row r="771" spans="1:12">
      <c r="A771" s="187" t="s">
        <v>256</v>
      </c>
      <c r="B771" s="1224" t="s">
        <v>1631</v>
      </c>
      <c r="C771" s="1225">
        <v>110725722</v>
      </c>
      <c r="D771" s="1225">
        <v>107758238</v>
      </c>
      <c r="E771" s="1225">
        <v>110725722</v>
      </c>
      <c r="F771" s="1225">
        <v>107758238</v>
      </c>
      <c r="G771" s="1225">
        <v>125842572</v>
      </c>
      <c r="H771" s="1225">
        <v>125842572</v>
      </c>
      <c r="I771" s="1225">
        <v>131708493</v>
      </c>
      <c r="J771" s="1225">
        <v>128741009</v>
      </c>
      <c r="K771" s="1225">
        <v>131708493</v>
      </c>
      <c r="L771" s="1225">
        <v>128741009</v>
      </c>
    </row>
    <row r="772" spans="1:12">
      <c r="A772" s="187" t="s">
        <v>258</v>
      </c>
      <c r="B772" s="1224" t="s">
        <v>1632</v>
      </c>
      <c r="C772" s="1225">
        <v>173498336</v>
      </c>
      <c r="D772" s="1225">
        <v>169323760</v>
      </c>
      <c r="E772" s="1225">
        <v>173498336</v>
      </c>
      <c r="F772" s="1225">
        <v>169323760</v>
      </c>
      <c r="G772" s="1225">
        <v>155845290</v>
      </c>
      <c r="H772" s="1225">
        <v>155845290</v>
      </c>
      <c r="I772" s="1225">
        <v>173498336</v>
      </c>
      <c r="J772" s="1225">
        <v>169323760</v>
      </c>
      <c r="K772" s="1225">
        <v>173498336</v>
      </c>
      <c r="L772" s="1225">
        <v>169323760</v>
      </c>
    </row>
    <row r="773" spans="1:12">
      <c r="A773" s="187" t="s">
        <v>260</v>
      </c>
      <c r="B773" s="1224" t="s">
        <v>1633</v>
      </c>
      <c r="C773" s="1225">
        <v>356873470</v>
      </c>
      <c r="D773" s="1225">
        <v>349063086</v>
      </c>
      <c r="E773" s="1225">
        <v>356873470</v>
      </c>
      <c r="F773" s="1225">
        <v>349063086</v>
      </c>
      <c r="G773" s="1225">
        <v>344736680</v>
      </c>
      <c r="H773" s="1225">
        <v>344736680</v>
      </c>
      <c r="I773" s="1225">
        <v>356873470</v>
      </c>
      <c r="J773" s="1225">
        <v>349063086</v>
      </c>
      <c r="K773" s="1225">
        <v>356873470</v>
      </c>
      <c r="L773" s="1225">
        <v>349063086</v>
      </c>
    </row>
    <row r="774" spans="1:12">
      <c r="A774" s="187" t="s">
        <v>262</v>
      </c>
      <c r="B774" s="1224" t="s">
        <v>1634</v>
      </c>
      <c r="C774" s="1225">
        <v>67993736</v>
      </c>
      <c r="D774" s="1225">
        <v>66898761</v>
      </c>
      <c r="E774" s="1225">
        <v>67993736</v>
      </c>
      <c r="F774" s="1225">
        <v>66898761</v>
      </c>
      <c r="G774" s="1225">
        <v>64546102</v>
      </c>
      <c r="H774" s="1225">
        <v>64546102</v>
      </c>
      <c r="I774" s="1225">
        <v>67993736</v>
      </c>
      <c r="J774" s="1225">
        <v>66898761</v>
      </c>
      <c r="K774" s="1225">
        <v>67993736</v>
      </c>
      <c r="L774" s="1225">
        <v>66898761</v>
      </c>
    </row>
    <row r="775" spans="1:12">
      <c r="A775" s="187" t="s">
        <v>872</v>
      </c>
      <c r="B775" s="1224" t="s">
        <v>397</v>
      </c>
      <c r="C775" s="1225">
        <v>207066694</v>
      </c>
      <c r="D775" s="1225">
        <v>206494504</v>
      </c>
      <c r="E775" s="1225">
        <v>206719539</v>
      </c>
      <c r="F775" s="1225">
        <v>206147349</v>
      </c>
      <c r="G775" s="1225">
        <v>241518413</v>
      </c>
      <c r="H775" s="1225">
        <v>241225593</v>
      </c>
      <c r="I775" s="1225">
        <v>311542694</v>
      </c>
      <c r="J775" s="1225">
        <v>310970504</v>
      </c>
      <c r="K775" s="1225">
        <v>311195539</v>
      </c>
      <c r="L775" s="1225">
        <v>310623349</v>
      </c>
    </row>
    <row r="776" spans="1:12">
      <c r="A776" s="187" t="s">
        <v>874</v>
      </c>
      <c r="B776" s="1224" t="s">
        <v>6848</v>
      </c>
      <c r="C776" s="1225">
        <v>1101981884</v>
      </c>
      <c r="D776" s="1225">
        <v>1079605234</v>
      </c>
      <c r="E776" s="1225">
        <v>1085096084</v>
      </c>
      <c r="F776" s="1225">
        <v>1062719434</v>
      </c>
      <c r="G776" s="1225">
        <v>1178942694</v>
      </c>
      <c r="H776" s="1225">
        <v>1162590647</v>
      </c>
      <c r="I776" s="1225">
        <v>1391749404</v>
      </c>
      <c r="J776" s="1225">
        <v>1369372754</v>
      </c>
      <c r="K776" s="1225">
        <v>1374863604</v>
      </c>
      <c r="L776" s="1225">
        <v>1352486954</v>
      </c>
    </row>
    <row r="777" spans="1:12">
      <c r="A777" s="187" t="s">
        <v>876</v>
      </c>
      <c r="B777" s="1224" t="s">
        <v>399</v>
      </c>
      <c r="C777" s="1225">
        <v>888165527</v>
      </c>
      <c r="D777" s="1225">
        <v>885055587</v>
      </c>
      <c r="E777" s="1225">
        <v>886183582</v>
      </c>
      <c r="F777" s="1225">
        <v>883073642</v>
      </c>
      <c r="G777" s="1225">
        <v>2083611216</v>
      </c>
      <c r="H777" s="1225">
        <v>2081730987</v>
      </c>
      <c r="I777" s="1225">
        <v>976328937</v>
      </c>
      <c r="J777" s="1225">
        <v>973218997</v>
      </c>
      <c r="K777" s="1225">
        <v>974346992</v>
      </c>
      <c r="L777" s="1225">
        <v>971237052</v>
      </c>
    </row>
    <row r="778" spans="1:12">
      <c r="A778" s="187" t="s">
        <v>3040</v>
      </c>
      <c r="B778" s="1224" t="s">
        <v>400</v>
      </c>
      <c r="C778" s="1225">
        <v>192686775</v>
      </c>
      <c r="D778" s="1225">
        <v>188333530</v>
      </c>
      <c r="E778" s="1225">
        <v>189194473</v>
      </c>
      <c r="F778" s="1225">
        <v>184841228</v>
      </c>
      <c r="G778" s="1225">
        <v>328990238</v>
      </c>
      <c r="H778" s="1225">
        <v>325653432</v>
      </c>
      <c r="I778" s="1225">
        <v>192686775</v>
      </c>
      <c r="J778" s="1225">
        <v>188333530</v>
      </c>
      <c r="K778" s="1225">
        <v>189194473</v>
      </c>
      <c r="L778" s="1225">
        <v>184841228</v>
      </c>
    </row>
    <row r="779" spans="1:12">
      <c r="A779" s="187" t="s">
        <v>3042</v>
      </c>
      <c r="B779" s="1224" t="s">
        <v>401</v>
      </c>
      <c r="C779" s="1225">
        <v>107982679</v>
      </c>
      <c r="D779" s="1225">
        <v>103366569</v>
      </c>
      <c r="E779" s="1225">
        <v>107982679</v>
      </c>
      <c r="F779" s="1225">
        <v>103366569</v>
      </c>
      <c r="G779" s="1225">
        <v>112637548</v>
      </c>
      <c r="H779" s="1225">
        <v>112637548</v>
      </c>
      <c r="I779" s="1225">
        <v>107982679</v>
      </c>
      <c r="J779" s="1225">
        <v>103366569</v>
      </c>
      <c r="K779" s="1225">
        <v>107982679</v>
      </c>
      <c r="L779" s="1225">
        <v>103366569</v>
      </c>
    </row>
    <row r="780" spans="1:12">
      <c r="A780" s="187" t="s">
        <v>709</v>
      </c>
      <c r="B780" s="1224" t="s">
        <v>402</v>
      </c>
      <c r="C780" s="1225">
        <v>376881385</v>
      </c>
      <c r="D780" s="1225">
        <v>368051109</v>
      </c>
      <c r="E780" s="1225">
        <v>370072344</v>
      </c>
      <c r="F780" s="1225">
        <v>361242068</v>
      </c>
      <c r="G780" s="1225">
        <v>314877983</v>
      </c>
      <c r="H780" s="1225">
        <v>308207139</v>
      </c>
      <c r="I780" s="1225">
        <v>376881385</v>
      </c>
      <c r="J780" s="1225">
        <v>368051109</v>
      </c>
      <c r="K780" s="1225">
        <v>370072344</v>
      </c>
      <c r="L780" s="1225">
        <v>361242068</v>
      </c>
    </row>
    <row r="781" spans="1:12">
      <c r="A781" s="187" t="s">
        <v>3044</v>
      </c>
      <c r="B781" s="1224" t="s">
        <v>403</v>
      </c>
      <c r="C781" s="1225">
        <v>88049593</v>
      </c>
      <c r="D781" s="1225">
        <v>85721202</v>
      </c>
      <c r="E781" s="1225">
        <v>88049593</v>
      </c>
      <c r="F781" s="1225">
        <v>85721202</v>
      </c>
      <c r="G781" s="1225">
        <v>134116556</v>
      </c>
      <c r="H781" s="1225">
        <v>134116556</v>
      </c>
      <c r="I781" s="1225">
        <v>88049593</v>
      </c>
      <c r="J781" s="1225">
        <v>85721202</v>
      </c>
      <c r="K781" s="1225">
        <v>88049593</v>
      </c>
      <c r="L781" s="1225">
        <v>85721202</v>
      </c>
    </row>
    <row r="782" spans="1:12">
      <c r="A782" s="187" t="s">
        <v>2992</v>
      </c>
      <c r="B782" s="1224" t="s">
        <v>195</v>
      </c>
      <c r="C782" s="1225">
        <v>1509535105</v>
      </c>
      <c r="D782" s="1225">
        <v>1458045066</v>
      </c>
      <c r="E782" s="1225">
        <v>1509535105</v>
      </c>
      <c r="F782" s="1225">
        <v>1458045066</v>
      </c>
      <c r="G782" s="1225">
        <v>1411261613</v>
      </c>
      <c r="H782" s="1225">
        <v>1411261613</v>
      </c>
      <c r="I782" s="1225">
        <v>1509535105</v>
      </c>
      <c r="J782" s="1225">
        <v>1458045066</v>
      </c>
      <c r="K782" s="1225">
        <v>1509535105</v>
      </c>
      <c r="L782" s="1225">
        <v>1458045066</v>
      </c>
    </row>
    <row r="783" spans="1:12">
      <c r="A783" s="187" t="s">
        <v>3046</v>
      </c>
      <c r="B783" s="1224" t="s">
        <v>404</v>
      </c>
      <c r="C783" s="1225">
        <v>520932440</v>
      </c>
      <c r="D783" s="1225">
        <v>502826259</v>
      </c>
      <c r="E783" s="1225">
        <v>520932440</v>
      </c>
      <c r="F783" s="1225">
        <v>502826259</v>
      </c>
      <c r="G783" s="1225">
        <v>453479285</v>
      </c>
      <c r="H783" s="1225">
        <v>453479285</v>
      </c>
      <c r="I783" s="1225">
        <v>520932440</v>
      </c>
      <c r="J783" s="1225">
        <v>502826259</v>
      </c>
      <c r="K783" s="1225">
        <v>520932440</v>
      </c>
      <c r="L783" s="1225">
        <v>502826259</v>
      </c>
    </row>
    <row r="784" spans="1:12">
      <c r="A784" s="187" t="s">
        <v>264</v>
      </c>
      <c r="B784" s="1224" t="s">
        <v>7681</v>
      </c>
      <c r="C784" s="1225">
        <v>8502291492</v>
      </c>
      <c r="D784" s="1225">
        <v>8199488780</v>
      </c>
      <c r="E784" s="1225">
        <v>8502291492</v>
      </c>
      <c r="F784" s="1225">
        <v>8199488780</v>
      </c>
      <c r="G784" s="1225">
        <v>8119872207</v>
      </c>
      <c r="H784" s="1225">
        <v>8119872207</v>
      </c>
      <c r="I784" s="1225">
        <v>8502291492</v>
      </c>
      <c r="J784" s="1225">
        <v>8199488780</v>
      </c>
      <c r="K784" s="1225">
        <v>8502291492</v>
      </c>
      <c r="L784" s="1225">
        <v>8199488780</v>
      </c>
    </row>
    <row r="785" spans="1:12">
      <c r="A785" s="187" t="s">
        <v>2306</v>
      </c>
      <c r="B785" s="1224" t="s">
        <v>363</v>
      </c>
      <c r="C785" s="1225">
        <v>255663957</v>
      </c>
      <c r="D785" s="1225">
        <v>242951088</v>
      </c>
      <c r="E785" s="1225">
        <v>255663957</v>
      </c>
      <c r="F785" s="1225">
        <v>242951088</v>
      </c>
      <c r="G785" s="1225">
        <v>263735095</v>
      </c>
      <c r="H785" s="1225">
        <v>263735095</v>
      </c>
      <c r="I785" s="1225">
        <v>255663957</v>
      </c>
      <c r="J785" s="1225">
        <v>242951088</v>
      </c>
      <c r="K785" s="1225">
        <v>255663957</v>
      </c>
      <c r="L785" s="1225">
        <v>242951088</v>
      </c>
    </row>
    <row r="786" spans="1:12">
      <c r="A786" s="187" t="s">
        <v>3048</v>
      </c>
      <c r="B786" s="1224" t="s">
        <v>2898</v>
      </c>
      <c r="C786" s="1225">
        <v>1097075232</v>
      </c>
      <c r="D786" s="1225">
        <v>1095602379</v>
      </c>
      <c r="E786" s="1225">
        <v>1097075232</v>
      </c>
      <c r="F786" s="1225">
        <v>1095602379</v>
      </c>
      <c r="G786" s="1225">
        <v>1016696343</v>
      </c>
      <c r="H786" s="1225">
        <v>1016696343</v>
      </c>
      <c r="I786" s="1225">
        <v>1097075232</v>
      </c>
      <c r="J786" s="1225">
        <v>1095602379</v>
      </c>
      <c r="K786" s="1225">
        <v>1097075232</v>
      </c>
      <c r="L786" s="1225">
        <v>1095602379</v>
      </c>
    </row>
    <row r="787" spans="1:12">
      <c r="A787" s="187" t="s">
        <v>3049</v>
      </c>
      <c r="B787" s="1224" t="s">
        <v>405</v>
      </c>
      <c r="C787" s="1225">
        <v>1175452559</v>
      </c>
      <c r="D787" s="1225">
        <v>1162315266</v>
      </c>
      <c r="E787" s="1225">
        <v>1175452559</v>
      </c>
      <c r="F787" s="1225">
        <v>1162315266</v>
      </c>
      <c r="G787" s="1225">
        <v>1164434891</v>
      </c>
      <c r="H787" s="1225">
        <v>1164434891</v>
      </c>
      <c r="I787" s="1225">
        <v>1175452559</v>
      </c>
      <c r="J787" s="1225">
        <v>1162315266</v>
      </c>
      <c r="K787" s="1225">
        <v>1175452559</v>
      </c>
      <c r="L787" s="1225">
        <v>1162315266</v>
      </c>
    </row>
    <row r="788" spans="1:12">
      <c r="A788" s="187" t="s">
        <v>5035</v>
      </c>
      <c r="B788" s="1224" t="s">
        <v>6064</v>
      </c>
      <c r="C788" s="1225">
        <v>281741183</v>
      </c>
      <c r="D788" s="1225">
        <v>276189509</v>
      </c>
      <c r="E788" s="1225">
        <v>281741183</v>
      </c>
      <c r="F788" s="1225">
        <v>276189509</v>
      </c>
      <c r="G788" s="1225">
        <v>246257805</v>
      </c>
      <c r="H788" s="1225">
        <v>246257805</v>
      </c>
      <c r="I788" s="1225">
        <v>281741183</v>
      </c>
      <c r="J788" s="1225">
        <v>276189509</v>
      </c>
      <c r="K788" s="1225">
        <v>281741183</v>
      </c>
      <c r="L788" s="1225">
        <v>276189509</v>
      </c>
    </row>
    <row r="789" spans="1:12">
      <c r="A789" s="187" t="s">
        <v>5131</v>
      </c>
      <c r="B789" s="1224" t="s">
        <v>350</v>
      </c>
      <c r="C789" s="1225">
        <v>176528892</v>
      </c>
      <c r="D789" s="1225">
        <v>167938802</v>
      </c>
      <c r="E789" s="1225">
        <v>176528892</v>
      </c>
      <c r="F789" s="1225">
        <v>167938802</v>
      </c>
      <c r="G789" s="1225">
        <v>182614270</v>
      </c>
      <c r="H789" s="1225">
        <v>182614270</v>
      </c>
      <c r="I789" s="1225">
        <v>176528892</v>
      </c>
      <c r="J789" s="1225">
        <v>167938802</v>
      </c>
      <c r="K789" s="1225">
        <v>176528892</v>
      </c>
      <c r="L789" s="1225">
        <v>167938802</v>
      </c>
    </row>
    <row r="790" spans="1:12">
      <c r="A790" s="187" t="s">
        <v>5231</v>
      </c>
      <c r="B790" s="1224" t="s">
        <v>406</v>
      </c>
      <c r="C790" s="1225">
        <v>550376449</v>
      </c>
      <c r="D790" s="1225">
        <v>527376200</v>
      </c>
      <c r="E790" s="1225">
        <v>550376449</v>
      </c>
      <c r="F790" s="1225">
        <v>527376200</v>
      </c>
      <c r="G790" s="1225">
        <v>497563299</v>
      </c>
      <c r="H790" s="1225">
        <v>497563299</v>
      </c>
      <c r="I790" s="1225">
        <v>550376449</v>
      </c>
      <c r="J790" s="1225">
        <v>527376200</v>
      </c>
      <c r="K790" s="1225">
        <v>550376449</v>
      </c>
      <c r="L790" s="1225">
        <v>527376200</v>
      </c>
    </row>
    <row r="791" spans="1:12">
      <c r="A791" s="187" t="s">
        <v>3109</v>
      </c>
      <c r="B791" s="1224" t="s">
        <v>4271</v>
      </c>
      <c r="C791" s="1225">
        <v>4207426227</v>
      </c>
      <c r="D791" s="1225">
        <v>4089231965</v>
      </c>
      <c r="E791" s="1225">
        <v>4207426227</v>
      </c>
      <c r="F791" s="1225">
        <v>4089231965</v>
      </c>
      <c r="G791" s="1225">
        <v>3800083519</v>
      </c>
      <c r="H791" s="1225">
        <v>3800083519</v>
      </c>
      <c r="I791" s="1225">
        <v>4207426227</v>
      </c>
      <c r="J791" s="1225">
        <v>4089231965</v>
      </c>
      <c r="K791" s="1225">
        <v>4207426227</v>
      </c>
      <c r="L791" s="1225">
        <v>4089231965</v>
      </c>
    </row>
    <row r="792" spans="1:12">
      <c r="A792" s="187" t="s">
        <v>3111</v>
      </c>
      <c r="B792" s="1224" t="s">
        <v>3193</v>
      </c>
      <c r="C792" s="1225">
        <v>1827971621</v>
      </c>
      <c r="D792" s="1225">
        <v>1822821434</v>
      </c>
      <c r="E792" s="1225">
        <v>1824365379</v>
      </c>
      <c r="F792" s="1225">
        <v>1819215192</v>
      </c>
      <c r="G792" s="1225">
        <v>3129520955</v>
      </c>
      <c r="H792" s="1225">
        <v>3125252206</v>
      </c>
      <c r="I792" s="1225">
        <v>1827971621</v>
      </c>
      <c r="J792" s="1225">
        <v>1822821434</v>
      </c>
      <c r="K792" s="1225">
        <v>1824365379</v>
      </c>
      <c r="L792" s="1225">
        <v>1819215192</v>
      </c>
    </row>
    <row r="793" spans="1:12">
      <c r="A793" s="187" t="s">
        <v>3113</v>
      </c>
      <c r="B793" s="1224" t="s">
        <v>3194</v>
      </c>
      <c r="C793" s="1225">
        <v>309506502</v>
      </c>
      <c r="D793" s="1225">
        <v>303909372</v>
      </c>
      <c r="E793" s="1225">
        <v>309506502</v>
      </c>
      <c r="F793" s="1225">
        <v>303909372</v>
      </c>
      <c r="G793" s="1225">
        <v>286583277</v>
      </c>
      <c r="H793" s="1225">
        <v>286583277</v>
      </c>
      <c r="I793" s="1225">
        <v>309506502</v>
      </c>
      <c r="J793" s="1225">
        <v>303909372</v>
      </c>
      <c r="K793" s="1225">
        <v>309506502</v>
      </c>
      <c r="L793" s="1225">
        <v>303909372</v>
      </c>
    </row>
    <row r="794" spans="1:12">
      <c r="A794" s="187" t="s">
        <v>975</v>
      </c>
      <c r="B794" s="1224" t="s">
        <v>7692</v>
      </c>
      <c r="C794" s="1225">
        <v>50399679</v>
      </c>
      <c r="D794" s="1225">
        <v>46708411</v>
      </c>
      <c r="E794" s="1225">
        <v>50399679</v>
      </c>
      <c r="F794" s="1225">
        <v>46708411</v>
      </c>
      <c r="G794" s="1225">
        <v>46184710</v>
      </c>
      <c r="H794" s="1225">
        <v>46184710</v>
      </c>
      <c r="I794" s="1225">
        <v>50399679</v>
      </c>
      <c r="J794" s="1225">
        <v>46708411</v>
      </c>
      <c r="K794" s="1225">
        <v>50399679</v>
      </c>
      <c r="L794" s="1225">
        <v>46708411</v>
      </c>
    </row>
    <row r="795" spans="1:12">
      <c r="A795" s="187" t="s">
        <v>2771</v>
      </c>
      <c r="B795" s="1224" t="s">
        <v>364</v>
      </c>
      <c r="C795" s="1225">
        <v>174366658</v>
      </c>
      <c r="D795" s="1225">
        <v>165973984</v>
      </c>
      <c r="E795" s="1225">
        <v>174366658</v>
      </c>
      <c r="F795" s="1225">
        <v>165973984</v>
      </c>
      <c r="G795" s="1225">
        <v>228927182</v>
      </c>
      <c r="H795" s="1225">
        <v>228927182</v>
      </c>
      <c r="I795" s="1225">
        <v>174366658</v>
      </c>
      <c r="J795" s="1225">
        <v>165973984</v>
      </c>
      <c r="K795" s="1225">
        <v>174366658</v>
      </c>
      <c r="L795" s="1225">
        <v>165973984</v>
      </c>
    </row>
    <row r="796" spans="1:12">
      <c r="A796" s="187" t="s">
        <v>2821</v>
      </c>
      <c r="B796" s="1224" t="s">
        <v>3195</v>
      </c>
      <c r="C796" s="1225">
        <v>210479183</v>
      </c>
      <c r="D796" s="1225">
        <v>198343296</v>
      </c>
      <c r="E796" s="1225">
        <v>210479183</v>
      </c>
      <c r="F796" s="1225">
        <v>198343296</v>
      </c>
      <c r="G796" s="1225">
        <v>211486437</v>
      </c>
      <c r="H796" s="1225">
        <v>211486437</v>
      </c>
      <c r="I796" s="1225">
        <v>210479183</v>
      </c>
      <c r="J796" s="1225">
        <v>198343296</v>
      </c>
      <c r="K796" s="1225">
        <v>210479183</v>
      </c>
      <c r="L796" s="1225">
        <v>198343296</v>
      </c>
    </row>
    <row r="797" spans="1:12">
      <c r="A797" s="187" t="s">
        <v>4589</v>
      </c>
      <c r="B797" s="1224" t="s">
        <v>998</v>
      </c>
      <c r="C797" s="1225">
        <v>66538467</v>
      </c>
      <c r="D797" s="1225">
        <v>62002941</v>
      </c>
      <c r="E797" s="1225">
        <v>66538467</v>
      </c>
      <c r="F797" s="1225">
        <v>62002941</v>
      </c>
      <c r="G797" s="1225">
        <v>59882085</v>
      </c>
      <c r="H797" s="1225">
        <v>59882085</v>
      </c>
      <c r="I797" s="1225">
        <v>66538467</v>
      </c>
      <c r="J797" s="1225">
        <v>62002941</v>
      </c>
      <c r="K797" s="1225">
        <v>66538467</v>
      </c>
      <c r="L797" s="1225">
        <v>62002941</v>
      </c>
    </row>
    <row r="798" spans="1:12">
      <c r="A798" s="187" t="s">
        <v>2572</v>
      </c>
      <c r="B798" s="1224" t="s">
        <v>3196</v>
      </c>
      <c r="C798" s="1225">
        <v>3670565645</v>
      </c>
      <c r="D798" s="1225">
        <v>3651289150</v>
      </c>
      <c r="E798" s="1225">
        <v>3670565645</v>
      </c>
      <c r="F798" s="1225">
        <v>3651289150</v>
      </c>
      <c r="G798" s="1225">
        <v>3779861106</v>
      </c>
      <c r="H798" s="1225">
        <v>3779861106</v>
      </c>
      <c r="I798" s="1225">
        <v>3885351425</v>
      </c>
      <c r="J798" s="1225">
        <v>3866074930</v>
      </c>
      <c r="K798" s="1225">
        <v>3885351425</v>
      </c>
      <c r="L798" s="1225">
        <v>3866074930</v>
      </c>
    </row>
    <row r="799" spans="1:12">
      <c r="A799" s="187" t="s">
        <v>1507</v>
      </c>
      <c r="B799" s="1224" t="s">
        <v>7694</v>
      </c>
      <c r="C799" s="1225">
        <v>40392181</v>
      </c>
      <c r="D799" s="1225">
        <v>39368681</v>
      </c>
      <c r="E799" s="1225">
        <v>40392181</v>
      </c>
      <c r="F799" s="1225">
        <v>39368681</v>
      </c>
      <c r="G799" s="1225">
        <v>47333051</v>
      </c>
      <c r="H799" s="1225">
        <v>47333051</v>
      </c>
      <c r="I799" s="1225">
        <v>40392181</v>
      </c>
      <c r="J799" s="1225">
        <v>39368681</v>
      </c>
      <c r="K799" s="1225">
        <v>40392181</v>
      </c>
      <c r="L799" s="1225">
        <v>39368681</v>
      </c>
    </row>
    <row r="800" spans="1:12">
      <c r="A800" s="187" t="s">
        <v>2574</v>
      </c>
      <c r="B800" s="1224" t="s">
        <v>3197</v>
      </c>
      <c r="C800" s="1225">
        <v>231095499</v>
      </c>
      <c r="D800" s="1225">
        <v>229393249</v>
      </c>
      <c r="E800" s="1225">
        <v>229911379</v>
      </c>
      <c r="F800" s="1225">
        <v>228209129</v>
      </c>
      <c r="G800" s="1225">
        <v>479956069</v>
      </c>
      <c r="H800" s="1225">
        <v>478757905</v>
      </c>
      <c r="I800" s="1225">
        <v>231095499</v>
      </c>
      <c r="J800" s="1225">
        <v>229393249</v>
      </c>
      <c r="K800" s="1225">
        <v>229911379</v>
      </c>
      <c r="L800" s="1225">
        <v>228209129</v>
      </c>
    </row>
    <row r="801" spans="1:12">
      <c r="A801" s="187" t="s">
        <v>2576</v>
      </c>
      <c r="B801" s="1224" t="s">
        <v>3198</v>
      </c>
      <c r="C801" s="1225">
        <v>309867332</v>
      </c>
      <c r="D801" s="1225">
        <v>303849982</v>
      </c>
      <c r="E801" s="1225">
        <v>309867332</v>
      </c>
      <c r="F801" s="1225">
        <v>303849982</v>
      </c>
      <c r="G801" s="1225">
        <v>334311257</v>
      </c>
      <c r="H801" s="1225">
        <v>334311257</v>
      </c>
      <c r="I801" s="1225">
        <v>309867332</v>
      </c>
      <c r="J801" s="1225">
        <v>303849982</v>
      </c>
      <c r="K801" s="1225">
        <v>309867332</v>
      </c>
      <c r="L801" s="1225">
        <v>303849982</v>
      </c>
    </row>
    <row r="802" spans="1:12">
      <c r="A802" s="187" t="s">
        <v>2578</v>
      </c>
      <c r="B802" s="1224" t="s">
        <v>3199</v>
      </c>
      <c r="C802" s="1225">
        <v>390365845</v>
      </c>
      <c r="D802" s="1225">
        <v>382931336</v>
      </c>
      <c r="E802" s="1225">
        <v>390365845</v>
      </c>
      <c r="F802" s="1225">
        <v>382931336</v>
      </c>
      <c r="G802" s="1225">
        <v>647592975</v>
      </c>
      <c r="H802" s="1225">
        <v>647592975</v>
      </c>
      <c r="I802" s="1225">
        <v>390365845</v>
      </c>
      <c r="J802" s="1225">
        <v>382931336</v>
      </c>
      <c r="K802" s="1225">
        <v>390365845</v>
      </c>
      <c r="L802" s="1225">
        <v>382931336</v>
      </c>
    </row>
    <row r="803" spans="1:12">
      <c r="A803" s="187" t="s">
        <v>158</v>
      </c>
      <c r="B803" s="1224" t="s">
        <v>3200</v>
      </c>
      <c r="C803" s="1225">
        <v>469936342</v>
      </c>
      <c r="D803" s="1225">
        <v>467916288</v>
      </c>
      <c r="E803" s="1225">
        <v>468941095</v>
      </c>
      <c r="F803" s="1225">
        <v>466921041</v>
      </c>
      <c r="G803" s="1225">
        <v>966676886</v>
      </c>
      <c r="H803" s="1225">
        <v>965129511</v>
      </c>
      <c r="I803" s="1225">
        <v>656008022</v>
      </c>
      <c r="J803" s="1225">
        <v>653987968</v>
      </c>
      <c r="K803" s="1225">
        <v>655012775</v>
      </c>
      <c r="L803" s="1225">
        <v>652992721</v>
      </c>
    </row>
    <row r="804" spans="1:12">
      <c r="A804" s="187" t="s">
        <v>5211</v>
      </c>
      <c r="B804" s="1224" t="s">
        <v>3201</v>
      </c>
      <c r="C804" s="1225">
        <v>336968237</v>
      </c>
      <c r="D804" s="1225">
        <v>332096006</v>
      </c>
      <c r="E804" s="1225">
        <v>336968237</v>
      </c>
      <c r="F804" s="1225">
        <v>332096006</v>
      </c>
      <c r="G804" s="1225">
        <v>363355831</v>
      </c>
      <c r="H804" s="1225">
        <v>363355831</v>
      </c>
      <c r="I804" s="1225">
        <v>336968237</v>
      </c>
      <c r="J804" s="1225">
        <v>332096006</v>
      </c>
      <c r="K804" s="1225">
        <v>336968237</v>
      </c>
      <c r="L804" s="1225">
        <v>332096006</v>
      </c>
    </row>
    <row r="805" spans="1:12">
      <c r="A805" s="187" t="s">
        <v>5213</v>
      </c>
      <c r="B805" s="1224" t="s">
        <v>3202</v>
      </c>
      <c r="C805" s="1225">
        <v>111205604</v>
      </c>
      <c r="D805" s="1225">
        <v>108461170</v>
      </c>
      <c r="E805" s="1225">
        <v>111205604</v>
      </c>
      <c r="F805" s="1225">
        <v>108461170</v>
      </c>
      <c r="G805" s="1225">
        <v>105868924</v>
      </c>
      <c r="H805" s="1225">
        <v>105868924</v>
      </c>
      <c r="I805" s="1225">
        <v>111205604</v>
      </c>
      <c r="J805" s="1225">
        <v>108461170</v>
      </c>
      <c r="K805" s="1225">
        <v>111205604</v>
      </c>
      <c r="L805" s="1225">
        <v>108461170</v>
      </c>
    </row>
    <row r="806" spans="1:12">
      <c r="A806" s="187" t="s">
        <v>5215</v>
      </c>
      <c r="B806" s="1224" t="s">
        <v>3203</v>
      </c>
      <c r="C806" s="1225">
        <v>1686992943</v>
      </c>
      <c r="D806" s="1225">
        <v>1674424408</v>
      </c>
      <c r="E806" s="1225">
        <v>1686992943</v>
      </c>
      <c r="F806" s="1225">
        <v>1674424408</v>
      </c>
      <c r="G806" s="1225">
        <v>2146624176</v>
      </c>
      <c r="H806" s="1225">
        <v>2146624176</v>
      </c>
      <c r="I806" s="1225">
        <v>1686992943</v>
      </c>
      <c r="J806" s="1225">
        <v>1674424408</v>
      </c>
      <c r="K806" s="1225">
        <v>1686992943</v>
      </c>
      <c r="L806" s="1225">
        <v>1674424408</v>
      </c>
    </row>
    <row r="807" spans="1:12">
      <c r="A807" s="187" t="s">
        <v>5217</v>
      </c>
      <c r="B807" s="1224" t="s">
        <v>3204</v>
      </c>
      <c r="C807" s="1225">
        <v>382530646</v>
      </c>
      <c r="D807" s="1225">
        <v>370557067</v>
      </c>
      <c r="E807" s="1225">
        <v>382530646</v>
      </c>
      <c r="F807" s="1225">
        <v>370557067</v>
      </c>
      <c r="G807" s="1225">
        <v>441023252</v>
      </c>
      <c r="H807" s="1225">
        <v>441023252</v>
      </c>
      <c r="I807" s="1225">
        <v>382530646</v>
      </c>
      <c r="J807" s="1225">
        <v>370557067</v>
      </c>
      <c r="K807" s="1225">
        <v>382530646</v>
      </c>
      <c r="L807" s="1225">
        <v>370557067</v>
      </c>
    </row>
    <row r="808" spans="1:12">
      <c r="A808" s="187" t="s">
        <v>5219</v>
      </c>
      <c r="B808" s="1224" t="s">
        <v>3205</v>
      </c>
      <c r="C808" s="1225">
        <v>55714960</v>
      </c>
      <c r="D808" s="1225">
        <v>55447165</v>
      </c>
      <c r="E808" s="1225">
        <v>55714960</v>
      </c>
      <c r="F808" s="1225">
        <v>55447165</v>
      </c>
      <c r="G808" s="1225">
        <v>118076416</v>
      </c>
      <c r="H808" s="1225">
        <v>118076416</v>
      </c>
      <c r="I808" s="1225">
        <v>55714960</v>
      </c>
      <c r="J808" s="1225">
        <v>55447165</v>
      </c>
      <c r="K808" s="1225">
        <v>55714960</v>
      </c>
      <c r="L808" s="1225">
        <v>55447165</v>
      </c>
    </row>
    <row r="809" spans="1:12">
      <c r="A809" s="187" t="s">
        <v>2125</v>
      </c>
      <c r="B809" s="1224" t="s">
        <v>3206</v>
      </c>
      <c r="C809" s="1225">
        <v>7877107598</v>
      </c>
      <c r="D809" s="1225">
        <v>7703003246</v>
      </c>
      <c r="E809" s="1225">
        <v>7877107598</v>
      </c>
      <c r="F809" s="1225">
        <v>7703003246</v>
      </c>
      <c r="G809" s="1225">
        <v>6914116940</v>
      </c>
      <c r="H809" s="1225">
        <v>6914116940</v>
      </c>
      <c r="I809" s="1225">
        <v>7877107598</v>
      </c>
      <c r="J809" s="1225">
        <v>7703003246</v>
      </c>
      <c r="K809" s="1225">
        <v>7877107598</v>
      </c>
      <c r="L809" s="1225">
        <v>7703003246</v>
      </c>
    </row>
    <row r="810" spans="1:12">
      <c r="A810" s="187" t="s">
        <v>870</v>
      </c>
      <c r="B810" s="1224" t="s">
        <v>373</v>
      </c>
      <c r="C810" s="1225">
        <v>1481550268</v>
      </c>
      <c r="D810" s="1225">
        <v>1429914436</v>
      </c>
      <c r="E810" s="1225">
        <v>1481550268</v>
      </c>
      <c r="F810" s="1225">
        <v>1429914436</v>
      </c>
      <c r="G810" s="1225">
        <v>1189284019</v>
      </c>
      <c r="H810" s="1225">
        <v>1189284019</v>
      </c>
      <c r="I810" s="1225">
        <v>1481550268</v>
      </c>
      <c r="J810" s="1225">
        <v>1429914436</v>
      </c>
      <c r="K810" s="1225">
        <v>1481550268</v>
      </c>
      <c r="L810" s="1225">
        <v>1429914436</v>
      </c>
    </row>
    <row r="811" spans="1:12">
      <c r="A811" s="187" t="s">
        <v>5615</v>
      </c>
      <c r="B811" s="1224" t="s">
        <v>3207</v>
      </c>
      <c r="C811" s="1225">
        <v>279192012</v>
      </c>
      <c r="D811" s="1225">
        <v>266720850</v>
      </c>
      <c r="E811" s="1225">
        <v>279192012</v>
      </c>
      <c r="F811" s="1225">
        <v>266720850</v>
      </c>
      <c r="G811" s="1225">
        <v>285230201</v>
      </c>
      <c r="H811" s="1225">
        <v>285230201</v>
      </c>
      <c r="I811" s="1225">
        <v>279192012</v>
      </c>
      <c r="J811" s="1225">
        <v>266720850</v>
      </c>
      <c r="K811" s="1225">
        <v>279192012</v>
      </c>
      <c r="L811" s="1225">
        <v>266720850</v>
      </c>
    </row>
    <row r="812" spans="1:12">
      <c r="A812" s="187" t="s">
        <v>4590</v>
      </c>
      <c r="B812" s="1224" t="s">
        <v>498</v>
      </c>
      <c r="C812" s="1225">
        <v>82203097</v>
      </c>
      <c r="D812" s="1225">
        <v>78043052</v>
      </c>
      <c r="E812" s="1225">
        <v>82203097</v>
      </c>
      <c r="F812" s="1225">
        <v>78043052</v>
      </c>
      <c r="G812" s="1225">
        <v>76323230</v>
      </c>
      <c r="H812" s="1225">
        <v>76323230</v>
      </c>
      <c r="I812" s="1225">
        <v>82203097</v>
      </c>
      <c r="J812" s="1225">
        <v>78043052</v>
      </c>
      <c r="K812" s="1225">
        <v>82203097</v>
      </c>
      <c r="L812" s="1225">
        <v>78043052</v>
      </c>
    </row>
    <row r="813" spans="1:12">
      <c r="A813" s="187" t="s">
        <v>860</v>
      </c>
      <c r="B813" s="1224" t="s">
        <v>2005</v>
      </c>
      <c r="C813" s="1225">
        <v>167889938</v>
      </c>
      <c r="D813" s="1225">
        <v>160561496</v>
      </c>
      <c r="E813" s="1225">
        <v>167889938</v>
      </c>
      <c r="F813" s="1225">
        <v>160561496</v>
      </c>
      <c r="G813" s="1225">
        <v>233077806</v>
      </c>
      <c r="H813" s="1225">
        <v>233077806</v>
      </c>
      <c r="I813" s="1225">
        <v>167889938</v>
      </c>
      <c r="J813" s="1225">
        <v>160561496</v>
      </c>
      <c r="K813" s="1225">
        <v>167889938</v>
      </c>
      <c r="L813" s="1225">
        <v>160561496</v>
      </c>
    </row>
    <row r="814" spans="1:12">
      <c r="A814" s="187" t="s">
        <v>4591</v>
      </c>
      <c r="B814" s="1224" t="s">
        <v>3834</v>
      </c>
      <c r="C814" s="1225">
        <v>5933603</v>
      </c>
      <c r="D814" s="1225">
        <v>5649853</v>
      </c>
      <c r="E814" s="1225">
        <v>5933603</v>
      </c>
      <c r="F814" s="1225">
        <v>5649853</v>
      </c>
      <c r="G814" s="1225">
        <v>5621715</v>
      </c>
      <c r="H814" s="1225">
        <v>5621715</v>
      </c>
      <c r="I814" s="1225">
        <v>5933603</v>
      </c>
      <c r="J814" s="1225">
        <v>5649853</v>
      </c>
      <c r="K814" s="1225">
        <v>5933603</v>
      </c>
      <c r="L814" s="1225">
        <v>5649853</v>
      </c>
    </row>
    <row r="815" spans="1:12">
      <c r="A815" s="187" t="s">
        <v>5617</v>
      </c>
      <c r="B815" s="1224" t="s">
        <v>3208</v>
      </c>
      <c r="C815" s="1225">
        <v>1576231714</v>
      </c>
      <c r="D815" s="1225">
        <v>1531981364</v>
      </c>
      <c r="E815" s="1225">
        <v>1519315569</v>
      </c>
      <c r="F815" s="1225">
        <v>1475065219</v>
      </c>
      <c r="G815" s="1225">
        <v>1764760005</v>
      </c>
      <c r="H815" s="1225">
        <v>1707722016</v>
      </c>
      <c r="I815" s="1225">
        <v>1576231714</v>
      </c>
      <c r="J815" s="1225">
        <v>1531981364</v>
      </c>
      <c r="K815" s="1225">
        <v>1519315569</v>
      </c>
      <c r="L815" s="1225">
        <v>1475065219</v>
      </c>
    </row>
    <row r="816" spans="1:12">
      <c r="A816" s="187" t="s">
        <v>3150</v>
      </c>
      <c r="B816" s="1224" t="s">
        <v>3209</v>
      </c>
      <c r="C816" s="1225">
        <v>87342652</v>
      </c>
      <c r="D816" s="1225">
        <v>83800162</v>
      </c>
      <c r="E816" s="1225">
        <v>83772572</v>
      </c>
      <c r="F816" s="1225">
        <v>80230082</v>
      </c>
      <c r="G816" s="1225">
        <v>93486261</v>
      </c>
      <c r="H816" s="1225">
        <v>89983127</v>
      </c>
      <c r="I816" s="1225">
        <v>87342652</v>
      </c>
      <c r="J816" s="1225">
        <v>83800162</v>
      </c>
      <c r="K816" s="1225">
        <v>83772572</v>
      </c>
      <c r="L816" s="1225">
        <v>80230082</v>
      </c>
    </row>
    <row r="817" spans="1:12">
      <c r="A817" s="187" t="s">
        <v>3152</v>
      </c>
      <c r="B817" s="1224" t="s">
        <v>3210</v>
      </c>
      <c r="C817" s="1225">
        <v>30133534</v>
      </c>
      <c r="D817" s="1225">
        <v>28702954</v>
      </c>
      <c r="E817" s="1225">
        <v>28923059</v>
      </c>
      <c r="F817" s="1225">
        <v>27492479</v>
      </c>
      <c r="G817" s="1225">
        <v>48565030</v>
      </c>
      <c r="H817" s="1225">
        <v>47329659</v>
      </c>
      <c r="I817" s="1225">
        <v>30133534</v>
      </c>
      <c r="J817" s="1225">
        <v>28702954</v>
      </c>
      <c r="K817" s="1225">
        <v>28923059</v>
      </c>
      <c r="L817" s="1225">
        <v>27492479</v>
      </c>
    </row>
    <row r="818" spans="1:12">
      <c r="A818" s="187" t="s">
        <v>1949</v>
      </c>
      <c r="B818" s="1224" t="s">
        <v>327</v>
      </c>
      <c r="C818" s="1225">
        <v>62463289</v>
      </c>
      <c r="D818" s="1225">
        <v>58685889</v>
      </c>
      <c r="E818" s="1225">
        <v>58537934</v>
      </c>
      <c r="F818" s="1225">
        <v>54760534</v>
      </c>
      <c r="G818" s="1225">
        <v>59375688</v>
      </c>
      <c r="H818" s="1225">
        <v>55438969</v>
      </c>
      <c r="I818" s="1225">
        <v>62463289</v>
      </c>
      <c r="J818" s="1225">
        <v>58685889</v>
      </c>
      <c r="K818" s="1225">
        <v>58537934</v>
      </c>
      <c r="L818" s="1225">
        <v>54760534</v>
      </c>
    </row>
    <row r="819" spans="1:12">
      <c r="A819" s="187" t="s">
        <v>1951</v>
      </c>
      <c r="B819" s="1224" t="s">
        <v>3627</v>
      </c>
      <c r="C819" s="1225">
        <v>78264718</v>
      </c>
      <c r="D819" s="1225">
        <v>72939868</v>
      </c>
      <c r="E819" s="1225">
        <v>73401748</v>
      </c>
      <c r="F819" s="1225">
        <v>68076898</v>
      </c>
      <c r="G819" s="1225">
        <v>74951052</v>
      </c>
      <c r="H819" s="1225">
        <v>69956266</v>
      </c>
      <c r="I819" s="1225">
        <v>78264718</v>
      </c>
      <c r="J819" s="1225">
        <v>72939868</v>
      </c>
      <c r="K819" s="1225">
        <v>73401748</v>
      </c>
      <c r="L819" s="1225">
        <v>68076898</v>
      </c>
    </row>
    <row r="820" spans="1:12">
      <c r="A820" s="187" t="s">
        <v>3154</v>
      </c>
      <c r="B820" s="1224" t="s">
        <v>3211</v>
      </c>
      <c r="C820" s="1225">
        <v>1091783463</v>
      </c>
      <c r="D820" s="1225">
        <v>1078844713</v>
      </c>
      <c r="E820" s="1225">
        <v>1074199933</v>
      </c>
      <c r="F820" s="1225">
        <v>1061261183</v>
      </c>
      <c r="G820" s="1225">
        <v>1296934708</v>
      </c>
      <c r="H820" s="1225">
        <v>1279965330</v>
      </c>
      <c r="I820" s="1225">
        <v>1091783463</v>
      </c>
      <c r="J820" s="1225">
        <v>1078844713</v>
      </c>
      <c r="K820" s="1225">
        <v>1074199933</v>
      </c>
      <c r="L820" s="1225">
        <v>1061261183</v>
      </c>
    </row>
    <row r="821" spans="1:12">
      <c r="A821" s="187" t="s">
        <v>3883</v>
      </c>
      <c r="B821" s="1224" t="s">
        <v>6100</v>
      </c>
      <c r="C821" s="1225">
        <v>123573410</v>
      </c>
      <c r="D821" s="1225">
        <v>119338563</v>
      </c>
      <c r="E821" s="1225">
        <v>119165371</v>
      </c>
      <c r="F821" s="1225">
        <v>114930524</v>
      </c>
      <c r="G821" s="1225">
        <v>117945895</v>
      </c>
      <c r="H821" s="1225">
        <v>113489935</v>
      </c>
      <c r="I821" s="1225">
        <v>123573410</v>
      </c>
      <c r="J821" s="1225">
        <v>119338563</v>
      </c>
      <c r="K821" s="1225">
        <v>119165371</v>
      </c>
      <c r="L821" s="1225">
        <v>114930524</v>
      </c>
    </row>
    <row r="822" spans="1:12">
      <c r="A822" s="187" t="s">
        <v>3156</v>
      </c>
      <c r="B822" s="1224" t="s">
        <v>8246</v>
      </c>
      <c r="C822" s="1225">
        <v>364231959</v>
      </c>
      <c r="D822" s="1225">
        <v>353260769</v>
      </c>
      <c r="E822" s="1225">
        <v>353516644</v>
      </c>
      <c r="F822" s="1225">
        <v>342545454</v>
      </c>
      <c r="G822" s="1225">
        <v>554952338</v>
      </c>
      <c r="H822" s="1225">
        <v>544027245</v>
      </c>
      <c r="I822" s="1225">
        <v>364231959</v>
      </c>
      <c r="J822" s="1225">
        <v>353260769</v>
      </c>
      <c r="K822" s="1225">
        <v>353516644</v>
      </c>
      <c r="L822" s="1225">
        <v>342545454</v>
      </c>
    </row>
    <row r="823" spans="1:12">
      <c r="A823" s="187" t="s">
        <v>3158</v>
      </c>
      <c r="B823" s="1224" t="s">
        <v>3213</v>
      </c>
      <c r="C823" s="1225">
        <v>457050742</v>
      </c>
      <c r="D823" s="1225">
        <v>435951032</v>
      </c>
      <c r="E823" s="1225">
        <v>457050742</v>
      </c>
      <c r="F823" s="1225">
        <v>435951032</v>
      </c>
      <c r="G823" s="1225">
        <v>484095629</v>
      </c>
      <c r="H823" s="1225">
        <v>484095629</v>
      </c>
      <c r="I823" s="1225">
        <v>457050742</v>
      </c>
      <c r="J823" s="1225">
        <v>435951032</v>
      </c>
      <c r="K823" s="1225">
        <v>457050742</v>
      </c>
      <c r="L823" s="1225">
        <v>435951032</v>
      </c>
    </row>
    <row r="824" spans="1:12">
      <c r="A824" s="187" t="s">
        <v>3160</v>
      </c>
      <c r="B824" s="1224" t="s">
        <v>3214</v>
      </c>
      <c r="C824" s="1225">
        <v>109121057</v>
      </c>
      <c r="D824" s="1225">
        <v>103111347</v>
      </c>
      <c r="E824" s="1225">
        <v>105621277</v>
      </c>
      <c r="F824" s="1225">
        <v>99611567</v>
      </c>
      <c r="G824" s="1225">
        <v>99971002</v>
      </c>
      <c r="H824" s="1225">
        <v>96954521</v>
      </c>
      <c r="I824" s="1225">
        <v>109121057</v>
      </c>
      <c r="J824" s="1225">
        <v>103111347</v>
      </c>
      <c r="K824" s="1225">
        <v>105621277</v>
      </c>
      <c r="L824" s="1225">
        <v>99611567</v>
      </c>
    </row>
    <row r="825" spans="1:12">
      <c r="A825" s="187" t="s">
        <v>3162</v>
      </c>
      <c r="B825" s="1224" t="s">
        <v>3215</v>
      </c>
      <c r="C825" s="1225">
        <v>378425338</v>
      </c>
      <c r="D825" s="1225">
        <v>370450829</v>
      </c>
      <c r="E825" s="1225">
        <v>378425338</v>
      </c>
      <c r="F825" s="1225">
        <v>370450829</v>
      </c>
      <c r="G825" s="1225">
        <v>472355733</v>
      </c>
      <c r="H825" s="1225">
        <v>472355733</v>
      </c>
      <c r="I825" s="1225">
        <v>378425338</v>
      </c>
      <c r="J825" s="1225">
        <v>370450829</v>
      </c>
      <c r="K825" s="1225">
        <v>378425338</v>
      </c>
      <c r="L825" s="1225">
        <v>370450829</v>
      </c>
    </row>
    <row r="826" spans="1:12">
      <c r="A826" s="187" t="s">
        <v>569</v>
      </c>
      <c r="B826" s="1224" t="s">
        <v>3216</v>
      </c>
      <c r="C826" s="1225">
        <v>163006714</v>
      </c>
      <c r="D826" s="1225">
        <v>157776224</v>
      </c>
      <c r="E826" s="1225">
        <v>163006714</v>
      </c>
      <c r="F826" s="1225">
        <v>157776224</v>
      </c>
      <c r="G826" s="1225">
        <v>178716171</v>
      </c>
      <c r="H826" s="1225">
        <v>175680618</v>
      </c>
      <c r="I826" s="1225">
        <v>163006714</v>
      </c>
      <c r="J826" s="1225">
        <v>157776224</v>
      </c>
      <c r="K826" s="1225">
        <v>163006714</v>
      </c>
      <c r="L826" s="1225">
        <v>157776224</v>
      </c>
    </row>
    <row r="827" spans="1:12">
      <c r="A827" s="187" t="s">
        <v>571</v>
      </c>
      <c r="B827" s="1224" t="s">
        <v>4309</v>
      </c>
      <c r="C827" s="1225">
        <v>1071438051</v>
      </c>
      <c r="D827" s="1225">
        <v>1036673868</v>
      </c>
      <c r="E827" s="1225">
        <v>1071438051</v>
      </c>
      <c r="F827" s="1225">
        <v>1036673868</v>
      </c>
      <c r="G827" s="1225">
        <v>1021879434</v>
      </c>
      <c r="H827" s="1225">
        <v>1021879434</v>
      </c>
      <c r="I827" s="1225">
        <v>1071438051</v>
      </c>
      <c r="J827" s="1225">
        <v>1036673868</v>
      </c>
      <c r="K827" s="1225">
        <v>1071438051</v>
      </c>
      <c r="L827" s="1225">
        <v>1036673868</v>
      </c>
    </row>
    <row r="828" spans="1:12">
      <c r="A828" s="187" t="s">
        <v>3181</v>
      </c>
      <c r="B828" s="1224" t="s">
        <v>3596</v>
      </c>
      <c r="C828" s="1225">
        <v>337512633</v>
      </c>
      <c r="D828" s="1225">
        <v>322645284</v>
      </c>
      <c r="E828" s="1225">
        <v>337512633</v>
      </c>
      <c r="F828" s="1225">
        <v>322645284</v>
      </c>
      <c r="G828" s="1225">
        <v>321069387</v>
      </c>
      <c r="H828" s="1225">
        <v>307251896</v>
      </c>
      <c r="I828" s="1225">
        <v>337512633</v>
      </c>
      <c r="J828" s="1225">
        <v>322645284</v>
      </c>
      <c r="K828" s="1225">
        <v>337512633</v>
      </c>
      <c r="L828" s="1225">
        <v>322645284</v>
      </c>
    </row>
    <row r="829" spans="1:12">
      <c r="A829" s="187" t="s">
        <v>2071</v>
      </c>
      <c r="B829" s="1224" t="s">
        <v>7687</v>
      </c>
      <c r="C829" s="1225">
        <v>722480769</v>
      </c>
      <c r="D829" s="1225">
        <v>703720396</v>
      </c>
      <c r="E829" s="1225">
        <v>722480769</v>
      </c>
      <c r="F829" s="1225">
        <v>703720396</v>
      </c>
      <c r="G829" s="1225">
        <v>643529073</v>
      </c>
      <c r="H829" s="1225">
        <v>643529073</v>
      </c>
      <c r="I829" s="1225">
        <v>722480769</v>
      </c>
      <c r="J829" s="1225">
        <v>703720396</v>
      </c>
      <c r="K829" s="1225">
        <v>722480769</v>
      </c>
      <c r="L829" s="1225">
        <v>703720396</v>
      </c>
    </row>
    <row r="830" spans="1:12">
      <c r="A830" s="187" t="s">
        <v>3183</v>
      </c>
      <c r="B830" s="1224" t="s">
        <v>3597</v>
      </c>
      <c r="C830" s="1225">
        <v>1774549086</v>
      </c>
      <c r="D830" s="1225">
        <v>1734569473</v>
      </c>
      <c r="E830" s="1225">
        <v>1774549086</v>
      </c>
      <c r="F830" s="1225">
        <v>1734569473</v>
      </c>
      <c r="G830" s="1225">
        <v>1375263178</v>
      </c>
      <c r="H830" s="1225">
        <v>1375263178</v>
      </c>
      <c r="I830" s="1225">
        <v>2253157436</v>
      </c>
      <c r="J830" s="1225">
        <v>2213177823</v>
      </c>
      <c r="K830" s="1225">
        <v>2253157436</v>
      </c>
      <c r="L830" s="1225">
        <v>2213177823</v>
      </c>
    </row>
    <row r="831" spans="1:12">
      <c r="A831" s="187" t="s">
        <v>924</v>
      </c>
      <c r="B831" s="1224" t="s">
        <v>3598</v>
      </c>
      <c r="C831" s="1225">
        <v>2518364935</v>
      </c>
      <c r="D831" s="1225">
        <v>2499821252</v>
      </c>
      <c r="E831" s="1225">
        <v>2518364935</v>
      </c>
      <c r="F831" s="1225">
        <v>2499821252</v>
      </c>
      <c r="G831" s="1225">
        <v>1568162511</v>
      </c>
      <c r="H831" s="1225">
        <v>1568162511</v>
      </c>
      <c r="I831" s="1225">
        <v>2518364935</v>
      </c>
      <c r="J831" s="1225">
        <v>2499821252</v>
      </c>
      <c r="K831" s="1225">
        <v>2518364935</v>
      </c>
      <c r="L831" s="1225">
        <v>2499821252</v>
      </c>
    </row>
    <row r="832" spans="1:12">
      <c r="A832" s="187" t="s">
        <v>6165</v>
      </c>
      <c r="B832" s="1224" t="s">
        <v>6069</v>
      </c>
      <c r="C832" s="1225">
        <v>367640313</v>
      </c>
      <c r="D832" s="1225">
        <v>352188659</v>
      </c>
      <c r="E832" s="1225">
        <v>367640313</v>
      </c>
      <c r="F832" s="1225">
        <v>352188659</v>
      </c>
      <c r="G832" s="1225">
        <v>366064975</v>
      </c>
      <c r="H832" s="1225">
        <v>366064975</v>
      </c>
      <c r="I832" s="1225">
        <v>367640313</v>
      </c>
      <c r="J832" s="1225">
        <v>352188659</v>
      </c>
      <c r="K832" s="1225">
        <v>367640313</v>
      </c>
      <c r="L832" s="1225">
        <v>352188659</v>
      </c>
    </row>
    <row r="833" spans="1:12">
      <c r="A833" s="187" t="s">
        <v>6187</v>
      </c>
      <c r="B833" s="1224" t="s">
        <v>3832</v>
      </c>
      <c r="C833" s="1225">
        <v>309748993</v>
      </c>
      <c r="D833" s="1225">
        <v>299957248</v>
      </c>
      <c r="E833" s="1225">
        <v>309748993</v>
      </c>
      <c r="F833" s="1225">
        <v>299957248</v>
      </c>
      <c r="G833" s="1225">
        <v>317444695</v>
      </c>
      <c r="H833" s="1225">
        <v>317444695</v>
      </c>
      <c r="I833" s="1225">
        <v>352062813</v>
      </c>
      <c r="J833" s="1225">
        <v>342271068</v>
      </c>
      <c r="K833" s="1225">
        <v>352062813</v>
      </c>
      <c r="L833" s="1225">
        <v>342271068</v>
      </c>
    </row>
    <row r="834" spans="1:12">
      <c r="A834" s="187" t="s">
        <v>1837</v>
      </c>
      <c r="B834" s="1224" t="s">
        <v>1468</v>
      </c>
      <c r="C834" s="1225">
        <v>420946344</v>
      </c>
      <c r="D834" s="1225">
        <v>404852687</v>
      </c>
      <c r="E834" s="1225">
        <v>420946344</v>
      </c>
      <c r="F834" s="1225">
        <v>404852687</v>
      </c>
      <c r="G834" s="1225">
        <v>400314754</v>
      </c>
      <c r="H834" s="1225">
        <v>400314754</v>
      </c>
      <c r="I834" s="1225">
        <v>475332584</v>
      </c>
      <c r="J834" s="1225">
        <v>459238927</v>
      </c>
      <c r="K834" s="1225">
        <v>475332584</v>
      </c>
      <c r="L834" s="1225">
        <v>459238927</v>
      </c>
    </row>
    <row r="835" spans="1:12">
      <c r="A835" s="187" t="s">
        <v>3884</v>
      </c>
      <c r="B835" s="1224" t="s">
        <v>5362</v>
      </c>
      <c r="C835" s="1225">
        <v>311603323</v>
      </c>
      <c r="D835" s="1225">
        <v>302606617</v>
      </c>
      <c r="E835" s="1225">
        <v>311603323</v>
      </c>
      <c r="F835" s="1225">
        <v>302606617</v>
      </c>
      <c r="G835" s="1225">
        <v>300331152</v>
      </c>
      <c r="H835" s="1225">
        <v>300331152</v>
      </c>
      <c r="I835" s="1225">
        <v>510660263</v>
      </c>
      <c r="J835" s="1225">
        <v>501663557</v>
      </c>
      <c r="K835" s="1225">
        <v>510660263</v>
      </c>
      <c r="L835" s="1225">
        <v>501663557</v>
      </c>
    </row>
    <row r="836" spans="1:12">
      <c r="A836" s="187" t="s">
        <v>2390</v>
      </c>
      <c r="B836" s="1224" t="s">
        <v>1455</v>
      </c>
      <c r="C836" s="1225">
        <v>226881950</v>
      </c>
      <c r="D836" s="1225">
        <v>217961010</v>
      </c>
      <c r="E836" s="1225">
        <v>226881950</v>
      </c>
      <c r="F836" s="1225">
        <v>217961010</v>
      </c>
      <c r="G836" s="1225">
        <v>193240554</v>
      </c>
      <c r="H836" s="1225">
        <v>193240554</v>
      </c>
      <c r="I836" s="1225">
        <v>226881950</v>
      </c>
      <c r="J836" s="1225">
        <v>217961010</v>
      </c>
      <c r="K836" s="1225">
        <v>226881950</v>
      </c>
      <c r="L836" s="1225">
        <v>217961010</v>
      </c>
    </row>
    <row r="837" spans="1:12">
      <c r="A837" s="187" t="s">
        <v>926</v>
      </c>
      <c r="B837" s="1224" t="s">
        <v>3599</v>
      </c>
      <c r="C837" s="1225">
        <v>64614820</v>
      </c>
      <c r="D837" s="1225">
        <v>62505210</v>
      </c>
      <c r="E837" s="1225">
        <v>64614820</v>
      </c>
      <c r="F837" s="1225">
        <v>62505210</v>
      </c>
      <c r="G837" s="1225">
        <v>59258675</v>
      </c>
      <c r="H837" s="1225">
        <v>59258675</v>
      </c>
      <c r="I837" s="1225">
        <v>64614820</v>
      </c>
      <c r="J837" s="1225">
        <v>62505210</v>
      </c>
      <c r="K837" s="1225">
        <v>64614820</v>
      </c>
      <c r="L837" s="1225">
        <v>62505210</v>
      </c>
    </row>
    <row r="838" spans="1:12">
      <c r="A838" s="187" t="s">
        <v>928</v>
      </c>
      <c r="B838" s="1224" t="s">
        <v>1840</v>
      </c>
      <c r="C838" s="1225">
        <v>49977856</v>
      </c>
      <c r="D838" s="1225">
        <v>48542086</v>
      </c>
      <c r="E838" s="1225">
        <v>49977856</v>
      </c>
      <c r="F838" s="1225">
        <v>48542086</v>
      </c>
      <c r="G838" s="1225">
        <v>46361822</v>
      </c>
      <c r="H838" s="1225">
        <v>46361822</v>
      </c>
      <c r="I838" s="1225">
        <v>49977856</v>
      </c>
      <c r="J838" s="1225">
        <v>48542086</v>
      </c>
      <c r="K838" s="1225">
        <v>49977856</v>
      </c>
      <c r="L838" s="1225">
        <v>48542086</v>
      </c>
    </row>
    <row r="839" spans="1:12">
      <c r="A839" s="187" t="s">
        <v>930</v>
      </c>
      <c r="B839" s="1224" t="s">
        <v>1841</v>
      </c>
      <c r="C839" s="1225">
        <v>290326350</v>
      </c>
      <c r="D839" s="1225">
        <v>285424150</v>
      </c>
      <c r="E839" s="1225">
        <v>287122919</v>
      </c>
      <c r="F839" s="1225">
        <v>282220719</v>
      </c>
      <c r="G839" s="1225">
        <v>420452635</v>
      </c>
      <c r="H839" s="1225">
        <v>417752075</v>
      </c>
      <c r="I839" s="1225">
        <v>295355350</v>
      </c>
      <c r="J839" s="1225">
        <v>290453150</v>
      </c>
      <c r="K839" s="1225">
        <v>292151919</v>
      </c>
      <c r="L839" s="1225">
        <v>287249719</v>
      </c>
    </row>
    <row r="840" spans="1:12">
      <c r="A840" s="187" t="s">
        <v>932</v>
      </c>
      <c r="B840" s="1224" t="s">
        <v>1842</v>
      </c>
      <c r="C840" s="1225">
        <v>145954546</v>
      </c>
      <c r="D840" s="1225">
        <v>144162448</v>
      </c>
      <c r="E840" s="1225">
        <v>145954546</v>
      </c>
      <c r="F840" s="1225">
        <v>144162448</v>
      </c>
      <c r="G840" s="1225">
        <v>145141750</v>
      </c>
      <c r="H840" s="1225">
        <v>145141750</v>
      </c>
      <c r="I840" s="1225">
        <v>350015346</v>
      </c>
      <c r="J840" s="1225">
        <v>348223248</v>
      </c>
      <c r="K840" s="1225">
        <v>350015346</v>
      </c>
      <c r="L840" s="1225">
        <v>348223248</v>
      </c>
    </row>
    <row r="841" spans="1:12">
      <c r="A841" s="187" t="s">
        <v>934</v>
      </c>
      <c r="B841" s="1224" t="s">
        <v>0</v>
      </c>
      <c r="C841" s="1225">
        <v>2162284215</v>
      </c>
      <c r="D841" s="1225">
        <v>2131958646</v>
      </c>
      <c r="E841" s="1225">
        <v>2162284215</v>
      </c>
      <c r="F841" s="1225">
        <v>2131958646</v>
      </c>
      <c r="G841" s="1225">
        <v>3474514737</v>
      </c>
      <c r="H841" s="1225">
        <v>3474514737</v>
      </c>
      <c r="I841" s="1225">
        <v>2201521425</v>
      </c>
      <c r="J841" s="1225">
        <v>2171195856</v>
      </c>
      <c r="K841" s="1225">
        <v>2201521425</v>
      </c>
      <c r="L841" s="1225">
        <v>2171195856</v>
      </c>
    </row>
    <row r="842" spans="1:12">
      <c r="A842" s="187" t="s">
        <v>936</v>
      </c>
      <c r="B842" s="1224" t="s">
        <v>1</v>
      </c>
      <c r="C842" s="1225">
        <v>133149982</v>
      </c>
      <c r="D842" s="1225">
        <v>131419946</v>
      </c>
      <c r="E842" s="1225">
        <v>133149982</v>
      </c>
      <c r="F842" s="1225">
        <v>131419946</v>
      </c>
      <c r="G842" s="1225">
        <v>267299890</v>
      </c>
      <c r="H842" s="1225">
        <v>267299890</v>
      </c>
      <c r="I842" s="1225">
        <v>133149982</v>
      </c>
      <c r="J842" s="1225">
        <v>131419946</v>
      </c>
      <c r="K842" s="1225">
        <v>133149982</v>
      </c>
      <c r="L842" s="1225">
        <v>131419946</v>
      </c>
    </row>
    <row r="843" spans="1:12">
      <c r="A843" s="187" t="s">
        <v>5145</v>
      </c>
      <c r="B843" s="1224" t="s">
        <v>2</v>
      </c>
      <c r="C843" s="1225">
        <v>280649037</v>
      </c>
      <c r="D843" s="1225">
        <v>274724365</v>
      </c>
      <c r="E843" s="1225">
        <v>280649037</v>
      </c>
      <c r="F843" s="1225">
        <v>274724365</v>
      </c>
      <c r="G843" s="1225">
        <v>323318140</v>
      </c>
      <c r="H843" s="1225">
        <v>323318140</v>
      </c>
      <c r="I843" s="1225">
        <v>375649037</v>
      </c>
      <c r="J843" s="1225">
        <v>369724365</v>
      </c>
      <c r="K843" s="1225">
        <v>375649037</v>
      </c>
      <c r="L843" s="1225">
        <v>369724365</v>
      </c>
    </row>
    <row r="844" spans="1:12">
      <c r="A844" s="187" t="s">
        <v>2950</v>
      </c>
      <c r="B844" s="1224" t="s">
        <v>3</v>
      </c>
      <c r="C844" s="1225">
        <v>53718911</v>
      </c>
      <c r="D844" s="1225">
        <v>52936863</v>
      </c>
      <c r="E844" s="1225">
        <v>53718911</v>
      </c>
      <c r="F844" s="1225">
        <v>52936863</v>
      </c>
      <c r="G844" s="1225">
        <v>81961515</v>
      </c>
      <c r="H844" s="1225">
        <v>81961515</v>
      </c>
      <c r="I844" s="1225">
        <v>53718911</v>
      </c>
      <c r="J844" s="1225">
        <v>52936863</v>
      </c>
      <c r="K844" s="1225">
        <v>53718911</v>
      </c>
      <c r="L844" s="1225">
        <v>52936863</v>
      </c>
    </row>
    <row r="845" spans="1:12">
      <c r="A845" s="187" t="s">
        <v>2952</v>
      </c>
      <c r="B845" s="1224" t="s">
        <v>4</v>
      </c>
      <c r="C845" s="1225">
        <v>563689479</v>
      </c>
      <c r="D845" s="1225">
        <v>546662945</v>
      </c>
      <c r="E845" s="1225">
        <v>546896788</v>
      </c>
      <c r="F845" s="1225">
        <v>529870254</v>
      </c>
      <c r="G845" s="1225">
        <v>631832010</v>
      </c>
      <c r="H845" s="1225">
        <v>614810064</v>
      </c>
      <c r="I845" s="1225">
        <v>563689479</v>
      </c>
      <c r="J845" s="1225">
        <v>546662945</v>
      </c>
      <c r="K845" s="1225">
        <v>546896788</v>
      </c>
      <c r="L845" s="1225">
        <v>529870254</v>
      </c>
    </row>
    <row r="846" spans="1:12">
      <c r="A846" s="187" t="s">
        <v>2526</v>
      </c>
      <c r="B846" s="1224" t="s">
        <v>5</v>
      </c>
      <c r="C846" s="1225">
        <v>170814684</v>
      </c>
      <c r="D846" s="1225">
        <v>164366924</v>
      </c>
      <c r="E846" s="1225">
        <v>164943514</v>
      </c>
      <c r="F846" s="1225">
        <v>158495754</v>
      </c>
      <c r="G846" s="1225">
        <v>197920790</v>
      </c>
      <c r="H846" s="1225">
        <v>191712782</v>
      </c>
      <c r="I846" s="1225">
        <v>170814684</v>
      </c>
      <c r="J846" s="1225">
        <v>164366924</v>
      </c>
      <c r="K846" s="1225">
        <v>164943514</v>
      </c>
      <c r="L846" s="1225">
        <v>158495754</v>
      </c>
    </row>
    <row r="847" spans="1:12">
      <c r="A847" s="187" t="s">
        <v>3885</v>
      </c>
      <c r="B847" s="1224" t="s">
        <v>1465</v>
      </c>
      <c r="C847" s="1225">
        <v>247715085</v>
      </c>
      <c r="D847" s="1225">
        <v>241798338</v>
      </c>
      <c r="E847" s="1225">
        <v>247715085</v>
      </c>
      <c r="F847" s="1225">
        <v>241798338</v>
      </c>
      <c r="G847" s="1225">
        <v>262977525</v>
      </c>
      <c r="H847" s="1225">
        <v>262977525</v>
      </c>
      <c r="I847" s="1225">
        <v>247715085</v>
      </c>
      <c r="J847" s="1225">
        <v>241798338</v>
      </c>
      <c r="K847" s="1225">
        <v>247715085</v>
      </c>
      <c r="L847" s="1225">
        <v>241798338</v>
      </c>
    </row>
    <row r="848" spans="1:12">
      <c r="A848" s="187" t="s">
        <v>2528</v>
      </c>
      <c r="B848" s="1224" t="s">
        <v>6</v>
      </c>
      <c r="C848" s="1225">
        <v>98106130</v>
      </c>
      <c r="D848" s="1225">
        <v>94841995</v>
      </c>
      <c r="E848" s="1225">
        <v>98106130</v>
      </c>
      <c r="F848" s="1225">
        <v>94841995</v>
      </c>
      <c r="G848" s="1225">
        <v>106001500</v>
      </c>
      <c r="H848" s="1225">
        <v>106001500</v>
      </c>
      <c r="I848" s="1225">
        <v>98106130</v>
      </c>
      <c r="J848" s="1225">
        <v>94841995</v>
      </c>
      <c r="K848" s="1225">
        <v>98106130</v>
      </c>
      <c r="L848" s="1225">
        <v>94841995</v>
      </c>
    </row>
    <row r="849" spans="1:12">
      <c r="A849" s="187" t="s">
        <v>2530</v>
      </c>
      <c r="B849" s="1224" t="s">
        <v>7</v>
      </c>
      <c r="C849" s="1225">
        <v>135455638</v>
      </c>
      <c r="D849" s="1225">
        <v>129538750</v>
      </c>
      <c r="E849" s="1225">
        <v>129901687</v>
      </c>
      <c r="F849" s="1225">
        <v>123984799</v>
      </c>
      <c r="G849" s="1225">
        <v>140040560</v>
      </c>
      <c r="H849" s="1225">
        <v>134440435</v>
      </c>
      <c r="I849" s="1225">
        <v>135455638</v>
      </c>
      <c r="J849" s="1225">
        <v>129538750</v>
      </c>
      <c r="K849" s="1225">
        <v>129901687</v>
      </c>
      <c r="L849" s="1225">
        <v>123984799</v>
      </c>
    </row>
    <row r="850" spans="1:12">
      <c r="A850" s="187" t="s">
        <v>2532</v>
      </c>
      <c r="B850" s="1224" t="s">
        <v>8</v>
      </c>
      <c r="C850" s="1225">
        <v>46922269</v>
      </c>
      <c r="D850" s="1225">
        <v>46021031</v>
      </c>
      <c r="E850" s="1225">
        <v>46922269</v>
      </c>
      <c r="F850" s="1225">
        <v>46021031</v>
      </c>
      <c r="G850" s="1225">
        <v>55489952</v>
      </c>
      <c r="H850" s="1225">
        <v>54667943</v>
      </c>
      <c r="I850" s="1225">
        <v>46922269</v>
      </c>
      <c r="J850" s="1225">
        <v>46021031</v>
      </c>
      <c r="K850" s="1225">
        <v>46922269</v>
      </c>
      <c r="L850" s="1225">
        <v>46021031</v>
      </c>
    </row>
    <row r="851" spans="1:12">
      <c r="A851" s="187" t="s">
        <v>2316</v>
      </c>
      <c r="B851" s="1224" t="s">
        <v>9</v>
      </c>
      <c r="C851" s="1225">
        <v>96141620</v>
      </c>
      <c r="D851" s="1225">
        <v>95233610</v>
      </c>
      <c r="E851" s="1225">
        <v>96141620</v>
      </c>
      <c r="F851" s="1225">
        <v>95233610</v>
      </c>
      <c r="G851" s="1225">
        <v>133207331</v>
      </c>
      <c r="H851" s="1225">
        <v>133207331</v>
      </c>
      <c r="I851" s="1225">
        <v>96141620</v>
      </c>
      <c r="J851" s="1225">
        <v>95233610</v>
      </c>
      <c r="K851" s="1225">
        <v>96141620</v>
      </c>
      <c r="L851" s="1225">
        <v>95233610</v>
      </c>
    </row>
    <row r="852" spans="1:12">
      <c r="A852" s="187" t="s">
        <v>5105</v>
      </c>
      <c r="B852" s="1224" t="s">
        <v>10</v>
      </c>
      <c r="C852" s="1225">
        <v>419544929</v>
      </c>
      <c r="D852" s="1225">
        <v>414859223</v>
      </c>
      <c r="E852" s="1225">
        <v>419544929</v>
      </c>
      <c r="F852" s="1225">
        <v>414859223</v>
      </c>
      <c r="G852" s="1225">
        <v>493280012</v>
      </c>
      <c r="H852" s="1225">
        <v>493280012</v>
      </c>
      <c r="I852" s="1225">
        <v>419544929</v>
      </c>
      <c r="J852" s="1225">
        <v>414859223</v>
      </c>
      <c r="K852" s="1225">
        <v>419544929</v>
      </c>
      <c r="L852" s="1225">
        <v>414859223</v>
      </c>
    </row>
    <row r="853" spans="1:12">
      <c r="A853" s="187" t="s">
        <v>5036</v>
      </c>
      <c r="B853" s="1224" t="s">
        <v>7689</v>
      </c>
      <c r="C853" s="1225">
        <v>354837702</v>
      </c>
      <c r="D853" s="1225">
        <v>341743284</v>
      </c>
      <c r="E853" s="1225">
        <v>331813718</v>
      </c>
      <c r="F853" s="1225">
        <v>318719300</v>
      </c>
      <c r="G853" s="1225">
        <v>340447567</v>
      </c>
      <c r="H853" s="1225">
        <v>319153138</v>
      </c>
      <c r="I853" s="1225">
        <v>354837702</v>
      </c>
      <c r="J853" s="1225">
        <v>341743284</v>
      </c>
      <c r="K853" s="1225">
        <v>331813718</v>
      </c>
      <c r="L853" s="1225">
        <v>318719300</v>
      </c>
    </row>
    <row r="854" spans="1:12">
      <c r="A854" s="187" t="s">
        <v>2430</v>
      </c>
      <c r="B854" s="1224" t="s">
        <v>11</v>
      </c>
      <c r="C854" s="1225">
        <v>956974590</v>
      </c>
      <c r="D854" s="1225">
        <v>926365412</v>
      </c>
      <c r="E854" s="1225">
        <v>956974590</v>
      </c>
      <c r="F854" s="1225">
        <v>926365412</v>
      </c>
      <c r="G854" s="1225">
        <v>863926287</v>
      </c>
      <c r="H854" s="1225">
        <v>863926287</v>
      </c>
      <c r="I854" s="1225">
        <v>956974590</v>
      </c>
      <c r="J854" s="1225">
        <v>926365412</v>
      </c>
      <c r="K854" s="1225">
        <v>956974590</v>
      </c>
      <c r="L854" s="1225">
        <v>926365412</v>
      </c>
    </row>
    <row r="855" spans="1:12">
      <c r="A855" s="187" t="s">
        <v>2432</v>
      </c>
      <c r="B855" s="1224" t="s">
        <v>12</v>
      </c>
      <c r="C855" s="1225">
        <v>1340026446</v>
      </c>
      <c r="D855" s="1225">
        <v>1289092092</v>
      </c>
      <c r="E855" s="1225">
        <v>1340026446</v>
      </c>
      <c r="F855" s="1225">
        <v>1289092092</v>
      </c>
      <c r="G855" s="1225">
        <v>1234692758</v>
      </c>
      <c r="H855" s="1225">
        <v>1234692758</v>
      </c>
      <c r="I855" s="1225">
        <v>1340026446</v>
      </c>
      <c r="J855" s="1225">
        <v>1289092092</v>
      </c>
      <c r="K855" s="1225">
        <v>1340026446</v>
      </c>
      <c r="L855" s="1225">
        <v>1289092092</v>
      </c>
    </row>
    <row r="856" spans="1:12">
      <c r="A856" s="187" t="s">
        <v>5339</v>
      </c>
      <c r="B856" s="1224" t="s">
        <v>13</v>
      </c>
      <c r="C856" s="1225">
        <v>339094497</v>
      </c>
      <c r="D856" s="1225">
        <v>328571936</v>
      </c>
      <c r="E856" s="1225">
        <v>339094497</v>
      </c>
      <c r="F856" s="1225">
        <v>328571936</v>
      </c>
      <c r="G856" s="1225">
        <v>296613801</v>
      </c>
      <c r="H856" s="1225">
        <v>296613801</v>
      </c>
      <c r="I856" s="1225">
        <v>339094497</v>
      </c>
      <c r="J856" s="1225">
        <v>328571936</v>
      </c>
      <c r="K856" s="1225">
        <v>339094497</v>
      </c>
      <c r="L856" s="1225">
        <v>328571936</v>
      </c>
    </row>
    <row r="857" spans="1:12">
      <c r="A857" s="187" t="s">
        <v>5341</v>
      </c>
      <c r="B857" s="1224" t="s">
        <v>14</v>
      </c>
      <c r="C857" s="1225">
        <v>8344523931</v>
      </c>
      <c r="D857" s="1225">
        <v>8118208860</v>
      </c>
      <c r="E857" s="1225">
        <v>8344523931</v>
      </c>
      <c r="F857" s="1225">
        <v>8118208860</v>
      </c>
      <c r="G857" s="1225">
        <v>7948280358</v>
      </c>
      <c r="H857" s="1225">
        <v>7948280358</v>
      </c>
      <c r="I857" s="1225">
        <v>8344523931</v>
      </c>
      <c r="J857" s="1225">
        <v>8118208860</v>
      </c>
      <c r="K857" s="1225">
        <v>8344523931</v>
      </c>
      <c r="L857" s="1225">
        <v>8118208860</v>
      </c>
    </row>
    <row r="858" spans="1:12">
      <c r="A858" s="187" t="s">
        <v>858</v>
      </c>
      <c r="B858" s="1224" t="s">
        <v>4070</v>
      </c>
      <c r="C858" s="1225">
        <v>1952225215</v>
      </c>
      <c r="D858" s="1225">
        <v>1894577874</v>
      </c>
      <c r="E858" s="1225">
        <v>1952225215</v>
      </c>
      <c r="F858" s="1225">
        <v>1894577874</v>
      </c>
      <c r="G858" s="1225">
        <v>1767855184</v>
      </c>
      <c r="H858" s="1225">
        <v>1767855184</v>
      </c>
      <c r="I858" s="1225">
        <v>1952225215</v>
      </c>
      <c r="J858" s="1225">
        <v>1894577874</v>
      </c>
      <c r="K858" s="1225">
        <v>1952225215</v>
      </c>
      <c r="L858" s="1225">
        <v>1894577874</v>
      </c>
    </row>
    <row r="859" spans="1:12">
      <c r="A859" s="187" t="s">
        <v>5343</v>
      </c>
      <c r="B859" s="1224" t="s">
        <v>6106</v>
      </c>
      <c r="C859" s="1225">
        <v>1172377306</v>
      </c>
      <c r="D859" s="1225">
        <v>1132458903</v>
      </c>
      <c r="E859" s="1225">
        <v>1172377306</v>
      </c>
      <c r="F859" s="1225">
        <v>1132458903</v>
      </c>
      <c r="G859" s="1225">
        <v>1167200702</v>
      </c>
      <c r="H859" s="1225">
        <v>1167200702</v>
      </c>
      <c r="I859" s="1225">
        <v>1172377306</v>
      </c>
      <c r="J859" s="1225">
        <v>1132458903</v>
      </c>
      <c r="K859" s="1225">
        <v>1172377306</v>
      </c>
      <c r="L859" s="1225">
        <v>1132458903</v>
      </c>
    </row>
    <row r="860" spans="1:12">
      <c r="A860" s="187" t="s">
        <v>5344</v>
      </c>
      <c r="B860" s="1224" t="s">
        <v>15</v>
      </c>
      <c r="C860" s="1225">
        <v>428699862</v>
      </c>
      <c r="D860" s="1225">
        <v>416213528</v>
      </c>
      <c r="E860" s="1225">
        <v>428699862</v>
      </c>
      <c r="F860" s="1225">
        <v>416213528</v>
      </c>
      <c r="G860" s="1225">
        <v>423480238</v>
      </c>
      <c r="H860" s="1225">
        <v>423480238</v>
      </c>
      <c r="I860" s="1225">
        <v>428699862</v>
      </c>
      <c r="J860" s="1225">
        <v>416213528</v>
      </c>
      <c r="K860" s="1225">
        <v>428699862</v>
      </c>
      <c r="L860" s="1225">
        <v>416213528</v>
      </c>
    </row>
    <row r="861" spans="1:12">
      <c r="A861" s="187" t="s">
        <v>5346</v>
      </c>
      <c r="B861" s="1224" t="s">
        <v>16</v>
      </c>
      <c r="C861" s="1225">
        <v>2793289301</v>
      </c>
      <c r="D861" s="1225">
        <v>2774518646</v>
      </c>
      <c r="E861" s="1225">
        <v>2759504122</v>
      </c>
      <c r="F861" s="1225">
        <v>2740733467</v>
      </c>
      <c r="G861" s="1225">
        <v>2827611898</v>
      </c>
      <c r="H861" s="1225">
        <v>2794651092</v>
      </c>
      <c r="I861" s="1225">
        <v>2793289301</v>
      </c>
      <c r="J861" s="1225">
        <v>2774518646</v>
      </c>
      <c r="K861" s="1225">
        <v>2759504122</v>
      </c>
      <c r="L861" s="1225">
        <v>2740733467</v>
      </c>
    </row>
    <row r="862" spans="1:12">
      <c r="A862" s="187" t="s">
        <v>2770</v>
      </c>
      <c r="B862" s="1224" t="s">
        <v>360</v>
      </c>
      <c r="C862" s="1225">
        <v>1641882132</v>
      </c>
      <c r="D862" s="1225">
        <v>1590662212</v>
      </c>
      <c r="E862" s="1225">
        <v>1641882132</v>
      </c>
      <c r="F862" s="1225">
        <v>1590662212</v>
      </c>
      <c r="G862" s="1225">
        <v>1234739801</v>
      </c>
      <c r="H862" s="1225">
        <v>1234739801</v>
      </c>
      <c r="I862" s="1225">
        <v>1641882132</v>
      </c>
      <c r="J862" s="1225">
        <v>1590662212</v>
      </c>
      <c r="K862" s="1225">
        <v>1641882132</v>
      </c>
      <c r="L862" s="1225">
        <v>1590662212</v>
      </c>
    </row>
    <row r="863" spans="1:12">
      <c r="A863" s="187" t="s">
        <v>5348</v>
      </c>
      <c r="B863" s="1224" t="s">
        <v>1718</v>
      </c>
      <c r="C863" s="1225">
        <v>152342330</v>
      </c>
      <c r="D863" s="1225">
        <v>151522210</v>
      </c>
      <c r="E863" s="1225">
        <v>152342330</v>
      </c>
      <c r="F863" s="1225">
        <v>151522210</v>
      </c>
      <c r="G863" s="1225">
        <v>191762803</v>
      </c>
      <c r="H863" s="1225">
        <v>191762803</v>
      </c>
      <c r="I863" s="1225">
        <v>152342330</v>
      </c>
      <c r="J863" s="1225">
        <v>151522210</v>
      </c>
      <c r="K863" s="1225">
        <v>152342330</v>
      </c>
      <c r="L863" s="1225">
        <v>151522210</v>
      </c>
    </row>
    <row r="864" spans="1:12">
      <c r="A864" s="187" t="s">
        <v>3886</v>
      </c>
      <c r="B864" s="1224" t="s">
        <v>368</v>
      </c>
      <c r="C864" s="1225">
        <v>506644510</v>
      </c>
      <c r="D864" s="1225">
        <v>478016370</v>
      </c>
      <c r="E864" s="1225">
        <v>506644510</v>
      </c>
      <c r="F864" s="1225">
        <v>478016370</v>
      </c>
      <c r="G864" s="1225">
        <v>548536062</v>
      </c>
      <c r="H864" s="1225">
        <v>548536062</v>
      </c>
      <c r="I864" s="1225">
        <v>506644510</v>
      </c>
      <c r="J864" s="1225">
        <v>478016370</v>
      </c>
      <c r="K864" s="1225">
        <v>506644510</v>
      </c>
      <c r="L864" s="1225">
        <v>478016370</v>
      </c>
    </row>
    <row r="865" spans="1:12">
      <c r="A865" s="187" t="s">
        <v>5350</v>
      </c>
      <c r="B865" s="1224" t="s">
        <v>1719</v>
      </c>
      <c r="C865" s="1225">
        <v>469278441</v>
      </c>
      <c r="D865" s="1225">
        <v>449398661</v>
      </c>
      <c r="E865" s="1225">
        <v>469278441</v>
      </c>
      <c r="F865" s="1225">
        <v>449398661</v>
      </c>
      <c r="G865" s="1225">
        <v>738084409</v>
      </c>
      <c r="H865" s="1225">
        <v>738084409</v>
      </c>
      <c r="I865" s="1225">
        <v>469278441</v>
      </c>
      <c r="J865" s="1225">
        <v>449398661</v>
      </c>
      <c r="K865" s="1225">
        <v>469278441</v>
      </c>
      <c r="L865" s="1225">
        <v>449398661</v>
      </c>
    </row>
    <row r="866" spans="1:12">
      <c r="A866" s="187" t="s">
        <v>3139</v>
      </c>
      <c r="B866" s="1224" t="s">
        <v>1720</v>
      </c>
      <c r="C866" s="1225">
        <v>369673834</v>
      </c>
      <c r="D866" s="1225">
        <v>367462424</v>
      </c>
      <c r="E866" s="1225">
        <v>369673834</v>
      </c>
      <c r="F866" s="1225">
        <v>367462424</v>
      </c>
      <c r="G866" s="1225">
        <v>545627264</v>
      </c>
      <c r="H866" s="1225">
        <v>545627264</v>
      </c>
      <c r="I866" s="1225">
        <v>876445784</v>
      </c>
      <c r="J866" s="1225">
        <v>874234374</v>
      </c>
      <c r="K866" s="1225">
        <v>876445784</v>
      </c>
      <c r="L866" s="1225">
        <v>874234374</v>
      </c>
    </row>
    <row r="867" spans="1:12">
      <c r="A867" s="187" t="s">
        <v>1530</v>
      </c>
      <c r="B867" s="1224" t="s">
        <v>1721</v>
      </c>
      <c r="C867" s="1225">
        <v>152531155</v>
      </c>
      <c r="D867" s="1225">
        <v>149988305</v>
      </c>
      <c r="E867" s="1225">
        <v>152531155</v>
      </c>
      <c r="F867" s="1225">
        <v>149988305</v>
      </c>
      <c r="G867" s="1225">
        <v>347454238</v>
      </c>
      <c r="H867" s="1225">
        <v>347454238</v>
      </c>
      <c r="I867" s="1225">
        <v>152531155</v>
      </c>
      <c r="J867" s="1225">
        <v>149988305</v>
      </c>
      <c r="K867" s="1225">
        <v>152531155</v>
      </c>
      <c r="L867" s="1225">
        <v>149988305</v>
      </c>
    </row>
    <row r="868" spans="1:12">
      <c r="A868" s="187" t="s">
        <v>1532</v>
      </c>
      <c r="B868" s="1224" t="s">
        <v>1722</v>
      </c>
      <c r="C868" s="1225">
        <v>538177892</v>
      </c>
      <c r="D868" s="1225">
        <v>529909522</v>
      </c>
      <c r="E868" s="1225">
        <v>528702184</v>
      </c>
      <c r="F868" s="1225">
        <v>520433814</v>
      </c>
      <c r="G868" s="1225">
        <v>644023294</v>
      </c>
      <c r="H868" s="1225">
        <v>634603293</v>
      </c>
      <c r="I868" s="1225">
        <v>538177892</v>
      </c>
      <c r="J868" s="1225">
        <v>529909522</v>
      </c>
      <c r="K868" s="1225">
        <v>528702184</v>
      </c>
      <c r="L868" s="1225">
        <v>520433814</v>
      </c>
    </row>
    <row r="869" spans="1:12">
      <c r="A869" s="187" t="s">
        <v>624</v>
      </c>
      <c r="B869" s="1224" t="s">
        <v>1723</v>
      </c>
      <c r="C869" s="1225">
        <v>75778355</v>
      </c>
      <c r="D869" s="1225">
        <v>74167062</v>
      </c>
      <c r="E869" s="1225">
        <v>75778355</v>
      </c>
      <c r="F869" s="1225">
        <v>74167062</v>
      </c>
      <c r="G869" s="1225">
        <v>75570609</v>
      </c>
      <c r="H869" s="1225">
        <v>75570609</v>
      </c>
      <c r="I869" s="1225">
        <v>75778355</v>
      </c>
      <c r="J869" s="1225">
        <v>74167062</v>
      </c>
      <c r="K869" s="1225">
        <v>75778355</v>
      </c>
      <c r="L869" s="1225">
        <v>74167062</v>
      </c>
    </row>
    <row r="870" spans="1:12">
      <c r="A870" s="187" t="s">
        <v>626</v>
      </c>
      <c r="B870" s="1224" t="s">
        <v>1724</v>
      </c>
      <c r="C870" s="1225">
        <v>152000275</v>
      </c>
      <c r="D870" s="1225">
        <v>144241093</v>
      </c>
      <c r="E870" s="1225">
        <v>152000275</v>
      </c>
      <c r="F870" s="1225">
        <v>144241093</v>
      </c>
      <c r="G870" s="1225">
        <v>153276097</v>
      </c>
      <c r="H870" s="1225">
        <v>153276097</v>
      </c>
      <c r="I870" s="1225">
        <v>152000275</v>
      </c>
      <c r="J870" s="1225">
        <v>144241093</v>
      </c>
      <c r="K870" s="1225">
        <v>152000275</v>
      </c>
      <c r="L870" s="1225">
        <v>144241093</v>
      </c>
    </row>
    <row r="871" spans="1:12">
      <c r="A871" s="187" t="s">
        <v>628</v>
      </c>
      <c r="B871" s="1224" t="s">
        <v>1725</v>
      </c>
      <c r="C871" s="1225">
        <v>86989151</v>
      </c>
      <c r="D871" s="1225">
        <v>85275690</v>
      </c>
      <c r="E871" s="1225">
        <v>86989151</v>
      </c>
      <c r="F871" s="1225">
        <v>85275690</v>
      </c>
      <c r="G871" s="1225">
        <v>100394208</v>
      </c>
      <c r="H871" s="1225">
        <v>100394208</v>
      </c>
      <c r="I871" s="1225">
        <v>86989151</v>
      </c>
      <c r="J871" s="1225">
        <v>85275690</v>
      </c>
      <c r="K871" s="1225">
        <v>86989151</v>
      </c>
      <c r="L871" s="1225">
        <v>85275690</v>
      </c>
    </row>
    <row r="872" spans="1:12">
      <c r="A872" s="187" t="s">
        <v>269</v>
      </c>
      <c r="B872" s="1224" t="s">
        <v>7688</v>
      </c>
      <c r="C872" s="1225">
        <v>23663689942</v>
      </c>
      <c r="D872" s="1225">
        <v>23095336198</v>
      </c>
      <c r="E872" s="1225">
        <v>23663689942</v>
      </c>
      <c r="F872" s="1225">
        <v>23095336198</v>
      </c>
      <c r="G872" s="1225">
        <v>21401126368</v>
      </c>
      <c r="H872" s="1225">
        <v>21401126368</v>
      </c>
      <c r="I872" s="1225">
        <v>23663689942</v>
      </c>
      <c r="J872" s="1225">
        <v>23095336198</v>
      </c>
      <c r="K872" s="1225">
        <v>23663689942</v>
      </c>
      <c r="L872" s="1225">
        <v>23095336198</v>
      </c>
    </row>
    <row r="873" spans="1:12">
      <c r="A873" s="187" t="s">
        <v>951</v>
      </c>
      <c r="B873" s="1224" t="s">
        <v>7656</v>
      </c>
      <c r="C873" s="1225">
        <v>8502481859</v>
      </c>
      <c r="D873" s="1225">
        <v>8233801096</v>
      </c>
      <c r="E873" s="1225">
        <v>8502481859</v>
      </c>
      <c r="F873" s="1225">
        <v>8233801096</v>
      </c>
      <c r="G873" s="1225">
        <v>7682474153</v>
      </c>
      <c r="H873" s="1225">
        <v>7682474153</v>
      </c>
      <c r="I873" s="1225">
        <v>8502481859</v>
      </c>
      <c r="J873" s="1225">
        <v>8233801096</v>
      </c>
      <c r="K873" s="1225">
        <v>8502481859</v>
      </c>
      <c r="L873" s="1225">
        <v>8233801096</v>
      </c>
    </row>
    <row r="874" spans="1:12">
      <c r="A874" s="187" t="s">
        <v>409</v>
      </c>
      <c r="B874" s="1224" t="s">
        <v>1726</v>
      </c>
      <c r="C874" s="1225">
        <v>1206675286</v>
      </c>
      <c r="D874" s="1225">
        <v>1167912271</v>
      </c>
      <c r="E874" s="1225">
        <v>1206675286</v>
      </c>
      <c r="F874" s="1225">
        <v>1167912271</v>
      </c>
      <c r="G874" s="1225">
        <v>1099369032</v>
      </c>
      <c r="H874" s="1225">
        <v>1099369032</v>
      </c>
      <c r="I874" s="1225">
        <v>1206675286</v>
      </c>
      <c r="J874" s="1225">
        <v>1167912271</v>
      </c>
      <c r="K874" s="1225">
        <v>1206675286</v>
      </c>
      <c r="L874" s="1225">
        <v>1167912271</v>
      </c>
    </row>
    <row r="875" spans="1:12">
      <c r="A875" s="187" t="s">
        <v>3996</v>
      </c>
      <c r="B875" s="1224" t="s">
        <v>1727</v>
      </c>
      <c r="C875" s="1225">
        <v>30903276110</v>
      </c>
      <c r="D875" s="1225">
        <v>30153705760</v>
      </c>
      <c r="E875" s="1225">
        <v>30903276110</v>
      </c>
      <c r="F875" s="1225">
        <v>30153705760</v>
      </c>
      <c r="G875" s="1225">
        <v>28286342225</v>
      </c>
      <c r="H875" s="1225">
        <v>28286342225</v>
      </c>
      <c r="I875" s="1225">
        <v>30903276110</v>
      </c>
      <c r="J875" s="1225">
        <v>30153705760</v>
      </c>
      <c r="K875" s="1225">
        <v>30903276110</v>
      </c>
      <c r="L875" s="1225">
        <v>30153705760</v>
      </c>
    </row>
    <row r="876" spans="1:12">
      <c r="A876" s="187" t="s">
        <v>3998</v>
      </c>
      <c r="B876" s="1224" t="s">
        <v>1728</v>
      </c>
      <c r="C876" s="1225">
        <v>12662564591</v>
      </c>
      <c r="D876" s="1225">
        <v>12489641746</v>
      </c>
      <c r="E876" s="1225">
        <v>12662564591</v>
      </c>
      <c r="F876" s="1225">
        <v>12489641746</v>
      </c>
      <c r="G876" s="1225">
        <v>11293582526</v>
      </c>
      <c r="H876" s="1225">
        <v>11293582526</v>
      </c>
      <c r="I876" s="1225">
        <v>12662564591</v>
      </c>
      <c r="J876" s="1225">
        <v>12489641746</v>
      </c>
      <c r="K876" s="1225">
        <v>12662564591</v>
      </c>
      <c r="L876" s="1225">
        <v>12489641746</v>
      </c>
    </row>
    <row r="877" spans="1:12">
      <c r="A877" s="187" t="s">
        <v>6030</v>
      </c>
      <c r="B877" s="1224" t="s">
        <v>1915</v>
      </c>
      <c r="C877" s="1225">
        <v>15396016302</v>
      </c>
      <c r="D877" s="1225">
        <v>15003683814</v>
      </c>
      <c r="E877" s="1225">
        <v>15396016302</v>
      </c>
      <c r="F877" s="1225">
        <v>15003683814</v>
      </c>
      <c r="G877" s="1225">
        <v>12925898795</v>
      </c>
      <c r="H877" s="1225">
        <v>12925898795</v>
      </c>
      <c r="I877" s="1225">
        <v>15396016302</v>
      </c>
      <c r="J877" s="1225">
        <v>15003683814</v>
      </c>
      <c r="K877" s="1225">
        <v>15396016302</v>
      </c>
      <c r="L877" s="1225">
        <v>15003683814</v>
      </c>
    </row>
    <row r="878" spans="1:12">
      <c r="A878" s="187" t="s">
        <v>3002</v>
      </c>
      <c r="B878" s="1224" t="s">
        <v>6062</v>
      </c>
      <c r="C878" s="1225">
        <v>11855631267</v>
      </c>
      <c r="D878" s="1225">
        <v>11525771524</v>
      </c>
      <c r="E878" s="1225">
        <v>11855631267</v>
      </c>
      <c r="F878" s="1225">
        <v>11525771524</v>
      </c>
      <c r="G878" s="1225">
        <v>10332573358</v>
      </c>
      <c r="H878" s="1225">
        <v>10332573358</v>
      </c>
      <c r="I878" s="1225">
        <v>11855631267</v>
      </c>
      <c r="J878" s="1225">
        <v>11525771524</v>
      </c>
      <c r="K878" s="1225">
        <v>11855631267</v>
      </c>
      <c r="L878" s="1225">
        <v>11525771524</v>
      </c>
    </row>
    <row r="879" spans="1:12">
      <c r="A879" s="187" t="s">
        <v>2986</v>
      </c>
      <c r="B879" s="1224" t="s">
        <v>186</v>
      </c>
      <c r="C879" s="1225">
        <v>826685491</v>
      </c>
      <c r="D879" s="1225">
        <v>806318797</v>
      </c>
      <c r="E879" s="1225">
        <v>826685491</v>
      </c>
      <c r="F879" s="1225">
        <v>806318797</v>
      </c>
      <c r="G879" s="1225">
        <v>764261356</v>
      </c>
      <c r="H879" s="1225">
        <v>764261356</v>
      </c>
      <c r="I879" s="1225">
        <v>826685491</v>
      </c>
      <c r="J879" s="1225">
        <v>806318797</v>
      </c>
      <c r="K879" s="1225">
        <v>826685491</v>
      </c>
      <c r="L879" s="1225">
        <v>806318797</v>
      </c>
    </row>
    <row r="880" spans="1:12">
      <c r="A880" s="187" t="s">
        <v>246</v>
      </c>
      <c r="B880" s="1224" t="s">
        <v>1668</v>
      </c>
      <c r="C880" s="1225">
        <v>5692103144</v>
      </c>
      <c r="D880" s="1225">
        <v>5516180989</v>
      </c>
      <c r="E880" s="1225">
        <v>5544223407</v>
      </c>
      <c r="F880" s="1225">
        <v>5368301252</v>
      </c>
      <c r="G880" s="1225">
        <v>5213301724</v>
      </c>
      <c r="H880" s="1225">
        <v>5079990135</v>
      </c>
      <c r="I880" s="1225">
        <v>5692103144</v>
      </c>
      <c r="J880" s="1225">
        <v>5516180989</v>
      </c>
      <c r="K880" s="1225">
        <v>5544223407</v>
      </c>
      <c r="L880" s="1225">
        <v>5368301252</v>
      </c>
    </row>
    <row r="881" spans="1:12">
      <c r="A881" s="187" t="s">
        <v>6032</v>
      </c>
      <c r="B881" s="1224" t="s">
        <v>1918</v>
      </c>
      <c r="C881" s="1225">
        <v>1219065215</v>
      </c>
      <c r="D881" s="1225">
        <v>1174740511</v>
      </c>
      <c r="E881" s="1225">
        <v>1219065215</v>
      </c>
      <c r="F881" s="1225">
        <v>1174740511</v>
      </c>
      <c r="G881" s="1225">
        <v>1075584709</v>
      </c>
      <c r="H881" s="1225">
        <v>1075584709</v>
      </c>
      <c r="I881" s="1225">
        <v>1219065215</v>
      </c>
      <c r="J881" s="1225">
        <v>1174740511</v>
      </c>
      <c r="K881" s="1225">
        <v>1219065215</v>
      </c>
      <c r="L881" s="1225">
        <v>1174740511</v>
      </c>
    </row>
    <row r="882" spans="1:12">
      <c r="A882" s="187" t="s">
        <v>946</v>
      </c>
      <c r="B882" s="1224" t="s">
        <v>7693</v>
      </c>
      <c r="C882" s="1225">
        <v>2452854874</v>
      </c>
      <c r="D882" s="1225">
        <v>2364960341</v>
      </c>
      <c r="E882" s="1225">
        <v>2452854874</v>
      </c>
      <c r="F882" s="1225">
        <v>2364960341</v>
      </c>
      <c r="G882" s="1225">
        <v>2329632654</v>
      </c>
      <c r="H882" s="1225">
        <v>2329632654</v>
      </c>
      <c r="I882" s="1225">
        <v>2452854874</v>
      </c>
      <c r="J882" s="1225">
        <v>2364960341</v>
      </c>
      <c r="K882" s="1225">
        <v>2452854874</v>
      </c>
      <c r="L882" s="1225">
        <v>2364960341</v>
      </c>
    </row>
    <row r="883" spans="1:12">
      <c r="A883" s="187" t="s">
        <v>1875</v>
      </c>
      <c r="B883" s="1224" t="s">
        <v>3858</v>
      </c>
      <c r="C883" s="1225">
        <v>11180706987</v>
      </c>
      <c r="D883" s="1225">
        <v>10897779023</v>
      </c>
      <c r="E883" s="1225">
        <v>11108437545</v>
      </c>
      <c r="F883" s="1225">
        <v>10825509581</v>
      </c>
      <c r="G883" s="1225">
        <v>9734523725</v>
      </c>
      <c r="H883" s="1225">
        <v>9662631037</v>
      </c>
      <c r="I883" s="1225">
        <v>11180706987</v>
      </c>
      <c r="J883" s="1225">
        <v>10897779023</v>
      </c>
      <c r="K883" s="1225">
        <v>11108437545</v>
      </c>
      <c r="L883" s="1225">
        <v>10825509581</v>
      </c>
    </row>
    <row r="884" spans="1:12">
      <c r="A884" s="187" t="s">
        <v>6682</v>
      </c>
      <c r="B884" s="1224" t="s">
        <v>6103</v>
      </c>
      <c r="C884" s="1225">
        <v>570030520</v>
      </c>
      <c r="D884" s="1225">
        <v>537847551</v>
      </c>
      <c r="E884" s="1225">
        <v>570030520</v>
      </c>
      <c r="F884" s="1225">
        <v>537847551</v>
      </c>
      <c r="G884" s="1225">
        <v>473279483</v>
      </c>
      <c r="H884" s="1225">
        <v>473279483</v>
      </c>
      <c r="I884" s="1225">
        <v>570030520</v>
      </c>
      <c r="J884" s="1225">
        <v>537847551</v>
      </c>
      <c r="K884" s="1225">
        <v>570030520</v>
      </c>
      <c r="L884" s="1225">
        <v>537847551</v>
      </c>
    </row>
    <row r="885" spans="1:12">
      <c r="A885" s="187" t="s">
        <v>4002</v>
      </c>
      <c r="B885" s="1224" t="s">
        <v>1729</v>
      </c>
      <c r="C885" s="1225">
        <v>7652013685</v>
      </c>
      <c r="D885" s="1225">
        <v>7456360100</v>
      </c>
      <c r="E885" s="1225">
        <v>7652013685</v>
      </c>
      <c r="F885" s="1225">
        <v>7456360100</v>
      </c>
      <c r="G885" s="1225">
        <v>6916328659</v>
      </c>
      <c r="H885" s="1225">
        <v>6916328659</v>
      </c>
      <c r="I885" s="1225">
        <v>7652013685</v>
      </c>
      <c r="J885" s="1225">
        <v>7456360100</v>
      </c>
      <c r="K885" s="1225">
        <v>7652013685</v>
      </c>
      <c r="L885" s="1225">
        <v>7456360100</v>
      </c>
    </row>
    <row r="886" spans="1:12">
      <c r="A886" s="187" t="s">
        <v>6681</v>
      </c>
      <c r="B886" s="1224" t="s">
        <v>6102</v>
      </c>
      <c r="C886" s="1225">
        <v>7162478978</v>
      </c>
      <c r="D886" s="1225">
        <v>7082042923</v>
      </c>
      <c r="E886" s="1225">
        <v>7162478978</v>
      </c>
      <c r="F886" s="1225">
        <v>7082042923</v>
      </c>
      <c r="G886" s="1225">
        <v>6268346961</v>
      </c>
      <c r="H886" s="1225">
        <v>6268346961</v>
      </c>
      <c r="I886" s="1225">
        <v>7162478978</v>
      </c>
      <c r="J886" s="1225">
        <v>7082042923</v>
      </c>
      <c r="K886" s="1225">
        <v>7162478978</v>
      </c>
      <c r="L886" s="1225">
        <v>7082042923</v>
      </c>
    </row>
    <row r="887" spans="1:12">
      <c r="A887" s="187" t="s">
        <v>857</v>
      </c>
      <c r="B887" s="1224" t="s">
        <v>4069</v>
      </c>
      <c r="C887" s="1225">
        <v>1737850327</v>
      </c>
      <c r="D887" s="1225">
        <v>1670328586</v>
      </c>
      <c r="E887" s="1225">
        <v>1737850327</v>
      </c>
      <c r="F887" s="1225">
        <v>1670328586</v>
      </c>
      <c r="G887" s="1225">
        <v>1655740881</v>
      </c>
      <c r="H887" s="1225">
        <v>1655740881</v>
      </c>
      <c r="I887" s="1225">
        <v>1737850327</v>
      </c>
      <c r="J887" s="1225">
        <v>1670328586</v>
      </c>
      <c r="K887" s="1225">
        <v>1737850327</v>
      </c>
      <c r="L887" s="1225">
        <v>1670328586</v>
      </c>
    </row>
    <row r="888" spans="1:12">
      <c r="A888" s="187" t="s">
        <v>4006</v>
      </c>
      <c r="B888" s="1224" t="s">
        <v>1730</v>
      </c>
      <c r="C888" s="1225">
        <v>4541630772</v>
      </c>
      <c r="D888" s="1225">
        <v>4369710826</v>
      </c>
      <c r="E888" s="1225">
        <v>4490759008</v>
      </c>
      <c r="F888" s="1225">
        <v>4318839062</v>
      </c>
      <c r="G888" s="1225">
        <v>4183286585</v>
      </c>
      <c r="H888" s="1225">
        <v>4131549230</v>
      </c>
      <c r="I888" s="1225">
        <v>4541630772</v>
      </c>
      <c r="J888" s="1225">
        <v>4369710826</v>
      </c>
      <c r="K888" s="1225">
        <v>4490759008</v>
      </c>
      <c r="L888" s="1225">
        <v>4318839062</v>
      </c>
    </row>
    <row r="889" spans="1:12">
      <c r="A889" s="187" t="s">
        <v>4008</v>
      </c>
      <c r="B889" s="1224" t="s">
        <v>1731</v>
      </c>
      <c r="C889" s="1225">
        <v>402676373</v>
      </c>
      <c r="D889" s="1225">
        <v>391515620</v>
      </c>
      <c r="E889" s="1225">
        <v>402676373</v>
      </c>
      <c r="F889" s="1225">
        <v>391515620</v>
      </c>
      <c r="G889" s="1225">
        <v>404095714</v>
      </c>
      <c r="H889" s="1225">
        <v>404095714</v>
      </c>
      <c r="I889" s="1225">
        <v>402676373</v>
      </c>
      <c r="J889" s="1225">
        <v>391515620</v>
      </c>
      <c r="K889" s="1225">
        <v>402676373</v>
      </c>
      <c r="L889" s="1225">
        <v>391515620</v>
      </c>
    </row>
    <row r="890" spans="1:12">
      <c r="A890" s="187" t="s">
        <v>4010</v>
      </c>
      <c r="B890" s="1224" t="s">
        <v>1732</v>
      </c>
      <c r="C890" s="1225">
        <v>133005248</v>
      </c>
      <c r="D890" s="1225">
        <v>131703609</v>
      </c>
      <c r="E890" s="1225">
        <v>133005248</v>
      </c>
      <c r="F890" s="1225">
        <v>131703609</v>
      </c>
      <c r="G890" s="1225">
        <v>154758393</v>
      </c>
      <c r="H890" s="1225">
        <v>154758393</v>
      </c>
      <c r="I890" s="1225">
        <v>161273129</v>
      </c>
      <c r="J890" s="1225">
        <v>159971490</v>
      </c>
      <c r="K890" s="1225">
        <v>161273129</v>
      </c>
      <c r="L890" s="1225">
        <v>159971490</v>
      </c>
    </row>
    <row r="891" spans="1:12">
      <c r="A891" s="187" t="s">
        <v>4012</v>
      </c>
      <c r="B891" s="1224" t="s">
        <v>4374</v>
      </c>
      <c r="C891" s="1225">
        <v>432153930</v>
      </c>
      <c r="D891" s="1225">
        <v>417543049</v>
      </c>
      <c r="E891" s="1225">
        <v>408522681</v>
      </c>
      <c r="F891" s="1225">
        <v>393911800</v>
      </c>
      <c r="G891" s="1225">
        <v>423724638</v>
      </c>
      <c r="H891" s="1225">
        <v>402296893</v>
      </c>
      <c r="I891" s="1225">
        <v>476704005</v>
      </c>
      <c r="J891" s="1225">
        <v>462093124</v>
      </c>
      <c r="K891" s="1225">
        <v>453072756</v>
      </c>
      <c r="L891" s="1225">
        <v>438461875</v>
      </c>
    </row>
    <row r="892" spans="1:12">
      <c r="A892" s="187" t="s">
        <v>4014</v>
      </c>
      <c r="B892" s="1224" t="s">
        <v>2008</v>
      </c>
      <c r="C892" s="1225">
        <v>1837126004</v>
      </c>
      <c r="D892" s="1225">
        <v>1780793810</v>
      </c>
      <c r="E892" s="1225">
        <v>1837126004</v>
      </c>
      <c r="F892" s="1225">
        <v>1780793810</v>
      </c>
      <c r="G892" s="1225">
        <v>1585433415</v>
      </c>
      <c r="H892" s="1225">
        <v>1585433415</v>
      </c>
      <c r="I892" s="1225">
        <v>1837126004</v>
      </c>
      <c r="J892" s="1225">
        <v>1780793810</v>
      </c>
      <c r="K892" s="1225">
        <v>1837126004</v>
      </c>
      <c r="L892" s="1225">
        <v>1780793810</v>
      </c>
    </row>
    <row r="893" spans="1:12">
      <c r="A893" s="187" t="s">
        <v>4015</v>
      </c>
      <c r="B893" s="1224" t="s">
        <v>1734</v>
      </c>
      <c r="C893" s="1225">
        <v>243576194</v>
      </c>
      <c r="D893" s="1225">
        <v>241345578</v>
      </c>
      <c r="E893" s="1225">
        <v>242332079</v>
      </c>
      <c r="F893" s="1225">
        <v>240101463</v>
      </c>
      <c r="G893" s="1225">
        <v>385664822</v>
      </c>
      <c r="H893" s="1225">
        <v>384178966</v>
      </c>
      <c r="I893" s="1225">
        <v>243576194</v>
      </c>
      <c r="J893" s="1225">
        <v>241345578</v>
      </c>
      <c r="K893" s="1225">
        <v>242332079</v>
      </c>
      <c r="L893" s="1225">
        <v>240101463</v>
      </c>
    </row>
    <row r="894" spans="1:12">
      <c r="A894" s="187" t="s">
        <v>6120</v>
      </c>
      <c r="B894" s="1224" t="s">
        <v>1735</v>
      </c>
      <c r="C894" s="1225">
        <v>495320179</v>
      </c>
      <c r="D894" s="1225">
        <v>486394428</v>
      </c>
      <c r="E894" s="1225">
        <v>495320179</v>
      </c>
      <c r="F894" s="1225">
        <v>486394428</v>
      </c>
      <c r="G894" s="1225">
        <v>925660481</v>
      </c>
      <c r="H894" s="1225">
        <v>925660481</v>
      </c>
      <c r="I894" s="1225">
        <v>495320179</v>
      </c>
      <c r="J894" s="1225">
        <v>486394428</v>
      </c>
      <c r="K894" s="1225">
        <v>495320179</v>
      </c>
      <c r="L894" s="1225">
        <v>486394428</v>
      </c>
    </row>
    <row r="895" spans="1:12">
      <c r="A895" s="187" t="s">
        <v>6679</v>
      </c>
      <c r="B895" s="1224" t="s">
        <v>6078</v>
      </c>
      <c r="C895" s="1225">
        <v>50441655</v>
      </c>
      <c r="D895" s="1225">
        <v>49614669</v>
      </c>
      <c r="E895" s="1225">
        <v>50441655</v>
      </c>
      <c r="F895" s="1225">
        <v>49614669</v>
      </c>
      <c r="G895" s="1225">
        <v>71197224</v>
      </c>
      <c r="H895" s="1225">
        <v>71197224</v>
      </c>
      <c r="I895" s="1225">
        <v>50441655</v>
      </c>
      <c r="J895" s="1225">
        <v>49614669</v>
      </c>
      <c r="K895" s="1225">
        <v>50441655</v>
      </c>
      <c r="L895" s="1225">
        <v>49614669</v>
      </c>
    </row>
    <row r="896" spans="1:12">
      <c r="A896" s="187" t="s">
        <v>6122</v>
      </c>
      <c r="B896" s="1224" t="s">
        <v>4380</v>
      </c>
      <c r="C896" s="1225">
        <v>174258302</v>
      </c>
      <c r="D896" s="1225">
        <v>173726378</v>
      </c>
      <c r="E896" s="1225">
        <v>174258302</v>
      </c>
      <c r="F896" s="1225">
        <v>173726378</v>
      </c>
      <c r="G896" s="1225">
        <v>347268935</v>
      </c>
      <c r="H896" s="1225">
        <v>347268935</v>
      </c>
      <c r="I896" s="1225">
        <v>174258302</v>
      </c>
      <c r="J896" s="1225">
        <v>173726378</v>
      </c>
      <c r="K896" s="1225">
        <v>174258302</v>
      </c>
      <c r="L896" s="1225">
        <v>173726378</v>
      </c>
    </row>
    <row r="897" spans="1:12">
      <c r="A897" s="187" t="s">
        <v>1801</v>
      </c>
      <c r="B897" s="1224" t="s">
        <v>1737</v>
      </c>
      <c r="C897" s="1225">
        <v>128576271</v>
      </c>
      <c r="D897" s="1225">
        <v>125878091</v>
      </c>
      <c r="E897" s="1225">
        <v>128576271</v>
      </c>
      <c r="F897" s="1225">
        <v>125878091</v>
      </c>
      <c r="G897" s="1225">
        <v>164730332</v>
      </c>
      <c r="H897" s="1225">
        <v>164730332</v>
      </c>
      <c r="I897" s="1225">
        <v>128576271</v>
      </c>
      <c r="J897" s="1225">
        <v>125878091</v>
      </c>
      <c r="K897" s="1225">
        <v>128576271</v>
      </c>
      <c r="L897" s="1225">
        <v>125878091</v>
      </c>
    </row>
    <row r="898" spans="1:12">
      <c r="A898" s="187" t="s">
        <v>1803</v>
      </c>
      <c r="B898" s="1224" t="s">
        <v>1738</v>
      </c>
      <c r="C898" s="1225">
        <v>32684686</v>
      </c>
      <c r="D898" s="1225">
        <v>31697726</v>
      </c>
      <c r="E898" s="1225">
        <v>32684686</v>
      </c>
      <c r="F898" s="1225">
        <v>31697726</v>
      </c>
      <c r="G898" s="1225">
        <v>48672173</v>
      </c>
      <c r="H898" s="1225">
        <v>48672173</v>
      </c>
      <c r="I898" s="1225">
        <v>32684686</v>
      </c>
      <c r="J898" s="1225">
        <v>31697726</v>
      </c>
      <c r="K898" s="1225">
        <v>32684686</v>
      </c>
      <c r="L898" s="1225">
        <v>31697726</v>
      </c>
    </row>
    <row r="899" spans="1:12">
      <c r="A899" s="187" t="s">
        <v>1805</v>
      </c>
      <c r="B899" s="1224" t="s">
        <v>1739</v>
      </c>
      <c r="C899" s="1225">
        <v>1556169086</v>
      </c>
      <c r="D899" s="1225">
        <v>1516466877</v>
      </c>
      <c r="E899" s="1225">
        <v>1556169086</v>
      </c>
      <c r="F899" s="1225">
        <v>1516466877</v>
      </c>
      <c r="G899" s="1225">
        <v>1628415903</v>
      </c>
      <c r="H899" s="1225">
        <v>1585478818</v>
      </c>
      <c r="I899" s="1225">
        <v>1556169086</v>
      </c>
      <c r="J899" s="1225">
        <v>1516466877</v>
      </c>
      <c r="K899" s="1225">
        <v>1556169086</v>
      </c>
      <c r="L899" s="1225">
        <v>1516466877</v>
      </c>
    </row>
    <row r="900" spans="1:12">
      <c r="A900" s="187" t="s">
        <v>1807</v>
      </c>
      <c r="B900" s="1224" t="s">
        <v>1740</v>
      </c>
      <c r="C900" s="1225">
        <v>51671156</v>
      </c>
      <c r="D900" s="1225">
        <v>50434728</v>
      </c>
      <c r="E900" s="1225">
        <v>51671156</v>
      </c>
      <c r="F900" s="1225">
        <v>50434728</v>
      </c>
      <c r="G900" s="1225">
        <v>73204021</v>
      </c>
      <c r="H900" s="1225">
        <v>72095686</v>
      </c>
      <c r="I900" s="1225">
        <v>51671156</v>
      </c>
      <c r="J900" s="1225">
        <v>50434728</v>
      </c>
      <c r="K900" s="1225">
        <v>51671156</v>
      </c>
      <c r="L900" s="1225">
        <v>50434728</v>
      </c>
    </row>
    <row r="901" spans="1:12">
      <c r="A901" s="187" t="s">
        <v>5037</v>
      </c>
      <c r="B901" s="1224" t="s">
        <v>6106</v>
      </c>
      <c r="C901" s="1225">
        <v>121730710</v>
      </c>
      <c r="D901" s="1225">
        <v>115950858</v>
      </c>
      <c r="E901" s="1225">
        <v>121730710</v>
      </c>
      <c r="F901" s="1225">
        <v>115950858</v>
      </c>
      <c r="G901" s="1225">
        <v>107064967</v>
      </c>
      <c r="H901" s="1225">
        <v>107064967</v>
      </c>
      <c r="I901" s="1225">
        <v>121730710</v>
      </c>
      <c r="J901" s="1225">
        <v>115950858</v>
      </c>
      <c r="K901" s="1225">
        <v>121730710</v>
      </c>
      <c r="L901" s="1225">
        <v>115950858</v>
      </c>
    </row>
    <row r="902" spans="1:12">
      <c r="A902" s="187" t="s">
        <v>1809</v>
      </c>
      <c r="B902" s="1224" t="s">
        <v>1741</v>
      </c>
      <c r="C902" s="1225">
        <v>148358194</v>
      </c>
      <c r="D902" s="1225">
        <v>141709240</v>
      </c>
      <c r="E902" s="1225">
        <v>148358194</v>
      </c>
      <c r="F902" s="1225">
        <v>141709240</v>
      </c>
      <c r="G902" s="1225">
        <v>138995056</v>
      </c>
      <c r="H902" s="1225">
        <v>138995056</v>
      </c>
      <c r="I902" s="1225">
        <v>148358194</v>
      </c>
      <c r="J902" s="1225">
        <v>141709240</v>
      </c>
      <c r="K902" s="1225">
        <v>148358194</v>
      </c>
      <c r="L902" s="1225">
        <v>141709240</v>
      </c>
    </row>
    <row r="903" spans="1:12">
      <c r="A903" s="187" t="s">
        <v>1697</v>
      </c>
      <c r="B903" s="1224" t="s">
        <v>1742</v>
      </c>
      <c r="C903" s="1225">
        <v>245056158</v>
      </c>
      <c r="D903" s="1225">
        <v>237313668</v>
      </c>
      <c r="E903" s="1225">
        <v>245056158</v>
      </c>
      <c r="F903" s="1225">
        <v>237313668</v>
      </c>
      <c r="G903" s="1225">
        <v>236383486</v>
      </c>
      <c r="H903" s="1225">
        <v>223104603</v>
      </c>
      <c r="I903" s="1225">
        <v>260160808</v>
      </c>
      <c r="J903" s="1225">
        <v>252418318</v>
      </c>
      <c r="K903" s="1225">
        <v>260160808</v>
      </c>
      <c r="L903" s="1225">
        <v>252418318</v>
      </c>
    </row>
    <row r="904" spans="1:12">
      <c r="A904" s="187" t="s">
        <v>2385</v>
      </c>
      <c r="B904" s="1224" t="s">
        <v>378</v>
      </c>
      <c r="C904" s="1225">
        <v>4908490570</v>
      </c>
      <c r="D904" s="1225">
        <v>4694723962</v>
      </c>
      <c r="E904" s="1225">
        <v>4908490570</v>
      </c>
      <c r="F904" s="1225">
        <v>4694723962</v>
      </c>
      <c r="G904" s="1225">
        <v>4383926403</v>
      </c>
      <c r="H904" s="1225">
        <v>4383926403</v>
      </c>
      <c r="I904" s="1225">
        <v>4908490570</v>
      </c>
      <c r="J904" s="1225">
        <v>4694723962</v>
      </c>
      <c r="K904" s="1225">
        <v>4908490570</v>
      </c>
      <c r="L904" s="1225">
        <v>4694723962</v>
      </c>
    </row>
    <row r="905" spans="1:12">
      <c r="A905" s="187" t="s">
        <v>1699</v>
      </c>
      <c r="B905" s="1224" t="s">
        <v>1743</v>
      </c>
      <c r="C905" s="1225">
        <v>128354237</v>
      </c>
      <c r="D905" s="1225">
        <v>124218747</v>
      </c>
      <c r="E905" s="1225">
        <v>128354237</v>
      </c>
      <c r="F905" s="1225">
        <v>124218747</v>
      </c>
      <c r="G905" s="1225">
        <v>125247290</v>
      </c>
      <c r="H905" s="1225">
        <v>125247290</v>
      </c>
      <c r="I905" s="1225">
        <v>128354237</v>
      </c>
      <c r="J905" s="1225">
        <v>124218747</v>
      </c>
      <c r="K905" s="1225">
        <v>128354237</v>
      </c>
      <c r="L905" s="1225">
        <v>124218747</v>
      </c>
    </row>
    <row r="906" spans="1:12">
      <c r="A906" s="187" t="s">
        <v>3554</v>
      </c>
      <c r="B906" s="1224" t="s">
        <v>4061</v>
      </c>
      <c r="C906" s="1225">
        <v>428949589</v>
      </c>
      <c r="D906" s="1225">
        <v>416347589</v>
      </c>
      <c r="E906" s="1225">
        <v>428949589</v>
      </c>
      <c r="F906" s="1225">
        <v>416347589</v>
      </c>
      <c r="G906" s="1225">
        <v>374145395</v>
      </c>
      <c r="H906" s="1225">
        <v>374145395</v>
      </c>
      <c r="I906" s="1225">
        <v>428949589</v>
      </c>
      <c r="J906" s="1225">
        <v>416347589</v>
      </c>
      <c r="K906" s="1225">
        <v>428949589</v>
      </c>
      <c r="L906" s="1225">
        <v>416347589</v>
      </c>
    </row>
    <row r="907" spans="1:12">
      <c r="A907" s="187" t="s">
        <v>1857</v>
      </c>
      <c r="B907" s="1224" t="s">
        <v>3913</v>
      </c>
      <c r="C907" s="1225">
        <v>284941175</v>
      </c>
      <c r="D907" s="1225">
        <v>269074745</v>
      </c>
      <c r="E907" s="1225">
        <v>284941175</v>
      </c>
      <c r="F907" s="1225">
        <v>269074745</v>
      </c>
      <c r="G907" s="1225">
        <v>228235268</v>
      </c>
      <c r="H907" s="1225">
        <v>228235268</v>
      </c>
      <c r="I907" s="1225">
        <v>284941175</v>
      </c>
      <c r="J907" s="1225">
        <v>269074745</v>
      </c>
      <c r="K907" s="1225">
        <v>284941175</v>
      </c>
      <c r="L907" s="1225">
        <v>269074745</v>
      </c>
    </row>
    <row r="908" spans="1:12">
      <c r="A908" s="187" t="s">
        <v>7288</v>
      </c>
      <c r="B908" s="1224" t="s">
        <v>7132</v>
      </c>
      <c r="C908" s="1225">
        <v>118109536</v>
      </c>
      <c r="D908" s="1225">
        <v>115021106</v>
      </c>
      <c r="E908" s="1225">
        <v>118109536</v>
      </c>
      <c r="F908" s="1225">
        <v>115021106</v>
      </c>
      <c r="G908" s="1225">
        <v>112305029</v>
      </c>
      <c r="H908" s="1225">
        <v>110420952</v>
      </c>
      <c r="I908" s="1225">
        <v>118109536</v>
      </c>
      <c r="J908" s="1225">
        <v>115021106</v>
      </c>
      <c r="K908" s="1225">
        <v>118109536</v>
      </c>
      <c r="L908" s="1225">
        <v>115021106</v>
      </c>
    </row>
    <row r="909" spans="1:12">
      <c r="A909" s="187" t="s">
        <v>2791</v>
      </c>
      <c r="B909" s="1224" t="s">
        <v>1744</v>
      </c>
      <c r="C909" s="1225">
        <v>100556504782</v>
      </c>
      <c r="D909" s="1225">
        <v>99438350611</v>
      </c>
      <c r="E909" s="1225">
        <v>100556504782</v>
      </c>
      <c r="F909" s="1225">
        <v>99438350611</v>
      </c>
      <c r="G909" s="1225">
        <v>78614122330</v>
      </c>
      <c r="H909" s="1225">
        <v>78614122330</v>
      </c>
      <c r="I909" s="1225">
        <v>100575859177</v>
      </c>
      <c r="J909" s="1225">
        <v>99457705006</v>
      </c>
      <c r="K909" s="1225">
        <v>100575859177</v>
      </c>
      <c r="L909" s="1225">
        <v>99457705006</v>
      </c>
    </row>
    <row r="910" spans="1:12">
      <c r="A910" s="187" t="s">
        <v>5124</v>
      </c>
      <c r="B910" s="1224" t="s">
        <v>339</v>
      </c>
      <c r="C910" s="1225">
        <v>11186232943</v>
      </c>
      <c r="D910" s="1225">
        <v>10926046709</v>
      </c>
      <c r="E910" s="1225">
        <v>11186232943</v>
      </c>
      <c r="F910" s="1225">
        <v>10926046709</v>
      </c>
      <c r="G910" s="1225">
        <v>8895355295</v>
      </c>
      <c r="H910" s="1225">
        <v>8895355295</v>
      </c>
      <c r="I910" s="1225">
        <v>11186232943</v>
      </c>
      <c r="J910" s="1225">
        <v>10926046709</v>
      </c>
      <c r="K910" s="1225">
        <v>11186232943</v>
      </c>
      <c r="L910" s="1225">
        <v>10926046709</v>
      </c>
    </row>
    <row r="911" spans="1:12">
      <c r="A911" s="187" t="s">
        <v>2793</v>
      </c>
      <c r="B911" s="1224" t="s">
        <v>1745</v>
      </c>
      <c r="C911" s="1225">
        <v>4271508093</v>
      </c>
      <c r="D911" s="1225">
        <v>4198657917</v>
      </c>
      <c r="E911" s="1225">
        <v>4271508093</v>
      </c>
      <c r="F911" s="1225">
        <v>4198657917</v>
      </c>
      <c r="G911" s="1225">
        <v>3893100591</v>
      </c>
      <c r="H911" s="1225">
        <v>3893100591</v>
      </c>
      <c r="I911" s="1225">
        <v>5817138095</v>
      </c>
      <c r="J911" s="1225">
        <v>5744287919</v>
      </c>
      <c r="K911" s="1225">
        <v>5817138095</v>
      </c>
      <c r="L911" s="1225">
        <v>5744287919</v>
      </c>
    </row>
    <row r="912" spans="1:12">
      <c r="A912" s="187" t="s">
        <v>2795</v>
      </c>
      <c r="B912" s="1224" t="s">
        <v>1746</v>
      </c>
      <c r="C912" s="1225">
        <v>13721694405</v>
      </c>
      <c r="D912" s="1225">
        <v>13626040970</v>
      </c>
      <c r="E912" s="1225">
        <v>13721694405</v>
      </c>
      <c r="F912" s="1225">
        <v>13626040970</v>
      </c>
      <c r="G912" s="1225">
        <v>11699125244</v>
      </c>
      <c r="H912" s="1225">
        <v>11699125244</v>
      </c>
      <c r="I912" s="1225">
        <v>13721694405</v>
      </c>
      <c r="J912" s="1225">
        <v>13626040970</v>
      </c>
      <c r="K912" s="1225">
        <v>13721694405</v>
      </c>
      <c r="L912" s="1225">
        <v>13626040970</v>
      </c>
    </row>
    <row r="913" spans="1:12">
      <c r="A913" s="187" t="s">
        <v>2052</v>
      </c>
      <c r="B913" s="1224" t="s">
        <v>997</v>
      </c>
      <c r="C913" s="1225">
        <v>4524387590</v>
      </c>
      <c r="D913" s="1225">
        <v>4455451839</v>
      </c>
      <c r="E913" s="1225">
        <v>4524387590</v>
      </c>
      <c r="F913" s="1225">
        <v>4455451839</v>
      </c>
      <c r="G913" s="1225">
        <v>3807328695</v>
      </c>
      <c r="H913" s="1225">
        <v>3807328695</v>
      </c>
      <c r="I913" s="1225">
        <v>4524387590</v>
      </c>
      <c r="J913" s="1225">
        <v>4455451839</v>
      </c>
      <c r="K913" s="1225">
        <v>4524387590</v>
      </c>
      <c r="L913" s="1225">
        <v>4455451839</v>
      </c>
    </row>
    <row r="914" spans="1:12">
      <c r="A914" s="187" t="s">
        <v>2797</v>
      </c>
      <c r="B914" s="1224" t="s">
        <v>1747</v>
      </c>
      <c r="C914" s="1225">
        <v>1488009987</v>
      </c>
      <c r="D914" s="1225">
        <v>1459633186</v>
      </c>
      <c r="E914" s="1225">
        <v>1400388217</v>
      </c>
      <c r="F914" s="1225">
        <v>1372011416</v>
      </c>
      <c r="G914" s="1225">
        <v>1393110372</v>
      </c>
      <c r="H914" s="1225">
        <v>1315060740</v>
      </c>
      <c r="I914" s="1225">
        <v>1488009987</v>
      </c>
      <c r="J914" s="1225">
        <v>1459633186</v>
      </c>
      <c r="K914" s="1225">
        <v>1400388217</v>
      </c>
      <c r="L914" s="1225">
        <v>1372011416</v>
      </c>
    </row>
    <row r="915" spans="1:12">
      <c r="A915" s="187" t="s">
        <v>2799</v>
      </c>
      <c r="B915" s="1224" t="s">
        <v>1748</v>
      </c>
      <c r="C915" s="1225">
        <v>10846509941</v>
      </c>
      <c r="D915" s="1225">
        <v>10714180440</v>
      </c>
      <c r="E915" s="1225">
        <v>10173271055</v>
      </c>
      <c r="F915" s="1225">
        <v>10040941554</v>
      </c>
      <c r="G915" s="1225">
        <v>8857635923</v>
      </c>
      <c r="H915" s="1225">
        <v>8304111379</v>
      </c>
      <c r="I915" s="1225">
        <v>10846509941</v>
      </c>
      <c r="J915" s="1225">
        <v>10714180440</v>
      </c>
      <c r="K915" s="1225">
        <v>10173271055</v>
      </c>
      <c r="L915" s="1225">
        <v>10040941554</v>
      </c>
    </row>
    <row r="916" spans="1:12">
      <c r="A916" s="187" t="s">
        <v>2801</v>
      </c>
      <c r="B916" s="1224" t="s">
        <v>1749</v>
      </c>
      <c r="C916" s="1225">
        <v>298666779</v>
      </c>
      <c r="D916" s="1225">
        <v>288599746</v>
      </c>
      <c r="E916" s="1225">
        <v>298666779</v>
      </c>
      <c r="F916" s="1225">
        <v>288599746</v>
      </c>
      <c r="G916" s="1225">
        <v>245354281</v>
      </c>
      <c r="H916" s="1225">
        <v>245354281</v>
      </c>
      <c r="I916" s="1225">
        <v>298666779</v>
      </c>
      <c r="J916" s="1225">
        <v>288599746</v>
      </c>
      <c r="K916" s="1225">
        <v>298666779</v>
      </c>
      <c r="L916" s="1225">
        <v>288599746</v>
      </c>
    </row>
    <row r="917" spans="1:12">
      <c r="A917" s="187" t="s">
        <v>2803</v>
      </c>
      <c r="B917" s="1224" t="s">
        <v>1750</v>
      </c>
      <c r="C917" s="1225">
        <v>390002209</v>
      </c>
      <c r="D917" s="1225">
        <v>373997261</v>
      </c>
      <c r="E917" s="1225">
        <v>390002209</v>
      </c>
      <c r="F917" s="1225">
        <v>373997261</v>
      </c>
      <c r="G917" s="1225">
        <v>347750244</v>
      </c>
      <c r="H917" s="1225">
        <v>347750244</v>
      </c>
      <c r="I917" s="1225">
        <v>390002209</v>
      </c>
      <c r="J917" s="1225">
        <v>373997261</v>
      </c>
      <c r="K917" s="1225">
        <v>390002209</v>
      </c>
      <c r="L917" s="1225">
        <v>373997261</v>
      </c>
    </row>
    <row r="918" spans="1:12">
      <c r="A918" s="187" t="s">
        <v>2805</v>
      </c>
      <c r="B918" s="1224" t="s">
        <v>297</v>
      </c>
      <c r="C918" s="1225">
        <v>30340653</v>
      </c>
      <c r="D918" s="1225">
        <v>28424826</v>
      </c>
      <c r="E918" s="1225">
        <v>30340653</v>
      </c>
      <c r="F918" s="1225">
        <v>28424826</v>
      </c>
      <c r="G918" s="1225">
        <v>29080625</v>
      </c>
      <c r="H918" s="1225">
        <v>29080625</v>
      </c>
      <c r="I918" s="1225">
        <v>30340653</v>
      </c>
      <c r="J918" s="1225">
        <v>28424826</v>
      </c>
      <c r="K918" s="1225">
        <v>30340653</v>
      </c>
      <c r="L918" s="1225">
        <v>28424826</v>
      </c>
    </row>
    <row r="919" spans="1:12">
      <c r="A919" s="187" t="s">
        <v>2806</v>
      </c>
      <c r="B919" s="1224" t="s">
        <v>1751</v>
      </c>
      <c r="C919" s="1225">
        <v>41937005</v>
      </c>
      <c r="D919" s="1225">
        <v>39534704</v>
      </c>
      <c r="E919" s="1225">
        <v>41937005</v>
      </c>
      <c r="F919" s="1225">
        <v>39534704</v>
      </c>
      <c r="G919" s="1225">
        <v>37925829</v>
      </c>
      <c r="H919" s="1225">
        <v>37925829</v>
      </c>
      <c r="I919" s="1225">
        <v>41937005</v>
      </c>
      <c r="J919" s="1225">
        <v>39534704</v>
      </c>
      <c r="K919" s="1225">
        <v>41937005</v>
      </c>
      <c r="L919" s="1225">
        <v>39534704</v>
      </c>
    </row>
    <row r="920" spans="1:12">
      <c r="A920" s="187" t="s">
        <v>232</v>
      </c>
      <c r="B920" s="1224" t="s">
        <v>2639</v>
      </c>
      <c r="C920" s="1225">
        <v>125758733</v>
      </c>
      <c r="D920" s="1225">
        <v>119678172</v>
      </c>
      <c r="E920" s="1225">
        <v>125758733</v>
      </c>
      <c r="F920" s="1225">
        <v>119678172</v>
      </c>
      <c r="G920" s="1225">
        <v>120576678</v>
      </c>
      <c r="H920" s="1225">
        <v>120576678</v>
      </c>
      <c r="I920" s="1225">
        <v>125758733</v>
      </c>
      <c r="J920" s="1225">
        <v>119678172</v>
      </c>
      <c r="K920" s="1225">
        <v>125758733</v>
      </c>
      <c r="L920" s="1225">
        <v>119678172</v>
      </c>
    </row>
    <row r="921" spans="1:12">
      <c r="A921" s="187" t="s">
        <v>3572</v>
      </c>
      <c r="B921" s="1224" t="s">
        <v>1752</v>
      </c>
      <c r="C921" s="1225">
        <v>534905578</v>
      </c>
      <c r="D921" s="1225">
        <v>515974260</v>
      </c>
      <c r="E921" s="1225">
        <v>534905578</v>
      </c>
      <c r="F921" s="1225">
        <v>515974260</v>
      </c>
      <c r="G921" s="1225">
        <v>862390720</v>
      </c>
      <c r="H921" s="1225">
        <v>862390720</v>
      </c>
      <c r="I921" s="1225">
        <v>639490399</v>
      </c>
      <c r="J921" s="1225">
        <v>620559081</v>
      </c>
      <c r="K921" s="1225">
        <v>639490399</v>
      </c>
      <c r="L921" s="1225">
        <v>620559081</v>
      </c>
    </row>
    <row r="922" spans="1:12">
      <c r="A922" s="187" t="s">
        <v>3574</v>
      </c>
      <c r="B922" s="1224" t="s">
        <v>7623</v>
      </c>
      <c r="C922" s="1225">
        <v>283925350</v>
      </c>
      <c r="D922" s="1225">
        <v>267712424</v>
      </c>
      <c r="E922" s="1225">
        <v>283925350</v>
      </c>
      <c r="F922" s="1225">
        <v>267712424</v>
      </c>
      <c r="G922" s="1225">
        <v>337270750</v>
      </c>
      <c r="H922" s="1225">
        <v>337270750</v>
      </c>
      <c r="I922" s="1225">
        <v>283925350</v>
      </c>
      <c r="J922" s="1225">
        <v>267712424</v>
      </c>
      <c r="K922" s="1225">
        <v>283925350</v>
      </c>
      <c r="L922" s="1225">
        <v>267712424</v>
      </c>
    </row>
    <row r="923" spans="1:12">
      <c r="A923" s="187" t="s">
        <v>4072</v>
      </c>
      <c r="B923" s="1224" t="s">
        <v>2353</v>
      </c>
      <c r="C923" s="1225">
        <v>84812546</v>
      </c>
      <c r="D923" s="1225">
        <v>79963146</v>
      </c>
      <c r="E923" s="1225">
        <v>84812546</v>
      </c>
      <c r="F923" s="1225">
        <v>79963146</v>
      </c>
      <c r="G923" s="1225">
        <v>62344568</v>
      </c>
      <c r="H923" s="1225">
        <v>60700846</v>
      </c>
      <c r="I923" s="1225">
        <v>84812546</v>
      </c>
      <c r="J923" s="1225">
        <v>79963146</v>
      </c>
      <c r="K923" s="1225">
        <v>84812546</v>
      </c>
      <c r="L923" s="1225">
        <v>79963146</v>
      </c>
    </row>
    <row r="924" spans="1:12">
      <c r="A924" s="187" t="s">
        <v>735</v>
      </c>
      <c r="B924" s="1224" t="s">
        <v>6108</v>
      </c>
      <c r="C924" s="1225">
        <v>71160227</v>
      </c>
      <c r="D924" s="1225">
        <v>68074850</v>
      </c>
      <c r="E924" s="1225">
        <v>71160227</v>
      </c>
      <c r="F924" s="1225">
        <v>68074850</v>
      </c>
      <c r="G924" s="1225">
        <v>66265085</v>
      </c>
      <c r="H924" s="1225">
        <v>66265085</v>
      </c>
      <c r="I924" s="1225">
        <v>71160227</v>
      </c>
      <c r="J924" s="1225">
        <v>68074850</v>
      </c>
      <c r="K924" s="1225">
        <v>71160227</v>
      </c>
      <c r="L924" s="1225">
        <v>68074850</v>
      </c>
    </row>
    <row r="925" spans="1:12">
      <c r="A925" s="187" t="s">
        <v>3576</v>
      </c>
      <c r="B925" s="1224" t="s">
        <v>400</v>
      </c>
      <c r="C925" s="1225">
        <v>211891914</v>
      </c>
      <c r="D925" s="1225">
        <v>203422925</v>
      </c>
      <c r="E925" s="1225">
        <v>211891914</v>
      </c>
      <c r="F925" s="1225">
        <v>203422925</v>
      </c>
      <c r="G925" s="1225">
        <v>219110634</v>
      </c>
      <c r="H925" s="1225">
        <v>219110634</v>
      </c>
      <c r="I925" s="1225">
        <v>211891914</v>
      </c>
      <c r="J925" s="1225">
        <v>203422925</v>
      </c>
      <c r="K925" s="1225">
        <v>211891914</v>
      </c>
      <c r="L925" s="1225">
        <v>203422925</v>
      </c>
    </row>
    <row r="926" spans="1:12">
      <c r="A926" s="187" t="s">
        <v>3577</v>
      </c>
      <c r="B926" s="1224" t="s">
        <v>7624</v>
      </c>
      <c r="C926" s="1225">
        <v>843425935</v>
      </c>
      <c r="D926" s="1225">
        <v>807381465</v>
      </c>
      <c r="E926" s="1225">
        <v>843425935</v>
      </c>
      <c r="F926" s="1225">
        <v>807381465</v>
      </c>
      <c r="G926" s="1225">
        <v>824237867</v>
      </c>
      <c r="H926" s="1225">
        <v>824237867</v>
      </c>
      <c r="I926" s="1225">
        <v>843425935</v>
      </c>
      <c r="J926" s="1225">
        <v>807381465</v>
      </c>
      <c r="K926" s="1225">
        <v>843425935</v>
      </c>
      <c r="L926" s="1225">
        <v>807381465</v>
      </c>
    </row>
    <row r="927" spans="1:12">
      <c r="A927" s="187" t="s">
        <v>6190</v>
      </c>
      <c r="B927" s="1224" t="s">
        <v>3626</v>
      </c>
      <c r="C927" s="1225">
        <v>162648044</v>
      </c>
      <c r="D927" s="1225">
        <v>153569250</v>
      </c>
      <c r="E927" s="1225">
        <v>162648044</v>
      </c>
      <c r="F927" s="1225">
        <v>153569250</v>
      </c>
      <c r="G927" s="1225">
        <v>140248690</v>
      </c>
      <c r="H927" s="1225">
        <v>140248690</v>
      </c>
      <c r="I927" s="1225">
        <v>162648044</v>
      </c>
      <c r="J927" s="1225">
        <v>153569250</v>
      </c>
      <c r="K927" s="1225">
        <v>162648044</v>
      </c>
      <c r="L927" s="1225">
        <v>153569250</v>
      </c>
    </row>
    <row r="928" spans="1:12">
      <c r="A928" s="187" t="s">
        <v>3580</v>
      </c>
      <c r="B928" s="1224" t="s">
        <v>7625</v>
      </c>
      <c r="C928" s="1225">
        <v>86783493</v>
      </c>
      <c r="D928" s="1225">
        <v>81944949</v>
      </c>
      <c r="E928" s="1225">
        <v>86783493</v>
      </c>
      <c r="F928" s="1225">
        <v>81944949</v>
      </c>
      <c r="G928" s="1225">
        <v>83207862</v>
      </c>
      <c r="H928" s="1225">
        <v>83207862</v>
      </c>
      <c r="I928" s="1225">
        <v>86783493</v>
      </c>
      <c r="J928" s="1225">
        <v>81944949</v>
      </c>
      <c r="K928" s="1225">
        <v>86783493</v>
      </c>
      <c r="L928" s="1225">
        <v>81944949</v>
      </c>
    </row>
    <row r="929" spans="1:12">
      <c r="A929" s="187" t="s">
        <v>1862</v>
      </c>
      <c r="B929" s="1224" t="s">
        <v>3837</v>
      </c>
      <c r="C929" s="1225">
        <v>393183172</v>
      </c>
      <c r="D929" s="1225">
        <v>374432489</v>
      </c>
      <c r="E929" s="1225">
        <v>393183172</v>
      </c>
      <c r="F929" s="1225">
        <v>374432489</v>
      </c>
      <c r="G929" s="1225">
        <v>391868525</v>
      </c>
      <c r="H929" s="1225">
        <v>391868525</v>
      </c>
      <c r="I929" s="1225">
        <v>393183172</v>
      </c>
      <c r="J929" s="1225">
        <v>374432489</v>
      </c>
      <c r="K929" s="1225">
        <v>393183172</v>
      </c>
      <c r="L929" s="1225">
        <v>374432489</v>
      </c>
    </row>
    <row r="930" spans="1:12">
      <c r="A930" s="187" t="s">
        <v>3582</v>
      </c>
      <c r="B930" s="1224" t="s">
        <v>7626</v>
      </c>
      <c r="C930" s="1225">
        <v>215580180</v>
      </c>
      <c r="D930" s="1225">
        <v>204522116</v>
      </c>
      <c r="E930" s="1225">
        <v>215580180</v>
      </c>
      <c r="F930" s="1225">
        <v>204522116</v>
      </c>
      <c r="G930" s="1225">
        <v>189246923</v>
      </c>
      <c r="H930" s="1225">
        <v>189246923</v>
      </c>
      <c r="I930" s="1225">
        <v>215580180</v>
      </c>
      <c r="J930" s="1225">
        <v>204522116</v>
      </c>
      <c r="K930" s="1225">
        <v>215580180</v>
      </c>
      <c r="L930" s="1225">
        <v>204522116</v>
      </c>
    </row>
    <row r="931" spans="1:12">
      <c r="A931" s="187" t="s">
        <v>3584</v>
      </c>
      <c r="B931" s="1224" t="s">
        <v>7627</v>
      </c>
      <c r="C931" s="1225">
        <v>146074133</v>
      </c>
      <c r="D931" s="1225">
        <v>138976164</v>
      </c>
      <c r="E931" s="1225">
        <v>146074133</v>
      </c>
      <c r="F931" s="1225">
        <v>138976164</v>
      </c>
      <c r="G931" s="1225">
        <v>166572134</v>
      </c>
      <c r="H931" s="1225">
        <v>166572134</v>
      </c>
      <c r="I931" s="1225">
        <v>146074133</v>
      </c>
      <c r="J931" s="1225">
        <v>138976164</v>
      </c>
      <c r="K931" s="1225">
        <v>146074133</v>
      </c>
      <c r="L931" s="1225">
        <v>138976164</v>
      </c>
    </row>
    <row r="932" spans="1:12">
      <c r="A932" s="187" t="s">
        <v>3586</v>
      </c>
      <c r="B932" s="1224" t="s">
        <v>7628</v>
      </c>
      <c r="C932" s="1225">
        <v>661972209</v>
      </c>
      <c r="D932" s="1225">
        <v>657478943</v>
      </c>
      <c r="E932" s="1225">
        <v>658682058</v>
      </c>
      <c r="F932" s="1225">
        <v>654188792</v>
      </c>
      <c r="G932" s="1225">
        <v>1323119245</v>
      </c>
      <c r="H932" s="1225">
        <v>1320905998</v>
      </c>
      <c r="I932" s="1225">
        <v>661972209</v>
      </c>
      <c r="J932" s="1225">
        <v>657478943</v>
      </c>
      <c r="K932" s="1225">
        <v>658682058</v>
      </c>
      <c r="L932" s="1225">
        <v>654188792</v>
      </c>
    </row>
    <row r="933" spans="1:12">
      <c r="A933" s="187" t="s">
        <v>3588</v>
      </c>
      <c r="B933" s="1224" t="s">
        <v>7629</v>
      </c>
      <c r="C933" s="1225">
        <v>1994463891</v>
      </c>
      <c r="D933" s="1225">
        <v>1992579786</v>
      </c>
      <c r="E933" s="1225">
        <v>1994463891</v>
      </c>
      <c r="F933" s="1225">
        <v>1992579786</v>
      </c>
      <c r="G933" s="1225">
        <v>3869035863</v>
      </c>
      <c r="H933" s="1225">
        <v>3869035863</v>
      </c>
      <c r="I933" s="1225">
        <v>2068286031</v>
      </c>
      <c r="J933" s="1225">
        <v>2066401926</v>
      </c>
      <c r="K933" s="1225">
        <v>2068286031</v>
      </c>
      <c r="L933" s="1225">
        <v>2066401926</v>
      </c>
    </row>
    <row r="934" spans="1:12">
      <c r="A934" s="187" t="s">
        <v>6036</v>
      </c>
      <c r="B934" s="1224" t="s">
        <v>5638</v>
      </c>
      <c r="C934" s="1225">
        <v>147570601</v>
      </c>
      <c r="D934" s="1225">
        <v>145997941</v>
      </c>
      <c r="E934" s="1225">
        <v>147570601</v>
      </c>
      <c r="F934" s="1225">
        <v>145997941</v>
      </c>
      <c r="G934" s="1225">
        <v>59955308</v>
      </c>
      <c r="H934" s="1225">
        <v>59955308</v>
      </c>
      <c r="I934" s="1225">
        <v>147570601</v>
      </c>
      <c r="J934" s="1225">
        <v>145997941</v>
      </c>
      <c r="K934" s="1225">
        <v>147570601</v>
      </c>
      <c r="L934" s="1225">
        <v>145997941</v>
      </c>
    </row>
    <row r="935" spans="1:12">
      <c r="A935" s="187" t="s">
        <v>2472</v>
      </c>
      <c r="B935" s="1224" t="s">
        <v>375</v>
      </c>
      <c r="C935" s="1225">
        <v>305276308</v>
      </c>
      <c r="D935" s="1225">
        <v>300040615</v>
      </c>
      <c r="E935" s="1225">
        <v>305276308</v>
      </c>
      <c r="F935" s="1225">
        <v>300040615</v>
      </c>
      <c r="G935" s="1225">
        <v>320922578</v>
      </c>
      <c r="H935" s="1225">
        <v>320922578</v>
      </c>
      <c r="I935" s="1225">
        <v>305276308</v>
      </c>
      <c r="J935" s="1225">
        <v>300040615</v>
      </c>
      <c r="K935" s="1225">
        <v>305276308</v>
      </c>
      <c r="L935" s="1225">
        <v>300040615</v>
      </c>
    </row>
    <row r="936" spans="1:12">
      <c r="A936" s="187" t="s">
        <v>2418</v>
      </c>
      <c r="B936" s="1224" t="s">
        <v>6740</v>
      </c>
      <c r="C936" s="1225">
        <v>1320725218</v>
      </c>
      <c r="D936" s="1225">
        <v>1282574602</v>
      </c>
      <c r="E936" s="1225">
        <v>1320725218</v>
      </c>
      <c r="F936" s="1225">
        <v>1282574602</v>
      </c>
      <c r="G936" s="1225">
        <v>1115341131</v>
      </c>
      <c r="H936" s="1225">
        <v>1115341131</v>
      </c>
      <c r="I936" s="1225">
        <v>1320725218</v>
      </c>
      <c r="J936" s="1225">
        <v>1282574602</v>
      </c>
      <c r="K936" s="1225">
        <v>1320725218</v>
      </c>
      <c r="L936" s="1225">
        <v>1282574602</v>
      </c>
    </row>
    <row r="937" spans="1:12">
      <c r="A937" s="187" t="s">
        <v>3590</v>
      </c>
      <c r="B937" s="1224" t="s">
        <v>7630</v>
      </c>
      <c r="C937" s="1225">
        <v>199726045</v>
      </c>
      <c r="D937" s="1225">
        <v>195740798</v>
      </c>
      <c r="E937" s="1225">
        <v>199726045</v>
      </c>
      <c r="F937" s="1225">
        <v>195740798</v>
      </c>
      <c r="G937" s="1225">
        <v>190400749</v>
      </c>
      <c r="H937" s="1225">
        <v>190400749</v>
      </c>
      <c r="I937" s="1225">
        <v>199726045</v>
      </c>
      <c r="J937" s="1225">
        <v>195740798</v>
      </c>
      <c r="K937" s="1225">
        <v>199726045</v>
      </c>
      <c r="L937" s="1225">
        <v>195740798</v>
      </c>
    </row>
    <row r="938" spans="1:12">
      <c r="A938" s="187" t="s">
        <v>2389</v>
      </c>
      <c r="B938" s="1224" t="s">
        <v>2014</v>
      </c>
      <c r="C938" s="1225">
        <v>1879786506</v>
      </c>
      <c r="D938" s="1225">
        <v>1797134147</v>
      </c>
      <c r="E938" s="1225">
        <v>1789941841</v>
      </c>
      <c r="F938" s="1225">
        <v>1707289482</v>
      </c>
      <c r="G938" s="1225">
        <v>1660469439</v>
      </c>
      <c r="H938" s="1225">
        <v>1573752486</v>
      </c>
      <c r="I938" s="1225">
        <v>1879786506</v>
      </c>
      <c r="J938" s="1225">
        <v>1797134147</v>
      </c>
      <c r="K938" s="1225">
        <v>1789941841</v>
      </c>
      <c r="L938" s="1225">
        <v>1707289482</v>
      </c>
    </row>
    <row r="939" spans="1:12">
      <c r="A939" s="187" t="s">
        <v>3594</v>
      </c>
      <c r="B939" s="1224" t="s">
        <v>7631</v>
      </c>
      <c r="C939" s="1225">
        <v>222494587</v>
      </c>
      <c r="D939" s="1225">
        <v>221147480</v>
      </c>
      <c r="E939" s="1225">
        <v>222115443</v>
      </c>
      <c r="F939" s="1225">
        <v>220768336</v>
      </c>
      <c r="G939" s="1225">
        <v>194757414</v>
      </c>
      <c r="H939" s="1225">
        <v>194396283</v>
      </c>
      <c r="I939" s="1225">
        <v>222494587</v>
      </c>
      <c r="J939" s="1225">
        <v>221147480</v>
      </c>
      <c r="K939" s="1225">
        <v>222115443</v>
      </c>
      <c r="L939" s="1225">
        <v>220768336</v>
      </c>
    </row>
    <row r="940" spans="1:12">
      <c r="A940" s="187" t="s">
        <v>6241</v>
      </c>
      <c r="B940" s="1224" t="s">
        <v>7632</v>
      </c>
      <c r="C940" s="1225">
        <v>681929532</v>
      </c>
      <c r="D940" s="1225">
        <v>654793770</v>
      </c>
      <c r="E940" s="1225">
        <v>681929532</v>
      </c>
      <c r="F940" s="1225">
        <v>654793770</v>
      </c>
      <c r="G940" s="1225">
        <v>623849780</v>
      </c>
      <c r="H940" s="1225">
        <v>623849780</v>
      </c>
      <c r="I940" s="1225">
        <v>681929532</v>
      </c>
      <c r="J940" s="1225">
        <v>654793770</v>
      </c>
      <c r="K940" s="1225">
        <v>681929532</v>
      </c>
      <c r="L940" s="1225">
        <v>654793770</v>
      </c>
    </row>
    <row r="941" spans="1:12">
      <c r="A941" s="187" t="s">
        <v>6243</v>
      </c>
      <c r="B941" s="1224" t="s">
        <v>1926</v>
      </c>
      <c r="C941" s="1225">
        <v>221958641</v>
      </c>
      <c r="D941" s="1225">
        <v>210868575</v>
      </c>
      <c r="E941" s="1225">
        <v>221958641</v>
      </c>
      <c r="F941" s="1225">
        <v>210868575</v>
      </c>
      <c r="G941" s="1225">
        <v>223263255</v>
      </c>
      <c r="H941" s="1225">
        <v>223263255</v>
      </c>
      <c r="I941" s="1225">
        <v>221958641</v>
      </c>
      <c r="J941" s="1225">
        <v>210868575</v>
      </c>
      <c r="K941" s="1225">
        <v>221958641</v>
      </c>
      <c r="L941" s="1225">
        <v>210868575</v>
      </c>
    </row>
    <row r="942" spans="1:12">
      <c r="A942" s="187" t="s">
        <v>1832</v>
      </c>
      <c r="B942" s="1224" t="s">
        <v>4967</v>
      </c>
      <c r="C942" s="1225">
        <v>257401863</v>
      </c>
      <c r="D942" s="1225">
        <v>243955433</v>
      </c>
      <c r="E942" s="1225">
        <v>243794368</v>
      </c>
      <c r="F942" s="1225">
        <v>230347938</v>
      </c>
      <c r="G942" s="1225">
        <v>237067512</v>
      </c>
      <c r="H942" s="1225">
        <v>223523648</v>
      </c>
      <c r="I942" s="1225">
        <v>257401863</v>
      </c>
      <c r="J942" s="1225">
        <v>243955433</v>
      </c>
      <c r="K942" s="1225">
        <v>243794368</v>
      </c>
      <c r="L942" s="1225">
        <v>230347938</v>
      </c>
    </row>
    <row r="943" spans="1:12">
      <c r="A943" s="187" t="s">
        <v>6164</v>
      </c>
      <c r="B943" s="1224" t="s">
        <v>6068</v>
      </c>
      <c r="C943" s="1225">
        <v>103444036</v>
      </c>
      <c r="D943" s="1225">
        <v>98917237</v>
      </c>
      <c r="E943" s="1225">
        <v>103444036</v>
      </c>
      <c r="F943" s="1225">
        <v>98917237</v>
      </c>
      <c r="G943" s="1225">
        <v>94566670</v>
      </c>
      <c r="H943" s="1225">
        <v>94566670</v>
      </c>
      <c r="I943" s="1225">
        <v>103444036</v>
      </c>
      <c r="J943" s="1225">
        <v>98917237</v>
      </c>
      <c r="K943" s="1225">
        <v>103444036</v>
      </c>
      <c r="L943" s="1225">
        <v>98917237</v>
      </c>
    </row>
    <row r="944" spans="1:12">
      <c r="A944" s="187" t="s">
        <v>6244</v>
      </c>
      <c r="B944" s="1224" t="s">
        <v>7633</v>
      </c>
      <c r="C944" s="1225">
        <v>616842731</v>
      </c>
      <c r="D944" s="1225">
        <v>586087314</v>
      </c>
      <c r="E944" s="1225">
        <v>577170515</v>
      </c>
      <c r="F944" s="1225">
        <v>546415098</v>
      </c>
      <c r="G944" s="1225">
        <v>591731707</v>
      </c>
      <c r="H944" s="1225">
        <v>555672564</v>
      </c>
      <c r="I944" s="1225">
        <v>616842731</v>
      </c>
      <c r="J944" s="1225">
        <v>586087314</v>
      </c>
      <c r="K944" s="1225">
        <v>577170515</v>
      </c>
      <c r="L944" s="1225">
        <v>546415098</v>
      </c>
    </row>
    <row r="945" spans="1:12">
      <c r="A945" s="187" t="s">
        <v>6246</v>
      </c>
      <c r="B945" s="1224" t="s">
        <v>7634</v>
      </c>
      <c r="C945" s="1225">
        <v>567659228</v>
      </c>
      <c r="D945" s="1225">
        <v>540819172</v>
      </c>
      <c r="E945" s="1225">
        <v>567659228</v>
      </c>
      <c r="F945" s="1225">
        <v>540819172</v>
      </c>
      <c r="G945" s="1225">
        <v>514352178</v>
      </c>
      <c r="H945" s="1225">
        <v>514352178</v>
      </c>
      <c r="I945" s="1225">
        <v>567659228</v>
      </c>
      <c r="J945" s="1225">
        <v>540819172</v>
      </c>
      <c r="K945" s="1225">
        <v>567659228</v>
      </c>
      <c r="L945" s="1225">
        <v>540819172</v>
      </c>
    </row>
    <row r="946" spans="1:12">
      <c r="A946" s="187" t="s">
        <v>1313</v>
      </c>
      <c r="B946" s="1224" t="s">
        <v>118</v>
      </c>
      <c r="C946" s="1225">
        <v>53160789</v>
      </c>
      <c r="D946" s="1225">
        <v>49762599</v>
      </c>
      <c r="E946" s="1225">
        <v>49799911</v>
      </c>
      <c r="F946" s="1225">
        <v>46401721</v>
      </c>
      <c r="G946" s="1225">
        <v>58635417</v>
      </c>
      <c r="H946" s="1225">
        <v>55350005</v>
      </c>
      <c r="I946" s="1225">
        <v>53160789</v>
      </c>
      <c r="J946" s="1225">
        <v>49762599</v>
      </c>
      <c r="K946" s="1225">
        <v>49799911</v>
      </c>
      <c r="L946" s="1225">
        <v>46401721</v>
      </c>
    </row>
    <row r="947" spans="1:12">
      <c r="A947" s="187" t="s">
        <v>955</v>
      </c>
      <c r="B947" s="1224" t="s">
        <v>7660</v>
      </c>
      <c r="C947" s="1225">
        <v>168685017</v>
      </c>
      <c r="D947" s="1225">
        <v>163316193</v>
      </c>
      <c r="E947" s="1225">
        <v>168685017</v>
      </c>
      <c r="F947" s="1225">
        <v>163316193</v>
      </c>
      <c r="G947" s="1225">
        <v>180558224</v>
      </c>
      <c r="H947" s="1225">
        <v>180558224</v>
      </c>
      <c r="I947" s="1225">
        <v>168685017</v>
      </c>
      <c r="J947" s="1225">
        <v>163316193</v>
      </c>
      <c r="K947" s="1225">
        <v>168685017</v>
      </c>
      <c r="L947" s="1225">
        <v>163316193</v>
      </c>
    </row>
    <row r="948" spans="1:12">
      <c r="A948" s="187" t="s">
        <v>3552</v>
      </c>
      <c r="B948" s="1224" t="s">
        <v>4058</v>
      </c>
      <c r="C948" s="1225">
        <v>5895115184</v>
      </c>
      <c r="D948" s="1225">
        <v>5736739750</v>
      </c>
      <c r="E948" s="1225">
        <v>5895115184</v>
      </c>
      <c r="F948" s="1225">
        <v>5736739750</v>
      </c>
      <c r="G948" s="1225">
        <v>5937291884</v>
      </c>
      <c r="H948" s="1225">
        <v>5937291884</v>
      </c>
      <c r="I948" s="1225">
        <v>5895115184</v>
      </c>
      <c r="J948" s="1225">
        <v>5736739750</v>
      </c>
      <c r="K948" s="1225">
        <v>5895115184</v>
      </c>
      <c r="L948" s="1225">
        <v>5736739750</v>
      </c>
    </row>
    <row r="949" spans="1:12">
      <c r="A949" s="187" t="s">
        <v>6248</v>
      </c>
      <c r="B949" s="1224" t="s">
        <v>7635</v>
      </c>
      <c r="C949" s="1225">
        <v>241033834</v>
      </c>
      <c r="D949" s="1225">
        <v>236826112</v>
      </c>
      <c r="E949" s="1225">
        <v>241033834</v>
      </c>
      <c r="F949" s="1225">
        <v>236826112</v>
      </c>
      <c r="G949" s="1225">
        <v>235662424</v>
      </c>
      <c r="H949" s="1225">
        <v>235662424</v>
      </c>
      <c r="I949" s="1225">
        <v>241033834</v>
      </c>
      <c r="J949" s="1225">
        <v>236826112</v>
      </c>
      <c r="K949" s="1225">
        <v>241033834</v>
      </c>
      <c r="L949" s="1225">
        <v>236826112</v>
      </c>
    </row>
    <row r="950" spans="1:12">
      <c r="A950" s="187" t="s">
        <v>6182</v>
      </c>
      <c r="B950" s="1224" t="s">
        <v>1935</v>
      </c>
      <c r="C950" s="1225">
        <v>309053850</v>
      </c>
      <c r="D950" s="1225">
        <v>300041002</v>
      </c>
      <c r="E950" s="1225">
        <v>309053850</v>
      </c>
      <c r="F950" s="1225">
        <v>300041002</v>
      </c>
      <c r="G950" s="1225">
        <v>273101089</v>
      </c>
      <c r="H950" s="1225">
        <v>273101089</v>
      </c>
      <c r="I950" s="1225">
        <v>309053850</v>
      </c>
      <c r="J950" s="1225">
        <v>300041002</v>
      </c>
      <c r="K950" s="1225">
        <v>309053850</v>
      </c>
      <c r="L950" s="1225">
        <v>300041002</v>
      </c>
    </row>
    <row r="951" spans="1:12">
      <c r="A951" s="187" t="s">
        <v>6250</v>
      </c>
      <c r="B951" s="1224" t="s">
        <v>7636</v>
      </c>
      <c r="C951" s="1225">
        <v>2433748737</v>
      </c>
      <c r="D951" s="1225">
        <v>2368291918</v>
      </c>
      <c r="E951" s="1225">
        <v>2433748737</v>
      </c>
      <c r="F951" s="1225">
        <v>2368291918</v>
      </c>
      <c r="G951" s="1225">
        <v>2155287394</v>
      </c>
      <c r="H951" s="1225">
        <v>2155287394</v>
      </c>
      <c r="I951" s="1225">
        <v>2433748737</v>
      </c>
      <c r="J951" s="1225">
        <v>2368291918</v>
      </c>
      <c r="K951" s="1225">
        <v>2433748737</v>
      </c>
      <c r="L951" s="1225">
        <v>2368291918</v>
      </c>
    </row>
    <row r="952" spans="1:12">
      <c r="A952" s="187" t="s">
        <v>5038</v>
      </c>
      <c r="B952" s="1224" t="s">
        <v>3842</v>
      </c>
      <c r="C952" s="1225">
        <v>523367025</v>
      </c>
      <c r="D952" s="1225">
        <v>509680552</v>
      </c>
      <c r="E952" s="1225">
        <v>523367025</v>
      </c>
      <c r="F952" s="1225">
        <v>509680552</v>
      </c>
      <c r="G952" s="1225">
        <v>470278315</v>
      </c>
      <c r="H952" s="1225">
        <v>470278315</v>
      </c>
      <c r="I952" s="1225">
        <v>523367025</v>
      </c>
      <c r="J952" s="1225">
        <v>509680552</v>
      </c>
      <c r="K952" s="1225">
        <v>523367025</v>
      </c>
      <c r="L952" s="1225">
        <v>509680552</v>
      </c>
    </row>
    <row r="953" spans="1:12">
      <c r="A953" s="187" t="s">
        <v>5039</v>
      </c>
      <c r="B953" s="1224" t="s">
        <v>4062</v>
      </c>
      <c r="C953" s="1225">
        <v>2611669801</v>
      </c>
      <c r="D953" s="1225">
        <v>2552775517</v>
      </c>
      <c r="E953" s="1225">
        <v>2611669801</v>
      </c>
      <c r="F953" s="1225">
        <v>2552775517</v>
      </c>
      <c r="G953" s="1225">
        <v>1975884350</v>
      </c>
      <c r="H953" s="1225">
        <v>1975884350</v>
      </c>
      <c r="I953" s="1225">
        <v>2742550561</v>
      </c>
      <c r="J953" s="1225">
        <v>2683656277</v>
      </c>
      <c r="K953" s="1225">
        <v>2742550561</v>
      </c>
      <c r="L953" s="1225">
        <v>2683656277</v>
      </c>
    </row>
    <row r="954" spans="1:12">
      <c r="A954" s="187" t="s">
        <v>2082</v>
      </c>
      <c r="B954" s="1224" t="s">
        <v>7637</v>
      </c>
      <c r="C954" s="1225">
        <v>1105447893</v>
      </c>
      <c r="D954" s="1225">
        <v>1092484031</v>
      </c>
      <c r="E954" s="1225">
        <v>1102192370</v>
      </c>
      <c r="F954" s="1225">
        <v>1089228508</v>
      </c>
      <c r="G954" s="1225">
        <v>1028001065</v>
      </c>
      <c r="H954" s="1225">
        <v>1024719149</v>
      </c>
      <c r="I954" s="1225">
        <v>1123915383</v>
      </c>
      <c r="J954" s="1225">
        <v>1110951521</v>
      </c>
      <c r="K954" s="1225">
        <v>1120659860</v>
      </c>
      <c r="L954" s="1225">
        <v>1107695998</v>
      </c>
    </row>
    <row r="955" spans="1:12">
      <c r="A955" s="187" t="s">
        <v>2084</v>
      </c>
      <c r="B955" s="1224" t="s">
        <v>7638</v>
      </c>
      <c r="C955" s="1225">
        <v>1461841954</v>
      </c>
      <c r="D955" s="1225">
        <v>1446118794</v>
      </c>
      <c r="E955" s="1225">
        <v>1452787329</v>
      </c>
      <c r="F955" s="1225">
        <v>1437064169</v>
      </c>
      <c r="G955" s="1225">
        <v>2475776699</v>
      </c>
      <c r="H955" s="1225">
        <v>2469177133</v>
      </c>
      <c r="I955" s="1225">
        <v>1461841954</v>
      </c>
      <c r="J955" s="1225">
        <v>1446118794</v>
      </c>
      <c r="K955" s="1225">
        <v>1452787329</v>
      </c>
      <c r="L955" s="1225">
        <v>1437064169</v>
      </c>
    </row>
    <row r="956" spans="1:12">
      <c r="A956" s="187" t="s">
        <v>2086</v>
      </c>
      <c r="B956" s="1224" t="s">
        <v>2936</v>
      </c>
      <c r="C956" s="1225">
        <v>89538551</v>
      </c>
      <c r="D956" s="1225">
        <v>89245601</v>
      </c>
      <c r="E956" s="1225">
        <v>89353901</v>
      </c>
      <c r="F956" s="1225">
        <v>89060951</v>
      </c>
      <c r="G956" s="1225">
        <v>167394412</v>
      </c>
      <c r="H956" s="1225">
        <v>167248760</v>
      </c>
      <c r="I956" s="1225">
        <v>89538551</v>
      </c>
      <c r="J956" s="1225">
        <v>89245601</v>
      </c>
      <c r="K956" s="1225">
        <v>89353901</v>
      </c>
      <c r="L956" s="1225">
        <v>89060951</v>
      </c>
    </row>
    <row r="957" spans="1:12">
      <c r="A957" s="187" t="s">
        <v>2088</v>
      </c>
      <c r="B957" s="1224" t="s">
        <v>2937</v>
      </c>
      <c r="C957" s="1225">
        <v>2536098727</v>
      </c>
      <c r="D957" s="1225">
        <v>2470279190</v>
      </c>
      <c r="E957" s="1225">
        <v>2536098727</v>
      </c>
      <c r="F957" s="1225">
        <v>2470279190</v>
      </c>
      <c r="G957" s="1225">
        <v>2321747633</v>
      </c>
      <c r="H957" s="1225">
        <v>2321747633</v>
      </c>
      <c r="I957" s="1225">
        <v>2536098727</v>
      </c>
      <c r="J957" s="1225">
        <v>2470279190</v>
      </c>
      <c r="K957" s="1225">
        <v>2536098727</v>
      </c>
      <c r="L957" s="1225">
        <v>2470279190</v>
      </c>
    </row>
    <row r="958" spans="1:12">
      <c r="A958" s="187" t="s">
        <v>2090</v>
      </c>
      <c r="B958" s="1224" t="s">
        <v>2938</v>
      </c>
      <c r="C958" s="1225">
        <v>386269875</v>
      </c>
      <c r="D958" s="1225">
        <v>378368404</v>
      </c>
      <c r="E958" s="1225">
        <v>386269875</v>
      </c>
      <c r="F958" s="1225">
        <v>378368404</v>
      </c>
      <c r="G958" s="1225">
        <v>412937528</v>
      </c>
      <c r="H958" s="1225">
        <v>412937528</v>
      </c>
      <c r="I958" s="1225">
        <v>386269875</v>
      </c>
      <c r="J958" s="1225">
        <v>378368404</v>
      </c>
      <c r="K958" s="1225">
        <v>386269875</v>
      </c>
      <c r="L958" s="1225">
        <v>378368404</v>
      </c>
    </row>
    <row r="959" spans="1:12">
      <c r="A959" s="187" t="s">
        <v>2987</v>
      </c>
      <c r="B959" s="1224" t="s">
        <v>187</v>
      </c>
      <c r="C959" s="1225">
        <v>2234765628</v>
      </c>
      <c r="D959" s="1225">
        <v>2148991362</v>
      </c>
      <c r="E959" s="1225">
        <v>2199158936</v>
      </c>
      <c r="F959" s="1225">
        <v>2113384670</v>
      </c>
      <c r="G959" s="1225">
        <v>2132982724</v>
      </c>
      <c r="H959" s="1225">
        <v>2096303818</v>
      </c>
      <c r="I959" s="1225">
        <v>2234765628</v>
      </c>
      <c r="J959" s="1225">
        <v>2148991362</v>
      </c>
      <c r="K959" s="1225">
        <v>2199158936</v>
      </c>
      <c r="L959" s="1225">
        <v>2113384670</v>
      </c>
    </row>
    <row r="960" spans="1:12">
      <c r="A960" s="187" t="s">
        <v>2417</v>
      </c>
      <c r="B960" s="1224" t="s">
        <v>5370</v>
      </c>
      <c r="C960" s="1225">
        <v>14633526640</v>
      </c>
      <c r="D960" s="1225">
        <v>14391939028</v>
      </c>
      <c r="E960" s="1225">
        <v>14350010868</v>
      </c>
      <c r="F960" s="1225">
        <v>14108423256</v>
      </c>
      <c r="G960" s="1225">
        <v>15744177972</v>
      </c>
      <c r="H960" s="1225">
        <v>15482569291</v>
      </c>
      <c r="I960" s="1225">
        <v>14633526640</v>
      </c>
      <c r="J960" s="1225">
        <v>14391939028</v>
      </c>
      <c r="K960" s="1225">
        <v>14350010868</v>
      </c>
      <c r="L960" s="1225">
        <v>14108423256</v>
      </c>
    </row>
    <row r="961" spans="1:12">
      <c r="A961" s="187" t="s">
        <v>78</v>
      </c>
      <c r="B961" s="1224" t="s">
        <v>6766</v>
      </c>
      <c r="C961" s="1225">
        <v>426289186</v>
      </c>
      <c r="D961" s="1225">
        <v>424945116</v>
      </c>
      <c r="E961" s="1225">
        <v>425467595</v>
      </c>
      <c r="F961" s="1225">
        <v>424123525</v>
      </c>
      <c r="G961" s="1225">
        <v>981233212</v>
      </c>
      <c r="H961" s="1225">
        <v>980306403</v>
      </c>
      <c r="I961" s="1225">
        <v>893927026</v>
      </c>
      <c r="J961" s="1225">
        <v>892582956</v>
      </c>
      <c r="K961" s="1225">
        <v>893105435</v>
      </c>
      <c r="L961" s="1225">
        <v>891761365</v>
      </c>
    </row>
    <row r="962" spans="1:12">
      <c r="A962" s="187" t="s">
        <v>80</v>
      </c>
      <c r="B962" s="1224" t="s">
        <v>2941</v>
      </c>
      <c r="C962" s="1225">
        <v>306878927</v>
      </c>
      <c r="D962" s="1225">
        <v>297353941</v>
      </c>
      <c r="E962" s="1225">
        <v>306878927</v>
      </c>
      <c r="F962" s="1225">
        <v>297353941</v>
      </c>
      <c r="G962" s="1225">
        <v>255736957</v>
      </c>
      <c r="H962" s="1225">
        <v>255736957</v>
      </c>
      <c r="I962" s="1225">
        <v>306878927</v>
      </c>
      <c r="J962" s="1225">
        <v>297353941</v>
      </c>
      <c r="K962" s="1225">
        <v>306878927</v>
      </c>
      <c r="L962" s="1225">
        <v>297353941</v>
      </c>
    </row>
    <row r="963" spans="1:12">
      <c r="A963" s="187" t="s">
        <v>82</v>
      </c>
      <c r="B963" s="1224" t="s">
        <v>6720</v>
      </c>
      <c r="C963" s="1225">
        <v>352469321</v>
      </c>
      <c r="D963" s="1225">
        <v>342442444</v>
      </c>
      <c r="E963" s="1225">
        <v>352469321</v>
      </c>
      <c r="F963" s="1225">
        <v>342442444</v>
      </c>
      <c r="G963" s="1225">
        <v>337530371</v>
      </c>
      <c r="H963" s="1225">
        <v>337530371</v>
      </c>
      <c r="I963" s="1225">
        <v>352469321</v>
      </c>
      <c r="J963" s="1225">
        <v>342442444</v>
      </c>
      <c r="K963" s="1225">
        <v>352469321</v>
      </c>
      <c r="L963" s="1225">
        <v>342442444</v>
      </c>
    </row>
    <row r="964" spans="1:12">
      <c r="A964" s="187" t="s">
        <v>84</v>
      </c>
      <c r="B964" s="1224" t="s">
        <v>6721</v>
      </c>
      <c r="C964" s="1225">
        <v>1189183664</v>
      </c>
      <c r="D964" s="1225">
        <v>1154680207</v>
      </c>
      <c r="E964" s="1225">
        <v>1189183664</v>
      </c>
      <c r="F964" s="1225">
        <v>1154680207</v>
      </c>
      <c r="G964" s="1225">
        <v>1278265146</v>
      </c>
      <c r="H964" s="1225">
        <v>1278265146</v>
      </c>
      <c r="I964" s="1225">
        <v>1189183664</v>
      </c>
      <c r="J964" s="1225">
        <v>1154680207</v>
      </c>
      <c r="K964" s="1225">
        <v>1189183664</v>
      </c>
      <c r="L964" s="1225">
        <v>1154680207</v>
      </c>
    </row>
    <row r="965" spans="1:12">
      <c r="A965" s="187" t="s">
        <v>86</v>
      </c>
      <c r="B965" s="1224" t="s">
        <v>6722</v>
      </c>
      <c r="C965" s="1225">
        <v>1010492984</v>
      </c>
      <c r="D965" s="1225">
        <v>987533821</v>
      </c>
      <c r="E965" s="1225">
        <v>1010492984</v>
      </c>
      <c r="F965" s="1225">
        <v>987533821</v>
      </c>
      <c r="G965" s="1225">
        <v>1027600413</v>
      </c>
      <c r="H965" s="1225">
        <v>1027600413</v>
      </c>
      <c r="I965" s="1225">
        <v>1010492984</v>
      </c>
      <c r="J965" s="1225">
        <v>987533821</v>
      </c>
      <c r="K965" s="1225">
        <v>1010492984</v>
      </c>
      <c r="L965" s="1225">
        <v>987533821</v>
      </c>
    </row>
    <row r="966" spans="1:12">
      <c r="A966" s="187" t="s">
        <v>88</v>
      </c>
      <c r="B966" s="1224" t="s">
        <v>6723</v>
      </c>
      <c r="C966" s="1225">
        <v>257237936</v>
      </c>
      <c r="D966" s="1225">
        <v>251699757</v>
      </c>
      <c r="E966" s="1225">
        <v>257237936</v>
      </c>
      <c r="F966" s="1225">
        <v>251699757</v>
      </c>
      <c r="G966" s="1225">
        <v>259948401</v>
      </c>
      <c r="H966" s="1225">
        <v>259948401</v>
      </c>
      <c r="I966" s="1225">
        <v>257237936</v>
      </c>
      <c r="J966" s="1225">
        <v>251699757</v>
      </c>
      <c r="K966" s="1225">
        <v>257237936</v>
      </c>
      <c r="L966" s="1225">
        <v>251699757</v>
      </c>
    </row>
    <row r="967" spans="1:12">
      <c r="A967" s="187" t="s">
        <v>90</v>
      </c>
      <c r="B967" s="1224" t="s">
        <v>6724</v>
      </c>
      <c r="C967" s="1225">
        <v>138615454</v>
      </c>
      <c r="D967" s="1225">
        <v>133911404</v>
      </c>
      <c r="E967" s="1225">
        <v>138615454</v>
      </c>
      <c r="F967" s="1225">
        <v>133911404</v>
      </c>
      <c r="G967" s="1225">
        <v>179331106</v>
      </c>
      <c r="H967" s="1225">
        <v>179331106</v>
      </c>
      <c r="I967" s="1225">
        <v>138615454</v>
      </c>
      <c r="J967" s="1225">
        <v>133911404</v>
      </c>
      <c r="K967" s="1225">
        <v>138615454</v>
      </c>
      <c r="L967" s="1225">
        <v>133911404</v>
      </c>
    </row>
    <row r="968" spans="1:12">
      <c r="A968" s="187" t="s">
        <v>92</v>
      </c>
      <c r="B968" s="1224" t="s">
        <v>1546</v>
      </c>
      <c r="C968" s="1225">
        <v>275995594</v>
      </c>
      <c r="D968" s="1225">
        <v>272238694</v>
      </c>
      <c r="E968" s="1225">
        <v>275995594</v>
      </c>
      <c r="F968" s="1225">
        <v>272238694</v>
      </c>
      <c r="G968" s="1225">
        <v>522970250</v>
      </c>
      <c r="H968" s="1225">
        <v>522970250</v>
      </c>
      <c r="I968" s="1225">
        <v>275995594</v>
      </c>
      <c r="J968" s="1225">
        <v>272238694</v>
      </c>
      <c r="K968" s="1225">
        <v>275995594</v>
      </c>
      <c r="L968" s="1225">
        <v>272238694</v>
      </c>
    </row>
    <row r="969" spans="1:12">
      <c r="A969" s="187" t="s">
        <v>2332</v>
      </c>
      <c r="B969" s="1224" t="s">
        <v>1547</v>
      </c>
      <c r="C969" s="1225">
        <v>644536731</v>
      </c>
      <c r="D969" s="1225">
        <v>644196751</v>
      </c>
      <c r="E969" s="1225">
        <v>644536731</v>
      </c>
      <c r="F969" s="1225">
        <v>644196751</v>
      </c>
      <c r="G969" s="1225">
        <v>1155205505</v>
      </c>
      <c r="H969" s="1225">
        <v>1155205505</v>
      </c>
      <c r="I969" s="1225">
        <v>644536731</v>
      </c>
      <c r="J969" s="1225">
        <v>644196751</v>
      </c>
      <c r="K969" s="1225">
        <v>644536731</v>
      </c>
      <c r="L969" s="1225">
        <v>644196751</v>
      </c>
    </row>
    <row r="970" spans="1:12">
      <c r="A970" s="187" t="s">
        <v>2334</v>
      </c>
      <c r="B970" s="1224" t="s">
        <v>1548</v>
      </c>
      <c r="C970" s="1225">
        <v>1119821275</v>
      </c>
      <c r="D970" s="1225">
        <v>1118032535</v>
      </c>
      <c r="E970" s="1225">
        <v>1119821275</v>
      </c>
      <c r="F970" s="1225">
        <v>1118032535</v>
      </c>
      <c r="G970" s="1225">
        <v>2069000643</v>
      </c>
      <c r="H970" s="1225">
        <v>2069000643</v>
      </c>
      <c r="I970" s="1225">
        <v>1191075575</v>
      </c>
      <c r="J970" s="1225">
        <v>1189286835</v>
      </c>
      <c r="K970" s="1225">
        <v>1191075575</v>
      </c>
      <c r="L970" s="1225">
        <v>1189286835</v>
      </c>
    </row>
    <row r="971" spans="1:12">
      <c r="A971" s="187" t="s">
        <v>962</v>
      </c>
      <c r="B971" s="1224" t="s">
        <v>2146</v>
      </c>
      <c r="C971" s="1225">
        <v>787294423</v>
      </c>
      <c r="D971" s="1225">
        <v>756393657</v>
      </c>
      <c r="E971" s="1225">
        <v>787294423</v>
      </c>
      <c r="F971" s="1225">
        <v>756393657</v>
      </c>
      <c r="G971" s="1225">
        <v>803057019</v>
      </c>
      <c r="H971" s="1225">
        <v>803057019</v>
      </c>
      <c r="I971" s="1225">
        <v>787294423</v>
      </c>
      <c r="J971" s="1225">
        <v>756393657</v>
      </c>
      <c r="K971" s="1225">
        <v>787294423</v>
      </c>
      <c r="L971" s="1225">
        <v>756393657</v>
      </c>
    </row>
    <row r="972" spans="1:12">
      <c r="A972" s="187" t="s">
        <v>2336</v>
      </c>
      <c r="B972" s="1224" t="s">
        <v>1549</v>
      </c>
      <c r="C972" s="1225">
        <v>174585116</v>
      </c>
      <c r="D972" s="1225">
        <v>169787525</v>
      </c>
      <c r="E972" s="1225">
        <v>174585116</v>
      </c>
      <c r="F972" s="1225">
        <v>169787525</v>
      </c>
      <c r="G972" s="1225">
        <v>318568610</v>
      </c>
      <c r="H972" s="1225">
        <v>318568610</v>
      </c>
      <c r="I972" s="1225">
        <v>174585116</v>
      </c>
      <c r="J972" s="1225">
        <v>169787525</v>
      </c>
      <c r="K972" s="1225">
        <v>174585116</v>
      </c>
      <c r="L972" s="1225">
        <v>169787525</v>
      </c>
    </row>
    <row r="973" spans="1:12">
      <c r="A973" s="187" t="s">
        <v>2338</v>
      </c>
      <c r="B973" s="1224" t="s">
        <v>6779</v>
      </c>
      <c r="C973" s="1225">
        <v>554888824</v>
      </c>
      <c r="D973" s="1225">
        <v>530626816</v>
      </c>
      <c r="E973" s="1225">
        <v>554888824</v>
      </c>
      <c r="F973" s="1225">
        <v>530626816</v>
      </c>
      <c r="G973" s="1225">
        <v>626171891</v>
      </c>
      <c r="H973" s="1225">
        <v>626171891</v>
      </c>
      <c r="I973" s="1225">
        <v>554888824</v>
      </c>
      <c r="J973" s="1225">
        <v>530626816</v>
      </c>
      <c r="K973" s="1225">
        <v>554888824</v>
      </c>
      <c r="L973" s="1225">
        <v>530626816</v>
      </c>
    </row>
    <row r="974" spans="1:12">
      <c r="A974" s="187" t="s">
        <v>2340</v>
      </c>
      <c r="B974" s="1224" t="s">
        <v>1551</v>
      </c>
      <c r="C974" s="1225">
        <v>4322258744</v>
      </c>
      <c r="D974" s="1225">
        <v>4174131369</v>
      </c>
      <c r="E974" s="1225">
        <v>4322258744</v>
      </c>
      <c r="F974" s="1225">
        <v>4174131369</v>
      </c>
      <c r="G974" s="1225">
        <v>4190104261</v>
      </c>
      <c r="H974" s="1225">
        <v>4190104261</v>
      </c>
      <c r="I974" s="1225">
        <v>4322258744</v>
      </c>
      <c r="J974" s="1225">
        <v>4174131369</v>
      </c>
      <c r="K974" s="1225">
        <v>4322258744</v>
      </c>
      <c r="L974" s="1225">
        <v>4174131369</v>
      </c>
    </row>
    <row r="975" spans="1:12">
      <c r="A975" s="187" t="s">
        <v>738</v>
      </c>
      <c r="B975" s="1224" t="s">
        <v>6112</v>
      </c>
      <c r="C975" s="1225">
        <v>189432910</v>
      </c>
      <c r="D975" s="1225">
        <v>180843764</v>
      </c>
      <c r="E975" s="1225">
        <v>189432910</v>
      </c>
      <c r="F975" s="1225">
        <v>180843764</v>
      </c>
      <c r="G975" s="1225">
        <v>177880295</v>
      </c>
      <c r="H975" s="1225">
        <v>177880295</v>
      </c>
      <c r="I975" s="1225">
        <v>189432910</v>
      </c>
      <c r="J975" s="1225">
        <v>180843764</v>
      </c>
      <c r="K975" s="1225">
        <v>189432910</v>
      </c>
      <c r="L975" s="1225">
        <v>180843764</v>
      </c>
    </row>
    <row r="976" spans="1:12">
      <c r="A976" s="187" t="s">
        <v>3219</v>
      </c>
      <c r="B976" s="1224" t="s">
        <v>1485</v>
      </c>
      <c r="C976" s="1225">
        <v>48234523</v>
      </c>
      <c r="D976" s="1225">
        <v>47903863</v>
      </c>
      <c r="E976" s="1225">
        <v>48234523</v>
      </c>
      <c r="F976" s="1225">
        <v>47903863</v>
      </c>
      <c r="G976" s="1225">
        <v>98672805</v>
      </c>
      <c r="H976" s="1225">
        <v>98672805</v>
      </c>
      <c r="I976" s="1225">
        <v>48234523</v>
      </c>
      <c r="J976" s="1225">
        <v>47903863</v>
      </c>
      <c r="K976" s="1225">
        <v>48234523</v>
      </c>
      <c r="L976" s="1225">
        <v>47903863</v>
      </c>
    </row>
    <row r="977" spans="1:12">
      <c r="A977" s="187" t="s">
        <v>608</v>
      </c>
      <c r="B977" s="1224" t="s">
        <v>1486</v>
      </c>
      <c r="C977" s="1225">
        <v>892934804</v>
      </c>
      <c r="D977" s="1225">
        <v>869755164</v>
      </c>
      <c r="E977" s="1225">
        <v>892934804</v>
      </c>
      <c r="F977" s="1225">
        <v>869755164</v>
      </c>
      <c r="G977" s="1225">
        <v>831529402</v>
      </c>
      <c r="H977" s="1225">
        <v>831529402</v>
      </c>
      <c r="I977" s="1225">
        <v>892934804</v>
      </c>
      <c r="J977" s="1225">
        <v>869755164</v>
      </c>
      <c r="K977" s="1225">
        <v>892934804</v>
      </c>
      <c r="L977" s="1225">
        <v>869755164</v>
      </c>
    </row>
    <row r="978" spans="1:12">
      <c r="A978" s="187" t="s">
        <v>610</v>
      </c>
      <c r="B978" s="1224" t="s">
        <v>1939</v>
      </c>
      <c r="C978" s="1225">
        <v>33830434</v>
      </c>
      <c r="D978" s="1225">
        <v>33232444</v>
      </c>
      <c r="E978" s="1225">
        <v>33830434</v>
      </c>
      <c r="F978" s="1225">
        <v>33232444</v>
      </c>
      <c r="G978" s="1225">
        <v>106243562</v>
      </c>
      <c r="H978" s="1225">
        <v>106243562</v>
      </c>
      <c r="I978" s="1225">
        <v>74020884</v>
      </c>
      <c r="J978" s="1225">
        <v>73422894</v>
      </c>
      <c r="K978" s="1225">
        <v>74020884</v>
      </c>
      <c r="L978" s="1225">
        <v>73422894</v>
      </c>
    </row>
    <row r="979" spans="1:12">
      <c r="A979" s="187" t="s">
        <v>6145</v>
      </c>
      <c r="B979" s="1224" t="s">
        <v>188</v>
      </c>
      <c r="C979" s="1225">
        <v>37241742</v>
      </c>
      <c r="D979" s="1225">
        <v>35265973</v>
      </c>
      <c r="E979" s="1225">
        <v>37241742</v>
      </c>
      <c r="F979" s="1225">
        <v>35265973</v>
      </c>
      <c r="G979" s="1225">
        <v>33640367</v>
      </c>
      <c r="H979" s="1225">
        <v>33640367</v>
      </c>
      <c r="I979" s="1225">
        <v>37241742</v>
      </c>
      <c r="J979" s="1225">
        <v>35265973</v>
      </c>
      <c r="K979" s="1225">
        <v>37241742</v>
      </c>
      <c r="L979" s="1225">
        <v>35265973</v>
      </c>
    </row>
    <row r="980" spans="1:12">
      <c r="A980" s="187" t="s">
        <v>2998</v>
      </c>
      <c r="B980" s="1224" t="s">
        <v>6058</v>
      </c>
      <c r="C980" s="1225">
        <v>206163825</v>
      </c>
      <c r="D980" s="1225">
        <v>196518582</v>
      </c>
      <c r="E980" s="1225">
        <v>206163825</v>
      </c>
      <c r="F980" s="1225">
        <v>196518582</v>
      </c>
      <c r="G980" s="1225">
        <v>258698471</v>
      </c>
      <c r="H980" s="1225">
        <v>258698471</v>
      </c>
      <c r="I980" s="1225">
        <v>605840815</v>
      </c>
      <c r="J980" s="1225">
        <v>596195572</v>
      </c>
      <c r="K980" s="1225">
        <v>605840815</v>
      </c>
      <c r="L980" s="1225">
        <v>596195572</v>
      </c>
    </row>
    <row r="981" spans="1:12">
      <c r="A981" s="187" t="s">
        <v>2766</v>
      </c>
      <c r="B981" s="1224" t="s">
        <v>356</v>
      </c>
      <c r="C981" s="1225">
        <v>253822183</v>
      </c>
      <c r="D981" s="1225">
        <v>240602530</v>
      </c>
      <c r="E981" s="1225">
        <v>253822183</v>
      </c>
      <c r="F981" s="1225">
        <v>240602530</v>
      </c>
      <c r="G981" s="1225">
        <v>260079232</v>
      </c>
      <c r="H981" s="1225">
        <v>260079232</v>
      </c>
      <c r="I981" s="1225">
        <v>327545903</v>
      </c>
      <c r="J981" s="1225">
        <v>314326250</v>
      </c>
      <c r="K981" s="1225">
        <v>327545903</v>
      </c>
      <c r="L981" s="1225">
        <v>314326250</v>
      </c>
    </row>
    <row r="982" spans="1:12">
      <c r="A982" s="187" t="s">
        <v>5040</v>
      </c>
      <c r="B982" s="1224" t="s">
        <v>384</v>
      </c>
      <c r="C982" s="1225">
        <v>96930781</v>
      </c>
      <c r="D982" s="1225">
        <v>94802267</v>
      </c>
      <c r="E982" s="1225">
        <v>96930781</v>
      </c>
      <c r="F982" s="1225">
        <v>94802267</v>
      </c>
      <c r="G982" s="1225">
        <v>83210749</v>
      </c>
      <c r="H982" s="1225">
        <v>83210749</v>
      </c>
      <c r="I982" s="1225">
        <v>125315331</v>
      </c>
      <c r="J982" s="1225">
        <v>123186817</v>
      </c>
      <c r="K982" s="1225">
        <v>125315331</v>
      </c>
      <c r="L982" s="1225">
        <v>123186817</v>
      </c>
    </row>
    <row r="983" spans="1:12">
      <c r="A983" s="187" t="s">
        <v>1307</v>
      </c>
      <c r="B983" s="1224" t="s">
        <v>111</v>
      </c>
      <c r="C983" s="1225">
        <v>335771580</v>
      </c>
      <c r="D983" s="1225">
        <v>324949267</v>
      </c>
      <c r="E983" s="1225">
        <v>335771580</v>
      </c>
      <c r="F983" s="1225">
        <v>324949267</v>
      </c>
      <c r="G983" s="1225">
        <v>293596146</v>
      </c>
      <c r="H983" s="1225">
        <v>293596146</v>
      </c>
      <c r="I983" s="1225">
        <v>335771580</v>
      </c>
      <c r="J983" s="1225">
        <v>324949267</v>
      </c>
      <c r="K983" s="1225">
        <v>335771580</v>
      </c>
      <c r="L983" s="1225">
        <v>324949267</v>
      </c>
    </row>
    <row r="984" spans="1:12">
      <c r="A984" s="187" t="s">
        <v>1319</v>
      </c>
      <c r="B984" s="1224" t="s">
        <v>125</v>
      </c>
      <c r="C984" s="1225">
        <v>8118678920</v>
      </c>
      <c r="D984" s="1225">
        <v>7922711431</v>
      </c>
      <c r="E984" s="1225">
        <v>8118678920</v>
      </c>
      <c r="F984" s="1225">
        <v>7922711431</v>
      </c>
      <c r="G984" s="1225">
        <v>6567055736</v>
      </c>
      <c r="H984" s="1225">
        <v>6567055736</v>
      </c>
      <c r="I984" s="1225">
        <v>8118678920</v>
      </c>
      <c r="J984" s="1225">
        <v>7922711431</v>
      </c>
      <c r="K984" s="1225">
        <v>8118678920</v>
      </c>
      <c r="L984" s="1225">
        <v>7922711431</v>
      </c>
    </row>
    <row r="985" spans="1:12">
      <c r="A985" s="187" t="s">
        <v>1856</v>
      </c>
      <c r="B985" s="1224" t="s">
        <v>3912</v>
      </c>
      <c r="C985" s="1225">
        <v>147236449</v>
      </c>
      <c r="D985" s="1225">
        <v>141193954</v>
      </c>
      <c r="E985" s="1225">
        <v>147236449</v>
      </c>
      <c r="F985" s="1225">
        <v>141193954</v>
      </c>
      <c r="G985" s="1225">
        <v>128191377</v>
      </c>
      <c r="H985" s="1225">
        <v>128191377</v>
      </c>
      <c r="I985" s="1225">
        <v>147236449</v>
      </c>
      <c r="J985" s="1225">
        <v>141193954</v>
      </c>
      <c r="K985" s="1225">
        <v>147236449</v>
      </c>
      <c r="L985" s="1225">
        <v>141193954</v>
      </c>
    </row>
    <row r="986" spans="1:12">
      <c r="A986" s="187" t="s">
        <v>6020</v>
      </c>
      <c r="B986" s="1224" t="s">
        <v>3859</v>
      </c>
      <c r="C986" s="1225">
        <v>2415604218</v>
      </c>
      <c r="D986" s="1225">
        <v>2349261307</v>
      </c>
      <c r="E986" s="1225">
        <v>2415604218</v>
      </c>
      <c r="F986" s="1225">
        <v>2349261307</v>
      </c>
      <c r="G986" s="1225">
        <v>1775484109</v>
      </c>
      <c r="H986" s="1225">
        <v>1775484109</v>
      </c>
      <c r="I986" s="1225">
        <v>2415604218</v>
      </c>
      <c r="J986" s="1225">
        <v>2349261307</v>
      </c>
      <c r="K986" s="1225">
        <v>2415604218</v>
      </c>
      <c r="L986" s="1225">
        <v>2349261307</v>
      </c>
    </row>
    <row r="987" spans="1:12">
      <c r="A987" s="187" t="s">
        <v>611</v>
      </c>
      <c r="B987" s="1224" t="s">
        <v>1487</v>
      </c>
      <c r="C987" s="1225">
        <v>977398530</v>
      </c>
      <c r="D987" s="1225">
        <v>944114945</v>
      </c>
      <c r="E987" s="1225">
        <v>977398530</v>
      </c>
      <c r="F987" s="1225">
        <v>944114945</v>
      </c>
      <c r="G987" s="1225">
        <v>779899324</v>
      </c>
      <c r="H987" s="1225">
        <v>779899324</v>
      </c>
      <c r="I987" s="1225">
        <v>977398530</v>
      </c>
      <c r="J987" s="1225">
        <v>944114945</v>
      </c>
      <c r="K987" s="1225">
        <v>977398530</v>
      </c>
      <c r="L987" s="1225">
        <v>944114945</v>
      </c>
    </row>
    <row r="988" spans="1:12">
      <c r="A988" s="187" t="s">
        <v>2990</v>
      </c>
      <c r="B988" s="1224" t="s">
        <v>191</v>
      </c>
      <c r="C988" s="1225">
        <v>1714634951</v>
      </c>
      <c r="D988" s="1225">
        <v>1677566078</v>
      </c>
      <c r="E988" s="1225">
        <v>1714634951</v>
      </c>
      <c r="F988" s="1225">
        <v>1677566078</v>
      </c>
      <c r="G988" s="1225">
        <v>1247082328</v>
      </c>
      <c r="H988" s="1225">
        <v>1247082328</v>
      </c>
      <c r="I988" s="1225">
        <v>1714634951</v>
      </c>
      <c r="J988" s="1225">
        <v>1677566078</v>
      </c>
      <c r="K988" s="1225">
        <v>1714634951</v>
      </c>
      <c r="L988" s="1225">
        <v>1677566078</v>
      </c>
    </row>
    <row r="989" spans="1:12">
      <c r="A989" s="187" t="s">
        <v>2382</v>
      </c>
      <c r="B989" s="1224" t="s">
        <v>371</v>
      </c>
      <c r="C989" s="1225">
        <v>30754167572</v>
      </c>
      <c r="D989" s="1225">
        <v>30243974760</v>
      </c>
      <c r="E989" s="1225">
        <v>30754167572</v>
      </c>
      <c r="F989" s="1225">
        <v>30243974760</v>
      </c>
      <c r="G989" s="1225">
        <v>25652325646</v>
      </c>
      <c r="H989" s="1225">
        <v>25652325646</v>
      </c>
      <c r="I989" s="1225">
        <v>30754167572</v>
      </c>
      <c r="J989" s="1225">
        <v>30243974760</v>
      </c>
      <c r="K989" s="1225">
        <v>30754167572</v>
      </c>
      <c r="L989" s="1225">
        <v>30243974760</v>
      </c>
    </row>
    <row r="990" spans="1:12">
      <c r="A990" s="187" t="s">
        <v>2473</v>
      </c>
      <c r="B990" s="1224" t="s">
        <v>5363</v>
      </c>
      <c r="C990" s="1225">
        <v>969461645</v>
      </c>
      <c r="D990" s="1225">
        <v>935711015</v>
      </c>
      <c r="E990" s="1225">
        <v>969461645</v>
      </c>
      <c r="F990" s="1225">
        <v>935711015</v>
      </c>
      <c r="G990" s="1225">
        <v>855762827</v>
      </c>
      <c r="H990" s="1225">
        <v>855762827</v>
      </c>
      <c r="I990" s="1225">
        <v>969461645</v>
      </c>
      <c r="J990" s="1225">
        <v>935711015</v>
      </c>
      <c r="K990" s="1225">
        <v>969461645</v>
      </c>
      <c r="L990" s="1225">
        <v>935711015</v>
      </c>
    </row>
    <row r="991" spans="1:12">
      <c r="A991" s="187" t="s">
        <v>2412</v>
      </c>
      <c r="B991" s="1224" t="s">
        <v>5365</v>
      </c>
      <c r="C991" s="1225">
        <v>219689939</v>
      </c>
      <c r="D991" s="1225">
        <v>211989293</v>
      </c>
      <c r="E991" s="1225">
        <v>219689939</v>
      </c>
      <c r="F991" s="1225">
        <v>211989293</v>
      </c>
      <c r="G991" s="1225">
        <v>203752203</v>
      </c>
      <c r="H991" s="1225">
        <v>203752203</v>
      </c>
      <c r="I991" s="1225">
        <v>219689939</v>
      </c>
      <c r="J991" s="1225">
        <v>211989293</v>
      </c>
      <c r="K991" s="1225">
        <v>219689939</v>
      </c>
      <c r="L991" s="1225">
        <v>211989293</v>
      </c>
    </row>
    <row r="992" spans="1:12">
      <c r="A992" s="187" t="s">
        <v>2988</v>
      </c>
      <c r="B992" s="1224" t="s">
        <v>189</v>
      </c>
      <c r="C992" s="1225">
        <v>20707390137</v>
      </c>
      <c r="D992" s="1225">
        <v>20308543608</v>
      </c>
      <c r="E992" s="1225">
        <v>20707390137</v>
      </c>
      <c r="F992" s="1225">
        <v>20308543608</v>
      </c>
      <c r="G992" s="1225">
        <v>16858775821</v>
      </c>
      <c r="H992" s="1225">
        <v>16858775821</v>
      </c>
      <c r="I992" s="1225">
        <v>20707390137</v>
      </c>
      <c r="J992" s="1225">
        <v>20308543608</v>
      </c>
      <c r="K992" s="1225">
        <v>20707390137</v>
      </c>
      <c r="L992" s="1225">
        <v>20308543608</v>
      </c>
    </row>
    <row r="993" spans="1:12">
      <c r="A993" s="187" t="s">
        <v>613</v>
      </c>
      <c r="B993" s="1224" t="s">
        <v>1003</v>
      </c>
      <c r="C993" s="1225">
        <v>66631827</v>
      </c>
      <c r="D993" s="1225">
        <v>64256490</v>
      </c>
      <c r="E993" s="1225">
        <v>66631827</v>
      </c>
      <c r="F993" s="1225">
        <v>64256490</v>
      </c>
      <c r="G993" s="1225">
        <v>61528347</v>
      </c>
      <c r="H993" s="1225">
        <v>61528347</v>
      </c>
      <c r="I993" s="1225">
        <v>66631827</v>
      </c>
      <c r="J993" s="1225">
        <v>64256490</v>
      </c>
      <c r="K993" s="1225">
        <v>66631827</v>
      </c>
      <c r="L993" s="1225">
        <v>64256490</v>
      </c>
    </row>
    <row r="994" spans="1:12">
      <c r="A994" s="187" t="s">
        <v>5041</v>
      </c>
      <c r="B994" s="1224" t="s">
        <v>112</v>
      </c>
      <c r="C994" s="1225">
        <v>1249391851</v>
      </c>
      <c r="D994" s="1225">
        <v>1200626864</v>
      </c>
      <c r="E994" s="1225">
        <v>1249391851</v>
      </c>
      <c r="F994" s="1225">
        <v>1200626864</v>
      </c>
      <c r="G994" s="1225">
        <v>1137028146</v>
      </c>
      <c r="H994" s="1225">
        <v>1137028146</v>
      </c>
      <c r="I994" s="1225">
        <v>1249391851</v>
      </c>
      <c r="J994" s="1225">
        <v>1200626864</v>
      </c>
      <c r="K994" s="1225">
        <v>1249391851</v>
      </c>
      <c r="L994" s="1225">
        <v>1200626864</v>
      </c>
    </row>
    <row r="995" spans="1:12">
      <c r="A995" s="187" t="s">
        <v>6039</v>
      </c>
      <c r="B995" s="1224" t="s">
        <v>183</v>
      </c>
      <c r="C995" s="1225">
        <v>1009146763</v>
      </c>
      <c r="D995" s="1225">
        <v>971657186</v>
      </c>
      <c r="E995" s="1225">
        <v>1009146763</v>
      </c>
      <c r="F995" s="1225">
        <v>971657186</v>
      </c>
      <c r="G995" s="1225">
        <v>866488393</v>
      </c>
      <c r="H995" s="1225">
        <v>866488393</v>
      </c>
      <c r="I995" s="1225">
        <v>1009146763</v>
      </c>
      <c r="J995" s="1225">
        <v>971657186</v>
      </c>
      <c r="K995" s="1225">
        <v>1009146763</v>
      </c>
      <c r="L995" s="1225">
        <v>971657186</v>
      </c>
    </row>
    <row r="996" spans="1:12">
      <c r="A996" s="187" t="s">
        <v>5043</v>
      </c>
      <c r="B996" s="1224" t="s">
        <v>346</v>
      </c>
      <c r="C996" s="1225">
        <v>290000818</v>
      </c>
      <c r="D996" s="1225">
        <v>281596339</v>
      </c>
      <c r="E996" s="1225">
        <v>290000818</v>
      </c>
      <c r="F996" s="1225">
        <v>281596339</v>
      </c>
      <c r="G996" s="1225">
        <v>478327690</v>
      </c>
      <c r="H996" s="1225">
        <v>478327690</v>
      </c>
      <c r="I996" s="1225">
        <v>290000818</v>
      </c>
      <c r="J996" s="1225">
        <v>281596339</v>
      </c>
      <c r="K996" s="1225">
        <v>290000818</v>
      </c>
      <c r="L996" s="1225">
        <v>281596339</v>
      </c>
    </row>
    <row r="997" spans="1:12">
      <c r="A997" s="187" t="s">
        <v>2409</v>
      </c>
      <c r="B997" s="1224" t="s">
        <v>2356</v>
      </c>
      <c r="C997" s="1225">
        <v>208635197</v>
      </c>
      <c r="D997" s="1225">
        <v>200316118</v>
      </c>
      <c r="E997" s="1225">
        <v>208635197</v>
      </c>
      <c r="F997" s="1225">
        <v>200316118</v>
      </c>
      <c r="G997" s="1225">
        <v>208178538</v>
      </c>
      <c r="H997" s="1225">
        <v>208178538</v>
      </c>
      <c r="I997" s="1225">
        <v>208635197</v>
      </c>
      <c r="J997" s="1225">
        <v>200316118</v>
      </c>
      <c r="K997" s="1225">
        <v>208635197</v>
      </c>
      <c r="L997" s="1225">
        <v>200316118</v>
      </c>
    </row>
    <row r="998" spans="1:12">
      <c r="A998" s="187" t="s">
        <v>615</v>
      </c>
      <c r="B998" s="1224" t="s">
        <v>1004</v>
      </c>
      <c r="C998" s="1225">
        <v>517415622</v>
      </c>
      <c r="D998" s="1225">
        <v>505465494</v>
      </c>
      <c r="E998" s="1225">
        <v>510723678</v>
      </c>
      <c r="F998" s="1225">
        <v>498773550</v>
      </c>
      <c r="G998" s="1225">
        <v>890883855</v>
      </c>
      <c r="H998" s="1225">
        <v>885760156</v>
      </c>
      <c r="I998" s="1225">
        <v>592864812</v>
      </c>
      <c r="J998" s="1225">
        <v>580914684</v>
      </c>
      <c r="K998" s="1225">
        <v>586172868</v>
      </c>
      <c r="L998" s="1225">
        <v>574222740</v>
      </c>
    </row>
    <row r="999" spans="1:12">
      <c r="A999" s="187" t="s">
        <v>617</v>
      </c>
      <c r="B999" s="1224" t="s">
        <v>1005</v>
      </c>
      <c r="C999" s="1225">
        <v>1651664094</v>
      </c>
      <c r="D999" s="1225">
        <v>1649761655</v>
      </c>
      <c r="E999" s="1225">
        <v>1650786908</v>
      </c>
      <c r="F999" s="1225">
        <v>1648884469</v>
      </c>
      <c r="G999" s="1225">
        <v>1692583650</v>
      </c>
      <c r="H999" s="1225">
        <v>1691899041</v>
      </c>
      <c r="I999" s="1225">
        <v>1651664094</v>
      </c>
      <c r="J999" s="1225">
        <v>1649761655</v>
      </c>
      <c r="K999" s="1225">
        <v>1650786908</v>
      </c>
      <c r="L999" s="1225">
        <v>1648884469</v>
      </c>
    </row>
    <row r="1000" spans="1:12">
      <c r="A1000" s="187" t="s">
        <v>3889</v>
      </c>
      <c r="B1000" s="1224" t="s">
        <v>7680</v>
      </c>
      <c r="C1000" s="1225">
        <v>346881135</v>
      </c>
      <c r="D1000" s="1225">
        <v>338400792</v>
      </c>
      <c r="E1000" s="1225">
        <v>346881135</v>
      </c>
      <c r="F1000" s="1225">
        <v>338400792</v>
      </c>
      <c r="G1000" s="1225">
        <v>456874556</v>
      </c>
      <c r="H1000" s="1225">
        <v>456874556</v>
      </c>
      <c r="I1000" s="1225">
        <v>346881135</v>
      </c>
      <c r="J1000" s="1225">
        <v>338400792</v>
      </c>
      <c r="K1000" s="1225">
        <v>346881135</v>
      </c>
      <c r="L1000" s="1225">
        <v>338400792</v>
      </c>
    </row>
    <row r="1001" spans="1:12">
      <c r="A1001" s="187" t="s">
        <v>619</v>
      </c>
      <c r="B1001" s="1224" t="s">
        <v>1006</v>
      </c>
      <c r="C1001" s="1225">
        <v>560799542</v>
      </c>
      <c r="D1001" s="1225">
        <v>548080239</v>
      </c>
      <c r="E1001" s="1225">
        <v>560799542</v>
      </c>
      <c r="F1001" s="1225">
        <v>548080239</v>
      </c>
      <c r="G1001" s="1225">
        <v>914869410</v>
      </c>
      <c r="H1001" s="1225">
        <v>914869410</v>
      </c>
      <c r="I1001" s="1225">
        <v>560799542</v>
      </c>
      <c r="J1001" s="1225">
        <v>548080239</v>
      </c>
      <c r="K1001" s="1225">
        <v>560799542</v>
      </c>
      <c r="L1001" s="1225">
        <v>548080239</v>
      </c>
    </row>
    <row r="1002" spans="1:12">
      <c r="A1002" s="187" t="s">
        <v>1328</v>
      </c>
      <c r="B1002" s="1224" t="s">
        <v>1007</v>
      </c>
      <c r="C1002" s="1225">
        <v>1296973409</v>
      </c>
      <c r="D1002" s="1225">
        <v>1274267238</v>
      </c>
      <c r="E1002" s="1225">
        <v>1291082307</v>
      </c>
      <c r="F1002" s="1225">
        <v>1268376136</v>
      </c>
      <c r="G1002" s="1225">
        <v>1525392298</v>
      </c>
      <c r="H1002" s="1225">
        <v>1519317651</v>
      </c>
      <c r="I1002" s="1225">
        <v>1296973409</v>
      </c>
      <c r="J1002" s="1225">
        <v>1274267238</v>
      </c>
      <c r="K1002" s="1225">
        <v>1291082307</v>
      </c>
      <c r="L1002" s="1225">
        <v>1268376136</v>
      </c>
    </row>
    <row r="1003" spans="1:12">
      <c r="A1003" s="187" t="s">
        <v>6708</v>
      </c>
      <c r="B1003" s="1224" t="s">
        <v>1008</v>
      </c>
      <c r="C1003" s="1225">
        <v>513550081</v>
      </c>
      <c r="D1003" s="1225">
        <v>506378091</v>
      </c>
      <c r="E1003" s="1225">
        <v>513550081</v>
      </c>
      <c r="F1003" s="1225">
        <v>506378091</v>
      </c>
      <c r="G1003" s="1225">
        <v>619501674</v>
      </c>
      <c r="H1003" s="1225">
        <v>619501674</v>
      </c>
      <c r="I1003" s="1225">
        <v>513550081</v>
      </c>
      <c r="J1003" s="1225">
        <v>506378091</v>
      </c>
      <c r="K1003" s="1225">
        <v>513550081</v>
      </c>
      <c r="L1003" s="1225">
        <v>506378091</v>
      </c>
    </row>
    <row r="1004" spans="1:12">
      <c r="A1004" s="187" t="s">
        <v>6710</v>
      </c>
      <c r="B1004" s="1224" t="s">
        <v>1009</v>
      </c>
      <c r="C1004" s="1225">
        <v>1886591133</v>
      </c>
      <c r="D1004" s="1225">
        <v>1854961308</v>
      </c>
      <c r="E1004" s="1225">
        <v>1886591133</v>
      </c>
      <c r="F1004" s="1225">
        <v>1854961308</v>
      </c>
      <c r="G1004" s="1225">
        <v>2354709983</v>
      </c>
      <c r="H1004" s="1225">
        <v>2354709983</v>
      </c>
      <c r="I1004" s="1225">
        <v>1886591133</v>
      </c>
      <c r="J1004" s="1225">
        <v>1854961308</v>
      </c>
      <c r="K1004" s="1225">
        <v>1886591133</v>
      </c>
      <c r="L1004" s="1225">
        <v>1854961308</v>
      </c>
    </row>
    <row r="1005" spans="1:12">
      <c r="A1005" s="187" t="s">
        <v>6192</v>
      </c>
      <c r="B1005" s="1224" t="s">
        <v>3630</v>
      </c>
      <c r="C1005" s="1225">
        <v>363488596</v>
      </c>
      <c r="D1005" s="1225">
        <v>352366726</v>
      </c>
      <c r="E1005" s="1225">
        <v>363488596</v>
      </c>
      <c r="F1005" s="1225">
        <v>352366726</v>
      </c>
      <c r="G1005" s="1225">
        <v>397231301</v>
      </c>
      <c r="H1005" s="1225">
        <v>397231301</v>
      </c>
      <c r="I1005" s="1225">
        <v>363488596</v>
      </c>
      <c r="J1005" s="1225">
        <v>352366726</v>
      </c>
      <c r="K1005" s="1225">
        <v>363488596</v>
      </c>
      <c r="L1005" s="1225">
        <v>352366726</v>
      </c>
    </row>
    <row r="1006" spans="1:12">
      <c r="A1006" s="187" t="s">
        <v>2400</v>
      </c>
      <c r="B1006" s="1224" t="s">
        <v>2342</v>
      </c>
      <c r="C1006" s="1225">
        <v>265205490</v>
      </c>
      <c r="D1006" s="1225">
        <v>261508475</v>
      </c>
      <c r="E1006" s="1225">
        <v>260131682</v>
      </c>
      <c r="F1006" s="1225">
        <v>256434667</v>
      </c>
      <c r="G1006" s="1225">
        <v>372075792</v>
      </c>
      <c r="H1006" s="1225">
        <v>367419761</v>
      </c>
      <c r="I1006" s="1225">
        <v>265205490</v>
      </c>
      <c r="J1006" s="1225">
        <v>261508475</v>
      </c>
      <c r="K1006" s="1225">
        <v>260131682</v>
      </c>
      <c r="L1006" s="1225">
        <v>256434667</v>
      </c>
    </row>
    <row r="1007" spans="1:12">
      <c r="A1007" s="187" t="s">
        <v>6712</v>
      </c>
      <c r="B1007" s="1224" t="s">
        <v>1010</v>
      </c>
      <c r="C1007" s="1225">
        <v>586839037</v>
      </c>
      <c r="D1007" s="1225">
        <v>574845388</v>
      </c>
      <c r="E1007" s="1225">
        <v>586839037</v>
      </c>
      <c r="F1007" s="1225">
        <v>574845388</v>
      </c>
      <c r="G1007" s="1225">
        <v>962629628</v>
      </c>
      <c r="H1007" s="1225">
        <v>962629628</v>
      </c>
      <c r="I1007" s="1225">
        <v>586839037</v>
      </c>
      <c r="J1007" s="1225">
        <v>574845388</v>
      </c>
      <c r="K1007" s="1225">
        <v>586839037</v>
      </c>
      <c r="L1007" s="1225">
        <v>574845388</v>
      </c>
    </row>
    <row r="1008" spans="1:12">
      <c r="A1008" s="187" t="s">
        <v>6714</v>
      </c>
      <c r="B1008" s="1224" t="s">
        <v>1011</v>
      </c>
      <c r="C1008" s="1225">
        <v>486685353</v>
      </c>
      <c r="D1008" s="1225">
        <v>465420386</v>
      </c>
      <c r="E1008" s="1225">
        <v>486685353</v>
      </c>
      <c r="F1008" s="1225">
        <v>465420386</v>
      </c>
      <c r="G1008" s="1225">
        <v>537677895</v>
      </c>
      <c r="H1008" s="1225">
        <v>537677895</v>
      </c>
      <c r="I1008" s="1225">
        <v>486685353</v>
      </c>
      <c r="J1008" s="1225">
        <v>465420386</v>
      </c>
      <c r="K1008" s="1225">
        <v>486685353</v>
      </c>
      <c r="L1008" s="1225">
        <v>465420386</v>
      </c>
    </row>
    <row r="1009" spans="1:12">
      <c r="A1009" s="187" t="s">
        <v>6716</v>
      </c>
      <c r="B1009" s="1224" t="s">
        <v>1012</v>
      </c>
      <c r="C1009" s="1225">
        <v>407512495</v>
      </c>
      <c r="D1009" s="1225">
        <v>386249576</v>
      </c>
      <c r="E1009" s="1225">
        <v>407512495</v>
      </c>
      <c r="F1009" s="1225">
        <v>386249576</v>
      </c>
      <c r="G1009" s="1225">
        <v>482320895</v>
      </c>
      <c r="H1009" s="1225">
        <v>482320895</v>
      </c>
      <c r="I1009" s="1225">
        <v>407512495</v>
      </c>
      <c r="J1009" s="1225">
        <v>386249576</v>
      </c>
      <c r="K1009" s="1225">
        <v>407512495</v>
      </c>
      <c r="L1009" s="1225">
        <v>386249576</v>
      </c>
    </row>
    <row r="1010" spans="1:12">
      <c r="A1010" s="187" t="s">
        <v>6718</v>
      </c>
      <c r="B1010" s="1224" t="s">
        <v>1013</v>
      </c>
      <c r="C1010" s="1225">
        <v>293821586</v>
      </c>
      <c r="D1010" s="1225">
        <v>283836836</v>
      </c>
      <c r="E1010" s="1225">
        <v>293821586</v>
      </c>
      <c r="F1010" s="1225">
        <v>283836836</v>
      </c>
      <c r="G1010" s="1225">
        <v>298673795</v>
      </c>
      <c r="H1010" s="1225">
        <v>298673795</v>
      </c>
      <c r="I1010" s="1225">
        <v>293821586</v>
      </c>
      <c r="J1010" s="1225">
        <v>283836836</v>
      </c>
      <c r="K1010" s="1225">
        <v>293821586</v>
      </c>
      <c r="L1010" s="1225">
        <v>283836836</v>
      </c>
    </row>
    <row r="1011" spans="1:12">
      <c r="A1011" s="187" t="s">
        <v>2443</v>
      </c>
      <c r="B1011" s="1224" t="s">
        <v>1014</v>
      </c>
      <c r="C1011" s="1225">
        <v>256458653</v>
      </c>
      <c r="D1011" s="1225">
        <v>242260586</v>
      </c>
      <c r="E1011" s="1225">
        <v>256458653</v>
      </c>
      <c r="F1011" s="1225">
        <v>242260586</v>
      </c>
      <c r="G1011" s="1225">
        <v>263103911</v>
      </c>
      <c r="H1011" s="1225">
        <v>263103911</v>
      </c>
      <c r="I1011" s="1225">
        <v>256458653</v>
      </c>
      <c r="J1011" s="1225">
        <v>242260586</v>
      </c>
      <c r="K1011" s="1225">
        <v>256458653</v>
      </c>
      <c r="L1011" s="1225">
        <v>242260586</v>
      </c>
    </row>
    <row r="1012" spans="1:12">
      <c r="A1012" s="187" t="s">
        <v>2445</v>
      </c>
      <c r="B1012" s="1224" t="s">
        <v>1015</v>
      </c>
      <c r="C1012" s="1225">
        <v>463808773</v>
      </c>
      <c r="D1012" s="1225">
        <v>443515695</v>
      </c>
      <c r="E1012" s="1225">
        <v>463808773</v>
      </c>
      <c r="F1012" s="1225">
        <v>443515695</v>
      </c>
      <c r="G1012" s="1225">
        <v>477336616</v>
      </c>
      <c r="H1012" s="1225">
        <v>477336616</v>
      </c>
      <c r="I1012" s="1225">
        <v>463808773</v>
      </c>
      <c r="J1012" s="1225">
        <v>443515695</v>
      </c>
      <c r="K1012" s="1225">
        <v>463808773</v>
      </c>
      <c r="L1012" s="1225">
        <v>443515695</v>
      </c>
    </row>
    <row r="1013" spans="1:12">
      <c r="A1013" s="187" t="s">
        <v>2447</v>
      </c>
      <c r="B1013" s="1224" t="s">
        <v>1016</v>
      </c>
      <c r="C1013" s="1225">
        <v>1256679308</v>
      </c>
      <c r="D1013" s="1225">
        <v>1245639716</v>
      </c>
      <c r="E1013" s="1225">
        <v>1251710024</v>
      </c>
      <c r="F1013" s="1225">
        <v>1240670432</v>
      </c>
      <c r="G1013" s="1225">
        <v>3224336980</v>
      </c>
      <c r="H1013" s="1225">
        <v>3219673307</v>
      </c>
      <c r="I1013" s="1225">
        <v>1256679308</v>
      </c>
      <c r="J1013" s="1225">
        <v>1245639716</v>
      </c>
      <c r="K1013" s="1225">
        <v>1251710024</v>
      </c>
      <c r="L1013" s="1225">
        <v>1240670432</v>
      </c>
    </row>
    <row r="1014" spans="1:12">
      <c r="A1014" s="187" t="s">
        <v>905</v>
      </c>
      <c r="B1014" s="1224" t="s">
        <v>1017</v>
      </c>
      <c r="C1014" s="1225">
        <v>498889010</v>
      </c>
      <c r="D1014" s="1225">
        <v>495165706</v>
      </c>
      <c r="E1014" s="1225">
        <v>495199072</v>
      </c>
      <c r="F1014" s="1225">
        <v>491475768</v>
      </c>
      <c r="G1014" s="1225">
        <v>1192757438</v>
      </c>
      <c r="H1014" s="1225">
        <v>1189524672</v>
      </c>
      <c r="I1014" s="1225">
        <v>498889010</v>
      </c>
      <c r="J1014" s="1225">
        <v>495165706</v>
      </c>
      <c r="K1014" s="1225">
        <v>495199072</v>
      </c>
      <c r="L1014" s="1225">
        <v>491475768</v>
      </c>
    </row>
    <row r="1015" spans="1:12">
      <c r="A1015" s="187" t="s">
        <v>1854</v>
      </c>
      <c r="B1015" s="1224" t="s">
        <v>4965</v>
      </c>
      <c r="C1015" s="1225">
        <v>706112086</v>
      </c>
      <c r="D1015" s="1225">
        <v>678244786</v>
      </c>
      <c r="E1015" s="1225">
        <v>706112086</v>
      </c>
      <c r="F1015" s="1225">
        <v>678244786</v>
      </c>
      <c r="G1015" s="1225">
        <v>802266609</v>
      </c>
      <c r="H1015" s="1225">
        <v>802266609</v>
      </c>
      <c r="I1015" s="1225">
        <v>721646806</v>
      </c>
      <c r="J1015" s="1225">
        <v>693779506</v>
      </c>
      <c r="K1015" s="1225">
        <v>721646806</v>
      </c>
      <c r="L1015" s="1225">
        <v>693779506</v>
      </c>
    </row>
    <row r="1016" spans="1:12">
      <c r="A1016" s="187" t="s">
        <v>907</v>
      </c>
      <c r="B1016" s="1224" t="s">
        <v>1018</v>
      </c>
      <c r="C1016" s="1225">
        <v>62757902</v>
      </c>
      <c r="D1016" s="1225">
        <v>61466172</v>
      </c>
      <c r="E1016" s="1225">
        <v>62757902</v>
      </c>
      <c r="F1016" s="1225">
        <v>61466172</v>
      </c>
      <c r="G1016" s="1225">
        <v>91926735</v>
      </c>
      <c r="H1016" s="1225">
        <v>91926735</v>
      </c>
      <c r="I1016" s="1225">
        <v>62757902</v>
      </c>
      <c r="J1016" s="1225">
        <v>61466172</v>
      </c>
      <c r="K1016" s="1225">
        <v>62757902</v>
      </c>
      <c r="L1016" s="1225">
        <v>61466172</v>
      </c>
    </row>
    <row r="1017" spans="1:12">
      <c r="A1017" s="187" t="s">
        <v>6146</v>
      </c>
      <c r="B1017" s="1224" t="s">
        <v>3835</v>
      </c>
      <c r="C1017" s="1225">
        <v>235643204</v>
      </c>
      <c r="D1017" s="1225">
        <v>228694784</v>
      </c>
      <c r="E1017" s="1225">
        <v>235643204</v>
      </c>
      <c r="F1017" s="1225">
        <v>228694784</v>
      </c>
      <c r="G1017" s="1225">
        <v>289269707</v>
      </c>
      <c r="H1017" s="1225">
        <v>289269707</v>
      </c>
      <c r="I1017" s="1225">
        <v>439987204</v>
      </c>
      <c r="J1017" s="1225">
        <v>433038784</v>
      </c>
      <c r="K1017" s="1225">
        <v>439987204</v>
      </c>
      <c r="L1017" s="1225">
        <v>433038784</v>
      </c>
    </row>
    <row r="1018" spans="1:12">
      <c r="A1018" s="187" t="s">
        <v>909</v>
      </c>
      <c r="B1018" s="1224" t="s">
        <v>1019</v>
      </c>
      <c r="C1018" s="1225">
        <v>1009413131</v>
      </c>
      <c r="D1018" s="1225">
        <v>981348524</v>
      </c>
      <c r="E1018" s="1225">
        <v>985896151</v>
      </c>
      <c r="F1018" s="1225">
        <v>957831544</v>
      </c>
      <c r="G1018" s="1225">
        <v>1562739378</v>
      </c>
      <c r="H1018" s="1225">
        <v>1538762764</v>
      </c>
      <c r="I1018" s="1225">
        <v>1009413131</v>
      </c>
      <c r="J1018" s="1225">
        <v>981348524</v>
      </c>
      <c r="K1018" s="1225">
        <v>985896151</v>
      </c>
      <c r="L1018" s="1225">
        <v>957831544</v>
      </c>
    </row>
    <row r="1019" spans="1:12">
      <c r="A1019" s="187" t="s">
        <v>247</v>
      </c>
      <c r="B1019" s="1224" t="s">
        <v>989</v>
      </c>
      <c r="C1019" s="1225">
        <v>847753594</v>
      </c>
      <c r="D1019" s="1225">
        <v>836651237</v>
      </c>
      <c r="E1019" s="1225">
        <v>847753594</v>
      </c>
      <c r="F1019" s="1225">
        <v>836651237</v>
      </c>
      <c r="G1019" s="1225">
        <v>831077015</v>
      </c>
      <c r="H1019" s="1225">
        <v>831077015</v>
      </c>
      <c r="I1019" s="1225">
        <v>847753594</v>
      </c>
      <c r="J1019" s="1225">
        <v>836651237</v>
      </c>
      <c r="K1019" s="1225">
        <v>847753594</v>
      </c>
      <c r="L1019" s="1225">
        <v>836651237</v>
      </c>
    </row>
    <row r="1020" spans="1:12">
      <c r="A1020" s="187" t="s">
        <v>1527</v>
      </c>
      <c r="B1020" s="1224" t="s">
        <v>2154</v>
      </c>
      <c r="C1020" s="1225">
        <v>104500198</v>
      </c>
      <c r="D1020" s="1225">
        <v>101801015</v>
      </c>
      <c r="E1020" s="1225">
        <v>104500198</v>
      </c>
      <c r="F1020" s="1225">
        <v>101801015</v>
      </c>
      <c r="G1020" s="1225">
        <v>80389487</v>
      </c>
      <c r="H1020" s="1225">
        <v>80389487</v>
      </c>
      <c r="I1020" s="1225">
        <v>104500198</v>
      </c>
      <c r="J1020" s="1225">
        <v>101801015</v>
      </c>
      <c r="K1020" s="1225">
        <v>104500198</v>
      </c>
      <c r="L1020" s="1225">
        <v>101801015</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C1020"/>
  <sheetViews>
    <sheetView workbookViewId="0">
      <selection activeCell="A2" sqref="A2"/>
    </sheetView>
  </sheetViews>
  <sheetFormatPr defaultRowHeight="15.6"/>
  <cols>
    <col min="1" max="1" width="9.21875" style="800"/>
    <col min="2" max="3" width="17.77734375" style="1074" bestFit="1" customWidth="1"/>
    <col min="4" max="4" width="20.77734375" customWidth="1"/>
  </cols>
  <sheetData>
    <row r="1" spans="1:3">
      <c r="A1" s="1075" t="str">
        <f>'Enter Attendance.Funding Sheet'!A1</f>
        <v>000-000</v>
      </c>
      <c r="B1" s="1076" t="e">
        <f>VLOOKUP(A1,A2:B1020,2,FALSE)</f>
        <v>#N/A</v>
      </c>
      <c r="C1" s="1076"/>
    </row>
    <row r="2" spans="1:3">
      <c r="A2" s="1005" t="s">
        <v>3890</v>
      </c>
      <c r="B2" s="1073">
        <v>273822213</v>
      </c>
      <c r="C2" s="1073">
        <v>273822213</v>
      </c>
    </row>
    <row r="3" spans="1:3">
      <c r="A3" s="1005" t="s">
        <v>694</v>
      </c>
      <c r="B3" s="1073">
        <v>292104676</v>
      </c>
      <c r="C3" s="1073">
        <v>292104676</v>
      </c>
    </row>
    <row r="4" spans="1:3">
      <c r="A4" s="1005" t="s">
        <v>696</v>
      </c>
      <c r="B4" s="1073">
        <v>256280330</v>
      </c>
      <c r="C4" s="1073">
        <v>256280330</v>
      </c>
    </row>
    <row r="5" spans="1:3">
      <c r="A5" s="1005" t="s">
        <v>698</v>
      </c>
      <c r="B5" s="1073">
        <v>120621125</v>
      </c>
      <c r="C5" s="1073">
        <v>120621125</v>
      </c>
    </row>
    <row r="6" spans="1:3">
      <c r="A6" s="1005" t="s">
        <v>700</v>
      </c>
      <c r="B6" s="1073">
        <v>971713518</v>
      </c>
      <c r="C6" s="1073">
        <v>971713518</v>
      </c>
    </row>
    <row r="7" spans="1:3">
      <c r="A7" s="1005" t="s">
        <v>1491</v>
      </c>
      <c r="B7" s="1073">
        <v>417790152</v>
      </c>
      <c r="C7" s="1073">
        <v>417790152</v>
      </c>
    </row>
    <row r="8" spans="1:3">
      <c r="A8" s="1005" t="s">
        <v>6212</v>
      </c>
      <c r="B8" s="1073">
        <v>117522342</v>
      </c>
      <c r="C8" s="1073">
        <v>117522342</v>
      </c>
    </row>
    <row r="9" spans="1:3">
      <c r="A9" s="1005" t="s">
        <v>2753</v>
      </c>
      <c r="B9" s="1073">
        <v>6781618961</v>
      </c>
      <c r="C9" s="1073">
        <v>6781618961</v>
      </c>
    </row>
    <row r="10" spans="1:3">
      <c r="A10" s="1005" t="s">
        <v>3080</v>
      </c>
      <c r="B10" s="1073">
        <v>422948920</v>
      </c>
      <c r="C10" s="1073">
        <v>422948920</v>
      </c>
    </row>
    <row r="11" spans="1:3">
      <c r="A11" s="1005" t="s">
        <v>2842</v>
      </c>
      <c r="B11" s="1073">
        <v>2178703487</v>
      </c>
      <c r="C11" s="1073">
        <v>2178703487</v>
      </c>
    </row>
    <row r="12" spans="1:3">
      <c r="A12" s="1005" t="s">
        <v>1874</v>
      </c>
      <c r="B12" s="1073">
        <v>231784297</v>
      </c>
      <c r="C12" s="1073">
        <v>231784297</v>
      </c>
    </row>
    <row r="13" spans="1:3">
      <c r="A13" s="1005" t="s">
        <v>2844</v>
      </c>
      <c r="B13" s="1073">
        <v>278357999</v>
      </c>
      <c r="C13" s="1073">
        <v>278357999</v>
      </c>
    </row>
    <row r="14" spans="1:3">
      <c r="A14" s="1005" t="s">
        <v>2846</v>
      </c>
      <c r="B14" s="1073">
        <v>94114902</v>
      </c>
      <c r="C14" s="1073">
        <v>94114902</v>
      </c>
    </row>
    <row r="15" spans="1:3">
      <c r="A15" s="1005" t="s">
        <v>2848</v>
      </c>
      <c r="B15" s="1073">
        <v>244967855</v>
      </c>
      <c r="C15" s="1073">
        <v>244967855</v>
      </c>
    </row>
    <row r="16" spans="1:3">
      <c r="A16" s="1005" t="s">
        <v>1225</v>
      </c>
      <c r="B16" s="1073">
        <v>2599437564</v>
      </c>
      <c r="C16" s="1073">
        <v>2599437564</v>
      </c>
    </row>
    <row r="17" spans="1:3">
      <c r="A17" s="1005" t="s">
        <v>1227</v>
      </c>
      <c r="B17" s="1073">
        <v>448676396</v>
      </c>
      <c r="C17" s="1073">
        <v>448676396</v>
      </c>
    </row>
    <row r="18" spans="1:3">
      <c r="A18" s="1005" t="s">
        <v>1229</v>
      </c>
      <c r="B18" s="1073">
        <v>314747342</v>
      </c>
      <c r="C18" s="1073">
        <v>314747342</v>
      </c>
    </row>
    <row r="19" spans="1:3">
      <c r="A19" s="1005" t="s">
        <v>2360</v>
      </c>
      <c r="B19" s="1073">
        <v>72598869</v>
      </c>
      <c r="C19" s="1073">
        <v>72598869</v>
      </c>
    </row>
    <row r="20" spans="1:3">
      <c r="A20" s="1005" t="s">
        <v>1233</v>
      </c>
      <c r="B20" s="1073">
        <v>163120114</v>
      </c>
      <c r="C20" s="1073">
        <v>163120114</v>
      </c>
    </row>
    <row r="21" spans="1:3">
      <c r="A21" s="1005" t="s">
        <v>3081</v>
      </c>
      <c r="B21" s="1073">
        <v>283003973</v>
      </c>
      <c r="C21" s="1073">
        <v>283003973</v>
      </c>
    </row>
    <row r="22" spans="1:3">
      <c r="A22" s="1005" t="s">
        <v>1235</v>
      </c>
      <c r="B22" s="1073">
        <v>790317014</v>
      </c>
      <c r="C22" s="1073">
        <v>790317014</v>
      </c>
    </row>
    <row r="23" spans="1:3">
      <c r="A23" s="1005" t="s">
        <v>2999</v>
      </c>
      <c r="B23" s="1073">
        <v>242403099</v>
      </c>
      <c r="C23" s="1073">
        <v>242403099</v>
      </c>
    </row>
    <row r="24" spans="1:3">
      <c r="A24" s="1005" t="s">
        <v>5127</v>
      </c>
      <c r="B24" s="1073">
        <v>2141540907</v>
      </c>
      <c r="C24" s="1073">
        <v>2141540907</v>
      </c>
    </row>
    <row r="25" spans="1:3">
      <c r="A25" s="1005" t="s">
        <v>2563</v>
      </c>
      <c r="B25" s="1073">
        <v>218508022</v>
      </c>
      <c r="C25" s="1073">
        <v>218508022</v>
      </c>
    </row>
    <row r="26" spans="1:3">
      <c r="A26" s="1005" t="s">
        <v>1237</v>
      </c>
      <c r="B26" s="1073">
        <v>1064721683</v>
      </c>
      <c r="C26" s="1073">
        <v>1064721683</v>
      </c>
    </row>
    <row r="27" spans="1:3">
      <c r="A27" s="1005" t="s">
        <v>1239</v>
      </c>
      <c r="B27" s="1073">
        <v>1109843561</v>
      </c>
      <c r="C27" s="1073">
        <v>1109843561</v>
      </c>
    </row>
    <row r="28" spans="1:3">
      <c r="A28" s="1005" t="s">
        <v>1241</v>
      </c>
      <c r="B28" s="1073">
        <v>300188075</v>
      </c>
      <c r="C28" s="1073">
        <v>300188075</v>
      </c>
    </row>
    <row r="29" spans="1:3">
      <c r="A29" s="1005" t="s">
        <v>1243</v>
      </c>
      <c r="B29" s="1073">
        <v>237643871</v>
      </c>
      <c r="C29" s="1073">
        <v>237643871</v>
      </c>
    </row>
    <row r="30" spans="1:3">
      <c r="A30" s="1005" t="s">
        <v>1245</v>
      </c>
      <c r="B30" s="1073">
        <v>216316360</v>
      </c>
      <c r="C30" s="1073">
        <v>216316360</v>
      </c>
    </row>
    <row r="31" spans="1:3">
      <c r="A31" s="1005" t="s">
        <v>2361</v>
      </c>
      <c r="B31" s="1073">
        <v>1360444037</v>
      </c>
      <c r="C31" s="1073">
        <v>1360444037</v>
      </c>
    </row>
    <row r="32" spans="1:3">
      <c r="A32" s="1005" t="s">
        <v>948</v>
      </c>
      <c r="B32" s="1073">
        <v>2981782538</v>
      </c>
      <c r="C32" s="1073">
        <v>2981782538</v>
      </c>
    </row>
    <row r="33" spans="1:3">
      <c r="A33" s="1005" t="s">
        <v>1522</v>
      </c>
      <c r="B33" s="1073">
        <v>888799303</v>
      </c>
      <c r="C33" s="1073">
        <v>888799303</v>
      </c>
    </row>
    <row r="34" spans="1:3">
      <c r="A34" s="1005" t="s">
        <v>438</v>
      </c>
      <c r="B34" s="1073">
        <v>608879164</v>
      </c>
      <c r="C34" s="1073">
        <v>608879164</v>
      </c>
    </row>
    <row r="35" spans="1:3">
      <c r="A35" s="1005" t="s">
        <v>2565</v>
      </c>
      <c r="B35" s="1073">
        <v>72200895</v>
      </c>
      <c r="C35" s="1073">
        <v>72200895</v>
      </c>
    </row>
    <row r="36" spans="1:3">
      <c r="A36" s="1005" t="s">
        <v>1248</v>
      </c>
      <c r="B36" s="1073">
        <v>178913783</v>
      </c>
      <c r="C36" s="1073">
        <v>178913783</v>
      </c>
    </row>
    <row r="37" spans="1:3">
      <c r="A37" s="1005" t="s">
        <v>439</v>
      </c>
      <c r="B37" s="1073">
        <v>745823496</v>
      </c>
      <c r="C37" s="1073">
        <v>745823496</v>
      </c>
    </row>
    <row r="38" spans="1:3">
      <c r="A38" s="1005" t="s">
        <v>1250</v>
      </c>
      <c r="B38" s="1073">
        <v>498364741</v>
      </c>
      <c r="C38" s="1073">
        <v>498364741</v>
      </c>
    </row>
    <row r="39" spans="1:3">
      <c r="A39" s="1005" t="s">
        <v>1252</v>
      </c>
      <c r="B39" s="1073">
        <v>487388147</v>
      </c>
      <c r="C39" s="1073">
        <v>487388147</v>
      </c>
    </row>
    <row r="40" spans="1:3">
      <c r="A40" s="1005" t="s">
        <v>2399</v>
      </c>
      <c r="B40" s="1073">
        <v>150290706</v>
      </c>
      <c r="C40" s="1073">
        <v>150290706</v>
      </c>
    </row>
    <row r="41" spans="1:3">
      <c r="A41" s="1005" t="s">
        <v>2566</v>
      </c>
      <c r="B41" s="1073">
        <v>286892241</v>
      </c>
      <c r="C41" s="1073">
        <v>286892241</v>
      </c>
    </row>
    <row r="42" spans="1:3">
      <c r="A42" s="1005" t="s">
        <v>947</v>
      </c>
      <c r="B42" s="1073">
        <v>98260515</v>
      </c>
      <c r="C42" s="1073">
        <v>98260515</v>
      </c>
    </row>
    <row r="43" spans="1:3">
      <c r="A43" s="1005" t="s">
        <v>950</v>
      </c>
      <c r="B43" s="1073">
        <v>2298982160</v>
      </c>
      <c r="C43" s="1073">
        <v>2298982160</v>
      </c>
    </row>
    <row r="44" spans="1:3">
      <c r="A44" s="1005" t="s">
        <v>1869</v>
      </c>
      <c r="B44" s="1073">
        <v>91180715</v>
      </c>
      <c r="C44" s="1073">
        <v>91180715</v>
      </c>
    </row>
    <row r="45" spans="1:3">
      <c r="A45" s="1005" t="s">
        <v>6033</v>
      </c>
      <c r="B45" s="1073">
        <v>6583845496</v>
      </c>
      <c r="C45" s="1073">
        <v>6583845496</v>
      </c>
    </row>
    <row r="46" spans="1:3">
      <c r="A46" s="1005" t="s">
        <v>2309</v>
      </c>
      <c r="B46" s="1073">
        <v>152523203</v>
      </c>
      <c r="C46" s="1073">
        <v>152523203</v>
      </c>
    </row>
    <row r="47" spans="1:3">
      <c r="A47" s="1005" t="s">
        <v>2384</v>
      </c>
      <c r="B47" s="1073">
        <v>654776181</v>
      </c>
      <c r="C47" s="1073">
        <v>654776181</v>
      </c>
    </row>
    <row r="48" spans="1:3">
      <c r="A48" s="1005" t="s">
        <v>2411</v>
      </c>
      <c r="B48" s="1073">
        <v>2847180333</v>
      </c>
      <c r="C48" s="1073">
        <v>2847180333</v>
      </c>
    </row>
    <row r="49" spans="1:3">
      <c r="A49" s="1005" t="s">
        <v>2416</v>
      </c>
      <c r="B49" s="1073">
        <v>275072770</v>
      </c>
      <c r="C49" s="1073">
        <v>275072770</v>
      </c>
    </row>
    <row r="50" spans="1:3">
      <c r="A50" s="1005" t="s">
        <v>37</v>
      </c>
      <c r="B50" s="1073">
        <v>5413868930</v>
      </c>
      <c r="C50" s="1073">
        <v>5413868930</v>
      </c>
    </row>
    <row r="51" spans="1:3">
      <c r="A51" s="1005" t="s">
        <v>1860</v>
      </c>
      <c r="B51" s="1073">
        <v>1121839265</v>
      </c>
      <c r="C51" s="1073">
        <v>1121839265</v>
      </c>
    </row>
    <row r="52" spans="1:3">
      <c r="A52" s="1005" t="s">
        <v>1520</v>
      </c>
      <c r="B52" s="1073">
        <v>912604330</v>
      </c>
      <c r="C52" s="1073">
        <v>912604330</v>
      </c>
    </row>
    <row r="53" spans="1:3">
      <c r="A53" s="1005" t="s">
        <v>2386</v>
      </c>
      <c r="B53" s="1073">
        <v>12434363378</v>
      </c>
      <c r="C53" s="1073">
        <v>12434363378</v>
      </c>
    </row>
    <row r="54" spans="1:3">
      <c r="A54" s="1005" t="s">
        <v>2403</v>
      </c>
      <c r="B54" s="1073">
        <v>1325363856</v>
      </c>
      <c r="C54" s="1073">
        <v>1325363856</v>
      </c>
    </row>
    <row r="55" spans="1:3">
      <c r="A55" s="1005" t="s">
        <v>2402</v>
      </c>
      <c r="B55" s="1073">
        <v>376453964</v>
      </c>
      <c r="C55" s="1073">
        <v>376453964</v>
      </c>
    </row>
    <row r="56" spans="1:3">
      <c r="A56" s="1005" t="s">
        <v>6183</v>
      </c>
      <c r="B56" s="1073">
        <v>30174720103</v>
      </c>
      <c r="C56" s="1073">
        <v>30174720103</v>
      </c>
    </row>
    <row r="57" spans="1:3">
      <c r="A57" s="1005" t="s">
        <v>1517</v>
      </c>
      <c r="B57" s="1073">
        <v>2528162219</v>
      </c>
      <c r="C57" s="1073">
        <v>2528162219</v>
      </c>
    </row>
    <row r="58" spans="1:3">
      <c r="A58" s="1005" t="s">
        <v>3082</v>
      </c>
      <c r="B58" s="1073">
        <v>1991898214</v>
      </c>
      <c r="C58" s="1073">
        <v>2503266204</v>
      </c>
    </row>
    <row r="59" spans="1:3">
      <c r="A59" s="1005" t="s">
        <v>6185</v>
      </c>
      <c r="B59" s="1073">
        <v>37748664365</v>
      </c>
      <c r="C59" s="1073">
        <v>37748664365</v>
      </c>
    </row>
    <row r="60" spans="1:3">
      <c r="A60" s="1005" t="s">
        <v>6026</v>
      </c>
      <c r="B60" s="1073">
        <v>6654846325</v>
      </c>
      <c r="C60" s="1073">
        <v>6654846325</v>
      </c>
    </row>
    <row r="61" spans="1:3">
      <c r="A61" s="1005" t="s">
        <v>2404</v>
      </c>
      <c r="B61" s="1073">
        <v>1113322781</v>
      </c>
      <c r="C61" s="1073">
        <v>1113322781</v>
      </c>
    </row>
    <row r="62" spans="1:3">
      <c r="A62" s="1005" t="s">
        <v>45</v>
      </c>
      <c r="B62" s="1073">
        <v>606443705</v>
      </c>
      <c r="C62" s="1073">
        <v>606443705</v>
      </c>
    </row>
    <row r="63" spans="1:3">
      <c r="A63" s="1005" t="s">
        <v>952</v>
      </c>
      <c r="B63" s="1073">
        <v>712504392</v>
      </c>
      <c r="C63" s="1073">
        <v>712504392</v>
      </c>
    </row>
    <row r="64" spans="1:3">
      <c r="A64" s="1005" t="s">
        <v>47</v>
      </c>
      <c r="B64" s="1073">
        <v>940274399</v>
      </c>
      <c r="C64" s="1073">
        <v>984702759</v>
      </c>
    </row>
    <row r="65" spans="1:3">
      <c r="A65" s="1005" t="s">
        <v>740</v>
      </c>
      <c r="B65" s="1073">
        <v>646821359</v>
      </c>
      <c r="C65" s="1073">
        <v>646821359</v>
      </c>
    </row>
    <row r="66" spans="1:3">
      <c r="A66" s="1005" t="s">
        <v>49</v>
      </c>
      <c r="B66" s="1073">
        <v>153932161</v>
      </c>
      <c r="C66" s="1073">
        <v>153932161</v>
      </c>
    </row>
    <row r="67" spans="1:3">
      <c r="A67" s="1005" t="s">
        <v>1337</v>
      </c>
      <c r="B67" s="1073">
        <v>56376743</v>
      </c>
      <c r="C67" s="1073">
        <v>56376743</v>
      </c>
    </row>
    <row r="68" spans="1:3">
      <c r="A68" s="1005" t="s">
        <v>1339</v>
      </c>
      <c r="B68" s="1073">
        <v>193052991</v>
      </c>
      <c r="C68" s="1073">
        <v>193052991</v>
      </c>
    </row>
    <row r="69" spans="1:3">
      <c r="A69" s="1005" t="s">
        <v>2474</v>
      </c>
      <c r="B69" s="1073">
        <v>70520651</v>
      </c>
      <c r="C69" s="1073">
        <v>70520651</v>
      </c>
    </row>
    <row r="70" spans="1:3">
      <c r="A70" s="1005" t="s">
        <v>1341</v>
      </c>
      <c r="B70" s="1073">
        <v>116375768</v>
      </c>
      <c r="C70" s="1073">
        <v>116375768</v>
      </c>
    </row>
    <row r="71" spans="1:3">
      <c r="A71" s="1005" t="s">
        <v>1343</v>
      </c>
      <c r="B71" s="1073">
        <v>98404556</v>
      </c>
      <c r="C71" s="1073">
        <v>98404556</v>
      </c>
    </row>
    <row r="72" spans="1:3">
      <c r="A72" s="1005" t="s">
        <v>1345</v>
      </c>
      <c r="B72" s="1073">
        <v>73491606</v>
      </c>
      <c r="C72" s="1073">
        <v>73491606</v>
      </c>
    </row>
    <row r="73" spans="1:3">
      <c r="A73" s="1005" t="s">
        <v>963</v>
      </c>
      <c r="B73" s="1073">
        <v>162758557</v>
      </c>
      <c r="C73" s="1073">
        <v>162758557</v>
      </c>
    </row>
    <row r="74" spans="1:3">
      <c r="A74" s="1005" t="s">
        <v>3083</v>
      </c>
      <c r="B74" s="1073">
        <v>134782380</v>
      </c>
      <c r="C74" s="1073">
        <v>134782380</v>
      </c>
    </row>
    <row r="75" spans="1:3">
      <c r="A75" s="1005" t="s">
        <v>2568</v>
      </c>
      <c r="B75" s="1073">
        <v>50838215</v>
      </c>
      <c r="C75" s="1073">
        <v>50838215</v>
      </c>
    </row>
    <row r="76" spans="1:3">
      <c r="A76" s="1005" t="s">
        <v>1349</v>
      </c>
      <c r="B76" s="1073">
        <v>377422617</v>
      </c>
      <c r="C76" s="1073">
        <v>377422617</v>
      </c>
    </row>
    <row r="77" spans="1:3">
      <c r="A77" s="1005" t="s">
        <v>6083</v>
      </c>
      <c r="B77" s="1073">
        <v>199674588</v>
      </c>
      <c r="C77" s="1073">
        <v>199674588</v>
      </c>
    </row>
    <row r="78" spans="1:3">
      <c r="A78" s="1005" t="s">
        <v>6085</v>
      </c>
      <c r="B78" s="1073">
        <v>1809114947</v>
      </c>
      <c r="C78" s="1073">
        <v>1809114947</v>
      </c>
    </row>
    <row r="79" spans="1:3">
      <c r="A79" s="1005" t="s">
        <v>1998</v>
      </c>
      <c r="B79" s="1073">
        <v>494630999</v>
      </c>
      <c r="C79" s="1073">
        <v>494630999</v>
      </c>
    </row>
    <row r="80" spans="1:3">
      <c r="A80" s="1005" t="s">
        <v>2570</v>
      </c>
      <c r="B80" s="1073">
        <v>96524813</v>
      </c>
      <c r="C80" s="1073">
        <v>96524813</v>
      </c>
    </row>
    <row r="81" spans="1:3">
      <c r="A81" s="1005" t="s">
        <v>4076</v>
      </c>
      <c r="B81" s="1073">
        <v>17299233</v>
      </c>
      <c r="C81" s="1073">
        <v>17299233</v>
      </c>
    </row>
    <row r="82" spans="1:3">
      <c r="A82" s="1005" t="s">
        <v>1963</v>
      </c>
      <c r="B82" s="1073">
        <v>178208952</v>
      </c>
      <c r="C82" s="1073">
        <v>178208952</v>
      </c>
    </row>
    <row r="83" spans="1:3">
      <c r="A83" s="1005" t="s">
        <v>2000</v>
      </c>
      <c r="B83" s="1073">
        <v>816845341</v>
      </c>
      <c r="C83" s="1073">
        <v>816845341</v>
      </c>
    </row>
    <row r="84" spans="1:3">
      <c r="A84" s="1005" t="s">
        <v>2002</v>
      </c>
      <c r="B84" s="1073">
        <v>16730247</v>
      </c>
      <c r="C84" s="1073">
        <v>16730247</v>
      </c>
    </row>
    <row r="85" spans="1:3">
      <c r="A85" s="1005" t="s">
        <v>1964</v>
      </c>
      <c r="B85" s="1073">
        <v>38863544</v>
      </c>
      <c r="C85" s="1073">
        <v>38863544</v>
      </c>
    </row>
    <row r="86" spans="1:3">
      <c r="A86" s="1005" t="s">
        <v>2136</v>
      </c>
      <c r="B86" s="1073">
        <v>4660965937</v>
      </c>
      <c r="C86" s="1073">
        <v>4660965937</v>
      </c>
    </row>
    <row r="87" spans="1:3">
      <c r="A87" s="1005" t="s">
        <v>2966</v>
      </c>
      <c r="B87" s="1073">
        <v>2231106208</v>
      </c>
      <c r="C87" s="1073">
        <v>2231106208</v>
      </c>
    </row>
    <row r="88" spans="1:3">
      <c r="A88" s="1005" t="s">
        <v>3084</v>
      </c>
      <c r="B88" s="1073">
        <v>214682568</v>
      </c>
      <c r="C88" s="1073">
        <v>214682568</v>
      </c>
    </row>
    <row r="89" spans="1:3">
      <c r="A89" s="1005" t="s">
        <v>6252</v>
      </c>
      <c r="B89" s="1073">
        <v>6722537911</v>
      </c>
      <c r="C89" s="1073">
        <v>6844364251</v>
      </c>
    </row>
    <row r="90" spans="1:3">
      <c r="A90" s="1005" t="s">
        <v>6254</v>
      </c>
      <c r="B90" s="1073">
        <v>1450401141</v>
      </c>
      <c r="C90" s="1073">
        <v>1523174421</v>
      </c>
    </row>
    <row r="91" spans="1:3">
      <c r="A91" s="1005" t="s">
        <v>233</v>
      </c>
      <c r="B91" s="1073">
        <v>957032791</v>
      </c>
      <c r="C91" s="1073">
        <v>957032791</v>
      </c>
    </row>
    <row r="92" spans="1:3">
      <c r="A92" s="1005" t="s">
        <v>6195</v>
      </c>
      <c r="B92" s="1073">
        <v>5830270813</v>
      </c>
      <c r="C92" s="1073">
        <v>5830270813</v>
      </c>
    </row>
    <row r="93" spans="1:3">
      <c r="A93" s="1005" t="s">
        <v>6256</v>
      </c>
      <c r="B93" s="1073">
        <v>48539261</v>
      </c>
      <c r="C93" s="1073">
        <v>48539261</v>
      </c>
    </row>
    <row r="94" spans="1:3">
      <c r="A94" s="1005" t="s">
        <v>743</v>
      </c>
      <c r="B94" s="1073">
        <v>7079058538</v>
      </c>
      <c r="C94" s="1073">
        <v>7079058538</v>
      </c>
    </row>
    <row r="95" spans="1:3">
      <c r="A95" s="1005" t="s">
        <v>960</v>
      </c>
      <c r="B95" s="1073">
        <v>6096701285</v>
      </c>
      <c r="C95" s="1073">
        <v>6096701285</v>
      </c>
    </row>
    <row r="96" spans="1:3">
      <c r="A96" s="1005" t="s">
        <v>6260</v>
      </c>
      <c r="B96" s="1073">
        <v>72064270</v>
      </c>
      <c r="C96" s="1073">
        <v>72064270</v>
      </c>
    </row>
    <row r="97" spans="1:3">
      <c r="A97" s="1005" t="s">
        <v>6262</v>
      </c>
      <c r="B97" s="1073">
        <v>428291601</v>
      </c>
      <c r="C97" s="1073">
        <v>428291601</v>
      </c>
    </row>
    <row r="98" spans="1:3">
      <c r="A98" s="1005" t="s">
        <v>6264</v>
      </c>
      <c r="B98" s="1073">
        <v>74957108</v>
      </c>
      <c r="C98" s="1073">
        <v>74957108</v>
      </c>
    </row>
    <row r="99" spans="1:3">
      <c r="A99" s="1005" t="s">
        <v>6266</v>
      </c>
      <c r="B99" s="1073">
        <v>7432518</v>
      </c>
      <c r="C99" s="1073">
        <v>7432518</v>
      </c>
    </row>
    <row r="100" spans="1:3">
      <c r="A100" s="1005" t="s">
        <v>6268</v>
      </c>
      <c r="B100" s="1073">
        <v>165230277</v>
      </c>
      <c r="C100" s="1073">
        <v>165230277</v>
      </c>
    </row>
    <row r="101" spans="1:3">
      <c r="A101" s="1005" t="s">
        <v>6270</v>
      </c>
      <c r="B101" s="1073">
        <v>658983841</v>
      </c>
      <c r="C101" s="1073">
        <v>658983841</v>
      </c>
    </row>
    <row r="102" spans="1:3">
      <c r="A102" s="1005" t="s">
        <v>6272</v>
      </c>
      <c r="B102" s="1073">
        <v>296661626</v>
      </c>
      <c r="C102" s="1073">
        <v>296661626</v>
      </c>
    </row>
    <row r="103" spans="1:3">
      <c r="A103" s="1005" t="s">
        <v>2291</v>
      </c>
      <c r="B103" s="1073">
        <v>1224400496</v>
      </c>
      <c r="C103" s="1073">
        <v>1224400496</v>
      </c>
    </row>
    <row r="104" spans="1:3">
      <c r="A104" s="1005" t="s">
        <v>954</v>
      </c>
      <c r="B104" s="1073">
        <v>40691650</v>
      </c>
      <c r="C104" s="1073">
        <v>40691650</v>
      </c>
    </row>
    <row r="105" spans="1:3">
      <c r="A105" s="1005" t="s">
        <v>6166</v>
      </c>
      <c r="B105" s="1073">
        <v>150996077</v>
      </c>
      <c r="C105" s="1073">
        <v>150996077</v>
      </c>
    </row>
    <row r="106" spans="1:3">
      <c r="A106" s="1005" t="s">
        <v>864</v>
      </c>
      <c r="B106" s="1073">
        <v>41964825</v>
      </c>
      <c r="C106" s="1073">
        <v>41964825</v>
      </c>
    </row>
    <row r="107" spans="1:3">
      <c r="A107" s="1005" t="s">
        <v>3085</v>
      </c>
      <c r="B107" s="1073">
        <v>75315779</v>
      </c>
      <c r="C107" s="1073">
        <v>75315779</v>
      </c>
    </row>
    <row r="108" spans="1:3">
      <c r="A108" s="1005" t="s">
        <v>1518</v>
      </c>
      <c r="B108" s="1073">
        <v>258828828</v>
      </c>
      <c r="C108" s="1073">
        <v>258828828</v>
      </c>
    </row>
    <row r="109" spans="1:3">
      <c r="A109" s="1005" t="s">
        <v>2293</v>
      </c>
      <c r="B109" s="1073">
        <v>919342299</v>
      </c>
      <c r="C109" s="1073">
        <v>919342299</v>
      </c>
    </row>
    <row r="110" spans="1:3">
      <c r="A110" s="1005" t="s">
        <v>2295</v>
      </c>
      <c r="B110" s="1073">
        <v>205852625</v>
      </c>
      <c r="C110" s="1073">
        <v>205852625</v>
      </c>
    </row>
    <row r="111" spans="1:3">
      <c r="A111" s="1005" t="s">
        <v>2297</v>
      </c>
      <c r="B111" s="1073">
        <v>143985528</v>
      </c>
      <c r="C111" s="1073">
        <v>143985528</v>
      </c>
    </row>
    <row r="112" spans="1:3">
      <c r="A112" s="1005" t="s">
        <v>978</v>
      </c>
      <c r="B112" s="1073">
        <v>1770756886</v>
      </c>
      <c r="C112" s="1073">
        <v>1770756886</v>
      </c>
    </row>
    <row r="113" spans="1:3">
      <c r="A113" s="1005" t="s">
        <v>3003</v>
      </c>
      <c r="B113" s="1073">
        <v>2966322268</v>
      </c>
      <c r="C113" s="1073">
        <v>2966322268</v>
      </c>
    </row>
    <row r="114" spans="1:3">
      <c r="A114" s="1005" t="s">
        <v>2993</v>
      </c>
      <c r="B114" s="1073">
        <v>1013600655</v>
      </c>
      <c r="C114" s="1073">
        <v>1013600655</v>
      </c>
    </row>
    <row r="115" spans="1:3">
      <c r="A115" s="1005" t="s">
        <v>518</v>
      </c>
      <c r="B115" s="1073">
        <v>486632975</v>
      </c>
      <c r="C115" s="1073">
        <v>486632975</v>
      </c>
    </row>
    <row r="116" spans="1:3">
      <c r="A116" s="1005" t="s">
        <v>2299</v>
      </c>
      <c r="B116" s="1073">
        <v>168936641</v>
      </c>
      <c r="C116" s="1073">
        <v>168936641</v>
      </c>
    </row>
    <row r="117" spans="1:3">
      <c r="A117" s="1005" t="s">
        <v>3971</v>
      </c>
      <c r="B117" s="1073">
        <v>3649314169</v>
      </c>
      <c r="C117" s="1073">
        <v>3748714169</v>
      </c>
    </row>
    <row r="118" spans="1:3">
      <c r="A118" s="1005" t="s">
        <v>2161</v>
      </c>
      <c r="B118" s="1073">
        <v>126961944</v>
      </c>
      <c r="C118" s="1073">
        <v>126961944</v>
      </c>
    </row>
    <row r="119" spans="1:3">
      <c r="A119" s="1005" t="s">
        <v>3086</v>
      </c>
      <c r="B119" s="1073">
        <v>300590269</v>
      </c>
      <c r="C119" s="1073">
        <v>553992059</v>
      </c>
    </row>
    <row r="120" spans="1:3">
      <c r="A120" s="1005" t="s">
        <v>2605</v>
      </c>
      <c r="B120" s="1073">
        <v>154680836</v>
      </c>
      <c r="C120" s="1073">
        <v>154680836</v>
      </c>
    </row>
    <row r="121" spans="1:3">
      <c r="A121" s="1005" t="s">
        <v>4181</v>
      </c>
      <c r="B121" s="1073">
        <v>215474586</v>
      </c>
      <c r="C121" s="1073">
        <v>215474586</v>
      </c>
    </row>
    <row r="122" spans="1:3">
      <c r="A122" s="1005" t="s">
        <v>959</v>
      </c>
      <c r="B122" s="1073">
        <v>5161437289</v>
      </c>
      <c r="C122" s="1073">
        <v>5161437289</v>
      </c>
    </row>
    <row r="123" spans="1:3">
      <c r="A123" s="1005" t="s">
        <v>1861</v>
      </c>
      <c r="B123" s="1073">
        <v>3214832422</v>
      </c>
      <c r="C123" s="1073">
        <v>3214832422</v>
      </c>
    </row>
    <row r="124" spans="1:3">
      <c r="A124" s="1005" t="s">
        <v>6037</v>
      </c>
      <c r="B124" s="1073">
        <v>352427098</v>
      </c>
      <c r="C124" s="1073">
        <v>352427098</v>
      </c>
    </row>
    <row r="125" spans="1:3">
      <c r="A125" s="1005" t="s">
        <v>2995</v>
      </c>
      <c r="B125" s="1073">
        <v>1419091232</v>
      </c>
      <c r="C125" s="1073">
        <v>1419091232</v>
      </c>
    </row>
    <row r="126" spans="1:3">
      <c r="A126" s="1005" t="s">
        <v>7643</v>
      </c>
      <c r="B126" s="1073">
        <v>3508146401</v>
      </c>
      <c r="C126" s="1073">
        <v>3508146401</v>
      </c>
    </row>
    <row r="127" spans="1:3">
      <c r="A127" s="1005" t="s">
        <v>3087</v>
      </c>
      <c r="B127" s="1073">
        <v>237668997</v>
      </c>
      <c r="C127" s="1073">
        <v>277689647</v>
      </c>
    </row>
    <row r="128" spans="1:3">
      <c r="A128" s="1005" t="s">
        <v>2387</v>
      </c>
      <c r="B128" s="1073">
        <v>831782597</v>
      </c>
      <c r="C128" s="1073">
        <v>831782597</v>
      </c>
    </row>
    <row r="129" spans="1:3">
      <c r="A129" s="1005" t="s">
        <v>3088</v>
      </c>
      <c r="B129" s="1073">
        <v>39185018</v>
      </c>
      <c r="C129" s="1073">
        <v>39185018</v>
      </c>
    </row>
    <row r="130" spans="1:3">
      <c r="A130" s="1005" t="s">
        <v>2393</v>
      </c>
      <c r="B130" s="1073">
        <v>70546051</v>
      </c>
      <c r="C130" s="1073">
        <v>70546051</v>
      </c>
    </row>
    <row r="131" spans="1:3">
      <c r="A131" s="1005" t="s">
        <v>7647</v>
      </c>
      <c r="B131" s="1073">
        <v>698159297</v>
      </c>
      <c r="C131" s="1073">
        <v>698159297</v>
      </c>
    </row>
    <row r="132" spans="1:3">
      <c r="A132" s="1005" t="s">
        <v>7649</v>
      </c>
      <c r="B132" s="1073">
        <v>85352468</v>
      </c>
      <c r="C132" s="1073">
        <v>85352468</v>
      </c>
    </row>
    <row r="133" spans="1:3">
      <c r="A133" s="1005" t="s">
        <v>1786</v>
      </c>
      <c r="B133" s="1073">
        <v>543798490</v>
      </c>
      <c r="C133" s="1073">
        <v>703428010</v>
      </c>
    </row>
    <row r="134" spans="1:3">
      <c r="A134" s="1005" t="s">
        <v>1788</v>
      </c>
      <c r="B134" s="1073">
        <v>394682830</v>
      </c>
      <c r="C134" s="1073">
        <v>394682830</v>
      </c>
    </row>
    <row r="135" spans="1:3">
      <c r="A135" s="1005" t="s">
        <v>1790</v>
      </c>
      <c r="B135" s="1073">
        <v>513558682</v>
      </c>
      <c r="C135" s="1073">
        <v>513558682</v>
      </c>
    </row>
    <row r="136" spans="1:3">
      <c r="A136" s="1005" t="s">
        <v>1792</v>
      </c>
      <c r="B136" s="1073">
        <v>54187011</v>
      </c>
      <c r="C136" s="1073">
        <v>54187011</v>
      </c>
    </row>
    <row r="137" spans="1:3">
      <c r="A137" s="1005" t="s">
        <v>2982</v>
      </c>
      <c r="B137" s="1073">
        <v>313410137</v>
      </c>
      <c r="C137" s="1073">
        <v>313410137</v>
      </c>
    </row>
    <row r="138" spans="1:3">
      <c r="A138" s="1005" t="s">
        <v>2984</v>
      </c>
      <c r="B138" s="1073">
        <v>207970963</v>
      </c>
      <c r="C138" s="1073">
        <v>207970963</v>
      </c>
    </row>
    <row r="139" spans="1:3">
      <c r="A139" s="1005" t="s">
        <v>965</v>
      </c>
      <c r="B139" s="1073">
        <v>31496690</v>
      </c>
      <c r="C139" s="1073">
        <v>31496690</v>
      </c>
    </row>
    <row r="140" spans="1:3">
      <c r="A140" s="1005" t="s">
        <v>6704</v>
      </c>
      <c r="B140" s="1073">
        <v>403684064</v>
      </c>
      <c r="C140" s="1073">
        <v>403684064</v>
      </c>
    </row>
    <row r="141" spans="1:3">
      <c r="A141" s="1005" t="s">
        <v>690</v>
      </c>
      <c r="B141" s="1073">
        <v>35346586</v>
      </c>
      <c r="C141" s="1073">
        <v>35346586</v>
      </c>
    </row>
    <row r="142" spans="1:3">
      <c r="A142" s="1005" t="s">
        <v>692</v>
      </c>
      <c r="B142" s="1073">
        <v>252878549</v>
      </c>
      <c r="C142" s="1073">
        <v>252878549</v>
      </c>
    </row>
    <row r="143" spans="1:3">
      <c r="A143" s="1005" t="s">
        <v>895</v>
      </c>
      <c r="B143" s="1073">
        <v>82756822</v>
      </c>
      <c r="C143" s="1073">
        <v>82756822</v>
      </c>
    </row>
    <row r="144" spans="1:3">
      <c r="A144" s="1005" t="s">
        <v>6177</v>
      </c>
      <c r="B144" s="1073">
        <v>71136238</v>
      </c>
      <c r="C144" s="1073">
        <v>71136238</v>
      </c>
    </row>
    <row r="145" spans="1:3">
      <c r="A145" s="1005" t="s">
        <v>265</v>
      </c>
      <c r="B145" s="1073">
        <v>680231672</v>
      </c>
      <c r="C145" s="1073">
        <v>680231672</v>
      </c>
    </row>
    <row r="146" spans="1:3">
      <c r="A146" s="1005" t="s">
        <v>897</v>
      </c>
      <c r="B146" s="1073">
        <v>4670720982</v>
      </c>
      <c r="C146" s="1073">
        <v>5903570059</v>
      </c>
    </row>
    <row r="147" spans="1:3">
      <c r="A147" s="1005" t="s">
        <v>899</v>
      </c>
      <c r="B147" s="1073">
        <v>264201137</v>
      </c>
      <c r="C147" s="1073">
        <v>264201137</v>
      </c>
    </row>
    <row r="148" spans="1:3">
      <c r="A148" s="1005" t="s">
        <v>901</v>
      </c>
      <c r="B148" s="1073">
        <v>117120330</v>
      </c>
      <c r="C148" s="1073">
        <v>117120330</v>
      </c>
    </row>
    <row r="149" spans="1:3">
      <c r="A149" s="1005" t="s">
        <v>6023</v>
      </c>
      <c r="B149" s="1073">
        <v>929852458</v>
      </c>
      <c r="C149" s="1073">
        <v>929852458</v>
      </c>
    </row>
    <row r="150" spans="1:3">
      <c r="A150" s="1005" t="s">
        <v>2383</v>
      </c>
      <c r="B150" s="1073">
        <v>338684914</v>
      </c>
      <c r="C150" s="1073">
        <v>338684914</v>
      </c>
    </row>
    <row r="151" spans="1:3">
      <c r="A151" s="1005" t="s">
        <v>6180</v>
      </c>
      <c r="B151" s="1073">
        <v>56735223</v>
      </c>
      <c r="C151" s="1073">
        <v>56735223</v>
      </c>
    </row>
    <row r="152" spans="1:3">
      <c r="A152" s="1005" t="s">
        <v>903</v>
      </c>
      <c r="B152" s="1073">
        <v>67887498</v>
      </c>
      <c r="C152" s="1073">
        <v>67887498</v>
      </c>
    </row>
    <row r="153" spans="1:3">
      <c r="A153" s="1005" t="s">
        <v>736</v>
      </c>
      <c r="B153" s="1073">
        <v>335069889</v>
      </c>
      <c r="C153" s="1073">
        <v>335069889</v>
      </c>
    </row>
    <row r="154" spans="1:3">
      <c r="A154" s="1005" t="s">
        <v>2117</v>
      </c>
      <c r="B154" s="1073">
        <v>325899967</v>
      </c>
      <c r="C154" s="1073">
        <v>325899967</v>
      </c>
    </row>
    <row r="155" spans="1:3">
      <c r="A155" s="1005" t="s">
        <v>3089</v>
      </c>
      <c r="B155" s="1073">
        <v>124071674</v>
      </c>
      <c r="C155" s="1073">
        <v>124071674</v>
      </c>
    </row>
    <row r="156" spans="1:3">
      <c r="A156" s="1005" t="s">
        <v>2119</v>
      </c>
      <c r="B156" s="1073">
        <v>63041272</v>
      </c>
      <c r="C156" s="1073">
        <v>63041272</v>
      </c>
    </row>
    <row r="157" spans="1:3">
      <c r="A157" s="1005" t="s">
        <v>2121</v>
      </c>
      <c r="B157" s="1073">
        <v>95248822</v>
      </c>
      <c r="C157" s="1073">
        <v>95248822</v>
      </c>
    </row>
    <row r="158" spans="1:3">
      <c r="A158" s="1005" t="s">
        <v>2123</v>
      </c>
      <c r="B158" s="1073">
        <v>60756506</v>
      </c>
      <c r="C158" s="1073">
        <v>60756506</v>
      </c>
    </row>
    <row r="159" spans="1:3">
      <c r="A159" s="1005" t="s">
        <v>3130</v>
      </c>
      <c r="B159" s="1073">
        <v>963146301</v>
      </c>
      <c r="C159" s="1073">
        <v>963146301</v>
      </c>
    </row>
    <row r="160" spans="1:3">
      <c r="A160" s="1005" t="s">
        <v>3132</v>
      </c>
      <c r="B160" s="1073">
        <v>113057843</v>
      </c>
      <c r="C160" s="1073">
        <v>113057843</v>
      </c>
    </row>
    <row r="161" spans="1:3">
      <c r="A161" s="1005" t="s">
        <v>1322</v>
      </c>
      <c r="B161" s="1073">
        <v>243253276</v>
      </c>
      <c r="C161" s="1073">
        <v>360806956</v>
      </c>
    </row>
    <row r="162" spans="1:3">
      <c r="A162" s="1005" t="s">
        <v>742</v>
      </c>
      <c r="B162" s="1073">
        <v>166144237</v>
      </c>
      <c r="C162" s="1073">
        <v>166144237</v>
      </c>
    </row>
    <row r="163" spans="1:3">
      <c r="A163" s="1005" t="s">
        <v>440</v>
      </c>
      <c r="B163" s="1073">
        <v>87081941</v>
      </c>
      <c r="C163" s="1073">
        <v>87081941</v>
      </c>
    </row>
    <row r="164" spans="1:3">
      <c r="A164" s="1005" t="s">
        <v>1324</v>
      </c>
      <c r="B164" s="1073">
        <v>125442519</v>
      </c>
      <c r="C164" s="1073">
        <v>125442519</v>
      </c>
    </row>
    <row r="165" spans="1:3">
      <c r="A165" s="1005" t="s">
        <v>818</v>
      </c>
      <c r="B165" s="1073">
        <v>8933078275</v>
      </c>
      <c r="C165" s="1073">
        <v>8933078275</v>
      </c>
    </row>
    <row r="166" spans="1:3">
      <c r="A166" s="1005" t="s">
        <v>266</v>
      </c>
      <c r="B166" s="1073">
        <v>624222252</v>
      </c>
      <c r="C166" s="1073">
        <v>624222252</v>
      </c>
    </row>
    <row r="167" spans="1:3">
      <c r="A167" s="1005" t="s">
        <v>441</v>
      </c>
      <c r="B167" s="1073">
        <v>735713674</v>
      </c>
      <c r="C167" s="1073">
        <v>735713674</v>
      </c>
    </row>
    <row r="168" spans="1:3">
      <c r="A168" s="1005" t="s">
        <v>1526</v>
      </c>
      <c r="B168" s="1073">
        <v>350330196</v>
      </c>
      <c r="C168" s="1073">
        <v>350330196</v>
      </c>
    </row>
    <row r="169" spans="1:3">
      <c r="A169" s="1005" t="s">
        <v>1312</v>
      </c>
      <c r="B169" s="1073">
        <v>21279866604</v>
      </c>
      <c r="C169" s="1073">
        <v>21279866604</v>
      </c>
    </row>
    <row r="170" spans="1:3">
      <c r="A170" s="1005" t="s">
        <v>6168</v>
      </c>
      <c r="B170" s="1073">
        <v>10151777455</v>
      </c>
      <c r="C170" s="1073">
        <v>10151777455</v>
      </c>
    </row>
    <row r="171" spans="1:3">
      <c r="A171" s="1005" t="s">
        <v>5913</v>
      </c>
      <c r="B171" s="1073">
        <v>547212081</v>
      </c>
      <c r="C171" s="1073">
        <v>547212081</v>
      </c>
    </row>
    <row r="172" spans="1:3">
      <c r="A172" s="1005" t="s">
        <v>3546</v>
      </c>
      <c r="B172" s="1073">
        <v>36812803168</v>
      </c>
      <c r="C172" s="1073">
        <v>37237360248</v>
      </c>
    </row>
    <row r="173" spans="1:3">
      <c r="A173" s="1005" t="s">
        <v>5132</v>
      </c>
      <c r="B173" s="1073">
        <v>549081160</v>
      </c>
      <c r="C173" s="1073">
        <v>549081160</v>
      </c>
    </row>
    <row r="174" spans="1:3">
      <c r="A174" s="1005" t="s">
        <v>649</v>
      </c>
      <c r="B174" s="1073">
        <v>2941489921</v>
      </c>
      <c r="C174" s="1073">
        <v>2941489921</v>
      </c>
    </row>
    <row r="175" spans="1:3">
      <c r="A175" s="1005" t="s">
        <v>861</v>
      </c>
      <c r="B175" s="1073">
        <v>3709913472</v>
      </c>
      <c r="C175" s="1073">
        <v>3709913472</v>
      </c>
    </row>
    <row r="176" spans="1:3">
      <c r="A176" s="1005" t="s">
        <v>956</v>
      </c>
      <c r="B176" s="1073">
        <v>125440859</v>
      </c>
      <c r="C176" s="1073">
        <v>125440859</v>
      </c>
    </row>
    <row r="177" spans="1:3">
      <c r="A177" s="1005" t="s">
        <v>236</v>
      </c>
      <c r="B177" s="1073">
        <v>507137670</v>
      </c>
      <c r="C177" s="1073">
        <v>507137670</v>
      </c>
    </row>
    <row r="178" spans="1:3">
      <c r="A178" s="1005" t="s">
        <v>3548</v>
      </c>
      <c r="B178" s="1073">
        <v>1795227460</v>
      </c>
      <c r="C178" s="1073">
        <v>1795227460</v>
      </c>
    </row>
    <row r="179" spans="1:3">
      <c r="A179" s="1005" t="s">
        <v>206</v>
      </c>
      <c r="B179" s="1073">
        <v>151808059</v>
      </c>
      <c r="C179" s="1073">
        <v>151808059</v>
      </c>
    </row>
    <row r="180" spans="1:3">
      <c r="A180" s="1005" t="s">
        <v>234</v>
      </c>
      <c r="B180" s="1073">
        <v>889866933</v>
      </c>
      <c r="C180" s="1073">
        <v>889866933</v>
      </c>
    </row>
    <row r="181" spans="1:3">
      <c r="A181" s="1005" t="s">
        <v>208</v>
      </c>
      <c r="B181" s="1073">
        <v>652090449</v>
      </c>
      <c r="C181" s="1073">
        <v>652090449</v>
      </c>
    </row>
    <row r="182" spans="1:3">
      <c r="A182" s="1005" t="s">
        <v>210</v>
      </c>
      <c r="B182" s="1073">
        <v>326936984</v>
      </c>
      <c r="C182" s="1073">
        <v>326936984</v>
      </c>
    </row>
    <row r="183" spans="1:3">
      <c r="A183" s="1005" t="s">
        <v>212</v>
      </c>
      <c r="B183" s="1073">
        <v>3467038821</v>
      </c>
      <c r="C183" s="1073">
        <v>3467038821</v>
      </c>
    </row>
    <row r="184" spans="1:3">
      <c r="A184" s="1005" t="s">
        <v>214</v>
      </c>
      <c r="B184" s="1073">
        <v>12205356771</v>
      </c>
      <c r="C184" s="1073">
        <v>12282679971</v>
      </c>
    </row>
    <row r="185" spans="1:3">
      <c r="A185" s="1005" t="s">
        <v>2714</v>
      </c>
      <c r="B185" s="1073">
        <v>249752332</v>
      </c>
      <c r="C185" s="1073">
        <v>249752332</v>
      </c>
    </row>
    <row r="186" spans="1:3">
      <c r="A186" s="1005" t="s">
        <v>250</v>
      </c>
      <c r="B186" s="1073">
        <v>167890719</v>
      </c>
      <c r="C186" s="1073">
        <v>167890719</v>
      </c>
    </row>
    <row r="187" spans="1:3">
      <c r="A187" s="1005" t="s">
        <v>2162</v>
      </c>
      <c r="B187" s="1073">
        <v>42201372</v>
      </c>
      <c r="C187" s="1073">
        <v>42201372</v>
      </c>
    </row>
    <row r="188" spans="1:3">
      <c r="A188" s="1005" t="s">
        <v>2716</v>
      </c>
      <c r="B188" s="1073">
        <v>21885266</v>
      </c>
      <c r="C188" s="1073">
        <v>21885266</v>
      </c>
    </row>
    <row r="189" spans="1:3">
      <c r="A189" s="1005" t="s">
        <v>2718</v>
      </c>
      <c r="B189" s="1073">
        <v>157624469</v>
      </c>
      <c r="C189" s="1073">
        <v>157624469</v>
      </c>
    </row>
    <row r="190" spans="1:3">
      <c r="A190" s="1005" t="s">
        <v>2720</v>
      </c>
      <c r="B190" s="1073">
        <v>68387226</v>
      </c>
      <c r="C190" s="1073">
        <v>68387226</v>
      </c>
    </row>
    <row r="191" spans="1:3">
      <c r="A191" s="1005" t="s">
        <v>1314</v>
      </c>
      <c r="B191" s="1073">
        <v>971250200</v>
      </c>
      <c r="C191" s="1073">
        <v>971250200</v>
      </c>
    </row>
    <row r="192" spans="1:3">
      <c r="A192" s="1005" t="s">
        <v>2722</v>
      </c>
      <c r="B192" s="1073">
        <v>335224198</v>
      </c>
      <c r="C192" s="1073">
        <v>403320753</v>
      </c>
    </row>
    <row r="193" spans="1:3">
      <c r="A193" s="1005" t="s">
        <v>442</v>
      </c>
      <c r="B193" s="1073">
        <v>219280969</v>
      </c>
      <c r="C193" s="1073">
        <v>219280969</v>
      </c>
    </row>
    <row r="194" spans="1:3">
      <c r="A194" s="1005" t="s">
        <v>2724</v>
      </c>
      <c r="B194" s="1073">
        <v>584624712</v>
      </c>
      <c r="C194" s="1073">
        <v>584624712</v>
      </c>
    </row>
    <row r="195" spans="1:3">
      <c r="A195" s="1005" t="s">
        <v>5321</v>
      </c>
      <c r="B195" s="1073">
        <v>205012074</v>
      </c>
      <c r="C195" s="1073">
        <v>205012074</v>
      </c>
    </row>
    <row r="196" spans="1:3">
      <c r="A196" s="1005" t="s">
        <v>5323</v>
      </c>
      <c r="B196" s="1073">
        <v>424152679</v>
      </c>
      <c r="C196" s="1073">
        <v>424152679</v>
      </c>
    </row>
    <row r="197" spans="1:3">
      <c r="A197" s="1005" t="s">
        <v>5325</v>
      </c>
      <c r="B197" s="1073">
        <v>28368671</v>
      </c>
      <c r="C197" s="1073">
        <v>28368671</v>
      </c>
    </row>
    <row r="198" spans="1:3">
      <c r="A198" s="1005" t="s">
        <v>5327</v>
      </c>
      <c r="B198" s="1073">
        <v>125767656</v>
      </c>
      <c r="C198" s="1073">
        <v>125767656</v>
      </c>
    </row>
    <row r="199" spans="1:3">
      <c r="A199" s="1005" t="s">
        <v>5329</v>
      </c>
      <c r="B199" s="1073">
        <v>82040855</v>
      </c>
      <c r="C199" s="1073">
        <v>82040855</v>
      </c>
    </row>
    <row r="200" spans="1:3">
      <c r="A200" s="1005" t="s">
        <v>5331</v>
      </c>
      <c r="B200" s="1073">
        <v>613205637</v>
      </c>
      <c r="C200" s="1073">
        <v>613205637</v>
      </c>
    </row>
    <row r="201" spans="1:3">
      <c r="A201" s="1005" t="s">
        <v>585</v>
      </c>
      <c r="B201" s="1073">
        <v>41350954</v>
      </c>
      <c r="C201" s="1073">
        <v>41350954</v>
      </c>
    </row>
    <row r="202" spans="1:3">
      <c r="A202" s="1005" t="s">
        <v>5333</v>
      </c>
      <c r="B202" s="1073">
        <v>60321484</v>
      </c>
      <c r="C202" s="1073">
        <v>60321484</v>
      </c>
    </row>
    <row r="203" spans="1:3">
      <c r="A203" s="1005" t="s">
        <v>239</v>
      </c>
      <c r="B203" s="1073">
        <v>1268597641</v>
      </c>
      <c r="C203" s="1073">
        <v>1268597641</v>
      </c>
    </row>
    <row r="204" spans="1:3">
      <c r="A204" s="1005" t="s">
        <v>5335</v>
      </c>
      <c r="B204" s="1073">
        <v>149477662</v>
      </c>
      <c r="C204" s="1073">
        <v>149477662</v>
      </c>
    </row>
    <row r="205" spans="1:3">
      <c r="A205" s="1005" t="s">
        <v>2450</v>
      </c>
      <c r="B205" s="1073">
        <v>2221707049</v>
      </c>
      <c r="C205" s="1073">
        <v>2221707049</v>
      </c>
    </row>
    <row r="206" spans="1:3">
      <c r="A206" s="1005" t="s">
        <v>2452</v>
      </c>
      <c r="B206" s="1073">
        <v>2270882005</v>
      </c>
      <c r="C206" s="1073">
        <v>2270882005</v>
      </c>
    </row>
    <row r="207" spans="1:3">
      <c r="A207" s="1005" t="s">
        <v>2454</v>
      </c>
      <c r="B207" s="1073">
        <v>84975280</v>
      </c>
      <c r="C207" s="1073">
        <v>84975280</v>
      </c>
    </row>
    <row r="208" spans="1:3">
      <c r="A208" s="1005" t="s">
        <v>2456</v>
      </c>
      <c r="B208" s="1073">
        <v>226784528</v>
      </c>
      <c r="C208" s="1073">
        <v>226784528</v>
      </c>
    </row>
    <row r="209" spans="1:3">
      <c r="A209" s="1005" t="s">
        <v>2458</v>
      </c>
      <c r="B209" s="1073">
        <v>154818233</v>
      </c>
      <c r="C209" s="1073">
        <v>154818233</v>
      </c>
    </row>
    <row r="210" spans="1:3">
      <c r="A210" s="1005" t="s">
        <v>2460</v>
      </c>
      <c r="B210" s="1073">
        <v>601422663</v>
      </c>
      <c r="C210" s="1073">
        <v>601422663</v>
      </c>
    </row>
    <row r="211" spans="1:3">
      <c r="A211" s="1005" t="s">
        <v>2462</v>
      </c>
      <c r="B211" s="1073">
        <v>711820709</v>
      </c>
      <c r="C211" s="1073">
        <v>921588649</v>
      </c>
    </row>
    <row r="212" spans="1:3">
      <c r="A212" s="1005" t="s">
        <v>2464</v>
      </c>
      <c r="B212" s="1073">
        <v>126355880</v>
      </c>
      <c r="C212" s="1073">
        <v>126355880</v>
      </c>
    </row>
    <row r="213" spans="1:3">
      <c r="A213" s="1005" t="s">
        <v>2104</v>
      </c>
      <c r="B213" s="1073">
        <v>14325312871</v>
      </c>
      <c r="C213" s="1073">
        <v>14325312871</v>
      </c>
    </row>
    <row r="214" spans="1:3">
      <c r="A214" s="1005" t="s">
        <v>2106</v>
      </c>
      <c r="B214" s="1073">
        <v>2554375397</v>
      </c>
      <c r="C214" s="1073">
        <v>2554375397</v>
      </c>
    </row>
    <row r="215" spans="1:3">
      <c r="A215" s="1005" t="s">
        <v>2108</v>
      </c>
      <c r="B215" s="1073">
        <v>84049742908</v>
      </c>
      <c r="C215" s="1073">
        <v>84049742908</v>
      </c>
    </row>
    <row r="216" spans="1:3">
      <c r="A216" s="1005" t="s">
        <v>2110</v>
      </c>
      <c r="B216" s="1073">
        <v>2047819785</v>
      </c>
      <c r="C216" s="1073">
        <v>2047819785</v>
      </c>
    </row>
    <row r="217" spans="1:3">
      <c r="A217" s="1005" t="s">
        <v>2112</v>
      </c>
      <c r="B217" s="1073">
        <v>3309611095</v>
      </c>
      <c r="C217" s="1073">
        <v>3309611095</v>
      </c>
    </row>
    <row r="218" spans="1:3">
      <c r="A218" s="1005" t="s">
        <v>1317</v>
      </c>
      <c r="B218" s="1073">
        <v>13205988142</v>
      </c>
      <c r="C218" s="1073">
        <v>13205988142</v>
      </c>
    </row>
    <row r="219" spans="1:3">
      <c r="A219" s="1005" t="s">
        <v>587</v>
      </c>
      <c r="B219" s="1073">
        <v>4806733294</v>
      </c>
      <c r="C219" s="1073">
        <v>4806733294</v>
      </c>
    </row>
    <row r="220" spans="1:3">
      <c r="A220" s="1005" t="s">
        <v>4569</v>
      </c>
      <c r="B220" s="1073">
        <v>13377424193</v>
      </c>
      <c r="C220" s="1073">
        <v>13377424193</v>
      </c>
    </row>
    <row r="221" spans="1:3">
      <c r="A221" s="1005" t="s">
        <v>6021</v>
      </c>
      <c r="B221" s="1073">
        <v>9062509710</v>
      </c>
      <c r="C221" s="1073">
        <v>9062509710</v>
      </c>
    </row>
    <row r="222" spans="1:3">
      <c r="A222" s="1005" t="s">
        <v>4571</v>
      </c>
      <c r="B222" s="1073">
        <v>1560461808</v>
      </c>
      <c r="C222" s="1073">
        <v>1560461808</v>
      </c>
    </row>
    <row r="223" spans="1:3">
      <c r="A223" s="1005" t="s">
        <v>6171</v>
      </c>
      <c r="B223" s="1073">
        <v>5850844653</v>
      </c>
      <c r="C223" s="1073">
        <v>5850844653</v>
      </c>
    </row>
    <row r="224" spans="1:3">
      <c r="A224" s="1005" t="s">
        <v>4573</v>
      </c>
      <c r="B224" s="1073">
        <v>17105202926</v>
      </c>
      <c r="C224" s="1073">
        <v>17105202926</v>
      </c>
    </row>
    <row r="225" spans="1:3">
      <c r="A225" s="1005" t="s">
        <v>4575</v>
      </c>
      <c r="B225" s="1073">
        <v>854125572</v>
      </c>
      <c r="C225" s="1073">
        <v>854125572</v>
      </c>
    </row>
    <row r="226" spans="1:3">
      <c r="A226" s="1005" t="s">
        <v>4579</v>
      </c>
      <c r="B226" s="1073">
        <v>8418684505</v>
      </c>
      <c r="C226" s="1073">
        <v>8418684505</v>
      </c>
    </row>
    <row r="227" spans="1:3">
      <c r="A227" s="1005" t="s">
        <v>4581</v>
      </c>
      <c r="B227" s="1073">
        <v>255060453</v>
      </c>
      <c r="C227" s="1073">
        <v>255060453</v>
      </c>
    </row>
    <row r="228" spans="1:3">
      <c r="A228" s="1005" t="s">
        <v>4582</v>
      </c>
      <c r="B228" s="1073">
        <v>1350462086</v>
      </c>
      <c r="C228" s="1073">
        <v>1350462086</v>
      </c>
    </row>
    <row r="229" spans="1:3">
      <c r="A229" s="1005" t="s">
        <v>4584</v>
      </c>
      <c r="B229" s="1073">
        <v>500866872</v>
      </c>
      <c r="C229" s="1073">
        <v>500866872</v>
      </c>
    </row>
    <row r="230" spans="1:3">
      <c r="A230" s="1005" t="s">
        <v>4586</v>
      </c>
      <c r="B230" s="1073">
        <v>1265435392</v>
      </c>
      <c r="C230" s="1073">
        <v>1265435392</v>
      </c>
    </row>
    <row r="231" spans="1:3">
      <c r="A231" s="1005" t="s">
        <v>1865</v>
      </c>
      <c r="B231" s="1073">
        <v>1121991215</v>
      </c>
      <c r="C231" s="1073">
        <v>1121991215</v>
      </c>
    </row>
    <row r="232" spans="1:3">
      <c r="A232" s="1005" t="s">
        <v>5018</v>
      </c>
      <c r="B232" s="1073">
        <v>40163228</v>
      </c>
      <c r="C232" s="1073">
        <v>40163228</v>
      </c>
    </row>
    <row r="233" spans="1:3">
      <c r="A233" s="1005" t="s">
        <v>5020</v>
      </c>
      <c r="B233" s="1073">
        <v>166988192</v>
      </c>
      <c r="C233" s="1073">
        <v>166988192</v>
      </c>
    </row>
    <row r="234" spans="1:3">
      <c r="A234" s="1005" t="s">
        <v>589</v>
      </c>
      <c r="B234" s="1073">
        <v>48888152</v>
      </c>
      <c r="C234" s="1073">
        <v>48888152</v>
      </c>
    </row>
    <row r="235" spans="1:3">
      <c r="A235" s="1005" t="s">
        <v>5022</v>
      </c>
      <c r="B235" s="1073">
        <v>11490603989</v>
      </c>
      <c r="C235" s="1073">
        <v>11490603989</v>
      </c>
    </row>
    <row r="236" spans="1:3">
      <c r="A236" s="1005" t="s">
        <v>2989</v>
      </c>
      <c r="B236" s="1073">
        <v>26500961436</v>
      </c>
      <c r="C236" s="1073">
        <v>26500961436</v>
      </c>
    </row>
    <row r="237" spans="1:3">
      <c r="A237" s="1005" t="s">
        <v>5126</v>
      </c>
      <c r="B237" s="1073">
        <v>553965926</v>
      </c>
      <c r="C237" s="1073">
        <v>553965926</v>
      </c>
    </row>
    <row r="238" spans="1:3">
      <c r="A238" s="1005" t="s">
        <v>3090</v>
      </c>
      <c r="B238" s="1073">
        <v>738454558</v>
      </c>
      <c r="C238" s="1073">
        <v>738454558</v>
      </c>
    </row>
    <row r="239" spans="1:3">
      <c r="A239" s="1005" t="s">
        <v>5128</v>
      </c>
      <c r="B239" s="1073">
        <v>709031861</v>
      </c>
      <c r="C239" s="1073">
        <v>709031861</v>
      </c>
    </row>
    <row r="240" spans="1:3">
      <c r="A240" s="1005" t="s">
        <v>270</v>
      </c>
      <c r="B240" s="1073">
        <v>628468496</v>
      </c>
      <c r="C240" s="1073">
        <v>628468496</v>
      </c>
    </row>
    <row r="241" spans="1:3">
      <c r="A241" s="1005" t="s">
        <v>2391</v>
      </c>
      <c r="B241" s="1073">
        <v>759490636</v>
      </c>
      <c r="C241" s="1073">
        <v>759490636</v>
      </c>
    </row>
    <row r="242" spans="1:3">
      <c r="A242" s="1005" t="s">
        <v>2746</v>
      </c>
      <c r="B242" s="1073">
        <v>1164201368</v>
      </c>
      <c r="C242" s="1073">
        <v>1164201368</v>
      </c>
    </row>
    <row r="243" spans="1:3">
      <c r="A243" s="1005" t="s">
        <v>6186</v>
      </c>
      <c r="B243" s="1073">
        <v>11290945870</v>
      </c>
      <c r="C243" s="1073">
        <v>11290945870</v>
      </c>
    </row>
    <row r="244" spans="1:3">
      <c r="A244" s="1005" t="s">
        <v>6041</v>
      </c>
      <c r="B244" s="1073">
        <v>1308632438</v>
      </c>
      <c r="C244" s="1073">
        <v>1308632438</v>
      </c>
    </row>
    <row r="245" spans="1:3">
      <c r="A245" s="1005" t="s">
        <v>591</v>
      </c>
      <c r="B245" s="1073">
        <v>2280846409</v>
      </c>
      <c r="C245" s="1073">
        <v>2280846409</v>
      </c>
    </row>
    <row r="246" spans="1:3">
      <c r="A246" s="1005" t="s">
        <v>443</v>
      </c>
      <c r="B246" s="1073">
        <v>2369551557</v>
      </c>
      <c r="C246" s="1073">
        <v>2369551557</v>
      </c>
    </row>
    <row r="247" spans="1:3">
      <c r="A247" s="1005" t="s">
        <v>2748</v>
      </c>
      <c r="B247" s="1073">
        <v>806487360</v>
      </c>
      <c r="C247" s="1073">
        <v>806487360</v>
      </c>
    </row>
    <row r="248" spans="1:3">
      <c r="A248" s="1005" t="s">
        <v>862</v>
      </c>
      <c r="B248" s="1073">
        <v>1038167274</v>
      </c>
      <c r="C248" s="1073">
        <v>1525498554</v>
      </c>
    </row>
    <row r="249" spans="1:3">
      <c r="A249" s="1005" t="s">
        <v>2750</v>
      </c>
      <c r="B249" s="1073">
        <v>2621020875</v>
      </c>
      <c r="C249" s="1073">
        <v>2621020875</v>
      </c>
    </row>
    <row r="250" spans="1:3">
      <c r="A250" s="1005" t="s">
        <v>3899</v>
      </c>
      <c r="B250" s="1073">
        <v>1454453836</v>
      </c>
      <c r="C250" s="1073">
        <v>1454453836</v>
      </c>
    </row>
    <row r="251" spans="1:3">
      <c r="A251" s="1005" t="s">
        <v>3604</v>
      </c>
      <c r="B251" s="1073">
        <v>61390225</v>
      </c>
      <c r="C251" s="1073">
        <v>61390225</v>
      </c>
    </row>
    <row r="252" spans="1:3">
      <c r="A252" s="1005" t="s">
        <v>3166</v>
      </c>
      <c r="B252" s="1073">
        <v>211148130</v>
      </c>
      <c r="C252" s="1073">
        <v>317741870</v>
      </c>
    </row>
    <row r="253" spans="1:3">
      <c r="A253" s="1005" t="s">
        <v>3168</v>
      </c>
      <c r="B253" s="1073">
        <v>80935859</v>
      </c>
      <c r="C253" s="1073">
        <v>80935859</v>
      </c>
    </row>
    <row r="254" spans="1:3">
      <c r="A254" s="1005" t="s">
        <v>3091</v>
      </c>
      <c r="B254" s="1073">
        <v>6913354849</v>
      </c>
      <c r="C254" s="1073">
        <v>6913354849</v>
      </c>
    </row>
    <row r="255" spans="1:3">
      <c r="A255" s="1005" t="s">
        <v>3171</v>
      </c>
      <c r="B255" s="1073">
        <v>137994400</v>
      </c>
      <c r="C255" s="1073">
        <v>137994400</v>
      </c>
    </row>
    <row r="256" spans="1:3">
      <c r="A256" s="1005" t="s">
        <v>593</v>
      </c>
      <c r="B256" s="1073">
        <v>51311382</v>
      </c>
      <c r="C256" s="1073">
        <v>51311382</v>
      </c>
    </row>
    <row r="257" spans="1:3">
      <c r="A257" s="1005" t="s">
        <v>3173</v>
      </c>
      <c r="B257" s="1073">
        <v>24871773</v>
      </c>
      <c r="C257" s="1073">
        <v>24871773</v>
      </c>
    </row>
    <row r="258" spans="1:3">
      <c r="A258" s="1005" t="s">
        <v>3175</v>
      </c>
      <c r="B258" s="1073">
        <v>238013525</v>
      </c>
      <c r="C258" s="1073">
        <v>238013525</v>
      </c>
    </row>
    <row r="259" spans="1:3">
      <c r="A259" s="1005" t="s">
        <v>3092</v>
      </c>
      <c r="B259" s="1073">
        <v>196664344</v>
      </c>
      <c r="C259" s="1073">
        <v>196664344</v>
      </c>
    </row>
    <row r="260" spans="1:3">
      <c r="A260" s="1005" t="s">
        <v>673</v>
      </c>
      <c r="B260" s="1073">
        <v>347238154</v>
      </c>
      <c r="C260" s="1073">
        <v>347238154</v>
      </c>
    </row>
    <row r="261" spans="1:3">
      <c r="A261" s="1005" t="s">
        <v>322</v>
      </c>
      <c r="B261" s="1073">
        <v>591370784</v>
      </c>
      <c r="C261" s="1073">
        <v>591370784</v>
      </c>
    </row>
    <row r="262" spans="1:3">
      <c r="A262" s="1005" t="s">
        <v>675</v>
      </c>
      <c r="B262" s="1073">
        <v>432744069</v>
      </c>
      <c r="C262" s="1073">
        <v>432744069</v>
      </c>
    </row>
    <row r="263" spans="1:3">
      <c r="A263" s="1005" t="s">
        <v>677</v>
      </c>
      <c r="B263" s="1073">
        <v>109928385</v>
      </c>
      <c r="C263" s="1073">
        <v>109928385</v>
      </c>
    </row>
    <row r="264" spans="1:3">
      <c r="A264" s="1005" t="s">
        <v>679</v>
      </c>
      <c r="B264" s="1073">
        <v>100982283</v>
      </c>
      <c r="C264" s="1073">
        <v>100982283</v>
      </c>
    </row>
    <row r="265" spans="1:3">
      <c r="A265" s="1005" t="s">
        <v>2960</v>
      </c>
      <c r="B265" s="1073">
        <v>42617164</v>
      </c>
      <c r="C265" s="1073">
        <v>42617164</v>
      </c>
    </row>
    <row r="266" spans="1:3">
      <c r="A266" s="1005" t="s">
        <v>1994</v>
      </c>
      <c r="B266" s="1073">
        <v>14591182338</v>
      </c>
      <c r="C266" s="1073">
        <v>14591182338</v>
      </c>
    </row>
    <row r="267" spans="1:3">
      <c r="A267" s="1005" t="s">
        <v>2735</v>
      </c>
      <c r="B267" s="1073">
        <v>308451960</v>
      </c>
      <c r="C267" s="1073">
        <v>308451960</v>
      </c>
    </row>
    <row r="268" spans="1:3">
      <c r="A268" s="1005" t="s">
        <v>2737</v>
      </c>
      <c r="B268" s="1073">
        <v>217643399</v>
      </c>
      <c r="C268" s="1073">
        <v>217643399</v>
      </c>
    </row>
    <row r="269" spans="1:3">
      <c r="A269" s="1005" t="s">
        <v>1976</v>
      </c>
      <c r="B269" s="1073">
        <v>34430365</v>
      </c>
      <c r="C269" s="1073">
        <v>34430365</v>
      </c>
    </row>
    <row r="270" spans="1:3">
      <c r="A270" s="1005" t="s">
        <v>3648</v>
      </c>
      <c r="B270" s="1073">
        <v>1697019630</v>
      </c>
      <c r="C270" s="1073">
        <v>1697019630</v>
      </c>
    </row>
    <row r="271" spans="1:3">
      <c r="A271" s="1005" t="s">
        <v>3650</v>
      </c>
      <c r="B271" s="1073">
        <v>296904200</v>
      </c>
      <c r="C271" s="1073">
        <v>296904200</v>
      </c>
    </row>
    <row r="272" spans="1:3">
      <c r="A272" s="1005" t="s">
        <v>3093</v>
      </c>
      <c r="B272" s="1073">
        <v>92824856</v>
      </c>
      <c r="C272" s="1073">
        <v>92824856</v>
      </c>
    </row>
    <row r="273" spans="1:3">
      <c r="A273" s="1005" t="s">
        <v>7734</v>
      </c>
      <c r="B273" s="1073">
        <v>2844503506</v>
      </c>
      <c r="C273" s="1073">
        <v>2844503506</v>
      </c>
    </row>
    <row r="274" spans="1:3">
      <c r="A274" s="1005" t="s">
        <v>915</v>
      </c>
      <c r="B274" s="1073">
        <v>75001918</v>
      </c>
      <c r="C274" s="1073">
        <v>75001918</v>
      </c>
    </row>
    <row r="275" spans="1:3">
      <c r="A275" s="1005" t="s">
        <v>1978</v>
      </c>
      <c r="B275" s="1073">
        <v>205541116</v>
      </c>
      <c r="C275" s="1073">
        <v>205541116</v>
      </c>
    </row>
    <row r="276" spans="1:3">
      <c r="A276" s="1005" t="s">
        <v>2767</v>
      </c>
      <c r="B276" s="1073">
        <v>1317053359</v>
      </c>
      <c r="C276" s="1073">
        <v>1317053359</v>
      </c>
    </row>
    <row r="277" spans="1:3">
      <c r="A277" s="1005" t="s">
        <v>3555</v>
      </c>
      <c r="B277" s="1073">
        <v>2854073414</v>
      </c>
      <c r="C277" s="1073">
        <v>2854073414</v>
      </c>
    </row>
    <row r="278" spans="1:3">
      <c r="A278" s="1005" t="s">
        <v>3094</v>
      </c>
      <c r="B278" s="1073">
        <v>258068693</v>
      </c>
      <c r="C278" s="1073">
        <v>258068693</v>
      </c>
    </row>
    <row r="279" spans="1:3">
      <c r="A279" s="1005" t="s">
        <v>741</v>
      </c>
      <c r="B279" s="1073">
        <v>997708793</v>
      </c>
      <c r="C279" s="1073">
        <v>997708793</v>
      </c>
    </row>
    <row r="280" spans="1:3">
      <c r="A280" s="1005" t="s">
        <v>4035</v>
      </c>
      <c r="B280" s="1073">
        <v>15144575126</v>
      </c>
      <c r="C280" s="1073">
        <v>15144575126</v>
      </c>
    </row>
    <row r="281" spans="1:3">
      <c r="A281" s="1005" t="s">
        <v>1524</v>
      </c>
      <c r="B281" s="1073">
        <v>153549716</v>
      </c>
      <c r="C281" s="1073">
        <v>153549716</v>
      </c>
    </row>
    <row r="282" spans="1:3">
      <c r="A282" s="1005" t="s">
        <v>2388</v>
      </c>
      <c r="B282" s="1073">
        <v>185313874</v>
      </c>
      <c r="C282" s="1073">
        <v>185313874</v>
      </c>
    </row>
    <row r="283" spans="1:3">
      <c r="A283" s="1005" t="s">
        <v>863</v>
      </c>
      <c r="B283" s="1073">
        <v>6541241906</v>
      </c>
      <c r="C283" s="1073">
        <v>6541241906</v>
      </c>
    </row>
    <row r="284" spans="1:3">
      <c r="A284" s="1005" t="s">
        <v>268</v>
      </c>
      <c r="B284" s="1073">
        <v>170558361</v>
      </c>
      <c r="C284" s="1073">
        <v>170558361</v>
      </c>
    </row>
    <row r="285" spans="1:3">
      <c r="A285" s="1005" t="s">
        <v>981</v>
      </c>
      <c r="B285" s="1073">
        <v>1593917569</v>
      </c>
      <c r="C285" s="1073">
        <v>1593917569</v>
      </c>
    </row>
    <row r="286" spans="1:3">
      <c r="A286" s="1005" t="s">
        <v>2414</v>
      </c>
      <c r="B286" s="1073">
        <v>59767381</v>
      </c>
      <c r="C286" s="1073">
        <v>59767381</v>
      </c>
    </row>
    <row r="287" spans="1:3">
      <c r="A287" s="1005" t="s">
        <v>2401</v>
      </c>
      <c r="B287" s="1073">
        <v>8141659777</v>
      </c>
      <c r="C287" s="1073">
        <v>8141659777</v>
      </c>
    </row>
    <row r="288" spans="1:3">
      <c r="A288" s="1005" t="s">
        <v>4037</v>
      </c>
      <c r="B288" s="1073">
        <v>44851882</v>
      </c>
      <c r="C288" s="1073">
        <v>44851882</v>
      </c>
    </row>
    <row r="289" spans="1:3">
      <c r="A289" s="1005" t="s">
        <v>2140</v>
      </c>
      <c r="B289" s="1073">
        <v>267696245</v>
      </c>
      <c r="C289" s="1073">
        <v>267696245</v>
      </c>
    </row>
    <row r="290" spans="1:3">
      <c r="A290" s="1005" t="s">
        <v>2408</v>
      </c>
      <c r="B290" s="1073">
        <v>1399010324</v>
      </c>
      <c r="C290" s="1073">
        <v>1399010324</v>
      </c>
    </row>
    <row r="291" spans="1:3">
      <c r="A291" s="1005" t="s">
        <v>2700</v>
      </c>
      <c r="B291" s="1073">
        <v>118475995</v>
      </c>
      <c r="C291" s="1073">
        <v>118475995</v>
      </c>
    </row>
    <row r="292" spans="1:3">
      <c r="A292" s="1005" t="s">
        <v>2702</v>
      </c>
      <c r="B292" s="1073">
        <v>117162934</v>
      </c>
      <c r="C292" s="1073">
        <v>117162934</v>
      </c>
    </row>
    <row r="293" spans="1:3">
      <c r="A293" s="1005" t="s">
        <v>2828</v>
      </c>
      <c r="B293" s="1073">
        <v>90199280</v>
      </c>
      <c r="C293" s="1073">
        <v>134128180</v>
      </c>
    </row>
    <row r="294" spans="1:3">
      <c r="A294" s="1005" t="s">
        <v>2704</v>
      </c>
      <c r="B294" s="1073">
        <v>77295368</v>
      </c>
      <c r="C294" s="1073">
        <v>77295368</v>
      </c>
    </row>
    <row r="295" spans="1:3">
      <c r="A295" s="1005" t="s">
        <v>2706</v>
      </c>
      <c r="B295" s="1073">
        <v>57675183</v>
      </c>
      <c r="C295" s="1073">
        <v>57675183</v>
      </c>
    </row>
    <row r="296" spans="1:3">
      <c r="A296" s="1005" t="s">
        <v>6162</v>
      </c>
      <c r="B296" s="1073">
        <v>220059141</v>
      </c>
      <c r="C296" s="1073">
        <v>220059141</v>
      </c>
    </row>
    <row r="297" spans="1:3">
      <c r="A297" s="1005" t="s">
        <v>967</v>
      </c>
      <c r="B297" s="1073">
        <v>15570902</v>
      </c>
      <c r="C297" s="1073">
        <v>15570902</v>
      </c>
    </row>
    <row r="298" spans="1:3">
      <c r="A298" s="1005" t="s">
        <v>2708</v>
      </c>
      <c r="B298" s="1073">
        <v>139949956</v>
      </c>
      <c r="C298" s="1073">
        <v>139949956</v>
      </c>
    </row>
    <row r="299" spans="1:3">
      <c r="A299" s="1005" t="s">
        <v>2710</v>
      </c>
      <c r="B299" s="1073">
        <v>538029040</v>
      </c>
      <c r="C299" s="1073">
        <v>538029040</v>
      </c>
    </row>
    <row r="300" spans="1:3">
      <c r="A300" s="1005" t="s">
        <v>2830</v>
      </c>
      <c r="B300" s="1073">
        <v>38021398</v>
      </c>
      <c r="C300" s="1073">
        <v>38021398</v>
      </c>
    </row>
    <row r="301" spans="1:3">
      <c r="A301" s="1005" t="s">
        <v>3095</v>
      </c>
      <c r="B301" s="1073">
        <v>35810063</v>
      </c>
      <c r="C301" s="1073">
        <v>35810063</v>
      </c>
    </row>
    <row r="302" spans="1:3">
      <c r="A302" s="1005" t="s">
        <v>2712</v>
      </c>
      <c r="B302" s="1073">
        <v>167498727</v>
      </c>
      <c r="C302" s="1073">
        <v>167498727</v>
      </c>
    </row>
    <row r="303" spans="1:3">
      <c r="A303" s="1005" t="s">
        <v>2424</v>
      </c>
      <c r="B303" s="1073">
        <v>134292332</v>
      </c>
      <c r="C303" s="1073">
        <v>134292332</v>
      </c>
    </row>
    <row r="304" spans="1:3">
      <c r="A304" s="1005" t="s">
        <v>2426</v>
      </c>
      <c r="B304" s="1073">
        <v>77104733</v>
      </c>
      <c r="C304" s="1073">
        <v>77104733</v>
      </c>
    </row>
    <row r="305" spans="1:3">
      <c r="A305" s="1005" t="s">
        <v>2428</v>
      </c>
      <c r="B305" s="1073">
        <v>142245730</v>
      </c>
      <c r="C305" s="1073">
        <v>142245730</v>
      </c>
    </row>
    <row r="306" spans="1:3">
      <c r="A306" s="1005" t="s">
        <v>2832</v>
      </c>
      <c r="B306" s="1073">
        <v>88841256</v>
      </c>
      <c r="C306" s="1073">
        <v>88841256</v>
      </c>
    </row>
    <row r="307" spans="1:3">
      <c r="A307" s="1005" t="s">
        <v>4923</v>
      </c>
      <c r="B307" s="1073">
        <v>464173803</v>
      </c>
      <c r="C307" s="1073">
        <v>464173803</v>
      </c>
    </row>
    <row r="308" spans="1:3">
      <c r="A308" s="1005" t="s">
        <v>4925</v>
      </c>
      <c r="B308" s="1073">
        <v>1002921979</v>
      </c>
      <c r="C308" s="1073">
        <v>1002921979</v>
      </c>
    </row>
    <row r="309" spans="1:3">
      <c r="A309" s="1005" t="s">
        <v>4927</v>
      </c>
      <c r="B309" s="1073">
        <v>409918497</v>
      </c>
      <c r="C309" s="1073">
        <v>409918497</v>
      </c>
    </row>
    <row r="310" spans="1:3">
      <c r="A310" s="1005" t="s">
        <v>4929</v>
      </c>
      <c r="B310" s="1073">
        <v>165139476</v>
      </c>
      <c r="C310" s="1073">
        <v>165139476</v>
      </c>
    </row>
    <row r="311" spans="1:3">
      <c r="A311" s="1005" t="s">
        <v>4931</v>
      </c>
      <c r="B311" s="1073">
        <v>323640836</v>
      </c>
      <c r="C311" s="1073">
        <v>323640836</v>
      </c>
    </row>
    <row r="312" spans="1:3">
      <c r="A312" s="1005" t="s">
        <v>4933</v>
      </c>
      <c r="B312" s="1073">
        <v>109663660</v>
      </c>
      <c r="C312" s="1073">
        <v>109663660</v>
      </c>
    </row>
    <row r="313" spans="1:3">
      <c r="A313" s="1005" t="s">
        <v>444</v>
      </c>
      <c r="B313" s="1073">
        <v>114143887</v>
      </c>
      <c r="C313" s="1073">
        <v>139143887</v>
      </c>
    </row>
    <row r="314" spans="1:3">
      <c r="A314" s="1005" t="s">
        <v>3558</v>
      </c>
      <c r="B314" s="1073">
        <v>260575575</v>
      </c>
      <c r="C314" s="1073">
        <v>260575575</v>
      </c>
    </row>
    <row r="315" spans="1:3">
      <c r="A315" s="1005" t="s">
        <v>3560</v>
      </c>
      <c r="B315" s="1073">
        <v>101491406</v>
      </c>
      <c r="C315" s="1073">
        <v>101491406</v>
      </c>
    </row>
    <row r="316" spans="1:3">
      <c r="A316" s="1005" t="s">
        <v>3562</v>
      </c>
      <c r="B316" s="1073">
        <v>173450941</v>
      </c>
      <c r="C316" s="1073">
        <v>173450941</v>
      </c>
    </row>
    <row r="317" spans="1:3">
      <c r="A317" s="1005" t="s">
        <v>3564</v>
      </c>
      <c r="B317" s="1073">
        <v>11372427668</v>
      </c>
      <c r="C317" s="1073">
        <v>11372427668</v>
      </c>
    </row>
    <row r="318" spans="1:3">
      <c r="A318" s="1005" t="s">
        <v>6179</v>
      </c>
      <c r="B318" s="1073">
        <v>655839534</v>
      </c>
      <c r="C318" s="1073">
        <v>655839534</v>
      </c>
    </row>
    <row r="319" spans="1:3">
      <c r="A319" s="1005" t="s">
        <v>1309</v>
      </c>
      <c r="B319" s="1073">
        <v>27510726731</v>
      </c>
      <c r="C319" s="1073">
        <v>27510726731</v>
      </c>
    </row>
    <row r="320" spans="1:3">
      <c r="A320" s="1005" t="s">
        <v>3568</v>
      </c>
      <c r="B320" s="1073">
        <v>2172678614</v>
      </c>
      <c r="C320" s="1073">
        <v>2172678614</v>
      </c>
    </row>
    <row r="321" spans="1:3">
      <c r="A321" s="1005" t="s">
        <v>1607</v>
      </c>
      <c r="B321" s="1073">
        <v>951840125</v>
      </c>
      <c r="C321" s="1073">
        <v>951840125</v>
      </c>
    </row>
    <row r="322" spans="1:3">
      <c r="A322" s="1005" t="s">
        <v>2482</v>
      </c>
      <c r="B322" s="1073">
        <v>1641832475</v>
      </c>
      <c r="C322" s="1073">
        <v>1641832475</v>
      </c>
    </row>
    <row r="323" spans="1:3">
      <c r="A323" s="1005" t="s">
        <v>2484</v>
      </c>
      <c r="B323" s="1073">
        <v>924858531</v>
      </c>
      <c r="C323" s="1073">
        <v>924858531</v>
      </c>
    </row>
    <row r="324" spans="1:3">
      <c r="A324" s="1005" t="s">
        <v>2486</v>
      </c>
      <c r="B324" s="1073">
        <v>129953704</v>
      </c>
      <c r="C324" s="1073">
        <v>129953704</v>
      </c>
    </row>
    <row r="325" spans="1:3">
      <c r="A325" s="1005" t="s">
        <v>2488</v>
      </c>
      <c r="B325" s="1073">
        <v>196432367</v>
      </c>
      <c r="C325" s="1073">
        <v>196432367</v>
      </c>
    </row>
    <row r="326" spans="1:3">
      <c r="A326" s="1005" t="s">
        <v>2834</v>
      </c>
      <c r="B326" s="1073">
        <v>1481372181</v>
      </c>
      <c r="C326" s="1073">
        <v>1481372181</v>
      </c>
    </row>
    <row r="327" spans="1:3">
      <c r="A327" s="1005" t="s">
        <v>445</v>
      </c>
      <c r="B327" s="1073">
        <v>1435332102</v>
      </c>
      <c r="C327" s="1073">
        <v>1435332102</v>
      </c>
    </row>
    <row r="328" spans="1:3">
      <c r="A328" s="1005" t="s">
        <v>2490</v>
      </c>
      <c r="B328" s="1073">
        <v>257156533</v>
      </c>
      <c r="C328" s="1073">
        <v>257156533</v>
      </c>
    </row>
    <row r="329" spans="1:3">
      <c r="A329" s="1005" t="s">
        <v>2492</v>
      </c>
      <c r="B329" s="1073">
        <v>490599165</v>
      </c>
      <c r="C329" s="1073">
        <v>490599165</v>
      </c>
    </row>
    <row r="330" spans="1:3">
      <c r="A330" s="1005" t="s">
        <v>2494</v>
      </c>
      <c r="B330" s="1073">
        <v>5650415334</v>
      </c>
      <c r="C330" s="1073">
        <v>5650415334</v>
      </c>
    </row>
    <row r="331" spans="1:3">
      <c r="A331" s="1005" t="s">
        <v>2498</v>
      </c>
      <c r="B331" s="1073">
        <v>2810909529</v>
      </c>
      <c r="C331" s="1073">
        <v>2810909529</v>
      </c>
    </row>
    <row r="332" spans="1:3">
      <c r="A332" s="1005" t="s">
        <v>1670</v>
      </c>
      <c r="B332" s="1073">
        <v>5626789061</v>
      </c>
      <c r="C332" s="1073">
        <v>5626789061</v>
      </c>
    </row>
    <row r="333" spans="1:3">
      <c r="A333" s="1005" t="s">
        <v>1867</v>
      </c>
      <c r="B333" s="1073">
        <v>94279495</v>
      </c>
      <c r="C333" s="1073">
        <v>94279495</v>
      </c>
    </row>
    <row r="334" spans="1:3">
      <c r="A334" s="1005" t="s">
        <v>1672</v>
      </c>
      <c r="B334" s="1073">
        <v>1422113638</v>
      </c>
      <c r="C334" s="1073">
        <v>1422113638</v>
      </c>
    </row>
    <row r="335" spans="1:3">
      <c r="A335" s="1005" t="s">
        <v>1674</v>
      </c>
      <c r="B335" s="1073">
        <v>3970607133</v>
      </c>
      <c r="C335" s="1073">
        <v>3970607133</v>
      </c>
    </row>
    <row r="336" spans="1:3">
      <c r="A336" s="1005" t="s">
        <v>5048</v>
      </c>
      <c r="B336" s="1073">
        <v>510062858</v>
      </c>
      <c r="C336" s="1073">
        <v>510062858</v>
      </c>
    </row>
    <row r="337" spans="1:3">
      <c r="A337" s="1005" t="s">
        <v>2392</v>
      </c>
      <c r="B337" s="1073">
        <v>1034985380</v>
      </c>
      <c r="C337" s="1073">
        <v>1034985380</v>
      </c>
    </row>
    <row r="338" spans="1:3">
      <c r="A338" s="1005" t="s">
        <v>5050</v>
      </c>
      <c r="B338" s="1073">
        <v>17151465685</v>
      </c>
      <c r="C338" s="1073">
        <v>17151465685</v>
      </c>
    </row>
    <row r="339" spans="1:3">
      <c r="A339" s="1005" t="s">
        <v>1311</v>
      </c>
      <c r="B339" s="1073">
        <v>2256621524</v>
      </c>
      <c r="C339" s="1073">
        <v>2256621524</v>
      </c>
    </row>
    <row r="340" spans="1:3">
      <c r="A340" s="1005" t="s">
        <v>3222</v>
      </c>
      <c r="B340" s="1073">
        <v>852175671</v>
      </c>
      <c r="C340" s="1073">
        <v>852175671</v>
      </c>
    </row>
    <row r="341" spans="1:3">
      <c r="A341" s="1005" t="s">
        <v>3224</v>
      </c>
      <c r="B341" s="1073">
        <v>79775051</v>
      </c>
      <c r="C341" s="1073">
        <v>79775051</v>
      </c>
    </row>
    <row r="342" spans="1:3">
      <c r="A342" s="1005" t="s">
        <v>3226</v>
      </c>
      <c r="B342" s="1073">
        <v>36981498</v>
      </c>
      <c r="C342" s="1073">
        <v>36981498</v>
      </c>
    </row>
    <row r="343" spans="1:3">
      <c r="A343" s="1005" t="s">
        <v>3228</v>
      </c>
      <c r="B343" s="1073">
        <v>2545636459</v>
      </c>
      <c r="C343" s="1073">
        <v>2545636459</v>
      </c>
    </row>
    <row r="344" spans="1:3">
      <c r="A344" s="1005" t="s">
        <v>3230</v>
      </c>
      <c r="B344" s="1073">
        <v>366106891</v>
      </c>
      <c r="C344" s="1073">
        <v>366106891</v>
      </c>
    </row>
    <row r="345" spans="1:3">
      <c r="A345" s="1005" t="s">
        <v>3232</v>
      </c>
      <c r="B345" s="1073">
        <v>3578560761</v>
      </c>
      <c r="C345" s="1073">
        <v>3786293895</v>
      </c>
    </row>
    <row r="346" spans="1:3">
      <c r="A346" s="1005" t="s">
        <v>1899</v>
      </c>
      <c r="B346" s="1073">
        <v>1056013464</v>
      </c>
      <c r="C346" s="1073">
        <v>1056013464</v>
      </c>
    </row>
    <row r="347" spans="1:3">
      <c r="A347" s="1005" t="s">
        <v>1853</v>
      </c>
      <c r="B347" s="1073">
        <v>2480037724</v>
      </c>
      <c r="C347" s="1073">
        <v>2480037724</v>
      </c>
    </row>
    <row r="348" spans="1:3">
      <c r="A348" s="1005" t="s">
        <v>1901</v>
      </c>
      <c r="B348" s="1073">
        <v>1659740458</v>
      </c>
      <c r="C348" s="1073">
        <v>1659740458</v>
      </c>
    </row>
    <row r="349" spans="1:3">
      <c r="A349" s="1005" t="s">
        <v>1903</v>
      </c>
      <c r="B349" s="1073">
        <v>206146544</v>
      </c>
      <c r="C349" s="1073">
        <v>206146544</v>
      </c>
    </row>
    <row r="350" spans="1:3">
      <c r="A350" s="1005" t="s">
        <v>52</v>
      </c>
      <c r="B350" s="1073">
        <v>191799793</v>
      </c>
      <c r="C350" s="1073">
        <v>191799793</v>
      </c>
    </row>
    <row r="351" spans="1:3">
      <c r="A351" s="1005" t="s">
        <v>54</v>
      </c>
      <c r="B351" s="1073">
        <v>148473589</v>
      </c>
      <c r="C351" s="1073">
        <v>148473589</v>
      </c>
    </row>
    <row r="352" spans="1:3">
      <c r="A352" s="1005" t="s">
        <v>6191</v>
      </c>
      <c r="B352" s="1073">
        <v>1221736103</v>
      </c>
      <c r="C352" s="1073">
        <v>1221736103</v>
      </c>
    </row>
    <row r="353" spans="1:3">
      <c r="A353" s="1005" t="s">
        <v>732</v>
      </c>
      <c r="B353" s="1073">
        <v>148301456</v>
      </c>
      <c r="C353" s="1073">
        <v>148301456</v>
      </c>
    </row>
    <row r="354" spans="1:3">
      <c r="A354" s="1005" t="s">
        <v>949</v>
      </c>
      <c r="B354" s="1073">
        <v>179050097</v>
      </c>
      <c r="C354" s="1073">
        <v>179050097</v>
      </c>
    </row>
    <row r="355" spans="1:3">
      <c r="A355" s="1005" t="s">
        <v>3980</v>
      </c>
      <c r="B355" s="1073">
        <v>131661623</v>
      </c>
      <c r="C355" s="1073">
        <v>131661623</v>
      </c>
    </row>
    <row r="356" spans="1:3">
      <c r="A356" s="1005" t="s">
        <v>3982</v>
      </c>
      <c r="B356" s="1073">
        <v>1294567679</v>
      </c>
      <c r="C356" s="1073">
        <v>1294567679</v>
      </c>
    </row>
    <row r="357" spans="1:3">
      <c r="A357" s="1005" t="s">
        <v>1871</v>
      </c>
      <c r="B357" s="1073">
        <v>200252334</v>
      </c>
      <c r="C357" s="1073">
        <v>200252334</v>
      </c>
    </row>
    <row r="358" spans="1:3">
      <c r="A358" s="1005" t="s">
        <v>3116</v>
      </c>
      <c r="B358" s="1073">
        <v>2552300450</v>
      </c>
      <c r="C358" s="1073">
        <v>2552300450</v>
      </c>
    </row>
    <row r="359" spans="1:3">
      <c r="A359" s="1005" t="s">
        <v>3118</v>
      </c>
      <c r="B359" s="1073">
        <v>71189503</v>
      </c>
      <c r="C359" s="1073">
        <v>71189503</v>
      </c>
    </row>
    <row r="360" spans="1:3">
      <c r="A360" s="1005" t="s">
        <v>2836</v>
      </c>
      <c r="B360" s="1073">
        <v>476736219</v>
      </c>
      <c r="C360" s="1073">
        <v>476736219</v>
      </c>
    </row>
    <row r="361" spans="1:3">
      <c r="A361" s="1005" t="s">
        <v>2838</v>
      </c>
      <c r="B361" s="1073">
        <v>606694656</v>
      </c>
      <c r="C361" s="1073">
        <v>606694656</v>
      </c>
    </row>
    <row r="362" spans="1:3">
      <c r="A362" s="1005" t="s">
        <v>5220</v>
      </c>
      <c r="B362" s="1073">
        <v>161094124</v>
      </c>
      <c r="C362" s="1073">
        <v>161094124</v>
      </c>
    </row>
    <row r="363" spans="1:3">
      <c r="A363" s="1005" t="s">
        <v>5129</v>
      </c>
      <c r="B363" s="1073">
        <v>705919974</v>
      </c>
      <c r="C363" s="1073">
        <v>705919974</v>
      </c>
    </row>
    <row r="364" spans="1:3">
      <c r="A364" s="1005" t="s">
        <v>5222</v>
      </c>
      <c r="B364" s="1073">
        <v>359773231</v>
      </c>
      <c r="C364" s="1073">
        <v>359773231</v>
      </c>
    </row>
    <row r="365" spans="1:3">
      <c r="A365" s="1005" t="s">
        <v>1858</v>
      </c>
      <c r="B365" s="1073">
        <v>196043090</v>
      </c>
      <c r="C365" s="1073">
        <v>196043090</v>
      </c>
    </row>
    <row r="366" spans="1:3">
      <c r="A366" s="1005" t="s">
        <v>5224</v>
      </c>
      <c r="B366" s="1073">
        <v>155883653</v>
      </c>
      <c r="C366" s="1073">
        <v>155883653</v>
      </c>
    </row>
    <row r="367" spans="1:3">
      <c r="A367" s="1005" t="s">
        <v>5228</v>
      </c>
      <c r="B367" s="1073">
        <v>530070922</v>
      </c>
      <c r="C367" s="1073">
        <v>530070922</v>
      </c>
    </row>
    <row r="368" spans="1:3">
      <c r="A368" s="1005" t="s">
        <v>5230</v>
      </c>
      <c r="B368" s="1073">
        <v>1644187593</v>
      </c>
      <c r="C368" s="1073">
        <v>1644187593</v>
      </c>
    </row>
    <row r="369" spans="1:3">
      <c r="A369" s="1005" t="s">
        <v>2994</v>
      </c>
      <c r="B369" s="1073">
        <v>3910288828</v>
      </c>
      <c r="C369" s="1073">
        <v>3910288828</v>
      </c>
    </row>
    <row r="370" spans="1:3">
      <c r="A370" s="1005" t="s">
        <v>7723</v>
      </c>
      <c r="B370" s="1073">
        <v>1572023321</v>
      </c>
      <c r="C370" s="1073">
        <v>1572023321</v>
      </c>
    </row>
    <row r="371" spans="1:3">
      <c r="A371" s="1005" t="s">
        <v>221</v>
      </c>
      <c r="B371" s="1073">
        <v>450938106</v>
      </c>
      <c r="C371" s="1073">
        <v>450938106</v>
      </c>
    </row>
    <row r="372" spans="1:3">
      <c r="A372" s="1005" t="s">
        <v>2406</v>
      </c>
      <c r="B372" s="1073">
        <v>493601283</v>
      </c>
      <c r="C372" s="1073">
        <v>493601283</v>
      </c>
    </row>
    <row r="373" spans="1:3">
      <c r="A373" s="1005" t="s">
        <v>223</v>
      </c>
      <c r="B373" s="1073">
        <v>381203833</v>
      </c>
      <c r="C373" s="1073">
        <v>381203833</v>
      </c>
    </row>
    <row r="374" spans="1:3">
      <c r="A374" s="1005" t="s">
        <v>225</v>
      </c>
      <c r="B374" s="1073">
        <v>497813170</v>
      </c>
      <c r="C374" s="1073">
        <v>497813170</v>
      </c>
    </row>
    <row r="375" spans="1:3">
      <c r="A375" s="1005" t="s">
        <v>227</v>
      </c>
      <c r="B375" s="1073">
        <v>293136972</v>
      </c>
      <c r="C375" s="1073">
        <v>293136972</v>
      </c>
    </row>
    <row r="376" spans="1:3">
      <c r="A376" s="1005" t="s">
        <v>229</v>
      </c>
      <c r="B376" s="1073">
        <v>1682784904</v>
      </c>
      <c r="C376" s="1073">
        <v>1682784904</v>
      </c>
    </row>
    <row r="377" spans="1:3">
      <c r="A377" s="1005" t="s">
        <v>4039</v>
      </c>
      <c r="B377" s="1073">
        <v>130821664</v>
      </c>
      <c r="C377" s="1073">
        <v>130821664</v>
      </c>
    </row>
    <row r="378" spans="1:3">
      <c r="A378" s="1005" t="s">
        <v>2396</v>
      </c>
      <c r="B378" s="1073">
        <v>2742275359</v>
      </c>
      <c r="C378" s="1073">
        <v>2822275359</v>
      </c>
    </row>
    <row r="379" spans="1:3">
      <c r="A379" s="1005" t="s">
        <v>2394</v>
      </c>
      <c r="B379" s="1073">
        <v>4181304964</v>
      </c>
      <c r="C379" s="1073">
        <v>4181304964</v>
      </c>
    </row>
    <row r="380" spans="1:3">
      <c r="A380" s="1005" t="s">
        <v>4042</v>
      </c>
      <c r="B380" s="1073">
        <v>618650027</v>
      </c>
      <c r="C380" s="1073">
        <v>618650027</v>
      </c>
    </row>
    <row r="381" spans="1:3">
      <c r="A381" s="1005" t="s">
        <v>3004</v>
      </c>
      <c r="B381" s="1073">
        <v>607477967</v>
      </c>
      <c r="C381" s="1073">
        <v>607477967</v>
      </c>
    </row>
    <row r="382" spans="1:3">
      <c r="A382" s="1005" t="s">
        <v>4044</v>
      </c>
      <c r="B382" s="1073">
        <v>604898038</v>
      </c>
      <c r="C382" s="1073">
        <v>604898038</v>
      </c>
    </row>
    <row r="383" spans="1:3">
      <c r="A383" s="1005" t="s">
        <v>4046</v>
      </c>
      <c r="B383" s="1073">
        <v>49157491</v>
      </c>
      <c r="C383" s="1073">
        <v>49157491</v>
      </c>
    </row>
    <row r="384" spans="1:3">
      <c r="A384" s="1005" t="s">
        <v>5402</v>
      </c>
      <c r="B384" s="1073">
        <v>96747519</v>
      </c>
      <c r="C384" s="1073">
        <v>96747519</v>
      </c>
    </row>
    <row r="385" spans="1:3">
      <c r="A385" s="1005" t="s">
        <v>5404</v>
      </c>
      <c r="B385" s="1073">
        <v>66653633</v>
      </c>
      <c r="C385" s="1073">
        <v>66653633</v>
      </c>
    </row>
    <row r="386" spans="1:3">
      <c r="A386" s="1005" t="s">
        <v>423</v>
      </c>
      <c r="B386" s="1073">
        <v>1098974771</v>
      </c>
      <c r="C386" s="1073">
        <v>1143719961</v>
      </c>
    </row>
    <row r="387" spans="1:3">
      <c r="A387" s="1005" t="s">
        <v>425</v>
      </c>
      <c r="B387" s="1073">
        <v>139044121</v>
      </c>
      <c r="C387" s="1073">
        <v>139044121</v>
      </c>
    </row>
    <row r="388" spans="1:3">
      <c r="A388" s="1005" t="s">
        <v>427</v>
      </c>
      <c r="B388" s="1073">
        <v>82071178</v>
      </c>
      <c r="C388" s="1073">
        <v>82071178</v>
      </c>
    </row>
    <row r="389" spans="1:3">
      <c r="A389" s="1005" t="s">
        <v>429</v>
      </c>
      <c r="B389" s="1073">
        <v>279690863</v>
      </c>
      <c r="C389" s="1073">
        <v>279690863</v>
      </c>
    </row>
    <row r="390" spans="1:3">
      <c r="A390" s="1005" t="s">
        <v>446</v>
      </c>
      <c r="B390" s="1073">
        <v>161585541</v>
      </c>
      <c r="C390" s="1073">
        <v>161585541</v>
      </c>
    </row>
    <row r="391" spans="1:3">
      <c r="A391" s="1005" t="s">
        <v>431</v>
      </c>
      <c r="B391" s="1073">
        <v>363743657</v>
      </c>
      <c r="C391" s="1073">
        <v>454696657</v>
      </c>
    </row>
    <row r="392" spans="1:3">
      <c r="A392" s="1005" t="s">
        <v>4945</v>
      </c>
      <c r="B392" s="1073">
        <v>181100525</v>
      </c>
      <c r="C392" s="1073">
        <v>194957525</v>
      </c>
    </row>
    <row r="393" spans="1:3">
      <c r="A393" s="1005" t="s">
        <v>4947</v>
      </c>
      <c r="B393" s="1073">
        <v>469189912</v>
      </c>
      <c r="C393" s="1073">
        <v>469189912</v>
      </c>
    </row>
    <row r="394" spans="1:3">
      <c r="A394" s="1005" t="s">
        <v>4949</v>
      </c>
      <c r="B394" s="1073">
        <v>230389391</v>
      </c>
      <c r="C394" s="1073">
        <v>230389391</v>
      </c>
    </row>
    <row r="395" spans="1:3">
      <c r="A395" s="1005" t="s">
        <v>4951</v>
      </c>
      <c r="B395" s="1073">
        <v>330003393</v>
      </c>
      <c r="C395" s="1073">
        <v>330003393</v>
      </c>
    </row>
    <row r="396" spans="1:3">
      <c r="A396" s="1005" t="s">
        <v>1560</v>
      </c>
      <c r="B396" s="1073">
        <v>380065628</v>
      </c>
      <c r="C396" s="1073">
        <v>380065628</v>
      </c>
    </row>
    <row r="397" spans="1:3">
      <c r="A397" s="1005" t="s">
        <v>2398</v>
      </c>
      <c r="B397" s="1073">
        <v>736710686</v>
      </c>
      <c r="C397" s="1073">
        <v>736710686</v>
      </c>
    </row>
    <row r="398" spans="1:3">
      <c r="A398" s="1005" t="s">
        <v>1562</v>
      </c>
      <c r="B398" s="1073">
        <v>816585701</v>
      </c>
      <c r="C398" s="1073">
        <v>816585701</v>
      </c>
    </row>
    <row r="399" spans="1:3">
      <c r="A399" s="1005" t="s">
        <v>2997</v>
      </c>
      <c r="B399" s="1073">
        <v>985832292</v>
      </c>
      <c r="C399" s="1073">
        <v>985832292</v>
      </c>
    </row>
    <row r="400" spans="1:3">
      <c r="A400" s="1005" t="s">
        <v>856</v>
      </c>
      <c r="B400" s="1073">
        <v>208129497</v>
      </c>
      <c r="C400" s="1073">
        <v>208129497</v>
      </c>
    </row>
    <row r="401" spans="1:3">
      <c r="A401" s="1005" t="s">
        <v>819</v>
      </c>
      <c r="B401" s="1073">
        <v>16514524414</v>
      </c>
      <c r="C401" s="1073">
        <v>16514524414</v>
      </c>
    </row>
    <row r="402" spans="1:3">
      <c r="A402" s="1005" t="s">
        <v>3887</v>
      </c>
      <c r="B402" s="1073">
        <v>12497304172</v>
      </c>
      <c r="C402" s="1073">
        <v>12497304172</v>
      </c>
    </row>
    <row r="403" spans="1:3">
      <c r="A403" s="1005" t="s">
        <v>1988</v>
      </c>
      <c r="B403" s="1073">
        <v>2670641680</v>
      </c>
      <c r="C403" s="1073">
        <v>2670641680</v>
      </c>
    </row>
    <row r="404" spans="1:3">
      <c r="A404" s="1005" t="s">
        <v>245</v>
      </c>
      <c r="B404" s="1073">
        <v>1473738136</v>
      </c>
      <c r="C404" s="1073">
        <v>1473738136</v>
      </c>
    </row>
    <row r="405" spans="1:3">
      <c r="A405" s="1005" t="s">
        <v>1990</v>
      </c>
      <c r="B405" s="1073">
        <v>42270206834</v>
      </c>
      <c r="C405" s="1073">
        <v>42270206834</v>
      </c>
    </row>
    <row r="406" spans="1:3">
      <c r="A406" s="1005" t="s">
        <v>2115</v>
      </c>
      <c r="B406" s="1073">
        <v>7829234756</v>
      </c>
      <c r="C406" s="1073">
        <v>7829234756</v>
      </c>
    </row>
    <row r="407" spans="1:3">
      <c r="A407" s="1005" t="s">
        <v>1315</v>
      </c>
      <c r="B407" s="1073">
        <v>7482232463</v>
      </c>
      <c r="C407" s="1073">
        <v>7482232463</v>
      </c>
    </row>
    <row r="408" spans="1:3">
      <c r="A408" s="1005" t="s">
        <v>5622</v>
      </c>
      <c r="B408" s="1073">
        <v>9401625273</v>
      </c>
      <c r="C408" s="1073">
        <v>9401625273</v>
      </c>
    </row>
    <row r="409" spans="1:3">
      <c r="A409" s="1005" t="s">
        <v>5624</v>
      </c>
      <c r="B409" s="1073">
        <v>138497624993</v>
      </c>
      <c r="C409" s="1073">
        <v>138497624993</v>
      </c>
    </row>
    <row r="410" spans="1:3">
      <c r="A410" s="1005" t="s">
        <v>1873</v>
      </c>
      <c r="B410" s="1073">
        <v>11560639141</v>
      </c>
      <c r="C410" s="1073">
        <v>11560639141</v>
      </c>
    </row>
    <row r="411" spans="1:3">
      <c r="A411" s="1005" t="s">
        <v>6028</v>
      </c>
      <c r="B411" s="1073">
        <v>27523318886</v>
      </c>
      <c r="C411" s="1073">
        <v>27523318886</v>
      </c>
    </row>
    <row r="412" spans="1:3">
      <c r="A412" s="1005" t="s">
        <v>6035</v>
      </c>
      <c r="B412" s="1073">
        <v>14995297592</v>
      </c>
      <c r="C412" s="1073">
        <v>15058510791</v>
      </c>
    </row>
    <row r="413" spans="1:3">
      <c r="A413" s="1005" t="s">
        <v>5626</v>
      </c>
      <c r="B413" s="1073">
        <v>7114922389</v>
      </c>
      <c r="C413" s="1073">
        <v>7226946339</v>
      </c>
    </row>
    <row r="414" spans="1:3">
      <c r="A414" s="1005" t="s">
        <v>6194</v>
      </c>
      <c r="B414" s="1073">
        <v>10854092880</v>
      </c>
      <c r="C414" s="1073">
        <v>10854092880</v>
      </c>
    </row>
    <row r="415" spans="1:3">
      <c r="A415" s="1005" t="s">
        <v>1539</v>
      </c>
      <c r="B415" s="1073">
        <v>8798935690</v>
      </c>
      <c r="C415" s="1073">
        <v>8798935690</v>
      </c>
    </row>
    <row r="416" spans="1:3">
      <c r="A416" s="1005" t="s">
        <v>911</v>
      </c>
      <c r="B416" s="1073">
        <v>25015627285</v>
      </c>
      <c r="C416" s="1073">
        <v>25015627285</v>
      </c>
    </row>
    <row r="417" spans="1:3">
      <c r="A417" s="1005" t="s">
        <v>1428</v>
      </c>
      <c r="B417" s="1073">
        <v>7518541072</v>
      </c>
      <c r="C417" s="1073">
        <v>7518541072</v>
      </c>
    </row>
    <row r="418" spans="1:3">
      <c r="A418" s="1005" t="s">
        <v>1430</v>
      </c>
      <c r="B418" s="1073">
        <v>4957518574</v>
      </c>
      <c r="C418" s="1073">
        <v>4957518574</v>
      </c>
    </row>
    <row r="419" spans="1:3">
      <c r="A419" s="1005" t="s">
        <v>4971</v>
      </c>
      <c r="B419" s="1073">
        <v>868817715</v>
      </c>
      <c r="C419" s="1073">
        <v>868817715</v>
      </c>
    </row>
    <row r="420" spans="1:3">
      <c r="A420" s="1005" t="s">
        <v>1432</v>
      </c>
      <c r="B420" s="1073">
        <v>225292410</v>
      </c>
      <c r="C420" s="1073">
        <v>225292410</v>
      </c>
    </row>
    <row r="421" spans="1:3">
      <c r="A421" s="1005" t="s">
        <v>1434</v>
      </c>
      <c r="B421" s="1073">
        <v>2619587434</v>
      </c>
      <c r="C421" s="1073">
        <v>2619587434</v>
      </c>
    </row>
    <row r="422" spans="1:3">
      <c r="A422" s="1005" t="s">
        <v>1436</v>
      </c>
      <c r="B422" s="1073">
        <v>421030431</v>
      </c>
      <c r="C422" s="1073">
        <v>421030431</v>
      </c>
    </row>
    <row r="423" spans="1:3">
      <c r="A423" s="1005" t="s">
        <v>1438</v>
      </c>
      <c r="B423" s="1073">
        <v>2456514117</v>
      </c>
      <c r="C423" s="1073">
        <v>2456514117</v>
      </c>
    </row>
    <row r="424" spans="1:3">
      <c r="A424" s="1005" t="s">
        <v>2580</v>
      </c>
      <c r="B424" s="1073">
        <v>160154207</v>
      </c>
      <c r="C424" s="1073">
        <v>160154207</v>
      </c>
    </row>
    <row r="425" spans="1:3">
      <c r="A425" s="1005" t="s">
        <v>2582</v>
      </c>
      <c r="B425" s="1073">
        <v>463797899</v>
      </c>
      <c r="C425" s="1073">
        <v>463797899</v>
      </c>
    </row>
    <row r="426" spans="1:3">
      <c r="A426" s="1005" t="s">
        <v>2584</v>
      </c>
      <c r="B426" s="1073">
        <v>263503522</v>
      </c>
      <c r="C426" s="1073">
        <v>263503522</v>
      </c>
    </row>
    <row r="427" spans="1:3">
      <c r="A427" s="1005" t="s">
        <v>1578</v>
      </c>
      <c r="B427" s="1073">
        <v>161802532</v>
      </c>
      <c r="C427" s="1073">
        <v>161802532</v>
      </c>
    </row>
    <row r="428" spans="1:3">
      <c r="A428" s="1005" t="s">
        <v>1580</v>
      </c>
      <c r="B428" s="1073">
        <v>194298729</v>
      </c>
      <c r="C428" s="1073">
        <v>194298729</v>
      </c>
    </row>
    <row r="429" spans="1:3">
      <c r="A429" s="1005" t="s">
        <v>1582</v>
      </c>
      <c r="B429" s="1073">
        <v>42215462</v>
      </c>
      <c r="C429" s="1073">
        <v>42215462</v>
      </c>
    </row>
    <row r="430" spans="1:3">
      <c r="A430" s="1005" t="s">
        <v>1584</v>
      </c>
      <c r="B430" s="1073">
        <v>101785594</v>
      </c>
      <c r="C430" s="1073">
        <v>101785594</v>
      </c>
    </row>
    <row r="431" spans="1:3">
      <c r="A431" s="1005" t="s">
        <v>1588</v>
      </c>
      <c r="B431" s="1073">
        <v>3986695788</v>
      </c>
      <c r="C431" s="1073">
        <v>3986695788</v>
      </c>
    </row>
    <row r="432" spans="1:3">
      <c r="A432" s="1005" t="s">
        <v>1292</v>
      </c>
      <c r="B432" s="1073">
        <v>3023572090</v>
      </c>
      <c r="C432" s="1073">
        <v>3023572090</v>
      </c>
    </row>
    <row r="433" spans="1:3">
      <c r="A433" s="1005" t="s">
        <v>1590</v>
      </c>
      <c r="B433" s="1073">
        <v>1525128521</v>
      </c>
      <c r="C433" s="1073">
        <v>1525128521</v>
      </c>
    </row>
    <row r="434" spans="1:3">
      <c r="A434" s="1005" t="s">
        <v>1864</v>
      </c>
      <c r="B434" s="1073">
        <v>4434162754</v>
      </c>
      <c r="C434" s="1073">
        <v>4434162754</v>
      </c>
    </row>
    <row r="435" spans="1:3">
      <c r="A435" s="1005" t="s">
        <v>1592</v>
      </c>
      <c r="B435" s="1073">
        <v>1706695136</v>
      </c>
      <c r="C435" s="1073">
        <v>1706695136</v>
      </c>
    </row>
    <row r="436" spans="1:3">
      <c r="A436" s="1005" t="s">
        <v>1594</v>
      </c>
      <c r="B436" s="1073">
        <v>1202848131</v>
      </c>
      <c r="C436" s="1073">
        <v>1202848131</v>
      </c>
    </row>
    <row r="437" spans="1:3">
      <c r="A437" s="1005" t="s">
        <v>1596</v>
      </c>
      <c r="B437" s="1073">
        <v>626095920</v>
      </c>
      <c r="C437" s="1073">
        <v>626095920</v>
      </c>
    </row>
    <row r="438" spans="1:3">
      <c r="A438" s="1005" t="s">
        <v>1598</v>
      </c>
      <c r="B438" s="1073">
        <v>250996564</v>
      </c>
      <c r="C438" s="1073">
        <v>250996564</v>
      </c>
    </row>
    <row r="439" spans="1:3">
      <c r="A439" s="1005" t="s">
        <v>1600</v>
      </c>
      <c r="B439" s="1073">
        <v>534702315</v>
      </c>
      <c r="C439" s="1073">
        <v>534702315</v>
      </c>
    </row>
    <row r="440" spans="1:3">
      <c r="A440" s="1005" t="s">
        <v>5260</v>
      </c>
      <c r="B440" s="1073">
        <v>1061872900</v>
      </c>
      <c r="C440" s="1073">
        <v>1061872900</v>
      </c>
    </row>
    <row r="441" spans="1:3">
      <c r="A441" s="1005" t="s">
        <v>2415</v>
      </c>
      <c r="B441" s="1073">
        <v>40185870</v>
      </c>
      <c r="C441" s="1073">
        <v>40185870</v>
      </c>
    </row>
    <row r="442" spans="1:3">
      <c r="A442" s="1005" t="s">
        <v>4973</v>
      </c>
      <c r="B442" s="1073">
        <v>37476060</v>
      </c>
      <c r="C442" s="1073">
        <v>37476060</v>
      </c>
    </row>
    <row r="443" spans="1:3">
      <c r="A443" s="1005" t="s">
        <v>5262</v>
      </c>
      <c r="B443" s="1073">
        <v>223826477</v>
      </c>
      <c r="C443" s="1073">
        <v>223826477</v>
      </c>
    </row>
    <row r="444" spans="1:3">
      <c r="A444" s="1005" t="s">
        <v>2054</v>
      </c>
      <c r="B444" s="1073">
        <v>1057588824</v>
      </c>
      <c r="C444" s="1073">
        <v>1057588824</v>
      </c>
    </row>
    <row r="445" spans="1:3">
      <c r="A445" s="1005" t="s">
        <v>1519</v>
      </c>
      <c r="B445" s="1073">
        <v>253350398</v>
      </c>
      <c r="C445" s="1073">
        <v>253350398</v>
      </c>
    </row>
    <row r="446" spans="1:3">
      <c r="A446" s="1005" t="s">
        <v>1521</v>
      </c>
      <c r="B446" s="1073">
        <v>5050292522</v>
      </c>
      <c r="C446" s="1073">
        <v>5050292522</v>
      </c>
    </row>
    <row r="447" spans="1:3">
      <c r="A447" s="1005" t="s">
        <v>1866</v>
      </c>
      <c r="B447" s="1073">
        <v>410133316</v>
      </c>
      <c r="C447" s="1073">
        <v>410133316</v>
      </c>
    </row>
    <row r="448" spans="1:3">
      <c r="A448" s="1005" t="s">
        <v>6167</v>
      </c>
      <c r="B448" s="1073">
        <v>6056380889</v>
      </c>
      <c r="C448" s="1073">
        <v>6056380889</v>
      </c>
    </row>
    <row r="449" spans="1:3">
      <c r="A449" s="1005" t="s">
        <v>6170</v>
      </c>
      <c r="B449" s="1073">
        <v>459679504</v>
      </c>
      <c r="C449" s="1073">
        <v>459679504</v>
      </c>
    </row>
    <row r="450" spans="1:3">
      <c r="A450" s="1005" t="s">
        <v>6176</v>
      </c>
      <c r="B450" s="1073">
        <v>1627204813</v>
      </c>
      <c r="C450" s="1073">
        <v>1627204813</v>
      </c>
    </row>
    <row r="451" spans="1:3">
      <c r="A451" s="1005" t="s">
        <v>5125</v>
      </c>
      <c r="B451" s="1073">
        <v>3649840467</v>
      </c>
      <c r="C451" s="1073">
        <v>3649840467</v>
      </c>
    </row>
    <row r="452" spans="1:3">
      <c r="A452" s="1005" t="s">
        <v>648</v>
      </c>
      <c r="B452" s="1073">
        <v>132610845</v>
      </c>
      <c r="C452" s="1073">
        <v>132610845</v>
      </c>
    </row>
    <row r="453" spans="1:3">
      <c r="A453" s="1005" t="s">
        <v>780</v>
      </c>
      <c r="B453" s="1073">
        <v>2663389732</v>
      </c>
      <c r="C453" s="1073">
        <v>2663389732</v>
      </c>
    </row>
    <row r="454" spans="1:3">
      <c r="A454" s="1005" t="s">
        <v>6038</v>
      </c>
      <c r="B454" s="1073">
        <v>1983503472</v>
      </c>
      <c r="C454" s="1073">
        <v>1983503472</v>
      </c>
    </row>
    <row r="455" spans="1:3">
      <c r="A455" s="1005" t="s">
        <v>3096</v>
      </c>
      <c r="B455" s="1073">
        <v>1913153227</v>
      </c>
      <c r="C455" s="1073">
        <v>1913153227</v>
      </c>
    </row>
    <row r="456" spans="1:3">
      <c r="A456" s="1005" t="s">
        <v>6040</v>
      </c>
      <c r="B456" s="1073">
        <v>98150997</v>
      </c>
      <c r="C456" s="1073">
        <v>98150997</v>
      </c>
    </row>
    <row r="457" spans="1:3">
      <c r="A457" s="1005" t="s">
        <v>3097</v>
      </c>
      <c r="B457" s="1073">
        <v>80450171</v>
      </c>
      <c r="C457" s="1073">
        <v>80450171</v>
      </c>
    </row>
    <row r="458" spans="1:3">
      <c r="A458" s="1005" t="s">
        <v>2419</v>
      </c>
      <c r="B458" s="1073">
        <v>439184789</v>
      </c>
      <c r="C458" s="1073">
        <v>439184789</v>
      </c>
    </row>
    <row r="459" spans="1:3">
      <c r="A459" s="1005" t="s">
        <v>2608</v>
      </c>
      <c r="B459" s="1073">
        <v>85210075</v>
      </c>
      <c r="C459" s="1073">
        <v>85210075</v>
      </c>
    </row>
    <row r="460" spans="1:3">
      <c r="A460" s="1005" t="s">
        <v>448</v>
      </c>
      <c r="B460" s="1073">
        <v>66101642</v>
      </c>
      <c r="C460" s="1073">
        <v>66101642</v>
      </c>
    </row>
    <row r="461" spans="1:3">
      <c r="A461" s="1005" t="s">
        <v>243</v>
      </c>
      <c r="B461" s="1073">
        <v>75542500</v>
      </c>
      <c r="C461" s="1073">
        <v>75542500</v>
      </c>
    </row>
    <row r="462" spans="1:3">
      <c r="A462" s="1005" t="s">
        <v>1868</v>
      </c>
      <c r="B462" s="1073">
        <v>534111544</v>
      </c>
      <c r="C462" s="1073">
        <v>534111544</v>
      </c>
    </row>
    <row r="463" spans="1:3">
      <c r="A463" s="1005" t="s">
        <v>3098</v>
      </c>
      <c r="B463" s="1073">
        <v>64152147</v>
      </c>
      <c r="C463" s="1073">
        <v>64152147</v>
      </c>
    </row>
    <row r="464" spans="1:3">
      <c r="A464" s="1005" t="s">
        <v>6022</v>
      </c>
      <c r="B464" s="1073">
        <v>166338267</v>
      </c>
      <c r="C464" s="1073">
        <v>166338267</v>
      </c>
    </row>
    <row r="465" spans="1:3">
      <c r="A465" s="1005" t="s">
        <v>2610</v>
      </c>
      <c r="B465" s="1073">
        <v>41445141</v>
      </c>
      <c r="C465" s="1073">
        <v>41445141</v>
      </c>
    </row>
    <row r="466" spans="1:3">
      <c r="A466" s="1005" t="s">
        <v>2612</v>
      </c>
      <c r="B466" s="1073">
        <v>25408078</v>
      </c>
      <c r="C466" s="1073">
        <v>25408078</v>
      </c>
    </row>
    <row r="467" spans="1:3">
      <c r="A467" s="1005" t="s">
        <v>782</v>
      </c>
      <c r="B467" s="1073">
        <v>536111094</v>
      </c>
      <c r="C467" s="1073">
        <v>536111094</v>
      </c>
    </row>
    <row r="468" spans="1:3">
      <c r="A468" s="1005" t="s">
        <v>2614</v>
      </c>
      <c r="B468" s="1073">
        <v>69468077</v>
      </c>
      <c r="C468" s="1073">
        <v>69468077</v>
      </c>
    </row>
    <row r="469" spans="1:3">
      <c r="A469" s="1005" t="s">
        <v>2468</v>
      </c>
      <c r="B469" s="1073">
        <v>107278275</v>
      </c>
      <c r="C469" s="1073">
        <v>107278275</v>
      </c>
    </row>
    <row r="470" spans="1:3">
      <c r="A470" s="1005" t="s">
        <v>2616</v>
      </c>
      <c r="B470" s="1073">
        <v>23786875</v>
      </c>
      <c r="C470" s="1073">
        <v>23786875</v>
      </c>
    </row>
    <row r="471" spans="1:3">
      <c r="A471" s="1005" t="s">
        <v>784</v>
      </c>
      <c r="B471" s="1073">
        <v>97498515</v>
      </c>
      <c r="C471" s="1073">
        <v>97498515</v>
      </c>
    </row>
    <row r="472" spans="1:3">
      <c r="A472" s="1005" t="s">
        <v>786</v>
      </c>
      <c r="B472" s="1073">
        <v>1838481369</v>
      </c>
      <c r="C472" s="1073">
        <v>1838481369</v>
      </c>
    </row>
    <row r="473" spans="1:3">
      <c r="A473" s="1005" t="s">
        <v>788</v>
      </c>
      <c r="B473" s="1073">
        <v>87488527</v>
      </c>
      <c r="C473" s="1073">
        <v>87488527</v>
      </c>
    </row>
    <row r="474" spans="1:3">
      <c r="A474" s="1005" t="s">
        <v>969</v>
      </c>
      <c r="B474" s="1073">
        <v>137395694</v>
      </c>
      <c r="C474" s="1073">
        <v>137395694</v>
      </c>
    </row>
    <row r="475" spans="1:3">
      <c r="A475" s="1005" t="s">
        <v>790</v>
      </c>
      <c r="B475" s="1073">
        <v>1581030292</v>
      </c>
      <c r="C475" s="1073">
        <v>1581030292</v>
      </c>
    </row>
    <row r="476" spans="1:3">
      <c r="A476" s="1005" t="s">
        <v>792</v>
      </c>
      <c r="B476" s="1073">
        <v>80461622</v>
      </c>
      <c r="C476" s="1073">
        <v>80461622</v>
      </c>
    </row>
    <row r="477" spans="1:3">
      <c r="A477" s="1005" t="s">
        <v>794</v>
      </c>
      <c r="B477" s="1073">
        <v>4536764593</v>
      </c>
      <c r="C477" s="1073">
        <v>4536764593</v>
      </c>
    </row>
    <row r="478" spans="1:3">
      <c r="A478" s="1005" t="s">
        <v>2991</v>
      </c>
      <c r="B478" s="1073">
        <v>169279253</v>
      </c>
      <c r="C478" s="1073">
        <v>169279253</v>
      </c>
    </row>
    <row r="479" spans="1:3">
      <c r="A479" s="1005" t="s">
        <v>2413</v>
      </c>
      <c r="B479" s="1073">
        <v>195429649</v>
      </c>
      <c r="C479" s="1073">
        <v>195429649</v>
      </c>
    </row>
    <row r="480" spans="1:3">
      <c r="A480" s="1005" t="s">
        <v>796</v>
      </c>
      <c r="B480" s="1073">
        <v>1138181677</v>
      </c>
      <c r="C480" s="1073">
        <v>1138181677</v>
      </c>
    </row>
    <row r="481" spans="1:3">
      <c r="A481" s="1005" t="s">
        <v>2044</v>
      </c>
      <c r="B481" s="1073">
        <v>62909435</v>
      </c>
      <c r="C481" s="1073">
        <v>62909435</v>
      </c>
    </row>
    <row r="482" spans="1:3">
      <c r="A482" s="1005" t="s">
        <v>798</v>
      </c>
      <c r="B482" s="1073">
        <v>97170041</v>
      </c>
      <c r="C482" s="1073">
        <v>97170041</v>
      </c>
    </row>
    <row r="483" spans="1:3">
      <c r="A483" s="1005" t="s">
        <v>2358</v>
      </c>
      <c r="B483" s="1073">
        <v>48038170</v>
      </c>
      <c r="C483" s="1073">
        <v>48038170</v>
      </c>
    </row>
    <row r="484" spans="1:3">
      <c r="A484" s="1005" t="s">
        <v>800</v>
      </c>
      <c r="B484" s="1073">
        <v>143798080</v>
      </c>
      <c r="C484" s="1073">
        <v>143798080</v>
      </c>
    </row>
    <row r="485" spans="1:3">
      <c r="A485" s="1005" t="s">
        <v>802</v>
      </c>
      <c r="B485" s="1073">
        <v>47435871</v>
      </c>
      <c r="C485" s="1073">
        <v>47435871</v>
      </c>
    </row>
    <row r="486" spans="1:3">
      <c r="A486" s="1005" t="s">
        <v>2046</v>
      </c>
      <c r="B486" s="1073">
        <v>73381309</v>
      </c>
      <c r="C486" s="1073">
        <v>73381309</v>
      </c>
    </row>
    <row r="487" spans="1:3">
      <c r="A487" s="1005" t="s">
        <v>804</v>
      </c>
      <c r="B487" s="1073">
        <v>402542260</v>
      </c>
      <c r="C487" s="1073">
        <v>402542260</v>
      </c>
    </row>
    <row r="488" spans="1:3">
      <c r="A488" s="1005" t="s">
        <v>806</v>
      </c>
      <c r="B488" s="1073">
        <v>254422754</v>
      </c>
      <c r="C488" s="1073">
        <v>254422754</v>
      </c>
    </row>
    <row r="489" spans="1:3">
      <c r="A489" s="1005" t="s">
        <v>808</v>
      </c>
      <c r="B489" s="1073">
        <v>439434793</v>
      </c>
      <c r="C489" s="1073">
        <v>439434793</v>
      </c>
    </row>
    <row r="490" spans="1:3">
      <c r="A490" s="1005" t="s">
        <v>810</v>
      </c>
      <c r="B490" s="1073">
        <v>142795787</v>
      </c>
      <c r="C490" s="1073">
        <v>142795787</v>
      </c>
    </row>
    <row r="491" spans="1:3">
      <c r="A491" s="1005" t="s">
        <v>667</v>
      </c>
      <c r="B491" s="1073">
        <v>109079327</v>
      </c>
      <c r="C491" s="1073">
        <v>109079327</v>
      </c>
    </row>
    <row r="492" spans="1:3">
      <c r="A492" s="1005" t="s">
        <v>1707</v>
      </c>
      <c r="B492" s="1073">
        <v>1848997496</v>
      </c>
      <c r="C492" s="1073">
        <v>1848997496</v>
      </c>
    </row>
    <row r="493" spans="1:3">
      <c r="A493" s="1005" t="s">
        <v>1709</v>
      </c>
      <c r="B493" s="1073">
        <v>518141248</v>
      </c>
      <c r="C493" s="1073">
        <v>518141248</v>
      </c>
    </row>
    <row r="494" spans="1:3">
      <c r="A494" s="1005" t="s">
        <v>1711</v>
      </c>
      <c r="B494" s="1073">
        <v>790450246</v>
      </c>
      <c r="C494" s="1073">
        <v>939896266</v>
      </c>
    </row>
    <row r="495" spans="1:3">
      <c r="A495" s="1005" t="s">
        <v>1713</v>
      </c>
      <c r="B495" s="1073">
        <v>183860044</v>
      </c>
      <c r="C495" s="1073">
        <v>183860044</v>
      </c>
    </row>
    <row r="496" spans="1:3">
      <c r="A496" s="1005" t="s">
        <v>1330</v>
      </c>
      <c r="B496" s="1073">
        <v>96440875</v>
      </c>
      <c r="C496" s="1073">
        <v>96440875</v>
      </c>
    </row>
    <row r="497" spans="1:3">
      <c r="A497" s="1005" t="s">
        <v>1332</v>
      </c>
      <c r="B497" s="1073">
        <v>59723304</v>
      </c>
      <c r="C497" s="1073">
        <v>59723304</v>
      </c>
    </row>
    <row r="498" spans="1:3">
      <c r="A498" s="1005" t="s">
        <v>979</v>
      </c>
      <c r="B498" s="1073">
        <v>350175640</v>
      </c>
      <c r="C498" s="1073">
        <v>350175640</v>
      </c>
    </row>
    <row r="499" spans="1:3">
      <c r="A499" s="1005" t="s">
        <v>1334</v>
      </c>
      <c r="B499" s="1073">
        <v>79268538</v>
      </c>
      <c r="C499" s="1073">
        <v>79268538</v>
      </c>
    </row>
    <row r="500" spans="1:3">
      <c r="A500" s="1005" t="s">
        <v>235</v>
      </c>
      <c r="B500" s="1073">
        <v>386357950</v>
      </c>
      <c r="C500" s="1073">
        <v>386357950</v>
      </c>
    </row>
    <row r="501" spans="1:3">
      <c r="A501" s="1005" t="s">
        <v>3961</v>
      </c>
      <c r="B501" s="1073">
        <v>1683802466</v>
      </c>
      <c r="C501" s="1073">
        <v>1683802466</v>
      </c>
    </row>
    <row r="502" spans="1:3">
      <c r="A502" s="1005" t="s">
        <v>2359</v>
      </c>
      <c r="B502" s="1073">
        <v>195636917</v>
      </c>
      <c r="C502" s="1073">
        <v>195636917</v>
      </c>
    </row>
    <row r="503" spans="1:3">
      <c r="A503" s="1005" t="s">
        <v>650</v>
      </c>
      <c r="B503" s="1073">
        <v>637758828</v>
      </c>
      <c r="C503" s="1073">
        <v>637758828</v>
      </c>
    </row>
    <row r="504" spans="1:3">
      <c r="A504" s="1005" t="s">
        <v>2127</v>
      </c>
      <c r="B504" s="1073">
        <v>94900189</v>
      </c>
      <c r="C504" s="1073">
        <v>94900189</v>
      </c>
    </row>
    <row r="505" spans="1:3">
      <c r="A505" s="1005" t="s">
        <v>3963</v>
      </c>
      <c r="B505" s="1073">
        <v>74313063</v>
      </c>
      <c r="C505" s="1073">
        <v>74313063</v>
      </c>
    </row>
    <row r="506" spans="1:3">
      <c r="A506" s="1005" t="s">
        <v>953</v>
      </c>
      <c r="B506" s="1073">
        <v>117489071</v>
      </c>
      <c r="C506" s="1073">
        <v>117489071</v>
      </c>
    </row>
    <row r="507" spans="1:3">
      <c r="A507" s="1005" t="s">
        <v>971</v>
      </c>
      <c r="B507" s="1073">
        <v>14065306</v>
      </c>
      <c r="C507" s="1073">
        <v>14065306</v>
      </c>
    </row>
    <row r="508" spans="1:3">
      <c r="A508" s="1005" t="s">
        <v>3965</v>
      </c>
      <c r="B508" s="1073">
        <v>579732247</v>
      </c>
      <c r="C508" s="1073">
        <v>579732247</v>
      </c>
    </row>
    <row r="509" spans="1:3">
      <c r="A509" s="1005" t="s">
        <v>3967</v>
      </c>
      <c r="B509" s="1073">
        <v>138961676</v>
      </c>
      <c r="C509" s="1073">
        <v>138961676</v>
      </c>
    </row>
    <row r="510" spans="1:3">
      <c r="A510" s="1005" t="s">
        <v>3969</v>
      </c>
      <c r="B510" s="1073">
        <v>1049249731</v>
      </c>
      <c r="C510" s="1073">
        <v>1480561481</v>
      </c>
    </row>
    <row r="511" spans="1:3">
      <c r="A511" s="1005" t="s">
        <v>757</v>
      </c>
      <c r="B511" s="1073">
        <v>50472922</v>
      </c>
      <c r="C511" s="1073">
        <v>50472922</v>
      </c>
    </row>
    <row r="512" spans="1:3">
      <c r="A512" s="1005" t="s">
        <v>759</v>
      </c>
      <c r="B512" s="1073">
        <v>1530731320</v>
      </c>
      <c r="C512" s="1073">
        <v>1530731320</v>
      </c>
    </row>
    <row r="513" spans="1:3">
      <c r="A513" s="1005" t="s">
        <v>69</v>
      </c>
      <c r="B513" s="1073">
        <v>195906523</v>
      </c>
      <c r="C513" s="1073">
        <v>408670793</v>
      </c>
    </row>
    <row r="514" spans="1:3">
      <c r="A514" s="1005" t="s">
        <v>71</v>
      </c>
      <c r="B514" s="1073">
        <v>1115802861</v>
      </c>
      <c r="C514" s="1073">
        <v>1115802861</v>
      </c>
    </row>
    <row r="515" spans="1:3">
      <c r="A515" s="1005" t="s">
        <v>73</v>
      </c>
      <c r="B515" s="1073">
        <v>312885650</v>
      </c>
      <c r="C515" s="1073">
        <v>312885650</v>
      </c>
    </row>
    <row r="516" spans="1:3">
      <c r="A516" s="1005" t="s">
        <v>75</v>
      </c>
      <c r="B516" s="1073">
        <v>578875876</v>
      </c>
      <c r="C516" s="1073">
        <v>578875876</v>
      </c>
    </row>
    <row r="517" spans="1:3">
      <c r="A517" s="1005" t="s">
        <v>1316</v>
      </c>
      <c r="B517" s="1073">
        <v>458384168</v>
      </c>
      <c r="C517" s="1073">
        <v>458384168</v>
      </c>
    </row>
    <row r="518" spans="1:3">
      <c r="A518" s="1005" t="s">
        <v>2600</v>
      </c>
      <c r="B518" s="1073">
        <v>722274042</v>
      </c>
      <c r="C518" s="1073">
        <v>722274042</v>
      </c>
    </row>
    <row r="519" spans="1:3">
      <c r="A519" s="1005" t="s">
        <v>7133</v>
      </c>
      <c r="B519" s="1073">
        <v>241699564</v>
      </c>
      <c r="C519" s="1073">
        <v>241699564</v>
      </c>
    </row>
    <row r="520" spans="1:3">
      <c r="A520" s="1005" t="s">
        <v>961</v>
      </c>
      <c r="B520" s="1073">
        <v>300817220</v>
      </c>
      <c r="C520" s="1073">
        <v>300817220</v>
      </c>
    </row>
    <row r="521" spans="1:3">
      <c r="A521" s="1005" t="s">
        <v>6024</v>
      </c>
      <c r="B521" s="1073">
        <v>929871753</v>
      </c>
      <c r="C521" s="1073">
        <v>929871753</v>
      </c>
    </row>
    <row r="522" spans="1:3">
      <c r="A522" s="1005" t="s">
        <v>6034</v>
      </c>
      <c r="B522" s="1073">
        <v>207581503</v>
      </c>
      <c r="C522" s="1073">
        <v>207581503</v>
      </c>
    </row>
    <row r="523" spans="1:3">
      <c r="A523" s="1005" t="s">
        <v>7135</v>
      </c>
      <c r="B523" s="1073">
        <v>372850311</v>
      </c>
      <c r="C523" s="1073">
        <v>372850311</v>
      </c>
    </row>
    <row r="524" spans="1:3">
      <c r="A524" s="1005" t="s">
        <v>7137</v>
      </c>
      <c r="B524" s="1073">
        <v>173372443</v>
      </c>
      <c r="C524" s="1073">
        <v>173372443</v>
      </c>
    </row>
    <row r="525" spans="1:3">
      <c r="A525" s="1005" t="s">
        <v>7139</v>
      </c>
      <c r="B525" s="1073">
        <v>43645720</v>
      </c>
      <c r="C525" s="1073">
        <v>43645720</v>
      </c>
    </row>
    <row r="526" spans="1:3">
      <c r="A526" s="1005" t="s">
        <v>6178</v>
      </c>
      <c r="B526" s="1073">
        <v>2057394531</v>
      </c>
      <c r="C526" s="1073">
        <v>2057394531</v>
      </c>
    </row>
    <row r="527" spans="1:3">
      <c r="A527" s="1005" t="s">
        <v>7145</v>
      </c>
      <c r="B527" s="1073">
        <v>3920959551</v>
      </c>
      <c r="C527" s="1073">
        <v>8075930201</v>
      </c>
    </row>
    <row r="528" spans="1:3">
      <c r="A528" s="1005" t="s">
        <v>7147</v>
      </c>
      <c r="B528" s="1073">
        <v>2390401210</v>
      </c>
      <c r="C528" s="1073">
        <v>2681225000</v>
      </c>
    </row>
    <row r="529" spans="1:3">
      <c r="A529" s="1005" t="s">
        <v>2808</v>
      </c>
      <c r="B529" s="1073">
        <v>9561111074</v>
      </c>
      <c r="C529" s="1073">
        <v>9561111074</v>
      </c>
    </row>
    <row r="530" spans="1:3">
      <c r="A530" s="1005" t="s">
        <v>2810</v>
      </c>
      <c r="B530" s="1073">
        <v>648742286</v>
      </c>
      <c r="C530" s="1073">
        <v>1136988816</v>
      </c>
    </row>
    <row r="531" spans="1:3">
      <c r="A531" s="1005" t="s">
        <v>1859</v>
      </c>
      <c r="B531" s="1073">
        <v>669686369</v>
      </c>
      <c r="C531" s="1073">
        <v>669686369</v>
      </c>
    </row>
    <row r="532" spans="1:3">
      <c r="A532" s="1005" t="s">
        <v>2812</v>
      </c>
      <c r="B532" s="1073">
        <v>374422105</v>
      </c>
      <c r="C532" s="1073">
        <v>374422105</v>
      </c>
    </row>
    <row r="533" spans="1:3">
      <c r="A533" s="1005" t="s">
        <v>820</v>
      </c>
      <c r="B533" s="1073">
        <v>1708099134</v>
      </c>
      <c r="C533" s="1073">
        <v>1708099134</v>
      </c>
    </row>
    <row r="534" spans="1:3">
      <c r="A534" s="1005" t="s">
        <v>127</v>
      </c>
      <c r="B534" s="1073">
        <v>75171381</v>
      </c>
      <c r="C534" s="1073">
        <v>75171381</v>
      </c>
    </row>
    <row r="535" spans="1:3">
      <c r="A535" s="1005" t="s">
        <v>6189</v>
      </c>
      <c r="B535" s="1073">
        <v>255451939</v>
      </c>
      <c r="C535" s="1073">
        <v>255451939</v>
      </c>
    </row>
    <row r="536" spans="1:3">
      <c r="A536" s="1005" t="s">
        <v>5130</v>
      </c>
      <c r="B536" s="1073">
        <v>129108102</v>
      </c>
      <c r="C536" s="1073">
        <v>129108102</v>
      </c>
    </row>
    <row r="537" spans="1:3">
      <c r="A537" s="1005" t="s">
        <v>2815</v>
      </c>
      <c r="B537" s="1073">
        <v>60760652</v>
      </c>
      <c r="C537" s="1073">
        <v>60760652</v>
      </c>
    </row>
    <row r="538" spans="1:3">
      <c r="A538" s="1005" t="s">
        <v>3888</v>
      </c>
      <c r="B538" s="1073">
        <v>1414541553</v>
      </c>
      <c r="C538" s="1073">
        <v>1414541553</v>
      </c>
    </row>
    <row r="539" spans="1:3">
      <c r="A539" s="1005" t="s">
        <v>977</v>
      </c>
      <c r="B539" s="1073">
        <v>3433879510</v>
      </c>
      <c r="C539" s="1073">
        <v>3433879510</v>
      </c>
    </row>
    <row r="540" spans="1:3">
      <c r="A540" s="1005" t="s">
        <v>739</v>
      </c>
      <c r="B540" s="1073">
        <v>2535294137</v>
      </c>
      <c r="C540" s="1073">
        <v>2535294137</v>
      </c>
    </row>
    <row r="541" spans="1:3">
      <c r="A541" s="1005" t="s">
        <v>1855</v>
      </c>
      <c r="B541" s="1073">
        <v>277249116</v>
      </c>
      <c r="C541" s="1073">
        <v>277249116</v>
      </c>
    </row>
    <row r="542" spans="1:3">
      <c r="A542" s="1005" t="s">
        <v>6025</v>
      </c>
      <c r="B542" s="1073">
        <v>1306089227</v>
      </c>
      <c r="C542" s="1073">
        <v>1306089227</v>
      </c>
    </row>
    <row r="543" spans="1:3">
      <c r="A543" s="1005" t="s">
        <v>2817</v>
      </c>
      <c r="B543" s="1073">
        <v>149935646</v>
      </c>
      <c r="C543" s="1073">
        <v>149935646</v>
      </c>
    </row>
    <row r="544" spans="1:3">
      <c r="A544" s="1005" t="s">
        <v>128</v>
      </c>
      <c r="B544" s="1073">
        <v>263872408</v>
      </c>
      <c r="C544" s="1073">
        <v>263872408</v>
      </c>
    </row>
    <row r="545" spans="1:3">
      <c r="A545" s="1005" t="s">
        <v>3551</v>
      </c>
      <c r="B545" s="1073">
        <v>238946223</v>
      </c>
      <c r="C545" s="1073">
        <v>238946223</v>
      </c>
    </row>
    <row r="546" spans="1:3">
      <c r="A546" s="1005" t="s">
        <v>1851</v>
      </c>
      <c r="B546" s="1073">
        <v>998140791</v>
      </c>
      <c r="C546" s="1073">
        <v>998140791</v>
      </c>
    </row>
    <row r="547" spans="1:3">
      <c r="A547" s="1005" t="s">
        <v>267</v>
      </c>
      <c r="B547" s="1073">
        <v>128847122</v>
      </c>
      <c r="C547" s="1073">
        <v>128847122</v>
      </c>
    </row>
    <row r="548" spans="1:3">
      <c r="A548" s="1005" t="s">
        <v>2819</v>
      </c>
      <c r="B548" s="1073">
        <v>164504111</v>
      </c>
      <c r="C548" s="1073">
        <v>164504111</v>
      </c>
    </row>
    <row r="549" spans="1:3">
      <c r="A549" s="1005" t="s">
        <v>1863</v>
      </c>
      <c r="B549" s="1073">
        <v>119099230</v>
      </c>
      <c r="C549" s="1073">
        <v>119099230</v>
      </c>
    </row>
    <row r="550" spans="1:3">
      <c r="A550" s="1005" t="s">
        <v>449</v>
      </c>
      <c r="B550" s="1073">
        <v>95958840</v>
      </c>
      <c r="C550" s="1073">
        <v>95958840</v>
      </c>
    </row>
    <row r="551" spans="1:3">
      <c r="A551" s="1005" t="s">
        <v>5138</v>
      </c>
      <c r="B551" s="1073">
        <v>83709174</v>
      </c>
      <c r="C551" s="1073">
        <v>83709174</v>
      </c>
    </row>
    <row r="552" spans="1:3">
      <c r="A552" s="1005" t="s">
        <v>6027</v>
      </c>
      <c r="B552" s="1073">
        <v>6471007978</v>
      </c>
      <c r="C552" s="1073">
        <v>6471007978</v>
      </c>
    </row>
    <row r="553" spans="1:3">
      <c r="A553" s="1005" t="s">
        <v>450</v>
      </c>
      <c r="B553" s="1073">
        <v>1857790538</v>
      </c>
      <c r="C553" s="1073">
        <v>1857790538</v>
      </c>
    </row>
    <row r="554" spans="1:3">
      <c r="A554" s="1005" t="s">
        <v>516</v>
      </c>
      <c r="B554" s="1073">
        <v>1162801939</v>
      </c>
      <c r="C554" s="1073">
        <v>1162801939</v>
      </c>
    </row>
    <row r="555" spans="1:3">
      <c r="A555" s="1005" t="s">
        <v>1525</v>
      </c>
      <c r="B555" s="1073">
        <v>1037112749</v>
      </c>
      <c r="C555" s="1073">
        <v>1037112749</v>
      </c>
    </row>
    <row r="556" spans="1:3">
      <c r="A556" s="1005" t="s">
        <v>244</v>
      </c>
      <c r="B556" s="1073">
        <v>541844442</v>
      </c>
      <c r="C556" s="1073">
        <v>541844442</v>
      </c>
    </row>
    <row r="557" spans="1:3">
      <c r="A557" s="1005" t="s">
        <v>1308</v>
      </c>
      <c r="B557" s="1073">
        <v>2447875199</v>
      </c>
      <c r="C557" s="1073">
        <v>2447875199</v>
      </c>
    </row>
    <row r="558" spans="1:3">
      <c r="A558" s="1005" t="s">
        <v>6029</v>
      </c>
      <c r="B558" s="1073">
        <v>569395032</v>
      </c>
      <c r="C558" s="1073">
        <v>569395032</v>
      </c>
    </row>
    <row r="559" spans="1:3">
      <c r="A559" s="1005" t="s">
        <v>6031</v>
      </c>
      <c r="B559" s="1073">
        <v>297036597</v>
      </c>
      <c r="C559" s="1073">
        <v>297036597</v>
      </c>
    </row>
    <row r="560" spans="1:3">
      <c r="A560" s="1005" t="s">
        <v>5628</v>
      </c>
      <c r="B560" s="1073">
        <v>1036793374</v>
      </c>
      <c r="C560" s="1073">
        <v>1036793374</v>
      </c>
    </row>
    <row r="561" spans="1:3">
      <c r="A561" s="1005" t="s">
        <v>5630</v>
      </c>
      <c r="B561" s="1073">
        <v>1295200559</v>
      </c>
      <c r="C561" s="1073">
        <v>1295200559</v>
      </c>
    </row>
    <row r="562" spans="1:3">
      <c r="A562" s="1005" t="s">
        <v>2395</v>
      </c>
      <c r="B562" s="1073">
        <v>142281277</v>
      </c>
      <c r="C562" s="1073">
        <v>142281277</v>
      </c>
    </row>
    <row r="563" spans="1:3">
      <c r="A563" s="1005" t="s">
        <v>5632</v>
      </c>
      <c r="B563" s="1073">
        <v>5185849965</v>
      </c>
      <c r="C563" s="1073">
        <v>5185849965</v>
      </c>
    </row>
    <row r="564" spans="1:3">
      <c r="A564" s="1005" t="s">
        <v>6147</v>
      </c>
      <c r="B564" s="1073">
        <v>713628018</v>
      </c>
      <c r="C564" s="1073">
        <v>713628018</v>
      </c>
    </row>
    <row r="565" spans="1:3">
      <c r="A565" s="1005" t="s">
        <v>1417</v>
      </c>
      <c r="B565" s="1073">
        <v>789444049</v>
      </c>
      <c r="C565" s="1073">
        <v>925460309</v>
      </c>
    </row>
    <row r="566" spans="1:3">
      <c r="A566" s="1005" t="s">
        <v>1419</v>
      </c>
      <c r="B566" s="1073">
        <v>804281005</v>
      </c>
      <c r="C566" s="1073">
        <v>804281005</v>
      </c>
    </row>
    <row r="567" spans="1:3">
      <c r="A567" s="1005" t="s">
        <v>2469</v>
      </c>
      <c r="B567" s="1073">
        <v>236285503</v>
      </c>
      <c r="C567" s="1073">
        <v>236285503</v>
      </c>
    </row>
    <row r="568" spans="1:3">
      <c r="A568" s="1005" t="s">
        <v>1421</v>
      </c>
      <c r="B568" s="1073">
        <v>342118149</v>
      </c>
      <c r="C568" s="1073">
        <v>342118149</v>
      </c>
    </row>
    <row r="569" spans="1:3">
      <c r="A569" s="1005" t="s">
        <v>1423</v>
      </c>
      <c r="B569" s="1073">
        <v>2329511033</v>
      </c>
      <c r="C569" s="1073">
        <v>2329511033</v>
      </c>
    </row>
    <row r="570" spans="1:3">
      <c r="A570" s="1005" t="s">
        <v>1425</v>
      </c>
      <c r="B570" s="1073">
        <v>440334401</v>
      </c>
      <c r="C570" s="1073">
        <v>440334401</v>
      </c>
    </row>
    <row r="571" spans="1:3">
      <c r="A571" s="1005" t="s">
        <v>7151</v>
      </c>
      <c r="B571" s="1073">
        <v>53706350</v>
      </c>
      <c r="C571" s="1073">
        <v>53706350</v>
      </c>
    </row>
    <row r="572" spans="1:3">
      <c r="A572" s="1005" t="s">
        <v>7153</v>
      </c>
      <c r="B572" s="1073">
        <v>377929440</v>
      </c>
      <c r="C572" s="1073">
        <v>377929440</v>
      </c>
    </row>
    <row r="573" spans="1:3">
      <c r="A573" s="1005" t="s">
        <v>1833</v>
      </c>
      <c r="B573" s="1073">
        <v>283884125</v>
      </c>
      <c r="C573" s="1073">
        <v>283884125</v>
      </c>
    </row>
    <row r="574" spans="1:3">
      <c r="A574" s="1005" t="s">
        <v>1835</v>
      </c>
      <c r="B574" s="1073">
        <v>243667555</v>
      </c>
      <c r="C574" s="1073">
        <v>369567555</v>
      </c>
    </row>
    <row r="575" spans="1:3">
      <c r="A575" s="1005" t="s">
        <v>510</v>
      </c>
      <c r="B575" s="1073">
        <v>710478081</v>
      </c>
      <c r="C575" s="1073">
        <v>710478081</v>
      </c>
    </row>
    <row r="576" spans="1:3">
      <c r="A576" s="1005" t="s">
        <v>3530</v>
      </c>
      <c r="B576" s="1073">
        <v>134638283</v>
      </c>
      <c r="C576" s="1073">
        <v>134638283</v>
      </c>
    </row>
    <row r="577" spans="1:3">
      <c r="A577" s="1005" t="s">
        <v>3532</v>
      </c>
      <c r="B577" s="1073">
        <v>218974010</v>
      </c>
      <c r="C577" s="1073">
        <v>218974010</v>
      </c>
    </row>
    <row r="578" spans="1:3">
      <c r="A578" s="1005" t="s">
        <v>3534</v>
      </c>
      <c r="B578" s="1073">
        <v>195078438</v>
      </c>
      <c r="C578" s="1073">
        <v>195078438</v>
      </c>
    </row>
    <row r="579" spans="1:3">
      <c r="A579" s="1005" t="s">
        <v>511</v>
      </c>
      <c r="B579" s="1073">
        <v>109635300</v>
      </c>
      <c r="C579" s="1073">
        <v>109635300</v>
      </c>
    </row>
    <row r="580" spans="1:3">
      <c r="A580" s="1005" t="s">
        <v>3539</v>
      </c>
      <c r="B580" s="1073">
        <v>61986014</v>
      </c>
      <c r="C580" s="1073">
        <v>61986014</v>
      </c>
    </row>
    <row r="581" spans="1:3">
      <c r="A581" s="1005" t="s">
        <v>3541</v>
      </c>
      <c r="B581" s="1073">
        <v>52564670</v>
      </c>
      <c r="C581" s="1073">
        <v>52564670</v>
      </c>
    </row>
    <row r="582" spans="1:3">
      <c r="A582" s="1005" t="s">
        <v>3543</v>
      </c>
      <c r="B582" s="1073">
        <v>772641400</v>
      </c>
      <c r="C582" s="1073">
        <v>772641400</v>
      </c>
    </row>
    <row r="583" spans="1:3">
      <c r="A583" s="1005" t="s">
        <v>129</v>
      </c>
      <c r="B583" s="1073">
        <v>96272803</v>
      </c>
      <c r="C583" s="1073">
        <v>96272803</v>
      </c>
    </row>
    <row r="584" spans="1:3">
      <c r="A584" s="1005" t="s">
        <v>6193</v>
      </c>
      <c r="B584" s="1073">
        <v>682927654</v>
      </c>
      <c r="C584" s="1073">
        <v>682927654</v>
      </c>
    </row>
    <row r="585" spans="1:3">
      <c r="A585" s="1005" t="s">
        <v>2674</v>
      </c>
      <c r="B585" s="1073">
        <v>1045059275</v>
      </c>
      <c r="C585" s="1073">
        <v>1045059275</v>
      </c>
    </row>
    <row r="586" spans="1:3">
      <c r="A586" s="1005" t="s">
        <v>512</v>
      </c>
      <c r="B586" s="1073">
        <v>197408963</v>
      </c>
      <c r="C586" s="1073">
        <v>197408963</v>
      </c>
    </row>
    <row r="587" spans="1:3">
      <c r="A587" s="1005" t="s">
        <v>600</v>
      </c>
      <c r="B587" s="1073">
        <v>42785688</v>
      </c>
      <c r="C587" s="1073">
        <v>42785688</v>
      </c>
    </row>
    <row r="588" spans="1:3">
      <c r="A588" s="1005" t="s">
        <v>602</v>
      </c>
      <c r="B588" s="1073">
        <v>205743282</v>
      </c>
      <c r="C588" s="1073">
        <v>205743282</v>
      </c>
    </row>
    <row r="589" spans="1:3">
      <c r="A589" s="1005" t="s">
        <v>6188</v>
      </c>
      <c r="B589" s="1073">
        <v>130540677</v>
      </c>
      <c r="C589" s="1073">
        <v>130540677</v>
      </c>
    </row>
    <row r="590" spans="1:3">
      <c r="A590" s="1005" t="s">
        <v>2018</v>
      </c>
      <c r="B590" s="1073">
        <v>78430865</v>
      </c>
      <c r="C590" s="1073">
        <v>78430865</v>
      </c>
    </row>
    <row r="591" spans="1:3">
      <c r="A591" s="1005" t="s">
        <v>2020</v>
      </c>
      <c r="B591" s="1073">
        <v>401642238</v>
      </c>
      <c r="C591" s="1073">
        <v>401642238</v>
      </c>
    </row>
    <row r="592" spans="1:3">
      <c r="A592" s="1005" t="s">
        <v>2024</v>
      </c>
      <c r="B592" s="1073">
        <v>1003284572</v>
      </c>
      <c r="C592" s="1073">
        <v>1003284572</v>
      </c>
    </row>
    <row r="593" spans="1:3">
      <c r="A593" s="1005" t="s">
        <v>2026</v>
      </c>
      <c r="B593" s="1073">
        <v>122898334</v>
      </c>
      <c r="C593" s="1073">
        <v>122898334</v>
      </c>
    </row>
    <row r="594" spans="1:3">
      <c r="A594" s="1005" t="s">
        <v>242</v>
      </c>
      <c r="B594" s="1073">
        <v>7029139505</v>
      </c>
      <c r="C594" s="1073">
        <v>7029139505</v>
      </c>
    </row>
    <row r="595" spans="1:3">
      <c r="A595" s="1005" t="s">
        <v>2028</v>
      </c>
      <c r="B595" s="1073">
        <v>740675332</v>
      </c>
      <c r="C595" s="1073">
        <v>740675332</v>
      </c>
    </row>
    <row r="596" spans="1:3">
      <c r="A596" s="1005" t="s">
        <v>2030</v>
      </c>
      <c r="B596" s="1073">
        <v>597910810</v>
      </c>
      <c r="C596" s="1073">
        <v>597910810</v>
      </c>
    </row>
    <row r="597" spans="1:3">
      <c r="A597" s="1005" t="s">
        <v>2032</v>
      </c>
      <c r="B597" s="1073">
        <v>802725382</v>
      </c>
      <c r="C597" s="1073">
        <v>802725382</v>
      </c>
    </row>
    <row r="598" spans="1:3">
      <c r="A598" s="1005" t="s">
        <v>2034</v>
      </c>
      <c r="B598" s="1073">
        <v>57300663</v>
      </c>
      <c r="C598" s="1073">
        <v>57300663</v>
      </c>
    </row>
    <row r="599" spans="1:3">
      <c r="A599" s="1005" t="s">
        <v>2036</v>
      </c>
      <c r="B599" s="1073">
        <v>62958251</v>
      </c>
      <c r="C599" s="1073">
        <v>62958251</v>
      </c>
    </row>
    <row r="600" spans="1:3">
      <c r="A600" s="1005" t="s">
        <v>308</v>
      </c>
      <c r="B600" s="1073">
        <v>98867282</v>
      </c>
      <c r="C600" s="1073">
        <v>98867282</v>
      </c>
    </row>
    <row r="601" spans="1:3">
      <c r="A601" s="1005" t="s">
        <v>310</v>
      </c>
      <c r="B601" s="1073">
        <v>785896786</v>
      </c>
      <c r="C601" s="1073">
        <v>785896786</v>
      </c>
    </row>
    <row r="602" spans="1:3">
      <c r="A602" s="1005" t="s">
        <v>312</v>
      </c>
      <c r="B602" s="1073">
        <v>368216776</v>
      </c>
      <c r="C602" s="1073">
        <v>368216776</v>
      </c>
    </row>
    <row r="603" spans="1:3">
      <c r="A603" s="1005" t="s">
        <v>314</v>
      </c>
      <c r="B603" s="1073">
        <v>179516070</v>
      </c>
      <c r="C603" s="1073">
        <v>179516070</v>
      </c>
    </row>
    <row r="604" spans="1:3">
      <c r="A604" s="1005" t="s">
        <v>316</v>
      </c>
      <c r="B604" s="1073">
        <v>444075744</v>
      </c>
      <c r="C604" s="1073">
        <v>444075744</v>
      </c>
    </row>
    <row r="605" spans="1:3">
      <c r="A605" s="1005" t="s">
        <v>318</v>
      </c>
      <c r="B605" s="1073">
        <v>471495200</v>
      </c>
      <c r="C605" s="1073">
        <v>471495200</v>
      </c>
    </row>
    <row r="606" spans="1:3">
      <c r="A606" s="1005" t="s">
        <v>320</v>
      </c>
      <c r="B606" s="1073">
        <v>274814142</v>
      </c>
      <c r="C606" s="1073">
        <v>274814142</v>
      </c>
    </row>
    <row r="607" spans="1:3">
      <c r="A607" s="1005" t="s">
        <v>2319</v>
      </c>
      <c r="B607" s="1073">
        <v>77948923</v>
      </c>
      <c r="C607" s="1073">
        <v>77948923</v>
      </c>
    </row>
    <row r="608" spans="1:3">
      <c r="A608" s="1005" t="s">
        <v>2321</v>
      </c>
      <c r="B608" s="1073">
        <v>799693943</v>
      </c>
      <c r="C608" s="1073">
        <v>799693943</v>
      </c>
    </row>
    <row r="609" spans="1:3">
      <c r="A609" s="1005" t="s">
        <v>3178</v>
      </c>
      <c r="B609" s="1073">
        <v>820704415</v>
      </c>
      <c r="C609" s="1073">
        <v>820704415</v>
      </c>
    </row>
    <row r="610" spans="1:3">
      <c r="A610" s="1005" t="s">
        <v>249</v>
      </c>
      <c r="B610" s="1073">
        <v>1477069911</v>
      </c>
      <c r="C610" s="1073">
        <v>1477069911</v>
      </c>
    </row>
    <row r="611" spans="1:3">
      <c r="A611" s="1005" t="s">
        <v>2323</v>
      </c>
      <c r="B611" s="1073">
        <v>289920993</v>
      </c>
      <c r="C611" s="1073">
        <v>289920993</v>
      </c>
    </row>
    <row r="612" spans="1:3">
      <c r="A612" s="1005" t="s">
        <v>513</v>
      </c>
      <c r="B612" s="1073">
        <v>314880888</v>
      </c>
      <c r="C612" s="1073">
        <v>314880888</v>
      </c>
    </row>
    <row r="613" spans="1:3">
      <c r="A613" s="1005" t="s">
        <v>1872</v>
      </c>
      <c r="B613" s="1073">
        <v>250027011</v>
      </c>
      <c r="C613" s="1073">
        <v>250027011</v>
      </c>
    </row>
    <row r="614" spans="1:3">
      <c r="A614" s="1005" t="s">
        <v>2325</v>
      </c>
      <c r="B614" s="1073">
        <v>819811782</v>
      </c>
      <c r="C614" s="1073">
        <v>944057922</v>
      </c>
    </row>
    <row r="615" spans="1:3">
      <c r="A615" s="1005" t="s">
        <v>2327</v>
      </c>
      <c r="B615" s="1073">
        <v>425572593</v>
      </c>
      <c r="C615" s="1073">
        <v>425572593</v>
      </c>
    </row>
    <row r="616" spans="1:3">
      <c r="A616" s="1005" t="s">
        <v>5236</v>
      </c>
      <c r="B616" s="1073">
        <v>36984793</v>
      </c>
      <c r="C616" s="1073">
        <v>36984793</v>
      </c>
    </row>
    <row r="617" spans="1:3">
      <c r="A617" s="1005" t="s">
        <v>7700</v>
      </c>
      <c r="B617" s="1073">
        <v>1748194813</v>
      </c>
      <c r="C617" s="1073">
        <v>1748194813</v>
      </c>
    </row>
    <row r="618" spans="1:3">
      <c r="A618" s="1005" t="s">
        <v>7702</v>
      </c>
      <c r="B618" s="1073">
        <v>408802098</v>
      </c>
      <c r="C618" s="1073">
        <v>408802098</v>
      </c>
    </row>
    <row r="619" spans="1:3">
      <c r="A619" s="1005" t="s">
        <v>7704</v>
      </c>
      <c r="B619" s="1073">
        <v>372230617</v>
      </c>
      <c r="C619" s="1073">
        <v>372230617</v>
      </c>
    </row>
    <row r="620" spans="1:3">
      <c r="A620" s="1005" t="s">
        <v>5634</v>
      </c>
      <c r="B620" s="1073">
        <v>263289158</v>
      </c>
      <c r="C620" s="1073">
        <v>263289158</v>
      </c>
    </row>
    <row r="621" spans="1:3">
      <c r="A621" s="1005" t="s">
        <v>5636</v>
      </c>
      <c r="B621" s="1073">
        <v>480545800</v>
      </c>
      <c r="C621" s="1073">
        <v>480545800</v>
      </c>
    </row>
    <row r="622" spans="1:3">
      <c r="A622" s="1005" t="s">
        <v>4016</v>
      </c>
      <c r="B622" s="1073">
        <v>149726953</v>
      </c>
      <c r="C622" s="1073">
        <v>149726953</v>
      </c>
    </row>
    <row r="623" spans="1:3">
      <c r="A623" s="1005" t="s">
        <v>4018</v>
      </c>
      <c r="B623" s="1073">
        <v>700062273</v>
      </c>
      <c r="C623" s="1073">
        <v>700062273</v>
      </c>
    </row>
    <row r="624" spans="1:3">
      <c r="A624" s="1005" t="s">
        <v>4020</v>
      </c>
      <c r="B624" s="1073">
        <v>2719545566</v>
      </c>
      <c r="C624" s="1073">
        <v>2719545566</v>
      </c>
    </row>
    <row r="625" spans="1:3">
      <c r="A625" s="1005" t="s">
        <v>4022</v>
      </c>
      <c r="B625" s="1073">
        <v>3082810590</v>
      </c>
      <c r="C625" s="1073">
        <v>3082810590</v>
      </c>
    </row>
    <row r="626" spans="1:3">
      <c r="A626" s="1005" t="s">
        <v>2996</v>
      </c>
      <c r="B626" s="1073">
        <v>9247600786</v>
      </c>
      <c r="C626" s="1073">
        <v>9247600786</v>
      </c>
    </row>
    <row r="627" spans="1:3">
      <c r="A627" s="1005" t="s">
        <v>4028</v>
      </c>
      <c r="B627" s="1073">
        <v>216312097</v>
      </c>
      <c r="C627" s="1073">
        <v>216312097</v>
      </c>
    </row>
    <row r="628" spans="1:3">
      <c r="A628" s="1005" t="s">
        <v>4030</v>
      </c>
      <c r="B628" s="1073">
        <v>351248099</v>
      </c>
      <c r="C628" s="1073">
        <v>351248099</v>
      </c>
    </row>
    <row r="629" spans="1:3">
      <c r="A629" s="1005" t="s">
        <v>2903</v>
      </c>
      <c r="B629" s="1073">
        <v>1982152906</v>
      </c>
      <c r="C629" s="1073">
        <v>1982152906</v>
      </c>
    </row>
    <row r="630" spans="1:3">
      <c r="A630" s="1005" t="s">
        <v>1310</v>
      </c>
      <c r="B630" s="1073">
        <v>2879639185</v>
      </c>
      <c r="C630" s="1073">
        <v>2879639185</v>
      </c>
    </row>
    <row r="631" spans="1:3">
      <c r="A631" s="1005" t="s">
        <v>4032</v>
      </c>
      <c r="B631" s="1073">
        <v>278731834</v>
      </c>
      <c r="C631" s="1073">
        <v>278731834</v>
      </c>
    </row>
    <row r="632" spans="1:3">
      <c r="A632" s="1005" t="s">
        <v>2397</v>
      </c>
      <c r="B632" s="1073">
        <v>288761371</v>
      </c>
      <c r="C632" s="1073">
        <v>288761371</v>
      </c>
    </row>
    <row r="633" spans="1:3">
      <c r="A633" s="1005" t="s">
        <v>669</v>
      </c>
      <c r="B633" s="1073">
        <v>232042243</v>
      </c>
      <c r="C633" s="1073">
        <v>232042243</v>
      </c>
    </row>
    <row r="634" spans="1:3">
      <c r="A634" s="1005" t="s">
        <v>4151</v>
      </c>
      <c r="B634" s="1073">
        <v>145765643</v>
      </c>
      <c r="C634" s="1073">
        <v>228791303</v>
      </c>
    </row>
    <row r="635" spans="1:3">
      <c r="A635" s="1005" t="s">
        <v>4153</v>
      </c>
      <c r="B635" s="1073">
        <v>113757145</v>
      </c>
      <c r="C635" s="1073">
        <v>113757145</v>
      </c>
    </row>
    <row r="636" spans="1:3">
      <c r="A636" s="1005" t="s">
        <v>4155</v>
      </c>
      <c r="B636" s="1073">
        <v>57784131</v>
      </c>
      <c r="C636" s="1073">
        <v>57784131</v>
      </c>
    </row>
    <row r="637" spans="1:3">
      <c r="A637" s="1005" t="s">
        <v>4157</v>
      </c>
      <c r="B637" s="1073">
        <v>50882440</v>
      </c>
      <c r="C637" s="1073">
        <v>50882440</v>
      </c>
    </row>
    <row r="638" spans="1:3">
      <c r="A638" s="1005" t="s">
        <v>3000</v>
      </c>
      <c r="B638" s="1073">
        <v>810785713</v>
      </c>
      <c r="C638" s="1073">
        <v>810785713</v>
      </c>
    </row>
    <row r="639" spans="1:3">
      <c r="A639" s="1005" t="s">
        <v>4159</v>
      </c>
      <c r="B639" s="1073">
        <v>399425934</v>
      </c>
      <c r="C639" s="1073">
        <v>399425934</v>
      </c>
    </row>
    <row r="640" spans="1:3">
      <c r="A640" s="1005" t="s">
        <v>4161</v>
      </c>
      <c r="B640" s="1073">
        <v>611070626</v>
      </c>
      <c r="C640" s="1073">
        <v>611070626</v>
      </c>
    </row>
    <row r="641" spans="1:3">
      <c r="A641" s="1005" t="s">
        <v>4163</v>
      </c>
      <c r="B641" s="1073">
        <v>2433074543</v>
      </c>
      <c r="C641" s="1073">
        <v>2494385053</v>
      </c>
    </row>
    <row r="642" spans="1:3">
      <c r="A642" s="1005" t="s">
        <v>4165</v>
      </c>
      <c r="B642" s="1073">
        <v>2170636727</v>
      </c>
      <c r="C642" s="1073">
        <v>2179968077</v>
      </c>
    </row>
    <row r="643" spans="1:3">
      <c r="A643" s="1005" t="s">
        <v>4167</v>
      </c>
      <c r="B643" s="1073">
        <v>318561855</v>
      </c>
      <c r="C643" s="1073">
        <v>318561855</v>
      </c>
    </row>
    <row r="644" spans="1:3">
      <c r="A644" s="1005" t="s">
        <v>4169</v>
      </c>
      <c r="B644" s="1073">
        <v>1074760006</v>
      </c>
      <c r="C644" s="1073">
        <v>1074760006</v>
      </c>
    </row>
    <row r="645" spans="1:3">
      <c r="A645" s="1005" t="s">
        <v>4171</v>
      </c>
      <c r="B645" s="1073">
        <v>1114465457</v>
      </c>
      <c r="C645" s="1073">
        <v>1114465457</v>
      </c>
    </row>
    <row r="646" spans="1:3">
      <c r="A646" s="1005" t="s">
        <v>2055</v>
      </c>
      <c r="B646" s="1073">
        <v>257982752</v>
      </c>
      <c r="C646" s="1073">
        <v>257982752</v>
      </c>
    </row>
    <row r="647" spans="1:3">
      <c r="A647" s="1005" t="s">
        <v>2057</v>
      </c>
      <c r="B647" s="1073">
        <v>1209222807</v>
      </c>
      <c r="C647" s="1073">
        <v>1209222807</v>
      </c>
    </row>
    <row r="648" spans="1:3">
      <c r="A648" s="1005" t="s">
        <v>2059</v>
      </c>
      <c r="B648" s="1073">
        <v>611444462</v>
      </c>
      <c r="C648" s="1073">
        <v>611444462</v>
      </c>
    </row>
    <row r="649" spans="1:3">
      <c r="A649" s="1005" t="s">
        <v>1814</v>
      </c>
      <c r="B649" s="1073">
        <v>2072826874</v>
      </c>
      <c r="C649" s="1073">
        <v>2072826874</v>
      </c>
    </row>
    <row r="650" spans="1:3">
      <c r="A650" s="1005" t="s">
        <v>958</v>
      </c>
      <c r="B650" s="1073">
        <v>455852765</v>
      </c>
      <c r="C650" s="1073">
        <v>455852765</v>
      </c>
    </row>
    <row r="651" spans="1:3">
      <c r="A651" s="1005" t="s">
        <v>2061</v>
      </c>
      <c r="B651" s="1073">
        <v>52851576</v>
      </c>
      <c r="C651" s="1073">
        <v>52851576</v>
      </c>
    </row>
    <row r="652" spans="1:3">
      <c r="A652" s="1005" t="s">
        <v>1845</v>
      </c>
      <c r="B652" s="1073">
        <v>22378696</v>
      </c>
      <c r="C652" s="1073">
        <v>22378696</v>
      </c>
    </row>
    <row r="653" spans="1:3">
      <c r="A653" s="1005" t="s">
        <v>5237</v>
      </c>
      <c r="B653" s="1073">
        <v>148856689</v>
      </c>
      <c r="C653" s="1073">
        <v>148856689</v>
      </c>
    </row>
    <row r="654" spans="1:3">
      <c r="A654" s="1005" t="s">
        <v>2065</v>
      </c>
      <c r="B654" s="1073">
        <v>4082620397</v>
      </c>
      <c r="C654" s="1073">
        <v>4082620397</v>
      </c>
    </row>
    <row r="655" spans="1:3">
      <c r="A655" s="1005" t="s">
        <v>2905</v>
      </c>
      <c r="B655" s="1073">
        <v>657186516</v>
      </c>
      <c r="C655" s="1073">
        <v>657186516</v>
      </c>
    </row>
    <row r="656" spans="1:3">
      <c r="A656" s="1005" t="s">
        <v>5238</v>
      </c>
      <c r="B656" s="1073">
        <v>411338518</v>
      </c>
      <c r="C656" s="1073">
        <v>411338518</v>
      </c>
    </row>
    <row r="657" spans="1:3">
      <c r="A657" s="1005" t="s">
        <v>6163</v>
      </c>
      <c r="B657" s="1073">
        <v>105565809</v>
      </c>
      <c r="C657" s="1073">
        <v>105565809</v>
      </c>
    </row>
    <row r="658" spans="1:3">
      <c r="A658" s="1005" t="s">
        <v>2470</v>
      </c>
      <c r="B658" s="1073">
        <v>312718491</v>
      </c>
      <c r="C658" s="1073">
        <v>312718491</v>
      </c>
    </row>
    <row r="659" spans="1:3">
      <c r="A659" s="1005" t="s">
        <v>973</v>
      </c>
      <c r="B659" s="1073">
        <v>149319204</v>
      </c>
      <c r="C659" s="1073">
        <v>149319204</v>
      </c>
    </row>
    <row r="660" spans="1:3">
      <c r="A660" s="1005" t="s">
        <v>2769</v>
      </c>
      <c r="B660" s="1073">
        <v>710549907</v>
      </c>
      <c r="C660" s="1073">
        <v>710549907</v>
      </c>
    </row>
    <row r="661" spans="1:3">
      <c r="A661" s="1005" t="s">
        <v>3553</v>
      </c>
      <c r="B661" s="1073">
        <v>4022356733</v>
      </c>
      <c r="C661" s="1073">
        <v>4022356733</v>
      </c>
    </row>
    <row r="662" spans="1:3">
      <c r="A662" s="1005" t="s">
        <v>3556</v>
      </c>
      <c r="B662" s="1073">
        <v>349343275</v>
      </c>
      <c r="C662" s="1073">
        <v>349343275</v>
      </c>
    </row>
    <row r="663" spans="1:3">
      <c r="A663" s="1005" t="s">
        <v>5052</v>
      </c>
      <c r="B663" s="1073">
        <v>109085897</v>
      </c>
      <c r="C663" s="1073">
        <v>109085897</v>
      </c>
    </row>
    <row r="664" spans="1:3">
      <c r="A664" s="1005" t="s">
        <v>5054</v>
      </c>
      <c r="B664" s="1073">
        <v>152960666</v>
      </c>
      <c r="C664" s="1073">
        <v>152960666</v>
      </c>
    </row>
    <row r="665" spans="1:3">
      <c r="A665" s="1005" t="s">
        <v>737</v>
      </c>
      <c r="B665" s="1073">
        <v>610380775</v>
      </c>
      <c r="C665" s="1073">
        <v>610380775</v>
      </c>
    </row>
    <row r="666" spans="1:3">
      <c r="A666" s="1005" t="s">
        <v>237</v>
      </c>
      <c r="B666" s="1073">
        <v>566682951</v>
      </c>
      <c r="C666" s="1073">
        <v>566682951</v>
      </c>
    </row>
    <row r="667" spans="1:3">
      <c r="A667" s="1005" t="s">
        <v>2307</v>
      </c>
      <c r="B667" s="1073">
        <v>520922530</v>
      </c>
      <c r="C667" s="1073">
        <v>520922530</v>
      </c>
    </row>
    <row r="668" spans="1:3">
      <c r="A668" s="1005" t="s">
        <v>957</v>
      </c>
      <c r="B668" s="1073">
        <v>137671511</v>
      </c>
      <c r="C668" s="1073">
        <v>137671511</v>
      </c>
    </row>
    <row r="669" spans="1:3">
      <c r="A669" s="1005" t="s">
        <v>5056</v>
      </c>
      <c r="B669" s="1073">
        <v>57206201</v>
      </c>
      <c r="C669" s="1073">
        <v>57206201</v>
      </c>
    </row>
    <row r="670" spans="1:3">
      <c r="A670" s="1005" t="s">
        <v>5137</v>
      </c>
      <c r="B670" s="1073">
        <v>35302659</v>
      </c>
      <c r="C670" s="1073">
        <v>35302659</v>
      </c>
    </row>
    <row r="671" spans="1:3">
      <c r="A671" s="1005" t="s">
        <v>4568</v>
      </c>
      <c r="B671" s="1073">
        <v>3949455935</v>
      </c>
      <c r="C671" s="1073">
        <v>3949455935</v>
      </c>
    </row>
    <row r="672" spans="1:3">
      <c r="A672" s="1005" t="s">
        <v>2053</v>
      </c>
      <c r="B672" s="1073">
        <v>359151346</v>
      </c>
      <c r="C672" s="1073">
        <v>359151346</v>
      </c>
    </row>
    <row r="673" spans="1:3">
      <c r="A673" s="1005" t="s">
        <v>1846</v>
      </c>
      <c r="B673" s="1073">
        <v>106857893</v>
      </c>
      <c r="C673" s="1073">
        <v>106857893</v>
      </c>
    </row>
    <row r="674" spans="1:3">
      <c r="A674" s="1005" t="s">
        <v>5239</v>
      </c>
      <c r="B674" s="1073">
        <v>163309448</v>
      </c>
      <c r="C674" s="1073">
        <v>163309448</v>
      </c>
    </row>
    <row r="675" spans="1:3">
      <c r="A675" s="1005" t="s">
        <v>1870</v>
      </c>
      <c r="B675" s="1073">
        <v>549572033</v>
      </c>
      <c r="C675" s="1073">
        <v>549572033</v>
      </c>
    </row>
    <row r="676" spans="1:3">
      <c r="A676" s="1005" t="s">
        <v>6169</v>
      </c>
      <c r="B676" s="1073">
        <v>1204424338</v>
      </c>
      <c r="C676" s="1073">
        <v>1204424338</v>
      </c>
    </row>
    <row r="677" spans="1:3">
      <c r="A677" s="1005" t="s">
        <v>574</v>
      </c>
      <c r="B677" s="1073">
        <v>174070234</v>
      </c>
      <c r="C677" s="1073">
        <v>174070234</v>
      </c>
    </row>
    <row r="678" spans="1:3">
      <c r="A678" s="1005" t="s">
        <v>6172</v>
      </c>
      <c r="B678" s="1073">
        <v>19259474133</v>
      </c>
      <c r="C678" s="1073">
        <v>19259474133</v>
      </c>
    </row>
    <row r="679" spans="1:3">
      <c r="A679" s="1005" t="s">
        <v>578</v>
      </c>
      <c r="B679" s="1073">
        <v>1328861862</v>
      </c>
      <c r="C679" s="1073">
        <v>1328861862</v>
      </c>
    </row>
    <row r="680" spans="1:3">
      <c r="A680" s="1005" t="s">
        <v>980</v>
      </c>
      <c r="B680" s="1073">
        <v>282915505</v>
      </c>
      <c r="C680" s="1073">
        <v>282915505</v>
      </c>
    </row>
    <row r="681" spans="1:3">
      <c r="A681" s="1005" t="s">
        <v>3972</v>
      </c>
      <c r="B681" s="1073">
        <v>94320091</v>
      </c>
      <c r="C681" s="1073">
        <v>94320091</v>
      </c>
    </row>
    <row r="682" spans="1:3">
      <c r="A682" s="1005" t="s">
        <v>6173</v>
      </c>
      <c r="B682" s="1073">
        <v>82494834</v>
      </c>
      <c r="C682" s="1073">
        <v>82494834</v>
      </c>
    </row>
    <row r="683" spans="1:3">
      <c r="A683" s="1005" t="s">
        <v>3974</v>
      </c>
      <c r="B683" s="1073">
        <v>842760078</v>
      </c>
      <c r="C683" s="1073">
        <v>842760078</v>
      </c>
    </row>
    <row r="684" spans="1:3">
      <c r="A684" s="1005" t="s">
        <v>814</v>
      </c>
      <c r="B684" s="1073">
        <v>118973786</v>
      </c>
      <c r="C684" s="1073">
        <v>118973786</v>
      </c>
    </row>
    <row r="685" spans="1:3">
      <c r="A685" s="1005" t="s">
        <v>4587</v>
      </c>
      <c r="B685" s="1073">
        <v>28240302</v>
      </c>
      <c r="C685" s="1073">
        <v>28240302</v>
      </c>
    </row>
    <row r="686" spans="1:3">
      <c r="A686" s="1005" t="s">
        <v>1852</v>
      </c>
      <c r="B686" s="1073">
        <v>391142967</v>
      </c>
      <c r="C686" s="1073">
        <v>391142967</v>
      </c>
    </row>
    <row r="687" spans="1:3">
      <c r="A687" s="1005" t="s">
        <v>141</v>
      </c>
      <c r="B687" s="1073">
        <v>73045613</v>
      </c>
      <c r="C687" s="1073">
        <v>73045613</v>
      </c>
    </row>
    <row r="688" spans="1:3">
      <c r="A688" s="1005" t="s">
        <v>1847</v>
      </c>
      <c r="B688" s="1073">
        <v>19369045</v>
      </c>
      <c r="C688" s="1073">
        <v>19369045</v>
      </c>
    </row>
    <row r="689" spans="1:3">
      <c r="A689" s="1005" t="s">
        <v>145</v>
      </c>
      <c r="B689" s="1073">
        <v>426594959</v>
      </c>
      <c r="C689" s="1073">
        <v>426594959</v>
      </c>
    </row>
    <row r="690" spans="1:3">
      <c r="A690" s="1005" t="s">
        <v>147</v>
      </c>
      <c r="B690" s="1073">
        <v>77862813</v>
      </c>
      <c r="C690" s="1073">
        <v>270626393</v>
      </c>
    </row>
    <row r="691" spans="1:3">
      <c r="A691" s="1005" t="s">
        <v>149</v>
      </c>
      <c r="B691" s="1073">
        <v>678161504</v>
      </c>
      <c r="C691" s="1073">
        <v>678161504</v>
      </c>
    </row>
    <row r="692" spans="1:3">
      <c r="A692" s="1005" t="s">
        <v>1956</v>
      </c>
      <c r="B692" s="1073">
        <v>1055348580</v>
      </c>
      <c r="C692" s="1073">
        <v>1055348580</v>
      </c>
    </row>
    <row r="693" spans="1:3">
      <c r="A693" s="1005" t="s">
        <v>1958</v>
      </c>
      <c r="B693" s="1073">
        <v>237955205</v>
      </c>
      <c r="C693" s="1073">
        <v>237955205</v>
      </c>
    </row>
    <row r="694" spans="1:3">
      <c r="A694" s="1005" t="s">
        <v>1960</v>
      </c>
      <c r="B694" s="1073">
        <v>95435400</v>
      </c>
      <c r="C694" s="1073">
        <v>95435400</v>
      </c>
    </row>
    <row r="695" spans="1:3">
      <c r="A695" s="1005" t="s">
        <v>2039</v>
      </c>
      <c r="B695" s="1073">
        <v>37245247</v>
      </c>
      <c r="C695" s="1073">
        <v>37245247</v>
      </c>
    </row>
    <row r="696" spans="1:3">
      <c r="A696" s="1005" t="s">
        <v>2041</v>
      </c>
      <c r="B696" s="1073">
        <v>165154132</v>
      </c>
      <c r="C696" s="1073">
        <v>165154132</v>
      </c>
    </row>
    <row r="697" spans="1:3">
      <c r="A697" s="1005" t="s">
        <v>1825</v>
      </c>
      <c r="B697" s="1073">
        <v>353453121</v>
      </c>
      <c r="C697" s="1073">
        <v>353453121</v>
      </c>
    </row>
    <row r="698" spans="1:3">
      <c r="A698" s="1005" t="s">
        <v>1827</v>
      </c>
      <c r="B698" s="1073">
        <v>262374638</v>
      </c>
      <c r="C698" s="1073">
        <v>262374638</v>
      </c>
    </row>
    <row r="699" spans="1:3">
      <c r="A699" s="1005" t="s">
        <v>238</v>
      </c>
      <c r="B699" s="1073">
        <v>26200901716</v>
      </c>
      <c r="C699" s="1073">
        <v>26200901716</v>
      </c>
    </row>
    <row r="700" spans="1:3">
      <c r="A700" s="1005" t="s">
        <v>1829</v>
      </c>
      <c r="B700" s="1073">
        <v>4264260243</v>
      </c>
      <c r="C700" s="1073">
        <v>4264260243</v>
      </c>
    </row>
    <row r="701" spans="1:3">
      <c r="A701" s="1005" t="s">
        <v>859</v>
      </c>
      <c r="B701" s="1073">
        <v>2458439472</v>
      </c>
      <c r="C701" s="1073">
        <v>2458439472</v>
      </c>
    </row>
    <row r="702" spans="1:3">
      <c r="A702" s="1005" t="s">
        <v>3001</v>
      </c>
      <c r="B702" s="1073">
        <v>4332086502</v>
      </c>
      <c r="C702" s="1073">
        <v>4332086502</v>
      </c>
    </row>
    <row r="703" spans="1:3">
      <c r="A703" s="1005" t="s">
        <v>2405</v>
      </c>
      <c r="B703" s="1073">
        <v>444285551</v>
      </c>
      <c r="C703" s="1073">
        <v>444285551</v>
      </c>
    </row>
    <row r="704" spans="1:3">
      <c r="A704" s="1005" t="s">
        <v>2907</v>
      </c>
      <c r="B704" s="1073">
        <v>2642625991</v>
      </c>
      <c r="C704" s="1073">
        <v>2642625991</v>
      </c>
    </row>
    <row r="705" spans="1:3">
      <c r="A705" s="1005" t="s">
        <v>1222</v>
      </c>
      <c r="B705" s="1073">
        <v>2070264216</v>
      </c>
      <c r="C705" s="1073">
        <v>2070264216</v>
      </c>
    </row>
    <row r="706" spans="1:3">
      <c r="A706" s="1005" t="s">
        <v>1224</v>
      </c>
      <c r="B706" s="1073">
        <v>360885086</v>
      </c>
      <c r="C706" s="1073">
        <v>368590516</v>
      </c>
    </row>
    <row r="707" spans="1:3">
      <c r="A707" s="1005" t="s">
        <v>5375</v>
      </c>
      <c r="B707" s="1073">
        <v>826323910</v>
      </c>
      <c r="C707" s="1073">
        <v>826323910</v>
      </c>
    </row>
    <row r="708" spans="1:3">
      <c r="A708" s="1005" t="s">
        <v>5377</v>
      </c>
      <c r="B708" s="1073">
        <v>270161388</v>
      </c>
      <c r="C708" s="1073">
        <v>270161388</v>
      </c>
    </row>
    <row r="709" spans="1:3">
      <c r="A709" s="1005" t="s">
        <v>5379</v>
      </c>
      <c r="B709" s="1073">
        <v>101983038</v>
      </c>
      <c r="C709" s="1073">
        <v>101983038</v>
      </c>
    </row>
    <row r="710" spans="1:3">
      <c r="A710" s="1005" t="s">
        <v>642</v>
      </c>
      <c r="B710" s="1073">
        <v>194675201</v>
      </c>
      <c r="C710" s="1073">
        <v>194675201</v>
      </c>
    </row>
    <row r="711" spans="1:3">
      <c r="A711" s="1005" t="s">
        <v>2618</v>
      </c>
      <c r="B711" s="1073">
        <v>239335844</v>
      </c>
      <c r="C711" s="1073">
        <v>535388244</v>
      </c>
    </row>
    <row r="712" spans="1:3">
      <c r="A712" s="1005" t="s">
        <v>644</v>
      </c>
      <c r="B712" s="1073">
        <v>151322444</v>
      </c>
      <c r="C712" s="1073">
        <v>151322444</v>
      </c>
    </row>
    <row r="713" spans="1:3">
      <c r="A713" s="1005" t="s">
        <v>2620</v>
      </c>
      <c r="B713" s="1073">
        <v>1907792035</v>
      </c>
      <c r="C713" s="1073">
        <v>1907792035</v>
      </c>
    </row>
    <row r="714" spans="1:3">
      <c r="A714" s="1005" t="s">
        <v>4588</v>
      </c>
      <c r="B714" s="1073">
        <v>175711922</v>
      </c>
      <c r="C714" s="1073">
        <v>175711922</v>
      </c>
    </row>
    <row r="715" spans="1:3">
      <c r="A715" s="1005" t="s">
        <v>2622</v>
      </c>
      <c r="B715" s="1073">
        <v>112063009</v>
      </c>
      <c r="C715" s="1073">
        <v>112063009</v>
      </c>
    </row>
    <row r="716" spans="1:3">
      <c r="A716" s="1005" t="s">
        <v>2624</v>
      </c>
      <c r="B716" s="1073">
        <v>73033523</v>
      </c>
      <c r="C716" s="1073">
        <v>73033523</v>
      </c>
    </row>
    <row r="717" spans="1:3">
      <c r="A717" s="1005" t="s">
        <v>1523</v>
      </c>
      <c r="B717" s="1073">
        <v>46307202</v>
      </c>
      <c r="C717" s="1073">
        <v>46307202</v>
      </c>
    </row>
    <row r="718" spans="1:3">
      <c r="A718" s="1005" t="s">
        <v>2626</v>
      </c>
      <c r="B718" s="1073">
        <v>162008889</v>
      </c>
      <c r="C718" s="1073">
        <v>162008889</v>
      </c>
    </row>
    <row r="719" spans="1:3">
      <c r="A719" s="1005" t="s">
        <v>2628</v>
      </c>
      <c r="B719" s="1073">
        <v>143146348</v>
      </c>
      <c r="C719" s="1073">
        <v>143146348</v>
      </c>
    </row>
    <row r="720" spans="1:3">
      <c r="A720" s="1005" t="s">
        <v>241</v>
      </c>
      <c r="B720" s="1073">
        <v>1372761321</v>
      </c>
      <c r="C720" s="1073">
        <v>1372761321</v>
      </c>
    </row>
    <row r="721" spans="1:3">
      <c r="A721" s="1005" t="s">
        <v>248</v>
      </c>
      <c r="B721" s="1073">
        <v>145807128</v>
      </c>
      <c r="C721" s="1073">
        <v>145807128</v>
      </c>
    </row>
    <row r="722" spans="1:3">
      <c r="A722" s="1005" t="s">
        <v>5084</v>
      </c>
      <c r="B722" s="1073">
        <v>94839655</v>
      </c>
      <c r="C722" s="1073">
        <v>94839655</v>
      </c>
    </row>
    <row r="723" spans="1:3">
      <c r="A723" s="1005" t="s">
        <v>2534</v>
      </c>
      <c r="B723" s="1073">
        <v>244786437</v>
      </c>
      <c r="C723" s="1073">
        <v>244786437</v>
      </c>
    </row>
    <row r="724" spans="1:3">
      <c r="A724" s="1005" t="s">
        <v>5086</v>
      </c>
      <c r="B724" s="1073">
        <v>411088277</v>
      </c>
      <c r="C724" s="1073">
        <v>411088277</v>
      </c>
    </row>
    <row r="725" spans="1:3">
      <c r="A725" s="1005" t="s">
        <v>2768</v>
      </c>
      <c r="B725" s="1073">
        <v>105376630</v>
      </c>
      <c r="C725" s="1073">
        <v>105376630</v>
      </c>
    </row>
    <row r="726" spans="1:3">
      <c r="A726" s="1005" t="s">
        <v>5088</v>
      </c>
      <c r="B726" s="1073">
        <v>234677298</v>
      </c>
      <c r="C726" s="1073">
        <v>234677298</v>
      </c>
    </row>
    <row r="727" spans="1:3">
      <c r="A727" s="1005" t="s">
        <v>6181</v>
      </c>
      <c r="B727" s="1073">
        <v>268134820</v>
      </c>
      <c r="C727" s="1073">
        <v>268134820</v>
      </c>
    </row>
    <row r="728" spans="1:3">
      <c r="A728" s="1005" t="s">
        <v>1848</v>
      </c>
      <c r="B728" s="1073">
        <v>554372105</v>
      </c>
      <c r="C728" s="1073">
        <v>554372105</v>
      </c>
    </row>
    <row r="729" spans="1:3">
      <c r="A729" s="1005" t="s">
        <v>2471</v>
      </c>
      <c r="B729" s="1073">
        <v>139598981</v>
      </c>
      <c r="C729" s="1073">
        <v>416459521</v>
      </c>
    </row>
    <row r="730" spans="1:3">
      <c r="A730" s="1005" t="s">
        <v>6044</v>
      </c>
      <c r="B730" s="1073">
        <v>704274013</v>
      </c>
      <c r="C730" s="1073">
        <v>736499013</v>
      </c>
    </row>
    <row r="731" spans="1:3">
      <c r="A731" s="1005" t="s">
        <v>6046</v>
      </c>
      <c r="B731" s="1073">
        <v>319298314</v>
      </c>
      <c r="C731" s="1073">
        <v>1008832511</v>
      </c>
    </row>
    <row r="732" spans="1:3">
      <c r="A732" s="1005" t="s">
        <v>4185</v>
      </c>
      <c r="B732" s="1073">
        <v>220005707</v>
      </c>
      <c r="C732" s="1073">
        <v>511275977</v>
      </c>
    </row>
    <row r="733" spans="1:3">
      <c r="A733" s="1005" t="s">
        <v>6689</v>
      </c>
      <c r="B733" s="1073">
        <v>131730702</v>
      </c>
      <c r="C733" s="1073">
        <v>131730702</v>
      </c>
    </row>
    <row r="734" spans="1:3">
      <c r="A734" s="1005" t="s">
        <v>6691</v>
      </c>
      <c r="B734" s="1073">
        <v>488449726</v>
      </c>
      <c r="C734" s="1073">
        <v>488449726</v>
      </c>
    </row>
    <row r="735" spans="1:3">
      <c r="A735" s="1005" t="s">
        <v>6693</v>
      </c>
      <c r="B735" s="1073">
        <v>1345745043</v>
      </c>
      <c r="C735" s="1073">
        <v>1345745043</v>
      </c>
    </row>
    <row r="736" spans="1:3">
      <c r="A736" s="1005" t="s">
        <v>240</v>
      </c>
      <c r="B736" s="1073">
        <v>13106558846</v>
      </c>
      <c r="C736" s="1073">
        <v>13106558846</v>
      </c>
    </row>
    <row r="737" spans="1:3">
      <c r="A737" s="1005" t="s">
        <v>6695</v>
      </c>
      <c r="B737" s="1073">
        <v>111005400</v>
      </c>
      <c r="C737" s="1073">
        <v>111005400</v>
      </c>
    </row>
    <row r="738" spans="1:3">
      <c r="A738" s="1005" t="s">
        <v>745</v>
      </c>
      <c r="B738" s="1073">
        <v>274364308</v>
      </c>
      <c r="C738" s="1073">
        <v>274364308</v>
      </c>
    </row>
    <row r="739" spans="1:3">
      <c r="A739" s="1005" t="s">
        <v>747</v>
      </c>
      <c r="B739" s="1073">
        <v>1935348405</v>
      </c>
      <c r="C739" s="1073">
        <v>1935348405</v>
      </c>
    </row>
    <row r="740" spans="1:3">
      <c r="A740" s="1005" t="s">
        <v>2308</v>
      </c>
      <c r="B740" s="1073">
        <v>488536296</v>
      </c>
      <c r="C740" s="1073">
        <v>488536296</v>
      </c>
    </row>
    <row r="741" spans="1:3">
      <c r="A741" s="1005" t="s">
        <v>749</v>
      </c>
      <c r="B741" s="1073">
        <v>2209872839</v>
      </c>
      <c r="C741" s="1073">
        <v>2209872839</v>
      </c>
    </row>
    <row r="742" spans="1:3">
      <c r="A742" s="1005" t="s">
        <v>2953</v>
      </c>
      <c r="B742" s="1073">
        <v>258811756</v>
      </c>
      <c r="C742" s="1073">
        <v>258811756</v>
      </c>
    </row>
    <row r="743" spans="1:3">
      <c r="A743" s="1005" t="s">
        <v>2955</v>
      </c>
      <c r="B743" s="1073">
        <v>2492896876</v>
      </c>
      <c r="C743" s="1073">
        <v>2492896876</v>
      </c>
    </row>
    <row r="744" spans="1:3">
      <c r="A744" s="1005" t="s">
        <v>2957</v>
      </c>
      <c r="B744" s="1073">
        <v>694239573</v>
      </c>
      <c r="C744" s="1073">
        <v>694239573</v>
      </c>
    </row>
    <row r="745" spans="1:3">
      <c r="A745" s="1005" t="s">
        <v>5123</v>
      </c>
      <c r="B745" s="1073">
        <v>1689671612</v>
      </c>
      <c r="C745" s="1073">
        <v>1689671612</v>
      </c>
    </row>
    <row r="746" spans="1:3">
      <c r="A746" s="1005" t="s">
        <v>4119</v>
      </c>
      <c r="B746" s="1073">
        <v>220387873</v>
      </c>
      <c r="C746" s="1073">
        <v>450573183</v>
      </c>
    </row>
    <row r="747" spans="1:3">
      <c r="A747" s="1005" t="s">
        <v>4121</v>
      </c>
      <c r="B747" s="1073">
        <v>69541996</v>
      </c>
      <c r="C747" s="1073">
        <v>69541996</v>
      </c>
    </row>
    <row r="748" spans="1:3">
      <c r="A748" s="1005" t="s">
        <v>4123</v>
      </c>
      <c r="B748" s="1073">
        <v>79234253</v>
      </c>
      <c r="C748" s="1073">
        <v>249662683</v>
      </c>
    </row>
    <row r="749" spans="1:3">
      <c r="A749" s="1005" t="s">
        <v>5032</v>
      </c>
      <c r="B749" s="1073">
        <v>900555037</v>
      </c>
      <c r="C749" s="1073">
        <v>900555037</v>
      </c>
    </row>
    <row r="750" spans="1:3">
      <c r="A750" s="1005" t="s">
        <v>4125</v>
      </c>
      <c r="B750" s="1073">
        <v>450540960</v>
      </c>
      <c r="C750" s="1073">
        <v>450540960</v>
      </c>
    </row>
    <row r="751" spans="1:3">
      <c r="A751" s="1005" t="s">
        <v>4127</v>
      </c>
      <c r="B751" s="1073">
        <v>1742327800</v>
      </c>
      <c r="C751" s="1073">
        <v>1742327800</v>
      </c>
    </row>
    <row r="752" spans="1:3">
      <c r="A752" s="1005" t="s">
        <v>5033</v>
      </c>
      <c r="B752" s="1073">
        <v>1018367778</v>
      </c>
      <c r="C752" s="1073">
        <v>1018367778</v>
      </c>
    </row>
    <row r="753" spans="1:3">
      <c r="A753" s="1005" t="s">
        <v>4129</v>
      </c>
      <c r="B753" s="1073">
        <v>917305105</v>
      </c>
      <c r="C753" s="1073">
        <v>917305105</v>
      </c>
    </row>
    <row r="754" spans="1:3">
      <c r="A754" s="1005" t="s">
        <v>4131</v>
      </c>
      <c r="B754" s="1073">
        <v>153855879</v>
      </c>
      <c r="C754" s="1073">
        <v>153855879</v>
      </c>
    </row>
    <row r="755" spans="1:3">
      <c r="A755" s="1005" t="s">
        <v>4133</v>
      </c>
      <c r="B755" s="1073">
        <v>951740930</v>
      </c>
      <c r="C755" s="1073">
        <v>951740930</v>
      </c>
    </row>
    <row r="756" spans="1:3">
      <c r="A756" s="1005" t="s">
        <v>6175</v>
      </c>
      <c r="B756" s="1073">
        <v>741356293</v>
      </c>
      <c r="C756" s="1073">
        <v>741356293</v>
      </c>
    </row>
    <row r="757" spans="1:3">
      <c r="A757" s="1005" t="s">
        <v>4135</v>
      </c>
      <c r="B757" s="1073">
        <v>268349150</v>
      </c>
      <c r="C757" s="1073">
        <v>268349150</v>
      </c>
    </row>
    <row r="758" spans="1:3">
      <c r="A758" s="1005" t="s">
        <v>4137</v>
      </c>
      <c r="B758" s="1073">
        <v>64132467</v>
      </c>
      <c r="C758" s="1073">
        <v>64132467</v>
      </c>
    </row>
    <row r="759" spans="1:3">
      <c r="A759" s="1005" t="s">
        <v>4139</v>
      </c>
      <c r="B759" s="1073">
        <v>512658757</v>
      </c>
      <c r="C759" s="1073">
        <v>512658757</v>
      </c>
    </row>
    <row r="760" spans="1:3">
      <c r="A760" s="1005" t="s">
        <v>4141</v>
      </c>
      <c r="B760" s="1073">
        <v>469655821</v>
      </c>
      <c r="C760" s="1073">
        <v>469655821</v>
      </c>
    </row>
    <row r="761" spans="1:3">
      <c r="A761" s="1005" t="s">
        <v>4143</v>
      </c>
      <c r="B761" s="1073">
        <v>3411844952</v>
      </c>
      <c r="C761" s="1073">
        <v>3411844952</v>
      </c>
    </row>
    <row r="762" spans="1:3">
      <c r="A762" s="1005" t="s">
        <v>1318</v>
      </c>
      <c r="B762" s="1073">
        <v>268213073</v>
      </c>
      <c r="C762" s="1073">
        <v>268213073</v>
      </c>
    </row>
    <row r="763" spans="1:3">
      <c r="A763" s="1005" t="s">
        <v>2536</v>
      </c>
      <c r="B763" s="1073">
        <v>170644581</v>
      </c>
      <c r="C763" s="1073">
        <v>170644581</v>
      </c>
    </row>
    <row r="764" spans="1:3">
      <c r="A764" s="1005" t="s">
        <v>2407</v>
      </c>
      <c r="B764" s="1073">
        <v>873515411</v>
      </c>
      <c r="C764" s="1073">
        <v>873515411</v>
      </c>
    </row>
    <row r="765" spans="1:3">
      <c r="A765" s="1005" t="s">
        <v>5034</v>
      </c>
      <c r="B765" s="1073">
        <v>3482307924</v>
      </c>
      <c r="C765" s="1073">
        <v>3482307924</v>
      </c>
    </row>
    <row r="766" spans="1:3">
      <c r="A766" s="1005" t="s">
        <v>6174</v>
      </c>
      <c r="B766" s="1073">
        <v>280527658</v>
      </c>
      <c r="C766" s="1073">
        <v>280527658</v>
      </c>
    </row>
    <row r="767" spans="1:3">
      <c r="A767" s="1005" t="s">
        <v>4145</v>
      </c>
      <c r="B767" s="1073">
        <v>2548747616</v>
      </c>
      <c r="C767" s="1073">
        <v>2548747616</v>
      </c>
    </row>
    <row r="768" spans="1:3">
      <c r="A768" s="1005" t="s">
        <v>6196</v>
      </c>
      <c r="B768" s="1073">
        <v>257522673</v>
      </c>
      <c r="C768" s="1073">
        <v>257522673</v>
      </c>
    </row>
    <row r="769" spans="1:3">
      <c r="A769" s="1005" t="s">
        <v>6131</v>
      </c>
      <c r="B769" s="1073">
        <v>452090716</v>
      </c>
      <c r="C769" s="1073">
        <v>452090716</v>
      </c>
    </row>
    <row r="770" spans="1:3">
      <c r="A770" s="1005" t="s">
        <v>254</v>
      </c>
      <c r="B770" s="1073">
        <v>161196490</v>
      </c>
      <c r="C770" s="1073">
        <v>161196490</v>
      </c>
    </row>
    <row r="771" spans="1:3">
      <c r="A771" s="1005" t="s">
        <v>256</v>
      </c>
      <c r="B771" s="1073">
        <v>120354411</v>
      </c>
      <c r="C771" s="1073">
        <v>120354411</v>
      </c>
    </row>
    <row r="772" spans="1:3">
      <c r="A772" s="1005" t="s">
        <v>258</v>
      </c>
      <c r="B772" s="1073">
        <v>149048671</v>
      </c>
      <c r="C772" s="1073">
        <v>149048671</v>
      </c>
    </row>
    <row r="773" spans="1:3">
      <c r="A773" s="1005" t="s">
        <v>260</v>
      </c>
      <c r="B773" s="1073">
        <v>329702257</v>
      </c>
      <c r="C773" s="1073">
        <v>329702257</v>
      </c>
    </row>
    <row r="774" spans="1:3">
      <c r="A774" s="1005" t="s">
        <v>262</v>
      </c>
      <c r="B774" s="1073">
        <v>61731161</v>
      </c>
      <c r="C774" s="1073">
        <v>61731161</v>
      </c>
    </row>
    <row r="775" spans="1:3">
      <c r="A775" s="1005" t="s">
        <v>872</v>
      </c>
      <c r="B775" s="1073">
        <v>230985475</v>
      </c>
      <c r="C775" s="1073">
        <v>399910475</v>
      </c>
    </row>
    <row r="776" spans="1:3">
      <c r="A776" s="1005" t="s">
        <v>874</v>
      </c>
      <c r="B776" s="1073">
        <v>1127527443</v>
      </c>
      <c r="C776" s="1073">
        <v>1424819003</v>
      </c>
    </row>
    <row r="777" spans="1:3">
      <c r="A777" s="1005" t="s">
        <v>876</v>
      </c>
      <c r="B777" s="1073">
        <v>1992742173</v>
      </c>
      <c r="C777" s="1073">
        <v>2120418543</v>
      </c>
    </row>
    <row r="778" spans="1:3">
      <c r="A778" s="1005" t="s">
        <v>3040</v>
      </c>
      <c r="B778" s="1073">
        <v>314558910</v>
      </c>
      <c r="C778" s="1073">
        <v>314558910</v>
      </c>
    </row>
    <row r="779" spans="1:3">
      <c r="A779" s="1005" t="s">
        <v>3042</v>
      </c>
      <c r="B779" s="1073">
        <v>107347326</v>
      </c>
      <c r="C779" s="1073">
        <v>107347326</v>
      </c>
    </row>
    <row r="780" spans="1:3">
      <c r="A780" s="1005" t="s">
        <v>709</v>
      </c>
      <c r="B780" s="1073">
        <v>300985822</v>
      </c>
      <c r="C780" s="1073">
        <v>300985822</v>
      </c>
    </row>
    <row r="781" spans="1:3">
      <c r="A781" s="1005" t="s">
        <v>3044</v>
      </c>
      <c r="B781" s="1073">
        <v>128265888</v>
      </c>
      <c r="C781" s="1073">
        <v>128265888</v>
      </c>
    </row>
    <row r="782" spans="1:3">
      <c r="A782" s="1005" t="s">
        <v>2992</v>
      </c>
      <c r="B782" s="1073">
        <v>1342022368</v>
      </c>
      <c r="C782" s="1073">
        <v>1342022368</v>
      </c>
    </row>
    <row r="783" spans="1:3">
      <c r="A783" s="1005" t="s">
        <v>3046</v>
      </c>
      <c r="B783" s="1073">
        <v>428946249</v>
      </c>
      <c r="C783" s="1073">
        <v>428946249</v>
      </c>
    </row>
    <row r="784" spans="1:3">
      <c r="A784" s="1005" t="s">
        <v>264</v>
      </c>
      <c r="B784" s="1073">
        <v>7622446010</v>
      </c>
      <c r="C784" s="1073">
        <v>7622446010</v>
      </c>
    </row>
    <row r="785" spans="1:3">
      <c r="A785" s="1005" t="s">
        <v>2306</v>
      </c>
      <c r="B785" s="1073">
        <v>247395851</v>
      </c>
      <c r="C785" s="1073">
        <v>247395851</v>
      </c>
    </row>
    <row r="786" spans="1:3">
      <c r="A786" s="1005" t="s">
        <v>3048</v>
      </c>
      <c r="B786" s="1073">
        <v>971893491</v>
      </c>
      <c r="C786" s="1073">
        <v>971893491</v>
      </c>
    </row>
    <row r="787" spans="1:3">
      <c r="A787" s="1005" t="s">
        <v>3049</v>
      </c>
      <c r="B787" s="1073">
        <v>1108651181</v>
      </c>
      <c r="C787" s="1073">
        <v>1108651181</v>
      </c>
    </row>
    <row r="788" spans="1:3">
      <c r="A788" s="1005" t="s">
        <v>5035</v>
      </c>
      <c r="B788" s="1073">
        <v>235202934</v>
      </c>
      <c r="C788" s="1073">
        <v>235202934</v>
      </c>
    </row>
    <row r="789" spans="1:3">
      <c r="A789" s="1005" t="s">
        <v>5131</v>
      </c>
      <c r="B789" s="1073">
        <v>174466036</v>
      </c>
      <c r="C789" s="1073">
        <v>174466036</v>
      </c>
    </row>
    <row r="790" spans="1:3">
      <c r="A790" s="1005" t="s">
        <v>5231</v>
      </c>
      <c r="B790" s="1073">
        <v>470362286</v>
      </c>
      <c r="C790" s="1073">
        <v>470362286</v>
      </c>
    </row>
    <row r="791" spans="1:3">
      <c r="A791" s="1005" t="s">
        <v>3109</v>
      </c>
      <c r="B791" s="1073">
        <v>3596185654</v>
      </c>
      <c r="C791" s="1073">
        <v>3596185654</v>
      </c>
    </row>
    <row r="792" spans="1:3">
      <c r="A792" s="1005" t="s">
        <v>3111</v>
      </c>
      <c r="B792" s="1073">
        <v>2993038404</v>
      </c>
      <c r="C792" s="1073">
        <v>2993038404</v>
      </c>
    </row>
    <row r="793" spans="1:3">
      <c r="A793" s="1005" t="s">
        <v>3113</v>
      </c>
      <c r="B793" s="1073">
        <v>272823026</v>
      </c>
      <c r="C793" s="1073">
        <v>272823026</v>
      </c>
    </row>
    <row r="794" spans="1:3">
      <c r="A794" s="1005" t="s">
        <v>975</v>
      </c>
      <c r="B794" s="1073">
        <v>43679861</v>
      </c>
      <c r="C794" s="1073">
        <v>43679861</v>
      </c>
    </row>
    <row r="795" spans="1:3">
      <c r="A795" s="1005" t="s">
        <v>2771</v>
      </c>
      <c r="B795" s="1073">
        <v>218555673</v>
      </c>
      <c r="C795" s="1073">
        <v>218555673</v>
      </c>
    </row>
    <row r="796" spans="1:3">
      <c r="A796" s="1005" t="s">
        <v>2821</v>
      </c>
      <c r="B796" s="1073">
        <v>201062272</v>
      </c>
      <c r="C796" s="1073">
        <v>201062272</v>
      </c>
    </row>
    <row r="797" spans="1:3">
      <c r="A797" s="1005" t="s">
        <v>4589</v>
      </c>
      <c r="B797" s="1073">
        <v>57079017</v>
      </c>
      <c r="C797" s="1073">
        <v>57079017</v>
      </c>
    </row>
    <row r="798" spans="1:3">
      <c r="A798" s="1005" t="s">
        <v>2572</v>
      </c>
      <c r="B798" s="1073">
        <v>3614777778</v>
      </c>
      <c r="C798" s="1073">
        <v>3785530658</v>
      </c>
    </row>
    <row r="799" spans="1:3">
      <c r="A799" s="1005" t="s">
        <v>1507</v>
      </c>
      <c r="B799" s="1073">
        <v>45196666</v>
      </c>
      <c r="C799" s="1073">
        <v>45196666</v>
      </c>
    </row>
    <row r="800" spans="1:3">
      <c r="A800" s="1005" t="s">
        <v>2574</v>
      </c>
      <c r="B800" s="1073">
        <v>459024550</v>
      </c>
      <c r="C800" s="1073">
        <v>459024550</v>
      </c>
    </row>
    <row r="801" spans="1:3">
      <c r="A801" s="1005" t="s">
        <v>2576</v>
      </c>
      <c r="B801" s="1073">
        <v>319731501</v>
      </c>
      <c r="C801" s="1073">
        <v>319731501</v>
      </c>
    </row>
    <row r="802" spans="1:3">
      <c r="A802" s="1005" t="s">
        <v>2578</v>
      </c>
      <c r="B802" s="1073">
        <v>619347371</v>
      </c>
      <c r="C802" s="1073">
        <v>619347371</v>
      </c>
    </row>
    <row r="803" spans="1:3">
      <c r="A803" s="1005" t="s">
        <v>158</v>
      </c>
      <c r="B803" s="1073">
        <v>924384563</v>
      </c>
      <c r="C803" s="1073">
        <v>924384563</v>
      </c>
    </row>
    <row r="804" spans="1:3">
      <c r="A804" s="1005" t="s">
        <v>5211</v>
      </c>
      <c r="B804" s="1073">
        <v>347509402</v>
      </c>
      <c r="C804" s="1073">
        <v>347509402</v>
      </c>
    </row>
    <row r="805" spans="1:3">
      <c r="A805" s="1005" t="s">
        <v>5213</v>
      </c>
      <c r="B805" s="1073">
        <v>101251840</v>
      </c>
      <c r="C805" s="1073">
        <v>101251840</v>
      </c>
    </row>
    <row r="806" spans="1:3">
      <c r="A806" s="1005" t="s">
        <v>5215</v>
      </c>
      <c r="B806" s="1073">
        <v>2053007054</v>
      </c>
      <c r="C806" s="1073">
        <v>2053007054</v>
      </c>
    </row>
    <row r="807" spans="1:3">
      <c r="A807" s="1005" t="s">
        <v>5217</v>
      </c>
      <c r="B807" s="1073">
        <v>421789644</v>
      </c>
      <c r="C807" s="1073">
        <v>421789644</v>
      </c>
    </row>
    <row r="808" spans="1:3">
      <c r="A808" s="1005" t="s">
        <v>5219</v>
      </c>
      <c r="B808" s="1073">
        <v>112926947</v>
      </c>
      <c r="C808" s="1073">
        <v>112926947</v>
      </c>
    </row>
    <row r="809" spans="1:3">
      <c r="A809" s="1005" t="s">
        <v>2125</v>
      </c>
      <c r="B809" s="1073">
        <v>6570930162</v>
      </c>
      <c r="C809" s="1073">
        <v>6570930162</v>
      </c>
    </row>
    <row r="810" spans="1:3">
      <c r="A810" s="1005" t="s">
        <v>870</v>
      </c>
      <c r="B810" s="1073">
        <v>1135153518</v>
      </c>
      <c r="C810" s="1073">
        <v>1135153518</v>
      </c>
    </row>
    <row r="811" spans="1:3">
      <c r="A811" s="1005" t="s">
        <v>5615</v>
      </c>
      <c r="B811" s="1073">
        <v>267397943</v>
      </c>
      <c r="C811" s="1073">
        <v>267397943</v>
      </c>
    </row>
    <row r="812" spans="1:3">
      <c r="A812" s="1005" t="s">
        <v>4590</v>
      </c>
      <c r="B812" s="1073">
        <v>71488312</v>
      </c>
      <c r="C812" s="1073">
        <v>71488312</v>
      </c>
    </row>
    <row r="813" spans="1:3">
      <c r="A813" s="1005" t="s">
        <v>860</v>
      </c>
      <c r="B813" s="1073">
        <v>221072686</v>
      </c>
      <c r="C813" s="1073">
        <v>221072686</v>
      </c>
    </row>
    <row r="814" spans="1:3">
      <c r="A814" s="1005" t="s">
        <v>4591</v>
      </c>
      <c r="B814" s="1073">
        <v>5286653</v>
      </c>
      <c r="C814" s="1073">
        <v>5286653</v>
      </c>
    </row>
    <row r="815" spans="1:3">
      <c r="A815" s="1005" t="s">
        <v>5617</v>
      </c>
      <c r="B815" s="1073">
        <v>1687796485</v>
      </c>
      <c r="C815" s="1073">
        <v>1687796485</v>
      </c>
    </row>
    <row r="816" spans="1:3">
      <c r="A816" s="1005" t="s">
        <v>3150</v>
      </c>
      <c r="B816" s="1073">
        <v>89409201</v>
      </c>
      <c r="C816" s="1073">
        <v>89409201</v>
      </c>
    </row>
    <row r="817" spans="1:3">
      <c r="A817" s="1005" t="s">
        <v>3152</v>
      </c>
      <c r="B817" s="1073">
        <v>46447045</v>
      </c>
      <c r="C817" s="1073">
        <v>46447045</v>
      </c>
    </row>
    <row r="818" spans="1:3">
      <c r="A818" s="1005" t="s">
        <v>1949</v>
      </c>
      <c r="B818" s="1073">
        <v>56786236</v>
      </c>
      <c r="C818" s="1073">
        <v>56786236</v>
      </c>
    </row>
    <row r="819" spans="1:3">
      <c r="A819" s="1005" t="s">
        <v>1951</v>
      </c>
      <c r="B819" s="1073">
        <v>71682337</v>
      </c>
      <c r="C819" s="1073">
        <v>71682337</v>
      </c>
    </row>
    <row r="820" spans="1:3">
      <c r="A820" s="1005" t="s">
        <v>3154</v>
      </c>
      <c r="B820" s="1073">
        <v>1240373669</v>
      </c>
      <c r="C820" s="1073">
        <v>1240373669</v>
      </c>
    </row>
    <row r="821" spans="1:3">
      <c r="A821" s="1005" t="s">
        <v>3883</v>
      </c>
      <c r="B821" s="1073">
        <v>112802118</v>
      </c>
      <c r="C821" s="1073">
        <v>112802118</v>
      </c>
    </row>
    <row r="822" spans="1:3">
      <c r="A822" s="1005" t="s">
        <v>3156</v>
      </c>
      <c r="B822" s="1073">
        <v>530750132</v>
      </c>
      <c r="C822" s="1073">
        <v>530750132</v>
      </c>
    </row>
    <row r="823" spans="1:3">
      <c r="A823" s="1005" t="s">
        <v>3158</v>
      </c>
      <c r="B823" s="1073">
        <v>456227616</v>
      </c>
      <c r="C823" s="1073">
        <v>456227616</v>
      </c>
    </row>
    <row r="824" spans="1:3">
      <c r="A824" s="1005" t="s">
        <v>3160</v>
      </c>
      <c r="B824" s="1073">
        <v>95298615</v>
      </c>
      <c r="C824" s="1073">
        <v>95298615</v>
      </c>
    </row>
    <row r="825" spans="1:3">
      <c r="A825" s="1005" t="s">
        <v>3162</v>
      </c>
      <c r="B825" s="1073">
        <v>451180871</v>
      </c>
      <c r="C825" s="1073">
        <v>451180871</v>
      </c>
    </row>
    <row r="826" spans="1:3">
      <c r="A826" s="1005" t="s">
        <v>569</v>
      </c>
      <c r="B826" s="1073">
        <v>170631011</v>
      </c>
      <c r="C826" s="1073">
        <v>170631011</v>
      </c>
    </row>
    <row r="827" spans="1:3">
      <c r="A827" s="1005" t="s">
        <v>571</v>
      </c>
      <c r="B827" s="1073">
        <v>963369718</v>
      </c>
      <c r="C827" s="1073">
        <v>963369718</v>
      </c>
    </row>
    <row r="828" spans="1:3">
      <c r="A828" s="1005" t="s">
        <v>3181</v>
      </c>
      <c r="B828" s="1073">
        <v>306664626</v>
      </c>
      <c r="C828" s="1073">
        <v>306664626</v>
      </c>
    </row>
    <row r="829" spans="1:3">
      <c r="A829" s="1005" t="s">
        <v>2071</v>
      </c>
      <c r="B829" s="1073">
        <v>615463918</v>
      </c>
      <c r="C829" s="1073">
        <v>615463918</v>
      </c>
    </row>
    <row r="830" spans="1:3">
      <c r="A830" s="1005" t="s">
        <v>3183</v>
      </c>
      <c r="B830" s="1073">
        <v>1315286130</v>
      </c>
      <c r="C830" s="1073">
        <v>1388131400</v>
      </c>
    </row>
    <row r="831" spans="1:3">
      <c r="A831" s="1005" t="s">
        <v>924</v>
      </c>
      <c r="B831" s="1073">
        <v>1499772868</v>
      </c>
      <c r="C831" s="1073">
        <v>1499772868</v>
      </c>
    </row>
    <row r="832" spans="1:3">
      <c r="A832" s="1005" t="s">
        <v>6165</v>
      </c>
      <c r="B832" s="1073">
        <v>350050896</v>
      </c>
      <c r="C832" s="1073">
        <v>350050896</v>
      </c>
    </row>
    <row r="833" spans="1:3">
      <c r="A833" s="1005" t="s">
        <v>6187</v>
      </c>
      <c r="B833" s="1073">
        <v>303600512</v>
      </c>
      <c r="C833" s="1073">
        <v>348018512</v>
      </c>
    </row>
    <row r="834" spans="1:3">
      <c r="A834" s="1005" t="s">
        <v>1837</v>
      </c>
      <c r="B834" s="1073">
        <v>382856498</v>
      </c>
      <c r="C834" s="1073">
        <v>439832498</v>
      </c>
    </row>
    <row r="835" spans="1:3">
      <c r="A835" s="1005" t="s">
        <v>3884</v>
      </c>
      <c r="B835" s="1073">
        <v>287233313</v>
      </c>
      <c r="C835" s="1073">
        <v>497878013</v>
      </c>
    </row>
    <row r="836" spans="1:3">
      <c r="A836" s="1005" t="s">
        <v>2390</v>
      </c>
      <c r="B836" s="1073">
        <v>183808836</v>
      </c>
      <c r="C836" s="1073">
        <v>183808836</v>
      </c>
    </row>
    <row r="837" spans="1:3">
      <c r="A837" s="1005" t="s">
        <v>926</v>
      </c>
      <c r="B837" s="1073">
        <v>56674326</v>
      </c>
      <c r="C837" s="1073">
        <v>56674326</v>
      </c>
    </row>
    <row r="838" spans="1:3">
      <c r="A838" s="1005" t="s">
        <v>928</v>
      </c>
      <c r="B838" s="1073">
        <v>43985050</v>
      </c>
      <c r="C838" s="1073">
        <v>43985050</v>
      </c>
    </row>
    <row r="839" spans="1:3">
      <c r="A839" s="1005" t="s">
        <v>930</v>
      </c>
      <c r="B839" s="1073">
        <v>402005370</v>
      </c>
      <c r="C839" s="1073">
        <v>410616200</v>
      </c>
    </row>
    <row r="840" spans="1:3">
      <c r="A840" s="1005" t="s">
        <v>932</v>
      </c>
      <c r="B840" s="1073">
        <v>138554484</v>
      </c>
      <c r="C840" s="1073">
        <v>404139294</v>
      </c>
    </row>
    <row r="841" spans="1:3">
      <c r="A841" s="1005" t="s">
        <v>934</v>
      </c>
      <c r="B841" s="1073">
        <v>3316429935</v>
      </c>
      <c r="C841" s="1073">
        <v>3373327365</v>
      </c>
    </row>
    <row r="842" spans="1:3">
      <c r="A842" s="1005" t="s">
        <v>936</v>
      </c>
      <c r="B842" s="1073">
        <v>255428029</v>
      </c>
      <c r="C842" s="1073">
        <v>255428029</v>
      </c>
    </row>
    <row r="843" spans="1:3">
      <c r="A843" s="1005" t="s">
        <v>5145</v>
      </c>
      <c r="B843" s="1073">
        <v>309217808</v>
      </c>
      <c r="C843" s="1073">
        <v>437766758</v>
      </c>
    </row>
    <row r="844" spans="1:3">
      <c r="A844" s="1005" t="s">
        <v>2950</v>
      </c>
      <c r="B844" s="1073">
        <v>78380815</v>
      </c>
      <c r="C844" s="1073">
        <v>78380815</v>
      </c>
    </row>
    <row r="845" spans="1:3">
      <c r="A845" s="1005" t="s">
        <v>2952</v>
      </c>
      <c r="B845" s="1073">
        <v>602466814</v>
      </c>
      <c r="C845" s="1073">
        <v>602466814</v>
      </c>
    </row>
    <row r="846" spans="1:3">
      <c r="A846" s="1005" t="s">
        <v>2526</v>
      </c>
      <c r="B846" s="1073">
        <v>188821665</v>
      </c>
      <c r="C846" s="1073">
        <v>188821665</v>
      </c>
    </row>
    <row r="847" spans="1:3">
      <c r="A847" s="1005" t="s">
        <v>3885</v>
      </c>
      <c r="B847" s="1073">
        <v>251113412</v>
      </c>
      <c r="C847" s="1073">
        <v>251113412</v>
      </c>
    </row>
    <row r="848" spans="1:3">
      <c r="A848" s="1005" t="s">
        <v>2528</v>
      </c>
      <c r="B848" s="1073">
        <v>101311271</v>
      </c>
      <c r="C848" s="1073">
        <v>101311271</v>
      </c>
    </row>
    <row r="849" spans="1:3">
      <c r="A849" s="1005" t="s">
        <v>2530</v>
      </c>
      <c r="B849" s="1073">
        <v>133830129</v>
      </c>
      <c r="C849" s="1073">
        <v>133830129</v>
      </c>
    </row>
    <row r="850" spans="1:3">
      <c r="A850" s="1005" t="s">
        <v>2532</v>
      </c>
      <c r="B850" s="1073">
        <v>52925859</v>
      </c>
      <c r="C850" s="1073">
        <v>52925859</v>
      </c>
    </row>
    <row r="851" spans="1:3">
      <c r="A851" s="1005" t="s">
        <v>2316</v>
      </c>
      <c r="B851" s="1073">
        <v>127397983</v>
      </c>
      <c r="C851" s="1073">
        <v>127397983</v>
      </c>
    </row>
    <row r="852" spans="1:3">
      <c r="A852" s="1005" t="s">
        <v>5105</v>
      </c>
      <c r="B852" s="1073">
        <v>471749289</v>
      </c>
      <c r="C852" s="1073">
        <v>471749289</v>
      </c>
    </row>
    <row r="853" spans="1:3">
      <c r="A853" s="1005" t="s">
        <v>5036</v>
      </c>
      <c r="B853" s="1073">
        <v>321791222</v>
      </c>
      <c r="C853" s="1073">
        <v>321791222</v>
      </c>
    </row>
    <row r="854" spans="1:3">
      <c r="A854" s="1005" t="s">
        <v>2430</v>
      </c>
      <c r="B854" s="1073">
        <v>823014148</v>
      </c>
      <c r="C854" s="1073">
        <v>823014148</v>
      </c>
    </row>
    <row r="855" spans="1:3">
      <c r="A855" s="1005" t="s">
        <v>2432</v>
      </c>
      <c r="B855" s="1073">
        <v>1158474396</v>
      </c>
      <c r="C855" s="1073">
        <v>1158474396</v>
      </c>
    </row>
    <row r="856" spans="1:3">
      <c r="A856" s="1005" t="s">
        <v>5339</v>
      </c>
      <c r="B856" s="1073">
        <v>283099906</v>
      </c>
      <c r="C856" s="1073">
        <v>283099906</v>
      </c>
    </row>
    <row r="857" spans="1:3">
      <c r="A857" s="1005" t="s">
        <v>5341</v>
      </c>
      <c r="B857" s="1073">
        <v>7526764967</v>
      </c>
      <c r="C857" s="1073">
        <v>7526764967</v>
      </c>
    </row>
    <row r="858" spans="1:3">
      <c r="A858" s="1005" t="s">
        <v>858</v>
      </c>
      <c r="B858" s="1073">
        <v>1671410074</v>
      </c>
      <c r="C858" s="1073">
        <v>1671410074</v>
      </c>
    </row>
    <row r="859" spans="1:3">
      <c r="A859" s="1005" t="s">
        <v>5343</v>
      </c>
      <c r="B859" s="1073">
        <v>1100900506</v>
      </c>
      <c r="C859" s="1073">
        <v>1100900506</v>
      </c>
    </row>
    <row r="860" spans="1:3">
      <c r="A860" s="1005" t="s">
        <v>5344</v>
      </c>
      <c r="B860" s="1073">
        <v>402203687</v>
      </c>
      <c r="C860" s="1073">
        <v>402203687</v>
      </c>
    </row>
    <row r="861" spans="1:3">
      <c r="A861" s="1005" t="s">
        <v>5346</v>
      </c>
      <c r="B861" s="1073">
        <v>2700848349</v>
      </c>
      <c r="C861" s="1073">
        <v>2700848349</v>
      </c>
    </row>
    <row r="862" spans="1:3">
      <c r="A862" s="1005" t="s">
        <v>2770</v>
      </c>
      <c r="B862" s="1073">
        <v>1180205702</v>
      </c>
      <c r="C862" s="1073">
        <v>1180205702</v>
      </c>
    </row>
    <row r="863" spans="1:3">
      <c r="A863" s="1005" t="s">
        <v>5348</v>
      </c>
      <c r="B863" s="1073">
        <v>183273741</v>
      </c>
      <c r="C863" s="1073">
        <v>183273741</v>
      </c>
    </row>
    <row r="864" spans="1:3">
      <c r="A864" s="1005" t="s">
        <v>3886</v>
      </c>
      <c r="B864" s="1073">
        <v>524094793</v>
      </c>
      <c r="C864" s="1073">
        <v>524094793</v>
      </c>
    </row>
    <row r="865" spans="1:3">
      <c r="A865" s="1005" t="s">
        <v>5350</v>
      </c>
      <c r="B865" s="1073">
        <v>703056667</v>
      </c>
      <c r="C865" s="1073">
        <v>703056667</v>
      </c>
    </row>
    <row r="866" spans="1:3">
      <c r="A866" s="1005" t="s">
        <v>3139</v>
      </c>
      <c r="B866" s="1073">
        <v>521612185</v>
      </c>
      <c r="C866" s="1073">
        <v>1199590265</v>
      </c>
    </row>
    <row r="867" spans="1:3">
      <c r="A867" s="1005" t="s">
        <v>1530</v>
      </c>
      <c r="B867" s="1073">
        <v>332301299</v>
      </c>
      <c r="C867" s="1073">
        <v>332301299</v>
      </c>
    </row>
    <row r="868" spans="1:3">
      <c r="A868" s="1005" t="s">
        <v>1532</v>
      </c>
      <c r="B868" s="1073">
        <v>614678788</v>
      </c>
      <c r="C868" s="1073">
        <v>614678788</v>
      </c>
    </row>
    <row r="869" spans="1:3">
      <c r="A869" s="1005" t="s">
        <v>624</v>
      </c>
      <c r="B869" s="1073">
        <v>71941509</v>
      </c>
      <c r="C869" s="1073">
        <v>71941509</v>
      </c>
    </row>
    <row r="870" spans="1:3">
      <c r="A870" s="1005" t="s">
        <v>626</v>
      </c>
      <c r="B870" s="1073">
        <v>145611783</v>
      </c>
      <c r="C870" s="1073">
        <v>145611783</v>
      </c>
    </row>
    <row r="871" spans="1:3">
      <c r="A871" s="1005" t="s">
        <v>628</v>
      </c>
      <c r="B871" s="1073">
        <v>95776311</v>
      </c>
      <c r="C871" s="1073">
        <v>95776311</v>
      </c>
    </row>
    <row r="872" spans="1:3">
      <c r="A872" s="1005" t="s">
        <v>269</v>
      </c>
      <c r="B872" s="1073">
        <v>20467794920</v>
      </c>
      <c r="C872" s="1073">
        <v>20467794920</v>
      </c>
    </row>
    <row r="873" spans="1:3">
      <c r="A873" s="1005" t="s">
        <v>951</v>
      </c>
      <c r="B873" s="1073">
        <v>7312923551</v>
      </c>
      <c r="C873" s="1073">
        <v>7312923551</v>
      </c>
    </row>
    <row r="874" spans="1:3">
      <c r="A874" s="1005" t="s">
        <v>409</v>
      </c>
      <c r="B874" s="1073">
        <v>1047598994</v>
      </c>
      <c r="C874" s="1073">
        <v>1047598994</v>
      </c>
    </row>
    <row r="875" spans="1:3">
      <c r="A875" s="1005" t="s">
        <v>3996</v>
      </c>
      <c r="B875" s="1073">
        <v>27052737400</v>
      </c>
      <c r="C875" s="1073">
        <v>27052737400</v>
      </c>
    </row>
    <row r="876" spans="1:3">
      <c r="A876" s="1005" t="s">
        <v>3998</v>
      </c>
      <c r="B876" s="1073">
        <v>10750855367</v>
      </c>
      <c r="C876" s="1073">
        <v>10750855367</v>
      </c>
    </row>
    <row r="877" spans="1:3">
      <c r="A877" s="1005" t="s">
        <v>6030</v>
      </c>
      <c r="B877" s="1073">
        <v>12319945447</v>
      </c>
      <c r="C877" s="1073">
        <v>12319945447</v>
      </c>
    </row>
    <row r="878" spans="1:3">
      <c r="A878" s="1005" t="s">
        <v>3002</v>
      </c>
      <c r="B878" s="1073">
        <v>9847636204</v>
      </c>
      <c r="C878" s="1073">
        <v>9847636204</v>
      </c>
    </row>
    <row r="879" spans="1:3">
      <c r="A879" s="1005" t="s">
        <v>2986</v>
      </c>
      <c r="B879" s="1073">
        <v>730596775</v>
      </c>
      <c r="C879" s="1073">
        <v>730596775</v>
      </c>
    </row>
    <row r="880" spans="1:3">
      <c r="A880" s="1005" t="s">
        <v>246</v>
      </c>
      <c r="B880" s="1073">
        <v>4964793523</v>
      </c>
      <c r="C880" s="1073">
        <v>4964793523</v>
      </c>
    </row>
    <row r="881" spans="1:3">
      <c r="A881" s="1005" t="s">
        <v>6032</v>
      </c>
      <c r="B881" s="1073">
        <v>1022509679</v>
      </c>
      <c r="C881" s="1073">
        <v>1022509679</v>
      </c>
    </row>
    <row r="882" spans="1:3">
      <c r="A882" s="1005" t="s">
        <v>946</v>
      </c>
      <c r="B882" s="1073">
        <v>2201182836</v>
      </c>
      <c r="C882" s="1073">
        <v>2201182836</v>
      </c>
    </row>
    <row r="883" spans="1:3">
      <c r="A883" s="1005" t="s">
        <v>1875</v>
      </c>
      <c r="B883" s="1073">
        <v>9222907533</v>
      </c>
      <c r="C883" s="1073">
        <v>9222907533</v>
      </c>
    </row>
    <row r="884" spans="1:3">
      <c r="A884" s="1005" t="s">
        <v>6682</v>
      </c>
      <c r="B884" s="1073">
        <v>447775596</v>
      </c>
      <c r="C884" s="1073">
        <v>447775596</v>
      </c>
    </row>
    <row r="885" spans="1:3">
      <c r="A885" s="1005" t="s">
        <v>4002</v>
      </c>
      <c r="B885" s="1073">
        <v>6597383151</v>
      </c>
      <c r="C885" s="1073">
        <v>6597383151</v>
      </c>
    </row>
    <row r="886" spans="1:3">
      <c r="A886" s="1005" t="s">
        <v>6681</v>
      </c>
      <c r="B886" s="1073">
        <v>5972072267</v>
      </c>
      <c r="C886" s="1073">
        <v>5972072267</v>
      </c>
    </row>
    <row r="887" spans="1:3">
      <c r="A887" s="1005" t="s">
        <v>857</v>
      </c>
      <c r="B887" s="1073">
        <v>1579913973</v>
      </c>
      <c r="C887" s="1073">
        <v>1579913973</v>
      </c>
    </row>
    <row r="888" spans="1:3">
      <c r="A888" s="1005" t="s">
        <v>4006</v>
      </c>
      <c r="B888" s="1073">
        <v>4000847920</v>
      </c>
      <c r="C888" s="1073">
        <v>4000847920</v>
      </c>
    </row>
    <row r="889" spans="1:3">
      <c r="A889" s="1005" t="s">
        <v>4008</v>
      </c>
      <c r="B889" s="1073">
        <v>386472565</v>
      </c>
      <c r="C889" s="1073">
        <v>386472565</v>
      </c>
    </row>
    <row r="890" spans="1:3">
      <c r="A890" s="1005" t="s">
        <v>4010</v>
      </c>
      <c r="B890" s="1073">
        <v>148009175</v>
      </c>
      <c r="C890" s="1073">
        <v>184500629</v>
      </c>
    </row>
    <row r="891" spans="1:3">
      <c r="A891" s="1005" t="s">
        <v>4012</v>
      </c>
      <c r="B891" s="1073">
        <v>405245446</v>
      </c>
      <c r="C891" s="1073">
        <v>486944266</v>
      </c>
    </row>
    <row r="892" spans="1:3">
      <c r="A892" s="1005" t="s">
        <v>4014</v>
      </c>
      <c r="B892" s="1073">
        <v>1516290565</v>
      </c>
      <c r="C892" s="1073">
        <v>1516290565</v>
      </c>
    </row>
    <row r="893" spans="1:3">
      <c r="A893" s="1005" t="s">
        <v>4015</v>
      </c>
      <c r="B893" s="1073">
        <v>368840960</v>
      </c>
      <c r="C893" s="1073">
        <v>368840960</v>
      </c>
    </row>
    <row r="894" spans="1:3">
      <c r="A894" s="1005" t="s">
        <v>6120</v>
      </c>
      <c r="B894" s="1073">
        <v>881211996</v>
      </c>
      <c r="C894" s="1073">
        <v>881211996</v>
      </c>
    </row>
    <row r="895" spans="1:3">
      <c r="A895" s="1005" t="s">
        <v>6679</v>
      </c>
      <c r="B895" s="1073">
        <v>67877380</v>
      </c>
      <c r="C895" s="1073">
        <v>67877380</v>
      </c>
    </row>
    <row r="896" spans="1:3">
      <c r="A896" s="1005" t="s">
        <v>6122</v>
      </c>
      <c r="B896" s="1073">
        <v>332061938</v>
      </c>
      <c r="C896" s="1073">
        <v>332061938</v>
      </c>
    </row>
    <row r="897" spans="1:3">
      <c r="A897" s="1005" t="s">
        <v>1801</v>
      </c>
      <c r="B897" s="1073">
        <v>157269205</v>
      </c>
      <c r="C897" s="1073">
        <v>157269205</v>
      </c>
    </row>
    <row r="898" spans="1:3">
      <c r="A898" s="1005" t="s">
        <v>1803</v>
      </c>
      <c r="B898" s="1073">
        <v>46493276</v>
      </c>
      <c r="C898" s="1073">
        <v>46493276</v>
      </c>
    </row>
    <row r="899" spans="1:3">
      <c r="A899" s="1005" t="s">
        <v>1805</v>
      </c>
      <c r="B899" s="1073">
        <v>1551653068</v>
      </c>
      <c r="C899" s="1073">
        <v>1551653068</v>
      </c>
    </row>
    <row r="900" spans="1:3">
      <c r="A900" s="1005" t="s">
        <v>1807</v>
      </c>
      <c r="B900" s="1073">
        <v>69656978</v>
      </c>
      <c r="C900" s="1073">
        <v>69656978</v>
      </c>
    </row>
    <row r="901" spans="1:3">
      <c r="A901" s="1005" t="s">
        <v>5037</v>
      </c>
      <c r="B901" s="1073">
        <v>102182265</v>
      </c>
      <c r="C901" s="1073">
        <v>102182265</v>
      </c>
    </row>
    <row r="902" spans="1:3">
      <c r="A902" s="1005" t="s">
        <v>1809</v>
      </c>
      <c r="B902" s="1073">
        <v>132547336</v>
      </c>
      <c r="C902" s="1073">
        <v>132547336</v>
      </c>
    </row>
    <row r="903" spans="1:3">
      <c r="A903" s="1005" t="s">
        <v>1697</v>
      </c>
      <c r="B903" s="1073">
        <v>222568871</v>
      </c>
      <c r="C903" s="1073">
        <v>251428261</v>
      </c>
    </row>
    <row r="904" spans="1:3">
      <c r="A904" s="1005" t="s">
        <v>2385</v>
      </c>
      <c r="B904" s="1073">
        <v>4093504667</v>
      </c>
      <c r="C904" s="1073">
        <v>4093504667</v>
      </c>
    </row>
    <row r="905" spans="1:3">
      <c r="A905" s="1005" t="s">
        <v>1699</v>
      </c>
      <c r="B905" s="1073">
        <v>118634943</v>
      </c>
      <c r="C905" s="1073">
        <v>118634943</v>
      </c>
    </row>
    <row r="906" spans="1:3">
      <c r="A906" s="1005" t="s">
        <v>3554</v>
      </c>
      <c r="B906" s="1073">
        <v>351389642</v>
      </c>
      <c r="C906" s="1073">
        <v>351389642</v>
      </c>
    </row>
    <row r="907" spans="1:3">
      <c r="A907" s="1005" t="s">
        <v>1857</v>
      </c>
      <c r="B907" s="1073">
        <v>212866748</v>
      </c>
      <c r="C907" s="1073">
        <v>212866748</v>
      </c>
    </row>
    <row r="908" spans="1:3">
      <c r="A908" s="1005" t="s">
        <v>7288</v>
      </c>
      <c r="B908" s="1073">
        <v>106337878</v>
      </c>
      <c r="C908" s="1073">
        <v>106337878</v>
      </c>
    </row>
    <row r="909" spans="1:3">
      <c r="A909" s="1005" t="s">
        <v>2791</v>
      </c>
      <c r="B909" s="1073">
        <v>74807135612</v>
      </c>
      <c r="C909" s="1073">
        <v>74807135612</v>
      </c>
    </row>
    <row r="910" spans="1:3">
      <c r="A910" s="1005" t="s">
        <v>5124</v>
      </c>
      <c r="B910" s="1073">
        <v>8489473829</v>
      </c>
      <c r="C910" s="1073">
        <v>8489473829</v>
      </c>
    </row>
    <row r="911" spans="1:3">
      <c r="A911" s="1005" t="s">
        <v>2793</v>
      </c>
      <c r="B911" s="1073">
        <v>3721012701</v>
      </c>
      <c r="C911" s="1073">
        <v>5032481797</v>
      </c>
    </row>
    <row r="912" spans="1:3">
      <c r="A912" s="1005" t="s">
        <v>2795</v>
      </c>
      <c r="B912" s="1073">
        <v>11113104886</v>
      </c>
      <c r="C912" s="1073">
        <v>11113104886</v>
      </c>
    </row>
    <row r="913" spans="1:3">
      <c r="A913" s="1005" t="s">
        <v>2052</v>
      </c>
      <c r="B913" s="1073">
        <v>3635701289</v>
      </c>
      <c r="C913" s="1073">
        <v>3635701289</v>
      </c>
    </row>
    <row r="914" spans="1:3">
      <c r="A914" s="1005" t="s">
        <v>2797</v>
      </c>
      <c r="B914" s="1073">
        <v>1316408924</v>
      </c>
      <c r="C914" s="1073">
        <v>1316408924</v>
      </c>
    </row>
    <row r="915" spans="1:3">
      <c r="A915" s="1005" t="s">
        <v>2799</v>
      </c>
      <c r="B915" s="1073">
        <v>8423001026</v>
      </c>
      <c r="C915" s="1073">
        <v>8423001026</v>
      </c>
    </row>
    <row r="916" spans="1:3">
      <c r="A916" s="1005" t="s">
        <v>2801</v>
      </c>
      <c r="B916" s="1073">
        <v>233184441</v>
      </c>
      <c r="C916" s="1073">
        <v>233184441</v>
      </c>
    </row>
    <row r="917" spans="1:3">
      <c r="A917" s="1005" t="s">
        <v>2803</v>
      </c>
      <c r="B917" s="1073">
        <v>327786520</v>
      </c>
      <c r="C917" s="1073">
        <v>327786520</v>
      </c>
    </row>
    <row r="918" spans="1:3">
      <c r="A918" s="1005" t="s">
        <v>2805</v>
      </c>
      <c r="B918" s="1073">
        <v>27418005</v>
      </c>
      <c r="C918" s="1073">
        <v>27418005</v>
      </c>
    </row>
    <row r="919" spans="1:3">
      <c r="A919" s="1005" t="s">
        <v>2806</v>
      </c>
      <c r="B919" s="1073">
        <v>35847121</v>
      </c>
      <c r="C919" s="1073">
        <v>35847121</v>
      </c>
    </row>
    <row r="920" spans="1:3">
      <c r="A920" s="1005" t="s">
        <v>232</v>
      </c>
      <c r="B920" s="1073">
        <v>115318169</v>
      </c>
      <c r="C920" s="1073">
        <v>115318169</v>
      </c>
    </row>
    <row r="921" spans="1:3">
      <c r="A921" s="1005" t="s">
        <v>3572</v>
      </c>
      <c r="B921" s="1073">
        <v>824780719</v>
      </c>
      <c r="C921" s="1073">
        <v>824780719</v>
      </c>
    </row>
    <row r="922" spans="1:3">
      <c r="A922" s="1005" t="s">
        <v>3574</v>
      </c>
      <c r="B922" s="1073">
        <v>321866926</v>
      </c>
      <c r="C922" s="1073">
        <v>321866926</v>
      </c>
    </row>
    <row r="923" spans="1:3">
      <c r="A923" s="1005" t="s">
        <v>4072</v>
      </c>
      <c r="B923" s="1073">
        <v>59625639</v>
      </c>
      <c r="C923" s="1073">
        <v>59625639</v>
      </c>
    </row>
    <row r="924" spans="1:3">
      <c r="A924" s="1005" t="s">
        <v>735</v>
      </c>
      <c r="B924" s="1073">
        <v>63370055</v>
      </c>
      <c r="C924" s="1073">
        <v>63370055</v>
      </c>
    </row>
    <row r="925" spans="1:3">
      <c r="A925" s="1005" t="s">
        <v>3576</v>
      </c>
      <c r="B925" s="1073">
        <v>208507439</v>
      </c>
      <c r="C925" s="1073">
        <v>208507439</v>
      </c>
    </row>
    <row r="926" spans="1:3">
      <c r="A926" s="1005" t="s">
        <v>3577</v>
      </c>
      <c r="B926" s="1073">
        <v>783674379</v>
      </c>
      <c r="C926" s="1073">
        <v>783674379</v>
      </c>
    </row>
    <row r="927" spans="1:3">
      <c r="A927" s="1005" t="s">
        <v>6190</v>
      </c>
      <c r="B927" s="1073">
        <v>132366866</v>
      </c>
      <c r="C927" s="1073">
        <v>132366866</v>
      </c>
    </row>
    <row r="928" spans="1:3">
      <c r="A928" s="1005" t="s">
        <v>3580</v>
      </c>
      <c r="B928" s="1073">
        <v>78866557</v>
      </c>
      <c r="C928" s="1073">
        <v>78866557</v>
      </c>
    </row>
    <row r="929" spans="1:3">
      <c r="A929" s="1005" t="s">
        <v>1862</v>
      </c>
      <c r="B929" s="1073">
        <v>373661665</v>
      </c>
      <c r="C929" s="1073">
        <v>373661665</v>
      </c>
    </row>
    <row r="930" spans="1:3">
      <c r="A930" s="1005" t="s">
        <v>3582</v>
      </c>
      <c r="B930" s="1073">
        <v>180090846</v>
      </c>
      <c r="C930" s="1073">
        <v>180090846</v>
      </c>
    </row>
    <row r="931" spans="1:3">
      <c r="A931" s="1005" t="s">
        <v>3584</v>
      </c>
      <c r="B931" s="1073">
        <v>158777228</v>
      </c>
      <c r="C931" s="1073">
        <v>158777228</v>
      </c>
    </row>
    <row r="932" spans="1:3">
      <c r="A932" s="1005" t="s">
        <v>3586</v>
      </c>
      <c r="B932" s="1073">
        <v>1265362609</v>
      </c>
      <c r="C932" s="1073">
        <v>1265362609</v>
      </c>
    </row>
    <row r="933" spans="1:3">
      <c r="A933" s="1005" t="s">
        <v>3588</v>
      </c>
      <c r="B933" s="1073">
        <v>3700215030</v>
      </c>
      <c r="C933" s="1073">
        <v>3700215030</v>
      </c>
    </row>
    <row r="934" spans="1:3">
      <c r="A934" s="1005" t="s">
        <v>6036</v>
      </c>
      <c r="B934" s="1073">
        <v>57172486</v>
      </c>
      <c r="C934" s="1073">
        <v>57172486</v>
      </c>
    </row>
    <row r="935" spans="1:3">
      <c r="A935" s="1005" t="s">
        <v>2472</v>
      </c>
      <c r="B935" s="1073">
        <v>305725800</v>
      </c>
      <c r="C935" s="1073">
        <v>305725800</v>
      </c>
    </row>
    <row r="936" spans="1:3">
      <c r="A936" s="1005" t="s">
        <v>2418</v>
      </c>
      <c r="B936" s="1073">
        <v>1061760061</v>
      </c>
      <c r="C936" s="1073">
        <v>1061760061</v>
      </c>
    </row>
    <row r="937" spans="1:3">
      <c r="A937" s="1005" t="s">
        <v>3590</v>
      </c>
      <c r="B937" s="1073">
        <v>180854139</v>
      </c>
      <c r="C937" s="1073">
        <v>180854139</v>
      </c>
    </row>
    <row r="938" spans="1:3">
      <c r="A938" s="1005" t="s">
        <v>2389</v>
      </c>
      <c r="B938" s="1073">
        <v>1580645829</v>
      </c>
      <c r="C938" s="1073">
        <v>1580645829</v>
      </c>
    </row>
    <row r="939" spans="1:3">
      <c r="A939" s="1005" t="s">
        <v>3594</v>
      </c>
      <c r="B939" s="1073">
        <v>186166172</v>
      </c>
      <c r="C939" s="1073">
        <v>186166172</v>
      </c>
    </row>
    <row r="940" spans="1:3">
      <c r="A940" s="1005" t="s">
        <v>6241</v>
      </c>
      <c r="B940" s="1073">
        <v>591639670</v>
      </c>
      <c r="C940" s="1073">
        <v>591639670</v>
      </c>
    </row>
    <row r="941" spans="1:3">
      <c r="A941" s="1005" t="s">
        <v>6243</v>
      </c>
      <c r="B941" s="1073">
        <v>209837203</v>
      </c>
      <c r="C941" s="1073">
        <v>209837203</v>
      </c>
    </row>
    <row r="942" spans="1:3">
      <c r="A942" s="1005" t="s">
        <v>1832</v>
      </c>
      <c r="B942" s="1073">
        <v>224253771</v>
      </c>
      <c r="C942" s="1073">
        <v>224253771</v>
      </c>
    </row>
    <row r="943" spans="1:3">
      <c r="A943" s="1005" t="s">
        <v>6164</v>
      </c>
      <c r="B943" s="1073">
        <v>88675801</v>
      </c>
      <c r="C943" s="1073">
        <v>88675801</v>
      </c>
    </row>
    <row r="944" spans="1:3">
      <c r="A944" s="1005" t="s">
        <v>6244</v>
      </c>
      <c r="B944" s="1073">
        <v>563614343</v>
      </c>
      <c r="C944" s="1073">
        <v>563614343</v>
      </c>
    </row>
    <row r="945" spans="1:3">
      <c r="A945" s="1005" t="s">
        <v>6246</v>
      </c>
      <c r="B945" s="1073">
        <v>480747872</v>
      </c>
      <c r="C945" s="1073">
        <v>480747872</v>
      </c>
    </row>
    <row r="946" spans="1:3">
      <c r="A946" s="1005" t="s">
        <v>1313</v>
      </c>
      <c r="B946" s="1073">
        <v>55274146</v>
      </c>
      <c r="C946" s="1073">
        <v>55274146</v>
      </c>
    </row>
    <row r="947" spans="1:3">
      <c r="A947" s="1005" t="s">
        <v>955</v>
      </c>
      <c r="B947" s="1073">
        <v>172245689</v>
      </c>
      <c r="C947" s="1073">
        <v>172245689</v>
      </c>
    </row>
    <row r="948" spans="1:3">
      <c r="A948" s="1005" t="s">
        <v>3552</v>
      </c>
      <c r="B948" s="1073">
        <v>5649948023</v>
      </c>
      <c r="C948" s="1073">
        <v>5649948023</v>
      </c>
    </row>
    <row r="949" spans="1:3">
      <c r="A949" s="1005" t="s">
        <v>6248</v>
      </c>
      <c r="B949" s="1073">
        <v>224815783</v>
      </c>
      <c r="C949" s="1073">
        <v>224815783</v>
      </c>
    </row>
    <row r="950" spans="1:3">
      <c r="A950" s="1005" t="s">
        <v>6182</v>
      </c>
      <c r="B950" s="1073">
        <v>259347724</v>
      </c>
      <c r="C950" s="1073">
        <v>259347724</v>
      </c>
    </row>
    <row r="951" spans="1:3">
      <c r="A951" s="1005" t="s">
        <v>6250</v>
      </c>
      <c r="B951" s="1073">
        <v>2035053946</v>
      </c>
      <c r="C951" s="1073">
        <v>2035053946</v>
      </c>
    </row>
    <row r="952" spans="1:3">
      <c r="A952" s="1005" t="s">
        <v>5038</v>
      </c>
      <c r="B952" s="1073">
        <v>447585014</v>
      </c>
      <c r="C952" s="1073">
        <v>447585014</v>
      </c>
    </row>
    <row r="953" spans="1:3">
      <c r="A953" s="1005" t="s">
        <v>5039</v>
      </c>
      <c r="B953" s="1073">
        <v>1879664460</v>
      </c>
      <c r="C953" s="1073">
        <v>2014567464</v>
      </c>
    </row>
    <row r="954" spans="1:3">
      <c r="A954" s="1005" t="s">
        <v>2082</v>
      </c>
      <c r="B954" s="1073">
        <v>981570526</v>
      </c>
      <c r="C954" s="1073">
        <v>981570526</v>
      </c>
    </row>
    <row r="955" spans="1:3">
      <c r="A955" s="1005" t="s">
        <v>2084</v>
      </c>
      <c r="B955" s="1073">
        <v>2367804800</v>
      </c>
      <c r="C955" s="1073">
        <v>2367804800</v>
      </c>
    </row>
    <row r="956" spans="1:3">
      <c r="A956" s="1005" t="s">
        <v>2086</v>
      </c>
      <c r="B956" s="1073">
        <v>160094120</v>
      </c>
      <c r="C956" s="1073">
        <v>160094120</v>
      </c>
    </row>
    <row r="957" spans="1:3">
      <c r="A957" s="1005" t="s">
        <v>2088</v>
      </c>
      <c r="B957" s="1073">
        <v>2220277287</v>
      </c>
      <c r="C957" s="1073">
        <v>2220277287</v>
      </c>
    </row>
    <row r="958" spans="1:3">
      <c r="A958" s="1005" t="s">
        <v>2090</v>
      </c>
      <c r="B958" s="1073">
        <v>394928776</v>
      </c>
      <c r="C958" s="1073">
        <v>394928776</v>
      </c>
    </row>
    <row r="959" spans="1:3">
      <c r="A959" s="1005" t="s">
        <v>2987</v>
      </c>
      <c r="B959" s="1073">
        <v>2027321879</v>
      </c>
      <c r="C959" s="1073">
        <v>2027321879</v>
      </c>
    </row>
    <row r="960" spans="1:3">
      <c r="A960" s="1005" t="s">
        <v>2417</v>
      </c>
      <c r="B960" s="1073">
        <v>15035577665</v>
      </c>
      <c r="C960" s="1073">
        <v>15035577665</v>
      </c>
    </row>
    <row r="961" spans="1:3">
      <c r="A961" s="1005" t="s">
        <v>78</v>
      </c>
      <c r="B961" s="1073">
        <v>938401962</v>
      </c>
      <c r="C961" s="1073">
        <v>1043344442</v>
      </c>
    </row>
    <row r="962" spans="1:3">
      <c r="A962" s="1005" t="s">
        <v>80</v>
      </c>
      <c r="B962" s="1073">
        <v>243145565</v>
      </c>
      <c r="C962" s="1073">
        <v>243145565</v>
      </c>
    </row>
    <row r="963" spans="1:3">
      <c r="A963" s="1005" t="s">
        <v>82</v>
      </c>
      <c r="B963" s="1073">
        <v>320754943</v>
      </c>
      <c r="C963" s="1073">
        <v>320754943</v>
      </c>
    </row>
    <row r="964" spans="1:3">
      <c r="A964" s="1005" t="s">
        <v>84</v>
      </c>
      <c r="B964" s="1073">
        <v>1217664530</v>
      </c>
      <c r="C964" s="1073">
        <v>1217664530</v>
      </c>
    </row>
    <row r="965" spans="1:3">
      <c r="A965" s="1005" t="s">
        <v>86</v>
      </c>
      <c r="B965" s="1073">
        <v>979450840</v>
      </c>
      <c r="C965" s="1073">
        <v>979450840</v>
      </c>
    </row>
    <row r="966" spans="1:3">
      <c r="A966" s="1005" t="s">
        <v>88</v>
      </c>
      <c r="B966" s="1073">
        <v>247773624</v>
      </c>
      <c r="C966" s="1073">
        <v>247773624</v>
      </c>
    </row>
    <row r="967" spans="1:3">
      <c r="A967" s="1005" t="s">
        <v>90</v>
      </c>
      <c r="B967" s="1073">
        <v>170875816</v>
      </c>
      <c r="C967" s="1073">
        <v>170875816</v>
      </c>
    </row>
    <row r="968" spans="1:3">
      <c r="A968" s="1005" t="s">
        <v>92</v>
      </c>
      <c r="B968" s="1073">
        <v>499525023</v>
      </c>
      <c r="C968" s="1073">
        <v>499525023</v>
      </c>
    </row>
    <row r="969" spans="1:3">
      <c r="A969" s="1005" t="s">
        <v>2332</v>
      </c>
      <c r="B969" s="1073">
        <v>1104783432</v>
      </c>
      <c r="C969" s="1073">
        <v>1104783432</v>
      </c>
    </row>
    <row r="970" spans="1:3">
      <c r="A970" s="1005" t="s">
        <v>2334</v>
      </c>
      <c r="B970" s="1073">
        <v>1978664216</v>
      </c>
      <c r="C970" s="1073">
        <v>1978664216</v>
      </c>
    </row>
    <row r="971" spans="1:3">
      <c r="A971" s="1005" t="s">
        <v>962</v>
      </c>
      <c r="B971" s="1073">
        <v>763315631</v>
      </c>
      <c r="C971" s="1073">
        <v>763315631</v>
      </c>
    </row>
    <row r="972" spans="1:3">
      <c r="A972" s="1005" t="s">
        <v>2336</v>
      </c>
      <c r="B972" s="1073">
        <v>304215746</v>
      </c>
      <c r="C972" s="1073">
        <v>304215746</v>
      </c>
    </row>
    <row r="973" spans="1:3">
      <c r="A973" s="1005" t="s">
        <v>2338</v>
      </c>
      <c r="B973" s="1073">
        <v>595185753</v>
      </c>
      <c r="C973" s="1073">
        <v>595185753</v>
      </c>
    </row>
    <row r="974" spans="1:3">
      <c r="A974" s="1005" t="s">
        <v>2340</v>
      </c>
      <c r="B974" s="1073">
        <v>3966525449</v>
      </c>
      <c r="C974" s="1073">
        <v>3966525449</v>
      </c>
    </row>
    <row r="975" spans="1:3">
      <c r="A975" s="1005" t="s">
        <v>738</v>
      </c>
      <c r="B975" s="1073">
        <v>169207066</v>
      </c>
      <c r="C975" s="1073">
        <v>169207066</v>
      </c>
    </row>
    <row r="976" spans="1:3">
      <c r="A976" s="1005" t="s">
        <v>3219</v>
      </c>
      <c r="B976" s="1073">
        <v>94369553</v>
      </c>
      <c r="C976" s="1073">
        <v>94369553</v>
      </c>
    </row>
    <row r="977" spans="1:3">
      <c r="A977" s="1005" t="s">
        <v>608</v>
      </c>
      <c r="B977" s="1073">
        <v>791360129</v>
      </c>
      <c r="C977" s="1073">
        <v>791360129</v>
      </c>
    </row>
    <row r="978" spans="1:3">
      <c r="A978" s="1005" t="s">
        <v>610</v>
      </c>
      <c r="B978" s="1073">
        <v>101585644</v>
      </c>
      <c r="C978" s="1073">
        <v>101585644</v>
      </c>
    </row>
    <row r="979" spans="1:3">
      <c r="A979" s="1005" t="s">
        <v>6145</v>
      </c>
      <c r="B979" s="1073">
        <v>32173266</v>
      </c>
      <c r="C979" s="1073">
        <v>32173266</v>
      </c>
    </row>
    <row r="980" spans="1:3">
      <c r="A980" s="1005" t="s">
        <v>2998</v>
      </c>
      <c r="B980" s="1073">
        <v>247198788</v>
      </c>
      <c r="C980" s="1073">
        <v>677844957</v>
      </c>
    </row>
    <row r="981" spans="1:3">
      <c r="A981" s="1005" t="s">
        <v>2766</v>
      </c>
      <c r="B981" s="1073">
        <v>247906363</v>
      </c>
      <c r="C981" s="1073">
        <v>329943614</v>
      </c>
    </row>
    <row r="982" spans="1:3">
      <c r="A982" s="1005" t="s">
        <v>5040</v>
      </c>
      <c r="B982" s="1073">
        <v>79581818</v>
      </c>
      <c r="C982" s="1073">
        <v>111777853</v>
      </c>
    </row>
    <row r="983" spans="1:3">
      <c r="A983" s="1005" t="s">
        <v>1307</v>
      </c>
      <c r="B983" s="1073">
        <v>280792029</v>
      </c>
      <c r="C983" s="1073">
        <v>280792029</v>
      </c>
    </row>
    <row r="984" spans="1:3">
      <c r="A984" s="1005" t="s">
        <v>1319</v>
      </c>
      <c r="B984" s="1073">
        <v>6280657743</v>
      </c>
      <c r="C984" s="1073">
        <v>6280657743</v>
      </c>
    </row>
    <row r="985" spans="1:3">
      <c r="A985" s="1005" t="s">
        <v>1856</v>
      </c>
      <c r="B985" s="1073">
        <v>122600781</v>
      </c>
      <c r="C985" s="1073">
        <v>122600781</v>
      </c>
    </row>
    <row r="986" spans="1:3">
      <c r="A986" s="1005" t="s">
        <v>6020</v>
      </c>
      <c r="B986" s="1073">
        <v>1698052897</v>
      </c>
      <c r="C986" s="1073">
        <v>1698052897</v>
      </c>
    </row>
    <row r="987" spans="1:3">
      <c r="A987" s="1005" t="s">
        <v>611</v>
      </c>
      <c r="B987" s="1073">
        <v>744460119</v>
      </c>
      <c r="C987" s="1073">
        <v>744460119</v>
      </c>
    </row>
    <row r="988" spans="1:3">
      <c r="A988" s="1005" t="s">
        <v>2990</v>
      </c>
      <c r="B988" s="1073">
        <v>1192695417</v>
      </c>
      <c r="C988" s="1073">
        <v>1192695417</v>
      </c>
    </row>
    <row r="989" spans="1:3">
      <c r="A989" s="1005" t="s">
        <v>2382</v>
      </c>
      <c r="B989" s="1073">
        <v>24533307639</v>
      </c>
      <c r="C989" s="1073">
        <v>24533307639</v>
      </c>
    </row>
    <row r="990" spans="1:3">
      <c r="A990" s="1005" t="s">
        <v>2473</v>
      </c>
      <c r="B990" s="1073">
        <v>818441877</v>
      </c>
      <c r="C990" s="1073">
        <v>818441877</v>
      </c>
    </row>
    <row r="991" spans="1:3">
      <c r="A991" s="1005" t="s">
        <v>2412</v>
      </c>
      <c r="B991" s="1073">
        <v>194866300</v>
      </c>
      <c r="C991" s="1073">
        <v>194866300</v>
      </c>
    </row>
    <row r="992" spans="1:3">
      <c r="A992" s="1005" t="s">
        <v>2988</v>
      </c>
      <c r="B992" s="1073">
        <v>16123255759</v>
      </c>
      <c r="C992" s="1073">
        <v>16123255759</v>
      </c>
    </row>
    <row r="993" spans="1:3">
      <c r="A993" s="1005" t="s">
        <v>613</v>
      </c>
      <c r="B993" s="1073">
        <v>58619544</v>
      </c>
      <c r="C993" s="1073">
        <v>58619544</v>
      </c>
    </row>
    <row r="994" spans="1:3">
      <c r="A994" s="1005" t="s">
        <v>5041</v>
      </c>
      <c r="B994" s="1073">
        <v>1087440844</v>
      </c>
      <c r="C994" s="1073">
        <v>1087440844</v>
      </c>
    </row>
    <row r="995" spans="1:3">
      <c r="A995" s="1005" t="s">
        <v>6039</v>
      </c>
      <c r="B995" s="1073">
        <v>828410919</v>
      </c>
      <c r="C995" s="1073">
        <v>828410919</v>
      </c>
    </row>
    <row r="996" spans="1:3">
      <c r="A996" s="1005" t="s">
        <v>5043</v>
      </c>
      <c r="B996" s="1073">
        <v>457467186</v>
      </c>
      <c r="C996" s="1073">
        <v>457467186</v>
      </c>
    </row>
    <row r="997" spans="1:3">
      <c r="A997" s="1005" t="s">
        <v>2409</v>
      </c>
      <c r="B997" s="1073">
        <v>199099596</v>
      </c>
      <c r="C997" s="1073">
        <v>199099596</v>
      </c>
    </row>
    <row r="998" spans="1:3">
      <c r="A998" s="1005" t="s">
        <v>615</v>
      </c>
      <c r="B998" s="1073">
        <v>851947458</v>
      </c>
      <c r="C998" s="1073">
        <v>941823528</v>
      </c>
    </row>
    <row r="999" spans="1:3">
      <c r="A999" s="1005" t="s">
        <v>617</v>
      </c>
      <c r="B999" s="1073">
        <v>1618767837</v>
      </c>
      <c r="C999" s="1073">
        <v>1618767837</v>
      </c>
    </row>
    <row r="1000" spans="1:3">
      <c r="A1000" s="1005" t="s">
        <v>3889</v>
      </c>
      <c r="B1000" s="1073">
        <v>435975280</v>
      </c>
      <c r="C1000" s="1073">
        <v>435975280</v>
      </c>
    </row>
    <row r="1001" spans="1:3">
      <c r="A1001" s="1005" t="s">
        <v>619</v>
      </c>
      <c r="B1001" s="1073">
        <v>871550334</v>
      </c>
      <c r="C1001" s="1073">
        <v>871550334</v>
      </c>
    </row>
    <row r="1002" spans="1:3">
      <c r="A1002" s="1005" t="s">
        <v>1328</v>
      </c>
      <c r="B1002" s="1073">
        <v>1452825011</v>
      </c>
      <c r="C1002" s="1073">
        <v>1452825011</v>
      </c>
    </row>
    <row r="1003" spans="1:3">
      <c r="A1003" s="1005" t="s">
        <v>6708</v>
      </c>
      <c r="B1003" s="1073">
        <v>590740665</v>
      </c>
      <c r="C1003" s="1073">
        <v>590740665</v>
      </c>
    </row>
    <row r="1004" spans="1:3">
      <c r="A1004" s="1005" t="s">
        <v>6710</v>
      </c>
      <c r="B1004" s="1073">
        <v>2242259514</v>
      </c>
      <c r="C1004" s="1073">
        <v>2242259514</v>
      </c>
    </row>
    <row r="1005" spans="1:3">
      <c r="A1005" s="1005" t="s">
        <v>6192</v>
      </c>
      <c r="B1005" s="1073">
        <v>377227369</v>
      </c>
      <c r="C1005" s="1073">
        <v>377227369</v>
      </c>
    </row>
    <row r="1006" spans="1:3">
      <c r="A1006" s="1005" t="s">
        <v>2400</v>
      </c>
      <c r="B1006" s="1073">
        <v>354719652</v>
      </c>
      <c r="C1006" s="1073">
        <v>354719652</v>
      </c>
    </row>
    <row r="1007" spans="1:3">
      <c r="A1007" s="1005" t="s">
        <v>6712</v>
      </c>
      <c r="B1007" s="1073">
        <v>919607044</v>
      </c>
      <c r="C1007" s="1073">
        <v>919607044</v>
      </c>
    </row>
    <row r="1008" spans="1:3">
      <c r="A1008" s="1005" t="s">
        <v>6714</v>
      </c>
      <c r="B1008" s="1073">
        <v>507539135</v>
      </c>
      <c r="C1008" s="1073">
        <v>507539135</v>
      </c>
    </row>
    <row r="1009" spans="1:3">
      <c r="A1009" s="1005" t="s">
        <v>6716</v>
      </c>
      <c r="B1009" s="1073">
        <v>454285521</v>
      </c>
      <c r="C1009" s="1073">
        <v>454285521</v>
      </c>
    </row>
    <row r="1010" spans="1:3">
      <c r="A1010" s="1005" t="s">
        <v>6718</v>
      </c>
      <c r="B1010" s="1073">
        <v>279716820</v>
      </c>
      <c r="C1010" s="1073">
        <v>279716820</v>
      </c>
    </row>
    <row r="1011" spans="1:3">
      <c r="A1011" s="1005" t="s">
        <v>2443</v>
      </c>
      <c r="B1011" s="1073">
        <v>245647782</v>
      </c>
      <c r="C1011" s="1073">
        <v>245647782</v>
      </c>
    </row>
    <row r="1012" spans="1:3">
      <c r="A1012" s="1005" t="s">
        <v>2445</v>
      </c>
      <c r="B1012" s="1073">
        <v>450994890</v>
      </c>
      <c r="C1012" s="1073">
        <v>450994890</v>
      </c>
    </row>
    <row r="1013" spans="1:3">
      <c r="A1013" s="1005" t="s">
        <v>2447</v>
      </c>
      <c r="B1013" s="1073">
        <v>3082906562</v>
      </c>
      <c r="C1013" s="1073">
        <v>3082906562</v>
      </c>
    </row>
    <row r="1014" spans="1:3">
      <c r="A1014" s="1005" t="s">
        <v>905</v>
      </c>
      <c r="B1014" s="1073">
        <v>1140590239</v>
      </c>
      <c r="C1014" s="1073">
        <v>1140590239</v>
      </c>
    </row>
    <row r="1015" spans="1:3">
      <c r="A1015" s="1005" t="s">
        <v>1854</v>
      </c>
      <c r="B1015" s="1073">
        <v>767278700</v>
      </c>
      <c r="C1015" s="1073">
        <v>789730060</v>
      </c>
    </row>
    <row r="1016" spans="1:3">
      <c r="A1016" s="1005" t="s">
        <v>907</v>
      </c>
      <c r="B1016" s="1073">
        <v>87917688</v>
      </c>
      <c r="C1016" s="1073">
        <v>87917688</v>
      </c>
    </row>
    <row r="1017" spans="1:3">
      <c r="A1017" s="1005" t="s">
        <v>6146</v>
      </c>
      <c r="B1017" s="1073">
        <v>276654272</v>
      </c>
      <c r="C1017" s="1073">
        <v>526578272</v>
      </c>
    </row>
    <row r="1018" spans="1:3">
      <c r="A1018" s="1005" t="s">
        <v>909</v>
      </c>
      <c r="B1018" s="1073">
        <v>1494090668</v>
      </c>
      <c r="C1018" s="1073">
        <v>1494090668</v>
      </c>
    </row>
    <row r="1019" spans="1:3">
      <c r="A1019" s="1005" t="s">
        <v>247</v>
      </c>
      <c r="B1019" s="1073">
        <v>794832646</v>
      </c>
      <c r="C1019" s="1073">
        <v>794832646</v>
      </c>
    </row>
    <row r="1020" spans="1:3">
      <c r="A1020" s="1005" t="s">
        <v>1527</v>
      </c>
      <c r="B1020" s="1073">
        <v>76883595</v>
      </c>
      <c r="C1020" s="1073">
        <v>76883595</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N1021"/>
  <sheetViews>
    <sheetView workbookViewId="0">
      <selection activeCell="D2" sqref="D2"/>
    </sheetView>
  </sheetViews>
  <sheetFormatPr defaultColWidth="8.77734375" defaultRowHeight="13.8"/>
  <cols>
    <col min="1" max="1" width="16.21875" style="1031" customWidth="1"/>
    <col min="2" max="2" width="32.5546875" style="1031" bestFit="1" customWidth="1"/>
    <col min="3" max="14" width="15.44140625" style="1056" bestFit="1" customWidth="1"/>
    <col min="15" max="256" width="8.77734375" style="1031"/>
    <col min="257" max="257" width="16.21875" style="1031" customWidth="1"/>
    <col min="258" max="258" width="32.5546875" style="1031" bestFit="1" customWidth="1"/>
    <col min="259" max="270" width="15.44140625" style="1031" bestFit="1" customWidth="1"/>
    <col min="271" max="512" width="8.77734375" style="1031"/>
    <col min="513" max="513" width="16.21875" style="1031" customWidth="1"/>
    <col min="514" max="514" width="32.5546875" style="1031" bestFit="1" customWidth="1"/>
    <col min="515" max="526" width="15.44140625" style="1031" bestFit="1" customWidth="1"/>
    <col min="527" max="768" width="8.77734375" style="1031"/>
    <col min="769" max="769" width="16.21875" style="1031" customWidth="1"/>
    <col min="770" max="770" width="32.5546875" style="1031" bestFit="1" customWidth="1"/>
    <col min="771" max="782" width="15.44140625" style="1031" bestFit="1" customWidth="1"/>
    <col min="783" max="1024" width="8.77734375" style="1031"/>
    <col min="1025" max="1025" width="16.21875" style="1031" customWidth="1"/>
    <col min="1026" max="1026" width="32.5546875" style="1031" bestFit="1" customWidth="1"/>
    <col min="1027" max="1038" width="15.44140625" style="1031" bestFit="1" customWidth="1"/>
    <col min="1039" max="1280" width="8.77734375" style="1031"/>
    <col min="1281" max="1281" width="16.21875" style="1031" customWidth="1"/>
    <col min="1282" max="1282" width="32.5546875" style="1031" bestFit="1" customWidth="1"/>
    <col min="1283" max="1294" width="15.44140625" style="1031" bestFit="1" customWidth="1"/>
    <col min="1295" max="1536" width="8.77734375" style="1031"/>
    <col min="1537" max="1537" width="16.21875" style="1031" customWidth="1"/>
    <col min="1538" max="1538" width="32.5546875" style="1031" bestFit="1" customWidth="1"/>
    <col min="1539" max="1550" width="15.44140625" style="1031" bestFit="1" customWidth="1"/>
    <col min="1551" max="1792" width="8.77734375" style="1031"/>
    <col min="1793" max="1793" width="16.21875" style="1031" customWidth="1"/>
    <col min="1794" max="1794" width="32.5546875" style="1031" bestFit="1" customWidth="1"/>
    <col min="1795" max="1806" width="15.44140625" style="1031" bestFit="1" customWidth="1"/>
    <col min="1807" max="2048" width="8.77734375" style="1031"/>
    <col min="2049" max="2049" width="16.21875" style="1031" customWidth="1"/>
    <col min="2050" max="2050" width="32.5546875" style="1031" bestFit="1" customWidth="1"/>
    <col min="2051" max="2062" width="15.44140625" style="1031" bestFit="1" customWidth="1"/>
    <col min="2063" max="2304" width="8.77734375" style="1031"/>
    <col min="2305" max="2305" width="16.21875" style="1031" customWidth="1"/>
    <col min="2306" max="2306" width="32.5546875" style="1031" bestFit="1" customWidth="1"/>
    <col min="2307" max="2318" width="15.44140625" style="1031" bestFit="1" customWidth="1"/>
    <col min="2319" max="2560" width="8.77734375" style="1031"/>
    <col min="2561" max="2561" width="16.21875" style="1031" customWidth="1"/>
    <col min="2562" max="2562" width="32.5546875" style="1031" bestFit="1" customWidth="1"/>
    <col min="2563" max="2574" width="15.44140625" style="1031" bestFit="1" customWidth="1"/>
    <col min="2575" max="2816" width="8.77734375" style="1031"/>
    <col min="2817" max="2817" width="16.21875" style="1031" customWidth="1"/>
    <col min="2818" max="2818" width="32.5546875" style="1031" bestFit="1" customWidth="1"/>
    <col min="2819" max="2830" width="15.44140625" style="1031" bestFit="1" customWidth="1"/>
    <col min="2831" max="3072" width="8.77734375" style="1031"/>
    <col min="3073" max="3073" width="16.21875" style="1031" customWidth="1"/>
    <col min="3074" max="3074" width="32.5546875" style="1031" bestFit="1" customWidth="1"/>
    <col min="3075" max="3086" width="15.44140625" style="1031" bestFit="1" customWidth="1"/>
    <col min="3087" max="3328" width="8.77734375" style="1031"/>
    <col min="3329" max="3329" width="16.21875" style="1031" customWidth="1"/>
    <col min="3330" max="3330" width="32.5546875" style="1031" bestFit="1" customWidth="1"/>
    <col min="3331" max="3342" width="15.44140625" style="1031" bestFit="1" customWidth="1"/>
    <col min="3343" max="3584" width="8.77734375" style="1031"/>
    <col min="3585" max="3585" width="16.21875" style="1031" customWidth="1"/>
    <col min="3586" max="3586" width="32.5546875" style="1031" bestFit="1" customWidth="1"/>
    <col min="3587" max="3598" width="15.44140625" style="1031" bestFit="1" customWidth="1"/>
    <col min="3599" max="3840" width="8.77734375" style="1031"/>
    <col min="3841" max="3841" width="16.21875" style="1031" customWidth="1"/>
    <col min="3842" max="3842" width="32.5546875" style="1031" bestFit="1" customWidth="1"/>
    <col min="3843" max="3854" width="15.44140625" style="1031" bestFit="1" customWidth="1"/>
    <col min="3855" max="4096" width="8.77734375" style="1031"/>
    <col min="4097" max="4097" width="16.21875" style="1031" customWidth="1"/>
    <col min="4098" max="4098" width="32.5546875" style="1031" bestFit="1" customWidth="1"/>
    <col min="4099" max="4110" width="15.44140625" style="1031" bestFit="1" customWidth="1"/>
    <col min="4111" max="4352" width="8.77734375" style="1031"/>
    <col min="4353" max="4353" width="16.21875" style="1031" customWidth="1"/>
    <col min="4354" max="4354" width="32.5546875" style="1031" bestFit="1" customWidth="1"/>
    <col min="4355" max="4366" width="15.44140625" style="1031" bestFit="1" customWidth="1"/>
    <col min="4367" max="4608" width="8.77734375" style="1031"/>
    <col min="4609" max="4609" width="16.21875" style="1031" customWidth="1"/>
    <col min="4610" max="4610" width="32.5546875" style="1031" bestFit="1" customWidth="1"/>
    <col min="4611" max="4622" width="15.44140625" style="1031" bestFit="1" customWidth="1"/>
    <col min="4623" max="4864" width="8.77734375" style="1031"/>
    <col min="4865" max="4865" width="16.21875" style="1031" customWidth="1"/>
    <col min="4866" max="4866" width="32.5546875" style="1031" bestFit="1" customWidth="1"/>
    <col min="4867" max="4878" width="15.44140625" style="1031" bestFit="1" customWidth="1"/>
    <col min="4879" max="5120" width="8.77734375" style="1031"/>
    <col min="5121" max="5121" width="16.21875" style="1031" customWidth="1"/>
    <col min="5122" max="5122" width="32.5546875" style="1031" bestFit="1" customWidth="1"/>
    <col min="5123" max="5134" width="15.44140625" style="1031" bestFit="1" customWidth="1"/>
    <col min="5135" max="5376" width="8.77734375" style="1031"/>
    <col min="5377" max="5377" width="16.21875" style="1031" customWidth="1"/>
    <col min="5378" max="5378" width="32.5546875" style="1031" bestFit="1" customWidth="1"/>
    <col min="5379" max="5390" width="15.44140625" style="1031" bestFit="1" customWidth="1"/>
    <col min="5391" max="5632" width="8.77734375" style="1031"/>
    <col min="5633" max="5633" width="16.21875" style="1031" customWidth="1"/>
    <col min="5634" max="5634" width="32.5546875" style="1031" bestFit="1" customWidth="1"/>
    <col min="5635" max="5646" width="15.44140625" style="1031" bestFit="1" customWidth="1"/>
    <col min="5647" max="5888" width="8.77734375" style="1031"/>
    <col min="5889" max="5889" width="16.21875" style="1031" customWidth="1"/>
    <col min="5890" max="5890" width="32.5546875" style="1031" bestFit="1" customWidth="1"/>
    <col min="5891" max="5902" width="15.44140625" style="1031" bestFit="1" customWidth="1"/>
    <col min="5903" max="6144" width="8.77734375" style="1031"/>
    <col min="6145" max="6145" width="16.21875" style="1031" customWidth="1"/>
    <col min="6146" max="6146" width="32.5546875" style="1031" bestFit="1" customWidth="1"/>
    <col min="6147" max="6158" width="15.44140625" style="1031" bestFit="1" customWidth="1"/>
    <col min="6159" max="6400" width="8.77734375" style="1031"/>
    <col min="6401" max="6401" width="16.21875" style="1031" customWidth="1"/>
    <col min="6402" max="6402" width="32.5546875" style="1031" bestFit="1" customWidth="1"/>
    <col min="6403" max="6414" width="15.44140625" style="1031" bestFit="1" customWidth="1"/>
    <col min="6415" max="6656" width="8.77734375" style="1031"/>
    <col min="6657" max="6657" width="16.21875" style="1031" customWidth="1"/>
    <col min="6658" max="6658" width="32.5546875" style="1031" bestFit="1" customWidth="1"/>
    <col min="6659" max="6670" width="15.44140625" style="1031" bestFit="1" customWidth="1"/>
    <col min="6671" max="6912" width="8.77734375" style="1031"/>
    <col min="6913" max="6913" width="16.21875" style="1031" customWidth="1"/>
    <col min="6914" max="6914" width="32.5546875" style="1031" bestFit="1" customWidth="1"/>
    <col min="6915" max="6926" width="15.44140625" style="1031" bestFit="1" customWidth="1"/>
    <col min="6927" max="7168" width="8.77734375" style="1031"/>
    <col min="7169" max="7169" width="16.21875" style="1031" customWidth="1"/>
    <col min="7170" max="7170" width="32.5546875" style="1031" bestFit="1" customWidth="1"/>
    <col min="7171" max="7182" width="15.44140625" style="1031" bestFit="1" customWidth="1"/>
    <col min="7183" max="7424" width="8.77734375" style="1031"/>
    <col min="7425" max="7425" width="16.21875" style="1031" customWidth="1"/>
    <col min="7426" max="7426" width="32.5546875" style="1031" bestFit="1" customWidth="1"/>
    <col min="7427" max="7438" width="15.44140625" style="1031" bestFit="1" customWidth="1"/>
    <col min="7439" max="7680" width="8.77734375" style="1031"/>
    <col min="7681" max="7681" width="16.21875" style="1031" customWidth="1"/>
    <col min="7682" max="7682" width="32.5546875" style="1031" bestFit="1" customWidth="1"/>
    <col min="7683" max="7694" width="15.44140625" style="1031" bestFit="1" customWidth="1"/>
    <col min="7695" max="7936" width="8.77734375" style="1031"/>
    <col min="7937" max="7937" width="16.21875" style="1031" customWidth="1"/>
    <col min="7938" max="7938" width="32.5546875" style="1031" bestFit="1" customWidth="1"/>
    <col min="7939" max="7950" width="15.44140625" style="1031" bestFit="1" customWidth="1"/>
    <col min="7951" max="8192" width="8.77734375" style="1031"/>
    <col min="8193" max="8193" width="16.21875" style="1031" customWidth="1"/>
    <col min="8194" max="8194" width="32.5546875" style="1031" bestFit="1" customWidth="1"/>
    <col min="8195" max="8206" width="15.44140625" style="1031" bestFit="1" customWidth="1"/>
    <col min="8207" max="8448" width="8.77734375" style="1031"/>
    <col min="8449" max="8449" width="16.21875" style="1031" customWidth="1"/>
    <col min="8450" max="8450" width="32.5546875" style="1031" bestFit="1" customWidth="1"/>
    <col min="8451" max="8462" width="15.44140625" style="1031" bestFit="1" customWidth="1"/>
    <col min="8463" max="8704" width="8.77734375" style="1031"/>
    <col min="8705" max="8705" width="16.21875" style="1031" customWidth="1"/>
    <col min="8706" max="8706" width="32.5546875" style="1031" bestFit="1" customWidth="1"/>
    <col min="8707" max="8718" width="15.44140625" style="1031" bestFit="1" customWidth="1"/>
    <col min="8719" max="8960" width="8.77734375" style="1031"/>
    <col min="8961" max="8961" width="16.21875" style="1031" customWidth="1"/>
    <col min="8962" max="8962" width="32.5546875" style="1031" bestFit="1" customWidth="1"/>
    <col min="8963" max="8974" width="15.44140625" style="1031" bestFit="1" customWidth="1"/>
    <col min="8975" max="9216" width="8.77734375" style="1031"/>
    <col min="9217" max="9217" width="16.21875" style="1031" customWidth="1"/>
    <col min="9218" max="9218" width="32.5546875" style="1031" bestFit="1" customWidth="1"/>
    <col min="9219" max="9230" width="15.44140625" style="1031" bestFit="1" customWidth="1"/>
    <col min="9231" max="9472" width="8.77734375" style="1031"/>
    <col min="9473" max="9473" width="16.21875" style="1031" customWidth="1"/>
    <col min="9474" max="9474" width="32.5546875" style="1031" bestFit="1" customWidth="1"/>
    <col min="9475" max="9486" width="15.44140625" style="1031" bestFit="1" customWidth="1"/>
    <col min="9487" max="9728" width="8.77734375" style="1031"/>
    <col min="9729" max="9729" width="16.21875" style="1031" customWidth="1"/>
    <col min="9730" max="9730" width="32.5546875" style="1031" bestFit="1" customWidth="1"/>
    <col min="9731" max="9742" width="15.44140625" style="1031" bestFit="1" customWidth="1"/>
    <col min="9743" max="9984" width="8.77734375" style="1031"/>
    <col min="9985" max="9985" width="16.21875" style="1031" customWidth="1"/>
    <col min="9986" max="9986" width="32.5546875" style="1031" bestFit="1" customWidth="1"/>
    <col min="9987" max="9998" width="15.44140625" style="1031" bestFit="1" customWidth="1"/>
    <col min="9999" max="10240" width="8.77734375" style="1031"/>
    <col min="10241" max="10241" width="16.21875" style="1031" customWidth="1"/>
    <col min="10242" max="10242" width="32.5546875" style="1031" bestFit="1" customWidth="1"/>
    <col min="10243" max="10254" width="15.44140625" style="1031" bestFit="1" customWidth="1"/>
    <col min="10255" max="10496" width="8.77734375" style="1031"/>
    <col min="10497" max="10497" width="16.21875" style="1031" customWidth="1"/>
    <col min="10498" max="10498" width="32.5546875" style="1031" bestFit="1" customWidth="1"/>
    <col min="10499" max="10510" width="15.44140625" style="1031" bestFit="1" customWidth="1"/>
    <col min="10511" max="10752" width="8.77734375" style="1031"/>
    <col min="10753" max="10753" width="16.21875" style="1031" customWidth="1"/>
    <col min="10754" max="10754" width="32.5546875" style="1031" bestFit="1" customWidth="1"/>
    <col min="10755" max="10766" width="15.44140625" style="1031" bestFit="1" customWidth="1"/>
    <col min="10767" max="11008" width="8.77734375" style="1031"/>
    <col min="11009" max="11009" width="16.21875" style="1031" customWidth="1"/>
    <col min="11010" max="11010" width="32.5546875" style="1031" bestFit="1" customWidth="1"/>
    <col min="11011" max="11022" width="15.44140625" style="1031" bestFit="1" customWidth="1"/>
    <col min="11023" max="11264" width="8.77734375" style="1031"/>
    <col min="11265" max="11265" width="16.21875" style="1031" customWidth="1"/>
    <col min="11266" max="11266" width="32.5546875" style="1031" bestFit="1" customWidth="1"/>
    <col min="11267" max="11278" width="15.44140625" style="1031" bestFit="1" customWidth="1"/>
    <col min="11279" max="11520" width="8.77734375" style="1031"/>
    <col min="11521" max="11521" width="16.21875" style="1031" customWidth="1"/>
    <col min="11522" max="11522" width="32.5546875" style="1031" bestFit="1" customWidth="1"/>
    <col min="11523" max="11534" width="15.44140625" style="1031" bestFit="1" customWidth="1"/>
    <col min="11535" max="11776" width="8.77734375" style="1031"/>
    <col min="11777" max="11777" width="16.21875" style="1031" customWidth="1"/>
    <col min="11778" max="11778" width="32.5546875" style="1031" bestFit="1" customWidth="1"/>
    <col min="11779" max="11790" width="15.44140625" style="1031" bestFit="1" customWidth="1"/>
    <col min="11791" max="12032" width="8.77734375" style="1031"/>
    <col min="12033" max="12033" width="16.21875" style="1031" customWidth="1"/>
    <col min="12034" max="12034" width="32.5546875" style="1031" bestFit="1" customWidth="1"/>
    <col min="12035" max="12046" width="15.44140625" style="1031" bestFit="1" customWidth="1"/>
    <col min="12047" max="12288" width="8.77734375" style="1031"/>
    <col min="12289" max="12289" width="16.21875" style="1031" customWidth="1"/>
    <col min="12290" max="12290" width="32.5546875" style="1031" bestFit="1" customWidth="1"/>
    <col min="12291" max="12302" width="15.44140625" style="1031" bestFit="1" customWidth="1"/>
    <col min="12303" max="12544" width="8.77734375" style="1031"/>
    <col min="12545" max="12545" width="16.21875" style="1031" customWidth="1"/>
    <col min="12546" max="12546" width="32.5546875" style="1031" bestFit="1" customWidth="1"/>
    <col min="12547" max="12558" width="15.44140625" style="1031" bestFit="1" customWidth="1"/>
    <col min="12559" max="12800" width="8.77734375" style="1031"/>
    <col min="12801" max="12801" width="16.21875" style="1031" customWidth="1"/>
    <col min="12802" max="12802" width="32.5546875" style="1031" bestFit="1" customWidth="1"/>
    <col min="12803" max="12814" width="15.44140625" style="1031" bestFit="1" customWidth="1"/>
    <col min="12815" max="13056" width="8.77734375" style="1031"/>
    <col min="13057" max="13057" width="16.21875" style="1031" customWidth="1"/>
    <col min="13058" max="13058" width="32.5546875" style="1031" bestFit="1" customWidth="1"/>
    <col min="13059" max="13070" width="15.44140625" style="1031" bestFit="1" customWidth="1"/>
    <col min="13071" max="13312" width="8.77734375" style="1031"/>
    <col min="13313" max="13313" width="16.21875" style="1031" customWidth="1"/>
    <col min="13314" max="13314" width="32.5546875" style="1031" bestFit="1" customWidth="1"/>
    <col min="13315" max="13326" width="15.44140625" style="1031" bestFit="1" customWidth="1"/>
    <col min="13327" max="13568" width="8.77734375" style="1031"/>
    <col min="13569" max="13569" width="16.21875" style="1031" customWidth="1"/>
    <col min="13570" max="13570" width="32.5546875" style="1031" bestFit="1" customWidth="1"/>
    <col min="13571" max="13582" width="15.44140625" style="1031" bestFit="1" customWidth="1"/>
    <col min="13583" max="13824" width="8.77734375" style="1031"/>
    <col min="13825" max="13825" width="16.21875" style="1031" customWidth="1"/>
    <col min="13826" max="13826" width="32.5546875" style="1031" bestFit="1" customWidth="1"/>
    <col min="13827" max="13838" width="15.44140625" style="1031" bestFit="1" customWidth="1"/>
    <col min="13839" max="14080" width="8.77734375" style="1031"/>
    <col min="14081" max="14081" width="16.21875" style="1031" customWidth="1"/>
    <col min="14082" max="14082" width="32.5546875" style="1031" bestFit="1" customWidth="1"/>
    <col min="14083" max="14094" width="15.44140625" style="1031" bestFit="1" customWidth="1"/>
    <col min="14095" max="14336" width="8.77734375" style="1031"/>
    <col min="14337" max="14337" width="16.21875" style="1031" customWidth="1"/>
    <col min="14338" max="14338" width="32.5546875" style="1031" bestFit="1" customWidth="1"/>
    <col min="14339" max="14350" width="15.44140625" style="1031" bestFit="1" customWidth="1"/>
    <col min="14351" max="14592" width="8.77734375" style="1031"/>
    <col min="14593" max="14593" width="16.21875" style="1031" customWidth="1"/>
    <col min="14594" max="14594" width="32.5546875" style="1031" bestFit="1" customWidth="1"/>
    <col min="14595" max="14606" width="15.44140625" style="1031" bestFit="1" customWidth="1"/>
    <col min="14607" max="14848" width="8.77734375" style="1031"/>
    <col min="14849" max="14849" width="16.21875" style="1031" customWidth="1"/>
    <col min="14850" max="14850" width="32.5546875" style="1031" bestFit="1" customWidth="1"/>
    <col min="14851" max="14862" width="15.44140625" style="1031" bestFit="1" customWidth="1"/>
    <col min="14863" max="15104" width="8.77734375" style="1031"/>
    <col min="15105" max="15105" width="16.21875" style="1031" customWidth="1"/>
    <col min="15106" max="15106" width="32.5546875" style="1031" bestFit="1" customWidth="1"/>
    <col min="15107" max="15118" width="15.44140625" style="1031" bestFit="1" customWidth="1"/>
    <col min="15119" max="15360" width="8.77734375" style="1031"/>
    <col min="15361" max="15361" width="16.21875" style="1031" customWidth="1"/>
    <col min="15362" max="15362" width="32.5546875" style="1031" bestFit="1" customWidth="1"/>
    <col min="15363" max="15374" width="15.44140625" style="1031" bestFit="1" customWidth="1"/>
    <col min="15375" max="15616" width="8.77734375" style="1031"/>
    <col min="15617" max="15617" width="16.21875" style="1031" customWidth="1"/>
    <col min="15618" max="15618" width="32.5546875" style="1031" bestFit="1" customWidth="1"/>
    <col min="15619" max="15630" width="15.44140625" style="1031" bestFit="1" customWidth="1"/>
    <col min="15631" max="15872" width="8.77734375" style="1031"/>
    <col min="15873" max="15873" width="16.21875" style="1031" customWidth="1"/>
    <col min="15874" max="15874" width="32.5546875" style="1031" bestFit="1" customWidth="1"/>
    <col min="15875" max="15886" width="15.44140625" style="1031" bestFit="1" customWidth="1"/>
    <col min="15887" max="16128" width="8.77734375" style="1031"/>
    <col min="16129" max="16129" width="16.21875" style="1031" customWidth="1"/>
    <col min="16130" max="16130" width="32.5546875" style="1031" bestFit="1" customWidth="1"/>
    <col min="16131" max="16142" width="15.44140625" style="1031" bestFit="1" customWidth="1"/>
    <col min="16143" max="16384" width="8.77734375" style="1031"/>
  </cols>
  <sheetData>
    <row r="1" spans="1:14" ht="14.4">
      <c r="A1" s="1049" t="s">
        <v>8270</v>
      </c>
      <c r="B1" s="1031" t="s">
        <v>8271</v>
      </c>
      <c r="C1" s="1050" t="s">
        <v>8272</v>
      </c>
      <c r="D1" s="1050" t="s">
        <v>8273</v>
      </c>
      <c r="E1" s="1050" t="s">
        <v>8274</v>
      </c>
      <c r="F1" s="1050" t="s">
        <v>8275</v>
      </c>
      <c r="G1" s="1050" t="s">
        <v>8276</v>
      </c>
      <c r="H1" s="1050" t="s">
        <v>8277</v>
      </c>
      <c r="I1" s="1050" t="s">
        <v>8278</v>
      </c>
      <c r="J1" s="1050" t="s">
        <v>8279</v>
      </c>
      <c r="K1" s="1050" t="s">
        <v>8280</v>
      </c>
      <c r="L1" s="1050" t="s">
        <v>8281</v>
      </c>
      <c r="M1" s="1050" t="s">
        <v>8282</v>
      </c>
      <c r="N1" s="1050" t="s">
        <v>8283</v>
      </c>
    </row>
    <row r="2" spans="1:14" s="1055" customFormat="1" ht="15.6">
      <c r="A2" s="1051" t="str">
        <f>'Enter Attendance.Funding Sheet'!A1</f>
        <v>000-000</v>
      </c>
      <c r="B2" s="1052" t="e">
        <f>VLOOKUP($A$2,$A$3:B1021,2,FALSE)</f>
        <v>#N/A</v>
      </c>
      <c r="C2" s="1053" t="e">
        <f>VLOOKUP($A$2,$A$3:C1021,3,FALSE)</f>
        <v>#N/A</v>
      </c>
      <c r="D2" s="1053" t="e">
        <f>VLOOKUP($A$2,$A$3:D1021,4,FALSE)</f>
        <v>#N/A</v>
      </c>
      <c r="E2" s="1053" t="e">
        <f>VLOOKUP($A$2,$A$3:E1021,5,FALSE)</f>
        <v>#N/A</v>
      </c>
      <c r="F2" s="1053" t="e">
        <f>VLOOKUP($A$2,$A$3:F1021,6,FALSE)</f>
        <v>#N/A</v>
      </c>
      <c r="G2" s="1053" t="e">
        <f>VLOOKUP($A$2,$A$3:G1021,7,FALSE)</f>
        <v>#N/A</v>
      </c>
      <c r="H2" s="1053" t="e">
        <f>VLOOKUP($A$2,$A$3:H1021,8,FALSE)</f>
        <v>#N/A</v>
      </c>
      <c r="I2" s="1053" t="e">
        <f>VLOOKUP($A$2,$A$3:I1021,9,FALSE)</f>
        <v>#N/A</v>
      </c>
      <c r="J2" s="1053" t="e">
        <f>VLOOKUP($A$2,$A$3:J1021,10,FALSE)</f>
        <v>#N/A</v>
      </c>
      <c r="K2" s="1053" t="e">
        <f>VLOOKUP($A$2,$A$3:K1021,11,FALSE)</f>
        <v>#N/A</v>
      </c>
      <c r="L2" s="1054"/>
      <c r="M2" s="1054"/>
      <c r="N2" s="1054"/>
    </row>
    <row r="3" spans="1:14">
      <c r="A3" s="1049" t="s">
        <v>3890</v>
      </c>
      <c r="B3" s="1031" t="s">
        <v>1763</v>
      </c>
      <c r="C3" s="1056">
        <v>279542374</v>
      </c>
      <c r="D3" s="1056">
        <v>273822213</v>
      </c>
      <c r="E3" s="1056">
        <v>274294853</v>
      </c>
      <c r="F3" s="1056">
        <v>268574692</v>
      </c>
      <c r="G3" s="1056">
        <v>273822213</v>
      </c>
      <c r="H3" s="1056">
        <v>268574692</v>
      </c>
      <c r="I3" s="1056">
        <v>279542374</v>
      </c>
      <c r="J3" s="1056">
        <v>273822213</v>
      </c>
      <c r="K3" s="1056">
        <v>274294853</v>
      </c>
      <c r="L3" s="1056">
        <v>268574692</v>
      </c>
      <c r="M3" s="1056">
        <v>273822213</v>
      </c>
      <c r="N3" s="1056">
        <v>268574692</v>
      </c>
    </row>
    <row r="4" spans="1:14">
      <c r="A4" s="1049" t="s">
        <v>694</v>
      </c>
      <c r="B4" s="1031" t="s">
        <v>1764</v>
      </c>
      <c r="C4" s="1056">
        <v>305558569</v>
      </c>
      <c r="D4" s="1056">
        <v>292104676</v>
      </c>
      <c r="E4" s="1056">
        <v>305558569</v>
      </c>
      <c r="F4" s="1056">
        <v>292104676</v>
      </c>
      <c r="G4" s="1056">
        <v>292104676</v>
      </c>
      <c r="H4" s="1056">
        <v>292104676</v>
      </c>
      <c r="I4" s="1056">
        <v>305558569</v>
      </c>
      <c r="J4" s="1056">
        <v>292104676</v>
      </c>
      <c r="K4" s="1056">
        <v>305558569</v>
      </c>
      <c r="L4" s="1056">
        <v>292104676</v>
      </c>
      <c r="M4" s="1056">
        <v>292104676</v>
      </c>
      <c r="N4" s="1056">
        <v>292104676</v>
      </c>
    </row>
    <row r="5" spans="1:14">
      <c r="A5" s="1049" t="s">
        <v>696</v>
      </c>
      <c r="B5" s="1031" t="s">
        <v>1765</v>
      </c>
      <c r="C5" s="1056">
        <v>267341743</v>
      </c>
      <c r="D5" s="1056">
        <v>256280330</v>
      </c>
      <c r="E5" s="1056">
        <v>254232606</v>
      </c>
      <c r="F5" s="1056">
        <v>243171193</v>
      </c>
      <c r="G5" s="1056">
        <v>256875820</v>
      </c>
      <c r="H5" s="1056">
        <v>243766683</v>
      </c>
      <c r="I5" s="1056">
        <v>267341743</v>
      </c>
      <c r="J5" s="1056">
        <v>256280330</v>
      </c>
      <c r="K5" s="1056">
        <v>254232606</v>
      </c>
      <c r="L5" s="1056">
        <v>243171193</v>
      </c>
      <c r="M5" s="1056">
        <v>256875820</v>
      </c>
      <c r="N5" s="1056">
        <v>243766683</v>
      </c>
    </row>
    <row r="6" spans="1:14">
      <c r="A6" s="1049" t="s">
        <v>698</v>
      </c>
      <c r="B6" s="1031" t="s">
        <v>1766</v>
      </c>
      <c r="C6" s="1056">
        <v>124247802</v>
      </c>
      <c r="D6" s="1056">
        <v>120621125</v>
      </c>
      <c r="E6" s="1056">
        <v>120841329</v>
      </c>
      <c r="F6" s="1056">
        <v>117214652</v>
      </c>
      <c r="G6" s="1056">
        <v>120621125</v>
      </c>
      <c r="H6" s="1056">
        <v>117214652</v>
      </c>
      <c r="I6" s="1056">
        <v>124247802</v>
      </c>
      <c r="J6" s="1056">
        <v>120621125</v>
      </c>
      <c r="K6" s="1056">
        <v>120841329</v>
      </c>
      <c r="L6" s="1056">
        <v>117214652</v>
      </c>
      <c r="M6" s="1056">
        <v>120621125</v>
      </c>
      <c r="N6" s="1056">
        <v>117214652</v>
      </c>
    </row>
    <row r="7" spans="1:14">
      <c r="A7" s="1049" t="s">
        <v>700</v>
      </c>
      <c r="B7" s="1031" t="s">
        <v>1767</v>
      </c>
      <c r="C7" s="1056">
        <v>1013726414</v>
      </c>
      <c r="D7" s="1056">
        <v>971713518</v>
      </c>
      <c r="E7" s="1056">
        <v>1013726414</v>
      </c>
      <c r="F7" s="1056">
        <v>971713518</v>
      </c>
      <c r="G7" s="1056">
        <v>971713518</v>
      </c>
      <c r="H7" s="1056">
        <v>971713518</v>
      </c>
      <c r="I7" s="1056">
        <v>1013726414</v>
      </c>
      <c r="J7" s="1056">
        <v>971713518</v>
      </c>
      <c r="K7" s="1056">
        <v>1013726414</v>
      </c>
      <c r="L7" s="1056">
        <v>971713518</v>
      </c>
      <c r="M7" s="1056">
        <v>971713518</v>
      </c>
      <c r="N7" s="1056">
        <v>971713518</v>
      </c>
    </row>
    <row r="8" spans="1:14">
      <c r="A8" s="1049" t="s">
        <v>1491</v>
      </c>
      <c r="B8" s="1031" t="s">
        <v>1768</v>
      </c>
      <c r="C8" s="1056">
        <v>435661702</v>
      </c>
      <c r="D8" s="1056">
        <v>417790152</v>
      </c>
      <c r="E8" s="1056">
        <v>435661702</v>
      </c>
      <c r="F8" s="1056">
        <v>417790152</v>
      </c>
      <c r="G8" s="1056">
        <v>417790152</v>
      </c>
      <c r="H8" s="1056">
        <v>417790152</v>
      </c>
      <c r="I8" s="1056">
        <v>435661702</v>
      </c>
      <c r="J8" s="1056">
        <v>417790152</v>
      </c>
      <c r="K8" s="1056">
        <v>435661702</v>
      </c>
      <c r="L8" s="1056">
        <v>417790152</v>
      </c>
      <c r="M8" s="1056">
        <v>417790152</v>
      </c>
      <c r="N8" s="1056">
        <v>417790152</v>
      </c>
    </row>
    <row r="9" spans="1:14">
      <c r="A9" s="1049" t="s">
        <v>6212</v>
      </c>
      <c r="B9" s="1031" t="s">
        <v>1769</v>
      </c>
      <c r="C9" s="1056">
        <v>123067370</v>
      </c>
      <c r="D9" s="1056">
        <v>117522342</v>
      </c>
      <c r="E9" s="1056">
        <v>123067370</v>
      </c>
      <c r="F9" s="1056">
        <v>117522342</v>
      </c>
      <c r="G9" s="1056">
        <v>117522342</v>
      </c>
      <c r="H9" s="1056">
        <v>117522342</v>
      </c>
      <c r="I9" s="1056">
        <v>123067370</v>
      </c>
      <c r="J9" s="1056">
        <v>117522342</v>
      </c>
      <c r="K9" s="1056">
        <v>123067370</v>
      </c>
      <c r="L9" s="1056">
        <v>117522342</v>
      </c>
      <c r="M9" s="1056">
        <v>117522342</v>
      </c>
      <c r="N9" s="1056">
        <v>117522342</v>
      </c>
    </row>
    <row r="10" spans="1:14">
      <c r="A10" s="1049" t="s">
        <v>2753</v>
      </c>
      <c r="B10" s="1031" t="s">
        <v>5003</v>
      </c>
      <c r="C10" s="1056">
        <v>6814193469</v>
      </c>
      <c r="D10" s="1056">
        <v>6781618961</v>
      </c>
      <c r="E10" s="1056">
        <v>6769571710</v>
      </c>
      <c r="F10" s="1056">
        <v>6736997202</v>
      </c>
      <c r="G10" s="1056">
        <v>6783241354</v>
      </c>
      <c r="H10" s="1056">
        <v>6738619595</v>
      </c>
      <c r="I10" s="1056">
        <v>6814193469</v>
      </c>
      <c r="J10" s="1056">
        <v>6781618961</v>
      </c>
      <c r="K10" s="1056">
        <v>6769571710</v>
      </c>
      <c r="L10" s="1056">
        <v>6736997202</v>
      </c>
      <c r="M10" s="1056">
        <v>6783241354</v>
      </c>
      <c r="N10" s="1056">
        <v>6738619595</v>
      </c>
    </row>
    <row r="11" spans="1:14">
      <c r="A11" s="1049" t="s">
        <v>3080</v>
      </c>
      <c r="B11" s="1031" t="s">
        <v>3853</v>
      </c>
      <c r="C11" s="1056">
        <v>443656098</v>
      </c>
      <c r="D11" s="1056">
        <v>422948920</v>
      </c>
      <c r="E11" s="1056">
        <v>443656098</v>
      </c>
      <c r="F11" s="1056">
        <v>422948920</v>
      </c>
      <c r="G11" s="1056">
        <v>424971301</v>
      </c>
      <c r="H11" s="1056">
        <v>424971301</v>
      </c>
      <c r="I11" s="1056">
        <v>443656098</v>
      </c>
      <c r="J11" s="1056">
        <v>422948920</v>
      </c>
      <c r="K11" s="1056">
        <v>443656098</v>
      </c>
      <c r="L11" s="1056">
        <v>422948920</v>
      </c>
      <c r="M11" s="1056">
        <v>424971301</v>
      </c>
      <c r="N11" s="1056">
        <v>424971301</v>
      </c>
    </row>
    <row r="12" spans="1:14">
      <c r="A12" s="1049" t="s">
        <v>2842</v>
      </c>
      <c r="B12" s="1031" t="s">
        <v>5004</v>
      </c>
      <c r="C12" s="1056">
        <v>2258225553</v>
      </c>
      <c r="D12" s="1056">
        <v>2178703487</v>
      </c>
      <c r="E12" s="1056">
        <v>2258225553</v>
      </c>
      <c r="F12" s="1056">
        <v>2178703487</v>
      </c>
      <c r="G12" s="1056">
        <v>2205569192</v>
      </c>
      <c r="H12" s="1056">
        <v>2205569192</v>
      </c>
      <c r="I12" s="1056">
        <v>2258225553</v>
      </c>
      <c r="J12" s="1056">
        <v>2178703487</v>
      </c>
      <c r="K12" s="1056">
        <v>2258225553</v>
      </c>
      <c r="L12" s="1056">
        <v>2178703487</v>
      </c>
      <c r="M12" s="1056">
        <v>2205569192</v>
      </c>
      <c r="N12" s="1056">
        <v>2205569192</v>
      </c>
    </row>
    <row r="13" spans="1:14">
      <c r="A13" s="1049" t="s">
        <v>1874</v>
      </c>
      <c r="B13" s="1031" t="s">
        <v>3857</v>
      </c>
      <c r="C13" s="1056">
        <v>249219426</v>
      </c>
      <c r="D13" s="1056">
        <v>231784297</v>
      </c>
      <c r="E13" s="1056">
        <v>232480038</v>
      </c>
      <c r="F13" s="1056">
        <v>215044909</v>
      </c>
      <c r="G13" s="1056">
        <v>232764918</v>
      </c>
      <c r="H13" s="1056">
        <v>216025530</v>
      </c>
      <c r="I13" s="1056">
        <v>249219426</v>
      </c>
      <c r="J13" s="1056">
        <v>231784297</v>
      </c>
      <c r="K13" s="1056">
        <v>232480038</v>
      </c>
      <c r="L13" s="1056">
        <v>215044909</v>
      </c>
      <c r="M13" s="1056">
        <v>232764918</v>
      </c>
      <c r="N13" s="1056">
        <v>216025530</v>
      </c>
    </row>
    <row r="14" spans="1:14">
      <c r="A14" s="1049" t="s">
        <v>2844</v>
      </c>
      <c r="B14" s="1031" t="s">
        <v>5005</v>
      </c>
      <c r="C14" s="1056">
        <v>292484115</v>
      </c>
      <c r="D14" s="1056">
        <v>278357999</v>
      </c>
      <c r="E14" s="1056">
        <v>280384510</v>
      </c>
      <c r="F14" s="1056">
        <v>266258394</v>
      </c>
      <c r="G14" s="1056">
        <v>279644874</v>
      </c>
      <c r="H14" s="1056">
        <v>267545269</v>
      </c>
      <c r="I14" s="1056">
        <v>292484115</v>
      </c>
      <c r="J14" s="1056">
        <v>278357999</v>
      </c>
      <c r="K14" s="1056">
        <v>280384510</v>
      </c>
      <c r="L14" s="1056">
        <v>266258394</v>
      </c>
      <c r="M14" s="1056">
        <v>279644874</v>
      </c>
      <c r="N14" s="1056">
        <v>267545269</v>
      </c>
    </row>
    <row r="15" spans="1:14">
      <c r="A15" s="1049" t="s">
        <v>2846</v>
      </c>
      <c r="B15" s="1031" t="s">
        <v>5006</v>
      </c>
      <c r="C15" s="1056">
        <v>100146595</v>
      </c>
      <c r="D15" s="1056">
        <v>94114902</v>
      </c>
      <c r="E15" s="1056">
        <v>95339560</v>
      </c>
      <c r="F15" s="1056">
        <v>89307867</v>
      </c>
      <c r="G15" s="1056">
        <v>94760146</v>
      </c>
      <c r="H15" s="1056">
        <v>89953111</v>
      </c>
      <c r="I15" s="1056">
        <v>100146595</v>
      </c>
      <c r="J15" s="1056">
        <v>94114902</v>
      </c>
      <c r="K15" s="1056">
        <v>95339560</v>
      </c>
      <c r="L15" s="1056">
        <v>89307867</v>
      </c>
      <c r="M15" s="1056">
        <v>94760146</v>
      </c>
      <c r="N15" s="1056">
        <v>89953111</v>
      </c>
    </row>
    <row r="16" spans="1:14">
      <c r="A16" s="1049" t="s">
        <v>2848</v>
      </c>
      <c r="B16" s="1031" t="s">
        <v>5007</v>
      </c>
      <c r="C16" s="1056">
        <v>261671964</v>
      </c>
      <c r="D16" s="1056">
        <v>244967855</v>
      </c>
      <c r="E16" s="1056">
        <v>261671964</v>
      </c>
      <c r="F16" s="1056">
        <v>244967855</v>
      </c>
      <c r="G16" s="1056">
        <v>248202817</v>
      </c>
      <c r="H16" s="1056">
        <v>248202817</v>
      </c>
      <c r="I16" s="1056">
        <v>261671964</v>
      </c>
      <c r="J16" s="1056">
        <v>244967855</v>
      </c>
      <c r="K16" s="1056">
        <v>261671964</v>
      </c>
      <c r="L16" s="1056">
        <v>244967855</v>
      </c>
      <c r="M16" s="1056">
        <v>248202817</v>
      </c>
      <c r="N16" s="1056">
        <v>248202817</v>
      </c>
    </row>
    <row r="17" spans="1:14">
      <c r="A17" s="1049" t="s">
        <v>1225</v>
      </c>
      <c r="B17" s="1031" t="s">
        <v>5008</v>
      </c>
      <c r="C17" s="1056">
        <v>2651598971</v>
      </c>
      <c r="D17" s="1056">
        <v>2599437564</v>
      </c>
      <c r="E17" s="1056">
        <v>2651598971</v>
      </c>
      <c r="F17" s="1056">
        <v>2599437564</v>
      </c>
      <c r="G17" s="1056">
        <v>2634937853</v>
      </c>
      <c r="H17" s="1056">
        <v>2634937853</v>
      </c>
      <c r="I17" s="1056">
        <v>2651598971</v>
      </c>
      <c r="J17" s="1056">
        <v>2599437564</v>
      </c>
      <c r="K17" s="1056">
        <v>2651598971</v>
      </c>
      <c r="L17" s="1056">
        <v>2599437564</v>
      </c>
      <c r="M17" s="1056">
        <v>2634937853</v>
      </c>
      <c r="N17" s="1056">
        <v>2634937853</v>
      </c>
    </row>
    <row r="18" spans="1:14">
      <c r="A18" s="1049" t="s">
        <v>1227</v>
      </c>
      <c r="B18" s="1031" t="s">
        <v>4094</v>
      </c>
      <c r="C18" s="1056">
        <v>455276606</v>
      </c>
      <c r="D18" s="1056">
        <v>448676396</v>
      </c>
      <c r="E18" s="1056">
        <v>455276606</v>
      </c>
      <c r="F18" s="1056">
        <v>448676396</v>
      </c>
      <c r="G18" s="1056">
        <v>449877297</v>
      </c>
      <c r="H18" s="1056">
        <v>449877297</v>
      </c>
      <c r="I18" s="1056">
        <v>455276606</v>
      </c>
      <c r="J18" s="1056">
        <v>448676396</v>
      </c>
      <c r="K18" s="1056">
        <v>455276606</v>
      </c>
      <c r="L18" s="1056">
        <v>448676396</v>
      </c>
      <c r="M18" s="1056">
        <v>449877297</v>
      </c>
      <c r="N18" s="1056">
        <v>449877297</v>
      </c>
    </row>
    <row r="19" spans="1:14">
      <c r="A19" s="1049" t="s">
        <v>1229</v>
      </c>
      <c r="B19" s="1031" t="s">
        <v>4095</v>
      </c>
      <c r="C19" s="1056">
        <v>326671942</v>
      </c>
      <c r="D19" s="1056">
        <v>314747342</v>
      </c>
      <c r="E19" s="1056">
        <v>326671942</v>
      </c>
      <c r="F19" s="1056">
        <v>314747342</v>
      </c>
      <c r="G19" s="1056">
        <v>317825518</v>
      </c>
      <c r="H19" s="1056">
        <v>317825518</v>
      </c>
      <c r="I19" s="1056">
        <v>326671942</v>
      </c>
      <c r="J19" s="1056">
        <v>314747342</v>
      </c>
      <c r="K19" s="1056">
        <v>326671942</v>
      </c>
      <c r="L19" s="1056">
        <v>314747342</v>
      </c>
      <c r="M19" s="1056">
        <v>317825518</v>
      </c>
      <c r="N19" s="1056">
        <v>317825518</v>
      </c>
    </row>
    <row r="20" spans="1:14">
      <c r="A20" s="1049" t="s">
        <v>2360</v>
      </c>
      <c r="B20" s="1031" t="s">
        <v>2004</v>
      </c>
      <c r="C20" s="1056">
        <v>76089879</v>
      </c>
      <c r="D20" s="1056">
        <v>72598869</v>
      </c>
      <c r="E20" s="1056">
        <v>76089879</v>
      </c>
      <c r="F20" s="1056">
        <v>72598869</v>
      </c>
      <c r="G20" s="1056">
        <v>73467551</v>
      </c>
      <c r="H20" s="1056">
        <v>73467551</v>
      </c>
      <c r="I20" s="1056">
        <v>76089879</v>
      </c>
      <c r="J20" s="1056">
        <v>72598869</v>
      </c>
      <c r="K20" s="1056">
        <v>76089879</v>
      </c>
      <c r="L20" s="1056">
        <v>72598869</v>
      </c>
      <c r="M20" s="1056">
        <v>73467551</v>
      </c>
      <c r="N20" s="1056">
        <v>73467551</v>
      </c>
    </row>
    <row r="21" spans="1:14">
      <c r="A21" s="1049" t="s">
        <v>1233</v>
      </c>
      <c r="B21" s="1031" t="s">
        <v>4097</v>
      </c>
      <c r="C21" s="1056">
        <v>168372214</v>
      </c>
      <c r="D21" s="1056">
        <v>163120114</v>
      </c>
      <c r="E21" s="1056">
        <v>168372214</v>
      </c>
      <c r="F21" s="1056">
        <v>163120114</v>
      </c>
      <c r="G21" s="1056">
        <v>163120114</v>
      </c>
      <c r="H21" s="1056">
        <v>163120114</v>
      </c>
      <c r="I21" s="1056">
        <v>168372214</v>
      </c>
      <c r="J21" s="1056">
        <v>163120114</v>
      </c>
      <c r="K21" s="1056">
        <v>168372214</v>
      </c>
      <c r="L21" s="1056">
        <v>163120114</v>
      </c>
      <c r="M21" s="1056">
        <v>163120114</v>
      </c>
      <c r="N21" s="1056">
        <v>163120114</v>
      </c>
    </row>
    <row r="22" spans="1:14">
      <c r="A22" s="1049" t="s">
        <v>3081</v>
      </c>
      <c r="B22" s="1031" t="s">
        <v>6107</v>
      </c>
      <c r="C22" s="1056">
        <v>286585639</v>
      </c>
      <c r="D22" s="1056">
        <v>283003973</v>
      </c>
      <c r="E22" s="1056">
        <v>286585639</v>
      </c>
      <c r="F22" s="1056">
        <v>283003973</v>
      </c>
      <c r="G22" s="1056">
        <v>283381194</v>
      </c>
      <c r="H22" s="1056">
        <v>283381194</v>
      </c>
      <c r="I22" s="1056">
        <v>286585639</v>
      </c>
      <c r="J22" s="1056">
        <v>283003973</v>
      </c>
      <c r="K22" s="1056">
        <v>286585639</v>
      </c>
      <c r="L22" s="1056">
        <v>283003973</v>
      </c>
      <c r="M22" s="1056">
        <v>283381194</v>
      </c>
      <c r="N22" s="1056">
        <v>283381194</v>
      </c>
    </row>
    <row r="23" spans="1:14">
      <c r="A23" s="1049" t="s">
        <v>1235</v>
      </c>
      <c r="B23" s="1031" t="s">
        <v>4098</v>
      </c>
      <c r="C23" s="1056">
        <v>801339050</v>
      </c>
      <c r="D23" s="1056">
        <v>790317014</v>
      </c>
      <c r="E23" s="1056">
        <v>801339050</v>
      </c>
      <c r="F23" s="1056">
        <v>790317014</v>
      </c>
      <c r="G23" s="1056">
        <v>791718638</v>
      </c>
      <c r="H23" s="1056">
        <v>791718638</v>
      </c>
      <c r="I23" s="1056">
        <v>801339050</v>
      </c>
      <c r="J23" s="1056">
        <v>790317014</v>
      </c>
      <c r="K23" s="1056">
        <v>801339050</v>
      </c>
      <c r="L23" s="1056">
        <v>790317014</v>
      </c>
      <c r="M23" s="1056">
        <v>791718638</v>
      </c>
      <c r="N23" s="1056">
        <v>791718638</v>
      </c>
    </row>
    <row r="24" spans="1:14">
      <c r="A24" s="1049" t="s">
        <v>2999</v>
      </c>
      <c r="B24" s="1031" t="s">
        <v>4099</v>
      </c>
      <c r="C24" s="1056">
        <v>255281480</v>
      </c>
      <c r="D24" s="1056">
        <v>242403099</v>
      </c>
      <c r="E24" s="1056">
        <v>255281480</v>
      </c>
      <c r="F24" s="1056">
        <v>242403099</v>
      </c>
      <c r="G24" s="1056">
        <v>244272676</v>
      </c>
      <c r="H24" s="1056">
        <v>244272676</v>
      </c>
      <c r="I24" s="1056">
        <v>255281480</v>
      </c>
      <c r="J24" s="1056">
        <v>242403099</v>
      </c>
      <c r="K24" s="1056">
        <v>255281480</v>
      </c>
      <c r="L24" s="1056">
        <v>242403099</v>
      </c>
      <c r="M24" s="1056">
        <v>244272676</v>
      </c>
      <c r="N24" s="1056">
        <v>244272676</v>
      </c>
    </row>
    <row r="25" spans="1:14">
      <c r="A25" s="1049" t="s">
        <v>5127</v>
      </c>
      <c r="B25" s="1031" t="s">
        <v>342</v>
      </c>
      <c r="C25" s="1056">
        <v>2173620501</v>
      </c>
      <c r="D25" s="1056">
        <v>2141540907</v>
      </c>
      <c r="E25" s="1056">
        <v>2173620501</v>
      </c>
      <c r="F25" s="1056">
        <v>2141540907</v>
      </c>
      <c r="G25" s="1056">
        <v>2150005686</v>
      </c>
      <c r="H25" s="1056">
        <v>2150005686</v>
      </c>
      <c r="I25" s="1056">
        <v>2173620501</v>
      </c>
      <c r="J25" s="1056">
        <v>2141540907</v>
      </c>
      <c r="K25" s="1056">
        <v>2173620501</v>
      </c>
      <c r="L25" s="1056">
        <v>2141540907</v>
      </c>
      <c r="M25" s="1056">
        <v>2150005686</v>
      </c>
      <c r="N25" s="1056">
        <v>2150005686</v>
      </c>
    </row>
    <row r="26" spans="1:14">
      <c r="A26" s="1049" t="s">
        <v>2563</v>
      </c>
      <c r="B26" s="1031" t="s">
        <v>345</v>
      </c>
      <c r="C26" s="1056">
        <v>232405878</v>
      </c>
      <c r="D26" s="1056">
        <v>218508022</v>
      </c>
      <c r="E26" s="1056">
        <v>232405878</v>
      </c>
      <c r="F26" s="1056">
        <v>218508022</v>
      </c>
      <c r="G26" s="1056">
        <v>220020214</v>
      </c>
      <c r="H26" s="1056">
        <v>220020214</v>
      </c>
      <c r="I26" s="1056">
        <v>232405878</v>
      </c>
      <c r="J26" s="1056">
        <v>218508022</v>
      </c>
      <c r="K26" s="1056">
        <v>232405878</v>
      </c>
      <c r="L26" s="1056">
        <v>218508022</v>
      </c>
      <c r="M26" s="1056">
        <v>220020214</v>
      </c>
      <c r="N26" s="1056">
        <v>220020214</v>
      </c>
    </row>
    <row r="27" spans="1:14">
      <c r="A27" s="1049" t="s">
        <v>1237</v>
      </c>
      <c r="B27" s="1031" t="s">
        <v>4100</v>
      </c>
      <c r="C27" s="1056">
        <v>1097430889</v>
      </c>
      <c r="D27" s="1056">
        <v>1064721683</v>
      </c>
      <c r="E27" s="1056">
        <v>1097430889</v>
      </c>
      <c r="F27" s="1056">
        <v>1064721683</v>
      </c>
      <c r="G27" s="1056">
        <v>1074775969</v>
      </c>
      <c r="H27" s="1056">
        <v>1074775969</v>
      </c>
      <c r="I27" s="1056">
        <v>1097430889</v>
      </c>
      <c r="J27" s="1056">
        <v>1064721683</v>
      </c>
      <c r="K27" s="1056">
        <v>1097430889</v>
      </c>
      <c r="L27" s="1056">
        <v>1064721683</v>
      </c>
      <c r="M27" s="1056">
        <v>1074775969</v>
      </c>
      <c r="N27" s="1056">
        <v>1074775969</v>
      </c>
    </row>
    <row r="28" spans="1:14">
      <c r="A28" s="1049" t="s">
        <v>1239</v>
      </c>
      <c r="B28" s="1031" t="s">
        <v>4101</v>
      </c>
      <c r="C28" s="1056">
        <v>1139366800</v>
      </c>
      <c r="D28" s="1056">
        <v>1109843561</v>
      </c>
      <c r="E28" s="1056">
        <v>1094552317</v>
      </c>
      <c r="F28" s="1056">
        <v>1065029078</v>
      </c>
      <c r="G28" s="1056">
        <v>1113940228</v>
      </c>
      <c r="H28" s="1056">
        <v>1069125745</v>
      </c>
      <c r="I28" s="1056">
        <v>1139366800</v>
      </c>
      <c r="J28" s="1056">
        <v>1109843561</v>
      </c>
      <c r="K28" s="1056">
        <v>1094552317</v>
      </c>
      <c r="L28" s="1056">
        <v>1065029078</v>
      </c>
      <c r="M28" s="1056">
        <v>1113940228</v>
      </c>
      <c r="N28" s="1056">
        <v>1069125745</v>
      </c>
    </row>
    <row r="29" spans="1:14">
      <c r="A29" s="1049" t="s">
        <v>1241</v>
      </c>
      <c r="B29" s="1031" t="s">
        <v>4102</v>
      </c>
      <c r="C29" s="1056">
        <v>309443327</v>
      </c>
      <c r="D29" s="1056">
        <v>300188075</v>
      </c>
      <c r="E29" s="1056">
        <v>306495281</v>
      </c>
      <c r="F29" s="1056">
        <v>297240029</v>
      </c>
      <c r="G29" s="1056">
        <v>300707094</v>
      </c>
      <c r="H29" s="1056">
        <v>297759048</v>
      </c>
      <c r="I29" s="1056">
        <v>309443327</v>
      </c>
      <c r="J29" s="1056">
        <v>300188075</v>
      </c>
      <c r="K29" s="1056">
        <v>306495281</v>
      </c>
      <c r="L29" s="1056">
        <v>297240029</v>
      </c>
      <c r="M29" s="1056">
        <v>300707094</v>
      </c>
      <c r="N29" s="1056">
        <v>297759048</v>
      </c>
    </row>
    <row r="30" spans="1:14">
      <c r="A30" s="1049" t="s">
        <v>1243</v>
      </c>
      <c r="B30" s="1031" t="s">
        <v>4103</v>
      </c>
      <c r="C30" s="1056">
        <v>247076715</v>
      </c>
      <c r="D30" s="1056">
        <v>237643871</v>
      </c>
      <c r="E30" s="1056">
        <v>247076715</v>
      </c>
      <c r="F30" s="1056">
        <v>237643871</v>
      </c>
      <c r="G30" s="1056">
        <v>238020019</v>
      </c>
      <c r="H30" s="1056">
        <v>238020019</v>
      </c>
      <c r="I30" s="1056">
        <v>247076715</v>
      </c>
      <c r="J30" s="1056">
        <v>237643871</v>
      </c>
      <c r="K30" s="1056">
        <v>247076715</v>
      </c>
      <c r="L30" s="1056">
        <v>237643871</v>
      </c>
      <c r="M30" s="1056">
        <v>238020019</v>
      </c>
      <c r="N30" s="1056">
        <v>238020019</v>
      </c>
    </row>
    <row r="31" spans="1:14">
      <c r="A31" s="1049" t="s">
        <v>1245</v>
      </c>
      <c r="B31" s="1031" t="s">
        <v>4104</v>
      </c>
      <c r="C31" s="1056">
        <v>221559837</v>
      </c>
      <c r="D31" s="1056">
        <v>216316360</v>
      </c>
      <c r="E31" s="1056">
        <v>221559837</v>
      </c>
      <c r="F31" s="1056">
        <v>216316360</v>
      </c>
      <c r="G31" s="1056">
        <v>218559629</v>
      </c>
      <c r="H31" s="1056">
        <v>218559629</v>
      </c>
      <c r="I31" s="1056">
        <v>221559837</v>
      </c>
      <c r="J31" s="1056">
        <v>216316360</v>
      </c>
      <c r="K31" s="1056">
        <v>221559837</v>
      </c>
      <c r="L31" s="1056">
        <v>216316360</v>
      </c>
      <c r="M31" s="1056">
        <v>218559629</v>
      </c>
      <c r="N31" s="1056">
        <v>218559629</v>
      </c>
    </row>
    <row r="32" spans="1:14">
      <c r="A32" s="1049" t="s">
        <v>2361</v>
      </c>
      <c r="B32" s="1031" t="s">
        <v>7695</v>
      </c>
      <c r="C32" s="1056">
        <v>1409251884</v>
      </c>
      <c r="D32" s="1056">
        <v>1360444037</v>
      </c>
      <c r="E32" s="1056">
        <v>1409251884</v>
      </c>
      <c r="F32" s="1056">
        <v>1360444037</v>
      </c>
      <c r="G32" s="1056">
        <v>1375052157</v>
      </c>
      <c r="H32" s="1056">
        <v>1375052157</v>
      </c>
      <c r="I32" s="1056">
        <v>1409251884</v>
      </c>
      <c r="J32" s="1056">
        <v>1360444037</v>
      </c>
      <c r="K32" s="1056">
        <v>1409251884</v>
      </c>
      <c r="L32" s="1056">
        <v>1360444037</v>
      </c>
      <c r="M32" s="1056">
        <v>1375052157</v>
      </c>
      <c r="N32" s="1056">
        <v>1375052157</v>
      </c>
    </row>
    <row r="33" spans="1:14">
      <c r="A33" s="1049" t="s">
        <v>948</v>
      </c>
      <c r="B33" s="1031" t="s">
        <v>7697</v>
      </c>
      <c r="C33" s="1056">
        <v>3070396494</v>
      </c>
      <c r="D33" s="1056">
        <v>2981782538</v>
      </c>
      <c r="E33" s="1056">
        <v>3070396494</v>
      </c>
      <c r="F33" s="1056">
        <v>2981782538</v>
      </c>
      <c r="G33" s="1056">
        <v>2987752906</v>
      </c>
      <c r="H33" s="1056">
        <v>2987752906</v>
      </c>
      <c r="I33" s="1056">
        <v>3070396494</v>
      </c>
      <c r="J33" s="1056">
        <v>2981782538</v>
      </c>
      <c r="K33" s="1056">
        <v>3070396494</v>
      </c>
      <c r="L33" s="1056">
        <v>2981782538</v>
      </c>
      <c r="M33" s="1056">
        <v>2987752906</v>
      </c>
      <c r="N33" s="1056">
        <v>2987752906</v>
      </c>
    </row>
    <row r="34" spans="1:14">
      <c r="A34" s="1049" t="s">
        <v>1522</v>
      </c>
      <c r="B34" s="1031" t="s">
        <v>1928</v>
      </c>
      <c r="C34" s="1056">
        <v>928527768</v>
      </c>
      <c r="D34" s="1056">
        <v>888799303</v>
      </c>
      <c r="E34" s="1056">
        <v>928527768</v>
      </c>
      <c r="F34" s="1056">
        <v>888799303</v>
      </c>
      <c r="G34" s="1056">
        <v>893336575</v>
      </c>
      <c r="H34" s="1056">
        <v>893336575</v>
      </c>
      <c r="I34" s="1056">
        <v>928527768</v>
      </c>
      <c r="J34" s="1056">
        <v>888799303</v>
      </c>
      <c r="K34" s="1056">
        <v>928527768</v>
      </c>
      <c r="L34" s="1056">
        <v>888799303</v>
      </c>
      <c r="M34" s="1056">
        <v>893336575</v>
      </c>
      <c r="N34" s="1056">
        <v>893336575</v>
      </c>
    </row>
    <row r="35" spans="1:14">
      <c r="A35" s="1049" t="s">
        <v>438</v>
      </c>
      <c r="B35" s="1031" t="s">
        <v>2343</v>
      </c>
      <c r="C35" s="1056">
        <v>634226077</v>
      </c>
      <c r="D35" s="1056">
        <v>608879164</v>
      </c>
      <c r="E35" s="1056">
        <v>634226077</v>
      </c>
      <c r="F35" s="1056">
        <v>608879164</v>
      </c>
      <c r="G35" s="1056">
        <v>613869452</v>
      </c>
      <c r="H35" s="1056">
        <v>613869452</v>
      </c>
      <c r="I35" s="1056">
        <v>634226077</v>
      </c>
      <c r="J35" s="1056">
        <v>608879164</v>
      </c>
      <c r="K35" s="1056">
        <v>634226077</v>
      </c>
      <c r="L35" s="1056">
        <v>608879164</v>
      </c>
      <c r="M35" s="1056">
        <v>613869452</v>
      </c>
      <c r="N35" s="1056">
        <v>613869452</v>
      </c>
    </row>
    <row r="36" spans="1:14">
      <c r="A36" s="1049" t="s">
        <v>2565</v>
      </c>
      <c r="B36" s="1031" t="s">
        <v>6074</v>
      </c>
      <c r="C36" s="1056">
        <v>75389661</v>
      </c>
      <c r="D36" s="1056">
        <v>72200895</v>
      </c>
      <c r="E36" s="1056">
        <v>75389661</v>
      </c>
      <c r="F36" s="1056">
        <v>72200895</v>
      </c>
      <c r="G36" s="1056">
        <v>72695980</v>
      </c>
      <c r="H36" s="1056">
        <v>72695980</v>
      </c>
      <c r="I36" s="1056">
        <v>75389661</v>
      </c>
      <c r="J36" s="1056">
        <v>72200895</v>
      </c>
      <c r="K36" s="1056">
        <v>75389661</v>
      </c>
      <c r="L36" s="1056">
        <v>72200895</v>
      </c>
      <c r="M36" s="1056">
        <v>72695980</v>
      </c>
      <c r="N36" s="1056">
        <v>72695980</v>
      </c>
    </row>
    <row r="37" spans="1:14">
      <c r="A37" s="1049" t="s">
        <v>1248</v>
      </c>
      <c r="B37" s="1031" t="s">
        <v>4105</v>
      </c>
      <c r="C37" s="1056">
        <v>186492613</v>
      </c>
      <c r="D37" s="1056">
        <v>178913783</v>
      </c>
      <c r="E37" s="1056">
        <v>186492613</v>
      </c>
      <c r="F37" s="1056">
        <v>178913783</v>
      </c>
      <c r="G37" s="1056">
        <v>178913783</v>
      </c>
      <c r="H37" s="1056">
        <v>178913783</v>
      </c>
      <c r="I37" s="1056">
        <v>186492613</v>
      </c>
      <c r="J37" s="1056">
        <v>178913783</v>
      </c>
      <c r="K37" s="1056">
        <v>186492613</v>
      </c>
      <c r="L37" s="1056">
        <v>178913783</v>
      </c>
      <c r="M37" s="1056">
        <v>178913783</v>
      </c>
      <c r="N37" s="1056">
        <v>178913783</v>
      </c>
    </row>
    <row r="38" spans="1:14">
      <c r="A38" s="1049" t="s">
        <v>439</v>
      </c>
      <c r="B38" s="1031" t="s">
        <v>7698</v>
      </c>
      <c r="C38" s="1056">
        <v>779123056</v>
      </c>
      <c r="D38" s="1056">
        <v>745823496</v>
      </c>
      <c r="E38" s="1056">
        <v>779123056</v>
      </c>
      <c r="F38" s="1056">
        <v>745823496</v>
      </c>
      <c r="G38" s="1056">
        <v>745823496</v>
      </c>
      <c r="H38" s="1056">
        <v>745823496</v>
      </c>
      <c r="I38" s="1056">
        <v>779123056</v>
      </c>
      <c r="J38" s="1056">
        <v>745823496</v>
      </c>
      <c r="K38" s="1056">
        <v>779123056</v>
      </c>
      <c r="L38" s="1056">
        <v>745823496</v>
      </c>
      <c r="M38" s="1056">
        <v>745823496</v>
      </c>
      <c r="N38" s="1056">
        <v>745823496</v>
      </c>
    </row>
    <row r="39" spans="1:14">
      <c r="A39" s="1049" t="s">
        <v>1250</v>
      </c>
      <c r="B39" s="1031" t="s">
        <v>4106</v>
      </c>
      <c r="C39" s="1056">
        <v>500021167</v>
      </c>
      <c r="D39" s="1056">
        <v>498364741</v>
      </c>
      <c r="E39" s="1056">
        <v>498568326</v>
      </c>
      <c r="F39" s="1056">
        <v>496911900</v>
      </c>
      <c r="G39" s="1056">
        <v>498382636</v>
      </c>
      <c r="H39" s="1056">
        <v>496929795</v>
      </c>
      <c r="I39" s="1056">
        <v>500021167</v>
      </c>
      <c r="J39" s="1056">
        <v>498364741</v>
      </c>
      <c r="K39" s="1056">
        <v>498568326</v>
      </c>
      <c r="L39" s="1056">
        <v>496911900</v>
      </c>
      <c r="M39" s="1056">
        <v>498382636</v>
      </c>
      <c r="N39" s="1056">
        <v>496929795</v>
      </c>
    </row>
    <row r="40" spans="1:14">
      <c r="A40" s="1049" t="s">
        <v>1252</v>
      </c>
      <c r="B40" s="1031" t="s">
        <v>4107</v>
      </c>
      <c r="C40" s="1056">
        <v>490862568</v>
      </c>
      <c r="D40" s="1056">
        <v>487388147</v>
      </c>
      <c r="E40" s="1056">
        <v>490862568</v>
      </c>
      <c r="F40" s="1056">
        <v>487388147</v>
      </c>
      <c r="G40" s="1056">
        <v>487479589</v>
      </c>
      <c r="H40" s="1056">
        <v>487479589</v>
      </c>
      <c r="I40" s="1056">
        <v>490862568</v>
      </c>
      <c r="J40" s="1056">
        <v>487388147</v>
      </c>
      <c r="K40" s="1056">
        <v>490862568</v>
      </c>
      <c r="L40" s="1056">
        <v>487388147</v>
      </c>
      <c r="M40" s="1056">
        <v>487479589</v>
      </c>
      <c r="N40" s="1056">
        <v>487479589</v>
      </c>
    </row>
    <row r="41" spans="1:14">
      <c r="A41" s="1049" t="s">
        <v>2399</v>
      </c>
      <c r="B41" s="1031" t="s">
        <v>2341</v>
      </c>
      <c r="C41" s="1056">
        <v>155378155</v>
      </c>
      <c r="D41" s="1056">
        <v>150290706</v>
      </c>
      <c r="E41" s="1056">
        <v>150841951</v>
      </c>
      <c r="F41" s="1056">
        <v>145754502</v>
      </c>
      <c r="G41" s="1056">
        <v>150290706</v>
      </c>
      <c r="H41" s="1056">
        <v>145754502</v>
      </c>
      <c r="I41" s="1056">
        <v>155378155</v>
      </c>
      <c r="J41" s="1056">
        <v>150290706</v>
      </c>
      <c r="K41" s="1056">
        <v>150841951</v>
      </c>
      <c r="L41" s="1056">
        <v>145754502</v>
      </c>
      <c r="M41" s="1056">
        <v>150290706</v>
      </c>
      <c r="N41" s="1056">
        <v>145754502</v>
      </c>
    </row>
    <row r="42" spans="1:14">
      <c r="A42" s="1049" t="s">
        <v>2566</v>
      </c>
      <c r="B42" s="1031" t="s">
        <v>4108</v>
      </c>
      <c r="C42" s="1056">
        <v>300792766</v>
      </c>
      <c r="D42" s="1056">
        <v>286892241</v>
      </c>
      <c r="E42" s="1056">
        <v>300792766</v>
      </c>
      <c r="F42" s="1056">
        <v>286892241</v>
      </c>
      <c r="G42" s="1056">
        <v>289057873</v>
      </c>
      <c r="H42" s="1056">
        <v>289057873</v>
      </c>
      <c r="I42" s="1056">
        <v>300792766</v>
      </c>
      <c r="J42" s="1056">
        <v>286892241</v>
      </c>
      <c r="K42" s="1056">
        <v>300792766</v>
      </c>
      <c r="L42" s="1056">
        <v>286892241</v>
      </c>
      <c r="M42" s="1056">
        <v>289057873</v>
      </c>
      <c r="N42" s="1056">
        <v>289057873</v>
      </c>
    </row>
    <row r="43" spans="1:14">
      <c r="A43" s="1049" t="s">
        <v>947</v>
      </c>
      <c r="B43" s="1031" t="s">
        <v>7696</v>
      </c>
      <c r="C43" s="1056">
        <v>103186766</v>
      </c>
      <c r="D43" s="1056">
        <v>98260515</v>
      </c>
      <c r="E43" s="1056">
        <v>103186766</v>
      </c>
      <c r="F43" s="1056">
        <v>98260515</v>
      </c>
      <c r="G43" s="1056">
        <v>98535137</v>
      </c>
      <c r="H43" s="1056">
        <v>98535137</v>
      </c>
      <c r="I43" s="1056">
        <v>103186766</v>
      </c>
      <c r="J43" s="1056">
        <v>98260515</v>
      </c>
      <c r="K43" s="1056">
        <v>103186766</v>
      </c>
      <c r="L43" s="1056">
        <v>98260515</v>
      </c>
      <c r="M43" s="1056">
        <v>98535137</v>
      </c>
      <c r="N43" s="1056">
        <v>98535137</v>
      </c>
    </row>
    <row r="44" spans="1:14">
      <c r="A44" s="1049" t="s">
        <v>950</v>
      </c>
      <c r="B44" s="1031" t="s">
        <v>7654</v>
      </c>
      <c r="C44" s="1056">
        <v>2399546210</v>
      </c>
      <c r="D44" s="1056">
        <v>2298982160</v>
      </c>
      <c r="E44" s="1056">
        <v>2399546210</v>
      </c>
      <c r="F44" s="1056">
        <v>2298982160</v>
      </c>
      <c r="G44" s="1056">
        <v>2317442577</v>
      </c>
      <c r="H44" s="1056">
        <v>2317442577</v>
      </c>
      <c r="I44" s="1056">
        <v>2399546210</v>
      </c>
      <c r="J44" s="1056">
        <v>2298982160</v>
      </c>
      <c r="K44" s="1056">
        <v>2399546210</v>
      </c>
      <c r="L44" s="1056">
        <v>2298982160</v>
      </c>
      <c r="M44" s="1056">
        <v>2317442577</v>
      </c>
      <c r="N44" s="1056">
        <v>2317442577</v>
      </c>
    </row>
    <row r="45" spans="1:14">
      <c r="A45" s="1049" t="s">
        <v>1869</v>
      </c>
      <c r="B45" s="1031" t="s">
        <v>3848</v>
      </c>
      <c r="C45" s="1056">
        <v>96438826</v>
      </c>
      <c r="D45" s="1056">
        <v>91180715</v>
      </c>
      <c r="E45" s="1056">
        <v>96438826</v>
      </c>
      <c r="F45" s="1056">
        <v>91180715</v>
      </c>
      <c r="G45" s="1056">
        <v>91897937</v>
      </c>
      <c r="H45" s="1056">
        <v>91897937</v>
      </c>
      <c r="I45" s="1056">
        <v>96438826</v>
      </c>
      <c r="J45" s="1056">
        <v>91180715</v>
      </c>
      <c r="K45" s="1056">
        <v>96438826</v>
      </c>
      <c r="L45" s="1056">
        <v>91180715</v>
      </c>
      <c r="M45" s="1056">
        <v>91897937</v>
      </c>
      <c r="N45" s="1056">
        <v>91897937</v>
      </c>
    </row>
    <row r="46" spans="1:14">
      <c r="A46" s="1049" t="s">
        <v>6033</v>
      </c>
      <c r="B46" s="1031" t="s">
        <v>1920</v>
      </c>
      <c r="C46" s="1056">
        <v>6845987322</v>
      </c>
      <c r="D46" s="1056">
        <v>6583845496</v>
      </c>
      <c r="E46" s="1056">
        <v>6845987322</v>
      </c>
      <c r="F46" s="1056">
        <v>6583845496</v>
      </c>
      <c r="G46" s="1056">
        <v>6611101613</v>
      </c>
      <c r="H46" s="1056">
        <v>6611101613</v>
      </c>
      <c r="I46" s="1056">
        <v>6845987322</v>
      </c>
      <c r="J46" s="1056">
        <v>6583845496</v>
      </c>
      <c r="K46" s="1056">
        <v>6845987322</v>
      </c>
      <c r="L46" s="1056">
        <v>6583845496</v>
      </c>
      <c r="M46" s="1056">
        <v>6611101613</v>
      </c>
      <c r="N46" s="1056">
        <v>6611101613</v>
      </c>
    </row>
    <row r="47" spans="1:14">
      <c r="A47" s="1049" t="s">
        <v>2309</v>
      </c>
      <c r="B47" s="1031" t="s">
        <v>367</v>
      </c>
      <c r="C47" s="1056">
        <v>161186796</v>
      </c>
      <c r="D47" s="1056">
        <v>152523203</v>
      </c>
      <c r="E47" s="1056">
        <v>161186796</v>
      </c>
      <c r="F47" s="1056">
        <v>152523203</v>
      </c>
      <c r="G47" s="1056">
        <v>152661113</v>
      </c>
      <c r="H47" s="1056">
        <v>152661113</v>
      </c>
      <c r="I47" s="1056">
        <v>161186796</v>
      </c>
      <c r="J47" s="1056">
        <v>152523203</v>
      </c>
      <c r="K47" s="1056">
        <v>161186796</v>
      </c>
      <c r="L47" s="1056">
        <v>152523203</v>
      </c>
      <c r="M47" s="1056">
        <v>152661113</v>
      </c>
      <c r="N47" s="1056">
        <v>152661113</v>
      </c>
    </row>
    <row r="48" spans="1:14">
      <c r="A48" s="1049" t="s">
        <v>2384</v>
      </c>
      <c r="B48" s="1031" t="s">
        <v>376</v>
      </c>
      <c r="C48" s="1056">
        <v>675252665</v>
      </c>
      <c r="D48" s="1056">
        <v>654776181</v>
      </c>
      <c r="E48" s="1056">
        <v>675252665</v>
      </c>
      <c r="F48" s="1056">
        <v>654776181</v>
      </c>
      <c r="G48" s="1056">
        <v>660540700</v>
      </c>
      <c r="H48" s="1056">
        <v>660540700</v>
      </c>
      <c r="I48" s="1056">
        <v>675252665</v>
      </c>
      <c r="J48" s="1056">
        <v>654776181</v>
      </c>
      <c r="K48" s="1056">
        <v>675252665</v>
      </c>
      <c r="L48" s="1056">
        <v>654776181</v>
      </c>
      <c r="M48" s="1056">
        <v>660540700</v>
      </c>
      <c r="N48" s="1056">
        <v>660540700</v>
      </c>
    </row>
    <row r="49" spans="1:14">
      <c r="A49" s="1049" t="s">
        <v>2411</v>
      </c>
      <c r="B49" s="1031" t="s">
        <v>5364</v>
      </c>
      <c r="C49" s="1056">
        <v>2941912132</v>
      </c>
      <c r="D49" s="1056">
        <v>2847180333</v>
      </c>
      <c r="E49" s="1056">
        <v>2941912132</v>
      </c>
      <c r="F49" s="1056">
        <v>2847180333</v>
      </c>
      <c r="G49" s="1056">
        <v>2870410407</v>
      </c>
      <c r="H49" s="1056">
        <v>2870410407</v>
      </c>
      <c r="I49" s="1056">
        <v>2941912132</v>
      </c>
      <c r="J49" s="1056">
        <v>2847180333</v>
      </c>
      <c r="K49" s="1056">
        <v>2941912132</v>
      </c>
      <c r="L49" s="1056">
        <v>2847180333</v>
      </c>
      <c r="M49" s="1056">
        <v>2870410407</v>
      </c>
      <c r="N49" s="1056">
        <v>2870410407</v>
      </c>
    </row>
    <row r="50" spans="1:14">
      <c r="A50" s="1049" t="s">
        <v>2416</v>
      </c>
      <c r="B50" s="1031" t="s">
        <v>5369</v>
      </c>
      <c r="C50" s="1056">
        <v>288288566</v>
      </c>
      <c r="D50" s="1056">
        <v>275072770</v>
      </c>
      <c r="E50" s="1056">
        <v>288288566</v>
      </c>
      <c r="F50" s="1056">
        <v>275072770</v>
      </c>
      <c r="G50" s="1056">
        <v>277231590</v>
      </c>
      <c r="H50" s="1056">
        <v>277231590</v>
      </c>
      <c r="I50" s="1056">
        <v>288288566</v>
      </c>
      <c r="J50" s="1056">
        <v>275072770</v>
      </c>
      <c r="K50" s="1056">
        <v>288288566</v>
      </c>
      <c r="L50" s="1056">
        <v>275072770</v>
      </c>
      <c r="M50" s="1056">
        <v>277231590</v>
      </c>
      <c r="N50" s="1056">
        <v>277231590</v>
      </c>
    </row>
    <row r="51" spans="1:14">
      <c r="A51" s="1049" t="s">
        <v>37</v>
      </c>
      <c r="B51" s="1031" t="s">
        <v>4109</v>
      </c>
      <c r="C51" s="1056">
        <v>5477742759</v>
      </c>
      <c r="D51" s="1056">
        <v>5413868930</v>
      </c>
      <c r="E51" s="1056">
        <v>5477742759</v>
      </c>
      <c r="F51" s="1056">
        <v>5413868930</v>
      </c>
      <c r="G51" s="1056">
        <v>5509118723</v>
      </c>
      <c r="H51" s="1056">
        <v>5509118723</v>
      </c>
      <c r="I51" s="1056">
        <v>5477742759</v>
      </c>
      <c r="J51" s="1056">
        <v>5413868930</v>
      </c>
      <c r="K51" s="1056">
        <v>5477742759</v>
      </c>
      <c r="L51" s="1056">
        <v>5413868930</v>
      </c>
      <c r="M51" s="1056">
        <v>5509118723</v>
      </c>
      <c r="N51" s="1056">
        <v>5509118723</v>
      </c>
    </row>
    <row r="52" spans="1:14">
      <c r="A52" s="1049" t="s">
        <v>1860</v>
      </c>
      <c r="B52" s="1031" t="s">
        <v>3918</v>
      </c>
      <c r="C52" s="1056">
        <v>1219503486</v>
      </c>
      <c r="D52" s="1056">
        <v>1121839265</v>
      </c>
      <c r="E52" s="1056">
        <v>1219503486</v>
      </c>
      <c r="F52" s="1056">
        <v>1121839265</v>
      </c>
      <c r="G52" s="1056">
        <v>1134841751</v>
      </c>
      <c r="H52" s="1056">
        <v>1134841751</v>
      </c>
      <c r="I52" s="1056">
        <v>1219503486</v>
      </c>
      <c r="J52" s="1056">
        <v>1121839265</v>
      </c>
      <c r="K52" s="1056">
        <v>1219503486</v>
      </c>
      <c r="L52" s="1056">
        <v>1121839265</v>
      </c>
      <c r="M52" s="1056">
        <v>1134841751</v>
      </c>
      <c r="N52" s="1056">
        <v>1134841751</v>
      </c>
    </row>
    <row r="53" spans="1:14">
      <c r="A53" s="1049" t="s">
        <v>1520</v>
      </c>
      <c r="B53" s="1031" t="s">
        <v>1926</v>
      </c>
      <c r="C53" s="1056">
        <v>995885894</v>
      </c>
      <c r="D53" s="1056">
        <v>912604330</v>
      </c>
      <c r="E53" s="1056">
        <v>995885894</v>
      </c>
      <c r="F53" s="1056">
        <v>912604330</v>
      </c>
      <c r="G53" s="1056">
        <v>918011169</v>
      </c>
      <c r="H53" s="1056">
        <v>918011169</v>
      </c>
      <c r="I53" s="1056">
        <v>995885894</v>
      </c>
      <c r="J53" s="1056">
        <v>912604330</v>
      </c>
      <c r="K53" s="1056">
        <v>995885894</v>
      </c>
      <c r="L53" s="1056">
        <v>912604330</v>
      </c>
      <c r="M53" s="1056">
        <v>918011169</v>
      </c>
      <c r="N53" s="1056">
        <v>918011169</v>
      </c>
    </row>
    <row r="54" spans="1:14">
      <c r="A54" s="1049" t="s">
        <v>2386</v>
      </c>
      <c r="B54" s="1031" t="s">
        <v>379</v>
      </c>
      <c r="C54" s="1056">
        <v>12867908965</v>
      </c>
      <c r="D54" s="1056">
        <v>12434363378</v>
      </c>
      <c r="E54" s="1056">
        <v>12867908965</v>
      </c>
      <c r="F54" s="1056">
        <v>12434363378</v>
      </c>
      <c r="G54" s="1056">
        <v>12539907498</v>
      </c>
      <c r="H54" s="1056">
        <v>12539907498</v>
      </c>
      <c r="I54" s="1056">
        <v>12867908965</v>
      </c>
      <c r="J54" s="1056">
        <v>12434363378</v>
      </c>
      <c r="K54" s="1056">
        <v>12867908965</v>
      </c>
      <c r="L54" s="1056">
        <v>12434363378</v>
      </c>
      <c r="M54" s="1056">
        <v>12539907498</v>
      </c>
      <c r="N54" s="1056">
        <v>12539907498</v>
      </c>
    </row>
    <row r="55" spans="1:14">
      <c r="A55" s="1049" t="s">
        <v>2403</v>
      </c>
      <c r="B55" s="1031" t="s">
        <v>2347</v>
      </c>
      <c r="C55" s="1056">
        <v>1383803234</v>
      </c>
      <c r="D55" s="1056">
        <v>1325363856</v>
      </c>
      <c r="E55" s="1056">
        <v>1383803234</v>
      </c>
      <c r="F55" s="1056">
        <v>1325363856</v>
      </c>
      <c r="G55" s="1056">
        <v>1330874776</v>
      </c>
      <c r="H55" s="1056">
        <v>1330874776</v>
      </c>
      <c r="I55" s="1056">
        <v>1383803234</v>
      </c>
      <c r="J55" s="1056">
        <v>1325363856</v>
      </c>
      <c r="K55" s="1056">
        <v>1383803234</v>
      </c>
      <c r="L55" s="1056">
        <v>1325363856</v>
      </c>
      <c r="M55" s="1056">
        <v>1330874776</v>
      </c>
      <c r="N55" s="1056">
        <v>1330874776</v>
      </c>
    </row>
    <row r="56" spans="1:14">
      <c r="A56" s="1049" t="s">
        <v>2402</v>
      </c>
      <c r="B56" s="1031" t="s">
        <v>2346</v>
      </c>
      <c r="C56" s="1056">
        <v>395542304</v>
      </c>
      <c r="D56" s="1056">
        <v>376453964</v>
      </c>
      <c r="E56" s="1056">
        <v>395542304</v>
      </c>
      <c r="F56" s="1056">
        <v>376453964</v>
      </c>
      <c r="G56" s="1056">
        <v>380186984</v>
      </c>
      <c r="H56" s="1056">
        <v>380186984</v>
      </c>
      <c r="I56" s="1056">
        <v>395542304</v>
      </c>
      <c r="J56" s="1056">
        <v>376453964</v>
      </c>
      <c r="K56" s="1056">
        <v>395542304</v>
      </c>
      <c r="L56" s="1056">
        <v>376453964</v>
      </c>
      <c r="M56" s="1056">
        <v>380186984</v>
      </c>
      <c r="N56" s="1056">
        <v>380186984</v>
      </c>
    </row>
    <row r="57" spans="1:14">
      <c r="A57" s="1049" t="s">
        <v>6183</v>
      </c>
      <c r="B57" s="1031" t="s">
        <v>1937</v>
      </c>
      <c r="C57" s="1056">
        <v>30639048583</v>
      </c>
      <c r="D57" s="1056">
        <v>30174720103</v>
      </c>
      <c r="E57" s="1056">
        <v>30639048583</v>
      </c>
      <c r="F57" s="1056">
        <v>30174720103</v>
      </c>
      <c r="G57" s="1056">
        <v>30424135208</v>
      </c>
      <c r="H57" s="1056">
        <v>30424135208</v>
      </c>
      <c r="I57" s="1056">
        <v>30639048583</v>
      </c>
      <c r="J57" s="1056">
        <v>30174720103</v>
      </c>
      <c r="K57" s="1056">
        <v>30639048583</v>
      </c>
      <c r="L57" s="1056">
        <v>30174720103</v>
      </c>
      <c r="M57" s="1056">
        <v>30424135208</v>
      </c>
      <c r="N57" s="1056">
        <v>30424135208</v>
      </c>
    </row>
    <row r="58" spans="1:14">
      <c r="A58" s="1049" t="s">
        <v>1517</v>
      </c>
      <c r="B58" s="1031" t="s">
        <v>3013</v>
      </c>
      <c r="C58" s="1056">
        <v>2583410855</v>
      </c>
      <c r="D58" s="1056">
        <v>2528162219</v>
      </c>
      <c r="E58" s="1056">
        <v>2583410855</v>
      </c>
      <c r="F58" s="1056">
        <v>2528162219</v>
      </c>
      <c r="G58" s="1056">
        <v>2551892494</v>
      </c>
      <c r="H58" s="1056">
        <v>2551892494</v>
      </c>
      <c r="I58" s="1056">
        <v>2583410855</v>
      </c>
      <c r="J58" s="1056">
        <v>2528162219</v>
      </c>
      <c r="K58" s="1056">
        <v>2583410855</v>
      </c>
      <c r="L58" s="1056">
        <v>2528162219</v>
      </c>
      <c r="M58" s="1056">
        <v>2551892494</v>
      </c>
      <c r="N58" s="1056">
        <v>2551892494</v>
      </c>
    </row>
    <row r="59" spans="1:14">
      <c r="A59" s="1049" t="s">
        <v>3082</v>
      </c>
      <c r="B59" s="1031" t="s">
        <v>2349</v>
      </c>
      <c r="C59" s="1056">
        <v>2034758578</v>
      </c>
      <c r="D59" s="1056">
        <v>1991898214</v>
      </c>
      <c r="E59" s="1056">
        <v>2034758578</v>
      </c>
      <c r="F59" s="1056">
        <v>1991898214</v>
      </c>
      <c r="G59" s="1056">
        <v>2000214224</v>
      </c>
      <c r="H59" s="1056">
        <v>2000214224</v>
      </c>
      <c r="I59" s="1056">
        <v>2546126568</v>
      </c>
      <c r="J59" s="1056">
        <v>2503266204</v>
      </c>
      <c r="K59" s="1056">
        <v>2546126568</v>
      </c>
      <c r="L59" s="1056">
        <v>2503266204</v>
      </c>
      <c r="M59" s="1056">
        <v>2511582214</v>
      </c>
      <c r="N59" s="1056">
        <v>2511582214</v>
      </c>
    </row>
    <row r="60" spans="1:14">
      <c r="A60" s="1049" t="s">
        <v>6185</v>
      </c>
      <c r="B60" s="1031" t="s">
        <v>1939</v>
      </c>
      <c r="C60" s="1056">
        <v>38175596294</v>
      </c>
      <c r="D60" s="1056">
        <v>37748664365</v>
      </c>
      <c r="E60" s="1056">
        <v>38175596294</v>
      </c>
      <c r="F60" s="1056">
        <v>37748664365</v>
      </c>
      <c r="G60" s="1056">
        <v>38026906677</v>
      </c>
      <c r="H60" s="1056">
        <v>38026906677</v>
      </c>
      <c r="I60" s="1056">
        <v>38175596294</v>
      </c>
      <c r="J60" s="1056">
        <v>37748664365</v>
      </c>
      <c r="K60" s="1056">
        <v>38175596294</v>
      </c>
      <c r="L60" s="1056">
        <v>37748664365</v>
      </c>
      <c r="M60" s="1056">
        <v>38026906677</v>
      </c>
      <c r="N60" s="1056">
        <v>38026906677</v>
      </c>
    </row>
    <row r="61" spans="1:14">
      <c r="A61" s="1049" t="s">
        <v>6026</v>
      </c>
      <c r="B61" s="1031" t="s">
        <v>1911</v>
      </c>
      <c r="C61" s="1056">
        <v>6820500656</v>
      </c>
      <c r="D61" s="1056">
        <v>6654846325</v>
      </c>
      <c r="E61" s="1056">
        <v>6820500656</v>
      </c>
      <c r="F61" s="1056">
        <v>6654846325</v>
      </c>
      <c r="G61" s="1056">
        <v>6689856641</v>
      </c>
      <c r="H61" s="1056">
        <v>6689856641</v>
      </c>
      <c r="I61" s="1056">
        <v>6820500656</v>
      </c>
      <c r="J61" s="1056">
        <v>6654846325</v>
      </c>
      <c r="K61" s="1056">
        <v>6820500656</v>
      </c>
      <c r="L61" s="1056">
        <v>6654846325</v>
      </c>
      <c r="M61" s="1056">
        <v>6689856641</v>
      </c>
      <c r="N61" s="1056">
        <v>6689856641</v>
      </c>
    </row>
    <row r="62" spans="1:14">
      <c r="A62" s="1049" t="s">
        <v>2404</v>
      </c>
      <c r="B62" s="1031" t="s">
        <v>2348</v>
      </c>
      <c r="C62" s="1056">
        <v>1135404332</v>
      </c>
      <c r="D62" s="1056">
        <v>1113322781</v>
      </c>
      <c r="E62" s="1056">
        <v>1135404332</v>
      </c>
      <c r="F62" s="1056">
        <v>1113322781</v>
      </c>
      <c r="G62" s="1056">
        <v>1117520020</v>
      </c>
      <c r="H62" s="1056">
        <v>1117520020</v>
      </c>
      <c r="I62" s="1056">
        <v>1135404332</v>
      </c>
      <c r="J62" s="1056">
        <v>1113322781</v>
      </c>
      <c r="K62" s="1056">
        <v>1135404332</v>
      </c>
      <c r="L62" s="1056">
        <v>1113322781</v>
      </c>
      <c r="M62" s="1056">
        <v>1117520020</v>
      </c>
      <c r="N62" s="1056">
        <v>1117520020</v>
      </c>
    </row>
    <row r="63" spans="1:14">
      <c r="A63" s="1049" t="s">
        <v>45</v>
      </c>
      <c r="B63" s="1031" t="s">
        <v>4113</v>
      </c>
      <c r="C63" s="1056">
        <v>621049082</v>
      </c>
      <c r="D63" s="1056">
        <v>606443705</v>
      </c>
      <c r="E63" s="1056">
        <v>621049082</v>
      </c>
      <c r="F63" s="1056">
        <v>606443705</v>
      </c>
      <c r="G63" s="1056">
        <v>610053877</v>
      </c>
      <c r="H63" s="1056">
        <v>610053877</v>
      </c>
      <c r="I63" s="1056">
        <v>621049082</v>
      </c>
      <c r="J63" s="1056">
        <v>606443705</v>
      </c>
      <c r="K63" s="1056">
        <v>621049082</v>
      </c>
      <c r="L63" s="1056">
        <v>606443705</v>
      </c>
      <c r="M63" s="1056">
        <v>610053877</v>
      </c>
      <c r="N63" s="1056">
        <v>610053877</v>
      </c>
    </row>
    <row r="64" spans="1:14">
      <c r="A64" s="1049" t="s">
        <v>952</v>
      </c>
      <c r="B64" s="1031" t="s">
        <v>7657</v>
      </c>
      <c r="C64" s="1056">
        <v>730892271</v>
      </c>
      <c r="D64" s="1056">
        <v>712504392</v>
      </c>
      <c r="E64" s="1056">
        <v>730892271</v>
      </c>
      <c r="F64" s="1056">
        <v>712504392</v>
      </c>
      <c r="G64" s="1056">
        <v>719609726</v>
      </c>
      <c r="H64" s="1056">
        <v>719609726</v>
      </c>
      <c r="I64" s="1056">
        <v>730892271</v>
      </c>
      <c r="J64" s="1056">
        <v>712504392</v>
      </c>
      <c r="K64" s="1056">
        <v>730892271</v>
      </c>
      <c r="L64" s="1056">
        <v>712504392</v>
      </c>
      <c r="M64" s="1056">
        <v>719609726</v>
      </c>
      <c r="N64" s="1056">
        <v>719609726</v>
      </c>
    </row>
    <row r="65" spans="1:14">
      <c r="A65" s="1049" t="s">
        <v>47</v>
      </c>
      <c r="B65" s="1031" t="s">
        <v>4114</v>
      </c>
      <c r="C65" s="1056">
        <v>940558269</v>
      </c>
      <c r="D65" s="1056">
        <v>940274399</v>
      </c>
      <c r="E65" s="1056">
        <v>940286262</v>
      </c>
      <c r="F65" s="1056">
        <v>940002392</v>
      </c>
      <c r="G65" s="1056">
        <v>940275838</v>
      </c>
      <c r="H65" s="1056">
        <v>940003831</v>
      </c>
      <c r="I65" s="1056">
        <v>984986629</v>
      </c>
      <c r="J65" s="1056">
        <v>984702759</v>
      </c>
      <c r="K65" s="1056">
        <v>984714622</v>
      </c>
      <c r="L65" s="1056">
        <v>984430752</v>
      </c>
      <c r="M65" s="1056">
        <v>984704198</v>
      </c>
      <c r="N65" s="1056">
        <v>984432191</v>
      </c>
    </row>
    <row r="66" spans="1:14">
      <c r="A66" s="1049" t="s">
        <v>740</v>
      </c>
      <c r="B66" s="1031" t="s">
        <v>6115</v>
      </c>
      <c r="C66" s="1056">
        <v>662979736</v>
      </c>
      <c r="D66" s="1056">
        <v>646821359</v>
      </c>
      <c r="E66" s="1056">
        <v>662979736</v>
      </c>
      <c r="F66" s="1056">
        <v>646821359</v>
      </c>
      <c r="G66" s="1056">
        <v>646832334</v>
      </c>
      <c r="H66" s="1056">
        <v>646832334</v>
      </c>
      <c r="I66" s="1056">
        <v>662979736</v>
      </c>
      <c r="J66" s="1056">
        <v>646821359</v>
      </c>
      <c r="K66" s="1056">
        <v>662979736</v>
      </c>
      <c r="L66" s="1056">
        <v>646821359</v>
      </c>
      <c r="M66" s="1056">
        <v>646832334</v>
      </c>
      <c r="N66" s="1056">
        <v>646832334</v>
      </c>
    </row>
    <row r="67" spans="1:14">
      <c r="A67" s="1049" t="s">
        <v>49</v>
      </c>
      <c r="B67" s="1031" t="s">
        <v>4115</v>
      </c>
      <c r="C67" s="1056">
        <v>159294447</v>
      </c>
      <c r="D67" s="1056">
        <v>153932161</v>
      </c>
      <c r="E67" s="1056">
        <v>159294447</v>
      </c>
      <c r="F67" s="1056">
        <v>153932161</v>
      </c>
      <c r="G67" s="1056">
        <v>154478877</v>
      </c>
      <c r="H67" s="1056">
        <v>154478877</v>
      </c>
      <c r="I67" s="1056">
        <v>159294447</v>
      </c>
      <c r="J67" s="1056">
        <v>153932161</v>
      </c>
      <c r="K67" s="1056">
        <v>159294447</v>
      </c>
      <c r="L67" s="1056">
        <v>153932161</v>
      </c>
      <c r="M67" s="1056">
        <v>154478877</v>
      </c>
      <c r="N67" s="1056">
        <v>154478877</v>
      </c>
    </row>
    <row r="68" spans="1:14">
      <c r="A68" s="1049" t="s">
        <v>1337</v>
      </c>
      <c r="B68" s="1031" t="s">
        <v>4116</v>
      </c>
      <c r="C68" s="1056">
        <v>58398347</v>
      </c>
      <c r="D68" s="1056">
        <v>56376743</v>
      </c>
      <c r="E68" s="1056">
        <v>58398347</v>
      </c>
      <c r="F68" s="1056">
        <v>56376743</v>
      </c>
      <c r="G68" s="1056">
        <v>56376743</v>
      </c>
      <c r="H68" s="1056">
        <v>56376743</v>
      </c>
      <c r="I68" s="1056">
        <v>58398347</v>
      </c>
      <c r="J68" s="1056">
        <v>56376743</v>
      </c>
      <c r="K68" s="1056">
        <v>58398347</v>
      </c>
      <c r="L68" s="1056">
        <v>56376743</v>
      </c>
      <c r="M68" s="1056">
        <v>56376743</v>
      </c>
      <c r="N68" s="1056">
        <v>56376743</v>
      </c>
    </row>
    <row r="69" spans="1:14">
      <c r="A69" s="1049" t="s">
        <v>1339</v>
      </c>
      <c r="B69" s="1031" t="s">
        <v>4117</v>
      </c>
      <c r="C69" s="1056">
        <v>200958437</v>
      </c>
      <c r="D69" s="1056">
        <v>193052991</v>
      </c>
      <c r="E69" s="1056">
        <v>200958437</v>
      </c>
      <c r="F69" s="1056">
        <v>193052991</v>
      </c>
      <c r="G69" s="1056">
        <v>193052991</v>
      </c>
      <c r="H69" s="1056">
        <v>193052991</v>
      </c>
      <c r="I69" s="1056">
        <v>200958437</v>
      </c>
      <c r="J69" s="1056">
        <v>193052991</v>
      </c>
      <c r="K69" s="1056">
        <v>200958437</v>
      </c>
      <c r="L69" s="1056">
        <v>193052991</v>
      </c>
      <c r="M69" s="1056">
        <v>193052991</v>
      </c>
      <c r="N69" s="1056">
        <v>193052991</v>
      </c>
    </row>
    <row r="70" spans="1:14">
      <c r="A70" s="1049" t="s">
        <v>2474</v>
      </c>
      <c r="B70" s="1031" t="s">
        <v>329</v>
      </c>
      <c r="C70" s="1056">
        <v>72421922</v>
      </c>
      <c r="D70" s="1056">
        <v>70520651</v>
      </c>
      <c r="E70" s="1056">
        <v>72421922</v>
      </c>
      <c r="F70" s="1056">
        <v>70520651</v>
      </c>
      <c r="G70" s="1056">
        <v>70795348</v>
      </c>
      <c r="H70" s="1056">
        <v>70795348</v>
      </c>
      <c r="I70" s="1056">
        <v>72421922</v>
      </c>
      <c r="J70" s="1056">
        <v>70520651</v>
      </c>
      <c r="K70" s="1056">
        <v>72421922</v>
      </c>
      <c r="L70" s="1056">
        <v>70520651</v>
      </c>
      <c r="M70" s="1056">
        <v>70795348</v>
      </c>
      <c r="N70" s="1056">
        <v>70795348</v>
      </c>
    </row>
    <row r="71" spans="1:14">
      <c r="A71" s="1049" t="s">
        <v>1341</v>
      </c>
      <c r="B71" s="1031" t="s">
        <v>1663</v>
      </c>
      <c r="C71" s="1056">
        <v>118827433</v>
      </c>
      <c r="D71" s="1056">
        <v>116375768</v>
      </c>
      <c r="E71" s="1056">
        <v>118827433</v>
      </c>
      <c r="F71" s="1056">
        <v>116375768</v>
      </c>
      <c r="G71" s="1056">
        <v>116901328</v>
      </c>
      <c r="H71" s="1056">
        <v>116901328</v>
      </c>
      <c r="I71" s="1056">
        <v>118827433</v>
      </c>
      <c r="J71" s="1056">
        <v>116375768</v>
      </c>
      <c r="K71" s="1056">
        <v>118827433</v>
      </c>
      <c r="L71" s="1056">
        <v>116375768</v>
      </c>
      <c r="M71" s="1056">
        <v>116901328</v>
      </c>
      <c r="N71" s="1056">
        <v>116901328</v>
      </c>
    </row>
    <row r="72" spans="1:14">
      <c r="A72" s="1049" t="s">
        <v>1343</v>
      </c>
      <c r="B72" s="1031" t="s">
        <v>1664</v>
      </c>
      <c r="C72" s="1056">
        <v>102857470</v>
      </c>
      <c r="D72" s="1056">
        <v>98404556</v>
      </c>
      <c r="E72" s="1056">
        <v>102857470</v>
      </c>
      <c r="F72" s="1056">
        <v>98404556</v>
      </c>
      <c r="G72" s="1056">
        <v>99926692</v>
      </c>
      <c r="H72" s="1056">
        <v>99926692</v>
      </c>
      <c r="I72" s="1056">
        <v>102857470</v>
      </c>
      <c r="J72" s="1056">
        <v>98404556</v>
      </c>
      <c r="K72" s="1056">
        <v>102857470</v>
      </c>
      <c r="L72" s="1056">
        <v>98404556</v>
      </c>
      <c r="M72" s="1056">
        <v>99926692</v>
      </c>
      <c r="N72" s="1056">
        <v>99926692</v>
      </c>
    </row>
    <row r="73" spans="1:14">
      <c r="A73" s="1049" t="s">
        <v>1345</v>
      </c>
      <c r="B73" s="1031" t="s">
        <v>885</v>
      </c>
      <c r="C73" s="1056">
        <v>75571955</v>
      </c>
      <c r="D73" s="1056">
        <v>73491606</v>
      </c>
      <c r="E73" s="1056">
        <v>75571955</v>
      </c>
      <c r="F73" s="1056">
        <v>73491606</v>
      </c>
      <c r="G73" s="1056">
        <v>74212952</v>
      </c>
      <c r="H73" s="1056">
        <v>74212952</v>
      </c>
      <c r="I73" s="1056">
        <v>75571955</v>
      </c>
      <c r="J73" s="1056">
        <v>73491606</v>
      </c>
      <c r="K73" s="1056">
        <v>75571955</v>
      </c>
      <c r="L73" s="1056">
        <v>73491606</v>
      </c>
      <c r="M73" s="1056">
        <v>74212952</v>
      </c>
      <c r="N73" s="1056">
        <v>74212952</v>
      </c>
    </row>
    <row r="74" spans="1:14">
      <c r="A74" s="1049" t="s">
        <v>963</v>
      </c>
      <c r="B74" s="1031" t="s">
        <v>996</v>
      </c>
      <c r="C74" s="1056">
        <v>172852489</v>
      </c>
      <c r="D74" s="1056">
        <v>162758557</v>
      </c>
      <c r="E74" s="1056">
        <v>172852489</v>
      </c>
      <c r="F74" s="1056">
        <v>162758557</v>
      </c>
      <c r="G74" s="1056">
        <v>164025566</v>
      </c>
      <c r="H74" s="1056">
        <v>164025566</v>
      </c>
      <c r="I74" s="1056">
        <v>172852489</v>
      </c>
      <c r="J74" s="1056">
        <v>162758557</v>
      </c>
      <c r="K74" s="1056">
        <v>172852489</v>
      </c>
      <c r="L74" s="1056">
        <v>162758557</v>
      </c>
      <c r="M74" s="1056">
        <v>164025566</v>
      </c>
      <c r="N74" s="1056">
        <v>164025566</v>
      </c>
    </row>
    <row r="75" spans="1:14">
      <c r="A75" s="1049" t="s">
        <v>3083</v>
      </c>
      <c r="B75" s="1031" t="s">
        <v>3850</v>
      </c>
      <c r="C75" s="1056">
        <v>143865321</v>
      </c>
      <c r="D75" s="1056">
        <v>134782380</v>
      </c>
      <c r="E75" s="1056">
        <v>143865321</v>
      </c>
      <c r="F75" s="1056">
        <v>134782380</v>
      </c>
      <c r="G75" s="1056">
        <v>136105855</v>
      </c>
      <c r="H75" s="1056">
        <v>136105855</v>
      </c>
      <c r="I75" s="1056">
        <v>143865321</v>
      </c>
      <c r="J75" s="1056">
        <v>134782380</v>
      </c>
      <c r="K75" s="1056">
        <v>143865321</v>
      </c>
      <c r="L75" s="1056">
        <v>134782380</v>
      </c>
      <c r="M75" s="1056">
        <v>136105855</v>
      </c>
      <c r="N75" s="1056">
        <v>136105855</v>
      </c>
    </row>
    <row r="76" spans="1:14">
      <c r="A76" s="1049" t="s">
        <v>2568</v>
      </c>
      <c r="B76" s="1031" t="s">
        <v>6070</v>
      </c>
      <c r="C76" s="1056">
        <v>55732370</v>
      </c>
      <c r="D76" s="1056">
        <v>50838215</v>
      </c>
      <c r="E76" s="1056">
        <v>55732370</v>
      </c>
      <c r="F76" s="1056">
        <v>50838215</v>
      </c>
      <c r="G76" s="1056">
        <v>51238792</v>
      </c>
      <c r="H76" s="1056">
        <v>51238792</v>
      </c>
      <c r="I76" s="1056">
        <v>55732370</v>
      </c>
      <c r="J76" s="1056">
        <v>50838215</v>
      </c>
      <c r="K76" s="1056">
        <v>55732370</v>
      </c>
      <c r="L76" s="1056">
        <v>50838215</v>
      </c>
      <c r="M76" s="1056">
        <v>51238792</v>
      </c>
      <c r="N76" s="1056">
        <v>51238792</v>
      </c>
    </row>
    <row r="77" spans="1:14">
      <c r="A77" s="1049" t="s">
        <v>1349</v>
      </c>
      <c r="B77" s="1031" t="s">
        <v>886</v>
      </c>
      <c r="C77" s="1056">
        <v>394320410</v>
      </c>
      <c r="D77" s="1056">
        <v>377422617</v>
      </c>
      <c r="E77" s="1056">
        <v>394320410</v>
      </c>
      <c r="F77" s="1056">
        <v>377422617</v>
      </c>
      <c r="G77" s="1056">
        <v>379303239</v>
      </c>
      <c r="H77" s="1056">
        <v>379303239</v>
      </c>
      <c r="I77" s="1056">
        <v>394320410</v>
      </c>
      <c r="J77" s="1056">
        <v>377422617</v>
      </c>
      <c r="K77" s="1056">
        <v>394320410</v>
      </c>
      <c r="L77" s="1056">
        <v>377422617</v>
      </c>
      <c r="M77" s="1056">
        <v>379303239</v>
      </c>
      <c r="N77" s="1056">
        <v>379303239</v>
      </c>
    </row>
    <row r="78" spans="1:14">
      <c r="A78" s="1049" t="s">
        <v>6083</v>
      </c>
      <c r="B78" s="1031" t="s">
        <v>887</v>
      </c>
      <c r="C78" s="1056">
        <v>211490771</v>
      </c>
      <c r="D78" s="1056">
        <v>199674588</v>
      </c>
      <c r="E78" s="1056">
        <v>211490771</v>
      </c>
      <c r="F78" s="1056">
        <v>199674588</v>
      </c>
      <c r="G78" s="1056">
        <v>200646926</v>
      </c>
      <c r="H78" s="1056">
        <v>200646926</v>
      </c>
      <c r="I78" s="1056">
        <v>211490771</v>
      </c>
      <c r="J78" s="1056">
        <v>199674588</v>
      </c>
      <c r="K78" s="1056">
        <v>211490771</v>
      </c>
      <c r="L78" s="1056">
        <v>199674588</v>
      </c>
      <c r="M78" s="1056">
        <v>200646926</v>
      </c>
      <c r="N78" s="1056">
        <v>200646926</v>
      </c>
    </row>
    <row r="79" spans="1:14">
      <c r="A79" s="1049" t="s">
        <v>6085</v>
      </c>
      <c r="B79" s="1031" t="s">
        <v>888</v>
      </c>
      <c r="C79" s="1056">
        <v>1857113545</v>
      </c>
      <c r="D79" s="1056">
        <v>1809114947</v>
      </c>
      <c r="E79" s="1056">
        <v>1857113545</v>
      </c>
      <c r="F79" s="1056">
        <v>1809114947</v>
      </c>
      <c r="G79" s="1056">
        <v>1819236157</v>
      </c>
      <c r="H79" s="1056">
        <v>1819236157</v>
      </c>
      <c r="I79" s="1056">
        <v>1857113545</v>
      </c>
      <c r="J79" s="1056">
        <v>1809114947</v>
      </c>
      <c r="K79" s="1056">
        <v>1857113545</v>
      </c>
      <c r="L79" s="1056">
        <v>1809114947</v>
      </c>
      <c r="M79" s="1056">
        <v>1819236157</v>
      </c>
      <c r="N79" s="1056">
        <v>1819236157</v>
      </c>
    </row>
    <row r="80" spans="1:14">
      <c r="A80" s="1049" t="s">
        <v>1998</v>
      </c>
      <c r="B80" s="1031" t="s">
        <v>889</v>
      </c>
      <c r="C80" s="1056">
        <v>518704844</v>
      </c>
      <c r="D80" s="1056">
        <v>494630999</v>
      </c>
      <c r="E80" s="1056">
        <v>518704844</v>
      </c>
      <c r="F80" s="1056">
        <v>494630999</v>
      </c>
      <c r="G80" s="1056">
        <v>497982651</v>
      </c>
      <c r="H80" s="1056">
        <v>497982651</v>
      </c>
      <c r="I80" s="1056">
        <v>518704844</v>
      </c>
      <c r="J80" s="1056">
        <v>494630999</v>
      </c>
      <c r="K80" s="1056">
        <v>518704844</v>
      </c>
      <c r="L80" s="1056">
        <v>494630999</v>
      </c>
      <c r="M80" s="1056">
        <v>497982651</v>
      </c>
      <c r="N80" s="1056">
        <v>497982651</v>
      </c>
    </row>
    <row r="81" spans="1:14">
      <c r="A81" s="1049" t="s">
        <v>2570</v>
      </c>
      <c r="B81" s="1031" t="s">
        <v>1467</v>
      </c>
      <c r="C81" s="1056">
        <v>103167465</v>
      </c>
      <c r="D81" s="1056">
        <v>96524813</v>
      </c>
      <c r="E81" s="1056">
        <v>103167465</v>
      </c>
      <c r="F81" s="1056">
        <v>96524813</v>
      </c>
      <c r="G81" s="1056">
        <v>97404902</v>
      </c>
      <c r="H81" s="1056">
        <v>97404902</v>
      </c>
      <c r="I81" s="1056">
        <v>103167465</v>
      </c>
      <c r="J81" s="1056">
        <v>96524813</v>
      </c>
      <c r="K81" s="1056">
        <v>103167465</v>
      </c>
      <c r="L81" s="1056">
        <v>96524813</v>
      </c>
      <c r="M81" s="1056">
        <v>97404902</v>
      </c>
      <c r="N81" s="1056">
        <v>97404902</v>
      </c>
    </row>
    <row r="82" spans="1:14">
      <c r="A82" s="1049" t="s">
        <v>4076</v>
      </c>
      <c r="B82" s="1031" t="s">
        <v>6061</v>
      </c>
      <c r="C82" s="1056">
        <v>18930290</v>
      </c>
      <c r="D82" s="1056">
        <v>17299233</v>
      </c>
      <c r="E82" s="1056">
        <v>18930290</v>
      </c>
      <c r="F82" s="1056">
        <v>17299233</v>
      </c>
      <c r="G82" s="1056">
        <v>17631069</v>
      </c>
      <c r="H82" s="1056">
        <v>17631069</v>
      </c>
      <c r="I82" s="1056">
        <v>18930290</v>
      </c>
      <c r="J82" s="1056">
        <v>17299233</v>
      </c>
      <c r="K82" s="1056">
        <v>18930290</v>
      </c>
      <c r="L82" s="1056">
        <v>17299233</v>
      </c>
      <c r="M82" s="1056">
        <v>17631069</v>
      </c>
      <c r="N82" s="1056">
        <v>17631069</v>
      </c>
    </row>
    <row r="83" spans="1:14">
      <c r="A83" s="1049" t="s">
        <v>1963</v>
      </c>
      <c r="B83" s="1031" t="s">
        <v>890</v>
      </c>
      <c r="C83" s="1056">
        <v>184949633</v>
      </c>
      <c r="D83" s="1056">
        <v>178208952</v>
      </c>
      <c r="E83" s="1056">
        <v>184949633</v>
      </c>
      <c r="F83" s="1056">
        <v>178208952</v>
      </c>
      <c r="G83" s="1056">
        <v>178210134</v>
      </c>
      <c r="H83" s="1056">
        <v>178210134</v>
      </c>
      <c r="I83" s="1056">
        <v>184949633</v>
      </c>
      <c r="J83" s="1056">
        <v>178208952</v>
      </c>
      <c r="K83" s="1056">
        <v>184949633</v>
      </c>
      <c r="L83" s="1056">
        <v>178208952</v>
      </c>
      <c r="M83" s="1056">
        <v>178210134</v>
      </c>
      <c r="N83" s="1056">
        <v>178210134</v>
      </c>
    </row>
    <row r="84" spans="1:14">
      <c r="A84" s="1049" t="s">
        <v>2000</v>
      </c>
      <c r="B84" s="1031" t="s">
        <v>891</v>
      </c>
      <c r="C84" s="1056">
        <v>842545758</v>
      </c>
      <c r="D84" s="1056">
        <v>816845341</v>
      </c>
      <c r="E84" s="1056">
        <v>842545758</v>
      </c>
      <c r="F84" s="1056">
        <v>816845341</v>
      </c>
      <c r="G84" s="1056">
        <v>821679230</v>
      </c>
      <c r="H84" s="1056">
        <v>821679230</v>
      </c>
      <c r="I84" s="1056">
        <v>842545758</v>
      </c>
      <c r="J84" s="1056">
        <v>816845341</v>
      </c>
      <c r="K84" s="1056">
        <v>842545758</v>
      </c>
      <c r="L84" s="1056">
        <v>816845341</v>
      </c>
      <c r="M84" s="1056">
        <v>821679230</v>
      </c>
      <c r="N84" s="1056">
        <v>821679230</v>
      </c>
    </row>
    <row r="85" spans="1:14">
      <c r="A85" s="1049" t="s">
        <v>2002</v>
      </c>
      <c r="B85" s="1031" t="s">
        <v>3852</v>
      </c>
      <c r="C85" s="1056">
        <v>18211680</v>
      </c>
      <c r="D85" s="1056">
        <v>16730247</v>
      </c>
      <c r="E85" s="1056">
        <v>18211680</v>
      </c>
      <c r="F85" s="1056">
        <v>16730247</v>
      </c>
      <c r="G85" s="1056">
        <v>17057651</v>
      </c>
      <c r="H85" s="1056">
        <v>17057651</v>
      </c>
      <c r="I85" s="1056">
        <v>18211680</v>
      </c>
      <c r="J85" s="1056">
        <v>16730247</v>
      </c>
      <c r="K85" s="1056">
        <v>18211680</v>
      </c>
      <c r="L85" s="1056">
        <v>16730247</v>
      </c>
      <c r="M85" s="1056">
        <v>17057651</v>
      </c>
      <c r="N85" s="1056">
        <v>17057651</v>
      </c>
    </row>
    <row r="86" spans="1:14">
      <c r="A86" s="1049" t="s">
        <v>1964</v>
      </c>
      <c r="B86" s="1031" t="s">
        <v>892</v>
      </c>
      <c r="C86" s="1056">
        <v>40820998</v>
      </c>
      <c r="D86" s="1056">
        <v>38863544</v>
      </c>
      <c r="E86" s="1056">
        <v>40820998</v>
      </c>
      <c r="F86" s="1056">
        <v>38863544</v>
      </c>
      <c r="G86" s="1056">
        <v>39082582</v>
      </c>
      <c r="H86" s="1056">
        <v>39082582</v>
      </c>
      <c r="I86" s="1056">
        <v>40820998</v>
      </c>
      <c r="J86" s="1056">
        <v>38863544</v>
      </c>
      <c r="K86" s="1056">
        <v>40820998</v>
      </c>
      <c r="L86" s="1056">
        <v>38863544</v>
      </c>
      <c r="M86" s="1056">
        <v>39082582</v>
      </c>
      <c r="N86" s="1056">
        <v>39082582</v>
      </c>
    </row>
    <row r="87" spans="1:14">
      <c r="A87" s="1049" t="s">
        <v>2136</v>
      </c>
      <c r="B87" s="1031" t="s">
        <v>7679</v>
      </c>
      <c r="C87" s="1056">
        <v>4855641782</v>
      </c>
      <c r="D87" s="1056">
        <v>4660965937</v>
      </c>
      <c r="E87" s="1056">
        <v>4855641782</v>
      </c>
      <c r="F87" s="1056">
        <v>4660965937</v>
      </c>
      <c r="G87" s="1056">
        <v>4663048435</v>
      </c>
      <c r="H87" s="1056">
        <v>4663048435</v>
      </c>
      <c r="I87" s="1056">
        <v>4855641782</v>
      </c>
      <c r="J87" s="1056">
        <v>4660965937</v>
      </c>
      <c r="K87" s="1056">
        <v>4855641782</v>
      </c>
      <c r="L87" s="1056">
        <v>4660965937</v>
      </c>
      <c r="M87" s="1056">
        <v>4663048435</v>
      </c>
      <c r="N87" s="1056">
        <v>4663048435</v>
      </c>
    </row>
    <row r="88" spans="1:14">
      <c r="A88" s="1049" t="s">
        <v>2966</v>
      </c>
      <c r="B88" s="1031" t="s">
        <v>893</v>
      </c>
      <c r="C88" s="1056">
        <v>2295614817</v>
      </c>
      <c r="D88" s="1056">
        <v>2231106208</v>
      </c>
      <c r="E88" s="1056">
        <v>2295614817</v>
      </c>
      <c r="F88" s="1056">
        <v>2231106208</v>
      </c>
      <c r="G88" s="1056">
        <v>2231786458</v>
      </c>
      <c r="H88" s="1056">
        <v>2231786458</v>
      </c>
      <c r="I88" s="1056">
        <v>2295614817</v>
      </c>
      <c r="J88" s="1056">
        <v>2231106208</v>
      </c>
      <c r="K88" s="1056">
        <v>2295614817</v>
      </c>
      <c r="L88" s="1056">
        <v>2231106208</v>
      </c>
      <c r="M88" s="1056">
        <v>2231786458</v>
      </c>
      <c r="N88" s="1056">
        <v>2231786458</v>
      </c>
    </row>
    <row r="89" spans="1:14">
      <c r="A89" s="1049" t="s">
        <v>3084</v>
      </c>
      <c r="B89" s="1031" t="s">
        <v>992</v>
      </c>
      <c r="C89" s="1056">
        <v>223596368</v>
      </c>
      <c r="D89" s="1056">
        <v>214682568</v>
      </c>
      <c r="E89" s="1056">
        <v>223596368</v>
      </c>
      <c r="F89" s="1056">
        <v>214682568</v>
      </c>
      <c r="G89" s="1056">
        <v>214973616</v>
      </c>
      <c r="H89" s="1056">
        <v>214973616</v>
      </c>
      <c r="I89" s="1056">
        <v>223596368</v>
      </c>
      <c r="J89" s="1056">
        <v>214682568</v>
      </c>
      <c r="K89" s="1056">
        <v>223596368</v>
      </c>
      <c r="L89" s="1056">
        <v>214682568</v>
      </c>
      <c r="M89" s="1056">
        <v>214973616</v>
      </c>
      <c r="N89" s="1056">
        <v>214973616</v>
      </c>
    </row>
    <row r="90" spans="1:14">
      <c r="A90" s="1049" t="s">
        <v>6252</v>
      </c>
      <c r="B90" s="1031" t="s">
        <v>1571</v>
      </c>
      <c r="C90" s="1056">
        <v>6847119149</v>
      </c>
      <c r="D90" s="1056">
        <v>6722537911</v>
      </c>
      <c r="E90" s="1056">
        <v>6764871890</v>
      </c>
      <c r="F90" s="1056">
        <v>6640290652</v>
      </c>
      <c r="G90" s="1056">
        <v>6724372373</v>
      </c>
      <c r="H90" s="1056">
        <v>6642125114</v>
      </c>
      <c r="I90" s="1056">
        <v>6968945489</v>
      </c>
      <c r="J90" s="1056">
        <v>6844364251</v>
      </c>
      <c r="K90" s="1056">
        <v>6886698230</v>
      </c>
      <c r="L90" s="1056">
        <v>6762116992</v>
      </c>
      <c r="M90" s="1056">
        <v>6846198713</v>
      </c>
      <c r="N90" s="1056">
        <v>6763951454</v>
      </c>
    </row>
    <row r="91" spans="1:14">
      <c r="A91" s="1049" t="s">
        <v>6254</v>
      </c>
      <c r="B91" s="1031" t="s">
        <v>1572</v>
      </c>
      <c r="C91" s="1056">
        <v>1474227734</v>
      </c>
      <c r="D91" s="1056">
        <v>1450401141</v>
      </c>
      <c r="E91" s="1056">
        <v>1447376884</v>
      </c>
      <c r="F91" s="1056">
        <v>1423550291</v>
      </c>
      <c r="G91" s="1056">
        <v>1450623308</v>
      </c>
      <c r="H91" s="1056">
        <v>1423772458</v>
      </c>
      <c r="I91" s="1056">
        <v>1547001014</v>
      </c>
      <c r="J91" s="1056">
        <v>1523174421</v>
      </c>
      <c r="K91" s="1056">
        <v>1520150164</v>
      </c>
      <c r="L91" s="1056">
        <v>1496323571</v>
      </c>
      <c r="M91" s="1056">
        <v>1523396588</v>
      </c>
      <c r="N91" s="1056">
        <v>1496545738</v>
      </c>
    </row>
    <row r="92" spans="1:14">
      <c r="A92" s="1049" t="s">
        <v>233</v>
      </c>
      <c r="B92" s="1031" t="s">
        <v>2640</v>
      </c>
      <c r="C92" s="1056">
        <v>1001565001</v>
      </c>
      <c r="D92" s="1056">
        <v>957032791</v>
      </c>
      <c r="E92" s="1056">
        <v>974755724</v>
      </c>
      <c r="F92" s="1056">
        <v>930223514</v>
      </c>
      <c r="G92" s="1056">
        <v>958237508</v>
      </c>
      <c r="H92" s="1056">
        <v>931428231</v>
      </c>
      <c r="I92" s="1056">
        <v>1001565001</v>
      </c>
      <c r="J92" s="1056">
        <v>957032791</v>
      </c>
      <c r="K92" s="1056">
        <v>974755724</v>
      </c>
      <c r="L92" s="1056">
        <v>930223514</v>
      </c>
      <c r="M92" s="1056">
        <v>958237508</v>
      </c>
      <c r="N92" s="1056">
        <v>931428231</v>
      </c>
    </row>
    <row r="93" spans="1:14">
      <c r="A93" s="1049" t="s">
        <v>6195</v>
      </c>
      <c r="B93" s="1031" t="s">
        <v>5293</v>
      </c>
      <c r="C93" s="1056">
        <v>6061481444</v>
      </c>
      <c r="D93" s="1056">
        <v>5830270813</v>
      </c>
      <c r="E93" s="1056">
        <v>6061481444</v>
      </c>
      <c r="F93" s="1056">
        <v>5830270813</v>
      </c>
      <c r="G93" s="1056">
        <v>5833829759</v>
      </c>
      <c r="H93" s="1056">
        <v>5833829759</v>
      </c>
      <c r="I93" s="1056">
        <v>6061481444</v>
      </c>
      <c r="J93" s="1056">
        <v>5830270813</v>
      </c>
      <c r="K93" s="1056">
        <v>6061481444</v>
      </c>
      <c r="L93" s="1056">
        <v>5830270813</v>
      </c>
      <c r="M93" s="1056">
        <v>5833829759</v>
      </c>
      <c r="N93" s="1056">
        <v>5833829759</v>
      </c>
    </row>
    <row r="94" spans="1:14">
      <c r="A94" s="1049" t="s">
        <v>6256</v>
      </c>
      <c r="B94" s="1031" t="s">
        <v>1573</v>
      </c>
      <c r="C94" s="1056">
        <v>50722710</v>
      </c>
      <c r="D94" s="1056">
        <v>48539261</v>
      </c>
      <c r="E94" s="1056">
        <v>50722710</v>
      </c>
      <c r="F94" s="1056">
        <v>48539261</v>
      </c>
      <c r="G94" s="1056">
        <v>48545415</v>
      </c>
      <c r="H94" s="1056">
        <v>48545415</v>
      </c>
      <c r="I94" s="1056">
        <v>50722710</v>
      </c>
      <c r="J94" s="1056">
        <v>48539261</v>
      </c>
      <c r="K94" s="1056">
        <v>50722710</v>
      </c>
      <c r="L94" s="1056">
        <v>48539261</v>
      </c>
      <c r="M94" s="1056">
        <v>48545415</v>
      </c>
      <c r="N94" s="1056">
        <v>48545415</v>
      </c>
    </row>
    <row r="95" spans="1:14">
      <c r="A95" s="1049" t="s">
        <v>743</v>
      </c>
      <c r="B95" s="1031" t="s">
        <v>6119</v>
      </c>
      <c r="C95" s="1056">
        <v>7191429166</v>
      </c>
      <c r="D95" s="1056">
        <v>7079058538</v>
      </c>
      <c r="E95" s="1056">
        <v>7191429166</v>
      </c>
      <c r="F95" s="1056">
        <v>7079058538</v>
      </c>
      <c r="G95" s="1056">
        <v>7113902161</v>
      </c>
      <c r="H95" s="1056">
        <v>7113902161</v>
      </c>
      <c r="I95" s="1056">
        <v>7191429166</v>
      </c>
      <c r="J95" s="1056">
        <v>7079058538</v>
      </c>
      <c r="K95" s="1056">
        <v>7191429166</v>
      </c>
      <c r="L95" s="1056">
        <v>7079058538</v>
      </c>
      <c r="M95" s="1056">
        <v>7113902161</v>
      </c>
      <c r="N95" s="1056">
        <v>7113902161</v>
      </c>
    </row>
    <row r="96" spans="1:14">
      <c r="A96" s="1049" t="s">
        <v>960</v>
      </c>
      <c r="B96" s="1031" t="s">
        <v>2143</v>
      </c>
      <c r="C96" s="1056">
        <v>6233201489</v>
      </c>
      <c r="D96" s="1056">
        <v>6096701285</v>
      </c>
      <c r="E96" s="1056">
        <v>6233201489</v>
      </c>
      <c r="F96" s="1056">
        <v>6096701285</v>
      </c>
      <c r="G96" s="1056">
        <v>6134041750</v>
      </c>
      <c r="H96" s="1056">
        <v>6134041750</v>
      </c>
      <c r="I96" s="1056">
        <v>6233201489</v>
      </c>
      <c r="J96" s="1056">
        <v>6096701285</v>
      </c>
      <c r="K96" s="1056">
        <v>6233201489</v>
      </c>
      <c r="L96" s="1056">
        <v>6096701285</v>
      </c>
      <c r="M96" s="1056">
        <v>6134041750</v>
      </c>
      <c r="N96" s="1056">
        <v>6134041750</v>
      </c>
    </row>
    <row r="97" spans="1:14">
      <c r="A97" s="1049" t="s">
        <v>6991</v>
      </c>
      <c r="B97" s="1031" t="s">
        <v>107</v>
      </c>
      <c r="C97" s="1056">
        <v>73401732</v>
      </c>
      <c r="D97" s="1056">
        <v>72064270</v>
      </c>
      <c r="E97" s="1056">
        <v>73401732</v>
      </c>
      <c r="F97" s="1056">
        <v>72064270</v>
      </c>
      <c r="G97" s="1056">
        <v>72179270</v>
      </c>
      <c r="H97" s="1056">
        <v>72179270</v>
      </c>
      <c r="I97" s="1056">
        <v>73401732</v>
      </c>
      <c r="J97" s="1056">
        <v>72064270</v>
      </c>
      <c r="K97" s="1056">
        <v>73401732</v>
      </c>
      <c r="L97" s="1056">
        <v>72064270</v>
      </c>
      <c r="M97" s="1056">
        <v>72179270</v>
      </c>
      <c r="N97" s="1056">
        <v>72179270</v>
      </c>
    </row>
    <row r="98" spans="1:14">
      <c r="A98" s="1049" t="s">
        <v>6262</v>
      </c>
      <c r="B98" s="1031" t="s">
        <v>108</v>
      </c>
      <c r="C98" s="1056">
        <v>446601736</v>
      </c>
      <c r="D98" s="1056">
        <v>428291601</v>
      </c>
      <c r="E98" s="1056">
        <v>435147512</v>
      </c>
      <c r="F98" s="1056">
        <v>416837377</v>
      </c>
      <c r="G98" s="1056">
        <v>432555419</v>
      </c>
      <c r="H98" s="1056">
        <v>421101195</v>
      </c>
      <c r="I98" s="1056">
        <v>446601736</v>
      </c>
      <c r="J98" s="1056">
        <v>428291601</v>
      </c>
      <c r="K98" s="1056">
        <v>435147512</v>
      </c>
      <c r="L98" s="1056">
        <v>416837377</v>
      </c>
      <c r="M98" s="1056">
        <v>432555419</v>
      </c>
      <c r="N98" s="1056">
        <v>421101195</v>
      </c>
    </row>
    <row r="99" spans="1:14">
      <c r="A99" s="1049" t="s">
        <v>6264</v>
      </c>
      <c r="B99" s="1031" t="s">
        <v>3792</v>
      </c>
      <c r="C99" s="1056">
        <v>76305623</v>
      </c>
      <c r="D99" s="1056">
        <v>74957108</v>
      </c>
      <c r="E99" s="1056">
        <v>76305623</v>
      </c>
      <c r="F99" s="1056">
        <v>74957108</v>
      </c>
      <c r="G99" s="1056">
        <v>75103928</v>
      </c>
      <c r="H99" s="1056">
        <v>75103928</v>
      </c>
      <c r="I99" s="1056">
        <v>76305623</v>
      </c>
      <c r="J99" s="1056">
        <v>74957108</v>
      </c>
      <c r="K99" s="1056">
        <v>76305623</v>
      </c>
      <c r="L99" s="1056">
        <v>74957108</v>
      </c>
      <c r="M99" s="1056">
        <v>75103928</v>
      </c>
      <c r="N99" s="1056">
        <v>75103928</v>
      </c>
    </row>
    <row r="100" spans="1:14">
      <c r="A100" s="1049" t="s">
        <v>6266</v>
      </c>
      <c r="B100" s="1031" t="s">
        <v>3793</v>
      </c>
      <c r="C100" s="1056">
        <v>7442518</v>
      </c>
      <c r="D100" s="1056">
        <v>7432518</v>
      </c>
      <c r="E100" s="1056">
        <v>7442518</v>
      </c>
      <c r="F100" s="1056">
        <v>7432518</v>
      </c>
      <c r="G100" s="1056">
        <v>7432518</v>
      </c>
      <c r="H100" s="1056">
        <v>7432518</v>
      </c>
      <c r="I100" s="1056">
        <v>7442518</v>
      </c>
      <c r="J100" s="1056">
        <v>7432518</v>
      </c>
      <c r="K100" s="1056">
        <v>7442518</v>
      </c>
      <c r="L100" s="1056">
        <v>7432518</v>
      </c>
      <c r="M100" s="1056">
        <v>7432518</v>
      </c>
      <c r="N100" s="1056">
        <v>7432518</v>
      </c>
    </row>
    <row r="101" spans="1:14">
      <c r="A101" s="1049" t="s">
        <v>6268</v>
      </c>
      <c r="B101" s="1031" t="s">
        <v>3794</v>
      </c>
      <c r="C101" s="1056">
        <v>166906269</v>
      </c>
      <c r="D101" s="1056">
        <v>165230277</v>
      </c>
      <c r="E101" s="1056">
        <v>166906269</v>
      </c>
      <c r="F101" s="1056">
        <v>165230277</v>
      </c>
      <c r="G101" s="1056">
        <v>165251534</v>
      </c>
      <c r="H101" s="1056">
        <v>165251534</v>
      </c>
      <c r="I101" s="1056">
        <v>166906269</v>
      </c>
      <c r="J101" s="1056">
        <v>165230277</v>
      </c>
      <c r="K101" s="1056">
        <v>166906269</v>
      </c>
      <c r="L101" s="1056">
        <v>165230277</v>
      </c>
      <c r="M101" s="1056">
        <v>165251534</v>
      </c>
      <c r="N101" s="1056">
        <v>165251534</v>
      </c>
    </row>
    <row r="102" spans="1:14">
      <c r="A102" s="1049" t="s">
        <v>6270</v>
      </c>
      <c r="B102" s="1031" t="s">
        <v>3795</v>
      </c>
      <c r="C102" s="1056">
        <v>666927312</v>
      </c>
      <c r="D102" s="1056">
        <v>658983841</v>
      </c>
      <c r="E102" s="1056">
        <v>666927312</v>
      </c>
      <c r="F102" s="1056">
        <v>658983841</v>
      </c>
      <c r="G102" s="1056">
        <v>659654677</v>
      </c>
      <c r="H102" s="1056">
        <v>659654677</v>
      </c>
      <c r="I102" s="1056">
        <v>666927312</v>
      </c>
      <c r="J102" s="1056">
        <v>658983841</v>
      </c>
      <c r="K102" s="1056">
        <v>666927312</v>
      </c>
      <c r="L102" s="1056">
        <v>658983841</v>
      </c>
      <c r="M102" s="1056">
        <v>659654677</v>
      </c>
      <c r="N102" s="1056">
        <v>659654677</v>
      </c>
    </row>
    <row r="103" spans="1:14">
      <c r="A103" s="1049" t="s">
        <v>6272</v>
      </c>
      <c r="B103" s="1031" t="s">
        <v>3796</v>
      </c>
      <c r="C103" s="1056">
        <v>311968254</v>
      </c>
      <c r="D103" s="1056">
        <v>296661626</v>
      </c>
      <c r="E103" s="1056">
        <v>311968254</v>
      </c>
      <c r="F103" s="1056">
        <v>296661626</v>
      </c>
      <c r="G103" s="1056">
        <v>296661626</v>
      </c>
      <c r="H103" s="1056">
        <v>296661626</v>
      </c>
      <c r="I103" s="1056">
        <v>311968254</v>
      </c>
      <c r="J103" s="1056">
        <v>296661626</v>
      </c>
      <c r="K103" s="1056">
        <v>311968254</v>
      </c>
      <c r="L103" s="1056">
        <v>296661626</v>
      </c>
      <c r="M103" s="1056">
        <v>296661626</v>
      </c>
      <c r="N103" s="1056">
        <v>296661626</v>
      </c>
    </row>
    <row r="104" spans="1:14">
      <c r="A104" s="1049" t="s">
        <v>2291</v>
      </c>
      <c r="B104" s="1031" t="s">
        <v>3797</v>
      </c>
      <c r="C104" s="1056">
        <v>1263661496</v>
      </c>
      <c r="D104" s="1056">
        <v>1224400496</v>
      </c>
      <c r="E104" s="1056">
        <v>1263661496</v>
      </c>
      <c r="F104" s="1056">
        <v>1224400496</v>
      </c>
      <c r="G104" s="1056">
        <v>1231494542</v>
      </c>
      <c r="H104" s="1056">
        <v>1231494542</v>
      </c>
      <c r="I104" s="1056">
        <v>1263661496</v>
      </c>
      <c r="J104" s="1056">
        <v>1224400496</v>
      </c>
      <c r="K104" s="1056">
        <v>1263661496</v>
      </c>
      <c r="L104" s="1056">
        <v>1224400496</v>
      </c>
      <c r="M104" s="1056">
        <v>1231494542</v>
      </c>
      <c r="N104" s="1056">
        <v>1231494542</v>
      </c>
    </row>
    <row r="105" spans="1:14">
      <c r="A105" s="1049" t="s">
        <v>954</v>
      </c>
      <c r="B105" s="1031" t="s">
        <v>7659</v>
      </c>
      <c r="C105" s="1056">
        <v>43533568</v>
      </c>
      <c r="D105" s="1056">
        <v>40691650</v>
      </c>
      <c r="E105" s="1056">
        <v>43533568</v>
      </c>
      <c r="F105" s="1056">
        <v>40691650</v>
      </c>
      <c r="G105" s="1056">
        <v>40990891</v>
      </c>
      <c r="H105" s="1056">
        <v>40990891</v>
      </c>
      <c r="I105" s="1056">
        <v>43533568</v>
      </c>
      <c r="J105" s="1056">
        <v>40691650</v>
      </c>
      <c r="K105" s="1056">
        <v>43533568</v>
      </c>
      <c r="L105" s="1056">
        <v>40691650</v>
      </c>
      <c r="M105" s="1056">
        <v>40990891</v>
      </c>
      <c r="N105" s="1056">
        <v>40990891</v>
      </c>
    </row>
    <row r="106" spans="1:14">
      <c r="A106" s="1049" t="s">
        <v>6166</v>
      </c>
      <c r="B106" s="1031" t="s">
        <v>6071</v>
      </c>
      <c r="C106" s="1056">
        <v>156531169</v>
      </c>
      <c r="D106" s="1056">
        <v>150996077</v>
      </c>
      <c r="E106" s="1056">
        <v>156531169</v>
      </c>
      <c r="F106" s="1056">
        <v>150996077</v>
      </c>
      <c r="G106" s="1056">
        <v>151267638</v>
      </c>
      <c r="H106" s="1056">
        <v>151267638</v>
      </c>
      <c r="I106" s="1056">
        <v>156531169</v>
      </c>
      <c r="J106" s="1056">
        <v>150996077</v>
      </c>
      <c r="K106" s="1056">
        <v>156531169</v>
      </c>
      <c r="L106" s="1056">
        <v>150996077</v>
      </c>
      <c r="M106" s="1056">
        <v>151267638</v>
      </c>
      <c r="N106" s="1056">
        <v>151267638</v>
      </c>
    </row>
    <row r="107" spans="1:14">
      <c r="A107" s="1049" t="s">
        <v>864</v>
      </c>
      <c r="B107" s="1031" t="s">
        <v>2011</v>
      </c>
      <c r="C107" s="1056">
        <v>43925127</v>
      </c>
      <c r="D107" s="1056">
        <v>41964825</v>
      </c>
      <c r="E107" s="1056">
        <v>43925127</v>
      </c>
      <c r="F107" s="1056">
        <v>41964825</v>
      </c>
      <c r="G107" s="1056">
        <v>42024313</v>
      </c>
      <c r="H107" s="1056">
        <v>42024313</v>
      </c>
      <c r="I107" s="1056">
        <v>43925127</v>
      </c>
      <c r="J107" s="1056">
        <v>41964825</v>
      </c>
      <c r="K107" s="1056">
        <v>43925127</v>
      </c>
      <c r="L107" s="1056">
        <v>41964825</v>
      </c>
      <c r="M107" s="1056">
        <v>42024313</v>
      </c>
      <c r="N107" s="1056">
        <v>42024313</v>
      </c>
    </row>
    <row r="108" spans="1:14">
      <c r="A108" s="1049" t="s">
        <v>3085</v>
      </c>
      <c r="B108" s="1031" t="s">
        <v>2141</v>
      </c>
      <c r="C108" s="1056">
        <v>77614730</v>
      </c>
      <c r="D108" s="1056">
        <v>75315779</v>
      </c>
      <c r="E108" s="1056">
        <v>77614730</v>
      </c>
      <c r="F108" s="1056">
        <v>75315779</v>
      </c>
      <c r="G108" s="1056">
        <v>75563001</v>
      </c>
      <c r="H108" s="1056">
        <v>75563001</v>
      </c>
      <c r="I108" s="1056">
        <v>77614730</v>
      </c>
      <c r="J108" s="1056">
        <v>75315779</v>
      </c>
      <c r="K108" s="1056">
        <v>77614730</v>
      </c>
      <c r="L108" s="1056">
        <v>75315779</v>
      </c>
      <c r="M108" s="1056">
        <v>75563001</v>
      </c>
      <c r="N108" s="1056">
        <v>75563001</v>
      </c>
    </row>
    <row r="109" spans="1:14">
      <c r="A109" s="1049" t="s">
        <v>1518</v>
      </c>
      <c r="B109" s="1031" t="s">
        <v>3012</v>
      </c>
      <c r="C109" s="1056">
        <v>271493325</v>
      </c>
      <c r="D109" s="1056">
        <v>258828828</v>
      </c>
      <c r="E109" s="1056">
        <v>271493325</v>
      </c>
      <c r="F109" s="1056">
        <v>258828828</v>
      </c>
      <c r="G109" s="1056">
        <v>259355588</v>
      </c>
      <c r="H109" s="1056">
        <v>259355588</v>
      </c>
      <c r="I109" s="1056">
        <v>271493325</v>
      </c>
      <c r="J109" s="1056">
        <v>258828828</v>
      </c>
      <c r="K109" s="1056">
        <v>271493325</v>
      </c>
      <c r="L109" s="1056">
        <v>258828828</v>
      </c>
      <c r="M109" s="1056">
        <v>259355588</v>
      </c>
      <c r="N109" s="1056">
        <v>259355588</v>
      </c>
    </row>
    <row r="110" spans="1:14">
      <c r="A110" s="1049" t="s">
        <v>2293</v>
      </c>
      <c r="B110" s="1031" t="s">
        <v>3798</v>
      </c>
      <c r="C110" s="1056">
        <v>943991876</v>
      </c>
      <c r="D110" s="1056">
        <v>919342299</v>
      </c>
      <c r="E110" s="1056">
        <v>943991876</v>
      </c>
      <c r="F110" s="1056">
        <v>919342299</v>
      </c>
      <c r="G110" s="1056">
        <v>921712956</v>
      </c>
      <c r="H110" s="1056">
        <v>921712956</v>
      </c>
      <c r="I110" s="1056">
        <v>943991876</v>
      </c>
      <c r="J110" s="1056">
        <v>919342299</v>
      </c>
      <c r="K110" s="1056">
        <v>943991876</v>
      </c>
      <c r="L110" s="1056">
        <v>919342299</v>
      </c>
      <c r="M110" s="1056">
        <v>921712956</v>
      </c>
      <c r="N110" s="1056">
        <v>921712956</v>
      </c>
    </row>
    <row r="111" spans="1:14">
      <c r="A111" s="1049" t="s">
        <v>2295</v>
      </c>
      <c r="B111" s="1031" t="s">
        <v>3799</v>
      </c>
      <c r="C111" s="1056">
        <v>217573435</v>
      </c>
      <c r="D111" s="1056">
        <v>205852625</v>
      </c>
      <c r="E111" s="1056">
        <v>217573435</v>
      </c>
      <c r="F111" s="1056">
        <v>205852625</v>
      </c>
      <c r="G111" s="1056">
        <v>206587740</v>
      </c>
      <c r="H111" s="1056">
        <v>206587740</v>
      </c>
      <c r="I111" s="1056">
        <v>217573435</v>
      </c>
      <c r="J111" s="1056">
        <v>205852625</v>
      </c>
      <c r="K111" s="1056">
        <v>217573435</v>
      </c>
      <c r="L111" s="1056">
        <v>205852625</v>
      </c>
      <c r="M111" s="1056">
        <v>206587740</v>
      </c>
      <c r="N111" s="1056">
        <v>206587740</v>
      </c>
    </row>
    <row r="112" spans="1:14">
      <c r="A112" s="1049" t="s">
        <v>2297</v>
      </c>
      <c r="B112" s="1031" t="s">
        <v>3800</v>
      </c>
      <c r="C112" s="1056">
        <v>150981875</v>
      </c>
      <c r="D112" s="1056">
        <v>143985528</v>
      </c>
      <c r="E112" s="1056">
        <v>150981875</v>
      </c>
      <c r="F112" s="1056">
        <v>143985528</v>
      </c>
      <c r="G112" s="1056">
        <v>144369324</v>
      </c>
      <c r="H112" s="1056">
        <v>144369324</v>
      </c>
      <c r="I112" s="1056">
        <v>150981875</v>
      </c>
      <c r="J112" s="1056">
        <v>143985528</v>
      </c>
      <c r="K112" s="1056">
        <v>150981875</v>
      </c>
      <c r="L112" s="1056">
        <v>143985528</v>
      </c>
      <c r="M112" s="1056">
        <v>144369324</v>
      </c>
      <c r="N112" s="1056">
        <v>144369324</v>
      </c>
    </row>
    <row r="113" spans="1:14">
      <c r="A113" s="1049" t="s">
        <v>978</v>
      </c>
      <c r="B113" s="1031" t="s">
        <v>4670</v>
      </c>
      <c r="C113" s="1056">
        <v>1826700546</v>
      </c>
      <c r="D113" s="1056">
        <v>1770756886</v>
      </c>
      <c r="E113" s="1056">
        <v>1826700546</v>
      </c>
      <c r="F113" s="1056">
        <v>1770756886</v>
      </c>
      <c r="G113" s="1056">
        <v>1793693837</v>
      </c>
      <c r="H113" s="1056">
        <v>1793693837</v>
      </c>
      <c r="I113" s="1056">
        <v>1826700546</v>
      </c>
      <c r="J113" s="1056">
        <v>1770756886</v>
      </c>
      <c r="K113" s="1056">
        <v>1826700546</v>
      </c>
      <c r="L113" s="1056">
        <v>1770756886</v>
      </c>
      <c r="M113" s="1056">
        <v>1793693837</v>
      </c>
      <c r="N113" s="1056">
        <v>1793693837</v>
      </c>
    </row>
    <row r="114" spans="1:14">
      <c r="A114" s="1049" t="s">
        <v>3003</v>
      </c>
      <c r="B114" s="1031" t="s">
        <v>6063</v>
      </c>
      <c r="C114" s="1056">
        <v>3023601137</v>
      </c>
      <c r="D114" s="1056">
        <v>2966322268</v>
      </c>
      <c r="E114" s="1056">
        <v>3023601137</v>
      </c>
      <c r="F114" s="1056">
        <v>2966322268</v>
      </c>
      <c r="G114" s="1056">
        <v>2999819300</v>
      </c>
      <c r="H114" s="1056">
        <v>2999819300</v>
      </c>
      <c r="I114" s="1056">
        <v>3023601137</v>
      </c>
      <c r="J114" s="1056">
        <v>2966322268</v>
      </c>
      <c r="K114" s="1056">
        <v>3023601137</v>
      </c>
      <c r="L114" s="1056">
        <v>2966322268</v>
      </c>
      <c r="M114" s="1056">
        <v>2999819300</v>
      </c>
      <c r="N114" s="1056">
        <v>2999819300</v>
      </c>
    </row>
    <row r="115" spans="1:14">
      <c r="A115" s="1049" t="s">
        <v>2993</v>
      </c>
      <c r="B115" s="1031" t="s">
        <v>196</v>
      </c>
      <c r="C115" s="1056">
        <v>1054320722</v>
      </c>
      <c r="D115" s="1056">
        <v>1013600655</v>
      </c>
      <c r="E115" s="1056">
        <v>1054320722</v>
      </c>
      <c r="F115" s="1056">
        <v>1013600655</v>
      </c>
      <c r="G115" s="1056">
        <v>1022055907</v>
      </c>
      <c r="H115" s="1056">
        <v>1022055907</v>
      </c>
      <c r="I115" s="1056">
        <v>1054320722</v>
      </c>
      <c r="J115" s="1056">
        <v>1013600655</v>
      </c>
      <c r="K115" s="1056">
        <v>1054320722</v>
      </c>
      <c r="L115" s="1056">
        <v>1013600655</v>
      </c>
      <c r="M115" s="1056">
        <v>1022055907</v>
      </c>
      <c r="N115" s="1056">
        <v>1022055907</v>
      </c>
    </row>
    <row r="116" spans="1:14">
      <c r="A116" s="1049" t="s">
        <v>518</v>
      </c>
      <c r="B116" s="1031" t="s">
        <v>6056</v>
      </c>
      <c r="C116" s="1056">
        <v>499022968</v>
      </c>
      <c r="D116" s="1056">
        <v>486632975</v>
      </c>
      <c r="E116" s="1056">
        <v>499022968</v>
      </c>
      <c r="F116" s="1056">
        <v>486632975</v>
      </c>
      <c r="G116" s="1056">
        <v>489165919</v>
      </c>
      <c r="H116" s="1056">
        <v>489165919</v>
      </c>
      <c r="I116" s="1056">
        <v>499022968</v>
      </c>
      <c r="J116" s="1056">
        <v>486632975</v>
      </c>
      <c r="K116" s="1056">
        <v>499022968</v>
      </c>
      <c r="L116" s="1056">
        <v>486632975</v>
      </c>
      <c r="M116" s="1056">
        <v>489165919</v>
      </c>
      <c r="N116" s="1056">
        <v>489165919</v>
      </c>
    </row>
    <row r="117" spans="1:14">
      <c r="A117" s="1049" t="s">
        <v>2299</v>
      </c>
      <c r="B117" s="1031" t="s">
        <v>3801</v>
      </c>
      <c r="C117" s="1056">
        <v>171214490</v>
      </c>
      <c r="D117" s="1056">
        <v>168936641</v>
      </c>
      <c r="E117" s="1056">
        <v>171214490</v>
      </c>
      <c r="F117" s="1056">
        <v>168936641</v>
      </c>
      <c r="G117" s="1056">
        <v>169224600</v>
      </c>
      <c r="H117" s="1056">
        <v>169224600</v>
      </c>
      <c r="I117" s="1056">
        <v>171214490</v>
      </c>
      <c r="J117" s="1056">
        <v>168936641</v>
      </c>
      <c r="K117" s="1056">
        <v>171214490</v>
      </c>
      <c r="L117" s="1056">
        <v>168936641</v>
      </c>
      <c r="M117" s="1056">
        <v>169224600</v>
      </c>
      <c r="N117" s="1056">
        <v>169224600</v>
      </c>
    </row>
    <row r="118" spans="1:14">
      <c r="A118" s="1049" t="s">
        <v>3971</v>
      </c>
      <c r="B118" s="1031" t="s">
        <v>4676</v>
      </c>
      <c r="C118" s="1056">
        <v>3693252285</v>
      </c>
      <c r="D118" s="1056">
        <v>3649314169</v>
      </c>
      <c r="E118" s="1056">
        <v>3642999145</v>
      </c>
      <c r="F118" s="1056">
        <v>3599061029</v>
      </c>
      <c r="G118" s="1056">
        <v>3652003025</v>
      </c>
      <c r="H118" s="1056">
        <v>3601749885</v>
      </c>
      <c r="I118" s="1056">
        <v>3792652285</v>
      </c>
      <c r="J118" s="1056">
        <v>3748714169</v>
      </c>
      <c r="K118" s="1056">
        <v>3742399145</v>
      </c>
      <c r="L118" s="1056">
        <v>3698461029</v>
      </c>
      <c r="M118" s="1056">
        <v>3751403025</v>
      </c>
      <c r="N118" s="1056">
        <v>3701149885</v>
      </c>
    </row>
    <row r="119" spans="1:14">
      <c r="A119" s="1049" t="s">
        <v>2161</v>
      </c>
      <c r="B119" s="1031" t="s">
        <v>3803</v>
      </c>
      <c r="C119" s="1056">
        <v>133870288</v>
      </c>
      <c r="D119" s="1056">
        <v>126961944</v>
      </c>
      <c r="E119" s="1056">
        <v>133870288</v>
      </c>
      <c r="F119" s="1056">
        <v>126961944</v>
      </c>
      <c r="G119" s="1056">
        <v>127966088</v>
      </c>
      <c r="H119" s="1056">
        <v>127966088</v>
      </c>
      <c r="I119" s="1056">
        <v>133870288</v>
      </c>
      <c r="J119" s="1056">
        <v>126961944</v>
      </c>
      <c r="K119" s="1056">
        <v>133870288</v>
      </c>
      <c r="L119" s="1056">
        <v>126961944</v>
      </c>
      <c r="M119" s="1056">
        <v>127966088</v>
      </c>
      <c r="N119" s="1056">
        <v>127966088</v>
      </c>
    </row>
    <row r="120" spans="1:14">
      <c r="A120" s="1049" t="s">
        <v>3086</v>
      </c>
      <c r="B120" s="1031" t="s">
        <v>4679</v>
      </c>
      <c r="C120" s="1056">
        <v>319420290</v>
      </c>
      <c r="D120" s="1056">
        <v>300590269</v>
      </c>
      <c r="E120" s="1056">
        <v>319420290</v>
      </c>
      <c r="F120" s="1056">
        <v>300590269</v>
      </c>
      <c r="G120" s="1056">
        <v>304504465</v>
      </c>
      <c r="H120" s="1056">
        <v>304504465</v>
      </c>
      <c r="I120" s="1056">
        <v>572822080</v>
      </c>
      <c r="J120" s="1056">
        <v>553992059</v>
      </c>
      <c r="K120" s="1056">
        <v>572822080</v>
      </c>
      <c r="L120" s="1056">
        <v>553992059</v>
      </c>
      <c r="M120" s="1056">
        <v>557906255</v>
      </c>
      <c r="N120" s="1056">
        <v>557906255</v>
      </c>
    </row>
    <row r="121" spans="1:14">
      <c r="A121" s="1049" t="s">
        <v>2605</v>
      </c>
      <c r="B121" s="1031" t="s">
        <v>3804</v>
      </c>
      <c r="C121" s="1056">
        <v>160227796</v>
      </c>
      <c r="D121" s="1056">
        <v>154680836</v>
      </c>
      <c r="E121" s="1056">
        <v>160227796</v>
      </c>
      <c r="F121" s="1056">
        <v>154680836</v>
      </c>
      <c r="G121" s="1056">
        <v>155050991</v>
      </c>
      <c r="H121" s="1056">
        <v>155050991</v>
      </c>
      <c r="I121" s="1056">
        <v>160227796</v>
      </c>
      <c r="J121" s="1056">
        <v>154680836</v>
      </c>
      <c r="K121" s="1056">
        <v>160227796</v>
      </c>
      <c r="L121" s="1056">
        <v>154680836</v>
      </c>
      <c r="M121" s="1056">
        <v>155050991</v>
      </c>
      <c r="N121" s="1056">
        <v>155050991</v>
      </c>
    </row>
    <row r="122" spans="1:14">
      <c r="A122" s="1049" t="s">
        <v>4181</v>
      </c>
      <c r="B122" s="1031" t="s">
        <v>3805</v>
      </c>
      <c r="C122" s="1056">
        <v>221379388</v>
      </c>
      <c r="D122" s="1056">
        <v>215474586</v>
      </c>
      <c r="E122" s="1056">
        <v>221379388</v>
      </c>
      <c r="F122" s="1056">
        <v>215474586</v>
      </c>
      <c r="G122" s="1056">
        <v>215789447</v>
      </c>
      <c r="H122" s="1056">
        <v>215789447</v>
      </c>
      <c r="I122" s="1056">
        <v>221379388</v>
      </c>
      <c r="J122" s="1056">
        <v>215474586</v>
      </c>
      <c r="K122" s="1056">
        <v>221379388</v>
      </c>
      <c r="L122" s="1056">
        <v>215474586</v>
      </c>
      <c r="M122" s="1056">
        <v>215789447</v>
      </c>
      <c r="N122" s="1056">
        <v>215789447</v>
      </c>
    </row>
    <row r="123" spans="1:14">
      <c r="A123" s="1049" t="s">
        <v>959</v>
      </c>
      <c r="B123" s="1031" t="s">
        <v>2142</v>
      </c>
      <c r="C123" s="1056">
        <v>5401181977</v>
      </c>
      <c r="D123" s="1056">
        <v>5161437289</v>
      </c>
      <c r="E123" s="1056">
        <v>5401181977</v>
      </c>
      <c r="F123" s="1056">
        <v>5161437289</v>
      </c>
      <c r="G123" s="1056">
        <v>5188691131</v>
      </c>
      <c r="H123" s="1056">
        <v>5188691131</v>
      </c>
      <c r="I123" s="1056">
        <v>5401181977</v>
      </c>
      <c r="J123" s="1056">
        <v>5161437289</v>
      </c>
      <c r="K123" s="1056">
        <v>5401181977</v>
      </c>
      <c r="L123" s="1056">
        <v>5161437289</v>
      </c>
      <c r="M123" s="1056">
        <v>5188691131</v>
      </c>
      <c r="N123" s="1056">
        <v>5188691131</v>
      </c>
    </row>
    <row r="124" spans="1:14">
      <c r="A124" s="1049" t="s">
        <v>1861</v>
      </c>
      <c r="B124" s="1031" t="s">
        <v>4684</v>
      </c>
      <c r="C124" s="1056">
        <v>3341392617</v>
      </c>
      <c r="D124" s="1056">
        <v>3214832422</v>
      </c>
      <c r="E124" s="1056">
        <v>3341392617</v>
      </c>
      <c r="F124" s="1056">
        <v>3214832422</v>
      </c>
      <c r="G124" s="1056">
        <v>3235132504</v>
      </c>
      <c r="H124" s="1056">
        <v>3235132504</v>
      </c>
      <c r="I124" s="1056">
        <v>3341392617</v>
      </c>
      <c r="J124" s="1056">
        <v>3214832422</v>
      </c>
      <c r="K124" s="1056">
        <v>3341392617</v>
      </c>
      <c r="L124" s="1056">
        <v>3214832422</v>
      </c>
      <c r="M124" s="1056">
        <v>3235132504</v>
      </c>
      <c r="N124" s="1056">
        <v>3235132504</v>
      </c>
    </row>
    <row r="125" spans="1:14">
      <c r="A125" s="1049" t="s">
        <v>6037</v>
      </c>
      <c r="B125" s="1031" t="s">
        <v>2152</v>
      </c>
      <c r="C125" s="1056">
        <v>372765379</v>
      </c>
      <c r="D125" s="1056">
        <v>352427098</v>
      </c>
      <c r="E125" s="1056">
        <v>372765379</v>
      </c>
      <c r="F125" s="1056">
        <v>352427098</v>
      </c>
      <c r="G125" s="1056">
        <v>353745241</v>
      </c>
      <c r="H125" s="1056">
        <v>353745241</v>
      </c>
      <c r="I125" s="1056">
        <v>372765379</v>
      </c>
      <c r="J125" s="1056">
        <v>352427098</v>
      </c>
      <c r="K125" s="1056">
        <v>372765379</v>
      </c>
      <c r="L125" s="1056">
        <v>352427098</v>
      </c>
      <c r="M125" s="1056">
        <v>353745241</v>
      </c>
      <c r="N125" s="1056">
        <v>353745241</v>
      </c>
    </row>
    <row r="126" spans="1:14">
      <c r="A126" s="1049" t="s">
        <v>2995</v>
      </c>
      <c r="B126" s="1031" t="s">
        <v>4687</v>
      </c>
      <c r="C126" s="1056">
        <v>1479668865</v>
      </c>
      <c r="D126" s="1056">
        <v>1419091232</v>
      </c>
      <c r="E126" s="1056">
        <v>1479668865</v>
      </c>
      <c r="F126" s="1056">
        <v>1419091232</v>
      </c>
      <c r="G126" s="1056">
        <v>1424926778</v>
      </c>
      <c r="H126" s="1056">
        <v>1424926778</v>
      </c>
      <c r="I126" s="1056">
        <v>1479668865</v>
      </c>
      <c r="J126" s="1056">
        <v>1419091232</v>
      </c>
      <c r="K126" s="1056">
        <v>1479668865</v>
      </c>
      <c r="L126" s="1056">
        <v>1419091232</v>
      </c>
      <c r="M126" s="1056">
        <v>1424926778</v>
      </c>
      <c r="N126" s="1056">
        <v>1424926778</v>
      </c>
    </row>
    <row r="127" spans="1:14">
      <c r="A127" s="1049" t="s">
        <v>7643</v>
      </c>
      <c r="B127" s="1031" t="s">
        <v>3806</v>
      </c>
      <c r="C127" s="1056">
        <v>3532509811</v>
      </c>
      <c r="D127" s="1056">
        <v>3508146401</v>
      </c>
      <c r="E127" s="1056">
        <v>3532509811</v>
      </c>
      <c r="F127" s="1056">
        <v>3508146401</v>
      </c>
      <c r="G127" s="1056">
        <v>3516294998</v>
      </c>
      <c r="H127" s="1056">
        <v>3516294998</v>
      </c>
      <c r="I127" s="1056">
        <v>3532509811</v>
      </c>
      <c r="J127" s="1056">
        <v>3508146401</v>
      </c>
      <c r="K127" s="1056">
        <v>3532509811</v>
      </c>
      <c r="L127" s="1056">
        <v>3508146401</v>
      </c>
      <c r="M127" s="1056">
        <v>3516294998</v>
      </c>
      <c r="N127" s="1056">
        <v>3516294998</v>
      </c>
    </row>
    <row r="128" spans="1:14">
      <c r="A128" s="1049" t="s">
        <v>3087</v>
      </c>
      <c r="B128" s="1031" t="s">
        <v>361</v>
      </c>
      <c r="C128" s="1056">
        <v>250255798</v>
      </c>
      <c r="D128" s="1056">
        <v>237668997</v>
      </c>
      <c r="E128" s="1056">
        <v>250255798</v>
      </c>
      <c r="F128" s="1056">
        <v>237668997</v>
      </c>
      <c r="G128" s="1056">
        <v>238837575</v>
      </c>
      <c r="H128" s="1056">
        <v>238837575</v>
      </c>
      <c r="I128" s="1056">
        <v>290276448</v>
      </c>
      <c r="J128" s="1056">
        <v>277689647</v>
      </c>
      <c r="K128" s="1056">
        <v>290276448</v>
      </c>
      <c r="L128" s="1056">
        <v>277689647</v>
      </c>
      <c r="M128" s="1056">
        <v>278858225</v>
      </c>
      <c r="N128" s="1056">
        <v>278858225</v>
      </c>
    </row>
    <row r="129" spans="1:14">
      <c r="A129" s="1049" t="s">
        <v>2387</v>
      </c>
      <c r="B129" s="1031" t="s">
        <v>4691</v>
      </c>
      <c r="C129" s="1056">
        <v>883848867</v>
      </c>
      <c r="D129" s="1056">
        <v>831782597</v>
      </c>
      <c r="E129" s="1056">
        <v>883848867</v>
      </c>
      <c r="F129" s="1056">
        <v>831782597</v>
      </c>
      <c r="G129" s="1056">
        <v>833988437</v>
      </c>
      <c r="H129" s="1056">
        <v>833988437</v>
      </c>
      <c r="I129" s="1056">
        <v>883848867</v>
      </c>
      <c r="J129" s="1056">
        <v>831782597</v>
      </c>
      <c r="K129" s="1056">
        <v>883848867</v>
      </c>
      <c r="L129" s="1056">
        <v>831782597</v>
      </c>
      <c r="M129" s="1056">
        <v>833988437</v>
      </c>
      <c r="N129" s="1056">
        <v>833988437</v>
      </c>
    </row>
    <row r="130" spans="1:14">
      <c r="A130" s="1049" t="s">
        <v>3088</v>
      </c>
      <c r="B130" s="1031" t="s">
        <v>1459</v>
      </c>
      <c r="C130" s="1056">
        <v>41586752</v>
      </c>
      <c r="D130" s="1056">
        <v>39185018</v>
      </c>
      <c r="E130" s="1056">
        <v>41586752</v>
      </c>
      <c r="F130" s="1056">
        <v>39185018</v>
      </c>
      <c r="G130" s="1056">
        <v>39424159</v>
      </c>
      <c r="H130" s="1056">
        <v>39424159</v>
      </c>
      <c r="I130" s="1056">
        <v>41586752</v>
      </c>
      <c r="J130" s="1056">
        <v>39185018</v>
      </c>
      <c r="K130" s="1056">
        <v>41586752</v>
      </c>
      <c r="L130" s="1056">
        <v>39185018</v>
      </c>
      <c r="M130" s="1056">
        <v>39424159</v>
      </c>
      <c r="N130" s="1056">
        <v>39424159</v>
      </c>
    </row>
    <row r="131" spans="1:14">
      <c r="A131" s="1049" t="s">
        <v>2393</v>
      </c>
      <c r="B131" s="1031" t="s">
        <v>1460</v>
      </c>
      <c r="C131" s="1056">
        <v>76533148</v>
      </c>
      <c r="D131" s="1056">
        <v>70546051</v>
      </c>
      <c r="E131" s="1056">
        <v>76533148</v>
      </c>
      <c r="F131" s="1056">
        <v>70546051</v>
      </c>
      <c r="G131" s="1056">
        <v>71002398</v>
      </c>
      <c r="H131" s="1056">
        <v>71002398</v>
      </c>
      <c r="I131" s="1056">
        <v>76533148</v>
      </c>
      <c r="J131" s="1056">
        <v>70546051</v>
      </c>
      <c r="K131" s="1056">
        <v>76533148</v>
      </c>
      <c r="L131" s="1056">
        <v>70546051</v>
      </c>
      <c r="M131" s="1056">
        <v>71002398</v>
      </c>
      <c r="N131" s="1056">
        <v>71002398</v>
      </c>
    </row>
    <row r="132" spans="1:14">
      <c r="A132" s="1049" t="s">
        <v>7647</v>
      </c>
      <c r="B132" s="1031" t="s">
        <v>3807</v>
      </c>
      <c r="C132" s="1056">
        <v>723511437</v>
      </c>
      <c r="D132" s="1056">
        <v>698159297</v>
      </c>
      <c r="E132" s="1056">
        <v>723511437</v>
      </c>
      <c r="F132" s="1056">
        <v>698159297</v>
      </c>
      <c r="G132" s="1056">
        <v>703260543</v>
      </c>
      <c r="H132" s="1056">
        <v>703260543</v>
      </c>
      <c r="I132" s="1056">
        <v>723511437</v>
      </c>
      <c r="J132" s="1056">
        <v>698159297</v>
      </c>
      <c r="K132" s="1056">
        <v>723511437</v>
      </c>
      <c r="L132" s="1056">
        <v>698159297</v>
      </c>
      <c r="M132" s="1056">
        <v>703260543</v>
      </c>
      <c r="N132" s="1056">
        <v>703260543</v>
      </c>
    </row>
    <row r="133" spans="1:14">
      <c r="A133" s="1049" t="s">
        <v>7649</v>
      </c>
      <c r="B133" s="1031" t="s">
        <v>3808</v>
      </c>
      <c r="C133" s="1056">
        <v>87332182</v>
      </c>
      <c r="D133" s="1056">
        <v>85352468</v>
      </c>
      <c r="E133" s="1056">
        <v>87332182</v>
      </c>
      <c r="F133" s="1056">
        <v>85352468</v>
      </c>
      <c r="G133" s="1056">
        <v>85652700</v>
      </c>
      <c r="H133" s="1056">
        <v>85652700</v>
      </c>
      <c r="I133" s="1056">
        <v>87332182</v>
      </c>
      <c r="J133" s="1056">
        <v>85352468</v>
      </c>
      <c r="K133" s="1056">
        <v>87332182</v>
      </c>
      <c r="L133" s="1056">
        <v>85352468</v>
      </c>
      <c r="M133" s="1056">
        <v>85652700</v>
      </c>
      <c r="N133" s="1056">
        <v>85652700</v>
      </c>
    </row>
    <row r="134" spans="1:14">
      <c r="A134" s="1049" t="s">
        <v>1786</v>
      </c>
      <c r="B134" s="1031" t="s">
        <v>3809</v>
      </c>
      <c r="C134" s="1056">
        <v>552486840</v>
      </c>
      <c r="D134" s="1056">
        <v>543798490</v>
      </c>
      <c r="E134" s="1056">
        <v>543147235</v>
      </c>
      <c r="F134" s="1056">
        <v>534458885</v>
      </c>
      <c r="G134" s="1056">
        <v>543798490</v>
      </c>
      <c r="H134" s="1056">
        <v>534458885</v>
      </c>
      <c r="I134" s="1056">
        <v>712116360</v>
      </c>
      <c r="J134" s="1056">
        <v>703428010</v>
      </c>
      <c r="K134" s="1056">
        <v>702776755</v>
      </c>
      <c r="L134" s="1056">
        <v>694088405</v>
      </c>
      <c r="M134" s="1056">
        <v>703428010</v>
      </c>
      <c r="N134" s="1056">
        <v>694088405</v>
      </c>
    </row>
    <row r="135" spans="1:14">
      <c r="A135" s="1049" t="s">
        <v>1788</v>
      </c>
      <c r="B135" s="1031" t="s">
        <v>6208</v>
      </c>
      <c r="C135" s="1056">
        <v>398614210</v>
      </c>
      <c r="D135" s="1056">
        <v>394682830</v>
      </c>
      <c r="E135" s="1056">
        <v>395896291</v>
      </c>
      <c r="F135" s="1056">
        <v>391964911</v>
      </c>
      <c r="G135" s="1056">
        <v>395043170</v>
      </c>
      <c r="H135" s="1056">
        <v>392325251</v>
      </c>
      <c r="I135" s="1056">
        <v>398614210</v>
      </c>
      <c r="J135" s="1056">
        <v>394682830</v>
      </c>
      <c r="K135" s="1056">
        <v>395896291</v>
      </c>
      <c r="L135" s="1056">
        <v>391964911</v>
      </c>
      <c r="M135" s="1056">
        <v>395043170</v>
      </c>
      <c r="N135" s="1056">
        <v>392325251</v>
      </c>
    </row>
    <row r="136" spans="1:14">
      <c r="A136" s="1049" t="s">
        <v>1790</v>
      </c>
      <c r="B136" s="1031" t="s">
        <v>6209</v>
      </c>
      <c r="C136" s="1056">
        <v>540053300</v>
      </c>
      <c r="D136" s="1056">
        <v>513558682</v>
      </c>
      <c r="E136" s="1056">
        <v>540053300</v>
      </c>
      <c r="F136" s="1056">
        <v>513558682</v>
      </c>
      <c r="G136" s="1056">
        <v>519527876</v>
      </c>
      <c r="H136" s="1056">
        <v>519527876</v>
      </c>
      <c r="I136" s="1056">
        <v>540053300</v>
      </c>
      <c r="J136" s="1056">
        <v>513558682</v>
      </c>
      <c r="K136" s="1056">
        <v>540053300</v>
      </c>
      <c r="L136" s="1056">
        <v>513558682</v>
      </c>
      <c r="M136" s="1056">
        <v>519527876</v>
      </c>
      <c r="N136" s="1056">
        <v>519527876</v>
      </c>
    </row>
    <row r="137" spans="1:14">
      <c r="A137" s="1049" t="s">
        <v>1792</v>
      </c>
      <c r="B137" s="1031" t="s">
        <v>6210</v>
      </c>
      <c r="C137" s="1056">
        <v>57458012</v>
      </c>
      <c r="D137" s="1056">
        <v>54187011</v>
      </c>
      <c r="E137" s="1056">
        <v>57458012</v>
      </c>
      <c r="F137" s="1056">
        <v>54187011</v>
      </c>
      <c r="G137" s="1056">
        <v>54895045</v>
      </c>
      <c r="H137" s="1056">
        <v>54895045</v>
      </c>
      <c r="I137" s="1056">
        <v>57458012</v>
      </c>
      <c r="J137" s="1056">
        <v>54187011</v>
      </c>
      <c r="K137" s="1056">
        <v>57458012</v>
      </c>
      <c r="L137" s="1056">
        <v>54187011</v>
      </c>
      <c r="M137" s="1056">
        <v>54895045</v>
      </c>
      <c r="N137" s="1056">
        <v>54895045</v>
      </c>
    </row>
    <row r="138" spans="1:14">
      <c r="A138" s="1049" t="s">
        <v>2982</v>
      </c>
      <c r="B138" s="1031" t="s">
        <v>6211</v>
      </c>
      <c r="C138" s="1056">
        <v>324745298</v>
      </c>
      <c r="D138" s="1056">
        <v>313410137</v>
      </c>
      <c r="E138" s="1056">
        <v>324745298</v>
      </c>
      <c r="F138" s="1056">
        <v>313410137</v>
      </c>
      <c r="G138" s="1056">
        <v>314596683</v>
      </c>
      <c r="H138" s="1056">
        <v>314596683</v>
      </c>
      <c r="I138" s="1056">
        <v>324745298</v>
      </c>
      <c r="J138" s="1056">
        <v>313410137</v>
      </c>
      <c r="K138" s="1056">
        <v>324745298</v>
      </c>
      <c r="L138" s="1056">
        <v>313410137</v>
      </c>
      <c r="M138" s="1056">
        <v>314596683</v>
      </c>
      <c r="N138" s="1056">
        <v>314596683</v>
      </c>
    </row>
    <row r="139" spans="1:14">
      <c r="A139" s="1049" t="s">
        <v>2984</v>
      </c>
      <c r="B139" s="1031" t="s">
        <v>4702</v>
      </c>
      <c r="C139" s="1056">
        <v>222164366</v>
      </c>
      <c r="D139" s="1056">
        <v>207970963</v>
      </c>
      <c r="E139" s="1056">
        <v>222164366</v>
      </c>
      <c r="F139" s="1056">
        <v>207970963</v>
      </c>
      <c r="G139" s="1056">
        <v>208925664</v>
      </c>
      <c r="H139" s="1056">
        <v>208925664</v>
      </c>
      <c r="I139" s="1056">
        <v>222164366</v>
      </c>
      <c r="J139" s="1056">
        <v>207970963</v>
      </c>
      <c r="K139" s="1056">
        <v>222164366</v>
      </c>
      <c r="L139" s="1056">
        <v>207970963</v>
      </c>
      <c r="M139" s="1056">
        <v>208925664</v>
      </c>
      <c r="N139" s="1056">
        <v>208925664</v>
      </c>
    </row>
    <row r="140" spans="1:14">
      <c r="A140" s="1049" t="s">
        <v>965</v>
      </c>
      <c r="B140" s="1031" t="s">
        <v>6077</v>
      </c>
      <c r="C140" s="1056">
        <v>33383626</v>
      </c>
      <c r="D140" s="1056">
        <v>31496690</v>
      </c>
      <c r="E140" s="1056">
        <v>33383626</v>
      </c>
      <c r="F140" s="1056">
        <v>31496690</v>
      </c>
      <c r="G140" s="1056">
        <v>31645433</v>
      </c>
      <c r="H140" s="1056">
        <v>31645433</v>
      </c>
      <c r="I140" s="1056">
        <v>33383626</v>
      </c>
      <c r="J140" s="1056">
        <v>31496690</v>
      </c>
      <c r="K140" s="1056">
        <v>33383626</v>
      </c>
      <c r="L140" s="1056">
        <v>31496690</v>
      </c>
      <c r="M140" s="1056">
        <v>31645433</v>
      </c>
      <c r="N140" s="1056">
        <v>31645433</v>
      </c>
    </row>
    <row r="141" spans="1:14">
      <c r="A141" s="1049" t="s">
        <v>6704</v>
      </c>
      <c r="B141" s="1031" t="s">
        <v>3814</v>
      </c>
      <c r="C141" s="1056">
        <v>416338320</v>
      </c>
      <c r="D141" s="1056">
        <v>403684064</v>
      </c>
      <c r="E141" s="1056">
        <v>405874887</v>
      </c>
      <c r="F141" s="1056">
        <v>393220631</v>
      </c>
      <c r="G141" s="1056">
        <v>404823065</v>
      </c>
      <c r="H141" s="1056">
        <v>394359632</v>
      </c>
      <c r="I141" s="1056">
        <v>416338320</v>
      </c>
      <c r="J141" s="1056">
        <v>403684064</v>
      </c>
      <c r="K141" s="1056">
        <v>405874887</v>
      </c>
      <c r="L141" s="1056">
        <v>393220631</v>
      </c>
      <c r="M141" s="1056">
        <v>404823065</v>
      </c>
      <c r="N141" s="1056">
        <v>394359632</v>
      </c>
    </row>
    <row r="142" spans="1:14">
      <c r="A142" s="1049" t="s">
        <v>690</v>
      </c>
      <c r="B142" s="1031" t="s">
        <v>3816</v>
      </c>
      <c r="C142" s="1056">
        <v>38366412</v>
      </c>
      <c r="D142" s="1056">
        <v>35346586</v>
      </c>
      <c r="E142" s="1056">
        <v>38366412</v>
      </c>
      <c r="F142" s="1056">
        <v>35346586</v>
      </c>
      <c r="G142" s="1056">
        <v>35614706</v>
      </c>
      <c r="H142" s="1056">
        <v>35614706</v>
      </c>
      <c r="I142" s="1056">
        <v>38366412</v>
      </c>
      <c r="J142" s="1056">
        <v>35346586</v>
      </c>
      <c r="K142" s="1056">
        <v>38366412</v>
      </c>
      <c r="L142" s="1056">
        <v>35346586</v>
      </c>
      <c r="M142" s="1056">
        <v>35614706</v>
      </c>
      <c r="N142" s="1056">
        <v>35614706</v>
      </c>
    </row>
    <row r="143" spans="1:14">
      <c r="A143" s="1049" t="s">
        <v>692</v>
      </c>
      <c r="B143" s="1031" t="s">
        <v>3817</v>
      </c>
      <c r="C143" s="1056">
        <v>260612609</v>
      </c>
      <c r="D143" s="1056">
        <v>252878549</v>
      </c>
      <c r="E143" s="1056">
        <v>260612609</v>
      </c>
      <c r="F143" s="1056">
        <v>252878549</v>
      </c>
      <c r="G143" s="1056">
        <v>253204315</v>
      </c>
      <c r="H143" s="1056">
        <v>253204315</v>
      </c>
      <c r="I143" s="1056">
        <v>260612609</v>
      </c>
      <c r="J143" s="1056">
        <v>252878549</v>
      </c>
      <c r="K143" s="1056">
        <v>260612609</v>
      </c>
      <c r="L143" s="1056">
        <v>252878549</v>
      </c>
      <c r="M143" s="1056">
        <v>253204315</v>
      </c>
      <c r="N143" s="1056">
        <v>253204315</v>
      </c>
    </row>
    <row r="144" spans="1:14">
      <c r="A144" s="1049" t="s">
        <v>895</v>
      </c>
      <c r="B144" s="1031" t="s">
        <v>3818</v>
      </c>
      <c r="C144" s="1056">
        <v>84447342</v>
      </c>
      <c r="D144" s="1056">
        <v>82756822</v>
      </c>
      <c r="E144" s="1056">
        <v>84447342</v>
      </c>
      <c r="F144" s="1056">
        <v>82756822</v>
      </c>
      <c r="G144" s="1056">
        <v>82756822</v>
      </c>
      <c r="H144" s="1056">
        <v>82756822</v>
      </c>
      <c r="I144" s="1056">
        <v>84447342</v>
      </c>
      <c r="J144" s="1056">
        <v>82756822</v>
      </c>
      <c r="K144" s="1056">
        <v>84447342</v>
      </c>
      <c r="L144" s="1056">
        <v>82756822</v>
      </c>
      <c r="M144" s="1056">
        <v>82756822</v>
      </c>
      <c r="N144" s="1056">
        <v>82756822</v>
      </c>
    </row>
    <row r="145" spans="1:14">
      <c r="A145" s="1049" t="s">
        <v>6177</v>
      </c>
      <c r="B145" s="1031" t="s">
        <v>506</v>
      </c>
      <c r="C145" s="1056">
        <v>72880208</v>
      </c>
      <c r="D145" s="1056">
        <v>71136238</v>
      </c>
      <c r="E145" s="1056">
        <v>72880208</v>
      </c>
      <c r="F145" s="1056">
        <v>71136238</v>
      </c>
      <c r="G145" s="1056">
        <v>71136238</v>
      </c>
      <c r="H145" s="1056">
        <v>71136238</v>
      </c>
      <c r="I145" s="1056">
        <v>72880208</v>
      </c>
      <c r="J145" s="1056">
        <v>71136238</v>
      </c>
      <c r="K145" s="1056">
        <v>72880208</v>
      </c>
      <c r="L145" s="1056">
        <v>71136238</v>
      </c>
      <c r="M145" s="1056">
        <v>71136238</v>
      </c>
      <c r="N145" s="1056">
        <v>71136238</v>
      </c>
    </row>
    <row r="146" spans="1:14">
      <c r="A146" s="1049" t="s">
        <v>265</v>
      </c>
      <c r="B146" s="1031" t="s">
        <v>7682</v>
      </c>
      <c r="C146" s="1056">
        <v>696799082</v>
      </c>
      <c r="D146" s="1056">
        <v>680231672</v>
      </c>
      <c r="E146" s="1056">
        <v>677996278</v>
      </c>
      <c r="F146" s="1056">
        <v>661428868</v>
      </c>
      <c r="G146" s="1056">
        <v>681288013</v>
      </c>
      <c r="H146" s="1056">
        <v>662485209</v>
      </c>
      <c r="I146" s="1056">
        <v>696799082</v>
      </c>
      <c r="J146" s="1056">
        <v>680231672</v>
      </c>
      <c r="K146" s="1056">
        <v>677996278</v>
      </c>
      <c r="L146" s="1056">
        <v>661428868</v>
      </c>
      <c r="M146" s="1056">
        <v>681288013</v>
      </c>
      <c r="N146" s="1056">
        <v>662485209</v>
      </c>
    </row>
    <row r="147" spans="1:14">
      <c r="A147" s="1049" t="s">
        <v>897</v>
      </c>
      <c r="B147" s="1031" t="s">
        <v>3819</v>
      </c>
      <c r="C147" s="1056">
        <v>4716314312</v>
      </c>
      <c r="D147" s="1056">
        <v>4670720982</v>
      </c>
      <c r="E147" s="1056">
        <v>4621522561</v>
      </c>
      <c r="F147" s="1056">
        <v>4575929231</v>
      </c>
      <c r="G147" s="1056">
        <v>4671440639</v>
      </c>
      <c r="H147" s="1056">
        <v>4576648888</v>
      </c>
      <c r="I147" s="1056">
        <v>5949163389</v>
      </c>
      <c r="J147" s="1056">
        <v>5903570059</v>
      </c>
      <c r="K147" s="1056">
        <v>5854371638</v>
      </c>
      <c r="L147" s="1056">
        <v>5808778308</v>
      </c>
      <c r="M147" s="1056">
        <v>5904289716</v>
      </c>
      <c r="N147" s="1056">
        <v>5809497965</v>
      </c>
    </row>
    <row r="148" spans="1:14">
      <c r="A148" s="1049" t="s">
        <v>899</v>
      </c>
      <c r="B148" s="1031" t="s">
        <v>3820</v>
      </c>
      <c r="C148" s="1056">
        <v>276409167</v>
      </c>
      <c r="D148" s="1056">
        <v>264201137</v>
      </c>
      <c r="E148" s="1056">
        <v>262200934</v>
      </c>
      <c r="F148" s="1056">
        <v>249992904</v>
      </c>
      <c r="G148" s="1056">
        <v>265846397</v>
      </c>
      <c r="H148" s="1056">
        <v>251638164</v>
      </c>
      <c r="I148" s="1056">
        <v>276409167</v>
      </c>
      <c r="J148" s="1056">
        <v>264201137</v>
      </c>
      <c r="K148" s="1056">
        <v>262200934</v>
      </c>
      <c r="L148" s="1056">
        <v>249992904</v>
      </c>
      <c r="M148" s="1056">
        <v>265846397</v>
      </c>
      <c r="N148" s="1056">
        <v>251638164</v>
      </c>
    </row>
    <row r="149" spans="1:14">
      <c r="A149" s="1049" t="s">
        <v>901</v>
      </c>
      <c r="B149" s="1031" t="s">
        <v>3821</v>
      </c>
      <c r="C149" s="1056">
        <v>122893031</v>
      </c>
      <c r="D149" s="1056">
        <v>117120330</v>
      </c>
      <c r="E149" s="1056">
        <v>122893031</v>
      </c>
      <c r="F149" s="1056">
        <v>117120330</v>
      </c>
      <c r="G149" s="1056">
        <v>118017323</v>
      </c>
      <c r="H149" s="1056">
        <v>118017323</v>
      </c>
      <c r="I149" s="1056">
        <v>122893031</v>
      </c>
      <c r="J149" s="1056">
        <v>117120330</v>
      </c>
      <c r="K149" s="1056">
        <v>122893031</v>
      </c>
      <c r="L149" s="1056">
        <v>117120330</v>
      </c>
      <c r="M149" s="1056">
        <v>118017323</v>
      </c>
      <c r="N149" s="1056">
        <v>118017323</v>
      </c>
    </row>
    <row r="150" spans="1:14">
      <c r="A150" s="1049" t="s">
        <v>6023</v>
      </c>
      <c r="B150" s="1031" t="s">
        <v>1908</v>
      </c>
      <c r="C150" s="1056">
        <v>974708929</v>
      </c>
      <c r="D150" s="1056">
        <v>929852458</v>
      </c>
      <c r="E150" s="1056">
        <v>974708929</v>
      </c>
      <c r="F150" s="1056">
        <v>929852458</v>
      </c>
      <c r="G150" s="1056">
        <v>938368587</v>
      </c>
      <c r="H150" s="1056">
        <v>938368587</v>
      </c>
      <c r="I150" s="1056">
        <v>974708929</v>
      </c>
      <c r="J150" s="1056">
        <v>929852458</v>
      </c>
      <c r="K150" s="1056">
        <v>974708929</v>
      </c>
      <c r="L150" s="1056">
        <v>929852458</v>
      </c>
      <c r="M150" s="1056">
        <v>938368587</v>
      </c>
      <c r="N150" s="1056">
        <v>938368587</v>
      </c>
    </row>
    <row r="151" spans="1:14">
      <c r="A151" s="1049" t="s">
        <v>2383</v>
      </c>
      <c r="B151" s="1031" t="s">
        <v>374</v>
      </c>
      <c r="C151" s="1056">
        <v>358998560</v>
      </c>
      <c r="D151" s="1056">
        <v>338684914</v>
      </c>
      <c r="E151" s="1056">
        <v>358998560</v>
      </c>
      <c r="F151" s="1056">
        <v>338684914</v>
      </c>
      <c r="G151" s="1056">
        <v>343436151</v>
      </c>
      <c r="H151" s="1056">
        <v>343436151</v>
      </c>
      <c r="I151" s="1056">
        <v>358998560</v>
      </c>
      <c r="J151" s="1056">
        <v>338684914</v>
      </c>
      <c r="K151" s="1056">
        <v>358998560</v>
      </c>
      <c r="L151" s="1056">
        <v>338684914</v>
      </c>
      <c r="M151" s="1056">
        <v>343436151</v>
      </c>
      <c r="N151" s="1056">
        <v>343436151</v>
      </c>
    </row>
    <row r="152" spans="1:14">
      <c r="A152" s="1049" t="s">
        <v>6180</v>
      </c>
      <c r="B152" s="1031" t="s">
        <v>1934</v>
      </c>
      <c r="C152" s="1056">
        <v>59121122</v>
      </c>
      <c r="D152" s="1056">
        <v>56735223</v>
      </c>
      <c r="E152" s="1056">
        <v>59121122</v>
      </c>
      <c r="F152" s="1056">
        <v>56735223</v>
      </c>
      <c r="G152" s="1056">
        <v>57087702</v>
      </c>
      <c r="H152" s="1056">
        <v>57087702</v>
      </c>
      <c r="I152" s="1056">
        <v>59121122</v>
      </c>
      <c r="J152" s="1056">
        <v>56735223</v>
      </c>
      <c r="K152" s="1056">
        <v>59121122</v>
      </c>
      <c r="L152" s="1056">
        <v>56735223</v>
      </c>
      <c r="M152" s="1056">
        <v>57087702</v>
      </c>
      <c r="N152" s="1056">
        <v>57087702</v>
      </c>
    </row>
    <row r="153" spans="1:14">
      <c r="A153" s="1049" t="s">
        <v>903</v>
      </c>
      <c r="B153" s="1031" t="s">
        <v>3822</v>
      </c>
      <c r="C153" s="1056">
        <v>70942920</v>
      </c>
      <c r="D153" s="1056">
        <v>67887498</v>
      </c>
      <c r="E153" s="1056">
        <v>70942920</v>
      </c>
      <c r="F153" s="1056">
        <v>67887498</v>
      </c>
      <c r="G153" s="1056">
        <v>68106900</v>
      </c>
      <c r="H153" s="1056">
        <v>68106900</v>
      </c>
      <c r="I153" s="1056">
        <v>70942920</v>
      </c>
      <c r="J153" s="1056">
        <v>67887498</v>
      </c>
      <c r="K153" s="1056">
        <v>70942920</v>
      </c>
      <c r="L153" s="1056">
        <v>67887498</v>
      </c>
      <c r="M153" s="1056">
        <v>68106900</v>
      </c>
      <c r="N153" s="1056">
        <v>68106900</v>
      </c>
    </row>
    <row r="154" spans="1:14">
      <c r="A154" s="1049" t="s">
        <v>736</v>
      </c>
      <c r="B154" s="1031" t="s">
        <v>6109</v>
      </c>
      <c r="C154" s="1056">
        <v>346664687</v>
      </c>
      <c r="D154" s="1056">
        <v>335069889</v>
      </c>
      <c r="E154" s="1056">
        <v>346664687</v>
      </c>
      <c r="F154" s="1056">
        <v>335069889</v>
      </c>
      <c r="G154" s="1056">
        <v>335069889</v>
      </c>
      <c r="H154" s="1056">
        <v>335069889</v>
      </c>
      <c r="I154" s="1056">
        <v>346664687</v>
      </c>
      <c r="J154" s="1056">
        <v>335069889</v>
      </c>
      <c r="K154" s="1056">
        <v>346664687</v>
      </c>
      <c r="L154" s="1056">
        <v>335069889</v>
      </c>
      <c r="M154" s="1056">
        <v>335069889</v>
      </c>
      <c r="N154" s="1056">
        <v>335069889</v>
      </c>
    </row>
    <row r="155" spans="1:14">
      <c r="A155" s="1049" t="s">
        <v>2117</v>
      </c>
      <c r="B155" s="1031" t="s">
        <v>3824</v>
      </c>
      <c r="C155" s="1056">
        <v>340420447</v>
      </c>
      <c r="D155" s="1056">
        <v>325899967</v>
      </c>
      <c r="E155" s="1056">
        <v>340420447</v>
      </c>
      <c r="F155" s="1056">
        <v>325899967</v>
      </c>
      <c r="G155" s="1056">
        <v>327398593</v>
      </c>
      <c r="H155" s="1056">
        <v>327398593</v>
      </c>
      <c r="I155" s="1056">
        <v>340420447</v>
      </c>
      <c r="J155" s="1056">
        <v>325899967</v>
      </c>
      <c r="K155" s="1056">
        <v>340420447</v>
      </c>
      <c r="L155" s="1056">
        <v>325899967</v>
      </c>
      <c r="M155" s="1056">
        <v>327398593</v>
      </c>
      <c r="N155" s="1056">
        <v>327398593</v>
      </c>
    </row>
    <row r="156" spans="1:14">
      <c r="A156" s="1049" t="s">
        <v>3089</v>
      </c>
      <c r="B156" s="1031" t="s">
        <v>8182</v>
      </c>
      <c r="C156" s="1056">
        <v>131307744</v>
      </c>
      <c r="D156" s="1056">
        <v>124071674</v>
      </c>
      <c r="E156" s="1056">
        <v>131307744</v>
      </c>
      <c r="F156" s="1056">
        <v>124071674</v>
      </c>
      <c r="G156" s="1056">
        <v>125186569</v>
      </c>
      <c r="H156" s="1056">
        <v>125186569</v>
      </c>
      <c r="I156" s="1056">
        <v>131307744</v>
      </c>
      <c r="J156" s="1056">
        <v>124071674</v>
      </c>
      <c r="K156" s="1056">
        <v>131307744</v>
      </c>
      <c r="L156" s="1056">
        <v>124071674</v>
      </c>
      <c r="M156" s="1056">
        <v>125186569</v>
      </c>
      <c r="N156" s="1056">
        <v>125186569</v>
      </c>
    </row>
    <row r="157" spans="1:14">
      <c r="A157" s="1049" t="s">
        <v>2119</v>
      </c>
      <c r="B157" s="1031" t="s">
        <v>3825</v>
      </c>
      <c r="C157" s="1056">
        <v>64677292</v>
      </c>
      <c r="D157" s="1056">
        <v>63041272</v>
      </c>
      <c r="E157" s="1056">
        <v>64677292</v>
      </c>
      <c r="F157" s="1056">
        <v>63041272</v>
      </c>
      <c r="G157" s="1056">
        <v>63268793</v>
      </c>
      <c r="H157" s="1056">
        <v>63268793</v>
      </c>
      <c r="I157" s="1056">
        <v>64677292</v>
      </c>
      <c r="J157" s="1056">
        <v>63041272</v>
      </c>
      <c r="K157" s="1056">
        <v>64677292</v>
      </c>
      <c r="L157" s="1056">
        <v>63041272</v>
      </c>
      <c r="M157" s="1056">
        <v>63268793</v>
      </c>
      <c r="N157" s="1056">
        <v>63268793</v>
      </c>
    </row>
    <row r="158" spans="1:14">
      <c r="A158" s="1049" t="s">
        <v>2121</v>
      </c>
      <c r="B158" s="1031" t="s">
        <v>2855</v>
      </c>
      <c r="C158" s="1056">
        <v>97556252</v>
      </c>
      <c r="D158" s="1056">
        <v>95248822</v>
      </c>
      <c r="E158" s="1056">
        <v>97556252</v>
      </c>
      <c r="F158" s="1056">
        <v>95248822</v>
      </c>
      <c r="G158" s="1056">
        <v>95725072</v>
      </c>
      <c r="H158" s="1056">
        <v>95725072</v>
      </c>
      <c r="I158" s="1056">
        <v>97556252</v>
      </c>
      <c r="J158" s="1056">
        <v>95248822</v>
      </c>
      <c r="K158" s="1056">
        <v>97556252</v>
      </c>
      <c r="L158" s="1056">
        <v>95248822</v>
      </c>
      <c r="M158" s="1056">
        <v>95725072</v>
      </c>
      <c r="N158" s="1056">
        <v>95725072</v>
      </c>
    </row>
    <row r="159" spans="1:14">
      <c r="A159" s="1049" t="s">
        <v>2123</v>
      </c>
      <c r="B159" s="1031" t="s">
        <v>2856</v>
      </c>
      <c r="C159" s="1056">
        <v>62362665</v>
      </c>
      <c r="D159" s="1056">
        <v>60756506</v>
      </c>
      <c r="E159" s="1056">
        <v>62362665</v>
      </c>
      <c r="F159" s="1056">
        <v>60756506</v>
      </c>
      <c r="G159" s="1056">
        <v>60756506</v>
      </c>
      <c r="H159" s="1056">
        <v>60756506</v>
      </c>
      <c r="I159" s="1056">
        <v>62362665</v>
      </c>
      <c r="J159" s="1056">
        <v>60756506</v>
      </c>
      <c r="K159" s="1056">
        <v>62362665</v>
      </c>
      <c r="L159" s="1056">
        <v>60756506</v>
      </c>
      <c r="M159" s="1056">
        <v>60756506</v>
      </c>
      <c r="N159" s="1056">
        <v>60756506</v>
      </c>
    </row>
    <row r="160" spans="1:14">
      <c r="A160" s="1049" t="s">
        <v>3130</v>
      </c>
      <c r="B160" s="1031" t="s">
        <v>4726</v>
      </c>
      <c r="C160" s="1056">
        <v>963953138</v>
      </c>
      <c r="D160" s="1056">
        <v>963146301</v>
      </c>
      <c r="E160" s="1056">
        <v>963953138</v>
      </c>
      <c r="F160" s="1056">
        <v>963146301</v>
      </c>
      <c r="G160" s="1056">
        <v>963146301</v>
      </c>
      <c r="H160" s="1056">
        <v>963146301</v>
      </c>
      <c r="I160" s="1056">
        <v>963953138</v>
      </c>
      <c r="J160" s="1056">
        <v>963146301</v>
      </c>
      <c r="K160" s="1056">
        <v>963953138</v>
      </c>
      <c r="L160" s="1056">
        <v>963146301</v>
      </c>
      <c r="M160" s="1056">
        <v>963146301</v>
      </c>
      <c r="N160" s="1056">
        <v>963146301</v>
      </c>
    </row>
    <row r="161" spans="1:14">
      <c r="A161" s="1049" t="s">
        <v>3132</v>
      </c>
      <c r="B161" s="1031" t="s">
        <v>2858</v>
      </c>
      <c r="C161" s="1056">
        <v>116806363</v>
      </c>
      <c r="D161" s="1056">
        <v>113057843</v>
      </c>
      <c r="E161" s="1056">
        <v>116806363</v>
      </c>
      <c r="F161" s="1056">
        <v>113057843</v>
      </c>
      <c r="G161" s="1056">
        <v>113571016</v>
      </c>
      <c r="H161" s="1056">
        <v>113571016</v>
      </c>
      <c r="I161" s="1056">
        <v>116806363</v>
      </c>
      <c r="J161" s="1056">
        <v>113057843</v>
      </c>
      <c r="K161" s="1056">
        <v>116806363</v>
      </c>
      <c r="L161" s="1056">
        <v>113057843</v>
      </c>
      <c r="M161" s="1056">
        <v>113571016</v>
      </c>
      <c r="N161" s="1056">
        <v>113571016</v>
      </c>
    </row>
    <row r="162" spans="1:14">
      <c r="A162" s="1049" t="s">
        <v>1322</v>
      </c>
      <c r="B162" s="1031" t="s">
        <v>2859</v>
      </c>
      <c r="C162" s="1056">
        <v>246928476</v>
      </c>
      <c r="D162" s="1056">
        <v>243253276</v>
      </c>
      <c r="E162" s="1056">
        <v>244459798</v>
      </c>
      <c r="F162" s="1056">
        <v>240784598</v>
      </c>
      <c r="G162" s="1056">
        <v>243729372</v>
      </c>
      <c r="H162" s="1056">
        <v>241260694</v>
      </c>
      <c r="I162" s="1056">
        <v>364482156</v>
      </c>
      <c r="J162" s="1056">
        <v>360806956</v>
      </c>
      <c r="K162" s="1056">
        <v>362013478</v>
      </c>
      <c r="L162" s="1056">
        <v>358338278</v>
      </c>
      <c r="M162" s="1056">
        <v>361283052</v>
      </c>
      <c r="N162" s="1056">
        <v>358814374</v>
      </c>
    </row>
    <row r="163" spans="1:14">
      <c r="A163" s="1049" t="s">
        <v>742</v>
      </c>
      <c r="B163" s="1031" t="s">
        <v>6118</v>
      </c>
      <c r="C163" s="1056">
        <v>175029076</v>
      </c>
      <c r="D163" s="1056">
        <v>166144237</v>
      </c>
      <c r="E163" s="1056">
        <v>175029076</v>
      </c>
      <c r="F163" s="1056">
        <v>166144237</v>
      </c>
      <c r="G163" s="1056">
        <v>166144237</v>
      </c>
      <c r="H163" s="1056">
        <v>166144237</v>
      </c>
      <c r="I163" s="1056">
        <v>175029076</v>
      </c>
      <c r="J163" s="1056">
        <v>166144237</v>
      </c>
      <c r="K163" s="1056">
        <v>175029076</v>
      </c>
      <c r="L163" s="1056">
        <v>166144237</v>
      </c>
      <c r="M163" s="1056">
        <v>166144237</v>
      </c>
      <c r="N163" s="1056">
        <v>166144237</v>
      </c>
    </row>
    <row r="164" spans="1:14">
      <c r="A164" s="1049" t="s">
        <v>440</v>
      </c>
      <c r="B164" s="1031" t="s">
        <v>1457</v>
      </c>
      <c r="C164" s="1056">
        <v>89487506</v>
      </c>
      <c r="D164" s="1056">
        <v>87081941</v>
      </c>
      <c r="E164" s="1056">
        <v>89487506</v>
      </c>
      <c r="F164" s="1056">
        <v>87081941</v>
      </c>
      <c r="G164" s="1056">
        <v>87081941</v>
      </c>
      <c r="H164" s="1056">
        <v>87081941</v>
      </c>
      <c r="I164" s="1056">
        <v>89487506</v>
      </c>
      <c r="J164" s="1056">
        <v>87081941</v>
      </c>
      <c r="K164" s="1056">
        <v>89487506</v>
      </c>
      <c r="L164" s="1056">
        <v>87081941</v>
      </c>
      <c r="M164" s="1056">
        <v>87081941</v>
      </c>
      <c r="N164" s="1056">
        <v>87081941</v>
      </c>
    </row>
    <row r="165" spans="1:14">
      <c r="A165" s="1049" t="s">
        <v>1324</v>
      </c>
      <c r="B165" s="1031" t="s">
        <v>4732</v>
      </c>
      <c r="C165" s="1056">
        <v>127884250</v>
      </c>
      <c r="D165" s="1056">
        <v>125442519</v>
      </c>
      <c r="E165" s="1056">
        <v>127884250</v>
      </c>
      <c r="F165" s="1056">
        <v>125442519</v>
      </c>
      <c r="G165" s="1056">
        <v>125442519</v>
      </c>
      <c r="H165" s="1056">
        <v>125442519</v>
      </c>
      <c r="I165" s="1056">
        <v>127884250</v>
      </c>
      <c r="J165" s="1056">
        <v>125442519</v>
      </c>
      <c r="K165" s="1056">
        <v>127884250</v>
      </c>
      <c r="L165" s="1056">
        <v>125442519</v>
      </c>
      <c r="M165" s="1056">
        <v>125442519</v>
      </c>
      <c r="N165" s="1056">
        <v>125442519</v>
      </c>
    </row>
    <row r="166" spans="1:14">
      <c r="A166" s="1049" t="s">
        <v>818</v>
      </c>
      <c r="B166" s="1031" t="s">
        <v>7677</v>
      </c>
      <c r="C166" s="1056">
        <v>9132282100</v>
      </c>
      <c r="D166" s="1056">
        <v>8933078275</v>
      </c>
      <c r="E166" s="1056">
        <v>9132282100</v>
      </c>
      <c r="F166" s="1056">
        <v>8933078275</v>
      </c>
      <c r="G166" s="1056">
        <v>8955113824</v>
      </c>
      <c r="H166" s="1056">
        <v>8955113824</v>
      </c>
      <c r="I166" s="1056">
        <v>9132282100</v>
      </c>
      <c r="J166" s="1056">
        <v>8933078275</v>
      </c>
      <c r="K166" s="1056">
        <v>9132282100</v>
      </c>
      <c r="L166" s="1056">
        <v>8933078275</v>
      </c>
      <c r="M166" s="1056">
        <v>8955113824</v>
      </c>
      <c r="N166" s="1056">
        <v>8955113824</v>
      </c>
    </row>
    <row r="167" spans="1:14">
      <c r="A167" s="1049" t="s">
        <v>266</v>
      </c>
      <c r="B167" s="1031" t="s">
        <v>7683</v>
      </c>
      <c r="C167" s="1056">
        <v>650041234</v>
      </c>
      <c r="D167" s="1056">
        <v>624222252</v>
      </c>
      <c r="E167" s="1056">
        <v>650041234</v>
      </c>
      <c r="F167" s="1056">
        <v>624222252</v>
      </c>
      <c r="G167" s="1056">
        <v>626398616</v>
      </c>
      <c r="H167" s="1056">
        <v>626398616</v>
      </c>
      <c r="I167" s="1056">
        <v>650041234</v>
      </c>
      <c r="J167" s="1056">
        <v>624222252</v>
      </c>
      <c r="K167" s="1056">
        <v>650041234</v>
      </c>
      <c r="L167" s="1056">
        <v>624222252</v>
      </c>
      <c r="M167" s="1056">
        <v>626398616</v>
      </c>
      <c r="N167" s="1056">
        <v>626398616</v>
      </c>
    </row>
    <row r="168" spans="1:14">
      <c r="A168" s="1049" t="s">
        <v>441</v>
      </c>
      <c r="B168" s="1031" t="s">
        <v>6104</v>
      </c>
      <c r="C168" s="1056">
        <v>756182088</v>
      </c>
      <c r="D168" s="1056">
        <v>735713674</v>
      </c>
      <c r="E168" s="1056">
        <v>756182088</v>
      </c>
      <c r="F168" s="1056">
        <v>735713674</v>
      </c>
      <c r="G168" s="1056">
        <v>738177881</v>
      </c>
      <c r="H168" s="1056">
        <v>738177881</v>
      </c>
      <c r="I168" s="1056">
        <v>756182088</v>
      </c>
      <c r="J168" s="1056">
        <v>735713674</v>
      </c>
      <c r="K168" s="1056">
        <v>756182088</v>
      </c>
      <c r="L168" s="1056">
        <v>735713674</v>
      </c>
      <c r="M168" s="1056">
        <v>738177881</v>
      </c>
      <c r="N168" s="1056">
        <v>738177881</v>
      </c>
    </row>
    <row r="169" spans="1:14">
      <c r="A169" s="1049" t="s">
        <v>1526</v>
      </c>
      <c r="B169" s="1031" t="s">
        <v>110</v>
      </c>
      <c r="C169" s="1056">
        <v>366724708</v>
      </c>
      <c r="D169" s="1056">
        <v>350330196</v>
      </c>
      <c r="E169" s="1056">
        <v>366724708</v>
      </c>
      <c r="F169" s="1056">
        <v>350330196</v>
      </c>
      <c r="G169" s="1056">
        <v>353335448</v>
      </c>
      <c r="H169" s="1056">
        <v>353335448</v>
      </c>
      <c r="I169" s="1056">
        <v>366724708</v>
      </c>
      <c r="J169" s="1056">
        <v>350330196</v>
      </c>
      <c r="K169" s="1056">
        <v>366724708</v>
      </c>
      <c r="L169" s="1056">
        <v>350330196</v>
      </c>
      <c r="M169" s="1056">
        <v>353335448</v>
      </c>
      <c r="N169" s="1056">
        <v>353335448</v>
      </c>
    </row>
    <row r="170" spans="1:14">
      <c r="A170" s="1049" t="s">
        <v>1312</v>
      </c>
      <c r="B170" s="1031" t="s">
        <v>117</v>
      </c>
      <c r="C170" s="1056">
        <v>21678338520</v>
      </c>
      <c r="D170" s="1056">
        <v>21279866604</v>
      </c>
      <c r="E170" s="1056">
        <v>21678338520</v>
      </c>
      <c r="F170" s="1056">
        <v>21279866604</v>
      </c>
      <c r="G170" s="1056">
        <v>21299005988</v>
      </c>
      <c r="H170" s="1056">
        <v>21299005988</v>
      </c>
      <c r="I170" s="1056">
        <v>21678338520</v>
      </c>
      <c r="J170" s="1056">
        <v>21279866604</v>
      </c>
      <c r="K170" s="1056">
        <v>21678338520</v>
      </c>
      <c r="L170" s="1056">
        <v>21279866604</v>
      </c>
      <c r="M170" s="1056">
        <v>21299005988</v>
      </c>
      <c r="N170" s="1056">
        <v>21299005988</v>
      </c>
    </row>
    <row r="171" spans="1:14">
      <c r="A171" s="1049" t="s">
        <v>6168</v>
      </c>
      <c r="B171" s="1031" t="s">
        <v>6076</v>
      </c>
      <c r="C171" s="1056">
        <v>10387098517</v>
      </c>
      <c r="D171" s="1056">
        <v>10151777455</v>
      </c>
      <c r="E171" s="1056">
        <v>10387098517</v>
      </c>
      <c r="F171" s="1056">
        <v>10151777455</v>
      </c>
      <c r="G171" s="1056">
        <v>10204136377</v>
      </c>
      <c r="H171" s="1056">
        <v>10204136377</v>
      </c>
      <c r="I171" s="1056">
        <v>10387098517</v>
      </c>
      <c r="J171" s="1056">
        <v>10151777455</v>
      </c>
      <c r="K171" s="1056">
        <v>10387098517</v>
      </c>
      <c r="L171" s="1056">
        <v>10151777455</v>
      </c>
      <c r="M171" s="1056">
        <v>10204136377</v>
      </c>
      <c r="N171" s="1056">
        <v>10204136377</v>
      </c>
    </row>
    <row r="172" spans="1:14">
      <c r="A172" s="1049" t="s">
        <v>5913</v>
      </c>
      <c r="B172" s="1031" t="s">
        <v>2862</v>
      </c>
      <c r="C172" s="1056">
        <v>565453026</v>
      </c>
      <c r="D172" s="1056">
        <v>547212081</v>
      </c>
      <c r="E172" s="1056">
        <v>565453026</v>
      </c>
      <c r="F172" s="1056">
        <v>547212081</v>
      </c>
      <c r="G172" s="1056">
        <v>549783834</v>
      </c>
      <c r="H172" s="1056">
        <v>549783834</v>
      </c>
      <c r="I172" s="1056">
        <v>565453026</v>
      </c>
      <c r="J172" s="1056">
        <v>547212081</v>
      </c>
      <c r="K172" s="1056">
        <v>565453026</v>
      </c>
      <c r="L172" s="1056">
        <v>547212081</v>
      </c>
      <c r="M172" s="1056">
        <v>549783834</v>
      </c>
      <c r="N172" s="1056">
        <v>549783834</v>
      </c>
    </row>
    <row r="173" spans="1:14">
      <c r="A173" s="1049" t="s">
        <v>3546</v>
      </c>
      <c r="B173" s="1031" t="s">
        <v>2863</v>
      </c>
      <c r="C173" s="1056">
        <v>37489134760</v>
      </c>
      <c r="D173" s="1056">
        <v>36812803168</v>
      </c>
      <c r="E173" s="1056">
        <v>37489134760</v>
      </c>
      <c r="F173" s="1056">
        <v>36812803168</v>
      </c>
      <c r="G173" s="1056">
        <v>36997797160</v>
      </c>
      <c r="H173" s="1056">
        <v>36997797160</v>
      </c>
      <c r="I173" s="1056">
        <v>37913691840</v>
      </c>
      <c r="J173" s="1056">
        <v>37237360248</v>
      </c>
      <c r="K173" s="1056">
        <v>37913691840</v>
      </c>
      <c r="L173" s="1056">
        <v>37237360248</v>
      </c>
      <c r="M173" s="1056">
        <v>37422354240</v>
      </c>
      <c r="N173" s="1056">
        <v>37422354240</v>
      </c>
    </row>
    <row r="174" spans="1:14">
      <c r="A174" s="1049" t="s">
        <v>5132</v>
      </c>
      <c r="B174" s="1031" t="s">
        <v>352</v>
      </c>
      <c r="C174" s="1056">
        <v>577981221</v>
      </c>
      <c r="D174" s="1056">
        <v>549081160</v>
      </c>
      <c r="E174" s="1056">
        <v>577981221</v>
      </c>
      <c r="F174" s="1056">
        <v>549081160</v>
      </c>
      <c r="G174" s="1056">
        <v>549081160</v>
      </c>
      <c r="H174" s="1056">
        <v>549081160</v>
      </c>
      <c r="I174" s="1056">
        <v>577981221</v>
      </c>
      <c r="J174" s="1056">
        <v>549081160</v>
      </c>
      <c r="K174" s="1056">
        <v>577981221</v>
      </c>
      <c r="L174" s="1056">
        <v>549081160</v>
      </c>
      <c r="M174" s="1056">
        <v>549081160</v>
      </c>
      <c r="N174" s="1056">
        <v>549081160</v>
      </c>
    </row>
    <row r="175" spans="1:14">
      <c r="A175" s="1049" t="s">
        <v>649</v>
      </c>
      <c r="B175" s="1031" t="s">
        <v>354</v>
      </c>
      <c r="C175" s="1056">
        <v>2995842429</v>
      </c>
      <c r="D175" s="1056">
        <v>2941489921</v>
      </c>
      <c r="E175" s="1056">
        <v>2995842429</v>
      </c>
      <c r="F175" s="1056">
        <v>2941489921</v>
      </c>
      <c r="G175" s="1056">
        <v>2941489921</v>
      </c>
      <c r="H175" s="1056">
        <v>2941489921</v>
      </c>
      <c r="I175" s="1056">
        <v>2995842429</v>
      </c>
      <c r="J175" s="1056">
        <v>2941489921</v>
      </c>
      <c r="K175" s="1056">
        <v>2995842429</v>
      </c>
      <c r="L175" s="1056">
        <v>2941489921</v>
      </c>
      <c r="M175" s="1056">
        <v>2941489921</v>
      </c>
      <c r="N175" s="1056">
        <v>2941489921</v>
      </c>
    </row>
    <row r="176" spans="1:14">
      <c r="A176" s="1049" t="s">
        <v>861</v>
      </c>
      <c r="B176" s="1031" t="s">
        <v>2008</v>
      </c>
      <c r="C176" s="1056">
        <v>3845593519</v>
      </c>
      <c r="D176" s="1056">
        <v>3709913472</v>
      </c>
      <c r="E176" s="1056">
        <v>3845593519</v>
      </c>
      <c r="F176" s="1056">
        <v>3709913472</v>
      </c>
      <c r="G176" s="1056">
        <v>3709913472</v>
      </c>
      <c r="H176" s="1056">
        <v>3709913472</v>
      </c>
      <c r="I176" s="1056">
        <v>3845593519</v>
      </c>
      <c r="J176" s="1056">
        <v>3709913472</v>
      </c>
      <c r="K176" s="1056">
        <v>3845593519</v>
      </c>
      <c r="L176" s="1056">
        <v>3709913472</v>
      </c>
      <c r="M176" s="1056">
        <v>3709913472</v>
      </c>
      <c r="N176" s="1056">
        <v>3709913472</v>
      </c>
    </row>
    <row r="177" spans="1:14">
      <c r="A177" s="1049" t="s">
        <v>956</v>
      </c>
      <c r="B177" s="1031" t="s">
        <v>7661</v>
      </c>
      <c r="C177" s="1056">
        <v>132728667</v>
      </c>
      <c r="D177" s="1056">
        <v>125440859</v>
      </c>
      <c r="E177" s="1056">
        <v>132728667</v>
      </c>
      <c r="F177" s="1056">
        <v>125440859</v>
      </c>
      <c r="G177" s="1056">
        <v>125877228</v>
      </c>
      <c r="H177" s="1056">
        <v>125877228</v>
      </c>
      <c r="I177" s="1056">
        <v>132728667</v>
      </c>
      <c r="J177" s="1056">
        <v>125440859</v>
      </c>
      <c r="K177" s="1056">
        <v>132728667</v>
      </c>
      <c r="L177" s="1056">
        <v>125440859</v>
      </c>
      <c r="M177" s="1056">
        <v>125877228</v>
      </c>
      <c r="N177" s="1056">
        <v>125877228</v>
      </c>
    </row>
    <row r="178" spans="1:14">
      <c r="A178" s="1049" t="s">
        <v>236</v>
      </c>
      <c r="B178" s="1031" t="s">
        <v>2643</v>
      </c>
      <c r="C178" s="1056">
        <v>530711283</v>
      </c>
      <c r="D178" s="1056">
        <v>507137670</v>
      </c>
      <c r="E178" s="1056">
        <v>530711283</v>
      </c>
      <c r="F178" s="1056">
        <v>507137670</v>
      </c>
      <c r="G178" s="1056">
        <v>508101942</v>
      </c>
      <c r="H178" s="1056">
        <v>508101942</v>
      </c>
      <c r="I178" s="1056">
        <v>530711283</v>
      </c>
      <c r="J178" s="1056">
        <v>507137670</v>
      </c>
      <c r="K178" s="1056">
        <v>530711283</v>
      </c>
      <c r="L178" s="1056">
        <v>507137670</v>
      </c>
      <c r="M178" s="1056">
        <v>508101942</v>
      </c>
      <c r="N178" s="1056">
        <v>508101942</v>
      </c>
    </row>
    <row r="179" spans="1:14">
      <c r="A179" s="1049" t="s">
        <v>3548</v>
      </c>
      <c r="B179" s="1031" t="s">
        <v>2864</v>
      </c>
      <c r="C179" s="1056">
        <v>1836284830</v>
      </c>
      <c r="D179" s="1056">
        <v>1795227460</v>
      </c>
      <c r="E179" s="1056">
        <v>1836284830</v>
      </c>
      <c r="F179" s="1056">
        <v>1795227460</v>
      </c>
      <c r="G179" s="1056">
        <v>1807548614</v>
      </c>
      <c r="H179" s="1056">
        <v>1807548614</v>
      </c>
      <c r="I179" s="1056">
        <v>1836284830</v>
      </c>
      <c r="J179" s="1056">
        <v>1795227460</v>
      </c>
      <c r="K179" s="1056">
        <v>1836284830</v>
      </c>
      <c r="L179" s="1056">
        <v>1795227460</v>
      </c>
      <c r="M179" s="1056">
        <v>1807548614</v>
      </c>
      <c r="N179" s="1056">
        <v>1807548614</v>
      </c>
    </row>
    <row r="180" spans="1:14">
      <c r="A180" s="1049" t="s">
        <v>3550</v>
      </c>
      <c r="B180" s="1031" t="s">
        <v>2865</v>
      </c>
      <c r="C180" s="1056">
        <v>156607577</v>
      </c>
      <c r="D180" s="1056">
        <v>151808059</v>
      </c>
      <c r="E180" s="1056">
        <v>156607577</v>
      </c>
      <c r="F180" s="1056">
        <v>151808059</v>
      </c>
      <c r="G180" s="1056">
        <v>152427859</v>
      </c>
      <c r="H180" s="1056">
        <v>152427859</v>
      </c>
      <c r="I180" s="1056">
        <v>156607577</v>
      </c>
      <c r="J180" s="1056">
        <v>151808059</v>
      </c>
      <c r="K180" s="1056">
        <v>156607577</v>
      </c>
      <c r="L180" s="1056">
        <v>151808059</v>
      </c>
      <c r="M180" s="1056">
        <v>152427859</v>
      </c>
      <c r="N180" s="1056">
        <v>152427859</v>
      </c>
    </row>
    <row r="181" spans="1:14">
      <c r="A181" s="1049" t="s">
        <v>234</v>
      </c>
      <c r="B181" s="1031" t="s">
        <v>2641</v>
      </c>
      <c r="C181" s="1056">
        <v>915618652</v>
      </c>
      <c r="D181" s="1056">
        <v>889866933</v>
      </c>
      <c r="E181" s="1056">
        <v>909383739</v>
      </c>
      <c r="F181" s="1056">
        <v>883632020</v>
      </c>
      <c r="G181" s="1056">
        <v>897521509</v>
      </c>
      <c r="H181" s="1056">
        <v>891286596</v>
      </c>
      <c r="I181" s="1056">
        <v>915618652</v>
      </c>
      <c r="J181" s="1056">
        <v>889866933</v>
      </c>
      <c r="K181" s="1056">
        <v>909383739</v>
      </c>
      <c r="L181" s="1056">
        <v>883632020</v>
      </c>
      <c r="M181" s="1056">
        <v>897521509</v>
      </c>
      <c r="N181" s="1056">
        <v>891286596</v>
      </c>
    </row>
    <row r="182" spans="1:14">
      <c r="A182" s="1049" t="s">
        <v>208</v>
      </c>
      <c r="B182" s="1031" t="s">
        <v>4752</v>
      </c>
      <c r="C182" s="1056">
        <v>665098506</v>
      </c>
      <c r="D182" s="1056">
        <v>652090449</v>
      </c>
      <c r="E182" s="1056">
        <v>665098506</v>
      </c>
      <c r="F182" s="1056">
        <v>652090449</v>
      </c>
      <c r="G182" s="1056">
        <v>653552029</v>
      </c>
      <c r="H182" s="1056">
        <v>653552029</v>
      </c>
      <c r="I182" s="1056">
        <v>665098506</v>
      </c>
      <c r="J182" s="1056">
        <v>652090449</v>
      </c>
      <c r="K182" s="1056">
        <v>665098506</v>
      </c>
      <c r="L182" s="1056">
        <v>652090449</v>
      </c>
      <c r="M182" s="1056">
        <v>653552029</v>
      </c>
      <c r="N182" s="1056">
        <v>653552029</v>
      </c>
    </row>
    <row r="183" spans="1:14">
      <c r="A183" s="1049" t="s">
        <v>210</v>
      </c>
      <c r="B183" s="1031" t="s">
        <v>2868</v>
      </c>
      <c r="C183" s="1056">
        <v>339087683</v>
      </c>
      <c r="D183" s="1056">
        <v>326936984</v>
      </c>
      <c r="E183" s="1056">
        <v>339087683</v>
      </c>
      <c r="F183" s="1056">
        <v>326936984</v>
      </c>
      <c r="G183" s="1056">
        <v>329774762</v>
      </c>
      <c r="H183" s="1056">
        <v>329774762</v>
      </c>
      <c r="I183" s="1056">
        <v>339087683</v>
      </c>
      <c r="J183" s="1056">
        <v>326936984</v>
      </c>
      <c r="K183" s="1056">
        <v>339087683</v>
      </c>
      <c r="L183" s="1056">
        <v>326936984</v>
      </c>
      <c r="M183" s="1056">
        <v>329774762</v>
      </c>
      <c r="N183" s="1056">
        <v>329774762</v>
      </c>
    </row>
    <row r="184" spans="1:14">
      <c r="A184" s="1049" t="s">
        <v>212</v>
      </c>
      <c r="B184" s="1031" t="s">
        <v>2869</v>
      </c>
      <c r="C184" s="1056">
        <v>3578536474</v>
      </c>
      <c r="D184" s="1056">
        <v>3467038821</v>
      </c>
      <c r="E184" s="1056">
        <v>3578536474</v>
      </c>
      <c r="F184" s="1056">
        <v>3467038821</v>
      </c>
      <c r="G184" s="1056">
        <v>3504666929</v>
      </c>
      <c r="H184" s="1056">
        <v>3504666929</v>
      </c>
      <c r="I184" s="1056">
        <v>3578536474</v>
      </c>
      <c r="J184" s="1056">
        <v>3467038821</v>
      </c>
      <c r="K184" s="1056">
        <v>3578536474</v>
      </c>
      <c r="L184" s="1056">
        <v>3467038821</v>
      </c>
      <c r="M184" s="1056">
        <v>3504666929</v>
      </c>
      <c r="N184" s="1056">
        <v>3504666929</v>
      </c>
    </row>
    <row r="185" spans="1:14">
      <c r="A185" s="1049" t="s">
        <v>214</v>
      </c>
      <c r="B185" s="1031" t="s">
        <v>2870</v>
      </c>
      <c r="C185" s="1056">
        <v>12468688686</v>
      </c>
      <c r="D185" s="1056">
        <v>12205356771</v>
      </c>
      <c r="E185" s="1056">
        <v>11729344078</v>
      </c>
      <c r="F185" s="1056">
        <v>11466012163</v>
      </c>
      <c r="G185" s="1056">
        <v>12292946627</v>
      </c>
      <c r="H185" s="1056">
        <v>11553602019</v>
      </c>
      <c r="I185" s="1056">
        <v>12546011886</v>
      </c>
      <c r="J185" s="1056">
        <v>12282679971</v>
      </c>
      <c r="K185" s="1056">
        <v>11806667278</v>
      </c>
      <c r="L185" s="1056">
        <v>11543335363</v>
      </c>
      <c r="M185" s="1056">
        <v>12370269827</v>
      </c>
      <c r="N185" s="1056">
        <v>11630925219</v>
      </c>
    </row>
    <row r="186" spans="1:14">
      <c r="A186" s="1049" t="s">
        <v>2714</v>
      </c>
      <c r="B186" s="1031" t="s">
        <v>2871</v>
      </c>
      <c r="C186" s="1056">
        <v>265055225</v>
      </c>
      <c r="D186" s="1056">
        <v>249752332</v>
      </c>
      <c r="E186" s="1056">
        <v>265055225</v>
      </c>
      <c r="F186" s="1056">
        <v>249752332</v>
      </c>
      <c r="G186" s="1056">
        <v>250993320</v>
      </c>
      <c r="H186" s="1056">
        <v>250993320</v>
      </c>
      <c r="I186" s="1056">
        <v>265055225</v>
      </c>
      <c r="J186" s="1056">
        <v>249752332</v>
      </c>
      <c r="K186" s="1056">
        <v>265055225</v>
      </c>
      <c r="L186" s="1056">
        <v>249752332</v>
      </c>
      <c r="M186" s="1056">
        <v>250993320</v>
      </c>
      <c r="N186" s="1056">
        <v>250993320</v>
      </c>
    </row>
    <row r="187" spans="1:14">
      <c r="A187" s="1049" t="s">
        <v>250</v>
      </c>
      <c r="B187" s="1031" t="s">
        <v>995</v>
      </c>
      <c r="C187" s="1056">
        <v>177666850</v>
      </c>
      <c r="D187" s="1056">
        <v>167890719</v>
      </c>
      <c r="E187" s="1056">
        <v>177666850</v>
      </c>
      <c r="F187" s="1056">
        <v>167890719</v>
      </c>
      <c r="G187" s="1056">
        <v>169475779</v>
      </c>
      <c r="H187" s="1056">
        <v>169475779</v>
      </c>
      <c r="I187" s="1056">
        <v>177666850</v>
      </c>
      <c r="J187" s="1056">
        <v>167890719</v>
      </c>
      <c r="K187" s="1056">
        <v>177666850</v>
      </c>
      <c r="L187" s="1056">
        <v>167890719</v>
      </c>
      <c r="M187" s="1056">
        <v>169475779</v>
      </c>
      <c r="N187" s="1056">
        <v>169475779</v>
      </c>
    </row>
    <row r="188" spans="1:14">
      <c r="A188" s="1049" t="s">
        <v>2162</v>
      </c>
      <c r="B188" s="1031" t="s">
        <v>3915</v>
      </c>
      <c r="C188" s="1056">
        <v>44592460</v>
      </c>
      <c r="D188" s="1056">
        <v>42201372</v>
      </c>
      <c r="E188" s="1056">
        <v>44592460</v>
      </c>
      <c r="F188" s="1056">
        <v>42201372</v>
      </c>
      <c r="G188" s="1056">
        <v>42648310</v>
      </c>
      <c r="H188" s="1056">
        <v>42648310</v>
      </c>
      <c r="I188" s="1056">
        <v>44592460</v>
      </c>
      <c r="J188" s="1056">
        <v>42201372</v>
      </c>
      <c r="K188" s="1056">
        <v>44592460</v>
      </c>
      <c r="L188" s="1056">
        <v>42201372</v>
      </c>
      <c r="M188" s="1056">
        <v>42648310</v>
      </c>
      <c r="N188" s="1056">
        <v>42648310</v>
      </c>
    </row>
    <row r="189" spans="1:14">
      <c r="A189" s="1049" t="s">
        <v>2716</v>
      </c>
      <c r="B189" s="1031" t="s">
        <v>2872</v>
      </c>
      <c r="C189" s="1056">
        <v>23492078</v>
      </c>
      <c r="D189" s="1056">
        <v>21885266</v>
      </c>
      <c r="E189" s="1056">
        <v>23492078</v>
      </c>
      <c r="F189" s="1056">
        <v>21885266</v>
      </c>
      <c r="G189" s="1056">
        <v>22119071</v>
      </c>
      <c r="H189" s="1056">
        <v>22119071</v>
      </c>
      <c r="I189" s="1056">
        <v>23492078</v>
      </c>
      <c r="J189" s="1056">
        <v>21885266</v>
      </c>
      <c r="K189" s="1056">
        <v>23492078</v>
      </c>
      <c r="L189" s="1056">
        <v>21885266</v>
      </c>
      <c r="M189" s="1056">
        <v>22119071</v>
      </c>
      <c r="N189" s="1056">
        <v>22119071</v>
      </c>
    </row>
    <row r="190" spans="1:14">
      <c r="A190" s="1049" t="s">
        <v>2718</v>
      </c>
      <c r="B190" s="1031" t="s">
        <v>4761</v>
      </c>
      <c r="C190" s="1056">
        <v>160782549</v>
      </c>
      <c r="D190" s="1056">
        <v>157624469</v>
      </c>
      <c r="E190" s="1056">
        <v>160782549</v>
      </c>
      <c r="F190" s="1056">
        <v>157624469</v>
      </c>
      <c r="G190" s="1056">
        <v>157624469</v>
      </c>
      <c r="H190" s="1056">
        <v>157624469</v>
      </c>
      <c r="I190" s="1056">
        <v>160782549</v>
      </c>
      <c r="J190" s="1056">
        <v>157624469</v>
      </c>
      <c r="K190" s="1056">
        <v>160782549</v>
      </c>
      <c r="L190" s="1056">
        <v>157624469</v>
      </c>
      <c r="M190" s="1056">
        <v>157624469</v>
      </c>
      <c r="N190" s="1056">
        <v>157624469</v>
      </c>
    </row>
    <row r="191" spans="1:14">
      <c r="A191" s="1049" t="s">
        <v>2720</v>
      </c>
      <c r="B191" s="1031" t="s">
        <v>2874</v>
      </c>
      <c r="C191" s="1056">
        <v>70049126</v>
      </c>
      <c r="D191" s="1056">
        <v>68387226</v>
      </c>
      <c r="E191" s="1056">
        <v>70049126</v>
      </c>
      <c r="F191" s="1056">
        <v>68387226</v>
      </c>
      <c r="G191" s="1056">
        <v>68387226</v>
      </c>
      <c r="H191" s="1056">
        <v>68387226</v>
      </c>
      <c r="I191" s="1056">
        <v>70049126</v>
      </c>
      <c r="J191" s="1056">
        <v>68387226</v>
      </c>
      <c r="K191" s="1056">
        <v>70049126</v>
      </c>
      <c r="L191" s="1056">
        <v>68387226</v>
      </c>
      <c r="M191" s="1056">
        <v>68387226</v>
      </c>
      <c r="N191" s="1056">
        <v>68387226</v>
      </c>
    </row>
    <row r="192" spans="1:14">
      <c r="A192" s="1049" t="s">
        <v>1314</v>
      </c>
      <c r="B192" s="1031" t="s">
        <v>119</v>
      </c>
      <c r="C192" s="1056">
        <v>1002653429</v>
      </c>
      <c r="D192" s="1056">
        <v>971250200</v>
      </c>
      <c r="E192" s="1056">
        <v>1002653429</v>
      </c>
      <c r="F192" s="1056">
        <v>971250200</v>
      </c>
      <c r="G192" s="1056">
        <v>976127388</v>
      </c>
      <c r="H192" s="1056">
        <v>976127388</v>
      </c>
      <c r="I192" s="1056">
        <v>1002653429</v>
      </c>
      <c r="J192" s="1056">
        <v>971250200</v>
      </c>
      <c r="K192" s="1056">
        <v>1002653429</v>
      </c>
      <c r="L192" s="1056">
        <v>971250200</v>
      </c>
      <c r="M192" s="1056">
        <v>976127388</v>
      </c>
      <c r="N192" s="1056">
        <v>976127388</v>
      </c>
    </row>
    <row r="193" spans="1:14">
      <c r="A193" s="1049" t="s">
        <v>2722</v>
      </c>
      <c r="B193" s="1031" t="s">
        <v>2875</v>
      </c>
      <c r="C193" s="1056">
        <v>342937817</v>
      </c>
      <c r="D193" s="1056">
        <v>335224198</v>
      </c>
      <c r="E193" s="1056">
        <v>342937817</v>
      </c>
      <c r="F193" s="1056">
        <v>335224198</v>
      </c>
      <c r="G193" s="1056">
        <v>336979422</v>
      </c>
      <c r="H193" s="1056">
        <v>336979422</v>
      </c>
      <c r="I193" s="1056">
        <v>411034372</v>
      </c>
      <c r="J193" s="1056">
        <v>403320753</v>
      </c>
      <c r="K193" s="1056">
        <v>411034372</v>
      </c>
      <c r="L193" s="1056">
        <v>403320753</v>
      </c>
      <c r="M193" s="1056">
        <v>405075977</v>
      </c>
      <c r="N193" s="1056">
        <v>405075977</v>
      </c>
    </row>
    <row r="194" spans="1:14">
      <c r="A194" s="1049" t="s">
        <v>442</v>
      </c>
      <c r="B194" s="1031" t="s">
        <v>5372</v>
      </c>
      <c r="C194" s="1056">
        <v>226749915</v>
      </c>
      <c r="D194" s="1056">
        <v>219280969</v>
      </c>
      <c r="E194" s="1056">
        <v>226749915</v>
      </c>
      <c r="F194" s="1056">
        <v>219280969</v>
      </c>
      <c r="G194" s="1056">
        <v>221060037</v>
      </c>
      <c r="H194" s="1056">
        <v>221060037</v>
      </c>
      <c r="I194" s="1056">
        <v>226749915</v>
      </c>
      <c r="J194" s="1056">
        <v>219280969</v>
      </c>
      <c r="K194" s="1056">
        <v>226749915</v>
      </c>
      <c r="L194" s="1056">
        <v>219280969</v>
      </c>
      <c r="M194" s="1056">
        <v>221060037</v>
      </c>
      <c r="N194" s="1056">
        <v>221060037</v>
      </c>
    </row>
    <row r="195" spans="1:14">
      <c r="A195" s="1049" t="s">
        <v>2724</v>
      </c>
      <c r="B195" s="1031" t="s">
        <v>2876</v>
      </c>
      <c r="C195" s="1056">
        <v>604734877</v>
      </c>
      <c r="D195" s="1056">
        <v>584624712</v>
      </c>
      <c r="E195" s="1056">
        <v>604734877</v>
      </c>
      <c r="F195" s="1056">
        <v>584624712</v>
      </c>
      <c r="G195" s="1056">
        <v>593747219</v>
      </c>
      <c r="H195" s="1056">
        <v>593747219</v>
      </c>
      <c r="I195" s="1056">
        <v>604734877</v>
      </c>
      <c r="J195" s="1056">
        <v>584624712</v>
      </c>
      <c r="K195" s="1056">
        <v>604734877</v>
      </c>
      <c r="L195" s="1056">
        <v>584624712</v>
      </c>
      <c r="M195" s="1056">
        <v>593747219</v>
      </c>
      <c r="N195" s="1056">
        <v>593747219</v>
      </c>
    </row>
    <row r="196" spans="1:14">
      <c r="A196" s="1049" t="s">
        <v>5321</v>
      </c>
      <c r="B196" s="1031" t="s">
        <v>2877</v>
      </c>
      <c r="C196" s="1056">
        <v>209583490</v>
      </c>
      <c r="D196" s="1056">
        <v>205012074</v>
      </c>
      <c r="E196" s="1056">
        <v>209583490</v>
      </c>
      <c r="F196" s="1056">
        <v>205012074</v>
      </c>
      <c r="G196" s="1056">
        <v>206234869</v>
      </c>
      <c r="H196" s="1056">
        <v>206234869</v>
      </c>
      <c r="I196" s="1056">
        <v>209583490</v>
      </c>
      <c r="J196" s="1056">
        <v>205012074</v>
      </c>
      <c r="K196" s="1056">
        <v>209583490</v>
      </c>
      <c r="L196" s="1056">
        <v>205012074</v>
      </c>
      <c r="M196" s="1056">
        <v>206234869</v>
      </c>
      <c r="N196" s="1056">
        <v>206234869</v>
      </c>
    </row>
    <row r="197" spans="1:14">
      <c r="A197" s="1049" t="s">
        <v>5323</v>
      </c>
      <c r="B197" s="1031" t="s">
        <v>2878</v>
      </c>
      <c r="C197" s="1056">
        <v>429288758</v>
      </c>
      <c r="D197" s="1056">
        <v>424152679</v>
      </c>
      <c r="E197" s="1056">
        <v>429288758</v>
      </c>
      <c r="F197" s="1056">
        <v>424152679</v>
      </c>
      <c r="G197" s="1056">
        <v>425639985</v>
      </c>
      <c r="H197" s="1056">
        <v>425639985</v>
      </c>
      <c r="I197" s="1056">
        <v>429288758</v>
      </c>
      <c r="J197" s="1056">
        <v>424152679</v>
      </c>
      <c r="K197" s="1056">
        <v>429288758</v>
      </c>
      <c r="L197" s="1056">
        <v>424152679</v>
      </c>
      <c r="M197" s="1056">
        <v>425639985</v>
      </c>
      <c r="N197" s="1056">
        <v>425639985</v>
      </c>
    </row>
    <row r="198" spans="1:14">
      <c r="A198" s="1049" t="s">
        <v>5325</v>
      </c>
      <c r="B198" s="1031" t="s">
        <v>2879</v>
      </c>
      <c r="C198" s="1056">
        <v>28641879</v>
      </c>
      <c r="D198" s="1056">
        <v>28368671</v>
      </c>
      <c r="E198" s="1056">
        <v>28641879</v>
      </c>
      <c r="F198" s="1056">
        <v>28368671</v>
      </c>
      <c r="G198" s="1056">
        <v>28397709</v>
      </c>
      <c r="H198" s="1056">
        <v>28397709</v>
      </c>
      <c r="I198" s="1056">
        <v>28641879</v>
      </c>
      <c r="J198" s="1056">
        <v>28368671</v>
      </c>
      <c r="K198" s="1056">
        <v>28641879</v>
      </c>
      <c r="L198" s="1056">
        <v>28368671</v>
      </c>
      <c r="M198" s="1056">
        <v>28397709</v>
      </c>
      <c r="N198" s="1056">
        <v>28397709</v>
      </c>
    </row>
    <row r="199" spans="1:14">
      <c r="A199" s="1049" t="s">
        <v>5327</v>
      </c>
      <c r="B199" s="1031" t="s">
        <v>2880</v>
      </c>
      <c r="C199" s="1056">
        <v>127193666</v>
      </c>
      <c r="D199" s="1056">
        <v>125767656</v>
      </c>
      <c r="E199" s="1056">
        <v>127193666</v>
      </c>
      <c r="F199" s="1056">
        <v>125767656</v>
      </c>
      <c r="G199" s="1056">
        <v>126406561</v>
      </c>
      <c r="H199" s="1056">
        <v>126406561</v>
      </c>
      <c r="I199" s="1056">
        <v>127193666</v>
      </c>
      <c r="J199" s="1056">
        <v>125767656</v>
      </c>
      <c r="K199" s="1056">
        <v>127193666</v>
      </c>
      <c r="L199" s="1056">
        <v>125767656</v>
      </c>
      <c r="M199" s="1056">
        <v>126406561</v>
      </c>
      <c r="N199" s="1056">
        <v>126406561</v>
      </c>
    </row>
    <row r="200" spans="1:14">
      <c r="A200" s="1049" t="s">
        <v>5329</v>
      </c>
      <c r="B200" s="1031" t="s">
        <v>2881</v>
      </c>
      <c r="C200" s="1056">
        <v>86114192</v>
      </c>
      <c r="D200" s="1056">
        <v>82040855</v>
      </c>
      <c r="E200" s="1056">
        <v>86114192</v>
      </c>
      <c r="F200" s="1056">
        <v>82040855</v>
      </c>
      <c r="G200" s="1056">
        <v>82605374</v>
      </c>
      <c r="H200" s="1056">
        <v>82605374</v>
      </c>
      <c r="I200" s="1056">
        <v>86114192</v>
      </c>
      <c r="J200" s="1056">
        <v>82040855</v>
      </c>
      <c r="K200" s="1056">
        <v>86114192</v>
      </c>
      <c r="L200" s="1056">
        <v>82040855</v>
      </c>
      <c r="M200" s="1056">
        <v>82605374</v>
      </c>
      <c r="N200" s="1056">
        <v>82605374</v>
      </c>
    </row>
    <row r="201" spans="1:14">
      <c r="A201" s="1049" t="s">
        <v>5331</v>
      </c>
      <c r="B201" s="1031" t="s">
        <v>2882</v>
      </c>
      <c r="C201" s="1056">
        <v>649916746</v>
      </c>
      <c r="D201" s="1056">
        <v>613205637</v>
      </c>
      <c r="E201" s="1056">
        <v>649916746</v>
      </c>
      <c r="F201" s="1056">
        <v>613205637</v>
      </c>
      <c r="G201" s="1056">
        <v>618974286</v>
      </c>
      <c r="H201" s="1056">
        <v>618974286</v>
      </c>
      <c r="I201" s="1056">
        <v>649916746</v>
      </c>
      <c r="J201" s="1056">
        <v>613205637</v>
      </c>
      <c r="K201" s="1056">
        <v>649916746</v>
      </c>
      <c r="L201" s="1056">
        <v>613205637</v>
      </c>
      <c r="M201" s="1056">
        <v>618974286</v>
      </c>
      <c r="N201" s="1056">
        <v>618974286</v>
      </c>
    </row>
    <row r="202" spans="1:14">
      <c r="A202" s="1049" t="s">
        <v>585</v>
      </c>
      <c r="B202" s="1031" t="s">
        <v>3833</v>
      </c>
      <c r="C202" s="1056">
        <v>44330651</v>
      </c>
      <c r="D202" s="1056">
        <v>41350954</v>
      </c>
      <c r="E202" s="1056">
        <v>44330651</v>
      </c>
      <c r="F202" s="1056">
        <v>41350954</v>
      </c>
      <c r="G202" s="1056">
        <v>41701497</v>
      </c>
      <c r="H202" s="1056">
        <v>41701497</v>
      </c>
      <c r="I202" s="1056">
        <v>44330651</v>
      </c>
      <c r="J202" s="1056">
        <v>41350954</v>
      </c>
      <c r="K202" s="1056">
        <v>44330651</v>
      </c>
      <c r="L202" s="1056">
        <v>41350954</v>
      </c>
      <c r="M202" s="1056">
        <v>41701497</v>
      </c>
      <c r="N202" s="1056">
        <v>41701497</v>
      </c>
    </row>
    <row r="203" spans="1:14">
      <c r="A203" s="1049" t="s">
        <v>5333</v>
      </c>
      <c r="B203" s="1031" t="s">
        <v>2883</v>
      </c>
      <c r="C203" s="1056">
        <v>63235486</v>
      </c>
      <c r="D203" s="1056">
        <v>60321484</v>
      </c>
      <c r="E203" s="1056">
        <v>63235486</v>
      </c>
      <c r="F203" s="1056">
        <v>60321484</v>
      </c>
      <c r="G203" s="1056">
        <v>60525632</v>
      </c>
      <c r="H203" s="1056">
        <v>60525632</v>
      </c>
      <c r="I203" s="1056">
        <v>63235486</v>
      </c>
      <c r="J203" s="1056">
        <v>60321484</v>
      </c>
      <c r="K203" s="1056">
        <v>63235486</v>
      </c>
      <c r="L203" s="1056">
        <v>60321484</v>
      </c>
      <c r="M203" s="1056">
        <v>60525632</v>
      </c>
      <c r="N203" s="1056">
        <v>60525632</v>
      </c>
    </row>
    <row r="204" spans="1:14">
      <c r="A204" s="1049" t="s">
        <v>239</v>
      </c>
      <c r="B204" s="1031" t="s">
        <v>2647</v>
      </c>
      <c r="C204" s="1056">
        <v>1341850871</v>
      </c>
      <c r="D204" s="1056">
        <v>1268597641</v>
      </c>
      <c r="E204" s="1056">
        <v>1341850871</v>
      </c>
      <c r="F204" s="1056">
        <v>1268597641</v>
      </c>
      <c r="G204" s="1056">
        <v>1268933303</v>
      </c>
      <c r="H204" s="1056">
        <v>1268933303</v>
      </c>
      <c r="I204" s="1056">
        <v>1341850871</v>
      </c>
      <c r="J204" s="1056">
        <v>1268597641</v>
      </c>
      <c r="K204" s="1056">
        <v>1341850871</v>
      </c>
      <c r="L204" s="1056">
        <v>1268597641</v>
      </c>
      <c r="M204" s="1056">
        <v>1268933303</v>
      </c>
      <c r="N204" s="1056">
        <v>1268933303</v>
      </c>
    </row>
    <row r="205" spans="1:14">
      <c r="A205" s="1049" t="s">
        <v>5335</v>
      </c>
      <c r="B205" s="1031" t="s">
        <v>2884</v>
      </c>
      <c r="C205" s="1056">
        <v>151714222</v>
      </c>
      <c r="D205" s="1056">
        <v>149477662</v>
      </c>
      <c r="E205" s="1056">
        <v>151041734</v>
      </c>
      <c r="F205" s="1056">
        <v>148805174</v>
      </c>
      <c r="G205" s="1056">
        <v>149706248</v>
      </c>
      <c r="H205" s="1056">
        <v>149033760</v>
      </c>
      <c r="I205" s="1056">
        <v>151714222</v>
      </c>
      <c r="J205" s="1056">
        <v>149477662</v>
      </c>
      <c r="K205" s="1056">
        <v>151041734</v>
      </c>
      <c r="L205" s="1056">
        <v>148805174</v>
      </c>
      <c r="M205" s="1056">
        <v>149706248</v>
      </c>
      <c r="N205" s="1056">
        <v>149033760</v>
      </c>
    </row>
    <row r="206" spans="1:14">
      <c r="A206" s="1049" t="s">
        <v>2450</v>
      </c>
      <c r="B206" s="1031" t="s">
        <v>2885</v>
      </c>
      <c r="C206" s="1056">
        <v>2228431359</v>
      </c>
      <c r="D206" s="1056">
        <v>2221707049</v>
      </c>
      <c r="E206" s="1056">
        <v>2228431359</v>
      </c>
      <c r="F206" s="1056">
        <v>2221707049</v>
      </c>
      <c r="G206" s="1056">
        <v>2221707049</v>
      </c>
      <c r="H206" s="1056">
        <v>2221707049</v>
      </c>
      <c r="I206" s="1056">
        <v>2228431359</v>
      </c>
      <c r="J206" s="1056">
        <v>2221707049</v>
      </c>
      <c r="K206" s="1056">
        <v>2228431359</v>
      </c>
      <c r="L206" s="1056">
        <v>2221707049</v>
      </c>
      <c r="M206" s="1056">
        <v>2221707049</v>
      </c>
      <c r="N206" s="1056">
        <v>2221707049</v>
      </c>
    </row>
    <row r="207" spans="1:14">
      <c r="A207" s="1049" t="s">
        <v>5685</v>
      </c>
      <c r="B207" s="1031" t="s">
        <v>8184</v>
      </c>
      <c r="C207" s="1056">
        <v>2277445745</v>
      </c>
      <c r="D207" s="1056">
        <v>2270882005</v>
      </c>
      <c r="E207" s="1056">
        <v>2274303444</v>
      </c>
      <c r="F207" s="1056">
        <v>2267739704</v>
      </c>
      <c r="G207" s="1056">
        <v>2271390118</v>
      </c>
      <c r="H207" s="1056">
        <v>2268247817</v>
      </c>
      <c r="I207" s="1056">
        <v>2277445745</v>
      </c>
      <c r="J207" s="1056">
        <v>2270882005</v>
      </c>
      <c r="K207" s="1056">
        <v>2274303444</v>
      </c>
      <c r="L207" s="1056">
        <v>2267739704</v>
      </c>
      <c r="M207" s="1056">
        <v>2271390118</v>
      </c>
      <c r="N207" s="1056">
        <v>2268247817</v>
      </c>
    </row>
    <row r="208" spans="1:14">
      <c r="A208" s="1049" t="s">
        <v>2454</v>
      </c>
      <c r="B208" s="1031" t="s">
        <v>4781</v>
      </c>
      <c r="C208" s="1056">
        <v>88893145</v>
      </c>
      <c r="D208" s="1056">
        <v>84975280</v>
      </c>
      <c r="E208" s="1056">
        <v>88893145</v>
      </c>
      <c r="F208" s="1056">
        <v>84975280</v>
      </c>
      <c r="G208" s="1056">
        <v>85762687</v>
      </c>
      <c r="H208" s="1056">
        <v>85762687</v>
      </c>
      <c r="I208" s="1056">
        <v>88893145</v>
      </c>
      <c r="J208" s="1056">
        <v>84975280</v>
      </c>
      <c r="K208" s="1056">
        <v>88893145</v>
      </c>
      <c r="L208" s="1056">
        <v>84975280</v>
      </c>
      <c r="M208" s="1056">
        <v>85762687</v>
      </c>
      <c r="N208" s="1056">
        <v>85762687</v>
      </c>
    </row>
    <row r="209" spans="1:14">
      <c r="A209" s="1049" t="s">
        <v>2456</v>
      </c>
      <c r="B209" s="1031" t="s">
        <v>2888</v>
      </c>
      <c r="C209" s="1056">
        <v>229185869</v>
      </c>
      <c r="D209" s="1056">
        <v>226784528</v>
      </c>
      <c r="E209" s="1056">
        <v>229185869</v>
      </c>
      <c r="F209" s="1056">
        <v>226784528</v>
      </c>
      <c r="G209" s="1056">
        <v>227136429</v>
      </c>
      <c r="H209" s="1056">
        <v>227136429</v>
      </c>
      <c r="I209" s="1056">
        <v>229185869</v>
      </c>
      <c r="J209" s="1056">
        <v>226784528</v>
      </c>
      <c r="K209" s="1056">
        <v>229185869</v>
      </c>
      <c r="L209" s="1056">
        <v>226784528</v>
      </c>
      <c r="M209" s="1056">
        <v>227136429</v>
      </c>
      <c r="N209" s="1056">
        <v>227136429</v>
      </c>
    </row>
    <row r="210" spans="1:14">
      <c r="A210" s="1049" t="s">
        <v>2458</v>
      </c>
      <c r="B210" s="1031" t="s">
        <v>2889</v>
      </c>
      <c r="C210" s="1056">
        <v>158417025</v>
      </c>
      <c r="D210" s="1056">
        <v>154818233</v>
      </c>
      <c r="E210" s="1056">
        <v>158417025</v>
      </c>
      <c r="F210" s="1056">
        <v>154818233</v>
      </c>
      <c r="G210" s="1056">
        <v>155277077</v>
      </c>
      <c r="H210" s="1056">
        <v>155277077</v>
      </c>
      <c r="I210" s="1056">
        <v>158417025</v>
      </c>
      <c r="J210" s="1056">
        <v>154818233</v>
      </c>
      <c r="K210" s="1056">
        <v>158417025</v>
      </c>
      <c r="L210" s="1056">
        <v>154818233</v>
      </c>
      <c r="M210" s="1056">
        <v>155277077</v>
      </c>
      <c r="N210" s="1056">
        <v>155277077</v>
      </c>
    </row>
    <row r="211" spans="1:14">
      <c r="A211" s="1049" t="s">
        <v>2460</v>
      </c>
      <c r="B211" s="1031" t="s">
        <v>2890</v>
      </c>
      <c r="C211" s="1056">
        <v>604909671</v>
      </c>
      <c r="D211" s="1056">
        <v>601422663</v>
      </c>
      <c r="E211" s="1056">
        <v>604909671</v>
      </c>
      <c r="F211" s="1056">
        <v>601422663</v>
      </c>
      <c r="G211" s="1056">
        <v>601422663</v>
      </c>
      <c r="H211" s="1056">
        <v>601422663</v>
      </c>
      <c r="I211" s="1056">
        <v>604909671</v>
      </c>
      <c r="J211" s="1056">
        <v>601422663</v>
      </c>
      <c r="K211" s="1056">
        <v>604909671</v>
      </c>
      <c r="L211" s="1056">
        <v>601422663</v>
      </c>
      <c r="M211" s="1056">
        <v>601422663</v>
      </c>
      <c r="N211" s="1056">
        <v>601422663</v>
      </c>
    </row>
    <row r="212" spans="1:14">
      <c r="A212" s="1049" t="s">
        <v>2462</v>
      </c>
      <c r="B212" s="1031" t="s">
        <v>2891</v>
      </c>
      <c r="C212" s="1056">
        <v>726985115</v>
      </c>
      <c r="D212" s="1056">
        <v>711820709</v>
      </c>
      <c r="E212" s="1056">
        <v>726985115</v>
      </c>
      <c r="F212" s="1056">
        <v>711820709</v>
      </c>
      <c r="G212" s="1056">
        <v>712022805</v>
      </c>
      <c r="H212" s="1056">
        <v>712022805</v>
      </c>
      <c r="I212" s="1056">
        <v>936753055</v>
      </c>
      <c r="J212" s="1056">
        <v>921588649</v>
      </c>
      <c r="K212" s="1056">
        <v>936753055</v>
      </c>
      <c r="L212" s="1056">
        <v>921588649</v>
      </c>
      <c r="M212" s="1056">
        <v>921790745</v>
      </c>
      <c r="N212" s="1056">
        <v>921790745</v>
      </c>
    </row>
    <row r="213" spans="1:14">
      <c r="A213" s="1049" t="s">
        <v>2464</v>
      </c>
      <c r="B213" s="1031" t="s">
        <v>2892</v>
      </c>
      <c r="C213" s="1056">
        <v>127370979</v>
      </c>
      <c r="D213" s="1056">
        <v>126355880</v>
      </c>
      <c r="E213" s="1056">
        <v>127370979</v>
      </c>
      <c r="F213" s="1056">
        <v>126355880</v>
      </c>
      <c r="G213" s="1056">
        <v>126425795</v>
      </c>
      <c r="H213" s="1056">
        <v>126425795</v>
      </c>
      <c r="I213" s="1056">
        <v>127370979</v>
      </c>
      <c r="J213" s="1056">
        <v>126355880</v>
      </c>
      <c r="K213" s="1056">
        <v>127370979</v>
      </c>
      <c r="L213" s="1056">
        <v>126355880</v>
      </c>
      <c r="M213" s="1056">
        <v>126425795</v>
      </c>
      <c r="N213" s="1056">
        <v>126425795</v>
      </c>
    </row>
    <row r="214" spans="1:14">
      <c r="A214" s="1049" t="s">
        <v>2104</v>
      </c>
      <c r="B214" s="1031" t="s">
        <v>2893</v>
      </c>
      <c r="C214" s="1056">
        <v>14579071194</v>
      </c>
      <c r="D214" s="1056">
        <v>14325312871</v>
      </c>
      <c r="E214" s="1056">
        <v>14579071194</v>
      </c>
      <c r="F214" s="1056">
        <v>14325312871</v>
      </c>
      <c r="G214" s="1056">
        <v>14400394203</v>
      </c>
      <c r="H214" s="1056">
        <v>14400394203</v>
      </c>
      <c r="I214" s="1056">
        <v>14579071194</v>
      </c>
      <c r="J214" s="1056">
        <v>14325312871</v>
      </c>
      <c r="K214" s="1056">
        <v>14579071194</v>
      </c>
      <c r="L214" s="1056">
        <v>14325312871</v>
      </c>
      <c r="M214" s="1056">
        <v>14400394203</v>
      </c>
      <c r="N214" s="1056">
        <v>14400394203</v>
      </c>
    </row>
    <row r="215" spans="1:14">
      <c r="A215" s="1049" t="s">
        <v>2106</v>
      </c>
      <c r="B215" s="1031" t="s">
        <v>2894</v>
      </c>
      <c r="C215" s="1056">
        <v>2655126437</v>
      </c>
      <c r="D215" s="1056">
        <v>2554375397</v>
      </c>
      <c r="E215" s="1056">
        <v>2655126437</v>
      </c>
      <c r="F215" s="1056">
        <v>2554375397</v>
      </c>
      <c r="G215" s="1056">
        <v>2574363922</v>
      </c>
      <c r="H215" s="1056">
        <v>2574363922</v>
      </c>
      <c r="I215" s="1056">
        <v>2655126437</v>
      </c>
      <c r="J215" s="1056">
        <v>2554375397</v>
      </c>
      <c r="K215" s="1056">
        <v>2655126437</v>
      </c>
      <c r="L215" s="1056">
        <v>2554375397</v>
      </c>
      <c r="M215" s="1056">
        <v>2574363922</v>
      </c>
      <c r="N215" s="1056">
        <v>2574363922</v>
      </c>
    </row>
    <row r="216" spans="1:14">
      <c r="A216" s="1049" t="s">
        <v>2108</v>
      </c>
      <c r="B216" s="1031" t="s">
        <v>2895</v>
      </c>
      <c r="C216" s="1056">
        <v>85571985631</v>
      </c>
      <c r="D216" s="1056">
        <v>84049742908</v>
      </c>
      <c r="E216" s="1056">
        <v>83936554135</v>
      </c>
      <c r="F216" s="1056">
        <v>82414311412</v>
      </c>
      <c r="G216" s="1056">
        <v>84521944049</v>
      </c>
      <c r="H216" s="1056">
        <v>82886512553</v>
      </c>
      <c r="I216" s="1056">
        <v>85571985631</v>
      </c>
      <c r="J216" s="1056">
        <v>84049742908</v>
      </c>
      <c r="K216" s="1056">
        <v>83936554135</v>
      </c>
      <c r="L216" s="1056">
        <v>82414311412</v>
      </c>
      <c r="M216" s="1056">
        <v>84521944049</v>
      </c>
      <c r="N216" s="1056">
        <v>82886512553</v>
      </c>
    </row>
    <row r="217" spans="1:14">
      <c r="A217" s="1049" t="s">
        <v>2110</v>
      </c>
      <c r="B217" s="1031" t="s">
        <v>2896</v>
      </c>
      <c r="C217" s="1056">
        <v>2161281651</v>
      </c>
      <c r="D217" s="1056">
        <v>2047819785</v>
      </c>
      <c r="E217" s="1056">
        <v>2161281651</v>
      </c>
      <c r="F217" s="1056">
        <v>2047819785</v>
      </c>
      <c r="G217" s="1056">
        <v>2047819785</v>
      </c>
      <c r="H217" s="1056">
        <v>2047819785</v>
      </c>
      <c r="I217" s="1056">
        <v>2161281651</v>
      </c>
      <c r="J217" s="1056">
        <v>2047819785</v>
      </c>
      <c r="K217" s="1056">
        <v>2161281651</v>
      </c>
      <c r="L217" s="1056">
        <v>2047819785</v>
      </c>
      <c r="M217" s="1056">
        <v>2047819785</v>
      </c>
      <c r="N217" s="1056">
        <v>2047819785</v>
      </c>
    </row>
    <row r="218" spans="1:14">
      <c r="A218" s="1049" t="s">
        <v>2112</v>
      </c>
      <c r="B218" s="1031" t="s">
        <v>2897</v>
      </c>
      <c r="C218" s="1056">
        <v>3444018469</v>
      </c>
      <c r="D218" s="1056">
        <v>3309611095</v>
      </c>
      <c r="E218" s="1056">
        <v>3444018469</v>
      </c>
      <c r="F218" s="1056">
        <v>3309611095</v>
      </c>
      <c r="G218" s="1056">
        <v>3343933577</v>
      </c>
      <c r="H218" s="1056">
        <v>3343933577</v>
      </c>
      <c r="I218" s="1056">
        <v>3444018469</v>
      </c>
      <c r="J218" s="1056">
        <v>3309611095</v>
      </c>
      <c r="K218" s="1056">
        <v>3444018469</v>
      </c>
      <c r="L218" s="1056">
        <v>3309611095</v>
      </c>
      <c r="M218" s="1056">
        <v>3343933577</v>
      </c>
      <c r="N218" s="1056">
        <v>3343933577</v>
      </c>
    </row>
    <row r="219" spans="1:14">
      <c r="A219" s="1049" t="s">
        <v>1317</v>
      </c>
      <c r="B219" s="1031" t="s">
        <v>122</v>
      </c>
      <c r="C219" s="1056">
        <v>13756055910</v>
      </c>
      <c r="D219" s="1056">
        <v>13205988142</v>
      </c>
      <c r="E219" s="1056">
        <v>13756055910</v>
      </c>
      <c r="F219" s="1056">
        <v>13205988142</v>
      </c>
      <c r="G219" s="1056">
        <v>13367599408</v>
      </c>
      <c r="H219" s="1056">
        <v>13367599408</v>
      </c>
      <c r="I219" s="1056">
        <v>13756055910</v>
      </c>
      <c r="J219" s="1056">
        <v>13205988142</v>
      </c>
      <c r="K219" s="1056">
        <v>13756055910</v>
      </c>
      <c r="L219" s="1056">
        <v>13205988142</v>
      </c>
      <c r="M219" s="1056">
        <v>13367599408</v>
      </c>
      <c r="N219" s="1056">
        <v>13367599408</v>
      </c>
    </row>
    <row r="220" spans="1:14">
      <c r="A220" s="1049" t="s">
        <v>587</v>
      </c>
      <c r="B220" s="1031" t="s">
        <v>4966</v>
      </c>
      <c r="C220" s="1056">
        <v>5003197345</v>
      </c>
      <c r="D220" s="1056">
        <v>4806733294</v>
      </c>
      <c r="E220" s="1056">
        <v>5003197345</v>
      </c>
      <c r="F220" s="1056">
        <v>4806733294</v>
      </c>
      <c r="G220" s="1056">
        <v>4823379096</v>
      </c>
      <c r="H220" s="1056">
        <v>4823379096</v>
      </c>
      <c r="I220" s="1056">
        <v>5003197345</v>
      </c>
      <c r="J220" s="1056">
        <v>4806733294</v>
      </c>
      <c r="K220" s="1056">
        <v>5003197345</v>
      </c>
      <c r="L220" s="1056">
        <v>4806733294</v>
      </c>
      <c r="M220" s="1056">
        <v>4823379096</v>
      </c>
      <c r="N220" s="1056">
        <v>4823379096</v>
      </c>
    </row>
    <row r="221" spans="1:14">
      <c r="A221" s="1049" t="s">
        <v>4569</v>
      </c>
      <c r="B221" s="1031" t="s">
        <v>2898</v>
      </c>
      <c r="C221" s="1056">
        <v>13458122227</v>
      </c>
      <c r="D221" s="1056">
        <v>13377424193</v>
      </c>
      <c r="E221" s="1056">
        <v>12347816218</v>
      </c>
      <c r="F221" s="1056">
        <v>12267118184</v>
      </c>
      <c r="G221" s="1056">
        <v>13561365254</v>
      </c>
      <c r="H221" s="1056">
        <v>12451059245</v>
      </c>
      <c r="I221" s="1056">
        <v>13458122227</v>
      </c>
      <c r="J221" s="1056">
        <v>13377424193</v>
      </c>
      <c r="K221" s="1056">
        <v>12347816218</v>
      </c>
      <c r="L221" s="1056">
        <v>12267118184</v>
      </c>
      <c r="M221" s="1056">
        <v>13561365254</v>
      </c>
      <c r="N221" s="1056">
        <v>12451059245</v>
      </c>
    </row>
    <row r="222" spans="1:14">
      <c r="A222" s="1049" t="s">
        <v>6021</v>
      </c>
      <c r="B222" s="1031" t="s">
        <v>3860</v>
      </c>
      <c r="C222" s="1056">
        <v>9284193195</v>
      </c>
      <c r="D222" s="1056">
        <v>9062509710</v>
      </c>
      <c r="E222" s="1056">
        <v>9284193195</v>
      </c>
      <c r="F222" s="1056">
        <v>9062509710</v>
      </c>
      <c r="G222" s="1056">
        <v>9139448107</v>
      </c>
      <c r="H222" s="1056">
        <v>9139448107</v>
      </c>
      <c r="I222" s="1056">
        <v>9284193195</v>
      </c>
      <c r="J222" s="1056">
        <v>9062509710</v>
      </c>
      <c r="K222" s="1056">
        <v>9284193195</v>
      </c>
      <c r="L222" s="1056">
        <v>9062509710</v>
      </c>
      <c r="M222" s="1056">
        <v>9139448107</v>
      </c>
      <c r="N222" s="1056">
        <v>9139448107</v>
      </c>
    </row>
    <row r="223" spans="1:14">
      <c r="A223" s="1049" t="s">
        <v>4571</v>
      </c>
      <c r="B223" s="1031" t="s">
        <v>2899</v>
      </c>
      <c r="C223" s="1056">
        <v>1632770671</v>
      </c>
      <c r="D223" s="1056">
        <v>1560461808</v>
      </c>
      <c r="E223" s="1056">
        <v>1632770671</v>
      </c>
      <c r="F223" s="1056">
        <v>1560461808</v>
      </c>
      <c r="G223" s="1056">
        <v>1571550326</v>
      </c>
      <c r="H223" s="1056">
        <v>1571550326</v>
      </c>
      <c r="I223" s="1056">
        <v>1632770671</v>
      </c>
      <c r="J223" s="1056">
        <v>1560461808</v>
      </c>
      <c r="K223" s="1056">
        <v>1632770671</v>
      </c>
      <c r="L223" s="1056">
        <v>1560461808</v>
      </c>
      <c r="M223" s="1056">
        <v>1571550326</v>
      </c>
      <c r="N223" s="1056">
        <v>1571550326</v>
      </c>
    </row>
    <row r="224" spans="1:14">
      <c r="A224" s="1049" t="s">
        <v>6171</v>
      </c>
      <c r="B224" s="1031" t="s">
        <v>496</v>
      </c>
      <c r="C224" s="1056">
        <v>6127903251</v>
      </c>
      <c r="D224" s="1056">
        <v>5850844653</v>
      </c>
      <c r="E224" s="1056">
        <v>6127903251</v>
      </c>
      <c r="F224" s="1056">
        <v>5850844653</v>
      </c>
      <c r="G224" s="1056">
        <v>5897579830</v>
      </c>
      <c r="H224" s="1056">
        <v>5897579830</v>
      </c>
      <c r="I224" s="1056">
        <v>6127903251</v>
      </c>
      <c r="J224" s="1056">
        <v>5850844653</v>
      </c>
      <c r="K224" s="1056">
        <v>6127903251</v>
      </c>
      <c r="L224" s="1056">
        <v>5850844653</v>
      </c>
      <c r="M224" s="1056">
        <v>5897579830</v>
      </c>
      <c r="N224" s="1056">
        <v>5897579830</v>
      </c>
    </row>
    <row r="225" spans="1:14">
      <c r="A225" s="1049" t="s">
        <v>4573</v>
      </c>
      <c r="B225" s="1031" t="s">
        <v>2900</v>
      </c>
      <c r="C225" s="1056">
        <v>17510553856</v>
      </c>
      <c r="D225" s="1056">
        <v>17105202926</v>
      </c>
      <c r="E225" s="1056">
        <v>17072683258</v>
      </c>
      <c r="F225" s="1056">
        <v>16667332328</v>
      </c>
      <c r="G225" s="1056">
        <v>17352907788</v>
      </c>
      <c r="H225" s="1056">
        <v>16915037190</v>
      </c>
      <c r="I225" s="1056">
        <v>17510553856</v>
      </c>
      <c r="J225" s="1056">
        <v>17105202926</v>
      </c>
      <c r="K225" s="1056">
        <v>17072683258</v>
      </c>
      <c r="L225" s="1056">
        <v>16667332328</v>
      </c>
      <c r="M225" s="1056">
        <v>17352907788</v>
      </c>
      <c r="N225" s="1056">
        <v>16915037190</v>
      </c>
    </row>
    <row r="226" spans="1:14">
      <c r="A226" s="1049" t="s">
        <v>4575</v>
      </c>
      <c r="B226" s="1031" t="s">
        <v>2901</v>
      </c>
      <c r="C226" s="1056">
        <v>869765822</v>
      </c>
      <c r="D226" s="1056">
        <v>854125572</v>
      </c>
      <c r="E226" s="1056">
        <v>869765822</v>
      </c>
      <c r="F226" s="1056">
        <v>854125572</v>
      </c>
      <c r="G226" s="1056">
        <v>854596565</v>
      </c>
      <c r="H226" s="1056">
        <v>854596565</v>
      </c>
      <c r="I226" s="1056">
        <v>869765822</v>
      </c>
      <c r="J226" s="1056">
        <v>854125572</v>
      </c>
      <c r="K226" s="1056">
        <v>869765822</v>
      </c>
      <c r="L226" s="1056">
        <v>854125572</v>
      </c>
      <c r="M226" s="1056">
        <v>854596565</v>
      </c>
      <c r="N226" s="1056">
        <v>854596565</v>
      </c>
    </row>
    <row r="227" spans="1:14">
      <c r="A227" s="1049" t="s">
        <v>4579</v>
      </c>
      <c r="B227" s="1031" t="s">
        <v>2676</v>
      </c>
      <c r="C227" s="1056">
        <v>8527286065</v>
      </c>
      <c r="D227" s="1056">
        <v>8418684505</v>
      </c>
      <c r="E227" s="1056">
        <v>8527286065</v>
      </c>
      <c r="F227" s="1056">
        <v>8418684505</v>
      </c>
      <c r="G227" s="1056">
        <v>8439899619</v>
      </c>
      <c r="H227" s="1056">
        <v>8439899619</v>
      </c>
      <c r="I227" s="1056">
        <v>8527286065</v>
      </c>
      <c r="J227" s="1056">
        <v>8418684505</v>
      </c>
      <c r="K227" s="1056">
        <v>8527286065</v>
      </c>
      <c r="L227" s="1056">
        <v>8418684505</v>
      </c>
      <c r="M227" s="1056">
        <v>8439899619</v>
      </c>
      <c r="N227" s="1056">
        <v>8439899619</v>
      </c>
    </row>
    <row r="228" spans="1:14">
      <c r="A228" s="1049" t="s">
        <v>4581</v>
      </c>
      <c r="B228" s="1031" t="s">
        <v>993</v>
      </c>
      <c r="C228" s="1056">
        <v>255624886</v>
      </c>
      <c r="D228" s="1056">
        <v>255060453</v>
      </c>
      <c r="E228" s="1056">
        <v>255624886</v>
      </c>
      <c r="F228" s="1056">
        <v>255060453</v>
      </c>
      <c r="G228" s="1056">
        <v>255134395</v>
      </c>
      <c r="H228" s="1056">
        <v>255134395</v>
      </c>
      <c r="I228" s="1056">
        <v>255624886</v>
      </c>
      <c r="J228" s="1056">
        <v>255060453</v>
      </c>
      <c r="K228" s="1056">
        <v>255624886</v>
      </c>
      <c r="L228" s="1056">
        <v>255060453</v>
      </c>
      <c r="M228" s="1056">
        <v>255134395</v>
      </c>
      <c r="N228" s="1056">
        <v>255134395</v>
      </c>
    </row>
    <row r="229" spans="1:14">
      <c r="A229" s="1049" t="s">
        <v>4582</v>
      </c>
      <c r="B229" s="1031" t="s">
        <v>2677</v>
      </c>
      <c r="C229" s="1056">
        <v>1351843716</v>
      </c>
      <c r="D229" s="1056">
        <v>1350462086</v>
      </c>
      <c r="E229" s="1056">
        <v>1350409445</v>
      </c>
      <c r="F229" s="1056">
        <v>1349027815</v>
      </c>
      <c r="G229" s="1056">
        <v>1350589881</v>
      </c>
      <c r="H229" s="1056">
        <v>1349155610</v>
      </c>
      <c r="I229" s="1056">
        <v>1351843716</v>
      </c>
      <c r="J229" s="1056">
        <v>1350462086</v>
      </c>
      <c r="K229" s="1056">
        <v>1350409445</v>
      </c>
      <c r="L229" s="1056">
        <v>1349027815</v>
      </c>
      <c r="M229" s="1056">
        <v>1350589881</v>
      </c>
      <c r="N229" s="1056">
        <v>1349155610</v>
      </c>
    </row>
    <row r="230" spans="1:14">
      <c r="A230" s="1049" t="s">
        <v>4584</v>
      </c>
      <c r="B230" s="1031" t="s">
        <v>2678</v>
      </c>
      <c r="C230" s="1056">
        <v>516666292</v>
      </c>
      <c r="D230" s="1056">
        <v>500866872</v>
      </c>
      <c r="E230" s="1056">
        <v>516666292</v>
      </c>
      <c r="F230" s="1056">
        <v>500866872</v>
      </c>
      <c r="G230" s="1056">
        <v>503107043</v>
      </c>
      <c r="H230" s="1056">
        <v>503107043</v>
      </c>
      <c r="I230" s="1056">
        <v>516666292</v>
      </c>
      <c r="J230" s="1056">
        <v>500866872</v>
      </c>
      <c r="K230" s="1056">
        <v>516666292</v>
      </c>
      <c r="L230" s="1056">
        <v>500866872</v>
      </c>
      <c r="M230" s="1056">
        <v>503107043</v>
      </c>
      <c r="N230" s="1056">
        <v>503107043</v>
      </c>
    </row>
    <row r="231" spans="1:14">
      <c r="A231" s="1049" t="s">
        <v>4586</v>
      </c>
      <c r="B231" s="1031" t="s">
        <v>2679</v>
      </c>
      <c r="C231" s="1056">
        <v>1266635929</v>
      </c>
      <c r="D231" s="1056">
        <v>1265435392</v>
      </c>
      <c r="E231" s="1056">
        <v>1265569947</v>
      </c>
      <c r="F231" s="1056">
        <v>1264369410</v>
      </c>
      <c r="G231" s="1056">
        <v>1265506620</v>
      </c>
      <c r="H231" s="1056">
        <v>1264440638</v>
      </c>
      <c r="I231" s="1056">
        <v>1266635929</v>
      </c>
      <c r="J231" s="1056">
        <v>1265435392</v>
      </c>
      <c r="K231" s="1056">
        <v>1265569947</v>
      </c>
      <c r="L231" s="1056">
        <v>1264369410</v>
      </c>
      <c r="M231" s="1056">
        <v>1265506620</v>
      </c>
      <c r="N231" s="1056">
        <v>1264440638</v>
      </c>
    </row>
    <row r="232" spans="1:14">
      <c r="A232" s="1049" t="s">
        <v>1865</v>
      </c>
      <c r="B232" s="1031" t="s">
        <v>3843</v>
      </c>
      <c r="C232" s="1056">
        <v>1150937469</v>
      </c>
      <c r="D232" s="1056">
        <v>1121991215</v>
      </c>
      <c r="E232" s="1056">
        <v>1150937469</v>
      </c>
      <c r="F232" s="1056">
        <v>1121991215</v>
      </c>
      <c r="G232" s="1056">
        <v>1128620446</v>
      </c>
      <c r="H232" s="1056">
        <v>1128620446</v>
      </c>
      <c r="I232" s="1056">
        <v>1150937469</v>
      </c>
      <c r="J232" s="1056">
        <v>1121991215</v>
      </c>
      <c r="K232" s="1056">
        <v>1150937469</v>
      </c>
      <c r="L232" s="1056">
        <v>1121991215</v>
      </c>
      <c r="M232" s="1056">
        <v>1128620446</v>
      </c>
      <c r="N232" s="1056">
        <v>1128620446</v>
      </c>
    </row>
    <row r="233" spans="1:14">
      <c r="A233" s="1049" t="s">
        <v>5018</v>
      </c>
      <c r="B233" s="1031" t="s">
        <v>2680</v>
      </c>
      <c r="C233" s="1056">
        <v>40425590</v>
      </c>
      <c r="D233" s="1056">
        <v>40163228</v>
      </c>
      <c r="E233" s="1056">
        <v>40425590</v>
      </c>
      <c r="F233" s="1056">
        <v>40163228</v>
      </c>
      <c r="G233" s="1056">
        <v>40179093</v>
      </c>
      <c r="H233" s="1056">
        <v>40179093</v>
      </c>
      <c r="I233" s="1056">
        <v>40425590</v>
      </c>
      <c r="J233" s="1056">
        <v>40163228</v>
      </c>
      <c r="K233" s="1056">
        <v>40425590</v>
      </c>
      <c r="L233" s="1056">
        <v>40163228</v>
      </c>
      <c r="M233" s="1056">
        <v>40179093</v>
      </c>
      <c r="N233" s="1056">
        <v>40179093</v>
      </c>
    </row>
    <row r="234" spans="1:14">
      <c r="A234" s="1049" t="s">
        <v>5020</v>
      </c>
      <c r="B234" s="1031" t="s">
        <v>2681</v>
      </c>
      <c r="C234" s="1056">
        <v>178412125</v>
      </c>
      <c r="D234" s="1056">
        <v>166988192</v>
      </c>
      <c r="E234" s="1056">
        <v>178412125</v>
      </c>
      <c r="F234" s="1056">
        <v>166988192</v>
      </c>
      <c r="G234" s="1056">
        <v>167409199</v>
      </c>
      <c r="H234" s="1056">
        <v>167409199</v>
      </c>
      <c r="I234" s="1056">
        <v>178412125</v>
      </c>
      <c r="J234" s="1056">
        <v>166988192</v>
      </c>
      <c r="K234" s="1056">
        <v>178412125</v>
      </c>
      <c r="L234" s="1056">
        <v>166988192</v>
      </c>
      <c r="M234" s="1056">
        <v>167409199</v>
      </c>
      <c r="N234" s="1056">
        <v>167409199</v>
      </c>
    </row>
    <row r="235" spans="1:14">
      <c r="A235" s="1049" t="s">
        <v>589</v>
      </c>
      <c r="B235" s="1031" t="s">
        <v>109</v>
      </c>
      <c r="C235" s="1056">
        <v>51952404</v>
      </c>
      <c r="D235" s="1056">
        <v>48888152</v>
      </c>
      <c r="E235" s="1056">
        <v>51952404</v>
      </c>
      <c r="F235" s="1056">
        <v>48888152</v>
      </c>
      <c r="G235" s="1056">
        <v>49358703</v>
      </c>
      <c r="H235" s="1056">
        <v>49358703</v>
      </c>
      <c r="I235" s="1056">
        <v>51952404</v>
      </c>
      <c r="J235" s="1056">
        <v>48888152</v>
      </c>
      <c r="K235" s="1056">
        <v>51952404</v>
      </c>
      <c r="L235" s="1056">
        <v>48888152</v>
      </c>
      <c r="M235" s="1056">
        <v>49358703</v>
      </c>
      <c r="N235" s="1056">
        <v>49358703</v>
      </c>
    </row>
    <row r="236" spans="1:14">
      <c r="A236" s="1049" t="s">
        <v>5022</v>
      </c>
      <c r="B236" s="1031" t="s">
        <v>2682</v>
      </c>
      <c r="C236" s="1056">
        <v>11774044755</v>
      </c>
      <c r="D236" s="1056">
        <v>11490603989</v>
      </c>
      <c r="E236" s="1056">
        <v>11774044755</v>
      </c>
      <c r="F236" s="1056">
        <v>11490603989</v>
      </c>
      <c r="G236" s="1056">
        <v>11552433924</v>
      </c>
      <c r="H236" s="1056">
        <v>11552433924</v>
      </c>
      <c r="I236" s="1056">
        <v>11774044755</v>
      </c>
      <c r="J236" s="1056">
        <v>11490603989</v>
      </c>
      <c r="K236" s="1056">
        <v>11774044755</v>
      </c>
      <c r="L236" s="1056">
        <v>11490603989</v>
      </c>
      <c r="M236" s="1056">
        <v>11552433924</v>
      </c>
      <c r="N236" s="1056">
        <v>11552433924</v>
      </c>
    </row>
    <row r="237" spans="1:14">
      <c r="A237" s="1049" t="s">
        <v>2989</v>
      </c>
      <c r="B237" s="1031" t="s">
        <v>190</v>
      </c>
      <c r="C237" s="1056">
        <v>27057276718</v>
      </c>
      <c r="D237" s="1056">
        <v>26500961436</v>
      </c>
      <c r="E237" s="1056">
        <v>27057276718</v>
      </c>
      <c r="F237" s="1056">
        <v>26500961436</v>
      </c>
      <c r="G237" s="1056">
        <v>26596505512</v>
      </c>
      <c r="H237" s="1056">
        <v>26596505512</v>
      </c>
      <c r="I237" s="1056">
        <v>27057276718</v>
      </c>
      <c r="J237" s="1056">
        <v>26500961436</v>
      </c>
      <c r="K237" s="1056">
        <v>27057276718</v>
      </c>
      <c r="L237" s="1056">
        <v>26500961436</v>
      </c>
      <c r="M237" s="1056">
        <v>26596505512</v>
      </c>
      <c r="N237" s="1056">
        <v>26596505512</v>
      </c>
    </row>
    <row r="238" spans="1:14">
      <c r="A238" s="1049" t="s">
        <v>5126</v>
      </c>
      <c r="B238" s="1031" t="s">
        <v>341</v>
      </c>
      <c r="C238" s="1056">
        <v>570764029</v>
      </c>
      <c r="D238" s="1056">
        <v>553965926</v>
      </c>
      <c r="E238" s="1056">
        <v>570764029</v>
      </c>
      <c r="F238" s="1056">
        <v>553965926</v>
      </c>
      <c r="G238" s="1056">
        <v>557981547</v>
      </c>
      <c r="H238" s="1056">
        <v>557981547</v>
      </c>
      <c r="I238" s="1056">
        <v>570764029</v>
      </c>
      <c r="J238" s="1056">
        <v>553965926</v>
      </c>
      <c r="K238" s="1056">
        <v>570764029</v>
      </c>
      <c r="L238" s="1056">
        <v>553965926</v>
      </c>
      <c r="M238" s="1056">
        <v>557981547</v>
      </c>
      <c r="N238" s="1056">
        <v>557981547</v>
      </c>
    </row>
    <row r="239" spans="1:14">
      <c r="A239" s="1049" t="s">
        <v>3090</v>
      </c>
      <c r="B239" s="1031" t="s">
        <v>5640</v>
      </c>
      <c r="C239" s="1056">
        <v>757856596</v>
      </c>
      <c r="D239" s="1056">
        <v>738454558</v>
      </c>
      <c r="E239" s="1056">
        <v>757856596</v>
      </c>
      <c r="F239" s="1056">
        <v>738454558</v>
      </c>
      <c r="G239" s="1056">
        <v>740557805</v>
      </c>
      <c r="H239" s="1056">
        <v>740557805</v>
      </c>
      <c r="I239" s="1056">
        <v>757856596</v>
      </c>
      <c r="J239" s="1056">
        <v>738454558</v>
      </c>
      <c r="K239" s="1056">
        <v>757856596</v>
      </c>
      <c r="L239" s="1056">
        <v>738454558</v>
      </c>
      <c r="M239" s="1056">
        <v>740557805</v>
      </c>
      <c r="N239" s="1056">
        <v>740557805</v>
      </c>
    </row>
    <row r="240" spans="1:14">
      <c r="A240" s="1049" t="s">
        <v>5128</v>
      </c>
      <c r="B240" s="1031" t="s">
        <v>343</v>
      </c>
      <c r="C240" s="1056">
        <v>721126700</v>
      </c>
      <c r="D240" s="1056">
        <v>709031861</v>
      </c>
      <c r="E240" s="1056">
        <v>721126700</v>
      </c>
      <c r="F240" s="1056">
        <v>709031861</v>
      </c>
      <c r="G240" s="1056">
        <v>710734280</v>
      </c>
      <c r="H240" s="1056">
        <v>710734280</v>
      </c>
      <c r="I240" s="1056">
        <v>721126700</v>
      </c>
      <c r="J240" s="1056">
        <v>709031861</v>
      </c>
      <c r="K240" s="1056">
        <v>721126700</v>
      </c>
      <c r="L240" s="1056">
        <v>709031861</v>
      </c>
      <c r="M240" s="1056">
        <v>710734280</v>
      </c>
      <c r="N240" s="1056">
        <v>710734280</v>
      </c>
    </row>
    <row r="241" spans="1:14">
      <c r="A241" s="1049" t="s">
        <v>270</v>
      </c>
      <c r="B241" s="1031" t="s">
        <v>7690</v>
      </c>
      <c r="C241" s="1056">
        <v>651575851</v>
      </c>
      <c r="D241" s="1056">
        <v>628468496</v>
      </c>
      <c r="E241" s="1056">
        <v>651575851</v>
      </c>
      <c r="F241" s="1056">
        <v>628468496</v>
      </c>
      <c r="G241" s="1056">
        <v>631448827</v>
      </c>
      <c r="H241" s="1056">
        <v>631448827</v>
      </c>
      <c r="I241" s="1056">
        <v>651575851</v>
      </c>
      <c r="J241" s="1056">
        <v>628468496</v>
      </c>
      <c r="K241" s="1056">
        <v>651575851</v>
      </c>
      <c r="L241" s="1056">
        <v>628468496</v>
      </c>
      <c r="M241" s="1056">
        <v>631448827</v>
      </c>
      <c r="N241" s="1056">
        <v>631448827</v>
      </c>
    </row>
    <row r="242" spans="1:14">
      <c r="A242" s="1049" t="s">
        <v>2391</v>
      </c>
      <c r="B242" s="1031" t="s">
        <v>1456</v>
      </c>
      <c r="C242" s="1056">
        <v>787205986</v>
      </c>
      <c r="D242" s="1056">
        <v>759490636</v>
      </c>
      <c r="E242" s="1056">
        <v>787205986</v>
      </c>
      <c r="F242" s="1056">
        <v>759490636</v>
      </c>
      <c r="G242" s="1056">
        <v>764517140</v>
      </c>
      <c r="H242" s="1056">
        <v>764517140</v>
      </c>
      <c r="I242" s="1056">
        <v>787205986</v>
      </c>
      <c r="J242" s="1056">
        <v>759490636</v>
      </c>
      <c r="K242" s="1056">
        <v>787205986</v>
      </c>
      <c r="L242" s="1056">
        <v>759490636</v>
      </c>
      <c r="M242" s="1056">
        <v>764517140</v>
      </c>
      <c r="N242" s="1056">
        <v>764517140</v>
      </c>
    </row>
    <row r="243" spans="1:14">
      <c r="A243" s="1049" t="s">
        <v>2746</v>
      </c>
      <c r="B243" s="1031" t="s">
        <v>2683</v>
      </c>
      <c r="C243" s="1056">
        <v>1185471366</v>
      </c>
      <c r="D243" s="1056">
        <v>1164201368</v>
      </c>
      <c r="E243" s="1056">
        <v>1185471366</v>
      </c>
      <c r="F243" s="1056">
        <v>1164201368</v>
      </c>
      <c r="G243" s="1056">
        <v>1171458653</v>
      </c>
      <c r="H243" s="1056">
        <v>1171458653</v>
      </c>
      <c r="I243" s="1056">
        <v>1185471366</v>
      </c>
      <c r="J243" s="1056">
        <v>1164201368</v>
      </c>
      <c r="K243" s="1056">
        <v>1185471366</v>
      </c>
      <c r="L243" s="1056">
        <v>1164201368</v>
      </c>
      <c r="M243" s="1056">
        <v>1171458653</v>
      </c>
      <c r="N243" s="1056">
        <v>1171458653</v>
      </c>
    </row>
    <row r="244" spans="1:14">
      <c r="A244" s="1049" t="s">
        <v>6186</v>
      </c>
      <c r="B244" s="1031" t="s">
        <v>3831</v>
      </c>
      <c r="C244" s="1056">
        <v>11488883140</v>
      </c>
      <c r="D244" s="1056">
        <v>11290945870</v>
      </c>
      <c r="E244" s="1056">
        <v>11488883140</v>
      </c>
      <c r="F244" s="1056">
        <v>11290945870</v>
      </c>
      <c r="G244" s="1056">
        <v>11308318400</v>
      </c>
      <c r="H244" s="1056">
        <v>11308318400</v>
      </c>
      <c r="I244" s="1056">
        <v>11488883140</v>
      </c>
      <c r="J244" s="1056">
        <v>11290945870</v>
      </c>
      <c r="K244" s="1056">
        <v>11488883140</v>
      </c>
      <c r="L244" s="1056">
        <v>11290945870</v>
      </c>
      <c r="M244" s="1056">
        <v>11308318400</v>
      </c>
      <c r="N244" s="1056">
        <v>11308318400</v>
      </c>
    </row>
    <row r="245" spans="1:14">
      <c r="A245" s="1049" t="s">
        <v>6041</v>
      </c>
      <c r="B245" s="1031" t="s">
        <v>185</v>
      </c>
      <c r="C245" s="1056">
        <v>1355249759</v>
      </c>
      <c r="D245" s="1056">
        <v>1308632438</v>
      </c>
      <c r="E245" s="1056">
        <v>1355249759</v>
      </c>
      <c r="F245" s="1056">
        <v>1308632438</v>
      </c>
      <c r="G245" s="1056">
        <v>1312299743</v>
      </c>
      <c r="H245" s="1056">
        <v>1312299743</v>
      </c>
      <c r="I245" s="1056">
        <v>1355249759</v>
      </c>
      <c r="J245" s="1056">
        <v>1308632438</v>
      </c>
      <c r="K245" s="1056">
        <v>1355249759</v>
      </c>
      <c r="L245" s="1056">
        <v>1308632438</v>
      </c>
      <c r="M245" s="1056">
        <v>1312299743</v>
      </c>
      <c r="N245" s="1056">
        <v>1312299743</v>
      </c>
    </row>
    <row r="246" spans="1:14">
      <c r="A246" s="1049" t="s">
        <v>591</v>
      </c>
      <c r="B246" s="1031" t="s">
        <v>194</v>
      </c>
      <c r="C246" s="1056">
        <v>2354817702</v>
      </c>
      <c r="D246" s="1056">
        <v>2280846409</v>
      </c>
      <c r="E246" s="1056">
        <v>2354817702</v>
      </c>
      <c r="F246" s="1056">
        <v>2280846409</v>
      </c>
      <c r="G246" s="1056">
        <v>2285154980</v>
      </c>
      <c r="H246" s="1056">
        <v>2285154980</v>
      </c>
      <c r="I246" s="1056">
        <v>2354817702</v>
      </c>
      <c r="J246" s="1056">
        <v>2280846409</v>
      </c>
      <c r="K246" s="1056">
        <v>2354817702</v>
      </c>
      <c r="L246" s="1056">
        <v>2280846409</v>
      </c>
      <c r="M246" s="1056">
        <v>2285154980</v>
      </c>
      <c r="N246" s="1056">
        <v>2285154980</v>
      </c>
    </row>
    <row r="247" spans="1:14">
      <c r="A247" s="1049" t="s">
        <v>443</v>
      </c>
      <c r="B247" s="1031" t="s">
        <v>990</v>
      </c>
      <c r="C247" s="1056">
        <v>2387309627</v>
      </c>
      <c r="D247" s="1056">
        <v>2369551557</v>
      </c>
      <c r="E247" s="1056">
        <v>2387309627</v>
      </c>
      <c r="F247" s="1056">
        <v>2369551557</v>
      </c>
      <c r="G247" s="1056">
        <v>2370343238</v>
      </c>
      <c r="H247" s="1056">
        <v>2370343238</v>
      </c>
      <c r="I247" s="1056">
        <v>2387309627</v>
      </c>
      <c r="J247" s="1056">
        <v>2369551557</v>
      </c>
      <c r="K247" s="1056">
        <v>2387309627</v>
      </c>
      <c r="L247" s="1056">
        <v>2369551557</v>
      </c>
      <c r="M247" s="1056">
        <v>2370343238</v>
      </c>
      <c r="N247" s="1056">
        <v>2370343238</v>
      </c>
    </row>
    <row r="248" spans="1:14">
      <c r="A248" s="1049" t="s">
        <v>2748</v>
      </c>
      <c r="B248" s="1031" t="s">
        <v>2684</v>
      </c>
      <c r="C248" s="1056">
        <v>808356470</v>
      </c>
      <c r="D248" s="1056">
        <v>806487360</v>
      </c>
      <c r="E248" s="1056">
        <v>808356470</v>
      </c>
      <c r="F248" s="1056">
        <v>806487360</v>
      </c>
      <c r="G248" s="1056">
        <v>806553656</v>
      </c>
      <c r="H248" s="1056">
        <v>806553656</v>
      </c>
      <c r="I248" s="1056">
        <v>808356470</v>
      </c>
      <c r="J248" s="1056">
        <v>806487360</v>
      </c>
      <c r="K248" s="1056">
        <v>808356470</v>
      </c>
      <c r="L248" s="1056">
        <v>806487360</v>
      </c>
      <c r="M248" s="1056">
        <v>806553656</v>
      </c>
      <c r="N248" s="1056">
        <v>806553656</v>
      </c>
    </row>
    <row r="249" spans="1:14">
      <c r="A249" s="1049" t="s">
        <v>862</v>
      </c>
      <c r="B249" s="1031" t="s">
        <v>2009</v>
      </c>
      <c r="C249" s="1056">
        <v>1056971385</v>
      </c>
      <c r="D249" s="1056">
        <v>1038167274</v>
      </c>
      <c r="E249" s="1056">
        <v>1056971385</v>
      </c>
      <c r="F249" s="1056">
        <v>1038167274</v>
      </c>
      <c r="G249" s="1056">
        <v>1039037096</v>
      </c>
      <c r="H249" s="1056">
        <v>1039037096</v>
      </c>
      <c r="I249" s="1056">
        <v>1544302665</v>
      </c>
      <c r="J249" s="1056">
        <v>1525498554</v>
      </c>
      <c r="K249" s="1056">
        <v>1544302665</v>
      </c>
      <c r="L249" s="1056">
        <v>1525498554</v>
      </c>
      <c r="M249" s="1056">
        <v>1526368376</v>
      </c>
      <c r="N249" s="1056">
        <v>1526368376</v>
      </c>
    </row>
    <row r="250" spans="1:14">
      <c r="A250" s="1049" t="s">
        <v>2750</v>
      </c>
      <c r="B250" s="1031" t="s">
        <v>2685</v>
      </c>
      <c r="C250" s="1056">
        <v>2629801365</v>
      </c>
      <c r="D250" s="1056">
        <v>2621020875</v>
      </c>
      <c r="E250" s="1056">
        <v>2629801365</v>
      </c>
      <c r="F250" s="1056">
        <v>2621020875</v>
      </c>
      <c r="G250" s="1056">
        <v>2621561331</v>
      </c>
      <c r="H250" s="1056">
        <v>2621561331</v>
      </c>
      <c r="I250" s="1056">
        <v>2629801365</v>
      </c>
      <c r="J250" s="1056">
        <v>2621020875</v>
      </c>
      <c r="K250" s="1056">
        <v>2629801365</v>
      </c>
      <c r="L250" s="1056">
        <v>2621020875</v>
      </c>
      <c r="M250" s="1056">
        <v>2621561331</v>
      </c>
      <c r="N250" s="1056">
        <v>2621561331</v>
      </c>
    </row>
    <row r="251" spans="1:14">
      <c r="A251" s="1049" t="s">
        <v>3899</v>
      </c>
      <c r="B251" s="1031" t="s">
        <v>2686</v>
      </c>
      <c r="C251" s="1056">
        <v>1455716536</v>
      </c>
      <c r="D251" s="1056">
        <v>1454453836</v>
      </c>
      <c r="E251" s="1056">
        <v>1455716536</v>
      </c>
      <c r="F251" s="1056">
        <v>1454453836</v>
      </c>
      <c r="G251" s="1056">
        <v>1454524982</v>
      </c>
      <c r="H251" s="1056">
        <v>1454524982</v>
      </c>
      <c r="I251" s="1056">
        <v>1455716536</v>
      </c>
      <c r="J251" s="1056">
        <v>1454453836</v>
      </c>
      <c r="K251" s="1056">
        <v>1455716536</v>
      </c>
      <c r="L251" s="1056">
        <v>1454453836</v>
      </c>
      <c r="M251" s="1056">
        <v>1454524982</v>
      </c>
      <c r="N251" s="1056">
        <v>1454524982</v>
      </c>
    </row>
    <row r="252" spans="1:14">
      <c r="A252" s="1049" t="s">
        <v>3604</v>
      </c>
      <c r="B252" s="1031" t="s">
        <v>2687</v>
      </c>
      <c r="C252" s="1056">
        <v>64555750</v>
      </c>
      <c r="D252" s="1056">
        <v>61390225</v>
      </c>
      <c r="E252" s="1056">
        <v>64555750</v>
      </c>
      <c r="F252" s="1056">
        <v>61390225</v>
      </c>
      <c r="G252" s="1056">
        <v>61799937</v>
      </c>
      <c r="H252" s="1056">
        <v>61799937</v>
      </c>
      <c r="I252" s="1056">
        <v>64555750</v>
      </c>
      <c r="J252" s="1056">
        <v>61390225</v>
      </c>
      <c r="K252" s="1056">
        <v>64555750</v>
      </c>
      <c r="L252" s="1056">
        <v>61390225</v>
      </c>
      <c r="M252" s="1056">
        <v>61799937</v>
      </c>
      <c r="N252" s="1056">
        <v>61799937</v>
      </c>
    </row>
    <row r="253" spans="1:14">
      <c r="A253" s="1049" t="s">
        <v>3166</v>
      </c>
      <c r="B253" s="1031" t="s">
        <v>2688</v>
      </c>
      <c r="C253" s="1056">
        <v>215051710</v>
      </c>
      <c r="D253" s="1056">
        <v>211148130</v>
      </c>
      <c r="E253" s="1056">
        <v>215051710</v>
      </c>
      <c r="F253" s="1056">
        <v>211148130</v>
      </c>
      <c r="G253" s="1056">
        <v>211148130</v>
      </c>
      <c r="H253" s="1056">
        <v>211148130</v>
      </c>
      <c r="I253" s="1056">
        <v>321645450</v>
      </c>
      <c r="J253" s="1056">
        <v>317741870</v>
      </c>
      <c r="K253" s="1056">
        <v>321645450</v>
      </c>
      <c r="L253" s="1056">
        <v>317741870</v>
      </c>
      <c r="M253" s="1056">
        <v>317741870</v>
      </c>
      <c r="N253" s="1056">
        <v>317741870</v>
      </c>
    </row>
    <row r="254" spans="1:14">
      <c r="A254" s="1049" t="s">
        <v>3168</v>
      </c>
      <c r="B254" s="1031" t="s">
        <v>2689</v>
      </c>
      <c r="C254" s="1056">
        <v>82128959</v>
      </c>
      <c r="D254" s="1056">
        <v>80935859</v>
      </c>
      <c r="E254" s="1056">
        <v>82128959</v>
      </c>
      <c r="F254" s="1056">
        <v>80935859</v>
      </c>
      <c r="G254" s="1056">
        <v>80935859</v>
      </c>
      <c r="H254" s="1056">
        <v>80935859</v>
      </c>
      <c r="I254" s="1056">
        <v>82128959</v>
      </c>
      <c r="J254" s="1056">
        <v>80935859</v>
      </c>
      <c r="K254" s="1056">
        <v>82128959</v>
      </c>
      <c r="L254" s="1056">
        <v>80935859</v>
      </c>
      <c r="M254" s="1056">
        <v>80935859</v>
      </c>
      <c r="N254" s="1056">
        <v>80935859</v>
      </c>
    </row>
    <row r="255" spans="1:14">
      <c r="A255" s="1049" t="s">
        <v>3091</v>
      </c>
      <c r="B255" s="1031" t="s">
        <v>1385</v>
      </c>
      <c r="C255" s="1056">
        <v>6929934258</v>
      </c>
      <c r="D255" s="1056">
        <v>6913354849</v>
      </c>
      <c r="E255" s="1056">
        <v>6916845592</v>
      </c>
      <c r="F255" s="1056">
        <v>6900266183</v>
      </c>
      <c r="G255" s="1056">
        <v>6913354849</v>
      </c>
      <c r="H255" s="1056">
        <v>6900266183</v>
      </c>
      <c r="I255" s="1056">
        <v>6929934258</v>
      </c>
      <c r="J255" s="1056">
        <v>6913354849</v>
      </c>
      <c r="K255" s="1056">
        <v>6916845592</v>
      </c>
      <c r="L255" s="1056">
        <v>6900266183</v>
      </c>
      <c r="M255" s="1056">
        <v>6913354849</v>
      </c>
      <c r="N255" s="1056">
        <v>6900266183</v>
      </c>
    </row>
    <row r="256" spans="1:14">
      <c r="A256" s="1049" t="s">
        <v>3171</v>
      </c>
      <c r="B256" s="1031" t="s">
        <v>2690</v>
      </c>
      <c r="C256" s="1056">
        <v>144088491</v>
      </c>
      <c r="D256" s="1056">
        <v>137994400</v>
      </c>
      <c r="E256" s="1056">
        <v>144088491</v>
      </c>
      <c r="F256" s="1056">
        <v>137994400</v>
      </c>
      <c r="G256" s="1056">
        <v>137994400</v>
      </c>
      <c r="H256" s="1056">
        <v>137994400</v>
      </c>
      <c r="I256" s="1056">
        <v>144088491</v>
      </c>
      <c r="J256" s="1056">
        <v>137994400</v>
      </c>
      <c r="K256" s="1056">
        <v>144088491</v>
      </c>
      <c r="L256" s="1056">
        <v>137994400</v>
      </c>
      <c r="M256" s="1056">
        <v>137994400</v>
      </c>
      <c r="N256" s="1056">
        <v>137994400</v>
      </c>
    </row>
    <row r="257" spans="1:14">
      <c r="A257" s="1049" t="s">
        <v>593</v>
      </c>
      <c r="B257" s="1031" t="s">
        <v>3841</v>
      </c>
      <c r="C257" s="1056">
        <v>52137142</v>
      </c>
      <c r="D257" s="1056">
        <v>51311382</v>
      </c>
      <c r="E257" s="1056">
        <v>52137142</v>
      </c>
      <c r="F257" s="1056">
        <v>51311382</v>
      </c>
      <c r="G257" s="1056">
        <v>51313192</v>
      </c>
      <c r="H257" s="1056">
        <v>51313192</v>
      </c>
      <c r="I257" s="1056">
        <v>52137142</v>
      </c>
      <c r="J257" s="1056">
        <v>51311382</v>
      </c>
      <c r="K257" s="1056">
        <v>52137142</v>
      </c>
      <c r="L257" s="1056">
        <v>51311382</v>
      </c>
      <c r="M257" s="1056">
        <v>51313192</v>
      </c>
      <c r="N257" s="1056">
        <v>51313192</v>
      </c>
    </row>
    <row r="258" spans="1:14">
      <c r="A258" s="1049" t="s">
        <v>5786</v>
      </c>
      <c r="B258" s="1031" t="s">
        <v>2691</v>
      </c>
      <c r="C258" s="1056">
        <v>24970000</v>
      </c>
      <c r="D258" s="1056">
        <v>24871773</v>
      </c>
      <c r="E258" s="1056">
        <v>24876178</v>
      </c>
      <c r="F258" s="1056">
        <v>24777951</v>
      </c>
      <c r="G258" s="1056">
        <v>24871773</v>
      </c>
      <c r="H258" s="1056">
        <v>24777951</v>
      </c>
      <c r="I258" s="1056">
        <v>24970000</v>
      </c>
      <c r="J258" s="1056">
        <v>24871773</v>
      </c>
      <c r="K258" s="1056">
        <v>24876178</v>
      </c>
      <c r="L258" s="1056">
        <v>24777951</v>
      </c>
      <c r="M258" s="1056">
        <v>24871773</v>
      </c>
      <c r="N258" s="1056">
        <v>24777951</v>
      </c>
    </row>
    <row r="259" spans="1:14">
      <c r="A259" s="1049" t="s">
        <v>3175</v>
      </c>
      <c r="B259" s="1031" t="s">
        <v>2692</v>
      </c>
      <c r="C259" s="1056">
        <v>241159423</v>
      </c>
      <c r="D259" s="1056">
        <v>238013525</v>
      </c>
      <c r="E259" s="1056">
        <v>241159423</v>
      </c>
      <c r="F259" s="1056">
        <v>238013525</v>
      </c>
      <c r="G259" s="1056">
        <v>238013525</v>
      </c>
      <c r="H259" s="1056">
        <v>238013525</v>
      </c>
      <c r="I259" s="1056">
        <v>241159423</v>
      </c>
      <c r="J259" s="1056">
        <v>238013525</v>
      </c>
      <c r="K259" s="1056">
        <v>241159423</v>
      </c>
      <c r="L259" s="1056">
        <v>238013525</v>
      </c>
      <c r="M259" s="1056">
        <v>238013525</v>
      </c>
      <c r="N259" s="1056">
        <v>238013525</v>
      </c>
    </row>
    <row r="260" spans="1:14">
      <c r="A260" s="1049" t="s">
        <v>3092</v>
      </c>
      <c r="B260" s="1031" t="s">
        <v>381</v>
      </c>
      <c r="C260" s="1056">
        <v>203397056</v>
      </c>
      <c r="D260" s="1056">
        <v>196664344</v>
      </c>
      <c r="E260" s="1056">
        <v>203397056</v>
      </c>
      <c r="F260" s="1056">
        <v>196664344</v>
      </c>
      <c r="G260" s="1056">
        <v>196676604</v>
      </c>
      <c r="H260" s="1056">
        <v>196676604</v>
      </c>
      <c r="I260" s="1056">
        <v>203397056</v>
      </c>
      <c r="J260" s="1056">
        <v>196664344</v>
      </c>
      <c r="K260" s="1056">
        <v>203397056</v>
      </c>
      <c r="L260" s="1056">
        <v>196664344</v>
      </c>
      <c r="M260" s="1056">
        <v>196676604</v>
      </c>
      <c r="N260" s="1056">
        <v>196676604</v>
      </c>
    </row>
    <row r="261" spans="1:14">
      <c r="A261" s="1049" t="s">
        <v>673</v>
      </c>
      <c r="B261" s="1031" t="s">
        <v>2693</v>
      </c>
      <c r="C261" s="1056">
        <v>352964167</v>
      </c>
      <c r="D261" s="1056">
        <v>347238154</v>
      </c>
      <c r="E261" s="1056">
        <v>350083893</v>
      </c>
      <c r="F261" s="1056">
        <v>344357880</v>
      </c>
      <c r="G261" s="1056">
        <v>347238154</v>
      </c>
      <c r="H261" s="1056">
        <v>344357880</v>
      </c>
      <c r="I261" s="1056">
        <v>352964167</v>
      </c>
      <c r="J261" s="1056">
        <v>347238154</v>
      </c>
      <c r="K261" s="1056">
        <v>350083893</v>
      </c>
      <c r="L261" s="1056">
        <v>344357880</v>
      </c>
      <c r="M261" s="1056">
        <v>347238154</v>
      </c>
      <c r="N261" s="1056">
        <v>344357880</v>
      </c>
    </row>
    <row r="262" spans="1:14">
      <c r="A262" s="1049" t="s">
        <v>322</v>
      </c>
      <c r="B262" s="1031" t="s">
        <v>325</v>
      </c>
      <c r="C262" s="1056">
        <v>603045924</v>
      </c>
      <c r="D262" s="1056">
        <v>591370784</v>
      </c>
      <c r="E262" s="1056">
        <v>603045924</v>
      </c>
      <c r="F262" s="1056">
        <v>591370784</v>
      </c>
      <c r="G262" s="1056">
        <v>592222835</v>
      </c>
      <c r="H262" s="1056">
        <v>592222835</v>
      </c>
      <c r="I262" s="1056">
        <v>603045924</v>
      </c>
      <c r="J262" s="1056">
        <v>591370784</v>
      </c>
      <c r="K262" s="1056">
        <v>603045924</v>
      </c>
      <c r="L262" s="1056">
        <v>591370784</v>
      </c>
      <c r="M262" s="1056">
        <v>592222835</v>
      </c>
      <c r="N262" s="1056">
        <v>592222835</v>
      </c>
    </row>
    <row r="263" spans="1:14">
      <c r="A263" s="1049" t="s">
        <v>675</v>
      </c>
      <c r="B263" s="1031" t="s">
        <v>7652</v>
      </c>
      <c r="C263" s="1056">
        <v>449407479</v>
      </c>
      <c r="D263" s="1056">
        <v>432744069</v>
      </c>
      <c r="E263" s="1056">
        <v>449407479</v>
      </c>
      <c r="F263" s="1056">
        <v>432744069</v>
      </c>
      <c r="G263" s="1056">
        <v>434902242</v>
      </c>
      <c r="H263" s="1056">
        <v>434902242</v>
      </c>
      <c r="I263" s="1056">
        <v>449407479</v>
      </c>
      <c r="J263" s="1056">
        <v>432744069</v>
      </c>
      <c r="K263" s="1056">
        <v>449407479</v>
      </c>
      <c r="L263" s="1056">
        <v>432744069</v>
      </c>
      <c r="M263" s="1056">
        <v>434902242</v>
      </c>
      <c r="N263" s="1056">
        <v>434902242</v>
      </c>
    </row>
    <row r="264" spans="1:14">
      <c r="A264" s="1049" t="s">
        <v>677</v>
      </c>
      <c r="B264" s="1031" t="s">
        <v>1259</v>
      </c>
      <c r="C264" s="1056">
        <v>114054409</v>
      </c>
      <c r="D264" s="1056">
        <v>109928385</v>
      </c>
      <c r="E264" s="1056">
        <v>114054409</v>
      </c>
      <c r="F264" s="1056">
        <v>109928385</v>
      </c>
      <c r="G264" s="1056">
        <v>110035629</v>
      </c>
      <c r="H264" s="1056">
        <v>110035629</v>
      </c>
      <c r="I264" s="1056">
        <v>114054409</v>
      </c>
      <c r="J264" s="1056">
        <v>109928385</v>
      </c>
      <c r="K264" s="1056">
        <v>114054409</v>
      </c>
      <c r="L264" s="1056">
        <v>109928385</v>
      </c>
      <c r="M264" s="1056">
        <v>110035629</v>
      </c>
      <c r="N264" s="1056">
        <v>110035629</v>
      </c>
    </row>
    <row r="265" spans="1:14">
      <c r="A265" s="1049" t="s">
        <v>679</v>
      </c>
      <c r="B265" s="1031" t="s">
        <v>1260</v>
      </c>
      <c r="C265" s="1056">
        <v>105981573</v>
      </c>
      <c r="D265" s="1056">
        <v>100982283</v>
      </c>
      <c r="E265" s="1056">
        <v>105981573</v>
      </c>
      <c r="F265" s="1056">
        <v>100982283</v>
      </c>
      <c r="G265" s="1056">
        <v>101404591</v>
      </c>
      <c r="H265" s="1056">
        <v>101404591</v>
      </c>
      <c r="I265" s="1056">
        <v>105981573</v>
      </c>
      <c r="J265" s="1056">
        <v>100982283</v>
      </c>
      <c r="K265" s="1056">
        <v>105981573</v>
      </c>
      <c r="L265" s="1056">
        <v>100982283</v>
      </c>
      <c r="M265" s="1056">
        <v>101404591</v>
      </c>
      <c r="N265" s="1056">
        <v>101404591</v>
      </c>
    </row>
    <row r="266" spans="1:14">
      <c r="A266" s="1049" t="s">
        <v>2960</v>
      </c>
      <c r="B266" s="1031" t="s">
        <v>1261</v>
      </c>
      <c r="C266" s="1056">
        <v>46017034</v>
      </c>
      <c r="D266" s="1056">
        <v>42617164</v>
      </c>
      <c r="E266" s="1056">
        <v>46017034</v>
      </c>
      <c r="F266" s="1056">
        <v>42617164</v>
      </c>
      <c r="G266" s="1056">
        <v>42788080</v>
      </c>
      <c r="H266" s="1056">
        <v>42788080</v>
      </c>
      <c r="I266" s="1056">
        <v>46017034</v>
      </c>
      <c r="J266" s="1056">
        <v>42617164</v>
      </c>
      <c r="K266" s="1056">
        <v>46017034</v>
      </c>
      <c r="L266" s="1056">
        <v>42617164</v>
      </c>
      <c r="M266" s="1056">
        <v>42788080</v>
      </c>
      <c r="N266" s="1056">
        <v>42788080</v>
      </c>
    </row>
    <row r="267" spans="1:14">
      <c r="A267" s="1049" t="s">
        <v>1994</v>
      </c>
      <c r="B267" s="1031" t="s">
        <v>1262</v>
      </c>
      <c r="C267" s="1056">
        <v>14847577505</v>
      </c>
      <c r="D267" s="1056">
        <v>14591182338</v>
      </c>
      <c r="E267" s="1056">
        <v>14513800432</v>
      </c>
      <c r="F267" s="1056">
        <v>14257405265</v>
      </c>
      <c r="G267" s="1056">
        <v>14614467006</v>
      </c>
      <c r="H267" s="1056">
        <v>14280689933</v>
      </c>
      <c r="I267" s="1056">
        <v>14847577505</v>
      </c>
      <c r="J267" s="1056">
        <v>14591182338</v>
      </c>
      <c r="K267" s="1056">
        <v>14513800432</v>
      </c>
      <c r="L267" s="1056">
        <v>14257405265</v>
      </c>
      <c r="M267" s="1056">
        <v>14614467006</v>
      </c>
      <c r="N267" s="1056">
        <v>14280689933</v>
      </c>
    </row>
    <row r="268" spans="1:14">
      <c r="A268" s="1049" t="s">
        <v>2735</v>
      </c>
      <c r="B268" s="1031" t="s">
        <v>1263</v>
      </c>
      <c r="C268" s="1056">
        <v>311517613</v>
      </c>
      <c r="D268" s="1056">
        <v>308451960</v>
      </c>
      <c r="E268" s="1056">
        <v>311517613</v>
      </c>
      <c r="F268" s="1056">
        <v>308451960</v>
      </c>
      <c r="G268" s="1056">
        <v>308818681</v>
      </c>
      <c r="H268" s="1056">
        <v>308818681</v>
      </c>
      <c r="I268" s="1056">
        <v>311517613</v>
      </c>
      <c r="J268" s="1056">
        <v>308451960</v>
      </c>
      <c r="K268" s="1056">
        <v>311517613</v>
      </c>
      <c r="L268" s="1056">
        <v>308451960</v>
      </c>
      <c r="M268" s="1056">
        <v>308818681</v>
      </c>
      <c r="N268" s="1056">
        <v>308818681</v>
      </c>
    </row>
    <row r="269" spans="1:14">
      <c r="A269" s="1049" t="s">
        <v>2737</v>
      </c>
      <c r="B269" s="1031" t="s">
        <v>1264</v>
      </c>
      <c r="C269" s="1056">
        <v>222541261</v>
      </c>
      <c r="D269" s="1056">
        <v>217643399</v>
      </c>
      <c r="E269" s="1056">
        <v>222541261</v>
      </c>
      <c r="F269" s="1056">
        <v>217643399</v>
      </c>
      <c r="G269" s="1056">
        <v>218189382</v>
      </c>
      <c r="H269" s="1056">
        <v>218189382</v>
      </c>
      <c r="I269" s="1056">
        <v>222541261</v>
      </c>
      <c r="J269" s="1056">
        <v>217643399</v>
      </c>
      <c r="K269" s="1056">
        <v>222541261</v>
      </c>
      <c r="L269" s="1056">
        <v>217643399</v>
      </c>
      <c r="M269" s="1056">
        <v>218189382</v>
      </c>
      <c r="N269" s="1056">
        <v>218189382</v>
      </c>
    </row>
    <row r="270" spans="1:14">
      <c r="A270" s="1049" t="s">
        <v>1976</v>
      </c>
      <c r="B270" s="1031" t="s">
        <v>7691</v>
      </c>
      <c r="C270" s="1056">
        <v>35946795</v>
      </c>
      <c r="D270" s="1056">
        <v>34430365</v>
      </c>
      <c r="E270" s="1056">
        <v>35946795</v>
      </c>
      <c r="F270" s="1056">
        <v>34430365</v>
      </c>
      <c r="G270" s="1056">
        <v>34730775</v>
      </c>
      <c r="H270" s="1056">
        <v>34730775</v>
      </c>
      <c r="I270" s="1056">
        <v>35946795</v>
      </c>
      <c r="J270" s="1056">
        <v>34430365</v>
      </c>
      <c r="K270" s="1056">
        <v>35946795</v>
      </c>
      <c r="L270" s="1056">
        <v>34430365</v>
      </c>
      <c r="M270" s="1056">
        <v>34730775</v>
      </c>
      <c r="N270" s="1056">
        <v>34730775</v>
      </c>
    </row>
    <row r="271" spans="1:14">
      <c r="A271" s="1049" t="s">
        <v>3648</v>
      </c>
      <c r="B271" s="1031" t="s">
        <v>1265</v>
      </c>
      <c r="C271" s="1056">
        <v>1744106083</v>
      </c>
      <c r="D271" s="1056">
        <v>1697019630</v>
      </c>
      <c r="E271" s="1056">
        <v>1744106083</v>
      </c>
      <c r="F271" s="1056">
        <v>1697019630</v>
      </c>
      <c r="G271" s="1056">
        <v>1697355214</v>
      </c>
      <c r="H271" s="1056">
        <v>1697355214</v>
      </c>
      <c r="I271" s="1056">
        <v>1744106083</v>
      </c>
      <c r="J271" s="1056">
        <v>1697019630</v>
      </c>
      <c r="K271" s="1056">
        <v>1744106083</v>
      </c>
      <c r="L271" s="1056">
        <v>1697019630</v>
      </c>
      <c r="M271" s="1056">
        <v>1697355214</v>
      </c>
      <c r="N271" s="1056">
        <v>1697355214</v>
      </c>
    </row>
    <row r="272" spans="1:14">
      <c r="A272" s="1049" t="s">
        <v>3650</v>
      </c>
      <c r="B272" s="1031" t="s">
        <v>1266</v>
      </c>
      <c r="C272" s="1056">
        <v>313576641</v>
      </c>
      <c r="D272" s="1056">
        <v>296904200</v>
      </c>
      <c r="E272" s="1056">
        <v>313576641</v>
      </c>
      <c r="F272" s="1056">
        <v>296904200</v>
      </c>
      <c r="G272" s="1056">
        <v>299895747</v>
      </c>
      <c r="H272" s="1056">
        <v>299895747</v>
      </c>
      <c r="I272" s="1056">
        <v>313576641</v>
      </c>
      <c r="J272" s="1056">
        <v>296904200</v>
      </c>
      <c r="K272" s="1056">
        <v>313576641</v>
      </c>
      <c r="L272" s="1056">
        <v>296904200</v>
      </c>
      <c r="M272" s="1056">
        <v>299895747</v>
      </c>
      <c r="N272" s="1056">
        <v>299895747</v>
      </c>
    </row>
    <row r="273" spans="1:14">
      <c r="A273" s="1049" t="s">
        <v>3093</v>
      </c>
      <c r="B273" s="1031" t="s">
        <v>1906</v>
      </c>
      <c r="C273" s="1056">
        <v>98174793</v>
      </c>
      <c r="D273" s="1056">
        <v>92824856</v>
      </c>
      <c r="E273" s="1056">
        <v>98174793</v>
      </c>
      <c r="F273" s="1056">
        <v>92824856</v>
      </c>
      <c r="G273" s="1056">
        <v>93768270</v>
      </c>
      <c r="H273" s="1056">
        <v>93768270</v>
      </c>
      <c r="I273" s="1056">
        <v>98174793</v>
      </c>
      <c r="J273" s="1056">
        <v>92824856</v>
      </c>
      <c r="K273" s="1056">
        <v>98174793</v>
      </c>
      <c r="L273" s="1056">
        <v>92824856</v>
      </c>
      <c r="M273" s="1056">
        <v>93768270</v>
      </c>
      <c r="N273" s="1056">
        <v>93768270</v>
      </c>
    </row>
    <row r="274" spans="1:14">
      <c r="A274" s="1049" t="s">
        <v>7734</v>
      </c>
      <c r="B274" s="1031" t="s">
        <v>1267</v>
      </c>
      <c r="C274" s="1056">
        <v>2932574834</v>
      </c>
      <c r="D274" s="1056">
        <v>2844503506</v>
      </c>
      <c r="E274" s="1056">
        <v>2845795809</v>
      </c>
      <c r="F274" s="1056">
        <v>2757724481</v>
      </c>
      <c r="G274" s="1056">
        <v>2856754285</v>
      </c>
      <c r="H274" s="1056">
        <v>2769975260</v>
      </c>
      <c r="I274" s="1056">
        <v>2932574834</v>
      </c>
      <c r="J274" s="1056">
        <v>2844503506</v>
      </c>
      <c r="K274" s="1056">
        <v>2845795809</v>
      </c>
      <c r="L274" s="1056">
        <v>2757724481</v>
      </c>
      <c r="M274" s="1056">
        <v>2856754285</v>
      </c>
      <c r="N274" s="1056">
        <v>2769975260</v>
      </c>
    </row>
    <row r="275" spans="1:14">
      <c r="A275" s="1049" t="s">
        <v>915</v>
      </c>
      <c r="B275" s="1031" t="s">
        <v>1268</v>
      </c>
      <c r="C275" s="1056">
        <v>77252786</v>
      </c>
      <c r="D275" s="1056">
        <v>75001918</v>
      </c>
      <c r="E275" s="1056">
        <v>77252786</v>
      </c>
      <c r="F275" s="1056">
        <v>75001918</v>
      </c>
      <c r="G275" s="1056">
        <v>75363286</v>
      </c>
      <c r="H275" s="1056">
        <v>75363286</v>
      </c>
      <c r="I275" s="1056">
        <v>77252786</v>
      </c>
      <c r="J275" s="1056">
        <v>75001918</v>
      </c>
      <c r="K275" s="1056">
        <v>77252786</v>
      </c>
      <c r="L275" s="1056">
        <v>75001918</v>
      </c>
      <c r="M275" s="1056">
        <v>75363286</v>
      </c>
      <c r="N275" s="1056">
        <v>75363286</v>
      </c>
    </row>
    <row r="276" spans="1:14">
      <c r="A276" s="1049" t="s">
        <v>1978</v>
      </c>
      <c r="B276" s="1031" t="s">
        <v>3628</v>
      </c>
      <c r="C276" s="1056">
        <v>216436449</v>
      </c>
      <c r="D276" s="1056">
        <v>205541116</v>
      </c>
      <c r="E276" s="1056">
        <v>216436449</v>
      </c>
      <c r="F276" s="1056">
        <v>205541116</v>
      </c>
      <c r="G276" s="1056">
        <v>207506729</v>
      </c>
      <c r="H276" s="1056">
        <v>207506729</v>
      </c>
      <c r="I276" s="1056">
        <v>216436449</v>
      </c>
      <c r="J276" s="1056">
        <v>205541116</v>
      </c>
      <c r="K276" s="1056">
        <v>216436449</v>
      </c>
      <c r="L276" s="1056">
        <v>205541116</v>
      </c>
      <c r="M276" s="1056">
        <v>207506729</v>
      </c>
      <c r="N276" s="1056">
        <v>207506729</v>
      </c>
    </row>
    <row r="277" spans="1:14">
      <c r="A277" s="1049" t="s">
        <v>2767</v>
      </c>
      <c r="B277" s="1031" t="s">
        <v>357</v>
      </c>
      <c r="C277" s="1056">
        <v>1377779251</v>
      </c>
      <c r="D277" s="1056">
        <v>1317053359</v>
      </c>
      <c r="E277" s="1056">
        <v>1377779251</v>
      </c>
      <c r="F277" s="1056">
        <v>1317053359</v>
      </c>
      <c r="G277" s="1056">
        <v>1325740307</v>
      </c>
      <c r="H277" s="1056">
        <v>1325740307</v>
      </c>
      <c r="I277" s="1056">
        <v>1377779251</v>
      </c>
      <c r="J277" s="1056">
        <v>1317053359</v>
      </c>
      <c r="K277" s="1056">
        <v>1377779251</v>
      </c>
      <c r="L277" s="1056">
        <v>1317053359</v>
      </c>
      <c r="M277" s="1056">
        <v>1325740307</v>
      </c>
      <c r="N277" s="1056">
        <v>1325740307</v>
      </c>
    </row>
    <row r="278" spans="1:14">
      <c r="A278" s="1049" t="s">
        <v>3555</v>
      </c>
      <c r="B278" s="1031" t="s">
        <v>4063</v>
      </c>
      <c r="C278" s="1056">
        <v>2939020164</v>
      </c>
      <c r="D278" s="1056">
        <v>2854073414</v>
      </c>
      <c r="E278" s="1056">
        <v>2939020164</v>
      </c>
      <c r="F278" s="1056">
        <v>2854073414</v>
      </c>
      <c r="G278" s="1056">
        <v>2869369096</v>
      </c>
      <c r="H278" s="1056">
        <v>2869369096</v>
      </c>
      <c r="I278" s="1056">
        <v>2939020164</v>
      </c>
      <c r="J278" s="1056">
        <v>2854073414</v>
      </c>
      <c r="K278" s="1056">
        <v>2939020164</v>
      </c>
      <c r="L278" s="1056">
        <v>2854073414</v>
      </c>
      <c r="M278" s="1056">
        <v>2869369096</v>
      </c>
      <c r="N278" s="1056">
        <v>2869369096</v>
      </c>
    </row>
    <row r="279" spans="1:14">
      <c r="A279" s="1049" t="s">
        <v>3094</v>
      </c>
      <c r="B279" s="1031" t="s">
        <v>6072</v>
      </c>
      <c r="C279" s="1056">
        <v>268610995</v>
      </c>
      <c r="D279" s="1056">
        <v>258068693</v>
      </c>
      <c r="E279" s="1056">
        <v>268610995</v>
      </c>
      <c r="F279" s="1056">
        <v>258068693</v>
      </c>
      <c r="G279" s="1056">
        <v>259498039</v>
      </c>
      <c r="H279" s="1056">
        <v>259498039</v>
      </c>
      <c r="I279" s="1056">
        <v>268610995</v>
      </c>
      <c r="J279" s="1056">
        <v>258068693</v>
      </c>
      <c r="K279" s="1056">
        <v>268610995</v>
      </c>
      <c r="L279" s="1056">
        <v>258068693</v>
      </c>
      <c r="M279" s="1056">
        <v>259498039</v>
      </c>
      <c r="N279" s="1056">
        <v>259498039</v>
      </c>
    </row>
    <row r="280" spans="1:14">
      <c r="A280" s="1049" t="s">
        <v>741</v>
      </c>
      <c r="B280" s="1031" t="s">
        <v>6116</v>
      </c>
      <c r="C280" s="1056">
        <v>1055023298</v>
      </c>
      <c r="D280" s="1056">
        <v>997708793</v>
      </c>
      <c r="E280" s="1056">
        <v>1055023298</v>
      </c>
      <c r="F280" s="1056">
        <v>997708793</v>
      </c>
      <c r="G280" s="1056">
        <v>997708793</v>
      </c>
      <c r="H280" s="1056">
        <v>997708793</v>
      </c>
      <c r="I280" s="1056">
        <v>1055023298</v>
      </c>
      <c r="J280" s="1056">
        <v>997708793</v>
      </c>
      <c r="K280" s="1056">
        <v>1055023298</v>
      </c>
      <c r="L280" s="1056">
        <v>997708793</v>
      </c>
      <c r="M280" s="1056">
        <v>997708793</v>
      </c>
      <c r="N280" s="1056">
        <v>997708793</v>
      </c>
    </row>
    <row r="281" spans="1:14">
      <c r="A281" s="1049" t="s">
        <v>4035</v>
      </c>
      <c r="B281" s="1031" t="s">
        <v>1269</v>
      </c>
      <c r="C281" s="1056">
        <v>15694283296</v>
      </c>
      <c r="D281" s="1056">
        <v>15144575126</v>
      </c>
      <c r="E281" s="1056">
        <v>15694283296</v>
      </c>
      <c r="F281" s="1056">
        <v>15144575126</v>
      </c>
      <c r="G281" s="1056">
        <v>15144575126</v>
      </c>
      <c r="H281" s="1056">
        <v>15144575126</v>
      </c>
      <c r="I281" s="1056">
        <v>15694283296</v>
      </c>
      <c r="J281" s="1056">
        <v>15144575126</v>
      </c>
      <c r="K281" s="1056">
        <v>15694283296</v>
      </c>
      <c r="L281" s="1056">
        <v>15144575126</v>
      </c>
      <c r="M281" s="1056">
        <v>15144575126</v>
      </c>
      <c r="N281" s="1056">
        <v>15144575126</v>
      </c>
    </row>
    <row r="282" spans="1:14">
      <c r="A282" s="1049" t="s">
        <v>1524</v>
      </c>
      <c r="B282" s="1031" t="s">
        <v>1930</v>
      </c>
      <c r="C282" s="1056">
        <v>161452561</v>
      </c>
      <c r="D282" s="1056">
        <v>153549716</v>
      </c>
      <c r="E282" s="1056">
        <v>161452561</v>
      </c>
      <c r="F282" s="1056">
        <v>153549716</v>
      </c>
      <c r="G282" s="1056">
        <v>153549716</v>
      </c>
      <c r="H282" s="1056">
        <v>153549716</v>
      </c>
      <c r="I282" s="1056">
        <v>161452561</v>
      </c>
      <c r="J282" s="1056">
        <v>153549716</v>
      </c>
      <c r="K282" s="1056">
        <v>161452561</v>
      </c>
      <c r="L282" s="1056">
        <v>153549716</v>
      </c>
      <c r="M282" s="1056">
        <v>153549716</v>
      </c>
      <c r="N282" s="1056">
        <v>153549716</v>
      </c>
    </row>
    <row r="283" spans="1:14">
      <c r="A283" s="1049" t="s">
        <v>2388</v>
      </c>
      <c r="B283" s="1031" t="s">
        <v>382</v>
      </c>
      <c r="C283" s="1056">
        <v>196714639</v>
      </c>
      <c r="D283" s="1056">
        <v>185313874</v>
      </c>
      <c r="E283" s="1056">
        <v>196714639</v>
      </c>
      <c r="F283" s="1056">
        <v>185313874</v>
      </c>
      <c r="G283" s="1056">
        <v>186465106</v>
      </c>
      <c r="H283" s="1056">
        <v>186465106</v>
      </c>
      <c r="I283" s="1056">
        <v>196714639</v>
      </c>
      <c r="J283" s="1056">
        <v>185313874</v>
      </c>
      <c r="K283" s="1056">
        <v>196714639</v>
      </c>
      <c r="L283" s="1056">
        <v>185313874</v>
      </c>
      <c r="M283" s="1056">
        <v>186465106</v>
      </c>
      <c r="N283" s="1056">
        <v>186465106</v>
      </c>
    </row>
    <row r="284" spans="1:14">
      <c r="A284" s="1049" t="s">
        <v>863</v>
      </c>
      <c r="B284" s="1031" t="s">
        <v>2010</v>
      </c>
      <c r="C284" s="1056">
        <v>6899575397</v>
      </c>
      <c r="D284" s="1056">
        <v>6541241906</v>
      </c>
      <c r="E284" s="1056">
        <v>6512108381</v>
      </c>
      <c r="F284" s="1056">
        <v>6153774890</v>
      </c>
      <c r="G284" s="1056">
        <v>6541241906</v>
      </c>
      <c r="H284" s="1056">
        <v>6153774890</v>
      </c>
      <c r="I284" s="1056">
        <v>6899575397</v>
      </c>
      <c r="J284" s="1056">
        <v>6541241906</v>
      </c>
      <c r="K284" s="1056">
        <v>6512108381</v>
      </c>
      <c r="L284" s="1056">
        <v>6153774890</v>
      </c>
      <c r="M284" s="1056">
        <v>6541241906</v>
      </c>
      <c r="N284" s="1056">
        <v>6153774890</v>
      </c>
    </row>
    <row r="285" spans="1:14">
      <c r="A285" s="1049" t="s">
        <v>268</v>
      </c>
      <c r="B285" s="1031" t="s">
        <v>7349</v>
      </c>
      <c r="C285" s="1056">
        <v>176577322</v>
      </c>
      <c r="D285" s="1056">
        <v>170558361</v>
      </c>
      <c r="E285" s="1056">
        <v>176577322</v>
      </c>
      <c r="F285" s="1056">
        <v>170558361</v>
      </c>
      <c r="G285" s="1056">
        <v>170558361</v>
      </c>
      <c r="H285" s="1056">
        <v>170558361</v>
      </c>
      <c r="I285" s="1056">
        <v>176577322</v>
      </c>
      <c r="J285" s="1056">
        <v>170558361</v>
      </c>
      <c r="K285" s="1056">
        <v>176577322</v>
      </c>
      <c r="L285" s="1056">
        <v>170558361</v>
      </c>
      <c r="M285" s="1056">
        <v>170558361</v>
      </c>
      <c r="N285" s="1056">
        <v>170558361</v>
      </c>
    </row>
    <row r="286" spans="1:14">
      <c r="A286" s="1049" t="s">
        <v>981</v>
      </c>
      <c r="B286" s="1031" t="s">
        <v>6099</v>
      </c>
      <c r="C286" s="1056">
        <v>1639367309</v>
      </c>
      <c r="D286" s="1056">
        <v>1593917569</v>
      </c>
      <c r="E286" s="1056">
        <v>1639367309</v>
      </c>
      <c r="F286" s="1056">
        <v>1593917569</v>
      </c>
      <c r="G286" s="1056">
        <v>1593917569</v>
      </c>
      <c r="H286" s="1056">
        <v>1593917569</v>
      </c>
      <c r="I286" s="1056">
        <v>1639367309</v>
      </c>
      <c r="J286" s="1056">
        <v>1593917569</v>
      </c>
      <c r="K286" s="1056">
        <v>1639367309</v>
      </c>
      <c r="L286" s="1056">
        <v>1593917569</v>
      </c>
      <c r="M286" s="1056">
        <v>1593917569</v>
      </c>
      <c r="N286" s="1056">
        <v>1593917569</v>
      </c>
    </row>
    <row r="287" spans="1:14">
      <c r="A287" s="1049" t="s">
        <v>2414</v>
      </c>
      <c r="B287" s="1031" t="s">
        <v>5367</v>
      </c>
      <c r="C287" s="1056">
        <v>61338382</v>
      </c>
      <c r="D287" s="1056">
        <v>59767381</v>
      </c>
      <c r="E287" s="1056">
        <v>61338382</v>
      </c>
      <c r="F287" s="1056">
        <v>59767381</v>
      </c>
      <c r="G287" s="1056">
        <v>59767381</v>
      </c>
      <c r="H287" s="1056">
        <v>59767381</v>
      </c>
      <c r="I287" s="1056">
        <v>61338382</v>
      </c>
      <c r="J287" s="1056">
        <v>59767381</v>
      </c>
      <c r="K287" s="1056">
        <v>61338382</v>
      </c>
      <c r="L287" s="1056">
        <v>59767381</v>
      </c>
      <c r="M287" s="1056">
        <v>59767381</v>
      </c>
      <c r="N287" s="1056">
        <v>59767381</v>
      </c>
    </row>
    <row r="288" spans="1:14">
      <c r="A288" s="1049" t="s">
        <v>2401</v>
      </c>
      <c r="B288" s="1031" t="s">
        <v>2345</v>
      </c>
      <c r="C288" s="1056">
        <v>8512004376</v>
      </c>
      <c r="D288" s="1056">
        <v>8141659777</v>
      </c>
      <c r="E288" s="1056">
        <v>8512004376</v>
      </c>
      <c r="F288" s="1056">
        <v>8141659777</v>
      </c>
      <c r="G288" s="1056">
        <v>8141659777</v>
      </c>
      <c r="H288" s="1056">
        <v>8141659777</v>
      </c>
      <c r="I288" s="1056">
        <v>8512004376</v>
      </c>
      <c r="J288" s="1056">
        <v>8141659777</v>
      </c>
      <c r="K288" s="1056">
        <v>8512004376</v>
      </c>
      <c r="L288" s="1056">
        <v>8141659777</v>
      </c>
      <c r="M288" s="1056">
        <v>8141659777</v>
      </c>
      <c r="N288" s="1056">
        <v>8141659777</v>
      </c>
    </row>
    <row r="289" spans="1:14">
      <c r="A289" s="1049" t="s">
        <v>4037</v>
      </c>
      <c r="B289" s="1031" t="s">
        <v>1270</v>
      </c>
      <c r="C289" s="1056">
        <v>46199272</v>
      </c>
      <c r="D289" s="1056">
        <v>44851882</v>
      </c>
      <c r="E289" s="1056">
        <v>46199272</v>
      </c>
      <c r="F289" s="1056">
        <v>44851882</v>
      </c>
      <c r="G289" s="1056">
        <v>44851882</v>
      </c>
      <c r="H289" s="1056">
        <v>44851882</v>
      </c>
      <c r="I289" s="1056">
        <v>46199272</v>
      </c>
      <c r="J289" s="1056">
        <v>44851882</v>
      </c>
      <c r="K289" s="1056">
        <v>46199272</v>
      </c>
      <c r="L289" s="1056">
        <v>44851882</v>
      </c>
      <c r="M289" s="1056">
        <v>44851882</v>
      </c>
      <c r="N289" s="1056">
        <v>44851882</v>
      </c>
    </row>
    <row r="290" spans="1:14">
      <c r="A290" s="1049" t="s">
        <v>2140</v>
      </c>
      <c r="B290" s="1031" t="s">
        <v>1271</v>
      </c>
      <c r="C290" s="1056">
        <v>280875440</v>
      </c>
      <c r="D290" s="1056">
        <v>267696245</v>
      </c>
      <c r="E290" s="1056">
        <v>280875440</v>
      </c>
      <c r="F290" s="1056">
        <v>267696245</v>
      </c>
      <c r="G290" s="1056">
        <v>267696245</v>
      </c>
      <c r="H290" s="1056">
        <v>267696245</v>
      </c>
      <c r="I290" s="1056">
        <v>280875440</v>
      </c>
      <c r="J290" s="1056">
        <v>267696245</v>
      </c>
      <c r="K290" s="1056">
        <v>280875440</v>
      </c>
      <c r="L290" s="1056">
        <v>267696245</v>
      </c>
      <c r="M290" s="1056">
        <v>267696245</v>
      </c>
      <c r="N290" s="1056">
        <v>267696245</v>
      </c>
    </row>
    <row r="291" spans="1:14">
      <c r="A291" s="1049" t="s">
        <v>2408</v>
      </c>
      <c r="B291" s="1031" t="s">
        <v>8212</v>
      </c>
      <c r="C291" s="1056">
        <v>1441314491</v>
      </c>
      <c r="D291" s="1056">
        <v>1399010324</v>
      </c>
      <c r="E291" s="1056">
        <v>1441314491</v>
      </c>
      <c r="F291" s="1056">
        <v>1399010324</v>
      </c>
      <c r="G291" s="1056">
        <v>1399010324</v>
      </c>
      <c r="H291" s="1056">
        <v>1399010324</v>
      </c>
      <c r="I291" s="1056">
        <v>1441314491</v>
      </c>
      <c r="J291" s="1056">
        <v>1399010324</v>
      </c>
      <c r="K291" s="1056">
        <v>1441314491</v>
      </c>
      <c r="L291" s="1056">
        <v>1399010324</v>
      </c>
      <c r="M291" s="1056">
        <v>1399010324</v>
      </c>
      <c r="N291" s="1056">
        <v>1399010324</v>
      </c>
    </row>
    <row r="292" spans="1:14">
      <c r="A292" s="1049" t="s">
        <v>2700</v>
      </c>
      <c r="B292" s="1031" t="s">
        <v>1272</v>
      </c>
      <c r="C292" s="1056">
        <v>121194915</v>
      </c>
      <c r="D292" s="1056">
        <v>118475995</v>
      </c>
      <c r="E292" s="1056">
        <v>121194915</v>
      </c>
      <c r="F292" s="1056">
        <v>118475995</v>
      </c>
      <c r="G292" s="1056">
        <v>118537953</v>
      </c>
      <c r="H292" s="1056">
        <v>118537953</v>
      </c>
      <c r="I292" s="1056">
        <v>121194915</v>
      </c>
      <c r="J292" s="1056">
        <v>118475995</v>
      </c>
      <c r="K292" s="1056">
        <v>121194915</v>
      </c>
      <c r="L292" s="1056">
        <v>118475995</v>
      </c>
      <c r="M292" s="1056">
        <v>118537953</v>
      </c>
      <c r="N292" s="1056">
        <v>118537953</v>
      </c>
    </row>
    <row r="293" spans="1:14">
      <c r="A293" s="1049" t="s">
        <v>2702</v>
      </c>
      <c r="B293" s="1031" t="s">
        <v>1273</v>
      </c>
      <c r="C293" s="1056">
        <v>120558265</v>
      </c>
      <c r="D293" s="1056">
        <v>117162934</v>
      </c>
      <c r="E293" s="1056">
        <v>120558265</v>
      </c>
      <c r="F293" s="1056">
        <v>117162934</v>
      </c>
      <c r="G293" s="1056">
        <v>117162934</v>
      </c>
      <c r="H293" s="1056">
        <v>117162934</v>
      </c>
      <c r="I293" s="1056">
        <v>120558265</v>
      </c>
      <c r="J293" s="1056">
        <v>117162934</v>
      </c>
      <c r="K293" s="1056">
        <v>120558265</v>
      </c>
      <c r="L293" s="1056">
        <v>117162934</v>
      </c>
      <c r="M293" s="1056">
        <v>117162934</v>
      </c>
      <c r="N293" s="1056">
        <v>117162934</v>
      </c>
    </row>
    <row r="294" spans="1:14">
      <c r="A294" s="1049" t="s">
        <v>2828</v>
      </c>
      <c r="B294" s="1031" t="s">
        <v>192</v>
      </c>
      <c r="C294" s="1056">
        <v>92607650</v>
      </c>
      <c r="D294" s="1056">
        <v>90199280</v>
      </c>
      <c r="E294" s="1056">
        <v>92607650</v>
      </c>
      <c r="F294" s="1056">
        <v>90199280</v>
      </c>
      <c r="G294" s="1056">
        <v>90199280</v>
      </c>
      <c r="H294" s="1056">
        <v>90199280</v>
      </c>
      <c r="I294" s="1056">
        <v>136536550</v>
      </c>
      <c r="J294" s="1056">
        <v>134128180</v>
      </c>
      <c r="K294" s="1056">
        <v>136536550</v>
      </c>
      <c r="L294" s="1056">
        <v>134128180</v>
      </c>
      <c r="M294" s="1056">
        <v>134128180</v>
      </c>
      <c r="N294" s="1056">
        <v>134128180</v>
      </c>
    </row>
    <row r="295" spans="1:14">
      <c r="A295" s="1049" t="s">
        <v>2704</v>
      </c>
      <c r="B295" s="1031" t="s">
        <v>1274</v>
      </c>
      <c r="C295" s="1056">
        <v>79755898</v>
      </c>
      <c r="D295" s="1056">
        <v>77295368</v>
      </c>
      <c r="E295" s="1056">
        <v>79755898</v>
      </c>
      <c r="F295" s="1056">
        <v>77295368</v>
      </c>
      <c r="G295" s="1056">
        <v>77295368</v>
      </c>
      <c r="H295" s="1056">
        <v>77295368</v>
      </c>
      <c r="I295" s="1056">
        <v>79755898</v>
      </c>
      <c r="J295" s="1056">
        <v>77295368</v>
      </c>
      <c r="K295" s="1056">
        <v>79755898</v>
      </c>
      <c r="L295" s="1056">
        <v>77295368</v>
      </c>
      <c r="M295" s="1056">
        <v>77295368</v>
      </c>
      <c r="N295" s="1056">
        <v>77295368</v>
      </c>
    </row>
    <row r="296" spans="1:14">
      <c r="A296" s="1049" t="s">
        <v>2706</v>
      </c>
      <c r="B296" s="1031" t="s">
        <v>7361</v>
      </c>
      <c r="C296" s="1056">
        <v>61105926</v>
      </c>
      <c r="D296" s="1056">
        <v>57675183</v>
      </c>
      <c r="E296" s="1056">
        <v>61105926</v>
      </c>
      <c r="F296" s="1056">
        <v>57675183</v>
      </c>
      <c r="G296" s="1056">
        <v>57675183</v>
      </c>
      <c r="H296" s="1056">
        <v>57675183</v>
      </c>
      <c r="I296" s="1056">
        <v>61105926</v>
      </c>
      <c r="J296" s="1056">
        <v>57675183</v>
      </c>
      <c r="K296" s="1056">
        <v>61105926</v>
      </c>
      <c r="L296" s="1056">
        <v>57675183</v>
      </c>
      <c r="M296" s="1056">
        <v>57675183</v>
      </c>
      <c r="N296" s="1056">
        <v>57675183</v>
      </c>
    </row>
    <row r="297" spans="1:14">
      <c r="A297" s="1049" t="s">
        <v>6162</v>
      </c>
      <c r="B297" s="1031" t="s">
        <v>6066</v>
      </c>
      <c r="C297" s="1056">
        <v>232523969</v>
      </c>
      <c r="D297" s="1056">
        <v>220059141</v>
      </c>
      <c r="E297" s="1056">
        <v>232523969</v>
      </c>
      <c r="F297" s="1056">
        <v>220059141</v>
      </c>
      <c r="G297" s="1056">
        <v>220059141</v>
      </c>
      <c r="H297" s="1056">
        <v>220059141</v>
      </c>
      <c r="I297" s="1056">
        <v>232523969</v>
      </c>
      <c r="J297" s="1056">
        <v>220059141</v>
      </c>
      <c r="K297" s="1056">
        <v>232523969</v>
      </c>
      <c r="L297" s="1056">
        <v>220059141</v>
      </c>
      <c r="M297" s="1056">
        <v>220059141</v>
      </c>
      <c r="N297" s="1056">
        <v>220059141</v>
      </c>
    </row>
    <row r="298" spans="1:14">
      <c r="A298" s="1049" t="s">
        <v>967</v>
      </c>
      <c r="B298" s="1031" t="s">
        <v>4068</v>
      </c>
      <c r="C298" s="1056">
        <v>16723312</v>
      </c>
      <c r="D298" s="1056">
        <v>15570902</v>
      </c>
      <c r="E298" s="1056">
        <v>16723312</v>
      </c>
      <c r="F298" s="1056">
        <v>15570902</v>
      </c>
      <c r="G298" s="1056">
        <v>15570902</v>
      </c>
      <c r="H298" s="1056">
        <v>15570902</v>
      </c>
      <c r="I298" s="1056">
        <v>16723312</v>
      </c>
      <c r="J298" s="1056">
        <v>15570902</v>
      </c>
      <c r="K298" s="1056">
        <v>16723312</v>
      </c>
      <c r="L298" s="1056">
        <v>15570902</v>
      </c>
      <c r="M298" s="1056">
        <v>15570902</v>
      </c>
      <c r="N298" s="1056">
        <v>15570902</v>
      </c>
    </row>
    <row r="299" spans="1:14">
      <c r="A299" s="1049" t="s">
        <v>2708</v>
      </c>
      <c r="B299" s="1031" t="s">
        <v>1276</v>
      </c>
      <c r="C299" s="1056">
        <v>148829566</v>
      </c>
      <c r="D299" s="1056">
        <v>139949956</v>
      </c>
      <c r="E299" s="1056">
        <v>148829566</v>
      </c>
      <c r="F299" s="1056">
        <v>139949956</v>
      </c>
      <c r="G299" s="1056">
        <v>139955007</v>
      </c>
      <c r="H299" s="1056">
        <v>139955007</v>
      </c>
      <c r="I299" s="1056">
        <v>148829566</v>
      </c>
      <c r="J299" s="1056">
        <v>139949956</v>
      </c>
      <c r="K299" s="1056">
        <v>148829566</v>
      </c>
      <c r="L299" s="1056">
        <v>139949956</v>
      </c>
      <c r="M299" s="1056">
        <v>139955007</v>
      </c>
      <c r="N299" s="1056">
        <v>139955007</v>
      </c>
    </row>
    <row r="300" spans="1:14">
      <c r="A300" s="1049" t="s">
        <v>2710</v>
      </c>
      <c r="B300" s="1031" t="s">
        <v>1277</v>
      </c>
      <c r="C300" s="1056">
        <v>570184890</v>
      </c>
      <c r="D300" s="1056">
        <v>538029040</v>
      </c>
      <c r="E300" s="1056">
        <v>570184890</v>
      </c>
      <c r="F300" s="1056">
        <v>538029040</v>
      </c>
      <c r="G300" s="1056">
        <v>546677732</v>
      </c>
      <c r="H300" s="1056">
        <v>546677732</v>
      </c>
      <c r="I300" s="1056">
        <v>570184890</v>
      </c>
      <c r="J300" s="1056">
        <v>538029040</v>
      </c>
      <c r="K300" s="1056">
        <v>570184890</v>
      </c>
      <c r="L300" s="1056">
        <v>538029040</v>
      </c>
      <c r="M300" s="1056">
        <v>546677732</v>
      </c>
      <c r="N300" s="1056">
        <v>546677732</v>
      </c>
    </row>
    <row r="301" spans="1:14">
      <c r="A301" s="1049" t="s">
        <v>2830</v>
      </c>
      <c r="B301" s="1031" t="s">
        <v>2282</v>
      </c>
      <c r="C301" s="1056">
        <v>41186075</v>
      </c>
      <c r="D301" s="1056">
        <v>38021398</v>
      </c>
      <c r="E301" s="1056">
        <v>41186075</v>
      </c>
      <c r="F301" s="1056">
        <v>38021398</v>
      </c>
      <c r="G301" s="1056">
        <v>38552343</v>
      </c>
      <c r="H301" s="1056">
        <v>38552343</v>
      </c>
      <c r="I301" s="1056">
        <v>41186075</v>
      </c>
      <c r="J301" s="1056">
        <v>38021398</v>
      </c>
      <c r="K301" s="1056">
        <v>41186075</v>
      </c>
      <c r="L301" s="1056">
        <v>38021398</v>
      </c>
      <c r="M301" s="1056">
        <v>38552343</v>
      </c>
      <c r="N301" s="1056">
        <v>38552343</v>
      </c>
    </row>
    <row r="302" spans="1:14">
      <c r="A302" s="1049" t="s">
        <v>3095</v>
      </c>
      <c r="B302" s="1031" t="s">
        <v>3014</v>
      </c>
      <c r="C302" s="1056">
        <v>38343411</v>
      </c>
      <c r="D302" s="1056">
        <v>35810063</v>
      </c>
      <c r="E302" s="1056">
        <v>38343411</v>
      </c>
      <c r="F302" s="1056">
        <v>35810063</v>
      </c>
      <c r="G302" s="1056">
        <v>36087669</v>
      </c>
      <c r="H302" s="1056">
        <v>36087669</v>
      </c>
      <c r="I302" s="1056">
        <v>38343411</v>
      </c>
      <c r="J302" s="1056">
        <v>35810063</v>
      </c>
      <c r="K302" s="1056">
        <v>38343411</v>
      </c>
      <c r="L302" s="1056">
        <v>35810063</v>
      </c>
      <c r="M302" s="1056">
        <v>36087669</v>
      </c>
      <c r="N302" s="1056">
        <v>36087669</v>
      </c>
    </row>
    <row r="303" spans="1:14">
      <c r="A303" s="1049" t="s">
        <v>2712</v>
      </c>
      <c r="B303" s="1031" t="s">
        <v>1278</v>
      </c>
      <c r="C303" s="1056">
        <v>175852567</v>
      </c>
      <c r="D303" s="1056">
        <v>167498727</v>
      </c>
      <c r="E303" s="1056">
        <v>175852567</v>
      </c>
      <c r="F303" s="1056">
        <v>167498727</v>
      </c>
      <c r="G303" s="1056">
        <v>167834610</v>
      </c>
      <c r="H303" s="1056">
        <v>167834610</v>
      </c>
      <c r="I303" s="1056">
        <v>175852567</v>
      </c>
      <c r="J303" s="1056">
        <v>167498727</v>
      </c>
      <c r="K303" s="1056">
        <v>175852567</v>
      </c>
      <c r="L303" s="1056">
        <v>167498727</v>
      </c>
      <c r="M303" s="1056">
        <v>167834610</v>
      </c>
      <c r="N303" s="1056">
        <v>167834610</v>
      </c>
    </row>
    <row r="304" spans="1:14">
      <c r="A304" s="1049" t="s">
        <v>2424</v>
      </c>
      <c r="B304" s="1031" t="s">
        <v>1279</v>
      </c>
      <c r="C304" s="1056">
        <v>143261924</v>
      </c>
      <c r="D304" s="1056">
        <v>134292332</v>
      </c>
      <c r="E304" s="1056">
        <v>143261924</v>
      </c>
      <c r="F304" s="1056">
        <v>134292332</v>
      </c>
      <c r="G304" s="1056">
        <v>135069540</v>
      </c>
      <c r="H304" s="1056">
        <v>135069540</v>
      </c>
      <c r="I304" s="1056">
        <v>143261924</v>
      </c>
      <c r="J304" s="1056">
        <v>134292332</v>
      </c>
      <c r="K304" s="1056">
        <v>143261924</v>
      </c>
      <c r="L304" s="1056">
        <v>134292332</v>
      </c>
      <c r="M304" s="1056">
        <v>135069540</v>
      </c>
      <c r="N304" s="1056">
        <v>135069540</v>
      </c>
    </row>
    <row r="305" spans="1:14">
      <c r="A305" s="1049" t="s">
        <v>2426</v>
      </c>
      <c r="B305" s="1031" t="s">
        <v>1280</v>
      </c>
      <c r="C305" s="1056">
        <v>82404248</v>
      </c>
      <c r="D305" s="1056">
        <v>77104733</v>
      </c>
      <c r="E305" s="1056">
        <v>82404248</v>
      </c>
      <c r="F305" s="1056">
        <v>77104733</v>
      </c>
      <c r="G305" s="1056">
        <v>77765126</v>
      </c>
      <c r="H305" s="1056">
        <v>77765126</v>
      </c>
      <c r="I305" s="1056">
        <v>82404248</v>
      </c>
      <c r="J305" s="1056">
        <v>77104733</v>
      </c>
      <c r="K305" s="1056">
        <v>82404248</v>
      </c>
      <c r="L305" s="1056">
        <v>77104733</v>
      </c>
      <c r="M305" s="1056">
        <v>77765126</v>
      </c>
      <c r="N305" s="1056">
        <v>77765126</v>
      </c>
    </row>
    <row r="306" spans="1:14">
      <c r="A306" s="1049" t="s">
        <v>2428</v>
      </c>
      <c r="B306" s="1031" t="s">
        <v>1281</v>
      </c>
      <c r="C306" s="1056">
        <v>151239612</v>
      </c>
      <c r="D306" s="1056">
        <v>142245730</v>
      </c>
      <c r="E306" s="1056">
        <v>151239612</v>
      </c>
      <c r="F306" s="1056">
        <v>142245730</v>
      </c>
      <c r="G306" s="1056">
        <v>142898479</v>
      </c>
      <c r="H306" s="1056">
        <v>142898479</v>
      </c>
      <c r="I306" s="1056">
        <v>151239612</v>
      </c>
      <c r="J306" s="1056">
        <v>142245730</v>
      </c>
      <c r="K306" s="1056">
        <v>151239612</v>
      </c>
      <c r="L306" s="1056">
        <v>142245730</v>
      </c>
      <c r="M306" s="1056">
        <v>142898479</v>
      </c>
      <c r="N306" s="1056">
        <v>142898479</v>
      </c>
    </row>
    <row r="307" spans="1:14">
      <c r="A307" s="1049" t="s">
        <v>2832</v>
      </c>
      <c r="B307" s="1031" t="s">
        <v>377</v>
      </c>
      <c r="C307" s="1056">
        <v>95839468</v>
      </c>
      <c r="D307" s="1056">
        <v>88841256</v>
      </c>
      <c r="E307" s="1056">
        <v>95839468</v>
      </c>
      <c r="F307" s="1056">
        <v>88841256</v>
      </c>
      <c r="G307" s="1056">
        <v>89474202</v>
      </c>
      <c r="H307" s="1056">
        <v>89474202</v>
      </c>
      <c r="I307" s="1056">
        <v>95839468</v>
      </c>
      <c r="J307" s="1056">
        <v>88841256</v>
      </c>
      <c r="K307" s="1056">
        <v>95839468</v>
      </c>
      <c r="L307" s="1056">
        <v>88841256</v>
      </c>
      <c r="M307" s="1056">
        <v>89474202</v>
      </c>
      <c r="N307" s="1056">
        <v>89474202</v>
      </c>
    </row>
    <row r="308" spans="1:14">
      <c r="A308" s="1049" t="s">
        <v>4923</v>
      </c>
      <c r="B308" s="1031" t="s">
        <v>1282</v>
      </c>
      <c r="C308" s="1056">
        <v>473070096</v>
      </c>
      <c r="D308" s="1056">
        <v>464173803</v>
      </c>
      <c r="E308" s="1056">
        <v>473070096</v>
      </c>
      <c r="F308" s="1056">
        <v>464173803</v>
      </c>
      <c r="G308" s="1056">
        <v>465375559</v>
      </c>
      <c r="H308" s="1056">
        <v>465375559</v>
      </c>
      <c r="I308" s="1056">
        <v>473070096</v>
      </c>
      <c r="J308" s="1056">
        <v>464173803</v>
      </c>
      <c r="K308" s="1056">
        <v>473070096</v>
      </c>
      <c r="L308" s="1056">
        <v>464173803</v>
      </c>
      <c r="M308" s="1056">
        <v>465375559</v>
      </c>
      <c r="N308" s="1056">
        <v>465375559</v>
      </c>
    </row>
    <row r="309" spans="1:14">
      <c r="A309" s="1049" t="s">
        <v>4925</v>
      </c>
      <c r="B309" s="1031" t="s">
        <v>1283</v>
      </c>
      <c r="C309" s="1056">
        <v>1033654675</v>
      </c>
      <c r="D309" s="1056">
        <v>1002921979</v>
      </c>
      <c r="E309" s="1056">
        <v>1033654675</v>
      </c>
      <c r="F309" s="1056">
        <v>1002921979</v>
      </c>
      <c r="G309" s="1056">
        <v>1016586017</v>
      </c>
      <c r="H309" s="1056">
        <v>1016586017</v>
      </c>
      <c r="I309" s="1056">
        <v>1033654675</v>
      </c>
      <c r="J309" s="1056">
        <v>1002921979</v>
      </c>
      <c r="K309" s="1056">
        <v>1033654675</v>
      </c>
      <c r="L309" s="1056">
        <v>1002921979</v>
      </c>
      <c r="M309" s="1056">
        <v>1016586017</v>
      </c>
      <c r="N309" s="1056">
        <v>1016586017</v>
      </c>
    </row>
    <row r="310" spans="1:14">
      <c r="A310" s="1049" t="s">
        <v>4927</v>
      </c>
      <c r="B310" s="1031" t="s">
        <v>1284</v>
      </c>
      <c r="C310" s="1056">
        <v>422810334</v>
      </c>
      <c r="D310" s="1056">
        <v>409918497</v>
      </c>
      <c r="E310" s="1056">
        <v>422810334</v>
      </c>
      <c r="F310" s="1056">
        <v>409918497</v>
      </c>
      <c r="G310" s="1056">
        <v>414312877</v>
      </c>
      <c r="H310" s="1056">
        <v>414312877</v>
      </c>
      <c r="I310" s="1056">
        <v>422810334</v>
      </c>
      <c r="J310" s="1056">
        <v>409918497</v>
      </c>
      <c r="K310" s="1056">
        <v>422810334</v>
      </c>
      <c r="L310" s="1056">
        <v>409918497</v>
      </c>
      <c r="M310" s="1056">
        <v>414312877</v>
      </c>
      <c r="N310" s="1056">
        <v>414312877</v>
      </c>
    </row>
    <row r="311" spans="1:14">
      <c r="A311" s="1049" t="s">
        <v>4929</v>
      </c>
      <c r="B311" s="1031" t="s">
        <v>1285</v>
      </c>
      <c r="C311" s="1056">
        <v>170122087</v>
      </c>
      <c r="D311" s="1056">
        <v>165139476</v>
      </c>
      <c r="E311" s="1056">
        <v>170122087</v>
      </c>
      <c r="F311" s="1056">
        <v>165139476</v>
      </c>
      <c r="G311" s="1056">
        <v>166920918</v>
      </c>
      <c r="H311" s="1056">
        <v>166920918</v>
      </c>
      <c r="I311" s="1056">
        <v>170122087</v>
      </c>
      <c r="J311" s="1056">
        <v>165139476</v>
      </c>
      <c r="K311" s="1056">
        <v>170122087</v>
      </c>
      <c r="L311" s="1056">
        <v>165139476</v>
      </c>
      <c r="M311" s="1056">
        <v>166920918</v>
      </c>
      <c r="N311" s="1056">
        <v>166920918</v>
      </c>
    </row>
    <row r="312" spans="1:14">
      <c r="A312" s="1049" t="s">
        <v>4931</v>
      </c>
      <c r="B312" s="1031" t="s">
        <v>1286</v>
      </c>
      <c r="C312" s="1056">
        <v>329970650</v>
      </c>
      <c r="D312" s="1056">
        <v>323640836</v>
      </c>
      <c r="E312" s="1056">
        <v>320497800</v>
      </c>
      <c r="F312" s="1056">
        <v>314167986</v>
      </c>
      <c r="G312" s="1056">
        <v>325796207</v>
      </c>
      <c r="H312" s="1056">
        <v>316323357</v>
      </c>
      <c r="I312" s="1056">
        <v>329970650</v>
      </c>
      <c r="J312" s="1056">
        <v>323640836</v>
      </c>
      <c r="K312" s="1056">
        <v>320497800</v>
      </c>
      <c r="L312" s="1056">
        <v>314167986</v>
      </c>
      <c r="M312" s="1056">
        <v>325796207</v>
      </c>
      <c r="N312" s="1056">
        <v>316323357</v>
      </c>
    </row>
    <row r="313" spans="1:14">
      <c r="A313" s="1049" t="s">
        <v>4933</v>
      </c>
      <c r="B313" s="1031" t="s">
        <v>7379</v>
      </c>
      <c r="C313" s="1056">
        <v>112437570</v>
      </c>
      <c r="D313" s="1056">
        <v>109663660</v>
      </c>
      <c r="E313" s="1056">
        <v>112437570</v>
      </c>
      <c r="F313" s="1056">
        <v>109663660</v>
      </c>
      <c r="G313" s="1056">
        <v>110018780</v>
      </c>
      <c r="H313" s="1056">
        <v>110018780</v>
      </c>
      <c r="I313" s="1056">
        <v>112437570</v>
      </c>
      <c r="J313" s="1056">
        <v>109663660</v>
      </c>
      <c r="K313" s="1056">
        <v>112437570</v>
      </c>
      <c r="L313" s="1056">
        <v>109663660</v>
      </c>
      <c r="M313" s="1056">
        <v>110018780</v>
      </c>
      <c r="N313" s="1056">
        <v>110018780</v>
      </c>
    </row>
    <row r="314" spans="1:14">
      <c r="A314" s="1049" t="s">
        <v>444</v>
      </c>
      <c r="B314" s="1031" t="s">
        <v>370</v>
      </c>
      <c r="C314" s="1056">
        <v>116432907</v>
      </c>
      <c r="D314" s="1056">
        <v>114143887</v>
      </c>
      <c r="E314" s="1056">
        <v>116432907</v>
      </c>
      <c r="F314" s="1056">
        <v>114143887</v>
      </c>
      <c r="G314" s="1056">
        <v>114274125</v>
      </c>
      <c r="H314" s="1056">
        <v>114274125</v>
      </c>
      <c r="I314" s="1056">
        <v>141432907</v>
      </c>
      <c r="J314" s="1056">
        <v>139143887</v>
      </c>
      <c r="K314" s="1056">
        <v>141432907</v>
      </c>
      <c r="L314" s="1056">
        <v>139143887</v>
      </c>
      <c r="M314" s="1056">
        <v>139274125</v>
      </c>
      <c r="N314" s="1056">
        <v>139274125</v>
      </c>
    </row>
    <row r="315" spans="1:14">
      <c r="A315" s="1049" t="s">
        <v>3558</v>
      </c>
      <c r="B315" s="1031" t="s">
        <v>1288</v>
      </c>
      <c r="C315" s="1056">
        <v>267623315</v>
      </c>
      <c r="D315" s="1056">
        <v>260575575</v>
      </c>
      <c r="E315" s="1056">
        <v>267623315</v>
      </c>
      <c r="F315" s="1056">
        <v>260575575</v>
      </c>
      <c r="G315" s="1056">
        <v>260575575</v>
      </c>
      <c r="H315" s="1056">
        <v>260575575</v>
      </c>
      <c r="I315" s="1056">
        <v>267623315</v>
      </c>
      <c r="J315" s="1056">
        <v>260575575</v>
      </c>
      <c r="K315" s="1056">
        <v>267623315</v>
      </c>
      <c r="L315" s="1056">
        <v>260575575</v>
      </c>
      <c r="M315" s="1056">
        <v>260575575</v>
      </c>
      <c r="N315" s="1056">
        <v>260575575</v>
      </c>
    </row>
    <row r="316" spans="1:14">
      <c r="A316" s="1049" t="s">
        <v>3560</v>
      </c>
      <c r="B316" s="1031" t="s">
        <v>2909</v>
      </c>
      <c r="C316" s="1056">
        <v>105546486</v>
      </c>
      <c r="D316" s="1056">
        <v>101491406</v>
      </c>
      <c r="E316" s="1056">
        <v>105546486</v>
      </c>
      <c r="F316" s="1056">
        <v>101491406</v>
      </c>
      <c r="G316" s="1056">
        <v>101491406</v>
      </c>
      <c r="H316" s="1056">
        <v>101491406</v>
      </c>
      <c r="I316" s="1056">
        <v>105546486</v>
      </c>
      <c r="J316" s="1056">
        <v>101491406</v>
      </c>
      <c r="K316" s="1056">
        <v>105546486</v>
      </c>
      <c r="L316" s="1056">
        <v>101491406</v>
      </c>
      <c r="M316" s="1056">
        <v>101491406</v>
      </c>
      <c r="N316" s="1056">
        <v>101491406</v>
      </c>
    </row>
    <row r="317" spans="1:14">
      <c r="A317" s="1049" t="s">
        <v>3562</v>
      </c>
      <c r="B317" s="1031" t="s">
        <v>2910</v>
      </c>
      <c r="C317" s="1056">
        <v>175492371</v>
      </c>
      <c r="D317" s="1056">
        <v>173450941</v>
      </c>
      <c r="E317" s="1056">
        <v>175492371</v>
      </c>
      <c r="F317" s="1056">
        <v>173450941</v>
      </c>
      <c r="G317" s="1056">
        <v>173490599</v>
      </c>
      <c r="H317" s="1056">
        <v>173490599</v>
      </c>
      <c r="I317" s="1056">
        <v>175492371</v>
      </c>
      <c r="J317" s="1056">
        <v>173450941</v>
      </c>
      <c r="K317" s="1056">
        <v>175492371</v>
      </c>
      <c r="L317" s="1056">
        <v>173450941</v>
      </c>
      <c r="M317" s="1056">
        <v>173490599</v>
      </c>
      <c r="N317" s="1056">
        <v>173490599</v>
      </c>
    </row>
    <row r="318" spans="1:14">
      <c r="A318" s="1049" t="s">
        <v>3564</v>
      </c>
      <c r="B318" s="1031" t="s">
        <v>7385</v>
      </c>
      <c r="C318" s="1056">
        <v>11666211922</v>
      </c>
      <c r="D318" s="1056">
        <v>11372427668</v>
      </c>
      <c r="E318" s="1056">
        <v>11666211922</v>
      </c>
      <c r="F318" s="1056">
        <v>11372427668</v>
      </c>
      <c r="G318" s="1056">
        <v>11419685968</v>
      </c>
      <c r="H318" s="1056">
        <v>11419685968</v>
      </c>
      <c r="I318" s="1056">
        <v>11666211922</v>
      </c>
      <c r="J318" s="1056">
        <v>11372427668</v>
      </c>
      <c r="K318" s="1056">
        <v>11666211922</v>
      </c>
      <c r="L318" s="1056">
        <v>11372427668</v>
      </c>
      <c r="M318" s="1056">
        <v>11419685968</v>
      </c>
      <c r="N318" s="1056">
        <v>11419685968</v>
      </c>
    </row>
    <row r="319" spans="1:14">
      <c r="A319" s="1049" t="s">
        <v>6179</v>
      </c>
      <c r="B319" s="1031" t="s">
        <v>1932</v>
      </c>
      <c r="C319" s="1056">
        <v>686155193</v>
      </c>
      <c r="D319" s="1056">
        <v>655839534</v>
      </c>
      <c r="E319" s="1056">
        <v>686155193</v>
      </c>
      <c r="F319" s="1056">
        <v>655839534</v>
      </c>
      <c r="G319" s="1056">
        <v>659888731</v>
      </c>
      <c r="H319" s="1056">
        <v>659888731</v>
      </c>
      <c r="I319" s="1056">
        <v>686155193</v>
      </c>
      <c r="J319" s="1056">
        <v>655839534</v>
      </c>
      <c r="K319" s="1056">
        <v>686155193</v>
      </c>
      <c r="L319" s="1056">
        <v>655839534</v>
      </c>
      <c r="M319" s="1056">
        <v>659888731</v>
      </c>
      <c r="N319" s="1056">
        <v>659888731</v>
      </c>
    </row>
    <row r="320" spans="1:14">
      <c r="A320" s="1049" t="s">
        <v>1309</v>
      </c>
      <c r="B320" s="1031" t="s">
        <v>114</v>
      </c>
      <c r="C320" s="1056">
        <v>28327158668</v>
      </c>
      <c r="D320" s="1056">
        <v>27510726731</v>
      </c>
      <c r="E320" s="1056">
        <v>28327158668</v>
      </c>
      <c r="F320" s="1056">
        <v>27510726731</v>
      </c>
      <c r="G320" s="1056">
        <v>27697195089</v>
      </c>
      <c r="H320" s="1056">
        <v>27697195089</v>
      </c>
      <c r="I320" s="1056">
        <v>28327158668</v>
      </c>
      <c r="J320" s="1056">
        <v>27510726731</v>
      </c>
      <c r="K320" s="1056">
        <v>28327158668</v>
      </c>
      <c r="L320" s="1056">
        <v>27510726731</v>
      </c>
      <c r="M320" s="1056">
        <v>27697195089</v>
      </c>
      <c r="N320" s="1056">
        <v>27697195089</v>
      </c>
    </row>
    <row r="321" spans="1:14">
      <c r="A321" s="1049" t="s">
        <v>3568</v>
      </c>
      <c r="B321" s="1031" t="s">
        <v>7390</v>
      </c>
      <c r="C321" s="1056">
        <v>2197365587</v>
      </c>
      <c r="D321" s="1056">
        <v>2172678614</v>
      </c>
      <c r="E321" s="1056">
        <v>2159371939</v>
      </c>
      <c r="F321" s="1056">
        <v>2134684966</v>
      </c>
      <c r="G321" s="1056">
        <v>2177422858</v>
      </c>
      <c r="H321" s="1056">
        <v>2139429210</v>
      </c>
      <c r="I321" s="1056">
        <v>2197365587</v>
      </c>
      <c r="J321" s="1056">
        <v>2172678614</v>
      </c>
      <c r="K321" s="1056">
        <v>2159371939</v>
      </c>
      <c r="L321" s="1056">
        <v>2134684966</v>
      </c>
      <c r="M321" s="1056">
        <v>2177422858</v>
      </c>
      <c r="N321" s="1056">
        <v>2139429210</v>
      </c>
    </row>
    <row r="322" spans="1:14">
      <c r="A322" s="1049" t="s">
        <v>1607</v>
      </c>
      <c r="B322" s="1031" t="s">
        <v>2914</v>
      </c>
      <c r="C322" s="1056">
        <v>974376725</v>
      </c>
      <c r="D322" s="1056">
        <v>951840125</v>
      </c>
      <c r="E322" s="1056">
        <v>974376725</v>
      </c>
      <c r="F322" s="1056">
        <v>951840125</v>
      </c>
      <c r="G322" s="1056">
        <v>951840125</v>
      </c>
      <c r="H322" s="1056">
        <v>951840125</v>
      </c>
      <c r="I322" s="1056">
        <v>974376725</v>
      </c>
      <c r="J322" s="1056">
        <v>951840125</v>
      </c>
      <c r="K322" s="1056">
        <v>974376725</v>
      </c>
      <c r="L322" s="1056">
        <v>951840125</v>
      </c>
      <c r="M322" s="1056">
        <v>951840125</v>
      </c>
      <c r="N322" s="1056">
        <v>951840125</v>
      </c>
    </row>
    <row r="323" spans="1:14">
      <c r="A323" s="1049" t="s">
        <v>2482</v>
      </c>
      <c r="B323" s="1031" t="s">
        <v>2915</v>
      </c>
      <c r="C323" s="1056">
        <v>1663921479</v>
      </c>
      <c r="D323" s="1056">
        <v>1641832475</v>
      </c>
      <c r="E323" s="1056">
        <v>1663921479</v>
      </c>
      <c r="F323" s="1056">
        <v>1641832475</v>
      </c>
      <c r="G323" s="1056">
        <v>1645951804</v>
      </c>
      <c r="H323" s="1056">
        <v>1645951804</v>
      </c>
      <c r="I323" s="1056">
        <v>1663921479</v>
      </c>
      <c r="J323" s="1056">
        <v>1641832475</v>
      </c>
      <c r="K323" s="1056">
        <v>1663921479</v>
      </c>
      <c r="L323" s="1056">
        <v>1641832475</v>
      </c>
      <c r="M323" s="1056">
        <v>1645951804</v>
      </c>
      <c r="N323" s="1056">
        <v>1645951804</v>
      </c>
    </row>
    <row r="324" spans="1:14">
      <c r="A324" s="1049" t="s">
        <v>2484</v>
      </c>
      <c r="B324" s="1031" t="s">
        <v>2916</v>
      </c>
      <c r="C324" s="1056">
        <v>937314409</v>
      </c>
      <c r="D324" s="1056">
        <v>924858531</v>
      </c>
      <c r="E324" s="1056">
        <v>937314409</v>
      </c>
      <c r="F324" s="1056">
        <v>924858531</v>
      </c>
      <c r="G324" s="1056">
        <v>926515396</v>
      </c>
      <c r="H324" s="1056">
        <v>926515396</v>
      </c>
      <c r="I324" s="1056">
        <v>937314409</v>
      </c>
      <c r="J324" s="1056">
        <v>924858531</v>
      </c>
      <c r="K324" s="1056">
        <v>937314409</v>
      </c>
      <c r="L324" s="1056">
        <v>924858531</v>
      </c>
      <c r="M324" s="1056">
        <v>926515396</v>
      </c>
      <c r="N324" s="1056">
        <v>926515396</v>
      </c>
    </row>
    <row r="325" spans="1:14">
      <c r="A325" s="1049" t="s">
        <v>2486</v>
      </c>
      <c r="B325" s="1031" t="s">
        <v>2917</v>
      </c>
      <c r="C325" s="1056">
        <v>134010277</v>
      </c>
      <c r="D325" s="1056">
        <v>129953704</v>
      </c>
      <c r="E325" s="1056">
        <v>134010277</v>
      </c>
      <c r="F325" s="1056">
        <v>129953704</v>
      </c>
      <c r="G325" s="1056">
        <v>130245234</v>
      </c>
      <c r="H325" s="1056">
        <v>130245234</v>
      </c>
      <c r="I325" s="1056">
        <v>134010277</v>
      </c>
      <c r="J325" s="1056">
        <v>129953704</v>
      </c>
      <c r="K325" s="1056">
        <v>134010277</v>
      </c>
      <c r="L325" s="1056">
        <v>129953704</v>
      </c>
      <c r="M325" s="1056">
        <v>130245234</v>
      </c>
      <c r="N325" s="1056">
        <v>130245234</v>
      </c>
    </row>
    <row r="326" spans="1:14">
      <c r="A326" s="1049" t="s">
        <v>2488</v>
      </c>
      <c r="B326" s="1031" t="s">
        <v>2918</v>
      </c>
      <c r="C326" s="1056">
        <v>198467910</v>
      </c>
      <c r="D326" s="1056">
        <v>196432367</v>
      </c>
      <c r="E326" s="1056">
        <v>198467910</v>
      </c>
      <c r="F326" s="1056">
        <v>196432367</v>
      </c>
      <c r="G326" s="1056">
        <v>196661538</v>
      </c>
      <c r="H326" s="1056">
        <v>196661538</v>
      </c>
      <c r="I326" s="1056">
        <v>198467910</v>
      </c>
      <c r="J326" s="1056">
        <v>196432367</v>
      </c>
      <c r="K326" s="1056">
        <v>198467910</v>
      </c>
      <c r="L326" s="1056">
        <v>196432367</v>
      </c>
      <c r="M326" s="1056">
        <v>196661538</v>
      </c>
      <c r="N326" s="1056">
        <v>196661538</v>
      </c>
    </row>
    <row r="327" spans="1:14">
      <c r="A327" s="1049" t="s">
        <v>2834</v>
      </c>
      <c r="B327" s="1031" t="s">
        <v>1002</v>
      </c>
      <c r="C327" s="1056">
        <v>1485630542</v>
      </c>
      <c r="D327" s="1056">
        <v>1481372181</v>
      </c>
      <c r="E327" s="1056">
        <v>1485630542</v>
      </c>
      <c r="F327" s="1056">
        <v>1481372181</v>
      </c>
      <c r="G327" s="1056">
        <v>1481614421</v>
      </c>
      <c r="H327" s="1056">
        <v>1481614421</v>
      </c>
      <c r="I327" s="1056">
        <v>1485630542</v>
      </c>
      <c r="J327" s="1056">
        <v>1481372181</v>
      </c>
      <c r="K327" s="1056">
        <v>1485630542</v>
      </c>
      <c r="L327" s="1056">
        <v>1481372181</v>
      </c>
      <c r="M327" s="1056">
        <v>1481614421</v>
      </c>
      <c r="N327" s="1056">
        <v>1481614421</v>
      </c>
    </row>
    <row r="328" spans="1:14">
      <c r="A328" s="1049" t="s">
        <v>445</v>
      </c>
      <c r="B328" s="1031" t="s">
        <v>5294</v>
      </c>
      <c r="C328" s="1056">
        <v>1449131582</v>
      </c>
      <c r="D328" s="1056">
        <v>1435332102</v>
      </c>
      <c r="E328" s="1056">
        <v>1449131582</v>
      </c>
      <c r="F328" s="1056">
        <v>1435332102</v>
      </c>
      <c r="G328" s="1056">
        <v>1436096259</v>
      </c>
      <c r="H328" s="1056">
        <v>1436096259</v>
      </c>
      <c r="I328" s="1056">
        <v>1449131582</v>
      </c>
      <c r="J328" s="1056">
        <v>1435332102</v>
      </c>
      <c r="K328" s="1056">
        <v>1449131582</v>
      </c>
      <c r="L328" s="1056">
        <v>1435332102</v>
      </c>
      <c r="M328" s="1056">
        <v>1436096259</v>
      </c>
      <c r="N328" s="1056">
        <v>1436096259</v>
      </c>
    </row>
    <row r="329" spans="1:14">
      <c r="A329" s="1049" t="s">
        <v>2490</v>
      </c>
      <c r="B329" s="1031" t="s">
        <v>2919</v>
      </c>
      <c r="C329" s="1056">
        <v>260967585</v>
      </c>
      <c r="D329" s="1056">
        <v>257156533</v>
      </c>
      <c r="E329" s="1056">
        <v>260967585</v>
      </c>
      <c r="F329" s="1056">
        <v>257156533</v>
      </c>
      <c r="G329" s="1056">
        <v>257158832</v>
      </c>
      <c r="H329" s="1056">
        <v>257158832</v>
      </c>
      <c r="I329" s="1056">
        <v>260967585</v>
      </c>
      <c r="J329" s="1056">
        <v>257156533</v>
      </c>
      <c r="K329" s="1056">
        <v>260967585</v>
      </c>
      <c r="L329" s="1056">
        <v>257156533</v>
      </c>
      <c r="M329" s="1056">
        <v>257158832</v>
      </c>
      <c r="N329" s="1056">
        <v>257158832</v>
      </c>
    </row>
    <row r="330" spans="1:14">
      <c r="A330" s="1049" t="s">
        <v>2492</v>
      </c>
      <c r="B330" s="1031" t="s">
        <v>2920</v>
      </c>
      <c r="C330" s="1056">
        <v>491387694</v>
      </c>
      <c r="D330" s="1056">
        <v>490599165</v>
      </c>
      <c r="E330" s="1056">
        <v>490766812</v>
      </c>
      <c r="F330" s="1056">
        <v>489978283</v>
      </c>
      <c r="G330" s="1056">
        <v>490599165</v>
      </c>
      <c r="H330" s="1056">
        <v>489978283</v>
      </c>
      <c r="I330" s="1056">
        <v>491387694</v>
      </c>
      <c r="J330" s="1056">
        <v>490599165</v>
      </c>
      <c r="K330" s="1056">
        <v>490766812</v>
      </c>
      <c r="L330" s="1056">
        <v>489978283</v>
      </c>
      <c r="M330" s="1056">
        <v>490599165</v>
      </c>
      <c r="N330" s="1056">
        <v>489978283</v>
      </c>
    </row>
    <row r="331" spans="1:14">
      <c r="A331" s="1049" t="s">
        <v>2494</v>
      </c>
      <c r="B331" s="1031" t="s">
        <v>2921</v>
      </c>
      <c r="C331" s="1056">
        <v>5675726344</v>
      </c>
      <c r="D331" s="1056">
        <v>5650415334</v>
      </c>
      <c r="E331" s="1056">
        <v>5675726344</v>
      </c>
      <c r="F331" s="1056">
        <v>5650415334</v>
      </c>
      <c r="G331" s="1056">
        <v>5650415334</v>
      </c>
      <c r="H331" s="1056">
        <v>5650415334</v>
      </c>
      <c r="I331" s="1056">
        <v>5675726344</v>
      </c>
      <c r="J331" s="1056">
        <v>5650415334</v>
      </c>
      <c r="K331" s="1056">
        <v>5675726344</v>
      </c>
      <c r="L331" s="1056">
        <v>5650415334</v>
      </c>
      <c r="M331" s="1056">
        <v>5650415334</v>
      </c>
      <c r="N331" s="1056">
        <v>5650415334</v>
      </c>
    </row>
    <row r="332" spans="1:14">
      <c r="A332" s="1049" t="s">
        <v>2498</v>
      </c>
      <c r="B332" s="1031" t="s">
        <v>2922</v>
      </c>
      <c r="C332" s="1056">
        <v>2918762694</v>
      </c>
      <c r="D332" s="1056">
        <v>2810909529</v>
      </c>
      <c r="E332" s="1056">
        <v>2918762694</v>
      </c>
      <c r="F332" s="1056">
        <v>2810909529</v>
      </c>
      <c r="G332" s="1056">
        <v>2811151542</v>
      </c>
      <c r="H332" s="1056">
        <v>2811151542</v>
      </c>
      <c r="I332" s="1056">
        <v>2918762694</v>
      </c>
      <c r="J332" s="1056">
        <v>2810909529</v>
      </c>
      <c r="K332" s="1056">
        <v>2918762694</v>
      </c>
      <c r="L332" s="1056">
        <v>2810909529</v>
      </c>
      <c r="M332" s="1056">
        <v>2811151542</v>
      </c>
      <c r="N332" s="1056">
        <v>2811151542</v>
      </c>
    </row>
    <row r="333" spans="1:14">
      <c r="A333" s="1049" t="s">
        <v>1670</v>
      </c>
      <c r="B333" s="1031" t="s">
        <v>2923</v>
      </c>
      <c r="C333" s="1056">
        <v>5725363217</v>
      </c>
      <c r="D333" s="1056">
        <v>5626789061</v>
      </c>
      <c r="E333" s="1056">
        <v>5579823892</v>
      </c>
      <c r="F333" s="1056">
        <v>5481249736</v>
      </c>
      <c r="G333" s="1056">
        <v>5627724819</v>
      </c>
      <c r="H333" s="1056">
        <v>5482185494</v>
      </c>
      <c r="I333" s="1056">
        <v>5725363217</v>
      </c>
      <c r="J333" s="1056">
        <v>5626789061</v>
      </c>
      <c r="K333" s="1056">
        <v>5579823892</v>
      </c>
      <c r="L333" s="1056">
        <v>5481249736</v>
      </c>
      <c r="M333" s="1056">
        <v>5627724819</v>
      </c>
      <c r="N333" s="1056">
        <v>5482185494</v>
      </c>
    </row>
    <row r="334" spans="1:14">
      <c r="A334" s="1049" t="s">
        <v>1867</v>
      </c>
      <c r="B334" s="1031" t="s">
        <v>3846</v>
      </c>
      <c r="C334" s="1056">
        <v>95391669</v>
      </c>
      <c r="D334" s="1056">
        <v>94279495</v>
      </c>
      <c r="E334" s="1056">
        <v>94515758</v>
      </c>
      <c r="F334" s="1056">
        <v>93403584</v>
      </c>
      <c r="G334" s="1056">
        <v>94279495</v>
      </c>
      <c r="H334" s="1056">
        <v>93403584</v>
      </c>
      <c r="I334" s="1056">
        <v>95391669</v>
      </c>
      <c r="J334" s="1056">
        <v>94279495</v>
      </c>
      <c r="K334" s="1056">
        <v>94515758</v>
      </c>
      <c r="L334" s="1056">
        <v>93403584</v>
      </c>
      <c r="M334" s="1056">
        <v>94279495</v>
      </c>
      <c r="N334" s="1056">
        <v>93403584</v>
      </c>
    </row>
    <row r="335" spans="1:14">
      <c r="A335" s="1049" t="s">
        <v>1672</v>
      </c>
      <c r="B335" s="1031" t="s">
        <v>2924</v>
      </c>
      <c r="C335" s="1056">
        <v>1481941378</v>
      </c>
      <c r="D335" s="1056">
        <v>1422113638</v>
      </c>
      <c r="E335" s="1056">
        <v>1481941378</v>
      </c>
      <c r="F335" s="1056">
        <v>1422113638</v>
      </c>
      <c r="G335" s="1056">
        <v>1422210769</v>
      </c>
      <c r="H335" s="1056">
        <v>1422210769</v>
      </c>
      <c r="I335" s="1056">
        <v>1481941378</v>
      </c>
      <c r="J335" s="1056">
        <v>1422113638</v>
      </c>
      <c r="K335" s="1056">
        <v>1481941378</v>
      </c>
      <c r="L335" s="1056">
        <v>1422113638</v>
      </c>
      <c r="M335" s="1056">
        <v>1422210769</v>
      </c>
      <c r="N335" s="1056">
        <v>1422210769</v>
      </c>
    </row>
    <row r="336" spans="1:14">
      <c r="A336" s="1049" t="s">
        <v>1674</v>
      </c>
      <c r="B336" s="1031" t="s">
        <v>2925</v>
      </c>
      <c r="C336" s="1056">
        <v>4027446257</v>
      </c>
      <c r="D336" s="1056">
        <v>3970607133</v>
      </c>
      <c r="E336" s="1056">
        <v>3977290315</v>
      </c>
      <c r="F336" s="1056">
        <v>3920451191</v>
      </c>
      <c r="G336" s="1056">
        <v>3978136382</v>
      </c>
      <c r="H336" s="1056">
        <v>3927980440</v>
      </c>
      <c r="I336" s="1056">
        <v>4027446257</v>
      </c>
      <c r="J336" s="1056">
        <v>3970607133</v>
      </c>
      <c r="K336" s="1056">
        <v>3977290315</v>
      </c>
      <c r="L336" s="1056">
        <v>3920451191</v>
      </c>
      <c r="M336" s="1056">
        <v>3978136382</v>
      </c>
      <c r="N336" s="1056">
        <v>3927980440</v>
      </c>
    </row>
    <row r="337" spans="1:14">
      <c r="A337" s="1049" t="s">
        <v>5048</v>
      </c>
      <c r="B337" s="1031" t="s">
        <v>2926</v>
      </c>
      <c r="C337" s="1056">
        <v>530250229</v>
      </c>
      <c r="D337" s="1056">
        <v>510062858</v>
      </c>
      <c r="E337" s="1056">
        <v>530250229</v>
      </c>
      <c r="F337" s="1056">
        <v>510062858</v>
      </c>
      <c r="G337" s="1056">
        <v>510189871</v>
      </c>
      <c r="H337" s="1056">
        <v>510189871</v>
      </c>
      <c r="I337" s="1056">
        <v>530250229</v>
      </c>
      <c r="J337" s="1056">
        <v>510062858</v>
      </c>
      <c r="K337" s="1056">
        <v>530250229</v>
      </c>
      <c r="L337" s="1056">
        <v>510062858</v>
      </c>
      <c r="M337" s="1056">
        <v>510189871</v>
      </c>
      <c r="N337" s="1056">
        <v>510189871</v>
      </c>
    </row>
    <row r="338" spans="1:14">
      <c r="A338" s="1049" t="s">
        <v>2392</v>
      </c>
      <c r="B338" s="1031" t="s">
        <v>1458</v>
      </c>
      <c r="C338" s="1056">
        <v>1101894070</v>
      </c>
      <c r="D338" s="1056">
        <v>1034985380</v>
      </c>
      <c r="E338" s="1056">
        <v>1101894070</v>
      </c>
      <c r="F338" s="1056">
        <v>1034985380</v>
      </c>
      <c r="G338" s="1056">
        <v>1048143898</v>
      </c>
      <c r="H338" s="1056">
        <v>1048143898</v>
      </c>
      <c r="I338" s="1056">
        <v>1101894070</v>
      </c>
      <c r="J338" s="1056">
        <v>1034985380</v>
      </c>
      <c r="K338" s="1056">
        <v>1101894070</v>
      </c>
      <c r="L338" s="1056">
        <v>1034985380</v>
      </c>
      <c r="M338" s="1056">
        <v>1048143898</v>
      </c>
      <c r="N338" s="1056">
        <v>1048143898</v>
      </c>
    </row>
    <row r="339" spans="1:14">
      <c r="A339" s="1049" t="s">
        <v>5050</v>
      </c>
      <c r="B339" s="1031" t="s">
        <v>2927</v>
      </c>
      <c r="C339" s="1056">
        <v>17667452518</v>
      </c>
      <c r="D339" s="1056">
        <v>17151465685</v>
      </c>
      <c r="E339" s="1056">
        <v>17409512189</v>
      </c>
      <c r="F339" s="1056">
        <v>16893525356</v>
      </c>
      <c r="G339" s="1056">
        <v>17275518400</v>
      </c>
      <c r="H339" s="1056">
        <v>17017578071</v>
      </c>
      <c r="I339" s="1056">
        <v>17667452518</v>
      </c>
      <c r="J339" s="1056">
        <v>17151465685</v>
      </c>
      <c r="K339" s="1056">
        <v>17409512189</v>
      </c>
      <c r="L339" s="1056">
        <v>16893525356</v>
      </c>
      <c r="M339" s="1056">
        <v>17275518400</v>
      </c>
      <c r="N339" s="1056">
        <v>17017578071</v>
      </c>
    </row>
    <row r="340" spans="1:14">
      <c r="A340" s="1049" t="s">
        <v>1311</v>
      </c>
      <c r="B340" s="1031" t="s">
        <v>116</v>
      </c>
      <c r="C340" s="1056">
        <v>2333889765</v>
      </c>
      <c r="D340" s="1056">
        <v>2256621524</v>
      </c>
      <c r="E340" s="1056">
        <v>2333889765</v>
      </c>
      <c r="F340" s="1056">
        <v>2256621524</v>
      </c>
      <c r="G340" s="1056">
        <v>2286198627</v>
      </c>
      <c r="H340" s="1056">
        <v>2286198627</v>
      </c>
      <c r="I340" s="1056">
        <v>2333889765</v>
      </c>
      <c r="J340" s="1056">
        <v>2256621524</v>
      </c>
      <c r="K340" s="1056">
        <v>2333889765</v>
      </c>
      <c r="L340" s="1056">
        <v>2256621524</v>
      </c>
      <c r="M340" s="1056">
        <v>2286198627</v>
      </c>
      <c r="N340" s="1056">
        <v>2286198627</v>
      </c>
    </row>
    <row r="341" spans="1:14">
      <c r="A341" s="1049" t="s">
        <v>3222</v>
      </c>
      <c r="B341" s="1031" t="s">
        <v>2928</v>
      </c>
      <c r="C341" s="1056">
        <v>859263572</v>
      </c>
      <c r="D341" s="1056">
        <v>852175671</v>
      </c>
      <c r="E341" s="1056">
        <v>859263572</v>
      </c>
      <c r="F341" s="1056">
        <v>852175671</v>
      </c>
      <c r="G341" s="1056">
        <v>852175671</v>
      </c>
      <c r="H341" s="1056">
        <v>852175671</v>
      </c>
      <c r="I341" s="1056">
        <v>859263572</v>
      </c>
      <c r="J341" s="1056">
        <v>852175671</v>
      </c>
      <c r="K341" s="1056">
        <v>859263572</v>
      </c>
      <c r="L341" s="1056">
        <v>852175671</v>
      </c>
      <c r="M341" s="1056">
        <v>852175671</v>
      </c>
      <c r="N341" s="1056">
        <v>852175671</v>
      </c>
    </row>
    <row r="342" spans="1:14">
      <c r="A342" s="1049" t="s">
        <v>3224</v>
      </c>
      <c r="B342" s="1031" t="s">
        <v>2929</v>
      </c>
      <c r="C342" s="1056">
        <v>80236042</v>
      </c>
      <c r="D342" s="1056">
        <v>79775051</v>
      </c>
      <c r="E342" s="1056">
        <v>80236042</v>
      </c>
      <c r="F342" s="1056">
        <v>79775051</v>
      </c>
      <c r="G342" s="1056">
        <v>79788906</v>
      </c>
      <c r="H342" s="1056">
        <v>79788906</v>
      </c>
      <c r="I342" s="1056">
        <v>80236042</v>
      </c>
      <c r="J342" s="1056">
        <v>79775051</v>
      </c>
      <c r="K342" s="1056">
        <v>80236042</v>
      </c>
      <c r="L342" s="1056">
        <v>79775051</v>
      </c>
      <c r="M342" s="1056">
        <v>79788906</v>
      </c>
      <c r="N342" s="1056">
        <v>79788906</v>
      </c>
    </row>
    <row r="343" spans="1:14">
      <c r="A343" s="1049" t="s">
        <v>6218</v>
      </c>
      <c r="B343" s="1031" t="s">
        <v>7413</v>
      </c>
      <c r="C343" s="1056">
        <v>37970048</v>
      </c>
      <c r="D343" s="1056">
        <v>36981498</v>
      </c>
      <c r="E343" s="1056">
        <v>37970048</v>
      </c>
      <c r="F343" s="1056">
        <v>36981498</v>
      </c>
      <c r="G343" s="1056">
        <v>36992721</v>
      </c>
      <c r="H343" s="1056">
        <v>36992721</v>
      </c>
      <c r="I343" s="1056">
        <v>37970048</v>
      </c>
      <c r="J343" s="1056">
        <v>36981498</v>
      </c>
      <c r="K343" s="1056">
        <v>37970048</v>
      </c>
      <c r="L343" s="1056">
        <v>36981498</v>
      </c>
      <c r="M343" s="1056">
        <v>36992721</v>
      </c>
      <c r="N343" s="1056">
        <v>36992721</v>
      </c>
    </row>
    <row r="344" spans="1:14">
      <c r="A344" s="1049" t="s">
        <v>3228</v>
      </c>
      <c r="B344" s="1031" t="s">
        <v>2931</v>
      </c>
      <c r="C344" s="1056">
        <v>2606242071</v>
      </c>
      <c r="D344" s="1056">
        <v>2545636459</v>
      </c>
      <c r="E344" s="1056">
        <v>2606242071</v>
      </c>
      <c r="F344" s="1056">
        <v>2545636459</v>
      </c>
      <c r="G344" s="1056">
        <v>2545636459</v>
      </c>
      <c r="H344" s="1056">
        <v>2545636459</v>
      </c>
      <c r="I344" s="1056">
        <v>2606242071</v>
      </c>
      <c r="J344" s="1056">
        <v>2545636459</v>
      </c>
      <c r="K344" s="1056">
        <v>2606242071</v>
      </c>
      <c r="L344" s="1056">
        <v>2545636459</v>
      </c>
      <c r="M344" s="1056">
        <v>2545636459</v>
      </c>
      <c r="N344" s="1056">
        <v>2545636459</v>
      </c>
    </row>
    <row r="345" spans="1:14">
      <c r="A345" s="1049" t="s">
        <v>3230</v>
      </c>
      <c r="B345" s="1031" t="s">
        <v>2932</v>
      </c>
      <c r="C345" s="1056">
        <v>377813587</v>
      </c>
      <c r="D345" s="1056">
        <v>366106891</v>
      </c>
      <c r="E345" s="1056">
        <v>377813587</v>
      </c>
      <c r="F345" s="1056">
        <v>366106891</v>
      </c>
      <c r="G345" s="1056">
        <v>366106891</v>
      </c>
      <c r="H345" s="1056">
        <v>366106891</v>
      </c>
      <c r="I345" s="1056">
        <v>377813587</v>
      </c>
      <c r="J345" s="1056">
        <v>366106891</v>
      </c>
      <c r="K345" s="1056">
        <v>377813587</v>
      </c>
      <c r="L345" s="1056">
        <v>366106891</v>
      </c>
      <c r="M345" s="1056">
        <v>366106891</v>
      </c>
      <c r="N345" s="1056">
        <v>366106891</v>
      </c>
    </row>
    <row r="346" spans="1:14">
      <c r="A346" s="1049" t="s">
        <v>3232</v>
      </c>
      <c r="B346" s="1031" t="s">
        <v>3788</v>
      </c>
      <c r="C346" s="1056">
        <v>3580609245</v>
      </c>
      <c r="D346" s="1056">
        <v>3578560761</v>
      </c>
      <c r="E346" s="1056">
        <v>3578597465</v>
      </c>
      <c r="F346" s="1056">
        <v>3576548981</v>
      </c>
      <c r="G346" s="1056">
        <v>3579136138</v>
      </c>
      <c r="H346" s="1056">
        <v>3577124358</v>
      </c>
      <c r="I346" s="1056">
        <v>3788342379</v>
      </c>
      <c r="J346" s="1056">
        <v>3786293895</v>
      </c>
      <c r="K346" s="1056">
        <v>3786330599</v>
      </c>
      <c r="L346" s="1056">
        <v>3784282115</v>
      </c>
      <c r="M346" s="1056">
        <v>3786869272</v>
      </c>
      <c r="N346" s="1056">
        <v>3784857492</v>
      </c>
    </row>
    <row r="347" spans="1:14">
      <c r="A347" s="1049" t="s">
        <v>1899</v>
      </c>
      <c r="B347" s="1031" t="s">
        <v>3789</v>
      </c>
      <c r="C347" s="1056">
        <v>1073068384</v>
      </c>
      <c r="D347" s="1056">
        <v>1056013464</v>
      </c>
      <c r="E347" s="1056">
        <v>1054031844</v>
      </c>
      <c r="F347" s="1056">
        <v>1036976924</v>
      </c>
      <c r="G347" s="1056">
        <v>1056013464</v>
      </c>
      <c r="H347" s="1056">
        <v>1036976924</v>
      </c>
      <c r="I347" s="1056">
        <v>1073068384</v>
      </c>
      <c r="J347" s="1056">
        <v>1056013464</v>
      </c>
      <c r="K347" s="1056">
        <v>1054031844</v>
      </c>
      <c r="L347" s="1056">
        <v>1036976924</v>
      </c>
      <c r="M347" s="1056">
        <v>1056013464</v>
      </c>
      <c r="N347" s="1056">
        <v>1036976924</v>
      </c>
    </row>
    <row r="348" spans="1:14">
      <c r="A348" s="1049" t="s">
        <v>1853</v>
      </c>
      <c r="B348" s="1031" t="s">
        <v>4964</v>
      </c>
      <c r="C348" s="1056">
        <v>2502353511</v>
      </c>
      <c r="D348" s="1056">
        <v>2480037724</v>
      </c>
      <c r="E348" s="1056">
        <v>2502353511</v>
      </c>
      <c r="F348" s="1056">
        <v>2480037724</v>
      </c>
      <c r="G348" s="1056">
        <v>2480237848</v>
      </c>
      <c r="H348" s="1056">
        <v>2480237848</v>
      </c>
      <c r="I348" s="1056">
        <v>2502353511</v>
      </c>
      <c r="J348" s="1056">
        <v>2480037724</v>
      </c>
      <c r="K348" s="1056">
        <v>2502353511</v>
      </c>
      <c r="L348" s="1056">
        <v>2480037724</v>
      </c>
      <c r="M348" s="1056">
        <v>2480237848</v>
      </c>
      <c r="N348" s="1056">
        <v>2480237848</v>
      </c>
    </row>
    <row r="349" spans="1:14">
      <c r="A349" s="1049" t="s">
        <v>1901</v>
      </c>
      <c r="B349" s="1031" t="s">
        <v>7420</v>
      </c>
      <c r="C349" s="1056">
        <v>1667442254</v>
      </c>
      <c r="D349" s="1056">
        <v>1659740458</v>
      </c>
      <c r="E349" s="1056">
        <v>1660699723</v>
      </c>
      <c r="F349" s="1056">
        <v>1652997927</v>
      </c>
      <c r="G349" s="1056">
        <v>1659772371</v>
      </c>
      <c r="H349" s="1056">
        <v>1653029840</v>
      </c>
      <c r="I349" s="1056">
        <v>1667442254</v>
      </c>
      <c r="J349" s="1056">
        <v>1659740458</v>
      </c>
      <c r="K349" s="1056">
        <v>1660699723</v>
      </c>
      <c r="L349" s="1056">
        <v>1652997927</v>
      </c>
      <c r="M349" s="1056">
        <v>1659772371</v>
      </c>
      <c r="N349" s="1056">
        <v>1653029840</v>
      </c>
    </row>
    <row r="350" spans="1:14">
      <c r="A350" s="1049" t="s">
        <v>1903</v>
      </c>
      <c r="B350" s="1031" t="s">
        <v>3791</v>
      </c>
      <c r="C350" s="1056">
        <v>209132956</v>
      </c>
      <c r="D350" s="1056">
        <v>206146544</v>
      </c>
      <c r="E350" s="1056">
        <v>209132956</v>
      </c>
      <c r="F350" s="1056">
        <v>206146544</v>
      </c>
      <c r="G350" s="1056">
        <v>206146985</v>
      </c>
      <c r="H350" s="1056">
        <v>206146985</v>
      </c>
      <c r="I350" s="1056">
        <v>209132956</v>
      </c>
      <c r="J350" s="1056">
        <v>206146544</v>
      </c>
      <c r="K350" s="1056">
        <v>209132956</v>
      </c>
      <c r="L350" s="1056">
        <v>206146544</v>
      </c>
      <c r="M350" s="1056">
        <v>206146985</v>
      </c>
      <c r="N350" s="1056">
        <v>206146985</v>
      </c>
    </row>
    <row r="351" spans="1:14">
      <c r="A351" s="1049" t="s">
        <v>52</v>
      </c>
      <c r="B351" s="1031" t="s">
        <v>5666</v>
      </c>
      <c r="C351" s="1056">
        <v>192506443</v>
      </c>
      <c r="D351" s="1056">
        <v>191799793</v>
      </c>
      <c r="E351" s="1056">
        <v>192506443</v>
      </c>
      <c r="F351" s="1056">
        <v>191799793</v>
      </c>
      <c r="G351" s="1056">
        <v>191810844</v>
      </c>
      <c r="H351" s="1056">
        <v>191810844</v>
      </c>
      <c r="I351" s="1056">
        <v>192506443</v>
      </c>
      <c r="J351" s="1056">
        <v>191799793</v>
      </c>
      <c r="K351" s="1056">
        <v>192506443</v>
      </c>
      <c r="L351" s="1056">
        <v>191799793</v>
      </c>
      <c r="M351" s="1056">
        <v>191810844</v>
      </c>
      <c r="N351" s="1056">
        <v>191810844</v>
      </c>
    </row>
    <row r="352" spans="1:14">
      <c r="A352" s="1049" t="s">
        <v>54</v>
      </c>
      <c r="B352" s="1031" t="s">
        <v>5667</v>
      </c>
      <c r="C352" s="1056">
        <v>149980609</v>
      </c>
      <c r="D352" s="1056">
        <v>148473589</v>
      </c>
      <c r="E352" s="1056">
        <v>149980609</v>
      </c>
      <c r="F352" s="1056">
        <v>148473589</v>
      </c>
      <c r="G352" s="1056">
        <v>148513506</v>
      </c>
      <c r="H352" s="1056">
        <v>148513506</v>
      </c>
      <c r="I352" s="1056">
        <v>149980609</v>
      </c>
      <c r="J352" s="1056">
        <v>148473589</v>
      </c>
      <c r="K352" s="1056">
        <v>149980609</v>
      </c>
      <c r="L352" s="1056">
        <v>148473589</v>
      </c>
      <c r="M352" s="1056">
        <v>148513506</v>
      </c>
      <c r="N352" s="1056">
        <v>148513506</v>
      </c>
    </row>
    <row r="353" spans="1:14">
      <c r="A353" s="1049" t="s">
        <v>6191</v>
      </c>
      <c r="B353" s="1031" t="s">
        <v>3629</v>
      </c>
      <c r="C353" s="1056">
        <v>1254993353</v>
      </c>
      <c r="D353" s="1056">
        <v>1221736103</v>
      </c>
      <c r="E353" s="1056">
        <v>1254993353</v>
      </c>
      <c r="F353" s="1056">
        <v>1221736103</v>
      </c>
      <c r="G353" s="1056">
        <v>1224561861</v>
      </c>
      <c r="H353" s="1056">
        <v>1224561861</v>
      </c>
      <c r="I353" s="1056">
        <v>1254993353</v>
      </c>
      <c r="J353" s="1056">
        <v>1221736103</v>
      </c>
      <c r="K353" s="1056">
        <v>1254993353</v>
      </c>
      <c r="L353" s="1056">
        <v>1221736103</v>
      </c>
      <c r="M353" s="1056">
        <v>1224561861</v>
      </c>
      <c r="N353" s="1056">
        <v>1224561861</v>
      </c>
    </row>
    <row r="354" spans="1:14">
      <c r="A354" s="1049" t="s">
        <v>732</v>
      </c>
      <c r="B354" s="1031" t="s">
        <v>5668</v>
      </c>
      <c r="C354" s="1056">
        <v>148540306</v>
      </c>
      <c r="D354" s="1056">
        <v>148301456</v>
      </c>
      <c r="E354" s="1056">
        <v>148540306</v>
      </c>
      <c r="F354" s="1056">
        <v>148301456</v>
      </c>
      <c r="G354" s="1056">
        <v>148301456</v>
      </c>
      <c r="H354" s="1056">
        <v>148301456</v>
      </c>
      <c r="I354" s="1056">
        <v>148540306</v>
      </c>
      <c r="J354" s="1056">
        <v>148301456</v>
      </c>
      <c r="K354" s="1056">
        <v>148540306</v>
      </c>
      <c r="L354" s="1056">
        <v>148301456</v>
      </c>
      <c r="M354" s="1056">
        <v>148301456</v>
      </c>
      <c r="N354" s="1056">
        <v>148301456</v>
      </c>
    </row>
    <row r="355" spans="1:14">
      <c r="A355" s="1049" t="s">
        <v>949</v>
      </c>
      <c r="B355" s="1031" t="s">
        <v>7653</v>
      </c>
      <c r="C355" s="1056">
        <v>188132186</v>
      </c>
      <c r="D355" s="1056">
        <v>179050097</v>
      </c>
      <c r="E355" s="1056">
        <v>188132186</v>
      </c>
      <c r="F355" s="1056">
        <v>179050097</v>
      </c>
      <c r="G355" s="1056">
        <v>179893273</v>
      </c>
      <c r="H355" s="1056">
        <v>179893273</v>
      </c>
      <c r="I355" s="1056">
        <v>188132186</v>
      </c>
      <c r="J355" s="1056">
        <v>179050097</v>
      </c>
      <c r="K355" s="1056">
        <v>188132186</v>
      </c>
      <c r="L355" s="1056">
        <v>179050097</v>
      </c>
      <c r="M355" s="1056">
        <v>179893273</v>
      </c>
      <c r="N355" s="1056">
        <v>179893273</v>
      </c>
    </row>
    <row r="356" spans="1:14">
      <c r="A356" s="1049" t="s">
        <v>3980</v>
      </c>
      <c r="B356" s="1031" t="s">
        <v>5669</v>
      </c>
      <c r="C356" s="1056">
        <v>138305793</v>
      </c>
      <c r="D356" s="1056">
        <v>131661623</v>
      </c>
      <c r="E356" s="1056">
        <v>138305793</v>
      </c>
      <c r="F356" s="1056">
        <v>131661623</v>
      </c>
      <c r="G356" s="1056">
        <v>133322637</v>
      </c>
      <c r="H356" s="1056">
        <v>133322637</v>
      </c>
      <c r="I356" s="1056">
        <v>138305793</v>
      </c>
      <c r="J356" s="1056">
        <v>131661623</v>
      </c>
      <c r="K356" s="1056">
        <v>138305793</v>
      </c>
      <c r="L356" s="1056">
        <v>131661623</v>
      </c>
      <c r="M356" s="1056">
        <v>133322637</v>
      </c>
      <c r="N356" s="1056">
        <v>133322637</v>
      </c>
    </row>
    <row r="357" spans="1:14">
      <c r="A357" s="1049" t="s">
        <v>3982</v>
      </c>
      <c r="B357" s="1031" t="s">
        <v>5670</v>
      </c>
      <c r="C357" s="1056">
        <v>1354837636</v>
      </c>
      <c r="D357" s="1056">
        <v>1294567679</v>
      </c>
      <c r="E357" s="1056">
        <v>1354837636</v>
      </c>
      <c r="F357" s="1056">
        <v>1294567679</v>
      </c>
      <c r="G357" s="1056">
        <v>1305007647</v>
      </c>
      <c r="H357" s="1056">
        <v>1305007647</v>
      </c>
      <c r="I357" s="1056">
        <v>1354837636</v>
      </c>
      <c r="J357" s="1056">
        <v>1294567679</v>
      </c>
      <c r="K357" s="1056">
        <v>1354837636</v>
      </c>
      <c r="L357" s="1056">
        <v>1294567679</v>
      </c>
      <c r="M357" s="1056">
        <v>1305007647</v>
      </c>
      <c r="N357" s="1056">
        <v>1305007647</v>
      </c>
    </row>
    <row r="358" spans="1:14">
      <c r="A358" s="1049" t="s">
        <v>1871</v>
      </c>
      <c r="B358" s="1031" t="s">
        <v>3851</v>
      </c>
      <c r="C358" s="1056">
        <v>211027768</v>
      </c>
      <c r="D358" s="1056">
        <v>200252334</v>
      </c>
      <c r="E358" s="1056">
        <v>211027768</v>
      </c>
      <c r="F358" s="1056">
        <v>200252334</v>
      </c>
      <c r="G358" s="1056">
        <v>202564568</v>
      </c>
      <c r="H358" s="1056">
        <v>202564568</v>
      </c>
      <c r="I358" s="1056">
        <v>211027768</v>
      </c>
      <c r="J358" s="1056">
        <v>200252334</v>
      </c>
      <c r="K358" s="1056">
        <v>211027768</v>
      </c>
      <c r="L358" s="1056">
        <v>200252334</v>
      </c>
      <c r="M358" s="1056">
        <v>202564568</v>
      </c>
      <c r="N358" s="1056">
        <v>202564568</v>
      </c>
    </row>
    <row r="359" spans="1:14">
      <c r="A359" s="1049" t="s">
        <v>3116</v>
      </c>
      <c r="B359" s="1031" t="s">
        <v>5242</v>
      </c>
      <c r="C359" s="1056">
        <v>2623046223</v>
      </c>
      <c r="D359" s="1056">
        <v>2552300450</v>
      </c>
      <c r="E359" s="1056">
        <v>2623046223</v>
      </c>
      <c r="F359" s="1056">
        <v>2552300450</v>
      </c>
      <c r="G359" s="1056">
        <v>2554326978</v>
      </c>
      <c r="H359" s="1056">
        <v>2554326978</v>
      </c>
      <c r="I359" s="1056">
        <v>2623046223</v>
      </c>
      <c r="J359" s="1056">
        <v>2552300450</v>
      </c>
      <c r="K359" s="1056">
        <v>2623046223</v>
      </c>
      <c r="L359" s="1056">
        <v>2552300450</v>
      </c>
      <c r="M359" s="1056">
        <v>2554326978</v>
      </c>
      <c r="N359" s="1056">
        <v>2554326978</v>
      </c>
    </row>
    <row r="360" spans="1:14">
      <c r="A360" s="1049" t="s">
        <v>3118</v>
      </c>
      <c r="B360" s="1031" t="s">
        <v>5243</v>
      </c>
      <c r="C360" s="1056">
        <v>74614381</v>
      </c>
      <c r="D360" s="1056">
        <v>71189503</v>
      </c>
      <c r="E360" s="1056">
        <v>74614381</v>
      </c>
      <c r="F360" s="1056">
        <v>71189503</v>
      </c>
      <c r="G360" s="1056">
        <v>71707608</v>
      </c>
      <c r="H360" s="1056">
        <v>71707608</v>
      </c>
      <c r="I360" s="1056">
        <v>74614381</v>
      </c>
      <c r="J360" s="1056">
        <v>71189503</v>
      </c>
      <c r="K360" s="1056">
        <v>74614381</v>
      </c>
      <c r="L360" s="1056">
        <v>71189503</v>
      </c>
      <c r="M360" s="1056">
        <v>71707608</v>
      </c>
      <c r="N360" s="1056">
        <v>71707608</v>
      </c>
    </row>
    <row r="361" spans="1:14">
      <c r="A361" s="1049" t="s">
        <v>2836</v>
      </c>
      <c r="B361" s="1031" t="s">
        <v>5373</v>
      </c>
      <c r="C361" s="1056">
        <v>494504362</v>
      </c>
      <c r="D361" s="1056">
        <v>476736219</v>
      </c>
      <c r="E361" s="1056">
        <v>494504362</v>
      </c>
      <c r="F361" s="1056">
        <v>476736219</v>
      </c>
      <c r="G361" s="1056">
        <v>480602666</v>
      </c>
      <c r="H361" s="1056">
        <v>480602666</v>
      </c>
      <c r="I361" s="1056">
        <v>494504362</v>
      </c>
      <c r="J361" s="1056">
        <v>476736219</v>
      </c>
      <c r="K361" s="1056">
        <v>494504362</v>
      </c>
      <c r="L361" s="1056">
        <v>476736219</v>
      </c>
      <c r="M361" s="1056">
        <v>480602666</v>
      </c>
      <c r="N361" s="1056">
        <v>480602666</v>
      </c>
    </row>
    <row r="362" spans="1:14">
      <c r="A362" s="1049" t="s">
        <v>2838</v>
      </c>
      <c r="B362" s="1031" t="s">
        <v>4071</v>
      </c>
      <c r="C362" s="1056">
        <v>630241669</v>
      </c>
      <c r="D362" s="1056">
        <v>606694656</v>
      </c>
      <c r="E362" s="1056">
        <v>630241669</v>
      </c>
      <c r="F362" s="1056">
        <v>606694656</v>
      </c>
      <c r="G362" s="1056">
        <v>610060228</v>
      </c>
      <c r="H362" s="1056">
        <v>610060228</v>
      </c>
      <c r="I362" s="1056">
        <v>630241669</v>
      </c>
      <c r="J362" s="1056">
        <v>606694656</v>
      </c>
      <c r="K362" s="1056">
        <v>630241669</v>
      </c>
      <c r="L362" s="1056">
        <v>606694656</v>
      </c>
      <c r="M362" s="1056">
        <v>610060228</v>
      </c>
      <c r="N362" s="1056">
        <v>610060228</v>
      </c>
    </row>
    <row r="363" spans="1:14">
      <c r="A363" s="1049" t="s">
        <v>5220</v>
      </c>
      <c r="B363" s="1031" t="s">
        <v>5244</v>
      </c>
      <c r="C363" s="1056">
        <v>169756353</v>
      </c>
      <c r="D363" s="1056">
        <v>161094124</v>
      </c>
      <c r="E363" s="1056">
        <v>169756353</v>
      </c>
      <c r="F363" s="1056">
        <v>161094124</v>
      </c>
      <c r="G363" s="1056">
        <v>162125146</v>
      </c>
      <c r="H363" s="1056">
        <v>162125146</v>
      </c>
      <c r="I363" s="1056">
        <v>169756353</v>
      </c>
      <c r="J363" s="1056">
        <v>161094124</v>
      </c>
      <c r="K363" s="1056">
        <v>169756353</v>
      </c>
      <c r="L363" s="1056">
        <v>161094124</v>
      </c>
      <c r="M363" s="1056">
        <v>162125146</v>
      </c>
      <c r="N363" s="1056">
        <v>162125146</v>
      </c>
    </row>
    <row r="364" spans="1:14">
      <c r="A364" s="1049" t="s">
        <v>5129</v>
      </c>
      <c r="B364" s="1031" t="s">
        <v>347</v>
      </c>
      <c r="C364" s="1056">
        <v>729333827</v>
      </c>
      <c r="D364" s="1056">
        <v>705919974</v>
      </c>
      <c r="E364" s="1056">
        <v>729333827</v>
      </c>
      <c r="F364" s="1056">
        <v>705919974</v>
      </c>
      <c r="G364" s="1056">
        <v>714045856</v>
      </c>
      <c r="H364" s="1056">
        <v>714045856</v>
      </c>
      <c r="I364" s="1056">
        <v>729333827</v>
      </c>
      <c r="J364" s="1056">
        <v>705919974</v>
      </c>
      <c r="K364" s="1056">
        <v>729333827</v>
      </c>
      <c r="L364" s="1056">
        <v>705919974</v>
      </c>
      <c r="M364" s="1056">
        <v>714045856</v>
      </c>
      <c r="N364" s="1056">
        <v>714045856</v>
      </c>
    </row>
    <row r="365" spans="1:14">
      <c r="A365" s="1049" t="s">
        <v>5222</v>
      </c>
      <c r="B365" s="1031" t="s">
        <v>7437</v>
      </c>
      <c r="C365" s="1056">
        <v>372420642</v>
      </c>
      <c r="D365" s="1056">
        <v>359773231</v>
      </c>
      <c r="E365" s="1056">
        <v>372420642</v>
      </c>
      <c r="F365" s="1056">
        <v>359773231</v>
      </c>
      <c r="G365" s="1056">
        <v>362372231</v>
      </c>
      <c r="H365" s="1056">
        <v>362372231</v>
      </c>
      <c r="I365" s="1056">
        <v>372420642</v>
      </c>
      <c r="J365" s="1056">
        <v>359773231</v>
      </c>
      <c r="K365" s="1056">
        <v>372420642</v>
      </c>
      <c r="L365" s="1056">
        <v>359773231</v>
      </c>
      <c r="M365" s="1056">
        <v>362372231</v>
      </c>
      <c r="N365" s="1056">
        <v>362372231</v>
      </c>
    </row>
    <row r="366" spans="1:14">
      <c r="A366" s="1049" t="s">
        <v>1858</v>
      </c>
      <c r="B366" s="1031" t="s">
        <v>3914</v>
      </c>
      <c r="C366" s="1056">
        <v>202418473</v>
      </c>
      <c r="D366" s="1056">
        <v>196043090</v>
      </c>
      <c r="E366" s="1056">
        <v>202418473</v>
      </c>
      <c r="F366" s="1056">
        <v>196043090</v>
      </c>
      <c r="G366" s="1056">
        <v>196751794</v>
      </c>
      <c r="H366" s="1056">
        <v>196751794</v>
      </c>
      <c r="I366" s="1056">
        <v>202418473</v>
      </c>
      <c r="J366" s="1056">
        <v>196043090</v>
      </c>
      <c r="K366" s="1056">
        <v>202418473</v>
      </c>
      <c r="L366" s="1056">
        <v>196043090</v>
      </c>
      <c r="M366" s="1056">
        <v>196751794</v>
      </c>
      <c r="N366" s="1056">
        <v>196751794</v>
      </c>
    </row>
    <row r="367" spans="1:14">
      <c r="A367" s="1049" t="s">
        <v>5224</v>
      </c>
      <c r="B367" s="1031" t="s">
        <v>7160</v>
      </c>
      <c r="C367" s="1056">
        <v>166563425</v>
      </c>
      <c r="D367" s="1056">
        <v>155883653</v>
      </c>
      <c r="E367" s="1056">
        <v>166563425</v>
      </c>
      <c r="F367" s="1056">
        <v>155883653</v>
      </c>
      <c r="G367" s="1056">
        <v>158145824</v>
      </c>
      <c r="H367" s="1056">
        <v>158145824</v>
      </c>
      <c r="I367" s="1056">
        <v>166563425</v>
      </c>
      <c r="J367" s="1056">
        <v>155883653</v>
      </c>
      <c r="K367" s="1056">
        <v>166563425</v>
      </c>
      <c r="L367" s="1056">
        <v>155883653</v>
      </c>
      <c r="M367" s="1056">
        <v>158145824</v>
      </c>
      <c r="N367" s="1056">
        <v>158145824</v>
      </c>
    </row>
    <row r="368" spans="1:14">
      <c r="A368" s="1049" t="s">
        <v>5228</v>
      </c>
      <c r="B368" s="1031" t="s">
        <v>7161</v>
      </c>
      <c r="C368" s="1056">
        <v>552992302</v>
      </c>
      <c r="D368" s="1056">
        <v>530070922</v>
      </c>
      <c r="E368" s="1056">
        <v>529770496</v>
      </c>
      <c r="F368" s="1056">
        <v>506849116</v>
      </c>
      <c r="G368" s="1056">
        <v>530675083</v>
      </c>
      <c r="H368" s="1056">
        <v>507453277</v>
      </c>
      <c r="I368" s="1056">
        <v>552992302</v>
      </c>
      <c r="J368" s="1056">
        <v>530070922</v>
      </c>
      <c r="K368" s="1056">
        <v>529770496</v>
      </c>
      <c r="L368" s="1056">
        <v>506849116</v>
      </c>
      <c r="M368" s="1056">
        <v>530675083</v>
      </c>
      <c r="N368" s="1056">
        <v>507453277</v>
      </c>
    </row>
    <row r="369" spans="1:14">
      <c r="A369" s="1049" t="s">
        <v>5230</v>
      </c>
      <c r="B369" s="1031" t="s">
        <v>7162</v>
      </c>
      <c r="C369" s="1056">
        <v>1686555214</v>
      </c>
      <c r="D369" s="1056">
        <v>1644187593</v>
      </c>
      <c r="E369" s="1056">
        <v>1634643766</v>
      </c>
      <c r="F369" s="1056">
        <v>1592276145</v>
      </c>
      <c r="G369" s="1056">
        <v>1649140618</v>
      </c>
      <c r="H369" s="1056">
        <v>1597229170</v>
      </c>
      <c r="I369" s="1056">
        <v>1686555214</v>
      </c>
      <c r="J369" s="1056">
        <v>1644187593</v>
      </c>
      <c r="K369" s="1056">
        <v>1634643766</v>
      </c>
      <c r="L369" s="1056">
        <v>1592276145</v>
      </c>
      <c r="M369" s="1056">
        <v>1649140618</v>
      </c>
      <c r="N369" s="1056">
        <v>1597229170</v>
      </c>
    </row>
    <row r="370" spans="1:14">
      <c r="A370" s="1049" t="s">
        <v>2994</v>
      </c>
      <c r="B370" s="1031" t="s">
        <v>199</v>
      </c>
      <c r="C370" s="1056">
        <v>4010813784</v>
      </c>
      <c r="D370" s="1056">
        <v>3910288828</v>
      </c>
      <c r="E370" s="1056">
        <v>4010813784</v>
      </c>
      <c r="F370" s="1056">
        <v>3910288828</v>
      </c>
      <c r="G370" s="1056">
        <v>3941202642</v>
      </c>
      <c r="H370" s="1056">
        <v>3941202642</v>
      </c>
      <c r="I370" s="1056">
        <v>4010813784</v>
      </c>
      <c r="J370" s="1056">
        <v>3910288828</v>
      </c>
      <c r="K370" s="1056">
        <v>4010813784</v>
      </c>
      <c r="L370" s="1056">
        <v>3910288828</v>
      </c>
      <c r="M370" s="1056">
        <v>3941202642</v>
      </c>
      <c r="N370" s="1056">
        <v>3941202642</v>
      </c>
    </row>
    <row r="371" spans="1:14">
      <c r="A371" s="1049" t="s">
        <v>7723</v>
      </c>
      <c r="B371" s="1031" t="s">
        <v>7163</v>
      </c>
      <c r="C371" s="1056">
        <v>1623552596</v>
      </c>
      <c r="D371" s="1056">
        <v>1572023321</v>
      </c>
      <c r="E371" s="1056">
        <v>1544920169</v>
      </c>
      <c r="F371" s="1056">
        <v>1493390894</v>
      </c>
      <c r="G371" s="1056">
        <v>1578967244</v>
      </c>
      <c r="H371" s="1056">
        <v>1500334817</v>
      </c>
      <c r="I371" s="1056">
        <v>1623552596</v>
      </c>
      <c r="J371" s="1056">
        <v>1572023321</v>
      </c>
      <c r="K371" s="1056">
        <v>1544920169</v>
      </c>
      <c r="L371" s="1056">
        <v>1493390894</v>
      </c>
      <c r="M371" s="1056">
        <v>1578967244</v>
      </c>
      <c r="N371" s="1056">
        <v>1500334817</v>
      </c>
    </row>
    <row r="372" spans="1:14">
      <c r="A372" s="1049" t="s">
        <v>221</v>
      </c>
      <c r="B372" s="1031" t="s">
        <v>7164</v>
      </c>
      <c r="C372" s="1056">
        <v>464552950</v>
      </c>
      <c r="D372" s="1056">
        <v>450938106</v>
      </c>
      <c r="E372" s="1056">
        <v>445908318</v>
      </c>
      <c r="F372" s="1056">
        <v>432293474</v>
      </c>
      <c r="G372" s="1056">
        <v>452415404</v>
      </c>
      <c r="H372" s="1056">
        <v>433770772</v>
      </c>
      <c r="I372" s="1056">
        <v>464552950</v>
      </c>
      <c r="J372" s="1056">
        <v>450938106</v>
      </c>
      <c r="K372" s="1056">
        <v>445908318</v>
      </c>
      <c r="L372" s="1056">
        <v>432293474</v>
      </c>
      <c r="M372" s="1056">
        <v>452415404</v>
      </c>
      <c r="N372" s="1056">
        <v>433770772</v>
      </c>
    </row>
    <row r="373" spans="1:14">
      <c r="A373" s="1049" t="s">
        <v>2406</v>
      </c>
      <c r="B373" s="1031" t="s">
        <v>2351</v>
      </c>
      <c r="C373" s="1056">
        <v>512810579</v>
      </c>
      <c r="D373" s="1056">
        <v>493601283</v>
      </c>
      <c r="E373" s="1056">
        <v>482338334</v>
      </c>
      <c r="F373" s="1056">
        <v>463129038</v>
      </c>
      <c r="G373" s="1056">
        <v>496015534</v>
      </c>
      <c r="H373" s="1056">
        <v>465543289</v>
      </c>
      <c r="I373" s="1056">
        <v>512810579</v>
      </c>
      <c r="J373" s="1056">
        <v>493601283</v>
      </c>
      <c r="K373" s="1056">
        <v>482338334</v>
      </c>
      <c r="L373" s="1056">
        <v>463129038</v>
      </c>
      <c r="M373" s="1056">
        <v>496015534</v>
      </c>
      <c r="N373" s="1056">
        <v>465543289</v>
      </c>
    </row>
    <row r="374" spans="1:14">
      <c r="A374" s="1049" t="s">
        <v>223</v>
      </c>
      <c r="B374" s="1031" t="s">
        <v>7165</v>
      </c>
      <c r="C374" s="1056">
        <v>395504195</v>
      </c>
      <c r="D374" s="1056">
        <v>381203833</v>
      </c>
      <c r="E374" s="1056">
        <v>373667729</v>
      </c>
      <c r="F374" s="1056">
        <v>359367367</v>
      </c>
      <c r="G374" s="1056">
        <v>383090751</v>
      </c>
      <c r="H374" s="1056">
        <v>361254285</v>
      </c>
      <c r="I374" s="1056">
        <v>395504195</v>
      </c>
      <c r="J374" s="1056">
        <v>381203833</v>
      </c>
      <c r="K374" s="1056">
        <v>373667729</v>
      </c>
      <c r="L374" s="1056">
        <v>359367367</v>
      </c>
      <c r="M374" s="1056">
        <v>383090751</v>
      </c>
      <c r="N374" s="1056">
        <v>361254285</v>
      </c>
    </row>
    <row r="375" spans="1:14">
      <c r="A375" s="1049" t="s">
        <v>225</v>
      </c>
      <c r="B375" s="1031" t="s">
        <v>7448</v>
      </c>
      <c r="C375" s="1056">
        <v>505722974</v>
      </c>
      <c r="D375" s="1056">
        <v>497813170</v>
      </c>
      <c r="E375" s="1056">
        <v>505722974</v>
      </c>
      <c r="F375" s="1056">
        <v>497813170</v>
      </c>
      <c r="G375" s="1056">
        <v>498945959</v>
      </c>
      <c r="H375" s="1056">
        <v>498945959</v>
      </c>
      <c r="I375" s="1056">
        <v>505722974</v>
      </c>
      <c r="J375" s="1056">
        <v>497813170</v>
      </c>
      <c r="K375" s="1056">
        <v>505722974</v>
      </c>
      <c r="L375" s="1056">
        <v>497813170</v>
      </c>
      <c r="M375" s="1056">
        <v>498945959</v>
      </c>
      <c r="N375" s="1056">
        <v>498945959</v>
      </c>
    </row>
    <row r="376" spans="1:14">
      <c r="A376" s="1049" t="s">
        <v>227</v>
      </c>
      <c r="B376" s="1031" t="s">
        <v>7167</v>
      </c>
      <c r="C376" s="1056">
        <v>299373717</v>
      </c>
      <c r="D376" s="1056">
        <v>293136972</v>
      </c>
      <c r="E376" s="1056">
        <v>299373717</v>
      </c>
      <c r="F376" s="1056">
        <v>293136972</v>
      </c>
      <c r="G376" s="1056">
        <v>293812508</v>
      </c>
      <c r="H376" s="1056">
        <v>293812508</v>
      </c>
      <c r="I376" s="1056">
        <v>299373717</v>
      </c>
      <c r="J376" s="1056">
        <v>293136972</v>
      </c>
      <c r="K376" s="1056">
        <v>299373717</v>
      </c>
      <c r="L376" s="1056">
        <v>293136972</v>
      </c>
      <c r="M376" s="1056">
        <v>293812508</v>
      </c>
      <c r="N376" s="1056">
        <v>293812508</v>
      </c>
    </row>
    <row r="377" spans="1:14">
      <c r="A377" s="1049" t="s">
        <v>229</v>
      </c>
      <c r="B377" s="1031" t="s">
        <v>7168</v>
      </c>
      <c r="C377" s="1056">
        <v>1715658608</v>
      </c>
      <c r="D377" s="1056">
        <v>1682784904</v>
      </c>
      <c r="E377" s="1056">
        <v>1677705489</v>
      </c>
      <c r="F377" s="1056">
        <v>1644831785</v>
      </c>
      <c r="G377" s="1056">
        <v>1687435056</v>
      </c>
      <c r="H377" s="1056">
        <v>1649481937</v>
      </c>
      <c r="I377" s="1056">
        <v>1715658608</v>
      </c>
      <c r="J377" s="1056">
        <v>1682784904</v>
      </c>
      <c r="K377" s="1056">
        <v>1677705489</v>
      </c>
      <c r="L377" s="1056">
        <v>1644831785</v>
      </c>
      <c r="M377" s="1056">
        <v>1687435056</v>
      </c>
      <c r="N377" s="1056">
        <v>1649481937</v>
      </c>
    </row>
    <row r="378" spans="1:14">
      <c r="A378" s="1049" t="s">
        <v>4039</v>
      </c>
      <c r="B378" s="1031" t="s">
        <v>7169</v>
      </c>
      <c r="C378" s="1056">
        <v>134749912</v>
      </c>
      <c r="D378" s="1056">
        <v>130821664</v>
      </c>
      <c r="E378" s="1056">
        <v>134749912</v>
      </c>
      <c r="F378" s="1056">
        <v>130821664</v>
      </c>
      <c r="G378" s="1056">
        <v>131672241</v>
      </c>
      <c r="H378" s="1056">
        <v>131672241</v>
      </c>
      <c r="I378" s="1056">
        <v>134749912</v>
      </c>
      <c r="J378" s="1056">
        <v>130821664</v>
      </c>
      <c r="K378" s="1056">
        <v>134749912</v>
      </c>
      <c r="L378" s="1056">
        <v>130821664</v>
      </c>
      <c r="M378" s="1056">
        <v>131672241</v>
      </c>
      <c r="N378" s="1056">
        <v>131672241</v>
      </c>
    </row>
    <row r="379" spans="1:14">
      <c r="A379" s="1049" t="s">
        <v>2396</v>
      </c>
      <c r="B379" s="1031" t="s">
        <v>1463</v>
      </c>
      <c r="C379" s="1056">
        <v>2827871463</v>
      </c>
      <c r="D379" s="1056">
        <v>2742275359</v>
      </c>
      <c r="E379" s="1056">
        <v>2827871463</v>
      </c>
      <c r="F379" s="1056">
        <v>2742275359</v>
      </c>
      <c r="G379" s="1056">
        <v>2761307602</v>
      </c>
      <c r="H379" s="1056">
        <v>2761307602</v>
      </c>
      <c r="I379" s="1056">
        <v>2907871463</v>
      </c>
      <c r="J379" s="1056">
        <v>2822275359</v>
      </c>
      <c r="K379" s="1056">
        <v>2907871463</v>
      </c>
      <c r="L379" s="1056">
        <v>2822275359</v>
      </c>
      <c r="M379" s="1056">
        <v>2841307602</v>
      </c>
      <c r="N379" s="1056">
        <v>2841307602</v>
      </c>
    </row>
    <row r="380" spans="1:14">
      <c r="A380" s="1049" t="s">
        <v>2394</v>
      </c>
      <c r="B380" s="1031" t="s">
        <v>1461</v>
      </c>
      <c r="C380" s="1056">
        <v>4333213148</v>
      </c>
      <c r="D380" s="1056">
        <v>4181304964</v>
      </c>
      <c r="E380" s="1056">
        <v>4333213148</v>
      </c>
      <c r="F380" s="1056">
        <v>4181304964</v>
      </c>
      <c r="G380" s="1056">
        <v>4195328991</v>
      </c>
      <c r="H380" s="1056">
        <v>4195328991</v>
      </c>
      <c r="I380" s="1056">
        <v>4333213148</v>
      </c>
      <c r="J380" s="1056">
        <v>4181304964</v>
      </c>
      <c r="K380" s="1056">
        <v>4333213148</v>
      </c>
      <c r="L380" s="1056">
        <v>4181304964</v>
      </c>
      <c r="M380" s="1056">
        <v>4195328991</v>
      </c>
      <c r="N380" s="1056">
        <v>4195328991</v>
      </c>
    </row>
    <row r="381" spans="1:14">
      <c r="A381" s="1049" t="s">
        <v>4042</v>
      </c>
      <c r="B381" s="1031" t="s">
        <v>7170</v>
      </c>
      <c r="C381" s="1056">
        <v>637171306</v>
      </c>
      <c r="D381" s="1056">
        <v>618650027</v>
      </c>
      <c r="E381" s="1056">
        <v>637171306</v>
      </c>
      <c r="F381" s="1056">
        <v>618650027</v>
      </c>
      <c r="G381" s="1056">
        <v>619741034</v>
      </c>
      <c r="H381" s="1056">
        <v>619741034</v>
      </c>
      <c r="I381" s="1056">
        <v>637171306</v>
      </c>
      <c r="J381" s="1056">
        <v>618650027</v>
      </c>
      <c r="K381" s="1056">
        <v>637171306</v>
      </c>
      <c r="L381" s="1056">
        <v>618650027</v>
      </c>
      <c r="M381" s="1056">
        <v>619741034</v>
      </c>
      <c r="N381" s="1056">
        <v>619741034</v>
      </c>
    </row>
    <row r="382" spans="1:14">
      <c r="A382" s="1049" t="s">
        <v>3004</v>
      </c>
      <c r="B382" s="1031" t="s">
        <v>6065</v>
      </c>
      <c r="C382" s="1056">
        <v>625223906</v>
      </c>
      <c r="D382" s="1056">
        <v>607477967</v>
      </c>
      <c r="E382" s="1056">
        <v>625223906</v>
      </c>
      <c r="F382" s="1056">
        <v>607477967</v>
      </c>
      <c r="G382" s="1056">
        <v>609965311</v>
      </c>
      <c r="H382" s="1056">
        <v>609965311</v>
      </c>
      <c r="I382" s="1056">
        <v>625223906</v>
      </c>
      <c r="J382" s="1056">
        <v>607477967</v>
      </c>
      <c r="K382" s="1056">
        <v>625223906</v>
      </c>
      <c r="L382" s="1056">
        <v>607477967</v>
      </c>
      <c r="M382" s="1056">
        <v>609965311</v>
      </c>
      <c r="N382" s="1056">
        <v>609965311</v>
      </c>
    </row>
    <row r="383" spans="1:14">
      <c r="A383" s="1049" t="s">
        <v>4044</v>
      </c>
      <c r="B383" s="1031" t="s">
        <v>5272</v>
      </c>
      <c r="C383" s="1056">
        <v>611657025</v>
      </c>
      <c r="D383" s="1056">
        <v>604898038</v>
      </c>
      <c r="E383" s="1056">
        <v>611657025</v>
      </c>
      <c r="F383" s="1056">
        <v>604898038</v>
      </c>
      <c r="G383" s="1056">
        <v>605391504</v>
      </c>
      <c r="H383" s="1056">
        <v>605391504</v>
      </c>
      <c r="I383" s="1056">
        <v>611657025</v>
      </c>
      <c r="J383" s="1056">
        <v>604898038</v>
      </c>
      <c r="K383" s="1056">
        <v>611657025</v>
      </c>
      <c r="L383" s="1056">
        <v>604898038</v>
      </c>
      <c r="M383" s="1056">
        <v>605391504</v>
      </c>
      <c r="N383" s="1056">
        <v>605391504</v>
      </c>
    </row>
    <row r="384" spans="1:14">
      <c r="A384" s="1049" t="s">
        <v>4046</v>
      </c>
      <c r="B384" s="1031" t="s">
        <v>5273</v>
      </c>
      <c r="C384" s="1056">
        <v>49717781</v>
      </c>
      <c r="D384" s="1056">
        <v>49157491</v>
      </c>
      <c r="E384" s="1056">
        <v>49717781</v>
      </c>
      <c r="F384" s="1056">
        <v>49157491</v>
      </c>
      <c r="G384" s="1056">
        <v>49377833</v>
      </c>
      <c r="H384" s="1056">
        <v>49377833</v>
      </c>
      <c r="I384" s="1056">
        <v>49717781</v>
      </c>
      <c r="J384" s="1056">
        <v>49157491</v>
      </c>
      <c r="K384" s="1056">
        <v>49717781</v>
      </c>
      <c r="L384" s="1056">
        <v>49157491</v>
      </c>
      <c r="M384" s="1056">
        <v>49377833</v>
      </c>
      <c r="N384" s="1056">
        <v>49377833</v>
      </c>
    </row>
    <row r="385" spans="1:14">
      <c r="A385" s="1049" t="s">
        <v>5402</v>
      </c>
      <c r="B385" s="1031" t="s">
        <v>5274</v>
      </c>
      <c r="C385" s="1056">
        <v>101316059</v>
      </c>
      <c r="D385" s="1056">
        <v>96747519</v>
      </c>
      <c r="E385" s="1056">
        <v>101316059</v>
      </c>
      <c r="F385" s="1056">
        <v>96747519</v>
      </c>
      <c r="G385" s="1056">
        <v>96961570</v>
      </c>
      <c r="H385" s="1056">
        <v>96961570</v>
      </c>
      <c r="I385" s="1056">
        <v>101316059</v>
      </c>
      <c r="J385" s="1056">
        <v>96747519</v>
      </c>
      <c r="K385" s="1056">
        <v>101316059</v>
      </c>
      <c r="L385" s="1056">
        <v>96747519</v>
      </c>
      <c r="M385" s="1056">
        <v>96961570</v>
      </c>
      <c r="N385" s="1056">
        <v>96961570</v>
      </c>
    </row>
    <row r="386" spans="1:14">
      <c r="A386" s="1049" t="s">
        <v>5404</v>
      </c>
      <c r="B386" s="1031" t="s">
        <v>5275</v>
      </c>
      <c r="C386" s="1056">
        <v>69267016</v>
      </c>
      <c r="D386" s="1056">
        <v>66653633</v>
      </c>
      <c r="E386" s="1056">
        <v>69267016</v>
      </c>
      <c r="F386" s="1056">
        <v>66653633</v>
      </c>
      <c r="G386" s="1056">
        <v>66766454</v>
      </c>
      <c r="H386" s="1056">
        <v>66766454</v>
      </c>
      <c r="I386" s="1056">
        <v>69267016</v>
      </c>
      <c r="J386" s="1056">
        <v>66653633</v>
      </c>
      <c r="K386" s="1056">
        <v>69267016</v>
      </c>
      <c r="L386" s="1056">
        <v>66653633</v>
      </c>
      <c r="M386" s="1056">
        <v>66766454</v>
      </c>
      <c r="N386" s="1056">
        <v>66766454</v>
      </c>
    </row>
    <row r="387" spans="1:14">
      <c r="A387" s="1049" t="s">
        <v>423</v>
      </c>
      <c r="B387" s="1031" t="s">
        <v>5276</v>
      </c>
      <c r="C387" s="1056">
        <v>1142371076</v>
      </c>
      <c r="D387" s="1056">
        <v>1098974771</v>
      </c>
      <c r="E387" s="1056">
        <v>1142371076</v>
      </c>
      <c r="F387" s="1056">
        <v>1098974771</v>
      </c>
      <c r="G387" s="1056">
        <v>1109581790</v>
      </c>
      <c r="H387" s="1056">
        <v>1109581790</v>
      </c>
      <c r="I387" s="1056">
        <v>1187116266</v>
      </c>
      <c r="J387" s="1056">
        <v>1143719961</v>
      </c>
      <c r="K387" s="1056">
        <v>1187116266</v>
      </c>
      <c r="L387" s="1056">
        <v>1143719961</v>
      </c>
      <c r="M387" s="1056">
        <v>1154326980</v>
      </c>
      <c r="N387" s="1056">
        <v>1154326980</v>
      </c>
    </row>
    <row r="388" spans="1:14">
      <c r="A388" s="1049" t="s">
        <v>425</v>
      </c>
      <c r="B388" s="1031" t="s">
        <v>5277</v>
      </c>
      <c r="C388" s="1056">
        <v>143645771</v>
      </c>
      <c r="D388" s="1056">
        <v>139044121</v>
      </c>
      <c r="E388" s="1056">
        <v>143645771</v>
      </c>
      <c r="F388" s="1056">
        <v>139044121</v>
      </c>
      <c r="G388" s="1056">
        <v>139943929</v>
      </c>
      <c r="H388" s="1056">
        <v>139943929</v>
      </c>
      <c r="I388" s="1056">
        <v>143645771</v>
      </c>
      <c r="J388" s="1056">
        <v>139044121</v>
      </c>
      <c r="K388" s="1056">
        <v>143645771</v>
      </c>
      <c r="L388" s="1056">
        <v>139044121</v>
      </c>
      <c r="M388" s="1056">
        <v>139943929</v>
      </c>
      <c r="N388" s="1056">
        <v>139943929</v>
      </c>
    </row>
    <row r="389" spans="1:14">
      <c r="A389" s="1049" t="s">
        <v>427</v>
      </c>
      <c r="B389" s="1031" t="s">
        <v>5278</v>
      </c>
      <c r="C389" s="1056">
        <v>83637042</v>
      </c>
      <c r="D389" s="1056">
        <v>82071178</v>
      </c>
      <c r="E389" s="1056">
        <v>83637042</v>
      </c>
      <c r="F389" s="1056">
        <v>82071178</v>
      </c>
      <c r="G389" s="1056">
        <v>82125237</v>
      </c>
      <c r="H389" s="1056">
        <v>82125237</v>
      </c>
      <c r="I389" s="1056">
        <v>83637042</v>
      </c>
      <c r="J389" s="1056">
        <v>82071178</v>
      </c>
      <c r="K389" s="1056">
        <v>83637042</v>
      </c>
      <c r="L389" s="1056">
        <v>82071178</v>
      </c>
      <c r="M389" s="1056">
        <v>82125237</v>
      </c>
      <c r="N389" s="1056">
        <v>82125237</v>
      </c>
    </row>
    <row r="390" spans="1:14">
      <c r="A390" s="1049" t="s">
        <v>429</v>
      </c>
      <c r="B390" s="1031" t="s">
        <v>7464</v>
      </c>
      <c r="C390" s="1056">
        <v>293800586</v>
      </c>
      <c r="D390" s="1056">
        <v>279690863</v>
      </c>
      <c r="E390" s="1056">
        <v>293800586</v>
      </c>
      <c r="F390" s="1056">
        <v>279690863</v>
      </c>
      <c r="G390" s="1056">
        <v>279717134</v>
      </c>
      <c r="H390" s="1056">
        <v>279717134</v>
      </c>
      <c r="I390" s="1056">
        <v>293800586</v>
      </c>
      <c r="J390" s="1056">
        <v>279690863</v>
      </c>
      <c r="K390" s="1056">
        <v>293800586</v>
      </c>
      <c r="L390" s="1056">
        <v>279690863</v>
      </c>
      <c r="M390" s="1056">
        <v>279717134</v>
      </c>
      <c r="N390" s="1056">
        <v>279717134</v>
      </c>
    </row>
    <row r="391" spans="1:14">
      <c r="A391" s="1049" t="s">
        <v>446</v>
      </c>
      <c r="B391" s="1031" t="s">
        <v>3844</v>
      </c>
      <c r="C391" s="1056">
        <v>169171902</v>
      </c>
      <c r="D391" s="1056">
        <v>161585541</v>
      </c>
      <c r="E391" s="1056">
        <v>169171902</v>
      </c>
      <c r="F391" s="1056">
        <v>161585541</v>
      </c>
      <c r="G391" s="1056">
        <v>161585541</v>
      </c>
      <c r="H391" s="1056">
        <v>161585541</v>
      </c>
      <c r="I391" s="1056">
        <v>169171902</v>
      </c>
      <c r="J391" s="1056">
        <v>161585541</v>
      </c>
      <c r="K391" s="1056">
        <v>169171902</v>
      </c>
      <c r="L391" s="1056">
        <v>161585541</v>
      </c>
      <c r="M391" s="1056">
        <v>161585541</v>
      </c>
      <c r="N391" s="1056">
        <v>161585541</v>
      </c>
    </row>
    <row r="392" spans="1:14">
      <c r="A392" s="1049" t="s">
        <v>431</v>
      </c>
      <c r="B392" s="1031" t="s">
        <v>5280</v>
      </c>
      <c r="C392" s="1056">
        <v>367065467</v>
      </c>
      <c r="D392" s="1056">
        <v>363743657</v>
      </c>
      <c r="E392" s="1056">
        <v>363416163</v>
      </c>
      <c r="F392" s="1056">
        <v>360094353</v>
      </c>
      <c r="G392" s="1056">
        <v>363743657</v>
      </c>
      <c r="H392" s="1056">
        <v>360094353</v>
      </c>
      <c r="I392" s="1056">
        <v>458018467</v>
      </c>
      <c r="J392" s="1056">
        <v>454696657</v>
      </c>
      <c r="K392" s="1056">
        <v>454369163</v>
      </c>
      <c r="L392" s="1056">
        <v>451047353</v>
      </c>
      <c r="M392" s="1056">
        <v>454696657</v>
      </c>
      <c r="N392" s="1056">
        <v>451047353</v>
      </c>
    </row>
    <row r="393" spans="1:14">
      <c r="A393" s="1049" t="s">
        <v>4945</v>
      </c>
      <c r="B393" s="1031" t="s">
        <v>7468</v>
      </c>
      <c r="C393" s="1056">
        <v>181721253</v>
      </c>
      <c r="D393" s="1056">
        <v>181100525</v>
      </c>
      <c r="E393" s="1056">
        <v>181235875</v>
      </c>
      <c r="F393" s="1056">
        <v>180615147</v>
      </c>
      <c r="G393" s="1056">
        <v>181103858</v>
      </c>
      <c r="H393" s="1056">
        <v>180618480</v>
      </c>
      <c r="I393" s="1056">
        <v>195578253</v>
      </c>
      <c r="J393" s="1056">
        <v>194957525</v>
      </c>
      <c r="K393" s="1056">
        <v>195092875</v>
      </c>
      <c r="L393" s="1056">
        <v>194472147</v>
      </c>
      <c r="M393" s="1056">
        <v>194960858</v>
      </c>
      <c r="N393" s="1056">
        <v>194475480</v>
      </c>
    </row>
    <row r="394" spans="1:14">
      <c r="A394" s="1049" t="s">
        <v>4947</v>
      </c>
      <c r="B394" s="1031" t="s">
        <v>5282</v>
      </c>
      <c r="C394" s="1056">
        <v>476948877</v>
      </c>
      <c r="D394" s="1056">
        <v>469189912</v>
      </c>
      <c r="E394" s="1056">
        <v>476948877</v>
      </c>
      <c r="F394" s="1056">
        <v>469189912</v>
      </c>
      <c r="G394" s="1056">
        <v>469205260</v>
      </c>
      <c r="H394" s="1056">
        <v>469205260</v>
      </c>
      <c r="I394" s="1056">
        <v>476948877</v>
      </c>
      <c r="J394" s="1056">
        <v>469189912</v>
      </c>
      <c r="K394" s="1056">
        <v>476948877</v>
      </c>
      <c r="L394" s="1056">
        <v>469189912</v>
      </c>
      <c r="M394" s="1056">
        <v>469205260</v>
      </c>
      <c r="N394" s="1056">
        <v>469205260</v>
      </c>
    </row>
    <row r="395" spans="1:14">
      <c r="A395" s="1049" t="s">
        <v>4949</v>
      </c>
      <c r="B395" s="1031" t="s">
        <v>5283</v>
      </c>
      <c r="C395" s="1056">
        <v>231792851</v>
      </c>
      <c r="D395" s="1056">
        <v>230389391</v>
      </c>
      <c r="E395" s="1056">
        <v>231792851</v>
      </c>
      <c r="F395" s="1056">
        <v>230389391</v>
      </c>
      <c r="G395" s="1056">
        <v>230627468</v>
      </c>
      <c r="H395" s="1056">
        <v>230627468</v>
      </c>
      <c r="I395" s="1056">
        <v>231792851</v>
      </c>
      <c r="J395" s="1056">
        <v>230389391</v>
      </c>
      <c r="K395" s="1056">
        <v>231792851</v>
      </c>
      <c r="L395" s="1056">
        <v>230389391</v>
      </c>
      <c r="M395" s="1056">
        <v>230627468</v>
      </c>
      <c r="N395" s="1056">
        <v>230627468</v>
      </c>
    </row>
    <row r="396" spans="1:14">
      <c r="A396" s="1049" t="s">
        <v>4951</v>
      </c>
      <c r="B396" s="1031" t="s">
        <v>5284</v>
      </c>
      <c r="C396" s="1056">
        <v>334605063</v>
      </c>
      <c r="D396" s="1056">
        <v>330003393</v>
      </c>
      <c r="E396" s="1056">
        <v>334605063</v>
      </c>
      <c r="F396" s="1056">
        <v>330003393</v>
      </c>
      <c r="G396" s="1056">
        <v>330789451</v>
      </c>
      <c r="H396" s="1056">
        <v>330789451</v>
      </c>
      <c r="I396" s="1056">
        <v>334605063</v>
      </c>
      <c r="J396" s="1056">
        <v>330003393</v>
      </c>
      <c r="K396" s="1056">
        <v>334605063</v>
      </c>
      <c r="L396" s="1056">
        <v>330003393</v>
      </c>
      <c r="M396" s="1056">
        <v>330789451</v>
      </c>
      <c r="N396" s="1056">
        <v>330789451</v>
      </c>
    </row>
    <row r="397" spans="1:14">
      <c r="A397" s="1049" t="s">
        <v>1560</v>
      </c>
      <c r="B397" s="1031" t="s">
        <v>5285</v>
      </c>
      <c r="C397" s="1056">
        <v>397590448</v>
      </c>
      <c r="D397" s="1056">
        <v>380065628</v>
      </c>
      <c r="E397" s="1056">
        <v>389599487</v>
      </c>
      <c r="F397" s="1056">
        <v>372074667</v>
      </c>
      <c r="G397" s="1056">
        <v>381323743</v>
      </c>
      <c r="H397" s="1056">
        <v>373332782</v>
      </c>
      <c r="I397" s="1056">
        <v>397590448</v>
      </c>
      <c r="J397" s="1056">
        <v>380065628</v>
      </c>
      <c r="K397" s="1056">
        <v>389599487</v>
      </c>
      <c r="L397" s="1056">
        <v>372074667</v>
      </c>
      <c r="M397" s="1056">
        <v>381323743</v>
      </c>
      <c r="N397" s="1056">
        <v>373332782</v>
      </c>
    </row>
    <row r="398" spans="1:14">
      <c r="A398" s="1049" t="s">
        <v>2398</v>
      </c>
      <c r="B398" s="1031" t="s">
        <v>1466</v>
      </c>
      <c r="C398" s="1056">
        <v>774848806</v>
      </c>
      <c r="D398" s="1056">
        <v>736710686</v>
      </c>
      <c r="E398" s="1056">
        <v>774848806</v>
      </c>
      <c r="F398" s="1056">
        <v>736710686</v>
      </c>
      <c r="G398" s="1056">
        <v>739712397</v>
      </c>
      <c r="H398" s="1056">
        <v>739712397</v>
      </c>
      <c r="I398" s="1056">
        <v>774848806</v>
      </c>
      <c r="J398" s="1056">
        <v>736710686</v>
      </c>
      <c r="K398" s="1056">
        <v>774848806</v>
      </c>
      <c r="L398" s="1056">
        <v>736710686</v>
      </c>
      <c r="M398" s="1056">
        <v>739712397</v>
      </c>
      <c r="N398" s="1056">
        <v>739712397</v>
      </c>
    </row>
    <row r="399" spans="1:14">
      <c r="A399" s="1049" t="s">
        <v>1562</v>
      </c>
      <c r="B399" s="1031" t="s">
        <v>5286</v>
      </c>
      <c r="C399" s="1056">
        <v>843964320</v>
      </c>
      <c r="D399" s="1056">
        <v>816585701</v>
      </c>
      <c r="E399" s="1056">
        <v>815882113</v>
      </c>
      <c r="F399" s="1056">
        <v>788503494</v>
      </c>
      <c r="G399" s="1056">
        <v>819757217</v>
      </c>
      <c r="H399" s="1056">
        <v>791675010</v>
      </c>
      <c r="I399" s="1056">
        <v>843964320</v>
      </c>
      <c r="J399" s="1056">
        <v>816585701</v>
      </c>
      <c r="K399" s="1056">
        <v>815882113</v>
      </c>
      <c r="L399" s="1056">
        <v>788503494</v>
      </c>
      <c r="M399" s="1056">
        <v>819757217</v>
      </c>
      <c r="N399" s="1056">
        <v>791675010</v>
      </c>
    </row>
    <row r="400" spans="1:14">
      <c r="A400" s="1049" t="s">
        <v>2997</v>
      </c>
      <c r="B400" s="1031" t="s">
        <v>6057</v>
      </c>
      <c r="C400" s="1056">
        <v>1036051542</v>
      </c>
      <c r="D400" s="1056">
        <v>985832292</v>
      </c>
      <c r="E400" s="1056">
        <v>1036051542</v>
      </c>
      <c r="F400" s="1056">
        <v>985832292</v>
      </c>
      <c r="G400" s="1056">
        <v>993769964</v>
      </c>
      <c r="H400" s="1056">
        <v>993769964</v>
      </c>
      <c r="I400" s="1056">
        <v>1036051542</v>
      </c>
      <c r="J400" s="1056">
        <v>985832292</v>
      </c>
      <c r="K400" s="1056">
        <v>1036051542</v>
      </c>
      <c r="L400" s="1056">
        <v>985832292</v>
      </c>
      <c r="M400" s="1056">
        <v>993769964</v>
      </c>
      <c r="N400" s="1056">
        <v>993769964</v>
      </c>
    </row>
    <row r="401" spans="1:14">
      <c r="A401" s="1049" t="s">
        <v>856</v>
      </c>
      <c r="B401" s="1031" t="s">
        <v>7477</v>
      </c>
      <c r="C401" s="1056">
        <v>215149767</v>
      </c>
      <c r="D401" s="1056">
        <v>208129497</v>
      </c>
      <c r="E401" s="1056">
        <v>215149767</v>
      </c>
      <c r="F401" s="1056">
        <v>208129497</v>
      </c>
      <c r="G401" s="1056">
        <v>208950950</v>
      </c>
      <c r="H401" s="1056">
        <v>208950950</v>
      </c>
      <c r="I401" s="1056">
        <v>215149767</v>
      </c>
      <c r="J401" s="1056">
        <v>208129497</v>
      </c>
      <c r="K401" s="1056">
        <v>215149767</v>
      </c>
      <c r="L401" s="1056">
        <v>208129497</v>
      </c>
      <c r="M401" s="1056">
        <v>208950950</v>
      </c>
      <c r="N401" s="1056">
        <v>208950950</v>
      </c>
    </row>
    <row r="402" spans="1:14">
      <c r="A402" s="1049" t="s">
        <v>819</v>
      </c>
      <c r="B402" s="1031" t="s">
        <v>3901</v>
      </c>
      <c r="C402" s="1056">
        <v>16837486231</v>
      </c>
      <c r="D402" s="1056">
        <v>16514524414</v>
      </c>
      <c r="E402" s="1056">
        <v>16837486231</v>
      </c>
      <c r="F402" s="1056">
        <v>16514524414</v>
      </c>
      <c r="G402" s="1056">
        <v>16548292285</v>
      </c>
      <c r="H402" s="1056">
        <v>16548292285</v>
      </c>
      <c r="I402" s="1056">
        <v>16837486231</v>
      </c>
      <c r="J402" s="1056">
        <v>16514524414</v>
      </c>
      <c r="K402" s="1056">
        <v>16837486231</v>
      </c>
      <c r="L402" s="1056">
        <v>16514524414</v>
      </c>
      <c r="M402" s="1056">
        <v>16548292285</v>
      </c>
      <c r="N402" s="1056">
        <v>16548292285</v>
      </c>
    </row>
    <row r="403" spans="1:14">
      <c r="A403" s="1049" t="s">
        <v>3887</v>
      </c>
      <c r="B403" s="1031" t="s">
        <v>1844</v>
      </c>
      <c r="C403" s="1056">
        <v>12768141962</v>
      </c>
      <c r="D403" s="1056">
        <v>12497304172</v>
      </c>
      <c r="E403" s="1056">
        <v>12768141962</v>
      </c>
      <c r="F403" s="1056">
        <v>12497304172</v>
      </c>
      <c r="G403" s="1056">
        <v>12551674094</v>
      </c>
      <c r="H403" s="1056">
        <v>12551674094</v>
      </c>
      <c r="I403" s="1056">
        <v>12768141962</v>
      </c>
      <c r="J403" s="1056">
        <v>12497304172</v>
      </c>
      <c r="K403" s="1056">
        <v>12768141962</v>
      </c>
      <c r="L403" s="1056">
        <v>12497304172</v>
      </c>
      <c r="M403" s="1056">
        <v>12551674094</v>
      </c>
      <c r="N403" s="1056">
        <v>12551674094</v>
      </c>
    </row>
    <row r="404" spans="1:14">
      <c r="A404" s="1049" t="s">
        <v>1988</v>
      </c>
      <c r="B404" s="1031" t="s">
        <v>303</v>
      </c>
      <c r="C404" s="1056">
        <v>2728212507</v>
      </c>
      <c r="D404" s="1056">
        <v>2670641680</v>
      </c>
      <c r="E404" s="1056">
        <v>2728212507</v>
      </c>
      <c r="F404" s="1056">
        <v>2670641680</v>
      </c>
      <c r="G404" s="1056">
        <v>2675125301</v>
      </c>
      <c r="H404" s="1056">
        <v>2675125301</v>
      </c>
      <c r="I404" s="1056">
        <v>2728212507</v>
      </c>
      <c r="J404" s="1056">
        <v>2670641680</v>
      </c>
      <c r="K404" s="1056">
        <v>2728212507</v>
      </c>
      <c r="L404" s="1056">
        <v>2670641680</v>
      </c>
      <c r="M404" s="1056">
        <v>2675125301</v>
      </c>
      <c r="N404" s="1056">
        <v>2675125301</v>
      </c>
    </row>
    <row r="405" spans="1:14">
      <c r="A405" s="1049" t="s">
        <v>245</v>
      </c>
      <c r="B405" s="1031" t="s">
        <v>1667</v>
      </c>
      <c r="C405" s="1056">
        <v>1532226937</v>
      </c>
      <c r="D405" s="1056">
        <v>1473738136</v>
      </c>
      <c r="E405" s="1056">
        <v>1532226937</v>
      </c>
      <c r="F405" s="1056">
        <v>1473738136</v>
      </c>
      <c r="G405" s="1056">
        <v>1473738136</v>
      </c>
      <c r="H405" s="1056">
        <v>1473738136</v>
      </c>
      <c r="I405" s="1056">
        <v>1532226937</v>
      </c>
      <c r="J405" s="1056">
        <v>1473738136</v>
      </c>
      <c r="K405" s="1056">
        <v>1532226937</v>
      </c>
      <c r="L405" s="1056">
        <v>1473738136</v>
      </c>
      <c r="M405" s="1056">
        <v>1473738136</v>
      </c>
      <c r="N405" s="1056">
        <v>1473738136</v>
      </c>
    </row>
    <row r="406" spans="1:14">
      <c r="A406" s="1049" t="s">
        <v>1990</v>
      </c>
      <c r="B406" s="1031" t="s">
        <v>304</v>
      </c>
      <c r="C406" s="1056">
        <v>43399022481</v>
      </c>
      <c r="D406" s="1056">
        <v>42270206834</v>
      </c>
      <c r="E406" s="1056">
        <v>41392095606</v>
      </c>
      <c r="F406" s="1056">
        <v>40263279959</v>
      </c>
      <c r="G406" s="1056">
        <v>42270206834</v>
      </c>
      <c r="H406" s="1056">
        <v>40263279959</v>
      </c>
      <c r="I406" s="1056">
        <v>43399022481</v>
      </c>
      <c r="J406" s="1056">
        <v>42270206834</v>
      </c>
      <c r="K406" s="1056">
        <v>41392095606</v>
      </c>
      <c r="L406" s="1056">
        <v>40263279959</v>
      </c>
      <c r="M406" s="1056">
        <v>42270206834</v>
      </c>
      <c r="N406" s="1056">
        <v>40263279959</v>
      </c>
    </row>
    <row r="407" spans="1:14">
      <c r="A407" s="1049" t="s">
        <v>2115</v>
      </c>
      <c r="B407" s="1031" t="s">
        <v>305</v>
      </c>
      <c r="C407" s="1056">
        <v>7942871563</v>
      </c>
      <c r="D407" s="1056">
        <v>7829234756</v>
      </c>
      <c r="E407" s="1056">
        <v>7785279956</v>
      </c>
      <c r="F407" s="1056">
        <v>7671643149</v>
      </c>
      <c r="G407" s="1056">
        <v>7841969901</v>
      </c>
      <c r="H407" s="1056">
        <v>7684378294</v>
      </c>
      <c r="I407" s="1056">
        <v>7942871563</v>
      </c>
      <c r="J407" s="1056">
        <v>7829234756</v>
      </c>
      <c r="K407" s="1056">
        <v>7785279956</v>
      </c>
      <c r="L407" s="1056">
        <v>7671643149</v>
      </c>
      <c r="M407" s="1056">
        <v>7841969901</v>
      </c>
      <c r="N407" s="1056">
        <v>7684378294</v>
      </c>
    </row>
    <row r="408" spans="1:14">
      <c r="A408" s="1049" t="s">
        <v>1315</v>
      </c>
      <c r="B408" s="1031" t="s">
        <v>120</v>
      </c>
      <c r="C408" s="1056">
        <v>7608304950</v>
      </c>
      <c r="D408" s="1056">
        <v>7482232463</v>
      </c>
      <c r="E408" s="1056">
        <v>7510885812</v>
      </c>
      <c r="F408" s="1056">
        <v>7384813325</v>
      </c>
      <c r="G408" s="1056">
        <v>7492768739</v>
      </c>
      <c r="H408" s="1056">
        <v>7395349601</v>
      </c>
      <c r="I408" s="1056">
        <v>7608304950</v>
      </c>
      <c r="J408" s="1056">
        <v>7482232463</v>
      </c>
      <c r="K408" s="1056">
        <v>7510885812</v>
      </c>
      <c r="L408" s="1056">
        <v>7384813325</v>
      </c>
      <c r="M408" s="1056">
        <v>7492768739</v>
      </c>
      <c r="N408" s="1056">
        <v>7395349601</v>
      </c>
    </row>
    <row r="409" spans="1:14">
      <c r="A409" s="1049" t="s">
        <v>5622</v>
      </c>
      <c r="B409" s="1031" t="s">
        <v>306</v>
      </c>
      <c r="C409" s="1056">
        <v>9587051581</v>
      </c>
      <c r="D409" s="1056">
        <v>9401625273</v>
      </c>
      <c r="E409" s="1056">
        <v>9488917564</v>
      </c>
      <c r="F409" s="1056">
        <v>9303491256</v>
      </c>
      <c r="G409" s="1056">
        <v>9403289437</v>
      </c>
      <c r="H409" s="1056">
        <v>9305155420</v>
      </c>
      <c r="I409" s="1056">
        <v>9587051581</v>
      </c>
      <c r="J409" s="1056">
        <v>9401625273</v>
      </c>
      <c r="K409" s="1056">
        <v>9488917564</v>
      </c>
      <c r="L409" s="1056">
        <v>9303491256</v>
      </c>
      <c r="M409" s="1056">
        <v>9403289437</v>
      </c>
      <c r="N409" s="1056">
        <v>9305155420</v>
      </c>
    </row>
    <row r="410" spans="1:14">
      <c r="A410" s="1049" t="s">
        <v>5624</v>
      </c>
      <c r="B410" s="1031" t="s">
        <v>95</v>
      </c>
      <c r="C410" s="1056">
        <v>140650797133</v>
      </c>
      <c r="D410" s="1056">
        <v>138497624993</v>
      </c>
      <c r="E410" s="1056">
        <v>135108468359</v>
      </c>
      <c r="F410" s="1056">
        <v>132955296219</v>
      </c>
      <c r="G410" s="1056">
        <v>139365931837</v>
      </c>
      <c r="H410" s="1056">
        <v>133823603063</v>
      </c>
      <c r="I410" s="1056">
        <v>140650797133</v>
      </c>
      <c r="J410" s="1056">
        <v>138497624993</v>
      </c>
      <c r="K410" s="1056">
        <v>135108468359</v>
      </c>
      <c r="L410" s="1056">
        <v>132955296219</v>
      </c>
      <c r="M410" s="1056">
        <v>139365931837</v>
      </c>
      <c r="N410" s="1056">
        <v>133823603063</v>
      </c>
    </row>
    <row r="411" spans="1:14">
      <c r="A411" s="1049" t="s">
        <v>1873</v>
      </c>
      <c r="B411" s="1031" t="s">
        <v>3856</v>
      </c>
      <c r="C411" s="1056">
        <v>11980884535</v>
      </c>
      <c r="D411" s="1056">
        <v>11560639141</v>
      </c>
      <c r="E411" s="1056">
        <v>11980884535</v>
      </c>
      <c r="F411" s="1056">
        <v>11560639141</v>
      </c>
      <c r="G411" s="1056">
        <v>11660048088</v>
      </c>
      <c r="H411" s="1056">
        <v>11660048088</v>
      </c>
      <c r="I411" s="1056">
        <v>11980884535</v>
      </c>
      <c r="J411" s="1056">
        <v>11560639141</v>
      </c>
      <c r="K411" s="1056">
        <v>11980884535</v>
      </c>
      <c r="L411" s="1056">
        <v>11560639141</v>
      </c>
      <c r="M411" s="1056">
        <v>11660048088</v>
      </c>
      <c r="N411" s="1056">
        <v>11660048088</v>
      </c>
    </row>
    <row r="412" spans="1:14">
      <c r="A412" s="1049" t="s">
        <v>6028</v>
      </c>
      <c r="B412" s="1031" t="s">
        <v>1913</v>
      </c>
      <c r="C412" s="1056">
        <v>28154545236</v>
      </c>
      <c r="D412" s="1056">
        <v>27523318886</v>
      </c>
      <c r="E412" s="1056">
        <v>28154545236</v>
      </c>
      <c r="F412" s="1056">
        <v>27523318886</v>
      </c>
      <c r="G412" s="1056">
        <v>27623862315</v>
      </c>
      <c r="H412" s="1056">
        <v>27623862315</v>
      </c>
      <c r="I412" s="1056">
        <v>28154545236</v>
      </c>
      <c r="J412" s="1056">
        <v>27523318886</v>
      </c>
      <c r="K412" s="1056">
        <v>28154545236</v>
      </c>
      <c r="L412" s="1056">
        <v>27523318886</v>
      </c>
      <c r="M412" s="1056">
        <v>27623862315</v>
      </c>
      <c r="N412" s="1056">
        <v>27623862315</v>
      </c>
    </row>
    <row r="413" spans="1:14">
      <c r="A413" s="1049" t="s">
        <v>6035</v>
      </c>
      <c r="B413" s="1031" t="s">
        <v>1923</v>
      </c>
      <c r="C413" s="1056">
        <v>15516358275</v>
      </c>
      <c r="D413" s="1056">
        <v>14995297592</v>
      </c>
      <c r="E413" s="1056">
        <v>15516358275</v>
      </c>
      <c r="F413" s="1056">
        <v>14995297592</v>
      </c>
      <c r="G413" s="1056">
        <v>15125699750</v>
      </c>
      <c r="H413" s="1056">
        <v>15125699750</v>
      </c>
      <c r="I413" s="1056">
        <v>15579571474</v>
      </c>
      <c r="J413" s="1056">
        <v>15058510791</v>
      </c>
      <c r="K413" s="1056">
        <v>15579571474</v>
      </c>
      <c r="L413" s="1056">
        <v>15058510791</v>
      </c>
      <c r="M413" s="1056">
        <v>15188912949</v>
      </c>
      <c r="N413" s="1056">
        <v>15188912949</v>
      </c>
    </row>
    <row r="414" spans="1:14">
      <c r="A414" s="1049" t="s">
        <v>5626</v>
      </c>
      <c r="B414" s="1031" t="s">
        <v>96</v>
      </c>
      <c r="C414" s="1056">
        <v>7215284131</v>
      </c>
      <c r="D414" s="1056">
        <v>7114922389</v>
      </c>
      <c r="E414" s="1056">
        <v>7078171912</v>
      </c>
      <c r="F414" s="1056">
        <v>6977810170</v>
      </c>
      <c r="G414" s="1056">
        <v>7114922389</v>
      </c>
      <c r="H414" s="1056">
        <v>6977810170</v>
      </c>
      <c r="I414" s="1056">
        <v>7327308081</v>
      </c>
      <c r="J414" s="1056">
        <v>7226946339</v>
      </c>
      <c r="K414" s="1056">
        <v>7190195862</v>
      </c>
      <c r="L414" s="1056">
        <v>7089834120</v>
      </c>
      <c r="M414" s="1056">
        <v>7226946339</v>
      </c>
      <c r="N414" s="1056">
        <v>7089834120</v>
      </c>
    </row>
    <row r="415" spans="1:14">
      <c r="A415" s="1049" t="s">
        <v>6194</v>
      </c>
      <c r="B415" s="1031" t="s">
        <v>5292</v>
      </c>
      <c r="C415" s="1056">
        <v>11221608282</v>
      </c>
      <c r="D415" s="1056">
        <v>10854092880</v>
      </c>
      <c r="E415" s="1056">
        <v>11035133326</v>
      </c>
      <c r="F415" s="1056">
        <v>10667617924</v>
      </c>
      <c r="G415" s="1056">
        <v>10903449917</v>
      </c>
      <c r="H415" s="1056">
        <v>10716974961</v>
      </c>
      <c r="I415" s="1056">
        <v>11221608282</v>
      </c>
      <c r="J415" s="1056">
        <v>10854092880</v>
      </c>
      <c r="K415" s="1056">
        <v>11035133326</v>
      </c>
      <c r="L415" s="1056">
        <v>10667617924</v>
      </c>
      <c r="M415" s="1056">
        <v>10903449917</v>
      </c>
      <c r="N415" s="1056">
        <v>10716974961</v>
      </c>
    </row>
    <row r="416" spans="1:14">
      <c r="A416" s="1049" t="s">
        <v>1539</v>
      </c>
      <c r="B416" s="1031" t="s">
        <v>97</v>
      </c>
      <c r="C416" s="1056">
        <v>9067088185</v>
      </c>
      <c r="D416" s="1056">
        <v>8798935690</v>
      </c>
      <c r="E416" s="1056">
        <v>9067088185</v>
      </c>
      <c r="F416" s="1056">
        <v>8798935690</v>
      </c>
      <c r="G416" s="1056">
        <v>8845283505</v>
      </c>
      <c r="H416" s="1056">
        <v>8845283505</v>
      </c>
      <c r="I416" s="1056">
        <v>9067088185</v>
      </c>
      <c r="J416" s="1056">
        <v>8798935690</v>
      </c>
      <c r="K416" s="1056">
        <v>9067088185</v>
      </c>
      <c r="L416" s="1056">
        <v>8798935690</v>
      </c>
      <c r="M416" s="1056">
        <v>8845283505</v>
      </c>
      <c r="N416" s="1056">
        <v>8845283505</v>
      </c>
    </row>
    <row r="417" spans="1:14">
      <c r="A417" s="1049" t="s">
        <v>911</v>
      </c>
      <c r="B417" s="1031" t="s">
        <v>98</v>
      </c>
      <c r="C417" s="1056">
        <v>25341252625</v>
      </c>
      <c r="D417" s="1056">
        <v>25015627285</v>
      </c>
      <c r="E417" s="1056">
        <v>23748569061</v>
      </c>
      <c r="F417" s="1056">
        <v>23422943721</v>
      </c>
      <c r="G417" s="1056">
        <v>25289407565</v>
      </c>
      <c r="H417" s="1056">
        <v>23696724001</v>
      </c>
      <c r="I417" s="1056">
        <v>25341252625</v>
      </c>
      <c r="J417" s="1056">
        <v>25015627285</v>
      </c>
      <c r="K417" s="1056">
        <v>23748569061</v>
      </c>
      <c r="L417" s="1056">
        <v>23422943721</v>
      </c>
      <c r="M417" s="1056">
        <v>25289407565</v>
      </c>
      <c r="N417" s="1056">
        <v>23696724001</v>
      </c>
    </row>
    <row r="418" spans="1:14">
      <c r="A418" s="1049" t="s">
        <v>1428</v>
      </c>
      <c r="B418" s="1031" t="s">
        <v>99</v>
      </c>
      <c r="C418" s="1056">
        <v>7677009764</v>
      </c>
      <c r="D418" s="1056">
        <v>7518541072</v>
      </c>
      <c r="E418" s="1056">
        <v>7677009764</v>
      </c>
      <c r="F418" s="1056">
        <v>7518541072</v>
      </c>
      <c r="G418" s="1056">
        <v>7530772690</v>
      </c>
      <c r="H418" s="1056">
        <v>7530772690</v>
      </c>
      <c r="I418" s="1056">
        <v>7677009764</v>
      </c>
      <c r="J418" s="1056">
        <v>7518541072</v>
      </c>
      <c r="K418" s="1056">
        <v>7677009764</v>
      </c>
      <c r="L418" s="1056">
        <v>7518541072</v>
      </c>
      <c r="M418" s="1056">
        <v>7530772690</v>
      </c>
      <c r="N418" s="1056">
        <v>7530772690</v>
      </c>
    </row>
    <row r="419" spans="1:14">
      <c r="A419" s="1049" t="s">
        <v>1430</v>
      </c>
      <c r="B419" s="1031" t="s">
        <v>100</v>
      </c>
      <c r="C419" s="1056">
        <v>5010461133</v>
      </c>
      <c r="D419" s="1056">
        <v>4957518574</v>
      </c>
      <c r="E419" s="1056">
        <v>4965128459</v>
      </c>
      <c r="F419" s="1056">
        <v>4912185900</v>
      </c>
      <c r="G419" s="1056">
        <v>4959739973</v>
      </c>
      <c r="H419" s="1056">
        <v>4914407299</v>
      </c>
      <c r="I419" s="1056">
        <v>5010461133</v>
      </c>
      <c r="J419" s="1056">
        <v>4957518574</v>
      </c>
      <c r="K419" s="1056">
        <v>4965128459</v>
      </c>
      <c r="L419" s="1056">
        <v>4912185900</v>
      </c>
      <c r="M419" s="1056">
        <v>4959739973</v>
      </c>
      <c r="N419" s="1056">
        <v>4914407299</v>
      </c>
    </row>
    <row r="420" spans="1:14">
      <c r="A420" s="1049" t="s">
        <v>4971</v>
      </c>
      <c r="B420" s="1031" t="s">
        <v>3854</v>
      </c>
      <c r="C420" s="1056">
        <v>905346177</v>
      </c>
      <c r="D420" s="1056">
        <v>868817715</v>
      </c>
      <c r="E420" s="1056">
        <v>905346177</v>
      </c>
      <c r="F420" s="1056">
        <v>868817715</v>
      </c>
      <c r="G420" s="1056">
        <v>874171786</v>
      </c>
      <c r="H420" s="1056">
        <v>874171786</v>
      </c>
      <c r="I420" s="1056">
        <v>905346177</v>
      </c>
      <c r="J420" s="1056">
        <v>868817715</v>
      </c>
      <c r="K420" s="1056">
        <v>905346177</v>
      </c>
      <c r="L420" s="1056">
        <v>868817715</v>
      </c>
      <c r="M420" s="1056">
        <v>874171786</v>
      </c>
      <c r="N420" s="1056">
        <v>874171786</v>
      </c>
    </row>
    <row r="421" spans="1:14">
      <c r="A421" s="1049" t="s">
        <v>1432</v>
      </c>
      <c r="B421" s="1031" t="s">
        <v>101</v>
      </c>
      <c r="C421" s="1056">
        <v>231277965</v>
      </c>
      <c r="D421" s="1056">
        <v>225292410</v>
      </c>
      <c r="E421" s="1056">
        <v>225021210</v>
      </c>
      <c r="F421" s="1056">
        <v>219035655</v>
      </c>
      <c r="G421" s="1056">
        <v>226382987</v>
      </c>
      <c r="H421" s="1056">
        <v>220126232</v>
      </c>
      <c r="I421" s="1056">
        <v>231277965</v>
      </c>
      <c r="J421" s="1056">
        <v>225292410</v>
      </c>
      <c r="K421" s="1056">
        <v>225021210</v>
      </c>
      <c r="L421" s="1056">
        <v>219035655</v>
      </c>
      <c r="M421" s="1056">
        <v>226382987</v>
      </c>
      <c r="N421" s="1056">
        <v>220126232</v>
      </c>
    </row>
    <row r="422" spans="1:14">
      <c r="A422" s="1049" t="s">
        <v>1434</v>
      </c>
      <c r="B422" s="1031" t="s">
        <v>877</v>
      </c>
      <c r="C422" s="1056">
        <v>2684235933</v>
      </c>
      <c r="D422" s="1056">
        <v>2619587434</v>
      </c>
      <c r="E422" s="1056">
        <v>2611495748</v>
      </c>
      <c r="F422" s="1056">
        <v>2546847249</v>
      </c>
      <c r="G422" s="1056">
        <v>2633093492</v>
      </c>
      <c r="H422" s="1056">
        <v>2560353307</v>
      </c>
      <c r="I422" s="1056">
        <v>2684235933</v>
      </c>
      <c r="J422" s="1056">
        <v>2619587434</v>
      </c>
      <c r="K422" s="1056">
        <v>2611495748</v>
      </c>
      <c r="L422" s="1056">
        <v>2546847249</v>
      </c>
      <c r="M422" s="1056">
        <v>2633093492</v>
      </c>
      <c r="N422" s="1056">
        <v>2560353307</v>
      </c>
    </row>
    <row r="423" spans="1:14">
      <c r="A423" s="1049" t="s">
        <v>1436</v>
      </c>
      <c r="B423" s="1031" t="s">
        <v>878</v>
      </c>
      <c r="C423" s="1056">
        <v>429134490</v>
      </c>
      <c r="D423" s="1056">
        <v>421030431</v>
      </c>
      <c r="E423" s="1056">
        <v>420818122</v>
      </c>
      <c r="F423" s="1056">
        <v>412714063</v>
      </c>
      <c r="G423" s="1056">
        <v>422514067</v>
      </c>
      <c r="H423" s="1056">
        <v>414197699</v>
      </c>
      <c r="I423" s="1056">
        <v>429134490</v>
      </c>
      <c r="J423" s="1056">
        <v>421030431</v>
      </c>
      <c r="K423" s="1056">
        <v>420818122</v>
      </c>
      <c r="L423" s="1056">
        <v>412714063</v>
      </c>
      <c r="M423" s="1056">
        <v>422514067</v>
      </c>
      <c r="N423" s="1056">
        <v>414197699</v>
      </c>
    </row>
    <row r="424" spans="1:14">
      <c r="A424" s="1049" t="s">
        <v>1438</v>
      </c>
      <c r="B424" s="1031" t="s">
        <v>879</v>
      </c>
      <c r="C424" s="1056">
        <v>2503100505</v>
      </c>
      <c r="D424" s="1056">
        <v>2456514117</v>
      </c>
      <c r="E424" s="1056">
        <v>2424072458</v>
      </c>
      <c r="F424" s="1056">
        <v>2377486070</v>
      </c>
      <c r="G424" s="1056">
        <v>2459791847</v>
      </c>
      <c r="H424" s="1056">
        <v>2380763800</v>
      </c>
      <c r="I424" s="1056">
        <v>2503100505</v>
      </c>
      <c r="J424" s="1056">
        <v>2456514117</v>
      </c>
      <c r="K424" s="1056">
        <v>2424072458</v>
      </c>
      <c r="L424" s="1056">
        <v>2377486070</v>
      </c>
      <c r="M424" s="1056">
        <v>2459791847</v>
      </c>
      <c r="N424" s="1056">
        <v>2380763800</v>
      </c>
    </row>
    <row r="425" spans="1:14">
      <c r="A425" s="1049" t="s">
        <v>2580</v>
      </c>
      <c r="B425" s="1031" t="s">
        <v>880</v>
      </c>
      <c r="C425" s="1056">
        <v>166746263</v>
      </c>
      <c r="D425" s="1056">
        <v>160154207</v>
      </c>
      <c r="E425" s="1056">
        <v>158429376</v>
      </c>
      <c r="F425" s="1056">
        <v>151837320</v>
      </c>
      <c r="G425" s="1056">
        <v>160620447</v>
      </c>
      <c r="H425" s="1056">
        <v>152303560</v>
      </c>
      <c r="I425" s="1056">
        <v>166746263</v>
      </c>
      <c r="J425" s="1056">
        <v>160154207</v>
      </c>
      <c r="K425" s="1056">
        <v>158429376</v>
      </c>
      <c r="L425" s="1056">
        <v>151837320</v>
      </c>
      <c r="M425" s="1056">
        <v>160620447</v>
      </c>
      <c r="N425" s="1056">
        <v>152303560</v>
      </c>
    </row>
    <row r="426" spans="1:14">
      <c r="A426" s="1049" t="s">
        <v>2582</v>
      </c>
      <c r="B426" s="1031" t="s">
        <v>881</v>
      </c>
      <c r="C426" s="1056">
        <v>475043618</v>
      </c>
      <c r="D426" s="1056">
        <v>463797899</v>
      </c>
      <c r="E426" s="1056">
        <v>462517780</v>
      </c>
      <c r="F426" s="1056">
        <v>451272061</v>
      </c>
      <c r="G426" s="1056">
        <v>464855186</v>
      </c>
      <c r="H426" s="1056">
        <v>452329348</v>
      </c>
      <c r="I426" s="1056">
        <v>475043618</v>
      </c>
      <c r="J426" s="1056">
        <v>463797899</v>
      </c>
      <c r="K426" s="1056">
        <v>462517780</v>
      </c>
      <c r="L426" s="1056">
        <v>451272061</v>
      </c>
      <c r="M426" s="1056">
        <v>464855186</v>
      </c>
      <c r="N426" s="1056">
        <v>452329348</v>
      </c>
    </row>
    <row r="427" spans="1:14">
      <c r="A427" s="1049" t="s">
        <v>2584</v>
      </c>
      <c r="B427" s="1031" t="s">
        <v>834</v>
      </c>
      <c r="C427" s="1056">
        <v>264263351</v>
      </c>
      <c r="D427" s="1056">
        <v>263503522</v>
      </c>
      <c r="E427" s="1056">
        <v>264263351</v>
      </c>
      <c r="F427" s="1056">
        <v>263503522</v>
      </c>
      <c r="G427" s="1056">
        <v>263573216</v>
      </c>
      <c r="H427" s="1056">
        <v>263573216</v>
      </c>
      <c r="I427" s="1056">
        <v>264263351</v>
      </c>
      <c r="J427" s="1056">
        <v>263503522</v>
      </c>
      <c r="K427" s="1056">
        <v>264263351</v>
      </c>
      <c r="L427" s="1056">
        <v>263503522</v>
      </c>
      <c r="M427" s="1056">
        <v>263573216</v>
      </c>
      <c r="N427" s="1056">
        <v>263573216</v>
      </c>
    </row>
    <row r="428" spans="1:14">
      <c r="A428" s="1049" t="s">
        <v>1578</v>
      </c>
      <c r="B428" s="1031" t="s">
        <v>835</v>
      </c>
      <c r="C428" s="1056">
        <v>162842472</v>
      </c>
      <c r="D428" s="1056">
        <v>161802532</v>
      </c>
      <c r="E428" s="1056">
        <v>162842472</v>
      </c>
      <c r="F428" s="1056">
        <v>161802532</v>
      </c>
      <c r="G428" s="1056">
        <v>161861811</v>
      </c>
      <c r="H428" s="1056">
        <v>161861811</v>
      </c>
      <c r="I428" s="1056">
        <v>162842472</v>
      </c>
      <c r="J428" s="1056">
        <v>161802532</v>
      </c>
      <c r="K428" s="1056">
        <v>162842472</v>
      </c>
      <c r="L428" s="1056">
        <v>161802532</v>
      </c>
      <c r="M428" s="1056">
        <v>161861811</v>
      </c>
      <c r="N428" s="1056">
        <v>161861811</v>
      </c>
    </row>
    <row r="429" spans="1:14">
      <c r="A429" s="1049" t="s">
        <v>1580</v>
      </c>
      <c r="B429" s="1031" t="s">
        <v>3838</v>
      </c>
      <c r="C429" s="1056">
        <v>201108619</v>
      </c>
      <c r="D429" s="1056">
        <v>194298729</v>
      </c>
      <c r="E429" s="1056">
        <v>201108619</v>
      </c>
      <c r="F429" s="1056">
        <v>194298729</v>
      </c>
      <c r="G429" s="1056">
        <v>194298729</v>
      </c>
      <c r="H429" s="1056">
        <v>194298729</v>
      </c>
      <c r="I429" s="1056">
        <v>201108619</v>
      </c>
      <c r="J429" s="1056">
        <v>194298729</v>
      </c>
      <c r="K429" s="1056">
        <v>201108619</v>
      </c>
      <c r="L429" s="1056">
        <v>194298729</v>
      </c>
      <c r="M429" s="1056">
        <v>194298729</v>
      </c>
      <c r="N429" s="1056">
        <v>194298729</v>
      </c>
    </row>
    <row r="430" spans="1:14">
      <c r="A430" s="1049" t="s">
        <v>1582</v>
      </c>
      <c r="B430" s="1031" t="s">
        <v>837</v>
      </c>
      <c r="C430" s="1056">
        <v>43295002</v>
      </c>
      <c r="D430" s="1056">
        <v>42215462</v>
      </c>
      <c r="E430" s="1056">
        <v>42696568</v>
      </c>
      <c r="F430" s="1056">
        <v>41617028</v>
      </c>
      <c r="G430" s="1056">
        <v>42215462</v>
      </c>
      <c r="H430" s="1056">
        <v>41617028</v>
      </c>
      <c r="I430" s="1056">
        <v>43295002</v>
      </c>
      <c r="J430" s="1056">
        <v>42215462</v>
      </c>
      <c r="K430" s="1056">
        <v>42696568</v>
      </c>
      <c r="L430" s="1056">
        <v>41617028</v>
      </c>
      <c r="M430" s="1056">
        <v>42215462</v>
      </c>
      <c r="N430" s="1056">
        <v>41617028</v>
      </c>
    </row>
    <row r="431" spans="1:14">
      <c r="A431" s="1049" t="s">
        <v>1584</v>
      </c>
      <c r="B431" s="1031" t="s">
        <v>838</v>
      </c>
      <c r="C431" s="1056">
        <v>102397164</v>
      </c>
      <c r="D431" s="1056">
        <v>101785594</v>
      </c>
      <c r="E431" s="1056">
        <v>102397164</v>
      </c>
      <c r="F431" s="1056">
        <v>101785594</v>
      </c>
      <c r="G431" s="1056">
        <v>101785594</v>
      </c>
      <c r="H431" s="1056">
        <v>101785594</v>
      </c>
      <c r="I431" s="1056">
        <v>102397164</v>
      </c>
      <c r="J431" s="1056">
        <v>101785594</v>
      </c>
      <c r="K431" s="1056">
        <v>102397164</v>
      </c>
      <c r="L431" s="1056">
        <v>101785594</v>
      </c>
      <c r="M431" s="1056">
        <v>101785594</v>
      </c>
      <c r="N431" s="1056">
        <v>101785594</v>
      </c>
    </row>
    <row r="432" spans="1:14">
      <c r="A432" s="1049" t="s">
        <v>1588</v>
      </c>
      <c r="B432" s="1031" t="s">
        <v>7510</v>
      </c>
      <c r="C432" s="1056">
        <v>4054627934</v>
      </c>
      <c r="D432" s="1056">
        <v>3986695788</v>
      </c>
      <c r="E432" s="1056">
        <v>4054627934</v>
      </c>
      <c r="F432" s="1056">
        <v>3986695788</v>
      </c>
      <c r="G432" s="1056">
        <v>3995891177</v>
      </c>
      <c r="H432" s="1056">
        <v>3995891177</v>
      </c>
      <c r="I432" s="1056">
        <v>4054627934</v>
      </c>
      <c r="J432" s="1056">
        <v>3986695788</v>
      </c>
      <c r="K432" s="1056">
        <v>4054627934</v>
      </c>
      <c r="L432" s="1056">
        <v>3986695788</v>
      </c>
      <c r="M432" s="1056">
        <v>3995891177</v>
      </c>
      <c r="N432" s="1056">
        <v>3995891177</v>
      </c>
    </row>
    <row r="433" spans="1:14">
      <c r="A433" s="1049" t="s">
        <v>1292</v>
      </c>
      <c r="B433" s="1031" t="s">
        <v>3010</v>
      </c>
      <c r="C433" s="1056">
        <v>3093911232</v>
      </c>
      <c r="D433" s="1056">
        <v>3023572090</v>
      </c>
      <c r="E433" s="1056">
        <v>3093911232</v>
      </c>
      <c r="F433" s="1056">
        <v>3023572090</v>
      </c>
      <c r="G433" s="1056">
        <v>3030252814</v>
      </c>
      <c r="H433" s="1056">
        <v>3030252814</v>
      </c>
      <c r="I433" s="1056">
        <v>3093911232</v>
      </c>
      <c r="J433" s="1056">
        <v>3023572090</v>
      </c>
      <c r="K433" s="1056">
        <v>3093911232</v>
      </c>
      <c r="L433" s="1056">
        <v>3023572090</v>
      </c>
      <c r="M433" s="1056">
        <v>3030252814</v>
      </c>
      <c r="N433" s="1056">
        <v>3030252814</v>
      </c>
    </row>
    <row r="434" spans="1:14">
      <c r="A434" s="1049" t="s">
        <v>1590</v>
      </c>
      <c r="B434" s="1031" t="s">
        <v>840</v>
      </c>
      <c r="C434" s="1056">
        <v>1566335790</v>
      </c>
      <c r="D434" s="1056">
        <v>1525128521</v>
      </c>
      <c r="E434" s="1056">
        <v>1566335790</v>
      </c>
      <c r="F434" s="1056">
        <v>1525128521</v>
      </c>
      <c r="G434" s="1056">
        <v>1537379658</v>
      </c>
      <c r="H434" s="1056">
        <v>1537379658</v>
      </c>
      <c r="I434" s="1056">
        <v>1566335790</v>
      </c>
      <c r="J434" s="1056">
        <v>1525128521</v>
      </c>
      <c r="K434" s="1056">
        <v>1566335790</v>
      </c>
      <c r="L434" s="1056">
        <v>1525128521</v>
      </c>
      <c r="M434" s="1056">
        <v>1537379658</v>
      </c>
      <c r="N434" s="1056">
        <v>1537379658</v>
      </c>
    </row>
    <row r="435" spans="1:14">
      <c r="A435" s="1049" t="s">
        <v>1864</v>
      </c>
      <c r="B435" s="1031" t="s">
        <v>7514</v>
      </c>
      <c r="C435" s="1056">
        <v>4586635627</v>
      </c>
      <c r="D435" s="1056">
        <v>4434162754</v>
      </c>
      <c r="E435" s="1056">
        <v>4586635627</v>
      </c>
      <c r="F435" s="1056">
        <v>4434162754</v>
      </c>
      <c r="G435" s="1056">
        <v>4443678589</v>
      </c>
      <c r="H435" s="1056">
        <v>4443678589</v>
      </c>
      <c r="I435" s="1056">
        <v>4586635627</v>
      </c>
      <c r="J435" s="1056">
        <v>4434162754</v>
      </c>
      <c r="K435" s="1056">
        <v>4586635627</v>
      </c>
      <c r="L435" s="1056">
        <v>4434162754</v>
      </c>
      <c r="M435" s="1056">
        <v>4443678589</v>
      </c>
      <c r="N435" s="1056">
        <v>4443678589</v>
      </c>
    </row>
    <row r="436" spans="1:14">
      <c r="A436" s="1049" t="s">
        <v>1592</v>
      </c>
      <c r="B436" s="1031" t="s">
        <v>841</v>
      </c>
      <c r="C436" s="1056">
        <v>1713859976</v>
      </c>
      <c r="D436" s="1056">
        <v>1706695136</v>
      </c>
      <c r="E436" s="1056">
        <v>1704731390</v>
      </c>
      <c r="F436" s="1056">
        <v>1697566550</v>
      </c>
      <c r="G436" s="1056">
        <v>1707101334</v>
      </c>
      <c r="H436" s="1056">
        <v>1697972748</v>
      </c>
      <c r="I436" s="1056">
        <v>1713859976</v>
      </c>
      <c r="J436" s="1056">
        <v>1706695136</v>
      </c>
      <c r="K436" s="1056">
        <v>1704731390</v>
      </c>
      <c r="L436" s="1056">
        <v>1697566550</v>
      </c>
      <c r="M436" s="1056">
        <v>1707101334</v>
      </c>
      <c r="N436" s="1056">
        <v>1697972748</v>
      </c>
    </row>
    <row r="437" spans="1:14">
      <c r="A437" s="1049" t="s">
        <v>1594</v>
      </c>
      <c r="B437" s="1031" t="s">
        <v>842</v>
      </c>
      <c r="C437" s="1056">
        <v>1247611527</v>
      </c>
      <c r="D437" s="1056">
        <v>1202848131</v>
      </c>
      <c r="E437" s="1056">
        <v>1247611527</v>
      </c>
      <c r="F437" s="1056">
        <v>1202848131</v>
      </c>
      <c r="G437" s="1056">
        <v>1222786450</v>
      </c>
      <c r="H437" s="1056">
        <v>1222786450</v>
      </c>
      <c r="I437" s="1056">
        <v>1247611527</v>
      </c>
      <c r="J437" s="1056">
        <v>1202848131</v>
      </c>
      <c r="K437" s="1056">
        <v>1247611527</v>
      </c>
      <c r="L437" s="1056">
        <v>1202848131</v>
      </c>
      <c r="M437" s="1056">
        <v>1222786450</v>
      </c>
      <c r="N437" s="1056">
        <v>1222786450</v>
      </c>
    </row>
    <row r="438" spans="1:14">
      <c r="A438" s="1049" t="s">
        <v>1596</v>
      </c>
      <c r="B438" s="1031" t="s">
        <v>843</v>
      </c>
      <c r="C438" s="1056">
        <v>664880880</v>
      </c>
      <c r="D438" s="1056">
        <v>626095920</v>
      </c>
      <c r="E438" s="1056">
        <v>621165089</v>
      </c>
      <c r="F438" s="1056">
        <v>582380129</v>
      </c>
      <c r="G438" s="1056">
        <v>633100166</v>
      </c>
      <c r="H438" s="1056">
        <v>589384375</v>
      </c>
      <c r="I438" s="1056">
        <v>664880880</v>
      </c>
      <c r="J438" s="1056">
        <v>626095920</v>
      </c>
      <c r="K438" s="1056">
        <v>621165089</v>
      </c>
      <c r="L438" s="1056">
        <v>582380129</v>
      </c>
      <c r="M438" s="1056">
        <v>633100166</v>
      </c>
      <c r="N438" s="1056">
        <v>589384375</v>
      </c>
    </row>
    <row r="439" spans="1:14">
      <c r="A439" s="1049" t="s">
        <v>1598</v>
      </c>
      <c r="B439" s="1031" t="s">
        <v>844</v>
      </c>
      <c r="C439" s="1056">
        <v>257471074</v>
      </c>
      <c r="D439" s="1056">
        <v>250996564</v>
      </c>
      <c r="E439" s="1056">
        <v>257471074</v>
      </c>
      <c r="F439" s="1056">
        <v>250996564</v>
      </c>
      <c r="G439" s="1056">
        <v>252584686</v>
      </c>
      <c r="H439" s="1056">
        <v>252584686</v>
      </c>
      <c r="I439" s="1056">
        <v>257471074</v>
      </c>
      <c r="J439" s="1056">
        <v>250996564</v>
      </c>
      <c r="K439" s="1056">
        <v>257471074</v>
      </c>
      <c r="L439" s="1056">
        <v>250996564</v>
      </c>
      <c r="M439" s="1056">
        <v>252584686</v>
      </c>
      <c r="N439" s="1056">
        <v>252584686</v>
      </c>
    </row>
    <row r="440" spans="1:14">
      <c r="A440" s="1049" t="s">
        <v>1600</v>
      </c>
      <c r="B440" s="1031" t="s">
        <v>845</v>
      </c>
      <c r="C440" s="1056">
        <v>552277521</v>
      </c>
      <c r="D440" s="1056">
        <v>534702315</v>
      </c>
      <c r="E440" s="1056">
        <v>527895202</v>
      </c>
      <c r="F440" s="1056">
        <v>510319996</v>
      </c>
      <c r="G440" s="1056">
        <v>537470402</v>
      </c>
      <c r="H440" s="1056">
        <v>513088083</v>
      </c>
      <c r="I440" s="1056">
        <v>552277521</v>
      </c>
      <c r="J440" s="1056">
        <v>534702315</v>
      </c>
      <c r="K440" s="1056">
        <v>527895202</v>
      </c>
      <c r="L440" s="1056">
        <v>510319996</v>
      </c>
      <c r="M440" s="1056">
        <v>537470402</v>
      </c>
      <c r="N440" s="1056">
        <v>513088083</v>
      </c>
    </row>
    <row r="441" spans="1:14">
      <c r="A441" s="1049" t="s">
        <v>5260</v>
      </c>
      <c r="B441" s="1031" t="s">
        <v>846</v>
      </c>
      <c r="C441" s="1056">
        <v>1086787851</v>
      </c>
      <c r="D441" s="1056">
        <v>1061872900</v>
      </c>
      <c r="E441" s="1056">
        <v>1086787851</v>
      </c>
      <c r="F441" s="1056">
        <v>1061872900</v>
      </c>
      <c r="G441" s="1056">
        <v>1074405019</v>
      </c>
      <c r="H441" s="1056">
        <v>1074405019</v>
      </c>
      <c r="I441" s="1056">
        <v>1086787851</v>
      </c>
      <c r="J441" s="1056">
        <v>1061872900</v>
      </c>
      <c r="K441" s="1056">
        <v>1086787851</v>
      </c>
      <c r="L441" s="1056">
        <v>1061872900</v>
      </c>
      <c r="M441" s="1056">
        <v>1074405019</v>
      </c>
      <c r="N441" s="1056">
        <v>1074405019</v>
      </c>
    </row>
    <row r="442" spans="1:14">
      <c r="A442" s="1049" t="s">
        <v>2415</v>
      </c>
      <c r="B442" s="1031" t="s">
        <v>5368</v>
      </c>
      <c r="C442" s="1056">
        <v>41949687</v>
      </c>
      <c r="D442" s="1056">
        <v>40185870</v>
      </c>
      <c r="E442" s="1056">
        <v>40977769</v>
      </c>
      <c r="F442" s="1056">
        <v>39213952</v>
      </c>
      <c r="G442" s="1056">
        <v>40322081</v>
      </c>
      <c r="H442" s="1056">
        <v>39350163</v>
      </c>
      <c r="I442" s="1056">
        <v>41949687</v>
      </c>
      <c r="J442" s="1056">
        <v>40185870</v>
      </c>
      <c r="K442" s="1056">
        <v>40977769</v>
      </c>
      <c r="L442" s="1056">
        <v>39213952</v>
      </c>
      <c r="M442" s="1056">
        <v>40322081</v>
      </c>
      <c r="N442" s="1056">
        <v>39350163</v>
      </c>
    </row>
    <row r="443" spans="1:14">
      <c r="A443" s="1049" t="s">
        <v>4973</v>
      </c>
      <c r="B443" s="1031" t="s">
        <v>328</v>
      </c>
      <c r="C443" s="1056">
        <v>39453730</v>
      </c>
      <c r="D443" s="1056">
        <v>37476060</v>
      </c>
      <c r="E443" s="1056">
        <v>39453730</v>
      </c>
      <c r="F443" s="1056">
        <v>37476060</v>
      </c>
      <c r="G443" s="1056">
        <v>37861541</v>
      </c>
      <c r="H443" s="1056">
        <v>37861541</v>
      </c>
      <c r="I443" s="1056">
        <v>39453730</v>
      </c>
      <c r="J443" s="1056">
        <v>37476060</v>
      </c>
      <c r="K443" s="1056">
        <v>39453730</v>
      </c>
      <c r="L443" s="1056">
        <v>37476060</v>
      </c>
      <c r="M443" s="1056">
        <v>37861541</v>
      </c>
      <c r="N443" s="1056">
        <v>37861541</v>
      </c>
    </row>
    <row r="444" spans="1:14">
      <c r="A444" s="1049" t="s">
        <v>5262</v>
      </c>
      <c r="B444" s="1031" t="s">
        <v>847</v>
      </c>
      <c r="C444" s="1056">
        <v>230361068</v>
      </c>
      <c r="D444" s="1056">
        <v>223826477</v>
      </c>
      <c r="E444" s="1056">
        <v>222976100</v>
      </c>
      <c r="F444" s="1056">
        <v>216441509</v>
      </c>
      <c r="G444" s="1056">
        <v>224859939</v>
      </c>
      <c r="H444" s="1056">
        <v>217474971</v>
      </c>
      <c r="I444" s="1056">
        <v>230361068</v>
      </c>
      <c r="J444" s="1056">
        <v>223826477</v>
      </c>
      <c r="K444" s="1056">
        <v>222976100</v>
      </c>
      <c r="L444" s="1056">
        <v>216441509</v>
      </c>
      <c r="M444" s="1056">
        <v>224859939</v>
      </c>
      <c r="N444" s="1056">
        <v>217474971</v>
      </c>
    </row>
    <row r="445" spans="1:14">
      <c r="A445" s="1049" t="s">
        <v>2054</v>
      </c>
      <c r="B445" s="1031" t="s">
        <v>7525</v>
      </c>
      <c r="C445" s="1056">
        <v>1135423035</v>
      </c>
      <c r="D445" s="1056">
        <v>1057588824</v>
      </c>
      <c r="E445" s="1056">
        <v>1135423035</v>
      </c>
      <c r="F445" s="1056">
        <v>1057588824</v>
      </c>
      <c r="G445" s="1056">
        <v>1057588824</v>
      </c>
      <c r="H445" s="1056">
        <v>1057588824</v>
      </c>
      <c r="I445" s="1056">
        <v>1135423035</v>
      </c>
      <c r="J445" s="1056">
        <v>1057588824</v>
      </c>
      <c r="K445" s="1056">
        <v>1135423035</v>
      </c>
      <c r="L445" s="1056">
        <v>1057588824</v>
      </c>
      <c r="M445" s="1056">
        <v>1057588824</v>
      </c>
      <c r="N445" s="1056">
        <v>1057588824</v>
      </c>
    </row>
    <row r="446" spans="1:14">
      <c r="A446" s="1049" t="s">
        <v>1519</v>
      </c>
      <c r="B446" s="1031" t="s">
        <v>3015</v>
      </c>
      <c r="C446" s="1056">
        <v>278481423</v>
      </c>
      <c r="D446" s="1056">
        <v>253350398</v>
      </c>
      <c r="E446" s="1056">
        <v>278481423</v>
      </c>
      <c r="F446" s="1056">
        <v>253350398</v>
      </c>
      <c r="G446" s="1056">
        <v>253350398</v>
      </c>
      <c r="H446" s="1056">
        <v>253350398</v>
      </c>
      <c r="I446" s="1056">
        <v>278481423</v>
      </c>
      <c r="J446" s="1056">
        <v>253350398</v>
      </c>
      <c r="K446" s="1056">
        <v>278481423</v>
      </c>
      <c r="L446" s="1056">
        <v>253350398</v>
      </c>
      <c r="M446" s="1056">
        <v>253350398</v>
      </c>
      <c r="N446" s="1056">
        <v>253350398</v>
      </c>
    </row>
    <row r="447" spans="1:14">
      <c r="A447" s="1049" t="s">
        <v>1521</v>
      </c>
      <c r="B447" s="1031" t="s">
        <v>7528</v>
      </c>
      <c r="C447" s="1056">
        <v>5247650232</v>
      </c>
      <c r="D447" s="1056">
        <v>5050292522</v>
      </c>
      <c r="E447" s="1056">
        <v>5247650232</v>
      </c>
      <c r="F447" s="1056">
        <v>5050292522</v>
      </c>
      <c r="G447" s="1056">
        <v>5050292522</v>
      </c>
      <c r="H447" s="1056">
        <v>5050292522</v>
      </c>
      <c r="I447" s="1056">
        <v>5247650232</v>
      </c>
      <c r="J447" s="1056">
        <v>5050292522</v>
      </c>
      <c r="K447" s="1056">
        <v>5247650232</v>
      </c>
      <c r="L447" s="1056">
        <v>5050292522</v>
      </c>
      <c r="M447" s="1056">
        <v>5050292522</v>
      </c>
      <c r="N447" s="1056">
        <v>5050292522</v>
      </c>
    </row>
    <row r="448" spans="1:14">
      <c r="A448" s="1049" t="s">
        <v>1866</v>
      </c>
      <c r="B448" s="1031" t="s">
        <v>3845</v>
      </c>
      <c r="C448" s="1056">
        <v>421365248</v>
      </c>
      <c r="D448" s="1056">
        <v>410133316</v>
      </c>
      <c r="E448" s="1056">
        <v>421365248</v>
      </c>
      <c r="F448" s="1056">
        <v>410133316</v>
      </c>
      <c r="G448" s="1056">
        <v>410133316</v>
      </c>
      <c r="H448" s="1056">
        <v>410133316</v>
      </c>
      <c r="I448" s="1056">
        <v>421365248</v>
      </c>
      <c r="J448" s="1056">
        <v>410133316</v>
      </c>
      <c r="K448" s="1056">
        <v>421365248</v>
      </c>
      <c r="L448" s="1056">
        <v>410133316</v>
      </c>
      <c r="M448" s="1056">
        <v>410133316</v>
      </c>
      <c r="N448" s="1056">
        <v>410133316</v>
      </c>
    </row>
    <row r="449" spans="1:14">
      <c r="A449" s="1049" t="s">
        <v>6167</v>
      </c>
      <c r="B449" s="1031" t="s">
        <v>6073</v>
      </c>
      <c r="C449" s="1056">
        <v>6247859430</v>
      </c>
      <c r="D449" s="1056">
        <v>6056380889</v>
      </c>
      <c r="E449" s="1056">
        <v>6247859430</v>
      </c>
      <c r="F449" s="1056">
        <v>6056380889</v>
      </c>
      <c r="G449" s="1056">
        <v>6056380889</v>
      </c>
      <c r="H449" s="1056">
        <v>6056380889</v>
      </c>
      <c r="I449" s="1056">
        <v>6247859430</v>
      </c>
      <c r="J449" s="1056">
        <v>6056380889</v>
      </c>
      <c r="K449" s="1056">
        <v>6247859430</v>
      </c>
      <c r="L449" s="1056">
        <v>6056380889</v>
      </c>
      <c r="M449" s="1056">
        <v>6056380889</v>
      </c>
      <c r="N449" s="1056">
        <v>6056380889</v>
      </c>
    </row>
    <row r="450" spans="1:14">
      <c r="A450" s="1049" t="s">
        <v>6170</v>
      </c>
      <c r="B450" s="1031" t="s">
        <v>495</v>
      </c>
      <c r="C450" s="1056">
        <v>488826984</v>
      </c>
      <c r="D450" s="1056">
        <v>459679504</v>
      </c>
      <c r="E450" s="1056">
        <v>488826984</v>
      </c>
      <c r="F450" s="1056">
        <v>459679504</v>
      </c>
      <c r="G450" s="1056">
        <v>459679504</v>
      </c>
      <c r="H450" s="1056">
        <v>459679504</v>
      </c>
      <c r="I450" s="1056">
        <v>488826984</v>
      </c>
      <c r="J450" s="1056">
        <v>459679504</v>
      </c>
      <c r="K450" s="1056">
        <v>488826984</v>
      </c>
      <c r="L450" s="1056">
        <v>459679504</v>
      </c>
      <c r="M450" s="1056">
        <v>459679504</v>
      </c>
      <c r="N450" s="1056">
        <v>459679504</v>
      </c>
    </row>
    <row r="451" spans="1:14">
      <c r="A451" s="1049" t="s">
        <v>6176</v>
      </c>
      <c r="B451" s="1031" t="s">
        <v>7533</v>
      </c>
      <c r="C451" s="1056">
        <v>1724599187</v>
      </c>
      <c r="D451" s="1056">
        <v>1627204813</v>
      </c>
      <c r="E451" s="1056">
        <v>1724599187</v>
      </c>
      <c r="F451" s="1056">
        <v>1627204813</v>
      </c>
      <c r="G451" s="1056">
        <v>1627204813</v>
      </c>
      <c r="H451" s="1056">
        <v>1627204813</v>
      </c>
      <c r="I451" s="1056">
        <v>1724599187</v>
      </c>
      <c r="J451" s="1056">
        <v>1627204813</v>
      </c>
      <c r="K451" s="1056">
        <v>1724599187</v>
      </c>
      <c r="L451" s="1056">
        <v>1627204813</v>
      </c>
      <c r="M451" s="1056">
        <v>1627204813</v>
      </c>
      <c r="N451" s="1056">
        <v>1627204813</v>
      </c>
    </row>
    <row r="452" spans="1:14">
      <c r="A452" s="1049" t="s">
        <v>5125</v>
      </c>
      <c r="B452" s="1031" t="s">
        <v>340</v>
      </c>
      <c r="C452" s="1056">
        <v>3828684233</v>
      </c>
      <c r="D452" s="1056">
        <v>3649840467</v>
      </c>
      <c r="E452" s="1056">
        <v>3828684233</v>
      </c>
      <c r="F452" s="1056">
        <v>3649840467</v>
      </c>
      <c r="G452" s="1056">
        <v>3649840467</v>
      </c>
      <c r="H452" s="1056">
        <v>3649840467</v>
      </c>
      <c r="I452" s="1056">
        <v>3828684233</v>
      </c>
      <c r="J452" s="1056">
        <v>3649840467</v>
      </c>
      <c r="K452" s="1056">
        <v>3828684233</v>
      </c>
      <c r="L452" s="1056">
        <v>3649840467</v>
      </c>
      <c r="M452" s="1056">
        <v>3649840467</v>
      </c>
      <c r="N452" s="1056">
        <v>3649840467</v>
      </c>
    </row>
    <row r="453" spans="1:14">
      <c r="A453" s="1049" t="s">
        <v>648</v>
      </c>
      <c r="B453" s="1031" t="s">
        <v>353</v>
      </c>
      <c r="C453" s="1056">
        <v>142205516</v>
      </c>
      <c r="D453" s="1056">
        <v>132610845</v>
      </c>
      <c r="E453" s="1056">
        <v>142205516</v>
      </c>
      <c r="F453" s="1056">
        <v>132610845</v>
      </c>
      <c r="G453" s="1056">
        <v>132610845</v>
      </c>
      <c r="H453" s="1056">
        <v>132610845</v>
      </c>
      <c r="I453" s="1056">
        <v>142205516</v>
      </c>
      <c r="J453" s="1056">
        <v>132610845</v>
      </c>
      <c r="K453" s="1056">
        <v>142205516</v>
      </c>
      <c r="L453" s="1056">
        <v>132610845</v>
      </c>
      <c r="M453" s="1056">
        <v>132610845</v>
      </c>
      <c r="N453" s="1056">
        <v>132610845</v>
      </c>
    </row>
    <row r="454" spans="1:14">
      <c r="A454" s="1049" t="s">
        <v>780</v>
      </c>
      <c r="B454" s="1031" t="s">
        <v>848</v>
      </c>
      <c r="C454" s="1056">
        <v>2736368237</v>
      </c>
      <c r="D454" s="1056">
        <v>2663389732</v>
      </c>
      <c r="E454" s="1056">
        <v>2736368237</v>
      </c>
      <c r="F454" s="1056">
        <v>2663389732</v>
      </c>
      <c r="G454" s="1056">
        <v>2663389732</v>
      </c>
      <c r="H454" s="1056">
        <v>2663389732</v>
      </c>
      <c r="I454" s="1056">
        <v>2736368237</v>
      </c>
      <c r="J454" s="1056">
        <v>2663389732</v>
      </c>
      <c r="K454" s="1056">
        <v>2736368237</v>
      </c>
      <c r="L454" s="1056">
        <v>2663389732</v>
      </c>
      <c r="M454" s="1056">
        <v>2663389732</v>
      </c>
      <c r="N454" s="1056">
        <v>2663389732</v>
      </c>
    </row>
    <row r="455" spans="1:14">
      <c r="A455" s="1049" t="s">
        <v>6038</v>
      </c>
      <c r="B455" s="1031" t="s">
        <v>2153</v>
      </c>
      <c r="C455" s="1056">
        <v>2115150140</v>
      </c>
      <c r="D455" s="1056">
        <v>1983503472</v>
      </c>
      <c r="E455" s="1056">
        <v>2115150140</v>
      </c>
      <c r="F455" s="1056">
        <v>1983503472</v>
      </c>
      <c r="G455" s="1056">
        <v>1983503472</v>
      </c>
      <c r="H455" s="1056">
        <v>1983503472</v>
      </c>
      <c r="I455" s="1056">
        <v>2115150140</v>
      </c>
      <c r="J455" s="1056">
        <v>1983503472</v>
      </c>
      <c r="K455" s="1056">
        <v>2115150140</v>
      </c>
      <c r="L455" s="1056">
        <v>1983503472</v>
      </c>
      <c r="M455" s="1056">
        <v>1983503472</v>
      </c>
      <c r="N455" s="1056">
        <v>1983503472</v>
      </c>
    </row>
    <row r="456" spans="1:14">
      <c r="A456" s="1049" t="s">
        <v>3096</v>
      </c>
      <c r="B456" s="1031" t="s">
        <v>4065</v>
      </c>
      <c r="C456" s="1056">
        <v>2013814037</v>
      </c>
      <c r="D456" s="1056">
        <v>1913153227</v>
      </c>
      <c r="E456" s="1056">
        <v>2013814037</v>
      </c>
      <c r="F456" s="1056">
        <v>1913153227</v>
      </c>
      <c r="G456" s="1056">
        <v>1913153227</v>
      </c>
      <c r="H456" s="1056">
        <v>1913153227</v>
      </c>
      <c r="I456" s="1056">
        <v>2013814037</v>
      </c>
      <c r="J456" s="1056">
        <v>1913153227</v>
      </c>
      <c r="K456" s="1056">
        <v>2013814037</v>
      </c>
      <c r="L456" s="1056">
        <v>1913153227</v>
      </c>
      <c r="M456" s="1056">
        <v>1913153227</v>
      </c>
      <c r="N456" s="1056">
        <v>1913153227</v>
      </c>
    </row>
    <row r="457" spans="1:14">
      <c r="A457" s="1049" t="s">
        <v>6040</v>
      </c>
      <c r="B457" s="1031" t="s">
        <v>184</v>
      </c>
      <c r="C457" s="1056">
        <v>101907680</v>
      </c>
      <c r="D457" s="1056">
        <v>98150997</v>
      </c>
      <c r="E457" s="1056">
        <v>101907680</v>
      </c>
      <c r="F457" s="1056">
        <v>98150997</v>
      </c>
      <c r="G457" s="1056">
        <v>98150997</v>
      </c>
      <c r="H457" s="1056">
        <v>98150997</v>
      </c>
      <c r="I457" s="1056">
        <v>101907680</v>
      </c>
      <c r="J457" s="1056">
        <v>98150997</v>
      </c>
      <c r="K457" s="1056">
        <v>101907680</v>
      </c>
      <c r="L457" s="1056">
        <v>98150997</v>
      </c>
      <c r="M457" s="1056">
        <v>98150997</v>
      </c>
      <c r="N457" s="1056">
        <v>98150997</v>
      </c>
    </row>
    <row r="458" spans="1:14">
      <c r="A458" s="1049" t="s">
        <v>3097</v>
      </c>
      <c r="B458" s="1031" t="s">
        <v>503</v>
      </c>
      <c r="C458" s="1056">
        <v>85370832</v>
      </c>
      <c r="D458" s="1056">
        <v>80450171</v>
      </c>
      <c r="E458" s="1056">
        <v>85370832</v>
      </c>
      <c r="F458" s="1056">
        <v>80450171</v>
      </c>
      <c r="G458" s="1056">
        <v>80450171</v>
      </c>
      <c r="H458" s="1056">
        <v>80450171</v>
      </c>
      <c r="I458" s="1056">
        <v>85370832</v>
      </c>
      <c r="J458" s="1056">
        <v>80450171</v>
      </c>
      <c r="K458" s="1056">
        <v>85370832</v>
      </c>
      <c r="L458" s="1056">
        <v>80450171</v>
      </c>
      <c r="M458" s="1056">
        <v>80450171</v>
      </c>
      <c r="N458" s="1056">
        <v>80450171</v>
      </c>
    </row>
    <row r="459" spans="1:14">
      <c r="A459" s="1049" t="s">
        <v>2419</v>
      </c>
      <c r="B459" s="1031" t="s">
        <v>5372</v>
      </c>
      <c r="C459" s="1056">
        <v>461088465</v>
      </c>
      <c r="D459" s="1056">
        <v>439184789</v>
      </c>
      <c r="E459" s="1056">
        <v>461088465</v>
      </c>
      <c r="F459" s="1056">
        <v>439184789</v>
      </c>
      <c r="G459" s="1056">
        <v>439184789</v>
      </c>
      <c r="H459" s="1056">
        <v>439184789</v>
      </c>
      <c r="I459" s="1056">
        <v>461088465</v>
      </c>
      <c r="J459" s="1056">
        <v>439184789</v>
      </c>
      <c r="K459" s="1056">
        <v>461088465</v>
      </c>
      <c r="L459" s="1056">
        <v>439184789</v>
      </c>
      <c r="M459" s="1056">
        <v>439184789</v>
      </c>
      <c r="N459" s="1056">
        <v>439184789</v>
      </c>
    </row>
    <row r="460" spans="1:14">
      <c r="A460" s="1049" t="s">
        <v>2608</v>
      </c>
      <c r="B460" s="1031" t="s">
        <v>324</v>
      </c>
      <c r="C460" s="1056">
        <v>88004256</v>
      </c>
      <c r="D460" s="1056">
        <v>85210075</v>
      </c>
      <c r="E460" s="1056">
        <v>88004256</v>
      </c>
      <c r="F460" s="1056">
        <v>85210075</v>
      </c>
      <c r="G460" s="1056">
        <v>85626389</v>
      </c>
      <c r="H460" s="1056">
        <v>85626389</v>
      </c>
      <c r="I460" s="1056">
        <v>88004256</v>
      </c>
      <c r="J460" s="1056">
        <v>85210075</v>
      </c>
      <c r="K460" s="1056">
        <v>88004256</v>
      </c>
      <c r="L460" s="1056">
        <v>85210075</v>
      </c>
      <c r="M460" s="1056">
        <v>85626389</v>
      </c>
      <c r="N460" s="1056">
        <v>85626389</v>
      </c>
    </row>
    <row r="461" spans="1:14">
      <c r="A461" s="1049" t="s">
        <v>448</v>
      </c>
      <c r="B461" s="1031" t="s">
        <v>6096</v>
      </c>
      <c r="C461" s="1056">
        <v>68430665</v>
      </c>
      <c r="D461" s="1056">
        <v>66101642</v>
      </c>
      <c r="E461" s="1056">
        <v>68430665</v>
      </c>
      <c r="F461" s="1056">
        <v>66101642</v>
      </c>
      <c r="G461" s="1056">
        <v>66476179</v>
      </c>
      <c r="H461" s="1056">
        <v>66476179</v>
      </c>
      <c r="I461" s="1056">
        <v>68430665</v>
      </c>
      <c r="J461" s="1056">
        <v>66101642</v>
      </c>
      <c r="K461" s="1056">
        <v>68430665</v>
      </c>
      <c r="L461" s="1056">
        <v>66101642</v>
      </c>
      <c r="M461" s="1056">
        <v>66476179</v>
      </c>
      <c r="N461" s="1056">
        <v>66476179</v>
      </c>
    </row>
    <row r="462" spans="1:14">
      <c r="A462" s="1049" t="s">
        <v>243</v>
      </c>
      <c r="B462" s="1031" t="s">
        <v>5246</v>
      </c>
      <c r="C462" s="1056">
        <v>79136649</v>
      </c>
      <c r="D462" s="1056">
        <v>75542500</v>
      </c>
      <c r="E462" s="1056">
        <v>79136649</v>
      </c>
      <c r="F462" s="1056">
        <v>75542500</v>
      </c>
      <c r="G462" s="1056">
        <v>76300204</v>
      </c>
      <c r="H462" s="1056">
        <v>76300204</v>
      </c>
      <c r="I462" s="1056">
        <v>79136649</v>
      </c>
      <c r="J462" s="1056">
        <v>75542500</v>
      </c>
      <c r="K462" s="1056">
        <v>79136649</v>
      </c>
      <c r="L462" s="1056">
        <v>75542500</v>
      </c>
      <c r="M462" s="1056">
        <v>76300204</v>
      </c>
      <c r="N462" s="1056">
        <v>76300204</v>
      </c>
    </row>
    <row r="463" spans="1:14">
      <c r="A463" s="1049" t="s">
        <v>1868</v>
      </c>
      <c r="B463" s="1031" t="s">
        <v>3847</v>
      </c>
      <c r="C463" s="1056">
        <v>552350538</v>
      </c>
      <c r="D463" s="1056">
        <v>534111544</v>
      </c>
      <c r="E463" s="1056">
        <v>552350538</v>
      </c>
      <c r="F463" s="1056">
        <v>534111544</v>
      </c>
      <c r="G463" s="1056">
        <v>537198991</v>
      </c>
      <c r="H463" s="1056">
        <v>537198991</v>
      </c>
      <c r="I463" s="1056">
        <v>552350538</v>
      </c>
      <c r="J463" s="1056">
        <v>534111544</v>
      </c>
      <c r="K463" s="1056">
        <v>552350538</v>
      </c>
      <c r="L463" s="1056">
        <v>534111544</v>
      </c>
      <c r="M463" s="1056">
        <v>537198991</v>
      </c>
      <c r="N463" s="1056">
        <v>537198991</v>
      </c>
    </row>
    <row r="464" spans="1:14">
      <c r="A464" s="1049" t="s">
        <v>3098</v>
      </c>
      <c r="B464" s="1031" t="s">
        <v>3852</v>
      </c>
      <c r="C464" s="1056">
        <v>68250686</v>
      </c>
      <c r="D464" s="1056">
        <v>64152147</v>
      </c>
      <c r="E464" s="1056">
        <v>68250686</v>
      </c>
      <c r="F464" s="1056">
        <v>64152147</v>
      </c>
      <c r="G464" s="1056">
        <v>64922731</v>
      </c>
      <c r="H464" s="1056">
        <v>64922731</v>
      </c>
      <c r="I464" s="1056">
        <v>68250686</v>
      </c>
      <c r="J464" s="1056">
        <v>64152147</v>
      </c>
      <c r="K464" s="1056">
        <v>68250686</v>
      </c>
      <c r="L464" s="1056">
        <v>64152147</v>
      </c>
      <c r="M464" s="1056">
        <v>64922731</v>
      </c>
      <c r="N464" s="1056">
        <v>64922731</v>
      </c>
    </row>
    <row r="465" spans="1:14">
      <c r="A465" s="1049" t="s">
        <v>6022</v>
      </c>
      <c r="B465" s="1031" t="s">
        <v>1907</v>
      </c>
      <c r="C465" s="1056">
        <v>173378637</v>
      </c>
      <c r="D465" s="1056">
        <v>166338267</v>
      </c>
      <c r="E465" s="1056">
        <v>173378637</v>
      </c>
      <c r="F465" s="1056">
        <v>166338267</v>
      </c>
      <c r="G465" s="1056">
        <v>167136528</v>
      </c>
      <c r="H465" s="1056">
        <v>167136528</v>
      </c>
      <c r="I465" s="1056">
        <v>173378637</v>
      </c>
      <c r="J465" s="1056">
        <v>166338267</v>
      </c>
      <c r="K465" s="1056">
        <v>173378637</v>
      </c>
      <c r="L465" s="1056">
        <v>166338267</v>
      </c>
      <c r="M465" s="1056">
        <v>167136528</v>
      </c>
      <c r="N465" s="1056">
        <v>167136528</v>
      </c>
    </row>
    <row r="466" spans="1:14">
      <c r="A466" s="1049" t="s">
        <v>2610</v>
      </c>
      <c r="B466" s="1031" t="s">
        <v>326</v>
      </c>
      <c r="C466" s="1056">
        <v>42666089</v>
      </c>
      <c r="D466" s="1056">
        <v>41445141</v>
      </c>
      <c r="E466" s="1056">
        <v>42666089</v>
      </c>
      <c r="F466" s="1056">
        <v>41445141</v>
      </c>
      <c r="G466" s="1056">
        <v>41782918</v>
      </c>
      <c r="H466" s="1056">
        <v>41782918</v>
      </c>
      <c r="I466" s="1056">
        <v>42666089</v>
      </c>
      <c r="J466" s="1056">
        <v>41445141</v>
      </c>
      <c r="K466" s="1056">
        <v>42666089</v>
      </c>
      <c r="L466" s="1056">
        <v>41445141</v>
      </c>
      <c r="M466" s="1056">
        <v>41782918</v>
      </c>
      <c r="N466" s="1056">
        <v>41782918</v>
      </c>
    </row>
    <row r="467" spans="1:14">
      <c r="A467" s="1049" t="s">
        <v>2612</v>
      </c>
      <c r="B467" s="1031" t="s">
        <v>504</v>
      </c>
      <c r="C467" s="1056">
        <v>27301668</v>
      </c>
      <c r="D467" s="1056">
        <v>25408078</v>
      </c>
      <c r="E467" s="1056">
        <v>27301668</v>
      </c>
      <c r="F467" s="1056">
        <v>25408078</v>
      </c>
      <c r="G467" s="1056">
        <v>25648407</v>
      </c>
      <c r="H467" s="1056">
        <v>25648407</v>
      </c>
      <c r="I467" s="1056">
        <v>27301668</v>
      </c>
      <c r="J467" s="1056">
        <v>25408078</v>
      </c>
      <c r="K467" s="1056">
        <v>27301668</v>
      </c>
      <c r="L467" s="1056">
        <v>25408078</v>
      </c>
      <c r="M467" s="1056">
        <v>25648407</v>
      </c>
      <c r="N467" s="1056">
        <v>25648407</v>
      </c>
    </row>
    <row r="468" spans="1:14">
      <c r="A468" s="1049" t="s">
        <v>782</v>
      </c>
      <c r="B468" s="1031" t="s">
        <v>849</v>
      </c>
      <c r="C468" s="1056">
        <v>558943648</v>
      </c>
      <c r="D468" s="1056">
        <v>536111094</v>
      </c>
      <c r="E468" s="1056">
        <v>558943648</v>
      </c>
      <c r="F468" s="1056">
        <v>536111094</v>
      </c>
      <c r="G468" s="1056">
        <v>542786673</v>
      </c>
      <c r="H468" s="1056">
        <v>542786673</v>
      </c>
      <c r="I468" s="1056">
        <v>558943648</v>
      </c>
      <c r="J468" s="1056">
        <v>536111094</v>
      </c>
      <c r="K468" s="1056">
        <v>558943648</v>
      </c>
      <c r="L468" s="1056">
        <v>536111094</v>
      </c>
      <c r="M468" s="1056">
        <v>542786673</v>
      </c>
      <c r="N468" s="1056">
        <v>542786673</v>
      </c>
    </row>
    <row r="469" spans="1:14">
      <c r="A469" s="1049" t="s">
        <v>2614</v>
      </c>
      <c r="B469" s="1031" t="s">
        <v>7686</v>
      </c>
      <c r="C469" s="1056">
        <v>72568126</v>
      </c>
      <c r="D469" s="1056">
        <v>69468077</v>
      </c>
      <c r="E469" s="1056">
        <v>72568126</v>
      </c>
      <c r="F469" s="1056">
        <v>69468077</v>
      </c>
      <c r="G469" s="1056">
        <v>69891568</v>
      </c>
      <c r="H469" s="1056">
        <v>69891568</v>
      </c>
      <c r="I469" s="1056">
        <v>72568126</v>
      </c>
      <c r="J469" s="1056">
        <v>69468077</v>
      </c>
      <c r="K469" s="1056">
        <v>72568126</v>
      </c>
      <c r="L469" s="1056">
        <v>69468077</v>
      </c>
      <c r="M469" s="1056">
        <v>69891568</v>
      </c>
      <c r="N469" s="1056">
        <v>69891568</v>
      </c>
    </row>
    <row r="470" spans="1:14">
      <c r="A470" s="1049" t="s">
        <v>2468</v>
      </c>
      <c r="B470" s="1031" t="s">
        <v>7662</v>
      </c>
      <c r="C470" s="1056">
        <v>111119211</v>
      </c>
      <c r="D470" s="1056">
        <v>107278275</v>
      </c>
      <c r="E470" s="1056">
        <v>111119211</v>
      </c>
      <c r="F470" s="1056">
        <v>107278275</v>
      </c>
      <c r="G470" s="1056">
        <v>107645253</v>
      </c>
      <c r="H470" s="1056">
        <v>107645253</v>
      </c>
      <c r="I470" s="1056">
        <v>111119211</v>
      </c>
      <c r="J470" s="1056">
        <v>107278275</v>
      </c>
      <c r="K470" s="1056">
        <v>111119211</v>
      </c>
      <c r="L470" s="1056">
        <v>107278275</v>
      </c>
      <c r="M470" s="1056">
        <v>107645253</v>
      </c>
      <c r="N470" s="1056">
        <v>107645253</v>
      </c>
    </row>
    <row r="471" spans="1:14">
      <c r="A471" s="1049" t="s">
        <v>2616</v>
      </c>
      <c r="B471" s="1031" t="s">
        <v>336</v>
      </c>
      <c r="C471" s="1056">
        <v>25073749</v>
      </c>
      <c r="D471" s="1056">
        <v>23786875</v>
      </c>
      <c r="E471" s="1056">
        <v>25073749</v>
      </c>
      <c r="F471" s="1056">
        <v>23786875</v>
      </c>
      <c r="G471" s="1056">
        <v>23910978</v>
      </c>
      <c r="H471" s="1056">
        <v>23910978</v>
      </c>
      <c r="I471" s="1056">
        <v>25073749</v>
      </c>
      <c r="J471" s="1056">
        <v>23786875</v>
      </c>
      <c r="K471" s="1056">
        <v>25073749</v>
      </c>
      <c r="L471" s="1056">
        <v>23786875</v>
      </c>
      <c r="M471" s="1056">
        <v>23910978</v>
      </c>
      <c r="N471" s="1056">
        <v>23910978</v>
      </c>
    </row>
    <row r="472" spans="1:14">
      <c r="A472" s="1049" t="s">
        <v>784</v>
      </c>
      <c r="B472" s="1031" t="s">
        <v>850</v>
      </c>
      <c r="C472" s="1056">
        <v>99508281</v>
      </c>
      <c r="D472" s="1056">
        <v>97498515</v>
      </c>
      <c r="E472" s="1056">
        <v>98854360</v>
      </c>
      <c r="F472" s="1056">
        <v>96844594</v>
      </c>
      <c r="G472" s="1056">
        <v>97498515</v>
      </c>
      <c r="H472" s="1056">
        <v>96844594</v>
      </c>
      <c r="I472" s="1056">
        <v>99508281</v>
      </c>
      <c r="J472" s="1056">
        <v>97498515</v>
      </c>
      <c r="K472" s="1056">
        <v>98854360</v>
      </c>
      <c r="L472" s="1056">
        <v>96844594</v>
      </c>
      <c r="M472" s="1056">
        <v>97498515</v>
      </c>
      <c r="N472" s="1056">
        <v>96844594</v>
      </c>
    </row>
    <row r="473" spans="1:14">
      <c r="A473" s="1049" t="s">
        <v>786</v>
      </c>
      <c r="B473" s="1031" t="s">
        <v>7109</v>
      </c>
      <c r="C473" s="1056">
        <v>1868653319</v>
      </c>
      <c r="D473" s="1056">
        <v>1838481369</v>
      </c>
      <c r="E473" s="1056">
        <v>1868653319</v>
      </c>
      <c r="F473" s="1056">
        <v>1838481369</v>
      </c>
      <c r="G473" s="1056">
        <v>1838481369</v>
      </c>
      <c r="H473" s="1056">
        <v>1838481369</v>
      </c>
      <c r="I473" s="1056">
        <v>1868653319</v>
      </c>
      <c r="J473" s="1056">
        <v>1838481369</v>
      </c>
      <c r="K473" s="1056">
        <v>1868653319</v>
      </c>
      <c r="L473" s="1056">
        <v>1838481369</v>
      </c>
      <c r="M473" s="1056">
        <v>1838481369</v>
      </c>
      <c r="N473" s="1056">
        <v>1838481369</v>
      </c>
    </row>
    <row r="474" spans="1:14">
      <c r="A474" s="1049" t="s">
        <v>788</v>
      </c>
      <c r="B474" s="1031" t="s">
        <v>7110</v>
      </c>
      <c r="C474" s="1056">
        <v>90330366</v>
      </c>
      <c r="D474" s="1056">
        <v>87488527</v>
      </c>
      <c r="E474" s="1056">
        <v>90330366</v>
      </c>
      <c r="F474" s="1056">
        <v>87488527</v>
      </c>
      <c r="G474" s="1056">
        <v>87488527</v>
      </c>
      <c r="H474" s="1056">
        <v>87488527</v>
      </c>
      <c r="I474" s="1056">
        <v>90330366</v>
      </c>
      <c r="J474" s="1056">
        <v>87488527</v>
      </c>
      <c r="K474" s="1056">
        <v>90330366</v>
      </c>
      <c r="L474" s="1056">
        <v>87488527</v>
      </c>
      <c r="M474" s="1056">
        <v>87488527</v>
      </c>
      <c r="N474" s="1056">
        <v>87488527</v>
      </c>
    </row>
    <row r="475" spans="1:14">
      <c r="A475" s="1049" t="s">
        <v>969</v>
      </c>
      <c r="B475" s="1031" t="s">
        <v>2344</v>
      </c>
      <c r="C475" s="1056">
        <v>141277849</v>
      </c>
      <c r="D475" s="1056">
        <v>137395694</v>
      </c>
      <c r="E475" s="1056">
        <v>141277849</v>
      </c>
      <c r="F475" s="1056">
        <v>137395694</v>
      </c>
      <c r="G475" s="1056">
        <v>137395694</v>
      </c>
      <c r="H475" s="1056">
        <v>137395694</v>
      </c>
      <c r="I475" s="1056">
        <v>141277849</v>
      </c>
      <c r="J475" s="1056">
        <v>137395694</v>
      </c>
      <c r="K475" s="1056">
        <v>141277849</v>
      </c>
      <c r="L475" s="1056">
        <v>137395694</v>
      </c>
      <c r="M475" s="1056">
        <v>137395694</v>
      </c>
      <c r="N475" s="1056">
        <v>137395694</v>
      </c>
    </row>
    <row r="476" spans="1:14">
      <c r="A476" s="1049" t="s">
        <v>790</v>
      </c>
      <c r="B476" s="1031" t="s">
        <v>7111</v>
      </c>
      <c r="C476" s="1056">
        <v>1583847906</v>
      </c>
      <c r="D476" s="1056">
        <v>1581030292</v>
      </c>
      <c r="E476" s="1056">
        <v>1581658795</v>
      </c>
      <c r="F476" s="1056">
        <v>1578841181</v>
      </c>
      <c r="G476" s="1056">
        <v>1581030292</v>
      </c>
      <c r="H476" s="1056">
        <v>1578841181</v>
      </c>
      <c r="I476" s="1056">
        <v>1583847906</v>
      </c>
      <c r="J476" s="1056">
        <v>1581030292</v>
      </c>
      <c r="K476" s="1056">
        <v>1581658795</v>
      </c>
      <c r="L476" s="1056">
        <v>1578841181</v>
      </c>
      <c r="M476" s="1056">
        <v>1581030292</v>
      </c>
      <c r="N476" s="1056">
        <v>1578841181</v>
      </c>
    </row>
    <row r="477" spans="1:14">
      <c r="A477" s="1049" t="s">
        <v>792</v>
      </c>
      <c r="B477" s="1031" t="s">
        <v>7112</v>
      </c>
      <c r="C477" s="1056">
        <v>81387472</v>
      </c>
      <c r="D477" s="1056">
        <v>80461622</v>
      </c>
      <c r="E477" s="1056">
        <v>81387472</v>
      </c>
      <c r="F477" s="1056">
        <v>80461622</v>
      </c>
      <c r="G477" s="1056">
        <v>80461622</v>
      </c>
      <c r="H477" s="1056">
        <v>80461622</v>
      </c>
      <c r="I477" s="1056">
        <v>81387472</v>
      </c>
      <c r="J477" s="1056">
        <v>80461622</v>
      </c>
      <c r="K477" s="1056">
        <v>81387472</v>
      </c>
      <c r="L477" s="1056">
        <v>80461622</v>
      </c>
      <c r="M477" s="1056">
        <v>80461622</v>
      </c>
      <c r="N477" s="1056">
        <v>80461622</v>
      </c>
    </row>
    <row r="478" spans="1:14">
      <c r="A478" s="1049" t="s">
        <v>794</v>
      </c>
      <c r="B478" s="1031" t="s">
        <v>7113</v>
      </c>
      <c r="C478" s="1056">
        <v>4645227560</v>
      </c>
      <c r="D478" s="1056">
        <v>4536764593</v>
      </c>
      <c r="E478" s="1056">
        <v>4645227560</v>
      </c>
      <c r="F478" s="1056">
        <v>4536764593</v>
      </c>
      <c r="G478" s="1056">
        <v>4629548703</v>
      </c>
      <c r="H478" s="1056">
        <v>4629548703</v>
      </c>
      <c r="I478" s="1056">
        <v>4645227560</v>
      </c>
      <c r="J478" s="1056">
        <v>4536764593</v>
      </c>
      <c r="K478" s="1056">
        <v>4645227560</v>
      </c>
      <c r="L478" s="1056">
        <v>4536764593</v>
      </c>
      <c r="M478" s="1056">
        <v>4629548703</v>
      </c>
      <c r="N478" s="1056">
        <v>4629548703</v>
      </c>
    </row>
    <row r="479" spans="1:14">
      <c r="A479" s="1049" t="s">
        <v>2991</v>
      </c>
      <c r="B479" s="1031" t="s">
        <v>193</v>
      </c>
      <c r="C479" s="1056">
        <v>173391136</v>
      </c>
      <c r="D479" s="1056">
        <v>169279253</v>
      </c>
      <c r="E479" s="1056">
        <v>173391136</v>
      </c>
      <c r="F479" s="1056">
        <v>169279253</v>
      </c>
      <c r="G479" s="1056">
        <v>170347997</v>
      </c>
      <c r="H479" s="1056">
        <v>170347997</v>
      </c>
      <c r="I479" s="1056">
        <v>173391136</v>
      </c>
      <c r="J479" s="1056">
        <v>169279253</v>
      </c>
      <c r="K479" s="1056">
        <v>173391136</v>
      </c>
      <c r="L479" s="1056">
        <v>169279253</v>
      </c>
      <c r="M479" s="1056">
        <v>170347997</v>
      </c>
      <c r="N479" s="1056">
        <v>170347997</v>
      </c>
    </row>
    <row r="480" spans="1:14">
      <c r="A480" s="1049" t="s">
        <v>2413</v>
      </c>
      <c r="B480" s="1031" t="s">
        <v>5366</v>
      </c>
      <c r="C480" s="1056">
        <v>200806079</v>
      </c>
      <c r="D480" s="1056">
        <v>195429649</v>
      </c>
      <c r="E480" s="1056">
        <v>200806079</v>
      </c>
      <c r="F480" s="1056">
        <v>195429649</v>
      </c>
      <c r="G480" s="1056">
        <v>196889516</v>
      </c>
      <c r="H480" s="1056">
        <v>196889516</v>
      </c>
      <c r="I480" s="1056">
        <v>200806079</v>
      </c>
      <c r="J480" s="1056">
        <v>195429649</v>
      </c>
      <c r="K480" s="1056">
        <v>200806079</v>
      </c>
      <c r="L480" s="1056">
        <v>195429649</v>
      </c>
      <c r="M480" s="1056">
        <v>196889516</v>
      </c>
      <c r="N480" s="1056">
        <v>196889516</v>
      </c>
    </row>
    <row r="481" spans="1:14">
      <c r="A481" s="1049" t="s">
        <v>796</v>
      </c>
      <c r="B481" s="1031" t="s">
        <v>7114</v>
      </c>
      <c r="C481" s="1056">
        <v>1186208000</v>
      </c>
      <c r="D481" s="1056">
        <v>1138181677</v>
      </c>
      <c r="E481" s="1056">
        <v>1186208000</v>
      </c>
      <c r="F481" s="1056">
        <v>1138181677</v>
      </c>
      <c r="G481" s="1056">
        <v>1149617833</v>
      </c>
      <c r="H481" s="1056">
        <v>1149617833</v>
      </c>
      <c r="I481" s="1056">
        <v>1186208000</v>
      </c>
      <c r="J481" s="1056">
        <v>1138181677</v>
      </c>
      <c r="K481" s="1056">
        <v>1186208000</v>
      </c>
      <c r="L481" s="1056">
        <v>1138181677</v>
      </c>
      <c r="M481" s="1056">
        <v>1149617833</v>
      </c>
      <c r="N481" s="1056">
        <v>1149617833</v>
      </c>
    </row>
    <row r="482" spans="1:14">
      <c r="A482" s="1049" t="s">
        <v>2044</v>
      </c>
      <c r="B482" s="1031" t="s">
        <v>991</v>
      </c>
      <c r="C482" s="1056">
        <v>67593999</v>
      </c>
      <c r="D482" s="1056">
        <v>62909435</v>
      </c>
      <c r="E482" s="1056">
        <v>67593999</v>
      </c>
      <c r="F482" s="1056">
        <v>62909435</v>
      </c>
      <c r="G482" s="1056">
        <v>63798743</v>
      </c>
      <c r="H482" s="1056">
        <v>63798743</v>
      </c>
      <c r="I482" s="1056">
        <v>67593999</v>
      </c>
      <c r="J482" s="1056">
        <v>62909435</v>
      </c>
      <c r="K482" s="1056">
        <v>67593999</v>
      </c>
      <c r="L482" s="1056">
        <v>62909435</v>
      </c>
      <c r="M482" s="1056">
        <v>63798743</v>
      </c>
      <c r="N482" s="1056">
        <v>63798743</v>
      </c>
    </row>
    <row r="483" spans="1:14">
      <c r="A483" s="1049" t="s">
        <v>798</v>
      </c>
      <c r="B483" s="1031" t="s">
        <v>7115</v>
      </c>
      <c r="C483" s="1056">
        <v>101779441</v>
      </c>
      <c r="D483" s="1056">
        <v>97170041</v>
      </c>
      <c r="E483" s="1056">
        <v>101779441</v>
      </c>
      <c r="F483" s="1056">
        <v>97170041</v>
      </c>
      <c r="G483" s="1056">
        <v>98087321</v>
      </c>
      <c r="H483" s="1056">
        <v>98087321</v>
      </c>
      <c r="I483" s="1056">
        <v>101779441</v>
      </c>
      <c r="J483" s="1056">
        <v>97170041</v>
      </c>
      <c r="K483" s="1056">
        <v>101779441</v>
      </c>
      <c r="L483" s="1056">
        <v>97170041</v>
      </c>
      <c r="M483" s="1056">
        <v>98087321</v>
      </c>
      <c r="N483" s="1056">
        <v>98087321</v>
      </c>
    </row>
    <row r="484" spans="1:14">
      <c r="A484" s="1049" t="s">
        <v>2358</v>
      </c>
      <c r="B484" s="1031" t="s">
        <v>499</v>
      </c>
      <c r="C484" s="1056">
        <v>51625279</v>
      </c>
      <c r="D484" s="1056">
        <v>48038170</v>
      </c>
      <c r="E484" s="1056">
        <v>51625279</v>
      </c>
      <c r="F484" s="1056">
        <v>48038170</v>
      </c>
      <c r="G484" s="1056">
        <v>48743928</v>
      </c>
      <c r="H484" s="1056">
        <v>48743928</v>
      </c>
      <c r="I484" s="1056">
        <v>51625279</v>
      </c>
      <c r="J484" s="1056">
        <v>48038170</v>
      </c>
      <c r="K484" s="1056">
        <v>51625279</v>
      </c>
      <c r="L484" s="1056">
        <v>48038170</v>
      </c>
      <c r="M484" s="1056">
        <v>48743928</v>
      </c>
      <c r="N484" s="1056">
        <v>48743928</v>
      </c>
    </row>
    <row r="485" spans="1:14">
      <c r="A485" s="1049" t="s">
        <v>800</v>
      </c>
      <c r="B485" s="1031" t="s">
        <v>7116</v>
      </c>
      <c r="C485" s="1056">
        <v>150728460</v>
      </c>
      <c r="D485" s="1056">
        <v>143798080</v>
      </c>
      <c r="E485" s="1056">
        <v>150728460</v>
      </c>
      <c r="F485" s="1056">
        <v>143798080</v>
      </c>
      <c r="G485" s="1056">
        <v>144680292</v>
      </c>
      <c r="H485" s="1056">
        <v>144680292</v>
      </c>
      <c r="I485" s="1056">
        <v>150728460</v>
      </c>
      <c r="J485" s="1056">
        <v>143798080</v>
      </c>
      <c r="K485" s="1056">
        <v>150728460</v>
      </c>
      <c r="L485" s="1056">
        <v>143798080</v>
      </c>
      <c r="M485" s="1056">
        <v>144680292</v>
      </c>
      <c r="N485" s="1056">
        <v>144680292</v>
      </c>
    </row>
    <row r="486" spans="1:14">
      <c r="A486" s="1049" t="s">
        <v>802</v>
      </c>
      <c r="B486" s="1031" t="s">
        <v>7117</v>
      </c>
      <c r="C486" s="1056">
        <v>49730042</v>
      </c>
      <c r="D486" s="1056">
        <v>47435871</v>
      </c>
      <c r="E486" s="1056">
        <v>49730042</v>
      </c>
      <c r="F486" s="1056">
        <v>47435871</v>
      </c>
      <c r="G486" s="1056">
        <v>47772506</v>
      </c>
      <c r="H486" s="1056">
        <v>47772506</v>
      </c>
      <c r="I486" s="1056">
        <v>49730042</v>
      </c>
      <c r="J486" s="1056">
        <v>47435871</v>
      </c>
      <c r="K486" s="1056">
        <v>49730042</v>
      </c>
      <c r="L486" s="1056">
        <v>47435871</v>
      </c>
      <c r="M486" s="1056">
        <v>47772506</v>
      </c>
      <c r="N486" s="1056">
        <v>47772506</v>
      </c>
    </row>
    <row r="487" spans="1:14">
      <c r="A487" s="1049" t="s">
        <v>2046</v>
      </c>
      <c r="B487" s="1031" t="s">
        <v>2357</v>
      </c>
      <c r="C487" s="1056">
        <v>76317247</v>
      </c>
      <c r="D487" s="1056">
        <v>73381309</v>
      </c>
      <c r="E487" s="1056">
        <v>76317247</v>
      </c>
      <c r="F487" s="1056">
        <v>73381309</v>
      </c>
      <c r="G487" s="1056">
        <v>73753567</v>
      </c>
      <c r="H487" s="1056">
        <v>73753567</v>
      </c>
      <c r="I487" s="1056">
        <v>76317247</v>
      </c>
      <c r="J487" s="1056">
        <v>73381309</v>
      </c>
      <c r="K487" s="1056">
        <v>76317247</v>
      </c>
      <c r="L487" s="1056">
        <v>73381309</v>
      </c>
      <c r="M487" s="1056">
        <v>73753567</v>
      </c>
      <c r="N487" s="1056">
        <v>73753567</v>
      </c>
    </row>
    <row r="488" spans="1:14">
      <c r="A488" s="1049" t="s">
        <v>804</v>
      </c>
      <c r="B488" s="1031" t="s">
        <v>7118</v>
      </c>
      <c r="C488" s="1056">
        <v>420563360</v>
      </c>
      <c r="D488" s="1056">
        <v>402542260</v>
      </c>
      <c r="E488" s="1056">
        <v>420563360</v>
      </c>
      <c r="F488" s="1056">
        <v>402542260</v>
      </c>
      <c r="G488" s="1056">
        <v>406169140</v>
      </c>
      <c r="H488" s="1056">
        <v>406169140</v>
      </c>
      <c r="I488" s="1056">
        <v>420563360</v>
      </c>
      <c r="J488" s="1056">
        <v>402542260</v>
      </c>
      <c r="K488" s="1056">
        <v>420563360</v>
      </c>
      <c r="L488" s="1056">
        <v>402542260</v>
      </c>
      <c r="M488" s="1056">
        <v>406169140</v>
      </c>
      <c r="N488" s="1056">
        <v>406169140</v>
      </c>
    </row>
    <row r="489" spans="1:14">
      <c r="A489" s="1049" t="s">
        <v>806</v>
      </c>
      <c r="B489" s="1031" t="s">
        <v>7119</v>
      </c>
      <c r="C489" s="1056">
        <v>264388894</v>
      </c>
      <c r="D489" s="1056">
        <v>254422754</v>
      </c>
      <c r="E489" s="1056">
        <v>264388894</v>
      </c>
      <c r="F489" s="1056">
        <v>254422754</v>
      </c>
      <c r="G489" s="1056">
        <v>256014349</v>
      </c>
      <c r="H489" s="1056">
        <v>256014349</v>
      </c>
      <c r="I489" s="1056">
        <v>264388894</v>
      </c>
      <c r="J489" s="1056">
        <v>254422754</v>
      </c>
      <c r="K489" s="1056">
        <v>264388894</v>
      </c>
      <c r="L489" s="1056">
        <v>254422754</v>
      </c>
      <c r="M489" s="1056">
        <v>256014349</v>
      </c>
      <c r="N489" s="1056">
        <v>256014349</v>
      </c>
    </row>
    <row r="490" spans="1:14">
      <c r="A490" s="1049" t="s">
        <v>808</v>
      </c>
      <c r="B490" s="1031" t="s">
        <v>7120</v>
      </c>
      <c r="C490" s="1056">
        <v>446007143</v>
      </c>
      <c r="D490" s="1056">
        <v>439434793</v>
      </c>
      <c r="E490" s="1056">
        <v>446007143</v>
      </c>
      <c r="F490" s="1056">
        <v>439434793</v>
      </c>
      <c r="G490" s="1056">
        <v>441392184</v>
      </c>
      <c r="H490" s="1056">
        <v>441392184</v>
      </c>
      <c r="I490" s="1056">
        <v>446007143</v>
      </c>
      <c r="J490" s="1056">
        <v>439434793</v>
      </c>
      <c r="K490" s="1056">
        <v>446007143</v>
      </c>
      <c r="L490" s="1056">
        <v>439434793</v>
      </c>
      <c r="M490" s="1056">
        <v>441392184</v>
      </c>
      <c r="N490" s="1056">
        <v>441392184</v>
      </c>
    </row>
    <row r="491" spans="1:14">
      <c r="A491" s="1049" t="s">
        <v>810</v>
      </c>
      <c r="B491" s="1031" t="s">
        <v>7121</v>
      </c>
      <c r="C491" s="1056">
        <v>148599247</v>
      </c>
      <c r="D491" s="1056">
        <v>142795787</v>
      </c>
      <c r="E491" s="1056">
        <v>148599247</v>
      </c>
      <c r="F491" s="1056">
        <v>142795787</v>
      </c>
      <c r="G491" s="1056">
        <v>144034312</v>
      </c>
      <c r="H491" s="1056">
        <v>144034312</v>
      </c>
      <c r="I491" s="1056">
        <v>148599247</v>
      </c>
      <c r="J491" s="1056">
        <v>142795787</v>
      </c>
      <c r="K491" s="1056">
        <v>148599247</v>
      </c>
      <c r="L491" s="1056">
        <v>142795787</v>
      </c>
      <c r="M491" s="1056">
        <v>144034312</v>
      </c>
      <c r="N491" s="1056">
        <v>144034312</v>
      </c>
    </row>
    <row r="492" spans="1:14">
      <c r="A492" s="1049" t="s">
        <v>667</v>
      </c>
      <c r="B492" s="1031" t="s">
        <v>7122</v>
      </c>
      <c r="C492" s="1056">
        <v>114285347</v>
      </c>
      <c r="D492" s="1056">
        <v>109079327</v>
      </c>
      <c r="E492" s="1056">
        <v>114285347</v>
      </c>
      <c r="F492" s="1056">
        <v>109079327</v>
      </c>
      <c r="G492" s="1056">
        <v>109976827</v>
      </c>
      <c r="H492" s="1056">
        <v>109976827</v>
      </c>
      <c r="I492" s="1056">
        <v>114285347</v>
      </c>
      <c r="J492" s="1056">
        <v>109079327</v>
      </c>
      <c r="K492" s="1056">
        <v>114285347</v>
      </c>
      <c r="L492" s="1056">
        <v>109079327</v>
      </c>
      <c r="M492" s="1056">
        <v>109976827</v>
      </c>
      <c r="N492" s="1056">
        <v>109976827</v>
      </c>
    </row>
    <row r="493" spans="1:14">
      <c r="A493" s="1049" t="s">
        <v>1707</v>
      </c>
      <c r="B493" s="1031" t="s">
        <v>3864</v>
      </c>
      <c r="C493" s="1056">
        <v>1885436737</v>
      </c>
      <c r="D493" s="1056">
        <v>1848997496</v>
      </c>
      <c r="E493" s="1056">
        <v>1853744883</v>
      </c>
      <c r="F493" s="1056">
        <v>1817305642</v>
      </c>
      <c r="G493" s="1056">
        <v>1852146926</v>
      </c>
      <c r="H493" s="1056">
        <v>1820455072</v>
      </c>
      <c r="I493" s="1056">
        <v>1885436737</v>
      </c>
      <c r="J493" s="1056">
        <v>1848997496</v>
      </c>
      <c r="K493" s="1056">
        <v>1853744883</v>
      </c>
      <c r="L493" s="1056">
        <v>1817305642</v>
      </c>
      <c r="M493" s="1056">
        <v>1852146926</v>
      </c>
      <c r="N493" s="1056">
        <v>1820455072</v>
      </c>
    </row>
    <row r="494" spans="1:14">
      <c r="A494" s="1049" t="s">
        <v>1709</v>
      </c>
      <c r="B494" s="1031" t="s">
        <v>3865</v>
      </c>
      <c r="C494" s="1056">
        <v>526456571</v>
      </c>
      <c r="D494" s="1056">
        <v>518141248</v>
      </c>
      <c r="E494" s="1056">
        <v>518743407</v>
      </c>
      <c r="F494" s="1056">
        <v>510428084</v>
      </c>
      <c r="G494" s="1056">
        <v>518354161</v>
      </c>
      <c r="H494" s="1056">
        <v>510640997</v>
      </c>
      <c r="I494" s="1056">
        <v>526456571</v>
      </c>
      <c r="J494" s="1056">
        <v>518141248</v>
      </c>
      <c r="K494" s="1056">
        <v>518743407</v>
      </c>
      <c r="L494" s="1056">
        <v>510428084</v>
      </c>
      <c r="M494" s="1056">
        <v>518354161</v>
      </c>
      <c r="N494" s="1056">
        <v>510640997</v>
      </c>
    </row>
    <row r="495" spans="1:14">
      <c r="A495" s="1049" t="s">
        <v>1711</v>
      </c>
      <c r="B495" s="1031" t="s">
        <v>3866</v>
      </c>
      <c r="C495" s="1056">
        <v>795833371</v>
      </c>
      <c r="D495" s="1056">
        <v>790450246</v>
      </c>
      <c r="E495" s="1056">
        <v>790572811</v>
      </c>
      <c r="F495" s="1056">
        <v>785189686</v>
      </c>
      <c r="G495" s="1056">
        <v>790626021</v>
      </c>
      <c r="H495" s="1056">
        <v>785365461</v>
      </c>
      <c r="I495" s="1056">
        <v>945279391</v>
      </c>
      <c r="J495" s="1056">
        <v>939896266</v>
      </c>
      <c r="K495" s="1056">
        <v>940018831</v>
      </c>
      <c r="L495" s="1056">
        <v>934635706</v>
      </c>
      <c r="M495" s="1056">
        <v>940072041</v>
      </c>
      <c r="N495" s="1056">
        <v>934811481</v>
      </c>
    </row>
    <row r="496" spans="1:14">
      <c r="A496" s="1049" t="s">
        <v>1713</v>
      </c>
      <c r="B496" s="1031" t="s">
        <v>3867</v>
      </c>
      <c r="C496" s="1056">
        <v>186384789</v>
      </c>
      <c r="D496" s="1056">
        <v>183860044</v>
      </c>
      <c r="E496" s="1056">
        <v>186384789</v>
      </c>
      <c r="F496" s="1056">
        <v>183860044</v>
      </c>
      <c r="G496" s="1056">
        <v>183860044</v>
      </c>
      <c r="H496" s="1056">
        <v>183860044</v>
      </c>
      <c r="I496" s="1056">
        <v>186384789</v>
      </c>
      <c r="J496" s="1056">
        <v>183860044</v>
      </c>
      <c r="K496" s="1056">
        <v>186384789</v>
      </c>
      <c r="L496" s="1056">
        <v>183860044</v>
      </c>
      <c r="M496" s="1056">
        <v>183860044</v>
      </c>
      <c r="N496" s="1056">
        <v>183860044</v>
      </c>
    </row>
    <row r="497" spans="1:14">
      <c r="A497" s="1049" t="s">
        <v>1330</v>
      </c>
      <c r="B497" s="1031" t="s">
        <v>3868</v>
      </c>
      <c r="C497" s="1056">
        <v>97089886</v>
      </c>
      <c r="D497" s="1056">
        <v>96440875</v>
      </c>
      <c r="E497" s="1056">
        <v>97089886</v>
      </c>
      <c r="F497" s="1056">
        <v>96440875</v>
      </c>
      <c r="G497" s="1056">
        <v>96440875</v>
      </c>
      <c r="H497" s="1056">
        <v>96440875</v>
      </c>
      <c r="I497" s="1056">
        <v>97089886</v>
      </c>
      <c r="J497" s="1056">
        <v>96440875</v>
      </c>
      <c r="K497" s="1056">
        <v>97089886</v>
      </c>
      <c r="L497" s="1056">
        <v>96440875</v>
      </c>
      <c r="M497" s="1056">
        <v>96440875</v>
      </c>
      <c r="N497" s="1056">
        <v>96440875</v>
      </c>
    </row>
    <row r="498" spans="1:14">
      <c r="A498" s="1049" t="s">
        <v>1332</v>
      </c>
      <c r="B498" s="1031" t="s">
        <v>3869</v>
      </c>
      <c r="C498" s="1056">
        <v>60336397</v>
      </c>
      <c r="D498" s="1056">
        <v>59723304</v>
      </c>
      <c r="E498" s="1056">
        <v>60061444</v>
      </c>
      <c r="F498" s="1056">
        <v>59448351</v>
      </c>
      <c r="G498" s="1056">
        <v>59723304</v>
      </c>
      <c r="H498" s="1056">
        <v>59448351</v>
      </c>
      <c r="I498" s="1056">
        <v>60336397</v>
      </c>
      <c r="J498" s="1056">
        <v>59723304</v>
      </c>
      <c r="K498" s="1056">
        <v>60061444</v>
      </c>
      <c r="L498" s="1056">
        <v>59448351</v>
      </c>
      <c r="M498" s="1056">
        <v>59723304</v>
      </c>
      <c r="N498" s="1056">
        <v>59448351</v>
      </c>
    </row>
    <row r="499" spans="1:14">
      <c r="A499" s="1049" t="s">
        <v>979</v>
      </c>
      <c r="B499" s="1031" t="s">
        <v>6097</v>
      </c>
      <c r="C499" s="1056">
        <v>366569272</v>
      </c>
      <c r="D499" s="1056">
        <v>350175640</v>
      </c>
      <c r="E499" s="1056">
        <v>366569272</v>
      </c>
      <c r="F499" s="1056">
        <v>350175640</v>
      </c>
      <c r="G499" s="1056">
        <v>350980037</v>
      </c>
      <c r="H499" s="1056">
        <v>350980037</v>
      </c>
      <c r="I499" s="1056">
        <v>366569272</v>
      </c>
      <c r="J499" s="1056">
        <v>350175640</v>
      </c>
      <c r="K499" s="1056">
        <v>366569272</v>
      </c>
      <c r="L499" s="1056">
        <v>350175640</v>
      </c>
      <c r="M499" s="1056">
        <v>350980037</v>
      </c>
      <c r="N499" s="1056">
        <v>350980037</v>
      </c>
    </row>
    <row r="500" spans="1:14">
      <c r="A500" s="1049" t="s">
        <v>1334</v>
      </c>
      <c r="B500" s="1031" t="s">
        <v>3870</v>
      </c>
      <c r="C500" s="1056">
        <v>84856831</v>
      </c>
      <c r="D500" s="1056">
        <v>79268538</v>
      </c>
      <c r="E500" s="1056">
        <v>84856831</v>
      </c>
      <c r="F500" s="1056">
        <v>79268538</v>
      </c>
      <c r="G500" s="1056">
        <v>79406916</v>
      </c>
      <c r="H500" s="1056">
        <v>79406916</v>
      </c>
      <c r="I500" s="1056">
        <v>84856831</v>
      </c>
      <c r="J500" s="1056">
        <v>79268538</v>
      </c>
      <c r="K500" s="1056">
        <v>84856831</v>
      </c>
      <c r="L500" s="1056">
        <v>79268538</v>
      </c>
      <c r="M500" s="1056">
        <v>79406916</v>
      </c>
      <c r="N500" s="1056">
        <v>79406916</v>
      </c>
    </row>
    <row r="501" spans="1:14">
      <c r="A501" s="1049" t="s">
        <v>235</v>
      </c>
      <c r="B501" s="1031" t="s">
        <v>2642</v>
      </c>
      <c r="C501" s="1056">
        <v>401471950</v>
      </c>
      <c r="D501" s="1056">
        <v>386357950</v>
      </c>
      <c r="E501" s="1056">
        <v>401471950</v>
      </c>
      <c r="F501" s="1056">
        <v>386357950</v>
      </c>
      <c r="G501" s="1056">
        <v>387899215</v>
      </c>
      <c r="H501" s="1056">
        <v>387899215</v>
      </c>
      <c r="I501" s="1056">
        <v>401471950</v>
      </c>
      <c r="J501" s="1056">
        <v>386357950</v>
      </c>
      <c r="K501" s="1056">
        <v>401471950</v>
      </c>
      <c r="L501" s="1056">
        <v>386357950</v>
      </c>
      <c r="M501" s="1056">
        <v>387899215</v>
      </c>
      <c r="N501" s="1056">
        <v>387899215</v>
      </c>
    </row>
    <row r="502" spans="1:14">
      <c r="A502" s="1049" t="s">
        <v>3961</v>
      </c>
      <c r="B502" s="1031" t="s">
        <v>3871</v>
      </c>
      <c r="C502" s="1056">
        <v>1739243117</v>
      </c>
      <c r="D502" s="1056">
        <v>1683802466</v>
      </c>
      <c r="E502" s="1056">
        <v>1739243117</v>
      </c>
      <c r="F502" s="1056">
        <v>1683802466</v>
      </c>
      <c r="G502" s="1056">
        <v>1697938924</v>
      </c>
      <c r="H502" s="1056">
        <v>1697938924</v>
      </c>
      <c r="I502" s="1056">
        <v>1739243117</v>
      </c>
      <c r="J502" s="1056">
        <v>1683802466</v>
      </c>
      <c r="K502" s="1056">
        <v>1739243117</v>
      </c>
      <c r="L502" s="1056">
        <v>1683802466</v>
      </c>
      <c r="M502" s="1056">
        <v>1697938924</v>
      </c>
      <c r="N502" s="1056">
        <v>1697938924</v>
      </c>
    </row>
    <row r="503" spans="1:14">
      <c r="A503" s="1049" t="s">
        <v>2359</v>
      </c>
      <c r="B503" s="1031" t="s">
        <v>198</v>
      </c>
      <c r="C503" s="1056">
        <v>206592050</v>
      </c>
      <c r="D503" s="1056">
        <v>195636917</v>
      </c>
      <c r="E503" s="1056">
        <v>206592050</v>
      </c>
      <c r="F503" s="1056">
        <v>195636917</v>
      </c>
      <c r="G503" s="1056">
        <v>196763821</v>
      </c>
      <c r="H503" s="1056">
        <v>196763821</v>
      </c>
      <c r="I503" s="1056">
        <v>206592050</v>
      </c>
      <c r="J503" s="1056">
        <v>195636917</v>
      </c>
      <c r="K503" s="1056">
        <v>206592050</v>
      </c>
      <c r="L503" s="1056">
        <v>195636917</v>
      </c>
      <c r="M503" s="1056">
        <v>196763821</v>
      </c>
      <c r="N503" s="1056">
        <v>196763821</v>
      </c>
    </row>
    <row r="504" spans="1:14">
      <c r="A504" s="1049" t="s">
        <v>650</v>
      </c>
      <c r="B504" s="1031" t="s">
        <v>355</v>
      </c>
      <c r="C504" s="1056">
        <v>670678320</v>
      </c>
      <c r="D504" s="1056">
        <v>637758828</v>
      </c>
      <c r="E504" s="1056">
        <v>670678320</v>
      </c>
      <c r="F504" s="1056">
        <v>637758828</v>
      </c>
      <c r="G504" s="1056">
        <v>643190360</v>
      </c>
      <c r="H504" s="1056">
        <v>643190360</v>
      </c>
      <c r="I504" s="1056">
        <v>670678320</v>
      </c>
      <c r="J504" s="1056">
        <v>637758828</v>
      </c>
      <c r="K504" s="1056">
        <v>670678320</v>
      </c>
      <c r="L504" s="1056">
        <v>637758828</v>
      </c>
      <c r="M504" s="1056">
        <v>643190360</v>
      </c>
      <c r="N504" s="1056">
        <v>643190360</v>
      </c>
    </row>
    <row r="505" spans="1:14">
      <c r="A505" s="1049" t="s">
        <v>2127</v>
      </c>
      <c r="B505" s="1031" t="s">
        <v>2007</v>
      </c>
      <c r="C505" s="1056">
        <v>101891098</v>
      </c>
      <c r="D505" s="1056">
        <v>94900189</v>
      </c>
      <c r="E505" s="1056">
        <v>101891098</v>
      </c>
      <c r="F505" s="1056">
        <v>94900189</v>
      </c>
      <c r="G505" s="1056">
        <v>95820055</v>
      </c>
      <c r="H505" s="1056">
        <v>95820055</v>
      </c>
      <c r="I505" s="1056">
        <v>101891098</v>
      </c>
      <c r="J505" s="1056">
        <v>94900189</v>
      </c>
      <c r="K505" s="1056">
        <v>101891098</v>
      </c>
      <c r="L505" s="1056">
        <v>94900189</v>
      </c>
      <c r="M505" s="1056">
        <v>95820055</v>
      </c>
      <c r="N505" s="1056">
        <v>95820055</v>
      </c>
    </row>
    <row r="506" spans="1:14">
      <c r="A506" s="1049" t="s">
        <v>3963</v>
      </c>
      <c r="B506" s="1031" t="s">
        <v>3872</v>
      </c>
      <c r="C506" s="1056">
        <v>79618700</v>
      </c>
      <c r="D506" s="1056">
        <v>74313063</v>
      </c>
      <c r="E506" s="1056">
        <v>79618700</v>
      </c>
      <c r="F506" s="1056">
        <v>74313063</v>
      </c>
      <c r="G506" s="1056">
        <v>75531975</v>
      </c>
      <c r="H506" s="1056">
        <v>75531975</v>
      </c>
      <c r="I506" s="1056">
        <v>79618700</v>
      </c>
      <c r="J506" s="1056">
        <v>74313063</v>
      </c>
      <c r="K506" s="1056">
        <v>79618700</v>
      </c>
      <c r="L506" s="1056">
        <v>74313063</v>
      </c>
      <c r="M506" s="1056">
        <v>75531975</v>
      </c>
      <c r="N506" s="1056">
        <v>75531975</v>
      </c>
    </row>
    <row r="507" spans="1:14">
      <c r="A507" s="1049" t="s">
        <v>953</v>
      </c>
      <c r="B507" s="1031" t="s">
        <v>7658</v>
      </c>
      <c r="C507" s="1056">
        <v>124813876</v>
      </c>
      <c r="D507" s="1056">
        <v>117489071</v>
      </c>
      <c r="E507" s="1056">
        <v>124813876</v>
      </c>
      <c r="F507" s="1056">
        <v>117489071</v>
      </c>
      <c r="G507" s="1056">
        <v>118299201</v>
      </c>
      <c r="H507" s="1056">
        <v>118299201</v>
      </c>
      <c r="I507" s="1056">
        <v>124813876</v>
      </c>
      <c r="J507" s="1056">
        <v>117489071</v>
      </c>
      <c r="K507" s="1056">
        <v>124813876</v>
      </c>
      <c r="L507" s="1056">
        <v>117489071</v>
      </c>
      <c r="M507" s="1056">
        <v>118299201</v>
      </c>
      <c r="N507" s="1056">
        <v>118299201</v>
      </c>
    </row>
    <row r="508" spans="1:14">
      <c r="A508" s="1049" t="s">
        <v>971</v>
      </c>
      <c r="B508" s="1031" t="s">
        <v>7663</v>
      </c>
      <c r="C508" s="1056">
        <v>15283631</v>
      </c>
      <c r="D508" s="1056">
        <v>14065306</v>
      </c>
      <c r="E508" s="1056">
        <v>15283631</v>
      </c>
      <c r="F508" s="1056">
        <v>14065306</v>
      </c>
      <c r="G508" s="1056">
        <v>14126175</v>
      </c>
      <c r="H508" s="1056">
        <v>14126175</v>
      </c>
      <c r="I508" s="1056">
        <v>15283631</v>
      </c>
      <c r="J508" s="1056">
        <v>14065306</v>
      </c>
      <c r="K508" s="1056">
        <v>15283631</v>
      </c>
      <c r="L508" s="1056">
        <v>14065306</v>
      </c>
      <c r="M508" s="1056">
        <v>14126175</v>
      </c>
      <c r="N508" s="1056">
        <v>14126175</v>
      </c>
    </row>
    <row r="509" spans="1:14">
      <c r="A509" s="1049" t="s">
        <v>3965</v>
      </c>
      <c r="B509" s="1031" t="s">
        <v>3873</v>
      </c>
      <c r="C509" s="1056">
        <v>613079027</v>
      </c>
      <c r="D509" s="1056">
        <v>579732247</v>
      </c>
      <c r="E509" s="1056">
        <v>600096888</v>
      </c>
      <c r="F509" s="1056">
        <v>566750108</v>
      </c>
      <c r="G509" s="1056">
        <v>581440080</v>
      </c>
      <c r="H509" s="1056">
        <v>568457941</v>
      </c>
      <c r="I509" s="1056">
        <v>613079027</v>
      </c>
      <c r="J509" s="1056">
        <v>579732247</v>
      </c>
      <c r="K509" s="1056">
        <v>600096888</v>
      </c>
      <c r="L509" s="1056">
        <v>566750108</v>
      </c>
      <c r="M509" s="1056">
        <v>581440080</v>
      </c>
      <c r="N509" s="1056">
        <v>568457941</v>
      </c>
    </row>
    <row r="510" spans="1:14">
      <c r="A510" s="1049" t="s">
        <v>3967</v>
      </c>
      <c r="B510" s="1031" t="s">
        <v>3683</v>
      </c>
      <c r="C510" s="1056">
        <v>150365363</v>
      </c>
      <c r="D510" s="1056">
        <v>138961676</v>
      </c>
      <c r="E510" s="1056">
        <v>145741562</v>
      </c>
      <c r="F510" s="1056">
        <v>134337875</v>
      </c>
      <c r="G510" s="1056">
        <v>140084142</v>
      </c>
      <c r="H510" s="1056">
        <v>135460341</v>
      </c>
      <c r="I510" s="1056">
        <v>150365363</v>
      </c>
      <c r="J510" s="1056">
        <v>138961676</v>
      </c>
      <c r="K510" s="1056">
        <v>145741562</v>
      </c>
      <c r="L510" s="1056">
        <v>134337875</v>
      </c>
      <c r="M510" s="1056">
        <v>140084142</v>
      </c>
      <c r="N510" s="1056">
        <v>135460341</v>
      </c>
    </row>
    <row r="511" spans="1:14">
      <c r="A511" s="1049" t="s">
        <v>3969</v>
      </c>
      <c r="B511" s="1031" t="s">
        <v>3685</v>
      </c>
      <c r="C511" s="1056">
        <v>1054925171</v>
      </c>
      <c r="D511" s="1056">
        <v>1049249731</v>
      </c>
      <c r="E511" s="1056">
        <v>1051759719</v>
      </c>
      <c r="F511" s="1056">
        <v>1046084279</v>
      </c>
      <c r="G511" s="1056">
        <v>1049620344</v>
      </c>
      <c r="H511" s="1056">
        <v>1046454892</v>
      </c>
      <c r="I511" s="1056">
        <v>1486236921</v>
      </c>
      <c r="J511" s="1056">
        <v>1480561481</v>
      </c>
      <c r="K511" s="1056">
        <v>1483071469</v>
      </c>
      <c r="L511" s="1056">
        <v>1477396029</v>
      </c>
      <c r="M511" s="1056">
        <v>1480932094</v>
      </c>
      <c r="N511" s="1056">
        <v>1477766642</v>
      </c>
    </row>
    <row r="512" spans="1:14">
      <c r="A512" s="1049" t="s">
        <v>757</v>
      </c>
      <c r="B512" s="1031" t="s">
        <v>3057</v>
      </c>
      <c r="C512" s="1056">
        <v>50638992</v>
      </c>
      <c r="D512" s="1056">
        <v>50472922</v>
      </c>
      <c r="E512" s="1056">
        <v>50541889</v>
      </c>
      <c r="F512" s="1056">
        <v>50375819</v>
      </c>
      <c r="G512" s="1056">
        <v>50476226</v>
      </c>
      <c r="H512" s="1056">
        <v>50379123</v>
      </c>
      <c r="I512" s="1056">
        <v>50638992</v>
      </c>
      <c r="J512" s="1056">
        <v>50472922</v>
      </c>
      <c r="K512" s="1056">
        <v>50541889</v>
      </c>
      <c r="L512" s="1056">
        <v>50375819</v>
      </c>
      <c r="M512" s="1056">
        <v>50476226</v>
      </c>
      <c r="N512" s="1056">
        <v>50379123</v>
      </c>
    </row>
    <row r="513" spans="1:14">
      <c r="A513" s="1049" t="s">
        <v>759</v>
      </c>
      <c r="B513" s="1031" t="s">
        <v>3688</v>
      </c>
      <c r="C513" s="1056">
        <v>1534173660</v>
      </c>
      <c r="D513" s="1056">
        <v>1530731320</v>
      </c>
      <c r="E513" s="1056">
        <v>1534173660</v>
      </c>
      <c r="F513" s="1056">
        <v>1530731320</v>
      </c>
      <c r="G513" s="1056">
        <v>1530731320</v>
      </c>
      <c r="H513" s="1056">
        <v>1530731320</v>
      </c>
      <c r="I513" s="1056">
        <v>1534173660</v>
      </c>
      <c r="J513" s="1056">
        <v>1530731320</v>
      </c>
      <c r="K513" s="1056">
        <v>1534173660</v>
      </c>
      <c r="L513" s="1056">
        <v>1530731320</v>
      </c>
      <c r="M513" s="1056">
        <v>1530731320</v>
      </c>
      <c r="N513" s="1056">
        <v>1530731320</v>
      </c>
    </row>
    <row r="514" spans="1:14">
      <c r="A514" s="1049" t="s">
        <v>69</v>
      </c>
      <c r="B514" s="1031" t="s">
        <v>3059</v>
      </c>
      <c r="C514" s="1056">
        <v>198230193</v>
      </c>
      <c r="D514" s="1056">
        <v>195906523</v>
      </c>
      <c r="E514" s="1056">
        <v>198230193</v>
      </c>
      <c r="F514" s="1056">
        <v>195906523</v>
      </c>
      <c r="G514" s="1056">
        <v>195926451</v>
      </c>
      <c r="H514" s="1056">
        <v>195926451</v>
      </c>
      <c r="I514" s="1056">
        <v>410994463</v>
      </c>
      <c r="J514" s="1056">
        <v>408670793</v>
      </c>
      <c r="K514" s="1056">
        <v>410994463</v>
      </c>
      <c r="L514" s="1056">
        <v>408670793</v>
      </c>
      <c r="M514" s="1056">
        <v>408690721</v>
      </c>
      <c r="N514" s="1056">
        <v>408690721</v>
      </c>
    </row>
    <row r="515" spans="1:14">
      <c r="A515" s="1049" t="s">
        <v>71</v>
      </c>
      <c r="B515" s="1031" t="s">
        <v>3060</v>
      </c>
      <c r="C515" s="1056">
        <v>1126865594</v>
      </c>
      <c r="D515" s="1056">
        <v>1115802861</v>
      </c>
      <c r="E515" s="1056">
        <v>1126865594</v>
      </c>
      <c r="F515" s="1056">
        <v>1115802861</v>
      </c>
      <c r="G515" s="1056">
        <v>1116066527</v>
      </c>
      <c r="H515" s="1056">
        <v>1116066527</v>
      </c>
      <c r="I515" s="1056">
        <v>1126865594</v>
      </c>
      <c r="J515" s="1056">
        <v>1115802861</v>
      </c>
      <c r="K515" s="1056">
        <v>1126865594</v>
      </c>
      <c r="L515" s="1056">
        <v>1115802861</v>
      </c>
      <c r="M515" s="1056">
        <v>1116066527</v>
      </c>
      <c r="N515" s="1056">
        <v>1116066527</v>
      </c>
    </row>
    <row r="516" spans="1:14">
      <c r="A516" s="1049" t="s">
        <v>73</v>
      </c>
      <c r="B516" s="1031" t="s">
        <v>3692</v>
      </c>
      <c r="C516" s="1056">
        <v>317551240</v>
      </c>
      <c r="D516" s="1056">
        <v>312885650</v>
      </c>
      <c r="E516" s="1056">
        <v>317551240</v>
      </c>
      <c r="F516" s="1056">
        <v>312885650</v>
      </c>
      <c r="G516" s="1056">
        <v>313331388</v>
      </c>
      <c r="H516" s="1056">
        <v>313331388</v>
      </c>
      <c r="I516" s="1056">
        <v>317551240</v>
      </c>
      <c r="J516" s="1056">
        <v>312885650</v>
      </c>
      <c r="K516" s="1056">
        <v>317551240</v>
      </c>
      <c r="L516" s="1056">
        <v>312885650</v>
      </c>
      <c r="M516" s="1056">
        <v>313331388</v>
      </c>
      <c r="N516" s="1056">
        <v>313331388</v>
      </c>
    </row>
    <row r="517" spans="1:14">
      <c r="A517" s="1049" t="s">
        <v>75</v>
      </c>
      <c r="B517" s="1031" t="s">
        <v>3062</v>
      </c>
      <c r="C517" s="1056">
        <v>595200596</v>
      </c>
      <c r="D517" s="1056">
        <v>578875876</v>
      </c>
      <c r="E517" s="1056">
        <v>595200596</v>
      </c>
      <c r="F517" s="1056">
        <v>578875876</v>
      </c>
      <c r="G517" s="1056">
        <v>578875876</v>
      </c>
      <c r="H517" s="1056">
        <v>578875876</v>
      </c>
      <c r="I517" s="1056">
        <v>595200596</v>
      </c>
      <c r="J517" s="1056">
        <v>578875876</v>
      </c>
      <c r="K517" s="1056">
        <v>595200596</v>
      </c>
      <c r="L517" s="1056">
        <v>578875876</v>
      </c>
      <c r="M517" s="1056">
        <v>578875876</v>
      </c>
      <c r="N517" s="1056">
        <v>578875876</v>
      </c>
    </row>
    <row r="518" spans="1:14">
      <c r="A518" s="1049" t="s">
        <v>1316</v>
      </c>
      <c r="B518" s="1031" t="s">
        <v>121</v>
      </c>
      <c r="C518" s="1056">
        <v>465519063</v>
      </c>
      <c r="D518" s="1056">
        <v>458384168</v>
      </c>
      <c r="E518" s="1056">
        <v>465519063</v>
      </c>
      <c r="F518" s="1056">
        <v>458384168</v>
      </c>
      <c r="G518" s="1056">
        <v>458384168</v>
      </c>
      <c r="H518" s="1056">
        <v>458384168</v>
      </c>
      <c r="I518" s="1056">
        <v>465519063</v>
      </c>
      <c r="J518" s="1056">
        <v>458384168</v>
      </c>
      <c r="K518" s="1056">
        <v>465519063</v>
      </c>
      <c r="L518" s="1056">
        <v>458384168</v>
      </c>
      <c r="M518" s="1056">
        <v>458384168</v>
      </c>
      <c r="N518" s="1056">
        <v>458384168</v>
      </c>
    </row>
    <row r="519" spans="1:14">
      <c r="A519" s="1049" t="s">
        <v>2600</v>
      </c>
      <c r="B519" s="1031" t="s">
        <v>3063</v>
      </c>
      <c r="C519" s="1056">
        <v>732292837</v>
      </c>
      <c r="D519" s="1056">
        <v>722274042</v>
      </c>
      <c r="E519" s="1056">
        <v>719341982</v>
      </c>
      <c r="F519" s="1056">
        <v>709323187</v>
      </c>
      <c r="G519" s="1056">
        <v>722335010</v>
      </c>
      <c r="H519" s="1056">
        <v>709384155</v>
      </c>
      <c r="I519" s="1056">
        <v>732292837</v>
      </c>
      <c r="J519" s="1056">
        <v>722274042</v>
      </c>
      <c r="K519" s="1056">
        <v>719341982</v>
      </c>
      <c r="L519" s="1056">
        <v>709323187</v>
      </c>
      <c r="M519" s="1056">
        <v>722335010</v>
      </c>
      <c r="N519" s="1056">
        <v>709384155</v>
      </c>
    </row>
    <row r="520" spans="1:14">
      <c r="A520" s="1049" t="s">
        <v>7133</v>
      </c>
      <c r="B520" s="1031" t="s">
        <v>3064</v>
      </c>
      <c r="C520" s="1056">
        <v>247626829</v>
      </c>
      <c r="D520" s="1056">
        <v>241699564</v>
      </c>
      <c r="E520" s="1056">
        <v>240363023</v>
      </c>
      <c r="F520" s="1056">
        <v>234435758</v>
      </c>
      <c r="G520" s="1056">
        <v>241699564</v>
      </c>
      <c r="H520" s="1056">
        <v>234435758</v>
      </c>
      <c r="I520" s="1056">
        <v>247626829</v>
      </c>
      <c r="J520" s="1056">
        <v>241699564</v>
      </c>
      <c r="K520" s="1056">
        <v>240363023</v>
      </c>
      <c r="L520" s="1056">
        <v>234435758</v>
      </c>
      <c r="M520" s="1056">
        <v>241699564</v>
      </c>
      <c r="N520" s="1056">
        <v>234435758</v>
      </c>
    </row>
    <row r="521" spans="1:14">
      <c r="A521" s="1049" t="s">
        <v>961</v>
      </c>
      <c r="B521" s="1031" t="s">
        <v>2145</v>
      </c>
      <c r="C521" s="1056">
        <v>319539189</v>
      </c>
      <c r="D521" s="1056">
        <v>300817220</v>
      </c>
      <c r="E521" s="1056">
        <v>319539189</v>
      </c>
      <c r="F521" s="1056">
        <v>300817220</v>
      </c>
      <c r="G521" s="1056">
        <v>302554603</v>
      </c>
      <c r="H521" s="1056">
        <v>302554603</v>
      </c>
      <c r="I521" s="1056">
        <v>319539189</v>
      </c>
      <c r="J521" s="1056">
        <v>300817220</v>
      </c>
      <c r="K521" s="1056">
        <v>319539189</v>
      </c>
      <c r="L521" s="1056">
        <v>300817220</v>
      </c>
      <c r="M521" s="1056">
        <v>302554603</v>
      </c>
      <c r="N521" s="1056">
        <v>302554603</v>
      </c>
    </row>
    <row r="522" spans="1:14">
      <c r="A522" s="1049" t="s">
        <v>6024</v>
      </c>
      <c r="B522" s="1031" t="s">
        <v>1909</v>
      </c>
      <c r="C522" s="1056">
        <v>963338778</v>
      </c>
      <c r="D522" s="1056">
        <v>929871753</v>
      </c>
      <c r="E522" s="1056">
        <v>963338778</v>
      </c>
      <c r="F522" s="1056">
        <v>929871753</v>
      </c>
      <c r="G522" s="1056">
        <v>929871753</v>
      </c>
      <c r="H522" s="1056">
        <v>929871753</v>
      </c>
      <c r="I522" s="1056">
        <v>963338778</v>
      </c>
      <c r="J522" s="1056">
        <v>929871753</v>
      </c>
      <c r="K522" s="1056">
        <v>963338778</v>
      </c>
      <c r="L522" s="1056">
        <v>929871753</v>
      </c>
      <c r="M522" s="1056">
        <v>929871753</v>
      </c>
      <c r="N522" s="1056">
        <v>929871753</v>
      </c>
    </row>
    <row r="523" spans="1:14">
      <c r="A523" s="1049" t="s">
        <v>6034</v>
      </c>
      <c r="B523" s="1031" t="s">
        <v>1922</v>
      </c>
      <c r="C523" s="1056">
        <v>224307125</v>
      </c>
      <c r="D523" s="1056">
        <v>207581503</v>
      </c>
      <c r="E523" s="1056">
        <v>224307125</v>
      </c>
      <c r="F523" s="1056">
        <v>207581503</v>
      </c>
      <c r="G523" s="1056">
        <v>207588507</v>
      </c>
      <c r="H523" s="1056">
        <v>207588507</v>
      </c>
      <c r="I523" s="1056">
        <v>224307125</v>
      </c>
      <c r="J523" s="1056">
        <v>207581503</v>
      </c>
      <c r="K523" s="1056">
        <v>224307125</v>
      </c>
      <c r="L523" s="1056">
        <v>207581503</v>
      </c>
      <c r="M523" s="1056">
        <v>207588507</v>
      </c>
      <c r="N523" s="1056">
        <v>207588507</v>
      </c>
    </row>
    <row r="524" spans="1:14">
      <c r="A524" s="1049" t="s">
        <v>7135</v>
      </c>
      <c r="B524" s="1031" t="s">
        <v>3065</v>
      </c>
      <c r="C524" s="1056">
        <v>376640100</v>
      </c>
      <c r="D524" s="1056">
        <v>372850311</v>
      </c>
      <c r="E524" s="1056">
        <v>373400768</v>
      </c>
      <c r="F524" s="1056">
        <v>369610979</v>
      </c>
      <c r="G524" s="1056">
        <v>372880525</v>
      </c>
      <c r="H524" s="1056">
        <v>369641193</v>
      </c>
      <c r="I524" s="1056">
        <v>376640100</v>
      </c>
      <c r="J524" s="1056">
        <v>372850311</v>
      </c>
      <c r="K524" s="1056">
        <v>373400768</v>
      </c>
      <c r="L524" s="1056">
        <v>369610979</v>
      </c>
      <c r="M524" s="1056">
        <v>372880525</v>
      </c>
      <c r="N524" s="1056">
        <v>369641193</v>
      </c>
    </row>
    <row r="525" spans="1:14">
      <c r="A525" s="1049" t="s">
        <v>7137</v>
      </c>
      <c r="B525" s="1031" t="s">
        <v>3066</v>
      </c>
      <c r="C525" s="1056">
        <v>178455813</v>
      </c>
      <c r="D525" s="1056">
        <v>173372443</v>
      </c>
      <c r="E525" s="1056">
        <v>178455813</v>
      </c>
      <c r="F525" s="1056">
        <v>173372443</v>
      </c>
      <c r="G525" s="1056">
        <v>173372443</v>
      </c>
      <c r="H525" s="1056">
        <v>173372443</v>
      </c>
      <c r="I525" s="1056">
        <v>178455813</v>
      </c>
      <c r="J525" s="1056">
        <v>173372443</v>
      </c>
      <c r="K525" s="1056">
        <v>178455813</v>
      </c>
      <c r="L525" s="1056">
        <v>173372443</v>
      </c>
      <c r="M525" s="1056">
        <v>173372443</v>
      </c>
      <c r="N525" s="1056">
        <v>173372443</v>
      </c>
    </row>
    <row r="526" spans="1:14">
      <c r="A526" s="1049" t="s">
        <v>7139</v>
      </c>
      <c r="B526" s="1031" t="s">
        <v>3067</v>
      </c>
      <c r="C526" s="1056">
        <v>44078260</v>
      </c>
      <c r="D526" s="1056">
        <v>43645720</v>
      </c>
      <c r="E526" s="1056">
        <v>44078260</v>
      </c>
      <c r="F526" s="1056">
        <v>43645720</v>
      </c>
      <c r="G526" s="1056">
        <v>43645720</v>
      </c>
      <c r="H526" s="1056">
        <v>43645720</v>
      </c>
      <c r="I526" s="1056">
        <v>44078260</v>
      </c>
      <c r="J526" s="1056">
        <v>43645720</v>
      </c>
      <c r="K526" s="1056">
        <v>44078260</v>
      </c>
      <c r="L526" s="1056">
        <v>43645720</v>
      </c>
      <c r="M526" s="1056">
        <v>43645720</v>
      </c>
      <c r="N526" s="1056">
        <v>43645720</v>
      </c>
    </row>
    <row r="527" spans="1:14">
      <c r="A527" s="1049" t="s">
        <v>6178</v>
      </c>
      <c r="B527" s="1031" t="s">
        <v>3519</v>
      </c>
      <c r="C527" s="1056">
        <v>2123890411</v>
      </c>
      <c r="D527" s="1056">
        <v>2057394531</v>
      </c>
      <c r="E527" s="1056">
        <v>2123890411</v>
      </c>
      <c r="F527" s="1056">
        <v>2057394531</v>
      </c>
      <c r="G527" s="1056">
        <v>2079019422</v>
      </c>
      <c r="H527" s="1056">
        <v>2079019422</v>
      </c>
      <c r="I527" s="1056">
        <v>2123890411</v>
      </c>
      <c r="J527" s="1056">
        <v>2057394531</v>
      </c>
      <c r="K527" s="1056">
        <v>2123890411</v>
      </c>
      <c r="L527" s="1056">
        <v>2057394531</v>
      </c>
      <c r="M527" s="1056">
        <v>2079019422</v>
      </c>
      <c r="N527" s="1056">
        <v>2079019422</v>
      </c>
    </row>
    <row r="528" spans="1:14">
      <c r="A528" s="1049" t="s">
        <v>7145</v>
      </c>
      <c r="B528" s="1031" t="s">
        <v>3068</v>
      </c>
      <c r="C528" s="1056">
        <v>4019544293</v>
      </c>
      <c r="D528" s="1056">
        <v>3920959551</v>
      </c>
      <c r="E528" s="1056">
        <v>4019544293</v>
      </c>
      <c r="F528" s="1056">
        <v>3920959551</v>
      </c>
      <c r="G528" s="1056">
        <v>3925519057</v>
      </c>
      <c r="H528" s="1056">
        <v>3925519057</v>
      </c>
      <c r="I528" s="1056">
        <v>8174514943</v>
      </c>
      <c r="J528" s="1056">
        <v>8075930201</v>
      </c>
      <c r="K528" s="1056">
        <v>8174514943</v>
      </c>
      <c r="L528" s="1056">
        <v>8075930201</v>
      </c>
      <c r="M528" s="1056">
        <v>8080489707</v>
      </c>
      <c r="N528" s="1056">
        <v>8080489707</v>
      </c>
    </row>
    <row r="529" spans="1:14">
      <c r="A529" s="1049" t="s">
        <v>7147</v>
      </c>
      <c r="B529" s="1031" t="s">
        <v>3069</v>
      </c>
      <c r="C529" s="1056">
        <v>2462249296</v>
      </c>
      <c r="D529" s="1056">
        <v>2390401210</v>
      </c>
      <c r="E529" s="1056">
        <v>2371075056</v>
      </c>
      <c r="F529" s="1056">
        <v>2299226970</v>
      </c>
      <c r="G529" s="1056">
        <v>2402159713</v>
      </c>
      <c r="H529" s="1056">
        <v>2310985473</v>
      </c>
      <c r="I529" s="1056">
        <v>2753073086</v>
      </c>
      <c r="J529" s="1056">
        <v>2681225000</v>
      </c>
      <c r="K529" s="1056">
        <v>2661898846</v>
      </c>
      <c r="L529" s="1056">
        <v>2590050760</v>
      </c>
      <c r="M529" s="1056">
        <v>2692983503</v>
      </c>
      <c r="N529" s="1056">
        <v>2601809263</v>
      </c>
    </row>
    <row r="530" spans="1:14">
      <c r="A530" s="1049" t="s">
        <v>2808</v>
      </c>
      <c r="B530" s="1031" t="s">
        <v>3054</v>
      </c>
      <c r="C530" s="1056">
        <v>9792802317</v>
      </c>
      <c r="D530" s="1056">
        <v>9561111074</v>
      </c>
      <c r="E530" s="1056">
        <v>9792802317</v>
      </c>
      <c r="F530" s="1056">
        <v>9561111074</v>
      </c>
      <c r="G530" s="1056">
        <v>9612791454</v>
      </c>
      <c r="H530" s="1056">
        <v>9612791454</v>
      </c>
      <c r="I530" s="1056">
        <v>9792802317</v>
      </c>
      <c r="J530" s="1056">
        <v>9561111074</v>
      </c>
      <c r="K530" s="1056">
        <v>9792802317</v>
      </c>
      <c r="L530" s="1056">
        <v>9561111074</v>
      </c>
      <c r="M530" s="1056">
        <v>9612791454</v>
      </c>
      <c r="N530" s="1056">
        <v>9612791454</v>
      </c>
    </row>
    <row r="531" spans="1:14">
      <c r="A531" s="1049" t="s">
        <v>2810</v>
      </c>
      <c r="B531" s="1031" t="s">
        <v>6648</v>
      </c>
      <c r="C531" s="1056">
        <v>649679055</v>
      </c>
      <c r="D531" s="1056">
        <v>648742286</v>
      </c>
      <c r="E531" s="1056">
        <v>648771629</v>
      </c>
      <c r="F531" s="1056">
        <v>647834860</v>
      </c>
      <c r="G531" s="1056">
        <v>648801567</v>
      </c>
      <c r="H531" s="1056">
        <v>647894141</v>
      </c>
      <c r="I531" s="1056">
        <v>1137925585</v>
      </c>
      <c r="J531" s="1056">
        <v>1136988816</v>
      </c>
      <c r="K531" s="1056">
        <v>1137018159</v>
      </c>
      <c r="L531" s="1056">
        <v>1136081390</v>
      </c>
      <c r="M531" s="1056">
        <v>1137048097</v>
      </c>
      <c r="N531" s="1056">
        <v>1136140671</v>
      </c>
    </row>
    <row r="532" spans="1:14">
      <c r="A532" s="1049" t="s">
        <v>1859</v>
      </c>
      <c r="B532" s="1031" t="s">
        <v>3916</v>
      </c>
      <c r="C532" s="1056">
        <v>693254225</v>
      </c>
      <c r="D532" s="1056">
        <v>669686369</v>
      </c>
      <c r="E532" s="1056">
        <v>693254225</v>
      </c>
      <c r="F532" s="1056">
        <v>669686369</v>
      </c>
      <c r="G532" s="1056">
        <v>671813729</v>
      </c>
      <c r="H532" s="1056">
        <v>671813729</v>
      </c>
      <c r="I532" s="1056">
        <v>693254225</v>
      </c>
      <c r="J532" s="1056">
        <v>669686369</v>
      </c>
      <c r="K532" s="1056">
        <v>693254225</v>
      </c>
      <c r="L532" s="1056">
        <v>669686369</v>
      </c>
      <c r="M532" s="1056">
        <v>671813729</v>
      </c>
      <c r="N532" s="1056">
        <v>671813729</v>
      </c>
    </row>
    <row r="533" spans="1:14">
      <c r="A533" s="1049" t="s">
        <v>2812</v>
      </c>
      <c r="B533" s="1031" t="s">
        <v>6649</v>
      </c>
      <c r="C533" s="1056">
        <v>382880375</v>
      </c>
      <c r="D533" s="1056">
        <v>374422105</v>
      </c>
      <c r="E533" s="1056">
        <v>380037255</v>
      </c>
      <c r="F533" s="1056">
        <v>371578985</v>
      </c>
      <c r="G533" s="1056">
        <v>375089321</v>
      </c>
      <c r="H533" s="1056">
        <v>372246201</v>
      </c>
      <c r="I533" s="1056">
        <v>382880375</v>
      </c>
      <c r="J533" s="1056">
        <v>374422105</v>
      </c>
      <c r="K533" s="1056">
        <v>380037255</v>
      </c>
      <c r="L533" s="1056">
        <v>371578985</v>
      </c>
      <c r="M533" s="1056">
        <v>375089321</v>
      </c>
      <c r="N533" s="1056">
        <v>372246201</v>
      </c>
    </row>
    <row r="534" spans="1:14">
      <c r="A534" s="1049" t="s">
        <v>820</v>
      </c>
      <c r="B534" s="1031" t="s">
        <v>1843</v>
      </c>
      <c r="C534" s="1056">
        <v>1745316859</v>
      </c>
      <c r="D534" s="1056">
        <v>1708099134</v>
      </c>
      <c r="E534" s="1056">
        <v>1745316859</v>
      </c>
      <c r="F534" s="1056">
        <v>1708099134</v>
      </c>
      <c r="G534" s="1056">
        <v>1713488783</v>
      </c>
      <c r="H534" s="1056">
        <v>1713488783</v>
      </c>
      <c r="I534" s="1056">
        <v>1745316859</v>
      </c>
      <c r="J534" s="1056">
        <v>1708099134</v>
      </c>
      <c r="K534" s="1056">
        <v>1745316859</v>
      </c>
      <c r="L534" s="1056">
        <v>1708099134</v>
      </c>
      <c r="M534" s="1056">
        <v>1713488783</v>
      </c>
      <c r="N534" s="1056">
        <v>1713488783</v>
      </c>
    </row>
    <row r="535" spans="1:14">
      <c r="A535" s="1049" t="s">
        <v>127</v>
      </c>
      <c r="B535" s="1031" t="s">
        <v>7655</v>
      </c>
      <c r="C535" s="1056">
        <v>78913174</v>
      </c>
      <c r="D535" s="1056">
        <v>75171381</v>
      </c>
      <c r="E535" s="1056">
        <v>78913174</v>
      </c>
      <c r="F535" s="1056">
        <v>75171381</v>
      </c>
      <c r="G535" s="1056">
        <v>75410820</v>
      </c>
      <c r="H535" s="1056">
        <v>75410820</v>
      </c>
      <c r="I535" s="1056">
        <v>78913174</v>
      </c>
      <c r="J535" s="1056">
        <v>75171381</v>
      </c>
      <c r="K535" s="1056">
        <v>78913174</v>
      </c>
      <c r="L535" s="1056">
        <v>75171381</v>
      </c>
      <c r="M535" s="1056">
        <v>75410820</v>
      </c>
      <c r="N535" s="1056">
        <v>75410820</v>
      </c>
    </row>
    <row r="536" spans="1:14">
      <c r="A536" s="1049" t="s">
        <v>6189</v>
      </c>
      <c r="B536" s="1031" t="s">
        <v>3625</v>
      </c>
      <c r="C536" s="1056">
        <v>266153558</v>
      </c>
      <c r="D536" s="1056">
        <v>255451939</v>
      </c>
      <c r="E536" s="1056">
        <v>266153558</v>
      </c>
      <c r="F536" s="1056">
        <v>255451939</v>
      </c>
      <c r="G536" s="1056">
        <v>256487826</v>
      </c>
      <c r="H536" s="1056">
        <v>256487826</v>
      </c>
      <c r="I536" s="1056">
        <v>266153558</v>
      </c>
      <c r="J536" s="1056">
        <v>255451939</v>
      </c>
      <c r="K536" s="1056">
        <v>266153558</v>
      </c>
      <c r="L536" s="1056">
        <v>255451939</v>
      </c>
      <c r="M536" s="1056">
        <v>256487826</v>
      </c>
      <c r="N536" s="1056">
        <v>256487826</v>
      </c>
    </row>
    <row r="537" spans="1:14">
      <c r="A537" s="1049" t="s">
        <v>5130</v>
      </c>
      <c r="B537" s="1031" t="s">
        <v>349</v>
      </c>
      <c r="C537" s="1056">
        <v>133966189</v>
      </c>
      <c r="D537" s="1056">
        <v>129108102</v>
      </c>
      <c r="E537" s="1056">
        <v>133966189</v>
      </c>
      <c r="F537" s="1056">
        <v>129108102</v>
      </c>
      <c r="G537" s="1056">
        <v>129423168</v>
      </c>
      <c r="H537" s="1056">
        <v>129423168</v>
      </c>
      <c r="I537" s="1056">
        <v>133966189</v>
      </c>
      <c r="J537" s="1056">
        <v>129108102</v>
      </c>
      <c r="K537" s="1056">
        <v>133966189</v>
      </c>
      <c r="L537" s="1056">
        <v>129108102</v>
      </c>
      <c r="M537" s="1056">
        <v>129423168</v>
      </c>
      <c r="N537" s="1056">
        <v>129423168</v>
      </c>
    </row>
    <row r="538" spans="1:14">
      <c r="A538" s="1049" t="s">
        <v>2815</v>
      </c>
      <c r="B538" s="1031" t="s">
        <v>6650</v>
      </c>
      <c r="C538" s="1056">
        <v>61302858</v>
      </c>
      <c r="D538" s="1056">
        <v>60760652</v>
      </c>
      <c r="E538" s="1056">
        <v>61176833</v>
      </c>
      <c r="F538" s="1056">
        <v>60634627</v>
      </c>
      <c r="G538" s="1056">
        <v>60825748</v>
      </c>
      <c r="H538" s="1056">
        <v>60699723</v>
      </c>
      <c r="I538" s="1056">
        <v>61302858</v>
      </c>
      <c r="J538" s="1056">
        <v>60760652</v>
      </c>
      <c r="K538" s="1056">
        <v>61176833</v>
      </c>
      <c r="L538" s="1056">
        <v>60634627</v>
      </c>
      <c r="M538" s="1056">
        <v>60825748</v>
      </c>
      <c r="N538" s="1056">
        <v>60699723</v>
      </c>
    </row>
    <row r="539" spans="1:14">
      <c r="A539" s="1049" t="s">
        <v>3888</v>
      </c>
      <c r="B539" s="1031" t="s">
        <v>7678</v>
      </c>
      <c r="C539" s="1056">
        <v>1450494668</v>
      </c>
      <c r="D539" s="1056">
        <v>1414541553</v>
      </c>
      <c r="E539" s="1056">
        <v>1450494668</v>
      </c>
      <c r="F539" s="1056">
        <v>1414541553</v>
      </c>
      <c r="G539" s="1056">
        <v>1421328754</v>
      </c>
      <c r="H539" s="1056">
        <v>1421328754</v>
      </c>
      <c r="I539" s="1056">
        <v>1450494668</v>
      </c>
      <c r="J539" s="1056">
        <v>1414541553</v>
      </c>
      <c r="K539" s="1056">
        <v>1450494668</v>
      </c>
      <c r="L539" s="1056">
        <v>1414541553</v>
      </c>
      <c r="M539" s="1056">
        <v>1421328754</v>
      </c>
      <c r="N539" s="1056">
        <v>1421328754</v>
      </c>
    </row>
    <row r="540" spans="1:14">
      <c r="A540" s="1049" t="s">
        <v>977</v>
      </c>
      <c r="B540" s="1031" t="s">
        <v>2147</v>
      </c>
      <c r="C540" s="1056">
        <v>3562070843</v>
      </c>
      <c r="D540" s="1056">
        <v>3433879510</v>
      </c>
      <c r="E540" s="1056">
        <v>3562070843</v>
      </c>
      <c r="F540" s="1056">
        <v>3433879510</v>
      </c>
      <c r="G540" s="1056">
        <v>3445677367</v>
      </c>
      <c r="H540" s="1056">
        <v>3445677367</v>
      </c>
      <c r="I540" s="1056">
        <v>3562070843</v>
      </c>
      <c r="J540" s="1056">
        <v>3433879510</v>
      </c>
      <c r="K540" s="1056">
        <v>3562070843</v>
      </c>
      <c r="L540" s="1056">
        <v>3433879510</v>
      </c>
      <c r="M540" s="1056">
        <v>3445677367</v>
      </c>
      <c r="N540" s="1056">
        <v>3445677367</v>
      </c>
    </row>
    <row r="541" spans="1:14">
      <c r="A541" s="1049" t="s">
        <v>739</v>
      </c>
      <c r="B541" s="1031" t="s">
        <v>6113</v>
      </c>
      <c r="C541" s="1056">
        <v>2607150901</v>
      </c>
      <c r="D541" s="1056">
        <v>2535294137</v>
      </c>
      <c r="E541" s="1056">
        <v>2607150901</v>
      </c>
      <c r="F541" s="1056">
        <v>2535294137</v>
      </c>
      <c r="G541" s="1056">
        <v>2554638422</v>
      </c>
      <c r="H541" s="1056">
        <v>2554638422</v>
      </c>
      <c r="I541" s="1056">
        <v>2607150901</v>
      </c>
      <c r="J541" s="1056">
        <v>2535294137</v>
      </c>
      <c r="K541" s="1056">
        <v>2607150901</v>
      </c>
      <c r="L541" s="1056">
        <v>2535294137</v>
      </c>
      <c r="M541" s="1056">
        <v>2554638422</v>
      </c>
      <c r="N541" s="1056">
        <v>2554638422</v>
      </c>
    </row>
    <row r="542" spans="1:14">
      <c r="A542" s="1049" t="s">
        <v>1855</v>
      </c>
      <c r="B542" s="1031" t="s">
        <v>4968</v>
      </c>
      <c r="C542" s="1056">
        <v>288430122</v>
      </c>
      <c r="D542" s="1056">
        <v>277249116</v>
      </c>
      <c r="E542" s="1056">
        <v>288430122</v>
      </c>
      <c r="F542" s="1056">
        <v>277249116</v>
      </c>
      <c r="G542" s="1056">
        <v>280216830</v>
      </c>
      <c r="H542" s="1056">
        <v>280216830</v>
      </c>
      <c r="I542" s="1056">
        <v>288430122</v>
      </c>
      <c r="J542" s="1056">
        <v>277249116</v>
      </c>
      <c r="K542" s="1056">
        <v>288430122</v>
      </c>
      <c r="L542" s="1056">
        <v>277249116</v>
      </c>
      <c r="M542" s="1056">
        <v>280216830</v>
      </c>
      <c r="N542" s="1056">
        <v>280216830</v>
      </c>
    </row>
    <row r="543" spans="1:14">
      <c r="A543" s="1049" t="s">
        <v>6025</v>
      </c>
      <c r="B543" s="1031" t="s">
        <v>1910</v>
      </c>
      <c r="C543" s="1056">
        <v>1360024532</v>
      </c>
      <c r="D543" s="1056">
        <v>1306089227</v>
      </c>
      <c r="E543" s="1056">
        <v>1360024532</v>
      </c>
      <c r="F543" s="1056">
        <v>1306089227</v>
      </c>
      <c r="G543" s="1056">
        <v>1315855283</v>
      </c>
      <c r="H543" s="1056">
        <v>1315855283</v>
      </c>
      <c r="I543" s="1056">
        <v>1360024532</v>
      </c>
      <c r="J543" s="1056">
        <v>1306089227</v>
      </c>
      <c r="K543" s="1056">
        <v>1360024532</v>
      </c>
      <c r="L543" s="1056">
        <v>1306089227</v>
      </c>
      <c r="M543" s="1056">
        <v>1315855283</v>
      </c>
      <c r="N543" s="1056">
        <v>1315855283</v>
      </c>
    </row>
    <row r="544" spans="1:14">
      <c r="A544" s="1049" t="s">
        <v>2817</v>
      </c>
      <c r="B544" s="1031" t="s">
        <v>6651</v>
      </c>
      <c r="C544" s="1056">
        <v>156137176</v>
      </c>
      <c r="D544" s="1056">
        <v>149935646</v>
      </c>
      <c r="E544" s="1056">
        <v>156137176</v>
      </c>
      <c r="F544" s="1056">
        <v>149935646</v>
      </c>
      <c r="G544" s="1056">
        <v>153024653</v>
      </c>
      <c r="H544" s="1056">
        <v>153024653</v>
      </c>
      <c r="I544" s="1056">
        <v>156137176</v>
      </c>
      <c r="J544" s="1056">
        <v>149935646</v>
      </c>
      <c r="K544" s="1056">
        <v>156137176</v>
      </c>
      <c r="L544" s="1056">
        <v>149935646</v>
      </c>
      <c r="M544" s="1056">
        <v>153024653</v>
      </c>
      <c r="N544" s="1056">
        <v>153024653</v>
      </c>
    </row>
    <row r="545" spans="1:14">
      <c r="A545" s="1049" t="s">
        <v>128</v>
      </c>
      <c r="B545" s="1031" t="s">
        <v>362</v>
      </c>
      <c r="C545" s="1056">
        <v>273606735</v>
      </c>
      <c r="D545" s="1056">
        <v>263872408</v>
      </c>
      <c r="E545" s="1056">
        <v>273606735</v>
      </c>
      <c r="F545" s="1056">
        <v>263872408</v>
      </c>
      <c r="G545" s="1056">
        <v>265646910</v>
      </c>
      <c r="H545" s="1056">
        <v>265646910</v>
      </c>
      <c r="I545" s="1056">
        <v>273606735</v>
      </c>
      <c r="J545" s="1056">
        <v>263872408</v>
      </c>
      <c r="K545" s="1056">
        <v>273606735</v>
      </c>
      <c r="L545" s="1056">
        <v>263872408</v>
      </c>
      <c r="M545" s="1056">
        <v>265646910</v>
      </c>
      <c r="N545" s="1056">
        <v>265646910</v>
      </c>
    </row>
    <row r="546" spans="1:14">
      <c r="A546" s="1049" t="s">
        <v>3551</v>
      </c>
      <c r="B546" s="1031" t="s">
        <v>7131</v>
      </c>
      <c r="C546" s="1056">
        <v>252190304</v>
      </c>
      <c r="D546" s="1056">
        <v>238946223</v>
      </c>
      <c r="E546" s="1056">
        <v>252190304</v>
      </c>
      <c r="F546" s="1056">
        <v>238946223</v>
      </c>
      <c r="G546" s="1056">
        <v>240386513</v>
      </c>
      <c r="H546" s="1056">
        <v>240386513</v>
      </c>
      <c r="I546" s="1056">
        <v>252190304</v>
      </c>
      <c r="J546" s="1056">
        <v>238946223</v>
      </c>
      <c r="K546" s="1056">
        <v>252190304</v>
      </c>
      <c r="L546" s="1056">
        <v>238946223</v>
      </c>
      <c r="M546" s="1056">
        <v>240386513</v>
      </c>
      <c r="N546" s="1056">
        <v>240386513</v>
      </c>
    </row>
    <row r="547" spans="1:14">
      <c r="A547" s="1049" t="s">
        <v>1851</v>
      </c>
      <c r="B547" s="1031" t="s">
        <v>126</v>
      </c>
      <c r="C547" s="1056">
        <v>1011449696</v>
      </c>
      <c r="D547" s="1056">
        <v>998140791</v>
      </c>
      <c r="E547" s="1056">
        <v>1011449696</v>
      </c>
      <c r="F547" s="1056">
        <v>998140791</v>
      </c>
      <c r="G547" s="1056">
        <v>1001278474</v>
      </c>
      <c r="H547" s="1056">
        <v>1001278474</v>
      </c>
      <c r="I547" s="1056">
        <v>1011449696</v>
      </c>
      <c r="J547" s="1056">
        <v>998140791</v>
      </c>
      <c r="K547" s="1056">
        <v>1011449696</v>
      </c>
      <c r="L547" s="1056">
        <v>998140791</v>
      </c>
      <c r="M547" s="1056">
        <v>1001278474</v>
      </c>
      <c r="N547" s="1056">
        <v>1001278474</v>
      </c>
    </row>
    <row r="548" spans="1:14">
      <c r="A548" s="1049" t="s">
        <v>267</v>
      </c>
      <c r="B548" s="1031" t="s">
        <v>7684</v>
      </c>
      <c r="C548" s="1056">
        <v>137998172</v>
      </c>
      <c r="D548" s="1056">
        <v>128847122</v>
      </c>
      <c r="E548" s="1056">
        <v>137998172</v>
      </c>
      <c r="F548" s="1056">
        <v>128847122</v>
      </c>
      <c r="G548" s="1056">
        <v>128847122</v>
      </c>
      <c r="H548" s="1056">
        <v>128847122</v>
      </c>
      <c r="I548" s="1056">
        <v>137998172</v>
      </c>
      <c r="J548" s="1056">
        <v>128847122</v>
      </c>
      <c r="K548" s="1056">
        <v>137998172</v>
      </c>
      <c r="L548" s="1056">
        <v>128847122</v>
      </c>
      <c r="M548" s="1056">
        <v>128847122</v>
      </c>
      <c r="N548" s="1056">
        <v>128847122</v>
      </c>
    </row>
    <row r="549" spans="1:14">
      <c r="A549" s="1049" t="s">
        <v>2819</v>
      </c>
      <c r="B549" s="1031" t="s">
        <v>6652</v>
      </c>
      <c r="C549" s="1056">
        <v>168520601</v>
      </c>
      <c r="D549" s="1056">
        <v>164504111</v>
      </c>
      <c r="E549" s="1056">
        <v>168520601</v>
      </c>
      <c r="F549" s="1056">
        <v>164504111</v>
      </c>
      <c r="G549" s="1056">
        <v>164504111</v>
      </c>
      <c r="H549" s="1056">
        <v>164504111</v>
      </c>
      <c r="I549" s="1056">
        <v>168520601</v>
      </c>
      <c r="J549" s="1056">
        <v>164504111</v>
      </c>
      <c r="K549" s="1056">
        <v>168520601</v>
      </c>
      <c r="L549" s="1056">
        <v>164504111</v>
      </c>
      <c r="M549" s="1056">
        <v>164504111</v>
      </c>
      <c r="N549" s="1056">
        <v>164504111</v>
      </c>
    </row>
    <row r="550" spans="1:14">
      <c r="A550" s="1049" t="s">
        <v>1863</v>
      </c>
      <c r="B550" s="1031" t="s">
        <v>3839</v>
      </c>
      <c r="C550" s="1056">
        <v>130434700</v>
      </c>
      <c r="D550" s="1056">
        <v>119099230</v>
      </c>
      <c r="E550" s="1056">
        <v>130434700</v>
      </c>
      <c r="F550" s="1056">
        <v>119099230</v>
      </c>
      <c r="G550" s="1056">
        <v>119099230</v>
      </c>
      <c r="H550" s="1056">
        <v>119099230</v>
      </c>
      <c r="I550" s="1056">
        <v>130434700</v>
      </c>
      <c r="J550" s="1056">
        <v>119099230</v>
      </c>
      <c r="K550" s="1056">
        <v>130434700</v>
      </c>
      <c r="L550" s="1056">
        <v>119099230</v>
      </c>
      <c r="M550" s="1056">
        <v>119099230</v>
      </c>
      <c r="N550" s="1056">
        <v>119099230</v>
      </c>
    </row>
    <row r="551" spans="1:14">
      <c r="A551" s="1049" t="s">
        <v>449</v>
      </c>
      <c r="B551" s="1031" t="s">
        <v>6155</v>
      </c>
      <c r="C551" s="1056">
        <v>97932916</v>
      </c>
      <c r="D551" s="1056">
        <v>95958840</v>
      </c>
      <c r="E551" s="1056">
        <v>97932916</v>
      </c>
      <c r="F551" s="1056">
        <v>95958840</v>
      </c>
      <c r="G551" s="1056">
        <v>95958840</v>
      </c>
      <c r="H551" s="1056">
        <v>95958840</v>
      </c>
      <c r="I551" s="1056">
        <v>97932916</v>
      </c>
      <c r="J551" s="1056">
        <v>95958840</v>
      </c>
      <c r="K551" s="1056">
        <v>97932916</v>
      </c>
      <c r="L551" s="1056">
        <v>95958840</v>
      </c>
      <c r="M551" s="1056">
        <v>95958840</v>
      </c>
      <c r="N551" s="1056">
        <v>95958840</v>
      </c>
    </row>
    <row r="552" spans="1:14">
      <c r="A552" s="1049" t="s">
        <v>5138</v>
      </c>
      <c r="B552" s="1031" t="s">
        <v>2354</v>
      </c>
      <c r="C552" s="1056">
        <v>89515264</v>
      </c>
      <c r="D552" s="1056">
        <v>83709174</v>
      </c>
      <c r="E552" s="1056">
        <v>89515264</v>
      </c>
      <c r="F552" s="1056">
        <v>83709174</v>
      </c>
      <c r="G552" s="1056">
        <v>83709174</v>
      </c>
      <c r="H552" s="1056">
        <v>83709174</v>
      </c>
      <c r="I552" s="1056">
        <v>89515264</v>
      </c>
      <c r="J552" s="1056">
        <v>83709174</v>
      </c>
      <c r="K552" s="1056">
        <v>89515264</v>
      </c>
      <c r="L552" s="1056">
        <v>83709174</v>
      </c>
      <c r="M552" s="1056">
        <v>83709174</v>
      </c>
      <c r="N552" s="1056">
        <v>83709174</v>
      </c>
    </row>
    <row r="553" spans="1:14">
      <c r="A553" s="1049" t="s">
        <v>6027</v>
      </c>
      <c r="B553" s="1031" t="s">
        <v>1912</v>
      </c>
      <c r="C553" s="1056">
        <v>6480471744</v>
      </c>
      <c r="D553" s="1056">
        <v>6471007978</v>
      </c>
      <c r="E553" s="1056">
        <v>6480471744</v>
      </c>
      <c r="F553" s="1056">
        <v>6471007978</v>
      </c>
      <c r="G553" s="1056">
        <v>6471817558</v>
      </c>
      <c r="H553" s="1056">
        <v>6471817558</v>
      </c>
      <c r="I553" s="1056">
        <v>6480471744</v>
      </c>
      <c r="J553" s="1056">
        <v>6471007978</v>
      </c>
      <c r="K553" s="1056">
        <v>6480471744</v>
      </c>
      <c r="L553" s="1056">
        <v>6471007978</v>
      </c>
      <c r="M553" s="1056">
        <v>6471817558</v>
      </c>
      <c r="N553" s="1056">
        <v>6471817558</v>
      </c>
    </row>
    <row r="554" spans="1:14">
      <c r="A554" s="1049" t="s">
        <v>450</v>
      </c>
      <c r="B554" s="1031" t="s">
        <v>1917</v>
      </c>
      <c r="C554" s="1056">
        <v>1865227815</v>
      </c>
      <c r="D554" s="1056">
        <v>1857790538</v>
      </c>
      <c r="E554" s="1056">
        <v>1865227815</v>
      </c>
      <c r="F554" s="1056">
        <v>1857790538</v>
      </c>
      <c r="G554" s="1056">
        <v>1858512413</v>
      </c>
      <c r="H554" s="1056">
        <v>1858512413</v>
      </c>
      <c r="I554" s="1056">
        <v>1865227815</v>
      </c>
      <c r="J554" s="1056">
        <v>1857790538</v>
      </c>
      <c r="K554" s="1056">
        <v>1865227815</v>
      </c>
      <c r="L554" s="1056">
        <v>1857790538</v>
      </c>
      <c r="M554" s="1056">
        <v>1858512413</v>
      </c>
      <c r="N554" s="1056">
        <v>1858512413</v>
      </c>
    </row>
    <row r="555" spans="1:14">
      <c r="A555" s="1049" t="s">
        <v>516</v>
      </c>
      <c r="B555" s="1031" t="s">
        <v>6653</v>
      </c>
      <c r="C555" s="1056">
        <v>1165216172</v>
      </c>
      <c r="D555" s="1056">
        <v>1162801939</v>
      </c>
      <c r="E555" s="1056">
        <v>1165216172</v>
      </c>
      <c r="F555" s="1056">
        <v>1162801939</v>
      </c>
      <c r="G555" s="1056">
        <v>1162953006</v>
      </c>
      <c r="H555" s="1056">
        <v>1162953006</v>
      </c>
      <c r="I555" s="1056">
        <v>1165216172</v>
      </c>
      <c r="J555" s="1056">
        <v>1162801939</v>
      </c>
      <c r="K555" s="1056">
        <v>1165216172</v>
      </c>
      <c r="L555" s="1056">
        <v>1162801939</v>
      </c>
      <c r="M555" s="1056">
        <v>1162953006</v>
      </c>
      <c r="N555" s="1056">
        <v>1162953006</v>
      </c>
    </row>
    <row r="556" spans="1:14">
      <c r="A556" s="1049" t="s">
        <v>1525</v>
      </c>
      <c r="B556" s="1031" t="s">
        <v>1931</v>
      </c>
      <c r="C556" s="1056">
        <v>1041932357</v>
      </c>
      <c r="D556" s="1056">
        <v>1037112749</v>
      </c>
      <c r="E556" s="1056">
        <v>1041932357</v>
      </c>
      <c r="F556" s="1056">
        <v>1037112749</v>
      </c>
      <c r="G556" s="1056">
        <v>1037463961</v>
      </c>
      <c r="H556" s="1056">
        <v>1037463961</v>
      </c>
      <c r="I556" s="1056">
        <v>1041932357</v>
      </c>
      <c r="J556" s="1056">
        <v>1037112749</v>
      </c>
      <c r="K556" s="1056">
        <v>1041932357</v>
      </c>
      <c r="L556" s="1056">
        <v>1037112749</v>
      </c>
      <c r="M556" s="1056">
        <v>1037463961</v>
      </c>
      <c r="N556" s="1056">
        <v>1037463961</v>
      </c>
    </row>
    <row r="557" spans="1:14">
      <c r="A557" s="1049" t="s">
        <v>244</v>
      </c>
      <c r="B557" s="1031" t="s">
        <v>1665</v>
      </c>
      <c r="C557" s="1056">
        <v>573544734</v>
      </c>
      <c r="D557" s="1056">
        <v>541844442</v>
      </c>
      <c r="E557" s="1056">
        <v>573544734</v>
      </c>
      <c r="F557" s="1056">
        <v>541844442</v>
      </c>
      <c r="G557" s="1056">
        <v>545493956</v>
      </c>
      <c r="H557" s="1056">
        <v>545493956</v>
      </c>
      <c r="I557" s="1056">
        <v>573544734</v>
      </c>
      <c r="J557" s="1056">
        <v>541844442</v>
      </c>
      <c r="K557" s="1056">
        <v>573544734</v>
      </c>
      <c r="L557" s="1056">
        <v>541844442</v>
      </c>
      <c r="M557" s="1056">
        <v>545493956</v>
      </c>
      <c r="N557" s="1056">
        <v>545493956</v>
      </c>
    </row>
    <row r="558" spans="1:14">
      <c r="A558" s="1049" t="s">
        <v>1308</v>
      </c>
      <c r="B558" s="1031" t="s">
        <v>113</v>
      </c>
      <c r="C558" s="1056">
        <v>2527491985</v>
      </c>
      <c r="D558" s="1056">
        <v>2447875199</v>
      </c>
      <c r="E558" s="1056">
        <v>2527491985</v>
      </c>
      <c r="F558" s="1056">
        <v>2447875199</v>
      </c>
      <c r="G558" s="1056">
        <v>2456317212</v>
      </c>
      <c r="H558" s="1056">
        <v>2456317212</v>
      </c>
      <c r="I558" s="1056">
        <v>2527491985</v>
      </c>
      <c r="J558" s="1056">
        <v>2447875199</v>
      </c>
      <c r="K558" s="1056">
        <v>2527491985</v>
      </c>
      <c r="L558" s="1056">
        <v>2447875199</v>
      </c>
      <c r="M558" s="1056">
        <v>2456317212</v>
      </c>
      <c r="N558" s="1056">
        <v>2456317212</v>
      </c>
    </row>
    <row r="559" spans="1:14">
      <c r="A559" s="1049" t="s">
        <v>6029</v>
      </c>
      <c r="B559" s="1031" t="s">
        <v>1914</v>
      </c>
      <c r="C559" s="1056">
        <v>603047952</v>
      </c>
      <c r="D559" s="1056">
        <v>569395032</v>
      </c>
      <c r="E559" s="1056">
        <v>603047952</v>
      </c>
      <c r="F559" s="1056">
        <v>569395032</v>
      </c>
      <c r="G559" s="1056">
        <v>577339878</v>
      </c>
      <c r="H559" s="1056">
        <v>577339878</v>
      </c>
      <c r="I559" s="1056">
        <v>603047952</v>
      </c>
      <c r="J559" s="1056">
        <v>569395032</v>
      </c>
      <c r="K559" s="1056">
        <v>603047952</v>
      </c>
      <c r="L559" s="1056">
        <v>569395032</v>
      </c>
      <c r="M559" s="1056">
        <v>577339878</v>
      </c>
      <c r="N559" s="1056">
        <v>577339878</v>
      </c>
    </row>
    <row r="560" spans="1:14">
      <c r="A560" s="1049" t="s">
        <v>6031</v>
      </c>
      <c r="B560" s="1031" t="s">
        <v>1916</v>
      </c>
      <c r="C560" s="1056">
        <v>316290044</v>
      </c>
      <c r="D560" s="1056">
        <v>297036597</v>
      </c>
      <c r="E560" s="1056">
        <v>316290044</v>
      </c>
      <c r="F560" s="1056">
        <v>297036597</v>
      </c>
      <c r="G560" s="1056">
        <v>298406788</v>
      </c>
      <c r="H560" s="1056">
        <v>298406788</v>
      </c>
      <c r="I560" s="1056">
        <v>316290044</v>
      </c>
      <c r="J560" s="1056">
        <v>297036597</v>
      </c>
      <c r="K560" s="1056">
        <v>316290044</v>
      </c>
      <c r="L560" s="1056">
        <v>297036597</v>
      </c>
      <c r="M560" s="1056">
        <v>298406788</v>
      </c>
      <c r="N560" s="1056">
        <v>298406788</v>
      </c>
    </row>
    <row r="561" spans="1:14">
      <c r="A561" s="1049" t="s">
        <v>5628</v>
      </c>
      <c r="B561" s="1031" t="s">
        <v>6654</v>
      </c>
      <c r="C561" s="1056">
        <v>1077205674</v>
      </c>
      <c r="D561" s="1056">
        <v>1036793374</v>
      </c>
      <c r="E561" s="1056">
        <v>1077205674</v>
      </c>
      <c r="F561" s="1056">
        <v>1036793374</v>
      </c>
      <c r="G561" s="1056">
        <v>1052788809</v>
      </c>
      <c r="H561" s="1056">
        <v>1052788809</v>
      </c>
      <c r="I561" s="1056">
        <v>1077205674</v>
      </c>
      <c r="J561" s="1056">
        <v>1036793374</v>
      </c>
      <c r="K561" s="1056">
        <v>1077205674</v>
      </c>
      <c r="L561" s="1056">
        <v>1036793374</v>
      </c>
      <c r="M561" s="1056">
        <v>1052788809</v>
      </c>
      <c r="N561" s="1056">
        <v>1052788809</v>
      </c>
    </row>
    <row r="562" spans="1:14">
      <c r="A562" s="1049" t="s">
        <v>5630</v>
      </c>
      <c r="B562" s="1031" t="s">
        <v>6655</v>
      </c>
      <c r="C562" s="1056">
        <v>1341318644</v>
      </c>
      <c r="D562" s="1056">
        <v>1295200559</v>
      </c>
      <c r="E562" s="1056">
        <v>1341318644</v>
      </c>
      <c r="F562" s="1056">
        <v>1295200559</v>
      </c>
      <c r="G562" s="1056">
        <v>1306519463</v>
      </c>
      <c r="H562" s="1056">
        <v>1306519463</v>
      </c>
      <c r="I562" s="1056">
        <v>1341318644</v>
      </c>
      <c r="J562" s="1056">
        <v>1295200559</v>
      </c>
      <c r="K562" s="1056">
        <v>1341318644</v>
      </c>
      <c r="L562" s="1056">
        <v>1295200559</v>
      </c>
      <c r="M562" s="1056">
        <v>1306519463</v>
      </c>
      <c r="N562" s="1056">
        <v>1306519463</v>
      </c>
    </row>
    <row r="563" spans="1:14">
      <c r="A563" s="1049" t="s">
        <v>2395</v>
      </c>
      <c r="B563" s="1031" t="s">
        <v>1462</v>
      </c>
      <c r="C563" s="1056">
        <v>151884642</v>
      </c>
      <c r="D563" s="1056">
        <v>142281277</v>
      </c>
      <c r="E563" s="1056">
        <v>151884642</v>
      </c>
      <c r="F563" s="1056">
        <v>142281277</v>
      </c>
      <c r="G563" s="1056">
        <v>145311197</v>
      </c>
      <c r="H563" s="1056">
        <v>145311197</v>
      </c>
      <c r="I563" s="1056">
        <v>151884642</v>
      </c>
      <c r="J563" s="1056">
        <v>142281277</v>
      </c>
      <c r="K563" s="1056">
        <v>151884642</v>
      </c>
      <c r="L563" s="1056">
        <v>142281277</v>
      </c>
      <c r="M563" s="1056">
        <v>145311197</v>
      </c>
      <c r="N563" s="1056">
        <v>145311197</v>
      </c>
    </row>
    <row r="564" spans="1:14">
      <c r="A564" s="1049" t="s">
        <v>5632</v>
      </c>
      <c r="B564" s="1031" t="s">
        <v>6656</v>
      </c>
      <c r="C564" s="1056">
        <v>5283127075</v>
      </c>
      <c r="D564" s="1056">
        <v>5185849965</v>
      </c>
      <c r="E564" s="1056">
        <v>5283127075</v>
      </c>
      <c r="F564" s="1056">
        <v>5185849965</v>
      </c>
      <c r="G564" s="1056">
        <v>5255251357</v>
      </c>
      <c r="H564" s="1056">
        <v>5255251357</v>
      </c>
      <c r="I564" s="1056">
        <v>5283127075</v>
      </c>
      <c r="J564" s="1056">
        <v>5185849965</v>
      </c>
      <c r="K564" s="1056">
        <v>5283127075</v>
      </c>
      <c r="L564" s="1056">
        <v>5185849965</v>
      </c>
      <c r="M564" s="1056">
        <v>5255251357</v>
      </c>
      <c r="N564" s="1056">
        <v>5255251357</v>
      </c>
    </row>
    <row r="565" spans="1:14">
      <c r="A565" s="1049" t="s">
        <v>6147</v>
      </c>
      <c r="B565" s="1031" t="s">
        <v>6657</v>
      </c>
      <c r="C565" s="1056">
        <v>731944056</v>
      </c>
      <c r="D565" s="1056">
        <v>713628018</v>
      </c>
      <c r="E565" s="1056">
        <v>731944056</v>
      </c>
      <c r="F565" s="1056">
        <v>713628018</v>
      </c>
      <c r="G565" s="1056">
        <v>720138927</v>
      </c>
      <c r="H565" s="1056">
        <v>720138927</v>
      </c>
      <c r="I565" s="1056">
        <v>731944056</v>
      </c>
      <c r="J565" s="1056">
        <v>713628018</v>
      </c>
      <c r="K565" s="1056">
        <v>731944056</v>
      </c>
      <c r="L565" s="1056">
        <v>713628018</v>
      </c>
      <c r="M565" s="1056">
        <v>720138927</v>
      </c>
      <c r="N565" s="1056">
        <v>720138927</v>
      </c>
    </row>
    <row r="566" spans="1:14">
      <c r="A566" s="1049" t="s">
        <v>5612</v>
      </c>
      <c r="B566" s="1031" t="s">
        <v>6658</v>
      </c>
      <c r="C566" s="1056">
        <v>789585094</v>
      </c>
      <c r="D566" s="1056">
        <v>789444049</v>
      </c>
      <c r="E566" s="1056">
        <v>789340049</v>
      </c>
      <c r="F566" s="1056">
        <v>789199004</v>
      </c>
      <c r="G566" s="1056">
        <v>789574094</v>
      </c>
      <c r="H566" s="1056">
        <v>789329049</v>
      </c>
      <c r="I566" s="1056">
        <v>925601354</v>
      </c>
      <c r="J566" s="1056">
        <v>925460309</v>
      </c>
      <c r="K566" s="1056">
        <v>925356309</v>
      </c>
      <c r="L566" s="1056">
        <v>925215264</v>
      </c>
      <c r="M566" s="1056">
        <v>925590354</v>
      </c>
      <c r="N566" s="1056">
        <v>925345309</v>
      </c>
    </row>
    <row r="567" spans="1:14">
      <c r="A567" s="1049" t="s">
        <v>1419</v>
      </c>
      <c r="B567" s="1031" t="s">
        <v>6659</v>
      </c>
      <c r="C567" s="1056">
        <v>805368415</v>
      </c>
      <c r="D567" s="1056">
        <v>804281005</v>
      </c>
      <c r="E567" s="1056">
        <v>804462800</v>
      </c>
      <c r="F567" s="1056">
        <v>803375390</v>
      </c>
      <c r="G567" s="1056">
        <v>804281005</v>
      </c>
      <c r="H567" s="1056">
        <v>803375390</v>
      </c>
      <c r="I567" s="1056">
        <v>805368415</v>
      </c>
      <c r="J567" s="1056">
        <v>804281005</v>
      </c>
      <c r="K567" s="1056">
        <v>804462800</v>
      </c>
      <c r="L567" s="1056">
        <v>803375390</v>
      </c>
      <c r="M567" s="1056">
        <v>804281005</v>
      </c>
      <c r="N567" s="1056">
        <v>803375390</v>
      </c>
    </row>
    <row r="568" spans="1:14">
      <c r="A568" s="1049" t="s">
        <v>2469</v>
      </c>
      <c r="B568" s="1031" t="s">
        <v>6105</v>
      </c>
      <c r="C568" s="1056">
        <v>244486770</v>
      </c>
      <c r="D568" s="1056">
        <v>236285503</v>
      </c>
      <c r="E568" s="1056">
        <v>244486770</v>
      </c>
      <c r="F568" s="1056">
        <v>236285503</v>
      </c>
      <c r="G568" s="1056">
        <v>240038594</v>
      </c>
      <c r="H568" s="1056">
        <v>240038594</v>
      </c>
      <c r="I568" s="1056">
        <v>244486770</v>
      </c>
      <c r="J568" s="1056">
        <v>236285503</v>
      </c>
      <c r="K568" s="1056">
        <v>244486770</v>
      </c>
      <c r="L568" s="1056">
        <v>236285503</v>
      </c>
      <c r="M568" s="1056">
        <v>240038594</v>
      </c>
      <c r="N568" s="1056">
        <v>240038594</v>
      </c>
    </row>
    <row r="569" spans="1:14">
      <c r="A569" s="1049" t="s">
        <v>1421</v>
      </c>
      <c r="B569" s="1031" t="s">
        <v>6660</v>
      </c>
      <c r="C569" s="1056">
        <v>346847568</v>
      </c>
      <c r="D569" s="1056">
        <v>342118149</v>
      </c>
      <c r="E569" s="1056">
        <v>346847568</v>
      </c>
      <c r="F569" s="1056">
        <v>342118149</v>
      </c>
      <c r="G569" s="1056">
        <v>349118411</v>
      </c>
      <c r="H569" s="1056">
        <v>349118411</v>
      </c>
      <c r="I569" s="1056">
        <v>346847568</v>
      </c>
      <c r="J569" s="1056">
        <v>342118149</v>
      </c>
      <c r="K569" s="1056">
        <v>346847568</v>
      </c>
      <c r="L569" s="1056">
        <v>342118149</v>
      </c>
      <c r="M569" s="1056">
        <v>349118411</v>
      </c>
      <c r="N569" s="1056">
        <v>349118411</v>
      </c>
    </row>
    <row r="570" spans="1:14">
      <c r="A570" s="1049" t="s">
        <v>1423</v>
      </c>
      <c r="B570" s="1031" t="s">
        <v>6661</v>
      </c>
      <c r="C570" s="1056">
        <v>2408407078</v>
      </c>
      <c r="D570" s="1056">
        <v>2329511033</v>
      </c>
      <c r="E570" s="1056">
        <v>2408407078</v>
      </c>
      <c r="F570" s="1056">
        <v>2329511033</v>
      </c>
      <c r="G570" s="1056">
        <v>2399792813</v>
      </c>
      <c r="H570" s="1056">
        <v>2399792813</v>
      </c>
      <c r="I570" s="1056">
        <v>2408407078</v>
      </c>
      <c r="J570" s="1056">
        <v>2329511033</v>
      </c>
      <c r="K570" s="1056">
        <v>2408407078</v>
      </c>
      <c r="L570" s="1056">
        <v>2329511033</v>
      </c>
      <c r="M570" s="1056">
        <v>2399792813</v>
      </c>
      <c r="N570" s="1056">
        <v>2399792813</v>
      </c>
    </row>
    <row r="571" spans="1:14">
      <c r="A571" s="1049" t="s">
        <v>1425</v>
      </c>
      <c r="B571" s="1031" t="s">
        <v>6662</v>
      </c>
      <c r="C571" s="1056">
        <v>459942127</v>
      </c>
      <c r="D571" s="1056">
        <v>440334401</v>
      </c>
      <c r="E571" s="1056">
        <v>459942127</v>
      </c>
      <c r="F571" s="1056">
        <v>440334401</v>
      </c>
      <c r="G571" s="1056">
        <v>449414637</v>
      </c>
      <c r="H571" s="1056">
        <v>449414637</v>
      </c>
      <c r="I571" s="1056">
        <v>459942127</v>
      </c>
      <c r="J571" s="1056">
        <v>440334401</v>
      </c>
      <c r="K571" s="1056">
        <v>459942127</v>
      </c>
      <c r="L571" s="1056">
        <v>440334401</v>
      </c>
      <c r="M571" s="1056">
        <v>449414637</v>
      </c>
      <c r="N571" s="1056">
        <v>449414637</v>
      </c>
    </row>
    <row r="572" spans="1:14">
      <c r="A572" s="1049" t="s">
        <v>7151</v>
      </c>
      <c r="B572" s="1031" t="s">
        <v>6663</v>
      </c>
      <c r="C572" s="1056">
        <v>54082840</v>
      </c>
      <c r="D572" s="1056">
        <v>53706350</v>
      </c>
      <c r="E572" s="1056">
        <v>54082840</v>
      </c>
      <c r="F572" s="1056">
        <v>53706350</v>
      </c>
      <c r="G572" s="1056">
        <v>53811762</v>
      </c>
      <c r="H572" s="1056">
        <v>53811762</v>
      </c>
      <c r="I572" s="1056">
        <v>54082840</v>
      </c>
      <c r="J572" s="1056">
        <v>53706350</v>
      </c>
      <c r="K572" s="1056">
        <v>54082840</v>
      </c>
      <c r="L572" s="1056">
        <v>53706350</v>
      </c>
      <c r="M572" s="1056">
        <v>53811762</v>
      </c>
      <c r="N572" s="1056">
        <v>53811762</v>
      </c>
    </row>
    <row r="573" spans="1:14">
      <c r="A573" s="1049" t="s">
        <v>7153</v>
      </c>
      <c r="B573" s="1031" t="s">
        <v>6664</v>
      </c>
      <c r="C573" s="1056">
        <v>387660865</v>
      </c>
      <c r="D573" s="1056">
        <v>377929440</v>
      </c>
      <c r="E573" s="1056">
        <v>387660865</v>
      </c>
      <c r="F573" s="1056">
        <v>377929440</v>
      </c>
      <c r="G573" s="1056">
        <v>377929440</v>
      </c>
      <c r="H573" s="1056">
        <v>377929440</v>
      </c>
      <c r="I573" s="1056">
        <v>387660865</v>
      </c>
      <c r="J573" s="1056">
        <v>377929440</v>
      </c>
      <c r="K573" s="1056">
        <v>387660865</v>
      </c>
      <c r="L573" s="1056">
        <v>377929440</v>
      </c>
      <c r="M573" s="1056">
        <v>377929440</v>
      </c>
      <c r="N573" s="1056">
        <v>377929440</v>
      </c>
    </row>
    <row r="574" spans="1:14">
      <c r="A574" s="1049" t="s">
        <v>6426</v>
      </c>
      <c r="B574" s="1031" t="s">
        <v>6665</v>
      </c>
      <c r="C574" s="1056">
        <v>284066215</v>
      </c>
      <c r="D574" s="1056">
        <v>283884125</v>
      </c>
      <c r="E574" s="1056">
        <v>283937207</v>
      </c>
      <c r="F574" s="1056">
        <v>283755117</v>
      </c>
      <c r="G574" s="1056">
        <v>283884125</v>
      </c>
      <c r="H574" s="1056">
        <v>283755117</v>
      </c>
      <c r="I574" s="1056">
        <v>284066215</v>
      </c>
      <c r="J574" s="1056">
        <v>283884125</v>
      </c>
      <c r="K574" s="1056">
        <v>283937207</v>
      </c>
      <c r="L574" s="1056">
        <v>283755117</v>
      </c>
      <c r="M574" s="1056">
        <v>283884125</v>
      </c>
      <c r="N574" s="1056">
        <v>283755117</v>
      </c>
    </row>
    <row r="575" spans="1:14">
      <c r="A575" s="1049" t="s">
        <v>1835</v>
      </c>
      <c r="B575" s="1031" t="s">
        <v>6666</v>
      </c>
      <c r="C575" s="1056">
        <v>251385100</v>
      </c>
      <c r="D575" s="1056">
        <v>243667555</v>
      </c>
      <c r="E575" s="1056">
        <v>251385100</v>
      </c>
      <c r="F575" s="1056">
        <v>243667555</v>
      </c>
      <c r="G575" s="1056">
        <v>244617555</v>
      </c>
      <c r="H575" s="1056">
        <v>244617555</v>
      </c>
      <c r="I575" s="1056">
        <v>377285100</v>
      </c>
      <c r="J575" s="1056">
        <v>369567555</v>
      </c>
      <c r="K575" s="1056">
        <v>377285100</v>
      </c>
      <c r="L575" s="1056">
        <v>369567555</v>
      </c>
      <c r="M575" s="1056">
        <v>370517555</v>
      </c>
      <c r="N575" s="1056">
        <v>370517555</v>
      </c>
    </row>
    <row r="576" spans="1:14">
      <c r="A576" s="1049" t="s">
        <v>510</v>
      </c>
      <c r="B576" s="1031" t="s">
        <v>1921</v>
      </c>
      <c r="C576" s="1056">
        <v>746539302</v>
      </c>
      <c r="D576" s="1056">
        <v>710478081</v>
      </c>
      <c r="E576" s="1056">
        <v>746539302</v>
      </c>
      <c r="F576" s="1056">
        <v>710478081</v>
      </c>
      <c r="G576" s="1056">
        <v>710478081</v>
      </c>
      <c r="H576" s="1056">
        <v>710478081</v>
      </c>
      <c r="I576" s="1056">
        <v>746539302</v>
      </c>
      <c r="J576" s="1056">
        <v>710478081</v>
      </c>
      <c r="K576" s="1056">
        <v>746539302</v>
      </c>
      <c r="L576" s="1056">
        <v>710478081</v>
      </c>
      <c r="M576" s="1056">
        <v>710478081</v>
      </c>
      <c r="N576" s="1056">
        <v>710478081</v>
      </c>
    </row>
    <row r="577" spans="1:14">
      <c r="A577" s="1049" t="s">
        <v>3530</v>
      </c>
      <c r="B577" s="1031" t="s">
        <v>6667</v>
      </c>
      <c r="C577" s="1056">
        <v>142275989</v>
      </c>
      <c r="D577" s="1056">
        <v>134638283</v>
      </c>
      <c r="E577" s="1056">
        <v>137995024</v>
      </c>
      <c r="F577" s="1056">
        <v>130357318</v>
      </c>
      <c r="G577" s="1056">
        <v>134638283</v>
      </c>
      <c r="H577" s="1056">
        <v>130357318</v>
      </c>
      <c r="I577" s="1056">
        <v>142275989</v>
      </c>
      <c r="J577" s="1056">
        <v>134638283</v>
      </c>
      <c r="K577" s="1056">
        <v>137995024</v>
      </c>
      <c r="L577" s="1056">
        <v>130357318</v>
      </c>
      <c r="M577" s="1056">
        <v>134638283</v>
      </c>
      <c r="N577" s="1056">
        <v>130357318</v>
      </c>
    </row>
    <row r="578" spans="1:14">
      <c r="A578" s="1049" t="s">
        <v>3532</v>
      </c>
      <c r="B578" s="1031" t="s">
        <v>6668</v>
      </c>
      <c r="C578" s="1056">
        <v>222485934</v>
      </c>
      <c r="D578" s="1056">
        <v>218974010</v>
      </c>
      <c r="E578" s="1056">
        <v>218535635</v>
      </c>
      <c r="F578" s="1056">
        <v>215023711</v>
      </c>
      <c r="G578" s="1056">
        <v>218974010</v>
      </c>
      <c r="H578" s="1056">
        <v>215023711</v>
      </c>
      <c r="I578" s="1056">
        <v>222485934</v>
      </c>
      <c r="J578" s="1056">
        <v>218974010</v>
      </c>
      <c r="K578" s="1056">
        <v>218535635</v>
      </c>
      <c r="L578" s="1056">
        <v>215023711</v>
      </c>
      <c r="M578" s="1056">
        <v>218974010</v>
      </c>
      <c r="N578" s="1056">
        <v>215023711</v>
      </c>
    </row>
    <row r="579" spans="1:14">
      <c r="A579" s="1049" t="s">
        <v>3534</v>
      </c>
      <c r="B579" s="1031" t="s">
        <v>6669</v>
      </c>
      <c r="C579" s="1056">
        <v>195078438</v>
      </c>
      <c r="D579" s="1056">
        <v>195078438</v>
      </c>
      <c r="E579" s="1056">
        <v>195078438</v>
      </c>
      <c r="F579" s="1056">
        <v>195078438</v>
      </c>
      <c r="G579" s="1056">
        <v>195078438</v>
      </c>
      <c r="H579" s="1056">
        <v>195078438</v>
      </c>
      <c r="I579" s="1056">
        <v>195078438</v>
      </c>
      <c r="J579" s="1056">
        <v>195078438</v>
      </c>
      <c r="K579" s="1056">
        <v>195078438</v>
      </c>
      <c r="L579" s="1056">
        <v>195078438</v>
      </c>
      <c r="M579" s="1056">
        <v>195078438</v>
      </c>
      <c r="N579" s="1056">
        <v>195078438</v>
      </c>
    </row>
    <row r="580" spans="1:14">
      <c r="A580" s="1049" t="s">
        <v>511</v>
      </c>
      <c r="B580" s="1031" t="s">
        <v>5639</v>
      </c>
      <c r="C580" s="1056">
        <v>112280550</v>
      </c>
      <c r="D580" s="1056">
        <v>109635300</v>
      </c>
      <c r="E580" s="1056">
        <v>112280550</v>
      </c>
      <c r="F580" s="1056">
        <v>109635300</v>
      </c>
      <c r="G580" s="1056">
        <v>109635300</v>
      </c>
      <c r="H580" s="1056">
        <v>109635300</v>
      </c>
      <c r="I580" s="1056">
        <v>112280550</v>
      </c>
      <c r="J580" s="1056">
        <v>109635300</v>
      </c>
      <c r="K580" s="1056">
        <v>112280550</v>
      </c>
      <c r="L580" s="1056">
        <v>109635300</v>
      </c>
      <c r="M580" s="1056">
        <v>109635300</v>
      </c>
      <c r="N580" s="1056">
        <v>109635300</v>
      </c>
    </row>
    <row r="581" spans="1:14">
      <c r="A581" s="1049" t="s">
        <v>3539</v>
      </c>
      <c r="B581" s="1031" t="s">
        <v>6670</v>
      </c>
      <c r="C581" s="1056">
        <v>64974764</v>
      </c>
      <c r="D581" s="1056">
        <v>61986014</v>
      </c>
      <c r="E581" s="1056">
        <v>64974764</v>
      </c>
      <c r="F581" s="1056">
        <v>61986014</v>
      </c>
      <c r="G581" s="1056">
        <v>61986014</v>
      </c>
      <c r="H581" s="1056">
        <v>61986014</v>
      </c>
      <c r="I581" s="1056">
        <v>64974764</v>
      </c>
      <c r="J581" s="1056">
        <v>61986014</v>
      </c>
      <c r="K581" s="1056">
        <v>64974764</v>
      </c>
      <c r="L581" s="1056">
        <v>61986014</v>
      </c>
      <c r="M581" s="1056">
        <v>61986014</v>
      </c>
      <c r="N581" s="1056">
        <v>61986014</v>
      </c>
    </row>
    <row r="582" spans="1:14">
      <c r="A582" s="1049" t="s">
        <v>3541</v>
      </c>
      <c r="B582" s="1031" t="s">
        <v>6671</v>
      </c>
      <c r="C582" s="1056">
        <v>53046980</v>
      </c>
      <c r="D582" s="1056">
        <v>52564670</v>
      </c>
      <c r="E582" s="1056">
        <v>53046980</v>
      </c>
      <c r="F582" s="1056">
        <v>52564670</v>
      </c>
      <c r="G582" s="1056">
        <v>52564670</v>
      </c>
      <c r="H582" s="1056">
        <v>52564670</v>
      </c>
      <c r="I582" s="1056">
        <v>53046980</v>
      </c>
      <c r="J582" s="1056">
        <v>52564670</v>
      </c>
      <c r="K582" s="1056">
        <v>53046980</v>
      </c>
      <c r="L582" s="1056">
        <v>52564670</v>
      </c>
      <c r="M582" s="1056">
        <v>52564670</v>
      </c>
      <c r="N582" s="1056">
        <v>52564670</v>
      </c>
    </row>
    <row r="583" spans="1:14">
      <c r="A583" s="1049" t="s">
        <v>3543</v>
      </c>
      <c r="B583" s="1031" t="s">
        <v>278</v>
      </c>
      <c r="C583" s="1056">
        <v>781553519</v>
      </c>
      <c r="D583" s="1056">
        <v>772641400</v>
      </c>
      <c r="E583" s="1056">
        <v>781553519</v>
      </c>
      <c r="F583" s="1056">
        <v>772641400</v>
      </c>
      <c r="G583" s="1056">
        <v>773731948</v>
      </c>
      <c r="H583" s="1056">
        <v>773731948</v>
      </c>
      <c r="I583" s="1056">
        <v>781553519</v>
      </c>
      <c r="J583" s="1056">
        <v>772641400</v>
      </c>
      <c r="K583" s="1056">
        <v>781553519</v>
      </c>
      <c r="L583" s="1056">
        <v>772641400</v>
      </c>
      <c r="M583" s="1056">
        <v>773731948</v>
      </c>
      <c r="N583" s="1056">
        <v>773731948</v>
      </c>
    </row>
    <row r="584" spans="1:14">
      <c r="A584" s="1049" t="s">
        <v>129</v>
      </c>
      <c r="B584" s="1031" t="s">
        <v>372</v>
      </c>
      <c r="C584" s="1056">
        <v>99043537</v>
      </c>
      <c r="D584" s="1056">
        <v>96272803</v>
      </c>
      <c r="E584" s="1056">
        <v>99043537</v>
      </c>
      <c r="F584" s="1056">
        <v>96272803</v>
      </c>
      <c r="G584" s="1056">
        <v>96723220</v>
      </c>
      <c r="H584" s="1056">
        <v>96723220</v>
      </c>
      <c r="I584" s="1056">
        <v>99043537</v>
      </c>
      <c r="J584" s="1056">
        <v>96272803</v>
      </c>
      <c r="K584" s="1056">
        <v>99043537</v>
      </c>
      <c r="L584" s="1056">
        <v>96272803</v>
      </c>
      <c r="M584" s="1056">
        <v>96723220</v>
      </c>
      <c r="N584" s="1056">
        <v>96723220</v>
      </c>
    </row>
    <row r="585" spans="1:14">
      <c r="A585" s="1049" t="s">
        <v>6193</v>
      </c>
      <c r="B585" s="1031" t="s">
        <v>3891</v>
      </c>
      <c r="C585" s="1056">
        <v>717929276</v>
      </c>
      <c r="D585" s="1056">
        <v>682927654</v>
      </c>
      <c r="E585" s="1056">
        <v>717929276</v>
      </c>
      <c r="F585" s="1056">
        <v>682927654</v>
      </c>
      <c r="G585" s="1056">
        <v>685074596</v>
      </c>
      <c r="H585" s="1056">
        <v>685074596</v>
      </c>
      <c r="I585" s="1056">
        <v>717929276</v>
      </c>
      <c r="J585" s="1056">
        <v>682927654</v>
      </c>
      <c r="K585" s="1056">
        <v>717929276</v>
      </c>
      <c r="L585" s="1056">
        <v>682927654</v>
      </c>
      <c r="M585" s="1056">
        <v>685074596</v>
      </c>
      <c r="N585" s="1056">
        <v>685074596</v>
      </c>
    </row>
    <row r="586" spans="1:14">
      <c r="A586" s="1049" t="s">
        <v>2674</v>
      </c>
      <c r="B586" s="1031" t="s">
        <v>279</v>
      </c>
      <c r="C586" s="1056">
        <v>1089121389</v>
      </c>
      <c r="D586" s="1056">
        <v>1045059275</v>
      </c>
      <c r="E586" s="1056">
        <v>1089121389</v>
      </c>
      <c r="F586" s="1056">
        <v>1045059275</v>
      </c>
      <c r="G586" s="1056">
        <v>1053445550</v>
      </c>
      <c r="H586" s="1056">
        <v>1053445550</v>
      </c>
      <c r="I586" s="1056">
        <v>1089121389</v>
      </c>
      <c r="J586" s="1056">
        <v>1045059275</v>
      </c>
      <c r="K586" s="1056">
        <v>1089121389</v>
      </c>
      <c r="L586" s="1056">
        <v>1045059275</v>
      </c>
      <c r="M586" s="1056">
        <v>1053445550</v>
      </c>
      <c r="N586" s="1056">
        <v>1053445550</v>
      </c>
    </row>
    <row r="587" spans="1:14">
      <c r="A587" s="1049" t="s">
        <v>512</v>
      </c>
      <c r="B587" s="1031" t="s">
        <v>348</v>
      </c>
      <c r="C587" s="1056">
        <v>212154412</v>
      </c>
      <c r="D587" s="1056">
        <v>197408963</v>
      </c>
      <c r="E587" s="1056">
        <v>212154412</v>
      </c>
      <c r="F587" s="1056">
        <v>197408963</v>
      </c>
      <c r="G587" s="1056">
        <v>198982114</v>
      </c>
      <c r="H587" s="1056">
        <v>198982114</v>
      </c>
      <c r="I587" s="1056">
        <v>212154412</v>
      </c>
      <c r="J587" s="1056">
        <v>197408963</v>
      </c>
      <c r="K587" s="1056">
        <v>212154412</v>
      </c>
      <c r="L587" s="1056">
        <v>197408963</v>
      </c>
      <c r="M587" s="1056">
        <v>198982114</v>
      </c>
      <c r="N587" s="1056">
        <v>198982114</v>
      </c>
    </row>
    <row r="588" spans="1:14">
      <c r="A588" s="1049" t="s">
        <v>600</v>
      </c>
      <c r="B588" s="1031" t="s">
        <v>280</v>
      </c>
      <c r="C588" s="1056">
        <v>43636463</v>
      </c>
      <c r="D588" s="1056">
        <v>42785688</v>
      </c>
      <c r="E588" s="1056">
        <v>43636463</v>
      </c>
      <c r="F588" s="1056">
        <v>42785688</v>
      </c>
      <c r="G588" s="1056">
        <v>42957312</v>
      </c>
      <c r="H588" s="1056">
        <v>42957312</v>
      </c>
      <c r="I588" s="1056">
        <v>43636463</v>
      </c>
      <c r="J588" s="1056">
        <v>42785688</v>
      </c>
      <c r="K588" s="1056">
        <v>43636463</v>
      </c>
      <c r="L588" s="1056">
        <v>42785688</v>
      </c>
      <c r="M588" s="1056">
        <v>42957312</v>
      </c>
      <c r="N588" s="1056">
        <v>42957312</v>
      </c>
    </row>
    <row r="589" spans="1:14">
      <c r="A589" s="1049" t="s">
        <v>602</v>
      </c>
      <c r="B589" s="1031" t="s">
        <v>281</v>
      </c>
      <c r="C589" s="1056">
        <v>214017646</v>
      </c>
      <c r="D589" s="1056">
        <v>205743282</v>
      </c>
      <c r="E589" s="1056">
        <v>214017646</v>
      </c>
      <c r="F589" s="1056">
        <v>205743282</v>
      </c>
      <c r="G589" s="1056">
        <v>207481455</v>
      </c>
      <c r="H589" s="1056">
        <v>207481455</v>
      </c>
      <c r="I589" s="1056">
        <v>214017646</v>
      </c>
      <c r="J589" s="1056">
        <v>205743282</v>
      </c>
      <c r="K589" s="1056">
        <v>214017646</v>
      </c>
      <c r="L589" s="1056">
        <v>205743282</v>
      </c>
      <c r="M589" s="1056">
        <v>207481455</v>
      </c>
      <c r="N589" s="1056">
        <v>207481455</v>
      </c>
    </row>
    <row r="590" spans="1:14">
      <c r="A590" s="1049" t="s">
        <v>6188</v>
      </c>
      <c r="B590" s="1031" t="s">
        <v>3836</v>
      </c>
      <c r="C590" s="1056">
        <v>134069447</v>
      </c>
      <c r="D590" s="1056">
        <v>130540677</v>
      </c>
      <c r="E590" s="1056">
        <v>134069447</v>
      </c>
      <c r="F590" s="1056">
        <v>130540677</v>
      </c>
      <c r="G590" s="1056">
        <v>131186034</v>
      </c>
      <c r="H590" s="1056">
        <v>131186034</v>
      </c>
      <c r="I590" s="1056">
        <v>134069447</v>
      </c>
      <c r="J590" s="1056">
        <v>130540677</v>
      </c>
      <c r="K590" s="1056">
        <v>134069447</v>
      </c>
      <c r="L590" s="1056">
        <v>130540677</v>
      </c>
      <c r="M590" s="1056">
        <v>131186034</v>
      </c>
      <c r="N590" s="1056">
        <v>131186034</v>
      </c>
    </row>
    <row r="591" spans="1:14">
      <c r="A591" s="1049" t="s">
        <v>2018</v>
      </c>
      <c r="B591" s="1031" t="s">
        <v>283</v>
      </c>
      <c r="C591" s="1056">
        <v>80279369</v>
      </c>
      <c r="D591" s="1056">
        <v>78430865</v>
      </c>
      <c r="E591" s="1056">
        <v>80279369</v>
      </c>
      <c r="F591" s="1056">
        <v>78430865</v>
      </c>
      <c r="G591" s="1056">
        <v>78745480</v>
      </c>
      <c r="H591" s="1056">
        <v>78745480</v>
      </c>
      <c r="I591" s="1056">
        <v>80279369</v>
      </c>
      <c r="J591" s="1056">
        <v>78430865</v>
      </c>
      <c r="K591" s="1056">
        <v>80279369</v>
      </c>
      <c r="L591" s="1056">
        <v>78430865</v>
      </c>
      <c r="M591" s="1056">
        <v>78745480</v>
      </c>
      <c r="N591" s="1056">
        <v>78745480</v>
      </c>
    </row>
    <row r="592" spans="1:14">
      <c r="A592" s="1049" t="s">
        <v>2020</v>
      </c>
      <c r="B592" s="1031" t="s">
        <v>284</v>
      </c>
      <c r="C592" s="1056">
        <v>403825745</v>
      </c>
      <c r="D592" s="1056">
        <v>401642238</v>
      </c>
      <c r="E592" s="1056">
        <v>403825745</v>
      </c>
      <c r="F592" s="1056">
        <v>401642238</v>
      </c>
      <c r="G592" s="1056">
        <v>401820697</v>
      </c>
      <c r="H592" s="1056">
        <v>401820697</v>
      </c>
      <c r="I592" s="1056">
        <v>403825745</v>
      </c>
      <c r="J592" s="1056">
        <v>401642238</v>
      </c>
      <c r="K592" s="1056">
        <v>403825745</v>
      </c>
      <c r="L592" s="1056">
        <v>401642238</v>
      </c>
      <c r="M592" s="1056">
        <v>401820697</v>
      </c>
      <c r="N592" s="1056">
        <v>401820697</v>
      </c>
    </row>
    <row r="593" spans="1:14">
      <c r="A593" s="1049" t="s">
        <v>2024</v>
      </c>
      <c r="B593" s="1031" t="s">
        <v>285</v>
      </c>
      <c r="C593" s="1056">
        <v>1052331050</v>
      </c>
      <c r="D593" s="1056">
        <v>1003284572</v>
      </c>
      <c r="E593" s="1056">
        <v>1052331050</v>
      </c>
      <c r="F593" s="1056">
        <v>1003284572</v>
      </c>
      <c r="G593" s="1056">
        <v>1003284572</v>
      </c>
      <c r="H593" s="1056">
        <v>1003284572</v>
      </c>
      <c r="I593" s="1056">
        <v>1052331050</v>
      </c>
      <c r="J593" s="1056">
        <v>1003284572</v>
      </c>
      <c r="K593" s="1056">
        <v>1052331050</v>
      </c>
      <c r="L593" s="1056">
        <v>1003284572</v>
      </c>
      <c r="M593" s="1056">
        <v>1003284572</v>
      </c>
      <c r="N593" s="1056">
        <v>1003284572</v>
      </c>
    </row>
    <row r="594" spans="1:14">
      <c r="A594" s="1049" t="s">
        <v>2026</v>
      </c>
      <c r="B594" s="1031" t="s">
        <v>286</v>
      </c>
      <c r="C594" s="1056">
        <v>126090614</v>
      </c>
      <c r="D594" s="1056">
        <v>122898334</v>
      </c>
      <c r="E594" s="1056">
        <v>126090614</v>
      </c>
      <c r="F594" s="1056">
        <v>122898334</v>
      </c>
      <c r="G594" s="1056">
        <v>122944584</v>
      </c>
      <c r="H594" s="1056">
        <v>122944584</v>
      </c>
      <c r="I594" s="1056">
        <v>126090614</v>
      </c>
      <c r="J594" s="1056">
        <v>122898334</v>
      </c>
      <c r="K594" s="1056">
        <v>126090614</v>
      </c>
      <c r="L594" s="1056">
        <v>122898334</v>
      </c>
      <c r="M594" s="1056">
        <v>122944584</v>
      </c>
      <c r="N594" s="1056">
        <v>122944584</v>
      </c>
    </row>
    <row r="595" spans="1:14">
      <c r="A595" s="1049" t="s">
        <v>242</v>
      </c>
      <c r="B595" s="1031" t="s">
        <v>2650</v>
      </c>
      <c r="C595" s="1056">
        <v>7036251238</v>
      </c>
      <c r="D595" s="1056">
        <v>7029139505</v>
      </c>
      <c r="E595" s="1056">
        <v>7036251238</v>
      </c>
      <c r="F595" s="1056">
        <v>7029139505</v>
      </c>
      <c r="G595" s="1056">
        <v>7029206325</v>
      </c>
      <c r="H595" s="1056">
        <v>7029206325</v>
      </c>
      <c r="I595" s="1056">
        <v>7036251238</v>
      </c>
      <c r="J595" s="1056">
        <v>7029139505</v>
      </c>
      <c r="K595" s="1056">
        <v>7036251238</v>
      </c>
      <c r="L595" s="1056">
        <v>7029139505</v>
      </c>
      <c r="M595" s="1056">
        <v>7029206325</v>
      </c>
      <c r="N595" s="1056">
        <v>7029206325</v>
      </c>
    </row>
    <row r="596" spans="1:14">
      <c r="A596" s="1049" t="s">
        <v>2028</v>
      </c>
      <c r="B596" s="1031" t="s">
        <v>287</v>
      </c>
      <c r="C596" s="1056">
        <v>759027339</v>
      </c>
      <c r="D596" s="1056">
        <v>740675332</v>
      </c>
      <c r="E596" s="1056">
        <v>759027339</v>
      </c>
      <c r="F596" s="1056">
        <v>740675332</v>
      </c>
      <c r="G596" s="1056">
        <v>743613137</v>
      </c>
      <c r="H596" s="1056">
        <v>743613137</v>
      </c>
      <c r="I596" s="1056">
        <v>759027339</v>
      </c>
      <c r="J596" s="1056">
        <v>740675332</v>
      </c>
      <c r="K596" s="1056">
        <v>759027339</v>
      </c>
      <c r="L596" s="1056">
        <v>740675332</v>
      </c>
      <c r="M596" s="1056">
        <v>743613137</v>
      </c>
      <c r="N596" s="1056">
        <v>743613137</v>
      </c>
    </row>
    <row r="597" spans="1:14">
      <c r="A597" s="1049" t="s">
        <v>2030</v>
      </c>
      <c r="B597" s="1031" t="s">
        <v>288</v>
      </c>
      <c r="C597" s="1056">
        <v>604019712</v>
      </c>
      <c r="D597" s="1056">
        <v>597910810</v>
      </c>
      <c r="E597" s="1056">
        <v>598335835</v>
      </c>
      <c r="F597" s="1056">
        <v>592226933</v>
      </c>
      <c r="G597" s="1056">
        <v>598680290</v>
      </c>
      <c r="H597" s="1056">
        <v>592996413</v>
      </c>
      <c r="I597" s="1056">
        <v>604019712</v>
      </c>
      <c r="J597" s="1056">
        <v>597910810</v>
      </c>
      <c r="K597" s="1056">
        <v>598335835</v>
      </c>
      <c r="L597" s="1056">
        <v>592226933</v>
      </c>
      <c r="M597" s="1056">
        <v>598680290</v>
      </c>
      <c r="N597" s="1056">
        <v>592996413</v>
      </c>
    </row>
    <row r="598" spans="1:14">
      <c r="A598" s="1049" t="s">
        <v>2032</v>
      </c>
      <c r="B598" s="1031" t="s">
        <v>289</v>
      </c>
      <c r="C598" s="1056">
        <v>814644354</v>
      </c>
      <c r="D598" s="1056">
        <v>802725382</v>
      </c>
      <c r="E598" s="1056">
        <v>814644354</v>
      </c>
      <c r="F598" s="1056">
        <v>802725382</v>
      </c>
      <c r="G598" s="1056">
        <v>805222305</v>
      </c>
      <c r="H598" s="1056">
        <v>805222305</v>
      </c>
      <c r="I598" s="1056">
        <v>814644354</v>
      </c>
      <c r="J598" s="1056">
        <v>802725382</v>
      </c>
      <c r="K598" s="1056">
        <v>814644354</v>
      </c>
      <c r="L598" s="1056">
        <v>802725382</v>
      </c>
      <c r="M598" s="1056">
        <v>805222305</v>
      </c>
      <c r="N598" s="1056">
        <v>805222305</v>
      </c>
    </row>
    <row r="599" spans="1:14">
      <c r="A599" s="1049" t="s">
        <v>2034</v>
      </c>
      <c r="B599" s="1031" t="s">
        <v>290</v>
      </c>
      <c r="C599" s="1056">
        <v>59731122</v>
      </c>
      <c r="D599" s="1056">
        <v>57300663</v>
      </c>
      <c r="E599" s="1056">
        <v>56958914</v>
      </c>
      <c r="F599" s="1056">
        <v>54528455</v>
      </c>
      <c r="G599" s="1056">
        <v>57674028</v>
      </c>
      <c r="H599" s="1056">
        <v>54901820</v>
      </c>
      <c r="I599" s="1056">
        <v>59731122</v>
      </c>
      <c r="J599" s="1056">
        <v>57300663</v>
      </c>
      <c r="K599" s="1056">
        <v>56958914</v>
      </c>
      <c r="L599" s="1056">
        <v>54528455</v>
      </c>
      <c r="M599" s="1056">
        <v>57674028</v>
      </c>
      <c r="N599" s="1056">
        <v>54901820</v>
      </c>
    </row>
    <row r="600" spans="1:14">
      <c r="A600" s="1049" t="s">
        <v>2036</v>
      </c>
      <c r="B600" s="1031" t="s">
        <v>291</v>
      </c>
      <c r="C600" s="1056">
        <v>65591258</v>
      </c>
      <c r="D600" s="1056">
        <v>62958251</v>
      </c>
      <c r="E600" s="1056">
        <v>65591258</v>
      </c>
      <c r="F600" s="1056">
        <v>62958251</v>
      </c>
      <c r="G600" s="1056">
        <v>63314886</v>
      </c>
      <c r="H600" s="1056">
        <v>63314886</v>
      </c>
      <c r="I600" s="1056">
        <v>65591258</v>
      </c>
      <c r="J600" s="1056">
        <v>62958251</v>
      </c>
      <c r="K600" s="1056">
        <v>65591258</v>
      </c>
      <c r="L600" s="1056">
        <v>62958251</v>
      </c>
      <c r="M600" s="1056">
        <v>63314886</v>
      </c>
      <c r="N600" s="1056">
        <v>63314886</v>
      </c>
    </row>
    <row r="601" spans="1:14">
      <c r="A601" s="1049" t="s">
        <v>308</v>
      </c>
      <c r="B601" s="1031" t="s">
        <v>292</v>
      </c>
      <c r="C601" s="1056">
        <v>101257054</v>
      </c>
      <c r="D601" s="1056">
        <v>98867282</v>
      </c>
      <c r="E601" s="1056">
        <v>98765966</v>
      </c>
      <c r="F601" s="1056">
        <v>96376194</v>
      </c>
      <c r="G601" s="1056">
        <v>99103282</v>
      </c>
      <c r="H601" s="1056">
        <v>96612194</v>
      </c>
      <c r="I601" s="1056">
        <v>101257054</v>
      </c>
      <c r="J601" s="1056">
        <v>98867282</v>
      </c>
      <c r="K601" s="1056">
        <v>98765966</v>
      </c>
      <c r="L601" s="1056">
        <v>96376194</v>
      </c>
      <c r="M601" s="1056">
        <v>99103282</v>
      </c>
      <c r="N601" s="1056">
        <v>96612194</v>
      </c>
    </row>
    <row r="602" spans="1:14">
      <c r="A602" s="1049" t="s">
        <v>310</v>
      </c>
      <c r="B602" s="1031" t="s">
        <v>293</v>
      </c>
      <c r="C602" s="1056">
        <v>806243987</v>
      </c>
      <c r="D602" s="1056">
        <v>785896786</v>
      </c>
      <c r="E602" s="1056">
        <v>794201596</v>
      </c>
      <c r="F602" s="1056">
        <v>773854395</v>
      </c>
      <c r="G602" s="1056">
        <v>787206500</v>
      </c>
      <c r="H602" s="1056">
        <v>775164109</v>
      </c>
      <c r="I602" s="1056">
        <v>806243987</v>
      </c>
      <c r="J602" s="1056">
        <v>785896786</v>
      </c>
      <c r="K602" s="1056">
        <v>794201596</v>
      </c>
      <c r="L602" s="1056">
        <v>773854395</v>
      </c>
      <c r="M602" s="1056">
        <v>787206500</v>
      </c>
      <c r="N602" s="1056">
        <v>775164109</v>
      </c>
    </row>
    <row r="603" spans="1:14">
      <c r="A603" s="1049" t="s">
        <v>312</v>
      </c>
      <c r="B603" s="1031" t="s">
        <v>294</v>
      </c>
      <c r="C603" s="1056">
        <v>382005704</v>
      </c>
      <c r="D603" s="1056">
        <v>368216776</v>
      </c>
      <c r="E603" s="1056">
        <v>378872957</v>
      </c>
      <c r="F603" s="1056">
        <v>365084029</v>
      </c>
      <c r="G603" s="1056">
        <v>370257795</v>
      </c>
      <c r="H603" s="1056">
        <v>367125048</v>
      </c>
      <c r="I603" s="1056">
        <v>382005704</v>
      </c>
      <c r="J603" s="1056">
        <v>368216776</v>
      </c>
      <c r="K603" s="1056">
        <v>378872957</v>
      </c>
      <c r="L603" s="1056">
        <v>365084029</v>
      </c>
      <c r="M603" s="1056">
        <v>370257795</v>
      </c>
      <c r="N603" s="1056">
        <v>367125048</v>
      </c>
    </row>
    <row r="604" spans="1:14">
      <c r="A604" s="1049" t="s">
        <v>314</v>
      </c>
      <c r="B604" s="1031" t="s">
        <v>295</v>
      </c>
      <c r="C604" s="1056">
        <v>182551672</v>
      </c>
      <c r="D604" s="1056">
        <v>179516070</v>
      </c>
      <c r="E604" s="1056">
        <v>181889933</v>
      </c>
      <c r="F604" s="1056">
        <v>178854331</v>
      </c>
      <c r="G604" s="1056">
        <v>180135557</v>
      </c>
      <c r="H604" s="1056">
        <v>179473818</v>
      </c>
      <c r="I604" s="1056">
        <v>182551672</v>
      </c>
      <c r="J604" s="1056">
        <v>179516070</v>
      </c>
      <c r="K604" s="1056">
        <v>181889933</v>
      </c>
      <c r="L604" s="1056">
        <v>178854331</v>
      </c>
      <c r="M604" s="1056">
        <v>180135557</v>
      </c>
      <c r="N604" s="1056">
        <v>179473818</v>
      </c>
    </row>
    <row r="605" spans="1:14">
      <c r="A605" s="1049" t="s">
        <v>316</v>
      </c>
      <c r="B605" s="1031" t="s">
        <v>296</v>
      </c>
      <c r="C605" s="1056">
        <v>451658197</v>
      </c>
      <c r="D605" s="1056">
        <v>444075744</v>
      </c>
      <c r="E605" s="1056">
        <v>449289077</v>
      </c>
      <c r="F605" s="1056">
        <v>441706624</v>
      </c>
      <c r="G605" s="1056">
        <v>444202232</v>
      </c>
      <c r="H605" s="1056">
        <v>441833112</v>
      </c>
      <c r="I605" s="1056">
        <v>451658197</v>
      </c>
      <c r="J605" s="1056">
        <v>444075744</v>
      </c>
      <c r="K605" s="1056">
        <v>449289077</v>
      </c>
      <c r="L605" s="1056">
        <v>441706624</v>
      </c>
      <c r="M605" s="1056">
        <v>444202232</v>
      </c>
      <c r="N605" s="1056">
        <v>441833112</v>
      </c>
    </row>
    <row r="606" spans="1:14">
      <c r="A606" s="1049" t="s">
        <v>318</v>
      </c>
      <c r="B606" s="1031" t="s">
        <v>297</v>
      </c>
      <c r="C606" s="1056">
        <v>482333360</v>
      </c>
      <c r="D606" s="1056">
        <v>471495200</v>
      </c>
      <c r="E606" s="1056">
        <v>477912316</v>
      </c>
      <c r="F606" s="1056">
        <v>467074156</v>
      </c>
      <c r="G606" s="1056">
        <v>471495200</v>
      </c>
      <c r="H606" s="1056">
        <v>467074156</v>
      </c>
      <c r="I606" s="1056">
        <v>482333360</v>
      </c>
      <c r="J606" s="1056">
        <v>471495200</v>
      </c>
      <c r="K606" s="1056">
        <v>477912316</v>
      </c>
      <c r="L606" s="1056">
        <v>467074156</v>
      </c>
      <c r="M606" s="1056">
        <v>471495200</v>
      </c>
      <c r="N606" s="1056">
        <v>467074156</v>
      </c>
    </row>
    <row r="607" spans="1:14">
      <c r="A607" s="1049" t="s">
        <v>320</v>
      </c>
      <c r="B607" s="1031" t="s">
        <v>298</v>
      </c>
      <c r="C607" s="1056">
        <v>284904232</v>
      </c>
      <c r="D607" s="1056">
        <v>274814142</v>
      </c>
      <c r="E607" s="1056">
        <v>273633871</v>
      </c>
      <c r="F607" s="1056">
        <v>263543781</v>
      </c>
      <c r="G607" s="1056">
        <v>274814142</v>
      </c>
      <c r="H607" s="1056">
        <v>263543781</v>
      </c>
      <c r="I607" s="1056">
        <v>284904232</v>
      </c>
      <c r="J607" s="1056">
        <v>274814142</v>
      </c>
      <c r="K607" s="1056">
        <v>273633871</v>
      </c>
      <c r="L607" s="1056">
        <v>263543781</v>
      </c>
      <c r="M607" s="1056">
        <v>274814142</v>
      </c>
      <c r="N607" s="1056">
        <v>263543781</v>
      </c>
    </row>
    <row r="608" spans="1:14">
      <c r="A608" s="1049" t="s">
        <v>2319</v>
      </c>
      <c r="B608" s="1031" t="s">
        <v>299</v>
      </c>
      <c r="C608" s="1056">
        <v>80287393</v>
      </c>
      <c r="D608" s="1056">
        <v>77948923</v>
      </c>
      <c r="E608" s="1056">
        <v>80287393</v>
      </c>
      <c r="F608" s="1056">
        <v>77948923</v>
      </c>
      <c r="G608" s="1056">
        <v>77975522</v>
      </c>
      <c r="H608" s="1056">
        <v>77975522</v>
      </c>
      <c r="I608" s="1056">
        <v>80287393</v>
      </c>
      <c r="J608" s="1056">
        <v>77948923</v>
      </c>
      <c r="K608" s="1056">
        <v>80287393</v>
      </c>
      <c r="L608" s="1056">
        <v>77948923</v>
      </c>
      <c r="M608" s="1056">
        <v>77975522</v>
      </c>
      <c r="N608" s="1056">
        <v>77975522</v>
      </c>
    </row>
    <row r="609" spans="1:14">
      <c r="A609" s="1049" t="s">
        <v>2321</v>
      </c>
      <c r="B609" s="1031" t="s">
        <v>300</v>
      </c>
      <c r="C609" s="1056">
        <v>808083837</v>
      </c>
      <c r="D609" s="1056">
        <v>799693943</v>
      </c>
      <c r="E609" s="1056">
        <v>808083837</v>
      </c>
      <c r="F609" s="1056">
        <v>799693943</v>
      </c>
      <c r="G609" s="1056">
        <v>799693943</v>
      </c>
      <c r="H609" s="1056">
        <v>799693943</v>
      </c>
      <c r="I609" s="1056">
        <v>808083837</v>
      </c>
      <c r="J609" s="1056">
        <v>799693943</v>
      </c>
      <c r="K609" s="1056">
        <v>808083837</v>
      </c>
      <c r="L609" s="1056">
        <v>799693943</v>
      </c>
      <c r="M609" s="1056">
        <v>799693943</v>
      </c>
      <c r="N609" s="1056">
        <v>799693943</v>
      </c>
    </row>
    <row r="610" spans="1:14">
      <c r="A610" s="1049" t="s">
        <v>3178</v>
      </c>
      <c r="B610" s="1031" t="s">
        <v>6114</v>
      </c>
      <c r="C610" s="1056">
        <v>853789188</v>
      </c>
      <c r="D610" s="1056">
        <v>820704415</v>
      </c>
      <c r="E610" s="1056">
        <v>853789188</v>
      </c>
      <c r="F610" s="1056">
        <v>820704415</v>
      </c>
      <c r="G610" s="1056">
        <v>824566088</v>
      </c>
      <c r="H610" s="1056">
        <v>824566088</v>
      </c>
      <c r="I610" s="1056">
        <v>853789188</v>
      </c>
      <c r="J610" s="1056">
        <v>820704415</v>
      </c>
      <c r="K610" s="1056">
        <v>853789188</v>
      </c>
      <c r="L610" s="1056">
        <v>820704415</v>
      </c>
      <c r="M610" s="1056">
        <v>824566088</v>
      </c>
      <c r="N610" s="1056">
        <v>824566088</v>
      </c>
    </row>
    <row r="611" spans="1:14">
      <c r="A611" s="1049" t="s">
        <v>249</v>
      </c>
      <c r="B611" s="1031" t="s">
        <v>994</v>
      </c>
      <c r="C611" s="1056">
        <v>1526442296</v>
      </c>
      <c r="D611" s="1056">
        <v>1477069911</v>
      </c>
      <c r="E611" s="1056">
        <v>1526442296</v>
      </c>
      <c r="F611" s="1056">
        <v>1477069911</v>
      </c>
      <c r="G611" s="1056">
        <v>1483034101</v>
      </c>
      <c r="H611" s="1056">
        <v>1483034101</v>
      </c>
      <c r="I611" s="1056">
        <v>1526442296</v>
      </c>
      <c r="J611" s="1056">
        <v>1477069911</v>
      </c>
      <c r="K611" s="1056">
        <v>1526442296</v>
      </c>
      <c r="L611" s="1056">
        <v>1477069911</v>
      </c>
      <c r="M611" s="1056">
        <v>1483034101</v>
      </c>
      <c r="N611" s="1056">
        <v>1483034101</v>
      </c>
    </row>
    <row r="612" spans="1:14">
      <c r="A612" s="1049" t="s">
        <v>2323</v>
      </c>
      <c r="B612" s="1031" t="s">
        <v>301</v>
      </c>
      <c r="C612" s="1056">
        <v>292052023</v>
      </c>
      <c r="D612" s="1056">
        <v>289920993</v>
      </c>
      <c r="E612" s="1056">
        <v>292052023</v>
      </c>
      <c r="F612" s="1056">
        <v>289920993</v>
      </c>
      <c r="G612" s="1056">
        <v>290209608</v>
      </c>
      <c r="H612" s="1056">
        <v>290209608</v>
      </c>
      <c r="I612" s="1056">
        <v>292052023</v>
      </c>
      <c r="J612" s="1056">
        <v>289920993</v>
      </c>
      <c r="K612" s="1056">
        <v>292052023</v>
      </c>
      <c r="L612" s="1056">
        <v>289920993</v>
      </c>
      <c r="M612" s="1056">
        <v>290209608</v>
      </c>
      <c r="N612" s="1056">
        <v>290209608</v>
      </c>
    </row>
    <row r="613" spans="1:14">
      <c r="A613" s="1049" t="s">
        <v>513</v>
      </c>
      <c r="B613" s="1031" t="s">
        <v>3917</v>
      </c>
      <c r="C613" s="1056">
        <v>330305461</v>
      </c>
      <c r="D613" s="1056">
        <v>314880888</v>
      </c>
      <c r="E613" s="1056">
        <v>330305461</v>
      </c>
      <c r="F613" s="1056">
        <v>314880888</v>
      </c>
      <c r="G613" s="1056">
        <v>316955216</v>
      </c>
      <c r="H613" s="1056">
        <v>316955216</v>
      </c>
      <c r="I613" s="1056">
        <v>330305461</v>
      </c>
      <c r="J613" s="1056">
        <v>314880888</v>
      </c>
      <c r="K613" s="1056">
        <v>330305461</v>
      </c>
      <c r="L613" s="1056">
        <v>314880888</v>
      </c>
      <c r="M613" s="1056">
        <v>316955216</v>
      </c>
      <c r="N613" s="1056">
        <v>316955216</v>
      </c>
    </row>
    <row r="614" spans="1:14">
      <c r="A614" s="1049" t="s">
        <v>1872</v>
      </c>
      <c r="B614" s="1031" t="s">
        <v>3855</v>
      </c>
      <c r="C614" s="1056">
        <v>256473888</v>
      </c>
      <c r="D614" s="1056">
        <v>250027011</v>
      </c>
      <c r="E614" s="1056">
        <v>256473888</v>
      </c>
      <c r="F614" s="1056">
        <v>250027011</v>
      </c>
      <c r="G614" s="1056">
        <v>250693474</v>
      </c>
      <c r="H614" s="1056">
        <v>250693474</v>
      </c>
      <c r="I614" s="1056">
        <v>256473888</v>
      </c>
      <c r="J614" s="1056">
        <v>250027011</v>
      </c>
      <c r="K614" s="1056">
        <v>256473888</v>
      </c>
      <c r="L614" s="1056">
        <v>250027011</v>
      </c>
      <c r="M614" s="1056">
        <v>250693474</v>
      </c>
      <c r="N614" s="1056">
        <v>250693474</v>
      </c>
    </row>
    <row r="615" spans="1:14">
      <c r="A615" s="1049" t="s">
        <v>2325</v>
      </c>
      <c r="B615" s="1031" t="s">
        <v>302</v>
      </c>
      <c r="C615" s="1056">
        <v>841541103</v>
      </c>
      <c r="D615" s="1056">
        <v>819811782</v>
      </c>
      <c r="E615" s="1056">
        <v>841541103</v>
      </c>
      <c r="F615" s="1056">
        <v>819811782</v>
      </c>
      <c r="G615" s="1056">
        <v>825258042</v>
      </c>
      <c r="H615" s="1056">
        <v>825258042</v>
      </c>
      <c r="I615" s="1056">
        <v>965787243</v>
      </c>
      <c r="J615" s="1056">
        <v>944057922</v>
      </c>
      <c r="K615" s="1056">
        <v>965787243</v>
      </c>
      <c r="L615" s="1056">
        <v>944057922</v>
      </c>
      <c r="M615" s="1056">
        <v>949504182</v>
      </c>
      <c r="N615" s="1056">
        <v>949504182</v>
      </c>
    </row>
    <row r="616" spans="1:14">
      <c r="A616" s="1049" t="s">
        <v>2327</v>
      </c>
      <c r="B616" s="1031" t="s">
        <v>2163</v>
      </c>
      <c r="C616" s="1056">
        <v>445834979</v>
      </c>
      <c r="D616" s="1056">
        <v>425572593</v>
      </c>
      <c r="E616" s="1056">
        <v>445834979</v>
      </c>
      <c r="F616" s="1056">
        <v>425572593</v>
      </c>
      <c r="G616" s="1056">
        <v>429047831</v>
      </c>
      <c r="H616" s="1056">
        <v>429047831</v>
      </c>
      <c r="I616" s="1056">
        <v>445834979</v>
      </c>
      <c r="J616" s="1056">
        <v>425572593</v>
      </c>
      <c r="K616" s="1056">
        <v>445834979</v>
      </c>
      <c r="L616" s="1056">
        <v>425572593</v>
      </c>
      <c r="M616" s="1056">
        <v>429047831</v>
      </c>
      <c r="N616" s="1056">
        <v>429047831</v>
      </c>
    </row>
    <row r="617" spans="1:14">
      <c r="A617" s="1049" t="s">
        <v>5236</v>
      </c>
      <c r="B617" s="1031" t="s">
        <v>2646</v>
      </c>
      <c r="C617" s="1056">
        <v>38889431</v>
      </c>
      <c r="D617" s="1056">
        <v>36984793</v>
      </c>
      <c r="E617" s="1056">
        <v>38889431</v>
      </c>
      <c r="F617" s="1056">
        <v>36984793</v>
      </c>
      <c r="G617" s="1056">
        <v>38565182</v>
      </c>
      <c r="H617" s="1056">
        <v>38565182</v>
      </c>
      <c r="I617" s="1056">
        <v>38889431</v>
      </c>
      <c r="J617" s="1056">
        <v>36984793</v>
      </c>
      <c r="K617" s="1056">
        <v>38889431</v>
      </c>
      <c r="L617" s="1056">
        <v>36984793</v>
      </c>
      <c r="M617" s="1056">
        <v>38565182</v>
      </c>
      <c r="N617" s="1056">
        <v>38565182</v>
      </c>
    </row>
    <row r="618" spans="1:14">
      <c r="A618" s="1049" t="s">
        <v>7700</v>
      </c>
      <c r="B618" s="1031" t="s">
        <v>2164</v>
      </c>
      <c r="C618" s="1056">
        <v>1769888838</v>
      </c>
      <c r="D618" s="1056">
        <v>1748194813</v>
      </c>
      <c r="E618" s="1056">
        <v>1748354292</v>
      </c>
      <c r="F618" s="1056">
        <v>1726660267</v>
      </c>
      <c r="G618" s="1056">
        <v>1748406956</v>
      </c>
      <c r="H618" s="1056">
        <v>1726872410</v>
      </c>
      <c r="I618" s="1056">
        <v>1769888838</v>
      </c>
      <c r="J618" s="1056">
        <v>1748194813</v>
      </c>
      <c r="K618" s="1056">
        <v>1748354292</v>
      </c>
      <c r="L618" s="1056">
        <v>1726660267</v>
      </c>
      <c r="M618" s="1056">
        <v>1748406956</v>
      </c>
      <c r="N618" s="1056">
        <v>1726872410</v>
      </c>
    </row>
    <row r="619" spans="1:14">
      <c r="A619" s="1049" t="s">
        <v>7702</v>
      </c>
      <c r="B619" s="1031" t="s">
        <v>2165</v>
      </c>
      <c r="C619" s="1056">
        <v>430392092</v>
      </c>
      <c r="D619" s="1056">
        <v>408802098</v>
      </c>
      <c r="E619" s="1056">
        <v>430392092</v>
      </c>
      <c r="F619" s="1056">
        <v>408802098</v>
      </c>
      <c r="G619" s="1056">
        <v>410863001</v>
      </c>
      <c r="H619" s="1056">
        <v>410863001</v>
      </c>
      <c r="I619" s="1056">
        <v>430392092</v>
      </c>
      <c r="J619" s="1056">
        <v>408802098</v>
      </c>
      <c r="K619" s="1056">
        <v>430392092</v>
      </c>
      <c r="L619" s="1056">
        <v>408802098</v>
      </c>
      <c r="M619" s="1056">
        <v>410863001</v>
      </c>
      <c r="N619" s="1056">
        <v>410863001</v>
      </c>
    </row>
    <row r="620" spans="1:14">
      <c r="A620" s="1049" t="s">
        <v>7704</v>
      </c>
      <c r="B620" s="1031" t="s">
        <v>2166</v>
      </c>
      <c r="C620" s="1056">
        <v>374887907</v>
      </c>
      <c r="D620" s="1056">
        <v>372230617</v>
      </c>
      <c r="E620" s="1056">
        <v>374887907</v>
      </c>
      <c r="F620" s="1056">
        <v>372230617</v>
      </c>
      <c r="G620" s="1056">
        <v>372234431</v>
      </c>
      <c r="H620" s="1056">
        <v>372234431</v>
      </c>
      <c r="I620" s="1056">
        <v>374887907</v>
      </c>
      <c r="J620" s="1056">
        <v>372230617</v>
      </c>
      <c r="K620" s="1056">
        <v>374887907</v>
      </c>
      <c r="L620" s="1056">
        <v>372230617</v>
      </c>
      <c r="M620" s="1056">
        <v>372234431</v>
      </c>
      <c r="N620" s="1056">
        <v>372234431</v>
      </c>
    </row>
    <row r="621" spans="1:14">
      <c r="A621" s="1049" t="s">
        <v>5634</v>
      </c>
      <c r="B621" s="1031" t="s">
        <v>2167</v>
      </c>
      <c r="C621" s="1056">
        <v>264500328</v>
      </c>
      <c r="D621" s="1056">
        <v>263289158</v>
      </c>
      <c r="E621" s="1056">
        <v>264500328</v>
      </c>
      <c r="F621" s="1056">
        <v>263289158</v>
      </c>
      <c r="G621" s="1056">
        <v>263289158</v>
      </c>
      <c r="H621" s="1056">
        <v>263289158</v>
      </c>
      <c r="I621" s="1056">
        <v>264500328</v>
      </c>
      <c r="J621" s="1056">
        <v>263289158</v>
      </c>
      <c r="K621" s="1056">
        <v>264500328</v>
      </c>
      <c r="L621" s="1056">
        <v>263289158</v>
      </c>
      <c r="M621" s="1056">
        <v>263289158</v>
      </c>
      <c r="N621" s="1056">
        <v>263289158</v>
      </c>
    </row>
    <row r="622" spans="1:14">
      <c r="A622" s="1049" t="s">
        <v>5636</v>
      </c>
      <c r="B622" s="1031" t="s">
        <v>2168</v>
      </c>
      <c r="C622" s="1056">
        <v>481380020</v>
      </c>
      <c r="D622" s="1056">
        <v>480545800</v>
      </c>
      <c r="E622" s="1056">
        <v>481380020</v>
      </c>
      <c r="F622" s="1056">
        <v>480545800</v>
      </c>
      <c r="G622" s="1056">
        <v>480545800</v>
      </c>
      <c r="H622" s="1056">
        <v>480545800</v>
      </c>
      <c r="I622" s="1056">
        <v>481380020</v>
      </c>
      <c r="J622" s="1056">
        <v>480545800</v>
      </c>
      <c r="K622" s="1056">
        <v>481380020</v>
      </c>
      <c r="L622" s="1056">
        <v>480545800</v>
      </c>
      <c r="M622" s="1056">
        <v>480545800</v>
      </c>
      <c r="N622" s="1056">
        <v>480545800</v>
      </c>
    </row>
    <row r="623" spans="1:14">
      <c r="A623" s="1049" t="s">
        <v>4016</v>
      </c>
      <c r="B623" s="1031" t="s">
        <v>2169</v>
      </c>
      <c r="C623" s="1056">
        <v>150719843</v>
      </c>
      <c r="D623" s="1056">
        <v>149726953</v>
      </c>
      <c r="E623" s="1056">
        <v>150719843</v>
      </c>
      <c r="F623" s="1056">
        <v>149726953</v>
      </c>
      <c r="G623" s="1056">
        <v>149726953</v>
      </c>
      <c r="H623" s="1056">
        <v>149726953</v>
      </c>
      <c r="I623" s="1056">
        <v>150719843</v>
      </c>
      <c r="J623" s="1056">
        <v>149726953</v>
      </c>
      <c r="K623" s="1056">
        <v>150719843</v>
      </c>
      <c r="L623" s="1056">
        <v>149726953</v>
      </c>
      <c r="M623" s="1056">
        <v>149726953</v>
      </c>
      <c r="N623" s="1056">
        <v>149726953</v>
      </c>
    </row>
    <row r="624" spans="1:14">
      <c r="A624" s="1049" t="s">
        <v>4018</v>
      </c>
      <c r="B624" s="1031" t="s">
        <v>2170</v>
      </c>
      <c r="C624" s="1056">
        <v>714473320</v>
      </c>
      <c r="D624" s="1056">
        <v>700062273</v>
      </c>
      <c r="E624" s="1056">
        <v>701122568</v>
      </c>
      <c r="F624" s="1056">
        <v>686711521</v>
      </c>
      <c r="G624" s="1056">
        <v>700524329</v>
      </c>
      <c r="H624" s="1056">
        <v>687173577</v>
      </c>
      <c r="I624" s="1056">
        <v>714473320</v>
      </c>
      <c r="J624" s="1056">
        <v>700062273</v>
      </c>
      <c r="K624" s="1056">
        <v>701122568</v>
      </c>
      <c r="L624" s="1056">
        <v>686711521</v>
      </c>
      <c r="M624" s="1056">
        <v>700524329</v>
      </c>
      <c r="N624" s="1056">
        <v>687173577</v>
      </c>
    </row>
    <row r="625" spans="1:14">
      <c r="A625" s="1049" t="s">
        <v>4020</v>
      </c>
      <c r="B625" s="1031" t="s">
        <v>5648</v>
      </c>
      <c r="C625" s="1056">
        <v>2726521964</v>
      </c>
      <c r="D625" s="1056">
        <v>2719545566</v>
      </c>
      <c r="E625" s="1056">
        <v>2721012817</v>
      </c>
      <c r="F625" s="1056">
        <v>2714036419</v>
      </c>
      <c r="G625" s="1056">
        <v>2719811780</v>
      </c>
      <c r="H625" s="1056">
        <v>2714302633</v>
      </c>
      <c r="I625" s="1056">
        <v>2726521964</v>
      </c>
      <c r="J625" s="1056">
        <v>2719545566</v>
      </c>
      <c r="K625" s="1056">
        <v>2721012817</v>
      </c>
      <c r="L625" s="1056">
        <v>2714036419</v>
      </c>
      <c r="M625" s="1056">
        <v>2719811780</v>
      </c>
      <c r="N625" s="1056">
        <v>2714302633</v>
      </c>
    </row>
    <row r="626" spans="1:14">
      <c r="A626" s="1049" t="s">
        <v>4022</v>
      </c>
      <c r="B626" s="1031" t="s">
        <v>5649</v>
      </c>
      <c r="C626" s="1056">
        <v>3128973580</v>
      </c>
      <c r="D626" s="1056">
        <v>3082810590</v>
      </c>
      <c r="E626" s="1056">
        <v>3072713629</v>
      </c>
      <c r="F626" s="1056">
        <v>3026550639</v>
      </c>
      <c r="G626" s="1056">
        <v>3119877028</v>
      </c>
      <c r="H626" s="1056">
        <v>3063617077</v>
      </c>
      <c r="I626" s="1056">
        <v>3128973580</v>
      </c>
      <c r="J626" s="1056">
        <v>3082810590</v>
      </c>
      <c r="K626" s="1056">
        <v>3072713629</v>
      </c>
      <c r="L626" s="1056">
        <v>3026550639</v>
      </c>
      <c r="M626" s="1056">
        <v>3119877028</v>
      </c>
      <c r="N626" s="1056">
        <v>3063617077</v>
      </c>
    </row>
    <row r="627" spans="1:14">
      <c r="A627" s="1049" t="s">
        <v>2996</v>
      </c>
      <c r="B627" s="1031" t="s">
        <v>202</v>
      </c>
      <c r="C627" s="1056">
        <v>9557391973</v>
      </c>
      <c r="D627" s="1056">
        <v>9247600786</v>
      </c>
      <c r="E627" s="1056">
        <v>9557391973</v>
      </c>
      <c r="F627" s="1056">
        <v>9247600786</v>
      </c>
      <c r="G627" s="1056">
        <v>9333047021</v>
      </c>
      <c r="H627" s="1056">
        <v>9333047021</v>
      </c>
      <c r="I627" s="1056">
        <v>9557391973</v>
      </c>
      <c r="J627" s="1056">
        <v>9247600786</v>
      </c>
      <c r="K627" s="1056">
        <v>9557391973</v>
      </c>
      <c r="L627" s="1056">
        <v>9247600786</v>
      </c>
      <c r="M627" s="1056">
        <v>9333047021</v>
      </c>
      <c r="N627" s="1056">
        <v>9333047021</v>
      </c>
    </row>
    <row r="628" spans="1:14">
      <c r="A628" s="1049" t="s">
        <v>4028</v>
      </c>
      <c r="B628" s="1031" t="s">
        <v>5650</v>
      </c>
      <c r="C628" s="1056">
        <v>221582273</v>
      </c>
      <c r="D628" s="1056">
        <v>216312097</v>
      </c>
      <c r="E628" s="1056">
        <v>221582273</v>
      </c>
      <c r="F628" s="1056">
        <v>216312097</v>
      </c>
      <c r="G628" s="1056">
        <v>217034234</v>
      </c>
      <c r="H628" s="1056">
        <v>217034234</v>
      </c>
      <c r="I628" s="1056">
        <v>221582273</v>
      </c>
      <c r="J628" s="1056">
        <v>216312097</v>
      </c>
      <c r="K628" s="1056">
        <v>221582273</v>
      </c>
      <c r="L628" s="1056">
        <v>216312097</v>
      </c>
      <c r="M628" s="1056">
        <v>217034234</v>
      </c>
      <c r="N628" s="1056">
        <v>217034234</v>
      </c>
    </row>
    <row r="629" spans="1:14">
      <c r="A629" s="1049" t="s">
        <v>4030</v>
      </c>
      <c r="B629" s="1031" t="s">
        <v>5651</v>
      </c>
      <c r="C629" s="1056">
        <v>365839973</v>
      </c>
      <c r="D629" s="1056">
        <v>351248099</v>
      </c>
      <c r="E629" s="1056">
        <v>365839973</v>
      </c>
      <c r="F629" s="1056">
        <v>351248099</v>
      </c>
      <c r="G629" s="1056">
        <v>353975124</v>
      </c>
      <c r="H629" s="1056">
        <v>353975124</v>
      </c>
      <c r="I629" s="1056">
        <v>365839973</v>
      </c>
      <c r="J629" s="1056">
        <v>351248099</v>
      </c>
      <c r="K629" s="1056">
        <v>365839973</v>
      </c>
      <c r="L629" s="1056">
        <v>351248099</v>
      </c>
      <c r="M629" s="1056">
        <v>353975124</v>
      </c>
      <c r="N629" s="1056">
        <v>353975124</v>
      </c>
    </row>
    <row r="630" spans="1:14">
      <c r="A630" s="1049" t="s">
        <v>2903</v>
      </c>
      <c r="B630" s="1031" t="s">
        <v>203</v>
      </c>
      <c r="C630" s="1056">
        <v>2040504770</v>
      </c>
      <c r="D630" s="1056">
        <v>1982152906</v>
      </c>
      <c r="E630" s="1056">
        <v>2040504770</v>
      </c>
      <c r="F630" s="1056">
        <v>1982152906</v>
      </c>
      <c r="G630" s="1056">
        <v>1985930309</v>
      </c>
      <c r="H630" s="1056">
        <v>1985930309</v>
      </c>
      <c r="I630" s="1056">
        <v>2040504770</v>
      </c>
      <c r="J630" s="1056">
        <v>1982152906</v>
      </c>
      <c r="K630" s="1056">
        <v>2040504770</v>
      </c>
      <c r="L630" s="1056">
        <v>1982152906</v>
      </c>
      <c r="M630" s="1056">
        <v>1985930309</v>
      </c>
      <c r="N630" s="1056">
        <v>1985930309</v>
      </c>
    </row>
    <row r="631" spans="1:14">
      <c r="A631" s="1049" t="s">
        <v>1310</v>
      </c>
      <c r="B631" s="1031" t="s">
        <v>115</v>
      </c>
      <c r="C631" s="1056">
        <v>2961692234</v>
      </c>
      <c r="D631" s="1056">
        <v>2879639185</v>
      </c>
      <c r="E631" s="1056">
        <v>2961692234</v>
      </c>
      <c r="F631" s="1056">
        <v>2879639185</v>
      </c>
      <c r="G631" s="1056">
        <v>2884521524</v>
      </c>
      <c r="H631" s="1056">
        <v>2884521524</v>
      </c>
      <c r="I631" s="1056">
        <v>2961692234</v>
      </c>
      <c r="J631" s="1056">
        <v>2879639185</v>
      </c>
      <c r="K631" s="1056">
        <v>2961692234</v>
      </c>
      <c r="L631" s="1056">
        <v>2879639185</v>
      </c>
      <c r="M631" s="1056">
        <v>2884521524</v>
      </c>
      <c r="N631" s="1056">
        <v>2884521524</v>
      </c>
    </row>
    <row r="632" spans="1:14">
      <c r="A632" s="1049" t="s">
        <v>4032</v>
      </c>
      <c r="B632" s="1031" t="s">
        <v>5652</v>
      </c>
      <c r="C632" s="1056">
        <v>286544716</v>
      </c>
      <c r="D632" s="1056">
        <v>278731834</v>
      </c>
      <c r="E632" s="1056">
        <v>286544716</v>
      </c>
      <c r="F632" s="1056">
        <v>278731834</v>
      </c>
      <c r="G632" s="1056">
        <v>279918017</v>
      </c>
      <c r="H632" s="1056">
        <v>279918017</v>
      </c>
      <c r="I632" s="1056">
        <v>286544716</v>
      </c>
      <c r="J632" s="1056">
        <v>278731834</v>
      </c>
      <c r="K632" s="1056">
        <v>286544716</v>
      </c>
      <c r="L632" s="1056">
        <v>278731834</v>
      </c>
      <c r="M632" s="1056">
        <v>279918017</v>
      </c>
      <c r="N632" s="1056">
        <v>279918017</v>
      </c>
    </row>
    <row r="633" spans="1:14">
      <c r="A633" s="1049" t="s">
        <v>2397</v>
      </c>
      <c r="B633" s="1031" t="s">
        <v>1464</v>
      </c>
      <c r="C633" s="1056">
        <v>298718817</v>
      </c>
      <c r="D633" s="1056">
        <v>288761371</v>
      </c>
      <c r="E633" s="1056">
        <v>298718817</v>
      </c>
      <c r="F633" s="1056">
        <v>288761371</v>
      </c>
      <c r="G633" s="1056">
        <v>288761371</v>
      </c>
      <c r="H633" s="1056">
        <v>288761371</v>
      </c>
      <c r="I633" s="1056">
        <v>298718817</v>
      </c>
      <c r="J633" s="1056">
        <v>288761371</v>
      </c>
      <c r="K633" s="1056">
        <v>298718817</v>
      </c>
      <c r="L633" s="1056">
        <v>288761371</v>
      </c>
      <c r="M633" s="1056">
        <v>288761371</v>
      </c>
      <c r="N633" s="1056">
        <v>288761371</v>
      </c>
    </row>
    <row r="634" spans="1:14">
      <c r="A634" s="1049" t="s">
        <v>669</v>
      </c>
      <c r="B634" s="1031" t="s">
        <v>5653</v>
      </c>
      <c r="C634" s="1056">
        <v>239822205</v>
      </c>
      <c r="D634" s="1056">
        <v>232042243</v>
      </c>
      <c r="E634" s="1056">
        <v>239822205</v>
      </c>
      <c r="F634" s="1056">
        <v>232042243</v>
      </c>
      <c r="G634" s="1056">
        <v>232850531</v>
      </c>
      <c r="H634" s="1056">
        <v>232850531</v>
      </c>
      <c r="I634" s="1056">
        <v>239822205</v>
      </c>
      <c r="J634" s="1056">
        <v>232042243</v>
      </c>
      <c r="K634" s="1056">
        <v>239822205</v>
      </c>
      <c r="L634" s="1056">
        <v>232042243</v>
      </c>
      <c r="M634" s="1056">
        <v>232850531</v>
      </c>
      <c r="N634" s="1056">
        <v>232850531</v>
      </c>
    </row>
    <row r="635" spans="1:14">
      <c r="A635" s="1049" t="s">
        <v>4151</v>
      </c>
      <c r="B635" s="1031" t="s">
        <v>5654</v>
      </c>
      <c r="C635" s="1056">
        <v>147814093</v>
      </c>
      <c r="D635" s="1056">
        <v>145765643</v>
      </c>
      <c r="E635" s="1056">
        <v>147814093</v>
      </c>
      <c r="F635" s="1056">
        <v>145765643</v>
      </c>
      <c r="G635" s="1056">
        <v>145990993</v>
      </c>
      <c r="H635" s="1056">
        <v>145990993</v>
      </c>
      <c r="I635" s="1056">
        <v>230839753</v>
      </c>
      <c r="J635" s="1056">
        <v>228791303</v>
      </c>
      <c r="K635" s="1056">
        <v>230839753</v>
      </c>
      <c r="L635" s="1056">
        <v>228791303</v>
      </c>
      <c r="M635" s="1056">
        <v>229016653</v>
      </c>
      <c r="N635" s="1056">
        <v>229016653</v>
      </c>
    </row>
    <row r="636" spans="1:14">
      <c r="A636" s="1049" t="s">
        <v>4153</v>
      </c>
      <c r="B636" s="1031" t="s">
        <v>3100</v>
      </c>
      <c r="C636" s="1056">
        <v>119186485</v>
      </c>
      <c r="D636" s="1056">
        <v>113757145</v>
      </c>
      <c r="E636" s="1056">
        <v>119186485</v>
      </c>
      <c r="F636" s="1056">
        <v>113757145</v>
      </c>
      <c r="G636" s="1056">
        <v>114491846</v>
      </c>
      <c r="H636" s="1056">
        <v>114491846</v>
      </c>
      <c r="I636" s="1056">
        <v>119186485</v>
      </c>
      <c r="J636" s="1056">
        <v>113757145</v>
      </c>
      <c r="K636" s="1056">
        <v>119186485</v>
      </c>
      <c r="L636" s="1056">
        <v>113757145</v>
      </c>
      <c r="M636" s="1056">
        <v>114491846</v>
      </c>
      <c r="N636" s="1056">
        <v>114491846</v>
      </c>
    </row>
    <row r="637" spans="1:14">
      <c r="A637" s="1049" t="s">
        <v>4155</v>
      </c>
      <c r="B637" s="1031" t="s">
        <v>3101</v>
      </c>
      <c r="C637" s="1056">
        <v>59830811</v>
      </c>
      <c r="D637" s="1056">
        <v>57784131</v>
      </c>
      <c r="E637" s="1056">
        <v>59830811</v>
      </c>
      <c r="F637" s="1056">
        <v>57784131</v>
      </c>
      <c r="G637" s="1056">
        <v>58035848</v>
      </c>
      <c r="H637" s="1056">
        <v>58035848</v>
      </c>
      <c r="I637" s="1056">
        <v>59830811</v>
      </c>
      <c r="J637" s="1056">
        <v>57784131</v>
      </c>
      <c r="K637" s="1056">
        <v>59830811</v>
      </c>
      <c r="L637" s="1056">
        <v>57784131</v>
      </c>
      <c r="M637" s="1056">
        <v>58035848</v>
      </c>
      <c r="N637" s="1056">
        <v>58035848</v>
      </c>
    </row>
    <row r="638" spans="1:14">
      <c r="A638" s="1049" t="s">
        <v>4157</v>
      </c>
      <c r="B638" s="1031" t="s">
        <v>3102</v>
      </c>
      <c r="C638" s="1056">
        <v>52512460</v>
      </c>
      <c r="D638" s="1056">
        <v>50882440</v>
      </c>
      <c r="E638" s="1056">
        <v>52512460</v>
      </c>
      <c r="F638" s="1056">
        <v>50882440</v>
      </c>
      <c r="G638" s="1056">
        <v>51069021</v>
      </c>
      <c r="H638" s="1056">
        <v>51069021</v>
      </c>
      <c r="I638" s="1056">
        <v>52512460</v>
      </c>
      <c r="J638" s="1056">
        <v>50882440</v>
      </c>
      <c r="K638" s="1056">
        <v>52512460</v>
      </c>
      <c r="L638" s="1056">
        <v>50882440</v>
      </c>
      <c r="M638" s="1056">
        <v>51069021</v>
      </c>
      <c r="N638" s="1056">
        <v>51069021</v>
      </c>
    </row>
    <row r="639" spans="1:14">
      <c r="A639" s="1049" t="s">
        <v>3000</v>
      </c>
      <c r="B639" s="1031" t="s">
        <v>6547</v>
      </c>
      <c r="C639" s="1056">
        <v>831945974</v>
      </c>
      <c r="D639" s="1056">
        <v>810785713</v>
      </c>
      <c r="E639" s="1056">
        <v>831945974</v>
      </c>
      <c r="F639" s="1056">
        <v>810785713</v>
      </c>
      <c r="G639" s="1056">
        <v>814522011</v>
      </c>
      <c r="H639" s="1056">
        <v>814522011</v>
      </c>
      <c r="I639" s="1056">
        <v>831945974</v>
      </c>
      <c r="J639" s="1056">
        <v>810785713</v>
      </c>
      <c r="K639" s="1056">
        <v>831945974</v>
      </c>
      <c r="L639" s="1056">
        <v>810785713</v>
      </c>
      <c r="M639" s="1056">
        <v>814522011</v>
      </c>
      <c r="N639" s="1056">
        <v>814522011</v>
      </c>
    </row>
    <row r="640" spans="1:14">
      <c r="A640" s="1049" t="s">
        <v>4159</v>
      </c>
      <c r="B640" s="1031" t="s">
        <v>3103</v>
      </c>
      <c r="C640" s="1056">
        <v>403210552</v>
      </c>
      <c r="D640" s="1056">
        <v>399425934</v>
      </c>
      <c r="E640" s="1056">
        <v>403210552</v>
      </c>
      <c r="F640" s="1056">
        <v>399425934</v>
      </c>
      <c r="G640" s="1056">
        <v>399492911</v>
      </c>
      <c r="H640" s="1056">
        <v>399492911</v>
      </c>
      <c r="I640" s="1056">
        <v>403210552</v>
      </c>
      <c r="J640" s="1056">
        <v>399425934</v>
      </c>
      <c r="K640" s="1056">
        <v>403210552</v>
      </c>
      <c r="L640" s="1056">
        <v>399425934</v>
      </c>
      <c r="M640" s="1056">
        <v>399492911</v>
      </c>
      <c r="N640" s="1056">
        <v>399492911</v>
      </c>
    </row>
    <row r="641" spans="1:14">
      <c r="A641" s="1049" t="s">
        <v>4161</v>
      </c>
      <c r="B641" s="1031" t="s">
        <v>3104</v>
      </c>
      <c r="C641" s="1056">
        <v>636055976</v>
      </c>
      <c r="D641" s="1056">
        <v>611070626</v>
      </c>
      <c r="E641" s="1056">
        <v>624956263</v>
      </c>
      <c r="F641" s="1056">
        <v>599970913</v>
      </c>
      <c r="G641" s="1056">
        <v>613770664</v>
      </c>
      <c r="H641" s="1056">
        <v>602670951</v>
      </c>
      <c r="I641" s="1056">
        <v>636055976</v>
      </c>
      <c r="J641" s="1056">
        <v>611070626</v>
      </c>
      <c r="K641" s="1056">
        <v>624956263</v>
      </c>
      <c r="L641" s="1056">
        <v>599970913</v>
      </c>
      <c r="M641" s="1056">
        <v>613770664</v>
      </c>
      <c r="N641" s="1056">
        <v>602670951</v>
      </c>
    </row>
    <row r="642" spans="1:14">
      <c r="A642" s="1049" t="s">
        <v>4163</v>
      </c>
      <c r="B642" s="1031" t="s">
        <v>3105</v>
      </c>
      <c r="C642" s="1056">
        <v>2441011370</v>
      </c>
      <c r="D642" s="1056">
        <v>2433074543</v>
      </c>
      <c r="E642" s="1056">
        <v>2436088544</v>
      </c>
      <c r="F642" s="1056">
        <v>2428151717</v>
      </c>
      <c r="G642" s="1056">
        <v>2433784341</v>
      </c>
      <c r="H642" s="1056">
        <v>2428861515</v>
      </c>
      <c r="I642" s="1056">
        <v>2502321880</v>
      </c>
      <c r="J642" s="1056">
        <v>2494385053</v>
      </c>
      <c r="K642" s="1056">
        <v>2497399054</v>
      </c>
      <c r="L642" s="1056">
        <v>2489462227</v>
      </c>
      <c r="M642" s="1056">
        <v>2495094851</v>
      </c>
      <c r="N642" s="1056">
        <v>2490172025</v>
      </c>
    </row>
    <row r="643" spans="1:14">
      <c r="A643" s="1049" t="s">
        <v>4165</v>
      </c>
      <c r="B643" s="1031" t="s">
        <v>3106</v>
      </c>
      <c r="C643" s="1056">
        <v>2171858037</v>
      </c>
      <c r="D643" s="1056">
        <v>2170636727</v>
      </c>
      <c r="E643" s="1056">
        <v>2170653400</v>
      </c>
      <c r="F643" s="1056">
        <v>2169432090</v>
      </c>
      <c r="G643" s="1056">
        <v>2170743536</v>
      </c>
      <c r="H643" s="1056">
        <v>2169538899</v>
      </c>
      <c r="I643" s="1056">
        <v>2181189387</v>
      </c>
      <c r="J643" s="1056">
        <v>2179968077</v>
      </c>
      <c r="K643" s="1056">
        <v>2179984750</v>
      </c>
      <c r="L643" s="1056">
        <v>2178763440</v>
      </c>
      <c r="M643" s="1056">
        <v>2180074886</v>
      </c>
      <c r="N643" s="1056">
        <v>2178870249</v>
      </c>
    </row>
    <row r="644" spans="1:14">
      <c r="A644" s="1049" t="s">
        <v>4167</v>
      </c>
      <c r="B644" s="1031" t="s">
        <v>3107</v>
      </c>
      <c r="C644" s="1056">
        <v>330392055</v>
      </c>
      <c r="D644" s="1056">
        <v>318561855</v>
      </c>
      <c r="E644" s="1056">
        <v>330392055</v>
      </c>
      <c r="F644" s="1056">
        <v>318561855</v>
      </c>
      <c r="G644" s="1056">
        <v>320658734</v>
      </c>
      <c r="H644" s="1056">
        <v>320658734</v>
      </c>
      <c r="I644" s="1056">
        <v>330392055</v>
      </c>
      <c r="J644" s="1056">
        <v>318561855</v>
      </c>
      <c r="K644" s="1056">
        <v>330392055</v>
      </c>
      <c r="L644" s="1056">
        <v>318561855</v>
      </c>
      <c r="M644" s="1056">
        <v>320658734</v>
      </c>
      <c r="N644" s="1056">
        <v>320658734</v>
      </c>
    </row>
    <row r="645" spans="1:14">
      <c r="A645" s="1049" t="s">
        <v>4169</v>
      </c>
      <c r="B645" s="1031" t="s">
        <v>3108</v>
      </c>
      <c r="C645" s="1056">
        <v>1109518737</v>
      </c>
      <c r="D645" s="1056">
        <v>1074760006</v>
      </c>
      <c r="E645" s="1056">
        <v>1109518737</v>
      </c>
      <c r="F645" s="1056">
        <v>1074760006</v>
      </c>
      <c r="G645" s="1056">
        <v>1074760006</v>
      </c>
      <c r="H645" s="1056">
        <v>1074760006</v>
      </c>
      <c r="I645" s="1056">
        <v>1109518737</v>
      </c>
      <c r="J645" s="1056">
        <v>1074760006</v>
      </c>
      <c r="K645" s="1056">
        <v>1109518737</v>
      </c>
      <c r="L645" s="1056">
        <v>1074760006</v>
      </c>
      <c r="M645" s="1056">
        <v>1074760006</v>
      </c>
      <c r="N645" s="1056">
        <v>1074760006</v>
      </c>
    </row>
    <row r="646" spans="1:14">
      <c r="A646" s="1049" t="s">
        <v>4171</v>
      </c>
      <c r="B646" s="1031" t="s">
        <v>713</v>
      </c>
      <c r="C646" s="1056">
        <v>1122997874</v>
      </c>
      <c r="D646" s="1056">
        <v>1114465457</v>
      </c>
      <c r="E646" s="1056">
        <v>1115076620</v>
      </c>
      <c r="F646" s="1056">
        <v>1106544203</v>
      </c>
      <c r="G646" s="1056">
        <v>1114465457</v>
      </c>
      <c r="H646" s="1056">
        <v>1106544203</v>
      </c>
      <c r="I646" s="1056">
        <v>1122997874</v>
      </c>
      <c r="J646" s="1056">
        <v>1114465457</v>
      </c>
      <c r="K646" s="1056">
        <v>1115076620</v>
      </c>
      <c r="L646" s="1056">
        <v>1106544203</v>
      </c>
      <c r="M646" s="1056">
        <v>1114465457</v>
      </c>
      <c r="N646" s="1056">
        <v>1106544203</v>
      </c>
    </row>
    <row r="647" spans="1:14">
      <c r="A647" s="1049" t="s">
        <v>2055</v>
      </c>
      <c r="B647" s="1031" t="s">
        <v>714</v>
      </c>
      <c r="C647" s="1056">
        <v>260973386</v>
      </c>
      <c r="D647" s="1056">
        <v>257982752</v>
      </c>
      <c r="E647" s="1056">
        <v>255729871</v>
      </c>
      <c r="F647" s="1056">
        <v>252739237</v>
      </c>
      <c r="G647" s="1056">
        <v>257982752</v>
      </c>
      <c r="H647" s="1056">
        <v>252739237</v>
      </c>
      <c r="I647" s="1056">
        <v>260973386</v>
      </c>
      <c r="J647" s="1056">
        <v>257982752</v>
      </c>
      <c r="K647" s="1056">
        <v>255729871</v>
      </c>
      <c r="L647" s="1056">
        <v>252739237</v>
      </c>
      <c r="M647" s="1056">
        <v>257982752</v>
      </c>
      <c r="N647" s="1056">
        <v>252739237</v>
      </c>
    </row>
    <row r="648" spans="1:14">
      <c r="A648" s="1049" t="s">
        <v>2057</v>
      </c>
      <c r="B648" s="1031" t="s">
        <v>715</v>
      </c>
      <c r="C648" s="1056">
        <v>1222554759</v>
      </c>
      <c r="D648" s="1056">
        <v>1209222807</v>
      </c>
      <c r="E648" s="1056">
        <v>1208277600</v>
      </c>
      <c r="F648" s="1056">
        <v>1194945648</v>
      </c>
      <c r="G648" s="1056">
        <v>1209222807</v>
      </c>
      <c r="H648" s="1056">
        <v>1194945648</v>
      </c>
      <c r="I648" s="1056">
        <v>1222554759</v>
      </c>
      <c r="J648" s="1056">
        <v>1209222807</v>
      </c>
      <c r="K648" s="1056">
        <v>1208277600</v>
      </c>
      <c r="L648" s="1056">
        <v>1194945648</v>
      </c>
      <c r="M648" s="1056">
        <v>1209222807</v>
      </c>
      <c r="N648" s="1056">
        <v>1194945648</v>
      </c>
    </row>
    <row r="649" spans="1:14">
      <c r="A649" s="1049" t="s">
        <v>2059</v>
      </c>
      <c r="B649" s="1031" t="s">
        <v>716</v>
      </c>
      <c r="C649" s="1056">
        <v>624686062</v>
      </c>
      <c r="D649" s="1056">
        <v>611444462</v>
      </c>
      <c r="E649" s="1056">
        <v>609136162</v>
      </c>
      <c r="F649" s="1056">
        <v>595894562</v>
      </c>
      <c r="G649" s="1056">
        <v>611444462</v>
      </c>
      <c r="H649" s="1056">
        <v>595894562</v>
      </c>
      <c r="I649" s="1056">
        <v>624686062</v>
      </c>
      <c r="J649" s="1056">
        <v>611444462</v>
      </c>
      <c r="K649" s="1056">
        <v>609136162</v>
      </c>
      <c r="L649" s="1056">
        <v>595894562</v>
      </c>
      <c r="M649" s="1056">
        <v>611444462</v>
      </c>
      <c r="N649" s="1056">
        <v>595894562</v>
      </c>
    </row>
    <row r="650" spans="1:14">
      <c r="A650" s="1049" t="s">
        <v>1814</v>
      </c>
      <c r="B650" s="1031" t="s">
        <v>3011</v>
      </c>
      <c r="C650" s="1056">
        <v>2156482471</v>
      </c>
      <c r="D650" s="1056">
        <v>2072826874</v>
      </c>
      <c r="E650" s="1056">
        <v>2156482471</v>
      </c>
      <c r="F650" s="1056">
        <v>2072826874</v>
      </c>
      <c r="G650" s="1056">
        <v>2072826874</v>
      </c>
      <c r="H650" s="1056">
        <v>2072826874</v>
      </c>
      <c r="I650" s="1056">
        <v>2156482471</v>
      </c>
      <c r="J650" s="1056">
        <v>2072826874</v>
      </c>
      <c r="K650" s="1056">
        <v>2156482471</v>
      </c>
      <c r="L650" s="1056">
        <v>2072826874</v>
      </c>
      <c r="M650" s="1056">
        <v>2072826874</v>
      </c>
      <c r="N650" s="1056">
        <v>2072826874</v>
      </c>
    </row>
    <row r="651" spans="1:14">
      <c r="A651" s="1049" t="s">
        <v>958</v>
      </c>
      <c r="B651" s="1031" t="s">
        <v>7665</v>
      </c>
      <c r="C651" s="1056">
        <v>470593395</v>
      </c>
      <c r="D651" s="1056">
        <v>455852765</v>
      </c>
      <c r="E651" s="1056">
        <v>470593395</v>
      </c>
      <c r="F651" s="1056">
        <v>455852765</v>
      </c>
      <c r="G651" s="1056">
        <v>455885405</v>
      </c>
      <c r="H651" s="1056">
        <v>455885405</v>
      </c>
      <c r="I651" s="1056">
        <v>470593395</v>
      </c>
      <c r="J651" s="1056">
        <v>455852765</v>
      </c>
      <c r="K651" s="1056">
        <v>470593395</v>
      </c>
      <c r="L651" s="1056">
        <v>455852765</v>
      </c>
      <c r="M651" s="1056">
        <v>455885405</v>
      </c>
      <c r="N651" s="1056">
        <v>455885405</v>
      </c>
    </row>
    <row r="652" spans="1:14">
      <c r="A652" s="1049" t="s">
        <v>2061</v>
      </c>
      <c r="B652" s="1031" t="s">
        <v>717</v>
      </c>
      <c r="C652" s="1056">
        <v>55141476</v>
      </c>
      <c r="D652" s="1056">
        <v>52851576</v>
      </c>
      <c r="E652" s="1056">
        <v>55141476</v>
      </c>
      <c r="F652" s="1056">
        <v>52851576</v>
      </c>
      <c r="G652" s="1056">
        <v>53097538</v>
      </c>
      <c r="H652" s="1056">
        <v>53097538</v>
      </c>
      <c r="I652" s="1056">
        <v>55141476</v>
      </c>
      <c r="J652" s="1056">
        <v>52851576</v>
      </c>
      <c r="K652" s="1056">
        <v>55141476</v>
      </c>
      <c r="L652" s="1056">
        <v>52851576</v>
      </c>
      <c r="M652" s="1056">
        <v>53097538</v>
      </c>
      <c r="N652" s="1056">
        <v>53097538</v>
      </c>
    </row>
    <row r="653" spans="1:14">
      <c r="A653" s="1049" t="s">
        <v>1845</v>
      </c>
      <c r="B653" s="1031" t="s">
        <v>197</v>
      </c>
      <c r="C653" s="1056">
        <v>23027146</v>
      </c>
      <c r="D653" s="1056">
        <v>22378696</v>
      </c>
      <c r="E653" s="1056">
        <v>23027146</v>
      </c>
      <c r="F653" s="1056">
        <v>22378696</v>
      </c>
      <c r="G653" s="1056">
        <v>22442610</v>
      </c>
      <c r="H653" s="1056">
        <v>22442610</v>
      </c>
      <c r="I653" s="1056">
        <v>23027146</v>
      </c>
      <c r="J653" s="1056">
        <v>22378696</v>
      </c>
      <c r="K653" s="1056">
        <v>23027146</v>
      </c>
      <c r="L653" s="1056">
        <v>22378696</v>
      </c>
      <c r="M653" s="1056">
        <v>22442610</v>
      </c>
      <c r="N653" s="1056">
        <v>22442610</v>
      </c>
    </row>
    <row r="654" spans="1:14">
      <c r="A654" s="1049" t="s">
        <v>5237</v>
      </c>
      <c r="B654" s="1031" t="s">
        <v>1666</v>
      </c>
      <c r="C654" s="1056">
        <v>155772036</v>
      </c>
      <c r="D654" s="1056">
        <v>148856689</v>
      </c>
      <c r="E654" s="1056">
        <v>155772036</v>
      </c>
      <c r="F654" s="1056">
        <v>148856689</v>
      </c>
      <c r="G654" s="1056">
        <v>151310046</v>
      </c>
      <c r="H654" s="1056">
        <v>151310046</v>
      </c>
      <c r="I654" s="1056">
        <v>155772036</v>
      </c>
      <c r="J654" s="1056">
        <v>148856689</v>
      </c>
      <c r="K654" s="1056">
        <v>155772036</v>
      </c>
      <c r="L654" s="1056">
        <v>148856689</v>
      </c>
      <c r="M654" s="1056">
        <v>151310046</v>
      </c>
      <c r="N654" s="1056">
        <v>151310046</v>
      </c>
    </row>
    <row r="655" spans="1:14">
      <c r="A655" s="1049" t="s">
        <v>2065</v>
      </c>
      <c r="B655" s="1031" t="s">
        <v>2855</v>
      </c>
      <c r="C655" s="1056">
        <v>4186928654</v>
      </c>
      <c r="D655" s="1056">
        <v>4082620397</v>
      </c>
      <c r="E655" s="1056">
        <v>4186928654</v>
      </c>
      <c r="F655" s="1056">
        <v>4082620397</v>
      </c>
      <c r="G655" s="1056">
        <v>4109392518</v>
      </c>
      <c r="H655" s="1056">
        <v>4109392518</v>
      </c>
      <c r="I655" s="1056">
        <v>4186928654</v>
      </c>
      <c r="J655" s="1056">
        <v>4082620397</v>
      </c>
      <c r="K655" s="1056">
        <v>4186928654</v>
      </c>
      <c r="L655" s="1056">
        <v>4082620397</v>
      </c>
      <c r="M655" s="1056">
        <v>4109392518</v>
      </c>
      <c r="N655" s="1056">
        <v>4109392518</v>
      </c>
    </row>
    <row r="656" spans="1:14">
      <c r="A656" s="1049" t="s">
        <v>2905</v>
      </c>
      <c r="B656" s="1031" t="s">
        <v>2155</v>
      </c>
      <c r="C656" s="1056">
        <v>678066361</v>
      </c>
      <c r="D656" s="1056">
        <v>657186516</v>
      </c>
      <c r="E656" s="1056">
        <v>678066361</v>
      </c>
      <c r="F656" s="1056">
        <v>657186516</v>
      </c>
      <c r="G656" s="1056">
        <v>659652045</v>
      </c>
      <c r="H656" s="1056">
        <v>659652045</v>
      </c>
      <c r="I656" s="1056">
        <v>678066361</v>
      </c>
      <c r="J656" s="1056">
        <v>657186516</v>
      </c>
      <c r="K656" s="1056">
        <v>678066361</v>
      </c>
      <c r="L656" s="1056">
        <v>657186516</v>
      </c>
      <c r="M656" s="1056">
        <v>659652045</v>
      </c>
      <c r="N656" s="1056">
        <v>659652045</v>
      </c>
    </row>
    <row r="657" spans="1:14">
      <c r="A657" s="1049" t="s">
        <v>5238</v>
      </c>
      <c r="B657" s="1031" t="s">
        <v>200</v>
      </c>
      <c r="C657" s="1056">
        <v>431360051</v>
      </c>
      <c r="D657" s="1056">
        <v>411338518</v>
      </c>
      <c r="E657" s="1056">
        <v>431360051</v>
      </c>
      <c r="F657" s="1056">
        <v>411338518</v>
      </c>
      <c r="G657" s="1056">
        <v>415797847</v>
      </c>
      <c r="H657" s="1056">
        <v>415797847</v>
      </c>
      <c r="I657" s="1056">
        <v>431360051</v>
      </c>
      <c r="J657" s="1056">
        <v>411338518</v>
      </c>
      <c r="K657" s="1056">
        <v>431360051</v>
      </c>
      <c r="L657" s="1056">
        <v>411338518</v>
      </c>
      <c r="M657" s="1056">
        <v>415797847</v>
      </c>
      <c r="N657" s="1056">
        <v>415797847</v>
      </c>
    </row>
    <row r="658" spans="1:14">
      <c r="A658" s="1049" t="s">
        <v>6163</v>
      </c>
      <c r="B658" s="1031" t="s">
        <v>6067</v>
      </c>
      <c r="C658" s="1056">
        <v>112100810</v>
      </c>
      <c r="D658" s="1056">
        <v>105565809</v>
      </c>
      <c r="E658" s="1056">
        <v>112100810</v>
      </c>
      <c r="F658" s="1056">
        <v>105565809</v>
      </c>
      <c r="G658" s="1056">
        <v>106300101</v>
      </c>
      <c r="H658" s="1056">
        <v>106300101</v>
      </c>
      <c r="I658" s="1056">
        <v>112100810</v>
      </c>
      <c r="J658" s="1056">
        <v>105565809</v>
      </c>
      <c r="K658" s="1056">
        <v>112100810</v>
      </c>
      <c r="L658" s="1056">
        <v>105565809</v>
      </c>
      <c r="M658" s="1056">
        <v>106300101</v>
      </c>
      <c r="N658" s="1056">
        <v>106300101</v>
      </c>
    </row>
    <row r="659" spans="1:14">
      <c r="A659" s="1049" t="s">
        <v>2470</v>
      </c>
      <c r="B659" s="1031" t="s">
        <v>6075</v>
      </c>
      <c r="C659" s="1056">
        <v>325053507</v>
      </c>
      <c r="D659" s="1056">
        <v>312718491</v>
      </c>
      <c r="E659" s="1056">
        <v>325053507</v>
      </c>
      <c r="F659" s="1056">
        <v>312718491</v>
      </c>
      <c r="G659" s="1056">
        <v>315293694</v>
      </c>
      <c r="H659" s="1056">
        <v>315293694</v>
      </c>
      <c r="I659" s="1056">
        <v>325053507</v>
      </c>
      <c r="J659" s="1056">
        <v>312718491</v>
      </c>
      <c r="K659" s="1056">
        <v>325053507</v>
      </c>
      <c r="L659" s="1056">
        <v>312718491</v>
      </c>
      <c r="M659" s="1056">
        <v>315293694</v>
      </c>
      <c r="N659" s="1056">
        <v>315293694</v>
      </c>
    </row>
    <row r="660" spans="1:14">
      <c r="A660" s="1049" t="s">
        <v>973</v>
      </c>
      <c r="B660" s="1031" t="s">
        <v>718</v>
      </c>
      <c r="C660" s="1056">
        <v>159001863</v>
      </c>
      <c r="D660" s="1056">
        <v>149319204</v>
      </c>
      <c r="E660" s="1056">
        <v>159001863</v>
      </c>
      <c r="F660" s="1056">
        <v>149319204</v>
      </c>
      <c r="G660" s="1056">
        <v>149768171</v>
      </c>
      <c r="H660" s="1056">
        <v>149768171</v>
      </c>
      <c r="I660" s="1056">
        <v>159001863</v>
      </c>
      <c r="J660" s="1056">
        <v>149319204</v>
      </c>
      <c r="K660" s="1056">
        <v>159001863</v>
      </c>
      <c r="L660" s="1056">
        <v>149319204</v>
      </c>
      <c r="M660" s="1056">
        <v>149768171</v>
      </c>
      <c r="N660" s="1056">
        <v>149768171</v>
      </c>
    </row>
    <row r="661" spans="1:14">
      <c r="A661" s="1049" t="s">
        <v>2769</v>
      </c>
      <c r="B661" s="1031" t="s">
        <v>359</v>
      </c>
      <c r="C661" s="1056">
        <v>715951040</v>
      </c>
      <c r="D661" s="1056">
        <v>710549907</v>
      </c>
      <c r="E661" s="1056">
        <v>713272085</v>
      </c>
      <c r="F661" s="1056">
        <v>707870952</v>
      </c>
      <c r="G661" s="1056">
        <v>710549907</v>
      </c>
      <c r="H661" s="1056">
        <v>707870952</v>
      </c>
      <c r="I661" s="1056">
        <v>715951040</v>
      </c>
      <c r="J661" s="1056">
        <v>710549907</v>
      </c>
      <c r="K661" s="1056">
        <v>713272085</v>
      </c>
      <c r="L661" s="1056">
        <v>707870952</v>
      </c>
      <c r="M661" s="1056">
        <v>710549907</v>
      </c>
      <c r="N661" s="1056">
        <v>707870952</v>
      </c>
    </row>
    <row r="662" spans="1:14">
      <c r="A662" s="1049" t="s">
        <v>3553</v>
      </c>
      <c r="B662" s="1031" t="s">
        <v>4060</v>
      </c>
      <c r="C662" s="1056">
        <v>4163363363</v>
      </c>
      <c r="D662" s="1056">
        <v>4022356733</v>
      </c>
      <c r="E662" s="1056">
        <v>4163363363</v>
      </c>
      <c r="F662" s="1056">
        <v>4022356733</v>
      </c>
      <c r="G662" s="1056">
        <v>4056347895</v>
      </c>
      <c r="H662" s="1056">
        <v>4056347895</v>
      </c>
      <c r="I662" s="1056">
        <v>4163363363</v>
      </c>
      <c r="J662" s="1056">
        <v>4022356733</v>
      </c>
      <c r="K662" s="1056">
        <v>4163363363</v>
      </c>
      <c r="L662" s="1056">
        <v>4022356733</v>
      </c>
      <c r="M662" s="1056">
        <v>4056347895</v>
      </c>
      <c r="N662" s="1056">
        <v>4056347895</v>
      </c>
    </row>
    <row r="663" spans="1:14">
      <c r="A663" s="1049" t="s">
        <v>3556</v>
      </c>
      <c r="B663" s="1031" t="s">
        <v>4067</v>
      </c>
      <c r="C663" s="1056">
        <v>368822267</v>
      </c>
      <c r="D663" s="1056">
        <v>349343275</v>
      </c>
      <c r="E663" s="1056">
        <v>368822267</v>
      </c>
      <c r="F663" s="1056">
        <v>349343275</v>
      </c>
      <c r="G663" s="1056">
        <v>353713275</v>
      </c>
      <c r="H663" s="1056">
        <v>353713275</v>
      </c>
      <c r="I663" s="1056">
        <v>368822267</v>
      </c>
      <c r="J663" s="1056">
        <v>349343275</v>
      </c>
      <c r="K663" s="1056">
        <v>368822267</v>
      </c>
      <c r="L663" s="1056">
        <v>349343275</v>
      </c>
      <c r="M663" s="1056">
        <v>353713275</v>
      </c>
      <c r="N663" s="1056">
        <v>353713275</v>
      </c>
    </row>
    <row r="664" spans="1:14">
      <c r="A664" s="1049" t="s">
        <v>5052</v>
      </c>
      <c r="B664" s="1031" t="s">
        <v>719</v>
      </c>
      <c r="C664" s="1056">
        <v>116646145</v>
      </c>
      <c r="D664" s="1056">
        <v>109085897</v>
      </c>
      <c r="E664" s="1056">
        <v>116646145</v>
      </c>
      <c r="F664" s="1056">
        <v>109085897</v>
      </c>
      <c r="G664" s="1056">
        <v>110429914</v>
      </c>
      <c r="H664" s="1056">
        <v>110429914</v>
      </c>
      <c r="I664" s="1056">
        <v>116646145</v>
      </c>
      <c r="J664" s="1056">
        <v>109085897</v>
      </c>
      <c r="K664" s="1056">
        <v>116646145</v>
      </c>
      <c r="L664" s="1056">
        <v>109085897</v>
      </c>
      <c r="M664" s="1056">
        <v>110429914</v>
      </c>
      <c r="N664" s="1056">
        <v>110429914</v>
      </c>
    </row>
    <row r="665" spans="1:14">
      <c r="A665" s="1049" t="s">
        <v>5054</v>
      </c>
      <c r="B665" s="1031" t="s">
        <v>720</v>
      </c>
      <c r="C665" s="1056">
        <v>162031890</v>
      </c>
      <c r="D665" s="1056">
        <v>152960666</v>
      </c>
      <c r="E665" s="1056">
        <v>162031890</v>
      </c>
      <c r="F665" s="1056">
        <v>152960666</v>
      </c>
      <c r="G665" s="1056">
        <v>153294175</v>
      </c>
      <c r="H665" s="1056">
        <v>153294175</v>
      </c>
      <c r="I665" s="1056">
        <v>162031890</v>
      </c>
      <c r="J665" s="1056">
        <v>152960666</v>
      </c>
      <c r="K665" s="1056">
        <v>162031890</v>
      </c>
      <c r="L665" s="1056">
        <v>152960666</v>
      </c>
      <c r="M665" s="1056">
        <v>153294175</v>
      </c>
      <c r="N665" s="1056">
        <v>153294175</v>
      </c>
    </row>
    <row r="666" spans="1:14">
      <c r="A666" s="1049" t="s">
        <v>737</v>
      </c>
      <c r="B666" s="1031" t="s">
        <v>6110</v>
      </c>
      <c r="C666" s="1056">
        <v>640138816</v>
      </c>
      <c r="D666" s="1056">
        <v>610380775</v>
      </c>
      <c r="E666" s="1056">
        <v>640138816</v>
      </c>
      <c r="F666" s="1056">
        <v>610380775</v>
      </c>
      <c r="G666" s="1056">
        <v>611887305</v>
      </c>
      <c r="H666" s="1056">
        <v>611887305</v>
      </c>
      <c r="I666" s="1056">
        <v>640138816</v>
      </c>
      <c r="J666" s="1056">
        <v>610380775</v>
      </c>
      <c r="K666" s="1056">
        <v>640138816</v>
      </c>
      <c r="L666" s="1056">
        <v>610380775</v>
      </c>
      <c r="M666" s="1056">
        <v>611887305</v>
      </c>
      <c r="N666" s="1056">
        <v>611887305</v>
      </c>
    </row>
    <row r="667" spans="1:14">
      <c r="A667" s="1049" t="s">
        <v>237</v>
      </c>
      <c r="B667" s="1031" t="s">
        <v>2644</v>
      </c>
      <c r="C667" s="1056">
        <v>591227180</v>
      </c>
      <c r="D667" s="1056">
        <v>566682951</v>
      </c>
      <c r="E667" s="1056">
        <v>591227180</v>
      </c>
      <c r="F667" s="1056">
        <v>566682951</v>
      </c>
      <c r="G667" s="1056">
        <v>571293378</v>
      </c>
      <c r="H667" s="1056">
        <v>571293378</v>
      </c>
      <c r="I667" s="1056">
        <v>591227180</v>
      </c>
      <c r="J667" s="1056">
        <v>566682951</v>
      </c>
      <c r="K667" s="1056">
        <v>591227180</v>
      </c>
      <c r="L667" s="1056">
        <v>566682951</v>
      </c>
      <c r="M667" s="1056">
        <v>571293378</v>
      </c>
      <c r="N667" s="1056">
        <v>571293378</v>
      </c>
    </row>
    <row r="668" spans="1:14">
      <c r="A668" s="1049" t="s">
        <v>2307</v>
      </c>
      <c r="B668" s="1031" t="s">
        <v>365</v>
      </c>
      <c r="C668" s="1056">
        <v>550742304</v>
      </c>
      <c r="D668" s="1056">
        <v>520922530</v>
      </c>
      <c r="E668" s="1056">
        <v>550742304</v>
      </c>
      <c r="F668" s="1056">
        <v>520922530</v>
      </c>
      <c r="G668" s="1056">
        <v>527916239</v>
      </c>
      <c r="H668" s="1056">
        <v>527916239</v>
      </c>
      <c r="I668" s="1056">
        <v>550742304</v>
      </c>
      <c r="J668" s="1056">
        <v>520922530</v>
      </c>
      <c r="K668" s="1056">
        <v>550742304</v>
      </c>
      <c r="L668" s="1056">
        <v>520922530</v>
      </c>
      <c r="M668" s="1056">
        <v>527916239</v>
      </c>
      <c r="N668" s="1056">
        <v>527916239</v>
      </c>
    </row>
    <row r="669" spans="1:14">
      <c r="A669" s="1049" t="s">
        <v>957</v>
      </c>
      <c r="B669" s="1031" t="s">
        <v>7664</v>
      </c>
      <c r="C669" s="1056">
        <v>143301768</v>
      </c>
      <c r="D669" s="1056">
        <v>137671511</v>
      </c>
      <c r="E669" s="1056">
        <v>143301768</v>
      </c>
      <c r="F669" s="1056">
        <v>137671511</v>
      </c>
      <c r="G669" s="1056">
        <v>138308445</v>
      </c>
      <c r="H669" s="1056">
        <v>138308445</v>
      </c>
      <c r="I669" s="1056">
        <v>143301768</v>
      </c>
      <c r="J669" s="1056">
        <v>137671511</v>
      </c>
      <c r="K669" s="1056">
        <v>143301768</v>
      </c>
      <c r="L669" s="1056">
        <v>137671511</v>
      </c>
      <c r="M669" s="1056">
        <v>138308445</v>
      </c>
      <c r="N669" s="1056">
        <v>138308445</v>
      </c>
    </row>
    <row r="670" spans="1:14">
      <c r="A670" s="1049" t="s">
        <v>5056</v>
      </c>
      <c r="B670" s="1031" t="s">
        <v>721</v>
      </c>
      <c r="C670" s="1056">
        <v>60210548</v>
      </c>
      <c r="D670" s="1056">
        <v>57206201</v>
      </c>
      <c r="E670" s="1056">
        <v>60210548</v>
      </c>
      <c r="F670" s="1056">
        <v>57206201</v>
      </c>
      <c r="G670" s="1056">
        <v>57895439</v>
      </c>
      <c r="H670" s="1056">
        <v>57895439</v>
      </c>
      <c r="I670" s="1056">
        <v>60210548</v>
      </c>
      <c r="J670" s="1056">
        <v>57206201</v>
      </c>
      <c r="K670" s="1056">
        <v>60210548</v>
      </c>
      <c r="L670" s="1056">
        <v>57206201</v>
      </c>
      <c r="M670" s="1056">
        <v>57895439</v>
      </c>
      <c r="N670" s="1056">
        <v>57895439</v>
      </c>
    </row>
    <row r="671" spans="1:14">
      <c r="A671" s="1049" t="s">
        <v>5137</v>
      </c>
      <c r="B671" s="1031" t="s">
        <v>722</v>
      </c>
      <c r="C671" s="1056">
        <v>38601186</v>
      </c>
      <c r="D671" s="1056">
        <v>35302659</v>
      </c>
      <c r="E671" s="1056">
        <v>38601186</v>
      </c>
      <c r="F671" s="1056">
        <v>35302659</v>
      </c>
      <c r="G671" s="1056">
        <v>36185928</v>
      </c>
      <c r="H671" s="1056">
        <v>36185928</v>
      </c>
      <c r="I671" s="1056">
        <v>38601186</v>
      </c>
      <c r="J671" s="1056">
        <v>35302659</v>
      </c>
      <c r="K671" s="1056">
        <v>38601186</v>
      </c>
      <c r="L671" s="1056">
        <v>35302659</v>
      </c>
      <c r="M671" s="1056">
        <v>36185928</v>
      </c>
      <c r="N671" s="1056">
        <v>36185928</v>
      </c>
    </row>
    <row r="672" spans="1:14">
      <c r="A672" s="1049" t="s">
        <v>4568</v>
      </c>
      <c r="B672" s="1031" t="s">
        <v>723</v>
      </c>
      <c r="C672" s="1056">
        <v>3951053215</v>
      </c>
      <c r="D672" s="1056">
        <v>3949455935</v>
      </c>
      <c r="E672" s="1056">
        <v>3949933806</v>
      </c>
      <c r="F672" s="1056">
        <v>3948336526</v>
      </c>
      <c r="G672" s="1056">
        <v>3949455935</v>
      </c>
      <c r="H672" s="1056">
        <v>3948336526</v>
      </c>
      <c r="I672" s="1056">
        <v>3951053215</v>
      </c>
      <c r="J672" s="1056">
        <v>3949455935</v>
      </c>
      <c r="K672" s="1056">
        <v>3949933806</v>
      </c>
      <c r="L672" s="1056">
        <v>3948336526</v>
      </c>
      <c r="M672" s="1056">
        <v>3949455935</v>
      </c>
      <c r="N672" s="1056">
        <v>3948336526</v>
      </c>
    </row>
    <row r="673" spans="1:14">
      <c r="A673" s="1049" t="s">
        <v>2053</v>
      </c>
      <c r="B673" s="1031" t="s">
        <v>999</v>
      </c>
      <c r="C673" s="1056">
        <v>377919164</v>
      </c>
      <c r="D673" s="1056">
        <v>359151346</v>
      </c>
      <c r="E673" s="1056">
        <v>377919164</v>
      </c>
      <c r="F673" s="1056">
        <v>359151346</v>
      </c>
      <c r="G673" s="1056">
        <v>361043609</v>
      </c>
      <c r="H673" s="1056">
        <v>361043609</v>
      </c>
      <c r="I673" s="1056">
        <v>377919164</v>
      </c>
      <c r="J673" s="1056">
        <v>359151346</v>
      </c>
      <c r="K673" s="1056">
        <v>377919164</v>
      </c>
      <c r="L673" s="1056">
        <v>359151346</v>
      </c>
      <c r="M673" s="1056">
        <v>361043609</v>
      </c>
      <c r="N673" s="1056">
        <v>361043609</v>
      </c>
    </row>
    <row r="674" spans="1:14">
      <c r="A674" s="1049" t="s">
        <v>1846</v>
      </c>
      <c r="B674" s="1031" t="s">
        <v>1001</v>
      </c>
      <c r="C674" s="1056">
        <v>110004359</v>
      </c>
      <c r="D674" s="1056">
        <v>106857893</v>
      </c>
      <c r="E674" s="1056">
        <v>110004359</v>
      </c>
      <c r="F674" s="1056">
        <v>106857893</v>
      </c>
      <c r="G674" s="1056">
        <v>107062372</v>
      </c>
      <c r="H674" s="1056">
        <v>107062372</v>
      </c>
      <c r="I674" s="1056">
        <v>110004359</v>
      </c>
      <c r="J674" s="1056">
        <v>106857893</v>
      </c>
      <c r="K674" s="1056">
        <v>110004359</v>
      </c>
      <c r="L674" s="1056">
        <v>106857893</v>
      </c>
      <c r="M674" s="1056">
        <v>107062372</v>
      </c>
      <c r="N674" s="1056">
        <v>107062372</v>
      </c>
    </row>
    <row r="675" spans="1:14">
      <c r="A675" s="1049" t="s">
        <v>5239</v>
      </c>
      <c r="B675" s="1031" t="s">
        <v>505</v>
      </c>
      <c r="C675" s="1056">
        <v>174188645</v>
      </c>
      <c r="D675" s="1056">
        <v>163309448</v>
      </c>
      <c r="E675" s="1056">
        <v>174188645</v>
      </c>
      <c r="F675" s="1056">
        <v>163309448</v>
      </c>
      <c r="G675" s="1056">
        <v>164125970</v>
      </c>
      <c r="H675" s="1056">
        <v>164125970</v>
      </c>
      <c r="I675" s="1056">
        <v>174188645</v>
      </c>
      <c r="J675" s="1056">
        <v>163309448</v>
      </c>
      <c r="K675" s="1056">
        <v>174188645</v>
      </c>
      <c r="L675" s="1056">
        <v>163309448</v>
      </c>
      <c r="M675" s="1056">
        <v>164125970</v>
      </c>
      <c r="N675" s="1056">
        <v>164125970</v>
      </c>
    </row>
    <row r="676" spans="1:14">
      <c r="A676" s="1049" t="s">
        <v>1870</v>
      </c>
      <c r="B676" s="1031" t="s">
        <v>3849</v>
      </c>
      <c r="C676" s="1056">
        <v>571223017</v>
      </c>
      <c r="D676" s="1056">
        <v>549572033</v>
      </c>
      <c r="E676" s="1056">
        <v>571223017</v>
      </c>
      <c r="F676" s="1056">
        <v>549572033</v>
      </c>
      <c r="G676" s="1056">
        <v>554079752</v>
      </c>
      <c r="H676" s="1056">
        <v>554079752</v>
      </c>
      <c r="I676" s="1056">
        <v>571223017</v>
      </c>
      <c r="J676" s="1056">
        <v>549572033</v>
      </c>
      <c r="K676" s="1056">
        <v>571223017</v>
      </c>
      <c r="L676" s="1056">
        <v>549572033</v>
      </c>
      <c r="M676" s="1056">
        <v>554079752</v>
      </c>
      <c r="N676" s="1056">
        <v>554079752</v>
      </c>
    </row>
    <row r="677" spans="1:14">
      <c r="A677" s="1049" t="s">
        <v>6169</v>
      </c>
      <c r="B677" s="1031" t="s">
        <v>6079</v>
      </c>
      <c r="C677" s="1056">
        <v>1246048953</v>
      </c>
      <c r="D677" s="1056">
        <v>1204424338</v>
      </c>
      <c r="E677" s="1056">
        <v>1246048953</v>
      </c>
      <c r="F677" s="1056">
        <v>1204424338</v>
      </c>
      <c r="G677" s="1056">
        <v>1207398765</v>
      </c>
      <c r="H677" s="1056">
        <v>1207398765</v>
      </c>
      <c r="I677" s="1056">
        <v>1246048953</v>
      </c>
      <c r="J677" s="1056">
        <v>1204424338</v>
      </c>
      <c r="K677" s="1056">
        <v>1246048953</v>
      </c>
      <c r="L677" s="1056">
        <v>1204424338</v>
      </c>
      <c r="M677" s="1056">
        <v>1207398765</v>
      </c>
      <c r="N677" s="1056">
        <v>1207398765</v>
      </c>
    </row>
    <row r="678" spans="1:14">
      <c r="A678" s="1049" t="s">
        <v>574</v>
      </c>
      <c r="B678" s="1031" t="s">
        <v>724</v>
      </c>
      <c r="C678" s="1056">
        <v>178917574</v>
      </c>
      <c r="D678" s="1056">
        <v>174070234</v>
      </c>
      <c r="E678" s="1056">
        <v>178917574</v>
      </c>
      <c r="F678" s="1056">
        <v>174070234</v>
      </c>
      <c r="G678" s="1056">
        <v>174880138</v>
      </c>
      <c r="H678" s="1056">
        <v>174880138</v>
      </c>
      <c r="I678" s="1056">
        <v>178917574</v>
      </c>
      <c r="J678" s="1056">
        <v>174070234</v>
      </c>
      <c r="K678" s="1056">
        <v>178917574</v>
      </c>
      <c r="L678" s="1056">
        <v>174070234</v>
      </c>
      <c r="M678" s="1056">
        <v>174880138</v>
      </c>
      <c r="N678" s="1056">
        <v>174880138</v>
      </c>
    </row>
    <row r="679" spans="1:14">
      <c r="A679" s="1049" t="s">
        <v>6172</v>
      </c>
      <c r="B679" s="1031" t="s">
        <v>497</v>
      </c>
      <c r="C679" s="1056">
        <v>19520493075</v>
      </c>
      <c r="D679" s="1056">
        <v>19259474133</v>
      </c>
      <c r="E679" s="1056">
        <v>19262648124</v>
      </c>
      <c r="F679" s="1056">
        <v>19001629182</v>
      </c>
      <c r="G679" s="1056">
        <v>19322261905</v>
      </c>
      <c r="H679" s="1056">
        <v>19064416954</v>
      </c>
      <c r="I679" s="1056">
        <v>19520493075</v>
      </c>
      <c r="J679" s="1056">
        <v>19259474133</v>
      </c>
      <c r="K679" s="1056">
        <v>19262648124</v>
      </c>
      <c r="L679" s="1056">
        <v>19001629182</v>
      </c>
      <c r="M679" s="1056">
        <v>19322261905</v>
      </c>
      <c r="N679" s="1056">
        <v>19064416954</v>
      </c>
    </row>
    <row r="680" spans="1:14">
      <c r="A680" s="1049" t="s">
        <v>578</v>
      </c>
      <c r="B680" s="1031" t="s">
        <v>725</v>
      </c>
      <c r="C680" s="1056">
        <v>1342740793</v>
      </c>
      <c r="D680" s="1056">
        <v>1328861862</v>
      </c>
      <c r="E680" s="1056">
        <v>1315573713</v>
      </c>
      <c r="F680" s="1056">
        <v>1301694782</v>
      </c>
      <c r="G680" s="1056">
        <v>1329568094</v>
      </c>
      <c r="H680" s="1056">
        <v>1302401014</v>
      </c>
      <c r="I680" s="1056">
        <v>1342740793</v>
      </c>
      <c r="J680" s="1056">
        <v>1328861862</v>
      </c>
      <c r="K680" s="1056">
        <v>1315573713</v>
      </c>
      <c r="L680" s="1056">
        <v>1301694782</v>
      </c>
      <c r="M680" s="1056">
        <v>1329568094</v>
      </c>
      <c r="N680" s="1056">
        <v>1302401014</v>
      </c>
    </row>
    <row r="681" spans="1:14">
      <c r="A681" s="1049" t="s">
        <v>980</v>
      </c>
      <c r="B681" s="1031" t="s">
        <v>6098</v>
      </c>
      <c r="C681" s="1056">
        <v>299001116</v>
      </c>
      <c r="D681" s="1056">
        <v>282915505</v>
      </c>
      <c r="E681" s="1056">
        <v>299001116</v>
      </c>
      <c r="F681" s="1056">
        <v>282915505</v>
      </c>
      <c r="G681" s="1056">
        <v>284988023</v>
      </c>
      <c r="H681" s="1056">
        <v>284988023</v>
      </c>
      <c r="I681" s="1056">
        <v>299001116</v>
      </c>
      <c r="J681" s="1056">
        <v>282915505</v>
      </c>
      <c r="K681" s="1056">
        <v>299001116</v>
      </c>
      <c r="L681" s="1056">
        <v>282915505</v>
      </c>
      <c r="M681" s="1056">
        <v>284988023</v>
      </c>
      <c r="N681" s="1056">
        <v>284988023</v>
      </c>
    </row>
    <row r="682" spans="1:14">
      <c r="A682" s="1049" t="s">
        <v>3972</v>
      </c>
      <c r="B682" s="1031" t="s">
        <v>726</v>
      </c>
      <c r="C682" s="1056">
        <v>96478805</v>
      </c>
      <c r="D682" s="1056">
        <v>94320091</v>
      </c>
      <c r="E682" s="1056">
        <v>96478805</v>
      </c>
      <c r="F682" s="1056">
        <v>94320091</v>
      </c>
      <c r="G682" s="1056">
        <v>95315476</v>
      </c>
      <c r="H682" s="1056">
        <v>95315476</v>
      </c>
      <c r="I682" s="1056">
        <v>96478805</v>
      </c>
      <c r="J682" s="1056">
        <v>94320091</v>
      </c>
      <c r="K682" s="1056">
        <v>96478805</v>
      </c>
      <c r="L682" s="1056">
        <v>94320091</v>
      </c>
      <c r="M682" s="1056">
        <v>95315476</v>
      </c>
      <c r="N682" s="1056">
        <v>95315476</v>
      </c>
    </row>
    <row r="683" spans="1:14">
      <c r="A683" s="1049" t="s">
        <v>6173</v>
      </c>
      <c r="B683" s="1031" t="s">
        <v>727</v>
      </c>
      <c r="C683" s="1056">
        <v>86342171</v>
      </c>
      <c r="D683" s="1056">
        <v>82494834</v>
      </c>
      <c r="E683" s="1056">
        <v>86342171</v>
      </c>
      <c r="F683" s="1056">
        <v>82494834</v>
      </c>
      <c r="G683" s="1056">
        <v>82814509</v>
      </c>
      <c r="H683" s="1056">
        <v>82814509</v>
      </c>
      <c r="I683" s="1056">
        <v>86342171</v>
      </c>
      <c r="J683" s="1056">
        <v>82494834</v>
      </c>
      <c r="K683" s="1056">
        <v>86342171</v>
      </c>
      <c r="L683" s="1056">
        <v>82494834</v>
      </c>
      <c r="M683" s="1056">
        <v>82814509</v>
      </c>
      <c r="N683" s="1056">
        <v>82814509</v>
      </c>
    </row>
    <row r="684" spans="1:14">
      <c r="A684" s="1049" t="s">
        <v>3974</v>
      </c>
      <c r="B684" s="1031" t="s">
        <v>728</v>
      </c>
      <c r="C684" s="1056">
        <v>860030524</v>
      </c>
      <c r="D684" s="1056">
        <v>842760078</v>
      </c>
      <c r="E684" s="1056">
        <v>860030524</v>
      </c>
      <c r="F684" s="1056">
        <v>842760078</v>
      </c>
      <c r="G684" s="1056">
        <v>844570376</v>
      </c>
      <c r="H684" s="1056">
        <v>844570376</v>
      </c>
      <c r="I684" s="1056">
        <v>860030524</v>
      </c>
      <c r="J684" s="1056">
        <v>842760078</v>
      </c>
      <c r="K684" s="1056">
        <v>860030524</v>
      </c>
      <c r="L684" s="1056">
        <v>842760078</v>
      </c>
      <c r="M684" s="1056">
        <v>844570376</v>
      </c>
      <c r="N684" s="1056">
        <v>844570376</v>
      </c>
    </row>
    <row r="685" spans="1:14">
      <c r="A685" s="1049" t="s">
        <v>814</v>
      </c>
      <c r="B685" s="1031" t="s">
        <v>729</v>
      </c>
      <c r="C685" s="1056">
        <v>125927080</v>
      </c>
      <c r="D685" s="1056">
        <v>118973786</v>
      </c>
      <c r="E685" s="1056">
        <v>125927080</v>
      </c>
      <c r="F685" s="1056">
        <v>118973786</v>
      </c>
      <c r="G685" s="1056">
        <v>119666381</v>
      </c>
      <c r="H685" s="1056">
        <v>119666381</v>
      </c>
      <c r="I685" s="1056">
        <v>125927080</v>
      </c>
      <c r="J685" s="1056">
        <v>118973786</v>
      </c>
      <c r="K685" s="1056">
        <v>125927080</v>
      </c>
      <c r="L685" s="1056">
        <v>118973786</v>
      </c>
      <c r="M685" s="1056">
        <v>119666381</v>
      </c>
      <c r="N685" s="1056">
        <v>119666381</v>
      </c>
    </row>
    <row r="686" spans="1:14">
      <c r="A686" s="1049" t="s">
        <v>4587</v>
      </c>
      <c r="B686" s="1031" t="s">
        <v>2144</v>
      </c>
      <c r="C686" s="1056">
        <v>29458210</v>
      </c>
      <c r="D686" s="1056">
        <v>28240302</v>
      </c>
      <c r="E686" s="1056">
        <v>29458210</v>
      </c>
      <c r="F686" s="1056">
        <v>28240302</v>
      </c>
      <c r="G686" s="1056">
        <v>28566733</v>
      </c>
      <c r="H686" s="1056">
        <v>28566733</v>
      </c>
      <c r="I686" s="1056">
        <v>29458210</v>
      </c>
      <c r="J686" s="1056">
        <v>28240302</v>
      </c>
      <c r="K686" s="1056">
        <v>29458210</v>
      </c>
      <c r="L686" s="1056">
        <v>28240302</v>
      </c>
      <c r="M686" s="1056">
        <v>28566733</v>
      </c>
      <c r="N686" s="1056">
        <v>28566733</v>
      </c>
    </row>
    <row r="687" spans="1:14">
      <c r="A687" s="1049" t="s">
        <v>1852</v>
      </c>
      <c r="B687" s="1031" t="s">
        <v>4963</v>
      </c>
      <c r="C687" s="1056">
        <v>398189391</v>
      </c>
      <c r="D687" s="1056">
        <v>391142967</v>
      </c>
      <c r="E687" s="1056">
        <v>398189391</v>
      </c>
      <c r="F687" s="1056">
        <v>391142967</v>
      </c>
      <c r="G687" s="1056">
        <v>392389610</v>
      </c>
      <c r="H687" s="1056">
        <v>392389610</v>
      </c>
      <c r="I687" s="1056">
        <v>398189391</v>
      </c>
      <c r="J687" s="1056">
        <v>391142967</v>
      </c>
      <c r="K687" s="1056">
        <v>398189391</v>
      </c>
      <c r="L687" s="1056">
        <v>391142967</v>
      </c>
      <c r="M687" s="1056">
        <v>392389610</v>
      </c>
      <c r="N687" s="1056">
        <v>392389610</v>
      </c>
    </row>
    <row r="688" spans="1:14">
      <c r="A688" s="1049" t="s">
        <v>141</v>
      </c>
      <c r="B688" s="1031" t="s">
        <v>730</v>
      </c>
      <c r="C688" s="1056">
        <v>74817053</v>
      </c>
      <c r="D688" s="1056">
        <v>73045613</v>
      </c>
      <c r="E688" s="1056">
        <v>74817053</v>
      </c>
      <c r="F688" s="1056">
        <v>73045613</v>
      </c>
      <c r="G688" s="1056">
        <v>73832921</v>
      </c>
      <c r="H688" s="1056">
        <v>73832921</v>
      </c>
      <c r="I688" s="1056">
        <v>74817053</v>
      </c>
      <c r="J688" s="1056">
        <v>73045613</v>
      </c>
      <c r="K688" s="1056">
        <v>74817053</v>
      </c>
      <c r="L688" s="1056">
        <v>73045613</v>
      </c>
      <c r="M688" s="1056">
        <v>73832921</v>
      </c>
      <c r="N688" s="1056">
        <v>73832921</v>
      </c>
    </row>
    <row r="689" spans="1:14">
      <c r="A689" s="1049" t="s">
        <v>1847</v>
      </c>
      <c r="B689" s="1031" t="s">
        <v>351</v>
      </c>
      <c r="C689" s="1056">
        <v>20210365</v>
      </c>
      <c r="D689" s="1056">
        <v>19369045</v>
      </c>
      <c r="E689" s="1056">
        <v>20210365</v>
      </c>
      <c r="F689" s="1056">
        <v>19369045</v>
      </c>
      <c r="G689" s="1056">
        <v>19507052</v>
      </c>
      <c r="H689" s="1056">
        <v>19507052</v>
      </c>
      <c r="I689" s="1056">
        <v>20210365</v>
      </c>
      <c r="J689" s="1056">
        <v>19369045</v>
      </c>
      <c r="K689" s="1056">
        <v>20210365</v>
      </c>
      <c r="L689" s="1056">
        <v>19369045</v>
      </c>
      <c r="M689" s="1056">
        <v>19507052</v>
      </c>
      <c r="N689" s="1056">
        <v>19507052</v>
      </c>
    </row>
    <row r="690" spans="1:14">
      <c r="A690" s="1049" t="s">
        <v>145</v>
      </c>
      <c r="B690" s="1031" t="s">
        <v>525</v>
      </c>
      <c r="C690" s="1056">
        <v>433849777</v>
      </c>
      <c r="D690" s="1056">
        <v>426594959</v>
      </c>
      <c r="E690" s="1056">
        <v>433849777</v>
      </c>
      <c r="F690" s="1056">
        <v>426594959</v>
      </c>
      <c r="G690" s="1056">
        <v>427311439</v>
      </c>
      <c r="H690" s="1056">
        <v>427311439</v>
      </c>
      <c r="I690" s="1056">
        <v>433849777</v>
      </c>
      <c r="J690" s="1056">
        <v>426594959</v>
      </c>
      <c r="K690" s="1056">
        <v>433849777</v>
      </c>
      <c r="L690" s="1056">
        <v>426594959</v>
      </c>
      <c r="M690" s="1056">
        <v>427311439</v>
      </c>
      <c r="N690" s="1056">
        <v>427311439</v>
      </c>
    </row>
    <row r="691" spans="1:14">
      <c r="A691" s="1049" t="s">
        <v>147</v>
      </c>
      <c r="B691" s="1031" t="s">
        <v>526</v>
      </c>
      <c r="C691" s="1056">
        <v>78766787</v>
      </c>
      <c r="D691" s="1056">
        <v>77862813</v>
      </c>
      <c r="E691" s="1056">
        <v>78766787</v>
      </c>
      <c r="F691" s="1056">
        <v>77862813</v>
      </c>
      <c r="G691" s="1056">
        <v>77979108</v>
      </c>
      <c r="H691" s="1056">
        <v>77979108</v>
      </c>
      <c r="I691" s="1056">
        <v>271530367</v>
      </c>
      <c r="J691" s="1056">
        <v>270626393</v>
      </c>
      <c r="K691" s="1056">
        <v>271530367</v>
      </c>
      <c r="L691" s="1056">
        <v>270626393</v>
      </c>
      <c r="M691" s="1056">
        <v>270742688</v>
      </c>
      <c r="N691" s="1056">
        <v>270742688</v>
      </c>
    </row>
    <row r="692" spans="1:14">
      <c r="A692" s="1049" t="s">
        <v>149</v>
      </c>
      <c r="B692" s="1031" t="s">
        <v>527</v>
      </c>
      <c r="C692" s="1056">
        <v>679353319</v>
      </c>
      <c r="D692" s="1056">
        <v>678161504</v>
      </c>
      <c r="E692" s="1056">
        <v>679353319</v>
      </c>
      <c r="F692" s="1056">
        <v>678161504</v>
      </c>
      <c r="G692" s="1056">
        <v>678470158</v>
      </c>
      <c r="H692" s="1056">
        <v>678470158</v>
      </c>
      <c r="I692" s="1056">
        <v>679353319</v>
      </c>
      <c r="J692" s="1056">
        <v>678161504</v>
      </c>
      <c r="K692" s="1056">
        <v>679353319</v>
      </c>
      <c r="L692" s="1056">
        <v>678161504</v>
      </c>
      <c r="M692" s="1056">
        <v>678470158</v>
      </c>
      <c r="N692" s="1056">
        <v>678470158</v>
      </c>
    </row>
    <row r="693" spans="1:14">
      <c r="A693" s="1049" t="s">
        <v>1956</v>
      </c>
      <c r="B693" s="1031" t="s">
        <v>528</v>
      </c>
      <c r="C693" s="1056">
        <v>1080197896</v>
      </c>
      <c r="D693" s="1056">
        <v>1055348580</v>
      </c>
      <c r="E693" s="1056">
        <v>1080197896</v>
      </c>
      <c r="F693" s="1056">
        <v>1055348580</v>
      </c>
      <c r="G693" s="1056">
        <v>1060841902</v>
      </c>
      <c r="H693" s="1056">
        <v>1060841902</v>
      </c>
      <c r="I693" s="1056">
        <v>1080197896</v>
      </c>
      <c r="J693" s="1056">
        <v>1055348580</v>
      </c>
      <c r="K693" s="1056">
        <v>1080197896</v>
      </c>
      <c r="L693" s="1056">
        <v>1055348580</v>
      </c>
      <c r="M693" s="1056">
        <v>1060841902</v>
      </c>
      <c r="N693" s="1056">
        <v>1060841902</v>
      </c>
    </row>
    <row r="694" spans="1:14">
      <c r="A694" s="1049" t="s">
        <v>1958</v>
      </c>
      <c r="B694" s="1031" t="s">
        <v>529</v>
      </c>
      <c r="C694" s="1056">
        <v>248169788</v>
      </c>
      <c r="D694" s="1056">
        <v>237955205</v>
      </c>
      <c r="E694" s="1056">
        <v>248169788</v>
      </c>
      <c r="F694" s="1056">
        <v>237955205</v>
      </c>
      <c r="G694" s="1056">
        <v>241323955</v>
      </c>
      <c r="H694" s="1056">
        <v>241323955</v>
      </c>
      <c r="I694" s="1056">
        <v>248169788</v>
      </c>
      <c r="J694" s="1056">
        <v>237955205</v>
      </c>
      <c r="K694" s="1056">
        <v>248169788</v>
      </c>
      <c r="L694" s="1056">
        <v>237955205</v>
      </c>
      <c r="M694" s="1056">
        <v>241323955</v>
      </c>
      <c r="N694" s="1056">
        <v>241323955</v>
      </c>
    </row>
    <row r="695" spans="1:14">
      <c r="A695" s="1049" t="s">
        <v>1960</v>
      </c>
      <c r="B695" s="1031" t="s">
        <v>530</v>
      </c>
      <c r="C695" s="1056">
        <v>97012131</v>
      </c>
      <c r="D695" s="1056">
        <v>95435400</v>
      </c>
      <c r="E695" s="1056">
        <v>97012131</v>
      </c>
      <c r="F695" s="1056">
        <v>95435400</v>
      </c>
      <c r="G695" s="1056">
        <v>95826540</v>
      </c>
      <c r="H695" s="1056">
        <v>95826540</v>
      </c>
      <c r="I695" s="1056">
        <v>97012131</v>
      </c>
      <c r="J695" s="1056">
        <v>95435400</v>
      </c>
      <c r="K695" s="1056">
        <v>97012131</v>
      </c>
      <c r="L695" s="1056">
        <v>95435400</v>
      </c>
      <c r="M695" s="1056">
        <v>95826540</v>
      </c>
      <c r="N695" s="1056">
        <v>95826540</v>
      </c>
    </row>
    <row r="696" spans="1:14">
      <c r="A696" s="1049" t="s">
        <v>2039</v>
      </c>
      <c r="B696" s="1031" t="s">
        <v>531</v>
      </c>
      <c r="C696" s="1056">
        <v>38761177</v>
      </c>
      <c r="D696" s="1056">
        <v>37245247</v>
      </c>
      <c r="E696" s="1056">
        <v>38761177</v>
      </c>
      <c r="F696" s="1056">
        <v>37245247</v>
      </c>
      <c r="G696" s="1056">
        <v>37534734</v>
      </c>
      <c r="H696" s="1056">
        <v>37534734</v>
      </c>
      <c r="I696" s="1056">
        <v>38761177</v>
      </c>
      <c r="J696" s="1056">
        <v>37245247</v>
      </c>
      <c r="K696" s="1056">
        <v>38761177</v>
      </c>
      <c r="L696" s="1056">
        <v>37245247</v>
      </c>
      <c r="M696" s="1056">
        <v>37534734</v>
      </c>
      <c r="N696" s="1056">
        <v>37534734</v>
      </c>
    </row>
    <row r="697" spans="1:14">
      <c r="A697" s="1049" t="s">
        <v>2041</v>
      </c>
      <c r="B697" s="1031" t="s">
        <v>532</v>
      </c>
      <c r="C697" s="1056">
        <v>166810633</v>
      </c>
      <c r="D697" s="1056">
        <v>165154132</v>
      </c>
      <c r="E697" s="1056">
        <v>166810633</v>
      </c>
      <c r="F697" s="1056">
        <v>165154132</v>
      </c>
      <c r="G697" s="1056">
        <v>165777017</v>
      </c>
      <c r="H697" s="1056">
        <v>165777017</v>
      </c>
      <c r="I697" s="1056">
        <v>166810633</v>
      </c>
      <c r="J697" s="1056">
        <v>165154132</v>
      </c>
      <c r="K697" s="1056">
        <v>166810633</v>
      </c>
      <c r="L697" s="1056">
        <v>165154132</v>
      </c>
      <c r="M697" s="1056">
        <v>165777017</v>
      </c>
      <c r="N697" s="1056">
        <v>165777017</v>
      </c>
    </row>
    <row r="698" spans="1:14">
      <c r="A698" s="1049" t="s">
        <v>1825</v>
      </c>
      <c r="B698" s="1031" t="s">
        <v>533</v>
      </c>
      <c r="C698" s="1056">
        <v>356191674</v>
      </c>
      <c r="D698" s="1056">
        <v>353453121</v>
      </c>
      <c r="E698" s="1056">
        <v>356191674</v>
      </c>
      <c r="F698" s="1056">
        <v>353453121</v>
      </c>
      <c r="G698" s="1056">
        <v>354846006</v>
      </c>
      <c r="H698" s="1056">
        <v>354846006</v>
      </c>
      <c r="I698" s="1056">
        <v>356191674</v>
      </c>
      <c r="J698" s="1056">
        <v>353453121</v>
      </c>
      <c r="K698" s="1056">
        <v>356191674</v>
      </c>
      <c r="L698" s="1056">
        <v>353453121</v>
      </c>
      <c r="M698" s="1056">
        <v>354846006</v>
      </c>
      <c r="N698" s="1056">
        <v>354846006</v>
      </c>
    </row>
    <row r="699" spans="1:14">
      <c r="A699" s="1049" t="s">
        <v>1827</v>
      </c>
      <c r="B699" s="1031" t="s">
        <v>534</v>
      </c>
      <c r="C699" s="1056">
        <v>266251675</v>
      </c>
      <c r="D699" s="1056">
        <v>262374638</v>
      </c>
      <c r="E699" s="1056">
        <v>266251675</v>
      </c>
      <c r="F699" s="1056">
        <v>262374638</v>
      </c>
      <c r="G699" s="1056">
        <v>263327775</v>
      </c>
      <c r="H699" s="1056">
        <v>263327775</v>
      </c>
      <c r="I699" s="1056">
        <v>266251675</v>
      </c>
      <c r="J699" s="1056">
        <v>262374638</v>
      </c>
      <c r="K699" s="1056">
        <v>266251675</v>
      </c>
      <c r="L699" s="1056">
        <v>262374638</v>
      </c>
      <c r="M699" s="1056">
        <v>263327775</v>
      </c>
      <c r="N699" s="1056">
        <v>263327775</v>
      </c>
    </row>
    <row r="700" spans="1:14">
      <c r="A700" s="1049" t="s">
        <v>238</v>
      </c>
      <c r="B700" s="1031" t="s">
        <v>2645</v>
      </c>
      <c r="C700" s="1056">
        <v>26772796755</v>
      </c>
      <c r="D700" s="1056">
        <v>26200901716</v>
      </c>
      <c r="E700" s="1056">
        <v>26772796755</v>
      </c>
      <c r="F700" s="1056">
        <v>26200901716</v>
      </c>
      <c r="G700" s="1056">
        <v>26390866169</v>
      </c>
      <c r="H700" s="1056">
        <v>26390866169</v>
      </c>
      <c r="I700" s="1056">
        <v>26772796755</v>
      </c>
      <c r="J700" s="1056">
        <v>26200901716</v>
      </c>
      <c r="K700" s="1056">
        <v>26772796755</v>
      </c>
      <c r="L700" s="1056">
        <v>26200901716</v>
      </c>
      <c r="M700" s="1056">
        <v>26390866169</v>
      </c>
      <c r="N700" s="1056">
        <v>26390866169</v>
      </c>
    </row>
    <row r="701" spans="1:14">
      <c r="A701" s="1049" t="s">
        <v>1829</v>
      </c>
      <c r="B701" s="1031" t="s">
        <v>535</v>
      </c>
      <c r="C701" s="1056">
        <v>4377116981</v>
      </c>
      <c r="D701" s="1056">
        <v>4264260243</v>
      </c>
      <c r="E701" s="1056">
        <v>4377116981</v>
      </c>
      <c r="F701" s="1056">
        <v>4264260243</v>
      </c>
      <c r="G701" s="1056">
        <v>4312478825</v>
      </c>
      <c r="H701" s="1056">
        <v>4312478825</v>
      </c>
      <c r="I701" s="1056">
        <v>4377116981</v>
      </c>
      <c r="J701" s="1056">
        <v>4264260243</v>
      </c>
      <c r="K701" s="1056">
        <v>4377116981</v>
      </c>
      <c r="L701" s="1056">
        <v>4264260243</v>
      </c>
      <c r="M701" s="1056">
        <v>4312478825</v>
      </c>
      <c r="N701" s="1056">
        <v>4312478825</v>
      </c>
    </row>
    <row r="702" spans="1:14">
      <c r="A702" s="1049" t="s">
        <v>859</v>
      </c>
      <c r="B702" s="1031" t="s">
        <v>2003</v>
      </c>
      <c r="C702" s="1056">
        <v>2541818647</v>
      </c>
      <c r="D702" s="1056">
        <v>2458439472</v>
      </c>
      <c r="E702" s="1056">
        <v>2541818647</v>
      </c>
      <c r="F702" s="1056">
        <v>2458439472</v>
      </c>
      <c r="G702" s="1056">
        <v>2485137385</v>
      </c>
      <c r="H702" s="1056">
        <v>2485137385</v>
      </c>
      <c r="I702" s="1056">
        <v>2541818647</v>
      </c>
      <c r="J702" s="1056">
        <v>2458439472</v>
      </c>
      <c r="K702" s="1056">
        <v>2541818647</v>
      </c>
      <c r="L702" s="1056">
        <v>2458439472</v>
      </c>
      <c r="M702" s="1056">
        <v>2485137385</v>
      </c>
      <c r="N702" s="1056">
        <v>2485137385</v>
      </c>
    </row>
    <row r="703" spans="1:14">
      <c r="A703" s="1049" t="s">
        <v>3001</v>
      </c>
      <c r="B703" s="1031" t="s">
        <v>6060</v>
      </c>
      <c r="C703" s="1056">
        <v>4457927737</v>
      </c>
      <c r="D703" s="1056">
        <v>4332086502</v>
      </c>
      <c r="E703" s="1056">
        <v>4457927737</v>
      </c>
      <c r="F703" s="1056">
        <v>4332086502</v>
      </c>
      <c r="G703" s="1056">
        <v>4352158902</v>
      </c>
      <c r="H703" s="1056">
        <v>4352158902</v>
      </c>
      <c r="I703" s="1056">
        <v>4457927737</v>
      </c>
      <c r="J703" s="1056">
        <v>4332086502</v>
      </c>
      <c r="K703" s="1056">
        <v>4457927737</v>
      </c>
      <c r="L703" s="1056">
        <v>4332086502</v>
      </c>
      <c r="M703" s="1056">
        <v>4352158902</v>
      </c>
      <c r="N703" s="1056">
        <v>4352158902</v>
      </c>
    </row>
    <row r="704" spans="1:14">
      <c r="A704" s="1049" t="s">
        <v>2405</v>
      </c>
      <c r="B704" s="1031" t="s">
        <v>2350</v>
      </c>
      <c r="C704" s="1056">
        <v>467565253</v>
      </c>
      <c r="D704" s="1056">
        <v>444285551</v>
      </c>
      <c r="E704" s="1056">
        <v>467565253</v>
      </c>
      <c r="F704" s="1056">
        <v>444285551</v>
      </c>
      <c r="G704" s="1056">
        <v>446731009</v>
      </c>
      <c r="H704" s="1056">
        <v>446731009</v>
      </c>
      <c r="I704" s="1056">
        <v>467565253</v>
      </c>
      <c r="J704" s="1056">
        <v>444285551</v>
      </c>
      <c r="K704" s="1056">
        <v>467565253</v>
      </c>
      <c r="L704" s="1056">
        <v>444285551</v>
      </c>
      <c r="M704" s="1056">
        <v>446731009</v>
      </c>
      <c r="N704" s="1056">
        <v>446731009</v>
      </c>
    </row>
    <row r="705" spans="1:14">
      <c r="A705" s="1049" t="s">
        <v>2907</v>
      </c>
      <c r="B705" s="1031" t="s">
        <v>1933</v>
      </c>
      <c r="C705" s="1056">
        <v>2730169240</v>
      </c>
      <c r="D705" s="1056">
        <v>2642625991</v>
      </c>
      <c r="E705" s="1056">
        <v>2730169240</v>
      </c>
      <c r="F705" s="1056">
        <v>2642625991</v>
      </c>
      <c r="G705" s="1056">
        <v>2649380362</v>
      </c>
      <c r="H705" s="1056">
        <v>2649380362</v>
      </c>
      <c r="I705" s="1056">
        <v>2730169240</v>
      </c>
      <c r="J705" s="1056">
        <v>2642625991</v>
      </c>
      <c r="K705" s="1056">
        <v>2730169240</v>
      </c>
      <c r="L705" s="1056">
        <v>2642625991</v>
      </c>
      <c r="M705" s="1056">
        <v>2649380362</v>
      </c>
      <c r="N705" s="1056">
        <v>2649380362</v>
      </c>
    </row>
    <row r="706" spans="1:14">
      <c r="A706" s="1049" t="s">
        <v>1222</v>
      </c>
      <c r="B706" s="1031" t="s">
        <v>536</v>
      </c>
      <c r="C706" s="1056">
        <v>2102639105</v>
      </c>
      <c r="D706" s="1056">
        <v>2070264216</v>
      </c>
      <c r="E706" s="1056">
        <v>2068335985</v>
      </c>
      <c r="F706" s="1056">
        <v>2035961096</v>
      </c>
      <c r="G706" s="1056">
        <v>2075175451</v>
      </c>
      <c r="H706" s="1056">
        <v>2040872331</v>
      </c>
      <c r="I706" s="1056">
        <v>2102639105</v>
      </c>
      <c r="J706" s="1056">
        <v>2070264216</v>
      </c>
      <c r="K706" s="1056">
        <v>2068335985</v>
      </c>
      <c r="L706" s="1056">
        <v>2035961096</v>
      </c>
      <c r="M706" s="1056">
        <v>2075175451</v>
      </c>
      <c r="N706" s="1056">
        <v>2040872331</v>
      </c>
    </row>
    <row r="707" spans="1:14">
      <c r="A707" s="1049" t="s">
        <v>1224</v>
      </c>
      <c r="B707" s="1031" t="s">
        <v>537</v>
      </c>
      <c r="C707" s="1056">
        <v>364894305</v>
      </c>
      <c r="D707" s="1056">
        <v>360885086</v>
      </c>
      <c r="E707" s="1056">
        <v>364894305</v>
      </c>
      <c r="F707" s="1056">
        <v>360885086</v>
      </c>
      <c r="G707" s="1056">
        <v>361292588</v>
      </c>
      <c r="H707" s="1056">
        <v>361292588</v>
      </c>
      <c r="I707" s="1056">
        <v>372599735</v>
      </c>
      <c r="J707" s="1056">
        <v>368590516</v>
      </c>
      <c r="K707" s="1056">
        <v>372599735</v>
      </c>
      <c r="L707" s="1056">
        <v>368590516</v>
      </c>
      <c r="M707" s="1056">
        <v>368998018</v>
      </c>
      <c r="N707" s="1056">
        <v>368998018</v>
      </c>
    </row>
    <row r="708" spans="1:14">
      <c r="A708" s="1049" t="s">
        <v>5375</v>
      </c>
      <c r="B708" s="1031" t="s">
        <v>538</v>
      </c>
      <c r="C708" s="1056">
        <v>846569477</v>
      </c>
      <c r="D708" s="1056">
        <v>826323910</v>
      </c>
      <c r="E708" s="1056">
        <v>830682064</v>
      </c>
      <c r="F708" s="1056">
        <v>810436497</v>
      </c>
      <c r="G708" s="1056">
        <v>826359767</v>
      </c>
      <c r="H708" s="1056">
        <v>810472354</v>
      </c>
      <c r="I708" s="1056">
        <v>846569477</v>
      </c>
      <c r="J708" s="1056">
        <v>826323910</v>
      </c>
      <c r="K708" s="1056">
        <v>830682064</v>
      </c>
      <c r="L708" s="1056">
        <v>810436497</v>
      </c>
      <c r="M708" s="1056">
        <v>826359767</v>
      </c>
      <c r="N708" s="1056">
        <v>810472354</v>
      </c>
    </row>
    <row r="709" spans="1:14">
      <c r="A709" s="1049" t="s">
        <v>5377</v>
      </c>
      <c r="B709" s="1031" t="s">
        <v>6619</v>
      </c>
      <c r="C709" s="1056">
        <v>284795659</v>
      </c>
      <c r="D709" s="1056">
        <v>270161388</v>
      </c>
      <c r="E709" s="1056">
        <v>284795659</v>
      </c>
      <c r="F709" s="1056">
        <v>270161388</v>
      </c>
      <c r="G709" s="1056">
        <v>270443446</v>
      </c>
      <c r="H709" s="1056">
        <v>270443446</v>
      </c>
      <c r="I709" s="1056">
        <v>284795659</v>
      </c>
      <c r="J709" s="1056">
        <v>270161388</v>
      </c>
      <c r="K709" s="1056">
        <v>284795659</v>
      </c>
      <c r="L709" s="1056">
        <v>270161388</v>
      </c>
      <c r="M709" s="1056">
        <v>270443446</v>
      </c>
      <c r="N709" s="1056">
        <v>270443446</v>
      </c>
    </row>
    <row r="710" spans="1:14">
      <c r="A710" s="1049" t="s">
        <v>5379</v>
      </c>
      <c r="B710" s="1031" t="s">
        <v>540</v>
      </c>
      <c r="C710" s="1056">
        <v>104634998</v>
      </c>
      <c r="D710" s="1056">
        <v>101983038</v>
      </c>
      <c r="E710" s="1056">
        <v>104634998</v>
      </c>
      <c r="F710" s="1056">
        <v>101983038</v>
      </c>
      <c r="G710" s="1056">
        <v>101983038</v>
      </c>
      <c r="H710" s="1056">
        <v>101983038</v>
      </c>
      <c r="I710" s="1056">
        <v>104634998</v>
      </c>
      <c r="J710" s="1056">
        <v>101983038</v>
      </c>
      <c r="K710" s="1056">
        <v>104634998</v>
      </c>
      <c r="L710" s="1056">
        <v>101983038</v>
      </c>
      <c r="M710" s="1056">
        <v>101983038</v>
      </c>
      <c r="N710" s="1056">
        <v>101983038</v>
      </c>
    </row>
    <row r="711" spans="1:14">
      <c r="A711" s="1049" t="s">
        <v>642</v>
      </c>
      <c r="B711" s="1031" t="s">
        <v>6111</v>
      </c>
      <c r="C711" s="1056">
        <v>198531591</v>
      </c>
      <c r="D711" s="1056">
        <v>194675201</v>
      </c>
      <c r="E711" s="1056">
        <v>195427718</v>
      </c>
      <c r="F711" s="1056">
        <v>191571328</v>
      </c>
      <c r="G711" s="1056">
        <v>194817506</v>
      </c>
      <c r="H711" s="1056">
        <v>191713633</v>
      </c>
      <c r="I711" s="1056">
        <v>198531591</v>
      </c>
      <c r="J711" s="1056">
        <v>194675201</v>
      </c>
      <c r="K711" s="1056">
        <v>195427718</v>
      </c>
      <c r="L711" s="1056">
        <v>191571328</v>
      </c>
      <c r="M711" s="1056">
        <v>194817506</v>
      </c>
      <c r="N711" s="1056">
        <v>191713633</v>
      </c>
    </row>
    <row r="712" spans="1:14">
      <c r="A712" s="1049" t="s">
        <v>2618</v>
      </c>
      <c r="B712" s="1031" t="s">
        <v>541</v>
      </c>
      <c r="C712" s="1056">
        <v>246910554</v>
      </c>
      <c r="D712" s="1056">
        <v>239335844</v>
      </c>
      <c r="E712" s="1056">
        <v>240761240</v>
      </c>
      <c r="F712" s="1056">
        <v>233186530</v>
      </c>
      <c r="G712" s="1056">
        <v>239812382</v>
      </c>
      <c r="H712" s="1056">
        <v>233663068</v>
      </c>
      <c r="I712" s="1056">
        <v>542962954</v>
      </c>
      <c r="J712" s="1056">
        <v>535388244</v>
      </c>
      <c r="K712" s="1056">
        <v>536813640</v>
      </c>
      <c r="L712" s="1056">
        <v>529238930</v>
      </c>
      <c r="M712" s="1056">
        <v>535864782</v>
      </c>
      <c r="N712" s="1056">
        <v>529715468</v>
      </c>
    </row>
    <row r="713" spans="1:14">
      <c r="A713" s="1049" t="s">
        <v>644</v>
      </c>
      <c r="B713" s="1031" t="s">
        <v>123</v>
      </c>
      <c r="C713" s="1056">
        <v>157546994</v>
      </c>
      <c r="D713" s="1056">
        <v>151322444</v>
      </c>
      <c r="E713" s="1056">
        <v>151540500</v>
      </c>
      <c r="F713" s="1056">
        <v>145315950</v>
      </c>
      <c r="G713" s="1056">
        <v>151643768</v>
      </c>
      <c r="H713" s="1056">
        <v>145637274</v>
      </c>
      <c r="I713" s="1056">
        <v>157546994</v>
      </c>
      <c r="J713" s="1056">
        <v>151322444</v>
      </c>
      <c r="K713" s="1056">
        <v>151540500</v>
      </c>
      <c r="L713" s="1056">
        <v>145315950</v>
      </c>
      <c r="M713" s="1056">
        <v>151643768</v>
      </c>
      <c r="N713" s="1056">
        <v>145637274</v>
      </c>
    </row>
    <row r="714" spans="1:14">
      <c r="A714" s="1049" t="s">
        <v>2620</v>
      </c>
      <c r="B714" s="1031" t="s">
        <v>542</v>
      </c>
      <c r="C714" s="1056">
        <v>1977649035</v>
      </c>
      <c r="D714" s="1056">
        <v>1907792035</v>
      </c>
      <c r="E714" s="1056">
        <v>1881284850</v>
      </c>
      <c r="F714" s="1056">
        <v>1811427850</v>
      </c>
      <c r="G714" s="1056">
        <v>1917315866</v>
      </c>
      <c r="H714" s="1056">
        <v>1820951681</v>
      </c>
      <c r="I714" s="1056">
        <v>1977649035</v>
      </c>
      <c r="J714" s="1056">
        <v>1907792035</v>
      </c>
      <c r="K714" s="1056">
        <v>1881284850</v>
      </c>
      <c r="L714" s="1056">
        <v>1811427850</v>
      </c>
      <c r="M714" s="1056">
        <v>1917315866</v>
      </c>
      <c r="N714" s="1056">
        <v>1820951681</v>
      </c>
    </row>
    <row r="715" spans="1:14">
      <c r="A715" s="1049" t="s">
        <v>4588</v>
      </c>
      <c r="B715" s="1031" t="s">
        <v>2006</v>
      </c>
      <c r="C715" s="1056">
        <v>182084132</v>
      </c>
      <c r="D715" s="1056">
        <v>175711922</v>
      </c>
      <c r="E715" s="1056">
        <v>175795181</v>
      </c>
      <c r="F715" s="1056">
        <v>169422971</v>
      </c>
      <c r="G715" s="1056">
        <v>176191543</v>
      </c>
      <c r="H715" s="1056">
        <v>169902592</v>
      </c>
      <c r="I715" s="1056">
        <v>182084132</v>
      </c>
      <c r="J715" s="1056">
        <v>175711922</v>
      </c>
      <c r="K715" s="1056">
        <v>175795181</v>
      </c>
      <c r="L715" s="1056">
        <v>169422971</v>
      </c>
      <c r="M715" s="1056">
        <v>176191543</v>
      </c>
      <c r="N715" s="1056">
        <v>169902592</v>
      </c>
    </row>
    <row r="716" spans="1:14">
      <c r="A716" s="1049" t="s">
        <v>2622</v>
      </c>
      <c r="B716" s="1031" t="s">
        <v>543</v>
      </c>
      <c r="C716" s="1056">
        <v>119789649</v>
      </c>
      <c r="D716" s="1056">
        <v>112063009</v>
      </c>
      <c r="E716" s="1056">
        <v>111224549</v>
      </c>
      <c r="F716" s="1056">
        <v>103497909</v>
      </c>
      <c r="G716" s="1056">
        <v>112604250</v>
      </c>
      <c r="H716" s="1056">
        <v>104039150</v>
      </c>
      <c r="I716" s="1056">
        <v>119789649</v>
      </c>
      <c r="J716" s="1056">
        <v>112063009</v>
      </c>
      <c r="K716" s="1056">
        <v>111224549</v>
      </c>
      <c r="L716" s="1056">
        <v>103497909</v>
      </c>
      <c r="M716" s="1056">
        <v>112604250</v>
      </c>
      <c r="N716" s="1056">
        <v>104039150</v>
      </c>
    </row>
    <row r="717" spans="1:14">
      <c r="A717" s="1049" t="s">
        <v>2624</v>
      </c>
      <c r="B717" s="1031" t="s">
        <v>544</v>
      </c>
      <c r="C717" s="1056">
        <v>76141833</v>
      </c>
      <c r="D717" s="1056">
        <v>73033523</v>
      </c>
      <c r="E717" s="1056">
        <v>72857403</v>
      </c>
      <c r="F717" s="1056">
        <v>69749093</v>
      </c>
      <c r="G717" s="1056">
        <v>73287662</v>
      </c>
      <c r="H717" s="1056">
        <v>70003232</v>
      </c>
      <c r="I717" s="1056">
        <v>76141833</v>
      </c>
      <c r="J717" s="1056">
        <v>73033523</v>
      </c>
      <c r="K717" s="1056">
        <v>72857403</v>
      </c>
      <c r="L717" s="1056">
        <v>69749093</v>
      </c>
      <c r="M717" s="1056">
        <v>73287662</v>
      </c>
      <c r="N717" s="1056">
        <v>70003232</v>
      </c>
    </row>
    <row r="718" spans="1:14">
      <c r="A718" s="1049" t="s">
        <v>1523</v>
      </c>
      <c r="B718" s="1031" t="s">
        <v>1929</v>
      </c>
      <c r="C718" s="1056">
        <v>50014702</v>
      </c>
      <c r="D718" s="1056">
        <v>46307202</v>
      </c>
      <c r="E718" s="1056">
        <v>46909614</v>
      </c>
      <c r="F718" s="1056">
        <v>43202114</v>
      </c>
      <c r="G718" s="1056">
        <v>46416591</v>
      </c>
      <c r="H718" s="1056">
        <v>43311503</v>
      </c>
      <c r="I718" s="1056">
        <v>50014702</v>
      </c>
      <c r="J718" s="1056">
        <v>46307202</v>
      </c>
      <c r="K718" s="1056">
        <v>46909614</v>
      </c>
      <c r="L718" s="1056">
        <v>43202114</v>
      </c>
      <c r="M718" s="1056">
        <v>46416591</v>
      </c>
      <c r="N718" s="1056">
        <v>43311503</v>
      </c>
    </row>
    <row r="719" spans="1:14">
      <c r="A719" s="1049" t="s">
        <v>2626</v>
      </c>
      <c r="B719" s="1031" t="s">
        <v>545</v>
      </c>
      <c r="C719" s="1056">
        <v>167491899</v>
      </c>
      <c r="D719" s="1056">
        <v>162008889</v>
      </c>
      <c r="E719" s="1056">
        <v>159495346</v>
      </c>
      <c r="F719" s="1056">
        <v>154012336</v>
      </c>
      <c r="G719" s="1056">
        <v>162482447</v>
      </c>
      <c r="H719" s="1056">
        <v>154485894</v>
      </c>
      <c r="I719" s="1056">
        <v>167491899</v>
      </c>
      <c r="J719" s="1056">
        <v>162008889</v>
      </c>
      <c r="K719" s="1056">
        <v>159495346</v>
      </c>
      <c r="L719" s="1056">
        <v>154012336</v>
      </c>
      <c r="M719" s="1056">
        <v>162482447</v>
      </c>
      <c r="N719" s="1056">
        <v>154485894</v>
      </c>
    </row>
    <row r="720" spans="1:14">
      <c r="A720" s="1049" t="s">
        <v>2628</v>
      </c>
      <c r="B720" s="1031" t="s">
        <v>546</v>
      </c>
      <c r="C720" s="1056">
        <v>153056348</v>
      </c>
      <c r="D720" s="1056">
        <v>143146348</v>
      </c>
      <c r="E720" s="1056">
        <v>153056348</v>
      </c>
      <c r="F720" s="1056">
        <v>143146348</v>
      </c>
      <c r="G720" s="1056">
        <v>144594401</v>
      </c>
      <c r="H720" s="1056">
        <v>144594401</v>
      </c>
      <c r="I720" s="1056">
        <v>153056348</v>
      </c>
      <c r="J720" s="1056">
        <v>143146348</v>
      </c>
      <c r="K720" s="1056">
        <v>153056348</v>
      </c>
      <c r="L720" s="1056">
        <v>143146348</v>
      </c>
      <c r="M720" s="1056">
        <v>144594401</v>
      </c>
      <c r="N720" s="1056">
        <v>144594401</v>
      </c>
    </row>
    <row r="721" spans="1:14">
      <c r="A721" s="1049" t="s">
        <v>241</v>
      </c>
      <c r="B721" s="1031" t="s">
        <v>2649</v>
      </c>
      <c r="C721" s="1056">
        <v>1424475329</v>
      </c>
      <c r="D721" s="1056">
        <v>1372761321</v>
      </c>
      <c r="E721" s="1056">
        <v>1424475329</v>
      </c>
      <c r="F721" s="1056">
        <v>1372761321</v>
      </c>
      <c r="G721" s="1056">
        <v>1380873560</v>
      </c>
      <c r="H721" s="1056">
        <v>1380873560</v>
      </c>
      <c r="I721" s="1056">
        <v>1424475329</v>
      </c>
      <c r="J721" s="1056">
        <v>1372761321</v>
      </c>
      <c r="K721" s="1056">
        <v>1424475329</v>
      </c>
      <c r="L721" s="1056">
        <v>1372761321</v>
      </c>
      <c r="M721" s="1056">
        <v>1380873560</v>
      </c>
      <c r="N721" s="1056">
        <v>1380873560</v>
      </c>
    </row>
    <row r="722" spans="1:14">
      <c r="A722" s="1049" t="s">
        <v>248</v>
      </c>
      <c r="B722" s="1031" t="s">
        <v>993</v>
      </c>
      <c r="C722" s="1056">
        <v>152103006</v>
      </c>
      <c r="D722" s="1056">
        <v>145807128</v>
      </c>
      <c r="E722" s="1056">
        <v>152103006</v>
      </c>
      <c r="F722" s="1056">
        <v>145807128</v>
      </c>
      <c r="G722" s="1056">
        <v>146171547</v>
      </c>
      <c r="H722" s="1056">
        <v>146171547</v>
      </c>
      <c r="I722" s="1056">
        <v>152103006</v>
      </c>
      <c r="J722" s="1056">
        <v>145807128</v>
      </c>
      <c r="K722" s="1056">
        <v>152103006</v>
      </c>
      <c r="L722" s="1056">
        <v>145807128</v>
      </c>
      <c r="M722" s="1056">
        <v>146171547</v>
      </c>
      <c r="N722" s="1056">
        <v>146171547</v>
      </c>
    </row>
    <row r="723" spans="1:14">
      <c r="A723" s="1049" t="s">
        <v>5084</v>
      </c>
      <c r="B723" s="1031" t="s">
        <v>547</v>
      </c>
      <c r="C723" s="1056">
        <v>98593057</v>
      </c>
      <c r="D723" s="1056">
        <v>94839655</v>
      </c>
      <c r="E723" s="1056">
        <v>98593057</v>
      </c>
      <c r="F723" s="1056">
        <v>94839655</v>
      </c>
      <c r="G723" s="1056">
        <v>95295718</v>
      </c>
      <c r="H723" s="1056">
        <v>95295718</v>
      </c>
      <c r="I723" s="1056">
        <v>98593057</v>
      </c>
      <c r="J723" s="1056">
        <v>94839655</v>
      </c>
      <c r="K723" s="1056">
        <v>98593057</v>
      </c>
      <c r="L723" s="1056">
        <v>94839655</v>
      </c>
      <c r="M723" s="1056">
        <v>95295718</v>
      </c>
      <c r="N723" s="1056">
        <v>95295718</v>
      </c>
    </row>
    <row r="724" spans="1:14">
      <c r="A724" s="1049" t="s">
        <v>2534</v>
      </c>
      <c r="B724" s="1031" t="s">
        <v>1919</v>
      </c>
      <c r="C724" s="1056">
        <v>252530105</v>
      </c>
      <c r="D724" s="1056">
        <v>244786437</v>
      </c>
      <c r="E724" s="1056">
        <v>252530105</v>
      </c>
      <c r="F724" s="1056">
        <v>244786437</v>
      </c>
      <c r="G724" s="1056">
        <v>246241842</v>
      </c>
      <c r="H724" s="1056">
        <v>246241842</v>
      </c>
      <c r="I724" s="1056">
        <v>252530105</v>
      </c>
      <c r="J724" s="1056">
        <v>244786437</v>
      </c>
      <c r="K724" s="1056">
        <v>252530105</v>
      </c>
      <c r="L724" s="1056">
        <v>244786437</v>
      </c>
      <c r="M724" s="1056">
        <v>246241842</v>
      </c>
      <c r="N724" s="1056">
        <v>246241842</v>
      </c>
    </row>
    <row r="725" spans="1:14">
      <c r="A725" s="1049" t="s">
        <v>5086</v>
      </c>
      <c r="B725" s="1031" t="s">
        <v>548</v>
      </c>
      <c r="C725" s="1056">
        <v>419407532</v>
      </c>
      <c r="D725" s="1056">
        <v>411088277</v>
      </c>
      <c r="E725" s="1056">
        <v>419407532</v>
      </c>
      <c r="F725" s="1056">
        <v>411088277</v>
      </c>
      <c r="G725" s="1056">
        <v>411812442</v>
      </c>
      <c r="H725" s="1056">
        <v>411812442</v>
      </c>
      <c r="I725" s="1056">
        <v>419407532</v>
      </c>
      <c r="J725" s="1056">
        <v>411088277</v>
      </c>
      <c r="K725" s="1056">
        <v>419407532</v>
      </c>
      <c r="L725" s="1056">
        <v>411088277</v>
      </c>
      <c r="M725" s="1056">
        <v>411812442</v>
      </c>
      <c r="N725" s="1056">
        <v>411812442</v>
      </c>
    </row>
    <row r="726" spans="1:14">
      <c r="A726" s="1049" t="s">
        <v>2768</v>
      </c>
      <c r="B726" s="1031" t="s">
        <v>358</v>
      </c>
      <c r="C726" s="1056">
        <v>110419975</v>
      </c>
      <c r="D726" s="1056">
        <v>105376630</v>
      </c>
      <c r="E726" s="1056">
        <v>110419975</v>
      </c>
      <c r="F726" s="1056">
        <v>105376630</v>
      </c>
      <c r="G726" s="1056">
        <v>105822282</v>
      </c>
      <c r="H726" s="1056">
        <v>105822282</v>
      </c>
      <c r="I726" s="1056">
        <v>110419975</v>
      </c>
      <c r="J726" s="1056">
        <v>105376630</v>
      </c>
      <c r="K726" s="1056">
        <v>110419975</v>
      </c>
      <c r="L726" s="1056">
        <v>105376630</v>
      </c>
      <c r="M726" s="1056">
        <v>105822282</v>
      </c>
      <c r="N726" s="1056">
        <v>105822282</v>
      </c>
    </row>
    <row r="727" spans="1:14">
      <c r="A727" s="1049" t="s">
        <v>5088</v>
      </c>
      <c r="B727" s="1031" t="s">
        <v>549</v>
      </c>
      <c r="C727" s="1056">
        <v>240525913</v>
      </c>
      <c r="D727" s="1056">
        <v>234677298</v>
      </c>
      <c r="E727" s="1056">
        <v>235209978</v>
      </c>
      <c r="F727" s="1056">
        <v>229361363</v>
      </c>
      <c r="G727" s="1056">
        <v>234778354</v>
      </c>
      <c r="H727" s="1056">
        <v>229462419</v>
      </c>
      <c r="I727" s="1056">
        <v>240525913</v>
      </c>
      <c r="J727" s="1056">
        <v>234677298</v>
      </c>
      <c r="K727" s="1056">
        <v>235209978</v>
      </c>
      <c r="L727" s="1056">
        <v>229361363</v>
      </c>
      <c r="M727" s="1056">
        <v>234778354</v>
      </c>
      <c r="N727" s="1056">
        <v>229462419</v>
      </c>
    </row>
    <row r="728" spans="1:14">
      <c r="A728" s="1049" t="s">
        <v>6181</v>
      </c>
      <c r="B728" s="1031" t="s">
        <v>1936</v>
      </c>
      <c r="C728" s="1056">
        <v>282878273</v>
      </c>
      <c r="D728" s="1056">
        <v>268134820</v>
      </c>
      <c r="E728" s="1056">
        <v>271957758</v>
      </c>
      <c r="F728" s="1056">
        <v>257214305</v>
      </c>
      <c r="G728" s="1056">
        <v>268285363</v>
      </c>
      <c r="H728" s="1056">
        <v>257364848</v>
      </c>
      <c r="I728" s="1056">
        <v>282878273</v>
      </c>
      <c r="J728" s="1056">
        <v>268134820</v>
      </c>
      <c r="K728" s="1056">
        <v>271957758</v>
      </c>
      <c r="L728" s="1056">
        <v>257214305</v>
      </c>
      <c r="M728" s="1056">
        <v>268285363</v>
      </c>
      <c r="N728" s="1056">
        <v>257364848</v>
      </c>
    </row>
    <row r="729" spans="1:14">
      <c r="A729" s="1049" t="s">
        <v>1848</v>
      </c>
      <c r="B729" s="1031" t="s">
        <v>1000</v>
      </c>
      <c r="C729" s="1056">
        <v>562907745</v>
      </c>
      <c r="D729" s="1056">
        <v>554372105</v>
      </c>
      <c r="E729" s="1056">
        <v>556139007</v>
      </c>
      <c r="F729" s="1056">
        <v>547603367</v>
      </c>
      <c r="G729" s="1056">
        <v>554449010</v>
      </c>
      <c r="H729" s="1056">
        <v>547680272</v>
      </c>
      <c r="I729" s="1056">
        <v>562907745</v>
      </c>
      <c r="J729" s="1056">
        <v>554372105</v>
      </c>
      <c r="K729" s="1056">
        <v>556139007</v>
      </c>
      <c r="L729" s="1056">
        <v>547603367</v>
      </c>
      <c r="M729" s="1056">
        <v>554449010</v>
      </c>
      <c r="N729" s="1056">
        <v>547680272</v>
      </c>
    </row>
    <row r="730" spans="1:14">
      <c r="A730" s="1049" t="s">
        <v>2471</v>
      </c>
      <c r="B730" s="1031" t="s">
        <v>8242</v>
      </c>
      <c r="C730" s="1056">
        <v>143381801</v>
      </c>
      <c r="D730" s="1056">
        <v>139598981</v>
      </c>
      <c r="E730" s="1056">
        <v>143381801</v>
      </c>
      <c r="F730" s="1056">
        <v>139598981</v>
      </c>
      <c r="G730" s="1056">
        <v>139598981</v>
      </c>
      <c r="H730" s="1056">
        <v>139598981</v>
      </c>
      <c r="I730" s="1056">
        <v>420242341</v>
      </c>
      <c r="J730" s="1056">
        <v>416459521</v>
      </c>
      <c r="K730" s="1056">
        <v>420242341</v>
      </c>
      <c r="L730" s="1056">
        <v>416459521</v>
      </c>
      <c r="M730" s="1056">
        <v>416459521</v>
      </c>
      <c r="N730" s="1056">
        <v>416459521</v>
      </c>
    </row>
    <row r="731" spans="1:14">
      <c r="A731" s="1049" t="s">
        <v>6044</v>
      </c>
      <c r="B731" s="1031" t="s">
        <v>550</v>
      </c>
      <c r="C731" s="1056">
        <v>727588243</v>
      </c>
      <c r="D731" s="1056">
        <v>704274013</v>
      </c>
      <c r="E731" s="1056">
        <v>727588243</v>
      </c>
      <c r="F731" s="1056">
        <v>704274013</v>
      </c>
      <c r="G731" s="1056">
        <v>704289404</v>
      </c>
      <c r="H731" s="1056">
        <v>704289404</v>
      </c>
      <c r="I731" s="1056">
        <v>759813243</v>
      </c>
      <c r="J731" s="1056">
        <v>736499013</v>
      </c>
      <c r="K731" s="1056">
        <v>759813243</v>
      </c>
      <c r="L731" s="1056">
        <v>736499013</v>
      </c>
      <c r="M731" s="1056">
        <v>736514404</v>
      </c>
      <c r="N731" s="1056">
        <v>736514404</v>
      </c>
    </row>
    <row r="732" spans="1:14">
      <c r="A732" s="1049" t="s">
        <v>6046</v>
      </c>
      <c r="B732" s="1031" t="s">
        <v>4207</v>
      </c>
      <c r="C732" s="1056">
        <v>321745570</v>
      </c>
      <c r="D732" s="1056">
        <v>319298314</v>
      </c>
      <c r="E732" s="1056">
        <v>321745570</v>
      </c>
      <c r="F732" s="1056">
        <v>319298314</v>
      </c>
      <c r="G732" s="1056">
        <v>319298314</v>
      </c>
      <c r="H732" s="1056">
        <v>319298314</v>
      </c>
      <c r="I732" s="1056">
        <v>1011279767</v>
      </c>
      <c r="J732" s="1056">
        <v>1008832511</v>
      </c>
      <c r="K732" s="1056">
        <v>1011279767</v>
      </c>
      <c r="L732" s="1056">
        <v>1008832511</v>
      </c>
      <c r="M732" s="1056">
        <v>1008832511</v>
      </c>
      <c r="N732" s="1056">
        <v>1008832511</v>
      </c>
    </row>
    <row r="733" spans="1:14">
      <c r="A733" s="1049" t="s">
        <v>4185</v>
      </c>
      <c r="B733" s="1031" t="s">
        <v>552</v>
      </c>
      <c r="C733" s="1056">
        <v>220961127</v>
      </c>
      <c r="D733" s="1056">
        <v>220005707</v>
      </c>
      <c r="E733" s="1056">
        <v>220961127</v>
      </c>
      <c r="F733" s="1056">
        <v>220005707</v>
      </c>
      <c r="G733" s="1056">
        <v>220005707</v>
      </c>
      <c r="H733" s="1056">
        <v>220005707</v>
      </c>
      <c r="I733" s="1056">
        <v>512231397</v>
      </c>
      <c r="J733" s="1056">
        <v>511275977</v>
      </c>
      <c r="K733" s="1056">
        <v>512231397</v>
      </c>
      <c r="L733" s="1056">
        <v>511275977</v>
      </c>
      <c r="M733" s="1056">
        <v>511275977</v>
      </c>
      <c r="N733" s="1056">
        <v>511275977</v>
      </c>
    </row>
    <row r="734" spans="1:14">
      <c r="A734" s="1049" t="s">
        <v>6689</v>
      </c>
      <c r="B734" s="1031" t="s">
        <v>553</v>
      </c>
      <c r="C734" s="1056">
        <v>134399161</v>
      </c>
      <c r="D734" s="1056">
        <v>131730702</v>
      </c>
      <c r="E734" s="1056">
        <v>134399161</v>
      </c>
      <c r="F734" s="1056">
        <v>131730702</v>
      </c>
      <c r="G734" s="1056">
        <v>131821702</v>
      </c>
      <c r="H734" s="1056">
        <v>131821702</v>
      </c>
      <c r="I734" s="1056">
        <v>134399161</v>
      </c>
      <c r="J734" s="1056">
        <v>131730702</v>
      </c>
      <c r="K734" s="1056">
        <v>134399161</v>
      </c>
      <c r="L734" s="1056">
        <v>131730702</v>
      </c>
      <c r="M734" s="1056">
        <v>131821702</v>
      </c>
      <c r="N734" s="1056">
        <v>131821702</v>
      </c>
    </row>
    <row r="735" spans="1:14">
      <c r="A735" s="1049" t="s">
        <v>6691</v>
      </c>
      <c r="B735" s="1031" t="s">
        <v>4211</v>
      </c>
      <c r="C735" s="1056">
        <v>500717199</v>
      </c>
      <c r="D735" s="1056">
        <v>488449726</v>
      </c>
      <c r="E735" s="1056">
        <v>490147263</v>
      </c>
      <c r="F735" s="1056">
        <v>477879790</v>
      </c>
      <c r="G735" s="1056">
        <v>488765191</v>
      </c>
      <c r="H735" s="1056">
        <v>478195255</v>
      </c>
      <c r="I735" s="1056">
        <v>500717199</v>
      </c>
      <c r="J735" s="1056">
        <v>488449726</v>
      </c>
      <c r="K735" s="1056">
        <v>490147263</v>
      </c>
      <c r="L735" s="1056">
        <v>477879790</v>
      </c>
      <c r="M735" s="1056">
        <v>488765191</v>
      </c>
      <c r="N735" s="1056">
        <v>478195255</v>
      </c>
    </row>
    <row r="736" spans="1:14">
      <c r="A736" s="1049" t="s">
        <v>6693</v>
      </c>
      <c r="B736" s="1031" t="s">
        <v>555</v>
      </c>
      <c r="C736" s="1056">
        <v>1391562259</v>
      </c>
      <c r="D736" s="1056">
        <v>1345745043</v>
      </c>
      <c r="E736" s="1056">
        <v>1391562259</v>
      </c>
      <c r="F736" s="1056">
        <v>1345745043</v>
      </c>
      <c r="G736" s="1056">
        <v>1351629180</v>
      </c>
      <c r="H736" s="1056">
        <v>1351629180</v>
      </c>
      <c r="I736" s="1056">
        <v>1391562259</v>
      </c>
      <c r="J736" s="1056">
        <v>1345745043</v>
      </c>
      <c r="K736" s="1056">
        <v>1391562259</v>
      </c>
      <c r="L736" s="1056">
        <v>1345745043</v>
      </c>
      <c r="M736" s="1056">
        <v>1351629180</v>
      </c>
      <c r="N736" s="1056">
        <v>1351629180</v>
      </c>
    </row>
    <row r="737" spans="1:14">
      <c r="A737" s="1049" t="s">
        <v>240</v>
      </c>
      <c r="B737" s="1031" t="s">
        <v>2648</v>
      </c>
      <c r="C737" s="1056">
        <v>13547933864</v>
      </c>
      <c r="D737" s="1056">
        <v>13106558846</v>
      </c>
      <c r="E737" s="1056">
        <v>13547933864</v>
      </c>
      <c r="F737" s="1056">
        <v>13106558846</v>
      </c>
      <c r="G737" s="1056">
        <v>13132509951</v>
      </c>
      <c r="H737" s="1056">
        <v>13132509951</v>
      </c>
      <c r="I737" s="1056">
        <v>13547933864</v>
      </c>
      <c r="J737" s="1056">
        <v>13106558846</v>
      </c>
      <c r="K737" s="1056">
        <v>13547933864</v>
      </c>
      <c r="L737" s="1056">
        <v>13106558846</v>
      </c>
      <c r="M737" s="1056">
        <v>13132509951</v>
      </c>
      <c r="N737" s="1056">
        <v>13132509951</v>
      </c>
    </row>
    <row r="738" spans="1:14">
      <c r="A738" s="1049" t="s">
        <v>6695</v>
      </c>
      <c r="B738" s="1031" t="s">
        <v>556</v>
      </c>
      <c r="C738" s="1056">
        <v>113085089</v>
      </c>
      <c r="D738" s="1056">
        <v>111005400</v>
      </c>
      <c r="E738" s="1056">
        <v>113085089</v>
      </c>
      <c r="F738" s="1056">
        <v>111005400</v>
      </c>
      <c r="G738" s="1056">
        <v>111095882</v>
      </c>
      <c r="H738" s="1056">
        <v>111095882</v>
      </c>
      <c r="I738" s="1056">
        <v>113085089</v>
      </c>
      <c r="J738" s="1056">
        <v>111005400</v>
      </c>
      <c r="K738" s="1056">
        <v>113085089</v>
      </c>
      <c r="L738" s="1056">
        <v>111005400</v>
      </c>
      <c r="M738" s="1056">
        <v>111095882</v>
      </c>
      <c r="N738" s="1056">
        <v>111095882</v>
      </c>
    </row>
    <row r="739" spans="1:14">
      <c r="A739" s="1049" t="s">
        <v>745</v>
      </c>
      <c r="B739" s="1031" t="s">
        <v>557</v>
      </c>
      <c r="C739" s="1056">
        <v>278977485</v>
      </c>
      <c r="D739" s="1056">
        <v>274364308</v>
      </c>
      <c r="E739" s="1056">
        <v>278977485</v>
      </c>
      <c r="F739" s="1056">
        <v>274364308</v>
      </c>
      <c r="G739" s="1056">
        <v>274416276</v>
      </c>
      <c r="H739" s="1056">
        <v>274416276</v>
      </c>
      <c r="I739" s="1056">
        <v>278977485</v>
      </c>
      <c r="J739" s="1056">
        <v>274364308</v>
      </c>
      <c r="K739" s="1056">
        <v>278977485</v>
      </c>
      <c r="L739" s="1056">
        <v>274364308</v>
      </c>
      <c r="M739" s="1056">
        <v>274416276</v>
      </c>
      <c r="N739" s="1056">
        <v>274416276</v>
      </c>
    </row>
    <row r="740" spans="1:14">
      <c r="A740" s="1049" t="s">
        <v>747</v>
      </c>
      <c r="B740" s="1031" t="s">
        <v>558</v>
      </c>
      <c r="C740" s="1056">
        <v>1945524662</v>
      </c>
      <c r="D740" s="1056">
        <v>1935348405</v>
      </c>
      <c r="E740" s="1056">
        <v>1945524662</v>
      </c>
      <c r="F740" s="1056">
        <v>1935348405</v>
      </c>
      <c r="G740" s="1056">
        <v>1938832657</v>
      </c>
      <c r="H740" s="1056">
        <v>1938832657</v>
      </c>
      <c r="I740" s="1056">
        <v>1945524662</v>
      </c>
      <c r="J740" s="1056">
        <v>1935348405</v>
      </c>
      <c r="K740" s="1056">
        <v>1945524662</v>
      </c>
      <c r="L740" s="1056">
        <v>1935348405</v>
      </c>
      <c r="M740" s="1056">
        <v>1938832657</v>
      </c>
      <c r="N740" s="1056">
        <v>1938832657</v>
      </c>
    </row>
    <row r="741" spans="1:14">
      <c r="A741" s="1049" t="s">
        <v>2308</v>
      </c>
      <c r="B741" s="1031" t="s">
        <v>366</v>
      </c>
      <c r="C741" s="1056">
        <v>514072905</v>
      </c>
      <c r="D741" s="1056">
        <v>488536296</v>
      </c>
      <c r="E741" s="1056">
        <v>514072905</v>
      </c>
      <c r="F741" s="1056">
        <v>488536296</v>
      </c>
      <c r="G741" s="1056">
        <v>489313615</v>
      </c>
      <c r="H741" s="1056">
        <v>489313615</v>
      </c>
      <c r="I741" s="1056">
        <v>514072905</v>
      </c>
      <c r="J741" s="1056">
        <v>488536296</v>
      </c>
      <c r="K741" s="1056">
        <v>514072905</v>
      </c>
      <c r="L741" s="1056">
        <v>488536296</v>
      </c>
      <c r="M741" s="1056">
        <v>489313615</v>
      </c>
      <c r="N741" s="1056">
        <v>489313615</v>
      </c>
    </row>
    <row r="742" spans="1:14">
      <c r="A742" s="1049" t="s">
        <v>749</v>
      </c>
      <c r="B742" s="1031" t="s">
        <v>559</v>
      </c>
      <c r="C742" s="1056">
        <v>2233268443</v>
      </c>
      <c r="D742" s="1056">
        <v>2209872839</v>
      </c>
      <c r="E742" s="1056">
        <v>2204111411</v>
      </c>
      <c r="F742" s="1056">
        <v>2180715807</v>
      </c>
      <c r="G742" s="1056">
        <v>2211828379</v>
      </c>
      <c r="H742" s="1056">
        <v>2182671347</v>
      </c>
      <c r="I742" s="1056">
        <v>2233268443</v>
      </c>
      <c r="J742" s="1056">
        <v>2209872839</v>
      </c>
      <c r="K742" s="1056">
        <v>2204111411</v>
      </c>
      <c r="L742" s="1056">
        <v>2180715807</v>
      </c>
      <c r="M742" s="1056">
        <v>2211828379</v>
      </c>
      <c r="N742" s="1056">
        <v>2182671347</v>
      </c>
    </row>
    <row r="743" spans="1:14">
      <c r="A743" s="1049" t="s">
        <v>2953</v>
      </c>
      <c r="B743" s="1031" t="s">
        <v>560</v>
      </c>
      <c r="C743" s="1056">
        <v>266984215</v>
      </c>
      <c r="D743" s="1056">
        <v>258811756</v>
      </c>
      <c r="E743" s="1056">
        <v>266984215</v>
      </c>
      <c r="F743" s="1056">
        <v>258811756</v>
      </c>
      <c r="G743" s="1056">
        <v>259285256</v>
      </c>
      <c r="H743" s="1056">
        <v>259285256</v>
      </c>
      <c r="I743" s="1056">
        <v>266984215</v>
      </c>
      <c r="J743" s="1056">
        <v>258811756</v>
      </c>
      <c r="K743" s="1056">
        <v>266984215</v>
      </c>
      <c r="L743" s="1056">
        <v>258811756</v>
      </c>
      <c r="M743" s="1056">
        <v>259285256</v>
      </c>
      <c r="N743" s="1056">
        <v>259285256</v>
      </c>
    </row>
    <row r="744" spans="1:14">
      <c r="A744" s="1049" t="s">
        <v>2955</v>
      </c>
      <c r="B744" s="1031" t="s">
        <v>561</v>
      </c>
      <c r="C744" s="1056">
        <v>2557110179</v>
      </c>
      <c r="D744" s="1056">
        <v>2492896876</v>
      </c>
      <c r="E744" s="1056">
        <v>2557110179</v>
      </c>
      <c r="F744" s="1056">
        <v>2492896876</v>
      </c>
      <c r="G744" s="1056">
        <v>2502426024</v>
      </c>
      <c r="H744" s="1056">
        <v>2502426024</v>
      </c>
      <c r="I744" s="1056">
        <v>2557110179</v>
      </c>
      <c r="J744" s="1056">
        <v>2492896876</v>
      </c>
      <c r="K744" s="1056">
        <v>2557110179</v>
      </c>
      <c r="L744" s="1056">
        <v>2492896876</v>
      </c>
      <c r="M744" s="1056">
        <v>2502426024</v>
      </c>
      <c r="N744" s="1056">
        <v>2502426024</v>
      </c>
    </row>
    <row r="745" spans="1:14">
      <c r="A745" s="1049" t="s">
        <v>2957</v>
      </c>
      <c r="B745" s="1031" t="s">
        <v>562</v>
      </c>
      <c r="C745" s="1056">
        <v>708794055</v>
      </c>
      <c r="D745" s="1056">
        <v>694239573</v>
      </c>
      <c r="E745" s="1056">
        <v>708794055</v>
      </c>
      <c r="F745" s="1056">
        <v>694239573</v>
      </c>
      <c r="G745" s="1056">
        <v>694967090</v>
      </c>
      <c r="H745" s="1056">
        <v>694967090</v>
      </c>
      <c r="I745" s="1056">
        <v>708794055</v>
      </c>
      <c r="J745" s="1056">
        <v>694239573</v>
      </c>
      <c r="K745" s="1056">
        <v>708794055</v>
      </c>
      <c r="L745" s="1056">
        <v>694239573</v>
      </c>
      <c r="M745" s="1056">
        <v>694967090</v>
      </c>
      <c r="N745" s="1056">
        <v>694967090</v>
      </c>
    </row>
    <row r="746" spans="1:14">
      <c r="A746" s="1049" t="s">
        <v>5123</v>
      </c>
      <c r="B746" s="1031" t="s">
        <v>337</v>
      </c>
      <c r="C746" s="1056">
        <v>1708419734</v>
      </c>
      <c r="D746" s="1056">
        <v>1689671612</v>
      </c>
      <c r="E746" s="1056">
        <v>1708419734</v>
      </c>
      <c r="F746" s="1056">
        <v>1689671612</v>
      </c>
      <c r="G746" s="1056">
        <v>1695164469</v>
      </c>
      <c r="H746" s="1056">
        <v>1695164469</v>
      </c>
      <c r="I746" s="1056">
        <v>1708419734</v>
      </c>
      <c r="J746" s="1056">
        <v>1689671612</v>
      </c>
      <c r="K746" s="1056">
        <v>1708419734</v>
      </c>
      <c r="L746" s="1056">
        <v>1689671612</v>
      </c>
      <c r="M746" s="1056">
        <v>1695164469</v>
      </c>
      <c r="N746" s="1056">
        <v>1695164469</v>
      </c>
    </row>
    <row r="747" spans="1:14">
      <c r="A747" s="1049" t="s">
        <v>4119</v>
      </c>
      <c r="B747" s="1031" t="s">
        <v>563</v>
      </c>
      <c r="C747" s="1056">
        <v>223353870</v>
      </c>
      <c r="D747" s="1056">
        <v>220387873</v>
      </c>
      <c r="E747" s="1056">
        <v>223353870</v>
      </c>
      <c r="F747" s="1056">
        <v>220387873</v>
      </c>
      <c r="G747" s="1056">
        <v>220847132</v>
      </c>
      <c r="H747" s="1056">
        <v>220847132</v>
      </c>
      <c r="I747" s="1056">
        <v>453539180</v>
      </c>
      <c r="J747" s="1056">
        <v>450573183</v>
      </c>
      <c r="K747" s="1056">
        <v>453539180</v>
      </c>
      <c r="L747" s="1056">
        <v>450573183</v>
      </c>
      <c r="M747" s="1056">
        <v>451032442</v>
      </c>
      <c r="N747" s="1056">
        <v>451032442</v>
      </c>
    </row>
    <row r="748" spans="1:14">
      <c r="A748" s="1049" t="s">
        <v>4121</v>
      </c>
      <c r="B748" s="1031" t="s">
        <v>564</v>
      </c>
      <c r="C748" s="1056">
        <v>70087550</v>
      </c>
      <c r="D748" s="1056">
        <v>69541996</v>
      </c>
      <c r="E748" s="1056">
        <v>70087550</v>
      </c>
      <c r="F748" s="1056">
        <v>69541996</v>
      </c>
      <c r="G748" s="1056">
        <v>69818869</v>
      </c>
      <c r="H748" s="1056">
        <v>69818869</v>
      </c>
      <c r="I748" s="1056">
        <v>70087550</v>
      </c>
      <c r="J748" s="1056">
        <v>69541996</v>
      </c>
      <c r="K748" s="1056">
        <v>70087550</v>
      </c>
      <c r="L748" s="1056">
        <v>69541996</v>
      </c>
      <c r="M748" s="1056">
        <v>69818869</v>
      </c>
      <c r="N748" s="1056">
        <v>69818869</v>
      </c>
    </row>
    <row r="749" spans="1:14">
      <c r="A749" s="1049" t="s">
        <v>4123</v>
      </c>
      <c r="B749" s="1031" t="s">
        <v>565</v>
      </c>
      <c r="C749" s="1056">
        <v>80035416</v>
      </c>
      <c r="D749" s="1056">
        <v>79234253</v>
      </c>
      <c r="E749" s="1056">
        <v>80035416</v>
      </c>
      <c r="F749" s="1056">
        <v>79234253</v>
      </c>
      <c r="G749" s="1056">
        <v>79442041</v>
      </c>
      <c r="H749" s="1056">
        <v>79442041</v>
      </c>
      <c r="I749" s="1056">
        <v>250463846</v>
      </c>
      <c r="J749" s="1056">
        <v>249662683</v>
      </c>
      <c r="K749" s="1056">
        <v>250463846</v>
      </c>
      <c r="L749" s="1056">
        <v>249662683</v>
      </c>
      <c r="M749" s="1056">
        <v>249870471</v>
      </c>
      <c r="N749" s="1056">
        <v>249870471</v>
      </c>
    </row>
    <row r="750" spans="1:14">
      <c r="A750" s="1049" t="s">
        <v>5032</v>
      </c>
      <c r="B750" s="1031" t="s">
        <v>7666</v>
      </c>
      <c r="C750" s="1056">
        <v>935654953</v>
      </c>
      <c r="D750" s="1056">
        <v>900555037</v>
      </c>
      <c r="E750" s="1056">
        <v>912013433</v>
      </c>
      <c r="F750" s="1056">
        <v>876913517</v>
      </c>
      <c r="G750" s="1056">
        <v>904862600</v>
      </c>
      <c r="H750" s="1056">
        <v>881221080</v>
      </c>
      <c r="I750" s="1056">
        <v>935654953</v>
      </c>
      <c r="J750" s="1056">
        <v>900555037</v>
      </c>
      <c r="K750" s="1056">
        <v>912013433</v>
      </c>
      <c r="L750" s="1056">
        <v>876913517</v>
      </c>
      <c r="M750" s="1056">
        <v>904862600</v>
      </c>
      <c r="N750" s="1056">
        <v>881221080</v>
      </c>
    </row>
    <row r="751" spans="1:14">
      <c r="A751" s="1049" t="s">
        <v>4125</v>
      </c>
      <c r="B751" s="1031" t="s">
        <v>566</v>
      </c>
      <c r="C751" s="1056">
        <v>472108777</v>
      </c>
      <c r="D751" s="1056">
        <v>450540960</v>
      </c>
      <c r="E751" s="1056">
        <v>446610501</v>
      </c>
      <c r="F751" s="1056">
        <v>425042684</v>
      </c>
      <c r="G751" s="1056">
        <v>454321216</v>
      </c>
      <c r="H751" s="1056">
        <v>428822940</v>
      </c>
      <c r="I751" s="1056">
        <v>472108777</v>
      </c>
      <c r="J751" s="1056">
        <v>450540960</v>
      </c>
      <c r="K751" s="1056">
        <v>446610501</v>
      </c>
      <c r="L751" s="1056">
        <v>425042684</v>
      </c>
      <c r="M751" s="1056">
        <v>454321216</v>
      </c>
      <c r="N751" s="1056">
        <v>428822940</v>
      </c>
    </row>
    <row r="752" spans="1:14">
      <c r="A752" s="1049" t="s">
        <v>4127</v>
      </c>
      <c r="B752" s="1031" t="s">
        <v>4229</v>
      </c>
      <c r="C752" s="1056">
        <v>1777770788</v>
      </c>
      <c r="D752" s="1056">
        <v>1742327800</v>
      </c>
      <c r="E752" s="1056">
        <v>1748924655</v>
      </c>
      <c r="F752" s="1056">
        <v>1713481667</v>
      </c>
      <c r="G752" s="1056">
        <v>1747275480</v>
      </c>
      <c r="H752" s="1056">
        <v>1718429347</v>
      </c>
      <c r="I752" s="1056">
        <v>1777770788</v>
      </c>
      <c r="J752" s="1056">
        <v>1742327800</v>
      </c>
      <c r="K752" s="1056">
        <v>1748924655</v>
      </c>
      <c r="L752" s="1056">
        <v>1713481667</v>
      </c>
      <c r="M752" s="1056">
        <v>1747275480</v>
      </c>
      <c r="N752" s="1056">
        <v>1718429347</v>
      </c>
    </row>
    <row r="753" spans="1:14">
      <c r="A753" s="1049" t="s">
        <v>5033</v>
      </c>
      <c r="B753" s="1031" t="s">
        <v>4059</v>
      </c>
      <c r="C753" s="1056">
        <v>1074080263</v>
      </c>
      <c r="D753" s="1056">
        <v>1018367778</v>
      </c>
      <c r="E753" s="1056">
        <v>1038152455</v>
      </c>
      <c r="F753" s="1056">
        <v>982439970</v>
      </c>
      <c r="G753" s="1056">
        <v>1023544363</v>
      </c>
      <c r="H753" s="1056">
        <v>987616555</v>
      </c>
      <c r="I753" s="1056">
        <v>1074080263</v>
      </c>
      <c r="J753" s="1056">
        <v>1018367778</v>
      </c>
      <c r="K753" s="1056">
        <v>1038152455</v>
      </c>
      <c r="L753" s="1056">
        <v>982439970</v>
      </c>
      <c r="M753" s="1056">
        <v>1023544363</v>
      </c>
      <c r="N753" s="1056">
        <v>987616555</v>
      </c>
    </row>
    <row r="754" spans="1:14">
      <c r="A754" s="1049" t="s">
        <v>4129</v>
      </c>
      <c r="B754" s="1031" t="s">
        <v>1621</v>
      </c>
      <c r="C754" s="1056">
        <v>967683580</v>
      </c>
      <c r="D754" s="1056">
        <v>917305105</v>
      </c>
      <c r="E754" s="1056">
        <v>925278462</v>
      </c>
      <c r="F754" s="1056">
        <v>874899987</v>
      </c>
      <c r="G754" s="1056">
        <v>924762906</v>
      </c>
      <c r="H754" s="1056">
        <v>882357788</v>
      </c>
      <c r="I754" s="1056">
        <v>967683580</v>
      </c>
      <c r="J754" s="1056">
        <v>917305105</v>
      </c>
      <c r="K754" s="1056">
        <v>925278462</v>
      </c>
      <c r="L754" s="1056">
        <v>874899987</v>
      </c>
      <c r="M754" s="1056">
        <v>924762906</v>
      </c>
      <c r="N754" s="1056">
        <v>882357788</v>
      </c>
    </row>
    <row r="755" spans="1:14">
      <c r="A755" s="1049" t="s">
        <v>4131</v>
      </c>
      <c r="B755" s="1031" t="s">
        <v>1622</v>
      </c>
      <c r="C755" s="1056">
        <v>156989340</v>
      </c>
      <c r="D755" s="1056">
        <v>153855879</v>
      </c>
      <c r="E755" s="1056">
        <v>156989340</v>
      </c>
      <c r="F755" s="1056">
        <v>153855879</v>
      </c>
      <c r="G755" s="1056">
        <v>154121982</v>
      </c>
      <c r="H755" s="1056">
        <v>154121982</v>
      </c>
      <c r="I755" s="1056">
        <v>156989340</v>
      </c>
      <c r="J755" s="1056">
        <v>153855879</v>
      </c>
      <c r="K755" s="1056">
        <v>156989340</v>
      </c>
      <c r="L755" s="1056">
        <v>153855879</v>
      </c>
      <c r="M755" s="1056">
        <v>154121982</v>
      </c>
      <c r="N755" s="1056">
        <v>154121982</v>
      </c>
    </row>
    <row r="756" spans="1:14">
      <c r="A756" s="1049" t="s">
        <v>4133</v>
      </c>
      <c r="B756" s="1031" t="s">
        <v>1623</v>
      </c>
      <c r="C756" s="1056">
        <v>957167106</v>
      </c>
      <c r="D756" s="1056">
        <v>951740930</v>
      </c>
      <c r="E756" s="1056">
        <v>957167106</v>
      </c>
      <c r="F756" s="1056">
        <v>951740930</v>
      </c>
      <c r="G756" s="1056">
        <v>952929942</v>
      </c>
      <c r="H756" s="1056">
        <v>952929942</v>
      </c>
      <c r="I756" s="1056">
        <v>957167106</v>
      </c>
      <c r="J756" s="1056">
        <v>951740930</v>
      </c>
      <c r="K756" s="1056">
        <v>957167106</v>
      </c>
      <c r="L756" s="1056">
        <v>951740930</v>
      </c>
      <c r="M756" s="1056">
        <v>952929942</v>
      </c>
      <c r="N756" s="1056">
        <v>952929942</v>
      </c>
    </row>
    <row r="757" spans="1:14">
      <c r="A757" s="1049" t="s">
        <v>6175</v>
      </c>
      <c r="B757" s="1031" t="s">
        <v>501</v>
      </c>
      <c r="C757" s="1056">
        <v>776145103</v>
      </c>
      <c r="D757" s="1056">
        <v>741356293</v>
      </c>
      <c r="E757" s="1056">
        <v>776145103</v>
      </c>
      <c r="F757" s="1056">
        <v>741356293</v>
      </c>
      <c r="G757" s="1056">
        <v>745272138</v>
      </c>
      <c r="H757" s="1056">
        <v>745272138</v>
      </c>
      <c r="I757" s="1056">
        <v>776145103</v>
      </c>
      <c r="J757" s="1056">
        <v>741356293</v>
      </c>
      <c r="K757" s="1056">
        <v>776145103</v>
      </c>
      <c r="L757" s="1056">
        <v>741356293</v>
      </c>
      <c r="M757" s="1056">
        <v>745272138</v>
      </c>
      <c r="N757" s="1056">
        <v>745272138</v>
      </c>
    </row>
    <row r="758" spans="1:14">
      <c r="A758" s="1049" t="s">
        <v>4135</v>
      </c>
      <c r="B758" s="1031" t="s">
        <v>1624</v>
      </c>
      <c r="C758" s="1056">
        <v>276601102</v>
      </c>
      <c r="D758" s="1056">
        <v>268349150</v>
      </c>
      <c r="E758" s="1056">
        <v>276601102</v>
      </c>
      <c r="F758" s="1056">
        <v>268349150</v>
      </c>
      <c r="G758" s="1056">
        <v>269830839</v>
      </c>
      <c r="H758" s="1056">
        <v>269830839</v>
      </c>
      <c r="I758" s="1056">
        <v>276601102</v>
      </c>
      <c r="J758" s="1056">
        <v>268349150</v>
      </c>
      <c r="K758" s="1056">
        <v>276601102</v>
      </c>
      <c r="L758" s="1056">
        <v>268349150</v>
      </c>
      <c r="M758" s="1056">
        <v>269830839</v>
      </c>
      <c r="N758" s="1056">
        <v>269830839</v>
      </c>
    </row>
    <row r="759" spans="1:14">
      <c r="A759" s="1049" t="s">
        <v>4137</v>
      </c>
      <c r="B759" s="1031" t="s">
        <v>1625</v>
      </c>
      <c r="C759" s="1056">
        <v>65568574</v>
      </c>
      <c r="D759" s="1056">
        <v>64132467</v>
      </c>
      <c r="E759" s="1056">
        <v>65568574</v>
      </c>
      <c r="F759" s="1056">
        <v>64132467</v>
      </c>
      <c r="G759" s="1056">
        <v>64234775</v>
      </c>
      <c r="H759" s="1056">
        <v>64234775</v>
      </c>
      <c r="I759" s="1056">
        <v>65568574</v>
      </c>
      <c r="J759" s="1056">
        <v>64132467</v>
      </c>
      <c r="K759" s="1056">
        <v>65568574</v>
      </c>
      <c r="L759" s="1056">
        <v>64132467</v>
      </c>
      <c r="M759" s="1056">
        <v>64234775</v>
      </c>
      <c r="N759" s="1056">
        <v>64234775</v>
      </c>
    </row>
    <row r="760" spans="1:14">
      <c r="A760" s="1049" t="s">
        <v>4139</v>
      </c>
      <c r="B760" s="1031" t="s">
        <v>1626</v>
      </c>
      <c r="C760" s="1056">
        <v>515295527</v>
      </c>
      <c r="D760" s="1056">
        <v>512658757</v>
      </c>
      <c r="E760" s="1056">
        <v>507295309</v>
      </c>
      <c r="F760" s="1056">
        <v>504658539</v>
      </c>
      <c r="G760" s="1056">
        <v>513345527</v>
      </c>
      <c r="H760" s="1056">
        <v>505345309</v>
      </c>
      <c r="I760" s="1056">
        <v>515295527</v>
      </c>
      <c r="J760" s="1056">
        <v>512658757</v>
      </c>
      <c r="K760" s="1056">
        <v>507295309</v>
      </c>
      <c r="L760" s="1056">
        <v>504658539</v>
      </c>
      <c r="M760" s="1056">
        <v>513345527</v>
      </c>
      <c r="N760" s="1056">
        <v>505345309</v>
      </c>
    </row>
    <row r="761" spans="1:14">
      <c r="A761" s="1049" t="s">
        <v>4141</v>
      </c>
      <c r="B761" s="1031" t="s">
        <v>1627</v>
      </c>
      <c r="C761" s="1056">
        <v>475101381</v>
      </c>
      <c r="D761" s="1056">
        <v>469655821</v>
      </c>
      <c r="E761" s="1056">
        <v>468713496</v>
      </c>
      <c r="F761" s="1056">
        <v>463267936</v>
      </c>
      <c r="G761" s="1056">
        <v>470054571</v>
      </c>
      <c r="H761" s="1056">
        <v>463666686</v>
      </c>
      <c r="I761" s="1056">
        <v>475101381</v>
      </c>
      <c r="J761" s="1056">
        <v>469655821</v>
      </c>
      <c r="K761" s="1056">
        <v>468713496</v>
      </c>
      <c r="L761" s="1056">
        <v>463267936</v>
      </c>
      <c r="M761" s="1056">
        <v>470054571</v>
      </c>
      <c r="N761" s="1056">
        <v>463666686</v>
      </c>
    </row>
    <row r="762" spans="1:14">
      <c r="A762" s="1049" t="s">
        <v>4143</v>
      </c>
      <c r="B762" s="1031" t="s">
        <v>1628</v>
      </c>
      <c r="C762" s="1056">
        <v>3449822132</v>
      </c>
      <c r="D762" s="1056">
        <v>3411844952</v>
      </c>
      <c r="E762" s="1056">
        <v>3408251863</v>
      </c>
      <c r="F762" s="1056">
        <v>3370274683</v>
      </c>
      <c r="G762" s="1056">
        <v>3416597671</v>
      </c>
      <c r="H762" s="1056">
        <v>3375027402</v>
      </c>
      <c r="I762" s="1056">
        <v>3449822132</v>
      </c>
      <c r="J762" s="1056">
        <v>3411844952</v>
      </c>
      <c r="K762" s="1056">
        <v>3408251863</v>
      </c>
      <c r="L762" s="1056">
        <v>3370274683</v>
      </c>
      <c r="M762" s="1056">
        <v>3416597671</v>
      </c>
      <c r="N762" s="1056">
        <v>3375027402</v>
      </c>
    </row>
    <row r="763" spans="1:14">
      <c r="A763" s="1049" t="s">
        <v>1318</v>
      </c>
      <c r="B763" s="1031" t="s">
        <v>124</v>
      </c>
      <c r="C763" s="1056">
        <v>272707783</v>
      </c>
      <c r="D763" s="1056">
        <v>268213073</v>
      </c>
      <c r="E763" s="1056">
        <v>268269774</v>
      </c>
      <c r="F763" s="1056">
        <v>263775064</v>
      </c>
      <c r="G763" s="1056">
        <v>268476949</v>
      </c>
      <c r="H763" s="1056">
        <v>264038940</v>
      </c>
      <c r="I763" s="1056">
        <v>272707783</v>
      </c>
      <c r="J763" s="1056">
        <v>268213073</v>
      </c>
      <c r="K763" s="1056">
        <v>268269774</v>
      </c>
      <c r="L763" s="1056">
        <v>263775064</v>
      </c>
      <c r="M763" s="1056">
        <v>268476949</v>
      </c>
      <c r="N763" s="1056">
        <v>264038940</v>
      </c>
    </row>
    <row r="764" spans="1:14">
      <c r="A764" s="1049" t="s">
        <v>2536</v>
      </c>
      <c r="B764" s="1031" t="s">
        <v>344</v>
      </c>
      <c r="C764" s="1056">
        <v>176849126</v>
      </c>
      <c r="D764" s="1056">
        <v>170644581</v>
      </c>
      <c r="E764" s="1056">
        <v>176849126</v>
      </c>
      <c r="F764" s="1056">
        <v>170644581</v>
      </c>
      <c r="G764" s="1056">
        <v>172587335</v>
      </c>
      <c r="H764" s="1056">
        <v>172587335</v>
      </c>
      <c r="I764" s="1056">
        <v>176849126</v>
      </c>
      <c r="J764" s="1056">
        <v>170644581</v>
      </c>
      <c r="K764" s="1056">
        <v>176849126</v>
      </c>
      <c r="L764" s="1056">
        <v>170644581</v>
      </c>
      <c r="M764" s="1056">
        <v>172587335</v>
      </c>
      <c r="N764" s="1056">
        <v>172587335</v>
      </c>
    </row>
    <row r="765" spans="1:14">
      <c r="A765" s="1049" t="s">
        <v>2407</v>
      </c>
      <c r="B765" s="1031" t="s">
        <v>2352</v>
      </c>
      <c r="C765" s="1056">
        <v>915473870</v>
      </c>
      <c r="D765" s="1056">
        <v>873515411</v>
      </c>
      <c r="E765" s="1056">
        <v>915473870</v>
      </c>
      <c r="F765" s="1056">
        <v>873515411</v>
      </c>
      <c r="G765" s="1056">
        <v>884694837</v>
      </c>
      <c r="H765" s="1056">
        <v>884694837</v>
      </c>
      <c r="I765" s="1056">
        <v>915473870</v>
      </c>
      <c r="J765" s="1056">
        <v>873515411</v>
      </c>
      <c r="K765" s="1056">
        <v>915473870</v>
      </c>
      <c r="L765" s="1056">
        <v>873515411</v>
      </c>
      <c r="M765" s="1056">
        <v>884694837</v>
      </c>
      <c r="N765" s="1056">
        <v>884694837</v>
      </c>
    </row>
    <row r="766" spans="1:14">
      <c r="A766" s="1049" t="s">
        <v>5034</v>
      </c>
      <c r="B766" s="1031" t="s">
        <v>4064</v>
      </c>
      <c r="C766" s="1056">
        <v>3590012563</v>
      </c>
      <c r="D766" s="1056">
        <v>3482307924</v>
      </c>
      <c r="E766" s="1056">
        <v>3590012563</v>
      </c>
      <c r="F766" s="1056">
        <v>3482307924</v>
      </c>
      <c r="G766" s="1056">
        <v>3513862996</v>
      </c>
      <c r="H766" s="1056">
        <v>3513862996</v>
      </c>
      <c r="I766" s="1056">
        <v>3590012563</v>
      </c>
      <c r="J766" s="1056">
        <v>3482307924</v>
      </c>
      <c r="K766" s="1056">
        <v>3590012563</v>
      </c>
      <c r="L766" s="1056">
        <v>3482307924</v>
      </c>
      <c r="M766" s="1056">
        <v>3513862996</v>
      </c>
      <c r="N766" s="1056">
        <v>3513862996</v>
      </c>
    </row>
    <row r="767" spans="1:14">
      <c r="A767" s="1049" t="s">
        <v>6174</v>
      </c>
      <c r="B767" s="1031" t="s">
        <v>500</v>
      </c>
      <c r="C767" s="1056">
        <v>290360785</v>
      </c>
      <c r="D767" s="1056">
        <v>280527658</v>
      </c>
      <c r="E767" s="1056">
        <v>290360785</v>
      </c>
      <c r="F767" s="1056">
        <v>280527658</v>
      </c>
      <c r="G767" s="1056">
        <v>281562253</v>
      </c>
      <c r="H767" s="1056">
        <v>281562253</v>
      </c>
      <c r="I767" s="1056">
        <v>290360785</v>
      </c>
      <c r="J767" s="1056">
        <v>280527658</v>
      </c>
      <c r="K767" s="1056">
        <v>290360785</v>
      </c>
      <c r="L767" s="1056">
        <v>280527658</v>
      </c>
      <c r="M767" s="1056">
        <v>281562253</v>
      </c>
      <c r="N767" s="1056">
        <v>281562253</v>
      </c>
    </row>
    <row r="768" spans="1:14">
      <c r="A768" s="1049" t="s">
        <v>4145</v>
      </c>
      <c r="B768" s="1031" t="s">
        <v>1629</v>
      </c>
      <c r="C768" s="1056">
        <v>2604946386</v>
      </c>
      <c r="D768" s="1056">
        <v>2548747616</v>
      </c>
      <c r="E768" s="1056">
        <v>2604946386</v>
      </c>
      <c r="F768" s="1056">
        <v>2548747616</v>
      </c>
      <c r="G768" s="1056">
        <v>2563911032</v>
      </c>
      <c r="H768" s="1056">
        <v>2563911032</v>
      </c>
      <c r="I768" s="1056">
        <v>2604946386</v>
      </c>
      <c r="J768" s="1056">
        <v>2548747616</v>
      </c>
      <c r="K768" s="1056">
        <v>2604946386</v>
      </c>
      <c r="L768" s="1056">
        <v>2548747616</v>
      </c>
      <c r="M768" s="1056">
        <v>2563911032</v>
      </c>
      <c r="N768" s="1056">
        <v>2563911032</v>
      </c>
    </row>
    <row r="769" spans="1:14">
      <c r="A769" s="1049" t="s">
        <v>6196</v>
      </c>
      <c r="B769" s="1031" t="s">
        <v>5295</v>
      </c>
      <c r="C769" s="1056">
        <v>267964523</v>
      </c>
      <c r="D769" s="1056">
        <v>257522673</v>
      </c>
      <c r="E769" s="1056">
        <v>267964523</v>
      </c>
      <c r="F769" s="1056">
        <v>257522673</v>
      </c>
      <c r="G769" s="1056">
        <v>259704816</v>
      </c>
      <c r="H769" s="1056">
        <v>259704816</v>
      </c>
      <c r="I769" s="1056">
        <v>267964523</v>
      </c>
      <c r="J769" s="1056">
        <v>257522673</v>
      </c>
      <c r="K769" s="1056">
        <v>267964523</v>
      </c>
      <c r="L769" s="1056">
        <v>257522673</v>
      </c>
      <c r="M769" s="1056">
        <v>259704816</v>
      </c>
      <c r="N769" s="1056">
        <v>259704816</v>
      </c>
    </row>
    <row r="770" spans="1:14">
      <c r="A770" s="1049" t="s">
        <v>6131</v>
      </c>
      <c r="B770" s="1031" t="s">
        <v>7667</v>
      </c>
      <c r="C770" s="1056">
        <v>463605206</v>
      </c>
      <c r="D770" s="1056">
        <v>452090716</v>
      </c>
      <c r="E770" s="1056">
        <v>463605206</v>
      </c>
      <c r="F770" s="1056">
        <v>452090716</v>
      </c>
      <c r="G770" s="1056">
        <v>454023490</v>
      </c>
      <c r="H770" s="1056">
        <v>454023490</v>
      </c>
      <c r="I770" s="1056">
        <v>463605206</v>
      </c>
      <c r="J770" s="1056">
        <v>452090716</v>
      </c>
      <c r="K770" s="1056">
        <v>463605206</v>
      </c>
      <c r="L770" s="1056">
        <v>452090716</v>
      </c>
      <c r="M770" s="1056">
        <v>454023490</v>
      </c>
      <c r="N770" s="1056">
        <v>454023490</v>
      </c>
    </row>
    <row r="771" spans="1:14">
      <c r="A771" s="1049" t="s">
        <v>254</v>
      </c>
      <c r="B771" s="1031" t="s">
        <v>1630</v>
      </c>
      <c r="C771" s="1056">
        <v>165252070</v>
      </c>
      <c r="D771" s="1056">
        <v>161196490</v>
      </c>
      <c r="E771" s="1056">
        <v>165252070</v>
      </c>
      <c r="F771" s="1056">
        <v>161196490</v>
      </c>
      <c r="G771" s="1056">
        <v>163197537</v>
      </c>
      <c r="H771" s="1056">
        <v>163197537</v>
      </c>
      <c r="I771" s="1056">
        <v>165252070</v>
      </c>
      <c r="J771" s="1056">
        <v>161196490</v>
      </c>
      <c r="K771" s="1056">
        <v>165252070</v>
      </c>
      <c r="L771" s="1056">
        <v>161196490</v>
      </c>
      <c r="M771" s="1056">
        <v>163197537</v>
      </c>
      <c r="N771" s="1056">
        <v>163197537</v>
      </c>
    </row>
    <row r="772" spans="1:14">
      <c r="A772" s="1049" t="s">
        <v>256</v>
      </c>
      <c r="B772" s="1031" t="s">
        <v>1631</v>
      </c>
      <c r="C772" s="1056">
        <v>123562904</v>
      </c>
      <c r="D772" s="1056">
        <v>120354411</v>
      </c>
      <c r="E772" s="1056">
        <v>123562904</v>
      </c>
      <c r="F772" s="1056">
        <v>120354411</v>
      </c>
      <c r="G772" s="1056">
        <v>120354411</v>
      </c>
      <c r="H772" s="1056">
        <v>120354411</v>
      </c>
      <c r="I772" s="1056">
        <v>123562904</v>
      </c>
      <c r="J772" s="1056">
        <v>120354411</v>
      </c>
      <c r="K772" s="1056">
        <v>123562904</v>
      </c>
      <c r="L772" s="1056">
        <v>120354411</v>
      </c>
      <c r="M772" s="1056">
        <v>120354411</v>
      </c>
      <c r="N772" s="1056">
        <v>120354411</v>
      </c>
    </row>
    <row r="773" spans="1:14">
      <c r="A773" s="1049" t="s">
        <v>258</v>
      </c>
      <c r="B773" s="1031" t="s">
        <v>1632</v>
      </c>
      <c r="C773" s="1056">
        <v>153502130</v>
      </c>
      <c r="D773" s="1056">
        <v>149048671</v>
      </c>
      <c r="E773" s="1056">
        <v>153502130</v>
      </c>
      <c r="F773" s="1056">
        <v>149048671</v>
      </c>
      <c r="G773" s="1056">
        <v>149048671</v>
      </c>
      <c r="H773" s="1056">
        <v>149048671</v>
      </c>
      <c r="I773" s="1056">
        <v>153502130</v>
      </c>
      <c r="J773" s="1056">
        <v>149048671</v>
      </c>
      <c r="K773" s="1056">
        <v>153502130</v>
      </c>
      <c r="L773" s="1056">
        <v>149048671</v>
      </c>
      <c r="M773" s="1056">
        <v>149048671</v>
      </c>
      <c r="N773" s="1056">
        <v>149048671</v>
      </c>
    </row>
    <row r="774" spans="1:14">
      <c r="A774" s="1049" t="s">
        <v>260</v>
      </c>
      <c r="B774" s="1031" t="s">
        <v>1633</v>
      </c>
      <c r="C774" s="1056">
        <v>337959761</v>
      </c>
      <c r="D774" s="1056">
        <v>329702257</v>
      </c>
      <c r="E774" s="1056">
        <v>337959761</v>
      </c>
      <c r="F774" s="1056">
        <v>329702257</v>
      </c>
      <c r="G774" s="1056">
        <v>329702257</v>
      </c>
      <c r="H774" s="1056">
        <v>329702257</v>
      </c>
      <c r="I774" s="1056">
        <v>337959761</v>
      </c>
      <c r="J774" s="1056">
        <v>329702257</v>
      </c>
      <c r="K774" s="1056">
        <v>337959761</v>
      </c>
      <c r="L774" s="1056">
        <v>329702257</v>
      </c>
      <c r="M774" s="1056">
        <v>329702257</v>
      </c>
      <c r="N774" s="1056">
        <v>329702257</v>
      </c>
    </row>
    <row r="775" spans="1:14">
      <c r="A775" s="1049" t="s">
        <v>262</v>
      </c>
      <c r="B775" s="1031" t="s">
        <v>1634</v>
      </c>
      <c r="C775" s="1056">
        <v>62937645</v>
      </c>
      <c r="D775" s="1056">
        <v>61731161</v>
      </c>
      <c r="E775" s="1056">
        <v>62937645</v>
      </c>
      <c r="F775" s="1056">
        <v>61731161</v>
      </c>
      <c r="G775" s="1056">
        <v>61731161</v>
      </c>
      <c r="H775" s="1056">
        <v>61731161</v>
      </c>
      <c r="I775" s="1056">
        <v>62937645</v>
      </c>
      <c r="J775" s="1056">
        <v>61731161</v>
      </c>
      <c r="K775" s="1056">
        <v>62937645</v>
      </c>
      <c r="L775" s="1056">
        <v>61731161</v>
      </c>
      <c r="M775" s="1056">
        <v>61731161</v>
      </c>
      <c r="N775" s="1056">
        <v>61731161</v>
      </c>
    </row>
    <row r="776" spans="1:14">
      <c r="A776" s="1049" t="s">
        <v>872</v>
      </c>
      <c r="B776" s="1031" t="s">
        <v>397</v>
      </c>
      <c r="C776" s="1056">
        <v>231535725</v>
      </c>
      <c r="D776" s="1056">
        <v>230985475</v>
      </c>
      <c r="E776" s="1056">
        <v>231255676</v>
      </c>
      <c r="F776" s="1056">
        <v>230705426</v>
      </c>
      <c r="G776" s="1056">
        <v>230985475</v>
      </c>
      <c r="H776" s="1056">
        <v>230705426</v>
      </c>
      <c r="I776" s="1056">
        <v>400460725</v>
      </c>
      <c r="J776" s="1056">
        <v>399910475</v>
      </c>
      <c r="K776" s="1056">
        <v>400180676</v>
      </c>
      <c r="L776" s="1056">
        <v>399630426</v>
      </c>
      <c r="M776" s="1056">
        <v>399910475</v>
      </c>
      <c r="N776" s="1056">
        <v>399630426</v>
      </c>
    </row>
    <row r="777" spans="1:14">
      <c r="A777" s="1049" t="s">
        <v>874</v>
      </c>
      <c r="B777" s="1031" t="s">
        <v>6848</v>
      </c>
      <c r="C777" s="1056">
        <v>1149908533</v>
      </c>
      <c r="D777" s="1056">
        <v>1127527443</v>
      </c>
      <c r="E777" s="1056">
        <v>1134269620</v>
      </c>
      <c r="F777" s="1056">
        <v>1111888530</v>
      </c>
      <c r="G777" s="1056">
        <v>1127527443</v>
      </c>
      <c r="H777" s="1056">
        <v>1111888530</v>
      </c>
      <c r="I777" s="1056">
        <v>1447200093</v>
      </c>
      <c r="J777" s="1056">
        <v>1424819003</v>
      </c>
      <c r="K777" s="1056">
        <v>1431561180</v>
      </c>
      <c r="L777" s="1056">
        <v>1409180090</v>
      </c>
      <c r="M777" s="1056">
        <v>1424819003</v>
      </c>
      <c r="N777" s="1056">
        <v>1409180090</v>
      </c>
    </row>
    <row r="778" spans="1:14">
      <c r="A778" s="1049" t="s">
        <v>876</v>
      </c>
      <c r="B778" s="1031" t="s">
        <v>399</v>
      </c>
      <c r="C778" s="1056">
        <v>1995716343</v>
      </c>
      <c r="D778" s="1056">
        <v>1992742173</v>
      </c>
      <c r="E778" s="1056">
        <v>1993918113</v>
      </c>
      <c r="F778" s="1056">
        <v>1990943943</v>
      </c>
      <c r="G778" s="1056">
        <v>1992742173</v>
      </c>
      <c r="H778" s="1056">
        <v>1990943943</v>
      </c>
      <c r="I778" s="1056">
        <v>2123392713</v>
      </c>
      <c r="J778" s="1056">
        <v>2120418543</v>
      </c>
      <c r="K778" s="1056">
        <v>2121594483</v>
      </c>
      <c r="L778" s="1056">
        <v>2118620313</v>
      </c>
      <c r="M778" s="1056">
        <v>2120418543</v>
      </c>
      <c r="N778" s="1056">
        <v>2118620313</v>
      </c>
    </row>
    <row r="779" spans="1:14">
      <c r="A779" s="1049" t="s">
        <v>3040</v>
      </c>
      <c r="B779" s="1031" t="s">
        <v>400</v>
      </c>
      <c r="C779" s="1056">
        <v>318820212</v>
      </c>
      <c r="D779" s="1056">
        <v>314558910</v>
      </c>
      <c r="E779" s="1056">
        <v>315628929</v>
      </c>
      <c r="F779" s="1056">
        <v>311367627</v>
      </c>
      <c r="G779" s="1056">
        <v>314642538</v>
      </c>
      <c r="H779" s="1056">
        <v>311451255</v>
      </c>
      <c r="I779" s="1056">
        <v>318820212</v>
      </c>
      <c r="J779" s="1056">
        <v>314558910</v>
      </c>
      <c r="K779" s="1056">
        <v>315628929</v>
      </c>
      <c r="L779" s="1056">
        <v>311367627</v>
      </c>
      <c r="M779" s="1056">
        <v>314642538</v>
      </c>
      <c r="N779" s="1056">
        <v>311451255</v>
      </c>
    </row>
    <row r="780" spans="1:14">
      <c r="A780" s="1049" t="s">
        <v>3042</v>
      </c>
      <c r="B780" s="1031" t="s">
        <v>401</v>
      </c>
      <c r="C780" s="1056">
        <v>111970860</v>
      </c>
      <c r="D780" s="1056">
        <v>107347326</v>
      </c>
      <c r="E780" s="1056">
        <v>111970860</v>
      </c>
      <c r="F780" s="1056">
        <v>107347326</v>
      </c>
      <c r="G780" s="1056">
        <v>107725275</v>
      </c>
      <c r="H780" s="1056">
        <v>107725275</v>
      </c>
      <c r="I780" s="1056">
        <v>111970860</v>
      </c>
      <c r="J780" s="1056">
        <v>107347326</v>
      </c>
      <c r="K780" s="1056">
        <v>111970860</v>
      </c>
      <c r="L780" s="1056">
        <v>107347326</v>
      </c>
      <c r="M780" s="1056">
        <v>107725275</v>
      </c>
      <c r="N780" s="1056">
        <v>107725275</v>
      </c>
    </row>
    <row r="781" spans="1:14">
      <c r="A781" s="1049" t="s">
        <v>709</v>
      </c>
      <c r="B781" s="1031" t="s">
        <v>402</v>
      </c>
      <c r="C781" s="1056">
        <v>309848173</v>
      </c>
      <c r="D781" s="1056">
        <v>300985822</v>
      </c>
      <c r="E781" s="1056">
        <v>303468254</v>
      </c>
      <c r="F781" s="1056">
        <v>294605903</v>
      </c>
      <c r="G781" s="1056">
        <v>301145737</v>
      </c>
      <c r="H781" s="1056">
        <v>294765818</v>
      </c>
      <c r="I781" s="1056">
        <v>309848173</v>
      </c>
      <c r="J781" s="1056">
        <v>300985822</v>
      </c>
      <c r="K781" s="1056">
        <v>303468254</v>
      </c>
      <c r="L781" s="1056">
        <v>294605903</v>
      </c>
      <c r="M781" s="1056">
        <v>301145737</v>
      </c>
      <c r="N781" s="1056">
        <v>294765818</v>
      </c>
    </row>
    <row r="782" spans="1:14">
      <c r="A782" s="1049" t="s">
        <v>3044</v>
      </c>
      <c r="B782" s="1031" t="s">
        <v>403</v>
      </c>
      <c r="C782" s="1056">
        <v>130532782</v>
      </c>
      <c r="D782" s="1056">
        <v>128265888</v>
      </c>
      <c r="E782" s="1056">
        <v>130532782</v>
      </c>
      <c r="F782" s="1056">
        <v>128265888</v>
      </c>
      <c r="G782" s="1056">
        <v>128267555</v>
      </c>
      <c r="H782" s="1056">
        <v>128267555</v>
      </c>
      <c r="I782" s="1056">
        <v>130532782</v>
      </c>
      <c r="J782" s="1056">
        <v>128265888</v>
      </c>
      <c r="K782" s="1056">
        <v>130532782</v>
      </c>
      <c r="L782" s="1056">
        <v>128265888</v>
      </c>
      <c r="M782" s="1056">
        <v>128267555</v>
      </c>
      <c r="N782" s="1056">
        <v>128267555</v>
      </c>
    </row>
    <row r="783" spans="1:14">
      <c r="A783" s="1049" t="s">
        <v>2992</v>
      </c>
      <c r="B783" s="1031" t="s">
        <v>195</v>
      </c>
      <c r="C783" s="1056">
        <v>1393398295</v>
      </c>
      <c r="D783" s="1056">
        <v>1342022368</v>
      </c>
      <c r="E783" s="1056">
        <v>1393398295</v>
      </c>
      <c r="F783" s="1056">
        <v>1342022368</v>
      </c>
      <c r="G783" s="1056">
        <v>1349714626</v>
      </c>
      <c r="H783" s="1056">
        <v>1349714626</v>
      </c>
      <c r="I783" s="1056">
        <v>1393398295</v>
      </c>
      <c r="J783" s="1056">
        <v>1342022368</v>
      </c>
      <c r="K783" s="1056">
        <v>1393398295</v>
      </c>
      <c r="L783" s="1056">
        <v>1342022368</v>
      </c>
      <c r="M783" s="1056">
        <v>1349714626</v>
      </c>
      <c r="N783" s="1056">
        <v>1349714626</v>
      </c>
    </row>
    <row r="784" spans="1:14">
      <c r="A784" s="1049" t="s">
        <v>3046</v>
      </c>
      <c r="B784" s="1031" t="s">
        <v>404</v>
      </c>
      <c r="C784" s="1056">
        <v>446859726</v>
      </c>
      <c r="D784" s="1056">
        <v>428946249</v>
      </c>
      <c r="E784" s="1056">
        <v>446859726</v>
      </c>
      <c r="F784" s="1056">
        <v>428946249</v>
      </c>
      <c r="G784" s="1056">
        <v>433702453</v>
      </c>
      <c r="H784" s="1056">
        <v>433702453</v>
      </c>
      <c r="I784" s="1056">
        <v>446859726</v>
      </c>
      <c r="J784" s="1056">
        <v>428946249</v>
      </c>
      <c r="K784" s="1056">
        <v>446859726</v>
      </c>
      <c r="L784" s="1056">
        <v>428946249</v>
      </c>
      <c r="M784" s="1056">
        <v>433702453</v>
      </c>
      <c r="N784" s="1056">
        <v>433702453</v>
      </c>
    </row>
    <row r="785" spans="1:14">
      <c r="A785" s="1049" t="s">
        <v>264</v>
      </c>
      <c r="B785" s="1031" t="s">
        <v>7681</v>
      </c>
      <c r="C785" s="1056">
        <v>7936330816</v>
      </c>
      <c r="D785" s="1056">
        <v>7622446010</v>
      </c>
      <c r="E785" s="1056">
        <v>7936330816</v>
      </c>
      <c r="F785" s="1056">
        <v>7622446010</v>
      </c>
      <c r="G785" s="1056">
        <v>7765753832</v>
      </c>
      <c r="H785" s="1056">
        <v>7765753832</v>
      </c>
      <c r="I785" s="1056">
        <v>7936330816</v>
      </c>
      <c r="J785" s="1056">
        <v>7622446010</v>
      </c>
      <c r="K785" s="1056">
        <v>7936330816</v>
      </c>
      <c r="L785" s="1056">
        <v>7622446010</v>
      </c>
      <c r="M785" s="1056">
        <v>7765753832</v>
      </c>
      <c r="N785" s="1056">
        <v>7765753832</v>
      </c>
    </row>
    <row r="786" spans="1:14">
      <c r="A786" s="1049" t="s">
        <v>2306</v>
      </c>
      <c r="B786" s="1031" t="s">
        <v>363</v>
      </c>
      <c r="C786" s="1056">
        <v>261593874</v>
      </c>
      <c r="D786" s="1056">
        <v>247395851</v>
      </c>
      <c r="E786" s="1056">
        <v>261593874</v>
      </c>
      <c r="F786" s="1056">
        <v>247395851</v>
      </c>
      <c r="G786" s="1056">
        <v>252233258</v>
      </c>
      <c r="H786" s="1056">
        <v>252233258</v>
      </c>
      <c r="I786" s="1056">
        <v>261593874</v>
      </c>
      <c r="J786" s="1056">
        <v>247395851</v>
      </c>
      <c r="K786" s="1056">
        <v>261593874</v>
      </c>
      <c r="L786" s="1056">
        <v>247395851</v>
      </c>
      <c r="M786" s="1056">
        <v>252233258</v>
      </c>
      <c r="N786" s="1056">
        <v>252233258</v>
      </c>
    </row>
    <row r="787" spans="1:14">
      <c r="A787" s="1049" t="s">
        <v>3048</v>
      </c>
      <c r="B787" s="1031" t="s">
        <v>2898</v>
      </c>
      <c r="C787" s="1056">
        <v>973585765</v>
      </c>
      <c r="D787" s="1056">
        <v>971893491</v>
      </c>
      <c r="E787" s="1056">
        <v>973585765</v>
      </c>
      <c r="F787" s="1056">
        <v>971893491</v>
      </c>
      <c r="G787" s="1056">
        <v>972356870</v>
      </c>
      <c r="H787" s="1056">
        <v>972356870</v>
      </c>
      <c r="I787" s="1056">
        <v>973585765</v>
      </c>
      <c r="J787" s="1056">
        <v>971893491</v>
      </c>
      <c r="K787" s="1056">
        <v>973585765</v>
      </c>
      <c r="L787" s="1056">
        <v>971893491</v>
      </c>
      <c r="M787" s="1056">
        <v>972356870</v>
      </c>
      <c r="N787" s="1056">
        <v>972356870</v>
      </c>
    </row>
    <row r="788" spans="1:14">
      <c r="A788" s="1049" t="s">
        <v>3049</v>
      </c>
      <c r="B788" s="1031" t="s">
        <v>405</v>
      </c>
      <c r="C788" s="1056">
        <v>1122092678</v>
      </c>
      <c r="D788" s="1056">
        <v>1108651181</v>
      </c>
      <c r="E788" s="1056">
        <v>1122092678</v>
      </c>
      <c r="F788" s="1056">
        <v>1108651181</v>
      </c>
      <c r="G788" s="1056">
        <v>1113652344</v>
      </c>
      <c r="H788" s="1056">
        <v>1113652344</v>
      </c>
      <c r="I788" s="1056">
        <v>1122092678</v>
      </c>
      <c r="J788" s="1056">
        <v>1108651181</v>
      </c>
      <c r="K788" s="1056">
        <v>1122092678</v>
      </c>
      <c r="L788" s="1056">
        <v>1108651181</v>
      </c>
      <c r="M788" s="1056">
        <v>1113652344</v>
      </c>
      <c r="N788" s="1056">
        <v>1113652344</v>
      </c>
    </row>
    <row r="789" spans="1:14">
      <c r="A789" s="1049" t="s">
        <v>5035</v>
      </c>
      <c r="B789" s="1031" t="s">
        <v>6064</v>
      </c>
      <c r="C789" s="1056">
        <v>240815724</v>
      </c>
      <c r="D789" s="1056">
        <v>235202934</v>
      </c>
      <c r="E789" s="1056">
        <v>240815724</v>
      </c>
      <c r="F789" s="1056">
        <v>235202934</v>
      </c>
      <c r="G789" s="1056">
        <v>235518176</v>
      </c>
      <c r="H789" s="1056">
        <v>235518176</v>
      </c>
      <c r="I789" s="1056">
        <v>240815724</v>
      </c>
      <c r="J789" s="1056">
        <v>235202934</v>
      </c>
      <c r="K789" s="1056">
        <v>240815724</v>
      </c>
      <c r="L789" s="1056">
        <v>235202934</v>
      </c>
      <c r="M789" s="1056">
        <v>235518176</v>
      </c>
      <c r="N789" s="1056">
        <v>235518176</v>
      </c>
    </row>
    <row r="790" spans="1:14">
      <c r="A790" s="1049" t="s">
        <v>5131</v>
      </c>
      <c r="B790" s="1031" t="s">
        <v>350</v>
      </c>
      <c r="C790" s="1056">
        <v>182320226</v>
      </c>
      <c r="D790" s="1056">
        <v>174466036</v>
      </c>
      <c r="E790" s="1056">
        <v>182320226</v>
      </c>
      <c r="F790" s="1056">
        <v>174466036</v>
      </c>
      <c r="G790" s="1056">
        <v>174650220</v>
      </c>
      <c r="H790" s="1056">
        <v>174650220</v>
      </c>
      <c r="I790" s="1056">
        <v>182320226</v>
      </c>
      <c r="J790" s="1056">
        <v>174466036</v>
      </c>
      <c r="K790" s="1056">
        <v>182320226</v>
      </c>
      <c r="L790" s="1056">
        <v>174466036</v>
      </c>
      <c r="M790" s="1056">
        <v>174650220</v>
      </c>
      <c r="N790" s="1056">
        <v>174650220</v>
      </c>
    </row>
    <row r="791" spans="1:14">
      <c r="A791" s="1049" t="s">
        <v>5231</v>
      </c>
      <c r="B791" s="1031" t="s">
        <v>406</v>
      </c>
      <c r="C791" s="1056">
        <v>495198983</v>
      </c>
      <c r="D791" s="1056">
        <v>470362286</v>
      </c>
      <c r="E791" s="1056">
        <v>495198983</v>
      </c>
      <c r="F791" s="1056">
        <v>470362286</v>
      </c>
      <c r="G791" s="1056">
        <v>475863905</v>
      </c>
      <c r="H791" s="1056">
        <v>475863905</v>
      </c>
      <c r="I791" s="1056">
        <v>495198983</v>
      </c>
      <c r="J791" s="1056">
        <v>470362286</v>
      </c>
      <c r="K791" s="1056">
        <v>495198983</v>
      </c>
      <c r="L791" s="1056">
        <v>470362286</v>
      </c>
      <c r="M791" s="1056">
        <v>475863905</v>
      </c>
      <c r="N791" s="1056">
        <v>475863905</v>
      </c>
    </row>
    <row r="792" spans="1:14">
      <c r="A792" s="1049" t="s">
        <v>3109</v>
      </c>
      <c r="B792" s="1031" t="s">
        <v>4271</v>
      </c>
      <c r="C792" s="1056">
        <v>3714143948</v>
      </c>
      <c r="D792" s="1056">
        <v>3596185654</v>
      </c>
      <c r="E792" s="1056">
        <v>3714143948</v>
      </c>
      <c r="F792" s="1056">
        <v>3596185654</v>
      </c>
      <c r="G792" s="1056">
        <v>3634356847</v>
      </c>
      <c r="H792" s="1056">
        <v>3634356847</v>
      </c>
      <c r="I792" s="1056">
        <v>3714143948</v>
      </c>
      <c r="J792" s="1056">
        <v>3596185654</v>
      </c>
      <c r="K792" s="1056">
        <v>3714143948</v>
      </c>
      <c r="L792" s="1056">
        <v>3596185654</v>
      </c>
      <c r="M792" s="1056">
        <v>3634356847</v>
      </c>
      <c r="N792" s="1056">
        <v>3634356847</v>
      </c>
    </row>
    <row r="793" spans="1:14">
      <c r="A793" s="1049" t="s">
        <v>3111</v>
      </c>
      <c r="B793" s="1031" t="s">
        <v>3193</v>
      </c>
      <c r="C793" s="1056">
        <v>2998874939</v>
      </c>
      <c r="D793" s="1056">
        <v>2993038404</v>
      </c>
      <c r="E793" s="1056">
        <v>2994792356</v>
      </c>
      <c r="F793" s="1056">
        <v>2988955821</v>
      </c>
      <c r="G793" s="1056">
        <v>2993038404</v>
      </c>
      <c r="H793" s="1056">
        <v>2988955821</v>
      </c>
      <c r="I793" s="1056">
        <v>2998874939</v>
      </c>
      <c r="J793" s="1056">
        <v>2993038404</v>
      </c>
      <c r="K793" s="1056">
        <v>2994792356</v>
      </c>
      <c r="L793" s="1056">
        <v>2988955821</v>
      </c>
      <c r="M793" s="1056">
        <v>2993038404</v>
      </c>
      <c r="N793" s="1056">
        <v>2988955821</v>
      </c>
    </row>
    <row r="794" spans="1:14">
      <c r="A794" s="1049" t="s">
        <v>3113</v>
      </c>
      <c r="B794" s="1031" t="s">
        <v>3194</v>
      </c>
      <c r="C794" s="1056">
        <v>279209997</v>
      </c>
      <c r="D794" s="1056">
        <v>272823026</v>
      </c>
      <c r="E794" s="1056">
        <v>279209997</v>
      </c>
      <c r="F794" s="1056">
        <v>272823026</v>
      </c>
      <c r="G794" s="1056">
        <v>274085001</v>
      </c>
      <c r="H794" s="1056">
        <v>274085001</v>
      </c>
      <c r="I794" s="1056">
        <v>279209997</v>
      </c>
      <c r="J794" s="1056">
        <v>272823026</v>
      </c>
      <c r="K794" s="1056">
        <v>279209997</v>
      </c>
      <c r="L794" s="1056">
        <v>272823026</v>
      </c>
      <c r="M794" s="1056">
        <v>274085001</v>
      </c>
      <c r="N794" s="1056">
        <v>274085001</v>
      </c>
    </row>
    <row r="795" spans="1:14">
      <c r="A795" s="1049" t="s">
        <v>975</v>
      </c>
      <c r="B795" s="1031" t="s">
        <v>7692</v>
      </c>
      <c r="C795" s="1056">
        <v>47433805</v>
      </c>
      <c r="D795" s="1056">
        <v>43679861</v>
      </c>
      <c r="E795" s="1056">
        <v>47433805</v>
      </c>
      <c r="F795" s="1056">
        <v>43679861</v>
      </c>
      <c r="G795" s="1056">
        <v>44170534</v>
      </c>
      <c r="H795" s="1056">
        <v>44170534</v>
      </c>
      <c r="I795" s="1056">
        <v>47433805</v>
      </c>
      <c r="J795" s="1056">
        <v>43679861</v>
      </c>
      <c r="K795" s="1056">
        <v>47433805</v>
      </c>
      <c r="L795" s="1056">
        <v>43679861</v>
      </c>
      <c r="M795" s="1056">
        <v>44170534</v>
      </c>
      <c r="N795" s="1056">
        <v>44170534</v>
      </c>
    </row>
    <row r="796" spans="1:14">
      <c r="A796" s="1049" t="s">
        <v>2771</v>
      </c>
      <c r="B796" s="1031" t="s">
        <v>364</v>
      </c>
      <c r="C796" s="1056">
        <v>227590565</v>
      </c>
      <c r="D796" s="1056">
        <v>218555673</v>
      </c>
      <c r="E796" s="1056">
        <v>227590565</v>
      </c>
      <c r="F796" s="1056">
        <v>218555673</v>
      </c>
      <c r="G796" s="1056">
        <v>218943365</v>
      </c>
      <c r="H796" s="1056">
        <v>218943365</v>
      </c>
      <c r="I796" s="1056">
        <v>227590565</v>
      </c>
      <c r="J796" s="1056">
        <v>218555673</v>
      </c>
      <c r="K796" s="1056">
        <v>227590565</v>
      </c>
      <c r="L796" s="1056">
        <v>218555673</v>
      </c>
      <c r="M796" s="1056">
        <v>218943365</v>
      </c>
      <c r="N796" s="1056">
        <v>218943365</v>
      </c>
    </row>
    <row r="797" spans="1:14">
      <c r="A797" s="1049" t="s">
        <v>2821</v>
      </c>
      <c r="B797" s="1031" t="s">
        <v>3195</v>
      </c>
      <c r="C797" s="1056">
        <v>213978343</v>
      </c>
      <c r="D797" s="1056">
        <v>201062272</v>
      </c>
      <c r="E797" s="1056">
        <v>213978343</v>
      </c>
      <c r="F797" s="1056">
        <v>201062272</v>
      </c>
      <c r="G797" s="1056">
        <v>202263234</v>
      </c>
      <c r="H797" s="1056">
        <v>202263234</v>
      </c>
      <c r="I797" s="1056">
        <v>213978343</v>
      </c>
      <c r="J797" s="1056">
        <v>201062272</v>
      </c>
      <c r="K797" s="1056">
        <v>213978343</v>
      </c>
      <c r="L797" s="1056">
        <v>201062272</v>
      </c>
      <c r="M797" s="1056">
        <v>202263234</v>
      </c>
      <c r="N797" s="1056">
        <v>202263234</v>
      </c>
    </row>
    <row r="798" spans="1:14">
      <c r="A798" s="1049" t="s">
        <v>4589</v>
      </c>
      <c r="B798" s="1031" t="s">
        <v>998</v>
      </c>
      <c r="C798" s="1056">
        <v>62137790</v>
      </c>
      <c r="D798" s="1056">
        <v>57079017</v>
      </c>
      <c r="E798" s="1056">
        <v>62137790</v>
      </c>
      <c r="F798" s="1056">
        <v>57079017</v>
      </c>
      <c r="G798" s="1056">
        <v>57270548</v>
      </c>
      <c r="H798" s="1056">
        <v>57270548</v>
      </c>
      <c r="I798" s="1056">
        <v>62137790</v>
      </c>
      <c r="J798" s="1056">
        <v>57079017</v>
      </c>
      <c r="K798" s="1056">
        <v>62137790</v>
      </c>
      <c r="L798" s="1056">
        <v>57079017</v>
      </c>
      <c r="M798" s="1056">
        <v>57270548</v>
      </c>
      <c r="N798" s="1056">
        <v>57270548</v>
      </c>
    </row>
    <row r="799" spans="1:14">
      <c r="A799" s="1049" t="s">
        <v>2572</v>
      </c>
      <c r="B799" s="1031" t="s">
        <v>3196</v>
      </c>
      <c r="C799" s="1056">
        <v>3631280708</v>
      </c>
      <c r="D799" s="1056">
        <v>3614777778</v>
      </c>
      <c r="E799" s="1056">
        <v>3631280708</v>
      </c>
      <c r="F799" s="1056">
        <v>3614777778</v>
      </c>
      <c r="G799" s="1056">
        <v>3615016360</v>
      </c>
      <c r="H799" s="1056">
        <v>3615016360</v>
      </c>
      <c r="I799" s="1056">
        <v>3802033588</v>
      </c>
      <c r="J799" s="1056">
        <v>3785530658</v>
      </c>
      <c r="K799" s="1056">
        <v>3802033588</v>
      </c>
      <c r="L799" s="1056">
        <v>3785530658</v>
      </c>
      <c r="M799" s="1056">
        <v>3785769240</v>
      </c>
      <c r="N799" s="1056">
        <v>3785769240</v>
      </c>
    </row>
    <row r="800" spans="1:14">
      <c r="A800" s="1049" t="s">
        <v>1507</v>
      </c>
      <c r="B800" s="1031" t="s">
        <v>7694</v>
      </c>
      <c r="C800" s="1056">
        <v>45964816</v>
      </c>
      <c r="D800" s="1056">
        <v>45196666</v>
      </c>
      <c r="E800" s="1056">
        <v>45964816</v>
      </c>
      <c r="F800" s="1056">
        <v>45196666</v>
      </c>
      <c r="G800" s="1056">
        <v>45268794</v>
      </c>
      <c r="H800" s="1056">
        <v>45268794</v>
      </c>
      <c r="I800" s="1056">
        <v>45964816</v>
      </c>
      <c r="J800" s="1056">
        <v>45196666</v>
      </c>
      <c r="K800" s="1056">
        <v>45964816</v>
      </c>
      <c r="L800" s="1056">
        <v>45196666</v>
      </c>
      <c r="M800" s="1056">
        <v>45268794</v>
      </c>
      <c r="N800" s="1056">
        <v>45268794</v>
      </c>
    </row>
    <row r="801" spans="1:14">
      <c r="A801" s="1049" t="s">
        <v>2574</v>
      </c>
      <c r="B801" s="1031" t="s">
        <v>3197</v>
      </c>
      <c r="C801" s="1056">
        <v>460735540</v>
      </c>
      <c r="D801" s="1056">
        <v>459024550</v>
      </c>
      <c r="E801" s="1056">
        <v>459589629</v>
      </c>
      <c r="F801" s="1056">
        <v>457878639</v>
      </c>
      <c r="G801" s="1056">
        <v>459024550</v>
      </c>
      <c r="H801" s="1056">
        <v>457878639</v>
      </c>
      <c r="I801" s="1056">
        <v>460735540</v>
      </c>
      <c r="J801" s="1056">
        <v>459024550</v>
      </c>
      <c r="K801" s="1056">
        <v>459589629</v>
      </c>
      <c r="L801" s="1056">
        <v>457878639</v>
      </c>
      <c r="M801" s="1056">
        <v>459024550</v>
      </c>
      <c r="N801" s="1056">
        <v>457878639</v>
      </c>
    </row>
    <row r="802" spans="1:14">
      <c r="A802" s="1049" t="s">
        <v>2576</v>
      </c>
      <c r="B802" s="1031" t="s">
        <v>3198</v>
      </c>
      <c r="C802" s="1056">
        <v>326122781</v>
      </c>
      <c r="D802" s="1056">
        <v>319731501</v>
      </c>
      <c r="E802" s="1056">
        <v>326122781</v>
      </c>
      <c r="F802" s="1056">
        <v>319731501</v>
      </c>
      <c r="G802" s="1056">
        <v>319731501</v>
      </c>
      <c r="H802" s="1056">
        <v>319731501</v>
      </c>
      <c r="I802" s="1056">
        <v>326122781</v>
      </c>
      <c r="J802" s="1056">
        <v>319731501</v>
      </c>
      <c r="K802" s="1056">
        <v>326122781</v>
      </c>
      <c r="L802" s="1056">
        <v>319731501</v>
      </c>
      <c r="M802" s="1056">
        <v>319731501</v>
      </c>
      <c r="N802" s="1056">
        <v>319731501</v>
      </c>
    </row>
    <row r="803" spans="1:14">
      <c r="A803" s="1049" t="s">
        <v>2578</v>
      </c>
      <c r="B803" s="1031" t="s">
        <v>3199</v>
      </c>
      <c r="C803" s="1056">
        <v>627037311</v>
      </c>
      <c r="D803" s="1056">
        <v>619347371</v>
      </c>
      <c r="E803" s="1056">
        <v>627037311</v>
      </c>
      <c r="F803" s="1056">
        <v>619347371</v>
      </c>
      <c r="G803" s="1056">
        <v>619350588</v>
      </c>
      <c r="H803" s="1056">
        <v>619350588</v>
      </c>
      <c r="I803" s="1056">
        <v>627037311</v>
      </c>
      <c r="J803" s="1056">
        <v>619347371</v>
      </c>
      <c r="K803" s="1056">
        <v>627037311</v>
      </c>
      <c r="L803" s="1056">
        <v>619347371</v>
      </c>
      <c r="M803" s="1056">
        <v>619350588</v>
      </c>
      <c r="N803" s="1056">
        <v>619350588</v>
      </c>
    </row>
    <row r="804" spans="1:14">
      <c r="A804" s="1049" t="s">
        <v>158</v>
      </c>
      <c r="B804" s="1031" t="s">
        <v>3200</v>
      </c>
      <c r="C804" s="1056">
        <v>926330523</v>
      </c>
      <c r="D804" s="1056">
        <v>924384563</v>
      </c>
      <c r="E804" s="1056">
        <v>924850632</v>
      </c>
      <c r="F804" s="1056">
        <v>922904672</v>
      </c>
      <c r="G804" s="1056">
        <v>924518827</v>
      </c>
      <c r="H804" s="1056">
        <v>923038936</v>
      </c>
      <c r="I804" s="1056">
        <v>926330523</v>
      </c>
      <c r="J804" s="1056">
        <v>924384563</v>
      </c>
      <c r="K804" s="1056">
        <v>924850632</v>
      </c>
      <c r="L804" s="1056">
        <v>922904672</v>
      </c>
      <c r="M804" s="1056">
        <v>924518827</v>
      </c>
      <c r="N804" s="1056">
        <v>923038936</v>
      </c>
    </row>
    <row r="805" spans="1:14">
      <c r="A805" s="1049" t="s">
        <v>5211</v>
      </c>
      <c r="B805" s="1031" t="s">
        <v>3201</v>
      </c>
      <c r="C805" s="1056">
        <v>352895674</v>
      </c>
      <c r="D805" s="1056">
        <v>347509402</v>
      </c>
      <c r="E805" s="1056">
        <v>352895674</v>
      </c>
      <c r="F805" s="1056">
        <v>347509402</v>
      </c>
      <c r="G805" s="1056">
        <v>347509402</v>
      </c>
      <c r="H805" s="1056">
        <v>347509402</v>
      </c>
      <c r="I805" s="1056">
        <v>352895674</v>
      </c>
      <c r="J805" s="1056">
        <v>347509402</v>
      </c>
      <c r="K805" s="1056">
        <v>352895674</v>
      </c>
      <c r="L805" s="1056">
        <v>347509402</v>
      </c>
      <c r="M805" s="1056">
        <v>347509402</v>
      </c>
      <c r="N805" s="1056">
        <v>347509402</v>
      </c>
    </row>
    <row r="806" spans="1:14">
      <c r="A806" s="1049" t="s">
        <v>5213</v>
      </c>
      <c r="B806" s="1031" t="s">
        <v>3202</v>
      </c>
      <c r="C806" s="1056">
        <v>104116463</v>
      </c>
      <c r="D806" s="1056">
        <v>101251840</v>
      </c>
      <c r="E806" s="1056">
        <v>104116463</v>
      </c>
      <c r="F806" s="1056">
        <v>101251840</v>
      </c>
      <c r="G806" s="1056">
        <v>101251840</v>
      </c>
      <c r="H806" s="1056">
        <v>101251840</v>
      </c>
      <c r="I806" s="1056">
        <v>104116463</v>
      </c>
      <c r="J806" s="1056">
        <v>101251840</v>
      </c>
      <c r="K806" s="1056">
        <v>104116463</v>
      </c>
      <c r="L806" s="1056">
        <v>101251840</v>
      </c>
      <c r="M806" s="1056">
        <v>101251840</v>
      </c>
      <c r="N806" s="1056">
        <v>101251840</v>
      </c>
    </row>
    <row r="807" spans="1:14">
      <c r="A807" s="1049" t="s">
        <v>5215</v>
      </c>
      <c r="B807" s="1031" t="s">
        <v>3203</v>
      </c>
      <c r="C807" s="1056">
        <v>2065777818</v>
      </c>
      <c r="D807" s="1056">
        <v>2053007054</v>
      </c>
      <c r="E807" s="1056">
        <v>2065777818</v>
      </c>
      <c r="F807" s="1056">
        <v>2053007054</v>
      </c>
      <c r="G807" s="1056">
        <v>2053007054</v>
      </c>
      <c r="H807" s="1056">
        <v>2053007054</v>
      </c>
      <c r="I807" s="1056">
        <v>2065777818</v>
      </c>
      <c r="J807" s="1056">
        <v>2053007054</v>
      </c>
      <c r="K807" s="1056">
        <v>2065777818</v>
      </c>
      <c r="L807" s="1056">
        <v>2053007054</v>
      </c>
      <c r="M807" s="1056">
        <v>2053007054</v>
      </c>
      <c r="N807" s="1056">
        <v>2053007054</v>
      </c>
    </row>
    <row r="808" spans="1:14">
      <c r="A808" s="1049" t="s">
        <v>5217</v>
      </c>
      <c r="B808" s="1031" t="s">
        <v>3204</v>
      </c>
      <c r="C808" s="1056">
        <v>434550024</v>
      </c>
      <c r="D808" s="1056">
        <v>421789644</v>
      </c>
      <c r="E808" s="1056">
        <v>434550024</v>
      </c>
      <c r="F808" s="1056">
        <v>421789644</v>
      </c>
      <c r="G808" s="1056">
        <v>421789644</v>
      </c>
      <c r="H808" s="1056">
        <v>421789644</v>
      </c>
      <c r="I808" s="1056">
        <v>434550024</v>
      </c>
      <c r="J808" s="1056">
        <v>421789644</v>
      </c>
      <c r="K808" s="1056">
        <v>434550024</v>
      </c>
      <c r="L808" s="1056">
        <v>421789644</v>
      </c>
      <c r="M808" s="1056">
        <v>421789644</v>
      </c>
      <c r="N808" s="1056">
        <v>421789644</v>
      </c>
    </row>
    <row r="809" spans="1:14">
      <c r="A809" s="1049" t="s">
        <v>5219</v>
      </c>
      <c r="B809" s="1031" t="s">
        <v>3205</v>
      </c>
      <c r="C809" s="1056">
        <v>113187111</v>
      </c>
      <c r="D809" s="1056">
        <v>112926947</v>
      </c>
      <c r="E809" s="1056">
        <v>113187111</v>
      </c>
      <c r="F809" s="1056">
        <v>112926947</v>
      </c>
      <c r="G809" s="1056">
        <v>112926947</v>
      </c>
      <c r="H809" s="1056">
        <v>112926947</v>
      </c>
      <c r="I809" s="1056">
        <v>113187111</v>
      </c>
      <c r="J809" s="1056">
        <v>112926947</v>
      </c>
      <c r="K809" s="1056">
        <v>113187111</v>
      </c>
      <c r="L809" s="1056">
        <v>112926947</v>
      </c>
      <c r="M809" s="1056">
        <v>112926947</v>
      </c>
      <c r="N809" s="1056">
        <v>112926947</v>
      </c>
    </row>
    <row r="810" spans="1:14">
      <c r="A810" s="1049" t="s">
        <v>2125</v>
      </c>
      <c r="B810" s="1031" t="s">
        <v>3206</v>
      </c>
      <c r="C810" s="1056">
        <v>6733554380</v>
      </c>
      <c r="D810" s="1056">
        <v>6570930162</v>
      </c>
      <c r="E810" s="1056">
        <v>6733554380</v>
      </c>
      <c r="F810" s="1056">
        <v>6570930162</v>
      </c>
      <c r="G810" s="1056">
        <v>6612583148</v>
      </c>
      <c r="H810" s="1056">
        <v>6612583148</v>
      </c>
      <c r="I810" s="1056">
        <v>6733554380</v>
      </c>
      <c r="J810" s="1056">
        <v>6570930162</v>
      </c>
      <c r="K810" s="1056">
        <v>6733554380</v>
      </c>
      <c r="L810" s="1056">
        <v>6570930162</v>
      </c>
      <c r="M810" s="1056">
        <v>6612583148</v>
      </c>
      <c r="N810" s="1056">
        <v>6612583148</v>
      </c>
    </row>
    <row r="811" spans="1:14">
      <c r="A811" s="1049" t="s">
        <v>870</v>
      </c>
      <c r="B811" s="1031" t="s">
        <v>373</v>
      </c>
      <c r="C811" s="1056">
        <v>1184546835</v>
      </c>
      <c r="D811" s="1056">
        <v>1135153518</v>
      </c>
      <c r="E811" s="1056">
        <v>1184546835</v>
      </c>
      <c r="F811" s="1056">
        <v>1135153518</v>
      </c>
      <c r="G811" s="1056">
        <v>1137417769</v>
      </c>
      <c r="H811" s="1056">
        <v>1137417769</v>
      </c>
      <c r="I811" s="1056">
        <v>1184546835</v>
      </c>
      <c r="J811" s="1056">
        <v>1135153518</v>
      </c>
      <c r="K811" s="1056">
        <v>1184546835</v>
      </c>
      <c r="L811" s="1056">
        <v>1135153518</v>
      </c>
      <c r="M811" s="1056">
        <v>1137417769</v>
      </c>
      <c r="N811" s="1056">
        <v>1137417769</v>
      </c>
    </row>
    <row r="812" spans="1:14">
      <c r="A812" s="1049" t="s">
        <v>5615</v>
      </c>
      <c r="B812" s="1031" t="s">
        <v>3207</v>
      </c>
      <c r="C812" s="1056">
        <v>279844277</v>
      </c>
      <c r="D812" s="1056">
        <v>267397943</v>
      </c>
      <c r="E812" s="1056">
        <v>279844277</v>
      </c>
      <c r="F812" s="1056">
        <v>267397943</v>
      </c>
      <c r="G812" s="1056">
        <v>272790934</v>
      </c>
      <c r="H812" s="1056">
        <v>272790934</v>
      </c>
      <c r="I812" s="1056">
        <v>279844277</v>
      </c>
      <c r="J812" s="1056">
        <v>267397943</v>
      </c>
      <c r="K812" s="1056">
        <v>279844277</v>
      </c>
      <c r="L812" s="1056">
        <v>267397943</v>
      </c>
      <c r="M812" s="1056">
        <v>272790934</v>
      </c>
      <c r="N812" s="1056">
        <v>272790934</v>
      </c>
    </row>
    <row r="813" spans="1:14">
      <c r="A813" s="1049" t="s">
        <v>4590</v>
      </c>
      <c r="B813" s="1031" t="s">
        <v>498</v>
      </c>
      <c r="C813" s="1056">
        <v>75548112</v>
      </c>
      <c r="D813" s="1056">
        <v>71488312</v>
      </c>
      <c r="E813" s="1056">
        <v>75548112</v>
      </c>
      <c r="F813" s="1056">
        <v>71488312</v>
      </c>
      <c r="G813" s="1056">
        <v>72994673</v>
      </c>
      <c r="H813" s="1056">
        <v>72994673</v>
      </c>
      <c r="I813" s="1056">
        <v>75548112</v>
      </c>
      <c r="J813" s="1056">
        <v>71488312</v>
      </c>
      <c r="K813" s="1056">
        <v>75548112</v>
      </c>
      <c r="L813" s="1056">
        <v>71488312</v>
      </c>
      <c r="M813" s="1056">
        <v>72994673</v>
      </c>
      <c r="N813" s="1056">
        <v>72994673</v>
      </c>
    </row>
    <row r="814" spans="1:14">
      <c r="A814" s="1049" t="s">
        <v>860</v>
      </c>
      <c r="B814" s="1031" t="s">
        <v>2005</v>
      </c>
      <c r="C814" s="1056">
        <v>228360592</v>
      </c>
      <c r="D814" s="1056">
        <v>221072686</v>
      </c>
      <c r="E814" s="1056">
        <v>228360592</v>
      </c>
      <c r="F814" s="1056">
        <v>221072686</v>
      </c>
      <c r="G814" s="1056">
        <v>222912974</v>
      </c>
      <c r="H814" s="1056">
        <v>222912974</v>
      </c>
      <c r="I814" s="1056">
        <v>228360592</v>
      </c>
      <c r="J814" s="1056">
        <v>221072686</v>
      </c>
      <c r="K814" s="1056">
        <v>228360592</v>
      </c>
      <c r="L814" s="1056">
        <v>221072686</v>
      </c>
      <c r="M814" s="1056">
        <v>222912974</v>
      </c>
      <c r="N814" s="1056">
        <v>222912974</v>
      </c>
    </row>
    <row r="815" spans="1:14">
      <c r="A815" s="1049" t="s">
        <v>4591</v>
      </c>
      <c r="B815" s="1031" t="s">
        <v>3834</v>
      </c>
      <c r="C815" s="1056">
        <v>5577763</v>
      </c>
      <c r="D815" s="1056">
        <v>5286653</v>
      </c>
      <c r="E815" s="1056">
        <v>5577763</v>
      </c>
      <c r="F815" s="1056">
        <v>5286653</v>
      </c>
      <c r="G815" s="1056">
        <v>5376545</v>
      </c>
      <c r="H815" s="1056">
        <v>5376545</v>
      </c>
      <c r="I815" s="1056">
        <v>5577763</v>
      </c>
      <c r="J815" s="1056">
        <v>5286653</v>
      </c>
      <c r="K815" s="1056">
        <v>5577763</v>
      </c>
      <c r="L815" s="1056">
        <v>5286653</v>
      </c>
      <c r="M815" s="1056">
        <v>5376545</v>
      </c>
      <c r="N815" s="1056">
        <v>5376545</v>
      </c>
    </row>
    <row r="816" spans="1:14">
      <c r="A816" s="1049" t="s">
        <v>5617</v>
      </c>
      <c r="B816" s="1031" t="s">
        <v>3208</v>
      </c>
      <c r="C816" s="1056">
        <v>1734239345</v>
      </c>
      <c r="D816" s="1056">
        <v>1687796485</v>
      </c>
      <c r="E816" s="1056">
        <v>1679688858</v>
      </c>
      <c r="F816" s="1056">
        <v>1633245998</v>
      </c>
      <c r="G816" s="1056">
        <v>1687796485</v>
      </c>
      <c r="H816" s="1056">
        <v>1633245998</v>
      </c>
      <c r="I816" s="1056">
        <v>1734239345</v>
      </c>
      <c r="J816" s="1056">
        <v>1687796485</v>
      </c>
      <c r="K816" s="1056">
        <v>1679688858</v>
      </c>
      <c r="L816" s="1056">
        <v>1633245998</v>
      </c>
      <c r="M816" s="1056">
        <v>1687796485</v>
      </c>
      <c r="N816" s="1056">
        <v>1633245998</v>
      </c>
    </row>
    <row r="817" spans="1:14">
      <c r="A817" s="1049" t="s">
        <v>3150</v>
      </c>
      <c r="B817" s="1031" t="s">
        <v>3209</v>
      </c>
      <c r="C817" s="1056">
        <v>93293241</v>
      </c>
      <c r="D817" s="1056">
        <v>89409201</v>
      </c>
      <c r="E817" s="1056">
        <v>89942884</v>
      </c>
      <c r="F817" s="1056">
        <v>86058844</v>
      </c>
      <c r="G817" s="1056">
        <v>89409201</v>
      </c>
      <c r="H817" s="1056">
        <v>86058844</v>
      </c>
      <c r="I817" s="1056">
        <v>93293241</v>
      </c>
      <c r="J817" s="1056">
        <v>89409201</v>
      </c>
      <c r="K817" s="1056">
        <v>89942884</v>
      </c>
      <c r="L817" s="1056">
        <v>86058844</v>
      </c>
      <c r="M817" s="1056">
        <v>89409201</v>
      </c>
      <c r="N817" s="1056">
        <v>86058844</v>
      </c>
    </row>
    <row r="818" spans="1:14">
      <c r="A818" s="1049" t="s">
        <v>3152</v>
      </c>
      <c r="B818" s="1031" t="s">
        <v>3210</v>
      </c>
      <c r="C818" s="1056">
        <v>48065565</v>
      </c>
      <c r="D818" s="1056">
        <v>46447045</v>
      </c>
      <c r="E818" s="1056">
        <v>46884070</v>
      </c>
      <c r="F818" s="1056">
        <v>45265550</v>
      </c>
      <c r="G818" s="1056">
        <v>46447045</v>
      </c>
      <c r="H818" s="1056">
        <v>45265550</v>
      </c>
      <c r="I818" s="1056">
        <v>48065565</v>
      </c>
      <c r="J818" s="1056">
        <v>46447045</v>
      </c>
      <c r="K818" s="1056">
        <v>46884070</v>
      </c>
      <c r="L818" s="1056">
        <v>45265550</v>
      </c>
      <c r="M818" s="1056">
        <v>46447045</v>
      </c>
      <c r="N818" s="1056">
        <v>45265550</v>
      </c>
    </row>
    <row r="819" spans="1:14">
      <c r="A819" s="1049" t="s">
        <v>1949</v>
      </c>
      <c r="B819" s="1031" t="s">
        <v>327</v>
      </c>
      <c r="C819" s="1056">
        <v>60977676</v>
      </c>
      <c r="D819" s="1056">
        <v>56786236</v>
      </c>
      <c r="E819" s="1056">
        <v>57212642</v>
      </c>
      <c r="F819" s="1056">
        <v>53021202</v>
      </c>
      <c r="G819" s="1056">
        <v>56786236</v>
      </c>
      <c r="H819" s="1056">
        <v>53021202</v>
      </c>
      <c r="I819" s="1056">
        <v>60977676</v>
      </c>
      <c r="J819" s="1056">
        <v>56786236</v>
      </c>
      <c r="K819" s="1056">
        <v>57212642</v>
      </c>
      <c r="L819" s="1056">
        <v>53021202</v>
      </c>
      <c r="M819" s="1056">
        <v>56786236</v>
      </c>
      <c r="N819" s="1056">
        <v>53021202</v>
      </c>
    </row>
    <row r="820" spans="1:14">
      <c r="A820" s="1049" t="s">
        <v>1951</v>
      </c>
      <c r="B820" s="1031" t="s">
        <v>3627</v>
      </c>
      <c r="C820" s="1056">
        <v>77629597</v>
      </c>
      <c r="D820" s="1056">
        <v>71682337</v>
      </c>
      <c r="E820" s="1056">
        <v>72852641</v>
      </c>
      <c r="F820" s="1056">
        <v>66905381</v>
      </c>
      <c r="G820" s="1056">
        <v>71682337</v>
      </c>
      <c r="H820" s="1056">
        <v>66905381</v>
      </c>
      <c r="I820" s="1056">
        <v>77629597</v>
      </c>
      <c r="J820" s="1056">
        <v>71682337</v>
      </c>
      <c r="K820" s="1056">
        <v>72852641</v>
      </c>
      <c r="L820" s="1056">
        <v>66905381</v>
      </c>
      <c r="M820" s="1056">
        <v>71682337</v>
      </c>
      <c r="N820" s="1056">
        <v>66905381</v>
      </c>
    </row>
    <row r="821" spans="1:14">
      <c r="A821" s="1049" t="s">
        <v>3154</v>
      </c>
      <c r="B821" s="1031" t="s">
        <v>3211</v>
      </c>
      <c r="C821" s="1056">
        <v>1254067269</v>
      </c>
      <c r="D821" s="1056">
        <v>1240373669</v>
      </c>
      <c r="E821" s="1056">
        <v>1237837948</v>
      </c>
      <c r="F821" s="1056">
        <v>1224144348</v>
      </c>
      <c r="G821" s="1056">
        <v>1240373669</v>
      </c>
      <c r="H821" s="1056">
        <v>1224144348</v>
      </c>
      <c r="I821" s="1056">
        <v>1254067269</v>
      </c>
      <c r="J821" s="1056">
        <v>1240373669</v>
      </c>
      <c r="K821" s="1056">
        <v>1237837948</v>
      </c>
      <c r="L821" s="1056">
        <v>1224144348</v>
      </c>
      <c r="M821" s="1056">
        <v>1240373669</v>
      </c>
      <c r="N821" s="1056">
        <v>1224144348</v>
      </c>
    </row>
    <row r="822" spans="1:14">
      <c r="A822" s="1049" t="s">
        <v>3883</v>
      </c>
      <c r="B822" s="1031" t="s">
        <v>6100</v>
      </c>
      <c r="C822" s="1056">
        <v>117147597</v>
      </c>
      <c r="D822" s="1056">
        <v>112802118</v>
      </c>
      <c r="E822" s="1056">
        <v>112885968</v>
      </c>
      <c r="F822" s="1056">
        <v>108540489</v>
      </c>
      <c r="G822" s="1056">
        <v>112802118</v>
      </c>
      <c r="H822" s="1056">
        <v>108540489</v>
      </c>
      <c r="I822" s="1056">
        <v>117147597</v>
      </c>
      <c r="J822" s="1056">
        <v>112802118</v>
      </c>
      <c r="K822" s="1056">
        <v>112885968</v>
      </c>
      <c r="L822" s="1056">
        <v>108540489</v>
      </c>
      <c r="M822" s="1056">
        <v>112802118</v>
      </c>
      <c r="N822" s="1056">
        <v>108540489</v>
      </c>
    </row>
    <row r="823" spans="1:14">
      <c r="A823" s="1049" t="s">
        <v>3156</v>
      </c>
      <c r="B823" s="1031" t="s">
        <v>8246</v>
      </c>
      <c r="C823" s="1056">
        <v>542421332</v>
      </c>
      <c r="D823" s="1056">
        <v>530750132</v>
      </c>
      <c r="E823" s="1056">
        <v>531972697</v>
      </c>
      <c r="F823" s="1056">
        <v>520301497</v>
      </c>
      <c r="G823" s="1056">
        <v>530750132</v>
      </c>
      <c r="H823" s="1056">
        <v>520301497</v>
      </c>
      <c r="I823" s="1056">
        <v>542421332</v>
      </c>
      <c r="J823" s="1056">
        <v>530750132</v>
      </c>
      <c r="K823" s="1056">
        <v>531972697</v>
      </c>
      <c r="L823" s="1056">
        <v>520301497</v>
      </c>
      <c r="M823" s="1056">
        <v>530750132</v>
      </c>
      <c r="N823" s="1056">
        <v>520301497</v>
      </c>
    </row>
    <row r="824" spans="1:14">
      <c r="A824" s="1049" t="s">
        <v>3158</v>
      </c>
      <c r="B824" s="1031" t="s">
        <v>3213</v>
      </c>
      <c r="C824" s="1056">
        <v>476843354</v>
      </c>
      <c r="D824" s="1056">
        <v>456227616</v>
      </c>
      <c r="E824" s="1056">
        <v>476843354</v>
      </c>
      <c r="F824" s="1056">
        <v>456227616</v>
      </c>
      <c r="G824" s="1056">
        <v>462983578</v>
      </c>
      <c r="H824" s="1056">
        <v>462983578</v>
      </c>
      <c r="I824" s="1056">
        <v>476843354</v>
      </c>
      <c r="J824" s="1056">
        <v>456227616</v>
      </c>
      <c r="K824" s="1056">
        <v>476843354</v>
      </c>
      <c r="L824" s="1056">
        <v>456227616</v>
      </c>
      <c r="M824" s="1056">
        <v>462983578</v>
      </c>
      <c r="N824" s="1056">
        <v>462983578</v>
      </c>
    </row>
    <row r="825" spans="1:14">
      <c r="A825" s="1049" t="s">
        <v>3160</v>
      </c>
      <c r="B825" s="1031" t="s">
        <v>3214</v>
      </c>
      <c r="C825" s="1056">
        <v>101046835</v>
      </c>
      <c r="D825" s="1056">
        <v>95298615</v>
      </c>
      <c r="E825" s="1056">
        <v>98161907</v>
      </c>
      <c r="F825" s="1056">
        <v>92413687</v>
      </c>
      <c r="G825" s="1056">
        <v>95611134</v>
      </c>
      <c r="H825" s="1056">
        <v>92726206</v>
      </c>
      <c r="I825" s="1056">
        <v>101046835</v>
      </c>
      <c r="J825" s="1056">
        <v>95298615</v>
      </c>
      <c r="K825" s="1056">
        <v>98161907</v>
      </c>
      <c r="L825" s="1056">
        <v>92413687</v>
      </c>
      <c r="M825" s="1056">
        <v>95611134</v>
      </c>
      <c r="N825" s="1056">
        <v>92726206</v>
      </c>
    </row>
    <row r="826" spans="1:14">
      <c r="A826" s="1049" t="s">
        <v>3162</v>
      </c>
      <c r="B826" s="1031" t="s">
        <v>3215</v>
      </c>
      <c r="C826" s="1056">
        <v>459172380</v>
      </c>
      <c r="D826" s="1056">
        <v>451180871</v>
      </c>
      <c r="E826" s="1056">
        <v>459172380</v>
      </c>
      <c r="F826" s="1056">
        <v>451180871</v>
      </c>
      <c r="G826" s="1056">
        <v>451755674</v>
      </c>
      <c r="H826" s="1056">
        <v>451755674</v>
      </c>
      <c r="I826" s="1056">
        <v>459172380</v>
      </c>
      <c r="J826" s="1056">
        <v>451180871</v>
      </c>
      <c r="K826" s="1056">
        <v>459172380</v>
      </c>
      <c r="L826" s="1056">
        <v>451180871</v>
      </c>
      <c r="M826" s="1056">
        <v>451755674</v>
      </c>
      <c r="N826" s="1056">
        <v>451755674</v>
      </c>
    </row>
    <row r="827" spans="1:14">
      <c r="A827" s="1049" t="s">
        <v>569</v>
      </c>
      <c r="B827" s="1031" t="s">
        <v>3216</v>
      </c>
      <c r="C827" s="1056">
        <v>175604721</v>
      </c>
      <c r="D827" s="1056">
        <v>170631011</v>
      </c>
      <c r="E827" s="1056">
        <v>172701553</v>
      </c>
      <c r="F827" s="1056">
        <v>167727843</v>
      </c>
      <c r="G827" s="1056">
        <v>170922122</v>
      </c>
      <c r="H827" s="1056">
        <v>168018954</v>
      </c>
      <c r="I827" s="1056">
        <v>175604721</v>
      </c>
      <c r="J827" s="1056">
        <v>170631011</v>
      </c>
      <c r="K827" s="1056">
        <v>172701553</v>
      </c>
      <c r="L827" s="1056">
        <v>167727843</v>
      </c>
      <c r="M827" s="1056">
        <v>170922122</v>
      </c>
      <c r="N827" s="1056">
        <v>168018954</v>
      </c>
    </row>
    <row r="828" spans="1:14">
      <c r="A828" s="1049" t="s">
        <v>571</v>
      </c>
      <c r="B828" s="1031" t="s">
        <v>4309</v>
      </c>
      <c r="C828" s="1056">
        <v>999843508</v>
      </c>
      <c r="D828" s="1056">
        <v>963369718</v>
      </c>
      <c r="E828" s="1056">
        <v>999843508</v>
      </c>
      <c r="F828" s="1056">
        <v>963369718</v>
      </c>
      <c r="G828" s="1056">
        <v>977313919</v>
      </c>
      <c r="H828" s="1056">
        <v>977313919</v>
      </c>
      <c r="I828" s="1056">
        <v>999843508</v>
      </c>
      <c r="J828" s="1056">
        <v>963369718</v>
      </c>
      <c r="K828" s="1056">
        <v>999843508</v>
      </c>
      <c r="L828" s="1056">
        <v>963369718</v>
      </c>
      <c r="M828" s="1056">
        <v>977313919</v>
      </c>
      <c r="N828" s="1056">
        <v>977313919</v>
      </c>
    </row>
    <row r="829" spans="1:14">
      <c r="A829" s="1049" t="s">
        <v>3181</v>
      </c>
      <c r="B829" s="1031" t="s">
        <v>3596</v>
      </c>
      <c r="C829" s="1056">
        <v>323064218</v>
      </c>
      <c r="D829" s="1056">
        <v>306664626</v>
      </c>
      <c r="E829" s="1056">
        <v>309849326</v>
      </c>
      <c r="F829" s="1056">
        <v>293449734</v>
      </c>
      <c r="G829" s="1056">
        <v>307067126</v>
      </c>
      <c r="H829" s="1056">
        <v>293852234</v>
      </c>
      <c r="I829" s="1056">
        <v>323064218</v>
      </c>
      <c r="J829" s="1056">
        <v>306664626</v>
      </c>
      <c r="K829" s="1056">
        <v>309849326</v>
      </c>
      <c r="L829" s="1056">
        <v>293449734</v>
      </c>
      <c r="M829" s="1056">
        <v>307067126</v>
      </c>
      <c r="N829" s="1056">
        <v>293852234</v>
      </c>
    </row>
    <row r="830" spans="1:14">
      <c r="A830" s="1049" t="s">
        <v>2071</v>
      </c>
      <c r="B830" s="1031" t="s">
        <v>7687</v>
      </c>
      <c r="C830" s="1056">
        <v>634844383</v>
      </c>
      <c r="D830" s="1056">
        <v>615463918</v>
      </c>
      <c r="E830" s="1056">
        <v>634844383</v>
      </c>
      <c r="F830" s="1056">
        <v>615463918</v>
      </c>
      <c r="G830" s="1056">
        <v>615463918</v>
      </c>
      <c r="H830" s="1056">
        <v>615463918</v>
      </c>
      <c r="I830" s="1056">
        <v>634844383</v>
      </c>
      <c r="J830" s="1056">
        <v>615463918</v>
      </c>
      <c r="K830" s="1056">
        <v>634844383</v>
      </c>
      <c r="L830" s="1056">
        <v>615463918</v>
      </c>
      <c r="M830" s="1056">
        <v>615463918</v>
      </c>
      <c r="N830" s="1056">
        <v>615463918</v>
      </c>
    </row>
    <row r="831" spans="1:14">
      <c r="A831" s="1049" t="s">
        <v>3183</v>
      </c>
      <c r="B831" s="1031" t="s">
        <v>3597</v>
      </c>
      <c r="C831" s="1056">
        <v>1355321631</v>
      </c>
      <c r="D831" s="1056">
        <v>1315286130</v>
      </c>
      <c r="E831" s="1056">
        <v>1355321631</v>
      </c>
      <c r="F831" s="1056">
        <v>1315286130</v>
      </c>
      <c r="G831" s="1056">
        <v>1315286130</v>
      </c>
      <c r="H831" s="1056">
        <v>1315286130</v>
      </c>
      <c r="I831" s="1056">
        <v>1428166901</v>
      </c>
      <c r="J831" s="1056">
        <v>1388131400</v>
      </c>
      <c r="K831" s="1056">
        <v>1428166901</v>
      </c>
      <c r="L831" s="1056">
        <v>1388131400</v>
      </c>
      <c r="M831" s="1056">
        <v>1388131400</v>
      </c>
      <c r="N831" s="1056">
        <v>1388131400</v>
      </c>
    </row>
    <row r="832" spans="1:14">
      <c r="A832" s="1049" t="s">
        <v>924</v>
      </c>
      <c r="B832" s="1031" t="s">
        <v>3598</v>
      </c>
      <c r="C832" s="1056">
        <v>1518824320</v>
      </c>
      <c r="D832" s="1056">
        <v>1499772868</v>
      </c>
      <c r="E832" s="1056">
        <v>1518824320</v>
      </c>
      <c r="F832" s="1056">
        <v>1499772868</v>
      </c>
      <c r="G832" s="1056">
        <v>1499772868</v>
      </c>
      <c r="H832" s="1056">
        <v>1499772868</v>
      </c>
      <c r="I832" s="1056">
        <v>1518824320</v>
      </c>
      <c r="J832" s="1056">
        <v>1499772868</v>
      </c>
      <c r="K832" s="1056">
        <v>1518824320</v>
      </c>
      <c r="L832" s="1056">
        <v>1499772868</v>
      </c>
      <c r="M832" s="1056">
        <v>1499772868</v>
      </c>
      <c r="N832" s="1056">
        <v>1499772868</v>
      </c>
    </row>
    <row r="833" spans="1:14">
      <c r="A833" s="1049" t="s">
        <v>6165</v>
      </c>
      <c r="B833" s="1031" t="s">
        <v>6069</v>
      </c>
      <c r="C833" s="1056">
        <v>365895244</v>
      </c>
      <c r="D833" s="1056">
        <v>350050896</v>
      </c>
      <c r="E833" s="1056">
        <v>365895244</v>
      </c>
      <c r="F833" s="1056">
        <v>350050896</v>
      </c>
      <c r="G833" s="1056">
        <v>350100397</v>
      </c>
      <c r="H833" s="1056">
        <v>350100397</v>
      </c>
      <c r="I833" s="1056">
        <v>365895244</v>
      </c>
      <c r="J833" s="1056">
        <v>350050896</v>
      </c>
      <c r="K833" s="1056">
        <v>365895244</v>
      </c>
      <c r="L833" s="1056">
        <v>350050896</v>
      </c>
      <c r="M833" s="1056">
        <v>350100397</v>
      </c>
      <c r="N833" s="1056">
        <v>350100397</v>
      </c>
    </row>
    <row r="834" spans="1:14">
      <c r="A834" s="1049" t="s">
        <v>6187</v>
      </c>
      <c r="B834" s="1031" t="s">
        <v>3832</v>
      </c>
      <c r="C834" s="1056">
        <v>313609260</v>
      </c>
      <c r="D834" s="1056">
        <v>303600512</v>
      </c>
      <c r="E834" s="1056">
        <v>313609260</v>
      </c>
      <c r="F834" s="1056">
        <v>303600512</v>
      </c>
      <c r="G834" s="1056">
        <v>303600512</v>
      </c>
      <c r="H834" s="1056">
        <v>303600512</v>
      </c>
      <c r="I834" s="1056">
        <v>358027260</v>
      </c>
      <c r="J834" s="1056">
        <v>348018512</v>
      </c>
      <c r="K834" s="1056">
        <v>358027260</v>
      </c>
      <c r="L834" s="1056">
        <v>348018512</v>
      </c>
      <c r="M834" s="1056">
        <v>348018512</v>
      </c>
      <c r="N834" s="1056">
        <v>348018512</v>
      </c>
    </row>
    <row r="835" spans="1:14">
      <c r="A835" s="1049" t="s">
        <v>1837</v>
      </c>
      <c r="B835" s="1031" t="s">
        <v>1468</v>
      </c>
      <c r="C835" s="1056">
        <v>399771978</v>
      </c>
      <c r="D835" s="1056">
        <v>382856498</v>
      </c>
      <c r="E835" s="1056">
        <v>399771978</v>
      </c>
      <c r="F835" s="1056">
        <v>382856498</v>
      </c>
      <c r="G835" s="1056">
        <v>382856498</v>
      </c>
      <c r="H835" s="1056">
        <v>382856498</v>
      </c>
      <c r="I835" s="1056">
        <v>456747978</v>
      </c>
      <c r="J835" s="1056">
        <v>439832498</v>
      </c>
      <c r="K835" s="1056">
        <v>456747978</v>
      </c>
      <c r="L835" s="1056">
        <v>439832498</v>
      </c>
      <c r="M835" s="1056">
        <v>439832498</v>
      </c>
      <c r="N835" s="1056">
        <v>439832498</v>
      </c>
    </row>
    <row r="836" spans="1:14">
      <c r="A836" s="1049" t="s">
        <v>3884</v>
      </c>
      <c r="B836" s="1031" t="s">
        <v>5362</v>
      </c>
      <c r="C836" s="1056">
        <v>296493186</v>
      </c>
      <c r="D836" s="1056">
        <v>287233313</v>
      </c>
      <c r="E836" s="1056">
        <v>296493186</v>
      </c>
      <c r="F836" s="1056">
        <v>287233313</v>
      </c>
      <c r="G836" s="1056">
        <v>287233313</v>
      </c>
      <c r="H836" s="1056">
        <v>287233313</v>
      </c>
      <c r="I836" s="1056">
        <v>507137886</v>
      </c>
      <c r="J836" s="1056">
        <v>497878013</v>
      </c>
      <c r="K836" s="1056">
        <v>507137886</v>
      </c>
      <c r="L836" s="1056">
        <v>497878013</v>
      </c>
      <c r="M836" s="1056">
        <v>497878013</v>
      </c>
      <c r="N836" s="1056">
        <v>497878013</v>
      </c>
    </row>
    <row r="837" spans="1:14">
      <c r="A837" s="1049" t="s">
        <v>2390</v>
      </c>
      <c r="B837" s="1031" t="s">
        <v>1455</v>
      </c>
      <c r="C837" s="1056">
        <v>192833416</v>
      </c>
      <c r="D837" s="1056">
        <v>183808836</v>
      </c>
      <c r="E837" s="1056">
        <v>192833416</v>
      </c>
      <c r="F837" s="1056">
        <v>183808836</v>
      </c>
      <c r="G837" s="1056">
        <v>184813078</v>
      </c>
      <c r="H837" s="1056">
        <v>184813078</v>
      </c>
      <c r="I837" s="1056">
        <v>192833416</v>
      </c>
      <c r="J837" s="1056">
        <v>183808836</v>
      </c>
      <c r="K837" s="1056">
        <v>192833416</v>
      </c>
      <c r="L837" s="1056">
        <v>183808836</v>
      </c>
      <c r="M837" s="1056">
        <v>184813078</v>
      </c>
      <c r="N837" s="1056">
        <v>184813078</v>
      </c>
    </row>
    <row r="838" spans="1:14">
      <c r="A838" s="1049" t="s">
        <v>926</v>
      </c>
      <c r="B838" s="1031" t="s">
        <v>3599</v>
      </c>
      <c r="C838" s="1056">
        <v>58729706</v>
      </c>
      <c r="D838" s="1056">
        <v>56674326</v>
      </c>
      <c r="E838" s="1056">
        <v>58729706</v>
      </c>
      <c r="F838" s="1056">
        <v>56674326</v>
      </c>
      <c r="G838" s="1056">
        <v>56674326</v>
      </c>
      <c r="H838" s="1056">
        <v>56674326</v>
      </c>
      <c r="I838" s="1056">
        <v>58729706</v>
      </c>
      <c r="J838" s="1056">
        <v>56674326</v>
      </c>
      <c r="K838" s="1056">
        <v>58729706</v>
      </c>
      <c r="L838" s="1056">
        <v>56674326</v>
      </c>
      <c r="M838" s="1056">
        <v>56674326</v>
      </c>
      <c r="N838" s="1056">
        <v>56674326</v>
      </c>
    </row>
    <row r="839" spans="1:14">
      <c r="A839" s="1049" t="s">
        <v>928</v>
      </c>
      <c r="B839" s="1031" t="s">
        <v>1840</v>
      </c>
      <c r="C839" s="1056">
        <v>45371650</v>
      </c>
      <c r="D839" s="1056">
        <v>43985050</v>
      </c>
      <c r="E839" s="1056">
        <v>45371650</v>
      </c>
      <c r="F839" s="1056">
        <v>43985050</v>
      </c>
      <c r="G839" s="1056">
        <v>44339922</v>
      </c>
      <c r="H839" s="1056">
        <v>44339922</v>
      </c>
      <c r="I839" s="1056">
        <v>45371650</v>
      </c>
      <c r="J839" s="1056">
        <v>43985050</v>
      </c>
      <c r="K839" s="1056">
        <v>45371650</v>
      </c>
      <c r="L839" s="1056">
        <v>43985050</v>
      </c>
      <c r="M839" s="1056">
        <v>44339922</v>
      </c>
      <c r="N839" s="1056">
        <v>44339922</v>
      </c>
    </row>
    <row r="840" spans="1:14">
      <c r="A840" s="1049" t="s">
        <v>930</v>
      </c>
      <c r="B840" s="1031" t="s">
        <v>1841</v>
      </c>
      <c r="C840" s="1056">
        <v>406436587</v>
      </c>
      <c r="D840" s="1056">
        <v>402005370</v>
      </c>
      <c r="E840" s="1056">
        <v>403853802</v>
      </c>
      <c r="F840" s="1056">
        <v>399422585</v>
      </c>
      <c r="G840" s="1056">
        <v>402116139</v>
      </c>
      <c r="H840" s="1056">
        <v>399533354</v>
      </c>
      <c r="I840" s="1056">
        <v>415047417</v>
      </c>
      <c r="J840" s="1056">
        <v>410616200</v>
      </c>
      <c r="K840" s="1056">
        <v>412464632</v>
      </c>
      <c r="L840" s="1056">
        <v>408033415</v>
      </c>
      <c r="M840" s="1056">
        <v>410726969</v>
      </c>
      <c r="N840" s="1056">
        <v>408144184</v>
      </c>
    </row>
    <row r="841" spans="1:14">
      <c r="A841" s="1049" t="s">
        <v>932</v>
      </c>
      <c r="B841" s="1031" t="s">
        <v>1842</v>
      </c>
      <c r="C841" s="1056">
        <v>140203685</v>
      </c>
      <c r="D841" s="1056">
        <v>138554484</v>
      </c>
      <c r="E841" s="1056">
        <v>140203685</v>
      </c>
      <c r="F841" s="1056">
        <v>138554484</v>
      </c>
      <c r="G841" s="1056">
        <v>138811926</v>
      </c>
      <c r="H841" s="1056">
        <v>138811926</v>
      </c>
      <c r="I841" s="1056">
        <v>405788495</v>
      </c>
      <c r="J841" s="1056">
        <v>404139294</v>
      </c>
      <c r="K841" s="1056">
        <v>405788495</v>
      </c>
      <c r="L841" s="1056">
        <v>404139294</v>
      </c>
      <c r="M841" s="1056">
        <v>404396736</v>
      </c>
      <c r="N841" s="1056">
        <v>404396736</v>
      </c>
    </row>
    <row r="842" spans="1:14">
      <c r="A842" s="1049" t="s">
        <v>934</v>
      </c>
      <c r="B842" s="1031" t="s">
        <v>0</v>
      </c>
      <c r="C842" s="1056">
        <v>3345848208</v>
      </c>
      <c r="D842" s="1056">
        <v>3316429935</v>
      </c>
      <c r="E842" s="1056">
        <v>3345848208</v>
      </c>
      <c r="F842" s="1056">
        <v>3316429935</v>
      </c>
      <c r="G842" s="1056">
        <v>3322986550</v>
      </c>
      <c r="H842" s="1056">
        <v>3322986550</v>
      </c>
      <c r="I842" s="1056">
        <v>3402745638</v>
      </c>
      <c r="J842" s="1056">
        <v>3373327365</v>
      </c>
      <c r="K842" s="1056">
        <v>3402745638</v>
      </c>
      <c r="L842" s="1056">
        <v>3373327365</v>
      </c>
      <c r="M842" s="1056">
        <v>3379883980</v>
      </c>
      <c r="N842" s="1056">
        <v>3379883980</v>
      </c>
    </row>
    <row r="843" spans="1:14">
      <c r="A843" s="1049" t="s">
        <v>936</v>
      </c>
      <c r="B843" s="1031" t="s">
        <v>1</v>
      </c>
      <c r="C843" s="1056">
        <v>257031217</v>
      </c>
      <c r="D843" s="1056">
        <v>255428029</v>
      </c>
      <c r="E843" s="1056">
        <v>257031217</v>
      </c>
      <c r="F843" s="1056">
        <v>255428029</v>
      </c>
      <c r="G843" s="1056">
        <v>255642588</v>
      </c>
      <c r="H843" s="1056">
        <v>255642588</v>
      </c>
      <c r="I843" s="1056">
        <v>257031217</v>
      </c>
      <c r="J843" s="1056">
        <v>255428029</v>
      </c>
      <c r="K843" s="1056">
        <v>257031217</v>
      </c>
      <c r="L843" s="1056">
        <v>255428029</v>
      </c>
      <c r="M843" s="1056">
        <v>255642588</v>
      </c>
      <c r="N843" s="1056">
        <v>255642588</v>
      </c>
    </row>
    <row r="844" spans="1:14">
      <c r="A844" s="1049" t="s">
        <v>5145</v>
      </c>
      <c r="B844" s="1031" t="s">
        <v>2</v>
      </c>
      <c r="C844" s="1056">
        <v>315366121</v>
      </c>
      <c r="D844" s="1056">
        <v>309217808</v>
      </c>
      <c r="E844" s="1056">
        <v>315366121</v>
      </c>
      <c r="F844" s="1056">
        <v>309217808</v>
      </c>
      <c r="G844" s="1056">
        <v>309217808</v>
      </c>
      <c r="H844" s="1056">
        <v>309217808</v>
      </c>
      <c r="I844" s="1056">
        <v>443915071</v>
      </c>
      <c r="J844" s="1056">
        <v>437766758</v>
      </c>
      <c r="K844" s="1056">
        <v>443915071</v>
      </c>
      <c r="L844" s="1056">
        <v>437766758</v>
      </c>
      <c r="M844" s="1056">
        <v>437766758</v>
      </c>
      <c r="N844" s="1056">
        <v>437766758</v>
      </c>
    </row>
    <row r="845" spans="1:14">
      <c r="A845" s="1049" t="s">
        <v>2950</v>
      </c>
      <c r="B845" s="1031" t="s">
        <v>3</v>
      </c>
      <c r="C845" s="1056">
        <v>79333915</v>
      </c>
      <c r="D845" s="1056">
        <v>78380815</v>
      </c>
      <c r="E845" s="1056">
        <v>79333915</v>
      </c>
      <c r="F845" s="1056">
        <v>78380815</v>
      </c>
      <c r="G845" s="1056">
        <v>78387065</v>
      </c>
      <c r="H845" s="1056">
        <v>78387065</v>
      </c>
      <c r="I845" s="1056">
        <v>79333915</v>
      </c>
      <c r="J845" s="1056">
        <v>78380815</v>
      </c>
      <c r="K845" s="1056">
        <v>79333915</v>
      </c>
      <c r="L845" s="1056">
        <v>78380815</v>
      </c>
      <c r="M845" s="1056">
        <v>78387065</v>
      </c>
      <c r="N845" s="1056">
        <v>78387065</v>
      </c>
    </row>
    <row r="846" spans="1:14">
      <c r="A846" s="1049" t="s">
        <v>2952</v>
      </c>
      <c r="B846" s="1031" t="s">
        <v>4</v>
      </c>
      <c r="C846" s="1056">
        <v>620444671</v>
      </c>
      <c r="D846" s="1056">
        <v>602466814</v>
      </c>
      <c r="E846" s="1056">
        <v>604165074</v>
      </c>
      <c r="F846" s="1056">
        <v>586187217</v>
      </c>
      <c r="G846" s="1056">
        <v>604276980</v>
      </c>
      <c r="H846" s="1056">
        <v>587997383</v>
      </c>
      <c r="I846" s="1056">
        <v>620444671</v>
      </c>
      <c r="J846" s="1056">
        <v>602466814</v>
      </c>
      <c r="K846" s="1056">
        <v>604165074</v>
      </c>
      <c r="L846" s="1056">
        <v>586187217</v>
      </c>
      <c r="M846" s="1056">
        <v>604276980</v>
      </c>
      <c r="N846" s="1056">
        <v>587997383</v>
      </c>
    </row>
    <row r="847" spans="1:14">
      <c r="A847" s="1049" t="s">
        <v>2526</v>
      </c>
      <c r="B847" s="1031" t="s">
        <v>5</v>
      </c>
      <c r="C847" s="1056">
        <v>195679869</v>
      </c>
      <c r="D847" s="1056">
        <v>188821665</v>
      </c>
      <c r="E847" s="1056">
        <v>189742601</v>
      </c>
      <c r="F847" s="1056">
        <v>182884397</v>
      </c>
      <c r="G847" s="1056">
        <v>189289202</v>
      </c>
      <c r="H847" s="1056">
        <v>183351934</v>
      </c>
      <c r="I847" s="1056">
        <v>195679869</v>
      </c>
      <c r="J847" s="1056">
        <v>188821665</v>
      </c>
      <c r="K847" s="1056">
        <v>189742601</v>
      </c>
      <c r="L847" s="1056">
        <v>182884397</v>
      </c>
      <c r="M847" s="1056">
        <v>189289202</v>
      </c>
      <c r="N847" s="1056">
        <v>183351934</v>
      </c>
    </row>
    <row r="848" spans="1:14">
      <c r="A848" s="1049" t="s">
        <v>3885</v>
      </c>
      <c r="B848" s="1031" t="s">
        <v>1465</v>
      </c>
      <c r="C848" s="1056">
        <v>257300477</v>
      </c>
      <c r="D848" s="1056">
        <v>251113412</v>
      </c>
      <c r="E848" s="1056">
        <v>257300477</v>
      </c>
      <c r="F848" s="1056">
        <v>251113412</v>
      </c>
      <c r="G848" s="1056">
        <v>251508727</v>
      </c>
      <c r="H848" s="1056">
        <v>251508727</v>
      </c>
      <c r="I848" s="1056">
        <v>257300477</v>
      </c>
      <c r="J848" s="1056">
        <v>251113412</v>
      </c>
      <c r="K848" s="1056">
        <v>257300477</v>
      </c>
      <c r="L848" s="1056">
        <v>251113412</v>
      </c>
      <c r="M848" s="1056">
        <v>251508727</v>
      </c>
      <c r="N848" s="1056">
        <v>251508727</v>
      </c>
    </row>
    <row r="849" spans="1:14">
      <c r="A849" s="1049" t="s">
        <v>2528</v>
      </c>
      <c r="B849" s="1031" t="s">
        <v>6</v>
      </c>
      <c r="C849" s="1056">
        <v>104681062</v>
      </c>
      <c r="D849" s="1056">
        <v>101311271</v>
      </c>
      <c r="E849" s="1056">
        <v>104681062</v>
      </c>
      <c r="F849" s="1056">
        <v>101311271</v>
      </c>
      <c r="G849" s="1056">
        <v>101378634</v>
      </c>
      <c r="H849" s="1056">
        <v>101378634</v>
      </c>
      <c r="I849" s="1056">
        <v>104681062</v>
      </c>
      <c r="J849" s="1056">
        <v>101311271</v>
      </c>
      <c r="K849" s="1056">
        <v>104681062</v>
      </c>
      <c r="L849" s="1056">
        <v>101311271</v>
      </c>
      <c r="M849" s="1056">
        <v>101378634</v>
      </c>
      <c r="N849" s="1056">
        <v>101378634</v>
      </c>
    </row>
    <row r="850" spans="1:14">
      <c r="A850" s="1049" t="s">
        <v>2530</v>
      </c>
      <c r="B850" s="1031" t="s">
        <v>7</v>
      </c>
      <c r="C850" s="1056">
        <v>140066525</v>
      </c>
      <c r="D850" s="1056">
        <v>133830129</v>
      </c>
      <c r="E850" s="1056">
        <v>134710629</v>
      </c>
      <c r="F850" s="1056">
        <v>128474233</v>
      </c>
      <c r="G850" s="1056">
        <v>133933206</v>
      </c>
      <c r="H850" s="1056">
        <v>128577310</v>
      </c>
      <c r="I850" s="1056">
        <v>140066525</v>
      </c>
      <c r="J850" s="1056">
        <v>133830129</v>
      </c>
      <c r="K850" s="1056">
        <v>134710629</v>
      </c>
      <c r="L850" s="1056">
        <v>128474233</v>
      </c>
      <c r="M850" s="1056">
        <v>133933206</v>
      </c>
      <c r="N850" s="1056">
        <v>128577310</v>
      </c>
    </row>
    <row r="851" spans="1:14">
      <c r="A851" s="1049" t="s">
        <v>2532</v>
      </c>
      <c r="B851" s="1031" t="s">
        <v>8</v>
      </c>
      <c r="C851" s="1056">
        <v>53969464</v>
      </c>
      <c r="D851" s="1056">
        <v>52925859</v>
      </c>
      <c r="E851" s="1056">
        <v>53183304</v>
      </c>
      <c r="F851" s="1056">
        <v>52139699</v>
      </c>
      <c r="G851" s="1056">
        <v>53069962</v>
      </c>
      <c r="H851" s="1056">
        <v>52283802</v>
      </c>
      <c r="I851" s="1056">
        <v>53969464</v>
      </c>
      <c r="J851" s="1056">
        <v>52925859</v>
      </c>
      <c r="K851" s="1056">
        <v>53183304</v>
      </c>
      <c r="L851" s="1056">
        <v>52139699</v>
      </c>
      <c r="M851" s="1056">
        <v>53069962</v>
      </c>
      <c r="N851" s="1056">
        <v>52283802</v>
      </c>
    </row>
    <row r="852" spans="1:14">
      <c r="A852" s="1049" t="s">
        <v>2316</v>
      </c>
      <c r="B852" s="1031" t="s">
        <v>9</v>
      </c>
      <c r="C852" s="1056">
        <v>128345523</v>
      </c>
      <c r="D852" s="1056">
        <v>127397983</v>
      </c>
      <c r="E852" s="1056">
        <v>128345523</v>
      </c>
      <c r="F852" s="1056">
        <v>127397983</v>
      </c>
      <c r="G852" s="1056">
        <v>127397983</v>
      </c>
      <c r="H852" s="1056">
        <v>127397983</v>
      </c>
      <c r="I852" s="1056">
        <v>128345523</v>
      </c>
      <c r="J852" s="1056">
        <v>127397983</v>
      </c>
      <c r="K852" s="1056">
        <v>128345523</v>
      </c>
      <c r="L852" s="1056">
        <v>127397983</v>
      </c>
      <c r="M852" s="1056">
        <v>127397983</v>
      </c>
      <c r="N852" s="1056">
        <v>127397983</v>
      </c>
    </row>
    <row r="853" spans="1:14">
      <c r="A853" s="1049" t="s">
        <v>5105</v>
      </c>
      <c r="B853" s="1031" t="s">
        <v>10</v>
      </c>
      <c r="C853" s="1056">
        <v>476481812</v>
      </c>
      <c r="D853" s="1056">
        <v>471749289</v>
      </c>
      <c r="E853" s="1056">
        <v>476481812</v>
      </c>
      <c r="F853" s="1056">
        <v>471749289</v>
      </c>
      <c r="G853" s="1056">
        <v>471767418</v>
      </c>
      <c r="H853" s="1056">
        <v>471767418</v>
      </c>
      <c r="I853" s="1056">
        <v>476481812</v>
      </c>
      <c r="J853" s="1056">
        <v>471749289</v>
      </c>
      <c r="K853" s="1056">
        <v>476481812</v>
      </c>
      <c r="L853" s="1056">
        <v>471749289</v>
      </c>
      <c r="M853" s="1056">
        <v>471767418</v>
      </c>
      <c r="N853" s="1056">
        <v>471767418</v>
      </c>
    </row>
    <row r="854" spans="1:14">
      <c r="A854" s="1049" t="s">
        <v>5036</v>
      </c>
      <c r="B854" s="1031" t="s">
        <v>7689</v>
      </c>
      <c r="C854" s="1056">
        <v>335427649</v>
      </c>
      <c r="D854" s="1056">
        <v>321791222</v>
      </c>
      <c r="E854" s="1056">
        <v>315061898</v>
      </c>
      <c r="F854" s="1056">
        <v>301425471</v>
      </c>
      <c r="G854" s="1056">
        <v>325600198</v>
      </c>
      <c r="H854" s="1056">
        <v>305234447</v>
      </c>
      <c r="I854" s="1056">
        <v>335427649</v>
      </c>
      <c r="J854" s="1056">
        <v>321791222</v>
      </c>
      <c r="K854" s="1056">
        <v>315061898</v>
      </c>
      <c r="L854" s="1056">
        <v>301425471</v>
      </c>
      <c r="M854" s="1056">
        <v>325600198</v>
      </c>
      <c r="N854" s="1056">
        <v>305234447</v>
      </c>
    </row>
    <row r="855" spans="1:14">
      <c r="A855" s="1049" t="s">
        <v>2430</v>
      </c>
      <c r="B855" s="1031" t="s">
        <v>11</v>
      </c>
      <c r="C855" s="1056">
        <v>852795871</v>
      </c>
      <c r="D855" s="1056">
        <v>823014148</v>
      </c>
      <c r="E855" s="1056">
        <v>852795871</v>
      </c>
      <c r="F855" s="1056">
        <v>823014148</v>
      </c>
      <c r="G855" s="1056">
        <v>826249318</v>
      </c>
      <c r="H855" s="1056">
        <v>826249318</v>
      </c>
      <c r="I855" s="1056">
        <v>852795871</v>
      </c>
      <c r="J855" s="1056">
        <v>823014148</v>
      </c>
      <c r="K855" s="1056">
        <v>852795871</v>
      </c>
      <c r="L855" s="1056">
        <v>823014148</v>
      </c>
      <c r="M855" s="1056">
        <v>826249318</v>
      </c>
      <c r="N855" s="1056">
        <v>826249318</v>
      </c>
    </row>
    <row r="856" spans="1:14">
      <c r="A856" s="1049" t="s">
        <v>2432</v>
      </c>
      <c r="B856" s="1031" t="s">
        <v>12</v>
      </c>
      <c r="C856" s="1056">
        <v>1208636929</v>
      </c>
      <c r="D856" s="1056">
        <v>1158474396</v>
      </c>
      <c r="E856" s="1056">
        <v>1208636929</v>
      </c>
      <c r="F856" s="1056">
        <v>1158474396</v>
      </c>
      <c r="G856" s="1056">
        <v>1180846173</v>
      </c>
      <c r="H856" s="1056">
        <v>1180846173</v>
      </c>
      <c r="I856" s="1056">
        <v>1208636929</v>
      </c>
      <c r="J856" s="1056">
        <v>1158474396</v>
      </c>
      <c r="K856" s="1056">
        <v>1208636929</v>
      </c>
      <c r="L856" s="1056">
        <v>1158474396</v>
      </c>
      <c r="M856" s="1056">
        <v>1180846173</v>
      </c>
      <c r="N856" s="1056">
        <v>1180846173</v>
      </c>
    </row>
    <row r="857" spans="1:14">
      <c r="A857" s="1049" t="s">
        <v>5339</v>
      </c>
      <c r="B857" s="1031" t="s">
        <v>13</v>
      </c>
      <c r="C857" s="1056">
        <v>293976023</v>
      </c>
      <c r="D857" s="1056">
        <v>283099906</v>
      </c>
      <c r="E857" s="1056">
        <v>293976023</v>
      </c>
      <c r="F857" s="1056">
        <v>283099906</v>
      </c>
      <c r="G857" s="1056">
        <v>283678081</v>
      </c>
      <c r="H857" s="1056">
        <v>283678081</v>
      </c>
      <c r="I857" s="1056">
        <v>293976023</v>
      </c>
      <c r="J857" s="1056">
        <v>283099906</v>
      </c>
      <c r="K857" s="1056">
        <v>293976023</v>
      </c>
      <c r="L857" s="1056">
        <v>283099906</v>
      </c>
      <c r="M857" s="1056">
        <v>283678081</v>
      </c>
      <c r="N857" s="1056">
        <v>283678081</v>
      </c>
    </row>
    <row r="858" spans="1:14">
      <c r="A858" s="1049" t="s">
        <v>5341</v>
      </c>
      <c r="B858" s="1031" t="s">
        <v>14</v>
      </c>
      <c r="C858" s="1056">
        <v>7754430527</v>
      </c>
      <c r="D858" s="1056">
        <v>7526764967</v>
      </c>
      <c r="E858" s="1056">
        <v>7754430527</v>
      </c>
      <c r="F858" s="1056">
        <v>7526764967</v>
      </c>
      <c r="G858" s="1056">
        <v>7601645331</v>
      </c>
      <c r="H858" s="1056">
        <v>7601645331</v>
      </c>
      <c r="I858" s="1056">
        <v>7754430527</v>
      </c>
      <c r="J858" s="1056">
        <v>7526764967</v>
      </c>
      <c r="K858" s="1056">
        <v>7754430527</v>
      </c>
      <c r="L858" s="1056">
        <v>7526764967</v>
      </c>
      <c r="M858" s="1056">
        <v>7601645331</v>
      </c>
      <c r="N858" s="1056">
        <v>7601645331</v>
      </c>
    </row>
    <row r="859" spans="1:14">
      <c r="A859" s="1049" t="s">
        <v>858</v>
      </c>
      <c r="B859" s="1031" t="s">
        <v>4070</v>
      </c>
      <c r="C859" s="1056">
        <v>1728989980</v>
      </c>
      <c r="D859" s="1056">
        <v>1671410074</v>
      </c>
      <c r="E859" s="1056">
        <v>1728989980</v>
      </c>
      <c r="F859" s="1056">
        <v>1671410074</v>
      </c>
      <c r="G859" s="1056">
        <v>1690756679</v>
      </c>
      <c r="H859" s="1056">
        <v>1690756679</v>
      </c>
      <c r="I859" s="1056">
        <v>1728989980</v>
      </c>
      <c r="J859" s="1056">
        <v>1671410074</v>
      </c>
      <c r="K859" s="1056">
        <v>1728989980</v>
      </c>
      <c r="L859" s="1056">
        <v>1671410074</v>
      </c>
      <c r="M859" s="1056">
        <v>1690756679</v>
      </c>
      <c r="N859" s="1056">
        <v>1690756679</v>
      </c>
    </row>
    <row r="860" spans="1:14">
      <c r="A860" s="1049" t="s">
        <v>5343</v>
      </c>
      <c r="B860" s="1031" t="s">
        <v>6106</v>
      </c>
      <c r="C860" s="1056">
        <v>1141190277</v>
      </c>
      <c r="D860" s="1056">
        <v>1100900506</v>
      </c>
      <c r="E860" s="1056">
        <v>1141190277</v>
      </c>
      <c r="F860" s="1056">
        <v>1100900506</v>
      </c>
      <c r="G860" s="1056">
        <v>1116297534</v>
      </c>
      <c r="H860" s="1056">
        <v>1116297534</v>
      </c>
      <c r="I860" s="1056">
        <v>1141190277</v>
      </c>
      <c r="J860" s="1056">
        <v>1100900506</v>
      </c>
      <c r="K860" s="1056">
        <v>1141190277</v>
      </c>
      <c r="L860" s="1056">
        <v>1100900506</v>
      </c>
      <c r="M860" s="1056">
        <v>1116297534</v>
      </c>
      <c r="N860" s="1056">
        <v>1116297534</v>
      </c>
    </row>
    <row r="861" spans="1:14">
      <c r="A861" s="1049" t="s">
        <v>5344</v>
      </c>
      <c r="B861" s="1031" t="s">
        <v>15</v>
      </c>
      <c r="C861" s="1056">
        <v>415136993</v>
      </c>
      <c r="D861" s="1056">
        <v>402203687</v>
      </c>
      <c r="E861" s="1056">
        <v>415136993</v>
      </c>
      <c r="F861" s="1056">
        <v>402203687</v>
      </c>
      <c r="G861" s="1056">
        <v>405011704</v>
      </c>
      <c r="H861" s="1056">
        <v>405011704</v>
      </c>
      <c r="I861" s="1056">
        <v>415136993</v>
      </c>
      <c r="J861" s="1056">
        <v>402203687</v>
      </c>
      <c r="K861" s="1056">
        <v>415136993</v>
      </c>
      <c r="L861" s="1056">
        <v>402203687</v>
      </c>
      <c r="M861" s="1056">
        <v>405011704</v>
      </c>
      <c r="N861" s="1056">
        <v>405011704</v>
      </c>
    </row>
    <row r="862" spans="1:14">
      <c r="A862" s="1049" t="s">
        <v>5346</v>
      </c>
      <c r="B862" s="1031" t="s">
        <v>16</v>
      </c>
      <c r="C862" s="1056">
        <v>2720186010</v>
      </c>
      <c r="D862" s="1056">
        <v>2700848349</v>
      </c>
      <c r="E862" s="1056">
        <v>2688662669</v>
      </c>
      <c r="F862" s="1056">
        <v>2669325008</v>
      </c>
      <c r="G862" s="1056">
        <v>2704296000</v>
      </c>
      <c r="H862" s="1056">
        <v>2672772659</v>
      </c>
      <c r="I862" s="1056">
        <v>2720186010</v>
      </c>
      <c r="J862" s="1056">
        <v>2700848349</v>
      </c>
      <c r="K862" s="1056">
        <v>2688662669</v>
      </c>
      <c r="L862" s="1056">
        <v>2669325008</v>
      </c>
      <c r="M862" s="1056">
        <v>2704296000</v>
      </c>
      <c r="N862" s="1056">
        <v>2672772659</v>
      </c>
    </row>
    <row r="863" spans="1:14">
      <c r="A863" s="1049" t="s">
        <v>2770</v>
      </c>
      <c r="B863" s="1031" t="s">
        <v>360</v>
      </c>
      <c r="C863" s="1056">
        <v>1227593852</v>
      </c>
      <c r="D863" s="1056">
        <v>1180205702</v>
      </c>
      <c r="E863" s="1056">
        <v>1227593852</v>
      </c>
      <c r="F863" s="1056">
        <v>1180205702</v>
      </c>
      <c r="G863" s="1056">
        <v>1180891164</v>
      </c>
      <c r="H863" s="1056">
        <v>1180891164</v>
      </c>
      <c r="I863" s="1056">
        <v>1227593852</v>
      </c>
      <c r="J863" s="1056">
        <v>1180205702</v>
      </c>
      <c r="K863" s="1056">
        <v>1227593852</v>
      </c>
      <c r="L863" s="1056">
        <v>1180205702</v>
      </c>
      <c r="M863" s="1056">
        <v>1180891164</v>
      </c>
      <c r="N863" s="1056">
        <v>1180891164</v>
      </c>
    </row>
    <row r="864" spans="1:14">
      <c r="A864" s="1049" t="s">
        <v>5348</v>
      </c>
      <c r="B864" s="1031" t="s">
        <v>1718</v>
      </c>
      <c r="C864" s="1056">
        <v>183997471</v>
      </c>
      <c r="D864" s="1056">
        <v>183273741</v>
      </c>
      <c r="E864" s="1056">
        <v>183997471</v>
      </c>
      <c r="F864" s="1056">
        <v>183273741</v>
      </c>
      <c r="G864" s="1056">
        <v>183399773</v>
      </c>
      <c r="H864" s="1056">
        <v>183399773</v>
      </c>
      <c r="I864" s="1056">
        <v>183997471</v>
      </c>
      <c r="J864" s="1056">
        <v>183273741</v>
      </c>
      <c r="K864" s="1056">
        <v>183997471</v>
      </c>
      <c r="L864" s="1056">
        <v>183273741</v>
      </c>
      <c r="M864" s="1056">
        <v>183399773</v>
      </c>
      <c r="N864" s="1056">
        <v>183399773</v>
      </c>
    </row>
    <row r="865" spans="1:14">
      <c r="A865" s="1049" t="s">
        <v>3886</v>
      </c>
      <c r="B865" s="1031" t="s">
        <v>368</v>
      </c>
      <c r="C865" s="1056">
        <v>549556803</v>
      </c>
      <c r="D865" s="1056">
        <v>524094793</v>
      </c>
      <c r="E865" s="1056">
        <v>549556803</v>
      </c>
      <c r="F865" s="1056">
        <v>524094793</v>
      </c>
      <c r="G865" s="1056">
        <v>524613678</v>
      </c>
      <c r="H865" s="1056">
        <v>524613678</v>
      </c>
      <c r="I865" s="1056">
        <v>549556803</v>
      </c>
      <c r="J865" s="1056">
        <v>524094793</v>
      </c>
      <c r="K865" s="1056">
        <v>549556803</v>
      </c>
      <c r="L865" s="1056">
        <v>524094793</v>
      </c>
      <c r="M865" s="1056">
        <v>524613678</v>
      </c>
      <c r="N865" s="1056">
        <v>524613678</v>
      </c>
    </row>
    <row r="866" spans="1:14">
      <c r="A866" s="1049" t="s">
        <v>5350</v>
      </c>
      <c r="B866" s="1031" t="s">
        <v>1719</v>
      </c>
      <c r="C866" s="1056">
        <v>722574767</v>
      </c>
      <c r="D866" s="1056">
        <v>703056667</v>
      </c>
      <c r="E866" s="1056">
        <v>722574767</v>
      </c>
      <c r="F866" s="1056">
        <v>703056667</v>
      </c>
      <c r="G866" s="1056">
        <v>705895571</v>
      </c>
      <c r="H866" s="1056">
        <v>705895571</v>
      </c>
      <c r="I866" s="1056">
        <v>722574767</v>
      </c>
      <c r="J866" s="1056">
        <v>703056667</v>
      </c>
      <c r="K866" s="1056">
        <v>722574767</v>
      </c>
      <c r="L866" s="1056">
        <v>703056667</v>
      </c>
      <c r="M866" s="1056">
        <v>705895571</v>
      </c>
      <c r="N866" s="1056">
        <v>705895571</v>
      </c>
    </row>
    <row r="867" spans="1:14">
      <c r="A867" s="1049" t="s">
        <v>3139</v>
      </c>
      <c r="B867" s="1031" t="s">
        <v>1720</v>
      </c>
      <c r="C867" s="1056">
        <v>523846505</v>
      </c>
      <c r="D867" s="1056">
        <v>521612185</v>
      </c>
      <c r="E867" s="1056">
        <v>523846505</v>
      </c>
      <c r="F867" s="1056">
        <v>521612185</v>
      </c>
      <c r="G867" s="1056">
        <v>521831737</v>
      </c>
      <c r="H867" s="1056">
        <v>521831737</v>
      </c>
      <c r="I867" s="1056">
        <v>1201824585</v>
      </c>
      <c r="J867" s="1056">
        <v>1199590265</v>
      </c>
      <c r="K867" s="1056">
        <v>1201824585</v>
      </c>
      <c r="L867" s="1056">
        <v>1199590265</v>
      </c>
      <c r="M867" s="1056">
        <v>1199809817</v>
      </c>
      <c r="N867" s="1056">
        <v>1199809817</v>
      </c>
    </row>
    <row r="868" spans="1:14">
      <c r="A868" s="1049" t="s">
        <v>1530</v>
      </c>
      <c r="B868" s="1031" t="s">
        <v>1721</v>
      </c>
      <c r="C868" s="1056">
        <v>334809059</v>
      </c>
      <c r="D868" s="1056">
        <v>332301299</v>
      </c>
      <c r="E868" s="1056">
        <v>334809059</v>
      </c>
      <c r="F868" s="1056">
        <v>332301299</v>
      </c>
      <c r="G868" s="1056">
        <v>332301299</v>
      </c>
      <c r="H868" s="1056">
        <v>332301299</v>
      </c>
      <c r="I868" s="1056">
        <v>334809059</v>
      </c>
      <c r="J868" s="1056">
        <v>332301299</v>
      </c>
      <c r="K868" s="1056">
        <v>334809059</v>
      </c>
      <c r="L868" s="1056">
        <v>332301299</v>
      </c>
      <c r="M868" s="1056">
        <v>332301299</v>
      </c>
      <c r="N868" s="1056">
        <v>332301299</v>
      </c>
    </row>
    <row r="869" spans="1:14">
      <c r="A869" s="1049" t="s">
        <v>1532</v>
      </c>
      <c r="B869" s="1031" t="s">
        <v>1722</v>
      </c>
      <c r="C869" s="1056">
        <v>623048758</v>
      </c>
      <c r="D869" s="1056">
        <v>614678788</v>
      </c>
      <c r="E869" s="1056">
        <v>614039575</v>
      </c>
      <c r="F869" s="1056">
        <v>605669605</v>
      </c>
      <c r="G869" s="1056">
        <v>615936586</v>
      </c>
      <c r="H869" s="1056">
        <v>606927403</v>
      </c>
      <c r="I869" s="1056">
        <v>623048758</v>
      </c>
      <c r="J869" s="1056">
        <v>614678788</v>
      </c>
      <c r="K869" s="1056">
        <v>614039575</v>
      </c>
      <c r="L869" s="1056">
        <v>605669605</v>
      </c>
      <c r="M869" s="1056">
        <v>615936586</v>
      </c>
      <c r="N869" s="1056">
        <v>606927403</v>
      </c>
    </row>
    <row r="870" spans="1:14">
      <c r="A870" s="1049" t="s">
        <v>624</v>
      </c>
      <c r="B870" s="1031" t="s">
        <v>1723</v>
      </c>
      <c r="C870" s="1056">
        <v>73625966</v>
      </c>
      <c r="D870" s="1056">
        <v>71941509</v>
      </c>
      <c r="E870" s="1056">
        <v>73625966</v>
      </c>
      <c r="F870" s="1056">
        <v>71941509</v>
      </c>
      <c r="G870" s="1056">
        <v>72274875</v>
      </c>
      <c r="H870" s="1056">
        <v>72274875</v>
      </c>
      <c r="I870" s="1056">
        <v>73625966</v>
      </c>
      <c r="J870" s="1056">
        <v>71941509</v>
      </c>
      <c r="K870" s="1056">
        <v>73625966</v>
      </c>
      <c r="L870" s="1056">
        <v>71941509</v>
      </c>
      <c r="M870" s="1056">
        <v>72274875</v>
      </c>
      <c r="N870" s="1056">
        <v>72274875</v>
      </c>
    </row>
    <row r="871" spans="1:14">
      <c r="A871" s="1049" t="s">
        <v>626</v>
      </c>
      <c r="B871" s="1031" t="s">
        <v>1724</v>
      </c>
      <c r="C871" s="1056">
        <v>153677342</v>
      </c>
      <c r="D871" s="1056">
        <v>145611783</v>
      </c>
      <c r="E871" s="1056">
        <v>153677342</v>
      </c>
      <c r="F871" s="1056">
        <v>145611783</v>
      </c>
      <c r="G871" s="1056">
        <v>146591524</v>
      </c>
      <c r="H871" s="1056">
        <v>146591524</v>
      </c>
      <c r="I871" s="1056">
        <v>153677342</v>
      </c>
      <c r="J871" s="1056">
        <v>145611783</v>
      </c>
      <c r="K871" s="1056">
        <v>153677342</v>
      </c>
      <c r="L871" s="1056">
        <v>145611783</v>
      </c>
      <c r="M871" s="1056">
        <v>146591524</v>
      </c>
      <c r="N871" s="1056">
        <v>146591524</v>
      </c>
    </row>
    <row r="872" spans="1:14">
      <c r="A872" s="1049" t="s">
        <v>628</v>
      </c>
      <c r="B872" s="1031" t="s">
        <v>1725</v>
      </c>
      <c r="C872" s="1056">
        <v>97577346</v>
      </c>
      <c r="D872" s="1056">
        <v>95776311</v>
      </c>
      <c r="E872" s="1056">
        <v>97577346</v>
      </c>
      <c r="F872" s="1056">
        <v>95776311</v>
      </c>
      <c r="G872" s="1056">
        <v>96015884</v>
      </c>
      <c r="H872" s="1056">
        <v>96015884</v>
      </c>
      <c r="I872" s="1056">
        <v>97577346</v>
      </c>
      <c r="J872" s="1056">
        <v>95776311</v>
      </c>
      <c r="K872" s="1056">
        <v>97577346</v>
      </c>
      <c r="L872" s="1056">
        <v>95776311</v>
      </c>
      <c r="M872" s="1056">
        <v>96015884</v>
      </c>
      <c r="N872" s="1056">
        <v>96015884</v>
      </c>
    </row>
    <row r="873" spans="1:14">
      <c r="A873" s="1049" t="s">
        <v>269</v>
      </c>
      <c r="B873" s="1031" t="s">
        <v>7688</v>
      </c>
      <c r="C873" s="1056">
        <v>21034277527</v>
      </c>
      <c r="D873" s="1056">
        <v>20467794920</v>
      </c>
      <c r="E873" s="1056">
        <v>21034277527</v>
      </c>
      <c r="F873" s="1056">
        <v>20467794920</v>
      </c>
      <c r="G873" s="1056">
        <v>20467794920</v>
      </c>
      <c r="H873" s="1056">
        <v>20467794920</v>
      </c>
      <c r="I873" s="1056">
        <v>21034277527</v>
      </c>
      <c r="J873" s="1056">
        <v>20467794920</v>
      </c>
      <c r="K873" s="1056">
        <v>21034277527</v>
      </c>
      <c r="L873" s="1056">
        <v>20467794920</v>
      </c>
      <c r="M873" s="1056">
        <v>20467794920</v>
      </c>
      <c r="N873" s="1056">
        <v>20467794920</v>
      </c>
    </row>
    <row r="874" spans="1:14">
      <c r="A874" s="1049" t="s">
        <v>951</v>
      </c>
      <c r="B874" s="1031" t="s">
        <v>7656</v>
      </c>
      <c r="C874" s="1056">
        <v>7579782469</v>
      </c>
      <c r="D874" s="1056">
        <v>7312923551</v>
      </c>
      <c r="E874" s="1056">
        <v>7579782469</v>
      </c>
      <c r="F874" s="1056">
        <v>7312923551</v>
      </c>
      <c r="G874" s="1056">
        <v>7347431286</v>
      </c>
      <c r="H874" s="1056">
        <v>7347431286</v>
      </c>
      <c r="I874" s="1056">
        <v>7579782469</v>
      </c>
      <c r="J874" s="1056">
        <v>7312923551</v>
      </c>
      <c r="K874" s="1056">
        <v>7579782469</v>
      </c>
      <c r="L874" s="1056">
        <v>7312923551</v>
      </c>
      <c r="M874" s="1056">
        <v>7347431286</v>
      </c>
      <c r="N874" s="1056">
        <v>7347431286</v>
      </c>
    </row>
    <row r="875" spans="1:14">
      <c r="A875" s="1049" t="s">
        <v>409</v>
      </c>
      <c r="B875" s="1031" t="s">
        <v>1726</v>
      </c>
      <c r="C875" s="1056">
        <v>1086152429</v>
      </c>
      <c r="D875" s="1056">
        <v>1047598994</v>
      </c>
      <c r="E875" s="1056">
        <v>1086152429</v>
      </c>
      <c r="F875" s="1056">
        <v>1047598994</v>
      </c>
      <c r="G875" s="1056">
        <v>1051424093</v>
      </c>
      <c r="H875" s="1056">
        <v>1051424093</v>
      </c>
      <c r="I875" s="1056">
        <v>1086152429</v>
      </c>
      <c r="J875" s="1056">
        <v>1047598994</v>
      </c>
      <c r="K875" s="1056">
        <v>1086152429</v>
      </c>
      <c r="L875" s="1056">
        <v>1047598994</v>
      </c>
      <c r="M875" s="1056">
        <v>1051424093</v>
      </c>
      <c r="N875" s="1056">
        <v>1051424093</v>
      </c>
    </row>
    <row r="876" spans="1:14">
      <c r="A876" s="1049" t="s">
        <v>3996</v>
      </c>
      <c r="B876" s="1031" t="s">
        <v>1727</v>
      </c>
      <c r="C876" s="1056">
        <v>27800660494</v>
      </c>
      <c r="D876" s="1056">
        <v>27052737400</v>
      </c>
      <c r="E876" s="1056">
        <v>27800660494</v>
      </c>
      <c r="F876" s="1056">
        <v>27052737400</v>
      </c>
      <c r="G876" s="1056">
        <v>27052737400</v>
      </c>
      <c r="H876" s="1056">
        <v>27052737400</v>
      </c>
      <c r="I876" s="1056">
        <v>27800660494</v>
      </c>
      <c r="J876" s="1056">
        <v>27052737400</v>
      </c>
      <c r="K876" s="1056">
        <v>27800660494</v>
      </c>
      <c r="L876" s="1056">
        <v>27052737400</v>
      </c>
      <c r="M876" s="1056">
        <v>27052737400</v>
      </c>
      <c r="N876" s="1056">
        <v>27052737400</v>
      </c>
    </row>
    <row r="877" spans="1:14">
      <c r="A877" s="1049" t="s">
        <v>3998</v>
      </c>
      <c r="B877" s="1031" t="s">
        <v>1728</v>
      </c>
      <c r="C877" s="1056">
        <v>10919833310</v>
      </c>
      <c r="D877" s="1056">
        <v>10750855367</v>
      </c>
      <c r="E877" s="1056">
        <v>10919833310</v>
      </c>
      <c r="F877" s="1056">
        <v>10750855367</v>
      </c>
      <c r="G877" s="1056">
        <v>10801054443</v>
      </c>
      <c r="H877" s="1056">
        <v>10801054443</v>
      </c>
      <c r="I877" s="1056">
        <v>10919833310</v>
      </c>
      <c r="J877" s="1056">
        <v>10750855367</v>
      </c>
      <c r="K877" s="1056">
        <v>10919833310</v>
      </c>
      <c r="L877" s="1056">
        <v>10750855367</v>
      </c>
      <c r="M877" s="1056">
        <v>10801054443</v>
      </c>
      <c r="N877" s="1056">
        <v>10801054443</v>
      </c>
    </row>
    <row r="878" spans="1:14">
      <c r="A878" s="1049" t="s">
        <v>6030</v>
      </c>
      <c r="B878" s="1031" t="s">
        <v>1915</v>
      </c>
      <c r="C878" s="1056">
        <v>12694616920</v>
      </c>
      <c r="D878" s="1056">
        <v>12319945447</v>
      </c>
      <c r="E878" s="1056">
        <v>12694616920</v>
      </c>
      <c r="F878" s="1056">
        <v>12319945447</v>
      </c>
      <c r="G878" s="1056">
        <v>12362183239</v>
      </c>
      <c r="H878" s="1056">
        <v>12362183239</v>
      </c>
      <c r="I878" s="1056">
        <v>12694616920</v>
      </c>
      <c r="J878" s="1056">
        <v>12319945447</v>
      </c>
      <c r="K878" s="1056">
        <v>12694616920</v>
      </c>
      <c r="L878" s="1056">
        <v>12319945447</v>
      </c>
      <c r="M878" s="1056">
        <v>12362183239</v>
      </c>
      <c r="N878" s="1056">
        <v>12362183239</v>
      </c>
    </row>
    <row r="879" spans="1:14">
      <c r="A879" s="1049" t="s">
        <v>3002</v>
      </c>
      <c r="B879" s="1031" t="s">
        <v>6062</v>
      </c>
      <c r="C879" s="1056">
        <v>10173044529</v>
      </c>
      <c r="D879" s="1056">
        <v>9847636204</v>
      </c>
      <c r="E879" s="1056">
        <v>10173044529</v>
      </c>
      <c r="F879" s="1056">
        <v>9847636204</v>
      </c>
      <c r="G879" s="1056">
        <v>9881956157</v>
      </c>
      <c r="H879" s="1056">
        <v>9881956157</v>
      </c>
      <c r="I879" s="1056">
        <v>10173044529</v>
      </c>
      <c r="J879" s="1056">
        <v>9847636204</v>
      </c>
      <c r="K879" s="1056">
        <v>10173044529</v>
      </c>
      <c r="L879" s="1056">
        <v>9847636204</v>
      </c>
      <c r="M879" s="1056">
        <v>9881956157</v>
      </c>
      <c r="N879" s="1056">
        <v>9881956157</v>
      </c>
    </row>
    <row r="880" spans="1:14">
      <c r="A880" s="1049" t="s">
        <v>2986</v>
      </c>
      <c r="B880" s="1031" t="s">
        <v>186</v>
      </c>
      <c r="C880" s="1056">
        <v>750597799</v>
      </c>
      <c r="D880" s="1056">
        <v>730596775</v>
      </c>
      <c r="E880" s="1056">
        <v>750597799</v>
      </c>
      <c r="F880" s="1056">
        <v>730596775</v>
      </c>
      <c r="G880" s="1056">
        <v>730930907</v>
      </c>
      <c r="H880" s="1056">
        <v>730930907</v>
      </c>
      <c r="I880" s="1056">
        <v>750597799</v>
      </c>
      <c r="J880" s="1056">
        <v>730596775</v>
      </c>
      <c r="K880" s="1056">
        <v>750597799</v>
      </c>
      <c r="L880" s="1056">
        <v>730596775</v>
      </c>
      <c r="M880" s="1056">
        <v>730930907</v>
      </c>
      <c r="N880" s="1056">
        <v>730930907</v>
      </c>
    </row>
    <row r="881" spans="1:14">
      <c r="A881" s="1049" t="s">
        <v>246</v>
      </c>
      <c r="B881" s="1031" t="s">
        <v>1668</v>
      </c>
      <c r="C881" s="1056">
        <v>5135619030</v>
      </c>
      <c r="D881" s="1056">
        <v>4964793523</v>
      </c>
      <c r="E881" s="1056">
        <v>5008121336</v>
      </c>
      <c r="F881" s="1056">
        <v>4837295829</v>
      </c>
      <c r="G881" s="1056">
        <v>4985942735</v>
      </c>
      <c r="H881" s="1056">
        <v>4858445041</v>
      </c>
      <c r="I881" s="1056">
        <v>5135619030</v>
      </c>
      <c r="J881" s="1056">
        <v>4964793523</v>
      </c>
      <c r="K881" s="1056">
        <v>5008121336</v>
      </c>
      <c r="L881" s="1056">
        <v>4837295829</v>
      </c>
      <c r="M881" s="1056">
        <v>4985942735</v>
      </c>
      <c r="N881" s="1056">
        <v>4858445041</v>
      </c>
    </row>
    <row r="882" spans="1:14">
      <c r="A882" s="1049" t="s">
        <v>6032</v>
      </c>
      <c r="B882" s="1031" t="s">
        <v>1918</v>
      </c>
      <c r="C882" s="1056">
        <v>1065020845</v>
      </c>
      <c r="D882" s="1056">
        <v>1022509679</v>
      </c>
      <c r="E882" s="1056">
        <v>1065020845</v>
      </c>
      <c r="F882" s="1056">
        <v>1022509679</v>
      </c>
      <c r="G882" s="1056">
        <v>1028677036</v>
      </c>
      <c r="H882" s="1056">
        <v>1028677036</v>
      </c>
      <c r="I882" s="1056">
        <v>1065020845</v>
      </c>
      <c r="J882" s="1056">
        <v>1022509679</v>
      </c>
      <c r="K882" s="1056">
        <v>1065020845</v>
      </c>
      <c r="L882" s="1056">
        <v>1022509679</v>
      </c>
      <c r="M882" s="1056">
        <v>1028677036</v>
      </c>
      <c r="N882" s="1056">
        <v>1028677036</v>
      </c>
    </row>
    <row r="883" spans="1:14">
      <c r="A883" s="1049" t="s">
        <v>946</v>
      </c>
      <c r="B883" s="1031" t="s">
        <v>7693</v>
      </c>
      <c r="C883" s="1056">
        <v>2286104345</v>
      </c>
      <c r="D883" s="1056">
        <v>2201182836</v>
      </c>
      <c r="E883" s="1056">
        <v>2286104345</v>
      </c>
      <c r="F883" s="1056">
        <v>2201182836</v>
      </c>
      <c r="G883" s="1056">
        <v>2228034290</v>
      </c>
      <c r="H883" s="1056">
        <v>2228034290</v>
      </c>
      <c r="I883" s="1056">
        <v>2286104345</v>
      </c>
      <c r="J883" s="1056">
        <v>2201182836</v>
      </c>
      <c r="K883" s="1056">
        <v>2286104345</v>
      </c>
      <c r="L883" s="1056">
        <v>2201182836</v>
      </c>
      <c r="M883" s="1056">
        <v>2228034290</v>
      </c>
      <c r="N883" s="1056">
        <v>2228034290</v>
      </c>
    </row>
    <row r="884" spans="1:14">
      <c r="A884" s="1049" t="s">
        <v>1875</v>
      </c>
      <c r="B884" s="1031" t="s">
        <v>3858</v>
      </c>
      <c r="C884" s="1056">
        <v>9499132499</v>
      </c>
      <c r="D884" s="1056">
        <v>9222907533</v>
      </c>
      <c r="E884" s="1056">
        <v>9430375147</v>
      </c>
      <c r="F884" s="1056">
        <v>9154150181</v>
      </c>
      <c r="G884" s="1056">
        <v>9309988260</v>
      </c>
      <c r="H884" s="1056">
        <v>9241230908</v>
      </c>
      <c r="I884" s="1056">
        <v>9499132499</v>
      </c>
      <c r="J884" s="1056">
        <v>9222907533</v>
      </c>
      <c r="K884" s="1056">
        <v>9430375147</v>
      </c>
      <c r="L884" s="1056">
        <v>9154150181</v>
      </c>
      <c r="M884" s="1056">
        <v>9309988260</v>
      </c>
      <c r="N884" s="1056">
        <v>9241230908</v>
      </c>
    </row>
    <row r="885" spans="1:14">
      <c r="A885" s="1049" t="s">
        <v>6682</v>
      </c>
      <c r="B885" s="1031" t="s">
        <v>6103</v>
      </c>
      <c r="C885" s="1056">
        <v>480465543</v>
      </c>
      <c r="D885" s="1056">
        <v>447775596</v>
      </c>
      <c r="E885" s="1056">
        <v>480465543</v>
      </c>
      <c r="F885" s="1056">
        <v>447775596</v>
      </c>
      <c r="G885" s="1056">
        <v>452639138</v>
      </c>
      <c r="H885" s="1056">
        <v>452639138</v>
      </c>
      <c r="I885" s="1056">
        <v>480465543</v>
      </c>
      <c r="J885" s="1056">
        <v>447775596</v>
      </c>
      <c r="K885" s="1056">
        <v>480465543</v>
      </c>
      <c r="L885" s="1056">
        <v>447775596</v>
      </c>
      <c r="M885" s="1056">
        <v>452639138</v>
      </c>
      <c r="N885" s="1056">
        <v>452639138</v>
      </c>
    </row>
    <row r="886" spans="1:14">
      <c r="A886" s="1049" t="s">
        <v>4002</v>
      </c>
      <c r="B886" s="1031" t="s">
        <v>1729</v>
      </c>
      <c r="C886" s="1056">
        <v>6782983164</v>
      </c>
      <c r="D886" s="1056">
        <v>6597383151</v>
      </c>
      <c r="E886" s="1056">
        <v>6782983164</v>
      </c>
      <c r="F886" s="1056">
        <v>6597383151</v>
      </c>
      <c r="G886" s="1056">
        <v>6614698411</v>
      </c>
      <c r="H886" s="1056">
        <v>6614698411</v>
      </c>
      <c r="I886" s="1056">
        <v>6782983164</v>
      </c>
      <c r="J886" s="1056">
        <v>6597383151</v>
      </c>
      <c r="K886" s="1056">
        <v>6782983164</v>
      </c>
      <c r="L886" s="1056">
        <v>6597383151</v>
      </c>
      <c r="M886" s="1056">
        <v>6614698411</v>
      </c>
      <c r="N886" s="1056">
        <v>6614698411</v>
      </c>
    </row>
    <row r="887" spans="1:14">
      <c r="A887" s="1049" t="s">
        <v>6681</v>
      </c>
      <c r="B887" s="1031" t="s">
        <v>6102</v>
      </c>
      <c r="C887" s="1056">
        <v>6049993237</v>
      </c>
      <c r="D887" s="1056">
        <v>5972072267</v>
      </c>
      <c r="E887" s="1056">
        <v>6049993237</v>
      </c>
      <c r="F887" s="1056">
        <v>5972072267</v>
      </c>
      <c r="G887" s="1056">
        <v>5994976053</v>
      </c>
      <c r="H887" s="1056">
        <v>5994976053</v>
      </c>
      <c r="I887" s="1056">
        <v>6049993237</v>
      </c>
      <c r="J887" s="1056">
        <v>5972072267</v>
      </c>
      <c r="K887" s="1056">
        <v>6049993237</v>
      </c>
      <c r="L887" s="1056">
        <v>5972072267</v>
      </c>
      <c r="M887" s="1056">
        <v>5994976053</v>
      </c>
      <c r="N887" s="1056">
        <v>5994976053</v>
      </c>
    </row>
    <row r="888" spans="1:14">
      <c r="A888" s="1049" t="s">
        <v>857</v>
      </c>
      <c r="B888" s="1031" t="s">
        <v>4069</v>
      </c>
      <c r="C888" s="1056">
        <v>1645789225</v>
      </c>
      <c r="D888" s="1056">
        <v>1579913973</v>
      </c>
      <c r="E888" s="1056">
        <v>1645789225</v>
      </c>
      <c r="F888" s="1056">
        <v>1579913973</v>
      </c>
      <c r="G888" s="1056">
        <v>1583531830</v>
      </c>
      <c r="H888" s="1056">
        <v>1583531830</v>
      </c>
      <c r="I888" s="1056">
        <v>1645789225</v>
      </c>
      <c r="J888" s="1056">
        <v>1579913973</v>
      </c>
      <c r="K888" s="1056">
        <v>1645789225</v>
      </c>
      <c r="L888" s="1056">
        <v>1579913973</v>
      </c>
      <c r="M888" s="1056">
        <v>1583531830</v>
      </c>
      <c r="N888" s="1056">
        <v>1583531830</v>
      </c>
    </row>
    <row r="889" spans="1:14">
      <c r="A889" s="1049" t="s">
        <v>4006</v>
      </c>
      <c r="B889" s="1031" t="s">
        <v>1730</v>
      </c>
      <c r="C889" s="1056">
        <v>4177474844</v>
      </c>
      <c r="D889" s="1056">
        <v>4000847920</v>
      </c>
      <c r="E889" s="1056">
        <v>4127993823</v>
      </c>
      <c r="F889" s="1056">
        <v>3951366899</v>
      </c>
      <c r="G889" s="1056">
        <v>4000847920</v>
      </c>
      <c r="H889" s="1056">
        <v>3951366899</v>
      </c>
      <c r="I889" s="1056">
        <v>4177474844</v>
      </c>
      <c r="J889" s="1056">
        <v>4000847920</v>
      </c>
      <c r="K889" s="1056">
        <v>4127993823</v>
      </c>
      <c r="L889" s="1056">
        <v>3951366899</v>
      </c>
      <c r="M889" s="1056">
        <v>4000847920</v>
      </c>
      <c r="N889" s="1056">
        <v>3951366899</v>
      </c>
    </row>
    <row r="890" spans="1:14">
      <c r="A890" s="1049" t="s">
        <v>4008</v>
      </c>
      <c r="B890" s="1031" t="s">
        <v>1731</v>
      </c>
      <c r="C890" s="1056">
        <v>398898480</v>
      </c>
      <c r="D890" s="1056">
        <v>386472565</v>
      </c>
      <c r="E890" s="1056">
        <v>398898480</v>
      </c>
      <c r="F890" s="1056">
        <v>386472565</v>
      </c>
      <c r="G890" s="1056">
        <v>386472565</v>
      </c>
      <c r="H890" s="1056">
        <v>386472565</v>
      </c>
      <c r="I890" s="1056">
        <v>398898480</v>
      </c>
      <c r="J890" s="1056">
        <v>386472565</v>
      </c>
      <c r="K890" s="1056">
        <v>398898480</v>
      </c>
      <c r="L890" s="1056">
        <v>386472565</v>
      </c>
      <c r="M890" s="1056">
        <v>386472565</v>
      </c>
      <c r="N890" s="1056">
        <v>386472565</v>
      </c>
    </row>
    <row r="891" spans="1:14">
      <c r="A891" s="1049" t="s">
        <v>4010</v>
      </c>
      <c r="B891" s="1031" t="s">
        <v>1732</v>
      </c>
      <c r="C891" s="1056">
        <v>149399979</v>
      </c>
      <c r="D891" s="1056">
        <v>148009175</v>
      </c>
      <c r="E891" s="1056">
        <v>149399979</v>
      </c>
      <c r="F891" s="1056">
        <v>148009175</v>
      </c>
      <c r="G891" s="1056">
        <v>148009175</v>
      </c>
      <c r="H891" s="1056">
        <v>148009175</v>
      </c>
      <c r="I891" s="1056">
        <v>185891433</v>
      </c>
      <c r="J891" s="1056">
        <v>184500629</v>
      </c>
      <c r="K891" s="1056">
        <v>185891433</v>
      </c>
      <c r="L891" s="1056">
        <v>184500629</v>
      </c>
      <c r="M891" s="1056">
        <v>184500629</v>
      </c>
      <c r="N891" s="1056">
        <v>184500629</v>
      </c>
    </row>
    <row r="892" spans="1:14">
      <c r="A892" s="1049" t="s">
        <v>4012</v>
      </c>
      <c r="B892" s="1031" t="s">
        <v>4374</v>
      </c>
      <c r="C892" s="1056">
        <v>420305621</v>
      </c>
      <c r="D892" s="1056">
        <v>405245446</v>
      </c>
      <c r="E892" s="1056">
        <v>399812368</v>
      </c>
      <c r="F892" s="1056">
        <v>384752193</v>
      </c>
      <c r="G892" s="1056">
        <v>405245446</v>
      </c>
      <c r="H892" s="1056">
        <v>384752193</v>
      </c>
      <c r="I892" s="1056">
        <v>502004441</v>
      </c>
      <c r="J892" s="1056">
        <v>486944266</v>
      </c>
      <c r="K892" s="1056">
        <v>481511188</v>
      </c>
      <c r="L892" s="1056">
        <v>466451013</v>
      </c>
      <c r="M892" s="1056">
        <v>486944266</v>
      </c>
      <c r="N892" s="1056">
        <v>466451013</v>
      </c>
    </row>
    <row r="893" spans="1:14">
      <c r="A893" s="1049" t="s">
        <v>4014</v>
      </c>
      <c r="B893" s="1031" t="s">
        <v>2008</v>
      </c>
      <c r="C893" s="1056">
        <v>1570174098</v>
      </c>
      <c r="D893" s="1056">
        <v>1516290565</v>
      </c>
      <c r="E893" s="1056">
        <v>1570174098</v>
      </c>
      <c r="F893" s="1056">
        <v>1516290565</v>
      </c>
      <c r="G893" s="1056">
        <v>1516290565</v>
      </c>
      <c r="H893" s="1056">
        <v>1516290565</v>
      </c>
      <c r="I893" s="1056">
        <v>1570174098</v>
      </c>
      <c r="J893" s="1056">
        <v>1516290565</v>
      </c>
      <c r="K893" s="1056">
        <v>1570174098</v>
      </c>
      <c r="L893" s="1056">
        <v>1516290565</v>
      </c>
      <c r="M893" s="1056">
        <v>1516290565</v>
      </c>
      <c r="N893" s="1056">
        <v>1516290565</v>
      </c>
    </row>
    <row r="894" spans="1:14">
      <c r="A894" s="1049" t="s">
        <v>4015</v>
      </c>
      <c r="B894" s="1031" t="s">
        <v>1734</v>
      </c>
      <c r="C894" s="1056">
        <v>371245989</v>
      </c>
      <c r="D894" s="1056">
        <v>368840960</v>
      </c>
      <c r="E894" s="1056">
        <v>369824933</v>
      </c>
      <c r="F894" s="1056">
        <v>367419904</v>
      </c>
      <c r="G894" s="1056">
        <v>368845469</v>
      </c>
      <c r="H894" s="1056">
        <v>367424413</v>
      </c>
      <c r="I894" s="1056">
        <v>371245989</v>
      </c>
      <c r="J894" s="1056">
        <v>368840960</v>
      </c>
      <c r="K894" s="1056">
        <v>369824933</v>
      </c>
      <c r="L894" s="1056">
        <v>367419904</v>
      </c>
      <c r="M894" s="1056">
        <v>368845469</v>
      </c>
      <c r="N894" s="1056">
        <v>367424413</v>
      </c>
    </row>
    <row r="895" spans="1:14">
      <c r="A895" s="1049" t="s">
        <v>6120</v>
      </c>
      <c r="B895" s="1031" t="s">
        <v>1735</v>
      </c>
      <c r="C895" s="1056">
        <v>890487208</v>
      </c>
      <c r="D895" s="1056">
        <v>881211996</v>
      </c>
      <c r="E895" s="1056">
        <v>890487208</v>
      </c>
      <c r="F895" s="1056">
        <v>881211996</v>
      </c>
      <c r="G895" s="1056">
        <v>885291202</v>
      </c>
      <c r="H895" s="1056">
        <v>885291202</v>
      </c>
      <c r="I895" s="1056">
        <v>890487208</v>
      </c>
      <c r="J895" s="1056">
        <v>881211996</v>
      </c>
      <c r="K895" s="1056">
        <v>890487208</v>
      </c>
      <c r="L895" s="1056">
        <v>881211996</v>
      </c>
      <c r="M895" s="1056">
        <v>885291202</v>
      </c>
      <c r="N895" s="1056">
        <v>885291202</v>
      </c>
    </row>
    <row r="896" spans="1:14">
      <c r="A896" s="1049" t="s">
        <v>6679</v>
      </c>
      <c r="B896" s="1031" t="s">
        <v>6078</v>
      </c>
      <c r="C896" s="1056">
        <v>68723331</v>
      </c>
      <c r="D896" s="1056">
        <v>67877380</v>
      </c>
      <c r="E896" s="1056">
        <v>68723331</v>
      </c>
      <c r="F896" s="1056">
        <v>67877380</v>
      </c>
      <c r="G896" s="1056">
        <v>68092219</v>
      </c>
      <c r="H896" s="1056">
        <v>68092219</v>
      </c>
      <c r="I896" s="1056">
        <v>68723331</v>
      </c>
      <c r="J896" s="1056">
        <v>67877380</v>
      </c>
      <c r="K896" s="1056">
        <v>68723331</v>
      </c>
      <c r="L896" s="1056">
        <v>67877380</v>
      </c>
      <c r="M896" s="1056">
        <v>68092219</v>
      </c>
      <c r="N896" s="1056">
        <v>68092219</v>
      </c>
    </row>
    <row r="897" spans="1:14">
      <c r="A897" s="1049" t="s">
        <v>6122</v>
      </c>
      <c r="B897" s="1031" t="s">
        <v>4380</v>
      </c>
      <c r="C897" s="1056">
        <v>332603560</v>
      </c>
      <c r="D897" s="1056">
        <v>332061938</v>
      </c>
      <c r="E897" s="1056">
        <v>332603560</v>
      </c>
      <c r="F897" s="1056">
        <v>332061938</v>
      </c>
      <c r="G897" s="1056">
        <v>332124077</v>
      </c>
      <c r="H897" s="1056">
        <v>332124077</v>
      </c>
      <c r="I897" s="1056">
        <v>332603560</v>
      </c>
      <c r="J897" s="1056">
        <v>332061938</v>
      </c>
      <c r="K897" s="1056">
        <v>332603560</v>
      </c>
      <c r="L897" s="1056">
        <v>332061938</v>
      </c>
      <c r="M897" s="1056">
        <v>332124077</v>
      </c>
      <c r="N897" s="1056">
        <v>332124077</v>
      </c>
    </row>
    <row r="898" spans="1:14">
      <c r="A898" s="1049" t="s">
        <v>1801</v>
      </c>
      <c r="B898" s="1031" t="s">
        <v>1737</v>
      </c>
      <c r="C898" s="1056">
        <v>159896995</v>
      </c>
      <c r="D898" s="1056">
        <v>157269205</v>
      </c>
      <c r="E898" s="1056">
        <v>159896995</v>
      </c>
      <c r="F898" s="1056">
        <v>157269205</v>
      </c>
      <c r="G898" s="1056">
        <v>157546224</v>
      </c>
      <c r="H898" s="1056">
        <v>157546224</v>
      </c>
      <c r="I898" s="1056">
        <v>159896995</v>
      </c>
      <c r="J898" s="1056">
        <v>157269205</v>
      </c>
      <c r="K898" s="1056">
        <v>159896995</v>
      </c>
      <c r="L898" s="1056">
        <v>157269205</v>
      </c>
      <c r="M898" s="1056">
        <v>157546224</v>
      </c>
      <c r="N898" s="1056">
        <v>157546224</v>
      </c>
    </row>
    <row r="899" spans="1:14">
      <c r="A899" s="1049" t="s">
        <v>1803</v>
      </c>
      <c r="B899" s="1031" t="s">
        <v>1738</v>
      </c>
      <c r="C899" s="1056">
        <v>47497766</v>
      </c>
      <c r="D899" s="1056">
        <v>46493276</v>
      </c>
      <c r="E899" s="1056">
        <v>47497766</v>
      </c>
      <c r="F899" s="1056">
        <v>46493276</v>
      </c>
      <c r="G899" s="1056">
        <v>46549515</v>
      </c>
      <c r="H899" s="1056">
        <v>46549515</v>
      </c>
      <c r="I899" s="1056">
        <v>47497766</v>
      </c>
      <c r="J899" s="1056">
        <v>46493276</v>
      </c>
      <c r="K899" s="1056">
        <v>47497766</v>
      </c>
      <c r="L899" s="1056">
        <v>46493276</v>
      </c>
      <c r="M899" s="1056">
        <v>46549515</v>
      </c>
      <c r="N899" s="1056">
        <v>46549515</v>
      </c>
    </row>
    <row r="900" spans="1:14">
      <c r="A900" s="1049" t="s">
        <v>1805</v>
      </c>
      <c r="B900" s="1031" t="s">
        <v>1739</v>
      </c>
      <c r="C900" s="1056">
        <v>1593328259</v>
      </c>
      <c r="D900" s="1056">
        <v>1551653068</v>
      </c>
      <c r="E900" s="1056">
        <v>1552263717</v>
      </c>
      <c r="F900" s="1056">
        <v>1510588526</v>
      </c>
      <c r="G900" s="1056">
        <v>1557398530</v>
      </c>
      <c r="H900" s="1056">
        <v>1516333988</v>
      </c>
      <c r="I900" s="1056">
        <v>1593328259</v>
      </c>
      <c r="J900" s="1056">
        <v>1551653068</v>
      </c>
      <c r="K900" s="1056">
        <v>1552263717</v>
      </c>
      <c r="L900" s="1056">
        <v>1510588526</v>
      </c>
      <c r="M900" s="1056">
        <v>1557398530</v>
      </c>
      <c r="N900" s="1056">
        <v>1516333988</v>
      </c>
    </row>
    <row r="901" spans="1:14">
      <c r="A901" s="1049" t="s">
        <v>1807</v>
      </c>
      <c r="B901" s="1031" t="s">
        <v>1740</v>
      </c>
      <c r="C901" s="1056">
        <v>70889613</v>
      </c>
      <c r="D901" s="1056">
        <v>69656978</v>
      </c>
      <c r="E901" s="1056">
        <v>69829614</v>
      </c>
      <c r="F901" s="1056">
        <v>68596979</v>
      </c>
      <c r="G901" s="1056">
        <v>70011497</v>
      </c>
      <c r="H901" s="1056">
        <v>68951498</v>
      </c>
      <c r="I901" s="1056">
        <v>70889613</v>
      </c>
      <c r="J901" s="1056">
        <v>69656978</v>
      </c>
      <c r="K901" s="1056">
        <v>69829614</v>
      </c>
      <c r="L901" s="1056">
        <v>68596979</v>
      </c>
      <c r="M901" s="1056">
        <v>70011497</v>
      </c>
      <c r="N901" s="1056">
        <v>68951498</v>
      </c>
    </row>
    <row r="902" spans="1:14">
      <c r="A902" s="1049" t="s">
        <v>5037</v>
      </c>
      <c r="B902" s="1031" t="s">
        <v>6106</v>
      </c>
      <c r="C902" s="1056">
        <v>108295771</v>
      </c>
      <c r="D902" s="1056">
        <v>102182265</v>
      </c>
      <c r="E902" s="1056">
        <v>108295771</v>
      </c>
      <c r="F902" s="1056">
        <v>102182265</v>
      </c>
      <c r="G902" s="1056">
        <v>102395722</v>
      </c>
      <c r="H902" s="1056">
        <v>102395722</v>
      </c>
      <c r="I902" s="1056">
        <v>108295771</v>
      </c>
      <c r="J902" s="1056">
        <v>102182265</v>
      </c>
      <c r="K902" s="1056">
        <v>108295771</v>
      </c>
      <c r="L902" s="1056">
        <v>102182265</v>
      </c>
      <c r="M902" s="1056">
        <v>102395722</v>
      </c>
      <c r="N902" s="1056">
        <v>102395722</v>
      </c>
    </row>
    <row r="903" spans="1:14">
      <c r="A903" s="1049" t="s">
        <v>1809</v>
      </c>
      <c r="B903" s="1031" t="s">
        <v>1741</v>
      </c>
      <c r="C903" s="1056">
        <v>139490407</v>
      </c>
      <c r="D903" s="1056">
        <v>132547336</v>
      </c>
      <c r="E903" s="1056">
        <v>139490407</v>
      </c>
      <c r="F903" s="1056">
        <v>132547336</v>
      </c>
      <c r="G903" s="1056">
        <v>132933298</v>
      </c>
      <c r="H903" s="1056">
        <v>132933298</v>
      </c>
      <c r="I903" s="1056">
        <v>139490407</v>
      </c>
      <c r="J903" s="1056">
        <v>132547336</v>
      </c>
      <c r="K903" s="1056">
        <v>139490407</v>
      </c>
      <c r="L903" s="1056">
        <v>132547336</v>
      </c>
      <c r="M903" s="1056">
        <v>132933298</v>
      </c>
      <c r="N903" s="1056">
        <v>132933298</v>
      </c>
    </row>
    <row r="904" spans="1:14">
      <c r="A904" s="1049" t="s">
        <v>1697</v>
      </c>
      <c r="B904" s="1031" t="s">
        <v>1742</v>
      </c>
      <c r="C904" s="1056">
        <v>230224321</v>
      </c>
      <c r="D904" s="1056">
        <v>222568871</v>
      </c>
      <c r="E904" s="1056">
        <v>217524548</v>
      </c>
      <c r="F904" s="1056">
        <v>209869098</v>
      </c>
      <c r="G904" s="1056">
        <v>226074489</v>
      </c>
      <c r="H904" s="1056">
        <v>213374716</v>
      </c>
      <c r="I904" s="1056">
        <v>259083711</v>
      </c>
      <c r="J904" s="1056">
        <v>251428261</v>
      </c>
      <c r="K904" s="1056">
        <v>246383938</v>
      </c>
      <c r="L904" s="1056">
        <v>238728488</v>
      </c>
      <c r="M904" s="1056">
        <v>254933879</v>
      </c>
      <c r="N904" s="1056">
        <v>242234106</v>
      </c>
    </row>
    <row r="905" spans="1:14">
      <c r="A905" s="1049" t="s">
        <v>2385</v>
      </c>
      <c r="B905" s="1031" t="s">
        <v>378</v>
      </c>
      <c r="C905" s="1056">
        <v>4300882230</v>
      </c>
      <c r="D905" s="1056">
        <v>4093504667</v>
      </c>
      <c r="E905" s="1056">
        <v>4300882230</v>
      </c>
      <c r="F905" s="1056">
        <v>4093504667</v>
      </c>
      <c r="G905" s="1056">
        <v>4192737570</v>
      </c>
      <c r="H905" s="1056">
        <v>4192737570</v>
      </c>
      <c r="I905" s="1056">
        <v>4300882230</v>
      </c>
      <c r="J905" s="1056">
        <v>4093504667</v>
      </c>
      <c r="K905" s="1056">
        <v>4300882230</v>
      </c>
      <c r="L905" s="1056">
        <v>4093504667</v>
      </c>
      <c r="M905" s="1056">
        <v>4192737570</v>
      </c>
      <c r="N905" s="1056">
        <v>4192737570</v>
      </c>
    </row>
    <row r="906" spans="1:14">
      <c r="A906" s="1049" t="s">
        <v>1699</v>
      </c>
      <c r="B906" s="1031" t="s">
        <v>1743</v>
      </c>
      <c r="C906" s="1056">
        <v>122645343</v>
      </c>
      <c r="D906" s="1056">
        <v>118634943</v>
      </c>
      <c r="E906" s="1056">
        <v>122645343</v>
      </c>
      <c r="F906" s="1056">
        <v>118634943</v>
      </c>
      <c r="G906" s="1056">
        <v>119785090</v>
      </c>
      <c r="H906" s="1056">
        <v>119785090</v>
      </c>
      <c r="I906" s="1056">
        <v>122645343</v>
      </c>
      <c r="J906" s="1056">
        <v>118634943</v>
      </c>
      <c r="K906" s="1056">
        <v>122645343</v>
      </c>
      <c r="L906" s="1056">
        <v>118634943</v>
      </c>
      <c r="M906" s="1056">
        <v>119785090</v>
      </c>
      <c r="N906" s="1056">
        <v>119785090</v>
      </c>
    </row>
    <row r="907" spans="1:14">
      <c r="A907" s="1049" t="s">
        <v>3554</v>
      </c>
      <c r="B907" s="1031" t="s">
        <v>4061</v>
      </c>
      <c r="C907" s="1056">
        <v>362863772</v>
      </c>
      <c r="D907" s="1056">
        <v>351389642</v>
      </c>
      <c r="E907" s="1056">
        <v>362863772</v>
      </c>
      <c r="F907" s="1056">
        <v>351389642</v>
      </c>
      <c r="G907" s="1056">
        <v>357828419</v>
      </c>
      <c r="H907" s="1056">
        <v>357828419</v>
      </c>
      <c r="I907" s="1056">
        <v>362863772</v>
      </c>
      <c r="J907" s="1056">
        <v>351389642</v>
      </c>
      <c r="K907" s="1056">
        <v>362863772</v>
      </c>
      <c r="L907" s="1056">
        <v>351389642</v>
      </c>
      <c r="M907" s="1056">
        <v>357828419</v>
      </c>
      <c r="N907" s="1056">
        <v>357828419</v>
      </c>
    </row>
    <row r="908" spans="1:14">
      <c r="A908" s="1049" t="s">
        <v>1857</v>
      </c>
      <c r="B908" s="1031" t="s">
        <v>3913</v>
      </c>
      <c r="C908" s="1056">
        <v>226962398</v>
      </c>
      <c r="D908" s="1056">
        <v>212866748</v>
      </c>
      <c r="E908" s="1056">
        <v>226962398</v>
      </c>
      <c r="F908" s="1056">
        <v>212866748</v>
      </c>
      <c r="G908" s="1056">
        <v>218281626</v>
      </c>
      <c r="H908" s="1056">
        <v>218281626</v>
      </c>
      <c r="I908" s="1056">
        <v>226962398</v>
      </c>
      <c r="J908" s="1056">
        <v>212866748</v>
      </c>
      <c r="K908" s="1056">
        <v>226962398</v>
      </c>
      <c r="L908" s="1056">
        <v>212866748</v>
      </c>
      <c r="M908" s="1056">
        <v>218281626</v>
      </c>
      <c r="N908" s="1056">
        <v>218281626</v>
      </c>
    </row>
    <row r="909" spans="1:14">
      <c r="A909" s="1049" t="s">
        <v>7288</v>
      </c>
      <c r="B909" s="1031" t="s">
        <v>7132</v>
      </c>
      <c r="C909" s="1056">
        <v>109390288</v>
      </c>
      <c r="D909" s="1056">
        <v>106337878</v>
      </c>
      <c r="E909" s="1056">
        <v>107588378</v>
      </c>
      <c r="F909" s="1056">
        <v>104535968</v>
      </c>
      <c r="G909" s="1056">
        <v>107407258</v>
      </c>
      <c r="H909" s="1056">
        <v>105605348</v>
      </c>
      <c r="I909" s="1056">
        <v>109390288</v>
      </c>
      <c r="J909" s="1056">
        <v>106337878</v>
      </c>
      <c r="K909" s="1056">
        <v>107588378</v>
      </c>
      <c r="L909" s="1056">
        <v>104535968</v>
      </c>
      <c r="M909" s="1056">
        <v>107407258</v>
      </c>
      <c r="N909" s="1056">
        <v>105605348</v>
      </c>
    </row>
    <row r="910" spans="1:14">
      <c r="A910" s="1049" t="s">
        <v>2791</v>
      </c>
      <c r="B910" s="1031" t="s">
        <v>1744</v>
      </c>
      <c r="C910" s="1056">
        <v>75915478024</v>
      </c>
      <c r="D910" s="1056">
        <v>74807135612</v>
      </c>
      <c r="E910" s="1056">
        <v>75915478024</v>
      </c>
      <c r="F910" s="1056">
        <v>74807135612</v>
      </c>
      <c r="G910" s="1056">
        <v>75185656398</v>
      </c>
      <c r="H910" s="1056">
        <v>75185656398</v>
      </c>
      <c r="I910" s="1056">
        <v>75915478024</v>
      </c>
      <c r="J910" s="1056">
        <v>74807135612</v>
      </c>
      <c r="K910" s="1056">
        <v>75915478024</v>
      </c>
      <c r="L910" s="1056">
        <v>74807135612</v>
      </c>
      <c r="M910" s="1056">
        <v>75185656398</v>
      </c>
      <c r="N910" s="1056">
        <v>75185656398</v>
      </c>
    </row>
    <row r="911" spans="1:14">
      <c r="A911" s="1049" t="s">
        <v>5124</v>
      </c>
      <c r="B911" s="1031" t="s">
        <v>339</v>
      </c>
      <c r="C911" s="1056">
        <v>8739039882</v>
      </c>
      <c r="D911" s="1056">
        <v>8489473829</v>
      </c>
      <c r="E911" s="1056">
        <v>8739039882</v>
      </c>
      <c r="F911" s="1056">
        <v>8489473829</v>
      </c>
      <c r="G911" s="1056">
        <v>8507417076</v>
      </c>
      <c r="H911" s="1056">
        <v>8507417076</v>
      </c>
      <c r="I911" s="1056">
        <v>8739039882</v>
      </c>
      <c r="J911" s="1056">
        <v>8489473829</v>
      </c>
      <c r="K911" s="1056">
        <v>8739039882</v>
      </c>
      <c r="L911" s="1056">
        <v>8489473829</v>
      </c>
      <c r="M911" s="1056">
        <v>8507417076</v>
      </c>
      <c r="N911" s="1056">
        <v>8507417076</v>
      </c>
    </row>
    <row r="912" spans="1:14">
      <c r="A912" s="1049" t="s">
        <v>2793</v>
      </c>
      <c r="B912" s="1031" t="s">
        <v>1745</v>
      </c>
      <c r="C912" s="1056">
        <v>3787874260</v>
      </c>
      <c r="D912" s="1056">
        <v>3721012701</v>
      </c>
      <c r="E912" s="1056">
        <v>3787874260</v>
      </c>
      <c r="F912" s="1056">
        <v>3721012701</v>
      </c>
      <c r="G912" s="1056">
        <v>3723317321</v>
      </c>
      <c r="H912" s="1056">
        <v>3723317321</v>
      </c>
      <c r="I912" s="1056">
        <v>5099343356</v>
      </c>
      <c r="J912" s="1056">
        <v>5032481797</v>
      </c>
      <c r="K912" s="1056">
        <v>5099343356</v>
      </c>
      <c r="L912" s="1056">
        <v>5032481797</v>
      </c>
      <c r="M912" s="1056">
        <v>5034786417</v>
      </c>
      <c r="N912" s="1056">
        <v>5034786417</v>
      </c>
    </row>
    <row r="913" spans="1:14">
      <c r="A913" s="1049" t="s">
        <v>2795</v>
      </c>
      <c r="B913" s="1031" t="s">
        <v>1746</v>
      </c>
      <c r="C913" s="1056">
        <v>11209503249</v>
      </c>
      <c r="D913" s="1056">
        <v>11113104886</v>
      </c>
      <c r="E913" s="1056">
        <v>11209503249</v>
      </c>
      <c r="F913" s="1056">
        <v>11113104886</v>
      </c>
      <c r="G913" s="1056">
        <v>11188910907</v>
      </c>
      <c r="H913" s="1056">
        <v>11188910907</v>
      </c>
      <c r="I913" s="1056">
        <v>11209503249</v>
      </c>
      <c r="J913" s="1056">
        <v>11113104886</v>
      </c>
      <c r="K913" s="1056">
        <v>11209503249</v>
      </c>
      <c r="L913" s="1056">
        <v>11113104886</v>
      </c>
      <c r="M913" s="1056">
        <v>11188910907</v>
      </c>
      <c r="N913" s="1056">
        <v>11188910907</v>
      </c>
    </row>
    <row r="914" spans="1:14">
      <c r="A914" s="1049" t="s">
        <v>2052</v>
      </c>
      <c r="B914" s="1031" t="s">
        <v>997</v>
      </c>
      <c r="C914" s="1056">
        <v>3704400628</v>
      </c>
      <c r="D914" s="1056">
        <v>3635701289</v>
      </c>
      <c r="E914" s="1056">
        <v>3704400628</v>
      </c>
      <c r="F914" s="1056">
        <v>3635701289</v>
      </c>
      <c r="G914" s="1056">
        <v>3641286051</v>
      </c>
      <c r="H914" s="1056">
        <v>3641286051</v>
      </c>
      <c r="I914" s="1056">
        <v>3704400628</v>
      </c>
      <c r="J914" s="1056">
        <v>3635701289</v>
      </c>
      <c r="K914" s="1056">
        <v>3704400628</v>
      </c>
      <c r="L914" s="1056">
        <v>3635701289</v>
      </c>
      <c r="M914" s="1056">
        <v>3641286051</v>
      </c>
      <c r="N914" s="1056">
        <v>3641286051</v>
      </c>
    </row>
    <row r="915" spans="1:14">
      <c r="A915" s="1049" t="s">
        <v>2797</v>
      </c>
      <c r="B915" s="1031" t="s">
        <v>1747</v>
      </c>
      <c r="C915" s="1056">
        <v>1345347181</v>
      </c>
      <c r="D915" s="1056">
        <v>1316408924</v>
      </c>
      <c r="E915" s="1056">
        <v>1270701396</v>
      </c>
      <c r="F915" s="1056">
        <v>1241763139</v>
      </c>
      <c r="G915" s="1056">
        <v>1332354985</v>
      </c>
      <c r="H915" s="1056">
        <v>1257709200</v>
      </c>
      <c r="I915" s="1056">
        <v>1345347181</v>
      </c>
      <c r="J915" s="1056">
        <v>1316408924</v>
      </c>
      <c r="K915" s="1056">
        <v>1270701396</v>
      </c>
      <c r="L915" s="1056">
        <v>1241763139</v>
      </c>
      <c r="M915" s="1056">
        <v>1332354985</v>
      </c>
      <c r="N915" s="1056">
        <v>1257709200</v>
      </c>
    </row>
    <row r="916" spans="1:14">
      <c r="A916" s="1049" t="s">
        <v>2799</v>
      </c>
      <c r="B916" s="1031" t="s">
        <v>1748</v>
      </c>
      <c r="C916" s="1056">
        <v>8546662973</v>
      </c>
      <c r="D916" s="1056">
        <v>8423001026</v>
      </c>
      <c r="E916" s="1056">
        <v>8017278367</v>
      </c>
      <c r="F916" s="1056">
        <v>7893616420</v>
      </c>
      <c r="G916" s="1056">
        <v>8471342696</v>
      </c>
      <c r="H916" s="1056">
        <v>7941958090</v>
      </c>
      <c r="I916" s="1056">
        <v>8546662973</v>
      </c>
      <c r="J916" s="1056">
        <v>8423001026</v>
      </c>
      <c r="K916" s="1056">
        <v>8017278367</v>
      </c>
      <c r="L916" s="1056">
        <v>7893616420</v>
      </c>
      <c r="M916" s="1056">
        <v>8471342696</v>
      </c>
      <c r="N916" s="1056">
        <v>7941958090</v>
      </c>
    </row>
    <row r="917" spans="1:14">
      <c r="A917" s="1049" t="s">
        <v>2801</v>
      </c>
      <c r="B917" s="1031" t="s">
        <v>1749</v>
      </c>
      <c r="C917" s="1056">
        <v>243144317</v>
      </c>
      <c r="D917" s="1056">
        <v>233184441</v>
      </c>
      <c r="E917" s="1056">
        <v>243144317</v>
      </c>
      <c r="F917" s="1056">
        <v>233184441</v>
      </c>
      <c r="G917" s="1056">
        <v>234654056</v>
      </c>
      <c r="H917" s="1056">
        <v>234654056</v>
      </c>
      <c r="I917" s="1056">
        <v>243144317</v>
      </c>
      <c r="J917" s="1056">
        <v>233184441</v>
      </c>
      <c r="K917" s="1056">
        <v>243144317</v>
      </c>
      <c r="L917" s="1056">
        <v>233184441</v>
      </c>
      <c r="M917" s="1056">
        <v>234654056</v>
      </c>
      <c r="N917" s="1056">
        <v>234654056</v>
      </c>
    </row>
    <row r="918" spans="1:14">
      <c r="A918" s="1049" t="s">
        <v>2803</v>
      </c>
      <c r="B918" s="1031" t="s">
        <v>1750</v>
      </c>
      <c r="C918" s="1056">
        <v>344346731</v>
      </c>
      <c r="D918" s="1056">
        <v>327786520</v>
      </c>
      <c r="E918" s="1056">
        <v>344346731</v>
      </c>
      <c r="F918" s="1056">
        <v>327786520</v>
      </c>
      <c r="G918" s="1056">
        <v>332584396</v>
      </c>
      <c r="H918" s="1056">
        <v>332584396</v>
      </c>
      <c r="I918" s="1056">
        <v>344346731</v>
      </c>
      <c r="J918" s="1056">
        <v>327786520</v>
      </c>
      <c r="K918" s="1056">
        <v>344346731</v>
      </c>
      <c r="L918" s="1056">
        <v>327786520</v>
      </c>
      <c r="M918" s="1056">
        <v>332584396</v>
      </c>
      <c r="N918" s="1056">
        <v>332584396</v>
      </c>
    </row>
    <row r="919" spans="1:14">
      <c r="A919" s="1049" t="s">
        <v>2805</v>
      </c>
      <c r="B919" s="1031" t="s">
        <v>297</v>
      </c>
      <c r="C919" s="1056">
        <v>29343863</v>
      </c>
      <c r="D919" s="1056">
        <v>27418005</v>
      </c>
      <c r="E919" s="1056">
        <v>29343863</v>
      </c>
      <c r="F919" s="1056">
        <v>27418005</v>
      </c>
      <c r="G919" s="1056">
        <v>27812380</v>
      </c>
      <c r="H919" s="1056">
        <v>27812380</v>
      </c>
      <c r="I919" s="1056">
        <v>29343863</v>
      </c>
      <c r="J919" s="1056">
        <v>27418005</v>
      </c>
      <c r="K919" s="1056">
        <v>29343863</v>
      </c>
      <c r="L919" s="1056">
        <v>27418005</v>
      </c>
      <c r="M919" s="1056">
        <v>27812380</v>
      </c>
      <c r="N919" s="1056">
        <v>27812380</v>
      </c>
    </row>
    <row r="920" spans="1:14">
      <c r="A920" s="1049" t="s">
        <v>2806</v>
      </c>
      <c r="B920" s="1031" t="s">
        <v>1751</v>
      </c>
      <c r="C920" s="1056">
        <v>38277800</v>
      </c>
      <c r="D920" s="1056">
        <v>35847121</v>
      </c>
      <c r="E920" s="1056">
        <v>38277800</v>
      </c>
      <c r="F920" s="1056">
        <v>35847121</v>
      </c>
      <c r="G920" s="1056">
        <v>36271833</v>
      </c>
      <c r="H920" s="1056">
        <v>36271833</v>
      </c>
      <c r="I920" s="1056">
        <v>38277800</v>
      </c>
      <c r="J920" s="1056">
        <v>35847121</v>
      </c>
      <c r="K920" s="1056">
        <v>38277800</v>
      </c>
      <c r="L920" s="1056">
        <v>35847121</v>
      </c>
      <c r="M920" s="1056">
        <v>36271833</v>
      </c>
      <c r="N920" s="1056">
        <v>36271833</v>
      </c>
    </row>
    <row r="921" spans="1:14">
      <c r="A921" s="1049" t="s">
        <v>232</v>
      </c>
      <c r="B921" s="1031" t="s">
        <v>2639</v>
      </c>
      <c r="C921" s="1056">
        <v>121803559</v>
      </c>
      <c r="D921" s="1056">
        <v>115318169</v>
      </c>
      <c r="E921" s="1056">
        <v>121803559</v>
      </c>
      <c r="F921" s="1056">
        <v>115318169</v>
      </c>
      <c r="G921" s="1056">
        <v>115318169</v>
      </c>
      <c r="H921" s="1056">
        <v>115318169</v>
      </c>
      <c r="I921" s="1056">
        <v>121803559</v>
      </c>
      <c r="J921" s="1056">
        <v>115318169</v>
      </c>
      <c r="K921" s="1056">
        <v>121803559</v>
      </c>
      <c r="L921" s="1056">
        <v>115318169</v>
      </c>
      <c r="M921" s="1056">
        <v>115318169</v>
      </c>
      <c r="N921" s="1056">
        <v>115318169</v>
      </c>
    </row>
    <row r="922" spans="1:14">
      <c r="A922" s="1049" t="s">
        <v>3572</v>
      </c>
      <c r="B922" s="1031" t="s">
        <v>1752</v>
      </c>
      <c r="C922" s="1056">
        <v>844154715</v>
      </c>
      <c r="D922" s="1056">
        <v>824780719</v>
      </c>
      <c r="E922" s="1056">
        <v>844154715</v>
      </c>
      <c r="F922" s="1056">
        <v>824780719</v>
      </c>
      <c r="G922" s="1056">
        <v>824780719</v>
      </c>
      <c r="H922" s="1056">
        <v>824780719</v>
      </c>
      <c r="I922" s="1056">
        <v>844154715</v>
      </c>
      <c r="J922" s="1056">
        <v>824780719</v>
      </c>
      <c r="K922" s="1056">
        <v>844154715</v>
      </c>
      <c r="L922" s="1056">
        <v>824780719</v>
      </c>
      <c r="M922" s="1056">
        <v>824780719</v>
      </c>
      <c r="N922" s="1056">
        <v>824780719</v>
      </c>
    </row>
    <row r="923" spans="1:14">
      <c r="A923" s="1049" t="s">
        <v>3574</v>
      </c>
      <c r="B923" s="1031" t="s">
        <v>7623</v>
      </c>
      <c r="C923" s="1056">
        <v>339152831</v>
      </c>
      <c r="D923" s="1056">
        <v>321866926</v>
      </c>
      <c r="E923" s="1056">
        <v>339152831</v>
      </c>
      <c r="F923" s="1056">
        <v>321866926</v>
      </c>
      <c r="G923" s="1056">
        <v>322561926</v>
      </c>
      <c r="H923" s="1056">
        <v>322561926</v>
      </c>
      <c r="I923" s="1056">
        <v>339152831</v>
      </c>
      <c r="J923" s="1056">
        <v>321866926</v>
      </c>
      <c r="K923" s="1056">
        <v>339152831</v>
      </c>
      <c r="L923" s="1056">
        <v>321866926</v>
      </c>
      <c r="M923" s="1056">
        <v>322561926</v>
      </c>
      <c r="N923" s="1056">
        <v>322561926</v>
      </c>
    </row>
    <row r="924" spans="1:14">
      <c r="A924" s="1049" t="s">
        <v>4072</v>
      </c>
      <c r="B924" s="1031" t="s">
        <v>2353</v>
      </c>
      <c r="C924" s="1056">
        <v>64750784</v>
      </c>
      <c r="D924" s="1056">
        <v>59625639</v>
      </c>
      <c r="E924" s="1056">
        <v>63178747</v>
      </c>
      <c r="F924" s="1056">
        <v>58053602</v>
      </c>
      <c r="G924" s="1056">
        <v>59625639</v>
      </c>
      <c r="H924" s="1056">
        <v>58053602</v>
      </c>
      <c r="I924" s="1056">
        <v>64750784</v>
      </c>
      <c r="J924" s="1056">
        <v>59625639</v>
      </c>
      <c r="K924" s="1056">
        <v>63178747</v>
      </c>
      <c r="L924" s="1056">
        <v>58053602</v>
      </c>
      <c r="M924" s="1056">
        <v>59625639</v>
      </c>
      <c r="N924" s="1056">
        <v>58053602</v>
      </c>
    </row>
    <row r="925" spans="1:14">
      <c r="A925" s="1049" t="s">
        <v>735</v>
      </c>
      <c r="B925" s="1031" t="s">
        <v>6108</v>
      </c>
      <c r="C925" s="1056">
        <v>66572225</v>
      </c>
      <c r="D925" s="1056">
        <v>63370055</v>
      </c>
      <c r="E925" s="1056">
        <v>66572225</v>
      </c>
      <c r="F925" s="1056">
        <v>63370055</v>
      </c>
      <c r="G925" s="1056">
        <v>63375177</v>
      </c>
      <c r="H925" s="1056">
        <v>63375177</v>
      </c>
      <c r="I925" s="1056">
        <v>66572225</v>
      </c>
      <c r="J925" s="1056">
        <v>63370055</v>
      </c>
      <c r="K925" s="1056">
        <v>66572225</v>
      </c>
      <c r="L925" s="1056">
        <v>63370055</v>
      </c>
      <c r="M925" s="1056">
        <v>63375177</v>
      </c>
      <c r="N925" s="1056">
        <v>63375177</v>
      </c>
    </row>
    <row r="926" spans="1:14">
      <c r="A926" s="1049" t="s">
        <v>3576</v>
      </c>
      <c r="B926" s="1031" t="s">
        <v>400</v>
      </c>
      <c r="C926" s="1056">
        <v>217245334</v>
      </c>
      <c r="D926" s="1056">
        <v>208507439</v>
      </c>
      <c r="E926" s="1056">
        <v>217245334</v>
      </c>
      <c r="F926" s="1056">
        <v>208507439</v>
      </c>
      <c r="G926" s="1056">
        <v>209554929</v>
      </c>
      <c r="H926" s="1056">
        <v>209554929</v>
      </c>
      <c r="I926" s="1056">
        <v>217245334</v>
      </c>
      <c r="J926" s="1056">
        <v>208507439</v>
      </c>
      <c r="K926" s="1056">
        <v>217245334</v>
      </c>
      <c r="L926" s="1056">
        <v>208507439</v>
      </c>
      <c r="M926" s="1056">
        <v>209554929</v>
      </c>
      <c r="N926" s="1056">
        <v>209554929</v>
      </c>
    </row>
    <row r="927" spans="1:14">
      <c r="A927" s="1049" t="s">
        <v>3577</v>
      </c>
      <c r="B927" s="1031" t="s">
        <v>7624</v>
      </c>
      <c r="C927" s="1056">
        <v>821472849</v>
      </c>
      <c r="D927" s="1056">
        <v>783674379</v>
      </c>
      <c r="E927" s="1056">
        <v>821472849</v>
      </c>
      <c r="F927" s="1056">
        <v>783674379</v>
      </c>
      <c r="G927" s="1056">
        <v>788291763</v>
      </c>
      <c r="H927" s="1056">
        <v>788291763</v>
      </c>
      <c r="I927" s="1056">
        <v>821472849</v>
      </c>
      <c r="J927" s="1056">
        <v>783674379</v>
      </c>
      <c r="K927" s="1056">
        <v>821472849</v>
      </c>
      <c r="L927" s="1056">
        <v>783674379</v>
      </c>
      <c r="M927" s="1056">
        <v>788291763</v>
      </c>
      <c r="N927" s="1056">
        <v>788291763</v>
      </c>
    </row>
    <row r="928" spans="1:14">
      <c r="A928" s="1049" t="s">
        <v>6190</v>
      </c>
      <c r="B928" s="1031" t="s">
        <v>3626</v>
      </c>
      <c r="C928" s="1056">
        <v>141871260</v>
      </c>
      <c r="D928" s="1056">
        <v>132366866</v>
      </c>
      <c r="E928" s="1056">
        <v>141871260</v>
      </c>
      <c r="F928" s="1056">
        <v>132366866</v>
      </c>
      <c r="G928" s="1056">
        <v>134132259</v>
      </c>
      <c r="H928" s="1056">
        <v>134132259</v>
      </c>
      <c r="I928" s="1056">
        <v>141871260</v>
      </c>
      <c r="J928" s="1056">
        <v>132366866</v>
      </c>
      <c r="K928" s="1056">
        <v>141871260</v>
      </c>
      <c r="L928" s="1056">
        <v>132366866</v>
      </c>
      <c r="M928" s="1056">
        <v>134132259</v>
      </c>
      <c r="N928" s="1056">
        <v>134132259</v>
      </c>
    </row>
    <row r="929" spans="1:14">
      <c r="A929" s="1049" t="s">
        <v>3580</v>
      </c>
      <c r="B929" s="1031" t="s">
        <v>7625</v>
      </c>
      <c r="C929" s="1056">
        <v>84155005</v>
      </c>
      <c r="D929" s="1056">
        <v>78866557</v>
      </c>
      <c r="E929" s="1056">
        <v>84155005</v>
      </c>
      <c r="F929" s="1056">
        <v>78866557</v>
      </c>
      <c r="G929" s="1056">
        <v>79579057</v>
      </c>
      <c r="H929" s="1056">
        <v>79579057</v>
      </c>
      <c r="I929" s="1056">
        <v>84155005</v>
      </c>
      <c r="J929" s="1056">
        <v>78866557</v>
      </c>
      <c r="K929" s="1056">
        <v>84155005</v>
      </c>
      <c r="L929" s="1056">
        <v>78866557</v>
      </c>
      <c r="M929" s="1056">
        <v>79579057</v>
      </c>
      <c r="N929" s="1056">
        <v>79579057</v>
      </c>
    </row>
    <row r="930" spans="1:14">
      <c r="A930" s="1049" t="s">
        <v>1862</v>
      </c>
      <c r="B930" s="1031" t="s">
        <v>3837</v>
      </c>
      <c r="C930" s="1056">
        <v>393034798</v>
      </c>
      <c r="D930" s="1056">
        <v>373661665</v>
      </c>
      <c r="E930" s="1056">
        <v>393034798</v>
      </c>
      <c r="F930" s="1056">
        <v>373661665</v>
      </c>
      <c r="G930" s="1056">
        <v>374778620</v>
      </c>
      <c r="H930" s="1056">
        <v>374778620</v>
      </c>
      <c r="I930" s="1056">
        <v>393034798</v>
      </c>
      <c r="J930" s="1056">
        <v>373661665</v>
      </c>
      <c r="K930" s="1056">
        <v>393034798</v>
      </c>
      <c r="L930" s="1056">
        <v>373661665</v>
      </c>
      <c r="M930" s="1056">
        <v>374778620</v>
      </c>
      <c r="N930" s="1056">
        <v>374778620</v>
      </c>
    </row>
    <row r="931" spans="1:14">
      <c r="A931" s="1049" t="s">
        <v>3582</v>
      </c>
      <c r="B931" s="1031" t="s">
        <v>7626</v>
      </c>
      <c r="C931" s="1056">
        <v>191272949</v>
      </c>
      <c r="D931" s="1056">
        <v>180090846</v>
      </c>
      <c r="E931" s="1056">
        <v>191272949</v>
      </c>
      <c r="F931" s="1056">
        <v>180090846</v>
      </c>
      <c r="G931" s="1056">
        <v>180993614</v>
      </c>
      <c r="H931" s="1056">
        <v>180993614</v>
      </c>
      <c r="I931" s="1056">
        <v>191272949</v>
      </c>
      <c r="J931" s="1056">
        <v>180090846</v>
      </c>
      <c r="K931" s="1056">
        <v>191272949</v>
      </c>
      <c r="L931" s="1056">
        <v>180090846</v>
      </c>
      <c r="M931" s="1056">
        <v>180993614</v>
      </c>
      <c r="N931" s="1056">
        <v>180993614</v>
      </c>
    </row>
    <row r="932" spans="1:14">
      <c r="A932" s="1049" t="s">
        <v>3584</v>
      </c>
      <c r="B932" s="1031" t="s">
        <v>7627</v>
      </c>
      <c r="C932" s="1056">
        <v>166371055</v>
      </c>
      <c r="D932" s="1056">
        <v>158777228</v>
      </c>
      <c r="E932" s="1056">
        <v>166371055</v>
      </c>
      <c r="F932" s="1056">
        <v>158777228</v>
      </c>
      <c r="G932" s="1056">
        <v>159307703</v>
      </c>
      <c r="H932" s="1056">
        <v>159307703</v>
      </c>
      <c r="I932" s="1056">
        <v>166371055</v>
      </c>
      <c r="J932" s="1056">
        <v>158777228</v>
      </c>
      <c r="K932" s="1056">
        <v>166371055</v>
      </c>
      <c r="L932" s="1056">
        <v>158777228</v>
      </c>
      <c r="M932" s="1056">
        <v>159307703</v>
      </c>
      <c r="N932" s="1056">
        <v>159307703</v>
      </c>
    </row>
    <row r="933" spans="1:14">
      <c r="A933" s="1049" t="s">
        <v>3586</v>
      </c>
      <c r="B933" s="1031" t="s">
        <v>7628</v>
      </c>
      <c r="C933" s="1056">
        <v>1269192902</v>
      </c>
      <c r="D933" s="1056">
        <v>1265362609</v>
      </c>
      <c r="E933" s="1056">
        <v>1267076178</v>
      </c>
      <c r="F933" s="1056">
        <v>1263245885</v>
      </c>
      <c r="G933" s="1056">
        <v>1265416263</v>
      </c>
      <c r="H933" s="1056">
        <v>1263299539</v>
      </c>
      <c r="I933" s="1056">
        <v>1269192902</v>
      </c>
      <c r="J933" s="1056">
        <v>1265362609</v>
      </c>
      <c r="K933" s="1056">
        <v>1267076178</v>
      </c>
      <c r="L933" s="1056">
        <v>1263245885</v>
      </c>
      <c r="M933" s="1056">
        <v>1265416263</v>
      </c>
      <c r="N933" s="1056">
        <v>1263299539</v>
      </c>
    </row>
    <row r="934" spans="1:14">
      <c r="A934" s="1049" t="s">
        <v>3588</v>
      </c>
      <c r="B934" s="1031" t="s">
        <v>7629</v>
      </c>
      <c r="C934" s="1056">
        <v>3701987376</v>
      </c>
      <c r="D934" s="1056">
        <v>3700215030</v>
      </c>
      <c r="E934" s="1056">
        <v>3701987376</v>
      </c>
      <c r="F934" s="1056">
        <v>3700215030</v>
      </c>
      <c r="G934" s="1056">
        <v>3700302088</v>
      </c>
      <c r="H934" s="1056">
        <v>3700302088</v>
      </c>
      <c r="I934" s="1056">
        <v>3701987376</v>
      </c>
      <c r="J934" s="1056">
        <v>3700215030</v>
      </c>
      <c r="K934" s="1056">
        <v>3701987376</v>
      </c>
      <c r="L934" s="1056">
        <v>3700215030</v>
      </c>
      <c r="M934" s="1056">
        <v>3700302088</v>
      </c>
      <c r="N934" s="1056">
        <v>3700302088</v>
      </c>
    </row>
    <row r="935" spans="1:14">
      <c r="A935" s="1049" t="s">
        <v>6036</v>
      </c>
      <c r="B935" s="1031" t="s">
        <v>5638</v>
      </c>
      <c r="C935" s="1056">
        <v>58755546</v>
      </c>
      <c r="D935" s="1056">
        <v>57172486</v>
      </c>
      <c r="E935" s="1056">
        <v>58755546</v>
      </c>
      <c r="F935" s="1056">
        <v>57172486</v>
      </c>
      <c r="G935" s="1056">
        <v>57340578</v>
      </c>
      <c r="H935" s="1056">
        <v>57340578</v>
      </c>
      <c r="I935" s="1056">
        <v>58755546</v>
      </c>
      <c r="J935" s="1056">
        <v>57172486</v>
      </c>
      <c r="K935" s="1056">
        <v>58755546</v>
      </c>
      <c r="L935" s="1056">
        <v>57172486</v>
      </c>
      <c r="M935" s="1056">
        <v>57340578</v>
      </c>
      <c r="N935" s="1056">
        <v>57340578</v>
      </c>
    </row>
    <row r="936" spans="1:14">
      <c r="A936" s="1049" t="s">
        <v>2472</v>
      </c>
      <c r="B936" s="1031" t="s">
        <v>375</v>
      </c>
      <c r="C936" s="1056">
        <v>310872784</v>
      </c>
      <c r="D936" s="1056">
        <v>305725800</v>
      </c>
      <c r="E936" s="1056">
        <v>310872784</v>
      </c>
      <c r="F936" s="1056">
        <v>305725800</v>
      </c>
      <c r="G936" s="1056">
        <v>306926720</v>
      </c>
      <c r="H936" s="1056">
        <v>306926720</v>
      </c>
      <c r="I936" s="1056">
        <v>310872784</v>
      </c>
      <c r="J936" s="1056">
        <v>305725800</v>
      </c>
      <c r="K936" s="1056">
        <v>310872784</v>
      </c>
      <c r="L936" s="1056">
        <v>305725800</v>
      </c>
      <c r="M936" s="1056">
        <v>306926720</v>
      </c>
      <c r="N936" s="1056">
        <v>306926720</v>
      </c>
    </row>
    <row r="937" spans="1:14">
      <c r="A937" s="1049" t="s">
        <v>2418</v>
      </c>
      <c r="B937" s="1031" t="s">
        <v>6740</v>
      </c>
      <c r="C937" s="1056">
        <v>1100545588</v>
      </c>
      <c r="D937" s="1056">
        <v>1061760061</v>
      </c>
      <c r="E937" s="1056">
        <v>1100545588</v>
      </c>
      <c r="F937" s="1056">
        <v>1061760061</v>
      </c>
      <c r="G937" s="1056">
        <v>1066699628</v>
      </c>
      <c r="H937" s="1056">
        <v>1066699628</v>
      </c>
      <c r="I937" s="1056">
        <v>1100545588</v>
      </c>
      <c r="J937" s="1056">
        <v>1061760061</v>
      </c>
      <c r="K937" s="1056">
        <v>1100545588</v>
      </c>
      <c r="L937" s="1056">
        <v>1061760061</v>
      </c>
      <c r="M937" s="1056">
        <v>1066699628</v>
      </c>
      <c r="N937" s="1056">
        <v>1066699628</v>
      </c>
    </row>
    <row r="938" spans="1:14">
      <c r="A938" s="1049" t="s">
        <v>3590</v>
      </c>
      <c r="B938" s="1031" t="s">
        <v>7630</v>
      </c>
      <c r="C938" s="1056">
        <v>185110901</v>
      </c>
      <c r="D938" s="1056">
        <v>180854139</v>
      </c>
      <c r="E938" s="1056">
        <v>185110901</v>
      </c>
      <c r="F938" s="1056">
        <v>180854139</v>
      </c>
      <c r="G938" s="1056">
        <v>182097120</v>
      </c>
      <c r="H938" s="1056">
        <v>182097120</v>
      </c>
      <c r="I938" s="1056">
        <v>185110901</v>
      </c>
      <c r="J938" s="1056">
        <v>180854139</v>
      </c>
      <c r="K938" s="1056">
        <v>185110901</v>
      </c>
      <c r="L938" s="1056">
        <v>180854139</v>
      </c>
      <c r="M938" s="1056">
        <v>182097120</v>
      </c>
      <c r="N938" s="1056">
        <v>182097120</v>
      </c>
    </row>
    <row r="939" spans="1:14">
      <c r="A939" s="1049" t="s">
        <v>2389</v>
      </c>
      <c r="B939" s="1031" t="s">
        <v>2014</v>
      </c>
      <c r="C939" s="1056">
        <v>1663904516</v>
      </c>
      <c r="D939" s="1056">
        <v>1580645829</v>
      </c>
      <c r="E939" s="1056">
        <v>1580969404</v>
      </c>
      <c r="F939" s="1056">
        <v>1497710717</v>
      </c>
      <c r="G939" s="1056">
        <v>1588054169</v>
      </c>
      <c r="H939" s="1056">
        <v>1505119057</v>
      </c>
      <c r="I939" s="1056">
        <v>1663904516</v>
      </c>
      <c r="J939" s="1056">
        <v>1580645829</v>
      </c>
      <c r="K939" s="1056">
        <v>1580969404</v>
      </c>
      <c r="L939" s="1056">
        <v>1497710717</v>
      </c>
      <c r="M939" s="1056">
        <v>1588054169</v>
      </c>
      <c r="N939" s="1056">
        <v>1505119057</v>
      </c>
    </row>
    <row r="940" spans="1:14">
      <c r="A940" s="1049" t="s">
        <v>3594</v>
      </c>
      <c r="B940" s="1031" t="s">
        <v>7631</v>
      </c>
      <c r="C940" s="1056">
        <v>187560950</v>
      </c>
      <c r="D940" s="1056">
        <v>186166172</v>
      </c>
      <c r="E940" s="1056">
        <v>187215569</v>
      </c>
      <c r="F940" s="1056">
        <v>185820791</v>
      </c>
      <c r="G940" s="1056">
        <v>186263785</v>
      </c>
      <c r="H940" s="1056">
        <v>185918404</v>
      </c>
      <c r="I940" s="1056">
        <v>187560950</v>
      </c>
      <c r="J940" s="1056">
        <v>186166172</v>
      </c>
      <c r="K940" s="1056">
        <v>187215569</v>
      </c>
      <c r="L940" s="1056">
        <v>185820791</v>
      </c>
      <c r="M940" s="1056">
        <v>186263785</v>
      </c>
      <c r="N940" s="1056">
        <v>185918404</v>
      </c>
    </row>
    <row r="941" spans="1:14">
      <c r="A941" s="1049" t="s">
        <v>6241</v>
      </c>
      <c r="B941" s="1031" t="s">
        <v>7632</v>
      </c>
      <c r="C941" s="1056">
        <v>618914376</v>
      </c>
      <c r="D941" s="1056">
        <v>591639670</v>
      </c>
      <c r="E941" s="1056">
        <v>618914376</v>
      </c>
      <c r="F941" s="1056">
        <v>591639670</v>
      </c>
      <c r="G941" s="1056">
        <v>596642865</v>
      </c>
      <c r="H941" s="1056">
        <v>596642865</v>
      </c>
      <c r="I941" s="1056">
        <v>618914376</v>
      </c>
      <c r="J941" s="1056">
        <v>591639670</v>
      </c>
      <c r="K941" s="1056">
        <v>618914376</v>
      </c>
      <c r="L941" s="1056">
        <v>591639670</v>
      </c>
      <c r="M941" s="1056">
        <v>596642865</v>
      </c>
      <c r="N941" s="1056">
        <v>596642865</v>
      </c>
    </row>
    <row r="942" spans="1:14">
      <c r="A942" s="1049" t="s">
        <v>6243</v>
      </c>
      <c r="B942" s="1031" t="s">
        <v>1926</v>
      </c>
      <c r="C942" s="1056">
        <v>221355312</v>
      </c>
      <c r="D942" s="1056">
        <v>209837203</v>
      </c>
      <c r="E942" s="1056">
        <v>221355312</v>
      </c>
      <c r="F942" s="1056">
        <v>209837203</v>
      </c>
      <c r="G942" s="1056">
        <v>213526449</v>
      </c>
      <c r="H942" s="1056">
        <v>213526449</v>
      </c>
      <c r="I942" s="1056">
        <v>221355312</v>
      </c>
      <c r="J942" s="1056">
        <v>209837203</v>
      </c>
      <c r="K942" s="1056">
        <v>221355312</v>
      </c>
      <c r="L942" s="1056">
        <v>209837203</v>
      </c>
      <c r="M942" s="1056">
        <v>213526449</v>
      </c>
      <c r="N942" s="1056">
        <v>213526449</v>
      </c>
    </row>
    <row r="943" spans="1:14">
      <c r="A943" s="1049" t="s">
        <v>1832</v>
      </c>
      <c r="B943" s="1031" t="s">
        <v>4967</v>
      </c>
      <c r="C943" s="1056">
        <v>238708311</v>
      </c>
      <c r="D943" s="1056">
        <v>224253771</v>
      </c>
      <c r="E943" s="1056">
        <v>225755113</v>
      </c>
      <c r="F943" s="1056">
        <v>211300573</v>
      </c>
      <c r="G943" s="1056">
        <v>226728684</v>
      </c>
      <c r="H943" s="1056">
        <v>213775486</v>
      </c>
      <c r="I943" s="1056">
        <v>238708311</v>
      </c>
      <c r="J943" s="1056">
        <v>224253771</v>
      </c>
      <c r="K943" s="1056">
        <v>225755113</v>
      </c>
      <c r="L943" s="1056">
        <v>211300573</v>
      </c>
      <c r="M943" s="1056">
        <v>226728684</v>
      </c>
      <c r="N943" s="1056">
        <v>213775486</v>
      </c>
    </row>
    <row r="944" spans="1:14">
      <c r="A944" s="1049" t="s">
        <v>6164</v>
      </c>
      <c r="B944" s="1031" t="s">
        <v>6068</v>
      </c>
      <c r="C944" s="1056">
        <v>93349644</v>
      </c>
      <c r="D944" s="1056">
        <v>88675801</v>
      </c>
      <c r="E944" s="1056">
        <v>93349644</v>
      </c>
      <c r="F944" s="1056">
        <v>88675801</v>
      </c>
      <c r="G944" s="1056">
        <v>90442492</v>
      </c>
      <c r="H944" s="1056">
        <v>90442492</v>
      </c>
      <c r="I944" s="1056">
        <v>93349644</v>
      </c>
      <c r="J944" s="1056">
        <v>88675801</v>
      </c>
      <c r="K944" s="1056">
        <v>93349644</v>
      </c>
      <c r="L944" s="1056">
        <v>88675801</v>
      </c>
      <c r="M944" s="1056">
        <v>90442492</v>
      </c>
      <c r="N944" s="1056">
        <v>90442492</v>
      </c>
    </row>
    <row r="945" spans="1:14">
      <c r="A945" s="1049" t="s">
        <v>6244</v>
      </c>
      <c r="B945" s="1031" t="s">
        <v>7633</v>
      </c>
      <c r="C945" s="1056">
        <v>595519748</v>
      </c>
      <c r="D945" s="1056">
        <v>563614343</v>
      </c>
      <c r="E945" s="1056">
        <v>561033192</v>
      </c>
      <c r="F945" s="1056">
        <v>529127787</v>
      </c>
      <c r="G945" s="1056">
        <v>565925504</v>
      </c>
      <c r="H945" s="1056">
        <v>531438948</v>
      </c>
      <c r="I945" s="1056">
        <v>595519748</v>
      </c>
      <c r="J945" s="1056">
        <v>563614343</v>
      </c>
      <c r="K945" s="1056">
        <v>561033192</v>
      </c>
      <c r="L945" s="1056">
        <v>529127787</v>
      </c>
      <c r="M945" s="1056">
        <v>565925504</v>
      </c>
      <c r="N945" s="1056">
        <v>531438948</v>
      </c>
    </row>
    <row r="946" spans="1:14">
      <c r="A946" s="1049" t="s">
        <v>6246</v>
      </c>
      <c r="B946" s="1031" t="s">
        <v>7634</v>
      </c>
      <c r="C946" s="1056">
        <v>508483540</v>
      </c>
      <c r="D946" s="1056">
        <v>480747872</v>
      </c>
      <c r="E946" s="1056">
        <v>508483540</v>
      </c>
      <c r="F946" s="1056">
        <v>480747872</v>
      </c>
      <c r="G946" s="1056">
        <v>491920599</v>
      </c>
      <c r="H946" s="1056">
        <v>491920599</v>
      </c>
      <c r="I946" s="1056">
        <v>508483540</v>
      </c>
      <c r="J946" s="1056">
        <v>480747872</v>
      </c>
      <c r="K946" s="1056">
        <v>508483540</v>
      </c>
      <c r="L946" s="1056">
        <v>480747872</v>
      </c>
      <c r="M946" s="1056">
        <v>491920599</v>
      </c>
      <c r="N946" s="1056">
        <v>491920599</v>
      </c>
    </row>
    <row r="947" spans="1:14">
      <c r="A947" s="1049" t="s">
        <v>1313</v>
      </c>
      <c r="B947" s="1031" t="s">
        <v>118</v>
      </c>
      <c r="C947" s="1056">
        <v>59027040</v>
      </c>
      <c r="D947" s="1056">
        <v>55274146</v>
      </c>
      <c r="E947" s="1056">
        <v>55884909</v>
      </c>
      <c r="F947" s="1056">
        <v>52132015</v>
      </c>
      <c r="G947" s="1056">
        <v>56078249</v>
      </c>
      <c r="H947" s="1056">
        <v>52936118</v>
      </c>
      <c r="I947" s="1056">
        <v>59027040</v>
      </c>
      <c r="J947" s="1056">
        <v>55274146</v>
      </c>
      <c r="K947" s="1056">
        <v>55884909</v>
      </c>
      <c r="L947" s="1056">
        <v>52132015</v>
      </c>
      <c r="M947" s="1056">
        <v>56078249</v>
      </c>
      <c r="N947" s="1056">
        <v>52936118</v>
      </c>
    </row>
    <row r="948" spans="1:14">
      <c r="A948" s="1049" t="s">
        <v>955</v>
      </c>
      <c r="B948" s="1031" t="s">
        <v>7660</v>
      </c>
      <c r="C948" s="1056">
        <v>177765968</v>
      </c>
      <c r="D948" s="1056">
        <v>172245689</v>
      </c>
      <c r="E948" s="1056">
        <v>177765968</v>
      </c>
      <c r="F948" s="1056">
        <v>172245689</v>
      </c>
      <c r="G948" s="1056">
        <v>172683841</v>
      </c>
      <c r="H948" s="1056">
        <v>172683841</v>
      </c>
      <c r="I948" s="1056">
        <v>177765968</v>
      </c>
      <c r="J948" s="1056">
        <v>172245689</v>
      </c>
      <c r="K948" s="1056">
        <v>177765968</v>
      </c>
      <c r="L948" s="1056">
        <v>172245689</v>
      </c>
      <c r="M948" s="1056">
        <v>172683841</v>
      </c>
      <c r="N948" s="1056">
        <v>172683841</v>
      </c>
    </row>
    <row r="949" spans="1:14">
      <c r="A949" s="1049" t="s">
        <v>3552</v>
      </c>
      <c r="B949" s="1031" t="s">
        <v>4058</v>
      </c>
      <c r="C949" s="1056">
        <v>5809685434</v>
      </c>
      <c r="D949" s="1056">
        <v>5649948023</v>
      </c>
      <c r="E949" s="1056">
        <v>5809685434</v>
      </c>
      <c r="F949" s="1056">
        <v>5649948023</v>
      </c>
      <c r="G949" s="1056">
        <v>5678358726</v>
      </c>
      <c r="H949" s="1056">
        <v>5678358726</v>
      </c>
      <c r="I949" s="1056">
        <v>5809685434</v>
      </c>
      <c r="J949" s="1056">
        <v>5649948023</v>
      </c>
      <c r="K949" s="1056">
        <v>5809685434</v>
      </c>
      <c r="L949" s="1056">
        <v>5649948023</v>
      </c>
      <c r="M949" s="1056">
        <v>5678358726</v>
      </c>
      <c r="N949" s="1056">
        <v>5678358726</v>
      </c>
    </row>
    <row r="950" spans="1:14">
      <c r="A950" s="1049" t="s">
        <v>6248</v>
      </c>
      <c r="B950" s="1031" t="s">
        <v>7635</v>
      </c>
      <c r="C950" s="1056">
        <v>229036360</v>
      </c>
      <c r="D950" s="1056">
        <v>224815783</v>
      </c>
      <c r="E950" s="1056">
        <v>229036360</v>
      </c>
      <c r="F950" s="1056">
        <v>224815783</v>
      </c>
      <c r="G950" s="1056">
        <v>225384874</v>
      </c>
      <c r="H950" s="1056">
        <v>225384874</v>
      </c>
      <c r="I950" s="1056">
        <v>229036360</v>
      </c>
      <c r="J950" s="1056">
        <v>224815783</v>
      </c>
      <c r="K950" s="1056">
        <v>229036360</v>
      </c>
      <c r="L950" s="1056">
        <v>224815783</v>
      </c>
      <c r="M950" s="1056">
        <v>225384874</v>
      </c>
      <c r="N950" s="1056">
        <v>225384874</v>
      </c>
    </row>
    <row r="951" spans="1:14">
      <c r="A951" s="1049" t="s">
        <v>6182</v>
      </c>
      <c r="B951" s="1031" t="s">
        <v>1935</v>
      </c>
      <c r="C951" s="1056">
        <v>268905778</v>
      </c>
      <c r="D951" s="1056">
        <v>259347724</v>
      </c>
      <c r="E951" s="1056">
        <v>268905778</v>
      </c>
      <c r="F951" s="1056">
        <v>259347724</v>
      </c>
      <c r="G951" s="1056">
        <v>261190789</v>
      </c>
      <c r="H951" s="1056">
        <v>261190789</v>
      </c>
      <c r="I951" s="1056">
        <v>268905778</v>
      </c>
      <c r="J951" s="1056">
        <v>259347724</v>
      </c>
      <c r="K951" s="1056">
        <v>268905778</v>
      </c>
      <c r="L951" s="1056">
        <v>259347724</v>
      </c>
      <c r="M951" s="1056">
        <v>261190789</v>
      </c>
      <c r="N951" s="1056">
        <v>261190789</v>
      </c>
    </row>
    <row r="952" spans="1:14">
      <c r="A952" s="1049" t="s">
        <v>6250</v>
      </c>
      <c r="B952" s="1031" t="s">
        <v>7636</v>
      </c>
      <c r="C952" s="1056">
        <v>2104423396</v>
      </c>
      <c r="D952" s="1056">
        <v>2035053946</v>
      </c>
      <c r="E952" s="1056">
        <v>2104423396</v>
      </c>
      <c r="F952" s="1056">
        <v>2035053946</v>
      </c>
      <c r="G952" s="1056">
        <v>2061292458</v>
      </c>
      <c r="H952" s="1056">
        <v>2061292458</v>
      </c>
      <c r="I952" s="1056">
        <v>2104423396</v>
      </c>
      <c r="J952" s="1056">
        <v>2035053946</v>
      </c>
      <c r="K952" s="1056">
        <v>2104423396</v>
      </c>
      <c r="L952" s="1056">
        <v>2035053946</v>
      </c>
      <c r="M952" s="1056">
        <v>2061292458</v>
      </c>
      <c r="N952" s="1056">
        <v>2061292458</v>
      </c>
    </row>
    <row r="953" spans="1:14">
      <c r="A953" s="1049" t="s">
        <v>5038</v>
      </c>
      <c r="B953" s="1031" t="s">
        <v>3842</v>
      </c>
      <c r="C953" s="1056">
        <v>461181570</v>
      </c>
      <c r="D953" s="1056">
        <v>447585014</v>
      </c>
      <c r="E953" s="1056">
        <v>461181570</v>
      </c>
      <c r="F953" s="1056">
        <v>447585014</v>
      </c>
      <c r="G953" s="1056">
        <v>449768855</v>
      </c>
      <c r="H953" s="1056">
        <v>449768855</v>
      </c>
      <c r="I953" s="1056">
        <v>461181570</v>
      </c>
      <c r="J953" s="1056">
        <v>447585014</v>
      </c>
      <c r="K953" s="1056">
        <v>461181570</v>
      </c>
      <c r="L953" s="1056">
        <v>447585014</v>
      </c>
      <c r="M953" s="1056">
        <v>449768855</v>
      </c>
      <c r="N953" s="1056">
        <v>449768855</v>
      </c>
    </row>
    <row r="954" spans="1:14">
      <c r="A954" s="1049" t="s">
        <v>5039</v>
      </c>
      <c r="B954" s="1031" t="s">
        <v>4062</v>
      </c>
      <c r="C954" s="1056">
        <v>1935660706</v>
      </c>
      <c r="D954" s="1056">
        <v>1879664460</v>
      </c>
      <c r="E954" s="1056">
        <v>1935660706</v>
      </c>
      <c r="F954" s="1056">
        <v>1879664460</v>
      </c>
      <c r="G954" s="1056">
        <v>1889713418</v>
      </c>
      <c r="H954" s="1056">
        <v>1889713418</v>
      </c>
      <c r="I954" s="1056">
        <v>2070563710</v>
      </c>
      <c r="J954" s="1056">
        <v>2014567464</v>
      </c>
      <c r="K954" s="1056">
        <v>2070563710</v>
      </c>
      <c r="L954" s="1056">
        <v>2014567464</v>
      </c>
      <c r="M954" s="1056">
        <v>2024616422</v>
      </c>
      <c r="N954" s="1056">
        <v>2024616422</v>
      </c>
    </row>
    <row r="955" spans="1:14">
      <c r="A955" s="1049" t="s">
        <v>2082</v>
      </c>
      <c r="B955" s="1031" t="s">
        <v>7637</v>
      </c>
      <c r="C955" s="1056">
        <v>994323477</v>
      </c>
      <c r="D955" s="1056">
        <v>981570526</v>
      </c>
      <c r="E955" s="1056">
        <v>991184690</v>
      </c>
      <c r="F955" s="1056">
        <v>978431739</v>
      </c>
      <c r="G955" s="1056">
        <v>983168578</v>
      </c>
      <c r="H955" s="1056">
        <v>980029791</v>
      </c>
      <c r="I955" s="1056">
        <v>994323477</v>
      </c>
      <c r="J955" s="1056">
        <v>981570526</v>
      </c>
      <c r="K955" s="1056">
        <v>991184690</v>
      </c>
      <c r="L955" s="1056">
        <v>978431739</v>
      </c>
      <c r="M955" s="1056">
        <v>983168578</v>
      </c>
      <c r="N955" s="1056">
        <v>980029791</v>
      </c>
    </row>
    <row r="956" spans="1:14">
      <c r="A956" s="1049" t="s">
        <v>2084</v>
      </c>
      <c r="B956" s="1031" t="s">
        <v>7638</v>
      </c>
      <c r="C956" s="1056">
        <v>2381107010</v>
      </c>
      <c r="D956" s="1056">
        <v>2367804800</v>
      </c>
      <c r="E956" s="1056">
        <v>2374795260</v>
      </c>
      <c r="F956" s="1056">
        <v>2361493050</v>
      </c>
      <c r="G956" s="1056">
        <v>2367804800</v>
      </c>
      <c r="H956" s="1056">
        <v>2361493050</v>
      </c>
      <c r="I956" s="1056">
        <v>2381107010</v>
      </c>
      <c r="J956" s="1056">
        <v>2367804800</v>
      </c>
      <c r="K956" s="1056">
        <v>2374795260</v>
      </c>
      <c r="L956" s="1056">
        <v>2361493050</v>
      </c>
      <c r="M956" s="1056">
        <v>2367804800</v>
      </c>
      <c r="N956" s="1056">
        <v>2361493050</v>
      </c>
    </row>
    <row r="957" spans="1:14">
      <c r="A957" s="1049" t="s">
        <v>2086</v>
      </c>
      <c r="B957" s="1031" t="s">
        <v>2936</v>
      </c>
      <c r="C957" s="1056">
        <v>160288140</v>
      </c>
      <c r="D957" s="1056">
        <v>160094120</v>
      </c>
      <c r="E957" s="1056">
        <v>160148840</v>
      </c>
      <c r="F957" s="1056">
        <v>159954820</v>
      </c>
      <c r="G957" s="1056">
        <v>160094120</v>
      </c>
      <c r="H957" s="1056">
        <v>159954820</v>
      </c>
      <c r="I957" s="1056">
        <v>160288140</v>
      </c>
      <c r="J957" s="1056">
        <v>160094120</v>
      </c>
      <c r="K957" s="1056">
        <v>160148840</v>
      </c>
      <c r="L957" s="1056">
        <v>159954820</v>
      </c>
      <c r="M957" s="1056">
        <v>160094120</v>
      </c>
      <c r="N957" s="1056">
        <v>159954820</v>
      </c>
    </row>
    <row r="958" spans="1:14">
      <c r="A958" s="1049" t="s">
        <v>2088</v>
      </c>
      <c r="B958" s="1031" t="s">
        <v>2937</v>
      </c>
      <c r="C958" s="1056">
        <v>2286292857</v>
      </c>
      <c r="D958" s="1056">
        <v>2220277287</v>
      </c>
      <c r="E958" s="1056">
        <v>2286292857</v>
      </c>
      <c r="F958" s="1056">
        <v>2220277287</v>
      </c>
      <c r="G958" s="1056">
        <v>2220493146</v>
      </c>
      <c r="H958" s="1056">
        <v>2220493146</v>
      </c>
      <c r="I958" s="1056">
        <v>2286292857</v>
      </c>
      <c r="J958" s="1056">
        <v>2220277287</v>
      </c>
      <c r="K958" s="1056">
        <v>2286292857</v>
      </c>
      <c r="L958" s="1056">
        <v>2220277287</v>
      </c>
      <c r="M958" s="1056">
        <v>2220493146</v>
      </c>
      <c r="N958" s="1056">
        <v>2220493146</v>
      </c>
    </row>
    <row r="959" spans="1:14">
      <c r="A959" s="1049" t="s">
        <v>2090</v>
      </c>
      <c r="B959" s="1031" t="s">
        <v>2938</v>
      </c>
      <c r="C959" s="1056">
        <v>402966176</v>
      </c>
      <c r="D959" s="1056">
        <v>394928776</v>
      </c>
      <c r="E959" s="1056">
        <v>402966176</v>
      </c>
      <c r="F959" s="1056">
        <v>394928776</v>
      </c>
      <c r="G959" s="1056">
        <v>394928776</v>
      </c>
      <c r="H959" s="1056">
        <v>394928776</v>
      </c>
      <c r="I959" s="1056">
        <v>402966176</v>
      </c>
      <c r="J959" s="1056">
        <v>394928776</v>
      </c>
      <c r="K959" s="1056">
        <v>402966176</v>
      </c>
      <c r="L959" s="1056">
        <v>394928776</v>
      </c>
      <c r="M959" s="1056">
        <v>394928776</v>
      </c>
      <c r="N959" s="1056">
        <v>394928776</v>
      </c>
    </row>
    <row r="960" spans="1:14">
      <c r="A960" s="1049" t="s">
        <v>2987</v>
      </c>
      <c r="B960" s="1031" t="s">
        <v>187</v>
      </c>
      <c r="C960" s="1056">
        <v>2120454829</v>
      </c>
      <c r="D960" s="1056">
        <v>2027321879</v>
      </c>
      <c r="E960" s="1056">
        <v>2085375539</v>
      </c>
      <c r="F960" s="1056">
        <v>1992242589</v>
      </c>
      <c r="G960" s="1056">
        <v>2039960524</v>
      </c>
      <c r="H960" s="1056">
        <v>2004881234</v>
      </c>
      <c r="I960" s="1056">
        <v>2120454829</v>
      </c>
      <c r="J960" s="1056">
        <v>2027321879</v>
      </c>
      <c r="K960" s="1056">
        <v>2085375539</v>
      </c>
      <c r="L960" s="1056">
        <v>1992242589</v>
      </c>
      <c r="M960" s="1056">
        <v>2039960524</v>
      </c>
      <c r="N960" s="1056">
        <v>2004881234</v>
      </c>
    </row>
    <row r="961" spans="1:14">
      <c r="A961" s="1049" t="s">
        <v>2417</v>
      </c>
      <c r="B961" s="1031" t="s">
        <v>5370</v>
      </c>
      <c r="C961" s="1056">
        <v>15278092177</v>
      </c>
      <c r="D961" s="1056">
        <v>15035577665</v>
      </c>
      <c r="E961" s="1056">
        <v>15027892597</v>
      </c>
      <c r="F961" s="1056">
        <v>14785378085</v>
      </c>
      <c r="G961" s="1056">
        <v>15057553531</v>
      </c>
      <c r="H961" s="1056">
        <v>14807353951</v>
      </c>
      <c r="I961" s="1056">
        <v>15278092177</v>
      </c>
      <c r="J961" s="1056">
        <v>15035577665</v>
      </c>
      <c r="K961" s="1056">
        <v>15027892597</v>
      </c>
      <c r="L961" s="1056">
        <v>14785378085</v>
      </c>
      <c r="M961" s="1056">
        <v>15057553531</v>
      </c>
      <c r="N961" s="1056">
        <v>14807353951</v>
      </c>
    </row>
    <row r="962" spans="1:14">
      <c r="A962" s="1049" t="s">
        <v>78</v>
      </c>
      <c r="B962" s="1031" t="s">
        <v>6766</v>
      </c>
      <c r="C962" s="1056">
        <v>939991807</v>
      </c>
      <c r="D962" s="1056">
        <v>938401962</v>
      </c>
      <c r="E962" s="1056">
        <v>939105417</v>
      </c>
      <c r="F962" s="1056">
        <v>937515572</v>
      </c>
      <c r="G962" s="1056">
        <v>938440333</v>
      </c>
      <c r="H962" s="1056">
        <v>937553943</v>
      </c>
      <c r="I962" s="1056">
        <v>1044934287</v>
      </c>
      <c r="J962" s="1056">
        <v>1043344442</v>
      </c>
      <c r="K962" s="1056">
        <v>1044047897</v>
      </c>
      <c r="L962" s="1056">
        <v>1042458052</v>
      </c>
      <c r="M962" s="1056">
        <v>1043382813</v>
      </c>
      <c r="N962" s="1056">
        <v>1042496423</v>
      </c>
    </row>
    <row r="963" spans="1:14">
      <c r="A963" s="1049" t="s">
        <v>80</v>
      </c>
      <c r="B963" s="1031" t="s">
        <v>2941</v>
      </c>
      <c r="C963" s="1056">
        <v>252912539</v>
      </c>
      <c r="D963" s="1056">
        <v>243145565</v>
      </c>
      <c r="E963" s="1056">
        <v>252912539</v>
      </c>
      <c r="F963" s="1056">
        <v>243145565</v>
      </c>
      <c r="G963" s="1056">
        <v>244583930</v>
      </c>
      <c r="H963" s="1056">
        <v>244583930</v>
      </c>
      <c r="I963" s="1056">
        <v>252912539</v>
      </c>
      <c r="J963" s="1056">
        <v>243145565</v>
      </c>
      <c r="K963" s="1056">
        <v>252912539</v>
      </c>
      <c r="L963" s="1056">
        <v>243145565</v>
      </c>
      <c r="M963" s="1056">
        <v>244583930</v>
      </c>
      <c r="N963" s="1056">
        <v>244583930</v>
      </c>
    </row>
    <row r="964" spans="1:14">
      <c r="A964" s="1049" t="s">
        <v>82</v>
      </c>
      <c r="B964" s="1031" t="s">
        <v>6720</v>
      </c>
      <c r="C964" s="1056">
        <v>330767009</v>
      </c>
      <c r="D964" s="1056">
        <v>320754943</v>
      </c>
      <c r="E964" s="1056">
        <v>330767009</v>
      </c>
      <c r="F964" s="1056">
        <v>320754943</v>
      </c>
      <c r="G964" s="1056">
        <v>322810225</v>
      </c>
      <c r="H964" s="1056">
        <v>322810225</v>
      </c>
      <c r="I964" s="1056">
        <v>330767009</v>
      </c>
      <c r="J964" s="1056">
        <v>320754943</v>
      </c>
      <c r="K964" s="1056">
        <v>330767009</v>
      </c>
      <c r="L964" s="1056">
        <v>320754943</v>
      </c>
      <c r="M964" s="1056">
        <v>322810225</v>
      </c>
      <c r="N964" s="1056">
        <v>322810225</v>
      </c>
    </row>
    <row r="965" spans="1:14">
      <c r="A965" s="1049" t="s">
        <v>84</v>
      </c>
      <c r="B965" s="1031" t="s">
        <v>6721</v>
      </c>
      <c r="C965" s="1056">
        <v>1252309260</v>
      </c>
      <c r="D965" s="1056">
        <v>1217664530</v>
      </c>
      <c r="E965" s="1056">
        <v>1252309260</v>
      </c>
      <c r="F965" s="1056">
        <v>1217664530</v>
      </c>
      <c r="G965" s="1056">
        <v>1222518311</v>
      </c>
      <c r="H965" s="1056">
        <v>1222518311</v>
      </c>
      <c r="I965" s="1056">
        <v>1252309260</v>
      </c>
      <c r="J965" s="1056">
        <v>1217664530</v>
      </c>
      <c r="K965" s="1056">
        <v>1252309260</v>
      </c>
      <c r="L965" s="1056">
        <v>1217664530</v>
      </c>
      <c r="M965" s="1056">
        <v>1222518311</v>
      </c>
      <c r="N965" s="1056">
        <v>1222518311</v>
      </c>
    </row>
    <row r="966" spans="1:14">
      <c r="A966" s="1049" t="s">
        <v>86</v>
      </c>
      <c r="B966" s="1031" t="s">
        <v>6722</v>
      </c>
      <c r="C966" s="1056">
        <v>1002891324</v>
      </c>
      <c r="D966" s="1056">
        <v>979450840</v>
      </c>
      <c r="E966" s="1056">
        <v>1002891324</v>
      </c>
      <c r="F966" s="1056">
        <v>979450840</v>
      </c>
      <c r="G966" s="1056">
        <v>982785399</v>
      </c>
      <c r="H966" s="1056">
        <v>982785399</v>
      </c>
      <c r="I966" s="1056">
        <v>1002891324</v>
      </c>
      <c r="J966" s="1056">
        <v>979450840</v>
      </c>
      <c r="K966" s="1056">
        <v>1002891324</v>
      </c>
      <c r="L966" s="1056">
        <v>979450840</v>
      </c>
      <c r="M966" s="1056">
        <v>982785399</v>
      </c>
      <c r="N966" s="1056">
        <v>982785399</v>
      </c>
    </row>
    <row r="967" spans="1:14">
      <c r="A967" s="1049" t="s">
        <v>88</v>
      </c>
      <c r="B967" s="1031" t="s">
        <v>6723</v>
      </c>
      <c r="C967" s="1056">
        <v>253361674</v>
      </c>
      <c r="D967" s="1056">
        <v>247773624</v>
      </c>
      <c r="E967" s="1056">
        <v>253361674</v>
      </c>
      <c r="F967" s="1056">
        <v>247773624</v>
      </c>
      <c r="G967" s="1056">
        <v>248611707</v>
      </c>
      <c r="H967" s="1056">
        <v>248611707</v>
      </c>
      <c r="I967" s="1056">
        <v>253361674</v>
      </c>
      <c r="J967" s="1056">
        <v>247773624</v>
      </c>
      <c r="K967" s="1056">
        <v>253361674</v>
      </c>
      <c r="L967" s="1056">
        <v>247773624</v>
      </c>
      <c r="M967" s="1056">
        <v>248611707</v>
      </c>
      <c r="N967" s="1056">
        <v>248611707</v>
      </c>
    </row>
    <row r="968" spans="1:14">
      <c r="A968" s="1049" t="s">
        <v>90</v>
      </c>
      <c r="B968" s="1031" t="s">
        <v>6724</v>
      </c>
      <c r="C968" s="1056">
        <v>175335566</v>
      </c>
      <c r="D968" s="1056">
        <v>170875816</v>
      </c>
      <c r="E968" s="1056">
        <v>175335566</v>
      </c>
      <c r="F968" s="1056">
        <v>170875816</v>
      </c>
      <c r="G968" s="1056">
        <v>171510239</v>
      </c>
      <c r="H968" s="1056">
        <v>171510239</v>
      </c>
      <c r="I968" s="1056">
        <v>175335566</v>
      </c>
      <c r="J968" s="1056">
        <v>170875816</v>
      </c>
      <c r="K968" s="1056">
        <v>175335566</v>
      </c>
      <c r="L968" s="1056">
        <v>170875816</v>
      </c>
      <c r="M968" s="1056">
        <v>171510239</v>
      </c>
      <c r="N968" s="1056">
        <v>171510239</v>
      </c>
    </row>
    <row r="969" spans="1:14">
      <c r="A969" s="1049" t="s">
        <v>92</v>
      </c>
      <c r="B969" s="1031" t="s">
        <v>1546</v>
      </c>
      <c r="C969" s="1056">
        <v>503219893</v>
      </c>
      <c r="D969" s="1056">
        <v>499525023</v>
      </c>
      <c r="E969" s="1056">
        <v>503219893</v>
      </c>
      <c r="F969" s="1056">
        <v>499525023</v>
      </c>
      <c r="G969" s="1056">
        <v>500162825</v>
      </c>
      <c r="H969" s="1056">
        <v>500162825</v>
      </c>
      <c r="I969" s="1056">
        <v>503219893</v>
      </c>
      <c r="J969" s="1056">
        <v>499525023</v>
      </c>
      <c r="K969" s="1056">
        <v>503219893</v>
      </c>
      <c r="L969" s="1056">
        <v>499525023</v>
      </c>
      <c r="M969" s="1056">
        <v>500162825</v>
      </c>
      <c r="N969" s="1056">
        <v>500162825</v>
      </c>
    </row>
    <row r="970" spans="1:14">
      <c r="A970" s="1049" t="s">
        <v>2332</v>
      </c>
      <c r="B970" s="1031" t="s">
        <v>1547</v>
      </c>
      <c r="C970" s="1056">
        <v>1105075902</v>
      </c>
      <c r="D970" s="1056">
        <v>1104783432</v>
      </c>
      <c r="E970" s="1056">
        <v>1105075902</v>
      </c>
      <c r="F970" s="1056">
        <v>1104783432</v>
      </c>
      <c r="G970" s="1056">
        <v>1104825464</v>
      </c>
      <c r="H970" s="1056">
        <v>1104825464</v>
      </c>
      <c r="I970" s="1056">
        <v>1105075902</v>
      </c>
      <c r="J970" s="1056">
        <v>1104783432</v>
      </c>
      <c r="K970" s="1056">
        <v>1105075902</v>
      </c>
      <c r="L970" s="1056">
        <v>1104783432</v>
      </c>
      <c r="M970" s="1056">
        <v>1104825464</v>
      </c>
      <c r="N970" s="1056">
        <v>1104825464</v>
      </c>
    </row>
    <row r="971" spans="1:14">
      <c r="A971" s="1049" t="s">
        <v>2334</v>
      </c>
      <c r="B971" s="1031" t="s">
        <v>1548</v>
      </c>
      <c r="C971" s="1056">
        <v>1980440476</v>
      </c>
      <c r="D971" s="1056">
        <v>1978664216</v>
      </c>
      <c r="E971" s="1056">
        <v>1980440476</v>
      </c>
      <c r="F971" s="1056">
        <v>1978664216</v>
      </c>
      <c r="G971" s="1056">
        <v>1978768786</v>
      </c>
      <c r="H971" s="1056">
        <v>1978768786</v>
      </c>
      <c r="I971" s="1056">
        <v>1980440476</v>
      </c>
      <c r="J971" s="1056">
        <v>1978664216</v>
      </c>
      <c r="K971" s="1056">
        <v>1980440476</v>
      </c>
      <c r="L971" s="1056">
        <v>1978664216</v>
      </c>
      <c r="M971" s="1056">
        <v>1978768786</v>
      </c>
      <c r="N971" s="1056">
        <v>1978768786</v>
      </c>
    </row>
    <row r="972" spans="1:14">
      <c r="A972" s="1049" t="s">
        <v>962</v>
      </c>
      <c r="B972" s="1031" t="s">
        <v>2146</v>
      </c>
      <c r="C972" s="1056">
        <v>795400675</v>
      </c>
      <c r="D972" s="1056">
        <v>763315631</v>
      </c>
      <c r="E972" s="1056">
        <v>795400675</v>
      </c>
      <c r="F972" s="1056">
        <v>763315631</v>
      </c>
      <c r="G972" s="1056">
        <v>768034639</v>
      </c>
      <c r="H972" s="1056">
        <v>768034639</v>
      </c>
      <c r="I972" s="1056">
        <v>795400675</v>
      </c>
      <c r="J972" s="1056">
        <v>763315631</v>
      </c>
      <c r="K972" s="1056">
        <v>795400675</v>
      </c>
      <c r="L972" s="1056">
        <v>763315631</v>
      </c>
      <c r="M972" s="1056">
        <v>768034639</v>
      </c>
      <c r="N972" s="1056">
        <v>768034639</v>
      </c>
    </row>
    <row r="973" spans="1:14">
      <c r="A973" s="1049" t="s">
        <v>2336</v>
      </c>
      <c r="B973" s="1031" t="s">
        <v>1549</v>
      </c>
      <c r="C973" s="1056">
        <v>308823058</v>
      </c>
      <c r="D973" s="1056">
        <v>304215746</v>
      </c>
      <c r="E973" s="1056">
        <v>308823058</v>
      </c>
      <c r="F973" s="1056">
        <v>304215746</v>
      </c>
      <c r="G973" s="1056">
        <v>304675411</v>
      </c>
      <c r="H973" s="1056">
        <v>304675411</v>
      </c>
      <c r="I973" s="1056">
        <v>308823058</v>
      </c>
      <c r="J973" s="1056">
        <v>304215746</v>
      </c>
      <c r="K973" s="1056">
        <v>308823058</v>
      </c>
      <c r="L973" s="1056">
        <v>304215746</v>
      </c>
      <c r="M973" s="1056">
        <v>304675411</v>
      </c>
      <c r="N973" s="1056">
        <v>304675411</v>
      </c>
    </row>
    <row r="974" spans="1:14">
      <c r="A974" s="1049" t="s">
        <v>2338</v>
      </c>
      <c r="B974" s="1031" t="s">
        <v>6779</v>
      </c>
      <c r="C974" s="1056">
        <v>620418392</v>
      </c>
      <c r="D974" s="1056">
        <v>595185753</v>
      </c>
      <c r="E974" s="1056">
        <v>620418392</v>
      </c>
      <c r="F974" s="1056">
        <v>595185753</v>
      </c>
      <c r="G974" s="1056">
        <v>598863706</v>
      </c>
      <c r="H974" s="1056">
        <v>598863706</v>
      </c>
      <c r="I974" s="1056">
        <v>620418392</v>
      </c>
      <c r="J974" s="1056">
        <v>595185753</v>
      </c>
      <c r="K974" s="1056">
        <v>620418392</v>
      </c>
      <c r="L974" s="1056">
        <v>595185753</v>
      </c>
      <c r="M974" s="1056">
        <v>598863706</v>
      </c>
      <c r="N974" s="1056">
        <v>598863706</v>
      </c>
    </row>
    <row r="975" spans="1:14">
      <c r="A975" s="1049" t="s">
        <v>2340</v>
      </c>
      <c r="B975" s="1031" t="s">
        <v>1551</v>
      </c>
      <c r="C975" s="1056">
        <v>4117271008</v>
      </c>
      <c r="D975" s="1056">
        <v>3966525449</v>
      </c>
      <c r="E975" s="1056">
        <v>4117271008</v>
      </c>
      <c r="F975" s="1056">
        <v>3966525449</v>
      </c>
      <c r="G975" s="1056">
        <v>4007368268</v>
      </c>
      <c r="H975" s="1056">
        <v>4007368268</v>
      </c>
      <c r="I975" s="1056">
        <v>4117271008</v>
      </c>
      <c r="J975" s="1056">
        <v>3966525449</v>
      </c>
      <c r="K975" s="1056">
        <v>4117271008</v>
      </c>
      <c r="L975" s="1056">
        <v>3966525449</v>
      </c>
      <c r="M975" s="1056">
        <v>4007368268</v>
      </c>
      <c r="N975" s="1056">
        <v>4007368268</v>
      </c>
    </row>
    <row r="976" spans="1:14">
      <c r="A976" s="1049" t="s">
        <v>738</v>
      </c>
      <c r="B976" s="1031" t="s">
        <v>6112</v>
      </c>
      <c r="C976" s="1056">
        <v>177954749</v>
      </c>
      <c r="D976" s="1056">
        <v>169207066</v>
      </c>
      <c r="E976" s="1056">
        <v>177954749</v>
      </c>
      <c r="F976" s="1056">
        <v>169207066</v>
      </c>
      <c r="G976" s="1056">
        <v>170122700</v>
      </c>
      <c r="H976" s="1056">
        <v>170122700</v>
      </c>
      <c r="I976" s="1056">
        <v>177954749</v>
      </c>
      <c r="J976" s="1056">
        <v>169207066</v>
      </c>
      <c r="K976" s="1056">
        <v>177954749</v>
      </c>
      <c r="L976" s="1056">
        <v>169207066</v>
      </c>
      <c r="M976" s="1056">
        <v>170122700</v>
      </c>
      <c r="N976" s="1056">
        <v>170122700</v>
      </c>
    </row>
    <row r="977" spans="1:14">
      <c r="A977" s="1049" t="s">
        <v>3219</v>
      </c>
      <c r="B977" s="1031" t="s">
        <v>1485</v>
      </c>
      <c r="C977" s="1056">
        <v>94693783</v>
      </c>
      <c r="D977" s="1056">
        <v>94369553</v>
      </c>
      <c r="E977" s="1056">
        <v>94693783</v>
      </c>
      <c r="F977" s="1056">
        <v>94369553</v>
      </c>
      <c r="G977" s="1056">
        <v>94369553</v>
      </c>
      <c r="H977" s="1056">
        <v>94369553</v>
      </c>
      <c r="I977" s="1056">
        <v>94693783</v>
      </c>
      <c r="J977" s="1056">
        <v>94369553</v>
      </c>
      <c r="K977" s="1056">
        <v>94693783</v>
      </c>
      <c r="L977" s="1056">
        <v>94369553</v>
      </c>
      <c r="M977" s="1056">
        <v>94369553</v>
      </c>
      <c r="N977" s="1056">
        <v>94369553</v>
      </c>
    </row>
    <row r="978" spans="1:14">
      <c r="A978" s="1049" t="s">
        <v>608</v>
      </c>
      <c r="B978" s="1031" t="s">
        <v>1486</v>
      </c>
      <c r="C978" s="1056">
        <v>814837099</v>
      </c>
      <c r="D978" s="1056">
        <v>791360129</v>
      </c>
      <c r="E978" s="1056">
        <v>814837099</v>
      </c>
      <c r="F978" s="1056">
        <v>791360129</v>
      </c>
      <c r="G978" s="1056">
        <v>795265304</v>
      </c>
      <c r="H978" s="1056">
        <v>795265304</v>
      </c>
      <c r="I978" s="1056">
        <v>814837099</v>
      </c>
      <c r="J978" s="1056">
        <v>791360129</v>
      </c>
      <c r="K978" s="1056">
        <v>814837099</v>
      </c>
      <c r="L978" s="1056">
        <v>791360129</v>
      </c>
      <c r="M978" s="1056">
        <v>795265304</v>
      </c>
      <c r="N978" s="1056">
        <v>795265304</v>
      </c>
    </row>
    <row r="979" spans="1:14">
      <c r="A979" s="1049" t="s">
        <v>610</v>
      </c>
      <c r="B979" s="1031" t="s">
        <v>1939</v>
      </c>
      <c r="C979" s="1056">
        <v>102198284</v>
      </c>
      <c r="D979" s="1056">
        <v>101585644</v>
      </c>
      <c r="E979" s="1056">
        <v>102198284</v>
      </c>
      <c r="F979" s="1056">
        <v>101585644</v>
      </c>
      <c r="G979" s="1056">
        <v>101610140</v>
      </c>
      <c r="H979" s="1056">
        <v>101610140</v>
      </c>
      <c r="I979" s="1056">
        <v>102198284</v>
      </c>
      <c r="J979" s="1056">
        <v>101585644</v>
      </c>
      <c r="K979" s="1056">
        <v>102198284</v>
      </c>
      <c r="L979" s="1056">
        <v>101585644</v>
      </c>
      <c r="M979" s="1056">
        <v>101610140</v>
      </c>
      <c r="N979" s="1056">
        <v>101610140</v>
      </c>
    </row>
    <row r="980" spans="1:14">
      <c r="A980" s="1049" t="s">
        <v>6145</v>
      </c>
      <c r="B980" s="1031" t="s">
        <v>188</v>
      </c>
      <c r="C980" s="1056">
        <v>34055076</v>
      </c>
      <c r="D980" s="1056">
        <v>32173266</v>
      </c>
      <c r="E980" s="1056">
        <v>34055076</v>
      </c>
      <c r="F980" s="1056">
        <v>32173266</v>
      </c>
      <c r="G980" s="1056">
        <v>32173266</v>
      </c>
      <c r="H980" s="1056">
        <v>32173266</v>
      </c>
      <c r="I980" s="1056">
        <v>34055076</v>
      </c>
      <c r="J980" s="1056">
        <v>32173266</v>
      </c>
      <c r="K980" s="1056">
        <v>34055076</v>
      </c>
      <c r="L980" s="1056">
        <v>32173266</v>
      </c>
      <c r="M980" s="1056">
        <v>32173266</v>
      </c>
      <c r="N980" s="1056">
        <v>32173266</v>
      </c>
    </row>
    <row r="981" spans="1:14">
      <c r="A981" s="1049" t="s">
        <v>2998</v>
      </c>
      <c r="B981" s="1031" t="s">
        <v>6058</v>
      </c>
      <c r="C981" s="1056">
        <v>256848531</v>
      </c>
      <c r="D981" s="1056">
        <v>247198788</v>
      </c>
      <c r="E981" s="1056">
        <v>256848531</v>
      </c>
      <c r="F981" s="1056">
        <v>247198788</v>
      </c>
      <c r="G981" s="1056">
        <v>247416288</v>
      </c>
      <c r="H981" s="1056">
        <v>247416288</v>
      </c>
      <c r="I981" s="1056">
        <v>687494700</v>
      </c>
      <c r="J981" s="1056">
        <v>677844957</v>
      </c>
      <c r="K981" s="1056">
        <v>687494700</v>
      </c>
      <c r="L981" s="1056">
        <v>677844957</v>
      </c>
      <c r="M981" s="1056">
        <v>678062457</v>
      </c>
      <c r="N981" s="1056">
        <v>678062457</v>
      </c>
    </row>
    <row r="982" spans="1:14">
      <c r="A982" s="1049" t="s">
        <v>2766</v>
      </c>
      <c r="B982" s="1031" t="s">
        <v>356</v>
      </c>
      <c r="C982" s="1056">
        <v>260821552</v>
      </c>
      <c r="D982" s="1056">
        <v>247906363</v>
      </c>
      <c r="E982" s="1056">
        <v>260821552</v>
      </c>
      <c r="F982" s="1056">
        <v>247906363</v>
      </c>
      <c r="G982" s="1056">
        <v>248736832</v>
      </c>
      <c r="H982" s="1056">
        <v>248736832</v>
      </c>
      <c r="I982" s="1056">
        <v>342858803</v>
      </c>
      <c r="J982" s="1056">
        <v>329943614</v>
      </c>
      <c r="K982" s="1056">
        <v>342858803</v>
      </c>
      <c r="L982" s="1056">
        <v>329943614</v>
      </c>
      <c r="M982" s="1056">
        <v>330774083</v>
      </c>
      <c r="N982" s="1056">
        <v>330774083</v>
      </c>
    </row>
    <row r="983" spans="1:14">
      <c r="A983" s="1049" t="s">
        <v>5040</v>
      </c>
      <c r="B983" s="1031" t="s">
        <v>384</v>
      </c>
      <c r="C983" s="1056">
        <v>81596549</v>
      </c>
      <c r="D983" s="1056">
        <v>79581818</v>
      </c>
      <c r="E983" s="1056">
        <v>81596549</v>
      </c>
      <c r="F983" s="1056">
        <v>79581818</v>
      </c>
      <c r="G983" s="1056">
        <v>79581818</v>
      </c>
      <c r="H983" s="1056">
        <v>79581818</v>
      </c>
      <c r="I983" s="1056">
        <v>113792584</v>
      </c>
      <c r="J983" s="1056">
        <v>111777853</v>
      </c>
      <c r="K983" s="1056">
        <v>113792584</v>
      </c>
      <c r="L983" s="1056">
        <v>111777853</v>
      </c>
      <c r="M983" s="1056">
        <v>111777853</v>
      </c>
      <c r="N983" s="1056">
        <v>111777853</v>
      </c>
    </row>
    <row r="984" spans="1:14">
      <c r="A984" s="1049" t="s">
        <v>1307</v>
      </c>
      <c r="B984" s="1031" t="s">
        <v>111</v>
      </c>
      <c r="C984" s="1056">
        <v>292098817</v>
      </c>
      <c r="D984" s="1056">
        <v>280792029</v>
      </c>
      <c r="E984" s="1056">
        <v>292098817</v>
      </c>
      <c r="F984" s="1056">
        <v>280792029</v>
      </c>
      <c r="G984" s="1056">
        <v>280792029</v>
      </c>
      <c r="H984" s="1056">
        <v>280792029</v>
      </c>
      <c r="I984" s="1056">
        <v>292098817</v>
      </c>
      <c r="J984" s="1056">
        <v>280792029</v>
      </c>
      <c r="K984" s="1056">
        <v>292098817</v>
      </c>
      <c r="L984" s="1056">
        <v>280792029</v>
      </c>
      <c r="M984" s="1056">
        <v>280792029</v>
      </c>
      <c r="N984" s="1056">
        <v>280792029</v>
      </c>
    </row>
    <row r="985" spans="1:14">
      <c r="A985" s="1049" t="s">
        <v>1319</v>
      </c>
      <c r="B985" s="1031" t="s">
        <v>125</v>
      </c>
      <c r="C985" s="1056">
        <v>6460569329</v>
      </c>
      <c r="D985" s="1056">
        <v>6280657743</v>
      </c>
      <c r="E985" s="1056">
        <v>6460569329</v>
      </c>
      <c r="F985" s="1056">
        <v>6280657743</v>
      </c>
      <c r="G985" s="1056">
        <v>6280657743</v>
      </c>
      <c r="H985" s="1056">
        <v>6280657743</v>
      </c>
      <c r="I985" s="1056">
        <v>6460569329</v>
      </c>
      <c r="J985" s="1056">
        <v>6280657743</v>
      </c>
      <c r="K985" s="1056">
        <v>6460569329</v>
      </c>
      <c r="L985" s="1056">
        <v>6280657743</v>
      </c>
      <c r="M985" s="1056">
        <v>6280657743</v>
      </c>
      <c r="N985" s="1056">
        <v>6280657743</v>
      </c>
    </row>
    <row r="986" spans="1:14">
      <c r="A986" s="1049" t="s">
        <v>1856</v>
      </c>
      <c r="B986" s="1031" t="s">
        <v>3912</v>
      </c>
      <c r="C986" s="1056">
        <v>128569499</v>
      </c>
      <c r="D986" s="1056">
        <v>122600781</v>
      </c>
      <c r="E986" s="1056">
        <v>128569499</v>
      </c>
      <c r="F986" s="1056">
        <v>122600781</v>
      </c>
      <c r="G986" s="1056">
        <v>122600781</v>
      </c>
      <c r="H986" s="1056">
        <v>122600781</v>
      </c>
      <c r="I986" s="1056">
        <v>128569499</v>
      </c>
      <c r="J986" s="1056">
        <v>122600781</v>
      </c>
      <c r="K986" s="1056">
        <v>128569499</v>
      </c>
      <c r="L986" s="1056">
        <v>122600781</v>
      </c>
      <c r="M986" s="1056">
        <v>122600781</v>
      </c>
      <c r="N986" s="1056">
        <v>122600781</v>
      </c>
    </row>
    <row r="987" spans="1:14">
      <c r="A987" s="1049" t="s">
        <v>6020</v>
      </c>
      <c r="B987" s="1031" t="s">
        <v>3859</v>
      </c>
      <c r="C987" s="1056">
        <v>1753675647</v>
      </c>
      <c r="D987" s="1056">
        <v>1698052897</v>
      </c>
      <c r="E987" s="1056">
        <v>1753675647</v>
      </c>
      <c r="F987" s="1056">
        <v>1698052897</v>
      </c>
      <c r="G987" s="1056">
        <v>1698052897</v>
      </c>
      <c r="H987" s="1056">
        <v>1698052897</v>
      </c>
      <c r="I987" s="1056">
        <v>1753675647</v>
      </c>
      <c r="J987" s="1056">
        <v>1698052897</v>
      </c>
      <c r="K987" s="1056">
        <v>1753675647</v>
      </c>
      <c r="L987" s="1056">
        <v>1698052897</v>
      </c>
      <c r="M987" s="1056">
        <v>1698052897</v>
      </c>
      <c r="N987" s="1056">
        <v>1698052897</v>
      </c>
    </row>
    <row r="988" spans="1:14">
      <c r="A988" s="1049" t="s">
        <v>611</v>
      </c>
      <c r="B988" s="1031" t="s">
        <v>1487</v>
      </c>
      <c r="C988" s="1056">
        <v>775143937</v>
      </c>
      <c r="D988" s="1056">
        <v>744460119</v>
      </c>
      <c r="E988" s="1056">
        <v>775143937</v>
      </c>
      <c r="F988" s="1056">
        <v>744460119</v>
      </c>
      <c r="G988" s="1056">
        <v>745886882</v>
      </c>
      <c r="H988" s="1056">
        <v>745886882</v>
      </c>
      <c r="I988" s="1056">
        <v>775143937</v>
      </c>
      <c r="J988" s="1056">
        <v>744460119</v>
      </c>
      <c r="K988" s="1056">
        <v>775143937</v>
      </c>
      <c r="L988" s="1056">
        <v>744460119</v>
      </c>
      <c r="M988" s="1056">
        <v>745886882</v>
      </c>
      <c r="N988" s="1056">
        <v>745886882</v>
      </c>
    </row>
    <row r="989" spans="1:14">
      <c r="A989" s="1049" t="s">
        <v>2990</v>
      </c>
      <c r="B989" s="1031" t="s">
        <v>191</v>
      </c>
      <c r="C989" s="1056">
        <v>1225126904</v>
      </c>
      <c r="D989" s="1056">
        <v>1192695417</v>
      </c>
      <c r="E989" s="1056">
        <v>1225126904</v>
      </c>
      <c r="F989" s="1056">
        <v>1192695417</v>
      </c>
      <c r="G989" s="1056">
        <v>1192695417</v>
      </c>
      <c r="H989" s="1056">
        <v>1192695417</v>
      </c>
      <c r="I989" s="1056">
        <v>1225126904</v>
      </c>
      <c r="J989" s="1056">
        <v>1192695417</v>
      </c>
      <c r="K989" s="1056">
        <v>1225126904</v>
      </c>
      <c r="L989" s="1056">
        <v>1192695417</v>
      </c>
      <c r="M989" s="1056">
        <v>1192695417</v>
      </c>
      <c r="N989" s="1056">
        <v>1192695417</v>
      </c>
    </row>
    <row r="990" spans="1:14">
      <c r="A990" s="1049" t="s">
        <v>2382</v>
      </c>
      <c r="B990" s="1031" t="s">
        <v>371</v>
      </c>
      <c r="C990" s="1056">
        <v>25025757534</v>
      </c>
      <c r="D990" s="1056">
        <v>24533307639</v>
      </c>
      <c r="E990" s="1056">
        <v>25025757534</v>
      </c>
      <c r="F990" s="1056">
        <v>24533307639</v>
      </c>
      <c r="G990" s="1056">
        <v>24533593770</v>
      </c>
      <c r="H990" s="1056">
        <v>24533593770</v>
      </c>
      <c r="I990" s="1056">
        <v>25025757534</v>
      </c>
      <c r="J990" s="1056">
        <v>24533307639</v>
      </c>
      <c r="K990" s="1056">
        <v>25025757534</v>
      </c>
      <c r="L990" s="1056">
        <v>24533307639</v>
      </c>
      <c r="M990" s="1056">
        <v>24533593770</v>
      </c>
      <c r="N990" s="1056">
        <v>24533593770</v>
      </c>
    </row>
    <row r="991" spans="1:14">
      <c r="A991" s="1049" t="s">
        <v>2473</v>
      </c>
      <c r="B991" s="1031" t="s">
        <v>5363</v>
      </c>
      <c r="C991" s="1056">
        <v>851602812</v>
      </c>
      <c r="D991" s="1056">
        <v>818441877</v>
      </c>
      <c r="E991" s="1056">
        <v>851602812</v>
      </c>
      <c r="F991" s="1056">
        <v>818441877</v>
      </c>
      <c r="G991" s="1056">
        <v>818441877</v>
      </c>
      <c r="H991" s="1056">
        <v>818441877</v>
      </c>
      <c r="I991" s="1056">
        <v>851602812</v>
      </c>
      <c r="J991" s="1056">
        <v>818441877</v>
      </c>
      <c r="K991" s="1056">
        <v>851602812</v>
      </c>
      <c r="L991" s="1056">
        <v>818441877</v>
      </c>
      <c r="M991" s="1056">
        <v>818441877</v>
      </c>
      <c r="N991" s="1056">
        <v>818441877</v>
      </c>
    </row>
    <row r="992" spans="1:14">
      <c r="A992" s="1049" t="s">
        <v>2412</v>
      </c>
      <c r="B992" s="1031" t="s">
        <v>5365</v>
      </c>
      <c r="C992" s="1056">
        <v>202557907</v>
      </c>
      <c r="D992" s="1056">
        <v>194866300</v>
      </c>
      <c r="E992" s="1056">
        <v>202557907</v>
      </c>
      <c r="F992" s="1056">
        <v>194866300</v>
      </c>
      <c r="G992" s="1056">
        <v>194866300</v>
      </c>
      <c r="H992" s="1056">
        <v>194866300</v>
      </c>
      <c r="I992" s="1056">
        <v>202557907</v>
      </c>
      <c r="J992" s="1056">
        <v>194866300</v>
      </c>
      <c r="K992" s="1056">
        <v>202557907</v>
      </c>
      <c r="L992" s="1056">
        <v>194866300</v>
      </c>
      <c r="M992" s="1056">
        <v>194866300</v>
      </c>
      <c r="N992" s="1056">
        <v>194866300</v>
      </c>
    </row>
    <row r="993" spans="1:14">
      <c r="A993" s="1049" t="s">
        <v>2988</v>
      </c>
      <c r="B993" s="1031" t="s">
        <v>189</v>
      </c>
      <c r="C993" s="1056">
        <v>16494761653</v>
      </c>
      <c r="D993" s="1056">
        <v>16123255759</v>
      </c>
      <c r="E993" s="1056">
        <v>16494761653</v>
      </c>
      <c r="F993" s="1056">
        <v>16123255759</v>
      </c>
      <c r="G993" s="1056">
        <v>16123542292</v>
      </c>
      <c r="H993" s="1056">
        <v>16123542292</v>
      </c>
      <c r="I993" s="1056">
        <v>16494761653</v>
      </c>
      <c r="J993" s="1056">
        <v>16123255759</v>
      </c>
      <c r="K993" s="1056">
        <v>16494761653</v>
      </c>
      <c r="L993" s="1056">
        <v>16123255759</v>
      </c>
      <c r="M993" s="1056">
        <v>16123542292</v>
      </c>
      <c r="N993" s="1056">
        <v>16123542292</v>
      </c>
    </row>
    <row r="994" spans="1:14">
      <c r="A994" s="1049" t="s">
        <v>613</v>
      </c>
      <c r="B994" s="1031" t="s">
        <v>1003</v>
      </c>
      <c r="C994" s="1056">
        <v>61027589</v>
      </c>
      <c r="D994" s="1056">
        <v>58619544</v>
      </c>
      <c r="E994" s="1056">
        <v>61027589</v>
      </c>
      <c r="F994" s="1056">
        <v>58619544</v>
      </c>
      <c r="G994" s="1056">
        <v>58845014</v>
      </c>
      <c r="H994" s="1056">
        <v>58845014</v>
      </c>
      <c r="I994" s="1056">
        <v>61027589</v>
      </c>
      <c r="J994" s="1056">
        <v>58619544</v>
      </c>
      <c r="K994" s="1056">
        <v>61027589</v>
      </c>
      <c r="L994" s="1056">
        <v>58619544</v>
      </c>
      <c r="M994" s="1056">
        <v>58845014</v>
      </c>
      <c r="N994" s="1056">
        <v>58845014</v>
      </c>
    </row>
    <row r="995" spans="1:14">
      <c r="A995" s="1049" t="s">
        <v>5041</v>
      </c>
      <c r="B995" s="1031" t="s">
        <v>112</v>
      </c>
      <c r="C995" s="1056">
        <v>1135361185</v>
      </c>
      <c r="D995" s="1056">
        <v>1087440844</v>
      </c>
      <c r="E995" s="1056">
        <v>1135361185</v>
      </c>
      <c r="F995" s="1056">
        <v>1087440844</v>
      </c>
      <c r="G995" s="1056">
        <v>1087440844</v>
      </c>
      <c r="H995" s="1056">
        <v>1087440844</v>
      </c>
      <c r="I995" s="1056">
        <v>1135361185</v>
      </c>
      <c r="J995" s="1056">
        <v>1087440844</v>
      </c>
      <c r="K995" s="1056">
        <v>1135361185</v>
      </c>
      <c r="L995" s="1056">
        <v>1087440844</v>
      </c>
      <c r="M995" s="1056">
        <v>1087440844</v>
      </c>
      <c r="N995" s="1056">
        <v>1087440844</v>
      </c>
    </row>
    <row r="996" spans="1:14">
      <c r="A996" s="1049" t="s">
        <v>6039</v>
      </c>
      <c r="B996" s="1031" t="s">
        <v>183</v>
      </c>
      <c r="C996" s="1056">
        <v>865104729</v>
      </c>
      <c r="D996" s="1056">
        <v>828410919</v>
      </c>
      <c r="E996" s="1056">
        <v>865104729</v>
      </c>
      <c r="F996" s="1056">
        <v>828410919</v>
      </c>
      <c r="G996" s="1056">
        <v>828699687</v>
      </c>
      <c r="H996" s="1056">
        <v>828699687</v>
      </c>
      <c r="I996" s="1056">
        <v>865104729</v>
      </c>
      <c r="J996" s="1056">
        <v>828410919</v>
      </c>
      <c r="K996" s="1056">
        <v>865104729</v>
      </c>
      <c r="L996" s="1056">
        <v>828410919</v>
      </c>
      <c r="M996" s="1056">
        <v>828699687</v>
      </c>
      <c r="N996" s="1056">
        <v>828699687</v>
      </c>
    </row>
    <row r="997" spans="1:14">
      <c r="A997" s="1049" t="s">
        <v>5043</v>
      </c>
      <c r="B997" s="1031" t="s">
        <v>346</v>
      </c>
      <c r="C997" s="1056">
        <v>465936082</v>
      </c>
      <c r="D997" s="1056">
        <v>457467186</v>
      </c>
      <c r="E997" s="1056">
        <v>465936082</v>
      </c>
      <c r="F997" s="1056">
        <v>457467186</v>
      </c>
      <c r="G997" s="1056">
        <v>457467186</v>
      </c>
      <c r="H997" s="1056">
        <v>457467186</v>
      </c>
      <c r="I997" s="1056">
        <v>465936082</v>
      </c>
      <c r="J997" s="1056">
        <v>457467186</v>
      </c>
      <c r="K997" s="1056">
        <v>465936082</v>
      </c>
      <c r="L997" s="1056">
        <v>457467186</v>
      </c>
      <c r="M997" s="1056">
        <v>457467186</v>
      </c>
      <c r="N997" s="1056">
        <v>457467186</v>
      </c>
    </row>
    <row r="998" spans="1:14">
      <c r="A998" s="1049" t="s">
        <v>2409</v>
      </c>
      <c r="B998" s="1031" t="s">
        <v>2356</v>
      </c>
      <c r="C998" s="1056">
        <v>207526962</v>
      </c>
      <c r="D998" s="1056">
        <v>199099596</v>
      </c>
      <c r="E998" s="1056">
        <v>207526962</v>
      </c>
      <c r="F998" s="1056">
        <v>199099596</v>
      </c>
      <c r="G998" s="1056">
        <v>199099596</v>
      </c>
      <c r="H998" s="1056">
        <v>199099596</v>
      </c>
      <c r="I998" s="1056">
        <v>207526962</v>
      </c>
      <c r="J998" s="1056">
        <v>199099596</v>
      </c>
      <c r="K998" s="1056">
        <v>207526962</v>
      </c>
      <c r="L998" s="1056">
        <v>199099596</v>
      </c>
      <c r="M998" s="1056">
        <v>199099596</v>
      </c>
      <c r="N998" s="1056">
        <v>199099596</v>
      </c>
    </row>
    <row r="999" spans="1:14">
      <c r="A999" s="1049" t="s">
        <v>615</v>
      </c>
      <c r="B999" s="1031" t="s">
        <v>1004</v>
      </c>
      <c r="C999" s="1056">
        <v>862964342</v>
      </c>
      <c r="D999" s="1056">
        <v>851947458</v>
      </c>
      <c r="E999" s="1056">
        <v>858064094</v>
      </c>
      <c r="F999" s="1056">
        <v>847047210</v>
      </c>
      <c r="G999" s="1056">
        <v>852031231</v>
      </c>
      <c r="H999" s="1056">
        <v>847130983</v>
      </c>
      <c r="I999" s="1056">
        <v>952840412</v>
      </c>
      <c r="J999" s="1056">
        <v>941823528</v>
      </c>
      <c r="K999" s="1056">
        <v>947940164</v>
      </c>
      <c r="L999" s="1056">
        <v>936923280</v>
      </c>
      <c r="M999" s="1056">
        <v>941907301</v>
      </c>
      <c r="N999" s="1056">
        <v>937007053</v>
      </c>
    </row>
    <row r="1000" spans="1:14">
      <c r="A1000" s="1049" t="s">
        <v>617</v>
      </c>
      <c r="B1000" s="1031" t="s">
        <v>1005</v>
      </c>
      <c r="C1000" s="1056">
        <v>1620439926</v>
      </c>
      <c r="D1000" s="1056">
        <v>1618767837</v>
      </c>
      <c r="E1000" s="1056">
        <v>1619785173</v>
      </c>
      <c r="F1000" s="1056">
        <v>1618113084</v>
      </c>
      <c r="G1000" s="1056">
        <v>1618767837</v>
      </c>
      <c r="H1000" s="1056">
        <v>1618113084</v>
      </c>
      <c r="I1000" s="1056">
        <v>1620439926</v>
      </c>
      <c r="J1000" s="1056">
        <v>1618767837</v>
      </c>
      <c r="K1000" s="1056">
        <v>1619785173</v>
      </c>
      <c r="L1000" s="1056">
        <v>1618113084</v>
      </c>
      <c r="M1000" s="1056">
        <v>1618767837</v>
      </c>
      <c r="N1000" s="1056">
        <v>1618113084</v>
      </c>
    </row>
    <row r="1001" spans="1:14">
      <c r="A1001" s="1049" t="s">
        <v>3889</v>
      </c>
      <c r="B1001" s="1031" t="s">
        <v>7680</v>
      </c>
      <c r="C1001" s="1056">
        <v>444850257</v>
      </c>
      <c r="D1001" s="1056">
        <v>435975280</v>
      </c>
      <c r="E1001" s="1056">
        <v>444850257</v>
      </c>
      <c r="F1001" s="1056">
        <v>435975280</v>
      </c>
      <c r="G1001" s="1056">
        <v>436949652</v>
      </c>
      <c r="H1001" s="1056">
        <v>436949652</v>
      </c>
      <c r="I1001" s="1056">
        <v>444850257</v>
      </c>
      <c r="J1001" s="1056">
        <v>435975280</v>
      </c>
      <c r="K1001" s="1056">
        <v>444850257</v>
      </c>
      <c r="L1001" s="1056">
        <v>435975280</v>
      </c>
      <c r="M1001" s="1056">
        <v>436949652</v>
      </c>
      <c r="N1001" s="1056">
        <v>436949652</v>
      </c>
    </row>
    <row r="1002" spans="1:14">
      <c r="A1002" s="1049" t="s">
        <v>619</v>
      </c>
      <c r="B1002" s="1031" t="s">
        <v>1006</v>
      </c>
      <c r="C1002" s="1056">
        <v>884437626</v>
      </c>
      <c r="D1002" s="1056">
        <v>871550334</v>
      </c>
      <c r="E1002" s="1056">
        <v>884437626</v>
      </c>
      <c r="F1002" s="1056">
        <v>871550334</v>
      </c>
      <c r="G1002" s="1056">
        <v>874970744</v>
      </c>
      <c r="H1002" s="1056">
        <v>874970744</v>
      </c>
      <c r="I1002" s="1056">
        <v>884437626</v>
      </c>
      <c r="J1002" s="1056">
        <v>871550334</v>
      </c>
      <c r="K1002" s="1056">
        <v>884437626</v>
      </c>
      <c r="L1002" s="1056">
        <v>871550334</v>
      </c>
      <c r="M1002" s="1056">
        <v>874970744</v>
      </c>
      <c r="N1002" s="1056">
        <v>874970744</v>
      </c>
    </row>
    <row r="1003" spans="1:14">
      <c r="A1003" s="1049" t="s">
        <v>1328</v>
      </c>
      <c r="B1003" s="1031" t="s">
        <v>1007</v>
      </c>
      <c r="C1003" s="1056">
        <v>1476212160</v>
      </c>
      <c r="D1003" s="1056">
        <v>1452825011</v>
      </c>
      <c r="E1003" s="1056">
        <v>1470402436</v>
      </c>
      <c r="F1003" s="1056">
        <v>1447015287</v>
      </c>
      <c r="G1003" s="1056">
        <v>1458867921</v>
      </c>
      <c r="H1003" s="1056">
        <v>1453058197</v>
      </c>
      <c r="I1003" s="1056">
        <v>1476212160</v>
      </c>
      <c r="J1003" s="1056">
        <v>1452825011</v>
      </c>
      <c r="K1003" s="1056">
        <v>1470402436</v>
      </c>
      <c r="L1003" s="1056">
        <v>1447015287</v>
      </c>
      <c r="M1003" s="1056">
        <v>1458867921</v>
      </c>
      <c r="N1003" s="1056">
        <v>1453058197</v>
      </c>
    </row>
    <row r="1004" spans="1:14">
      <c r="A1004" s="1049" t="s">
        <v>6708</v>
      </c>
      <c r="B1004" s="1031" t="s">
        <v>1008</v>
      </c>
      <c r="C1004" s="1056">
        <v>598471322</v>
      </c>
      <c r="D1004" s="1056">
        <v>590740665</v>
      </c>
      <c r="E1004" s="1056">
        <v>598471322</v>
      </c>
      <c r="F1004" s="1056">
        <v>590740665</v>
      </c>
      <c r="G1004" s="1056">
        <v>592484386</v>
      </c>
      <c r="H1004" s="1056">
        <v>592484386</v>
      </c>
      <c r="I1004" s="1056">
        <v>598471322</v>
      </c>
      <c r="J1004" s="1056">
        <v>590740665</v>
      </c>
      <c r="K1004" s="1056">
        <v>598471322</v>
      </c>
      <c r="L1004" s="1056">
        <v>590740665</v>
      </c>
      <c r="M1004" s="1056">
        <v>592484386</v>
      </c>
      <c r="N1004" s="1056">
        <v>592484386</v>
      </c>
    </row>
    <row r="1005" spans="1:14">
      <c r="A1005" s="1049" t="s">
        <v>6710</v>
      </c>
      <c r="B1005" s="1031" t="s">
        <v>1009</v>
      </c>
      <c r="C1005" s="1056">
        <v>2274183082</v>
      </c>
      <c r="D1005" s="1056">
        <v>2242259514</v>
      </c>
      <c r="E1005" s="1056">
        <v>2274183082</v>
      </c>
      <c r="F1005" s="1056">
        <v>2242259514</v>
      </c>
      <c r="G1005" s="1056">
        <v>2252017964</v>
      </c>
      <c r="H1005" s="1056">
        <v>2252017964</v>
      </c>
      <c r="I1005" s="1056">
        <v>2274183082</v>
      </c>
      <c r="J1005" s="1056">
        <v>2242259514</v>
      </c>
      <c r="K1005" s="1056">
        <v>2274183082</v>
      </c>
      <c r="L1005" s="1056">
        <v>2242259514</v>
      </c>
      <c r="M1005" s="1056">
        <v>2252017964</v>
      </c>
      <c r="N1005" s="1056">
        <v>2252017964</v>
      </c>
    </row>
    <row r="1006" spans="1:14">
      <c r="A1006" s="1049" t="s">
        <v>6192</v>
      </c>
      <c r="B1006" s="1031" t="s">
        <v>3630</v>
      </c>
      <c r="C1006" s="1056">
        <v>388485287</v>
      </c>
      <c r="D1006" s="1056">
        <v>377227369</v>
      </c>
      <c r="E1006" s="1056">
        <v>388485287</v>
      </c>
      <c r="F1006" s="1056">
        <v>377227369</v>
      </c>
      <c r="G1006" s="1056">
        <v>379907518</v>
      </c>
      <c r="H1006" s="1056">
        <v>379907518</v>
      </c>
      <c r="I1006" s="1056">
        <v>388485287</v>
      </c>
      <c r="J1006" s="1056">
        <v>377227369</v>
      </c>
      <c r="K1006" s="1056">
        <v>388485287</v>
      </c>
      <c r="L1006" s="1056">
        <v>377227369</v>
      </c>
      <c r="M1006" s="1056">
        <v>379907518</v>
      </c>
      <c r="N1006" s="1056">
        <v>379907518</v>
      </c>
    </row>
    <row r="1007" spans="1:14">
      <c r="A1007" s="1049" t="s">
        <v>2400</v>
      </c>
      <c r="B1007" s="1031" t="s">
        <v>2342</v>
      </c>
      <c r="C1007" s="1056">
        <v>358588635</v>
      </c>
      <c r="D1007" s="1056">
        <v>354719652</v>
      </c>
      <c r="E1007" s="1056">
        <v>354135660</v>
      </c>
      <c r="F1007" s="1056">
        <v>350266677</v>
      </c>
      <c r="G1007" s="1056">
        <v>355849074</v>
      </c>
      <c r="H1007" s="1056">
        <v>351396099</v>
      </c>
      <c r="I1007" s="1056">
        <v>358588635</v>
      </c>
      <c r="J1007" s="1056">
        <v>354719652</v>
      </c>
      <c r="K1007" s="1056">
        <v>354135660</v>
      </c>
      <c r="L1007" s="1056">
        <v>350266677</v>
      </c>
      <c r="M1007" s="1056">
        <v>355849074</v>
      </c>
      <c r="N1007" s="1056">
        <v>351396099</v>
      </c>
    </row>
    <row r="1008" spans="1:14">
      <c r="A1008" s="1049" t="s">
        <v>6712</v>
      </c>
      <c r="B1008" s="1031" t="s">
        <v>1010</v>
      </c>
      <c r="C1008" s="1056">
        <v>932083571</v>
      </c>
      <c r="D1008" s="1056">
        <v>919607044</v>
      </c>
      <c r="E1008" s="1056">
        <v>932083571</v>
      </c>
      <c r="F1008" s="1056">
        <v>919607044</v>
      </c>
      <c r="G1008" s="1056">
        <v>920648076</v>
      </c>
      <c r="H1008" s="1056">
        <v>920648076</v>
      </c>
      <c r="I1008" s="1056">
        <v>932083571</v>
      </c>
      <c r="J1008" s="1056">
        <v>919607044</v>
      </c>
      <c r="K1008" s="1056">
        <v>932083571</v>
      </c>
      <c r="L1008" s="1056">
        <v>919607044</v>
      </c>
      <c r="M1008" s="1056">
        <v>920648076</v>
      </c>
      <c r="N1008" s="1056">
        <v>920648076</v>
      </c>
    </row>
    <row r="1009" spans="1:14">
      <c r="A1009" s="1049" t="s">
        <v>6714</v>
      </c>
      <c r="B1009" s="1031" t="s">
        <v>1011</v>
      </c>
      <c r="C1009" s="1056">
        <v>529793602</v>
      </c>
      <c r="D1009" s="1056">
        <v>507539135</v>
      </c>
      <c r="E1009" s="1056">
        <v>529793602</v>
      </c>
      <c r="F1009" s="1056">
        <v>507539135</v>
      </c>
      <c r="G1009" s="1056">
        <v>514229050</v>
      </c>
      <c r="H1009" s="1056">
        <v>514229050</v>
      </c>
      <c r="I1009" s="1056">
        <v>529793602</v>
      </c>
      <c r="J1009" s="1056">
        <v>507539135</v>
      </c>
      <c r="K1009" s="1056">
        <v>529793602</v>
      </c>
      <c r="L1009" s="1056">
        <v>507539135</v>
      </c>
      <c r="M1009" s="1056">
        <v>514229050</v>
      </c>
      <c r="N1009" s="1056">
        <v>514229050</v>
      </c>
    </row>
    <row r="1010" spans="1:14">
      <c r="A1010" s="1049" t="s">
        <v>6716</v>
      </c>
      <c r="B1010" s="1031" t="s">
        <v>1012</v>
      </c>
      <c r="C1010" s="1056">
        <v>476520258</v>
      </c>
      <c r="D1010" s="1056">
        <v>454285521</v>
      </c>
      <c r="E1010" s="1056">
        <v>476520258</v>
      </c>
      <c r="F1010" s="1056">
        <v>454285521</v>
      </c>
      <c r="G1010" s="1056">
        <v>461286242</v>
      </c>
      <c r="H1010" s="1056">
        <v>461286242</v>
      </c>
      <c r="I1010" s="1056">
        <v>476520258</v>
      </c>
      <c r="J1010" s="1056">
        <v>454285521</v>
      </c>
      <c r="K1010" s="1056">
        <v>476520258</v>
      </c>
      <c r="L1010" s="1056">
        <v>454285521</v>
      </c>
      <c r="M1010" s="1056">
        <v>461286242</v>
      </c>
      <c r="N1010" s="1056">
        <v>461286242</v>
      </c>
    </row>
    <row r="1011" spans="1:14">
      <c r="A1011" s="1049" t="s">
        <v>6718</v>
      </c>
      <c r="B1011" s="1031" t="s">
        <v>1013</v>
      </c>
      <c r="C1011" s="1056">
        <v>289808127</v>
      </c>
      <c r="D1011" s="1056">
        <v>279716820</v>
      </c>
      <c r="E1011" s="1056">
        <v>289808127</v>
      </c>
      <c r="F1011" s="1056">
        <v>279716820</v>
      </c>
      <c r="G1011" s="1056">
        <v>285648235</v>
      </c>
      <c r="H1011" s="1056">
        <v>285648235</v>
      </c>
      <c r="I1011" s="1056">
        <v>289808127</v>
      </c>
      <c r="J1011" s="1056">
        <v>279716820</v>
      </c>
      <c r="K1011" s="1056">
        <v>289808127</v>
      </c>
      <c r="L1011" s="1056">
        <v>279716820</v>
      </c>
      <c r="M1011" s="1056">
        <v>285648235</v>
      </c>
      <c r="N1011" s="1056">
        <v>285648235</v>
      </c>
    </row>
    <row r="1012" spans="1:14">
      <c r="A1012" s="1049" t="s">
        <v>2443</v>
      </c>
      <c r="B1012" s="1031" t="s">
        <v>1014</v>
      </c>
      <c r="C1012" s="1056">
        <v>260345525</v>
      </c>
      <c r="D1012" s="1056">
        <v>245647782</v>
      </c>
      <c r="E1012" s="1056">
        <v>260345525</v>
      </c>
      <c r="F1012" s="1056">
        <v>245647782</v>
      </c>
      <c r="G1012" s="1056">
        <v>251629601</v>
      </c>
      <c r="H1012" s="1056">
        <v>251629601</v>
      </c>
      <c r="I1012" s="1056">
        <v>260345525</v>
      </c>
      <c r="J1012" s="1056">
        <v>245647782</v>
      </c>
      <c r="K1012" s="1056">
        <v>260345525</v>
      </c>
      <c r="L1012" s="1056">
        <v>245647782</v>
      </c>
      <c r="M1012" s="1056">
        <v>251629601</v>
      </c>
      <c r="N1012" s="1056">
        <v>251629601</v>
      </c>
    </row>
    <row r="1013" spans="1:14">
      <c r="A1013" s="1049" t="s">
        <v>2445</v>
      </c>
      <c r="B1013" s="1031" t="s">
        <v>1015</v>
      </c>
      <c r="C1013" s="1056">
        <v>472237050</v>
      </c>
      <c r="D1013" s="1056">
        <v>450994890</v>
      </c>
      <c r="E1013" s="1056">
        <v>472237050</v>
      </c>
      <c r="F1013" s="1056">
        <v>450994890</v>
      </c>
      <c r="G1013" s="1056">
        <v>456519334</v>
      </c>
      <c r="H1013" s="1056">
        <v>456519334</v>
      </c>
      <c r="I1013" s="1056">
        <v>472237050</v>
      </c>
      <c r="J1013" s="1056">
        <v>450994890</v>
      </c>
      <c r="K1013" s="1056">
        <v>472237050</v>
      </c>
      <c r="L1013" s="1056">
        <v>450994890</v>
      </c>
      <c r="M1013" s="1056">
        <v>456519334</v>
      </c>
      <c r="N1013" s="1056">
        <v>456519334</v>
      </c>
    </row>
    <row r="1014" spans="1:14">
      <c r="A1014" s="1049" t="s">
        <v>2447</v>
      </c>
      <c r="B1014" s="1031" t="s">
        <v>1016</v>
      </c>
      <c r="C1014" s="1056">
        <v>3094021052</v>
      </c>
      <c r="D1014" s="1056">
        <v>3082906562</v>
      </c>
      <c r="E1014" s="1056">
        <v>3089560768</v>
      </c>
      <c r="F1014" s="1056">
        <v>3078446278</v>
      </c>
      <c r="G1014" s="1056">
        <v>3083719376</v>
      </c>
      <c r="H1014" s="1056">
        <v>3079259092</v>
      </c>
      <c r="I1014" s="1056">
        <v>3094021052</v>
      </c>
      <c r="J1014" s="1056">
        <v>3082906562</v>
      </c>
      <c r="K1014" s="1056">
        <v>3089560768</v>
      </c>
      <c r="L1014" s="1056">
        <v>3078446278</v>
      </c>
      <c r="M1014" s="1056">
        <v>3083719376</v>
      </c>
      <c r="N1014" s="1056">
        <v>3079259092</v>
      </c>
    </row>
    <row r="1015" spans="1:14">
      <c r="A1015" s="1049" t="s">
        <v>905</v>
      </c>
      <c r="B1015" s="1031" t="s">
        <v>1017</v>
      </c>
      <c r="C1015" s="1056">
        <v>1144142572</v>
      </c>
      <c r="D1015" s="1056">
        <v>1140590239</v>
      </c>
      <c r="E1015" s="1056">
        <v>1141050792</v>
      </c>
      <c r="F1015" s="1056">
        <v>1137498459</v>
      </c>
      <c r="G1015" s="1056">
        <v>1140739707</v>
      </c>
      <c r="H1015" s="1056">
        <v>1137647927</v>
      </c>
      <c r="I1015" s="1056">
        <v>1144142572</v>
      </c>
      <c r="J1015" s="1056">
        <v>1140590239</v>
      </c>
      <c r="K1015" s="1056">
        <v>1141050792</v>
      </c>
      <c r="L1015" s="1056">
        <v>1137498459</v>
      </c>
      <c r="M1015" s="1056">
        <v>1140739707</v>
      </c>
      <c r="N1015" s="1056">
        <v>1137647927</v>
      </c>
    </row>
    <row r="1016" spans="1:14">
      <c r="A1016" s="1049" t="s">
        <v>1854</v>
      </c>
      <c r="B1016" s="1031" t="s">
        <v>4965</v>
      </c>
      <c r="C1016" s="1056">
        <v>802772670</v>
      </c>
      <c r="D1016" s="1056">
        <v>767278700</v>
      </c>
      <c r="E1016" s="1056">
        <v>802772670</v>
      </c>
      <c r="F1016" s="1056">
        <v>767278700</v>
      </c>
      <c r="G1016" s="1056">
        <v>767278700</v>
      </c>
      <c r="H1016" s="1056">
        <v>767278700</v>
      </c>
      <c r="I1016" s="1056">
        <v>825224030</v>
      </c>
      <c r="J1016" s="1056">
        <v>789730060</v>
      </c>
      <c r="K1016" s="1056">
        <v>825224030</v>
      </c>
      <c r="L1016" s="1056">
        <v>789730060</v>
      </c>
      <c r="M1016" s="1056">
        <v>789730060</v>
      </c>
      <c r="N1016" s="1056">
        <v>789730060</v>
      </c>
    </row>
    <row r="1017" spans="1:14">
      <c r="A1017" s="1049" t="s">
        <v>907</v>
      </c>
      <c r="B1017" s="1031" t="s">
        <v>1018</v>
      </c>
      <c r="C1017" s="1056">
        <v>90963148</v>
      </c>
      <c r="D1017" s="1056">
        <v>87917688</v>
      </c>
      <c r="E1017" s="1056">
        <v>90963148</v>
      </c>
      <c r="F1017" s="1056">
        <v>87917688</v>
      </c>
      <c r="G1017" s="1056">
        <v>87917688</v>
      </c>
      <c r="H1017" s="1056">
        <v>87917688</v>
      </c>
      <c r="I1017" s="1056">
        <v>90963148</v>
      </c>
      <c r="J1017" s="1056">
        <v>87917688</v>
      </c>
      <c r="K1017" s="1056">
        <v>90963148</v>
      </c>
      <c r="L1017" s="1056">
        <v>87917688</v>
      </c>
      <c r="M1017" s="1056">
        <v>87917688</v>
      </c>
      <c r="N1017" s="1056">
        <v>87917688</v>
      </c>
    </row>
    <row r="1018" spans="1:14">
      <c r="A1018" s="1049" t="s">
        <v>6146</v>
      </c>
      <c r="B1018" s="1031" t="s">
        <v>3835</v>
      </c>
      <c r="C1018" s="1056">
        <v>284772482</v>
      </c>
      <c r="D1018" s="1056">
        <v>276654272</v>
      </c>
      <c r="E1018" s="1056">
        <v>284772482</v>
      </c>
      <c r="F1018" s="1056">
        <v>276654272</v>
      </c>
      <c r="G1018" s="1056">
        <v>276654272</v>
      </c>
      <c r="H1018" s="1056">
        <v>276654272</v>
      </c>
      <c r="I1018" s="1056">
        <v>534696482</v>
      </c>
      <c r="J1018" s="1056">
        <v>526578272</v>
      </c>
      <c r="K1018" s="1056">
        <v>534696482</v>
      </c>
      <c r="L1018" s="1056">
        <v>526578272</v>
      </c>
      <c r="M1018" s="1056">
        <v>526578272</v>
      </c>
      <c r="N1018" s="1056">
        <v>526578272</v>
      </c>
    </row>
    <row r="1019" spans="1:14">
      <c r="A1019" s="1049" t="s">
        <v>909</v>
      </c>
      <c r="B1019" s="1031" t="s">
        <v>1019</v>
      </c>
      <c r="C1019" s="1056">
        <v>1522493015</v>
      </c>
      <c r="D1019" s="1056">
        <v>1494090668</v>
      </c>
      <c r="E1019" s="1056">
        <v>1499562053</v>
      </c>
      <c r="F1019" s="1056">
        <v>1471159706</v>
      </c>
      <c r="G1019" s="1056">
        <v>1494586245</v>
      </c>
      <c r="H1019" s="1056">
        <v>1471655283</v>
      </c>
      <c r="I1019" s="1056">
        <v>1522493015</v>
      </c>
      <c r="J1019" s="1056">
        <v>1494090668</v>
      </c>
      <c r="K1019" s="1056">
        <v>1499562053</v>
      </c>
      <c r="L1019" s="1056">
        <v>1471159706</v>
      </c>
      <c r="M1019" s="1056">
        <v>1494586245</v>
      </c>
      <c r="N1019" s="1056">
        <v>1471655283</v>
      </c>
    </row>
    <row r="1020" spans="1:14">
      <c r="A1020" s="1049" t="s">
        <v>247</v>
      </c>
      <c r="B1020" s="1031" t="s">
        <v>989</v>
      </c>
      <c r="C1020" s="1056">
        <v>804288394</v>
      </c>
      <c r="D1020" s="1056">
        <v>794832646</v>
      </c>
      <c r="E1020" s="1056">
        <v>804288394</v>
      </c>
      <c r="F1020" s="1056">
        <v>794832646</v>
      </c>
      <c r="G1020" s="1056">
        <v>794832646</v>
      </c>
      <c r="H1020" s="1056">
        <v>794832646</v>
      </c>
      <c r="I1020" s="1056">
        <v>804288394</v>
      </c>
      <c r="J1020" s="1056">
        <v>794832646</v>
      </c>
      <c r="K1020" s="1056">
        <v>804288394</v>
      </c>
      <c r="L1020" s="1056">
        <v>794832646</v>
      </c>
      <c r="M1020" s="1056">
        <v>794832646</v>
      </c>
      <c r="N1020" s="1056">
        <v>794832646</v>
      </c>
    </row>
    <row r="1021" spans="1:14">
      <c r="A1021" s="1049" t="s">
        <v>1527</v>
      </c>
      <c r="B1021" s="1031" t="s">
        <v>2154</v>
      </c>
      <c r="C1021" s="1056">
        <v>79342514</v>
      </c>
      <c r="D1021" s="1056">
        <v>76883595</v>
      </c>
      <c r="E1021" s="1056">
        <v>79342514</v>
      </c>
      <c r="F1021" s="1056">
        <v>76883595</v>
      </c>
      <c r="G1021" s="1056">
        <v>76883595</v>
      </c>
      <c r="H1021" s="1056">
        <v>76883595</v>
      </c>
      <c r="I1021" s="1056">
        <v>79342514</v>
      </c>
      <c r="J1021" s="1056">
        <v>76883595</v>
      </c>
      <c r="K1021" s="1056">
        <v>79342514</v>
      </c>
      <c r="L1021" s="1056">
        <v>76883595</v>
      </c>
      <c r="M1021" s="1056">
        <v>76883595</v>
      </c>
      <c r="N1021" s="1056">
        <v>76883595</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U1251"/>
  <sheetViews>
    <sheetView workbookViewId="0">
      <selection activeCell="A2" sqref="A2"/>
    </sheetView>
  </sheetViews>
  <sheetFormatPr defaultRowHeight="13.8"/>
  <cols>
    <col min="1" max="1" width="7.5546875" style="1040" bestFit="1" customWidth="1"/>
    <col min="2" max="2" width="23.77734375" style="1040" customWidth="1"/>
    <col min="3" max="3" width="8.77734375" style="1040" customWidth="1"/>
    <col min="4" max="4" width="11" style="1040" bestFit="1" customWidth="1"/>
    <col min="5" max="5" width="10.21875" style="1040" customWidth="1"/>
    <col min="6" max="6" width="10.44140625" style="1040" customWidth="1"/>
    <col min="7" max="7" width="10.77734375" style="1040" customWidth="1"/>
    <col min="8" max="8" width="10.5546875" style="1040" customWidth="1"/>
    <col min="9" max="9" width="13" style="1040" customWidth="1"/>
    <col min="10" max="10" width="12.44140625" style="1040" customWidth="1"/>
    <col min="11" max="11" width="13.21875" style="1040" customWidth="1"/>
    <col min="12" max="12" width="14.21875" style="1040" bestFit="1" customWidth="1"/>
    <col min="13" max="13" width="16.21875" style="1040" bestFit="1" customWidth="1"/>
    <col min="14" max="14" width="9" style="1040" customWidth="1"/>
    <col min="15" max="15" width="16.5546875" style="1040" bestFit="1" customWidth="1"/>
    <col min="16" max="16" width="13.77734375" style="1040" customWidth="1"/>
    <col min="17" max="17" width="12.21875" style="1040" customWidth="1"/>
    <col min="18" max="18" width="9.77734375" style="1040" bestFit="1" customWidth="1"/>
    <col min="19" max="19" width="10.21875" style="1040" bestFit="1" customWidth="1"/>
    <col min="20" max="20" width="11.5546875" style="1040" customWidth="1"/>
    <col min="21" max="21" width="13.21875" style="1040" bestFit="1" customWidth="1"/>
    <col min="22" max="256" width="9.21875" style="1040"/>
    <col min="257" max="257" width="7.5546875" style="1040" bestFit="1" customWidth="1"/>
    <col min="258" max="258" width="23.77734375" style="1040" customWidth="1"/>
    <col min="259" max="259" width="8.77734375" style="1040" customWidth="1"/>
    <col min="260" max="260" width="11" style="1040" bestFit="1" customWidth="1"/>
    <col min="261" max="261" width="10.21875" style="1040" customWidth="1"/>
    <col min="262" max="262" width="10.44140625" style="1040" customWidth="1"/>
    <col min="263" max="263" width="10.77734375" style="1040" customWidth="1"/>
    <col min="264" max="264" width="10.5546875" style="1040" customWidth="1"/>
    <col min="265" max="265" width="13" style="1040" customWidth="1"/>
    <col min="266" max="266" width="12.44140625" style="1040" customWidth="1"/>
    <col min="267" max="267" width="13.21875" style="1040" customWidth="1"/>
    <col min="268" max="268" width="14.21875" style="1040" bestFit="1" customWidth="1"/>
    <col min="269" max="269" width="16.21875" style="1040" bestFit="1" customWidth="1"/>
    <col min="270" max="270" width="9" style="1040" customWidth="1"/>
    <col min="271" max="271" width="16.5546875" style="1040" bestFit="1" customWidth="1"/>
    <col min="272" max="272" width="13.77734375" style="1040" customWidth="1"/>
    <col min="273" max="273" width="12.21875" style="1040" customWidth="1"/>
    <col min="274" max="274" width="9.77734375" style="1040" bestFit="1" customWidth="1"/>
    <col min="275" max="275" width="10.21875" style="1040" bestFit="1" customWidth="1"/>
    <col min="276" max="276" width="11.5546875" style="1040" customWidth="1"/>
    <col min="277" max="277" width="13.21875" style="1040" bestFit="1" customWidth="1"/>
    <col min="278" max="512" width="9.21875" style="1040"/>
    <col min="513" max="513" width="7.5546875" style="1040" bestFit="1" customWidth="1"/>
    <col min="514" max="514" width="23.77734375" style="1040" customWidth="1"/>
    <col min="515" max="515" width="8.77734375" style="1040" customWidth="1"/>
    <col min="516" max="516" width="11" style="1040" bestFit="1" customWidth="1"/>
    <col min="517" max="517" width="10.21875" style="1040" customWidth="1"/>
    <col min="518" max="518" width="10.44140625" style="1040" customWidth="1"/>
    <col min="519" max="519" width="10.77734375" style="1040" customWidth="1"/>
    <col min="520" max="520" width="10.5546875" style="1040" customWidth="1"/>
    <col min="521" max="521" width="13" style="1040" customWidth="1"/>
    <col min="522" max="522" width="12.44140625" style="1040" customWidth="1"/>
    <col min="523" max="523" width="13.21875" style="1040" customWidth="1"/>
    <col min="524" max="524" width="14.21875" style="1040" bestFit="1" customWidth="1"/>
    <col min="525" max="525" width="16.21875" style="1040" bestFit="1" customWidth="1"/>
    <col min="526" max="526" width="9" style="1040" customWidth="1"/>
    <col min="527" max="527" width="16.5546875" style="1040" bestFit="1" customWidth="1"/>
    <col min="528" max="528" width="13.77734375" style="1040" customWidth="1"/>
    <col min="529" max="529" width="12.21875" style="1040" customWidth="1"/>
    <col min="530" max="530" width="9.77734375" style="1040" bestFit="1" customWidth="1"/>
    <col min="531" max="531" width="10.21875" style="1040" bestFit="1" customWidth="1"/>
    <col min="532" max="532" width="11.5546875" style="1040" customWidth="1"/>
    <col min="533" max="533" width="13.21875" style="1040" bestFit="1" customWidth="1"/>
    <col min="534" max="768" width="9.21875" style="1040"/>
    <col min="769" max="769" width="7.5546875" style="1040" bestFit="1" customWidth="1"/>
    <col min="770" max="770" width="23.77734375" style="1040" customWidth="1"/>
    <col min="771" max="771" width="8.77734375" style="1040" customWidth="1"/>
    <col min="772" max="772" width="11" style="1040" bestFit="1" customWidth="1"/>
    <col min="773" max="773" width="10.21875" style="1040" customWidth="1"/>
    <col min="774" max="774" width="10.44140625" style="1040" customWidth="1"/>
    <col min="775" max="775" width="10.77734375" style="1040" customWidth="1"/>
    <col min="776" max="776" width="10.5546875" style="1040" customWidth="1"/>
    <col min="777" max="777" width="13" style="1040" customWidth="1"/>
    <col min="778" max="778" width="12.44140625" style="1040" customWidth="1"/>
    <col min="779" max="779" width="13.21875" style="1040" customWidth="1"/>
    <col min="780" max="780" width="14.21875" style="1040" bestFit="1" customWidth="1"/>
    <col min="781" max="781" width="16.21875" style="1040" bestFit="1" customWidth="1"/>
    <col min="782" max="782" width="9" style="1040" customWidth="1"/>
    <col min="783" max="783" width="16.5546875" style="1040" bestFit="1" customWidth="1"/>
    <col min="784" max="784" width="13.77734375" style="1040" customWidth="1"/>
    <col min="785" max="785" width="12.21875" style="1040" customWidth="1"/>
    <col min="786" max="786" width="9.77734375" style="1040" bestFit="1" customWidth="1"/>
    <col min="787" max="787" width="10.21875" style="1040" bestFit="1" customWidth="1"/>
    <col min="788" max="788" width="11.5546875" style="1040" customWidth="1"/>
    <col min="789" max="789" width="13.21875" style="1040" bestFit="1" customWidth="1"/>
    <col min="790" max="1024" width="9.21875" style="1040"/>
    <col min="1025" max="1025" width="7.5546875" style="1040" bestFit="1" customWidth="1"/>
    <col min="1026" max="1026" width="23.77734375" style="1040" customWidth="1"/>
    <col min="1027" max="1027" width="8.77734375" style="1040" customWidth="1"/>
    <col min="1028" max="1028" width="11" style="1040" bestFit="1" customWidth="1"/>
    <col min="1029" max="1029" width="10.21875" style="1040" customWidth="1"/>
    <col min="1030" max="1030" width="10.44140625" style="1040" customWidth="1"/>
    <col min="1031" max="1031" width="10.77734375" style="1040" customWidth="1"/>
    <col min="1032" max="1032" width="10.5546875" style="1040" customWidth="1"/>
    <col min="1033" max="1033" width="13" style="1040" customWidth="1"/>
    <col min="1034" max="1034" width="12.44140625" style="1040" customWidth="1"/>
    <col min="1035" max="1035" width="13.21875" style="1040" customWidth="1"/>
    <col min="1036" max="1036" width="14.21875" style="1040" bestFit="1" customWidth="1"/>
    <col min="1037" max="1037" width="16.21875" style="1040" bestFit="1" customWidth="1"/>
    <col min="1038" max="1038" width="9" style="1040" customWidth="1"/>
    <col min="1039" max="1039" width="16.5546875" style="1040" bestFit="1" customWidth="1"/>
    <col min="1040" max="1040" width="13.77734375" style="1040" customWidth="1"/>
    <col min="1041" max="1041" width="12.21875" style="1040" customWidth="1"/>
    <col min="1042" max="1042" width="9.77734375" style="1040" bestFit="1" customWidth="1"/>
    <col min="1043" max="1043" width="10.21875" style="1040" bestFit="1" customWidth="1"/>
    <col min="1044" max="1044" width="11.5546875" style="1040" customWidth="1"/>
    <col min="1045" max="1045" width="13.21875" style="1040" bestFit="1" customWidth="1"/>
    <col min="1046" max="1280" width="9.21875" style="1040"/>
    <col min="1281" max="1281" width="7.5546875" style="1040" bestFit="1" customWidth="1"/>
    <col min="1282" max="1282" width="23.77734375" style="1040" customWidth="1"/>
    <col min="1283" max="1283" width="8.77734375" style="1040" customWidth="1"/>
    <col min="1284" max="1284" width="11" style="1040" bestFit="1" customWidth="1"/>
    <col min="1285" max="1285" width="10.21875" style="1040" customWidth="1"/>
    <col min="1286" max="1286" width="10.44140625" style="1040" customWidth="1"/>
    <col min="1287" max="1287" width="10.77734375" style="1040" customWidth="1"/>
    <col min="1288" max="1288" width="10.5546875" style="1040" customWidth="1"/>
    <col min="1289" max="1289" width="13" style="1040" customWidth="1"/>
    <col min="1290" max="1290" width="12.44140625" style="1040" customWidth="1"/>
    <col min="1291" max="1291" width="13.21875" style="1040" customWidth="1"/>
    <col min="1292" max="1292" width="14.21875" style="1040" bestFit="1" customWidth="1"/>
    <col min="1293" max="1293" width="16.21875" style="1040" bestFit="1" customWidth="1"/>
    <col min="1294" max="1294" width="9" style="1040" customWidth="1"/>
    <col min="1295" max="1295" width="16.5546875" style="1040" bestFit="1" customWidth="1"/>
    <col min="1296" max="1296" width="13.77734375" style="1040" customWidth="1"/>
    <col min="1297" max="1297" width="12.21875" style="1040" customWidth="1"/>
    <col min="1298" max="1298" width="9.77734375" style="1040" bestFit="1" customWidth="1"/>
    <col min="1299" max="1299" width="10.21875" style="1040" bestFit="1" customWidth="1"/>
    <col min="1300" max="1300" width="11.5546875" style="1040" customWidth="1"/>
    <col min="1301" max="1301" width="13.21875" style="1040" bestFit="1" customWidth="1"/>
    <col min="1302" max="1536" width="9.21875" style="1040"/>
    <col min="1537" max="1537" width="7.5546875" style="1040" bestFit="1" customWidth="1"/>
    <col min="1538" max="1538" width="23.77734375" style="1040" customWidth="1"/>
    <col min="1539" max="1539" width="8.77734375" style="1040" customWidth="1"/>
    <col min="1540" max="1540" width="11" style="1040" bestFit="1" customWidth="1"/>
    <col min="1541" max="1541" width="10.21875" style="1040" customWidth="1"/>
    <col min="1542" max="1542" width="10.44140625" style="1040" customWidth="1"/>
    <col min="1543" max="1543" width="10.77734375" style="1040" customWidth="1"/>
    <col min="1544" max="1544" width="10.5546875" style="1040" customWidth="1"/>
    <col min="1545" max="1545" width="13" style="1040" customWidth="1"/>
    <col min="1546" max="1546" width="12.44140625" style="1040" customWidth="1"/>
    <col min="1547" max="1547" width="13.21875" style="1040" customWidth="1"/>
    <col min="1548" max="1548" width="14.21875" style="1040" bestFit="1" customWidth="1"/>
    <col min="1549" max="1549" width="16.21875" style="1040" bestFit="1" customWidth="1"/>
    <col min="1550" max="1550" width="9" style="1040" customWidth="1"/>
    <col min="1551" max="1551" width="16.5546875" style="1040" bestFit="1" customWidth="1"/>
    <col min="1552" max="1552" width="13.77734375" style="1040" customWidth="1"/>
    <col min="1553" max="1553" width="12.21875" style="1040" customWidth="1"/>
    <col min="1554" max="1554" width="9.77734375" style="1040" bestFit="1" customWidth="1"/>
    <col min="1555" max="1555" width="10.21875" style="1040" bestFit="1" customWidth="1"/>
    <col min="1556" max="1556" width="11.5546875" style="1040" customWidth="1"/>
    <col min="1557" max="1557" width="13.21875" style="1040" bestFit="1" customWidth="1"/>
    <col min="1558" max="1792" width="9.21875" style="1040"/>
    <col min="1793" max="1793" width="7.5546875" style="1040" bestFit="1" customWidth="1"/>
    <col min="1794" max="1794" width="23.77734375" style="1040" customWidth="1"/>
    <col min="1795" max="1795" width="8.77734375" style="1040" customWidth="1"/>
    <col min="1796" max="1796" width="11" style="1040" bestFit="1" customWidth="1"/>
    <col min="1797" max="1797" width="10.21875" style="1040" customWidth="1"/>
    <col min="1798" max="1798" width="10.44140625" style="1040" customWidth="1"/>
    <col min="1799" max="1799" width="10.77734375" style="1040" customWidth="1"/>
    <col min="1800" max="1800" width="10.5546875" style="1040" customWidth="1"/>
    <col min="1801" max="1801" width="13" style="1040" customWidth="1"/>
    <col min="1802" max="1802" width="12.44140625" style="1040" customWidth="1"/>
    <col min="1803" max="1803" width="13.21875" style="1040" customWidth="1"/>
    <col min="1804" max="1804" width="14.21875" style="1040" bestFit="1" customWidth="1"/>
    <col min="1805" max="1805" width="16.21875" style="1040" bestFit="1" customWidth="1"/>
    <col min="1806" max="1806" width="9" style="1040" customWidth="1"/>
    <col min="1807" max="1807" width="16.5546875" style="1040" bestFit="1" customWidth="1"/>
    <col min="1808" max="1808" width="13.77734375" style="1040" customWidth="1"/>
    <col min="1809" max="1809" width="12.21875" style="1040" customWidth="1"/>
    <col min="1810" max="1810" width="9.77734375" style="1040" bestFit="1" customWidth="1"/>
    <col min="1811" max="1811" width="10.21875" style="1040" bestFit="1" customWidth="1"/>
    <col min="1812" max="1812" width="11.5546875" style="1040" customWidth="1"/>
    <col min="1813" max="1813" width="13.21875" style="1040" bestFit="1" customWidth="1"/>
    <col min="1814" max="2048" width="9.21875" style="1040"/>
    <col min="2049" max="2049" width="7.5546875" style="1040" bestFit="1" customWidth="1"/>
    <col min="2050" max="2050" width="23.77734375" style="1040" customWidth="1"/>
    <col min="2051" max="2051" width="8.77734375" style="1040" customWidth="1"/>
    <col min="2052" max="2052" width="11" style="1040" bestFit="1" customWidth="1"/>
    <col min="2053" max="2053" width="10.21875" style="1040" customWidth="1"/>
    <col min="2054" max="2054" width="10.44140625" style="1040" customWidth="1"/>
    <col min="2055" max="2055" width="10.77734375" style="1040" customWidth="1"/>
    <col min="2056" max="2056" width="10.5546875" style="1040" customWidth="1"/>
    <col min="2057" max="2057" width="13" style="1040" customWidth="1"/>
    <col min="2058" max="2058" width="12.44140625" style="1040" customWidth="1"/>
    <col min="2059" max="2059" width="13.21875" style="1040" customWidth="1"/>
    <col min="2060" max="2060" width="14.21875" style="1040" bestFit="1" customWidth="1"/>
    <col min="2061" max="2061" width="16.21875" style="1040" bestFit="1" customWidth="1"/>
    <col min="2062" max="2062" width="9" style="1040" customWidth="1"/>
    <col min="2063" max="2063" width="16.5546875" style="1040" bestFit="1" customWidth="1"/>
    <col min="2064" max="2064" width="13.77734375" style="1040" customWidth="1"/>
    <col min="2065" max="2065" width="12.21875" style="1040" customWidth="1"/>
    <col min="2066" max="2066" width="9.77734375" style="1040" bestFit="1" customWidth="1"/>
    <col min="2067" max="2067" width="10.21875" style="1040" bestFit="1" customWidth="1"/>
    <col min="2068" max="2068" width="11.5546875" style="1040" customWidth="1"/>
    <col min="2069" max="2069" width="13.21875" style="1040" bestFit="1" customWidth="1"/>
    <col min="2070" max="2304" width="9.21875" style="1040"/>
    <col min="2305" max="2305" width="7.5546875" style="1040" bestFit="1" customWidth="1"/>
    <col min="2306" max="2306" width="23.77734375" style="1040" customWidth="1"/>
    <col min="2307" max="2307" width="8.77734375" style="1040" customWidth="1"/>
    <col min="2308" max="2308" width="11" style="1040" bestFit="1" customWidth="1"/>
    <col min="2309" max="2309" width="10.21875" style="1040" customWidth="1"/>
    <col min="2310" max="2310" width="10.44140625" style="1040" customWidth="1"/>
    <col min="2311" max="2311" width="10.77734375" style="1040" customWidth="1"/>
    <col min="2312" max="2312" width="10.5546875" style="1040" customWidth="1"/>
    <col min="2313" max="2313" width="13" style="1040" customWidth="1"/>
    <col min="2314" max="2314" width="12.44140625" style="1040" customWidth="1"/>
    <col min="2315" max="2315" width="13.21875" style="1040" customWidth="1"/>
    <col min="2316" max="2316" width="14.21875" style="1040" bestFit="1" customWidth="1"/>
    <col min="2317" max="2317" width="16.21875" style="1040" bestFit="1" customWidth="1"/>
    <col min="2318" max="2318" width="9" style="1040" customWidth="1"/>
    <col min="2319" max="2319" width="16.5546875" style="1040" bestFit="1" customWidth="1"/>
    <col min="2320" max="2320" width="13.77734375" style="1040" customWidth="1"/>
    <col min="2321" max="2321" width="12.21875" style="1040" customWidth="1"/>
    <col min="2322" max="2322" width="9.77734375" style="1040" bestFit="1" customWidth="1"/>
    <col min="2323" max="2323" width="10.21875" style="1040" bestFit="1" customWidth="1"/>
    <col min="2324" max="2324" width="11.5546875" style="1040" customWidth="1"/>
    <col min="2325" max="2325" width="13.21875" style="1040" bestFit="1" customWidth="1"/>
    <col min="2326" max="2560" width="9.21875" style="1040"/>
    <col min="2561" max="2561" width="7.5546875" style="1040" bestFit="1" customWidth="1"/>
    <col min="2562" max="2562" width="23.77734375" style="1040" customWidth="1"/>
    <col min="2563" max="2563" width="8.77734375" style="1040" customWidth="1"/>
    <col min="2564" max="2564" width="11" style="1040" bestFit="1" customWidth="1"/>
    <col min="2565" max="2565" width="10.21875" style="1040" customWidth="1"/>
    <col min="2566" max="2566" width="10.44140625" style="1040" customWidth="1"/>
    <col min="2567" max="2567" width="10.77734375" style="1040" customWidth="1"/>
    <col min="2568" max="2568" width="10.5546875" style="1040" customWidth="1"/>
    <col min="2569" max="2569" width="13" style="1040" customWidth="1"/>
    <col min="2570" max="2570" width="12.44140625" style="1040" customWidth="1"/>
    <col min="2571" max="2571" width="13.21875" style="1040" customWidth="1"/>
    <col min="2572" max="2572" width="14.21875" style="1040" bestFit="1" customWidth="1"/>
    <col min="2573" max="2573" width="16.21875" style="1040" bestFit="1" customWidth="1"/>
    <col min="2574" max="2574" width="9" style="1040" customWidth="1"/>
    <col min="2575" max="2575" width="16.5546875" style="1040" bestFit="1" customWidth="1"/>
    <col min="2576" max="2576" width="13.77734375" style="1040" customWidth="1"/>
    <col min="2577" max="2577" width="12.21875" style="1040" customWidth="1"/>
    <col min="2578" max="2578" width="9.77734375" style="1040" bestFit="1" customWidth="1"/>
    <col min="2579" max="2579" width="10.21875" style="1040" bestFit="1" customWidth="1"/>
    <col min="2580" max="2580" width="11.5546875" style="1040" customWidth="1"/>
    <col min="2581" max="2581" width="13.21875" style="1040" bestFit="1" customWidth="1"/>
    <col min="2582" max="2816" width="9.21875" style="1040"/>
    <col min="2817" max="2817" width="7.5546875" style="1040" bestFit="1" customWidth="1"/>
    <col min="2818" max="2818" width="23.77734375" style="1040" customWidth="1"/>
    <col min="2819" max="2819" width="8.77734375" style="1040" customWidth="1"/>
    <col min="2820" max="2820" width="11" style="1040" bestFit="1" customWidth="1"/>
    <col min="2821" max="2821" width="10.21875" style="1040" customWidth="1"/>
    <col min="2822" max="2822" width="10.44140625" style="1040" customWidth="1"/>
    <col min="2823" max="2823" width="10.77734375" style="1040" customWidth="1"/>
    <col min="2824" max="2824" width="10.5546875" style="1040" customWidth="1"/>
    <col min="2825" max="2825" width="13" style="1040" customWidth="1"/>
    <col min="2826" max="2826" width="12.44140625" style="1040" customWidth="1"/>
    <col min="2827" max="2827" width="13.21875" style="1040" customWidth="1"/>
    <col min="2828" max="2828" width="14.21875" style="1040" bestFit="1" customWidth="1"/>
    <col min="2829" max="2829" width="16.21875" style="1040" bestFit="1" customWidth="1"/>
    <col min="2830" max="2830" width="9" style="1040" customWidth="1"/>
    <col min="2831" max="2831" width="16.5546875" style="1040" bestFit="1" customWidth="1"/>
    <col min="2832" max="2832" width="13.77734375" style="1040" customWidth="1"/>
    <col min="2833" max="2833" width="12.21875" style="1040" customWidth="1"/>
    <col min="2834" max="2834" width="9.77734375" style="1040" bestFit="1" customWidth="1"/>
    <col min="2835" max="2835" width="10.21875" style="1040" bestFit="1" customWidth="1"/>
    <col min="2836" max="2836" width="11.5546875" style="1040" customWidth="1"/>
    <col min="2837" max="2837" width="13.21875" style="1040" bestFit="1" customWidth="1"/>
    <col min="2838" max="3072" width="9.21875" style="1040"/>
    <col min="3073" max="3073" width="7.5546875" style="1040" bestFit="1" customWidth="1"/>
    <col min="3074" max="3074" width="23.77734375" style="1040" customWidth="1"/>
    <col min="3075" max="3075" width="8.77734375" style="1040" customWidth="1"/>
    <col min="3076" max="3076" width="11" style="1040" bestFit="1" customWidth="1"/>
    <col min="3077" max="3077" width="10.21875" style="1040" customWidth="1"/>
    <col min="3078" max="3078" width="10.44140625" style="1040" customWidth="1"/>
    <col min="3079" max="3079" width="10.77734375" style="1040" customWidth="1"/>
    <col min="3080" max="3080" width="10.5546875" style="1040" customWidth="1"/>
    <col min="3081" max="3081" width="13" style="1040" customWidth="1"/>
    <col min="3082" max="3082" width="12.44140625" style="1040" customWidth="1"/>
    <col min="3083" max="3083" width="13.21875" style="1040" customWidth="1"/>
    <col min="3084" max="3084" width="14.21875" style="1040" bestFit="1" customWidth="1"/>
    <col min="3085" max="3085" width="16.21875" style="1040" bestFit="1" customWidth="1"/>
    <col min="3086" max="3086" width="9" style="1040" customWidth="1"/>
    <col min="3087" max="3087" width="16.5546875" style="1040" bestFit="1" customWidth="1"/>
    <col min="3088" max="3088" width="13.77734375" style="1040" customWidth="1"/>
    <col min="3089" max="3089" width="12.21875" style="1040" customWidth="1"/>
    <col min="3090" max="3090" width="9.77734375" style="1040" bestFit="1" customWidth="1"/>
    <col min="3091" max="3091" width="10.21875" style="1040" bestFit="1" customWidth="1"/>
    <col min="3092" max="3092" width="11.5546875" style="1040" customWidth="1"/>
    <col min="3093" max="3093" width="13.21875" style="1040" bestFit="1" customWidth="1"/>
    <col min="3094" max="3328" width="9.21875" style="1040"/>
    <col min="3329" max="3329" width="7.5546875" style="1040" bestFit="1" customWidth="1"/>
    <col min="3330" max="3330" width="23.77734375" style="1040" customWidth="1"/>
    <col min="3331" max="3331" width="8.77734375" style="1040" customWidth="1"/>
    <col min="3332" max="3332" width="11" style="1040" bestFit="1" customWidth="1"/>
    <col min="3333" max="3333" width="10.21875" style="1040" customWidth="1"/>
    <col min="3334" max="3334" width="10.44140625" style="1040" customWidth="1"/>
    <col min="3335" max="3335" width="10.77734375" style="1040" customWidth="1"/>
    <col min="3336" max="3336" width="10.5546875" style="1040" customWidth="1"/>
    <col min="3337" max="3337" width="13" style="1040" customWidth="1"/>
    <col min="3338" max="3338" width="12.44140625" style="1040" customWidth="1"/>
    <col min="3339" max="3339" width="13.21875" style="1040" customWidth="1"/>
    <col min="3340" max="3340" width="14.21875" style="1040" bestFit="1" customWidth="1"/>
    <col min="3341" max="3341" width="16.21875" style="1040" bestFit="1" customWidth="1"/>
    <col min="3342" max="3342" width="9" style="1040" customWidth="1"/>
    <col min="3343" max="3343" width="16.5546875" style="1040" bestFit="1" customWidth="1"/>
    <col min="3344" max="3344" width="13.77734375" style="1040" customWidth="1"/>
    <col min="3345" max="3345" width="12.21875" style="1040" customWidth="1"/>
    <col min="3346" max="3346" width="9.77734375" style="1040" bestFit="1" customWidth="1"/>
    <col min="3347" max="3347" width="10.21875" style="1040" bestFit="1" customWidth="1"/>
    <col min="3348" max="3348" width="11.5546875" style="1040" customWidth="1"/>
    <col min="3349" max="3349" width="13.21875" style="1040" bestFit="1" customWidth="1"/>
    <col min="3350" max="3584" width="9.21875" style="1040"/>
    <col min="3585" max="3585" width="7.5546875" style="1040" bestFit="1" customWidth="1"/>
    <col min="3586" max="3586" width="23.77734375" style="1040" customWidth="1"/>
    <col min="3587" max="3587" width="8.77734375" style="1040" customWidth="1"/>
    <col min="3588" max="3588" width="11" style="1040" bestFit="1" customWidth="1"/>
    <col min="3589" max="3589" width="10.21875" style="1040" customWidth="1"/>
    <col min="3590" max="3590" width="10.44140625" style="1040" customWidth="1"/>
    <col min="3591" max="3591" width="10.77734375" style="1040" customWidth="1"/>
    <col min="3592" max="3592" width="10.5546875" style="1040" customWidth="1"/>
    <col min="3593" max="3593" width="13" style="1040" customWidth="1"/>
    <col min="3594" max="3594" width="12.44140625" style="1040" customWidth="1"/>
    <col min="3595" max="3595" width="13.21875" style="1040" customWidth="1"/>
    <col min="3596" max="3596" width="14.21875" style="1040" bestFit="1" customWidth="1"/>
    <col min="3597" max="3597" width="16.21875" style="1040" bestFit="1" customWidth="1"/>
    <col min="3598" max="3598" width="9" style="1040" customWidth="1"/>
    <col min="3599" max="3599" width="16.5546875" style="1040" bestFit="1" customWidth="1"/>
    <col min="3600" max="3600" width="13.77734375" style="1040" customWidth="1"/>
    <col min="3601" max="3601" width="12.21875" style="1040" customWidth="1"/>
    <col min="3602" max="3602" width="9.77734375" style="1040" bestFit="1" customWidth="1"/>
    <col min="3603" max="3603" width="10.21875" style="1040" bestFit="1" customWidth="1"/>
    <col min="3604" max="3604" width="11.5546875" style="1040" customWidth="1"/>
    <col min="3605" max="3605" width="13.21875" style="1040" bestFit="1" customWidth="1"/>
    <col min="3606" max="3840" width="9.21875" style="1040"/>
    <col min="3841" max="3841" width="7.5546875" style="1040" bestFit="1" customWidth="1"/>
    <col min="3842" max="3842" width="23.77734375" style="1040" customWidth="1"/>
    <col min="3843" max="3843" width="8.77734375" style="1040" customWidth="1"/>
    <col min="3844" max="3844" width="11" style="1040" bestFit="1" customWidth="1"/>
    <col min="3845" max="3845" width="10.21875" style="1040" customWidth="1"/>
    <col min="3846" max="3846" width="10.44140625" style="1040" customWidth="1"/>
    <col min="3847" max="3847" width="10.77734375" style="1040" customWidth="1"/>
    <col min="3848" max="3848" width="10.5546875" style="1040" customWidth="1"/>
    <col min="3849" max="3849" width="13" style="1040" customWidth="1"/>
    <col min="3850" max="3850" width="12.44140625" style="1040" customWidth="1"/>
    <col min="3851" max="3851" width="13.21875" style="1040" customWidth="1"/>
    <col min="3852" max="3852" width="14.21875" style="1040" bestFit="1" customWidth="1"/>
    <col min="3853" max="3853" width="16.21875" style="1040" bestFit="1" customWidth="1"/>
    <col min="3854" max="3854" width="9" style="1040" customWidth="1"/>
    <col min="3855" max="3855" width="16.5546875" style="1040" bestFit="1" customWidth="1"/>
    <col min="3856" max="3856" width="13.77734375" style="1040" customWidth="1"/>
    <col min="3857" max="3857" width="12.21875" style="1040" customWidth="1"/>
    <col min="3858" max="3858" width="9.77734375" style="1040" bestFit="1" customWidth="1"/>
    <col min="3859" max="3859" width="10.21875" style="1040" bestFit="1" customWidth="1"/>
    <col min="3860" max="3860" width="11.5546875" style="1040" customWidth="1"/>
    <col min="3861" max="3861" width="13.21875" style="1040" bestFit="1" customWidth="1"/>
    <col min="3862" max="4096" width="9.21875" style="1040"/>
    <col min="4097" max="4097" width="7.5546875" style="1040" bestFit="1" customWidth="1"/>
    <col min="4098" max="4098" width="23.77734375" style="1040" customWidth="1"/>
    <col min="4099" max="4099" width="8.77734375" style="1040" customWidth="1"/>
    <col min="4100" max="4100" width="11" style="1040" bestFit="1" customWidth="1"/>
    <col min="4101" max="4101" width="10.21875" style="1040" customWidth="1"/>
    <col min="4102" max="4102" width="10.44140625" style="1040" customWidth="1"/>
    <col min="4103" max="4103" width="10.77734375" style="1040" customWidth="1"/>
    <col min="4104" max="4104" width="10.5546875" style="1040" customWidth="1"/>
    <col min="4105" max="4105" width="13" style="1040" customWidth="1"/>
    <col min="4106" max="4106" width="12.44140625" style="1040" customWidth="1"/>
    <col min="4107" max="4107" width="13.21875" style="1040" customWidth="1"/>
    <col min="4108" max="4108" width="14.21875" style="1040" bestFit="1" customWidth="1"/>
    <col min="4109" max="4109" width="16.21875" style="1040" bestFit="1" customWidth="1"/>
    <col min="4110" max="4110" width="9" style="1040" customWidth="1"/>
    <col min="4111" max="4111" width="16.5546875" style="1040" bestFit="1" customWidth="1"/>
    <col min="4112" max="4112" width="13.77734375" style="1040" customWidth="1"/>
    <col min="4113" max="4113" width="12.21875" style="1040" customWidth="1"/>
    <col min="4114" max="4114" width="9.77734375" style="1040" bestFit="1" customWidth="1"/>
    <col min="4115" max="4115" width="10.21875" style="1040" bestFit="1" customWidth="1"/>
    <col min="4116" max="4116" width="11.5546875" style="1040" customWidth="1"/>
    <col min="4117" max="4117" width="13.21875" style="1040" bestFit="1" customWidth="1"/>
    <col min="4118" max="4352" width="9.21875" style="1040"/>
    <col min="4353" max="4353" width="7.5546875" style="1040" bestFit="1" customWidth="1"/>
    <col min="4354" max="4354" width="23.77734375" style="1040" customWidth="1"/>
    <col min="4355" max="4355" width="8.77734375" style="1040" customWidth="1"/>
    <col min="4356" max="4356" width="11" style="1040" bestFit="1" customWidth="1"/>
    <col min="4357" max="4357" width="10.21875" style="1040" customWidth="1"/>
    <col min="4358" max="4358" width="10.44140625" style="1040" customWidth="1"/>
    <col min="4359" max="4359" width="10.77734375" style="1040" customWidth="1"/>
    <col min="4360" max="4360" width="10.5546875" style="1040" customWidth="1"/>
    <col min="4361" max="4361" width="13" style="1040" customWidth="1"/>
    <col min="4362" max="4362" width="12.44140625" style="1040" customWidth="1"/>
    <col min="4363" max="4363" width="13.21875" style="1040" customWidth="1"/>
    <col min="4364" max="4364" width="14.21875" style="1040" bestFit="1" customWidth="1"/>
    <col min="4365" max="4365" width="16.21875" style="1040" bestFit="1" customWidth="1"/>
    <col min="4366" max="4366" width="9" style="1040" customWidth="1"/>
    <col min="4367" max="4367" width="16.5546875" style="1040" bestFit="1" customWidth="1"/>
    <col min="4368" max="4368" width="13.77734375" style="1040" customWidth="1"/>
    <col min="4369" max="4369" width="12.21875" style="1040" customWidth="1"/>
    <col min="4370" max="4370" width="9.77734375" style="1040" bestFit="1" customWidth="1"/>
    <col min="4371" max="4371" width="10.21875" style="1040" bestFit="1" customWidth="1"/>
    <col min="4372" max="4372" width="11.5546875" style="1040" customWidth="1"/>
    <col min="4373" max="4373" width="13.21875" style="1040" bestFit="1" customWidth="1"/>
    <col min="4374" max="4608" width="9.21875" style="1040"/>
    <col min="4609" max="4609" width="7.5546875" style="1040" bestFit="1" customWidth="1"/>
    <col min="4610" max="4610" width="23.77734375" style="1040" customWidth="1"/>
    <col min="4611" max="4611" width="8.77734375" style="1040" customWidth="1"/>
    <col min="4612" max="4612" width="11" style="1040" bestFit="1" customWidth="1"/>
    <col min="4613" max="4613" width="10.21875" style="1040" customWidth="1"/>
    <col min="4614" max="4614" width="10.44140625" style="1040" customWidth="1"/>
    <col min="4615" max="4615" width="10.77734375" style="1040" customWidth="1"/>
    <col min="4616" max="4616" width="10.5546875" style="1040" customWidth="1"/>
    <col min="4617" max="4617" width="13" style="1040" customWidth="1"/>
    <col min="4618" max="4618" width="12.44140625" style="1040" customWidth="1"/>
    <col min="4619" max="4619" width="13.21875" style="1040" customWidth="1"/>
    <col min="4620" max="4620" width="14.21875" style="1040" bestFit="1" customWidth="1"/>
    <col min="4621" max="4621" width="16.21875" style="1040" bestFit="1" customWidth="1"/>
    <col min="4622" max="4622" width="9" style="1040" customWidth="1"/>
    <col min="4623" max="4623" width="16.5546875" style="1040" bestFit="1" customWidth="1"/>
    <col min="4624" max="4624" width="13.77734375" style="1040" customWidth="1"/>
    <col min="4625" max="4625" width="12.21875" style="1040" customWidth="1"/>
    <col min="4626" max="4626" width="9.77734375" style="1040" bestFit="1" customWidth="1"/>
    <col min="4627" max="4627" width="10.21875" style="1040" bestFit="1" customWidth="1"/>
    <col min="4628" max="4628" width="11.5546875" style="1040" customWidth="1"/>
    <col min="4629" max="4629" width="13.21875" style="1040" bestFit="1" customWidth="1"/>
    <col min="4630" max="4864" width="9.21875" style="1040"/>
    <col min="4865" max="4865" width="7.5546875" style="1040" bestFit="1" customWidth="1"/>
    <col min="4866" max="4866" width="23.77734375" style="1040" customWidth="1"/>
    <col min="4867" max="4867" width="8.77734375" style="1040" customWidth="1"/>
    <col min="4868" max="4868" width="11" style="1040" bestFit="1" customWidth="1"/>
    <col min="4869" max="4869" width="10.21875" style="1040" customWidth="1"/>
    <col min="4870" max="4870" width="10.44140625" style="1040" customWidth="1"/>
    <col min="4871" max="4871" width="10.77734375" style="1040" customWidth="1"/>
    <col min="4872" max="4872" width="10.5546875" style="1040" customWidth="1"/>
    <col min="4873" max="4873" width="13" style="1040" customWidth="1"/>
    <col min="4874" max="4874" width="12.44140625" style="1040" customWidth="1"/>
    <col min="4875" max="4875" width="13.21875" style="1040" customWidth="1"/>
    <col min="4876" max="4876" width="14.21875" style="1040" bestFit="1" customWidth="1"/>
    <col min="4877" max="4877" width="16.21875" style="1040" bestFit="1" customWidth="1"/>
    <col min="4878" max="4878" width="9" style="1040" customWidth="1"/>
    <col min="4879" max="4879" width="16.5546875" style="1040" bestFit="1" customWidth="1"/>
    <col min="4880" max="4880" width="13.77734375" style="1040" customWidth="1"/>
    <col min="4881" max="4881" width="12.21875" style="1040" customWidth="1"/>
    <col min="4882" max="4882" width="9.77734375" style="1040" bestFit="1" customWidth="1"/>
    <col min="4883" max="4883" width="10.21875" style="1040" bestFit="1" customWidth="1"/>
    <col min="4884" max="4884" width="11.5546875" style="1040" customWidth="1"/>
    <col min="4885" max="4885" width="13.21875" style="1040" bestFit="1" customWidth="1"/>
    <col min="4886" max="5120" width="9.21875" style="1040"/>
    <col min="5121" max="5121" width="7.5546875" style="1040" bestFit="1" customWidth="1"/>
    <col min="5122" max="5122" width="23.77734375" style="1040" customWidth="1"/>
    <col min="5123" max="5123" width="8.77734375" style="1040" customWidth="1"/>
    <col min="5124" max="5124" width="11" style="1040" bestFit="1" customWidth="1"/>
    <col min="5125" max="5125" width="10.21875" style="1040" customWidth="1"/>
    <col min="5126" max="5126" width="10.44140625" style="1040" customWidth="1"/>
    <col min="5127" max="5127" width="10.77734375" style="1040" customWidth="1"/>
    <col min="5128" max="5128" width="10.5546875" style="1040" customWidth="1"/>
    <col min="5129" max="5129" width="13" style="1040" customWidth="1"/>
    <col min="5130" max="5130" width="12.44140625" style="1040" customWidth="1"/>
    <col min="5131" max="5131" width="13.21875" style="1040" customWidth="1"/>
    <col min="5132" max="5132" width="14.21875" style="1040" bestFit="1" customWidth="1"/>
    <col min="5133" max="5133" width="16.21875" style="1040" bestFit="1" customWidth="1"/>
    <col min="5134" max="5134" width="9" style="1040" customWidth="1"/>
    <col min="5135" max="5135" width="16.5546875" style="1040" bestFit="1" customWidth="1"/>
    <col min="5136" max="5136" width="13.77734375" style="1040" customWidth="1"/>
    <col min="5137" max="5137" width="12.21875" style="1040" customWidth="1"/>
    <col min="5138" max="5138" width="9.77734375" style="1040" bestFit="1" customWidth="1"/>
    <col min="5139" max="5139" width="10.21875" style="1040" bestFit="1" customWidth="1"/>
    <col min="5140" max="5140" width="11.5546875" style="1040" customWidth="1"/>
    <col min="5141" max="5141" width="13.21875" style="1040" bestFit="1" customWidth="1"/>
    <col min="5142" max="5376" width="9.21875" style="1040"/>
    <col min="5377" max="5377" width="7.5546875" style="1040" bestFit="1" customWidth="1"/>
    <col min="5378" max="5378" width="23.77734375" style="1040" customWidth="1"/>
    <col min="5379" max="5379" width="8.77734375" style="1040" customWidth="1"/>
    <col min="5380" max="5380" width="11" style="1040" bestFit="1" customWidth="1"/>
    <col min="5381" max="5381" width="10.21875" style="1040" customWidth="1"/>
    <col min="5382" max="5382" width="10.44140625" style="1040" customWidth="1"/>
    <col min="5383" max="5383" width="10.77734375" style="1040" customWidth="1"/>
    <col min="5384" max="5384" width="10.5546875" style="1040" customWidth="1"/>
    <col min="5385" max="5385" width="13" style="1040" customWidth="1"/>
    <col min="5386" max="5386" width="12.44140625" style="1040" customWidth="1"/>
    <col min="5387" max="5387" width="13.21875" style="1040" customWidth="1"/>
    <col min="5388" max="5388" width="14.21875" style="1040" bestFit="1" customWidth="1"/>
    <col min="5389" max="5389" width="16.21875" style="1040" bestFit="1" customWidth="1"/>
    <col min="5390" max="5390" width="9" style="1040" customWidth="1"/>
    <col min="5391" max="5391" width="16.5546875" style="1040" bestFit="1" customWidth="1"/>
    <col min="5392" max="5392" width="13.77734375" style="1040" customWidth="1"/>
    <col min="5393" max="5393" width="12.21875" style="1040" customWidth="1"/>
    <col min="5394" max="5394" width="9.77734375" style="1040" bestFit="1" customWidth="1"/>
    <col min="5395" max="5395" width="10.21875" style="1040" bestFit="1" customWidth="1"/>
    <col min="5396" max="5396" width="11.5546875" style="1040" customWidth="1"/>
    <col min="5397" max="5397" width="13.21875" style="1040" bestFit="1" customWidth="1"/>
    <col min="5398" max="5632" width="9.21875" style="1040"/>
    <col min="5633" max="5633" width="7.5546875" style="1040" bestFit="1" customWidth="1"/>
    <col min="5634" max="5634" width="23.77734375" style="1040" customWidth="1"/>
    <col min="5635" max="5635" width="8.77734375" style="1040" customWidth="1"/>
    <col min="5636" max="5636" width="11" style="1040" bestFit="1" customWidth="1"/>
    <col min="5637" max="5637" width="10.21875" style="1040" customWidth="1"/>
    <col min="5638" max="5638" width="10.44140625" style="1040" customWidth="1"/>
    <col min="5639" max="5639" width="10.77734375" style="1040" customWidth="1"/>
    <col min="5640" max="5640" width="10.5546875" style="1040" customWidth="1"/>
    <col min="5641" max="5641" width="13" style="1040" customWidth="1"/>
    <col min="5642" max="5642" width="12.44140625" style="1040" customWidth="1"/>
    <col min="5643" max="5643" width="13.21875" style="1040" customWidth="1"/>
    <col min="5644" max="5644" width="14.21875" style="1040" bestFit="1" customWidth="1"/>
    <col min="5645" max="5645" width="16.21875" style="1040" bestFit="1" customWidth="1"/>
    <col min="5646" max="5646" width="9" style="1040" customWidth="1"/>
    <col min="5647" max="5647" width="16.5546875" style="1040" bestFit="1" customWidth="1"/>
    <col min="5648" max="5648" width="13.77734375" style="1040" customWidth="1"/>
    <col min="5649" max="5649" width="12.21875" style="1040" customWidth="1"/>
    <col min="5650" max="5650" width="9.77734375" style="1040" bestFit="1" customWidth="1"/>
    <col min="5651" max="5651" width="10.21875" style="1040" bestFit="1" customWidth="1"/>
    <col min="5652" max="5652" width="11.5546875" style="1040" customWidth="1"/>
    <col min="5653" max="5653" width="13.21875" style="1040" bestFit="1" customWidth="1"/>
    <col min="5654" max="5888" width="9.21875" style="1040"/>
    <col min="5889" max="5889" width="7.5546875" style="1040" bestFit="1" customWidth="1"/>
    <col min="5890" max="5890" width="23.77734375" style="1040" customWidth="1"/>
    <col min="5891" max="5891" width="8.77734375" style="1040" customWidth="1"/>
    <col min="5892" max="5892" width="11" style="1040" bestFit="1" customWidth="1"/>
    <col min="5893" max="5893" width="10.21875" style="1040" customWidth="1"/>
    <col min="5894" max="5894" width="10.44140625" style="1040" customWidth="1"/>
    <col min="5895" max="5895" width="10.77734375" style="1040" customWidth="1"/>
    <col min="5896" max="5896" width="10.5546875" style="1040" customWidth="1"/>
    <col min="5897" max="5897" width="13" style="1040" customWidth="1"/>
    <col min="5898" max="5898" width="12.44140625" style="1040" customWidth="1"/>
    <col min="5899" max="5899" width="13.21875" style="1040" customWidth="1"/>
    <col min="5900" max="5900" width="14.21875" style="1040" bestFit="1" customWidth="1"/>
    <col min="5901" max="5901" width="16.21875" style="1040" bestFit="1" customWidth="1"/>
    <col min="5902" max="5902" width="9" style="1040" customWidth="1"/>
    <col min="5903" max="5903" width="16.5546875" style="1040" bestFit="1" customWidth="1"/>
    <col min="5904" max="5904" width="13.77734375" style="1040" customWidth="1"/>
    <col min="5905" max="5905" width="12.21875" style="1040" customWidth="1"/>
    <col min="5906" max="5906" width="9.77734375" style="1040" bestFit="1" customWidth="1"/>
    <col min="5907" max="5907" width="10.21875" style="1040" bestFit="1" customWidth="1"/>
    <col min="5908" max="5908" width="11.5546875" style="1040" customWidth="1"/>
    <col min="5909" max="5909" width="13.21875" style="1040" bestFit="1" customWidth="1"/>
    <col min="5910" max="6144" width="9.21875" style="1040"/>
    <col min="6145" max="6145" width="7.5546875" style="1040" bestFit="1" customWidth="1"/>
    <col min="6146" max="6146" width="23.77734375" style="1040" customWidth="1"/>
    <col min="6147" max="6147" width="8.77734375" style="1040" customWidth="1"/>
    <col min="6148" max="6148" width="11" style="1040" bestFit="1" customWidth="1"/>
    <col min="6149" max="6149" width="10.21875" style="1040" customWidth="1"/>
    <col min="6150" max="6150" width="10.44140625" style="1040" customWidth="1"/>
    <col min="6151" max="6151" width="10.77734375" style="1040" customWidth="1"/>
    <col min="6152" max="6152" width="10.5546875" style="1040" customWidth="1"/>
    <col min="6153" max="6153" width="13" style="1040" customWidth="1"/>
    <col min="6154" max="6154" width="12.44140625" style="1040" customWidth="1"/>
    <col min="6155" max="6155" width="13.21875" style="1040" customWidth="1"/>
    <col min="6156" max="6156" width="14.21875" style="1040" bestFit="1" customWidth="1"/>
    <col min="6157" max="6157" width="16.21875" style="1040" bestFit="1" customWidth="1"/>
    <col min="6158" max="6158" width="9" style="1040" customWidth="1"/>
    <col min="6159" max="6159" width="16.5546875" style="1040" bestFit="1" customWidth="1"/>
    <col min="6160" max="6160" width="13.77734375" style="1040" customWidth="1"/>
    <col min="6161" max="6161" width="12.21875" style="1040" customWidth="1"/>
    <col min="6162" max="6162" width="9.77734375" style="1040" bestFit="1" customWidth="1"/>
    <col min="6163" max="6163" width="10.21875" style="1040" bestFit="1" customWidth="1"/>
    <col min="6164" max="6164" width="11.5546875" style="1040" customWidth="1"/>
    <col min="6165" max="6165" width="13.21875" style="1040" bestFit="1" customWidth="1"/>
    <col min="6166" max="6400" width="9.21875" style="1040"/>
    <col min="6401" max="6401" width="7.5546875" style="1040" bestFit="1" customWidth="1"/>
    <col min="6402" max="6402" width="23.77734375" style="1040" customWidth="1"/>
    <col min="6403" max="6403" width="8.77734375" style="1040" customWidth="1"/>
    <col min="6404" max="6404" width="11" style="1040" bestFit="1" customWidth="1"/>
    <col min="6405" max="6405" width="10.21875" style="1040" customWidth="1"/>
    <col min="6406" max="6406" width="10.44140625" style="1040" customWidth="1"/>
    <col min="6407" max="6407" width="10.77734375" style="1040" customWidth="1"/>
    <col min="6408" max="6408" width="10.5546875" style="1040" customWidth="1"/>
    <col min="6409" max="6409" width="13" style="1040" customWidth="1"/>
    <col min="6410" max="6410" width="12.44140625" style="1040" customWidth="1"/>
    <col min="6411" max="6411" width="13.21875" style="1040" customWidth="1"/>
    <col min="6412" max="6412" width="14.21875" style="1040" bestFit="1" customWidth="1"/>
    <col min="6413" max="6413" width="16.21875" style="1040" bestFit="1" customWidth="1"/>
    <col min="6414" max="6414" width="9" style="1040" customWidth="1"/>
    <col min="6415" max="6415" width="16.5546875" style="1040" bestFit="1" customWidth="1"/>
    <col min="6416" max="6416" width="13.77734375" style="1040" customWidth="1"/>
    <col min="6417" max="6417" width="12.21875" style="1040" customWidth="1"/>
    <col min="6418" max="6418" width="9.77734375" style="1040" bestFit="1" customWidth="1"/>
    <col min="6419" max="6419" width="10.21875" style="1040" bestFit="1" customWidth="1"/>
    <col min="6420" max="6420" width="11.5546875" style="1040" customWidth="1"/>
    <col min="6421" max="6421" width="13.21875" style="1040" bestFit="1" customWidth="1"/>
    <col min="6422" max="6656" width="9.21875" style="1040"/>
    <col min="6657" max="6657" width="7.5546875" style="1040" bestFit="1" customWidth="1"/>
    <col min="6658" max="6658" width="23.77734375" style="1040" customWidth="1"/>
    <col min="6659" max="6659" width="8.77734375" style="1040" customWidth="1"/>
    <col min="6660" max="6660" width="11" style="1040" bestFit="1" customWidth="1"/>
    <col min="6661" max="6661" width="10.21875" style="1040" customWidth="1"/>
    <col min="6662" max="6662" width="10.44140625" style="1040" customWidth="1"/>
    <col min="6663" max="6663" width="10.77734375" style="1040" customWidth="1"/>
    <col min="6664" max="6664" width="10.5546875" style="1040" customWidth="1"/>
    <col min="6665" max="6665" width="13" style="1040" customWidth="1"/>
    <col min="6666" max="6666" width="12.44140625" style="1040" customWidth="1"/>
    <col min="6667" max="6667" width="13.21875" style="1040" customWidth="1"/>
    <col min="6668" max="6668" width="14.21875" style="1040" bestFit="1" customWidth="1"/>
    <col min="6669" max="6669" width="16.21875" style="1040" bestFit="1" customWidth="1"/>
    <col min="6670" max="6670" width="9" style="1040" customWidth="1"/>
    <col min="6671" max="6671" width="16.5546875" style="1040" bestFit="1" customWidth="1"/>
    <col min="6672" max="6672" width="13.77734375" style="1040" customWidth="1"/>
    <col min="6673" max="6673" width="12.21875" style="1040" customWidth="1"/>
    <col min="6674" max="6674" width="9.77734375" style="1040" bestFit="1" customWidth="1"/>
    <col min="6675" max="6675" width="10.21875" style="1040" bestFit="1" customWidth="1"/>
    <col min="6676" max="6676" width="11.5546875" style="1040" customWidth="1"/>
    <col min="6677" max="6677" width="13.21875" style="1040" bestFit="1" customWidth="1"/>
    <col min="6678" max="6912" width="9.21875" style="1040"/>
    <col min="6913" max="6913" width="7.5546875" style="1040" bestFit="1" customWidth="1"/>
    <col min="6914" max="6914" width="23.77734375" style="1040" customWidth="1"/>
    <col min="6915" max="6915" width="8.77734375" style="1040" customWidth="1"/>
    <col min="6916" max="6916" width="11" style="1040" bestFit="1" customWidth="1"/>
    <col min="6917" max="6917" width="10.21875" style="1040" customWidth="1"/>
    <col min="6918" max="6918" width="10.44140625" style="1040" customWidth="1"/>
    <col min="6919" max="6919" width="10.77734375" style="1040" customWidth="1"/>
    <col min="6920" max="6920" width="10.5546875" style="1040" customWidth="1"/>
    <col min="6921" max="6921" width="13" style="1040" customWidth="1"/>
    <col min="6922" max="6922" width="12.44140625" style="1040" customWidth="1"/>
    <col min="6923" max="6923" width="13.21875" style="1040" customWidth="1"/>
    <col min="6924" max="6924" width="14.21875" style="1040" bestFit="1" customWidth="1"/>
    <col min="6925" max="6925" width="16.21875" style="1040" bestFit="1" customWidth="1"/>
    <col min="6926" max="6926" width="9" style="1040" customWidth="1"/>
    <col min="6927" max="6927" width="16.5546875" style="1040" bestFit="1" customWidth="1"/>
    <col min="6928" max="6928" width="13.77734375" style="1040" customWidth="1"/>
    <col min="6929" max="6929" width="12.21875" style="1040" customWidth="1"/>
    <col min="6930" max="6930" width="9.77734375" style="1040" bestFit="1" customWidth="1"/>
    <col min="6931" max="6931" width="10.21875" style="1040" bestFit="1" customWidth="1"/>
    <col min="6932" max="6932" width="11.5546875" style="1040" customWidth="1"/>
    <col min="6933" max="6933" width="13.21875" style="1040" bestFit="1" customWidth="1"/>
    <col min="6934" max="7168" width="9.21875" style="1040"/>
    <col min="7169" max="7169" width="7.5546875" style="1040" bestFit="1" customWidth="1"/>
    <col min="7170" max="7170" width="23.77734375" style="1040" customWidth="1"/>
    <col min="7171" max="7171" width="8.77734375" style="1040" customWidth="1"/>
    <col min="7172" max="7172" width="11" style="1040" bestFit="1" customWidth="1"/>
    <col min="7173" max="7173" width="10.21875" style="1040" customWidth="1"/>
    <col min="7174" max="7174" width="10.44140625" style="1040" customWidth="1"/>
    <col min="7175" max="7175" width="10.77734375" style="1040" customWidth="1"/>
    <col min="7176" max="7176" width="10.5546875" style="1040" customWidth="1"/>
    <col min="7177" max="7177" width="13" style="1040" customWidth="1"/>
    <col min="7178" max="7178" width="12.44140625" style="1040" customWidth="1"/>
    <col min="7179" max="7179" width="13.21875" style="1040" customWidth="1"/>
    <col min="7180" max="7180" width="14.21875" style="1040" bestFit="1" customWidth="1"/>
    <col min="7181" max="7181" width="16.21875" style="1040" bestFit="1" customWidth="1"/>
    <col min="7182" max="7182" width="9" style="1040" customWidth="1"/>
    <col min="7183" max="7183" width="16.5546875" style="1040" bestFit="1" customWidth="1"/>
    <col min="7184" max="7184" width="13.77734375" style="1040" customWidth="1"/>
    <col min="7185" max="7185" width="12.21875" style="1040" customWidth="1"/>
    <col min="7186" max="7186" width="9.77734375" style="1040" bestFit="1" customWidth="1"/>
    <col min="7187" max="7187" width="10.21875" style="1040" bestFit="1" customWidth="1"/>
    <col min="7188" max="7188" width="11.5546875" style="1040" customWidth="1"/>
    <col min="7189" max="7189" width="13.21875" style="1040" bestFit="1" customWidth="1"/>
    <col min="7190" max="7424" width="9.21875" style="1040"/>
    <col min="7425" max="7425" width="7.5546875" style="1040" bestFit="1" customWidth="1"/>
    <col min="7426" max="7426" width="23.77734375" style="1040" customWidth="1"/>
    <col min="7427" max="7427" width="8.77734375" style="1040" customWidth="1"/>
    <col min="7428" max="7428" width="11" style="1040" bestFit="1" customWidth="1"/>
    <col min="7429" max="7429" width="10.21875" style="1040" customWidth="1"/>
    <col min="7430" max="7430" width="10.44140625" style="1040" customWidth="1"/>
    <col min="7431" max="7431" width="10.77734375" style="1040" customWidth="1"/>
    <col min="7432" max="7432" width="10.5546875" style="1040" customWidth="1"/>
    <col min="7433" max="7433" width="13" style="1040" customWidth="1"/>
    <col min="7434" max="7434" width="12.44140625" style="1040" customWidth="1"/>
    <col min="7435" max="7435" width="13.21875" style="1040" customWidth="1"/>
    <col min="7436" max="7436" width="14.21875" style="1040" bestFit="1" customWidth="1"/>
    <col min="7437" max="7437" width="16.21875" style="1040" bestFit="1" customWidth="1"/>
    <col min="7438" max="7438" width="9" style="1040" customWidth="1"/>
    <col min="7439" max="7439" width="16.5546875" style="1040" bestFit="1" customWidth="1"/>
    <col min="7440" max="7440" width="13.77734375" style="1040" customWidth="1"/>
    <col min="7441" max="7441" width="12.21875" style="1040" customWidth="1"/>
    <col min="7442" max="7442" width="9.77734375" style="1040" bestFit="1" customWidth="1"/>
    <col min="7443" max="7443" width="10.21875" style="1040" bestFit="1" customWidth="1"/>
    <col min="7444" max="7444" width="11.5546875" style="1040" customWidth="1"/>
    <col min="7445" max="7445" width="13.21875" style="1040" bestFit="1" customWidth="1"/>
    <col min="7446" max="7680" width="9.21875" style="1040"/>
    <col min="7681" max="7681" width="7.5546875" style="1040" bestFit="1" customWidth="1"/>
    <col min="7682" max="7682" width="23.77734375" style="1040" customWidth="1"/>
    <col min="7683" max="7683" width="8.77734375" style="1040" customWidth="1"/>
    <col min="7684" max="7684" width="11" style="1040" bestFit="1" customWidth="1"/>
    <col min="7685" max="7685" width="10.21875" style="1040" customWidth="1"/>
    <col min="7686" max="7686" width="10.44140625" style="1040" customWidth="1"/>
    <col min="7687" max="7687" width="10.77734375" style="1040" customWidth="1"/>
    <col min="7688" max="7688" width="10.5546875" style="1040" customWidth="1"/>
    <col min="7689" max="7689" width="13" style="1040" customWidth="1"/>
    <col min="7690" max="7690" width="12.44140625" style="1040" customWidth="1"/>
    <col min="7691" max="7691" width="13.21875" style="1040" customWidth="1"/>
    <col min="7692" max="7692" width="14.21875" style="1040" bestFit="1" customWidth="1"/>
    <col min="7693" max="7693" width="16.21875" style="1040" bestFit="1" customWidth="1"/>
    <col min="7694" max="7694" width="9" style="1040" customWidth="1"/>
    <col min="7695" max="7695" width="16.5546875" style="1040" bestFit="1" customWidth="1"/>
    <col min="7696" max="7696" width="13.77734375" style="1040" customWidth="1"/>
    <col min="7697" max="7697" width="12.21875" style="1040" customWidth="1"/>
    <col min="7698" max="7698" width="9.77734375" style="1040" bestFit="1" customWidth="1"/>
    <col min="7699" max="7699" width="10.21875" style="1040" bestFit="1" customWidth="1"/>
    <col min="7700" max="7700" width="11.5546875" style="1040" customWidth="1"/>
    <col min="7701" max="7701" width="13.21875" style="1040" bestFit="1" customWidth="1"/>
    <col min="7702" max="7936" width="9.21875" style="1040"/>
    <col min="7937" max="7937" width="7.5546875" style="1040" bestFit="1" customWidth="1"/>
    <col min="7938" max="7938" width="23.77734375" style="1040" customWidth="1"/>
    <col min="7939" max="7939" width="8.77734375" style="1040" customWidth="1"/>
    <col min="7940" max="7940" width="11" style="1040" bestFit="1" customWidth="1"/>
    <col min="7941" max="7941" width="10.21875" style="1040" customWidth="1"/>
    <col min="7942" max="7942" width="10.44140625" style="1040" customWidth="1"/>
    <col min="7943" max="7943" width="10.77734375" style="1040" customWidth="1"/>
    <col min="7944" max="7944" width="10.5546875" style="1040" customWidth="1"/>
    <col min="7945" max="7945" width="13" style="1040" customWidth="1"/>
    <col min="7946" max="7946" width="12.44140625" style="1040" customWidth="1"/>
    <col min="7947" max="7947" width="13.21875" style="1040" customWidth="1"/>
    <col min="7948" max="7948" width="14.21875" style="1040" bestFit="1" customWidth="1"/>
    <col min="7949" max="7949" width="16.21875" style="1040" bestFit="1" customWidth="1"/>
    <col min="7950" max="7950" width="9" style="1040" customWidth="1"/>
    <col min="7951" max="7951" width="16.5546875" style="1040" bestFit="1" customWidth="1"/>
    <col min="7952" max="7952" width="13.77734375" style="1040" customWidth="1"/>
    <col min="7953" max="7953" width="12.21875" style="1040" customWidth="1"/>
    <col min="7954" max="7954" width="9.77734375" style="1040" bestFit="1" customWidth="1"/>
    <col min="7955" max="7955" width="10.21875" style="1040" bestFit="1" customWidth="1"/>
    <col min="7956" max="7956" width="11.5546875" style="1040" customWidth="1"/>
    <col min="7957" max="7957" width="13.21875" style="1040" bestFit="1" customWidth="1"/>
    <col min="7958" max="8192" width="9.21875" style="1040"/>
    <col min="8193" max="8193" width="7.5546875" style="1040" bestFit="1" customWidth="1"/>
    <col min="8194" max="8194" width="23.77734375" style="1040" customWidth="1"/>
    <col min="8195" max="8195" width="8.77734375" style="1040" customWidth="1"/>
    <col min="8196" max="8196" width="11" style="1040" bestFit="1" customWidth="1"/>
    <col min="8197" max="8197" width="10.21875" style="1040" customWidth="1"/>
    <col min="8198" max="8198" width="10.44140625" style="1040" customWidth="1"/>
    <col min="8199" max="8199" width="10.77734375" style="1040" customWidth="1"/>
    <col min="8200" max="8200" width="10.5546875" style="1040" customWidth="1"/>
    <col min="8201" max="8201" width="13" style="1040" customWidth="1"/>
    <col min="8202" max="8202" width="12.44140625" style="1040" customWidth="1"/>
    <col min="8203" max="8203" width="13.21875" style="1040" customWidth="1"/>
    <col min="8204" max="8204" width="14.21875" style="1040" bestFit="1" customWidth="1"/>
    <col min="8205" max="8205" width="16.21875" style="1040" bestFit="1" customWidth="1"/>
    <col min="8206" max="8206" width="9" style="1040" customWidth="1"/>
    <col min="8207" max="8207" width="16.5546875" style="1040" bestFit="1" customWidth="1"/>
    <col min="8208" max="8208" width="13.77734375" style="1040" customWidth="1"/>
    <col min="8209" max="8209" width="12.21875" style="1040" customWidth="1"/>
    <col min="8210" max="8210" width="9.77734375" style="1040" bestFit="1" customWidth="1"/>
    <col min="8211" max="8211" width="10.21875" style="1040" bestFit="1" customWidth="1"/>
    <col min="8212" max="8212" width="11.5546875" style="1040" customWidth="1"/>
    <col min="8213" max="8213" width="13.21875" style="1040" bestFit="1" customWidth="1"/>
    <col min="8214" max="8448" width="9.21875" style="1040"/>
    <col min="8449" max="8449" width="7.5546875" style="1040" bestFit="1" customWidth="1"/>
    <col min="8450" max="8450" width="23.77734375" style="1040" customWidth="1"/>
    <col min="8451" max="8451" width="8.77734375" style="1040" customWidth="1"/>
    <col min="8452" max="8452" width="11" style="1040" bestFit="1" customWidth="1"/>
    <col min="8453" max="8453" width="10.21875" style="1040" customWidth="1"/>
    <col min="8454" max="8454" width="10.44140625" style="1040" customWidth="1"/>
    <col min="8455" max="8455" width="10.77734375" style="1040" customWidth="1"/>
    <col min="8456" max="8456" width="10.5546875" style="1040" customWidth="1"/>
    <col min="8457" max="8457" width="13" style="1040" customWidth="1"/>
    <col min="8458" max="8458" width="12.44140625" style="1040" customWidth="1"/>
    <col min="8459" max="8459" width="13.21875" style="1040" customWidth="1"/>
    <col min="8460" max="8460" width="14.21875" style="1040" bestFit="1" customWidth="1"/>
    <col min="8461" max="8461" width="16.21875" style="1040" bestFit="1" customWidth="1"/>
    <col min="8462" max="8462" width="9" style="1040" customWidth="1"/>
    <col min="8463" max="8463" width="16.5546875" style="1040" bestFit="1" customWidth="1"/>
    <col min="8464" max="8464" width="13.77734375" style="1040" customWidth="1"/>
    <col min="8465" max="8465" width="12.21875" style="1040" customWidth="1"/>
    <col min="8466" max="8466" width="9.77734375" style="1040" bestFit="1" customWidth="1"/>
    <col min="8467" max="8467" width="10.21875" style="1040" bestFit="1" customWidth="1"/>
    <col min="8468" max="8468" width="11.5546875" style="1040" customWidth="1"/>
    <col min="8469" max="8469" width="13.21875" style="1040" bestFit="1" customWidth="1"/>
    <col min="8470" max="8704" width="9.21875" style="1040"/>
    <col min="8705" max="8705" width="7.5546875" style="1040" bestFit="1" customWidth="1"/>
    <col min="8706" max="8706" width="23.77734375" style="1040" customWidth="1"/>
    <col min="8707" max="8707" width="8.77734375" style="1040" customWidth="1"/>
    <col min="8708" max="8708" width="11" style="1040" bestFit="1" customWidth="1"/>
    <col min="8709" max="8709" width="10.21875" style="1040" customWidth="1"/>
    <col min="8710" max="8710" width="10.44140625" style="1040" customWidth="1"/>
    <col min="8711" max="8711" width="10.77734375" style="1040" customWidth="1"/>
    <col min="8712" max="8712" width="10.5546875" style="1040" customWidth="1"/>
    <col min="8713" max="8713" width="13" style="1040" customWidth="1"/>
    <col min="8714" max="8714" width="12.44140625" style="1040" customWidth="1"/>
    <col min="8715" max="8715" width="13.21875" style="1040" customWidth="1"/>
    <col min="8716" max="8716" width="14.21875" style="1040" bestFit="1" customWidth="1"/>
    <col min="8717" max="8717" width="16.21875" style="1040" bestFit="1" customWidth="1"/>
    <col min="8718" max="8718" width="9" style="1040" customWidth="1"/>
    <col min="8719" max="8719" width="16.5546875" style="1040" bestFit="1" customWidth="1"/>
    <col min="8720" max="8720" width="13.77734375" style="1040" customWidth="1"/>
    <col min="8721" max="8721" width="12.21875" style="1040" customWidth="1"/>
    <col min="8722" max="8722" width="9.77734375" style="1040" bestFit="1" customWidth="1"/>
    <col min="8723" max="8723" width="10.21875" style="1040" bestFit="1" customWidth="1"/>
    <col min="8724" max="8724" width="11.5546875" style="1040" customWidth="1"/>
    <col min="8725" max="8725" width="13.21875" style="1040" bestFit="1" customWidth="1"/>
    <col min="8726" max="8960" width="9.21875" style="1040"/>
    <col min="8961" max="8961" width="7.5546875" style="1040" bestFit="1" customWidth="1"/>
    <col min="8962" max="8962" width="23.77734375" style="1040" customWidth="1"/>
    <col min="8963" max="8963" width="8.77734375" style="1040" customWidth="1"/>
    <col min="8964" max="8964" width="11" style="1040" bestFit="1" customWidth="1"/>
    <col min="8965" max="8965" width="10.21875" style="1040" customWidth="1"/>
    <col min="8966" max="8966" width="10.44140625" style="1040" customWidth="1"/>
    <col min="8967" max="8967" width="10.77734375" style="1040" customWidth="1"/>
    <col min="8968" max="8968" width="10.5546875" style="1040" customWidth="1"/>
    <col min="8969" max="8969" width="13" style="1040" customWidth="1"/>
    <col min="8970" max="8970" width="12.44140625" style="1040" customWidth="1"/>
    <col min="8971" max="8971" width="13.21875" style="1040" customWidth="1"/>
    <col min="8972" max="8972" width="14.21875" style="1040" bestFit="1" customWidth="1"/>
    <col min="8973" max="8973" width="16.21875" style="1040" bestFit="1" customWidth="1"/>
    <col min="8974" max="8974" width="9" style="1040" customWidth="1"/>
    <col min="8975" max="8975" width="16.5546875" style="1040" bestFit="1" customWidth="1"/>
    <col min="8976" max="8976" width="13.77734375" style="1040" customWidth="1"/>
    <col min="8977" max="8977" width="12.21875" style="1040" customWidth="1"/>
    <col min="8978" max="8978" width="9.77734375" style="1040" bestFit="1" customWidth="1"/>
    <col min="8979" max="8979" width="10.21875" style="1040" bestFit="1" customWidth="1"/>
    <col min="8980" max="8980" width="11.5546875" style="1040" customWidth="1"/>
    <col min="8981" max="8981" width="13.21875" style="1040" bestFit="1" customWidth="1"/>
    <col min="8982" max="9216" width="9.21875" style="1040"/>
    <col min="9217" max="9217" width="7.5546875" style="1040" bestFit="1" customWidth="1"/>
    <col min="9218" max="9218" width="23.77734375" style="1040" customWidth="1"/>
    <col min="9219" max="9219" width="8.77734375" style="1040" customWidth="1"/>
    <col min="9220" max="9220" width="11" style="1040" bestFit="1" customWidth="1"/>
    <col min="9221" max="9221" width="10.21875" style="1040" customWidth="1"/>
    <col min="9222" max="9222" width="10.44140625" style="1040" customWidth="1"/>
    <col min="9223" max="9223" width="10.77734375" style="1040" customWidth="1"/>
    <col min="9224" max="9224" width="10.5546875" style="1040" customWidth="1"/>
    <col min="9225" max="9225" width="13" style="1040" customWidth="1"/>
    <col min="9226" max="9226" width="12.44140625" style="1040" customWidth="1"/>
    <col min="9227" max="9227" width="13.21875" style="1040" customWidth="1"/>
    <col min="9228" max="9228" width="14.21875" style="1040" bestFit="1" customWidth="1"/>
    <col min="9229" max="9229" width="16.21875" style="1040" bestFit="1" customWidth="1"/>
    <col min="9230" max="9230" width="9" style="1040" customWidth="1"/>
    <col min="9231" max="9231" width="16.5546875" style="1040" bestFit="1" customWidth="1"/>
    <col min="9232" max="9232" width="13.77734375" style="1040" customWidth="1"/>
    <col min="9233" max="9233" width="12.21875" style="1040" customWidth="1"/>
    <col min="9234" max="9234" width="9.77734375" style="1040" bestFit="1" customWidth="1"/>
    <col min="9235" max="9235" width="10.21875" style="1040" bestFit="1" customWidth="1"/>
    <col min="9236" max="9236" width="11.5546875" style="1040" customWidth="1"/>
    <col min="9237" max="9237" width="13.21875" style="1040" bestFit="1" customWidth="1"/>
    <col min="9238" max="9472" width="9.21875" style="1040"/>
    <col min="9473" max="9473" width="7.5546875" style="1040" bestFit="1" customWidth="1"/>
    <col min="9474" max="9474" width="23.77734375" style="1040" customWidth="1"/>
    <col min="9475" max="9475" width="8.77734375" style="1040" customWidth="1"/>
    <col min="9476" max="9476" width="11" style="1040" bestFit="1" customWidth="1"/>
    <col min="9477" max="9477" width="10.21875" style="1040" customWidth="1"/>
    <col min="9478" max="9478" width="10.44140625" style="1040" customWidth="1"/>
    <col min="9479" max="9479" width="10.77734375" style="1040" customWidth="1"/>
    <col min="9480" max="9480" width="10.5546875" style="1040" customWidth="1"/>
    <col min="9481" max="9481" width="13" style="1040" customWidth="1"/>
    <col min="9482" max="9482" width="12.44140625" style="1040" customWidth="1"/>
    <col min="9483" max="9483" width="13.21875" style="1040" customWidth="1"/>
    <col min="9484" max="9484" width="14.21875" style="1040" bestFit="1" customWidth="1"/>
    <col min="9485" max="9485" width="16.21875" style="1040" bestFit="1" customWidth="1"/>
    <col min="9486" max="9486" width="9" style="1040" customWidth="1"/>
    <col min="9487" max="9487" width="16.5546875" style="1040" bestFit="1" customWidth="1"/>
    <col min="9488" max="9488" width="13.77734375" style="1040" customWidth="1"/>
    <col min="9489" max="9489" width="12.21875" style="1040" customWidth="1"/>
    <col min="9490" max="9490" width="9.77734375" style="1040" bestFit="1" customWidth="1"/>
    <col min="9491" max="9491" width="10.21875" style="1040" bestFit="1" customWidth="1"/>
    <col min="9492" max="9492" width="11.5546875" style="1040" customWidth="1"/>
    <col min="9493" max="9493" width="13.21875" style="1040" bestFit="1" customWidth="1"/>
    <col min="9494" max="9728" width="9.21875" style="1040"/>
    <col min="9729" max="9729" width="7.5546875" style="1040" bestFit="1" customWidth="1"/>
    <col min="9730" max="9730" width="23.77734375" style="1040" customWidth="1"/>
    <col min="9731" max="9731" width="8.77734375" style="1040" customWidth="1"/>
    <col min="9732" max="9732" width="11" style="1040" bestFit="1" customWidth="1"/>
    <col min="9733" max="9733" width="10.21875" style="1040" customWidth="1"/>
    <col min="9734" max="9734" width="10.44140625" style="1040" customWidth="1"/>
    <col min="9735" max="9735" width="10.77734375" style="1040" customWidth="1"/>
    <col min="9736" max="9736" width="10.5546875" style="1040" customWidth="1"/>
    <col min="9737" max="9737" width="13" style="1040" customWidth="1"/>
    <col min="9738" max="9738" width="12.44140625" style="1040" customWidth="1"/>
    <col min="9739" max="9739" width="13.21875" style="1040" customWidth="1"/>
    <col min="9740" max="9740" width="14.21875" style="1040" bestFit="1" customWidth="1"/>
    <col min="9741" max="9741" width="16.21875" style="1040" bestFit="1" customWidth="1"/>
    <col min="9742" max="9742" width="9" style="1040" customWidth="1"/>
    <col min="9743" max="9743" width="16.5546875" style="1040" bestFit="1" customWidth="1"/>
    <col min="9744" max="9744" width="13.77734375" style="1040" customWidth="1"/>
    <col min="9745" max="9745" width="12.21875" style="1040" customWidth="1"/>
    <col min="9746" max="9746" width="9.77734375" style="1040" bestFit="1" customWidth="1"/>
    <col min="9747" max="9747" width="10.21875" style="1040" bestFit="1" customWidth="1"/>
    <col min="9748" max="9748" width="11.5546875" style="1040" customWidth="1"/>
    <col min="9749" max="9749" width="13.21875" style="1040" bestFit="1" customWidth="1"/>
    <col min="9750" max="9984" width="9.21875" style="1040"/>
    <col min="9985" max="9985" width="7.5546875" style="1040" bestFit="1" customWidth="1"/>
    <col min="9986" max="9986" width="23.77734375" style="1040" customWidth="1"/>
    <col min="9987" max="9987" width="8.77734375" style="1040" customWidth="1"/>
    <col min="9988" max="9988" width="11" style="1040" bestFit="1" customWidth="1"/>
    <col min="9989" max="9989" width="10.21875" style="1040" customWidth="1"/>
    <col min="9990" max="9990" width="10.44140625" style="1040" customWidth="1"/>
    <col min="9991" max="9991" width="10.77734375" style="1040" customWidth="1"/>
    <col min="9992" max="9992" width="10.5546875" style="1040" customWidth="1"/>
    <col min="9993" max="9993" width="13" style="1040" customWidth="1"/>
    <col min="9994" max="9994" width="12.44140625" style="1040" customWidth="1"/>
    <col min="9995" max="9995" width="13.21875" style="1040" customWidth="1"/>
    <col min="9996" max="9996" width="14.21875" style="1040" bestFit="1" customWidth="1"/>
    <col min="9997" max="9997" width="16.21875" style="1040" bestFit="1" customWidth="1"/>
    <col min="9998" max="9998" width="9" style="1040" customWidth="1"/>
    <col min="9999" max="9999" width="16.5546875" style="1040" bestFit="1" customWidth="1"/>
    <col min="10000" max="10000" width="13.77734375" style="1040" customWidth="1"/>
    <col min="10001" max="10001" width="12.21875" style="1040" customWidth="1"/>
    <col min="10002" max="10002" width="9.77734375" style="1040" bestFit="1" customWidth="1"/>
    <col min="10003" max="10003" width="10.21875" style="1040" bestFit="1" customWidth="1"/>
    <col min="10004" max="10004" width="11.5546875" style="1040" customWidth="1"/>
    <col min="10005" max="10005" width="13.21875" style="1040" bestFit="1" customWidth="1"/>
    <col min="10006" max="10240" width="9.21875" style="1040"/>
    <col min="10241" max="10241" width="7.5546875" style="1040" bestFit="1" customWidth="1"/>
    <col min="10242" max="10242" width="23.77734375" style="1040" customWidth="1"/>
    <col min="10243" max="10243" width="8.77734375" style="1040" customWidth="1"/>
    <col min="10244" max="10244" width="11" style="1040" bestFit="1" customWidth="1"/>
    <col min="10245" max="10245" width="10.21875" style="1040" customWidth="1"/>
    <col min="10246" max="10246" width="10.44140625" style="1040" customWidth="1"/>
    <col min="10247" max="10247" width="10.77734375" style="1040" customWidth="1"/>
    <col min="10248" max="10248" width="10.5546875" style="1040" customWidth="1"/>
    <col min="10249" max="10249" width="13" style="1040" customWidth="1"/>
    <col min="10250" max="10250" width="12.44140625" style="1040" customWidth="1"/>
    <col min="10251" max="10251" width="13.21875" style="1040" customWidth="1"/>
    <col min="10252" max="10252" width="14.21875" style="1040" bestFit="1" customWidth="1"/>
    <col min="10253" max="10253" width="16.21875" style="1040" bestFit="1" customWidth="1"/>
    <col min="10254" max="10254" width="9" style="1040" customWidth="1"/>
    <col min="10255" max="10255" width="16.5546875" style="1040" bestFit="1" customWidth="1"/>
    <col min="10256" max="10256" width="13.77734375" style="1040" customWidth="1"/>
    <col min="10257" max="10257" width="12.21875" style="1040" customWidth="1"/>
    <col min="10258" max="10258" width="9.77734375" style="1040" bestFit="1" customWidth="1"/>
    <col min="10259" max="10259" width="10.21875" style="1040" bestFit="1" customWidth="1"/>
    <col min="10260" max="10260" width="11.5546875" style="1040" customWidth="1"/>
    <col min="10261" max="10261" width="13.21875" style="1040" bestFit="1" customWidth="1"/>
    <col min="10262" max="10496" width="9.21875" style="1040"/>
    <col min="10497" max="10497" width="7.5546875" style="1040" bestFit="1" customWidth="1"/>
    <col min="10498" max="10498" width="23.77734375" style="1040" customWidth="1"/>
    <col min="10499" max="10499" width="8.77734375" style="1040" customWidth="1"/>
    <col min="10500" max="10500" width="11" style="1040" bestFit="1" customWidth="1"/>
    <col min="10501" max="10501" width="10.21875" style="1040" customWidth="1"/>
    <col min="10502" max="10502" width="10.44140625" style="1040" customWidth="1"/>
    <col min="10503" max="10503" width="10.77734375" style="1040" customWidth="1"/>
    <col min="10504" max="10504" width="10.5546875" style="1040" customWidth="1"/>
    <col min="10505" max="10505" width="13" style="1040" customWidth="1"/>
    <col min="10506" max="10506" width="12.44140625" style="1040" customWidth="1"/>
    <col min="10507" max="10507" width="13.21875" style="1040" customWidth="1"/>
    <col min="10508" max="10508" width="14.21875" style="1040" bestFit="1" customWidth="1"/>
    <col min="10509" max="10509" width="16.21875" style="1040" bestFit="1" customWidth="1"/>
    <col min="10510" max="10510" width="9" style="1040" customWidth="1"/>
    <col min="10511" max="10511" width="16.5546875" style="1040" bestFit="1" customWidth="1"/>
    <col min="10512" max="10512" width="13.77734375" style="1040" customWidth="1"/>
    <col min="10513" max="10513" width="12.21875" style="1040" customWidth="1"/>
    <col min="10514" max="10514" width="9.77734375" style="1040" bestFit="1" customWidth="1"/>
    <col min="10515" max="10515" width="10.21875" style="1040" bestFit="1" customWidth="1"/>
    <col min="10516" max="10516" width="11.5546875" style="1040" customWidth="1"/>
    <col min="10517" max="10517" width="13.21875" style="1040" bestFit="1" customWidth="1"/>
    <col min="10518" max="10752" width="9.21875" style="1040"/>
    <col min="10753" max="10753" width="7.5546875" style="1040" bestFit="1" customWidth="1"/>
    <col min="10754" max="10754" width="23.77734375" style="1040" customWidth="1"/>
    <col min="10755" max="10755" width="8.77734375" style="1040" customWidth="1"/>
    <col min="10756" max="10756" width="11" style="1040" bestFit="1" customWidth="1"/>
    <col min="10757" max="10757" width="10.21875" style="1040" customWidth="1"/>
    <col min="10758" max="10758" width="10.44140625" style="1040" customWidth="1"/>
    <col min="10759" max="10759" width="10.77734375" style="1040" customWidth="1"/>
    <col min="10760" max="10760" width="10.5546875" style="1040" customWidth="1"/>
    <col min="10761" max="10761" width="13" style="1040" customWidth="1"/>
    <col min="10762" max="10762" width="12.44140625" style="1040" customWidth="1"/>
    <col min="10763" max="10763" width="13.21875" style="1040" customWidth="1"/>
    <col min="10764" max="10764" width="14.21875" style="1040" bestFit="1" customWidth="1"/>
    <col min="10765" max="10765" width="16.21875" style="1040" bestFit="1" customWidth="1"/>
    <col min="10766" max="10766" width="9" style="1040" customWidth="1"/>
    <col min="10767" max="10767" width="16.5546875" style="1040" bestFit="1" customWidth="1"/>
    <col min="10768" max="10768" width="13.77734375" style="1040" customWidth="1"/>
    <col min="10769" max="10769" width="12.21875" style="1040" customWidth="1"/>
    <col min="10770" max="10770" width="9.77734375" style="1040" bestFit="1" customWidth="1"/>
    <col min="10771" max="10771" width="10.21875" style="1040" bestFit="1" customWidth="1"/>
    <col min="10772" max="10772" width="11.5546875" style="1040" customWidth="1"/>
    <col min="10773" max="10773" width="13.21875" style="1040" bestFit="1" customWidth="1"/>
    <col min="10774" max="11008" width="9.21875" style="1040"/>
    <col min="11009" max="11009" width="7.5546875" style="1040" bestFit="1" customWidth="1"/>
    <col min="11010" max="11010" width="23.77734375" style="1040" customWidth="1"/>
    <col min="11011" max="11011" width="8.77734375" style="1040" customWidth="1"/>
    <col min="11012" max="11012" width="11" style="1040" bestFit="1" customWidth="1"/>
    <col min="11013" max="11013" width="10.21875" style="1040" customWidth="1"/>
    <col min="11014" max="11014" width="10.44140625" style="1040" customWidth="1"/>
    <col min="11015" max="11015" width="10.77734375" style="1040" customWidth="1"/>
    <col min="11016" max="11016" width="10.5546875" style="1040" customWidth="1"/>
    <col min="11017" max="11017" width="13" style="1040" customWidth="1"/>
    <col min="11018" max="11018" width="12.44140625" style="1040" customWidth="1"/>
    <col min="11019" max="11019" width="13.21875" style="1040" customWidth="1"/>
    <col min="11020" max="11020" width="14.21875" style="1040" bestFit="1" customWidth="1"/>
    <col min="11021" max="11021" width="16.21875" style="1040" bestFit="1" customWidth="1"/>
    <col min="11022" max="11022" width="9" style="1040" customWidth="1"/>
    <col min="11023" max="11023" width="16.5546875" style="1040" bestFit="1" customWidth="1"/>
    <col min="11024" max="11024" width="13.77734375" style="1040" customWidth="1"/>
    <col min="11025" max="11025" width="12.21875" style="1040" customWidth="1"/>
    <col min="11026" max="11026" width="9.77734375" style="1040" bestFit="1" customWidth="1"/>
    <col min="11027" max="11027" width="10.21875" style="1040" bestFit="1" customWidth="1"/>
    <col min="11028" max="11028" width="11.5546875" style="1040" customWidth="1"/>
    <col min="11029" max="11029" width="13.21875" style="1040" bestFit="1" customWidth="1"/>
    <col min="11030" max="11264" width="9.21875" style="1040"/>
    <col min="11265" max="11265" width="7.5546875" style="1040" bestFit="1" customWidth="1"/>
    <col min="11266" max="11266" width="23.77734375" style="1040" customWidth="1"/>
    <col min="11267" max="11267" width="8.77734375" style="1040" customWidth="1"/>
    <col min="11268" max="11268" width="11" style="1040" bestFit="1" customWidth="1"/>
    <col min="11269" max="11269" width="10.21875" style="1040" customWidth="1"/>
    <col min="11270" max="11270" width="10.44140625" style="1040" customWidth="1"/>
    <col min="11271" max="11271" width="10.77734375" style="1040" customWidth="1"/>
    <col min="11272" max="11272" width="10.5546875" style="1040" customWidth="1"/>
    <col min="11273" max="11273" width="13" style="1040" customWidth="1"/>
    <col min="11274" max="11274" width="12.44140625" style="1040" customWidth="1"/>
    <col min="11275" max="11275" width="13.21875" style="1040" customWidth="1"/>
    <col min="11276" max="11276" width="14.21875" style="1040" bestFit="1" customWidth="1"/>
    <col min="11277" max="11277" width="16.21875" style="1040" bestFit="1" customWidth="1"/>
    <col min="11278" max="11278" width="9" style="1040" customWidth="1"/>
    <col min="11279" max="11279" width="16.5546875" style="1040" bestFit="1" customWidth="1"/>
    <col min="11280" max="11280" width="13.77734375" style="1040" customWidth="1"/>
    <col min="11281" max="11281" width="12.21875" style="1040" customWidth="1"/>
    <col min="11282" max="11282" width="9.77734375" style="1040" bestFit="1" customWidth="1"/>
    <col min="11283" max="11283" width="10.21875" style="1040" bestFit="1" customWidth="1"/>
    <col min="11284" max="11284" width="11.5546875" style="1040" customWidth="1"/>
    <col min="11285" max="11285" width="13.21875" style="1040" bestFit="1" customWidth="1"/>
    <col min="11286" max="11520" width="9.21875" style="1040"/>
    <col min="11521" max="11521" width="7.5546875" style="1040" bestFit="1" customWidth="1"/>
    <col min="11522" max="11522" width="23.77734375" style="1040" customWidth="1"/>
    <col min="11523" max="11523" width="8.77734375" style="1040" customWidth="1"/>
    <col min="11524" max="11524" width="11" style="1040" bestFit="1" customWidth="1"/>
    <col min="11525" max="11525" width="10.21875" style="1040" customWidth="1"/>
    <col min="11526" max="11526" width="10.44140625" style="1040" customWidth="1"/>
    <col min="11527" max="11527" width="10.77734375" style="1040" customWidth="1"/>
    <col min="11528" max="11528" width="10.5546875" style="1040" customWidth="1"/>
    <col min="11529" max="11529" width="13" style="1040" customWidth="1"/>
    <col min="11530" max="11530" width="12.44140625" style="1040" customWidth="1"/>
    <col min="11531" max="11531" width="13.21875" style="1040" customWidth="1"/>
    <col min="11532" max="11532" width="14.21875" style="1040" bestFit="1" customWidth="1"/>
    <col min="11533" max="11533" width="16.21875" style="1040" bestFit="1" customWidth="1"/>
    <col min="11534" max="11534" width="9" style="1040" customWidth="1"/>
    <col min="11535" max="11535" width="16.5546875" style="1040" bestFit="1" customWidth="1"/>
    <col min="11536" max="11536" width="13.77734375" style="1040" customWidth="1"/>
    <col min="11537" max="11537" width="12.21875" style="1040" customWidth="1"/>
    <col min="11538" max="11538" width="9.77734375" style="1040" bestFit="1" customWidth="1"/>
    <col min="11539" max="11539" width="10.21875" style="1040" bestFit="1" customWidth="1"/>
    <col min="11540" max="11540" width="11.5546875" style="1040" customWidth="1"/>
    <col min="11541" max="11541" width="13.21875" style="1040" bestFit="1" customWidth="1"/>
    <col min="11542" max="11776" width="9.21875" style="1040"/>
    <col min="11777" max="11777" width="7.5546875" style="1040" bestFit="1" customWidth="1"/>
    <col min="11778" max="11778" width="23.77734375" style="1040" customWidth="1"/>
    <col min="11779" max="11779" width="8.77734375" style="1040" customWidth="1"/>
    <col min="11780" max="11780" width="11" style="1040" bestFit="1" customWidth="1"/>
    <col min="11781" max="11781" width="10.21875" style="1040" customWidth="1"/>
    <col min="11782" max="11782" width="10.44140625" style="1040" customWidth="1"/>
    <col min="11783" max="11783" width="10.77734375" style="1040" customWidth="1"/>
    <col min="11784" max="11784" width="10.5546875" style="1040" customWidth="1"/>
    <col min="11785" max="11785" width="13" style="1040" customWidth="1"/>
    <col min="11786" max="11786" width="12.44140625" style="1040" customWidth="1"/>
    <col min="11787" max="11787" width="13.21875" style="1040" customWidth="1"/>
    <col min="11788" max="11788" width="14.21875" style="1040" bestFit="1" customWidth="1"/>
    <col min="11789" max="11789" width="16.21875" style="1040" bestFit="1" customWidth="1"/>
    <col min="11790" max="11790" width="9" style="1040" customWidth="1"/>
    <col min="11791" max="11791" width="16.5546875" style="1040" bestFit="1" customWidth="1"/>
    <col min="11792" max="11792" width="13.77734375" style="1040" customWidth="1"/>
    <col min="11793" max="11793" width="12.21875" style="1040" customWidth="1"/>
    <col min="11794" max="11794" width="9.77734375" style="1040" bestFit="1" customWidth="1"/>
    <col min="11795" max="11795" width="10.21875" style="1040" bestFit="1" customWidth="1"/>
    <col min="11796" max="11796" width="11.5546875" style="1040" customWidth="1"/>
    <col min="11797" max="11797" width="13.21875" style="1040" bestFit="1" customWidth="1"/>
    <col min="11798" max="12032" width="9.21875" style="1040"/>
    <col min="12033" max="12033" width="7.5546875" style="1040" bestFit="1" customWidth="1"/>
    <col min="12034" max="12034" width="23.77734375" style="1040" customWidth="1"/>
    <col min="12035" max="12035" width="8.77734375" style="1040" customWidth="1"/>
    <col min="12036" max="12036" width="11" style="1040" bestFit="1" customWidth="1"/>
    <col min="12037" max="12037" width="10.21875" style="1040" customWidth="1"/>
    <col min="12038" max="12038" width="10.44140625" style="1040" customWidth="1"/>
    <col min="12039" max="12039" width="10.77734375" style="1040" customWidth="1"/>
    <col min="12040" max="12040" width="10.5546875" style="1040" customWidth="1"/>
    <col min="12041" max="12041" width="13" style="1040" customWidth="1"/>
    <col min="12042" max="12042" width="12.44140625" style="1040" customWidth="1"/>
    <col min="12043" max="12043" width="13.21875" style="1040" customWidth="1"/>
    <col min="12044" max="12044" width="14.21875" style="1040" bestFit="1" customWidth="1"/>
    <col min="12045" max="12045" width="16.21875" style="1040" bestFit="1" customWidth="1"/>
    <col min="12046" max="12046" width="9" style="1040" customWidth="1"/>
    <col min="12047" max="12047" width="16.5546875" style="1040" bestFit="1" customWidth="1"/>
    <col min="12048" max="12048" width="13.77734375" style="1040" customWidth="1"/>
    <col min="12049" max="12049" width="12.21875" style="1040" customWidth="1"/>
    <col min="12050" max="12050" width="9.77734375" style="1040" bestFit="1" customWidth="1"/>
    <col min="12051" max="12051" width="10.21875" style="1040" bestFit="1" customWidth="1"/>
    <col min="12052" max="12052" width="11.5546875" style="1040" customWidth="1"/>
    <col min="12053" max="12053" width="13.21875" style="1040" bestFit="1" customWidth="1"/>
    <col min="12054" max="12288" width="9.21875" style="1040"/>
    <col min="12289" max="12289" width="7.5546875" style="1040" bestFit="1" customWidth="1"/>
    <col min="12290" max="12290" width="23.77734375" style="1040" customWidth="1"/>
    <col min="12291" max="12291" width="8.77734375" style="1040" customWidth="1"/>
    <col min="12292" max="12292" width="11" style="1040" bestFit="1" customWidth="1"/>
    <col min="12293" max="12293" width="10.21875" style="1040" customWidth="1"/>
    <col min="12294" max="12294" width="10.44140625" style="1040" customWidth="1"/>
    <col min="12295" max="12295" width="10.77734375" style="1040" customWidth="1"/>
    <col min="12296" max="12296" width="10.5546875" style="1040" customWidth="1"/>
    <col min="12297" max="12297" width="13" style="1040" customWidth="1"/>
    <col min="12298" max="12298" width="12.44140625" style="1040" customWidth="1"/>
    <col min="12299" max="12299" width="13.21875" style="1040" customWidth="1"/>
    <col min="12300" max="12300" width="14.21875" style="1040" bestFit="1" customWidth="1"/>
    <col min="12301" max="12301" width="16.21875" style="1040" bestFit="1" customWidth="1"/>
    <col min="12302" max="12302" width="9" style="1040" customWidth="1"/>
    <col min="12303" max="12303" width="16.5546875" style="1040" bestFit="1" customWidth="1"/>
    <col min="12304" max="12304" width="13.77734375" style="1040" customWidth="1"/>
    <col min="12305" max="12305" width="12.21875" style="1040" customWidth="1"/>
    <col min="12306" max="12306" width="9.77734375" style="1040" bestFit="1" customWidth="1"/>
    <col min="12307" max="12307" width="10.21875" style="1040" bestFit="1" customWidth="1"/>
    <col min="12308" max="12308" width="11.5546875" style="1040" customWidth="1"/>
    <col min="12309" max="12309" width="13.21875" style="1040" bestFit="1" customWidth="1"/>
    <col min="12310" max="12544" width="9.21875" style="1040"/>
    <col min="12545" max="12545" width="7.5546875" style="1040" bestFit="1" customWidth="1"/>
    <col min="12546" max="12546" width="23.77734375" style="1040" customWidth="1"/>
    <col min="12547" max="12547" width="8.77734375" style="1040" customWidth="1"/>
    <col min="12548" max="12548" width="11" style="1040" bestFit="1" customWidth="1"/>
    <col min="12549" max="12549" width="10.21875" style="1040" customWidth="1"/>
    <col min="12550" max="12550" width="10.44140625" style="1040" customWidth="1"/>
    <col min="12551" max="12551" width="10.77734375" style="1040" customWidth="1"/>
    <col min="12552" max="12552" width="10.5546875" style="1040" customWidth="1"/>
    <col min="12553" max="12553" width="13" style="1040" customWidth="1"/>
    <col min="12554" max="12554" width="12.44140625" style="1040" customWidth="1"/>
    <col min="12555" max="12555" width="13.21875" style="1040" customWidth="1"/>
    <col min="12556" max="12556" width="14.21875" style="1040" bestFit="1" customWidth="1"/>
    <col min="12557" max="12557" width="16.21875" style="1040" bestFit="1" customWidth="1"/>
    <col min="12558" max="12558" width="9" style="1040" customWidth="1"/>
    <col min="12559" max="12559" width="16.5546875" style="1040" bestFit="1" customWidth="1"/>
    <col min="12560" max="12560" width="13.77734375" style="1040" customWidth="1"/>
    <col min="12561" max="12561" width="12.21875" style="1040" customWidth="1"/>
    <col min="12562" max="12562" width="9.77734375" style="1040" bestFit="1" customWidth="1"/>
    <col min="12563" max="12563" width="10.21875" style="1040" bestFit="1" customWidth="1"/>
    <col min="12564" max="12564" width="11.5546875" style="1040" customWidth="1"/>
    <col min="12565" max="12565" width="13.21875" style="1040" bestFit="1" customWidth="1"/>
    <col min="12566" max="12800" width="9.21875" style="1040"/>
    <col min="12801" max="12801" width="7.5546875" style="1040" bestFit="1" customWidth="1"/>
    <col min="12802" max="12802" width="23.77734375" style="1040" customWidth="1"/>
    <col min="12803" max="12803" width="8.77734375" style="1040" customWidth="1"/>
    <col min="12804" max="12804" width="11" style="1040" bestFit="1" customWidth="1"/>
    <col min="12805" max="12805" width="10.21875" style="1040" customWidth="1"/>
    <col min="12806" max="12806" width="10.44140625" style="1040" customWidth="1"/>
    <col min="12807" max="12807" width="10.77734375" style="1040" customWidth="1"/>
    <col min="12808" max="12808" width="10.5546875" style="1040" customWidth="1"/>
    <col min="12809" max="12809" width="13" style="1040" customWidth="1"/>
    <col min="12810" max="12810" width="12.44140625" style="1040" customWidth="1"/>
    <col min="12811" max="12811" width="13.21875" style="1040" customWidth="1"/>
    <col min="12812" max="12812" width="14.21875" style="1040" bestFit="1" customWidth="1"/>
    <col min="12813" max="12813" width="16.21875" style="1040" bestFit="1" customWidth="1"/>
    <col min="12814" max="12814" width="9" style="1040" customWidth="1"/>
    <col min="12815" max="12815" width="16.5546875" style="1040" bestFit="1" customWidth="1"/>
    <col min="12816" max="12816" width="13.77734375" style="1040" customWidth="1"/>
    <col min="12817" max="12817" width="12.21875" style="1040" customWidth="1"/>
    <col min="12818" max="12818" width="9.77734375" style="1040" bestFit="1" customWidth="1"/>
    <col min="12819" max="12819" width="10.21875" style="1040" bestFit="1" customWidth="1"/>
    <col min="12820" max="12820" width="11.5546875" style="1040" customWidth="1"/>
    <col min="12821" max="12821" width="13.21875" style="1040" bestFit="1" customWidth="1"/>
    <col min="12822" max="13056" width="9.21875" style="1040"/>
    <col min="13057" max="13057" width="7.5546875" style="1040" bestFit="1" customWidth="1"/>
    <col min="13058" max="13058" width="23.77734375" style="1040" customWidth="1"/>
    <col min="13059" max="13059" width="8.77734375" style="1040" customWidth="1"/>
    <col min="13060" max="13060" width="11" style="1040" bestFit="1" customWidth="1"/>
    <col min="13061" max="13061" width="10.21875" style="1040" customWidth="1"/>
    <col min="13062" max="13062" width="10.44140625" style="1040" customWidth="1"/>
    <col min="13063" max="13063" width="10.77734375" style="1040" customWidth="1"/>
    <col min="13064" max="13064" width="10.5546875" style="1040" customWidth="1"/>
    <col min="13065" max="13065" width="13" style="1040" customWidth="1"/>
    <col min="13066" max="13066" width="12.44140625" style="1040" customWidth="1"/>
    <col min="13067" max="13067" width="13.21875" style="1040" customWidth="1"/>
    <col min="13068" max="13068" width="14.21875" style="1040" bestFit="1" customWidth="1"/>
    <col min="13069" max="13069" width="16.21875" style="1040" bestFit="1" customWidth="1"/>
    <col min="13070" max="13070" width="9" style="1040" customWidth="1"/>
    <col min="13071" max="13071" width="16.5546875" style="1040" bestFit="1" customWidth="1"/>
    <col min="13072" max="13072" width="13.77734375" style="1040" customWidth="1"/>
    <col min="13073" max="13073" width="12.21875" style="1040" customWidth="1"/>
    <col min="13074" max="13074" width="9.77734375" style="1040" bestFit="1" customWidth="1"/>
    <col min="13075" max="13075" width="10.21875" style="1040" bestFit="1" customWidth="1"/>
    <col min="13076" max="13076" width="11.5546875" style="1040" customWidth="1"/>
    <col min="13077" max="13077" width="13.21875" style="1040" bestFit="1" customWidth="1"/>
    <col min="13078" max="13312" width="9.21875" style="1040"/>
    <col min="13313" max="13313" width="7.5546875" style="1040" bestFit="1" customWidth="1"/>
    <col min="13314" max="13314" width="23.77734375" style="1040" customWidth="1"/>
    <col min="13315" max="13315" width="8.77734375" style="1040" customWidth="1"/>
    <col min="13316" max="13316" width="11" style="1040" bestFit="1" customWidth="1"/>
    <col min="13317" max="13317" width="10.21875" style="1040" customWidth="1"/>
    <col min="13318" max="13318" width="10.44140625" style="1040" customWidth="1"/>
    <col min="13319" max="13319" width="10.77734375" style="1040" customWidth="1"/>
    <col min="13320" max="13320" width="10.5546875" style="1040" customWidth="1"/>
    <col min="13321" max="13321" width="13" style="1040" customWidth="1"/>
    <col min="13322" max="13322" width="12.44140625" style="1040" customWidth="1"/>
    <col min="13323" max="13323" width="13.21875" style="1040" customWidth="1"/>
    <col min="13324" max="13324" width="14.21875" style="1040" bestFit="1" customWidth="1"/>
    <col min="13325" max="13325" width="16.21875" style="1040" bestFit="1" customWidth="1"/>
    <col min="13326" max="13326" width="9" style="1040" customWidth="1"/>
    <col min="13327" max="13327" width="16.5546875" style="1040" bestFit="1" customWidth="1"/>
    <col min="13328" max="13328" width="13.77734375" style="1040" customWidth="1"/>
    <col min="13329" max="13329" width="12.21875" style="1040" customWidth="1"/>
    <col min="13330" max="13330" width="9.77734375" style="1040" bestFit="1" customWidth="1"/>
    <col min="13331" max="13331" width="10.21875" style="1040" bestFit="1" customWidth="1"/>
    <col min="13332" max="13332" width="11.5546875" style="1040" customWidth="1"/>
    <col min="13333" max="13333" width="13.21875" style="1040" bestFit="1" customWidth="1"/>
    <col min="13334" max="13568" width="9.21875" style="1040"/>
    <col min="13569" max="13569" width="7.5546875" style="1040" bestFit="1" customWidth="1"/>
    <col min="13570" max="13570" width="23.77734375" style="1040" customWidth="1"/>
    <col min="13571" max="13571" width="8.77734375" style="1040" customWidth="1"/>
    <col min="13572" max="13572" width="11" style="1040" bestFit="1" customWidth="1"/>
    <col min="13573" max="13573" width="10.21875" style="1040" customWidth="1"/>
    <col min="13574" max="13574" width="10.44140625" style="1040" customWidth="1"/>
    <col min="13575" max="13575" width="10.77734375" style="1040" customWidth="1"/>
    <col min="13576" max="13576" width="10.5546875" style="1040" customWidth="1"/>
    <col min="13577" max="13577" width="13" style="1040" customWidth="1"/>
    <col min="13578" max="13578" width="12.44140625" style="1040" customWidth="1"/>
    <col min="13579" max="13579" width="13.21875" style="1040" customWidth="1"/>
    <col min="13580" max="13580" width="14.21875" style="1040" bestFit="1" customWidth="1"/>
    <col min="13581" max="13581" width="16.21875" style="1040" bestFit="1" customWidth="1"/>
    <col min="13582" max="13582" width="9" style="1040" customWidth="1"/>
    <col min="13583" max="13583" width="16.5546875" style="1040" bestFit="1" customWidth="1"/>
    <col min="13584" max="13584" width="13.77734375" style="1040" customWidth="1"/>
    <col min="13585" max="13585" width="12.21875" style="1040" customWidth="1"/>
    <col min="13586" max="13586" width="9.77734375" style="1040" bestFit="1" customWidth="1"/>
    <col min="13587" max="13587" width="10.21875" style="1040" bestFit="1" customWidth="1"/>
    <col min="13588" max="13588" width="11.5546875" style="1040" customWidth="1"/>
    <col min="13589" max="13589" width="13.21875" style="1040" bestFit="1" customWidth="1"/>
    <col min="13590" max="13824" width="9.21875" style="1040"/>
    <col min="13825" max="13825" width="7.5546875" style="1040" bestFit="1" customWidth="1"/>
    <col min="13826" max="13826" width="23.77734375" style="1040" customWidth="1"/>
    <col min="13827" max="13827" width="8.77734375" style="1040" customWidth="1"/>
    <col min="13828" max="13828" width="11" style="1040" bestFit="1" customWidth="1"/>
    <col min="13829" max="13829" width="10.21875" style="1040" customWidth="1"/>
    <col min="13830" max="13830" width="10.44140625" style="1040" customWidth="1"/>
    <col min="13831" max="13831" width="10.77734375" style="1040" customWidth="1"/>
    <col min="13832" max="13832" width="10.5546875" style="1040" customWidth="1"/>
    <col min="13833" max="13833" width="13" style="1040" customWidth="1"/>
    <col min="13834" max="13834" width="12.44140625" style="1040" customWidth="1"/>
    <col min="13835" max="13835" width="13.21875" style="1040" customWidth="1"/>
    <col min="13836" max="13836" width="14.21875" style="1040" bestFit="1" customWidth="1"/>
    <col min="13837" max="13837" width="16.21875" style="1040" bestFit="1" customWidth="1"/>
    <col min="13838" max="13838" width="9" style="1040" customWidth="1"/>
    <col min="13839" max="13839" width="16.5546875" style="1040" bestFit="1" customWidth="1"/>
    <col min="13840" max="13840" width="13.77734375" style="1040" customWidth="1"/>
    <col min="13841" max="13841" width="12.21875" style="1040" customWidth="1"/>
    <col min="13842" max="13842" width="9.77734375" style="1040" bestFit="1" customWidth="1"/>
    <col min="13843" max="13843" width="10.21875" style="1040" bestFit="1" customWidth="1"/>
    <col min="13844" max="13844" width="11.5546875" style="1040" customWidth="1"/>
    <col min="13845" max="13845" width="13.21875" style="1040" bestFit="1" customWidth="1"/>
    <col min="13846" max="14080" width="9.21875" style="1040"/>
    <col min="14081" max="14081" width="7.5546875" style="1040" bestFit="1" customWidth="1"/>
    <col min="14082" max="14082" width="23.77734375" style="1040" customWidth="1"/>
    <col min="14083" max="14083" width="8.77734375" style="1040" customWidth="1"/>
    <col min="14084" max="14084" width="11" style="1040" bestFit="1" customWidth="1"/>
    <col min="14085" max="14085" width="10.21875" style="1040" customWidth="1"/>
    <col min="14086" max="14086" width="10.44140625" style="1040" customWidth="1"/>
    <col min="14087" max="14087" width="10.77734375" style="1040" customWidth="1"/>
    <col min="14088" max="14088" width="10.5546875" style="1040" customWidth="1"/>
    <col min="14089" max="14089" width="13" style="1040" customWidth="1"/>
    <col min="14090" max="14090" width="12.44140625" style="1040" customWidth="1"/>
    <col min="14091" max="14091" width="13.21875" style="1040" customWidth="1"/>
    <col min="14092" max="14092" width="14.21875" style="1040" bestFit="1" customWidth="1"/>
    <col min="14093" max="14093" width="16.21875" style="1040" bestFit="1" customWidth="1"/>
    <col min="14094" max="14094" width="9" style="1040" customWidth="1"/>
    <col min="14095" max="14095" width="16.5546875" style="1040" bestFit="1" customWidth="1"/>
    <col min="14096" max="14096" width="13.77734375" style="1040" customWidth="1"/>
    <col min="14097" max="14097" width="12.21875" style="1040" customWidth="1"/>
    <col min="14098" max="14098" width="9.77734375" style="1040" bestFit="1" customWidth="1"/>
    <col min="14099" max="14099" width="10.21875" style="1040" bestFit="1" customWidth="1"/>
    <col min="14100" max="14100" width="11.5546875" style="1040" customWidth="1"/>
    <col min="14101" max="14101" width="13.21875" style="1040" bestFit="1" customWidth="1"/>
    <col min="14102" max="14336" width="9.21875" style="1040"/>
    <col min="14337" max="14337" width="7.5546875" style="1040" bestFit="1" customWidth="1"/>
    <col min="14338" max="14338" width="23.77734375" style="1040" customWidth="1"/>
    <col min="14339" max="14339" width="8.77734375" style="1040" customWidth="1"/>
    <col min="14340" max="14340" width="11" style="1040" bestFit="1" customWidth="1"/>
    <col min="14341" max="14341" width="10.21875" style="1040" customWidth="1"/>
    <col min="14342" max="14342" width="10.44140625" style="1040" customWidth="1"/>
    <col min="14343" max="14343" width="10.77734375" style="1040" customWidth="1"/>
    <col min="14344" max="14344" width="10.5546875" style="1040" customWidth="1"/>
    <col min="14345" max="14345" width="13" style="1040" customWidth="1"/>
    <col min="14346" max="14346" width="12.44140625" style="1040" customWidth="1"/>
    <col min="14347" max="14347" width="13.21875" style="1040" customWidth="1"/>
    <col min="14348" max="14348" width="14.21875" style="1040" bestFit="1" customWidth="1"/>
    <col min="14349" max="14349" width="16.21875" style="1040" bestFit="1" customWidth="1"/>
    <col min="14350" max="14350" width="9" style="1040" customWidth="1"/>
    <col min="14351" max="14351" width="16.5546875" style="1040" bestFit="1" customWidth="1"/>
    <col min="14352" max="14352" width="13.77734375" style="1040" customWidth="1"/>
    <col min="14353" max="14353" width="12.21875" style="1040" customWidth="1"/>
    <col min="14354" max="14354" width="9.77734375" style="1040" bestFit="1" customWidth="1"/>
    <col min="14355" max="14355" width="10.21875" style="1040" bestFit="1" customWidth="1"/>
    <col min="14356" max="14356" width="11.5546875" style="1040" customWidth="1"/>
    <col min="14357" max="14357" width="13.21875" style="1040" bestFit="1" customWidth="1"/>
    <col min="14358" max="14592" width="9.21875" style="1040"/>
    <col min="14593" max="14593" width="7.5546875" style="1040" bestFit="1" customWidth="1"/>
    <col min="14594" max="14594" width="23.77734375" style="1040" customWidth="1"/>
    <col min="14595" max="14595" width="8.77734375" style="1040" customWidth="1"/>
    <col min="14596" max="14596" width="11" style="1040" bestFit="1" customWidth="1"/>
    <col min="14597" max="14597" width="10.21875" style="1040" customWidth="1"/>
    <col min="14598" max="14598" width="10.44140625" style="1040" customWidth="1"/>
    <col min="14599" max="14599" width="10.77734375" style="1040" customWidth="1"/>
    <col min="14600" max="14600" width="10.5546875" style="1040" customWidth="1"/>
    <col min="14601" max="14601" width="13" style="1040" customWidth="1"/>
    <col min="14602" max="14602" width="12.44140625" style="1040" customWidth="1"/>
    <col min="14603" max="14603" width="13.21875" style="1040" customWidth="1"/>
    <col min="14604" max="14604" width="14.21875" style="1040" bestFit="1" customWidth="1"/>
    <col min="14605" max="14605" width="16.21875" style="1040" bestFit="1" customWidth="1"/>
    <col min="14606" max="14606" width="9" style="1040" customWidth="1"/>
    <col min="14607" max="14607" width="16.5546875" style="1040" bestFit="1" customWidth="1"/>
    <col min="14608" max="14608" width="13.77734375" style="1040" customWidth="1"/>
    <col min="14609" max="14609" width="12.21875" style="1040" customWidth="1"/>
    <col min="14610" max="14610" width="9.77734375" style="1040" bestFit="1" customWidth="1"/>
    <col min="14611" max="14611" width="10.21875" style="1040" bestFit="1" customWidth="1"/>
    <col min="14612" max="14612" width="11.5546875" style="1040" customWidth="1"/>
    <col min="14613" max="14613" width="13.21875" style="1040" bestFit="1" customWidth="1"/>
    <col min="14614" max="14848" width="9.21875" style="1040"/>
    <col min="14849" max="14849" width="7.5546875" style="1040" bestFit="1" customWidth="1"/>
    <col min="14850" max="14850" width="23.77734375" style="1040" customWidth="1"/>
    <col min="14851" max="14851" width="8.77734375" style="1040" customWidth="1"/>
    <col min="14852" max="14852" width="11" style="1040" bestFit="1" customWidth="1"/>
    <col min="14853" max="14853" width="10.21875" style="1040" customWidth="1"/>
    <col min="14854" max="14854" width="10.44140625" style="1040" customWidth="1"/>
    <col min="14855" max="14855" width="10.77734375" style="1040" customWidth="1"/>
    <col min="14856" max="14856" width="10.5546875" style="1040" customWidth="1"/>
    <col min="14857" max="14857" width="13" style="1040" customWidth="1"/>
    <col min="14858" max="14858" width="12.44140625" style="1040" customWidth="1"/>
    <col min="14859" max="14859" width="13.21875" style="1040" customWidth="1"/>
    <col min="14860" max="14860" width="14.21875" style="1040" bestFit="1" customWidth="1"/>
    <col min="14861" max="14861" width="16.21875" style="1040" bestFit="1" customWidth="1"/>
    <col min="14862" max="14862" width="9" style="1040" customWidth="1"/>
    <col min="14863" max="14863" width="16.5546875" style="1040" bestFit="1" customWidth="1"/>
    <col min="14864" max="14864" width="13.77734375" style="1040" customWidth="1"/>
    <col min="14865" max="14865" width="12.21875" style="1040" customWidth="1"/>
    <col min="14866" max="14866" width="9.77734375" style="1040" bestFit="1" customWidth="1"/>
    <col min="14867" max="14867" width="10.21875" style="1040" bestFit="1" customWidth="1"/>
    <col min="14868" max="14868" width="11.5546875" style="1040" customWidth="1"/>
    <col min="14869" max="14869" width="13.21875" style="1040" bestFit="1" customWidth="1"/>
    <col min="14870" max="15104" width="9.21875" style="1040"/>
    <col min="15105" max="15105" width="7.5546875" style="1040" bestFit="1" customWidth="1"/>
    <col min="15106" max="15106" width="23.77734375" style="1040" customWidth="1"/>
    <col min="15107" max="15107" width="8.77734375" style="1040" customWidth="1"/>
    <col min="15108" max="15108" width="11" style="1040" bestFit="1" customWidth="1"/>
    <col min="15109" max="15109" width="10.21875" style="1040" customWidth="1"/>
    <col min="15110" max="15110" width="10.44140625" style="1040" customWidth="1"/>
    <col min="15111" max="15111" width="10.77734375" style="1040" customWidth="1"/>
    <col min="15112" max="15112" width="10.5546875" style="1040" customWidth="1"/>
    <col min="15113" max="15113" width="13" style="1040" customWidth="1"/>
    <col min="15114" max="15114" width="12.44140625" style="1040" customWidth="1"/>
    <col min="15115" max="15115" width="13.21875" style="1040" customWidth="1"/>
    <col min="15116" max="15116" width="14.21875" style="1040" bestFit="1" customWidth="1"/>
    <col min="15117" max="15117" width="16.21875" style="1040" bestFit="1" customWidth="1"/>
    <col min="15118" max="15118" width="9" style="1040" customWidth="1"/>
    <col min="15119" max="15119" width="16.5546875" style="1040" bestFit="1" customWidth="1"/>
    <col min="15120" max="15120" width="13.77734375" style="1040" customWidth="1"/>
    <col min="15121" max="15121" width="12.21875" style="1040" customWidth="1"/>
    <col min="15122" max="15122" width="9.77734375" style="1040" bestFit="1" customWidth="1"/>
    <col min="15123" max="15123" width="10.21875" style="1040" bestFit="1" customWidth="1"/>
    <col min="15124" max="15124" width="11.5546875" style="1040" customWidth="1"/>
    <col min="15125" max="15125" width="13.21875" style="1040" bestFit="1" customWidth="1"/>
    <col min="15126" max="15360" width="9.21875" style="1040"/>
    <col min="15361" max="15361" width="7.5546875" style="1040" bestFit="1" customWidth="1"/>
    <col min="15362" max="15362" width="23.77734375" style="1040" customWidth="1"/>
    <col min="15363" max="15363" width="8.77734375" style="1040" customWidth="1"/>
    <col min="15364" max="15364" width="11" style="1040" bestFit="1" customWidth="1"/>
    <col min="15365" max="15365" width="10.21875" style="1040" customWidth="1"/>
    <col min="15366" max="15366" width="10.44140625" style="1040" customWidth="1"/>
    <col min="15367" max="15367" width="10.77734375" style="1040" customWidth="1"/>
    <col min="15368" max="15368" width="10.5546875" style="1040" customWidth="1"/>
    <col min="15369" max="15369" width="13" style="1040" customWidth="1"/>
    <col min="15370" max="15370" width="12.44140625" style="1040" customWidth="1"/>
    <col min="15371" max="15371" width="13.21875" style="1040" customWidth="1"/>
    <col min="15372" max="15372" width="14.21875" style="1040" bestFit="1" customWidth="1"/>
    <col min="15373" max="15373" width="16.21875" style="1040" bestFit="1" customWidth="1"/>
    <col min="15374" max="15374" width="9" style="1040" customWidth="1"/>
    <col min="15375" max="15375" width="16.5546875" style="1040" bestFit="1" customWidth="1"/>
    <col min="15376" max="15376" width="13.77734375" style="1040" customWidth="1"/>
    <col min="15377" max="15377" width="12.21875" style="1040" customWidth="1"/>
    <col min="15378" max="15378" width="9.77734375" style="1040" bestFit="1" customWidth="1"/>
    <col min="15379" max="15379" width="10.21875" style="1040" bestFit="1" customWidth="1"/>
    <col min="15380" max="15380" width="11.5546875" style="1040" customWidth="1"/>
    <col min="15381" max="15381" width="13.21875" style="1040" bestFit="1" customWidth="1"/>
    <col min="15382" max="15616" width="9.21875" style="1040"/>
    <col min="15617" max="15617" width="7.5546875" style="1040" bestFit="1" customWidth="1"/>
    <col min="15618" max="15618" width="23.77734375" style="1040" customWidth="1"/>
    <col min="15619" max="15619" width="8.77734375" style="1040" customWidth="1"/>
    <col min="15620" max="15620" width="11" style="1040" bestFit="1" customWidth="1"/>
    <col min="15621" max="15621" width="10.21875" style="1040" customWidth="1"/>
    <col min="15622" max="15622" width="10.44140625" style="1040" customWidth="1"/>
    <col min="15623" max="15623" width="10.77734375" style="1040" customWidth="1"/>
    <col min="15624" max="15624" width="10.5546875" style="1040" customWidth="1"/>
    <col min="15625" max="15625" width="13" style="1040" customWidth="1"/>
    <col min="15626" max="15626" width="12.44140625" style="1040" customWidth="1"/>
    <col min="15627" max="15627" width="13.21875" style="1040" customWidth="1"/>
    <col min="15628" max="15628" width="14.21875" style="1040" bestFit="1" customWidth="1"/>
    <col min="15629" max="15629" width="16.21875" style="1040" bestFit="1" customWidth="1"/>
    <col min="15630" max="15630" width="9" style="1040" customWidth="1"/>
    <col min="15631" max="15631" width="16.5546875" style="1040" bestFit="1" customWidth="1"/>
    <col min="15632" max="15632" width="13.77734375" style="1040" customWidth="1"/>
    <col min="15633" max="15633" width="12.21875" style="1040" customWidth="1"/>
    <col min="15634" max="15634" width="9.77734375" style="1040" bestFit="1" customWidth="1"/>
    <col min="15635" max="15635" width="10.21875" style="1040" bestFit="1" customWidth="1"/>
    <col min="15636" max="15636" width="11.5546875" style="1040" customWidth="1"/>
    <col min="15637" max="15637" width="13.21875" style="1040" bestFit="1" customWidth="1"/>
    <col min="15638" max="15872" width="9.21875" style="1040"/>
    <col min="15873" max="15873" width="7.5546875" style="1040" bestFit="1" customWidth="1"/>
    <col min="15874" max="15874" width="23.77734375" style="1040" customWidth="1"/>
    <col min="15875" max="15875" width="8.77734375" style="1040" customWidth="1"/>
    <col min="15876" max="15876" width="11" style="1040" bestFit="1" customWidth="1"/>
    <col min="15877" max="15877" width="10.21875" style="1040" customWidth="1"/>
    <col min="15878" max="15878" width="10.44140625" style="1040" customWidth="1"/>
    <col min="15879" max="15879" width="10.77734375" style="1040" customWidth="1"/>
    <col min="15880" max="15880" width="10.5546875" style="1040" customWidth="1"/>
    <col min="15881" max="15881" width="13" style="1040" customWidth="1"/>
    <col min="15882" max="15882" width="12.44140625" style="1040" customWidth="1"/>
    <col min="15883" max="15883" width="13.21875" style="1040" customWidth="1"/>
    <col min="15884" max="15884" width="14.21875" style="1040" bestFit="1" customWidth="1"/>
    <col min="15885" max="15885" width="16.21875" style="1040" bestFit="1" customWidth="1"/>
    <col min="15886" max="15886" width="9" style="1040" customWidth="1"/>
    <col min="15887" max="15887" width="16.5546875" style="1040" bestFit="1" customWidth="1"/>
    <col min="15888" max="15888" width="13.77734375" style="1040" customWidth="1"/>
    <col min="15889" max="15889" width="12.21875" style="1040" customWidth="1"/>
    <col min="15890" max="15890" width="9.77734375" style="1040" bestFit="1" customWidth="1"/>
    <col min="15891" max="15891" width="10.21875" style="1040" bestFit="1" customWidth="1"/>
    <col min="15892" max="15892" width="11.5546875" style="1040" customWidth="1"/>
    <col min="15893" max="15893" width="13.21875" style="1040" bestFit="1" customWidth="1"/>
    <col min="15894" max="16128" width="9.21875" style="1040"/>
    <col min="16129" max="16129" width="7.5546875" style="1040" bestFit="1" customWidth="1"/>
    <col min="16130" max="16130" width="23.77734375" style="1040" customWidth="1"/>
    <col min="16131" max="16131" width="8.77734375" style="1040" customWidth="1"/>
    <col min="16132" max="16132" width="11" style="1040" bestFit="1" customWidth="1"/>
    <col min="16133" max="16133" width="10.21875" style="1040" customWidth="1"/>
    <col min="16134" max="16134" width="10.44140625" style="1040" customWidth="1"/>
    <col min="16135" max="16135" width="10.77734375" style="1040" customWidth="1"/>
    <col min="16136" max="16136" width="10.5546875" style="1040" customWidth="1"/>
    <col min="16137" max="16137" width="13" style="1040" customWidth="1"/>
    <col min="16138" max="16138" width="12.44140625" style="1040" customWidth="1"/>
    <col min="16139" max="16139" width="13.21875" style="1040" customWidth="1"/>
    <col min="16140" max="16140" width="14.21875" style="1040" bestFit="1" customWidth="1"/>
    <col min="16141" max="16141" width="16.21875" style="1040" bestFit="1" customWidth="1"/>
    <col min="16142" max="16142" width="9" style="1040" customWidth="1"/>
    <col min="16143" max="16143" width="16.5546875" style="1040" bestFit="1" customWidth="1"/>
    <col min="16144" max="16144" width="13.77734375" style="1040" customWidth="1"/>
    <col min="16145" max="16145" width="12.21875" style="1040" customWidth="1"/>
    <col min="16146" max="16146" width="9.77734375" style="1040" bestFit="1" customWidth="1"/>
    <col min="16147" max="16147" width="10.21875" style="1040" bestFit="1" customWidth="1"/>
    <col min="16148" max="16148" width="11.5546875" style="1040" customWidth="1"/>
    <col min="16149" max="16149" width="13.21875" style="1040" bestFit="1" customWidth="1"/>
    <col min="16150" max="16384" width="9.21875" style="1040"/>
  </cols>
  <sheetData>
    <row r="1" spans="1:21">
      <c r="A1" s="1036" t="str">
        <f>'Enter Attendance.Funding Sheet'!A1</f>
        <v>000-000</v>
      </c>
      <c r="B1" s="1037" t="s">
        <v>8162</v>
      </c>
      <c r="C1" s="1038"/>
      <c r="D1" s="1039"/>
      <c r="E1" s="1039"/>
      <c r="F1" s="1039"/>
      <c r="G1" s="1039"/>
      <c r="H1" s="1039"/>
      <c r="I1" s="1039"/>
      <c r="J1" s="1039"/>
      <c r="K1" s="1039"/>
      <c r="L1" s="1039"/>
      <c r="M1" s="1039"/>
      <c r="N1" s="1039"/>
      <c r="O1" s="1039"/>
      <c r="P1" s="1039"/>
      <c r="Q1" s="1039"/>
      <c r="R1" s="1039"/>
      <c r="S1" s="1039"/>
      <c r="T1" s="1039"/>
      <c r="U1" s="1039"/>
    </row>
    <row r="2" spans="1:21" s="1043" customFormat="1" ht="12" customHeight="1">
      <c r="A2" s="1041" t="e">
        <f>VLOOKUP($A$1,$A3:A1250,1,FALSE)</f>
        <v>#N/A</v>
      </c>
      <c r="B2" s="1042" t="e">
        <f>VLOOKUP($A$1,$A3:B1250,2,FALSE)</f>
        <v>#N/A</v>
      </c>
      <c r="C2" s="1041"/>
      <c r="D2" s="1041"/>
      <c r="E2" s="1041"/>
      <c r="F2" s="1041"/>
      <c r="G2" s="1041"/>
      <c r="H2" s="1041"/>
      <c r="I2" s="1041"/>
      <c r="J2" s="1041"/>
      <c r="K2" s="1041"/>
      <c r="L2" s="1041"/>
      <c r="M2" s="1041"/>
      <c r="N2" s="1041"/>
      <c r="O2" s="1041"/>
      <c r="P2" s="1041"/>
      <c r="Q2" s="1041"/>
      <c r="R2" s="1041"/>
      <c r="S2" s="1041"/>
      <c r="T2" s="1041"/>
      <c r="U2" s="1041"/>
    </row>
    <row r="3" spans="1:21">
      <c r="A3" s="1040" t="s">
        <v>3890</v>
      </c>
      <c r="B3" s="1040" t="s">
        <v>1763</v>
      </c>
    </row>
    <row r="4" spans="1:21">
      <c r="A4" s="1040" t="s">
        <v>694</v>
      </c>
      <c r="B4" s="1040" t="s">
        <v>1764</v>
      </c>
    </row>
    <row r="5" spans="1:21">
      <c r="A5" s="1040" t="s">
        <v>696</v>
      </c>
      <c r="B5" s="1040" t="s">
        <v>1765</v>
      </c>
    </row>
    <row r="6" spans="1:21">
      <c r="A6" s="1040" t="s">
        <v>698</v>
      </c>
      <c r="B6" s="1040" t="s">
        <v>1766</v>
      </c>
    </row>
    <row r="7" spans="1:21">
      <c r="A7" s="1040" t="s">
        <v>700</v>
      </c>
      <c r="B7" s="1040" t="s">
        <v>1767</v>
      </c>
    </row>
    <row r="8" spans="1:21">
      <c r="A8" s="1040" t="s">
        <v>1491</v>
      </c>
      <c r="B8" s="1040" t="s">
        <v>1768</v>
      </c>
    </row>
    <row r="9" spans="1:21">
      <c r="A9" s="1040" t="s">
        <v>6212</v>
      </c>
      <c r="B9" s="1040" t="s">
        <v>1769</v>
      </c>
    </row>
    <row r="10" spans="1:21">
      <c r="A10" s="1040" t="s">
        <v>2753</v>
      </c>
      <c r="B10" s="1040" t="s">
        <v>5003</v>
      </c>
    </row>
    <row r="11" spans="1:21">
      <c r="A11" s="1040" t="s">
        <v>2840</v>
      </c>
      <c r="B11" s="1040" t="s">
        <v>7181</v>
      </c>
    </row>
    <row r="12" spans="1:21">
      <c r="A12" s="1040" t="s">
        <v>3080</v>
      </c>
      <c r="B12" s="1040" t="s">
        <v>3853</v>
      </c>
    </row>
    <row r="13" spans="1:21">
      <c r="A13" s="1040" t="s">
        <v>2842</v>
      </c>
      <c r="B13" s="1040" t="s">
        <v>5004</v>
      </c>
    </row>
    <row r="14" spans="1:21">
      <c r="A14" s="1040" t="s">
        <v>1874</v>
      </c>
      <c r="B14" s="1040" t="s">
        <v>3857</v>
      </c>
    </row>
    <row r="15" spans="1:21">
      <c r="A15" s="1040" t="s">
        <v>2844</v>
      </c>
      <c r="B15" s="1040" t="s">
        <v>5005</v>
      </c>
    </row>
    <row r="16" spans="1:21">
      <c r="A16" s="1040" t="s">
        <v>2846</v>
      </c>
      <c r="B16" s="1040" t="s">
        <v>5006</v>
      </c>
    </row>
    <row r="17" spans="1:2">
      <c r="A17" s="1040" t="s">
        <v>2848</v>
      </c>
      <c r="B17" s="1040" t="s">
        <v>5007</v>
      </c>
    </row>
    <row r="18" spans="1:2">
      <c r="A18" s="1040" t="s">
        <v>1225</v>
      </c>
      <c r="B18" s="1040" t="s">
        <v>5008</v>
      </c>
    </row>
    <row r="19" spans="1:2">
      <c r="A19" s="1040" t="s">
        <v>1227</v>
      </c>
      <c r="B19" s="1040" t="s">
        <v>4094</v>
      </c>
    </row>
    <row r="20" spans="1:2">
      <c r="A20" s="1040" t="s">
        <v>1229</v>
      </c>
      <c r="B20" s="1040" t="s">
        <v>4095</v>
      </c>
    </row>
    <row r="21" spans="1:2">
      <c r="A21" s="1040" t="s">
        <v>2360</v>
      </c>
      <c r="B21" s="1040" t="s">
        <v>2004</v>
      </c>
    </row>
    <row r="22" spans="1:2">
      <c r="A22" s="1040" t="s">
        <v>1233</v>
      </c>
      <c r="B22" s="1040" t="s">
        <v>4097</v>
      </c>
    </row>
    <row r="23" spans="1:2">
      <c r="A23" s="1040" t="s">
        <v>3081</v>
      </c>
      <c r="B23" s="1040" t="s">
        <v>6107</v>
      </c>
    </row>
    <row r="24" spans="1:2">
      <c r="A24" s="1040" t="s">
        <v>1235</v>
      </c>
      <c r="B24" s="1040" t="s">
        <v>4098</v>
      </c>
    </row>
    <row r="25" spans="1:2">
      <c r="A25" s="1040" t="s">
        <v>2999</v>
      </c>
      <c r="B25" s="1040" t="s">
        <v>4099</v>
      </c>
    </row>
    <row r="26" spans="1:2">
      <c r="A26" s="1040" t="s">
        <v>5127</v>
      </c>
      <c r="B26" s="1040" t="s">
        <v>342</v>
      </c>
    </row>
    <row r="27" spans="1:2">
      <c r="A27" s="1040" t="s">
        <v>2563</v>
      </c>
      <c r="B27" s="1040" t="s">
        <v>345</v>
      </c>
    </row>
    <row r="28" spans="1:2">
      <c r="A28" s="1040" t="s">
        <v>1237</v>
      </c>
      <c r="B28" s="1040" t="s">
        <v>4100</v>
      </c>
    </row>
    <row r="29" spans="1:2">
      <c r="A29" s="1040" t="s">
        <v>1239</v>
      </c>
      <c r="B29" s="1040" t="s">
        <v>4101</v>
      </c>
    </row>
    <row r="30" spans="1:2">
      <c r="A30" s="1040" t="s">
        <v>1241</v>
      </c>
      <c r="B30" s="1040" t="s">
        <v>4102</v>
      </c>
    </row>
    <row r="31" spans="1:2">
      <c r="A31" s="1040" t="s">
        <v>1243</v>
      </c>
      <c r="B31" s="1040" t="s">
        <v>4103</v>
      </c>
    </row>
    <row r="32" spans="1:2">
      <c r="A32" s="1040" t="s">
        <v>1245</v>
      </c>
      <c r="B32" s="1040" t="s">
        <v>4104</v>
      </c>
    </row>
    <row r="33" spans="1:2">
      <c r="A33" s="1040" t="s">
        <v>2361</v>
      </c>
      <c r="B33" s="1040" t="s">
        <v>7695</v>
      </c>
    </row>
    <row r="34" spans="1:2">
      <c r="A34" s="1040" t="s">
        <v>948</v>
      </c>
      <c r="B34" s="1040" t="s">
        <v>7697</v>
      </c>
    </row>
    <row r="35" spans="1:2">
      <c r="A35" s="1040" t="s">
        <v>1522</v>
      </c>
      <c r="B35" s="1040" t="s">
        <v>1928</v>
      </c>
    </row>
    <row r="36" spans="1:2">
      <c r="A36" s="1040" t="s">
        <v>438</v>
      </c>
      <c r="B36" s="1040" t="s">
        <v>2343</v>
      </c>
    </row>
    <row r="37" spans="1:2">
      <c r="A37" s="1040" t="s">
        <v>2565</v>
      </c>
      <c r="B37" s="1040" t="s">
        <v>6074</v>
      </c>
    </row>
    <row r="38" spans="1:2">
      <c r="A38" s="1040" t="s">
        <v>1248</v>
      </c>
      <c r="B38" s="1040" t="s">
        <v>4105</v>
      </c>
    </row>
    <row r="39" spans="1:2">
      <c r="A39" s="1040" t="s">
        <v>7182</v>
      </c>
      <c r="B39" s="1040" t="s">
        <v>7183</v>
      </c>
    </row>
    <row r="40" spans="1:2">
      <c r="A40" s="1040" t="s">
        <v>439</v>
      </c>
      <c r="B40" s="1040" t="s">
        <v>7698</v>
      </c>
    </row>
    <row r="41" spans="1:2">
      <c r="A41" s="1040" t="s">
        <v>1250</v>
      </c>
      <c r="B41" s="1040" t="s">
        <v>4106</v>
      </c>
    </row>
    <row r="42" spans="1:2">
      <c r="A42" s="1040" t="s">
        <v>1252</v>
      </c>
      <c r="B42" s="1040" t="s">
        <v>4107</v>
      </c>
    </row>
    <row r="43" spans="1:2">
      <c r="A43" s="1040" t="s">
        <v>2399</v>
      </c>
      <c r="B43" s="1040" t="s">
        <v>2341</v>
      </c>
    </row>
    <row r="44" spans="1:2">
      <c r="A44" s="1040" t="s">
        <v>7184</v>
      </c>
      <c r="B44" s="1040" t="s">
        <v>8163</v>
      </c>
    </row>
    <row r="45" spans="1:2">
      <c r="A45" s="1040" t="s">
        <v>7186</v>
      </c>
      <c r="B45" s="1040" t="s">
        <v>7187</v>
      </c>
    </row>
    <row r="46" spans="1:2">
      <c r="A46" s="1040" t="s">
        <v>7188</v>
      </c>
      <c r="B46" s="1040" t="s">
        <v>8164</v>
      </c>
    </row>
    <row r="47" spans="1:2">
      <c r="A47" s="1040" t="s">
        <v>7190</v>
      </c>
      <c r="B47" s="1040" t="s">
        <v>7904</v>
      </c>
    </row>
    <row r="48" spans="1:2">
      <c r="A48" s="1040" t="s">
        <v>2566</v>
      </c>
      <c r="B48" s="1040" t="s">
        <v>4108</v>
      </c>
    </row>
    <row r="49" spans="1:2">
      <c r="A49" s="1040" t="s">
        <v>947</v>
      </c>
      <c r="B49" s="1040" t="s">
        <v>7696</v>
      </c>
    </row>
    <row r="50" spans="1:2">
      <c r="A50" s="1040" t="s">
        <v>950</v>
      </c>
      <c r="B50" s="1040" t="s">
        <v>7654</v>
      </c>
    </row>
    <row r="51" spans="1:2">
      <c r="A51" s="1040" t="s">
        <v>1869</v>
      </c>
      <c r="B51" s="1040" t="s">
        <v>3848</v>
      </c>
    </row>
    <row r="52" spans="1:2">
      <c r="A52" s="1040" t="s">
        <v>6033</v>
      </c>
      <c r="B52" s="1040" t="s">
        <v>1920</v>
      </c>
    </row>
    <row r="53" spans="1:2">
      <c r="A53" s="1040" t="s">
        <v>2309</v>
      </c>
      <c r="B53" s="1040" t="s">
        <v>367</v>
      </c>
    </row>
    <row r="54" spans="1:2">
      <c r="A54" s="1040" t="s">
        <v>2384</v>
      </c>
      <c r="B54" s="1040" t="s">
        <v>376</v>
      </c>
    </row>
    <row r="55" spans="1:2">
      <c r="A55" s="1040" t="s">
        <v>2411</v>
      </c>
      <c r="B55" s="1040" t="s">
        <v>5364</v>
      </c>
    </row>
    <row r="56" spans="1:2">
      <c r="A56" s="1040" t="s">
        <v>2416</v>
      </c>
      <c r="B56" s="1040" t="s">
        <v>5369</v>
      </c>
    </row>
    <row r="57" spans="1:2">
      <c r="A57" s="1040" t="s">
        <v>1254</v>
      </c>
      <c r="B57" s="1040" t="s">
        <v>1255</v>
      </c>
    </row>
    <row r="58" spans="1:2">
      <c r="A58" s="1040" t="s">
        <v>7193</v>
      </c>
      <c r="B58" s="1040" t="s">
        <v>7194</v>
      </c>
    </row>
    <row r="59" spans="1:2">
      <c r="A59" s="1040" t="s">
        <v>7195</v>
      </c>
      <c r="B59" s="1040" t="s">
        <v>8165</v>
      </c>
    </row>
    <row r="60" spans="1:2">
      <c r="A60" s="1040" t="s">
        <v>7197</v>
      </c>
      <c r="B60" s="1040" t="s">
        <v>7198</v>
      </c>
    </row>
    <row r="61" spans="1:2">
      <c r="A61" s="1040" t="s">
        <v>1256</v>
      </c>
      <c r="B61" s="1040" t="s">
        <v>7199</v>
      </c>
    </row>
    <row r="62" spans="1:2">
      <c r="A62" s="1040" t="s">
        <v>7200</v>
      </c>
      <c r="B62" s="1040" t="s">
        <v>7201</v>
      </c>
    </row>
    <row r="63" spans="1:2">
      <c r="A63" s="1040" t="s">
        <v>7202</v>
      </c>
      <c r="B63" s="1040" t="s">
        <v>8166</v>
      </c>
    </row>
    <row r="64" spans="1:2">
      <c r="A64" s="1040" t="s">
        <v>7204</v>
      </c>
      <c r="B64" s="1040" t="s">
        <v>7205</v>
      </c>
    </row>
    <row r="65" spans="1:2">
      <c r="A65" s="1040" t="s">
        <v>7214</v>
      </c>
      <c r="B65" s="1040" t="s">
        <v>7215</v>
      </c>
    </row>
    <row r="66" spans="1:2">
      <c r="A66" s="1040" t="s">
        <v>7216</v>
      </c>
      <c r="B66" s="1040" t="s">
        <v>7217</v>
      </c>
    </row>
    <row r="67" spans="1:2">
      <c r="A67" s="1040" t="s">
        <v>7218</v>
      </c>
      <c r="B67" s="1040" t="s">
        <v>8167</v>
      </c>
    </row>
    <row r="68" spans="1:2">
      <c r="A68" s="1040" t="s">
        <v>7223</v>
      </c>
      <c r="B68" s="1040" t="s">
        <v>7224</v>
      </c>
    </row>
    <row r="69" spans="1:2">
      <c r="A69" s="1040" t="s">
        <v>7225</v>
      </c>
      <c r="B69" s="1040" t="s">
        <v>8168</v>
      </c>
    </row>
    <row r="70" spans="1:2">
      <c r="A70" s="1040" t="s">
        <v>7227</v>
      </c>
      <c r="B70" s="1040" t="s">
        <v>7228</v>
      </c>
    </row>
    <row r="71" spans="1:2">
      <c r="A71" s="1040" t="s">
        <v>7229</v>
      </c>
      <c r="B71" s="1040" t="s">
        <v>8169</v>
      </c>
    </row>
    <row r="72" spans="1:2">
      <c r="A72" s="1040" t="s">
        <v>7233</v>
      </c>
      <c r="B72" s="1040" t="s">
        <v>7234</v>
      </c>
    </row>
    <row r="73" spans="1:2">
      <c r="A73" s="1040" t="s">
        <v>7235</v>
      </c>
      <c r="B73" s="1040" t="s">
        <v>8170</v>
      </c>
    </row>
    <row r="74" spans="1:2">
      <c r="A74" s="1040" t="s">
        <v>7237</v>
      </c>
      <c r="B74" s="1040" t="s">
        <v>8171</v>
      </c>
    </row>
    <row r="75" spans="1:2">
      <c r="A75" s="1040" t="s">
        <v>161</v>
      </c>
      <c r="B75" s="1040" t="s">
        <v>8172</v>
      </c>
    </row>
    <row r="76" spans="1:2">
      <c r="A76" s="1040" t="s">
        <v>162</v>
      </c>
      <c r="B76" s="1040" t="s">
        <v>8173</v>
      </c>
    </row>
    <row r="77" spans="1:2">
      <c r="A77" s="1040" t="s">
        <v>7794</v>
      </c>
      <c r="B77" s="1040" t="s">
        <v>8174</v>
      </c>
    </row>
    <row r="78" spans="1:2">
      <c r="A78" s="1040" t="s">
        <v>7919</v>
      </c>
      <c r="B78" s="1040" t="s">
        <v>7920</v>
      </c>
    </row>
    <row r="79" spans="1:2">
      <c r="A79" s="1040" t="s">
        <v>7921</v>
      </c>
      <c r="B79" s="1040" t="s">
        <v>8175</v>
      </c>
    </row>
    <row r="80" spans="1:2">
      <c r="A80" s="1040" t="s">
        <v>8127</v>
      </c>
      <c r="B80" s="1040" t="s">
        <v>8176</v>
      </c>
    </row>
    <row r="81" spans="1:2">
      <c r="A81" s="1040" t="s">
        <v>8128</v>
      </c>
      <c r="B81" s="1040" t="s">
        <v>8177</v>
      </c>
    </row>
    <row r="82" spans="1:2">
      <c r="A82" s="1040" t="s">
        <v>8129</v>
      </c>
      <c r="B82" s="1040" t="s">
        <v>8178</v>
      </c>
    </row>
    <row r="83" spans="1:2">
      <c r="A83" s="1040" t="s">
        <v>37</v>
      </c>
      <c r="B83" s="1040" t="s">
        <v>4109</v>
      </c>
    </row>
    <row r="84" spans="1:2">
      <c r="A84" s="1040" t="s">
        <v>1860</v>
      </c>
      <c r="B84" s="1040" t="s">
        <v>3918</v>
      </c>
    </row>
    <row r="85" spans="1:2">
      <c r="A85" s="1040" t="s">
        <v>1520</v>
      </c>
      <c r="B85" s="1040" t="s">
        <v>1926</v>
      </c>
    </row>
    <row r="86" spans="1:2">
      <c r="A86" s="1040" t="s">
        <v>39</v>
      </c>
      <c r="B86" s="1040" t="s">
        <v>4110</v>
      </c>
    </row>
    <row r="87" spans="1:2">
      <c r="A87" s="1040" t="s">
        <v>2386</v>
      </c>
      <c r="B87" s="1040" t="s">
        <v>379</v>
      </c>
    </row>
    <row r="88" spans="1:2">
      <c r="A88" s="1040" t="s">
        <v>2403</v>
      </c>
      <c r="B88" s="1040" t="s">
        <v>2347</v>
      </c>
    </row>
    <row r="89" spans="1:2">
      <c r="A89" s="1040" t="s">
        <v>2402</v>
      </c>
      <c r="B89" s="1040" t="s">
        <v>2346</v>
      </c>
    </row>
    <row r="90" spans="1:2">
      <c r="A90" s="1040" t="s">
        <v>6183</v>
      </c>
      <c r="B90" s="1040" t="s">
        <v>1937</v>
      </c>
    </row>
    <row r="91" spans="1:2">
      <c r="A91" s="1040" t="s">
        <v>1517</v>
      </c>
      <c r="B91" s="1040" t="s">
        <v>3013</v>
      </c>
    </row>
    <row r="92" spans="1:2">
      <c r="A92" s="1040" t="s">
        <v>3082</v>
      </c>
      <c r="B92" s="1040" t="s">
        <v>2349</v>
      </c>
    </row>
    <row r="93" spans="1:2">
      <c r="A93" s="1040" t="s">
        <v>41</v>
      </c>
      <c r="B93" s="1040" t="s">
        <v>4111</v>
      </c>
    </row>
    <row r="94" spans="1:2">
      <c r="A94" s="1040" t="s">
        <v>43</v>
      </c>
      <c r="B94" s="1040" t="s">
        <v>4112</v>
      </c>
    </row>
    <row r="95" spans="1:2">
      <c r="A95" s="1040" t="s">
        <v>6185</v>
      </c>
      <c r="B95" s="1040" t="s">
        <v>1939</v>
      </c>
    </row>
    <row r="96" spans="1:2">
      <c r="A96" s="1040" t="s">
        <v>6026</v>
      </c>
      <c r="B96" s="1040" t="s">
        <v>1911</v>
      </c>
    </row>
    <row r="97" spans="1:2">
      <c r="A97" s="1040" t="s">
        <v>2404</v>
      </c>
      <c r="B97" s="1040" t="s">
        <v>2348</v>
      </c>
    </row>
    <row r="98" spans="1:2">
      <c r="A98" s="1040" t="s">
        <v>7238</v>
      </c>
      <c r="B98" s="1040" t="s">
        <v>7239</v>
      </c>
    </row>
    <row r="99" spans="1:2">
      <c r="A99" s="1040" t="s">
        <v>45</v>
      </c>
      <c r="B99" s="1040" t="s">
        <v>4113</v>
      </c>
    </row>
    <row r="100" spans="1:2">
      <c r="A100" s="1040" t="s">
        <v>952</v>
      </c>
      <c r="B100" s="1040" t="s">
        <v>7657</v>
      </c>
    </row>
    <row r="101" spans="1:2">
      <c r="A101" s="1040" t="s">
        <v>47</v>
      </c>
      <c r="B101" s="1040" t="s">
        <v>4114</v>
      </c>
    </row>
    <row r="102" spans="1:2">
      <c r="A102" s="1040" t="s">
        <v>740</v>
      </c>
      <c r="B102" s="1040" t="s">
        <v>6115</v>
      </c>
    </row>
    <row r="103" spans="1:2">
      <c r="A103" s="1040" t="s">
        <v>49</v>
      </c>
      <c r="B103" s="1040" t="s">
        <v>4115</v>
      </c>
    </row>
    <row r="104" spans="1:2">
      <c r="A104" s="1040" t="s">
        <v>1337</v>
      </c>
      <c r="B104" s="1040" t="s">
        <v>4116</v>
      </c>
    </row>
    <row r="105" spans="1:2">
      <c r="A105" s="1040" t="s">
        <v>1339</v>
      </c>
      <c r="B105" s="1040" t="s">
        <v>4117</v>
      </c>
    </row>
    <row r="106" spans="1:2">
      <c r="A106" s="1040" t="s">
        <v>2474</v>
      </c>
      <c r="B106" s="1040" t="s">
        <v>329</v>
      </c>
    </row>
    <row r="107" spans="1:2">
      <c r="A107" s="1040" t="s">
        <v>1341</v>
      </c>
      <c r="B107" s="1040" t="s">
        <v>1663</v>
      </c>
    </row>
    <row r="108" spans="1:2">
      <c r="A108" s="1040" t="s">
        <v>1343</v>
      </c>
      <c r="B108" s="1040" t="s">
        <v>1664</v>
      </c>
    </row>
    <row r="109" spans="1:2">
      <c r="A109" s="1040" t="s">
        <v>1345</v>
      </c>
      <c r="B109" s="1040" t="s">
        <v>885</v>
      </c>
    </row>
    <row r="110" spans="1:2">
      <c r="A110" s="1040" t="s">
        <v>7240</v>
      </c>
      <c r="B110" s="1040" t="s">
        <v>7241</v>
      </c>
    </row>
    <row r="111" spans="1:2">
      <c r="A111" s="1040" t="s">
        <v>963</v>
      </c>
      <c r="B111" s="1040" t="s">
        <v>996</v>
      </c>
    </row>
    <row r="112" spans="1:2">
      <c r="A112" s="1040" t="s">
        <v>3083</v>
      </c>
      <c r="B112" s="1040" t="s">
        <v>3850</v>
      </c>
    </row>
    <row r="113" spans="1:2">
      <c r="A113" s="1040" t="s">
        <v>2568</v>
      </c>
      <c r="B113" s="1040" t="s">
        <v>6070</v>
      </c>
    </row>
    <row r="114" spans="1:2">
      <c r="A114" s="1040" t="s">
        <v>1349</v>
      </c>
      <c r="B114" s="1040" t="s">
        <v>886</v>
      </c>
    </row>
    <row r="115" spans="1:2">
      <c r="A115" s="1040" t="s">
        <v>6083</v>
      </c>
      <c r="B115" s="1040" t="s">
        <v>887</v>
      </c>
    </row>
    <row r="116" spans="1:2">
      <c r="A116" s="1040" t="s">
        <v>6085</v>
      </c>
      <c r="B116" s="1040" t="s">
        <v>888</v>
      </c>
    </row>
    <row r="117" spans="1:2">
      <c r="A117" s="1040" t="s">
        <v>1998</v>
      </c>
      <c r="B117" s="1040" t="s">
        <v>889</v>
      </c>
    </row>
    <row r="118" spans="1:2">
      <c r="A118" s="1040" t="s">
        <v>2570</v>
      </c>
      <c r="B118" s="1040" t="s">
        <v>1467</v>
      </c>
    </row>
    <row r="119" spans="1:2">
      <c r="A119" s="1040" t="s">
        <v>4076</v>
      </c>
      <c r="B119" s="1040" t="s">
        <v>6061</v>
      </c>
    </row>
    <row r="120" spans="1:2">
      <c r="A120" s="1040" t="s">
        <v>1963</v>
      </c>
      <c r="B120" s="1040" t="s">
        <v>890</v>
      </c>
    </row>
    <row r="121" spans="1:2">
      <c r="A121" s="1040" t="s">
        <v>2000</v>
      </c>
      <c r="B121" s="1040" t="s">
        <v>891</v>
      </c>
    </row>
    <row r="122" spans="1:2">
      <c r="A122" s="1040" t="s">
        <v>2002</v>
      </c>
      <c r="B122" s="1040" t="s">
        <v>3852</v>
      </c>
    </row>
    <row r="123" spans="1:2">
      <c r="A123" s="1040" t="s">
        <v>1964</v>
      </c>
      <c r="B123" s="1040" t="s">
        <v>892</v>
      </c>
    </row>
    <row r="124" spans="1:2">
      <c r="A124" s="1040" t="s">
        <v>2136</v>
      </c>
      <c r="B124" s="1040" t="s">
        <v>7679</v>
      </c>
    </row>
    <row r="125" spans="1:2">
      <c r="A125" s="1040" t="s">
        <v>2966</v>
      </c>
      <c r="B125" s="1040" t="s">
        <v>893</v>
      </c>
    </row>
    <row r="126" spans="1:2">
      <c r="A126" s="1040" t="s">
        <v>3084</v>
      </c>
      <c r="B126" s="1040" t="s">
        <v>992</v>
      </c>
    </row>
    <row r="127" spans="1:2">
      <c r="A127" s="1040" t="s">
        <v>6252</v>
      </c>
      <c r="B127" s="1040" t="s">
        <v>1571</v>
      </c>
    </row>
    <row r="128" spans="1:2">
      <c r="A128" s="1040" t="s">
        <v>6254</v>
      </c>
      <c r="B128" s="1040" t="s">
        <v>1572</v>
      </c>
    </row>
    <row r="129" spans="1:2">
      <c r="A129" s="1040" t="s">
        <v>233</v>
      </c>
      <c r="B129" s="1040" t="s">
        <v>2640</v>
      </c>
    </row>
    <row r="130" spans="1:2">
      <c r="A130" s="1040" t="s">
        <v>6195</v>
      </c>
      <c r="B130" s="1040" t="s">
        <v>5293</v>
      </c>
    </row>
    <row r="131" spans="1:2">
      <c r="A131" s="1040" t="s">
        <v>6256</v>
      </c>
      <c r="B131" s="1040" t="s">
        <v>1573</v>
      </c>
    </row>
    <row r="132" spans="1:2">
      <c r="A132" s="1040" t="s">
        <v>7243</v>
      </c>
      <c r="B132" s="1040" t="s">
        <v>8179</v>
      </c>
    </row>
    <row r="133" spans="1:2">
      <c r="A133" s="1040" t="s">
        <v>8131</v>
      </c>
      <c r="B133" s="1040" t="s">
        <v>8180</v>
      </c>
    </row>
    <row r="134" spans="1:2">
      <c r="A134" s="1040" t="s">
        <v>743</v>
      </c>
      <c r="B134" s="1040" t="s">
        <v>6119</v>
      </c>
    </row>
    <row r="135" spans="1:2">
      <c r="A135" s="1040" t="s">
        <v>960</v>
      </c>
      <c r="B135" s="1040" t="s">
        <v>2143</v>
      </c>
    </row>
    <row r="136" spans="1:2">
      <c r="A136" s="1040" t="s">
        <v>6260</v>
      </c>
      <c r="B136" s="1040" t="s">
        <v>107</v>
      </c>
    </row>
    <row r="137" spans="1:2">
      <c r="A137" s="1040" t="s">
        <v>6262</v>
      </c>
      <c r="B137" s="1040" t="s">
        <v>108</v>
      </c>
    </row>
    <row r="138" spans="1:2">
      <c r="A138" s="1040" t="s">
        <v>6264</v>
      </c>
      <c r="B138" s="1040" t="s">
        <v>3792</v>
      </c>
    </row>
    <row r="139" spans="1:2">
      <c r="A139" s="1040" t="s">
        <v>6266</v>
      </c>
      <c r="B139" s="1040" t="s">
        <v>3793</v>
      </c>
    </row>
    <row r="140" spans="1:2">
      <c r="A140" s="1040" t="s">
        <v>6268</v>
      </c>
      <c r="B140" s="1040" t="s">
        <v>3794</v>
      </c>
    </row>
    <row r="141" spans="1:2">
      <c r="A141" s="1040" t="s">
        <v>6270</v>
      </c>
      <c r="B141" s="1040" t="s">
        <v>3795</v>
      </c>
    </row>
    <row r="142" spans="1:2">
      <c r="A142" s="1040" t="s">
        <v>6272</v>
      </c>
      <c r="B142" s="1040" t="s">
        <v>3796</v>
      </c>
    </row>
    <row r="143" spans="1:2">
      <c r="A143" s="1040" t="s">
        <v>2291</v>
      </c>
      <c r="B143" s="1040" t="s">
        <v>3797</v>
      </c>
    </row>
    <row r="144" spans="1:2">
      <c r="A144" s="1040" t="s">
        <v>954</v>
      </c>
      <c r="B144" s="1040" t="s">
        <v>7659</v>
      </c>
    </row>
    <row r="145" spans="1:2">
      <c r="A145" s="1040" t="s">
        <v>6166</v>
      </c>
      <c r="B145" s="1040" t="s">
        <v>6071</v>
      </c>
    </row>
    <row r="146" spans="1:2">
      <c r="A146" s="1040" t="s">
        <v>864</v>
      </c>
      <c r="B146" s="1040" t="s">
        <v>2011</v>
      </c>
    </row>
    <row r="147" spans="1:2">
      <c r="A147" s="1040" t="s">
        <v>3085</v>
      </c>
      <c r="B147" s="1040" t="s">
        <v>2141</v>
      </c>
    </row>
    <row r="148" spans="1:2">
      <c r="A148" s="1040" t="s">
        <v>1518</v>
      </c>
      <c r="B148" s="1040" t="s">
        <v>3012</v>
      </c>
    </row>
    <row r="149" spans="1:2">
      <c r="A149" s="1040" t="s">
        <v>2293</v>
      </c>
      <c r="B149" s="1040" t="s">
        <v>3798</v>
      </c>
    </row>
    <row r="150" spans="1:2">
      <c r="A150" s="1040" t="s">
        <v>2295</v>
      </c>
      <c r="B150" s="1040" t="s">
        <v>3799</v>
      </c>
    </row>
    <row r="151" spans="1:2">
      <c r="A151" s="1040" t="s">
        <v>2297</v>
      </c>
      <c r="B151" s="1040" t="s">
        <v>3800</v>
      </c>
    </row>
    <row r="152" spans="1:2">
      <c r="A152" s="1040" t="s">
        <v>978</v>
      </c>
      <c r="B152" s="1040" t="s">
        <v>4670</v>
      </c>
    </row>
    <row r="153" spans="1:2">
      <c r="A153" s="1040" t="s">
        <v>3003</v>
      </c>
      <c r="B153" s="1040" t="s">
        <v>6063</v>
      </c>
    </row>
    <row r="154" spans="1:2">
      <c r="A154" s="1040" t="s">
        <v>2993</v>
      </c>
      <c r="B154" s="1040" t="s">
        <v>196</v>
      </c>
    </row>
    <row r="155" spans="1:2">
      <c r="A155" s="1040" t="s">
        <v>518</v>
      </c>
      <c r="B155" s="1040" t="s">
        <v>6056</v>
      </c>
    </row>
    <row r="156" spans="1:2">
      <c r="A156" s="1040" t="s">
        <v>2299</v>
      </c>
      <c r="B156" s="1040" t="s">
        <v>3801</v>
      </c>
    </row>
    <row r="157" spans="1:2">
      <c r="A157" s="1040" t="s">
        <v>3971</v>
      </c>
      <c r="B157" s="1040" t="s">
        <v>4676</v>
      </c>
    </row>
    <row r="158" spans="1:2">
      <c r="A158" s="1040" t="s">
        <v>2161</v>
      </c>
      <c r="B158" s="1040" t="s">
        <v>3803</v>
      </c>
    </row>
    <row r="159" spans="1:2">
      <c r="A159" s="1040" t="s">
        <v>3086</v>
      </c>
      <c r="B159" s="1040" t="s">
        <v>4679</v>
      </c>
    </row>
    <row r="160" spans="1:2">
      <c r="A160" s="1040" t="s">
        <v>2605</v>
      </c>
      <c r="B160" s="1040" t="s">
        <v>3804</v>
      </c>
    </row>
    <row r="161" spans="1:2">
      <c r="A161" s="1040" t="s">
        <v>4181</v>
      </c>
      <c r="B161" s="1040" t="s">
        <v>3805</v>
      </c>
    </row>
    <row r="162" spans="1:2">
      <c r="A162" s="1040" t="s">
        <v>8035</v>
      </c>
      <c r="B162" s="1040" t="s">
        <v>8181</v>
      </c>
    </row>
    <row r="163" spans="1:2">
      <c r="A163" s="1040" t="s">
        <v>959</v>
      </c>
      <c r="B163" s="1040" t="s">
        <v>2142</v>
      </c>
    </row>
    <row r="164" spans="1:2">
      <c r="A164" s="1040" t="s">
        <v>1861</v>
      </c>
      <c r="B164" s="1040" t="s">
        <v>4684</v>
      </c>
    </row>
    <row r="165" spans="1:2">
      <c r="A165" s="1040" t="s">
        <v>6037</v>
      </c>
      <c r="B165" s="1040" t="s">
        <v>2152</v>
      </c>
    </row>
    <row r="166" spans="1:2">
      <c r="A166" s="1040" t="s">
        <v>2995</v>
      </c>
      <c r="B166" s="1040" t="s">
        <v>4687</v>
      </c>
    </row>
    <row r="167" spans="1:2">
      <c r="A167" s="1040" t="s">
        <v>7643</v>
      </c>
      <c r="B167" s="1040" t="s">
        <v>3806</v>
      </c>
    </row>
    <row r="168" spans="1:2">
      <c r="A168" s="1040" t="s">
        <v>3087</v>
      </c>
      <c r="B168" s="1040" t="s">
        <v>361</v>
      </c>
    </row>
    <row r="169" spans="1:2">
      <c r="A169" s="1040" t="s">
        <v>2387</v>
      </c>
      <c r="B169" s="1040" t="s">
        <v>4691</v>
      </c>
    </row>
    <row r="170" spans="1:2">
      <c r="A170" s="1040" t="s">
        <v>3088</v>
      </c>
      <c r="B170" s="1040" t="s">
        <v>1459</v>
      </c>
    </row>
    <row r="171" spans="1:2">
      <c r="A171" s="1040" t="s">
        <v>2393</v>
      </c>
      <c r="B171" s="1040" t="s">
        <v>1460</v>
      </c>
    </row>
    <row r="172" spans="1:2">
      <c r="A172" s="1040" t="s">
        <v>7645</v>
      </c>
      <c r="B172" s="1040" t="s">
        <v>7253</v>
      </c>
    </row>
    <row r="173" spans="1:2">
      <c r="A173" s="1040" t="s">
        <v>7647</v>
      </c>
      <c r="B173" s="1040" t="s">
        <v>3807</v>
      </c>
    </row>
    <row r="174" spans="1:2">
      <c r="A174" s="1040" t="s">
        <v>7649</v>
      </c>
      <c r="B174" s="1040" t="s">
        <v>3808</v>
      </c>
    </row>
    <row r="175" spans="1:2">
      <c r="A175" s="1040" t="s">
        <v>1786</v>
      </c>
      <c r="B175" s="1040" t="s">
        <v>3809</v>
      </c>
    </row>
    <row r="176" spans="1:2">
      <c r="A176" s="1040" t="s">
        <v>1788</v>
      </c>
      <c r="B176" s="1040" t="s">
        <v>6208</v>
      </c>
    </row>
    <row r="177" spans="1:2">
      <c r="A177" s="1040" t="s">
        <v>1790</v>
      </c>
      <c r="B177" s="1040" t="s">
        <v>6209</v>
      </c>
    </row>
    <row r="178" spans="1:2">
      <c r="A178" s="1040" t="s">
        <v>1792</v>
      </c>
      <c r="B178" s="1040" t="s">
        <v>6210</v>
      </c>
    </row>
    <row r="179" spans="1:2">
      <c r="A179" s="1040" t="s">
        <v>2982</v>
      </c>
      <c r="B179" s="1040" t="s">
        <v>6211</v>
      </c>
    </row>
    <row r="180" spans="1:2">
      <c r="A180" s="1040" t="s">
        <v>2984</v>
      </c>
      <c r="B180" s="1040" t="s">
        <v>4702</v>
      </c>
    </row>
    <row r="181" spans="1:2">
      <c r="A181" s="1040" t="s">
        <v>965</v>
      </c>
      <c r="B181" s="1040" t="s">
        <v>6077</v>
      </c>
    </row>
    <row r="182" spans="1:2">
      <c r="A182" s="1040" t="s">
        <v>6704</v>
      </c>
      <c r="B182" s="1040" t="s">
        <v>3814</v>
      </c>
    </row>
    <row r="183" spans="1:2">
      <c r="A183" s="1040" t="s">
        <v>690</v>
      </c>
      <c r="B183" s="1040" t="s">
        <v>3816</v>
      </c>
    </row>
    <row r="184" spans="1:2">
      <c r="A184" s="1040" t="s">
        <v>692</v>
      </c>
      <c r="B184" s="1040" t="s">
        <v>3817</v>
      </c>
    </row>
    <row r="185" spans="1:2">
      <c r="A185" s="1040" t="s">
        <v>895</v>
      </c>
      <c r="B185" s="1040" t="s">
        <v>3818</v>
      </c>
    </row>
    <row r="186" spans="1:2">
      <c r="A186" s="1040" t="s">
        <v>6177</v>
      </c>
      <c r="B186" s="1040" t="s">
        <v>506</v>
      </c>
    </row>
    <row r="187" spans="1:2">
      <c r="A187" s="1040" t="s">
        <v>265</v>
      </c>
      <c r="B187" s="1040" t="s">
        <v>7682</v>
      </c>
    </row>
    <row r="188" spans="1:2">
      <c r="A188" s="1040" t="s">
        <v>897</v>
      </c>
      <c r="B188" s="1040" t="s">
        <v>3819</v>
      </c>
    </row>
    <row r="189" spans="1:2">
      <c r="A189" s="1040" t="s">
        <v>899</v>
      </c>
      <c r="B189" s="1040" t="s">
        <v>3820</v>
      </c>
    </row>
    <row r="190" spans="1:2">
      <c r="A190" s="1040" t="s">
        <v>901</v>
      </c>
      <c r="B190" s="1040" t="s">
        <v>3821</v>
      </c>
    </row>
    <row r="191" spans="1:2">
      <c r="A191" s="1040" t="s">
        <v>6023</v>
      </c>
      <c r="B191" s="1040" t="s">
        <v>1908</v>
      </c>
    </row>
    <row r="192" spans="1:2">
      <c r="A192" s="1040" t="s">
        <v>2383</v>
      </c>
      <c r="B192" s="1040" t="s">
        <v>374</v>
      </c>
    </row>
    <row r="193" spans="1:2">
      <c r="A193" s="1040" t="s">
        <v>6180</v>
      </c>
      <c r="B193" s="1040" t="s">
        <v>1934</v>
      </c>
    </row>
    <row r="194" spans="1:2">
      <c r="A194" s="1040" t="s">
        <v>903</v>
      </c>
      <c r="B194" s="1040" t="s">
        <v>3822</v>
      </c>
    </row>
    <row r="195" spans="1:2">
      <c r="A195" s="1040" t="s">
        <v>736</v>
      </c>
      <c r="B195" s="1040" t="s">
        <v>6109</v>
      </c>
    </row>
    <row r="196" spans="1:2">
      <c r="A196" s="1040" t="s">
        <v>2117</v>
      </c>
      <c r="B196" s="1040" t="s">
        <v>3824</v>
      </c>
    </row>
    <row r="197" spans="1:2">
      <c r="A197" s="1040" t="s">
        <v>3089</v>
      </c>
      <c r="B197" s="1040" t="s">
        <v>8182</v>
      </c>
    </row>
    <row r="198" spans="1:2">
      <c r="A198" s="1040" t="s">
        <v>2119</v>
      </c>
      <c r="B198" s="1040" t="s">
        <v>3825</v>
      </c>
    </row>
    <row r="199" spans="1:2">
      <c r="A199" s="1040" t="s">
        <v>2121</v>
      </c>
      <c r="B199" s="1040" t="s">
        <v>2855</v>
      </c>
    </row>
    <row r="200" spans="1:2">
      <c r="A200" s="1040" t="s">
        <v>2123</v>
      </c>
      <c r="B200" s="1040" t="s">
        <v>2856</v>
      </c>
    </row>
    <row r="201" spans="1:2">
      <c r="A201" s="1040" t="s">
        <v>3130</v>
      </c>
      <c r="B201" s="1040" t="s">
        <v>4726</v>
      </c>
    </row>
    <row r="202" spans="1:2">
      <c r="A202" s="1040" t="s">
        <v>3132</v>
      </c>
      <c r="B202" s="1040" t="s">
        <v>2858</v>
      </c>
    </row>
    <row r="203" spans="1:2">
      <c r="A203" s="1040" t="s">
        <v>1322</v>
      </c>
      <c r="B203" s="1040" t="s">
        <v>2859</v>
      </c>
    </row>
    <row r="204" spans="1:2">
      <c r="A204" s="1040" t="s">
        <v>742</v>
      </c>
      <c r="B204" s="1040" t="s">
        <v>6118</v>
      </c>
    </row>
    <row r="205" spans="1:2">
      <c r="A205" s="1040" t="s">
        <v>440</v>
      </c>
      <c r="B205" s="1040" t="s">
        <v>1457</v>
      </c>
    </row>
    <row r="206" spans="1:2">
      <c r="A206" s="1040" t="s">
        <v>1324</v>
      </c>
      <c r="B206" s="1040" t="s">
        <v>4732</v>
      </c>
    </row>
    <row r="207" spans="1:2">
      <c r="A207" s="1040" t="s">
        <v>8133</v>
      </c>
      <c r="B207" s="1040" t="s">
        <v>8183</v>
      </c>
    </row>
    <row r="208" spans="1:2">
      <c r="A208" s="1040" t="s">
        <v>818</v>
      </c>
      <c r="B208" s="1040" t="s">
        <v>7677</v>
      </c>
    </row>
    <row r="209" spans="1:2">
      <c r="A209" s="1040" t="s">
        <v>266</v>
      </c>
      <c r="B209" s="1040" t="s">
        <v>7683</v>
      </c>
    </row>
    <row r="210" spans="1:2">
      <c r="A210" s="1040" t="s">
        <v>441</v>
      </c>
      <c r="B210" s="1040" t="s">
        <v>6104</v>
      </c>
    </row>
    <row r="211" spans="1:2">
      <c r="A211" s="1040" t="s">
        <v>1526</v>
      </c>
      <c r="B211" s="1040" t="s">
        <v>110</v>
      </c>
    </row>
    <row r="212" spans="1:2">
      <c r="A212" s="1040" t="s">
        <v>1312</v>
      </c>
      <c r="B212" s="1040" t="s">
        <v>117</v>
      </c>
    </row>
    <row r="213" spans="1:2">
      <c r="A213" s="1040" t="s">
        <v>6168</v>
      </c>
      <c r="B213" s="1040" t="s">
        <v>6076</v>
      </c>
    </row>
    <row r="214" spans="1:2">
      <c r="A214" s="1040" t="s">
        <v>5913</v>
      </c>
      <c r="B214" s="1040" t="s">
        <v>2862</v>
      </c>
    </row>
    <row r="215" spans="1:2">
      <c r="A215" s="1040" t="s">
        <v>3546</v>
      </c>
      <c r="B215" s="1040" t="s">
        <v>2863</v>
      </c>
    </row>
    <row r="216" spans="1:2">
      <c r="A216" s="1040" t="s">
        <v>5132</v>
      </c>
      <c r="B216" s="1040" t="s">
        <v>352</v>
      </c>
    </row>
    <row r="217" spans="1:2">
      <c r="A217" s="1040" t="s">
        <v>649</v>
      </c>
      <c r="B217" s="1040" t="s">
        <v>354</v>
      </c>
    </row>
    <row r="218" spans="1:2">
      <c r="A218" s="1040" t="s">
        <v>861</v>
      </c>
      <c r="B218" s="1040" t="s">
        <v>2008</v>
      </c>
    </row>
    <row r="219" spans="1:2">
      <c r="A219" s="1040" t="s">
        <v>956</v>
      </c>
      <c r="B219" s="1040" t="s">
        <v>7661</v>
      </c>
    </row>
    <row r="220" spans="1:2">
      <c r="A220" s="1040" t="s">
        <v>236</v>
      </c>
      <c r="B220" s="1040" t="s">
        <v>2643</v>
      </c>
    </row>
    <row r="221" spans="1:2">
      <c r="A221" s="1040" t="s">
        <v>3548</v>
      </c>
      <c r="B221" s="1040" t="s">
        <v>2864</v>
      </c>
    </row>
    <row r="222" spans="1:2">
      <c r="A222" s="1040" t="s">
        <v>3550</v>
      </c>
      <c r="B222" s="1040" t="s">
        <v>2865</v>
      </c>
    </row>
    <row r="223" spans="1:2">
      <c r="A223" s="1040" t="s">
        <v>234</v>
      </c>
      <c r="B223" s="1040" t="s">
        <v>2641</v>
      </c>
    </row>
    <row r="224" spans="1:2">
      <c r="A224" s="1040" t="s">
        <v>208</v>
      </c>
      <c r="B224" s="1040" t="s">
        <v>4752</v>
      </c>
    </row>
    <row r="225" spans="1:2">
      <c r="A225" s="1040" t="s">
        <v>210</v>
      </c>
      <c r="B225" s="1040" t="s">
        <v>2868</v>
      </c>
    </row>
    <row r="226" spans="1:2">
      <c r="A226" s="1040" t="s">
        <v>7256</v>
      </c>
      <c r="B226" s="1040" t="s">
        <v>7257</v>
      </c>
    </row>
    <row r="227" spans="1:2">
      <c r="A227" s="1040" t="s">
        <v>212</v>
      </c>
      <c r="B227" s="1040" t="s">
        <v>2869</v>
      </c>
    </row>
    <row r="228" spans="1:2">
      <c r="A228" s="1040" t="s">
        <v>214</v>
      </c>
      <c r="B228" s="1040" t="s">
        <v>2870</v>
      </c>
    </row>
    <row r="229" spans="1:2">
      <c r="A229" s="1040" t="s">
        <v>2714</v>
      </c>
      <c r="B229" s="1040" t="s">
        <v>2871</v>
      </c>
    </row>
    <row r="230" spans="1:2">
      <c r="A230" s="1040" t="s">
        <v>250</v>
      </c>
      <c r="B230" s="1040" t="s">
        <v>995</v>
      </c>
    </row>
    <row r="231" spans="1:2">
      <c r="A231" s="1040" t="s">
        <v>2162</v>
      </c>
      <c r="B231" s="1040" t="s">
        <v>3915</v>
      </c>
    </row>
    <row r="232" spans="1:2">
      <c r="A232" s="1040" t="s">
        <v>2716</v>
      </c>
      <c r="B232" s="1040" t="s">
        <v>2872</v>
      </c>
    </row>
    <row r="233" spans="1:2">
      <c r="A233" s="1040" t="s">
        <v>2718</v>
      </c>
      <c r="B233" s="1040" t="s">
        <v>4761</v>
      </c>
    </row>
    <row r="234" spans="1:2">
      <c r="A234" s="1040" t="s">
        <v>2720</v>
      </c>
      <c r="B234" s="1040" t="s">
        <v>2874</v>
      </c>
    </row>
    <row r="235" spans="1:2">
      <c r="A235" s="1040" t="s">
        <v>1314</v>
      </c>
      <c r="B235" s="1040" t="s">
        <v>119</v>
      </c>
    </row>
    <row r="236" spans="1:2">
      <c r="A236" s="1040" t="s">
        <v>2722</v>
      </c>
      <c r="B236" s="1040" t="s">
        <v>2875</v>
      </c>
    </row>
    <row r="237" spans="1:2">
      <c r="A237" s="1040" t="s">
        <v>442</v>
      </c>
      <c r="B237" s="1040" t="s">
        <v>5372</v>
      </c>
    </row>
    <row r="238" spans="1:2">
      <c r="A238" s="1040" t="s">
        <v>2724</v>
      </c>
      <c r="B238" s="1040" t="s">
        <v>2876</v>
      </c>
    </row>
    <row r="239" spans="1:2">
      <c r="A239" s="1040" t="s">
        <v>5321</v>
      </c>
      <c r="B239" s="1040" t="s">
        <v>2877</v>
      </c>
    </row>
    <row r="240" spans="1:2">
      <c r="A240" s="1040" t="s">
        <v>5323</v>
      </c>
      <c r="B240" s="1040" t="s">
        <v>2878</v>
      </c>
    </row>
    <row r="241" spans="1:2">
      <c r="A241" s="1040" t="s">
        <v>5325</v>
      </c>
      <c r="B241" s="1040" t="s">
        <v>2879</v>
      </c>
    </row>
    <row r="242" spans="1:2">
      <c r="A242" s="1040" t="s">
        <v>5327</v>
      </c>
      <c r="B242" s="1040" t="s">
        <v>2880</v>
      </c>
    </row>
    <row r="243" spans="1:2">
      <c r="A243" s="1040" t="s">
        <v>5329</v>
      </c>
      <c r="B243" s="1040" t="s">
        <v>2881</v>
      </c>
    </row>
    <row r="244" spans="1:2">
      <c r="A244" s="1040" t="s">
        <v>5331</v>
      </c>
      <c r="B244" s="1040" t="s">
        <v>2882</v>
      </c>
    </row>
    <row r="245" spans="1:2">
      <c r="A245" s="1040" t="s">
        <v>585</v>
      </c>
      <c r="B245" s="1040" t="s">
        <v>3833</v>
      </c>
    </row>
    <row r="246" spans="1:2">
      <c r="A246" s="1040" t="s">
        <v>5333</v>
      </c>
      <c r="B246" s="1040" t="s">
        <v>2883</v>
      </c>
    </row>
    <row r="247" spans="1:2">
      <c r="A247" s="1040" t="s">
        <v>239</v>
      </c>
      <c r="B247" s="1040" t="s">
        <v>2647</v>
      </c>
    </row>
    <row r="248" spans="1:2">
      <c r="A248" s="1040" t="s">
        <v>5335</v>
      </c>
      <c r="B248" s="1040" t="s">
        <v>2884</v>
      </c>
    </row>
    <row r="249" spans="1:2">
      <c r="A249" s="1040" t="s">
        <v>2450</v>
      </c>
      <c r="B249" s="1040" t="s">
        <v>2885</v>
      </c>
    </row>
    <row r="250" spans="1:2">
      <c r="A250" s="1040" t="s">
        <v>2452</v>
      </c>
      <c r="B250" s="1040" t="s">
        <v>8184</v>
      </c>
    </row>
    <row r="251" spans="1:2">
      <c r="A251" s="1040" t="s">
        <v>2454</v>
      </c>
      <c r="B251" s="1040" t="s">
        <v>4781</v>
      </c>
    </row>
    <row r="252" spans="1:2">
      <c r="A252" s="1040" t="s">
        <v>2456</v>
      </c>
      <c r="B252" s="1040" t="s">
        <v>2888</v>
      </c>
    </row>
    <row r="253" spans="1:2">
      <c r="A253" s="1040" t="s">
        <v>2458</v>
      </c>
      <c r="B253" s="1040" t="s">
        <v>2889</v>
      </c>
    </row>
    <row r="254" spans="1:2">
      <c r="A254" s="1040" t="s">
        <v>2460</v>
      </c>
      <c r="B254" s="1040" t="s">
        <v>2890</v>
      </c>
    </row>
    <row r="255" spans="1:2">
      <c r="A255" s="1040" t="s">
        <v>2462</v>
      </c>
      <c r="B255" s="1040" t="s">
        <v>2891</v>
      </c>
    </row>
    <row r="256" spans="1:2">
      <c r="A256" s="1040" t="s">
        <v>2464</v>
      </c>
      <c r="B256" s="1040" t="s">
        <v>2892</v>
      </c>
    </row>
    <row r="257" spans="1:2">
      <c r="A257" s="1040" t="s">
        <v>7260</v>
      </c>
      <c r="B257" s="1040" t="s">
        <v>7261</v>
      </c>
    </row>
    <row r="258" spans="1:2">
      <c r="A258" s="1040" t="s">
        <v>2466</v>
      </c>
      <c r="B258" s="1040" t="s">
        <v>8185</v>
      </c>
    </row>
    <row r="259" spans="1:2">
      <c r="A259" s="1040" t="s">
        <v>5303</v>
      </c>
      <c r="B259" s="1040" t="s">
        <v>8186</v>
      </c>
    </row>
    <row r="260" spans="1:2">
      <c r="A260" s="1040" t="s">
        <v>7262</v>
      </c>
      <c r="B260" s="1040" t="s">
        <v>8187</v>
      </c>
    </row>
    <row r="261" spans="1:2">
      <c r="A261" s="1040" t="s">
        <v>7264</v>
      </c>
      <c r="B261" s="1040" t="s">
        <v>8188</v>
      </c>
    </row>
    <row r="262" spans="1:2">
      <c r="A262" s="1040" t="s">
        <v>5305</v>
      </c>
      <c r="B262" s="1040" t="s">
        <v>7929</v>
      </c>
    </row>
    <row r="263" spans="1:2">
      <c r="A263" s="1040" t="s">
        <v>7266</v>
      </c>
      <c r="B263" s="1040" t="s">
        <v>7267</v>
      </c>
    </row>
    <row r="264" spans="1:2">
      <c r="A264" s="1040" t="s">
        <v>7268</v>
      </c>
      <c r="B264" s="1040" t="s">
        <v>7269</v>
      </c>
    </row>
    <row r="265" spans="1:2">
      <c r="A265" s="1040" t="s">
        <v>7270</v>
      </c>
      <c r="B265" s="1040" t="s">
        <v>7930</v>
      </c>
    </row>
    <row r="266" spans="1:2">
      <c r="A266" s="1040" t="s">
        <v>7272</v>
      </c>
      <c r="B266" s="1040" t="s">
        <v>7273</v>
      </c>
    </row>
    <row r="267" spans="1:2">
      <c r="A267" s="1040" t="s">
        <v>5307</v>
      </c>
      <c r="B267" s="1040" t="s">
        <v>7274</v>
      </c>
    </row>
    <row r="268" spans="1:2">
      <c r="A268" s="1040" t="s">
        <v>7275</v>
      </c>
      <c r="B268" s="1040" t="s">
        <v>7276</v>
      </c>
    </row>
    <row r="269" spans="1:2">
      <c r="A269" s="1040" t="s">
        <v>7277</v>
      </c>
      <c r="B269" s="1040" t="s">
        <v>8189</v>
      </c>
    </row>
    <row r="270" spans="1:2">
      <c r="A270" s="1040" t="s">
        <v>3254</v>
      </c>
      <c r="B270" s="1040" t="s">
        <v>3255</v>
      </c>
    </row>
    <row r="271" spans="1:2">
      <c r="A271" s="1040" t="s">
        <v>5309</v>
      </c>
      <c r="B271" s="1040" t="s">
        <v>8190</v>
      </c>
    </row>
    <row r="272" spans="1:2">
      <c r="A272" s="1040" t="s">
        <v>5311</v>
      </c>
      <c r="B272" s="1040" t="s">
        <v>5312</v>
      </c>
    </row>
    <row r="273" spans="1:2">
      <c r="A273" s="1040" t="s">
        <v>5315</v>
      </c>
      <c r="B273" s="1040" t="s">
        <v>5316</v>
      </c>
    </row>
    <row r="274" spans="1:2">
      <c r="A274" s="1040" t="s">
        <v>2100</v>
      </c>
      <c r="B274" s="1040" t="s">
        <v>7935</v>
      </c>
    </row>
    <row r="275" spans="1:2">
      <c r="A275" s="1040" t="s">
        <v>3260</v>
      </c>
      <c r="B275" s="1040" t="s">
        <v>8191</v>
      </c>
    </row>
    <row r="276" spans="1:2">
      <c r="A276" s="1040" t="s">
        <v>3262</v>
      </c>
      <c r="B276" s="1040" t="s">
        <v>3263</v>
      </c>
    </row>
    <row r="277" spans="1:2">
      <c r="A277" s="1040" t="s">
        <v>3264</v>
      </c>
      <c r="B277" s="1040" t="s">
        <v>3265</v>
      </c>
    </row>
    <row r="278" spans="1:2">
      <c r="A278" s="1040" t="s">
        <v>3266</v>
      </c>
      <c r="B278" s="1040" t="s">
        <v>3267</v>
      </c>
    </row>
    <row r="279" spans="1:2">
      <c r="A279" s="1040" t="s">
        <v>2102</v>
      </c>
      <c r="B279" s="1040" t="s">
        <v>2103</v>
      </c>
    </row>
    <row r="280" spans="1:2">
      <c r="A280" s="1040" t="s">
        <v>3268</v>
      </c>
      <c r="B280" s="1040" t="s">
        <v>8192</v>
      </c>
    </row>
    <row r="281" spans="1:2">
      <c r="A281" s="1040" t="s">
        <v>3270</v>
      </c>
      <c r="B281" s="1040" t="s">
        <v>3271</v>
      </c>
    </row>
    <row r="282" spans="1:2">
      <c r="A282" s="1040" t="s">
        <v>3272</v>
      </c>
      <c r="B282" s="1040" t="s">
        <v>3273</v>
      </c>
    </row>
    <row r="283" spans="1:2">
      <c r="A283" s="1040" t="s">
        <v>3274</v>
      </c>
      <c r="B283" s="1040" t="s">
        <v>3275</v>
      </c>
    </row>
    <row r="284" spans="1:2">
      <c r="A284" s="1040" t="s">
        <v>3276</v>
      </c>
      <c r="B284" s="1040" t="s">
        <v>8193</v>
      </c>
    </row>
    <row r="285" spans="1:2">
      <c r="A285" s="1040" t="s">
        <v>3278</v>
      </c>
      <c r="B285" s="1040" t="s">
        <v>8194</v>
      </c>
    </row>
    <row r="286" spans="1:2">
      <c r="A286" s="1040" t="s">
        <v>164</v>
      </c>
      <c r="B286" s="1040" t="s">
        <v>7940</v>
      </c>
    </row>
    <row r="287" spans="1:2">
      <c r="A287" s="1040" t="s">
        <v>165</v>
      </c>
      <c r="B287" s="1040" t="s">
        <v>8195</v>
      </c>
    </row>
    <row r="288" spans="1:2">
      <c r="A288" s="1040" t="s">
        <v>166</v>
      </c>
      <c r="B288" s="1040" t="s">
        <v>8196</v>
      </c>
    </row>
    <row r="289" spans="1:2">
      <c r="A289" s="1040" t="s">
        <v>7796</v>
      </c>
      <c r="B289" s="1040" t="s">
        <v>8197</v>
      </c>
    </row>
    <row r="290" spans="1:2">
      <c r="A290" s="1040" t="s">
        <v>7797</v>
      </c>
      <c r="B290" s="1040" t="s">
        <v>8198</v>
      </c>
    </row>
    <row r="291" spans="1:2">
      <c r="A291" s="1040" t="s">
        <v>7945</v>
      </c>
      <c r="B291" s="1040" t="s">
        <v>7946</v>
      </c>
    </row>
    <row r="292" spans="1:2">
      <c r="A292" s="1040" t="s">
        <v>8134</v>
      </c>
      <c r="B292" s="1040" t="s">
        <v>8199</v>
      </c>
    </row>
    <row r="293" spans="1:2">
      <c r="A293" s="1040" t="s">
        <v>8135</v>
      </c>
      <c r="B293" s="1040" t="s">
        <v>8200</v>
      </c>
    </row>
    <row r="294" spans="1:2">
      <c r="A294" s="1040" t="s">
        <v>8136</v>
      </c>
      <c r="B294" s="1040" t="s">
        <v>8201</v>
      </c>
    </row>
    <row r="295" spans="1:2">
      <c r="A295" s="1040" t="s">
        <v>8137</v>
      </c>
      <c r="B295" s="1040" t="s">
        <v>8202</v>
      </c>
    </row>
    <row r="296" spans="1:2">
      <c r="A296" s="1040" t="s">
        <v>2104</v>
      </c>
      <c r="B296" s="1040" t="s">
        <v>2893</v>
      </c>
    </row>
    <row r="297" spans="1:2">
      <c r="A297" s="1040" t="s">
        <v>2106</v>
      </c>
      <c r="B297" s="1040" t="s">
        <v>2894</v>
      </c>
    </row>
    <row r="298" spans="1:2">
      <c r="A298" s="1040" t="s">
        <v>2108</v>
      </c>
      <c r="B298" s="1040" t="s">
        <v>2895</v>
      </c>
    </row>
    <row r="299" spans="1:2">
      <c r="A299" s="1040" t="s">
        <v>2110</v>
      </c>
      <c r="B299" s="1040" t="s">
        <v>2896</v>
      </c>
    </row>
    <row r="300" spans="1:2">
      <c r="A300" s="1040" t="s">
        <v>2112</v>
      </c>
      <c r="B300" s="1040" t="s">
        <v>2897</v>
      </c>
    </row>
    <row r="301" spans="1:2">
      <c r="A301" s="1040" t="s">
        <v>1317</v>
      </c>
      <c r="B301" s="1040" t="s">
        <v>122</v>
      </c>
    </row>
    <row r="302" spans="1:2">
      <c r="A302" s="1040" t="s">
        <v>587</v>
      </c>
      <c r="B302" s="1040" t="s">
        <v>4966</v>
      </c>
    </row>
    <row r="303" spans="1:2">
      <c r="A303" s="1040" t="s">
        <v>4569</v>
      </c>
      <c r="B303" s="1040" t="s">
        <v>2898</v>
      </c>
    </row>
    <row r="304" spans="1:2">
      <c r="A304" s="1040" t="s">
        <v>6021</v>
      </c>
      <c r="B304" s="1040" t="s">
        <v>3860</v>
      </c>
    </row>
    <row r="305" spans="1:2">
      <c r="A305" s="1040" t="s">
        <v>4571</v>
      </c>
      <c r="B305" s="1040" t="s">
        <v>2899</v>
      </c>
    </row>
    <row r="306" spans="1:2">
      <c r="A306" s="1040" t="s">
        <v>6171</v>
      </c>
      <c r="B306" s="1040" t="s">
        <v>496</v>
      </c>
    </row>
    <row r="307" spans="1:2">
      <c r="A307" s="1040" t="s">
        <v>4573</v>
      </c>
      <c r="B307" s="1040" t="s">
        <v>2900</v>
      </c>
    </row>
    <row r="308" spans="1:2">
      <c r="A308" s="1040" t="s">
        <v>4575</v>
      </c>
      <c r="B308" s="1040" t="s">
        <v>2901</v>
      </c>
    </row>
    <row r="309" spans="1:2">
      <c r="A309" s="1040" t="s">
        <v>4579</v>
      </c>
      <c r="B309" s="1040" t="s">
        <v>2676</v>
      </c>
    </row>
    <row r="310" spans="1:2">
      <c r="A310" s="1040" t="s">
        <v>3279</v>
      </c>
      <c r="B310" s="1040" t="s">
        <v>3280</v>
      </c>
    </row>
    <row r="311" spans="1:2">
      <c r="A311" s="1040" t="s">
        <v>4581</v>
      </c>
      <c r="B311" s="1040" t="s">
        <v>993</v>
      </c>
    </row>
    <row r="312" spans="1:2">
      <c r="A312" s="1040" t="s">
        <v>4582</v>
      </c>
      <c r="B312" s="1040" t="s">
        <v>2677</v>
      </c>
    </row>
    <row r="313" spans="1:2">
      <c r="A313" s="1040" t="s">
        <v>4584</v>
      </c>
      <c r="B313" s="1040" t="s">
        <v>2678</v>
      </c>
    </row>
    <row r="314" spans="1:2">
      <c r="A314" s="1040" t="s">
        <v>4586</v>
      </c>
      <c r="B314" s="1040" t="s">
        <v>2679</v>
      </c>
    </row>
    <row r="315" spans="1:2">
      <c r="A315" s="1040" t="s">
        <v>1865</v>
      </c>
      <c r="B315" s="1040" t="s">
        <v>3843</v>
      </c>
    </row>
    <row r="316" spans="1:2">
      <c r="A316" s="1040" t="s">
        <v>5018</v>
      </c>
      <c r="B316" s="1040" t="s">
        <v>2680</v>
      </c>
    </row>
    <row r="317" spans="1:2">
      <c r="A317" s="1040" t="s">
        <v>5020</v>
      </c>
      <c r="B317" s="1040" t="s">
        <v>2681</v>
      </c>
    </row>
    <row r="318" spans="1:2">
      <c r="A318" s="1040" t="s">
        <v>589</v>
      </c>
      <c r="B318" s="1040" t="s">
        <v>109</v>
      </c>
    </row>
    <row r="319" spans="1:2">
      <c r="A319" s="1040" t="s">
        <v>3281</v>
      </c>
      <c r="B319" s="1040" t="s">
        <v>3282</v>
      </c>
    </row>
    <row r="320" spans="1:2">
      <c r="A320" s="1040" t="s">
        <v>3283</v>
      </c>
      <c r="B320" s="1040" t="s">
        <v>8203</v>
      </c>
    </row>
    <row r="321" spans="1:2">
      <c r="A321" s="1040" t="s">
        <v>8139</v>
      </c>
      <c r="B321" s="1040" t="s">
        <v>8204</v>
      </c>
    </row>
    <row r="322" spans="1:2">
      <c r="A322" s="1040" t="s">
        <v>5022</v>
      </c>
      <c r="B322" s="1040" t="s">
        <v>2682</v>
      </c>
    </row>
    <row r="323" spans="1:2">
      <c r="A323" s="1040" t="s">
        <v>2989</v>
      </c>
      <c r="B323" s="1040" t="s">
        <v>190</v>
      </c>
    </row>
    <row r="324" spans="1:2">
      <c r="A324" s="1040" t="s">
        <v>5126</v>
      </c>
      <c r="B324" s="1040" t="s">
        <v>341</v>
      </c>
    </row>
    <row r="325" spans="1:2">
      <c r="A325" s="1040" t="s">
        <v>3090</v>
      </c>
      <c r="B325" s="1040" t="s">
        <v>5640</v>
      </c>
    </row>
    <row r="326" spans="1:2">
      <c r="A326" s="1040" t="s">
        <v>5128</v>
      </c>
      <c r="B326" s="1040" t="s">
        <v>343</v>
      </c>
    </row>
    <row r="327" spans="1:2">
      <c r="A327" s="1040" t="s">
        <v>270</v>
      </c>
      <c r="B327" s="1040" t="s">
        <v>7690</v>
      </c>
    </row>
    <row r="328" spans="1:2">
      <c r="A328" s="1040" t="s">
        <v>2391</v>
      </c>
      <c r="B328" s="1040" t="s">
        <v>1456</v>
      </c>
    </row>
    <row r="329" spans="1:2">
      <c r="A329" s="1040" t="s">
        <v>2746</v>
      </c>
      <c r="B329" s="1040" t="s">
        <v>2683</v>
      </c>
    </row>
    <row r="330" spans="1:2">
      <c r="A330" s="1040" t="s">
        <v>6186</v>
      </c>
      <c r="B330" s="1040" t="s">
        <v>3831</v>
      </c>
    </row>
    <row r="331" spans="1:2">
      <c r="A331" s="1040" t="s">
        <v>6041</v>
      </c>
      <c r="B331" s="1040" t="s">
        <v>185</v>
      </c>
    </row>
    <row r="332" spans="1:2">
      <c r="A332" s="1040" t="s">
        <v>591</v>
      </c>
      <c r="B332" s="1040" t="s">
        <v>194</v>
      </c>
    </row>
    <row r="333" spans="1:2">
      <c r="A333" s="1040" t="s">
        <v>443</v>
      </c>
      <c r="B333" s="1040" t="s">
        <v>990</v>
      </c>
    </row>
    <row r="334" spans="1:2">
      <c r="A334" s="1040" t="s">
        <v>2748</v>
      </c>
      <c r="B334" s="1040" t="s">
        <v>2684</v>
      </c>
    </row>
    <row r="335" spans="1:2">
      <c r="A335" s="1040" t="s">
        <v>862</v>
      </c>
      <c r="B335" s="1040" t="s">
        <v>2009</v>
      </c>
    </row>
    <row r="336" spans="1:2">
      <c r="A336" s="1040" t="s">
        <v>2750</v>
      </c>
      <c r="B336" s="1040" t="s">
        <v>2685</v>
      </c>
    </row>
    <row r="337" spans="1:2">
      <c r="A337" s="1040" t="s">
        <v>3899</v>
      </c>
      <c r="B337" s="1040" t="s">
        <v>2686</v>
      </c>
    </row>
    <row r="338" spans="1:2">
      <c r="A338" s="1040" t="s">
        <v>3604</v>
      </c>
      <c r="B338" s="1040" t="s">
        <v>2687</v>
      </c>
    </row>
    <row r="339" spans="1:2">
      <c r="A339" s="1040" t="s">
        <v>3166</v>
      </c>
      <c r="B339" s="1040" t="s">
        <v>2688</v>
      </c>
    </row>
    <row r="340" spans="1:2">
      <c r="A340" s="1040" t="s">
        <v>3168</v>
      </c>
      <c r="B340" s="1040" t="s">
        <v>2689</v>
      </c>
    </row>
    <row r="341" spans="1:2">
      <c r="A341" s="1040" t="s">
        <v>3091</v>
      </c>
      <c r="B341" s="1040" t="s">
        <v>1385</v>
      </c>
    </row>
    <row r="342" spans="1:2">
      <c r="A342" s="1040" t="s">
        <v>3171</v>
      </c>
      <c r="B342" s="1040" t="s">
        <v>2690</v>
      </c>
    </row>
    <row r="343" spans="1:2">
      <c r="A343" s="1040" t="s">
        <v>593</v>
      </c>
      <c r="B343" s="1040" t="s">
        <v>3841</v>
      </c>
    </row>
    <row r="344" spans="1:2">
      <c r="A344" s="1040" t="s">
        <v>3173</v>
      </c>
      <c r="B344" s="1040" t="s">
        <v>2691</v>
      </c>
    </row>
    <row r="345" spans="1:2">
      <c r="A345" s="1040" t="s">
        <v>3175</v>
      </c>
      <c r="B345" s="1040" t="s">
        <v>2692</v>
      </c>
    </row>
    <row r="346" spans="1:2">
      <c r="A346" s="1040" t="s">
        <v>3092</v>
      </c>
      <c r="B346" s="1040" t="s">
        <v>381</v>
      </c>
    </row>
    <row r="347" spans="1:2">
      <c r="A347" s="1040" t="s">
        <v>673</v>
      </c>
      <c r="B347" s="1040" t="s">
        <v>2693</v>
      </c>
    </row>
    <row r="348" spans="1:2">
      <c r="A348" s="1040" t="s">
        <v>322</v>
      </c>
      <c r="B348" s="1040" t="s">
        <v>325</v>
      </c>
    </row>
    <row r="349" spans="1:2">
      <c r="A349" s="1040" t="s">
        <v>675</v>
      </c>
      <c r="B349" s="1040" t="s">
        <v>7652</v>
      </c>
    </row>
    <row r="350" spans="1:2">
      <c r="A350" s="1040" t="s">
        <v>677</v>
      </c>
      <c r="B350" s="1040" t="s">
        <v>1259</v>
      </c>
    </row>
    <row r="351" spans="1:2">
      <c r="A351" s="1040" t="s">
        <v>679</v>
      </c>
      <c r="B351" s="1040" t="s">
        <v>1260</v>
      </c>
    </row>
    <row r="352" spans="1:2">
      <c r="A352" s="1040" t="s">
        <v>2960</v>
      </c>
      <c r="B352" s="1040" t="s">
        <v>1261</v>
      </c>
    </row>
    <row r="353" spans="1:2">
      <c r="A353" s="1040" t="s">
        <v>8140</v>
      </c>
      <c r="B353" s="1040" t="s">
        <v>8205</v>
      </c>
    </row>
    <row r="354" spans="1:2">
      <c r="A354" s="1040" t="s">
        <v>8141</v>
      </c>
      <c r="B354" s="1040" t="s">
        <v>8206</v>
      </c>
    </row>
    <row r="355" spans="1:2">
      <c r="A355" s="1040" t="s">
        <v>1994</v>
      </c>
      <c r="B355" s="1040" t="s">
        <v>1262</v>
      </c>
    </row>
    <row r="356" spans="1:2">
      <c r="A356" s="1040" t="s">
        <v>2735</v>
      </c>
      <c r="B356" s="1040" t="s">
        <v>1263</v>
      </c>
    </row>
    <row r="357" spans="1:2">
      <c r="A357" s="1040" t="s">
        <v>2737</v>
      </c>
      <c r="B357" s="1040" t="s">
        <v>1264</v>
      </c>
    </row>
    <row r="358" spans="1:2">
      <c r="A358" s="1040" t="s">
        <v>3646</v>
      </c>
      <c r="B358" s="1040" t="s">
        <v>3287</v>
      </c>
    </row>
    <row r="359" spans="1:2">
      <c r="A359" s="1040" t="s">
        <v>1976</v>
      </c>
      <c r="B359" s="1040" t="s">
        <v>7691</v>
      </c>
    </row>
    <row r="360" spans="1:2">
      <c r="A360" s="1040" t="s">
        <v>3648</v>
      </c>
      <c r="B360" s="1040" t="s">
        <v>1265</v>
      </c>
    </row>
    <row r="361" spans="1:2">
      <c r="A361" s="1040" t="s">
        <v>3650</v>
      </c>
      <c r="B361" s="1040" t="s">
        <v>1266</v>
      </c>
    </row>
    <row r="362" spans="1:2">
      <c r="A362" s="1040" t="s">
        <v>3093</v>
      </c>
      <c r="B362" s="1040" t="s">
        <v>1906</v>
      </c>
    </row>
    <row r="363" spans="1:2">
      <c r="A363" s="1040" t="s">
        <v>7734</v>
      </c>
      <c r="B363" s="1040" t="s">
        <v>1267</v>
      </c>
    </row>
    <row r="364" spans="1:2">
      <c r="A364" s="1040" t="s">
        <v>915</v>
      </c>
      <c r="B364" s="1040" t="s">
        <v>1268</v>
      </c>
    </row>
    <row r="365" spans="1:2">
      <c r="A365" s="1040" t="s">
        <v>1978</v>
      </c>
      <c r="B365" s="1040" t="s">
        <v>3628</v>
      </c>
    </row>
    <row r="366" spans="1:2">
      <c r="A366" s="1040" t="s">
        <v>2767</v>
      </c>
      <c r="B366" s="1040" t="s">
        <v>357</v>
      </c>
    </row>
    <row r="367" spans="1:2">
      <c r="A367" s="1040" t="s">
        <v>3555</v>
      </c>
      <c r="B367" s="1040" t="s">
        <v>4063</v>
      </c>
    </row>
    <row r="368" spans="1:2">
      <c r="A368" s="1040" t="s">
        <v>3094</v>
      </c>
      <c r="B368" s="1040" t="s">
        <v>6072</v>
      </c>
    </row>
    <row r="369" spans="1:2">
      <c r="A369" s="1040" t="s">
        <v>1781</v>
      </c>
      <c r="B369" s="1040" t="s">
        <v>8207</v>
      </c>
    </row>
    <row r="370" spans="1:2">
      <c r="A370" s="1040" t="s">
        <v>3289</v>
      </c>
      <c r="B370" s="1040" t="s">
        <v>8208</v>
      </c>
    </row>
    <row r="371" spans="1:2">
      <c r="A371" s="1040" t="s">
        <v>3291</v>
      </c>
      <c r="B371" s="1040" t="s">
        <v>3292</v>
      </c>
    </row>
    <row r="372" spans="1:2">
      <c r="A372" s="1040" t="s">
        <v>167</v>
      </c>
      <c r="B372" s="1040" t="s">
        <v>7953</v>
      </c>
    </row>
    <row r="373" spans="1:2">
      <c r="A373" s="1040" t="s">
        <v>168</v>
      </c>
      <c r="B373" s="1040" t="s">
        <v>7954</v>
      </c>
    </row>
    <row r="374" spans="1:2">
      <c r="A374" s="1040" t="s">
        <v>8039</v>
      </c>
      <c r="B374" s="1040" t="s">
        <v>8209</v>
      </c>
    </row>
    <row r="375" spans="1:2">
      <c r="A375" s="1040" t="s">
        <v>8142</v>
      </c>
      <c r="B375" s="1040" t="s">
        <v>8210</v>
      </c>
    </row>
    <row r="376" spans="1:2">
      <c r="A376" s="1040" t="s">
        <v>741</v>
      </c>
      <c r="B376" s="1040" t="s">
        <v>6116</v>
      </c>
    </row>
    <row r="377" spans="1:2">
      <c r="A377" s="1040" t="s">
        <v>4035</v>
      </c>
      <c r="B377" s="1040" t="s">
        <v>1269</v>
      </c>
    </row>
    <row r="378" spans="1:2">
      <c r="A378" s="1040" t="s">
        <v>1524</v>
      </c>
      <c r="B378" s="1040" t="s">
        <v>1930</v>
      </c>
    </row>
    <row r="379" spans="1:2">
      <c r="A379" s="1040" t="s">
        <v>2388</v>
      </c>
      <c r="B379" s="1040" t="s">
        <v>382</v>
      </c>
    </row>
    <row r="380" spans="1:2">
      <c r="A380" s="1040" t="s">
        <v>863</v>
      </c>
      <c r="B380" s="1040" t="s">
        <v>2010</v>
      </c>
    </row>
    <row r="381" spans="1:2">
      <c r="A381" s="1040" t="s">
        <v>268</v>
      </c>
      <c r="B381" s="1040" t="s">
        <v>7349</v>
      </c>
    </row>
    <row r="382" spans="1:2">
      <c r="A382" s="1040" t="s">
        <v>981</v>
      </c>
      <c r="B382" s="1040" t="s">
        <v>6099</v>
      </c>
    </row>
    <row r="383" spans="1:2">
      <c r="A383" s="1040" t="s">
        <v>2414</v>
      </c>
      <c r="B383" s="1040" t="s">
        <v>5367</v>
      </c>
    </row>
    <row r="384" spans="1:2">
      <c r="A384" s="1040" t="s">
        <v>2401</v>
      </c>
      <c r="B384" s="1040" t="s">
        <v>2345</v>
      </c>
    </row>
    <row r="385" spans="1:2">
      <c r="A385" s="1040" t="s">
        <v>3295</v>
      </c>
      <c r="B385" s="1040" t="s">
        <v>3296</v>
      </c>
    </row>
    <row r="386" spans="1:2">
      <c r="A386" s="1040" t="s">
        <v>3297</v>
      </c>
      <c r="B386" s="1040" t="s">
        <v>8211</v>
      </c>
    </row>
    <row r="387" spans="1:2">
      <c r="A387" s="1040" t="s">
        <v>169</v>
      </c>
      <c r="B387" s="1040" t="s">
        <v>3386</v>
      </c>
    </row>
    <row r="388" spans="1:2">
      <c r="A388" s="1040" t="s">
        <v>4037</v>
      </c>
      <c r="B388" s="1040" t="s">
        <v>1270</v>
      </c>
    </row>
    <row r="389" spans="1:2">
      <c r="A389" s="1040" t="s">
        <v>2140</v>
      </c>
      <c r="B389" s="1040" t="s">
        <v>1271</v>
      </c>
    </row>
    <row r="390" spans="1:2">
      <c r="A390" s="1040" t="s">
        <v>2408</v>
      </c>
      <c r="B390" s="1040" t="s">
        <v>8212</v>
      </c>
    </row>
    <row r="391" spans="1:2">
      <c r="A391" s="1040" t="s">
        <v>2700</v>
      </c>
      <c r="B391" s="1040" t="s">
        <v>1272</v>
      </c>
    </row>
    <row r="392" spans="1:2">
      <c r="A392" s="1040" t="s">
        <v>2702</v>
      </c>
      <c r="B392" s="1040" t="s">
        <v>1273</v>
      </c>
    </row>
    <row r="393" spans="1:2">
      <c r="A393" s="1040" t="s">
        <v>2828</v>
      </c>
      <c r="B393" s="1040" t="s">
        <v>192</v>
      </c>
    </row>
    <row r="394" spans="1:2">
      <c r="A394" s="1040" t="s">
        <v>2704</v>
      </c>
      <c r="B394" s="1040" t="s">
        <v>1274</v>
      </c>
    </row>
    <row r="395" spans="1:2">
      <c r="A395" s="1040" t="s">
        <v>2706</v>
      </c>
      <c r="B395" s="1040" t="s">
        <v>7361</v>
      </c>
    </row>
    <row r="396" spans="1:2">
      <c r="A396" s="1040" t="s">
        <v>6162</v>
      </c>
      <c r="B396" s="1040" t="s">
        <v>6066</v>
      </c>
    </row>
    <row r="397" spans="1:2">
      <c r="A397" s="1040" t="s">
        <v>967</v>
      </c>
      <c r="B397" s="1040" t="s">
        <v>4068</v>
      </c>
    </row>
    <row r="398" spans="1:2">
      <c r="A398" s="1040" t="s">
        <v>2708</v>
      </c>
      <c r="B398" s="1040" t="s">
        <v>1276</v>
      </c>
    </row>
    <row r="399" spans="1:2">
      <c r="A399" s="1040" t="s">
        <v>2710</v>
      </c>
      <c r="B399" s="1040" t="s">
        <v>1277</v>
      </c>
    </row>
    <row r="400" spans="1:2">
      <c r="A400" s="1040" t="s">
        <v>2830</v>
      </c>
      <c r="B400" s="1040" t="s">
        <v>2282</v>
      </c>
    </row>
    <row r="401" spans="1:2">
      <c r="A401" s="1040" t="s">
        <v>3095</v>
      </c>
      <c r="B401" s="1040" t="s">
        <v>3014</v>
      </c>
    </row>
    <row r="402" spans="1:2">
      <c r="A402" s="1040" t="s">
        <v>2712</v>
      </c>
      <c r="B402" s="1040" t="s">
        <v>1278</v>
      </c>
    </row>
    <row r="403" spans="1:2">
      <c r="A403" s="1040" t="s">
        <v>2424</v>
      </c>
      <c r="B403" s="1040" t="s">
        <v>1279</v>
      </c>
    </row>
    <row r="404" spans="1:2">
      <c r="A404" s="1040" t="s">
        <v>2426</v>
      </c>
      <c r="B404" s="1040" t="s">
        <v>1280</v>
      </c>
    </row>
    <row r="405" spans="1:2">
      <c r="A405" s="1040" t="s">
        <v>2428</v>
      </c>
      <c r="B405" s="1040" t="s">
        <v>1281</v>
      </c>
    </row>
    <row r="406" spans="1:2">
      <c r="A406" s="1040" t="s">
        <v>2832</v>
      </c>
      <c r="B406" s="1040" t="s">
        <v>377</v>
      </c>
    </row>
    <row r="407" spans="1:2">
      <c r="A407" s="1040" t="s">
        <v>4923</v>
      </c>
      <c r="B407" s="1040" t="s">
        <v>1282</v>
      </c>
    </row>
    <row r="408" spans="1:2">
      <c r="A408" s="1040" t="s">
        <v>4925</v>
      </c>
      <c r="B408" s="1040" t="s">
        <v>1283</v>
      </c>
    </row>
    <row r="409" spans="1:2">
      <c r="A409" s="1040" t="s">
        <v>4927</v>
      </c>
      <c r="B409" s="1040" t="s">
        <v>1284</v>
      </c>
    </row>
    <row r="410" spans="1:2">
      <c r="A410" s="1040" t="s">
        <v>4929</v>
      </c>
      <c r="B410" s="1040" t="s">
        <v>1285</v>
      </c>
    </row>
    <row r="411" spans="1:2">
      <c r="A411" s="1040" t="s">
        <v>4931</v>
      </c>
      <c r="B411" s="1040" t="s">
        <v>1286</v>
      </c>
    </row>
    <row r="412" spans="1:2">
      <c r="A412" s="1040" t="s">
        <v>4933</v>
      </c>
      <c r="B412" s="1040" t="s">
        <v>7379</v>
      </c>
    </row>
    <row r="413" spans="1:2">
      <c r="A413" s="1040" t="s">
        <v>444</v>
      </c>
      <c r="B413" s="1040" t="s">
        <v>370</v>
      </c>
    </row>
    <row r="414" spans="1:2">
      <c r="A414" s="1040" t="s">
        <v>3558</v>
      </c>
      <c r="B414" s="1040" t="s">
        <v>1288</v>
      </c>
    </row>
    <row r="415" spans="1:2">
      <c r="A415" s="1040" t="s">
        <v>3560</v>
      </c>
      <c r="B415" s="1040" t="s">
        <v>2909</v>
      </c>
    </row>
    <row r="416" spans="1:2">
      <c r="A416" s="1040" t="s">
        <v>3562</v>
      </c>
      <c r="B416" s="1040" t="s">
        <v>2910</v>
      </c>
    </row>
    <row r="417" spans="1:2">
      <c r="A417" s="1040" t="s">
        <v>3564</v>
      </c>
      <c r="B417" s="1040" t="s">
        <v>7385</v>
      </c>
    </row>
    <row r="418" spans="1:2">
      <c r="A418" s="1040" t="s">
        <v>6179</v>
      </c>
      <c r="B418" s="1040" t="s">
        <v>1932</v>
      </c>
    </row>
    <row r="419" spans="1:2">
      <c r="A419" s="1040" t="s">
        <v>1309</v>
      </c>
      <c r="B419" s="1040" t="s">
        <v>114</v>
      </c>
    </row>
    <row r="420" spans="1:2">
      <c r="A420" s="1040" t="s">
        <v>3568</v>
      </c>
      <c r="B420" s="1040" t="s">
        <v>7390</v>
      </c>
    </row>
    <row r="421" spans="1:2">
      <c r="A421" s="1040" t="s">
        <v>1607</v>
      </c>
      <c r="B421" s="1040" t="s">
        <v>2914</v>
      </c>
    </row>
    <row r="422" spans="1:2">
      <c r="A422" s="1040" t="s">
        <v>2482</v>
      </c>
      <c r="B422" s="1040" t="s">
        <v>2915</v>
      </c>
    </row>
    <row r="423" spans="1:2">
      <c r="A423" s="1040" t="s">
        <v>2484</v>
      </c>
      <c r="B423" s="1040" t="s">
        <v>2916</v>
      </c>
    </row>
    <row r="424" spans="1:2">
      <c r="A424" s="1040" t="s">
        <v>2486</v>
      </c>
      <c r="B424" s="1040" t="s">
        <v>2917</v>
      </c>
    </row>
    <row r="425" spans="1:2">
      <c r="A425" s="1040" t="s">
        <v>2488</v>
      </c>
      <c r="B425" s="1040" t="s">
        <v>2918</v>
      </c>
    </row>
    <row r="426" spans="1:2">
      <c r="A426" s="1040" t="s">
        <v>2834</v>
      </c>
      <c r="B426" s="1040" t="s">
        <v>1002</v>
      </c>
    </row>
    <row r="427" spans="1:2">
      <c r="A427" s="1040" t="s">
        <v>445</v>
      </c>
      <c r="B427" s="1040" t="s">
        <v>5294</v>
      </c>
    </row>
    <row r="428" spans="1:2">
      <c r="A428" s="1040" t="s">
        <v>2490</v>
      </c>
      <c r="B428" s="1040" t="s">
        <v>2919</v>
      </c>
    </row>
    <row r="429" spans="1:2">
      <c r="A429" s="1040" t="s">
        <v>2492</v>
      </c>
      <c r="B429" s="1040" t="s">
        <v>2920</v>
      </c>
    </row>
    <row r="430" spans="1:2">
      <c r="A430" s="1040" t="s">
        <v>2494</v>
      </c>
      <c r="B430" s="1040" t="s">
        <v>2921</v>
      </c>
    </row>
    <row r="431" spans="1:2">
      <c r="A431" s="1040" t="s">
        <v>3303</v>
      </c>
      <c r="B431" s="1040" t="s">
        <v>3304</v>
      </c>
    </row>
    <row r="432" spans="1:2">
      <c r="A432" s="1040" t="s">
        <v>2496</v>
      </c>
      <c r="B432" s="1040" t="s">
        <v>3305</v>
      </c>
    </row>
    <row r="433" spans="1:2">
      <c r="A433" s="1040" t="s">
        <v>170</v>
      </c>
      <c r="B433" s="1040" t="s">
        <v>8213</v>
      </c>
    </row>
    <row r="434" spans="1:2">
      <c r="A434" s="1040" t="s">
        <v>8143</v>
      </c>
      <c r="B434" s="1040" t="s">
        <v>8214</v>
      </c>
    </row>
    <row r="435" spans="1:2">
      <c r="A435" s="1040" t="s">
        <v>2498</v>
      </c>
      <c r="B435" s="1040" t="s">
        <v>2922</v>
      </c>
    </row>
    <row r="436" spans="1:2">
      <c r="A436" s="1040" t="s">
        <v>1670</v>
      </c>
      <c r="B436" s="1040" t="s">
        <v>2923</v>
      </c>
    </row>
    <row r="437" spans="1:2">
      <c r="A437" s="1040" t="s">
        <v>1867</v>
      </c>
      <c r="B437" s="1040" t="s">
        <v>3846</v>
      </c>
    </row>
    <row r="438" spans="1:2">
      <c r="A438" s="1040" t="s">
        <v>1672</v>
      </c>
      <c r="B438" s="1040" t="s">
        <v>2924</v>
      </c>
    </row>
    <row r="439" spans="1:2">
      <c r="A439" s="1040" t="s">
        <v>1674</v>
      </c>
      <c r="B439" s="1040" t="s">
        <v>2925</v>
      </c>
    </row>
    <row r="440" spans="1:2">
      <c r="A440" s="1040" t="s">
        <v>5048</v>
      </c>
      <c r="B440" s="1040" t="s">
        <v>2926</v>
      </c>
    </row>
    <row r="441" spans="1:2">
      <c r="A441" s="1040" t="s">
        <v>2392</v>
      </c>
      <c r="B441" s="1040" t="s">
        <v>1458</v>
      </c>
    </row>
    <row r="442" spans="1:2">
      <c r="A442" s="1040" t="s">
        <v>5050</v>
      </c>
      <c r="B442" s="1040" t="s">
        <v>2927</v>
      </c>
    </row>
    <row r="443" spans="1:2">
      <c r="A443" s="1040" t="s">
        <v>1311</v>
      </c>
      <c r="B443" s="1040" t="s">
        <v>116</v>
      </c>
    </row>
    <row r="444" spans="1:2">
      <c r="A444" s="1040" t="s">
        <v>3222</v>
      </c>
      <c r="B444" s="1040" t="s">
        <v>2928</v>
      </c>
    </row>
    <row r="445" spans="1:2">
      <c r="A445" s="1040" t="s">
        <v>3224</v>
      </c>
      <c r="B445" s="1040" t="s">
        <v>2929</v>
      </c>
    </row>
    <row r="446" spans="1:2">
      <c r="A446" s="1040" t="s">
        <v>3226</v>
      </c>
      <c r="B446" s="1040" t="s">
        <v>7413</v>
      </c>
    </row>
    <row r="447" spans="1:2">
      <c r="A447" s="1040" t="s">
        <v>3228</v>
      </c>
      <c r="B447" s="1040" t="s">
        <v>2931</v>
      </c>
    </row>
    <row r="448" spans="1:2">
      <c r="A448" s="1040" t="s">
        <v>3230</v>
      </c>
      <c r="B448" s="1040" t="s">
        <v>2932</v>
      </c>
    </row>
    <row r="449" spans="1:2">
      <c r="A449" s="1040" t="s">
        <v>3232</v>
      </c>
      <c r="B449" s="1040" t="s">
        <v>3788</v>
      </c>
    </row>
    <row r="450" spans="1:2">
      <c r="A450" s="1040" t="s">
        <v>1899</v>
      </c>
      <c r="B450" s="1040" t="s">
        <v>3789</v>
      </c>
    </row>
    <row r="451" spans="1:2">
      <c r="A451" s="1040" t="s">
        <v>1853</v>
      </c>
      <c r="B451" s="1040" t="s">
        <v>4964</v>
      </c>
    </row>
    <row r="452" spans="1:2">
      <c r="A452" s="1040" t="s">
        <v>1901</v>
      </c>
      <c r="B452" s="1040" t="s">
        <v>7420</v>
      </c>
    </row>
    <row r="453" spans="1:2">
      <c r="A453" s="1040" t="s">
        <v>1903</v>
      </c>
      <c r="B453" s="1040" t="s">
        <v>3791</v>
      </c>
    </row>
    <row r="454" spans="1:2">
      <c r="A454" s="1040" t="s">
        <v>52</v>
      </c>
      <c r="B454" s="1040" t="s">
        <v>5666</v>
      </c>
    </row>
    <row r="455" spans="1:2">
      <c r="A455" s="1040" t="s">
        <v>54</v>
      </c>
      <c r="B455" s="1040" t="s">
        <v>5667</v>
      </c>
    </row>
    <row r="456" spans="1:2">
      <c r="A456" s="1040" t="s">
        <v>6191</v>
      </c>
      <c r="B456" s="1040" t="s">
        <v>3629</v>
      </c>
    </row>
    <row r="457" spans="1:2">
      <c r="A457" s="1040" t="s">
        <v>732</v>
      </c>
      <c r="B457" s="1040" t="s">
        <v>5668</v>
      </c>
    </row>
    <row r="458" spans="1:2">
      <c r="A458" s="1040" t="s">
        <v>949</v>
      </c>
      <c r="B458" s="1040" t="s">
        <v>7653</v>
      </c>
    </row>
    <row r="459" spans="1:2">
      <c r="A459" s="1040" t="s">
        <v>3980</v>
      </c>
      <c r="B459" s="1040" t="s">
        <v>5669</v>
      </c>
    </row>
    <row r="460" spans="1:2">
      <c r="A460" s="1040" t="s">
        <v>3982</v>
      </c>
      <c r="B460" s="1040" t="s">
        <v>5670</v>
      </c>
    </row>
    <row r="461" spans="1:2">
      <c r="A461" s="1040" t="s">
        <v>1871</v>
      </c>
      <c r="B461" s="1040" t="s">
        <v>3851</v>
      </c>
    </row>
    <row r="462" spans="1:2">
      <c r="A462" s="1040" t="s">
        <v>3116</v>
      </c>
      <c r="B462" s="1040" t="s">
        <v>5242</v>
      </c>
    </row>
    <row r="463" spans="1:2">
      <c r="A463" s="1040" t="s">
        <v>3118</v>
      </c>
      <c r="B463" s="1040" t="s">
        <v>5243</v>
      </c>
    </row>
    <row r="464" spans="1:2">
      <c r="A464" s="1040" t="s">
        <v>2836</v>
      </c>
      <c r="B464" s="1040" t="s">
        <v>5373</v>
      </c>
    </row>
    <row r="465" spans="1:2">
      <c r="A465" s="1040" t="s">
        <v>2838</v>
      </c>
      <c r="B465" s="1040" t="s">
        <v>4071</v>
      </c>
    </row>
    <row r="466" spans="1:2">
      <c r="A466" s="1040" t="s">
        <v>5220</v>
      </c>
      <c r="B466" s="1040" t="s">
        <v>5244</v>
      </c>
    </row>
    <row r="467" spans="1:2">
      <c r="A467" s="1040" t="s">
        <v>5129</v>
      </c>
      <c r="B467" s="1040" t="s">
        <v>347</v>
      </c>
    </row>
    <row r="468" spans="1:2">
      <c r="A468" s="1040" t="s">
        <v>5222</v>
      </c>
      <c r="B468" s="1040" t="s">
        <v>7437</v>
      </c>
    </row>
    <row r="469" spans="1:2">
      <c r="A469" s="1040" t="s">
        <v>1858</v>
      </c>
      <c r="B469" s="1040" t="s">
        <v>3914</v>
      </c>
    </row>
    <row r="470" spans="1:2">
      <c r="A470" s="1040" t="s">
        <v>5224</v>
      </c>
      <c r="B470" s="1040" t="s">
        <v>7160</v>
      </c>
    </row>
    <row r="471" spans="1:2">
      <c r="A471" s="1040" t="s">
        <v>5226</v>
      </c>
      <c r="B471" s="1040" t="s">
        <v>3306</v>
      </c>
    </row>
    <row r="472" spans="1:2">
      <c r="A472" s="1040" t="s">
        <v>5228</v>
      </c>
      <c r="B472" s="1040" t="s">
        <v>7161</v>
      </c>
    </row>
    <row r="473" spans="1:2">
      <c r="A473" s="1040" t="s">
        <v>5230</v>
      </c>
      <c r="B473" s="1040" t="s">
        <v>7162</v>
      </c>
    </row>
    <row r="474" spans="1:2">
      <c r="A474" s="1040" t="s">
        <v>2994</v>
      </c>
      <c r="B474" s="1040" t="s">
        <v>199</v>
      </c>
    </row>
    <row r="475" spans="1:2">
      <c r="A475" s="1040" t="s">
        <v>7723</v>
      </c>
      <c r="B475" s="1040" t="s">
        <v>7163</v>
      </c>
    </row>
    <row r="476" spans="1:2">
      <c r="A476" s="1040" t="s">
        <v>221</v>
      </c>
      <c r="B476" s="1040" t="s">
        <v>7164</v>
      </c>
    </row>
    <row r="477" spans="1:2">
      <c r="A477" s="1040" t="s">
        <v>2406</v>
      </c>
      <c r="B477" s="1040" t="s">
        <v>2351</v>
      </c>
    </row>
    <row r="478" spans="1:2">
      <c r="A478" s="1040" t="s">
        <v>223</v>
      </c>
      <c r="B478" s="1040" t="s">
        <v>7165</v>
      </c>
    </row>
    <row r="479" spans="1:2">
      <c r="A479" s="1040" t="s">
        <v>3307</v>
      </c>
      <c r="B479" s="1040" t="s">
        <v>1020</v>
      </c>
    </row>
    <row r="480" spans="1:2">
      <c r="A480" s="1040" t="s">
        <v>225</v>
      </c>
      <c r="B480" s="1040" t="s">
        <v>7448</v>
      </c>
    </row>
    <row r="481" spans="1:2">
      <c r="A481" s="1040" t="s">
        <v>227</v>
      </c>
      <c r="B481" s="1040" t="s">
        <v>7167</v>
      </c>
    </row>
    <row r="482" spans="1:2">
      <c r="A482" s="1040" t="s">
        <v>229</v>
      </c>
      <c r="B482" s="1040" t="s">
        <v>7168</v>
      </c>
    </row>
    <row r="483" spans="1:2">
      <c r="A483" s="1040" t="s">
        <v>4039</v>
      </c>
      <c r="B483" s="1040" t="s">
        <v>7169</v>
      </c>
    </row>
    <row r="484" spans="1:2">
      <c r="A484" s="1040" t="s">
        <v>2396</v>
      </c>
      <c r="B484" s="1040" t="s">
        <v>1463</v>
      </c>
    </row>
    <row r="485" spans="1:2">
      <c r="A485" s="1040" t="s">
        <v>2394</v>
      </c>
      <c r="B485" s="1040" t="s">
        <v>1461</v>
      </c>
    </row>
    <row r="486" spans="1:2">
      <c r="A486" s="1040" t="s">
        <v>4042</v>
      </c>
      <c r="B486" s="1040" t="s">
        <v>7170</v>
      </c>
    </row>
    <row r="487" spans="1:2">
      <c r="A487" s="1040" t="s">
        <v>3004</v>
      </c>
      <c r="B487" s="1040" t="s">
        <v>6065</v>
      </c>
    </row>
    <row r="488" spans="1:2">
      <c r="A488" s="1040" t="s">
        <v>4044</v>
      </c>
      <c r="B488" s="1040" t="s">
        <v>5272</v>
      </c>
    </row>
    <row r="489" spans="1:2">
      <c r="A489" s="1040" t="s">
        <v>4046</v>
      </c>
      <c r="B489" s="1040" t="s">
        <v>5273</v>
      </c>
    </row>
    <row r="490" spans="1:2">
      <c r="A490" s="1040" t="s">
        <v>5402</v>
      </c>
      <c r="B490" s="1040" t="s">
        <v>5274</v>
      </c>
    </row>
    <row r="491" spans="1:2">
      <c r="A491" s="1040" t="s">
        <v>5404</v>
      </c>
      <c r="B491" s="1040" t="s">
        <v>5275</v>
      </c>
    </row>
    <row r="492" spans="1:2">
      <c r="A492" s="1040" t="s">
        <v>423</v>
      </c>
      <c r="B492" s="1040" t="s">
        <v>5276</v>
      </c>
    </row>
    <row r="493" spans="1:2">
      <c r="A493" s="1040" t="s">
        <v>425</v>
      </c>
      <c r="B493" s="1040" t="s">
        <v>5277</v>
      </c>
    </row>
    <row r="494" spans="1:2">
      <c r="A494" s="1040" t="s">
        <v>427</v>
      </c>
      <c r="B494" s="1040" t="s">
        <v>5278</v>
      </c>
    </row>
    <row r="495" spans="1:2">
      <c r="A495" s="1040" t="s">
        <v>429</v>
      </c>
      <c r="B495" s="1040" t="s">
        <v>7464</v>
      </c>
    </row>
    <row r="496" spans="1:2">
      <c r="A496" s="1040" t="s">
        <v>446</v>
      </c>
      <c r="B496" s="1040" t="s">
        <v>3844</v>
      </c>
    </row>
    <row r="497" spans="1:2">
      <c r="A497" s="1040" t="s">
        <v>431</v>
      </c>
      <c r="B497" s="1040" t="s">
        <v>5280</v>
      </c>
    </row>
    <row r="498" spans="1:2">
      <c r="A498" s="1040" t="s">
        <v>4945</v>
      </c>
      <c r="B498" s="1040" t="s">
        <v>7468</v>
      </c>
    </row>
    <row r="499" spans="1:2">
      <c r="A499" s="1040" t="s">
        <v>4947</v>
      </c>
      <c r="B499" s="1040" t="s">
        <v>5282</v>
      </c>
    </row>
    <row r="500" spans="1:2">
      <c r="A500" s="1040" t="s">
        <v>4949</v>
      </c>
      <c r="B500" s="1040" t="s">
        <v>5283</v>
      </c>
    </row>
    <row r="501" spans="1:2">
      <c r="A501" s="1040" t="s">
        <v>4951</v>
      </c>
      <c r="B501" s="1040" t="s">
        <v>5284</v>
      </c>
    </row>
    <row r="502" spans="1:2">
      <c r="A502" s="1040" t="s">
        <v>1560</v>
      </c>
      <c r="B502" s="1040" t="s">
        <v>5285</v>
      </c>
    </row>
    <row r="503" spans="1:2">
      <c r="A503" s="1040" t="s">
        <v>2398</v>
      </c>
      <c r="B503" s="1040" t="s">
        <v>1466</v>
      </c>
    </row>
    <row r="504" spans="1:2">
      <c r="A504" s="1040" t="s">
        <v>1562</v>
      </c>
      <c r="B504" s="1040" t="s">
        <v>5286</v>
      </c>
    </row>
    <row r="505" spans="1:2">
      <c r="A505" s="1040" t="s">
        <v>2997</v>
      </c>
      <c r="B505" s="1040" t="s">
        <v>6057</v>
      </c>
    </row>
    <row r="506" spans="1:2">
      <c r="A506" s="1040" t="s">
        <v>856</v>
      </c>
      <c r="B506" s="1040" t="s">
        <v>7477</v>
      </c>
    </row>
    <row r="507" spans="1:2">
      <c r="A507" s="1040" t="s">
        <v>8215</v>
      </c>
      <c r="B507" s="1040" t="s">
        <v>8043</v>
      </c>
    </row>
    <row r="508" spans="1:2">
      <c r="A508" s="1040" t="s">
        <v>1021</v>
      </c>
      <c r="B508" s="1040" t="s">
        <v>1022</v>
      </c>
    </row>
    <row r="509" spans="1:2">
      <c r="A509" s="1040" t="s">
        <v>1023</v>
      </c>
      <c r="B509" s="1040" t="s">
        <v>1024</v>
      </c>
    </row>
    <row r="510" spans="1:2">
      <c r="A510" s="1040" t="s">
        <v>1025</v>
      </c>
      <c r="B510" s="1040" t="s">
        <v>8216</v>
      </c>
    </row>
    <row r="511" spans="1:2">
      <c r="A511" s="1040" t="s">
        <v>1027</v>
      </c>
      <c r="B511" s="1040" t="s">
        <v>1028</v>
      </c>
    </row>
    <row r="512" spans="1:2">
      <c r="A512" s="1040" t="s">
        <v>1564</v>
      </c>
      <c r="B512" s="1040" t="s">
        <v>8217</v>
      </c>
    </row>
    <row r="513" spans="1:2">
      <c r="A513" s="1040" t="s">
        <v>1030</v>
      </c>
      <c r="B513" s="1040" t="s">
        <v>1031</v>
      </c>
    </row>
    <row r="514" spans="1:2">
      <c r="A514" s="1040" t="s">
        <v>1032</v>
      </c>
      <c r="B514" s="1040" t="s">
        <v>8218</v>
      </c>
    </row>
    <row r="515" spans="1:2">
      <c r="A515" s="1040" t="s">
        <v>1566</v>
      </c>
      <c r="B515" s="1040" t="s">
        <v>7959</v>
      </c>
    </row>
    <row r="516" spans="1:2">
      <c r="A516" s="1040" t="s">
        <v>1034</v>
      </c>
      <c r="B516" s="1040" t="s">
        <v>8219</v>
      </c>
    </row>
    <row r="517" spans="1:2">
      <c r="A517" s="1040" t="s">
        <v>1036</v>
      </c>
      <c r="B517" s="1040" t="s">
        <v>7961</v>
      </c>
    </row>
    <row r="518" spans="1:2">
      <c r="A518" s="1040" t="s">
        <v>1040</v>
      </c>
      <c r="B518" s="1040" t="s">
        <v>1041</v>
      </c>
    </row>
    <row r="519" spans="1:2">
      <c r="A519" s="1040" t="s">
        <v>1568</v>
      </c>
      <c r="B519" s="1040" t="s">
        <v>7963</v>
      </c>
    </row>
    <row r="520" spans="1:2">
      <c r="A520" s="1040" t="s">
        <v>1570</v>
      </c>
      <c r="B520" s="1040" t="s">
        <v>1042</v>
      </c>
    </row>
    <row r="521" spans="1:2">
      <c r="A521" s="1040" t="s">
        <v>1046</v>
      </c>
      <c r="B521" s="1040" t="s">
        <v>8220</v>
      </c>
    </row>
    <row r="522" spans="1:2">
      <c r="A522" s="1040" t="s">
        <v>1050</v>
      </c>
      <c r="B522" s="1040" t="s">
        <v>7967</v>
      </c>
    </row>
    <row r="523" spans="1:2">
      <c r="A523" s="1040" t="s">
        <v>1057</v>
      </c>
      <c r="B523" s="1040" t="s">
        <v>7969</v>
      </c>
    </row>
    <row r="524" spans="1:2">
      <c r="A524" s="1040" t="s">
        <v>1059</v>
      </c>
      <c r="B524" s="1040" t="s">
        <v>8221</v>
      </c>
    </row>
    <row r="525" spans="1:2">
      <c r="A525" s="1040" t="s">
        <v>1063</v>
      </c>
      <c r="B525" s="1040" t="s">
        <v>1064</v>
      </c>
    </row>
    <row r="526" spans="1:2">
      <c r="A526" s="1040" t="s">
        <v>5113</v>
      </c>
      <c r="B526" s="1040" t="s">
        <v>1069</v>
      </c>
    </row>
    <row r="527" spans="1:2">
      <c r="A527" s="1040" t="s">
        <v>1070</v>
      </c>
      <c r="B527" s="1040" t="s">
        <v>7972</v>
      </c>
    </row>
    <row r="528" spans="1:2">
      <c r="A528" s="1040" t="s">
        <v>1982</v>
      </c>
      <c r="B528" s="1040" t="s">
        <v>1072</v>
      </c>
    </row>
    <row r="529" spans="1:2">
      <c r="A529" s="1040" t="s">
        <v>1984</v>
      </c>
      <c r="B529" s="1040" t="s">
        <v>1073</v>
      </c>
    </row>
    <row r="530" spans="1:2">
      <c r="A530" s="1040" t="s">
        <v>1076</v>
      </c>
      <c r="B530" s="1040" t="s">
        <v>8222</v>
      </c>
    </row>
    <row r="531" spans="1:2">
      <c r="A531" s="1040" t="s">
        <v>1986</v>
      </c>
      <c r="B531" s="1040" t="s">
        <v>1987</v>
      </c>
    </row>
    <row r="532" spans="1:2">
      <c r="A532" s="1040" t="s">
        <v>1078</v>
      </c>
      <c r="B532" s="1040" t="s">
        <v>8223</v>
      </c>
    </row>
    <row r="533" spans="1:2">
      <c r="A533" s="1040" t="s">
        <v>1080</v>
      </c>
      <c r="B533" s="1040" t="s">
        <v>1081</v>
      </c>
    </row>
    <row r="534" spans="1:2">
      <c r="A534" s="1040" t="s">
        <v>1082</v>
      </c>
      <c r="B534" s="1040" t="s">
        <v>1083</v>
      </c>
    </row>
    <row r="535" spans="1:2">
      <c r="A535" s="1040" t="s">
        <v>1084</v>
      </c>
      <c r="B535" s="1040" t="s">
        <v>7977</v>
      </c>
    </row>
    <row r="536" spans="1:2">
      <c r="A536" s="1040" t="s">
        <v>1090</v>
      </c>
      <c r="B536" s="1040" t="s">
        <v>8224</v>
      </c>
    </row>
    <row r="537" spans="1:2">
      <c r="A537" s="1040" t="s">
        <v>1094</v>
      </c>
      <c r="B537" s="1040" t="s">
        <v>1095</v>
      </c>
    </row>
    <row r="538" spans="1:2">
      <c r="A538" s="1040" t="s">
        <v>1096</v>
      </c>
      <c r="B538" s="1040" t="s">
        <v>1097</v>
      </c>
    </row>
    <row r="539" spans="1:2">
      <c r="A539" s="1040" t="s">
        <v>171</v>
      </c>
      <c r="B539" s="1040" t="s">
        <v>7981</v>
      </c>
    </row>
    <row r="540" spans="1:2">
      <c r="A540" s="1040" t="s">
        <v>172</v>
      </c>
      <c r="B540" s="1040" t="s">
        <v>8225</v>
      </c>
    </row>
    <row r="541" spans="1:2">
      <c r="A541" s="1040" t="s">
        <v>174</v>
      </c>
      <c r="B541" s="1040" t="s">
        <v>7984</v>
      </c>
    </row>
    <row r="542" spans="1:2">
      <c r="A542" s="1040" t="s">
        <v>7798</v>
      </c>
      <c r="B542" s="1040" t="s">
        <v>8226</v>
      </c>
    </row>
    <row r="543" spans="1:2">
      <c r="A543" s="1040" t="s">
        <v>8144</v>
      </c>
      <c r="B543" s="1040" t="s">
        <v>8227</v>
      </c>
    </row>
    <row r="544" spans="1:2">
      <c r="A544" s="1040" t="s">
        <v>8077</v>
      </c>
      <c r="B544" s="1040" t="s">
        <v>8228</v>
      </c>
    </row>
    <row r="545" spans="1:2">
      <c r="A545" s="1040" t="s">
        <v>8145</v>
      </c>
      <c r="B545" s="1040" t="s">
        <v>8229</v>
      </c>
    </row>
    <row r="546" spans="1:2">
      <c r="A546" s="1040" t="s">
        <v>8146</v>
      </c>
      <c r="B546" s="1040" t="s">
        <v>8230</v>
      </c>
    </row>
    <row r="547" spans="1:2">
      <c r="A547" s="1040" t="s">
        <v>8147</v>
      </c>
      <c r="B547" s="1040" t="s">
        <v>8231</v>
      </c>
    </row>
    <row r="548" spans="1:2">
      <c r="A548" s="1040" t="s">
        <v>8148</v>
      </c>
      <c r="B548" s="1040" t="s">
        <v>8232</v>
      </c>
    </row>
    <row r="549" spans="1:2">
      <c r="A549" s="1040" t="s">
        <v>819</v>
      </c>
      <c r="B549" s="1040" t="s">
        <v>3901</v>
      </c>
    </row>
    <row r="550" spans="1:2">
      <c r="A550" s="1040" t="s">
        <v>3887</v>
      </c>
      <c r="B550" s="1040" t="s">
        <v>1844</v>
      </c>
    </row>
    <row r="551" spans="1:2">
      <c r="A551" s="1040" t="s">
        <v>1988</v>
      </c>
      <c r="B551" s="1040" t="s">
        <v>303</v>
      </c>
    </row>
    <row r="552" spans="1:2">
      <c r="A552" s="1040" t="s">
        <v>245</v>
      </c>
      <c r="B552" s="1040" t="s">
        <v>1667</v>
      </c>
    </row>
    <row r="553" spans="1:2">
      <c r="A553" s="1040" t="s">
        <v>1990</v>
      </c>
      <c r="B553" s="1040" t="s">
        <v>304</v>
      </c>
    </row>
    <row r="554" spans="1:2">
      <c r="A554" s="1040" t="s">
        <v>2115</v>
      </c>
      <c r="B554" s="1040" t="s">
        <v>305</v>
      </c>
    </row>
    <row r="555" spans="1:2">
      <c r="A555" s="1040" t="s">
        <v>1315</v>
      </c>
      <c r="B555" s="1040" t="s">
        <v>120</v>
      </c>
    </row>
    <row r="556" spans="1:2">
      <c r="A556" s="1040" t="s">
        <v>5622</v>
      </c>
      <c r="B556" s="1040" t="s">
        <v>306</v>
      </c>
    </row>
    <row r="557" spans="1:2">
      <c r="A557" s="1040" t="s">
        <v>5624</v>
      </c>
      <c r="B557" s="1040" t="s">
        <v>95</v>
      </c>
    </row>
    <row r="558" spans="1:2">
      <c r="A558" s="1040" t="s">
        <v>1873</v>
      </c>
      <c r="B558" s="1040" t="s">
        <v>3856</v>
      </c>
    </row>
    <row r="559" spans="1:2">
      <c r="A559" s="1040" t="s">
        <v>6028</v>
      </c>
      <c r="B559" s="1040" t="s">
        <v>1913</v>
      </c>
    </row>
    <row r="560" spans="1:2">
      <c r="A560" s="1040" t="s">
        <v>6035</v>
      </c>
      <c r="B560" s="1040" t="s">
        <v>1923</v>
      </c>
    </row>
    <row r="561" spans="1:2">
      <c r="A561" s="1040" t="s">
        <v>5626</v>
      </c>
      <c r="B561" s="1040" t="s">
        <v>96</v>
      </c>
    </row>
    <row r="562" spans="1:2">
      <c r="A562" s="1040" t="s">
        <v>6194</v>
      </c>
      <c r="B562" s="1040" t="s">
        <v>5292</v>
      </c>
    </row>
    <row r="563" spans="1:2">
      <c r="A563" s="1040" t="s">
        <v>1539</v>
      </c>
      <c r="B563" s="1040" t="s">
        <v>97</v>
      </c>
    </row>
    <row r="564" spans="1:2">
      <c r="A564" s="1040" t="s">
        <v>911</v>
      </c>
      <c r="B564" s="1040" t="s">
        <v>98</v>
      </c>
    </row>
    <row r="565" spans="1:2">
      <c r="A565" s="1040" t="s">
        <v>1428</v>
      </c>
      <c r="B565" s="1040" t="s">
        <v>99</v>
      </c>
    </row>
    <row r="566" spans="1:2">
      <c r="A566" s="1040" t="s">
        <v>1430</v>
      </c>
      <c r="B566" s="1040" t="s">
        <v>100</v>
      </c>
    </row>
    <row r="567" spans="1:2">
      <c r="A567" s="1040" t="s">
        <v>4971</v>
      </c>
      <c r="B567" s="1040" t="s">
        <v>3854</v>
      </c>
    </row>
    <row r="568" spans="1:2">
      <c r="A568" s="1040" t="s">
        <v>1099</v>
      </c>
      <c r="B568" s="1040" t="s">
        <v>1100</v>
      </c>
    </row>
    <row r="569" spans="1:2">
      <c r="A569" s="1040" t="s">
        <v>1432</v>
      </c>
      <c r="B569" s="1040" t="s">
        <v>101</v>
      </c>
    </row>
    <row r="570" spans="1:2">
      <c r="A570" s="1040" t="s">
        <v>1434</v>
      </c>
      <c r="B570" s="1040" t="s">
        <v>877</v>
      </c>
    </row>
    <row r="571" spans="1:2">
      <c r="A571" s="1040" t="s">
        <v>1436</v>
      </c>
      <c r="B571" s="1040" t="s">
        <v>878</v>
      </c>
    </row>
    <row r="572" spans="1:2">
      <c r="A572" s="1040" t="s">
        <v>1438</v>
      </c>
      <c r="B572" s="1040" t="s">
        <v>879</v>
      </c>
    </row>
    <row r="573" spans="1:2">
      <c r="A573" s="1040" t="s">
        <v>2580</v>
      </c>
      <c r="B573" s="1040" t="s">
        <v>880</v>
      </c>
    </row>
    <row r="574" spans="1:2">
      <c r="A574" s="1040" t="s">
        <v>2582</v>
      </c>
      <c r="B574" s="1040" t="s">
        <v>881</v>
      </c>
    </row>
    <row r="575" spans="1:2">
      <c r="A575" s="1040" t="s">
        <v>2584</v>
      </c>
      <c r="B575" s="1040" t="s">
        <v>834</v>
      </c>
    </row>
    <row r="576" spans="1:2">
      <c r="A576" s="1040" t="s">
        <v>1578</v>
      </c>
      <c r="B576" s="1040" t="s">
        <v>835</v>
      </c>
    </row>
    <row r="577" spans="1:2">
      <c r="A577" s="1040" t="s">
        <v>1580</v>
      </c>
      <c r="B577" s="1040" t="s">
        <v>3838</v>
      </c>
    </row>
    <row r="578" spans="1:2">
      <c r="A578" s="1040" t="s">
        <v>1582</v>
      </c>
      <c r="B578" s="1040" t="s">
        <v>837</v>
      </c>
    </row>
    <row r="579" spans="1:2">
      <c r="A579" s="1040" t="s">
        <v>1584</v>
      </c>
      <c r="B579" s="1040" t="s">
        <v>838</v>
      </c>
    </row>
    <row r="580" spans="1:2">
      <c r="A580" s="1040" t="s">
        <v>1586</v>
      </c>
      <c r="B580" s="1040" t="s">
        <v>1101</v>
      </c>
    </row>
    <row r="581" spans="1:2">
      <c r="A581" s="1040" t="s">
        <v>1102</v>
      </c>
      <c r="B581" s="1040" t="s">
        <v>1103</v>
      </c>
    </row>
    <row r="582" spans="1:2">
      <c r="A582" s="1040" t="s">
        <v>1588</v>
      </c>
      <c r="B582" s="1040" t="s">
        <v>7510</v>
      </c>
    </row>
    <row r="583" spans="1:2">
      <c r="A583" s="1040" t="s">
        <v>1292</v>
      </c>
      <c r="B583" s="1040" t="s">
        <v>3010</v>
      </c>
    </row>
    <row r="584" spans="1:2">
      <c r="A584" s="1040" t="s">
        <v>1590</v>
      </c>
      <c r="B584" s="1040" t="s">
        <v>840</v>
      </c>
    </row>
    <row r="585" spans="1:2">
      <c r="A585" s="1040" t="s">
        <v>1864</v>
      </c>
      <c r="B585" s="1040" t="s">
        <v>7514</v>
      </c>
    </row>
    <row r="586" spans="1:2">
      <c r="A586" s="1040" t="s">
        <v>1592</v>
      </c>
      <c r="B586" s="1040" t="s">
        <v>841</v>
      </c>
    </row>
    <row r="587" spans="1:2">
      <c r="A587" s="1040" t="s">
        <v>1594</v>
      </c>
      <c r="B587" s="1040" t="s">
        <v>842</v>
      </c>
    </row>
    <row r="588" spans="1:2">
      <c r="A588" s="1040" t="s">
        <v>1596</v>
      </c>
      <c r="B588" s="1040" t="s">
        <v>843</v>
      </c>
    </row>
    <row r="589" spans="1:2">
      <c r="A589" s="1040" t="s">
        <v>1598</v>
      </c>
      <c r="B589" s="1040" t="s">
        <v>844</v>
      </c>
    </row>
    <row r="590" spans="1:2">
      <c r="A590" s="1040" t="s">
        <v>1600</v>
      </c>
      <c r="B590" s="1040" t="s">
        <v>845</v>
      </c>
    </row>
    <row r="591" spans="1:2">
      <c r="A591" s="1040" t="s">
        <v>5260</v>
      </c>
      <c r="B591" s="1040" t="s">
        <v>846</v>
      </c>
    </row>
    <row r="592" spans="1:2">
      <c r="A592" s="1040" t="s">
        <v>2415</v>
      </c>
      <c r="B592" s="1040" t="s">
        <v>5368</v>
      </c>
    </row>
    <row r="593" spans="1:2">
      <c r="A593" s="1040" t="s">
        <v>4973</v>
      </c>
      <c r="B593" s="1040" t="s">
        <v>328</v>
      </c>
    </row>
    <row r="594" spans="1:2">
      <c r="A594" s="1040" t="s">
        <v>5262</v>
      </c>
      <c r="B594" s="1040" t="s">
        <v>847</v>
      </c>
    </row>
    <row r="595" spans="1:2">
      <c r="A595" s="1040" t="s">
        <v>1104</v>
      </c>
      <c r="B595" s="1040" t="s">
        <v>8233</v>
      </c>
    </row>
    <row r="596" spans="1:2">
      <c r="A596" s="1040" t="s">
        <v>5264</v>
      </c>
      <c r="B596" s="1040" t="s">
        <v>8234</v>
      </c>
    </row>
    <row r="597" spans="1:2">
      <c r="A597" s="1040" t="s">
        <v>1107</v>
      </c>
      <c r="B597" s="1040" t="s">
        <v>8235</v>
      </c>
    </row>
    <row r="598" spans="1:2">
      <c r="A598" s="1040" t="s">
        <v>778</v>
      </c>
      <c r="B598" s="1040" t="s">
        <v>8236</v>
      </c>
    </row>
    <row r="599" spans="1:2">
      <c r="A599" s="1040" t="s">
        <v>1113</v>
      </c>
      <c r="B599" s="1040" t="s">
        <v>1114</v>
      </c>
    </row>
    <row r="600" spans="1:2">
      <c r="A600" s="1040" t="s">
        <v>8151</v>
      </c>
      <c r="B600" s="1040" t="s">
        <v>8237</v>
      </c>
    </row>
    <row r="601" spans="1:2">
      <c r="A601" s="1040" t="s">
        <v>2054</v>
      </c>
      <c r="B601" s="1040" t="s">
        <v>7525</v>
      </c>
    </row>
    <row r="602" spans="1:2">
      <c r="A602" s="1040" t="s">
        <v>1519</v>
      </c>
      <c r="B602" s="1040" t="s">
        <v>3015</v>
      </c>
    </row>
    <row r="603" spans="1:2">
      <c r="A603" s="1040" t="s">
        <v>1521</v>
      </c>
      <c r="B603" s="1040" t="s">
        <v>7528</v>
      </c>
    </row>
    <row r="604" spans="1:2">
      <c r="A604" s="1040" t="s">
        <v>1866</v>
      </c>
      <c r="B604" s="1040" t="s">
        <v>3845</v>
      </c>
    </row>
    <row r="605" spans="1:2">
      <c r="A605" s="1040" t="s">
        <v>6167</v>
      </c>
      <c r="B605" s="1040" t="s">
        <v>6073</v>
      </c>
    </row>
    <row r="606" spans="1:2">
      <c r="A606" s="1040" t="s">
        <v>6170</v>
      </c>
      <c r="B606" s="1040" t="s">
        <v>495</v>
      </c>
    </row>
    <row r="607" spans="1:2">
      <c r="A607" s="1040" t="s">
        <v>6176</v>
      </c>
      <c r="B607" s="1040" t="s">
        <v>7533</v>
      </c>
    </row>
    <row r="608" spans="1:2">
      <c r="A608" s="1040" t="s">
        <v>5125</v>
      </c>
      <c r="B608" s="1040" t="s">
        <v>340</v>
      </c>
    </row>
    <row r="609" spans="1:2">
      <c r="A609" s="1040" t="s">
        <v>648</v>
      </c>
      <c r="B609" s="1040" t="s">
        <v>353</v>
      </c>
    </row>
    <row r="610" spans="1:2">
      <c r="A610" s="1040" t="s">
        <v>780</v>
      </c>
      <c r="B610" s="1040" t="s">
        <v>848</v>
      </c>
    </row>
    <row r="611" spans="1:2">
      <c r="A611" s="1040" t="s">
        <v>6038</v>
      </c>
      <c r="B611" s="1040" t="s">
        <v>2153</v>
      </c>
    </row>
    <row r="612" spans="1:2">
      <c r="A612" s="1040" t="s">
        <v>3096</v>
      </c>
      <c r="B612" s="1040" t="s">
        <v>4065</v>
      </c>
    </row>
    <row r="613" spans="1:2">
      <c r="A613" s="1040" t="s">
        <v>6040</v>
      </c>
      <c r="B613" s="1040" t="s">
        <v>184</v>
      </c>
    </row>
    <row r="614" spans="1:2">
      <c r="A614" s="1040" t="s">
        <v>3097</v>
      </c>
      <c r="B614" s="1040" t="s">
        <v>503</v>
      </c>
    </row>
    <row r="615" spans="1:2">
      <c r="A615" s="1040" t="s">
        <v>2419</v>
      </c>
      <c r="B615" s="1040" t="s">
        <v>5372</v>
      </c>
    </row>
    <row r="616" spans="1:2">
      <c r="A616" s="1040" t="s">
        <v>1117</v>
      </c>
      <c r="B616" s="1040" t="s">
        <v>1118</v>
      </c>
    </row>
    <row r="617" spans="1:2">
      <c r="A617" s="1040" t="s">
        <v>2608</v>
      </c>
      <c r="B617" s="1040" t="s">
        <v>324</v>
      </c>
    </row>
    <row r="618" spans="1:2">
      <c r="A618" s="1040" t="s">
        <v>448</v>
      </c>
      <c r="B618" s="1040" t="s">
        <v>6096</v>
      </c>
    </row>
    <row r="619" spans="1:2">
      <c r="A619" s="1040" t="s">
        <v>243</v>
      </c>
      <c r="B619" s="1040" t="s">
        <v>5246</v>
      </c>
    </row>
    <row r="620" spans="1:2">
      <c r="A620" s="1040" t="s">
        <v>1868</v>
      </c>
      <c r="B620" s="1040" t="s">
        <v>3847</v>
      </c>
    </row>
    <row r="621" spans="1:2">
      <c r="A621" s="1040" t="s">
        <v>3098</v>
      </c>
      <c r="B621" s="1040" t="s">
        <v>3852</v>
      </c>
    </row>
    <row r="622" spans="1:2">
      <c r="A622" s="1040" t="s">
        <v>6022</v>
      </c>
      <c r="B622" s="1040" t="s">
        <v>1907</v>
      </c>
    </row>
    <row r="623" spans="1:2">
      <c r="A623" s="1040" t="s">
        <v>2610</v>
      </c>
      <c r="B623" s="1040" t="s">
        <v>326</v>
      </c>
    </row>
    <row r="624" spans="1:2">
      <c r="A624" s="1040" t="s">
        <v>2612</v>
      </c>
      <c r="B624" s="1040" t="s">
        <v>504</v>
      </c>
    </row>
    <row r="625" spans="1:2">
      <c r="A625" s="1040" t="s">
        <v>782</v>
      </c>
      <c r="B625" s="1040" t="s">
        <v>849</v>
      </c>
    </row>
    <row r="626" spans="1:2">
      <c r="A626" s="1040" t="s">
        <v>2614</v>
      </c>
      <c r="B626" s="1040" t="s">
        <v>7686</v>
      </c>
    </row>
    <row r="627" spans="1:2">
      <c r="A627" s="1040" t="s">
        <v>2468</v>
      </c>
      <c r="B627" s="1040" t="s">
        <v>7662</v>
      </c>
    </row>
    <row r="628" spans="1:2">
      <c r="A628" s="1040" t="s">
        <v>2616</v>
      </c>
      <c r="B628" s="1040" t="s">
        <v>336</v>
      </c>
    </row>
    <row r="629" spans="1:2">
      <c r="A629" s="1040" t="s">
        <v>784</v>
      </c>
      <c r="B629" s="1040" t="s">
        <v>850</v>
      </c>
    </row>
    <row r="630" spans="1:2">
      <c r="A630" s="1040" t="s">
        <v>786</v>
      </c>
      <c r="B630" s="1040" t="s">
        <v>7109</v>
      </c>
    </row>
    <row r="631" spans="1:2">
      <c r="A631" s="1040" t="s">
        <v>788</v>
      </c>
      <c r="B631" s="1040" t="s">
        <v>7110</v>
      </c>
    </row>
    <row r="632" spans="1:2">
      <c r="A632" s="1040" t="s">
        <v>969</v>
      </c>
      <c r="B632" s="1040" t="s">
        <v>2344</v>
      </c>
    </row>
    <row r="633" spans="1:2">
      <c r="A633" s="1040" t="s">
        <v>790</v>
      </c>
      <c r="B633" s="1040" t="s">
        <v>7111</v>
      </c>
    </row>
    <row r="634" spans="1:2">
      <c r="A634" s="1040" t="s">
        <v>792</v>
      </c>
      <c r="B634" s="1040" t="s">
        <v>7112</v>
      </c>
    </row>
    <row r="635" spans="1:2">
      <c r="A635" s="1040" t="s">
        <v>794</v>
      </c>
      <c r="B635" s="1040" t="s">
        <v>7113</v>
      </c>
    </row>
    <row r="636" spans="1:2">
      <c r="A636" s="1040" t="s">
        <v>2991</v>
      </c>
      <c r="B636" s="1040" t="s">
        <v>193</v>
      </c>
    </row>
    <row r="637" spans="1:2">
      <c r="A637" s="1040" t="s">
        <v>2413</v>
      </c>
      <c r="B637" s="1040" t="s">
        <v>5366</v>
      </c>
    </row>
    <row r="638" spans="1:2">
      <c r="A638" s="1040" t="s">
        <v>796</v>
      </c>
      <c r="B638" s="1040" t="s">
        <v>7114</v>
      </c>
    </row>
    <row r="639" spans="1:2">
      <c r="A639" s="1040" t="s">
        <v>2044</v>
      </c>
      <c r="B639" s="1040" t="s">
        <v>991</v>
      </c>
    </row>
    <row r="640" spans="1:2">
      <c r="A640" s="1040" t="s">
        <v>798</v>
      </c>
      <c r="B640" s="1040" t="s">
        <v>7115</v>
      </c>
    </row>
    <row r="641" spans="1:2">
      <c r="A641" s="1040" t="s">
        <v>2358</v>
      </c>
      <c r="B641" s="1040" t="s">
        <v>499</v>
      </c>
    </row>
    <row r="642" spans="1:2">
      <c r="A642" s="1040" t="s">
        <v>800</v>
      </c>
      <c r="B642" s="1040" t="s">
        <v>7116</v>
      </c>
    </row>
    <row r="643" spans="1:2">
      <c r="A643" s="1040" t="s">
        <v>802</v>
      </c>
      <c r="B643" s="1040" t="s">
        <v>7117</v>
      </c>
    </row>
    <row r="644" spans="1:2">
      <c r="A644" s="1040" t="s">
        <v>2046</v>
      </c>
      <c r="B644" s="1040" t="s">
        <v>2357</v>
      </c>
    </row>
    <row r="645" spans="1:2">
      <c r="A645" s="1040" t="s">
        <v>804</v>
      </c>
      <c r="B645" s="1040" t="s">
        <v>7118</v>
      </c>
    </row>
    <row r="646" spans="1:2">
      <c r="A646" s="1040" t="s">
        <v>806</v>
      </c>
      <c r="B646" s="1040" t="s">
        <v>7119</v>
      </c>
    </row>
    <row r="647" spans="1:2">
      <c r="A647" s="1040" t="s">
        <v>808</v>
      </c>
      <c r="B647" s="1040" t="s">
        <v>7120</v>
      </c>
    </row>
    <row r="648" spans="1:2">
      <c r="A648" s="1040" t="s">
        <v>810</v>
      </c>
      <c r="B648" s="1040" t="s">
        <v>7121</v>
      </c>
    </row>
    <row r="649" spans="1:2">
      <c r="A649" s="1040" t="s">
        <v>667</v>
      </c>
      <c r="B649" s="1040" t="s">
        <v>7122</v>
      </c>
    </row>
    <row r="650" spans="1:2">
      <c r="A650" s="1040" t="s">
        <v>1707</v>
      </c>
      <c r="B650" s="1040" t="s">
        <v>3864</v>
      </c>
    </row>
    <row r="651" spans="1:2">
      <c r="A651" s="1040" t="s">
        <v>1709</v>
      </c>
      <c r="B651" s="1040" t="s">
        <v>3865</v>
      </c>
    </row>
    <row r="652" spans="1:2">
      <c r="A652" s="1040" t="s">
        <v>1711</v>
      </c>
      <c r="B652" s="1040" t="s">
        <v>3866</v>
      </c>
    </row>
    <row r="653" spans="1:2">
      <c r="A653" s="1040" t="s">
        <v>1713</v>
      </c>
      <c r="B653" s="1040" t="s">
        <v>3867</v>
      </c>
    </row>
    <row r="654" spans="1:2">
      <c r="A654" s="1040" t="s">
        <v>1330</v>
      </c>
      <c r="B654" s="1040" t="s">
        <v>3868</v>
      </c>
    </row>
    <row r="655" spans="1:2">
      <c r="A655" s="1040" t="s">
        <v>1332</v>
      </c>
      <c r="B655" s="1040" t="s">
        <v>3869</v>
      </c>
    </row>
    <row r="656" spans="1:2">
      <c r="A656" s="1040" t="s">
        <v>1121</v>
      </c>
      <c r="B656" s="1040" t="s">
        <v>1122</v>
      </c>
    </row>
    <row r="657" spans="1:2">
      <c r="A657" s="1040" t="s">
        <v>979</v>
      </c>
      <c r="B657" s="1040" t="s">
        <v>6097</v>
      </c>
    </row>
    <row r="658" spans="1:2">
      <c r="A658" s="1040" t="s">
        <v>1334</v>
      </c>
      <c r="B658" s="1040" t="s">
        <v>3870</v>
      </c>
    </row>
    <row r="659" spans="1:2">
      <c r="A659" s="1040" t="s">
        <v>235</v>
      </c>
      <c r="B659" s="1040" t="s">
        <v>2642</v>
      </c>
    </row>
    <row r="660" spans="1:2">
      <c r="A660" s="1040" t="s">
        <v>3961</v>
      </c>
      <c r="B660" s="1040" t="s">
        <v>3871</v>
      </c>
    </row>
    <row r="661" spans="1:2">
      <c r="A661" s="1040" t="s">
        <v>2359</v>
      </c>
      <c r="B661" s="1040" t="s">
        <v>198</v>
      </c>
    </row>
    <row r="662" spans="1:2">
      <c r="A662" s="1040" t="s">
        <v>650</v>
      </c>
      <c r="B662" s="1040" t="s">
        <v>355</v>
      </c>
    </row>
    <row r="663" spans="1:2">
      <c r="A663" s="1040" t="s">
        <v>2127</v>
      </c>
      <c r="B663" s="1040" t="s">
        <v>2007</v>
      </c>
    </row>
    <row r="664" spans="1:2">
      <c r="A664" s="1040" t="s">
        <v>3963</v>
      </c>
      <c r="B664" s="1040" t="s">
        <v>3872</v>
      </c>
    </row>
    <row r="665" spans="1:2">
      <c r="A665" s="1040" t="s">
        <v>953</v>
      </c>
      <c r="B665" s="1040" t="s">
        <v>7658</v>
      </c>
    </row>
    <row r="666" spans="1:2">
      <c r="A666" s="1040" t="s">
        <v>971</v>
      </c>
      <c r="B666" s="1040" t="s">
        <v>7663</v>
      </c>
    </row>
    <row r="667" spans="1:2">
      <c r="A667" s="1040" t="s">
        <v>3965</v>
      </c>
      <c r="B667" s="1040" t="s">
        <v>3873</v>
      </c>
    </row>
    <row r="668" spans="1:2">
      <c r="A668" s="1040" t="s">
        <v>3967</v>
      </c>
      <c r="B668" s="1040" t="s">
        <v>3683</v>
      </c>
    </row>
    <row r="669" spans="1:2">
      <c r="A669" s="1040" t="s">
        <v>3969</v>
      </c>
      <c r="B669" s="1040" t="s">
        <v>3685</v>
      </c>
    </row>
    <row r="670" spans="1:2">
      <c r="A670" s="1040" t="s">
        <v>757</v>
      </c>
      <c r="B670" s="1040" t="s">
        <v>3057</v>
      </c>
    </row>
    <row r="671" spans="1:2">
      <c r="A671" s="1040" t="s">
        <v>759</v>
      </c>
      <c r="B671" s="1040" t="s">
        <v>3688</v>
      </c>
    </row>
    <row r="672" spans="1:2">
      <c r="A672" s="1040" t="s">
        <v>69</v>
      </c>
      <c r="B672" s="1040" t="s">
        <v>3059</v>
      </c>
    </row>
    <row r="673" spans="1:2">
      <c r="A673" s="1040" t="s">
        <v>71</v>
      </c>
      <c r="B673" s="1040" t="s">
        <v>3060</v>
      </c>
    </row>
    <row r="674" spans="1:2">
      <c r="A674" s="1040" t="s">
        <v>73</v>
      </c>
      <c r="B674" s="1040" t="s">
        <v>3692</v>
      </c>
    </row>
    <row r="675" spans="1:2">
      <c r="A675" s="1040" t="s">
        <v>75</v>
      </c>
      <c r="B675" s="1040" t="s">
        <v>3062</v>
      </c>
    </row>
    <row r="676" spans="1:2">
      <c r="A676" s="1040" t="s">
        <v>1316</v>
      </c>
      <c r="B676" s="1040" t="s">
        <v>121</v>
      </c>
    </row>
    <row r="677" spans="1:2">
      <c r="A677" s="1040" t="s">
        <v>2600</v>
      </c>
      <c r="B677" s="1040" t="s">
        <v>3063</v>
      </c>
    </row>
    <row r="678" spans="1:2">
      <c r="A678" s="1040" t="s">
        <v>7133</v>
      </c>
      <c r="B678" s="1040" t="s">
        <v>3064</v>
      </c>
    </row>
    <row r="679" spans="1:2">
      <c r="A679" s="1040" t="s">
        <v>961</v>
      </c>
      <c r="B679" s="1040" t="s">
        <v>2145</v>
      </c>
    </row>
    <row r="680" spans="1:2">
      <c r="A680" s="1040" t="s">
        <v>6024</v>
      </c>
      <c r="B680" s="1040" t="s">
        <v>1909</v>
      </c>
    </row>
    <row r="681" spans="1:2">
      <c r="A681" s="1040" t="s">
        <v>6034</v>
      </c>
      <c r="B681" s="1040" t="s">
        <v>1922</v>
      </c>
    </row>
    <row r="682" spans="1:2">
      <c r="A682" s="1040" t="s">
        <v>7135</v>
      </c>
      <c r="B682" s="1040" t="s">
        <v>3065</v>
      </c>
    </row>
    <row r="683" spans="1:2">
      <c r="A683" s="1040" t="s">
        <v>7137</v>
      </c>
      <c r="B683" s="1040" t="s">
        <v>3066</v>
      </c>
    </row>
    <row r="684" spans="1:2">
      <c r="A684" s="1040" t="s">
        <v>7139</v>
      </c>
      <c r="B684" s="1040" t="s">
        <v>3067</v>
      </c>
    </row>
    <row r="685" spans="1:2">
      <c r="A685" s="1040" t="s">
        <v>1123</v>
      </c>
      <c r="B685" s="1040" t="s">
        <v>8238</v>
      </c>
    </row>
    <row r="686" spans="1:2">
      <c r="A686" s="1040" t="s">
        <v>7143</v>
      </c>
      <c r="B686" s="1040" t="s">
        <v>8239</v>
      </c>
    </row>
    <row r="687" spans="1:2">
      <c r="A687" s="1040" t="s">
        <v>1131</v>
      </c>
      <c r="B687" s="1040" t="s">
        <v>1132</v>
      </c>
    </row>
    <row r="688" spans="1:2">
      <c r="A688" s="1040" t="s">
        <v>8048</v>
      </c>
      <c r="B688" s="1040" t="s">
        <v>8049</v>
      </c>
    </row>
    <row r="689" spans="1:2">
      <c r="A689" s="1040" t="s">
        <v>6178</v>
      </c>
      <c r="B689" s="1040" t="s">
        <v>3519</v>
      </c>
    </row>
    <row r="690" spans="1:2">
      <c r="A690" s="1040" t="s">
        <v>7145</v>
      </c>
      <c r="B690" s="1040" t="s">
        <v>3068</v>
      </c>
    </row>
    <row r="691" spans="1:2">
      <c r="A691" s="1040" t="s">
        <v>7147</v>
      </c>
      <c r="B691" s="1040" t="s">
        <v>3069</v>
      </c>
    </row>
    <row r="692" spans="1:2">
      <c r="A692" s="1040" t="s">
        <v>2808</v>
      </c>
      <c r="B692" s="1040" t="s">
        <v>3054</v>
      </c>
    </row>
    <row r="693" spans="1:2">
      <c r="A693" s="1040" t="s">
        <v>2810</v>
      </c>
      <c r="B693" s="1040" t="s">
        <v>6648</v>
      </c>
    </row>
    <row r="694" spans="1:2">
      <c r="A694" s="1040" t="s">
        <v>1859</v>
      </c>
      <c r="B694" s="1040" t="s">
        <v>3916</v>
      </c>
    </row>
    <row r="695" spans="1:2">
      <c r="A695" s="1040" t="s">
        <v>2812</v>
      </c>
      <c r="B695" s="1040" t="s">
        <v>6649</v>
      </c>
    </row>
    <row r="696" spans="1:2">
      <c r="A696" s="1040" t="s">
        <v>820</v>
      </c>
      <c r="B696" s="1040" t="s">
        <v>1843</v>
      </c>
    </row>
    <row r="697" spans="1:2">
      <c r="A697" s="1040" t="s">
        <v>127</v>
      </c>
      <c r="B697" s="1040" t="s">
        <v>7655</v>
      </c>
    </row>
    <row r="698" spans="1:2">
      <c r="A698" s="1040" t="s">
        <v>6189</v>
      </c>
      <c r="B698" s="1040" t="s">
        <v>3625</v>
      </c>
    </row>
    <row r="699" spans="1:2">
      <c r="A699" s="1040" t="s">
        <v>5130</v>
      </c>
      <c r="B699" s="1040" t="s">
        <v>349</v>
      </c>
    </row>
    <row r="700" spans="1:2">
      <c r="A700" s="1040" t="s">
        <v>2815</v>
      </c>
      <c r="B700" s="1040" t="s">
        <v>6650</v>
      </c>
    </row>
    <row r="701" spans="1:2">
      <c r="A701" s="1040" t="s">
        <v>3888</v>
      </c>
      <c r="B701" s="1040" t="s">
        <v>7678</v>
      </c>
    </row>
    <row r="702" spans="1:2">
      <c r="A702" s="1040" t="s">
        <v>977</v>
      </c>
      <c r="B702" s="1040" t="s">
        <v>2147</v>
      </c>
    </row>
    <row r="703" spans="1:2">
      <c r="A703" s="1040" t="s">
        <v>739</v>
      </c>
      <c r="B703" s="1040" t="s">
        <v>6113</v>
      </c>
    </row>
    <row r="704" spans="1:2">
      <c r="A704" s="1040" t="s">
        <v>1855</v>
      </c>
      <c r="B704" s="1040" t="s">
        <v>4968</v>
      </c>
    </row>
    <row r="705" spans="1:2">
      <c r="A705" s="1040" t="s">
        <v>6025</v>
      </c>
      <c r="B705" s="1040" t="s">
        <v>1910</v>
      </c>
    </row>
    <row r="706" spans="1:2">
      <c r="A706" s="1040" t="s">
        <v>2817</v>
      </c>
      <c r="B706" s="1040" t="s">
        <v>6651</v>
      </c>
    </row>
    <row r="707" spans="1:2">
      <c r="A707" s="1040" t="s">
        <v>128</v>
      </c>
      <c r="B707" s="1040" t="s">
        <v>362</v>
      </c>
    </row>
    <row r="708" spans="1:2">
      <c r="A708" s="1040" t="s">
        <v>3551</v>
      </c>
      <c r="B708" s="1040" t="s">
        <v>7131</v>
      </c>
    </row>
    <row r="709" spans="1:2">
      <c r="A709" s="1040" t="s">
        <v>1851</v>
      </c>
      <c r="B709" s="1040" t="s">
        <v>126</v>
      </c>
    </row>
    <row r="710" spans="1:2">
      <c r="A710" s="1040" t="s">
        <v>267</v>
      </c>
      <c r="B710" s="1040" t="s">
        <v>7684</v>
      </c>
    </row>
    <row r="711" spans="1:2">
      <c r="A711" s="1040" t="s">
        <v>2819</v>
      </c>
      <c r="B711" s="1040" t="s">
        <v>6652</v>
      </c>
    </row>
    <row r="712" spans="1:2">
      <c r="A712" s="1040" t="s">
        <v>1863</v>
      </c>
      <c r="B712" s="1040" t="s">
        <v>3839</v>
      </c>
    </row>
    <row r="713" spans="1:2">
      <c r="A713" s="1040" t="s">
        <v>449</v>
      </c>
      <c r="B713" s="1040" t="s">
        <v>6155</v>
      </c>
    </row>
    <row r="714" spans="1:2">
      <c r="A714" s="1040" t="s">
        <v>5138</v>
      </c>
      <c r="B714" s="1040" t="s">
        <v>2354</v>
      </c>
    </row>
    <row r="715" spans="1:2">
      <c r="A715" s="1040" t="s">
        <v>6027</v>
      </c>
      <c r="B715" s="1040" t="s">
        <v>1912</v>
      </c>
    </row>
    <row r="716" spans="1:2">
      <c r="A716" s="1040" t="s">
        <v>450</v>
      </c>
      <c r="B716" s="1040" t="s">
        <v>1917</v>
      </c>
    </row>
    <row r="717" spans="1:2">
      <c r="A717" s="1040" t="s">
        <v>516</v>
      </c>
      <c r="B717" s="1040" t="s">
        <v>6653</v>
      </c>
    </row>
    <row r="718" spans="1:2">
      <c r="A718" s="1040" t="s">
        <v>1525</v>
      </c>
      <c r="B718" s="1040" t="s">
        <v>1931</v>
      </c>
    </row>
    <row r="719" spans="1:2">
      <c r="A719" s="1040" t="s">
        <v>244</v>
      </c>
      <c r="B719" s="1040" t="s">
        <v>1665</v>
      </c>
    </row>
    <row r="720" spans="1:2">
      <c r="A720" s="1040" t="s">
        <v>1308</v>
      </c>
      <c r="B720" s="1040" t="s">
        <v>113</v>
      </c>
    </row>
    <row r="721" spans="1:2">
      <c r="A721" s="1040" t="s">
        <v>6029</v>
      </c>
      <c r="B721" s="1040" t="s">
        <v>1914</v>
      </c>
    </row>
    <row r="722" spans="1:2">
      <c r="A722" s="1040" t="s">
        <v>6031</v>
      </c>
      <c r="B722" s="1040" t="s">
        <v>1916</v>
      </c>
    </row>
    <row r="723" spans="1:2">
      <c r="A723" s="1040" t="s">
        <v>5628</v>
      </c>
      <c r="B723" s="1040" t="s">
        <v>6654</v>
      </c>
    </row>
    <row r="724" spans="1:2">
      <c r="A724" s="1040" t="s">
        <v>5630</v>
      </c>
      <c r="B724" s="1040" t="s">
        <v>6655</v>
      </c>
    </row>
    <row r="725" spans="1:2">
      <c r="A725" s="1040" t="s">
        <v>2395</v>
      </c>
      <c r="B725" s="1040" t="s">
        <v>1462</v>
      </c>
    </row>
    <row r="726" spans="1:2">
      <c r="A726" s="1040" t="s">
        <v>7799</v>
      </c>
      <c r="B726" s="1040" t="s">
        <v>7992</v>
      </c>
    </row>
    <row r="727" spans="1:2">
      <c r="A727" s="1040" t="s">
        <v>5632</v>
      </c>
      <c r="B727" s="1040" t="s">
        <v>6656</v>
      </c>
    </row>
    <row r="728" spans="1:2">
      <c r="A728" s="1040" t="s">
        <v>6147</v>
      </c>
      <c r="B728" s="1040" t="s">
        <v>6657</v>
      </c>
    </row>
    <row r="729" spans="1:2">
      <c r="A729" s="1040" t="s">
        <v>1417</v>
      </c>
      <c r="B729" s="1040" t="s">
        <v>6658</v>
      </c>
    </row>
    <row r="730" spans="1:2">
      <c r="A730" s="1040" t="s">
        <v>1419</v>
      </c>
      <c r="B730" s="1040" t="s">
        <v>6659</v>
      </c>
    </row>
    <row r="731" spans="1:2">
      <c r="A731" s="1040" t="s">
        <v>2469</v>
      </c>
      <c r="B731" s="1040" t="s">
        <v>6105</v>
      </c>
    </row>
    <row r="732" spans="1:2">
      <c r="A732" s="1040" t="s">
        <v>1421</v>
      </c>
      <c r="B732" s="1040" t="s">
        <v>6660</v>
      </c>
    </row>
    <row r="733" spans="1:2">
      <c r="A733" s="1040" t="s">
        <v>1423</v>
      </c>
      <c r="B733" s="1040" t="s">
        <v>6661</v>
      </c>
    </row>
    <row r="734" spans="1:2">
      <c r="A734" s="1040" t="s">
        <v>1425</v>
      </c>
      <c r="B734" s="1040" t="s">
        <v>6662</v>
      </c>
    </row>
    <row r="735" spans="1:2">
      <c r="A735" s="1040" t="s">
        <v>7151</v>
      </c>
      <c r="B735" s="1040" t="s">
        <v>6663</v>
      </c>
    </row>
    <row r="736" spans="1:2">
      <c r="A736" s="1040" t="s">
        <v>7153</v>
      </c>
      <c r="B736" s="1040" t="s">
        <v>6664</v>
      </c>
    </row>
    <row r="737" spans="1:2">
      <c r="A737" s="1040" t="s">
        <v>1833</v>
      </c>
      <c r="B737" s="1040" t="s">
        <v>6665</v>
      </c>
    </row>
    <row r="738" spans="1:2">
      <c r="A738" s="1040" t="s">
        <v>1835</v>
      </c>
      <c r="B738" s="1040" t="s">
        <v>6666</v>
      </c>
    </row>
    <row r="739" spans="1:2">
      <c r="A739" s="1040" t="s">
        <v>510</v>
      </c>
      <c r="B739" s="1040" t="s">
        <v>1921</v>
      </c>
    </row>
    <row r="740" spans="1:2">
      <c r="A740" s="1040" t="s">
        <v>3530</v>
      </c>
      <c r="B740" s="1040" t="s">
        <v>6667</v>
      </c>
    </row>
    <row r="741" spans="1:2">
      <c r="A741" s="1040" t="s">
        <v>3532</v>
      </c>
      <c r="B741" s="1040" t="s">
        <v>6668</v>
      </c>
    </row>
    <row r="742" spans="1:2">
      <c r="A742" s="1040" t="s">
        <v>3534</v>
      </c>
      <c r="B742" s="1040" t="s">
        <v>6669</v>
      </c>
    </row>
    <row r="743" spans="1:2">
      <c r="A743" s="1040" t="s">
        <v>511</v>
      </c>
      <c r="B743" s="1040" t="s">
        <v>5639</v>
      </c>
    </row>
    <row r="744" spans="1:2">
      <c r="A744" s="1040" t="s">
        <v>3539</v>
      </c>
      <c r="B744" s="1040" t="s">
        <v>6670</v>
      </c>
    </row>
    <row r="745" spans="1:2">
      <c r="A745" s="1040" t="s">
        <v>3541</v>
      </c>
      <c r="B745" s="1040" t="s">
        <v>6671</v>
      </c>
    </row>
    <row r="746" spans="1:2">
      <c r="A746" s="1040" t="s">
        <v>3543</v>
      </c>
      <c r="B746" s="1040" t="s">
        <v>278</v>
      </c>
    </row>
    <row r="747" spans="1:2">
      <c r="A747" s="1040" t="s">
        <v>129</v>
      </c>
      <c r="B747" s="1040" t="s">
        <v>372</v>
      </c>
    </row>
    <row r="748" spans="1:2">
      <c r="A748" s="1040" t="s">
        <v>6193</v>
      </c>
      <c r="B748" s="1040" t="s">
        <v>3891</v>
      </c>
    </row>
    <row r="749" spans="1:2">
      <c r="A749" s="1040" t="s">
        <v>2674</v>
      </c>
      <c r="B749" s="1040" t="s">
        <v>279</v>
      </c>
    </row>
    <row r="750" spans="1:2">
      <c r="A750" s="1040" t="s">
        <v>512</v>
      </c>
      <c r="B750" s="1040" t="s">
        <v>348</v>
      </c>
    </row>
    <row r="751" spans="1:2">
      <c r="A751" s="1040" t="s">
        <v>600</v>
      </c>
      <c r="B751" s="1040" t="s">
        <v>280</v>
      </c>
    </row>
    <row r="752" spans="1:2">
      <c r="A752" s="1040" t="s">
        <v>602</v>
      </c>
      <c r="B752" s="1040" t="s">
        <v>281</v>
      </c>
    </row>
    <row r="753" spans="1:2">
      <c r="A753" s="1040" t="s">
        <v>6188</v>
      </c>
      <c r="B753" s="1040" t="s">
        <v>3836</v>
      </c>
    </row>
    <row r="754" spans="1:2">
      <c r="A754" s="1040" t="s">
        <v>2018</v>
      </c>
      <c r="B754" s="1040" t="s">
        <v>283</v>
      </c>
    </row>
    <row r="755" spans="1:2">
      <c r="A755" s="1040" t="s">
        <v>2020</v>
      </c>
      <c r="B755" s="1040" t="s">
        <v>284</v>
      </c>
    </row>
    <row r="756" spans="1:2">
      <c r="A756" s="1040" t="s">
        <v>2024</v>
      </c>
      <c r="B756" s="1040" t="s">
        <v>285</v>
      </c>
    </row>
    <row r="757" spans="1:2">
      <c r="A757" s="1040" t="s">
        <v>2026</v>
      </c>
      <c r="B757" s="1040" t="s">
        <v>286</v>
      </c>
    </row>
    <row r="758" spans="1:2">
      <c r="A758" s="1040" t="s">
        <v>242</v>
      </c>
      <c r="B758" s="1040" t="s">
        <v>2650</v>
      </c>
    </row>
    <row r="759" spans="1:2">
      <c r="A759" s="1040" t="s">
        <v>2028</v>
      </c>
      <c r="B759" s="1040" t="s">
        <v>287</v>
      </c>
    </row>
    <row r="760" spans="1:2">
      <c r="A760" s="1040" t="s">
        <v>2030</v>
      </c>
      <c r="B760" s="1040" t="s">
        <v>288</v>
      </c>
    </row>
    <row r="761" spans="1:2">
      <c r="A761" s="1040" t="s">
        <v>2032</v>
      </c>
      <c r="B761" s="1040" t="s">
        <v>289</v>
      </c>
    </row>
    <row r="762" spans="1:2">
      <c r="A762" s="1040" t="s">
        <v>2034</v>
      </c>
      <c r="B762" s="1040" t="s">
        <v>290</v>
      </c>
    </row>
    <row r="763" spans="1:2">
      <c r="A763" s="1040" t="s">
        <v>2036</v>
      </c>
      <c r="B763" s="1040" t="s">
        <v>291</v>
      </c>
    </row>
    <row r="764" spans="1:2">
      <c r="A764" s="1040" t="s">
        <v>308</v>
      </c>
      <c r="B764" s="1040" t="s">
        <v>292</v>
      </c>
    </row>
    <row r="765" spans="1:2">
      <c r="A765" s="1040" t="s">
        <v>310</v>
      </c>
      <c r="B765" s="1040" t="s">
        <v>293</v>
      </c>
    </row>
    <row r="766" spans="1:2">
      <c r="A766" s="1040" t="s">
        <v>312</v>
      </c>
      <c r="B766" s="1040" t="s">
        <v>294</v>
      </c>
    </row>
    <row r="767" spans="1:2">
      <c r="A767" s="1040" t="s">
        <v>314</v>
      </c>
      <c r="B767" s="1040" t="s">
        <v>295</v>
      </c>
    </row>
    <row r="768" spans="1:2">
      <c r="A768" s="1040" t="s">
        <v>316</v>
      </c>
      <c r="B768" s="1040" t="s">
        <v>296</v>
      </c>
    </row>
    <row r="769" spans="1:2">
      <c r="A769" s="1040" t="s">
        <v>318</v>
      </c>
      <c r="B769" s="1040" t="s">
        <v>297</v>
      </c>
    </row>
    <row r="770" spans="1:2">
      <c r="A770" s="1040" t="s">
        <v>320</v>
      </c>
      <c r="B770" s="1040" t="s">
        <v>298</v>
      </c>
    </row>
    <row r="771" spans="1:2">
      <c r="A771" s="1040" t="s">
        <v>2319</v>
      </c>
      <c r="B771" s="1040" t="s">
        <v>299</v>
      </c>
    </row>
    <row r="772" spans="1:2">
      <c r="A772" s="1040" t="s">
        <v>2321</v>
      </c>
      <c r="B772" s="1040" t="s">
        <v>300</v>
      </c>
    </row>
    <row r="773" spans="1:2">
      <c r="A773" s="1040" t="s">
        <v>3178</v>
      </c>
      <c r="B773" s="1040" t="s">
        <v>6114</v>
      </c>
    </row>
    <row r="774" spans="1:2">
      <c r="A774" s="1040" t="s">
        <v>249</v>
      </c>
      <c r="B774" s="1040" t="s">
        <v>994</v>
      </c>
    </row>
    <row r="775" spans="1:2">
      <c r="A775" s="1040" t="s">
        <v>2323</v>
      </c>
      <c r="B775" s="1040" t="s">
        <v>301</v>
      </c>
    </row>
    <row r="776" spans="1:2">
      <c r="A776" s="1040" t="s">
        <v>513</v>
      </c>
      <c r="B776" s="1040" t="s">
        <v>3917</v>
      </c>
    </row>
    <row r="777" spans="1:2">
      <c r="A777" s="1040" t="s">
        <v>1872</v>
      </c>
      <c r="B777" s="1040" t="s">
        <v>3855</v>
      </c>
    </row>
    <row r="778" spans="1:2">
      <c r="A778" s="1040" t="s">
        <v>2325</v>
      </c>
      <c r="B778" s="1040" t="s">
        <v>302</v>
      </c>
    </row>
    <row r="779" spans="1:2">
      <c r="A779" s="1040" t="s">
        <v>2327</v>
      </c>
      <c r="B779" s="1040" t="s">
        <v>2163</v>
      </c>
    </row>
    <row r="780" spans="1:2">
      <c r="A780" s="1040" t="s">
        <v>5236</v>
      </c>
      <c r="B780" s="1040" t="s">
        <v>2646</v>
      </c>
    </row>
    <row r="781" spans="1:2">
      <c r="A781" s="1040" t="s">
        <v>7700</v>
      </c>
      <c r="B781" s="1040" t="s">
        <v>2164</v>
      </c>
    </row>
    <row r="782" spans="1:2">
      <c r="A782" s="1040" t="s">
        <v>7702</v>
      </c>
      <c r="B782" s="1040" t="s">
        <v>2165</v>
      </c>
    </row>
    <row r="783" spans="1:2">
      <c r="A783" s="1040" t="s">
        <v>7704</v>
      </c>
      <c r="B783" s="1040" t="s">
        <v>2166</v>
      </c>
    </row>
    <row r="784" spans="1:2">
      <c r="A784" s="1040" t="s">
        <v>5634</v>
      </c>
      <c r="B784" s="1040" t="s">
        <v>2167</v>
      </c>
    </row>
    <row r="785" spans="1:2">
      <c r="A785" s="1040" t="s">
        <v>5636</v>
      </c>
      <c r="B785" s="1040" t="s">
        <v>2168</v>
      </c>
    </row>
    <row r="786" spans="1:2">
      <c r="A786" s="1040" t="s">
        <v>4016</v>
      </c>
      <c r="B786" s="1040" t="s">
        <v>2169</v>
      </c>
    </row>
    <row r="787" spans="1:2">
      <c r="A787" s="1040" t="s">
        <v>4018</v>
      </c>
      <c r="B787" s="1040" t="s">
        <v>2170</v>
      </c>
    </row>
    <row r="788" spans="1:2">
      <c r="A788" s="1040" t="s">
        <v>4020</v>
      </c>
      <c r="B788" s="1040" t="s">
        <v>5648</v>
      </c>
    </row>
    <row r="789" spans="1:2">
      <c r="A789" s="1040" t="s">
        <v>4022</v>
      </c>
      <c r="B789" s="1040" t="s">
        <v>5649</v>
      </c>
    </row>
    <row r="790" spans="1:2">
      <c r="A790" s="1040" t="s">
        <v>4024</v>
      </c>
      <c r="B790" s="1040" t="s">
        <v>4025</v>
      </c>
    </row>
    <row r="791" spans="1:2">
      <c r="A791" s="1040" t="s">
        <v>1141</v>
      </c>
      <c r="B791" s="1040" t="s">
        <v>8240</v>
      </c>
    </row>
    <row r="792" spans="1:2">
      <c r="A792" s="1040" t="s">
        <v>2996</v>
      </c>
      <c r="B792" s="1040" t="s">
        <v>202</v>
      </c>
    </row>
    <row r="793" spans="1:2">
      <c r="A793" s="1040" t="s">
        <v>4028</v>
      </c>
      <c r="B793" s="1040" t="s">
        <v>5650</v>
      </c>
    </row>
    <row r="794" spans="1:2">
      <c r="A794" s="1040" t="s">
        <v>4030</v>
      </c>
      <c r="B794" s="1040" t="s">
        <v>5651</v>
      </c>
    </row>
    <row r="795" spans="1:2">
      <c r="A795" s="1040" t="s">
        <v>2903</v>
      </c>
      <c r="B795" s="1040" t="s">
        <v>203</v>
      </c>
    </row>
    <row r="796" spans="1:2">
      <c r="A796" s="1040" t="s">
        <v>1310</v>
      </c>
      <c r="B796" s="1040" t="s">
        <v>115</v>
      </c>
    </row>
    <row r="797" spans="1:2">
      <c r="A797" s="1040" t="s">
        <v>4032</v>
      </c>
      <c r="B797" s="1040" t="s">
        <v>5652</v>
      </c>
    </row>
    <row r="798" spans="1:2">
      <c r="A798" s="1040" t="s">
        <v>2397</v>
      </c>
      <c r="B798" s="1040" t="s">
        <v>1464</v>
      </c>
    </row>
    <row r="799" spans="1:2">
      <c r="A799" s="1040" t="s">
        <v>669</v>
      </c>
      <c r="B799" s="1040" t="s">
        <v>5653</v>
      </c>
    </row>
    <row r="800" spans="1:2">
      <c r="A800" s="1040" t="s">
        <v>1144</v>
      </c>
      <c r="B800" s="1040" t="s">
        <v>1145</v>
      </c>
    </row>
    <row r="801" spans="1:2">
      <c r="A801" s="1040" t="s">
        <v>4151</v>
      </c>
      <c r="B801" s="1040" t="s">
        <v>5654</v>
      </c>
    </row>
    <row r="802" spans="1:2">
      <c r="A802" s="1040" t="s">
        <v>4153</v>
      </c>
      <c r="B802" s="1040" t="s">
        <v>3100</v>
      </c>
    </row>
    <row r="803" spans="1:2">
      <c r="A803" s="1040" t="s">
        <v>4155</v>
      </c>
      <c r="B803" s="1040" t="s">
        <v>3101</v>
      </c>
    </row>
    <row r="804" spans="1:2">
      <c r="A804" s="1040" t="s">
        <v>4157</v>
      </c>
      <c r="B804" s="1040" t="s">
        <v>3102</v>
      </c>
    </row>
    <row r="805" spans="1:2">
      <c r="A805" s="1040" t="s">
        <v>3000</v>
      </c>
      <c r="B805" s="1040" t="s">
        <v>6547</v>
      </c>
    </row>
    <row r="806" spans="1:2">
      <c r="A806" s="1040" t="s">
        <v>4159</v>
      </c>
      <c r="B806" s="1040" t="s">
        <v>3103</v>
      </c>
    </row>
    <row r="807" spans="1:2">
      <c r="A807" s="1040" t="s">
        <v>4161</v>
      </c>
      <c r="B807" s="1040" t="s">
        <v>3104</v>
      </c>
    </row>
    <row r="808" spans="1:2">
      <c r="A808" s="1040" t="s">
        <v>4163</v>
      </c>
      <c r="B808" s="1040" t="s">
        <v>3105</v>
      </c>
    </row>
    <row r="809" spans="1:2">
      <c r="A809" s="1040" t="s">
        <v>4165</v>
      </c>
      <c r="B809" s="1040" t="s">
        <v>3106</v>
      </c>
    </row>
    <row r="810" spans="1:2">
      <c r="A810" s="1040" t="s">
        <v>4167</v>
      </c>
      <c r="B810" s="1040" t="s">
        <v>3107</v>
      </c>
    </row>
    <row r="811" spans="1:2">
      <c r="A811" s="1040" t="s">
        <v>4169</v>
      </c>
      <c r="B811" s="1040" t="s">
        <v>3108</v>
      </c>
    </row>
    <row r="812" spans="1:2">
      <c r="A812" s="1040" t="s">
        <v>4171</v>
      </c>
      <c r="B812" s="1040" t="s">
        <v>713</v>
      </c>
    </row>
    <row r="813" spans="1:2">
      <c r="A813" s="1040" t="s">
        <v>2055</v>
      </c>
      <c r="B813" s="1040" t="s">
        <v>714</v>
      </c>
    </row>
    <row r="814" spans="1:2">
      <c r="A814" s="1040" t="s">
        <v>2057</v>
      </c>
      <c r="B814" s="1040" t="s">
        <v>715</v>
      </c>
    </row>
    <row r="815" spans="1:2">
      <c r="A815" s="1040" t="s">
        <v>2059</v>
      </c>
      <c r="B815" s="1040" t="s">
        <v>716</v>
      </c>
    </row>
    <row r="816" spans="1:2">
      <c r="A816" s="1040" t="s">
        <v>1814</v>
      </c>
      <c r="B816" s="1040" t="s">
        <v>3011</v>
      </c>
    </row>
    <row r="817" spans="1:2">
      <c r="A817" s="1040" t="s">
        <v>958</v>
      </c>
      <c r="B817" s="1040" t="s">
        <v>7665</v>
      </c>
    </row>
    <row r="818" spans="1:2">
      <c r="A818" s="1040" t="s">
        <v>2061</v>
      </c>
      <c r="B818" s="1040" t="s">
        <v>717</v>
      </c>
    </row>
    <row r="819" spans="1:2">
      <c r="A819" s="1040" t="s">
        <v>1845</v>
      </c>
      <c r="B819" s="1040" t="s">
        <v>197</v>
      </c>
    </row>
    <row r="820" spans="1:2">
      <c r="A820" s="1040" t="s">
        <v>1146</v>
      </c>
      <c r="B820" s="1040" t="s">
        <v>7995</v>
      </c>
    </row>
    <row r="821" spans="1:2">
      <c r="A821" s="1040" t="s">
        <v>1148</v>
      </c>
      <c r="B821" s="1040" t="s">
        <v>7996</v>
      </c>
    </row>
    <row r="822" spans="1:2">
      <c r="A822" s="1040" t="s">
        <v>177</v>
      </c>
      <c r="B822" s="1040" t="s">
        <v>7997</v>
      </c>
    </row>
    <row r="823" spans="1:2">
      <c r="A823" s="1040" t="s">
        <v>5237</v>
      </c>
      <c r="B823" s="1040" t="s">
        <v>1666</v>
      </c>
    </row>
    <row r="824" spans="1:2">
      <c r="A824" s="1040" t="s">
        <v>2065</v>
      </c>
      <c r="B824" s="1040" t="s">
        <v>2855</v>
      </c>
    </row>
    <row r="825" spans="1:2">
      <c r="A825" s="1040" t="s">
        <v>2905</v>
      </c>
      <c r="B825" s="1040" t="s">
        <v>2155</v>
      </c>
    </row>
    <row r="826" spans="1:2">
      <c r="A826" s="1040" t="s">
        <v>5238</v>
      </c>
      <c r="B826" s="1040" t="s">
        <v>200</v>
      </c>
    </row>
    <row r="827" spans="1:2">
      <c r="A827" s="1040" t="s">
        <v>6163</v>
      </c>
      <c r="B827" s="1040" t="s">
        <v>6067</v>
      </c>
    </row>
    <row r="828" spans="1:2">
      <c r="A828" s="1040" t="s">
        <v>2470</v>
      </c>
      <c r="B828" s="1040" t="s">
        <v>6075</v>
      </c>
    </row>
    <row r="829" spans="1:2">
      <c r="A829" s="1040" t="s">
        <v>973</v>
      </c>
      <c r="B829" s="1040" t="s">
        <v>718</v>
      </c>
    </row>
    <row r="830" spans="1:2">
      <c r="A830" s="1040" t="s">
        <v>2769</v>
      </c>
      <c r="B830" s="1040" t="s">
        <v>359</v>
      </c>
    </row>
    <row r="831" spans="1:2">
      <c r="A831" s="1040" t="s">
        <v>3553</v>
      </c>
      <c r="B831" s="1040" t="s">
        <v>4060</v>
      </c>
    </row>
    <row r="832" spans="1:2">
      <c r="A832" s="1040" t="s">
        <v>3556</v>
      </c>
      <c r="B832" s="1040" t="s">
        <v>4067</v>
      </c>
    </row>
    <row r="833" spans="1:2">
      <c r="A833" s="1040" t="s">
        <v>5052</v>
      </c>
      <c r="B833" s="1040" t="s">
        <v>719</v>
      </c>
    </row>
    <row r="834" spans="1:2">
      <c r="A834" s="1040" t="s">
        <v>5054</v>
      </c>
      <c r="B834" s="1040" t="s">
        <v>720</v>
      </c>
    </row>
    <row r="835" spans="1:2">
      <c r="A835" s="1040" t="s">
        <v>737</v>
      </c>
      <c r="B835" s="1040" t="s">
        <v>6110</v>
      </c>
    </row>
    <row r="836" spans="1:2">
      <c r="A836" s="1040" t="s">
        <v>237</v>
      </c>
      <c r="B836" s="1040" t="s">
        <v>2644</v>
      </c>
    </row>
    <row r="837" spans="1:2">
      <c r="A837" s="1040" t="s">
        <v>2307</v>
      </c>
      <c r="B837" s="1040" t="s">
        <v>365</v>
      </c>
    </row>
    <row r="838" spans="1:2">
      <c r="A838" s="1040" t="s">
        <v>957</v>
      </c>
      <c r="B838" s="1040" t="s">
        <v>7664</v>
      </c>
    </row>
    <row r="839" spans="1:2">
      <c r="A839" s="1040" t="s">
        <v>5056</v>
      </c>
      <c r="B839" s="1040" t="s">
        <v>721</v>
      </c>
    </row>
    <row r="840" spans="1:2">
      <c r="A840" s="1040" t="s">
        <v>5137</v>
      </c>
      <c r="B840" s="1040" t="s">
        <v>722</v>
      </c>
    </row>
    <row r="841" spans="1:2">
      <c r="A841" s="1040" t="s">
        <v>1154</v>
      </c>
      <c r="B841" s="1040" t="s">
        <v>1155</v>
      </c>
    </row>
    <row r="842" spans="1:2">
      <c r="A842" s="1040" t="s">
        <v>4568</v>
      </c>
      <c r="B842" s="1040" t="s">
        <v>723</v>
      </c>
    </row>
    <row r="843" spans="1:2">
      <c r="A843" s="1040" t="s">
        <v>2053</v>
      </c>
      <c r="B843" s="1040" t="s">
        <v>999</v>
      </c>
    </row>
    <row r="844" spans="1:2">
      <c r="A844" s="1040" t="s">
        <v>1846</v>
      </c>
      <c r="B844" s="1040" t="s">
        <v>1001</v>
      </c>
    </row>
    <row r="845" spans="1:2">
      <c r="A845" s="1040" t="s">
        <v>5239</v>
      </c>
      <c r="B845" s="1040" t="s">
        <v>505</v>
      </c>
    </row>
    <row r="846" spans="1:2">
      <c r="A846" s="1040" t="s">
        <v>1870</v>
      </c>
      <c r="B846" s="1040" t="s">
        <v>3849</v>
      </c>
    </row>
    <row r="847" spans="1:2">
      <c r="A847" s="1040" t="s">
        <v>6169</v>
      </c>
      <c r="B847" s="1040" t="s">
        <v>6079</v>
      </c>
    </row>
    <row r="848" spans="1:2">
      <c r="A848" s="1040" t="s">
        <v>574</v>
      </c>
      <c r="B848" s="1040" t="s">
        <v>724</v>
      </c>
    </row>
    <row r="849" spans="1:2">
      <c r="A849" s="1040" t="s">
        <v>1158</v>
      </c>
      <c r="B849" s="1040" t="s">
        <v>1159</v>
      </c>
    </row>
    <row r="850" spans="1:2">
      <c r="A850" s="1040" t="s">
        <v>6172</v>
      </c>
      <c r="B850" s="1040" t="s">
        <v>497</v>
      </c>
    </row>
    <row r="851" spans="1:2">
      <c r="A851" s="1040" t="s">
        <v>578</v>
      </c>
      <c r="B851" s="1040" t="s">
        <v>725</v>
      </c>
    </row>
    <row r="852" spans="1:2">
      <c r="A852" s="1040" t="s">
        <v>1161</v>
      </c>
      <c r="B852" s="1040" t="s">
        <v>1162</v>
      </c>
    </row>
    <row r="853" spans="1:2">
      <c r="A853" s="1040" t="s">
        <v>980</v>
      </c>
      <c r="B853" s="1040" t="s">
        <v>6098</v>
      </c>
    </row>
    <row r="854" spans="1:2">
      <c r="A854" s="1040" t="s">
        <v>3972</v>
      </c>
      <c r="B854" s="1040" t="s">
        <v>726</v>
      </c>
    </row>
    <row r="855" spans="1:2">
      <c r="A855" s="1040" t="s">
        <v>6173</v>
      </c>
      <c r="B855" s="1040" t="s">
        <v>727</v>
      </c>
    </row>
    <row r="856" spans="1:2">
      <c r="A856" s="1040" t="s">
        <v>3974</v>
      </c>
      <c r="B856" s="1040" t="s">
        <v>728</v>
      </c>
    </row>
    <row r="857" spans="1:2">
      <c r="A857" s="1040" t="s">
        <v>814</v>
      </c>
      <c r="B857" s="1040" t="s">
        <v>729</v>
      </c>
    </row>
    <row r="858" spans="1:2">
      <c r="A858" s="1040" t="s">
        <v>4587</v>
      </c>
      <c r="B858" s="1040" t="s">
        <v>2144</v>
      </c>
    </row>
    <row r="859" spans="1:2">
      <c r="A859" s="1040" t="s">
        <v>1852</v>
      </c>
      <c r="B859" s="1040" t="s">
        <v>4963</v>
      </c>
    </row>
    <row r="860" spans="1:2">
      <c r="A860" s="1040" t="s">
        <v>141</v>
      </c>
      <c r="B860" s="1040" t="s">
        <v>730</v>
      </c>
    </row>
    <row r="861" spans="1:2">
      <c r="A861" s="1040" t="s">
        <v>1847</v>
      </c>
      <c r="B861" s="1040" t="s">
        <v>351</v>
      </c>
    </row>
    <row r="862" spans="1:2">
      <c r="A862" s="1040" t="s">
        <v>145</v>
      </c>
      <c r="B862" s="1040" t="s">
        <v>525</v>
      </c>
    </row>
    <row r="863" spans="1:2">
      <c r="A863" s="1040" t="s">
        <v>147</v>
      </c>
      <c r="B863" s="1040" t="s">
        <v>526</v>
      </c>
    </row>
    <row r="864" spans="1:2">
      <c r="A864" s="1040" t="s">
        <v>149</v>
      </c>
      <c r="B864" s="1040" t="s">
        <v>527</v>
      </c>
    </row>
    <row r="865" spans="1:2">
      <c r="A865" s="1040" t="s">
        <v>1956</v>
      </c>
      <c r="B865" s="1040" t="s">
        <v>528</v>
      </c>
    </row>
    <row r="866" spans="1:2">
      <c r="A866" s="1040" t="s">
        <v>1958</v>
      </c>
      <c r="B866" s="1040" t="s">
        <v>529</v>
      </c>
    </row>
    <row r="867" spans="1:2">
      <c r="A867" s="1040" t="s">
        <v>1960</v>
      </c>
      <c r="B867" s="1040" t="s">
        <v>530</v>
      </c>
    </row>
    <row r="868" spans="1:2">
      <c r="A868" s="1040" t="s">
        <v>2039</v>
      </c>
      <c r="B868" s="1040" t="s">
        <v>531</v>
      </c>
    </row>
    <row r="869" spans="1:2">
      <c r="A869" s="1040" t="s">
        <v>2041</v>
      </c>
      <c r="B869" s="1040" t="s">
        <v>532</v>
      </c>
    </row>
    <row r="870" spans="1:2">
      <c r="A870" s="1040" t="s">
        <v>1825</v>
      </c>
      <c r="B870" s="1040" t="s">
        <v>533</v>
      </c>
    </row>
    <row r="871" spans="1:2">
      <c r="A871" s="1040" t="s">
        <v>1827</v>
      </c>
      <c r="B871" s="1040" t="s">
        <v>534</v>
      </c>
    </row>
    <row r="872" spans="1:2">
      <c r="A872" s="1040" t="s">
        <v>1163</v>
      </c>
      <c r="B872" s="1040" t="s">
        <v>1164</v>
      </c>
    </row>
    <row r="873" spans="1:2">
      <c r="A873" s="1040" t="s">
        <v>238</v>
      </c>
      <c r="B873" s="1040" t="s">
        <v>2645</v>
      </c>
    </row>
    <row r="874" spans="1:2">
      <c r="A874" s="1040" t="s">
        <v>1829</v>
      </c>
      <c r="B874" s="1040" t="s">
        <v>535</v>
      </c>
    </row>
    <row r="875" spans="1:2">
      <c r="A875" s="1040" t="s">
        <v>859</v>
      </c>
      <c r="B875" s="1040" t="s">
        <v>2003</v>
      </c>
    </row>
    <row r="876" spans="1:2">
      <c r="A876" s="1040" t="s">
        <v>3001</v>
      </c>
      <c r="B876" s="1040" t="s">
        <v>6060</v>
      </c>
    </row>
    <row r="877" spans="1:2">
      <c r="A877" s="1040" t="s">
        <v>2405</v>
      </c>
      <c r="B877" s="1040" t="s">
        <v>2350</v>
      </c>
    </row>
    <row r="878" spans="1:2">
      <c r="A878" s="1040" t="s">
        <v>2907</v>
      </c>
      <c r="B878" s="1040" t="s">
        <v>1933</v>
      </c>
    </row>
    <row r="879" spans="1:2">
      <c r="A879" s="1040" t="s">
        <v>1222</v>
      </c>
      <c r="B879" s="1040" t="s">
        <v>536</v>
      </c>
    </row>
    <row r="880" spans="1:2">
      <c r="A880" s="1040" t="s">
        <v>1224</v>
      </c>
      <c r="B880" s="1040" t="s">
        <v>537</v>
      </c>
    </row>
    <row r="881" spans="1:2">
      <c r="A881" s="1040" t="s">
        <v>5375</v>
      </c>
      <c r="B881" s="1040" t="s">
        <v>538</v>
      </c>
    </row>
    <row r="882" spans="1:2">
      <c r="A882" s="1040" t="s">
        <v>5377</v>
      </c>
      <c r="B882" s="1040" t="s">
        <v>6619</v>
      </c>
    </row>
    <row r="883" spans="1:2">
      <c r="A883" s="1040" t="s">
        <v>5379</v>
      </c>
      <c r="B883" s="1040" t="s">
        <v>540</v>
      </c>
    </row>
    <row r="884" spans="1:2">
      <c r="A884" s="1040" t="s">
        <v>7800</v>
      </c>
      <c r="B884" s="1040" t="s">
        <v>8241</v>
      </c>
    </row>
    <row r="885" spans="1:2">
      <c r="A885" s="1040" t="s">
        <v>642</v>
      </c>
      <c r="B885" s="1040" t="s">
        <v>6111</v>
      </c>
    </row>
    <row r="886" spans="1:2">
      <c r="A886" s="1040" t="s">
        <v>2618</v>
      </c>
      <c r="B886" s="1040" t="s">
        <v>541</v>
      </c>
    </row>
    <row r="887" spans="1:2">
      <c r="A887" s="1040" t="s">
        <v>644</v>
      </c>
      <c r="B887" s="1040" t="s">
        <v>123</v>
      </c>
    </row>
    <row r="888" spans="1:2">
      <c r="A888" s="1040" t="s">
        <v>2620</v>
      </c>
      <c r="B888" s="1040" t="s">
        <v>542</v>
      </c>
    </row>
    <row r="889" spans="1:2">
      <c r="A889" s="1040" t="s">
        <v>4588</v>
      </c>
      <c r="B889" s="1040" t="s">
        <v>2006</v>
      </c>
    </row>
    <row r="890" spans="1:2">
      <c r="A890" s="1040" t="s">
        <v>2622</v>
      </c>
      <c r="B890" s="1040" t="s">
        <v>543</v>
      </c>
    </row>
    <row r="891" spans="1:2">
      <c r="A891" s="1040" t="s">
        <v>2624</v>
      </c>
      <c r="B891" s="1040" t="s">
        <v>544</v>
      </c>
    </row>
    <row r="892" spans="1:2">
      <c r="A892" s="1040" t="s">
        <v>1523</v>
      </c>
      <c r="B892" s="1040" t="s">
        <v>1929</v>
      </c>
    </row>
    <row r="893" spans="1:2">
      <c r="A893" s="1040" t="s">
        <v>2626</v>
      </c>
      <c r="B893" s="1040" t="s">
        <v>545</v>
      </c>
    </row>
    <row r="894" spans="1:2">
      <c r="A894" s="1040" t="s">
        <v>2628</v>
      </c>
      <c r="B894" s="1040" t="s">
        <v>546</v>
      </c>
    </row>
    <row r="895" spans="1:2">
      <c r="A895" s="1040" t="s">
        <v>241</v>
      </c>
      <c r="B895" s="1040" t="s">
        <v>2649</v>
      </c>
    </row>
    <row r="896" spans="1:2">
      <c r="A896" s="1040" t="s">
        <v>248</v>
      </c>
      <c r="B896" s="1040" t="s">
        <v>993</v>
      </c>
    </row>
    <row r="897" spans="1:2">
      <c r="A897" s="1040" t="s">
        <v>5084</v>
      </c>
      <c r="B897" s="1040" t="s">
        <v>547</v>
      </c>
    </row>
    <row r="898" spans="1:2">
      <c r="A898" s="1040" t="s">
        <v>2534</v>
      </c>
      <c r="B898" s="1040" t="s">
        <v>1919</v>
      </c>
    </row>
    <row r="899" spans="1:2">
      <c r="A899" s="1040" t="s">
        <v>5086</v>
      </c>
      <c r="B899" s="1040" t="s">
        <v>548</v>
      </c>
    </row>
    <row r="900" spans="1:2">
      <c r="A900" s="1040" t="s">
        <v>2768</v>
      </c>
      <c r="B900" s="1040" t="s">
        <v>358</v>
      </c>
    </row>
    <row r="901" spans="1:2">
      <c r="A901" s="1040" t="s">
        <v>5088</v>
      </c>
      <c r="B901" s="1040" t="s">
        <v>549</v>
      </c>
    </row>
    <row r="902" spans="1:2">
      <c r="A902" s="1040" t="s">
        <v>6181</v>
      </c>
      <c r="B902" s="1040" t="s">
        <v>1936</v>
      </c>
    </row>
    <row r="903" spans="1:2">
      <c r="A903" s="1040" t="s">
        <v>1848</v>
      </c>
      <c r="B903" s="1040" t="s">
        <v>1000</v>
      </c>
    </row>
    <row r="904" spans="1:2">
      <c r="A904" s="1040" t="s">
        <v>2471</v>
      </c>
      <c r="B904" s="1040" t="s">
        <v>8242</v>
      </c>
    </row>
    <row r="905" spans="1:2">
      <c r="A905" s="1040" t="s">
        <v>6044</v>
      </c>
      <c r="B905" s="1040" t="s">
        <v>550</v>
      </c>
    </row>
    <row r="906" spans="1:2">
      <c r="A906" s="1040" t="s">
        <v>6046</v>
      </c>
      <c r="B906" s="1040" t="s">
        <v>4207</v>
      </c>
    </row>
    <row r="907" spans="1:2">
      <c r="A907" s="1040" t="s">
        <v>4185</v>
      </c>
      <c r="B907" s="1040" t="s">
        <v>552</v>
      </c>
    </row>
    <row r="908" spans="1:2">
      <c r="A908" s="1040" t="s">
        <v>1167</v>
      </c>
      <c r="B908" s="1040" t="s">
        <v>8243</v>
      </c>
    </row>
    <row r="909" spans="1:2">
      <c r="A909" s="1040" t="s">
        <v>1175</v>
      </c>
      <c r="B909" s="1040" t="s">
        <v>8244</v>
      </c>
    </row>
    <row r="910" spans="1:2">
      <c r="A910" s="1040" t="s">
        <v>178</v>
      </c>
      <c r="B910" s="1040" t="s">
        <v>8245</v>
      </c>
    </row>
    <row r="911" spans="1:2">
      <c r="A911" s="1040" t="s">
        <v>6689</v>
      </c>
      <c r="B911" s="1040" t="s">
        <v>553</v>
      </c>
    </row>
    <row r="912" spans="1:2">
      <c r="A912" s="1040" t="s">
        <v>6691</v>
      </c>
      <c r="B912" s="1040" t="s">
        <v>4211</v>
      </c>
    </row>
    <row r="913" spans="1:2">
      <c r="A913" s="1040" t="s">
        <v>6693</v>
      </c>
      <c r="B913" s="1040" t="s">
        <v>555</v>
      </c>
    </row>
    <row r="914" spans="1:2">
      <c r="A914" s="1040" t="s">
        <v>240</v>
      </c>
      <c r="B914" s="1040" t="s">
        <v>2648</v>
      </c>
    </row>
    <row r="915" spans="1:2">
      <c r="A915" s="1040" t="s">
        <v>6695</v>
      </c>
      <c r="B915" s="1040" t="s">
        <v>556</v>
      </c>
    </row>
    <row r="916" spans="1:2">
      <c r="A916" s="1040" t="s">
        <v>745</v>
      </c>
      <c r="B916" s="1040" t="s">
        <v>557</v>
      </c>
    </row>
    <row r="917" spans="1:2">
      <c r="A917" s="1040" t="s">
        <v>747</v>
      </c>
      <c r="B917" s="1040" t="s">
        <v>558</v>
      </c>
    </row>
    <row r="918" spans="1:2">
      <c r="A918" s="1040" t="s">
        <v>2308</v>
      </c>
      <c r="B918" s="1040" t="s">
        <v>366</v>
      </c>
    </row>
    <row r="919" spans="1:2">
      <c r="A919" s="1040" t="s">
        <v>749</v>
      </c>
      <c r="B919" s="1040" t="s">
        <v>559</v>
      </c>
    </row>
    <row r="920" spans="1:2">
      <c r="A920" s="1040" t="s">
        <v>2953</v>
      </c>
      <c r="B920" s="1040" t="s">
        <v>560</v>
      </c>
    </row>
    <row r="921" spans="1:2">
      <c r="A921" s="1040" t="s">
        <v>2955</v>
      </c>
      <c r="B921" s="1040" t="s">
        <v>561</v>
      </c>
    </row>
    <row r="922" spans="1:2">
      <c r="A922" s="1040" t="s">
        <v>2957</v>
      </c>
      <c r="B922" s="1040" t="s">
        <v>562</v>
      </c>
    </row>
    <row r="923" spans="1:2">
      <c r="A923" s="1040" t="s">
        <v>1176</v>
      </c>
      <c r="B923" s="1040" t="s">
        <v>1177</v>
      </c>
    </row>
    <row r="924" spans="1:2">
      <c r="A924" s="1040" t="s">
        <v>5123</v>
      </c>
      <c r="B924" s="1040" t="s">
        <v>337</v>
      </c>
    </row>
    <row r="925" spans="1:2">
      <c r="A925" s="1040" t="s">
        <v>7156</v>
      </c>
      <c r="B925" s="1040" t="s">
        <v>1178</v>
      </c>
    </row>
    <row r="926" spans="1:2">
      <c r="A926" s="1040" t="s">
        <v>4119</v>
      </c>
      <c r="B926" s="1040" t="s">
        <v>563</v>
      </c>
    </row>
    <row r="927" spans="1:2">
      <c r="A927" s="1040" t="s">
        <v>4121</v>
      </c>
      <c r="B927" s="1040" t="s">
        <v>564</v>
      </c>
    </row>
    <row r="928" spans="1:2">
      <c r="A928" s="1040" t="s">
        <v>4123</v>
      </c>
      <c r="B928" s="1040" t="s">
        <v>565</v>
      </c>
    </row>
    <row r="929" spans="1:2">
      <c r="A929" s="1040" t="s">
        <v>5032</v>
      </c>
      <c r="B929" s="1040" t="s">
        <v>7666</v>
      </c>
    </row>
    <row r="930" spans="1:2">
      <c r="A930" s="1040" t="s">
        <v>4125</v>
      </c>
      <c r="B930" s="1040" t="s">
        <v>566</v>
      </c>
    </row>
    <row r="931" spans="1:2">
      <c r="A931" s="1040" t="s">
        <v>4127</v>
      </c>
      <c r="B931" s="1040" t="s">
        <v>4229</v>
      </c>
    </row>
    <row r="932" spans="1:2">
      <c r="A932" s="1040" t="s">
        <v>5033</v>
      </c>
      <c r="B932" s="1040" t="s">
        <v>4059</v>
      </c>
    </row>
    <row r="933" spans="1:2">
      <c r="A933" s="1040" t="s">
        <v>4129</v>
      </c>
      <c r="B933" s="1040" t="s">
        <v>1621</v>
      </c>
    </row>
    <row r="934" spans="1:2">
      <c r="A934" s="1040" t="s">
        <v>1179</v>
      </c>
      <c r="B934" s="1040" t="s">
        <v>1180</v>
      </c>
    </row>
    <row r="935" spans="1:2">
      <c r="A935" s="1040" t="s">
        <v>4131</v>
      </c>
      <c r="B935" s="1040" t="s">
        <v>1622</v>
      </c>
    </row>
    <row r="936" spans="1:2">
      <c r="A936" s="1040" t="s">
        <v>4133</v>
      </c>
      <c r="B936" s="1040" t="s">
        <v>1623</v>
      </c>
    </row>
    <row r="937" spans="1:2">
      <c r="A937" s="1040" t="s">
        <v>6175</v>
      </c>
      <c r="B937" s="1040" t="s">
        <v>501</v>
      </c>
    </row>
    <row r="938" spans="1:2">
      <c r="A938" s="1040" t="s">
        <v>4135</v>
      </c>
      <c r="B938" s="1040" t="s">
        <v>1624</v>
      </c>
    </row>
    <row r="939" spans="1:2">
      <c r="A939" s="1040" t="s">
        <v>4137</v>
      </c>
      <c r="B939" s="1040" t="s">
        <v>1625</v>
      </c>
    </row>
    <row r="940" spans="1:2">
      <c r="A940" s="1040" t="s">
        <v>4139</v>
      </c>
      <c r="B940" s="1040" t="s">
        <v>1626</v>
      </c>
    </row>
    <row r="941" spans="1:2">
      <c r="A941" s="1040" t="s">
        <v>1181</v>
      </c>
      <c r="B941" s="1040" t="s">
        <v>1182</v>
      </c>
    </row>
    <row r="942" spans="1:2">
      <c r="A942" s="1040" t="s">
        <v>4141</v>
      </c>
      <c r="B942" s="1040" t="s">
        <v>1627</v>
      </c>
    </row>
    <row r="943" spans="1:2">
      <c r="A943" s="1040" t="s">
        <v>4143</v>
      </c>
      <c r="B943" s="1040" t="s">
        <v>1628</v>
      </c>
    </row>
    <row r="944" spans="1:2">
      <c r="A944" s="1040" t="s">
        <v>1318</v>
      </c>
      <c r="B944" s="1040" t="s">
        <v>124</v>
      </c>
    </row>
    <row r="945" spans="1:2">
      <c r="A945" s="1040" t="s">
        <v>179</v>
      </c>
      <c r="B945" s="1040" t="s">
        <v>8003</v>
      </c>
    </row>
    <row r="946" spans="1:2">
      <c r="A946" s="1040" t="s">
        <v>2536</v>
      </c>
      <c r="B946" s="1040" t="s">
        <v>344</v>
      </c>
    </row>
    <row r="947" spans="1:2">
      <c r="A947" s="1040" t="s">
        <v>2407</v>
      </c>
      <c r="B947" s="1040" t="s">
        <v>2352</v>
      </c>
    </row>
    <row r="948" spans="1:2">
      <c r="A948" s="1040" t="s">
        <v>5034</v>
      </c>
      <c r="B948" s="1040" t="s">
        <v>4064</v>
      </c>
    </row>
    <row r="949" spans="1:2">
      <c r="A949" s="1040" t="s">
        <v>6174</v>
      </c>
      <c r="B949" s="1040" t="s">
        <v>500</v>
      </c>
    </row>
    <row r="950" spans="1:2">
      <c r="A950" s="1040" t="s">
        <v>4145</v>
      </c>
      <c r="B950" s="1040" t="s">
        <v>1629</v>
      </c>
    </row>
    <row r="951" spans="1:2">
      <c r="A951" s="1040" t="s">
        <v>6196</v>
      </c>
      <c r="B951" s="1040" t="s">
        <v>5295</v>
      </c>
    </row>
    <row r="952" spans="1:2">
      <c r="A952" s="1040" t="s">
        <v>6131</v>
      </c>
      <c r="B952" s="1040" t="s">
        <v>7667</v>
      </c>
    </row>
    <row r="953" spans="1:2">
      <c r="A953" s="1040" t="s">
        <v>254</v>
      </c>
      <c r="B953" s="1040" t="s">
        <v>1630</v>
      </c>
    </row>
    <row r="954" spans="1:2">
      <c r="A954" s="1040" t="s">
        <v>256</v>
      </c>
      <c r="B954" s="1040" t="s">
        <v>1631</v>
      </c>
    </row>
    <row r="955" spans="1:2">
      <c r="A955" s="1040" t="s">
        <v>258</v>
      </c>
      <c r="B955" s="1040" t="s">
        <v>1632</v>
      </c>
    </row>
    <row r="956" spans="1:2">
      <c r="A956" s="1040" t="s">
        <v>260</v>
      </c>
      <c r="B956" s="1040" t="s">
        <v>1633</v>
      </c>
    </row>
    <row r="957" spans="1:2">
      <c r="A957" s="1040" t="s">
        <v>262</v>
      </c>
      <c r="B957" s="1040" t="s">
        <v>1634</v>
      </c>
    </row>
    <row r="958" spans="1:2">
      <c r="A958" s="1040" t="s">
        <v>872</v>
      </c>
      <c r="B958" s="1040" t="s">
        <v>397</v>
      </c>
    </row>
    <row r="959" spans="1:2">
      <c r="A959" s="1040" t="s">
        <v>874</v>
      </c>
      <c r="B959" s="1040" t="s">
        <v>6848</v>
      </c>
    </row>
    <row r="960" spans="1:2">
      <c r="A960" s="1040" t="s">
        <v>876</v>
      </c>
      <c r="B960" s="1040" t="s">
        <v>399</v>
      </c>
    </row>
    <row r="961" spans="1:2">
      <c r="A961" s="1040" t="s">
        <v>3040</v>
      </c>
      <c r="B961" s="1040" t="s">
        <v>400</v>
      </c>
    </row>
    <row r="962" spans="1:2">
      <c r="A962" s="1040" t="s">
        <v>3042</v>
      </c>
      <c r="B962" s="1040" t="s">
        <v>401</v>
      </c>
    </row>
    <row r="963" spans="1:2">
      <c r="A963" s="1040" t="s">
        <v>709</v>
      </c>
      <c r="B963" s="1040" t="s">
        <v>402</v>
      </c>
    </row>
    <row r="964" spans="1:2">
      <c r="A964" s="1040" t="s">
        <v>3044</v>
      </c>
      <c r="B964" s="1040" t="s">
        <v>403</v>
      </c>
    </row>
    <row r="965" spans="1:2">
      <c r="A965" s="1040" t="s">
        <v>2992</v>
      </c>
      <c r="B965" s="1040" t="s">
        <v>195</v>
      </c>
    </row>
    <row r="966" spans="1:2">
      <c r="A966" s="1040" t="s">
        <v>3046</v>
      </c>
      <c r="B966" s="1040" t="s">
        <v>404</v>
      </c>
    </row>
    <row r="967" spans="1:2">
      <c r="A967" s="1040" t="s">
        <v>264</v>
      </c>
      <c r="B967" s="1040" t="s">
        <v>7681</v>
      </c>
    </row>
    <row r="968" spans="1:2">
      <c r="A968" s="1040" t="s">
        <v>2306</v>
      </c>
      <c r="B968" s="1040" t="s">
        <v>363</v>
      </c>
    </row>
    <row r="969" spans="1:2">
      <c r="A969" s="1040" t="s">
        <v>3048</v>
      </c>
      <c r="B969" s="1040" t="s">
        <v>2898</v>
      </c>
    </row>
    <row r="970" spans="1:2">
      <c r="A970" s="1040" t="s">
        <v>3049</v>
      </c>
      <c r="B970" s="1040" t="s">
        <v>405</v>
      </c>
    </row>
    <row r="971" spans="1:2">
      <c r="A971" s="1040" t="s">
        <v>1185</v>
      </c>
      <c r="B971" s="1040" t="s">
        <v>1186</v>
      </c>
    </row>
    <row r="972" spans="1:2">
      <c r="A972" s="1040" t="s">
        <v>5035</v>
      </c>
      <c r="B972" s="1040" t="s">
        <v>6064</v>
      </c>
    </row>
    <row r="973" spans="1:2">
      <c r="A973" s="1040" t="s">
        <v>5131</v>
      </c>
      <c r="B973" s="1040" t="s">
        <v>350</v>
      </c>
    </row>
    <row r="974" spans="1:2">
      <c r="A974" s="1040" t="s">
        <v>5231</v>
      </c>
      <c r="B974" s="1040" t="s">
        <v>406</v>
      </c>
    </row>
    <row r="975" spans="1:2">
      <c r="A975" s="1040" t="s">
        <v>3109</v>
      </c>
      <c r="B975" s="1040" t="s">
        <v>4271</v>
      </c>
    </row>
    <row r="976" spans="1:2">
      <c r="A976" s="1040" t="s">
        <v>3111</v>
      </c>
      <c r="B976" s="1040" t="s">
        <v>3193</v>
      </c>
    </row>
    <row r="977" spans="1:2">
      <c r="A977" s="1040" t="s">
        <v>1187</v>
      </c>
      <c r="B977" s="1040" t="s">
        <v>1188</v>
      </c>
    </row>
    <row r="978" spans="1:2">
      <c r="A978" s="1040" t="s">
        <v>3113</v>
      </c>
      <c r="B978" s="1040" t="s">
        <v>3194</v>
      </c>
    </row>
    <row r="979" spans="1:2">
      <c r="A979" s="1040" t="s">
        <v>975</v>
      </c>
      <c r="B979" s="1040" t="s">
        <v>7692</v>
      </c>
    </row>
    <row r="980" spans="1:2">
      <c r="A980" s="1040" t="s">
        <v>2771</v>
      </c>
      <c r="B980" s="1040" t="s">
        <v>364</v>
      </c>
    </row>
    <row r="981" spans="1:2">
      <c r="A981" s="1040" t="s">
        <v>2821</v>
      </c>
      <c r="B981" s="1040" t="s">
        <v>3195</v>
      </c>
    </row>
    <row r="982" spans="1:2">
      <c r="A982" s="1040" t="s">
        <v>4589</v>
      </c>
      <c r="B982" s="1040" t="s">
        <v>998</v>
      </c>
    </row>
    <row r="983" spans="1:2">
      <c r="A983" s="1040" t="s">
        <v>2572</v>
      </c>
      <c r="B983" s="1040" t="s">
        <v>3196</v>
      </c>
    </row>
    <row r="984" spans="1:2">
      <c r="A984" s="1040" t="s">
        <v>1507</v>
      </c>
      <c r="B984" s="1040" t="s">
        <v>7694</v>
      </c>
    </row>
    <row r="985" spans="1:2">
      <c r="A985" s="1040" t="s">
        <v>2574</v>
      </c>
      <c r="B985" s="1040" t="s">
        <v>3197</v>
      </c>
    </row>
    <row r="986" spans="1:2">
      <c r="A986" s="1040" t="s">
        <v>2576</v>
      </c>
      <c r="B986" s="1040" t="s">
        <v>3198</v>
      </c>
    </row>
    <row r="987" spans="1:2">
      <c r="A987" s="1040" t="s">
        <v>2578</v>
      </c>
      <c r="B987" s="1040" t="s">
        <v>3199</v>
      </c>
    </row>
    <row r="988" spans="1:2">
      <c r="A988" s="1040" t="s">
        <v>158</v>
      </c>
      <c r="B988" s="1040" t="s">
        <v>3200</v>
      </c>
    </row>
    <row r="989" spans="1:2">
      <c r="A989" s="1040" t="s">
        <v>5211</v>
      </c>
      <c r="B989" s="1040" t="s">
        <v>3201</v>
      </c>
    </row>
    <row r="990" spans="1:2">
      <c r="A990" s="1040" t="s">
        <v>5213</v>
      </c>
      <c r="B990" s="1040" t="s">
        <v>3202</v>
      </c>
    </row>
    <row r="991" spans="1:2">
      <c r="A991" s="1040" t="s">
        <v>5215</v>
      </c>
      <c r="B991" s="1040" t="s">
        <v>3203</v>
      </c>
    </row>
    <row r="992" spans="1:2">
      <c r="A992" s="1040" t="s">
        <v>5217</v>
      </c>
      <c r="B992" s="1040" t="s">
        <v>3204</v>
      </c>
    </row>
    <row r="993" spans="1:2">
      <c r="A993" s="1040" t="s">
        <v>5219</v>
      </c>
      <c r="B993" s="1040" t="s">
        <v>3205</v>
      </c>
    </row>
    <row r="994" spans="1:2">
      <c r="A994" s="1040" t="s">
        <v>2125</v>
      </c>
      <c r="B994" s="1040" t="s">
        <v>3206</v>
      </c>
    </row>
    <row r="995" spans="1:2">
      <c r="A995" s="1040" t="s">
        <v>870</v>
      </c>
      <c r="B995" s="1040" t="s">
        <v>373</v>
      </c>
    </row>
    <row r="996" spans="1:2">
      <c r="A996" s="1040" t="s">
        <v>5615</v>
      </c>
      <c r="B996" s="1040" t="s">
        <v>3207</v>
      </c>
    </row>
    <row r="997" spans="1:2">
      <c r="A997" s="1040" t="s">
        <v>4590</v>
      </c>
      <c r="B997" s="1040" t="s">
        <v>498</v>
      </c>
    </row>
    <row r="998" spans="1:2">
      <c r="A998" s="1040" t="s">
        <v>860</v>
      </c>
      <c r="B998" s="1040" t="s">
        <v>2005</v>
      </c>
    </row>
    <row r="999" spans="1:2">
      <c r="A999" s="1040" t="s">
        <v>4591</v>
      </c>
      <c r="B999" s="1040" t="s">
        <v>3834</v>
      </c>
    </row>
    <row r="1000" spans="1:2">
      <c r="A1000" s="1040" t="s">
        <v>5617</v>
      </c>
      <c r="B1000" s="1040" t="s">
        <v>3208</v>
      </c>
    </row>
    <row r="1001" spans="1:2">
      <c r="A1001" s="1040" t="s">
        <v>3150</v>
      </c>
      <c r="B1001" s="1040" t="s">
        <v>3209</v>
      </c>
    </row>
    <row r="1002" spans="1:2">
      <c r="A1002" s="1040" t="s">
        <v>3152</v>
      </c>
      <c r="B1002" s="1040" t="s">
        <v>3210</v>
      </c>
    </row>
    <row r="1003" spans="1:2">
      <c r="A1003" s="1040" t="s">
        <v>1949</v>
      </c>
      <c r="B1003" s="1040" t="s">
        <v>327</v>
      </c>
    </row>
    <row r="1004" spans="1:2">
      <c r="A1004" s="1040" t="s">
        <v>1951</v>
      </c>
      <c r="B1004" s="1040" t="s">
        <v>3627</v>
      </c>
    </row>
    <row r="1005" spans="1:2">
      <c r="A1005" s="1040" t="s">
        <v>3154</v>
      </c>
      <c r="B1005" s="1040" t="s">
        <v>3211</v>
      </c>
    </row>
    <row r="1006" spans="1:2">
      <c r="A1006" s="1040" t="s">
        <v>3883</v>
      </c>
      <c r="B1006" s="1040" t="s">
        <v>6100</v>
      </c>
    </row>
    <row r="1007" spans="1:2">
      <c r="A1007" s="1040" t="s">
        <v>3156</v>
      </c>
      <c r="B1007" s="1040" t="s">
        <v>8246</v>
      </c>
    </row>
    <row r="1008" spans="1:2">
      <c r="A1008" s="1040" t="s">
        <v>3158</v>
      </c>
      <c r="B1008" s="1040" t="s">
        <v>3213</v>
      </c>
    </row>
    <row r="1009" spans="1:2">
      <c r="A1009" s="1040" t="s">
        <v>3160</v>
      </c>
      <c r="B1009" s="1040" t="s">
        <v>3214</v>
      </c>
    </row>
    <row r="1010" spans="1:2">
      <c r="A1010" s="1040" t="s">
        <v>3162</v>
      </c>
      <c r="B1010" s="1040" t="s">
        <v>3215</v>
      </c>
    </row>
    <row r="1011" spans="1:2">
      <c r="A1011" s="1040" t="s">
        <v>569</v>
      </c>
      <c r="B1011" s="1040" t="s">
        <v>3216</v>
      </c>
    </row>
    <row r="1012" spans="1:2">
      <c r="A1012" s="1040" t="s">
        <v>571</v>
      </c>
      <c r="B1012" s="1040" t="s">
        <v>4309</v>
      </c>
    </row>
    <row r="1013" spans="1:2">
      <c r="A1013" s="1040" t="s">
        <v>3181</v>
      </c>
      <c r="B1013" s="1040" t="s">
        <v>3596</v>
      </c>
    </row>
    <row r="1014" spans="1:2">
      <c r="A1014" s="1040" t="s">
        <v>2071</v>
      </c>
      <c r="B1014" s="1040" t="s">
        <v>7687</v>
      </c>
    </row>
    <row r="1015" spans="1:2">
      <c r="A1015" s="1040" t="s">
        <v>3183</v>
      </c>
      <c r="B1015" s="1040" t="s">
        <v>3597</v>
      </c>
    </row>
    <row r="1016" spans="1:2">
      <c r="A1016" s="1040" t="s">
        <v>924</v>
      </c>
      <c r="B1016" s="1040" t="s">
        <v>3598</v>
      </c>
    </row>
    <row r="1017" spans="1:2">
      <c r="A1017" s="1040" t="s">
        <v>6165</v>
      </c>
      <c r="B1017" s="1040" t="s">
        <v>6069</v>
      </c>
    </row>
    <row r="1018" spans="1:2">
      <c r="A1018" s="1040" t="s">
        <v>6187</v>
      </c>
      <c r="B1018" s="1040" t="s">
        <v>3832</v>
      </c>
    </row>
    <row r="1019" spans="1:2">
      <c r="A1019" s="1040" t="s">
        <v>1837</v>
      </c>
      <c r="B1019" s="1040" t="s">
        <v>1468</v>
      </c>
    </row>
    <row r="1020" spans="1:2">
      <c r="A1020" s="1040" t="s">
        <v>3884</v>
      </c>
      <c r="B1020" s="1040" t="s">
        <v>5362</v>
      </c>
    </row>
    <row r="1021" spans="1:2">
      <c r="A1021" s="1040" t="s">
        <v>2390</v>
      </c>
      <c r="B1021" s="1040" t="s">
        <v>1455</v>
      </c>
    </row>
    <row r="1022" spans="1:2">
      <c r="A1022" s="1040" t="s">
        <v>926</v>
      </c>
      <c r="B1022" s="1040" t="s">
        <v>3599</v>
      </c>
    </row>
    <row r="1023" spans="1:2">
      <c r="A1023" s="1040" t="s">
        <v>928</v>
      </c>
      <c r="B1023" s="1040" t="s">
        <v>1840</v>
      </c>
    </row>
    <row r="1024" spans="1:2">
      <c r="A1024" s="1040" t="s">
        <v>930</v>
      </c>
      <c r="B1024" s="1040" t="s">
        <v>1841</v>
      </c>
    </row>
    <row r="1025" spans="1:2">
      <c r="A1025" s="1040" t="s">
        <v>932</v>
      </c>
      <c r="B1025" s="1040" t="s">
        <v>1842</v>
      </c>
    </row>
    <row r="1026" spans="1:2">
      <c r="A1026" s="1040" t="s">
        <v>934</v>
      </c>
      <c r="B1026" s="1040" t="s">
        <v>0</v>
      </c>
    </row>
    <row r="1027" spans="1:2">
      <c r="A1027" s="1040" t="s">
        <v>936</v>
      </c>
      <c r="B1027" s="1040" t="s">
        <v>1</v>
      </c>
    </row>
    <row r="1028" spans="1:2">
      <c r="A1028" s="1040" t="s">
        <v>5145</v>
      </c>
      <c r="B1028" s="1040" t="s">
        <v>2</v>
      </c>
    </row>
    <row r="1029" spans="1:2">
      <c r="A1029" s="1040" t="s">
        <v>2950</v>
      </c>
      <c r="B1029" s="1040" t="s">
        <v>3</v>
      </c>
    </row>
    <row r="1030" spans="1:2">
      <c r="A1030" s="1040" t="s">
        <v>2952</v>
      </c>
      <c r="B1030" s="1040" t="s">
        <v>4</v>
      </c>
    </row>
    <row r="1031" spans="1:2">
      <c r="A1031" s="1040" t="s">
        <v>2526</v>
      </c>
      <c r="B1031" s="1040" t="s">
        <v>5</v>
      </c>
    </row>
    <row r="1032" spans="1:2">
      <c r="A1032" s="1040" t="s">
        <v>3885</v>
      </c>
      <c r="B1032" s="1040" t="s">
        <v>1465</v>
      </c>
    </row>
    <row r="1033" spans="1:2">
      <c r="A1033" s="1040" t="s">
        <v>2528</v>
      </c>
      <c r="B1033" s="1040" t="s">
        <v>6</v>
      </c>
    </row>
    <row r="1034" spans="1:2">
      <c r="A1034" s="1040" t="s">
        <v>2530</v>
      </c>
      <c r="B1034" s="1040" t="s">
        <v>7</v>
      </c>
    </row>
    <row r="1035" spans="1:2">
      <c r="A1035" s="1040" t="s">
        <v>2532</v>
      </c>
      <c r="B1035" s="1040" t="s">
        <v>8</v>
      </c>
    </row>
    <row r="1036" spans="1:2">
      <c r="A1036" s="1040" t="s">
        <v>2316</v>
      </c>
      <c r="B1036" s="1040" t="s">
        <v>9</v>
      </c>
    </row>
    <row r="1037" spans="1:2">
      <c r="A1037" s="1040" t="s">
        <v>5105</v>
      </c>
      <c r="B1037" s="1040" t="s">
        <v>10</v>
      </c>
    </row>
    <row r="1038" spans="1:2">
      <c r="A1038" s="1040" t="s">
        <v>1191</v>
      </c>
      <c r="B1038" s="1040" t="s">
        <v>1192</v>
      </c>
    </row>
    <row r="1039" spans="1:2">
      <c r="A1039" s="1040" t="s">
        <v>8152</v>
      </c>
      <c r="B1039" s="1040" t="s">
        <v>8247</v>
      </c>
    </row>
    <row r="1040" spans="1:2">
      <c r="A1040" s="1040" t="s">
        <v>5036</v>
      </c>
      <c r="B1040" s="1040" t="s">
        <v>7689</v>
      </c>
    </row>
    <row r="1041" spans="1:2">
      <c r="A1041" s="1040" t="s">
        <v>2430</v>
      </c>
      <c r="B1041" s="1040" t="s">
        <v>11</v>
      </c>
    </row>
    <row r="1042" spans="1:2">
      <c r="A1042" s="1040" t="s">
        <v>2432</v>
      </c>
      <c r="B1042" s="1040" t="s">
        <v>12</v>
      </c>
    </row>
    <row r="1043" spans="1:2">
      <c r="A1043" s="1040" t="s">
        <v>5339</v>
      </c>
      <c r="B1043" s="1040" t="s">
        <v>13</v>
      </c>
    </row>
    <row r="1044" spans="1:2">
      <c r="A1044" s="1040" t="s">
        <v>5341</v>
      </c>
      <c r="B1044" s="1040" t="s">
        <v>14</v>
      </c>
    </row>
    <row r="1045" spans="1:2">
      <c r="A1045" s="1040" t="s">
        <v>858</v>
      </c>
      <c r="B1045" s="1040" t="s">
        <v>4070</v>
      </c>
    </row>
    <row r="1046" spans="1:2">
      <c r="A1046" s="1040" t="s">
        <v>5343</v>
      </c>
      <c r="B1046" s="1040" t="s">
        <v>6106</v>
      </c>
    </row>
    <row r="1047" spans="1:2">
      <c r="A1047" s="1040" t="s">
        <v>5344</v>
      </c>
      <c r="B1047" s="1040" t="s">
        <v>15</v>
      </c>
    </row>
    <row r="1048" spans="1:2">
      <c r="A1048" s="1040" t="s">
        <v>3382</v>
      </c>
      <c r="B1048" s="1040" t="s">
        <v>3383</v>
      </c>
    </row>
    <row r="1049" spans="1:2">
      <c r="A1049" s="1040" t="s">
        <v>5346</v>
      </c>
      <c r="B1049" s="1040" t="s">
        <v>16</v>
      </c>
    </row>
    <row r="1050" spans="1:2">
      <c r="A1050" s="1040" t="s">
        <v>2770</v>
      </c>
      <c r="B1050" s="1040" t="s">
        <v>360</v>
      </c>
    </row>
    <row r="1051" spans="1:2">
      <c r="A1051" s="1040" t="s">
        <v>5348</v>
      </c>
      <c r="B1051" s="1040" t="s">
        <v>1718</v>
      </c>
    </row>
    <row r="1052" spans="1:2">
      <c r="A1052" s="1040" t="s">
        <v>3886</v>
      </c>
      <c r="B1052" s="1040" t="s">
        <v>368</v>
      </c>
    </row>
    <row r="1053" spans="1:2">
      <c r="A1053" s="1040" t="s">
        <v>5350</v>
      </c>
      <c r="B1053" s="1040" t="s">
        <v>1719</v>
      </c>
    </row>
    <row r="1054" spans="1:2">
      <c r="A1054" s="1040" t="s">
        <v>3139</v>
      </c>
      <c r="B1054" s="1040" t="s">
        <v>1720</v>
      </c>
    </row>
    <row r="1055" spans="1:2">
      <c r="A1055" s="1040" t="s">
        <v>1530</v>
      </c>
      <c r="B1055" s="1040" t="s">
        <v>1721</v>
      </c>
    </row>
    <row r="1056" spans="1:2">
      <c r="A1056" s="1040" t="s">
        <v>1532</v>
      </c>
      <c r="B1056" s="1040" t="s">
        <v>1722</v>
      </c>
    </row>
    <row r="1057" spans="1:2">
      <c r="A1057" s="1040" t="s">
        <v>624</v>
      </c>
      <c r="B1057" s="1040" t="s">
        <v>1723</v>
      </c>
    </row>
    <row r="1058" spans="1:2">
      <c r="A1058" s="1040" t="s">
        <v>626</v>
      </c>
      <c r="B1058" s="1040" t="s">
        <v>1724</v>
      </c>
    </row>
    <row r="1059" spans="1:2">
      <c r="A1059" s="1040" t="s">
        <v>628</v>
      </c>
      <c r="B1059" s="1040" t="s">
        <v>1725</v>
      </c>
    </row>
    <row r="1060" spans="1:2">
      <c r="A1060" s="1040" t="s">
        <v>630</v>
      </c>
      <c r="B1060" s="1040" t="s">
        <v>3384</v>
      </c>
    </row>
    <row r="1061" spans="1:2">
      <c r="A1061" s="1040" t="s">
        <v>3184</v>
      </c>
      <c r="B1061" s="1040" t="s">
        <v>3385</v>
      </c>
    </row>
    <row r="1062" spans="1:2">
      <c r="A1062" s="1040" t="s">
        <v>3394</v>
      </c>
      <c r="B1062" s="1040" t="s">
        <v>3395</v>
      </c>
    </row>
    <row r="1063" spans="1:2">
      <c r="A1063" s="1040" t="s">
        <v>3396</v>
      </c>
      <c r="B1063" s="1040" t="s">
        <v>8248</v>
      </c>
    </row>
    <row r="1064" spans="1:2">
      <c r="A1064" s="1040" t="s">
        <v>3398</v>
      </c>
      <c r="B1064" s="1040" t="s">
        <v>3399</v>
      </c>
    </row>
    <row r="1065" spans="1:2">
      <c r="A1065" s="1040" t="s">
        <v>181</v>
      </c>
      <c r="B1065" s="1040" t="s">
        <v>8249</v>
      </c>
    </row>
    <row r="1066" spans="1:2">
      <c r="A1066" s="1040" t="s">
        <v>7801</v>
      </c>
      <c r="B1066" s="1040" t="s">
        <v>8012</v>
      </c>
    </row>
    <row r="1067" spans="1:2">
      <c r="A1067" s="1040" t="s">
        <v>7802</v>
      </c>
      <c r="B1067" s="1040" t="s">
        <v>8250</v>
      </c>
    </row>
    <row r="1068" spans="1:2">
      <c r="A1068" s="1040" t="s">
        <v>8153</v>
      </c>
      <c r="B1068" s="1040" t="s">
        <v>8251</v>
      </c>
    </row>
    <row r="1069" spans="1:2">
      <c r="A1069" s="1040" t="s">
        <v>269</v>
      </c>
      <c r="B1069" s="1040" t="s">
        <v>7688</v>
      </c>
    </row>
    <row r="1070" spans="1:2">
      <c r="A1070" s="1040" t="s">
        <v>951</v>
      </c>
      <c r="B1070" s="1040" t="s">
        <v>7656</v>
      </c>
    </row>
    <row r="1071" spans="1:2">
      <c r="A1071" s="1040" t="s">
        <v>409</v>
      </c>
      <c r="B1071" s="1040" t="s">
        <v>1726</v>
      </c>
    </row>
    <row r="1072" spans="1:2">
      <c r="A1072" s="1040" t="s">
        <v>3996</v>
      </c>
      <c r="B1072" s="1040" t="s">
        <v>1727</v>
      </c>
    </row>
    <row r="1073" spans="1:2">
      <c r="A1073" s="1040" t="s">
        <v>3998</v>
      </c>
      <c r="B1073" s="1040" t="s">
        <v>1728</v>
      </c>
    </row>
    <row r="1074" spans="1:2">
      <c r="A1074" s="1040" t="s">
        <v>6030</v>
      </c>
      <c r="B1074" s="1040" t="s">
        <v>1915</v>
      </c>
    </row>
    <row r="1075" spans="1:2">
      <c r="A1075" s="1040" t="s">
        <v>3002</v>
      </c>
      <c r="B1075" s="1040" t="s">
        <v>6062</v>
      </c>
    </row>
    <row r="1076" spans="1:2">
      <c r="A1076" s="1040" t="s">
        <v>2986</v>
      </c>
      <c r="B1076" s="1040" t="s">
        <v>186</v>
      </c>
    </row>
    <row r="1077" spans="1:2">
      <c r="A1077" s="1040" t="s">
        <v>246</v>
      </c>
      <c r="B1077" s="1040" t="s">
        <v>1668</v>
      </c>
    </row>
    <row r="1078" spans="1:2">
      <c r="A1078" s="1040" t="s">
        <v>6032</v>
      </c>
      <c r="B1078" s="1040" t="s">
        <v>1918</v>
      </c>
    </row>
    <row r="1079" spans="1:2">
      <c r="A1079" s="1040" t="s">
        <v>946</v>
      </c>
      <c r="B1079" s="1040" t="s">
        <v>7693</v>
      </c>
    </row>
    <row r="1080" spans="1:2">
      <c r="A1080" s="1040" t="s">
        <v>1875</v>
      </c>
      <c r="B1080" s="1040" t="s">
        <v>3858</v>
      </c>
    </row>
    <row r="1081" spans="1:2">
      <c r="A1081" s="1040" t="s">
        <v>6682</v>
      </c>
      <c r="B1081" s="1040" t="s">
        <v>6103</v>
      </c>
    </row>
    <row r="1082" spans="1:2">
      <c r="A1082" s="1040" t="s">
        <v>4002</v>
      </c>
      <c r="B1082" s="1040" t="s">
        <v>1729</v>
      </c>
    </row>
    <row r="1083" spans="1:2">
      <c r="A1083" s="1040" t="s">
        <v>6681</v>
      </c>
      <c r="B1083" s="1040" t="s">
        <v>6102</v>
      </c>
    </row>
    <row r="1084" spans="1:2">
      <c r="A1084" s="1040" t="s">
        <v>857</v>
      </c>
      <c r="B1084" s="1040" t="s">
        <v>4069</v>
      </c>
    </row>
    <row r="1085" spans="1:2">
      <c r="A1085" s="1040" t="s">
        <v>3402</v>
      </c>
      <c r="B1085" s="1040" t="s">
        <v>3403</v>
      </c>
    </row>
    <row r="1086" spans="1:2">
      <c r="A1086" s="1040" t="s">
        <v>4004</v>
      </c>
      <c r="B1086" s="1040" t="s">
        <v>8252</v>
      </c>
    </row>
    <row r="1087" spans="1:2">
      <c r="A1087" s="1040" t="s">
        <v>4006</v>
      </c>
      <c r="B1087" s="1040" t="s">
        <v>1730</v>
      </c>
    </row>
    <row r="1088" spans="1:2">
      <c r="A1088" s="1040" t="s">
        <v>4008</v>
      </c>
      <c r="B1088" s="1040" t="s">
        <v>1731</v>
      </c>
    </row>
    <row r="1089" spans="1:2">
      <c r="A1089" s="1040" t="s">
        <v>4010</v>
      </c>
      <c r="B1089" s="1040" t="s">
        <v>1732</v>
      </c>
    </row>
    <row r="1090" spans="1:2">
      <c r="A1090" s="1040" t="s">
        <v>4012</v>
      </c>
      <c r="B1090" s="1040" t="s">
        <v>4374</v>
      </c>
    </row>
    <row r="1091" spans="1:2">
      <c r="A1091" s="1040" t="s">
        <v>4014</v>
      </c>
      <c r="B1091" s="1040" t="s">
        <v>2008</v>
      </c>
    </row>
    <row r="1092" spans="1:2">
      <c r="A1092" s="1040" t="s">
        <v>3405</v>
      </c>
      <c r="B1092" s="1040" t="s">
        <v>3406</v>
      </c>
    </row>
    <row r="1093" spans="1:2">
      <c r="A1093" s="1040" t="s">
        <v>4015</v>
      </c>
      <c r="B1093" s="1040" t="s">
        <v>1734</v>
      </c>
    </row>
    <row r="1094" spans="1:2">
      <c r="A1094" s="1040" t="s">
        <v>6120</v>
      </c>
      <c r="B1094" s="1040" t="s">
        <v>1735</v>
      </c>
    </row>
    <row r="1095" spans="1:2">
      <c r="A1095" s="1040" t="s">
        <v>6679</v>
      </c>
      <c r="B1095" s="1040" t="s">
        <v>6078</v>
      </c>
    </row>
    <row r="1096" spans="1:2">
      <c r="A1096" s="1040" t="s">
        <v>6122</v>
      </c>
      <c r="B1096" s="1040" t="s">
        <v>4380</v>
      </c>
    </row>
    <row r="1097" spans="1:2">
      <c r="A1097" s="1040" t="s">
        <v>1801</v>
      </c>
      <c r="B1097" s="1040" t="s">
        <v>1737</v>
      </c>
    </row>
    <row r="1098" spans="1:2">
      <c r="A1098" s="1040" t="s">
        <v>1803</v>
      </c>
      <c r="B1098" s="1040" t="s">
        <v>1738</v>
      </c>
    </row>
    <row r="1099" spans="1:2">
      <c r="A1099" s="1040" t="s">
        <v>1805</v>
      </c>
      <c r="B1099" s="1040" t="s">
        <v>1739</v>
      </c>
    </row>
    <row r="1100" spans="1:2">
      <c r="A1100" s="1040" t="s">
        <v>1807</v>
      </c>
      <c r="B1100" s="1040" t="s">
        <v>1740</v>
      </c>
    </row>
    <row r="1101" spans="1:2">
      <c r="A1101" s="1040" t="s">
        <v>5037</v>
      </c>
      <c r="B1101" s="1040" t="s">
        <v>6106</v>
      </c>
    </row>
    <row r="1102" spans="1:2">
      <c r="A1102" s="1040" t="s">
        <v>1809</v>
      </c>
      <c r="B1102" s="1040" t="s">
        <v>1741</v>
      </c>
    </row>
    <row r="1103" spans="1:2">
      <c r="A1103" s="1040" t="s">
        <v>3407</v>
      </c>
      <c r="B1103" s="1040" t="s">
        <v>3408</v>
      </c>
    </row>
    <row r="1104" spans="1:2">
      <c r="A1104" s="1040" t="s">
        <v>8015</v>
      </c>
      <c r="B1104" s="1040" t="s">
        <v>8253</v>
      </c>
    </row>
    <row r="1105" spans="1:2">
      <c r="A1105" s="1040" t="s">
        <v>1697</v>
      </c>
      <c r="B1105" s="1040" t="s">
        <v>1742</v>
      </c>
    </row>
    <row r="1106" spans="1:2">
      <c r="A1106" s="1040" t="s">
        <v>2385</v>
      </c>
      <c r="B1106" s="1040" t="s">
        <v>378</v>
      </c>
    </row>
    <row r="1107" spans="1:2">
      <c r="A1107" s="1040" t="s">
        <v>1699</v>
      </c>
      <c r="B1107" s="1040" t="s">
        <v>1743</v>
      </c>
    </row>
    <row r="1108" spans="1:2">
      <c r="A1108" s="1040" t="s">
        <v>3554</v>
      </c>
      <c r="B1108" s="1040" t="s">
        <v>4061</v>
      </c>
    </row>
    <row r="1109" spans="1:2">
      <c r="A1109" s="1040" t="s">
        <v>1857</v>
      </c>
      <c r="B1109" s="1040" t="s">
        <v>3913</v>
      </c>
    </row>
    <row r="1110" spans="1:2">
      <c r="A1110" s="1040" t="s">
        <v>7288</v>
      </c>
      <c r="B1110" s="1040" t="s">
        <v>7132</v>
      </c>
    </row>
    <row r="1111" spans="1:2">
      <c r="A1111" s="1040" t="s">
        <v>3409</v>
      </c>
      <c r="B1111" s="1040" t="s">
        <v>3410</v>
      </c>
    </row>
    <row r="1112" spans="1:2">
      <c r="A1112" s="1040" t="s">
        <v>8155</v>
      </c>
      <c r="B1112" s="1040" t="s">
        <v>8254</v>
      </c>
    </row>
    <row r="1113" spans="1:2">
      <c r="A1113" s="1040" t="s">
        <v>3415</v>
      </c>
      <c r="B1113" s="1040" t="s">
        <v>8255</v>
      </c>
    </row>
    <row r="1114" spans="1:2">
      <c r="A1114" s="1040" t="s">
        <v>3417</v>
      </c>
      <c r="B1114" s="1040" t="s">
        <v>3418</v>
      </c>
    </row>
    <row r="1115" spans="1:2">
      <c r="A1115" s="1040" t="s">
        <v>3419</v>
      </c>
      <c r="B1115" s="1040" t="s">
        <v>3420</v>
      </c>
    </row>
    <row r="1116" spans="1:2">
      <c r="A1116" s="1040" t="s">
        <v>3421</v>
      </c>
      <c r="B1116" s="1040" t="s">
        <v>8256</v>
      </c>
    </row>
    <row r="1117" spans="1:2">
      <c r="A1117" s="1040" t="s">
        <v>7127</v>
      </c>
      <c r="B1117" s="1040" t="s">
        <v>8257</v>
      </c>
    </row>
    <row r="1118" spans="1:2">
      <c r="A1118" s="1040" t="s">
        <v>3428</v>
      </c>
      <c r="B1118" s="1040" t="s">
        <v>8258</v>
      </c>
    </row>
    <row r="1119" spans="1:2">
      <c r="A1119" s="1040" t="s">
        <v>3430</v>
      </c>
      <c r="B1119" s="1040" t="s">
        <v>3431</v>
      </c>
    </row>
    <row r="1120" spans="1:2">
      <c r="A1120" s="1040" t="s">
        <v>3434</v>
      </c>
      <c r="B1120" s="1040" t="s">
        <v>8259</v>
      </c>
    </row>
    <row r="1121" spans="1:2">
      <c r="A1121" s="1040" t="s">
        <v>3436</v>
      </c>
      <c r="B1121" s="1040" t="s">
        <v>8022</v>
      </c>
    </row>
    <row r="1122" spans="1:2">
      <c r="A1122" s="1040" t="s">
        <v>3438</v>
      </c>
      <c r="B1122" s="1040" t="s">
        <v>8023</v>
      </c>
    </row>
    <row r="1123" spans="1:2">
      <c r="A1123" s="1040" t="s">
        <v>8025</v>
      </c>
      <c r="B1123" s="1040" t="s">
        <v>8260</v>
      </c>
    </row>
    <row r="1124" spans="1:2">
      <c r="A1124" s="1040" t="s">
        <v>8156</v>
      </c>
      <c r="B1124" s="1040" t="s">
        <v>8261</v>
      </c>
    </row>
    <row r="1125" spans="1:2">
      <c r="A1125" s="1040" t="s">
        <v>8157</v>
      </c>
      <c r="B1125" s="1040" t="s">
        <v>8262</v>
      </c>
    </row>
    <row r="1126" spans="1:2">
      <c r="A1126" s="1040" t="s">
        <v>8158</v>
      </c>
      <c r="B1126" s="1040" t="s">
        <v>8263</v>
      </c>
    </row>
    <row r="1127" spans="1:2">
      <c r="A1127" s="1040" t="s">
        <v>2791</v>
      </c>
      <c r="B1127" s="1040" t="s">
        <v>1744</v>
      </c>
    </row>
    <row r="1128" spans="1:2">
      <c r="A1128" s="1040" t="s">
        <v>5124</v>
      </c>
      <c r="B1128" s="1040" t="s">
        <v>339</v>
      </c>
    </row>
    <row r="1129" spans="1:2">
      <c r="A1129" s="1040" t="s">
        <v>3439</v>
      </c>
      <c r="B1129" s="1040" t="s">
        <v>8264</v>
      </c>
    </row>
    <row r="1130" spans="1:2">
      <c r="A1130" s="1040" t="s">
        <v>3441</v>
      </c>
      <c r="B1130" s="1040" t="s">
        <v>3442</v>
      </c>
    </row>
    <row r="1131" spans="1:2">
      <c r="A1131" s="1040" t="s">
        <v>2793</v>
      </c>
      <c r="B1131" s="1040" t="s">
        <v>1745</v>
      </c>
    </row>
    <row r="1132" spans="1:2">
      <c r="A1132" s="1040" t="s">
        <v>2795</v>
      </c>
      <c r="B1132" s="1040" t="s">
        <v>1746</v>
      </c>
    </row>
    <row r="1133" spans="1:2">
      <c r="A1133" s="1040" t="s">
        <v>2052</v>
      </c>
      <c r="B1133" s="1040" t="s">
        <v>997</v>
      </c>
    </row>
    <row r="1134" spans="1:2">
      <c r="A1134" s="1040" t="s">
        <v>2797</v>
      </c>
      <c r="B1134" s="1040" t="s">
        <v>1747</v>
      </c>
    </row>
    <row r="1135" spans="1:2">
      <c r="A1135" s="1040" t="s">
        <v>2799</v>
      </c>
      <c r="B1135" s="1040" t="s">
        <v>1748</v>
      </c>
    </row>
    <row r="1136" spans="1:2">
      <c r="A1136" s="1040" t="s">
        <v>3443</v>
      </c>
      <c r="B1136" s="1040" t="s">
        <v>3444</v>
      </c>
    </row>
    <row r="1137" spans="1:2">
      <c r="A1137" s="1040" t="s">
        <v>2801</v>
      </c>
      <c r="B1137" s="1040" t="s">
        <v>1749</v>
      </c>
    </row>
    <row r="1138" spans="1:2">
      <c r="A1138" s="1040" t="s">
        <v>2803</v>
      </c>
      <c r="B1138" s="1040" t="s">
        <v>1750</v>
      </c>
    </row>
    <row r="1139" spans="1:2">
      <c r="A1139" s="1040" t="s">
        <v>2805</v>
      </c>
      <c r="B1139" s="1040" t="s">
        <v>297</v>
      </c>
    </row>
    <row r="1140" spans="1:2">
      <c r="A1140" s="1040" t="s">
        <v>2806</v>
      </c>
      <c r="B1140" s="1040" t="s">
        <v>1751</v>
      </c>
    </row>
    <row r="1141" spans="1:2">
      <c r="A1141" s="1040" t="s">
        <v>232</v>
      </c>
      <c r="B1141" s="1040" t="s">
        <v>2639</v>
      </c>
    </row>
    <row r="1142" spans="1:2">
      <c r="A1142" s="1040" t="s">
        <v>3572</v>
      </c>
      <c r="B1142" s="1040" t="s">
        <v>1752</v>
      </c>
    </row>
    <row r="1143" spans="1:2">
      <c r="A1143" s="1040" t="s">
        <v>3574</v>
      </c>
      <c r="B1143" s="1040" t="s">
        <v>7623</v>
      </c>
    </row>
    <row r="1144" spans="1:2">
      <c r="A1144" s="1040" t="s">
        <v>4072</v>
      </c>
      <c r="B1144" s="1040" t="s">
        <v>2353</v>
      </c>
    </row>
    <row r="1145" spans="1:2">
      <c r="A1145" s="1040" t="s">
        <v>735</v>
      </c>
      <c r="B1145" s="1040" t="s">
        <v>6108</v>
      </c>
    </row>
    <row r="1146" spans="1:2">
      <c r="A1146" s="1040" t="s">
        <v>3576</v>
      </c>
      <c r="B1146" s="1040" t="s">
        <v>400</v>
      </c>
    </row>
    <row r="1147" spans="1:2">
      <c r="A1147" s="1040" t="s">
        <v>3577</v>
      </c>
      <c r="B1147" s="1040" t="s">
        <v>7624</v>
      </c>
    </row>
    <row r="1148" spans="1:2">
      <c r="A1148" s="1040" t="s">
        <v>6190</v>
      </c>
      <c r="B1148" s="1040" t="s">
        <v>3626</v>
      </c>
    </row>
    <row r="1149" spans="1:2">
      <c r="A1149" s="1040" t="s">
        <v>3580</v>
      </c>
      <c r="B1149" s="1040" t="s">
        <v>7625</v>
      </c>
    </row>
    <row r="1150" spans="1:2">
      <c r="A1150" s="1040" t="s">
        <v>1862</v>
      </c>
      <c r="B1150" s="1040" t="s">
        <v>3837</v>
      </c>
    </row>
    <row r="1151" spans="1:2">
      <c r="A1151" s="1040" t="s">
        <v>3582</v>
      </c>
      <c r="B1151" s="1040" t="s">
        <v>7626</v>
      </c>
    </row>
    <row r="1152" spans="1:2">
      <c r="A1152" s="1040" t="s">
        <v>3584</v>
      </c>
      <c r="B1152" s="1040" t="s">
        <v>7627</v>
      </c>
    </row>
    <row r="1153" spans="1:2">
      <c r="A1153" s="1040" t="s">
        <v>3586</v>
      </c>
      <c r="B1153" s="1040" t="s">
        <v>7628</v>
      </c>
    </row>
    <row r="1154" spans="1:2">
      <c r="A1154" s="1040" t="s">
        <v>3588</v>
      </c>
      <c r="B1154" s="1040" t="s">
        <v>7629</v>
      </c>
    </row>
    <row r="1155" spans="1:2">
      <c r="A1155" s="1040" t="s">
        <v>6036</v>
      </c>
      <c r="B1155" s="1040" t="s">
        <v>5638</v>
      </c>
    </row>
    <row r="1156" spans="1:2">
      <c r="A1156" s="1040" t="s">
        <v>2472</v>
      </c>
      <c r="B1156" s="1040" t="s">
        <v>375</v>
      </c>
    </row>
    <row r="1157" spans="1:2">
      <c r="A1157" s="1040" t="s">
        <v>2418</v>
      </c>
      <c r="B1157" s="1040" t="s">
        <v>6740</v>
      </c>
    </row>
    <row r="1158" spans="1:2">
      <c r="A1158" s="1040" t="s">
        <v>3590</v>
      </c>
      <c r="B1158" s="1040" t="s">
        <v>7630</v>
      </c>
    </row>
    <row r="1159" spans="1:2">
      <c r="A1159" s="1040" t="s">
        <v>2389</v>
      </c>
      <c r="B1159" s="1040" t="s">
        <v>2014</v>
      </c>
    </row>
    <row r="1160" spans="1:2">
      <c r="A1160" s="1040" t="s">
        <v>3594</v>
      </c>
      <c r="B1160" s="1040" t="s">
        <v>7631</v>
      </c>
    </row>
    <row r="1161" spans="1:2">
      <c r="A1161" s="1040" t="s">
        <v>5319</v>
      </c>
      <c r="B1161" s="1040" t="s">
        <v>6240</v>
      </c>
    </row>
    <row r="1162" spans="1:2">
      <c r="A1162" s="1040" t="s">
        <v>6241</v>
      </c>
      <c r="B1162" s="1040" t="s">
        <v>7632</v>
      </c>
    </row>
    <row r="1163" spans="1:2">
      <c r="A1163" s="1040" t="s">
        <v>6243</v>
      </c>
      <c r="B1163" s="1040" t="s">
        <v>1926</v>
      </c>
    </row>
    <row r="1164" spans="1:2">
      <c r="A1164" s="1040" t="s">
        <v>1832</v>
      </c>
      <c r="B1164" s="1040" t="s">
        <v>4967</v>
      </c>
    </row>
    <row r="1165" spans="1:2">
      <c r="A1165" s="1040" t="s">
        <v>6164</v>
      </c>
      <c r="B1165" s="1040" t="s">
        <v>6068</v>
      </c>
    </row>
    <row r="1166" spans="1:2">
      <c r="A1166" s="1040" t="s">
        <v>6244</v>
      </c>
      <c r="B1166" s="1040" t="s">
        <v>7633</v>
      </c>
    </row>
    <row r="1167" spans="1:2">
      <c r="A1167" s="1040" t="s">
        <v>6246</v>
      </c>
      <c r="B1167" s="1040" t="s">
        <v>7634</v>
      </c>
    </row>
    <row r="1168" spans="1:2">
      <c r="A1168" s="1040" t="s">
        <v>1313</v>
      </c>
      <c r="B1168" s="1040" t="s">
        <v>118</v>
      </c>
    </row>
    <row r="1169" spans="1:2">
      <c r="A1169" s="1040" t="s">
        <v>955</v>
      </c>
      <c r="B1169" s="1040" t="s">
        <v>7660</v>
      </c>
    </row>
    <row r="1170" spans="1:2">
      <c r="A1170" s="1040" t="s">
        <v>3552</v>
      </c>
      <c r="B1170" s="1040" t="s">
        <v>4058</v>
      </c>
    </row>
    <row r="1171" spans="1:2">
      <c r="A1171" s="1040" t="s">
        <v>6248</v>
      </c>
      <c r="B1171" s="1040" t="s">
        <v>7635</v>
      </c>
    </row>
    <row r="1172" spans="1:2">
      <c r="A1172" s="1040" t="s">
        <v>3450</v>
      </c>
      <c r="B1172" s="1040" t="s">
        <v>3451</v>
      </c>
    </row>
    <row r="1173" spans="1:2">
      <c r="A1173" s="1040" t="s">
        <v>3452</v>
      </c>
      <c r="B1173" s="1040" t="s">
        <v>3453</v>
      </c>
    </row>
    <row r="1174" spans="1:2">
      <c r="A1174" s="1040" t="s">
        <v>6182</v>
      </c>
      <c r="B1174" s="1040" t="s">
        <v>1935</v>
      </c>
    </row>
    <row r="1175" spans="1:2">
      <c r="A1175" s="1040" t="s">
        <v>6250</v>
      </c>
      <c r="B1175" s="1040" t="s">
        <v>7636</v>
      </c>
    </row>
    <row r="1176" spans="1:2">
      <c r="A1176" s="1040" t="s">
        <v>3454</v>
      </c>
      <c r="B1176" s="1040" t="s">
        <v>3455</v>
      </c>
    </row>
    <row r="1177" spans="1:2">
      <c r="A1177" s="1040" t="s">
        <v>3456</v>
      </c>
      <c r="B1177" s="1040" t="s">
        <v>3457</v>
      </c>
    </row>
    <row r="1178" spans="1:2">
      <c r="A1178" s="1040" t="s">
        <v>5038</v>
      </c>
      <c r="B1178" s="1040" t="s">
        <v>3842</v>
      </c>
    </row>
    <row r="1179" spans="1:2">
      <c r="A1179" s="1040" t="s">
        <v>5039</v>
      </c>
      <c r="B1179" s="1040" t="s">
        <v>4062</v>
      </c>
    </row>
    <row r="1180" spans="1:2">
      <c r="A1180" s="1040" t="s">
        <v>2082</v>
      </c>
      <c r="B1180" s="1040" t="s">
        <v>7637</v>
      </c>
    </row>
    <row r="1181" spans="1:2">
      <c r="A1181" s="1040" t="s">
        <v>2084</v>
      </c>
      <c r="B1181" s="1040" t="s">
        <v>7638</v>
      </c>
    </row>
    <row r="1182" spans="1:2">
      <c r="A1182" s="1040" t="s">
        <v>2086</v>
      </c>
      <c r="B1182" s="1040" t="s">
        <v>2936</v>
      </c>
    </row>
    <row r="1183" spans="1:2">
      <c r="A1183" s="1040" t="s">
        <v>2088</v>
      </c>
      <c r="B1183" s="1040" t="s">
        <v>2937</v>
      </c>
    </row>
    <row r="1184" spans="1:2">
      <c r="A1184" s="1040" t="s">
        <v>2090</v>
      </c>
      <c r="B1184" s="1040" t="s">
        <v>2938</v>
      </c>
    </row>
    <row r="1185" spans="1:2">
      <c r="A1185" s="1040" t="s">
        <v>8160</v>
      </c>
      <c r="B1185" s="1040" t="s">
        <v>8265</v>
      </c>
    </row>
    <row r="1186" spans="1:2">
      <c r="A1186" s="1040" t="s">
        <v>3460</v>
      </c>
      <c r="B1186" s="1040" t="s">
        <v>8266</v>
      </c>
    </row>
    <row r="1187" spans="1:2">
      <c r="A1187" s="1040" t="s">
        <v>2987</v>
      </c>
      <c r="B1187" s="1040" t="s">
        <v>187</v>
      </c>
    </row>
    <row r="1188" spans="1:2">
      <c r="A1188" s="1040" t="s">
        <v>2417</v>
      </c>
      <c r="B1188" s="1040" t="s">
        <v>5370</v>
      </c>
    </row>
    <row r="1189" spans="1:2">
      <c r="A1189" s="1040" t="s">
        <v>78</v>
      </c>
      <c r="B1189" s="1040" t="s">
        <v>6766</v>
      </c>
    </row>
    <row r="1190" spans="1:2">
      <c r="A1190" s="1040" t="s">
        <v>80</v>
      </c>
      <c r="B1190" s="1040" t="s">
        <v>2941</v>
      </c>
    </row>
    <row r="1191" spans="1:2">
      <c r="A1191" s="1040" t="s">
        <v>82</v>
      </c>
      <c r="B1191" s="1040" t="s">
        <v>6720</v>
      </c>
    </row>
    <row r="1192" spans="1:2">
      <c r="A1192" s="1040" t="s">
        <v>84</v>
      </c>
      <c r="B1192" s="1040" t="s">
        <v>6721</v>
      </c>
    </row>
    <row r="1193" spans="1:2">
      <c r="A1193" s="1040" t="s">
        <v>86</v>
      </c>
      <c r="B1193" s="1040" t="s">
        <v>6722</v>
      </c>
    </row>
    <row r="1194" spans="1:2">
      <c r="A1194" s="1040" t="s">
        <v>88</v>
      </c>
      <c r="B1194" s="1040" t="s">
        <v>6723</v>
      </c>
    </row>
    <row r="1195" spans="1:2">
      <c r="A1195" s="1040" t="s">
        <v>90</v>
      </c>
      <c r="B1195" s="1040" t="s">
        <v>6724</v>
      </c>
    </row>
    <row r="1196" spans="1:2">
      <c r="A1196" s="1040" t="s">
        <v>92</v>
      </c>
      <c r="B1196" s="1040" t="s">
        <v>1546</v>
      </c>
    </row>
    <row r="1197" spans="1:2">
      <c r="A1197" s="1040" t="s">
        <v>2332</v>
      </c>
      <c r="B1197" s="1040" t="s">
        <v>1547</v>
      </c>
    </row>
    <row r="1198" spans="1:2">
      <c r="A1198" s="1040" t="s">
        <v>2334</v>
      </c>
      <c r="B1198" s="1040" t="s">
        <v>1548</v>
      </c>
    </row>
    <row r="1199" spans="1:2">
      <c r="A1199" s="1040" t="s">
        <v>3463</v>
      </c>
      <c r="B1199" s="1040" t="s">
        <v>3464</v>
      </c>
    </row>
    <row r="1200" spans="1:2">
      <c r="A1200" s="1040" t="s">
        <v>962</v>
      </c>
      <c r="B1200" s="1040" t="s">
        <v>2146</v>
      </c>
    </row>
    <row r="1201" spans="1:2">
      <c r="A1201" s="1040" t="s">
        <v>2336</v>
      </c>
      <c r="B1201" s="1040" t="s">
        <v>1549</v>
      </c>
    </row>
    <row r="1202" spans="1:2">
      <c r="A1202" s="1040" t="s">
        <v>2338</v>
      </c>
      <c r="B1202" s="1040" t="s">
        <v>6779</v>
      </c>
    </row>
    <row r="1203" spans="1:2">
      <c r="A1203" s="1040" t="s">
        <v>2340</v>
      </c>
      <c r="B1203" s="1040" t="s">
        <v>1551</v>
      </c>
    </row>
    <row r="1204" spans="1:2">
      <c r="A1204" s="1040" t="s">
        <v>738</v>
      </c>
      <c r="B1204" s="1040" t="s">
        <v>6112</v>
      </c>
    </row>
    <row r="1205" spans="1:2">
      <c r="A1205" s="1040" t="s">
        <v>3465</v>
      </c>
      <c r="B1205" s="1040" t="s">
        <v>3466</v>
      </c>
    </row>
    <row r="1206" spans="1:2">
      <c r="A1206" s="1040" t="s">
        <v>3219</v>
      </c>
      <c r="B1206" s="1040" t="s">
        <v>1485</v>
      </c>
    </row>
    <row r="1207" spans="1:2">
      <c r="A1207" s="1040" t="s">
        <v>608</v>
      </c>
      <c r="B1207" s="1040" t="s">
        <v>1486</v>
      </c>
    </row>
    <row r="1208" spans="1:2">
      <c r="A1208" s="1040" t="s">
        <v>610</v>
      </c>
      <c r="B1208" s="1040" t="s">
        <v>1939</v>
      </c>
    </row>
    <row r="1209" spans="1:2">
      <c r="A1209" s="1040" t="s">
        <v>6145</v>
      </c>
      <c r="B1209" s="1040" t="s">
        <v>188</v>
      </c>
    </row>
    <row r="1210" spans="1:2">
      <c r="A1210" s="1040" t="s">
        <v>2998</v>
      </c>
      <c r="B1210" s="1040" t="s">
        <v>6058</v>
      </c>
    </row>
    <row r="1211" spans="1:2">
      <c r="A1211" s="1040" t="s">
        <v>2766</v>
      </c>
      <c r="B1211" s="1040" t="s">
        <v>356</v>
      </c>
    </row>
    <row r="1212" spans="1:2">
      <c r="A1212" s="1040" t="s">
        <v>5040</v>
      </c>
      <c r="B1212" s="1040" t="s">
        <v>384</v>
      </c>
    </row>
    <row r="1213" spans="1:2">
      <c r="A1213" s="1040" t="s">
        <v>8161</v>
      </c>
      <c r="B1213" s="1040" t="s">
        <v>8267</v>
      </c>
    </row>
    <row r="1214" spans="1:2">
      <c r="A1214" s="1040" t="s">
        <v>1307</v>
      </c>
      <c r="B1214" s="1040" t="s">
        <v>111</v>
      </c>
    </row>
    <row r="1215" spans="1:2">
      <c r="A1215" s="1040" t="s">
        <v>1319</v>
      </c>
      <c r="B1215" s="1040" t="s">
        <v>125</v>
      </c>
    </row>
    <row r="1216" spans="1:2">
      <c r="A1216" s="1040" t="s">
        <v>1856</v>
      </c>
      <c r="B1216" s="1040" t="s">
        <v>3912</v>
      </c>
    </row>
    <row r="1217" spans="1:2">
      <c r="A1217" s="1040" t="s">
        <v>6020</v>
      </c>
      <c r="B1217" s="1040" t="s">
        <v>3859</v>
      </c>
    </row>
    <row r="1218" spans="1:2">
      <c r="A1218" s="1040" t="s">
        <v>611</v>
      </c>
      <c r="B1218" s="1040" t="s">
        <v>1487</v>
      </c>
    </row>
    <row r="1219" spans="1:2">
      <c r="A1219" s="1040" t="s">
        <v>2990</v>
      </c>
      <c r="B1219" s="1040" t="s">
        <v>191</v>
      </c>
    </row>
    <row r="1220" spans="1:2">
      <c r="A1220" s="1040" t="s">
        <v>2382</v>
      </c>
      <c r="B1220" s="1040" t="s">
        <v>371</v>
      </c>
    </row>
    <row r="1221" spans="1:2">
      <c r="A1221" s="1040" t="s">
        <v>2473</v>
      </c>
      <c r="B1221" s="1040" t="s">
        <v>5363</v>
      </c>
    </row>
    <row r="1222" spans="1:2">
      <c r="A1222" s="1040" t="s">
        <v>2412</v>
      </c>
      <c r="B1222" s="1040" t="s">
        <v>5365</v>
      </c>
    </row>
    <row r="1223" spans="1:2">
      <c r="A1223" s="1040" t="s">
        <v>2988</v>
      </c>
      <c r="B1223" s="1040" t="s">
        <v>189</v>
      </c>
    </row>
    <row r="1224" spans="1:2">
      <c r="A1224" s="1040" t="s">
        <v>613</v>
      </c>
      <c r="B1224" s="1040" t="s">
        <v>1003</v>
      </c>
    </row>
    <row r="1225" spans="1:2">
      <c r="A1225" s="1040" t="s">
        <v>5041</v>
      </c>
      <c r="B1225" s="1040" t="s">
        <v>112</v>
      </c>
    </row>
    <row r="1226" spans="1:2">
      <c r="A1226" s="1040" t="s">
        <v>6039</v>
      </c>
      <c r="B1226" s="1040" t="s">
        <v>183</v>
      </c>
    </row>
    <row r="1227" spans="1:2">
      <c r="A1227" s="1040" t="s">
        <v>5043</v>
      </c>
      <c r="B1227" s="1040" t="s">
        <v>346</v>
      </c>
    </row>
    <row r="1228" spans="1:2">
      <c r="A1228" s="1040" t="s">
        <v>2409</v>
      </c>
      <c r="B1228" s="1040" t="s">
        <v>2356</v>
      </c>
    </row>
    <row r="1229" spans="1:2">
      <c r="A1229" s="1040" t="s">
        <v>615</v>
      </c>
      <c r="B1229" s="1040" t="s">
        <v>1004</v>
      </c>
    </row>
    <row r="1230" spans="1:2">
      <c r="A1230" s="1040" t="s">
        <v>617</v>
      </c>
      <c r="B1230" s="1040" t="s">
        <v>1005</v>
      </c>
    </row>
    <row r="1231" spans="1:2">
      <c r="A1231" s="1040" t="s">
        <v>3889</v>
      </c>
      <c r="B1231" s="1040" t="s">
        <v>7680</v>
      </c>
    </row>
    <row r="1232" spans="1:2">
      <c r="A1232" s="1040" t="s">
        <v>619</v>
      </c>
      <c r="B1232" s="1040" t="s">
        <v>1006</v>
      </c>
    </row>
    <row r="1233" spans="1:2">
      <c r="A1233" s="1040" t="s">
        <v>1328</v>
      </c>
      <c r="B1233" s="1040" t="s">
        <v>1007</v>
      </c>
    </row>
    <row r="1234" spans="1:2">
      <c r="A1234" s="1040" t="s">
        <v>6708</v>
      </c>
      <c r="B1234" s="1040" t="s">
        <v>1008</v>
      </c>
    </row>
    <row r="1235" spans="1:2">
      <c r="A1235" s="1040" t="s">
        <v>6710</v>
      </c>
      <c r="B1235" s="1040" t="s">
        <v>1009</v>
      </c>
    </row>
    <row r="1236" spans="1:2">
      <c r="A1236" s="1040" t="s">
        <v>6192</v>
      </c>
      <c r="B1236" s="1040" t="s">
        <v>3630</v>
      </c>
    </row>
    <row r="1237" spans="1:2">
      <c r="A1237" s="1040" t="s">
        <v>2400</v>
      </c>
      <c r="B1237" s="1040" t="s">
        <v>2342</v>
      </c>
    </row>
    <row r="1238" spans="1:2">
      <c r="A1238" s="1040" t="s">
        <v>6712</v>
      </c>
      <c r="B1238" s="1040" t="s">
        <v>1010</v>
      </c>
    </row>
    <row r="1239" spans="1:2">
      <c r="A1239" s="1040" t="s">
        <v>6714</v>
      </c>
      <c r="B1239" s="1040" t="s">
        <v>1011</v>
      </c>
    </row>
    <row r="1240" spans="1:2">
      <c r="A1240" s="1040" t="s">
        <v>6716</v>
      </c>
      <c r="B1240" s="1040" t="s">
        <v>1012</v>
      </c>
    </row>
    <row r="1241" spans="1:2">
      <c r="A1241" s="1040" t="s">
        <v>6718</v>
      </c>
      <c r="B1241" s="1040" t="s">
        <v>1013</v>
      </c>
    </row>
    <row r="1242" spans="1:2">
      <c r="A1242" s="1040" t="s">
        <v>2443</v>
      </c>
      <c r="B1242" s="1040" t="s">
        <v>1014</v>
      </c>
    </row>
    <row r="1243" spans="1:2">
      <c r="A1243" s="1040" t="s">
        <v>2445</v>
      </c>
      <c r="B1243" s="1040" t="s">
        <v>1015</v>
      </c>
    </row>
    <row r="1244" spans="1:2">
      <c r="A1244" s="1040" t="s">
        <v>2447</v>
      </c>
      <c r="B1244" s="1040" t="s">
        <v>1016</v>
      </c>
    </row>
    <row r="1245" spans="1:2">
      <c r="A1245" s="1040" t="s">
        <v>905</v>
      </c>
      <c r="B1245" s="1040" t="s">
        <v>1017</v>
      </c>
    </row>
    <row r="1246" spans="1:2">
      <c r="A1246" s="1040" t="s">
        <v>1854</v>
      </c>
      <c r="B1246" s="1040" t="s">
        <v>4965</v>
      </c>
    </row>
    <row r="1247" spans="1:2">
      <c r="A1247" s="1040" t="s">
        <v>907</v>
      </c>
      <c r="B1247" s="1040" t="s">
        <v>1018</v>
      </c>
    </row>
    <row r="1248" spans="1:2">
      <c r="A1248" s="1040" t="s">
        <v>6146</v>
      </c>
      <c r="B1248" s="1040" t="s">
        <v>3835</v>
      </c>
    </row>
    <row r="1249" spans="1:2">
      <c r="A1249" s="1040" t="s">
        <v>909</v>
      </c>
      <c r="B1249" s="1040" t="s">
        <v>1019</v>
      </c>
    </row>
    <row r="1250" spans="1:2">
      <c r="A1250" s="1040" t="s">
        <v>247</v>
      </c>
      <c r="B1250" s="1040" t="s">
        <v>989</v>
      </c>
    </row>
    <row r="1251" spans="1:2">
      <c r="A1251" s="1040" t="s">
        <v>1527</v>
      </c>
      <c r="B1251" s="1040" t="s">
        <v>2154</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1240"/>
  <sheetViews>
    <sheetView workbookViewId="0">
      <selection activeCell="A2" sqref="A2"/>
    </sheetView>
  </sheetViews>
  <sheetFormatPr defaultColWidth="9.21875" defaultRowHeight="13.8"/>
  <cols>
    <col min="1" max="1" width="10.77734375" style="1034" customWidth="1"/>
    <col min="2" max="2" width="11" style="1035" bestFit="1" customWidth="1"/>
    <col min="3" max="16384" width="9.21875" style="1031"/>
  </cols>
  <sheetData>
    <row r="1" spans="1:2">
      <c r="A1" s="1029" t="str">
        <f>'Enter Attendance.Funding Sheet'!A1</f>
        <v>000-000</v>
      </c>
      <c r="B1" s="1030" t="s">
        <v>8126</v>
      </c>
    </row>
    <row r="2" spans="1:2">
      <c r="A2" s="1032" t="e">
        <f>VLOOKUP(A1,A3:A1240,1,FALSE)</f>
        <v>#N/A</v>
      </c>
      <c r="B2" s="1033" t="e">
        <f>VLOOKUP(A1,A3:B1240,2,FALSE)</f>
        <v>#N/A</v>
      </c>
    </row>
    <row r="3" spans="1:2">
      <c r="A3" s="1034" t="s">
        <v>3890</v>
      </c>
      <c r="B3" s="1035">
        <v>232.5</v>
      </c>
    </row>
    <row r="4" spans="1:2">
      <c r="A4" s="1034" t="s">
        <v>694</v>
      </c>
      <c r="B4" s="1035">
        <v>655.5</v>
      </c>
    </row>
    <row r="5" spans="1:2">
      <c r="A5" s="1034" t="s">
        <v>696</v>
      </c>
      <c r="B5" s="1035">
        <v>459.17</v>
      </c>
    </row>
    <row r="6" spans="1:2">
      <c r="A6" s="1034" t="s">
        <v>698</v>
      </c>
      <c r="B6" s="1035">
        <v>171.5</v>
      </c>
    </row>
    <row r="7" spans="1:2">
      <c r="A7" s="1034" t="s">
        <v>700</v>
      </c>
      <c r="B7" s="1035">
        <v>2624.5</v>
      </c>
    </row>
    <row r="8" spans="1:2">
      <c r="A8" s="1034" t="s">
        <v>1491</v>
      </c>
      <c r="B8" s="1035">
        <v>1179</v>
      </c>
    </row>
    <row r="9" spans="1:2">
      <c r="A9" s="1034" t="s">
        <v>6212</v>
      </c>
      <c r="B9" s="1035">
        <v>186.83</v>
      </c>
    </row>
    <row r="10" spans="1:2">
      <c r="A10" s="1034" t="s">
        <v>2753</v>
      </c>
      <c r="B10" s="1035">
        <v>1644.33</v>
      </c>
    </row>
    <row r="11" spans="1:2">
      <c r="A11" s="1034" t="s">
        <v>2840</v>
      </c>
      <c r="B11" s="1035">
        <v>472</v>
      </c>
    </row>
    <row r="12" spans="1:2">
      <c r="A12" s="1034" t="s">
        <v>3080</v>
      </c>
      <c r="B12" s="1035">
        <v>1537.5</v>
      </c>
    </row>
    <row r="13" spans="1:2">
      <c r="A13" s="1034" t="s">
        <v>2842</v>
      </c>
      <c r="B13" s="1035">
        <v>6331.33</v>
      </c>
    </row>
    <row r="14" spans="1:2">
      <c r="A14" s="1034" t="s">
        <v>1874</v>
      </c>
      <c r="B14" s="1035">
        <v>943.5</v>
      </c>
    </row>
    <row r="15" spans="1:2">
      <c r="A15" s="1034" t="s">
        <v>2844</v>
      </c>
      <c r="B15" s="1035">
        <v>1710.17</v>
      </c>
    </row>
    <row r="16" spans="1:2">
      <c r="A16" s="1034" t="s">
        <v>2846</v>
      </c>
      <c r="B16" s="1035">
        <v>261.33</v>
      </c>
    </row>
    <row r="17" spans="1:2">
      <c r="A17" s="1034" t="s">
        <v>2848</v>
      </c>
      <c r="B17" s="1035">
        <v>874.17</v>
      </c>
    </row>
    <row r="18" spans="1:2">
      <c r="A18" s="1034" t="s">
        <v>1225</v>
      </c>
      <c r="B18" s="1035">
        <v>1977.67</v>
      </c>
    </row>
    <row r="19" spans="1:2">
      <c r="A19" s="1034" t="s">
        <v>1227</v>
      </c>
      <c r="B19" s="1035">
        <v>181.83</v>
      </c>
    </row>
    <row r="20" spans="1:2">
      <c r="A20" s="1034" t="s">
        <v>1229</v>
      </c>
      <c r="B20" s="1035">
        <v>228.83</v>
      </c>
    </row>
    <row r="21" spans="1:2">
      <c r="A21" s="1034" t="s">
        <v>2360</v>
      </c>
      <c r="B21" s="1035">
        <v>168.17</v>
      </c>
    </row>
    <row r="22" spans="1:2">
      <c r="A22" s="1034" t="s">
        <v>1233</v>
      </c>
      <c r="B22" s="1035">
        <v>157.16999999999999</v>
      </c>
    </row>
    <row r="23" spans="1:2">
      <c r="A23" s="1034" t="s">
        <v>3081</v>
      </c>
      <c r="B23" s="1035">
        <v>367.17</v>
      </c>
    </row>
    <row r="24" spans="1:2">
      <c r="A24" s="1034" t="s">
        <v>1235</v>
      </c>
      <c r="B24" s="1035">
        <v>950.67</v>
      </c>
    </row>
    <row r="25" spans="1:2">
      <c r="A25" s="1034" t="s">
        <v>2999</v>
      </c>
      <c r="B25" s="1035">
        <v>1234.33</v>
      </c>
    </row>
    <row r="26" spans="1:2">
      <c r="A26" s="1034" t="s">
        <v>5127</v>
      </c>
      <c r="B26" s="1035">
        <v>2156.17</v>
      </c>
    </row>
    <row r="27" spans="1:2">
      <c r="A27" s="1034" t="s">
        <v>2563</v>
      </c>
      <c r="B27" s="1035">
        <v>1328.5</v>
      </c>
    </row>
    <row r="28" spans="1:2">
      <c r="A28" s="1034" t="s">
        <v>1237</v>
      </c>
      <c r="B28" s="1035">
        <v>1028.83</v>
      </c>
    </row>
    <row r="29" spans="1:2">
      <c r="A29" s="1034" t="s">
        <v>1239</v>
      </c>
      <c r="B29" s="1035">
        <v>1584.67</v>
      </c>
    </row>
    <row r="30" spans="1:2">
      <c r="A30" s="1034" t="s">
        <v>1241</v>
      </c>
      <c r="B30" s="1035">
        <v>494.33</v>
      </c>
    </row>
    <row r="31" spans="1:2">
      <c r="A31" s="1034" t="s">
        <v>1243</v>
      </c>
      <c r="B31" s="1035">
        <v>1269</v>
      </c>
    </row>
    <row r="32" spans="1:2">
      <c r="A32" s="1034" t="s">
        <v>1245</v>
      </c>
      <c r="B32" s="1035">
        <v>175.83</v>
      </c>
    </row>
    <row r="33" spans="1:2">
      <c r="A33" s="1034" t="s">
        <v>2361</v>
      </c>
      <c r="B33" s="1035">
        <v>1199.5</v>
      </c>
    </row>
    <row r="34" spans="1:2">
      <c r="A34" s="1034" t="s">
        <v>948</v>
      </c>
      <c r="B34" s="1035">
        <v>7120</v>
      </c>
    </row>
    <row r="35" spans="1:2">
      <c r="A35" s="1034" t="s">
        <v>1522</v>
      </c>
      <c r="B35" s="1035">
        <v>3155.17</v>
      </c>
    </row>
    <row r="36" spans="1:2">
      <c r="A36" s="1034" t="s">
        <v>438</v>
      </c>
      <c r="B36" s="1035">
        <v>1077.83</v>
      </c>
    </row>
    <row r="37" spans="1:2">
      <c r="A37" s="1034" t="s">
        <v>2565</v>
      </c>
      <c r="B37" s="1035">
        <v>151.83000000000001</v>
      </c>
    </row>
    <row r="38" spans="1:2">
      <c r="A38" s="1034" t="s">
        <v>1248</v>
      </c>
      <c r="B38" s="1035">
        <v>340.17</v>
      </c>
    </row>
    <row r="39" spans="1:2">
      <c r="A39" s="1034" t="s">
        <v>7182</v>
      </c>
      <c r="B39" s="1035">
        <v>328.67</v>
      </c>
    </row>
    <row r="40" spans="1:2">
      <c r="A40" s="1034" t="s">
        <v>439</v>
      </c>
      <c r="B40" s="1035">
        <v>2664.83</v>
      </c>
    </row>
    <row r="41" spans="1:2">
      <c r="A41" s="1034" t="s">
        <v>1250</v>
      </c>
      <c r="B41" s="1035">
        <v>125.33</v>
      </c>
    </row>
    <row r="42" spans="1:2">
      <c r="A42" s="1034" t="s">
        <v>1252</v>
      </c>
      <c r="B42" s="1035">
        <v>298.83</v>
      </c>
    </row>
    <row r="43" spans="1:2">
      <c r="A43" s="1034" t="s">
        <v>2399</v>
      </c>
      <c r="B43" s="1035">
        <v>449.67</v>
      </c>
    </row>
    <row r="44" spans="1:2">
      <c r="A44" s="1034" t="s">
        <v>7184</v>
      </c>
      <c r="B44" s="1035">
        <v>1291.67</v>
      </c>
    </row>
    <row r="45" spans="1:2">
      <c r="A45" s="1034" t="s">
        <v>7188</v>
      </c>
      <c r="B45" s="1035">
        <v>549.33000000000004</v>
      </c>
    </row>
    <row r="46" spans="1:2">
      <c r="A46" s="1034" t="s">
        <v>7190</v>
      </c>
      <c r="B46" s="1035">
        <v>315.83</v>
      </c>
    </row>
    <row r="47" spans="1:2">
      <c r="A47" s="1034" t="s">
        <v>2566</v>
      </c>
      <c r="B47" s="1035">
        <v>597.33000000000004</v>
      </c>
    </row>
    <row r="48" spans="1:2">
      <c r="A48" s="1034" t="s">
        <v>947</v>
      </c>
      <c r="B48" s="1035">
        <v>274.83</v>
      </c>
    </row>
    <row r="49" spans="1:2">
      <c r="A49" s="1034" t="s">
        <v>950</v>
      </c>
      <c r="B49" s="1035">
        <v>5282.83</v>
      </c>
    </row>
    <row r="50" spans="1:2">
      <c r="A50" s="1034" t="s">
        <v>1869</v>
      </c>
      <c r="B50" s="1035">
        <v>342.83</v>
      </c>
    </row>
    <row r="51" spans="1:2">
      <c r="A51" s="1034" t="s">
        <v>6033</v>
      </c>
      <c r="B51" s="1035">
        <v>26270.83</v>
      </c>
    </row>
    <row r="52" spans="1:2">
      <c r="A52" s="1034" t="s">
        <v>2309</v>
      </c>
      <c r="B52" s="1035">
        <v>431.67</v>
      </c>
    </row>
    <row r="53" spans="1:2">
      <c r="A53" s="1034" t="s">
        <v>2384</v>
      </c>
      <c r="B53" s="1035">
        <v>446.17</v>
      </c>
    </row>
    <row r="54" spans="1:2">
      <c r="A54" s="1034" t="s">
        <v>2411</v>
      </c>
      <c r="B54" s="1035">
        <v>6524.17</v>
      </c>
    </row>
    <row r="55" spans="1:2">
      <c r="A55" s="1034" t="s">
        <v>2416</v>
      </c>
      <c r="B55" s="1035">
        <v>756</v>
      </c>
    </row>
    <row r="56" spans="1:2">
      <c r="A56" s="1034" t="s">
        <v>1254</v>
      </c>
      <c r="B56" s="1035">
        <v>305</v>
      </c>
    </row>
    <row r="57" spans="1:2">
      <c r="A57" s="1034" t="s">
        <v>7193</v>
      </c>
      <c r="B57" s="1035">
        <v>1169.5</v>
      </c>
    </row>
    <row r="58" spans="1:2">
      <c r="A58" s="1034" t="s">
        <v>7197</v>
      </c>
      <c r="B58" s="1035">
        <v>612.5</v>
      </c>
    </row>
    <row r="59" spans="1:2">
      <c r="A59" s="1034" t="s">
        <v>1256</v>
      </c>
      <c r="B59" s="1035">
        <v>1111.17</v>
      </c>
    </row>
    <row r="60" spans="1:2">
      <c r="A60" s="1034" t="s">
        <v>7200</v>
      </c>
      <c r="B60" s="1035">
        <v>733.17</v>
      </c>
    </row>
    <row r="61" spans="1:2">
      <c r="A61" s="1034" t="s">
        <v>7202</v>
      </c>
      <c r="B61" s="1035">
        <v>483.67</v>
      </c>
    </row>
    <row r="62" spans="1:2">
      <c r="A62" s="1034" t="s">
        <v>7204</v>
      </c>
      <c r="B62" s="1035">
        <v>414.17</v>
      </c>
    </row>
    <row r="63" spans="1:2">
      <c r="A63" s="1034" t="s">
        <v>7214</v>
      </c>
      <c r="B63" s="1035">
        <v>143.5</v>
      </c>
    </row>
    <row r="64" spans="1:2">
      <c r="A64" s="1034" t="s">
        <v>7216</v>
      </c>
      <c r="B64" s="1035">
        <v>358.67</v>
      </c>
    </row>
    <row r="65" spans="1:2">
      <c r="A65" s="1034" t="s">
        <v>7218</v>
      </c>
      <c r="B65" s="1035">
        <v>202.17</v>
      </c>
    </row>
    <row r="66" spans="1:2">
      <c r="A66" s="1034" t="s">
        <v>7223</v>
      </c>
      <c r="B66" s="1035">
        <v>507.17</v>
      </c>
    </row>
    <row r="67" spans="1:2">
      <c r="A67" s="1034" t="s">
        <v>7225</v>
      </c>
      <c r="B67" s="1035">
        <v>419.83</v>
      </c>
    </row>
    <row r="68" spans="1:2">
      <c r="A68" s="1034" t="s">
        <v>7227</v>
      </c>
      <c r="B68" s="1035">
        <v>3094.5</v>
      </c>
    </row>
    <row r="69" spans="1:2">
      <c r="A69" s="1034" t="s">
        <v>7233</v>
      </c>
      <c r="B69" s="1035">
        <v>238</v>
      </c>
    </row>
    <row r="70" spans="1:2">
      <c r="A70" s="1034" t="s">
        <v>7235</v>
      </c>
      <c r="B70" s="1035">
        <v>1841.83</v>
      </c>
    </row>
    <row r="71" spans="1:2">
      <c r="A71" s="1034" t="s">
        <v>7237</v>
      </c>
      <c r="B71" s="1035">
        <v>477.33</v>
      </c>
    </row>
    <row r="72" spans="1:2">
      <c r="A72" s="1034" t="s">
        <v>161</v>
      </c>
      <c r="B72" s="1035">
        <v>2225</v>
      </c>
    </row>
    <row r="73" spans="1:2">
      <c r="A73" s="1034" t="s">
        <v>162</v>
      </c>
      <c r="B73" s="1035">
        <v>1356</v>
      </c>
    </row>
    <row r="74" spans="1:2">
      <c r="A74" s="1034" t="s">
        <v>7794</v>
      </c>
      <c r="B74" s="1035">
        <v>687</v>
      </c>
    </row>
    <row r="75" spans="1:2">
      <c r="A75" s="1034" t="s">
        <v>7921</v>
      </c>
      <c r="B75" s="1035">
        <v>104.67</v>
      </c>
    </row>
    <row r="76" spans="1:2">
      <c r="A76" s="1034" t="s">
        <v>8127</v>
      </c>
      <c r="B76" s="1035">
        <v>0</v>
      </c>
    </row>
    <row r="77" spans="1:2">
      <c r="A77" s="1034" t="s">
        <v>8128</v>
      </c>
      <c r="B77" s="1035">
        <v>147.33000000000001</v>
      </c>
    </row>
    <row r="78" spans="1:2">
      <c r="A78" s="1034" t="s">
        <v>8129</v>
      </c>
      <c r="B78" s="1035">
        <v>49.33</v>
      </c>
    </row>
    <row r="79" spans="1:2">
      <c r="A79" s="1034" t="s">
        <v>8130</v>
      </c>
      <c r="B79" s="1035">
        <v>0</v>
      </c>
    </row>
    <row r="80" spans="1:2">
      <c r="A80" s="1034" t="s">
        <v>37</v>
      </c>
      <c r="B80" s="1035">
        <v>1085.67</v>
      </c>
    </row>
    <row r="81" spans="1:2">
      <c r="A81" s="1034" t="s">
        <v>1860</v>
      </c>
      <c r="B81" s="1035">
        <v>14041.17</v>
      </c>
    </row>
    <row r="82" spans="1:2">
      <c r="A82" s="1034" t="s">
        <v>1520</v>
      </c>
      <c r="B82" s="1035">
        <v>12323.67</v>
      </c>
    </row>
    <row r="83" spans="1:2">
      <c r="A83" s="1034" t="s">
        <v>39</v>
      </c>
      <c r="B83" s="1035">
        <v>116.83</v>
      </c>
    </row>
    <row r="84" spans="1:2">
      <c r="A84" s="1034" t="s">
        <v>2386</v>
      </c>
      <c r="B84" s="1035">
        <v>53115</v>
      </c>
    </row>
    <row r="85" spans="1:2">
      <c r="A85" s="1034" t="s">
        <v>2403</v>
      </c>
      <c r="B85" s="1035">
        <v>9965.67</v>
      </c>
    </row>
    <row r="86" spans="1:2">
      <c r="A86" s="1034" t="s">
        <v>2402</v>
      </c>
      <c r="B86" s="1035">
        <v>3199.67</v>
      </c>
    </row>
    <row r="87" spans="1:2">
      <c r="A87" s="1034" t="s">
        <v>6183</v>
      </c>
      <c r="B87" s="1035">
        <v>31776.83</v>
      </c>
    </row>
    <row r="88" spans="1:2">
      <c r="A88" s="1034" t="s">
        <v>1517</v>
      </c>
      <c r="B88" s="1035">
        <v>6574.67</v>
      </c>
    </row>
    <row r="89" spans="1:2">
      <c r="A89" s="1034" t="s">
        <v>3082</v>
      </c>
      <c r="B89" s="1035">
        <v>11552</v>
      </c>
    </row>
    <row r="90" spans="1:2">
      <c r="A90" s="1034" t="s">
        <v>41</v>
      </c>
      <c r="B90" s="1035">
        <v>330</v>
      </c>
    </row>
    <row r="91" spans="1:2">
      <c r="A91" s="1034" t="s">
        <v>43</v>
      </c>
      <c r="B91" s="1035">
        <v>459.83</v>
      </c>
    </row>
    <row r="92" spans="1:2">
      <c r="A92" s="1034" t="s">
        <v>6185</v>
      </c>
      <c r="B92" s="1035">
        <v>53085.67</v>
      </c>
    </row>
    <row r="93" spans="1:2">
      <c r="A93" s="1034" t="s">
        <v>6026</v>
      </c>
      <c r="B93" s="1035">
        <v>15764.5</v>
      </c>
    </row>
    <row r="94" spans="1:2">
      <c r="A94" s="1034" t="s">
        <v>2404</v>
      </c>
      <c r="B94" s="1035">
        <v>4515.5</v>
      </c>
    </row>
    <row r="95" spans="1:2">
      <c r="A95" s="1034" t="s">
        <v>7238</v>
      </c>
      <c r="B95" s="1035">
        <v>0</v>
      </c>
    </row>
    <row r="96" spans="1:2">
      <c r="A96" s="1034" t="s">
        <v>45</v>
      </c>
      <c r="B96" s="1035">
        <v>295</v>
      </c>
    </row>
    <row r="97" spans="1:2">
      <c r="A97" s="1034" t="s">
        <v>952</v>
      </c>
      <c r="B97" s="1035">
        <v>522</v>
      </c>
    </row>
    <row r="98" spans="1:2">
      <c r="A98" s="1034" t="s">
        <v>47</v>
      </c>
      <c r="B98" s="1035">
        <v>94.57</v>
      </c>
    </row>
    <row r="99" spans="1:2">
      <c r="A99" s="1034" t="s">
        <v>740</v>
      </c>
      <c r="B99" s="1035">
        <v>571.66999999999996</v>
      </c>
    </row>
    <row r="100" spans="1:2">
      <c r="A100" s="1034" t="s">
        <v>49</v>
      </c>
      <c r="B100" s="1035">
        <v>347.5</v>
      </c>
    </row>
    <row r="101" spans="1:2">
      <c r="A101" s="1034" t="s">
        <v>1337</v>
      </c>
      <c r="B101" s="1035">
        <v>111.67</v>
      </c>
    </row>
    <row r="102" spans="1:2">
      <c r="A102" s="1034" t="s">
        <v>1339</v>
      </c>
      <c r="B102" s="1035">
        <v>391</v>
      </c>
    </row>
    <row r="103" spans="1:2">
      <c r="A103" s="1034" t="s">
        <v>2474</v>
      </c>
      <c r="B103" s="1035">
        <v>152.66999999999999</v>
      </c>
    </row>
    <row r="104" spans="1:2">
      <c r="A104" s="1034" t="s">
        <v>1341</v>
      </c>
      <c r="B104" s="1035">
        <v>79</v>
      </c>
    </row>
    <row r="105" spans="1:2">
      <c r="A105" s="1034" t="s">
        <v>1343</v>
      </c>
      <c r="B105" s="1035">
        <v>176.17</v>
      </c>
    </row>
    <row r="106" spans="1:2">
      <c r="A106" s="1034" t="s">
        <v>1345</v>
      </c>
      <c r="B106" s="1035">
        <v>91.67</v>
      </c>
    </row>
    <row r="107" spans="1:2">
      <c r="A107" s="1034" t="s">
        <v>6961</v>
      </c>
      <c r="B107" s="1035">
        <v>0</v>
      </c>
    </row>
    <row r="108" spans="1:2">
      <c r="A108" s="1034" t="s">
        <v>963</v>
      </c>
      <c r="B108" s="1035">
        <v>534.5</v>
      </c>
    </row>
    <row r="109" spans="1:2">
      <c r="A109" s="1034" t="s">
        <v>3083</v>
      </c>
      <c r="B109" s="1035">
        <v>504</v>
      </c>
    </row>
    <row r="110" spans="1:2">
      <c r="A110" s="1034" t="s">
        <v>2568</v>
      </c>
      <c r="B110" s="1035">
        <v>283.83</v>
      </c>
    </row>
    <row r="111" spans="1:2">
      <c r="A111" s="1034" t="s">
        <v>1349</v>
      </c>
      <c r="B111" s="1035">
        <v>858.83</v>
      </c>
    </row>
    <row r="112" spans="1:2">
      <c r="A112" s="1034" t="s">
        <v>6083</v>
      </c>
      <c r="B112" s="1035">
        <v>478.67</v>
      </c>
    </row>
    <row r="113" spans="1:2">
      <c r="A113" s="1034" t="s">
        <v>6085</v>
      </c>
      <c r="B113" s="1035">
        <v>5413.83</v>
      </c>
    </row>
    <row r="114" spans="1:2">
      <c r="A114" s="1034" t="s">
        <v>1998</v>
      </c>
      <c r="B114" s="1035">
        <v>2125.83</v>
      </c>
    </row>
    <row r="115" spans="1:2">
      <c r="A115" s="1034" t="s">
        <v>2570</v>
      </c>
      <c r="B115" s="1035">
        <v>284.83</v>
      </c>
    </row>
    <row r="116" spans="1:2">
      <c r="A116" s="1034" t="s">
        <v>4076</v>
      </c>
      <c r="B116" s="1035">
        <v>76.67</v>
      </c>
    </row>
    <row r="117" spans="1:2">
      <c r="A117" s="1034" t="s">
        <v>1963</v>
      </c>
      <c r="B117" s="1035">
        <v>58</v>
      </c>
    </row>
    <row r="118" spans="1:2">
      <c r="A118" s="1034" t="s">
        <v>2000</v>
      </c>
      <c r="B118" s="1035">
        <v>644</v>
      </c>
    </row>
    <row r="119" spans="1:2">
      <c r="A119" s="1034" t="s">
        <v>2002</v>
      </c>
      <c r="B119" s="1035">
        <v>54.67</v>
      </c>
    </row>
    <row r="120" spans="1:2">
      <c r="A120" s="1034" t="s">
        <v>1964</v>
      </c>
      <c r="B120" s="1035">
        <v>90.5</v>
      </c>
    </row>
    <row r="121" spans="1:2">
      <c r="A121" s="1034" t="s">
        <v>2136</v>
      </c>
      <c r="B121" s="1035">
        <v>11180</v>
      </c>
    </row>
    <row r="122" spans="1:2">
      <c r="A122" s="1034" t="s">
        <v>2966</v>
      </c>
      <c r="B122" s="1035">
        <v>4154.5</v>
      </c>
    </row>
    <row r="123" spans="1:2">
      <c r="A123" s="1034" t="s">
        <v>3084</v>
      </c>
      <c r="B123" s="1035">
        <v>228.33</v>
      </c>
    </row>
    <row r="124" spans="1:2">
      <c r="A124" s="1034" t="s">
        <v>6252</v>
      </c>
      <c r="B124" s="1035">
        <v>7318.83</v>
      </c>
    </row>
    <row r="125" spans="1:2">
      <c r="A125" s="1034" t="s">
        <v>6254</v>
      </c>
      <c r="B125" s="1035">
        <v>1005.33</v>
      </c>
    </row>
    <row r="126" spans="1:2">
      <c r="A126" s="1034" t="s">
        <v>233</v>
      </c>
      <c r="B126" s="1035">
        <v>1697.5</v>
      </c>
    </row>
    <row r="127" spans="1:2">
      <c r="A127" s="1034" t="s">
        <v>6195</v>
      </c>
      <c r="B127" s="1035">
        <v>5943</v>
      </c>
    </row>
    <row r="128" spans="1:2">
      <c r="A128" s="1034" t="s">
        <v>6256</v>
      </c>
      <c r="B128" s="1035">
        <v>200.5</v>
      </c>
    </row>
    <row r="129" spans="1:2">
      <c r="A129" s="1034" t="s">
        <v>7243</v>
      </c>
      <c r="B129" s="1035">
        <v>394.33</v>
      </c>
    </row>
    <row r="130" spans="1:2">
      <c r="A130" s="1034" t="s">
        <v>8131</v>
      </c>
      <c r="B130" s="1035">
        <v>654.16999999999996</v>
      </c>
    </row>
    <row r="131" spans="1:2">
      <c r="A131" s="1034" t="s">
        <v>743</v>
      </c>
      <c r="B131" s="1035">
        <v>4442</v>
      </c>
    </row>
    <row r="132" spans="1:2">
      <c r="A132" s="1034" t="s">
        <v>960</v>
      </c>
      <c r="B132" s="1035">
        <v>12148.67</v>
      </c>
    </row>
    <row r="133" spans="1:2">
      <c r="A133" s="1034" t="s">
        <v>6991</v>
      </c>
      <c r="B133" s="1035">
        <v>67.83</v>
      </c>
    </row>
    <row r="134" spans="1:2">
      <c r="A134" s="1034" t="s">
        <v>6262</v>
      </c>
      <c r="B134" s="1035">
        <v>525</v>
      </c>
    </row>
    <row r="135" spans="1:2">
      <c r="A135" s="1034" t="s">
        <v>6264</v>
      </c>
      <c r="B135" s="1035">
        <v>29.83</v>
      </c>
    </row>
    <row r="136" spans="1:2">
      <c r="A136" s="1034" t="s">
        <v>6266</v>
      </c>
      <c r="B136" s="1035">
        <v>7</v>
      </c>
    </row>
    <row r="137" spans="1:2">
      <c r="A137" s="1034" t="s">
        <v>6268</v>
      </c>
      <c r="B137" s="1035">
        <v>106.17</v>
      </c>
    </row>
    <row r="138" spans="1:2">
      <c r="A138" s="1034" t="s">
        <v>6270</v>
      </c>
      <c r="B138" s="1035">
        <v>1409.83</v>
      </c>
    </row>
    <row r="139" spans="1:2">
      <c r="A139" s="1034" t="s">
        <v>6272</v>
      </c>
      <c r="B139" s="1035">
        <v>559.16999999999996</v>
      </c>
    </row>
    <row r="140" spans="1:2">
      <c r="A140" s="1034" t="s">
        <v>2291</v>
      </c>
      <c r="B140" s="1035">
        <v>2467</v>
      </c>
    </row>
    <row r="141" spans="1:2">
      <c r="A141" s="1034" t="s">
        <v>954</v>
      </c>
      <c r="B141" s="1035">
        <v>150</v>
      </c>
    </row>
    <row r="142" spans="1:2">
      <c r="A142" s="1034" t="s">
        <v>6166</v>
      </c>
      <c r="B142" s="1035">
        <v>183.83</v>
      </c>
    </row>
    <row r="143" spans="1:2">
      <c r="A143" s="1034" t="s">
        <v>864</v>
      </c>
      <c r="B143" s="1035">
        <v>149.5</v>
      </c>
    </row>
    <row r="144" spans="1:2">
      <c r="A144" s="1034" t="s">
        <v>3085</v>
      </c>
      <c r="B144" s="1035">
        <v>122.11</v>
      </c>
    </row>
    <row r="145" spans="1:2">
      <c r="A145" s="1034" t="s">
        <v>1518</v>
      </c>
      <c r="B145" s="1035">
        <v>623.66999999999996</v>
      </c>
    </row>
    <row r="146" spans="1:2">
      <c r="A146" s="1034" t="s">
        <v>2293</v>
      </c>
      <c r="B146" s="1035">
        <v>1025.83</v>
      </c>
    </row>
    <row r="147" spans="1:2">
      <c r="A147" s="1034" t="s">
        <v>2295</v>
      </c>
      <c r="B147" s="1035">
        <v>349.5</v>
      </c>
    </row>
    <row r="148" spans="1:2">
      <c r="A148" s="1034" t="s">
        <v>2297</v>
      </c>
      <c r="B148" s="1035">
        <v>348</v>
      </c>
    </row>
    <row r="149" spans="1:2">
      <c r="A149" s="1034" t="s">
        <v>978</v>
      </c>
      <c r="B149" s="1035">
        <v>1853.5</v>
      </c>
    </row>
    <row r="150" spans="1:2">
      <c r="A150" s="1034" t="s">
        <v>3003</v>
      </c>
      <c r="B150" s="1035">
        <v>2655.5</v>
      </c>
    </row>
    <row r="151" spans="1:2">
      <c r="A151" s="1034" t="s">
        <v>2993</v>
      </c>
      <c r="B151" s="1035">
        <v>3942.83</v>
      </c>
    </row>
    <row r="152" spans="1:2">
      <c r="A152" s="1034" t="s">
        <v>518</v>
      </c>
      <c r="B152" s="1035">
        <v>1000.33</v>
      </c>
    </row>
    <row r="153" spans="1:2">
      <c r="A153" s="1034" t="s">
        <v>2299</v>
      </c>
      <c r="B153" s="1035">
        <v>169</v>
      </c>
    </row>
    <row r="154" spans="1:2">
      <c r="A154" s="1034" t="s">
        <v>3971</v>
      </c>
      <c r="B154" s="1035">
        <v>2634.33</v>
      </c>
    </row>
    <row r="155" spans="1:2">
      <c r="A155" s="1034" t="s">
        <v>2161</v>
      </c>
      <c r="B155" s="1035">
        <v>211.83</v>
      </c>
    </row>
    <row r="156" spans="1:2">
      <c r="A156" s="1034" t="s">
        <v>3086</v>
      </c>
      <c r="B156" s="1035">
        <v>776.67</v>
      </c>
    </row>
    <row r="157" spans="1:2">
      <c r="A157" s="1034" t="s">
        <v>2605</v>
      </c>
      <c r="B157" s="1035">
        <v>218.17</v>
      </c>
    </row>
    <row r="158" spans="1:2">
      <c r="A158" s="1034" t="s">
        <v>4181</v>
      </c>
      <c r="B158" s="1035">
        <v>226</v>
      </c>
    </row>
    <row r="159" spans="1:2">
      <c r="A159" s="1034" t="s">
        <v>8132</v>
      </c>
      <c r="B159" s="1035">
        <v>0</v>
      </c>
    </row>
    <row r="160" spans="1:2">
      <c r="A160" s="1034" t="s">
        <v>959</v>
      </c>
      <c r="B160" s="1035">
        <v>44333.67</v>
      </c>
    </row>
    <row r="161" spans="1:2">
      <c r="A161" s="1034" t="s">
        <v>1861</v>
      </c>
      <c r="B161" s="1035">
        <v>17228.169999999998</v>
      </c>
    </row>
    <row r="162" spans="1:2">
      <c r="A162" s="1034" t="s">
        <v>6037</v>
      </c>
      <c r="B162" s="1035">
        <v>3191.67</v>
      </c>
    </row>
    <row r="163" spans="1:2">
      <c r="A163" s="1034" t="s">
        <v>2995</v>
      </c>
      <c r="B163" s="1035">
        <v>8931.84</v>
      </c>
    </row>
    <row r="164" spans="1:2">
      <c r="A164" s="1034" t="s">
        <v>7643</v>
      </c>
      <c r="B164" s="1035">
        <v>2605.5</v>
      </c>
    </row>
    <row r="165" spans="1:2">
      <c r="A165" s="1034" t="s">
        <v>3087</v>
      </c>
      <c r="B165" s="1035">
        <v>1991.17</v>
      </c>
    </row>
    <row r="166" spans="1:2">
      <c r="A166" s="1034" t="s">
        <v>2387</v>
      </c>
      <c r="B166" s="1035">
        <v>11307.17</v>
      </c>
    </row>
    <row r="167" spans="1:2">
      <c r="A167" s="1034" t="s">
        <v>3088</v>
      </c>
      <c r="B167" s="1035">
        <v>732</v>
      </c>
    </row>
    <row r="168" spans="1:2">
      <c r="A168" s="1034" t="s">
        <v>2393</v>
      </c>
      <c r="B168" s="1035">
        <v>1239.67</v>
      </c>
    </row>
    <row r="169" spans="1:2">
      <c r="A169" s="1034" t="s">
        <v>7645</v>
      </c>
      <c r="B169" s="1035">
        <v>1960.17</v>
      </c>
    </row>
    <row r="170" spans="1:2">
      <c r="A170" s="1034" t="s">
        <v>7647</v>
      </c>
      <c r="B170" s="1035">
        <v>1931.5</v>
      </c>
    </row>
    <row r="171" spans="1:2">
      <c r="A171" s="1034" t="s">
        <v>7649</v>
      </c>
      <c r="B171" s="1035">
        <v>48.83</v>
      </c>
    </row>
    <row r="172" spans="1:2">
      <c r="A172" s="1034" t="s">
        <v>1786</v>
      </c>
      <c r="B172" s="1035">
        <v>165.83</v>
      </c>
    </row>
    <row r="173" spans="1:2">
      <c r="A173" s="1034" t="s">
        <v>1788</v>
      </c>
      <c r="B173" s="1035">
        <v>181.5</v>
      </c>
    </row>
    <row r="174" spans="1:2">
      <c r="A174" s="1034" t="s">
        <v>1790</v>
      </c>
      <c r="B174" s="1035">
        <v>1206.83</v>
      </c>
    </row>
    <row r="175" spans="1:2">
      <c r="A175" s="1034" t="s">
        <v>1792</v>
      </c>
      <c r="B175" s="1035">
        <v>138.83000000000001</v>
      </c>
    </row>
    <row r="176" spans="1:2">
      <c r="A176" s="1034" t="s">
        <v>2982</v>
      </c>
      <c r="B176" s="1035">
        <v>761.17</v>
      </c>
    </row>
    <row r="177" spans="1:2">
      <c r="A177" s="1034" t="s">
        <v>2984</v>
      </c>
      <c r="B177" s="1035">
        <v>533</v>
      </c>
    </row>
    <row r="178" spans="1:2">
      <c r="A178" s="1034" t="s">
        <v>965</v>
      </c>
      <c r="B178" s="1035">
        <v>158.5</v>
      </c>
    </row>
    <row r="179" spans="1:2">
      <c r="A179" s="1034" t="s">
        <v>6704</v>
      </c>
      <c r="B179" s="1035">
        <v>598.66999999999996</v>
      </c>
    </row>
    <row r="180" spans="1:2">
      <c r="A180" s="1034" t="s">
        <v>690</v>
      </c>
      <c r="B180" s="1035">
        <v>172.33</v>
      </c>
    </row>
    <row r="181" spans="1:2">
      <c r="A181" s="1034" t="s">
        <v>692</v>
      </c>
      <c r="B181" s="1035">
        <v>1072.5</v>
      </c>
    </row>
    <row r="182" spans="1:2">
      <c r="A182" s="1034" t="s">
        <v>895</v>
      </c>
      <c r="B182" s="1035">
        <v>225</v>
      </c>
    </row>
    <row r="183" spans="1:2">
      <c r="A183" s="1034" t="s">
        <v>6177</v>
      </c>
      <c r="B183" s="1035">
        <v>45.5</v>
      </c>
    </row>
    <row r="184" spans="1:2">
      <c r="A184" s="1034" t="s">
        <v>265</v>
      </c>
      <c r="B184" s="1035">
        <v>699</v>
      </c>
    </row>
    <row r="185" spans="1:2">
      <c r="A185" s="1034" t="s">
        <v>897</v>
      </c>
      <c r="B185" s="1035">
        <v>1040.83</v>
      </c>
    </row>
    <row r="186" spans="1:2">
      <c r="A186" s="1034" t="s">
        <v>899</v>
      </c>
      <c r="B186" s="1035">
        <v>823.17</v>
      </c>
    </row>
    <row r="187" spans="1:2">
      <c r="A187" s="1034" t="s">
        <v>901</v>
      </c>
      <c r="B187" s="1035">
        <v>477</v>
      </c>
    </row>
    <row r="188" spans="1:2">
      <c r="A188" s="1034" t="s">
        <v>6023</v>
      </c>
      <c r="B188" s="1035">
        <v>4069</v>
      </c>
    </row>
    <row r="189" spans="1:2">
      <c r="A189" s="1034" t="s">
        <v>2383</v>
      </c>
      <c r="B189" s="1035">
        <v>1332.83</v>
      </c>
    </row>
    <row r="190" spans="1:2">
      <c r="A190" s="1034" t="s">
        <v>6180</v>
      </c>
      <c r="B190" s="1035">
        <v>519.64</v>
      </c>
    </row>
    <row r="191" spans="1:2">
      <c r="A191" s="1034" t="s">
        <v>903</v>
      </c>
      <c r="B191" s="1035">
        <v>195</v>
      </c>
    </row>
    <row r="192" spans="1:2">
      <c r="A192" s="1034" t="s">
        <v>736</v>
      </c>
      <c r="B192" s="1035">
        <v>639</v>
      </c>
    </row>
    <row r="193" spans="1:2">
      <c r="A193" s="1034" t="s">
        <v>2117</v>
      </c>
      <c r="B193" s="1035">
        <v>433.33</v>
      </c>
    </row>
    <row r="194" spans="1:2">
      <c r="A194" s="1034" t="s">
        <v>3089</v>
      </c>
      <c r="B194" s="1035">
        <v>274.5</v>
      </c>
    </row>
    <row r="195" spans="1:2">
      <c r="A195" s="1034" t="s">
        <v>2119</v>
      </c>
      <c r="B195" s="1035">
        <v>77.5</v>
      </c>
    </row>
    <row r="196" spans="1:2">
      <c r="A196" s="1034" t="s">
        <v>2121</v>
      </c>
      <c r="B196" s="1035">
        <v>46.67</v>
      </c>
    </row>
    <row r="197" spans="1:2">
      <c r="A197" s="1034" t="s">
        <v>2123</v>
      </c>
      <c r="B197" s="1035">
        <v>398.39</v>
      </c>
    </row>
    <row r="198" spans="1:2">
      <c r="A198" s="1034" t="s">
        <v>3130</v>
      </c>
      <c r="B198" s="1035">
        <v>198.17</v>
      </c>
    </row>
    <row r="199" spans="1:2">
      <c r="A199" s="1034" t="s">
        <v>3132</v>
      </c>
      <c r="B199" s="1035">
        <v>131.66999999999999</v>
      </c>
    </row>
    <row r="200" spans="1:2">
      <c r="A200" s="1034" t="s">
        <v>1322</v>
      </c>
      <c r="B200" s="1035">
        <v>152.5</v>
      </c>
    </row>
    <row r="201" spans="1:2">
      <c r="A201" s="1034" t="s">
        <v>742</v>
      </c>
      <c r="B201" s="1035">
        <v>553.83000000000004</v>
      </c>
    </row>
    <row r="202" spans="1:2">
      <c r="A202" s="1034" t="s">
        <v>440</v>
      </c>
      <c r="B202" s="1035">
        <v>201</v>
      </c>
    </row>
    <row r="203" spans="1:2">
      <c r="A203" s="1034" t="s">
        <v>1324</v>
      </c>
      <c r="B203" s="1035">
        <v>110.17</v>
      </c>
    </row>
    <row r="204" spans="1:2">
      <c r="A204" s="1034" t="s">
        <v>8133</v>
      </c>
      <c r="B204" s="1035">
        <v>68.33</v>
      </c>
    </row>
    <row r="205" spans="1:2">
      <c r="A205" s="1034" t="s">
        <v>818</v>
      </c>
      <c r="B205" s="1035">
        <v>2468.67</v>
      </c>
    </row>
    <row r="206" spans="1:2">
      <c r="A206" s="1034" t="s">
        <v>266</v>
      </c>
      <c r="B206" s="1035">
        <v>1457.5</v>
      </c>
    </row>
    <row r="207" spans="1:2">
      <c r="A207" s="1034" t="s">
        <v>441</v>
      </c>
      <c r="B207" s="1035">
        <v>647.16999999999996</v>
      </c>
    </row>
    <row r="208" spans="1:2">
      <c r="A208" s="1034" t="s">
        <v>1526</v>
      </c>
      <c r="B208" s="1035">
        <v>855</v>
      </c>
    </row>
    <row r="209" spans="1:2">
      <c r="A209" s="1034" t="s">
        <v>1312</v>
      </c>
      <c r="B209" s="1035">
        <v>6542.83</v>
      </c>
    </row>
    <row r="210" spans="1:2">
      <c r="A210" s="1034" t="s">
        <v>6168</v>
      </c>
      <c r="B210" s="1035">
        <v>8419.67</v>
      </c>
    </row>
    <row r="211" spans="1:2">
      <c r="A211" s="1034" t="s">
        <v>5913</v>
      </c>
      <c r="B211" s="1035">
        <v>412.33</v>
      </c>
    </row>
    <row r="212" spans="1:2">
      <c r="A212" s="1034" t="s">
        <v>3546</v>
      </c>
      <c r="B212" s="1035">
        <v>16034</v>
      </c>
    </row>
    <row r="213" spans="1:2">
      <c r="A213" s="1034" t="s">
        <v>5132</v>
      </c>
      <c r="B213" s="1035">
        <v>2407.83</v>
      </c>
    </row>
    <row r="214" spans="1:2">
      <c r="A214" s="1034" t="s">
        <v>649</v>
      </c>
      <c r="B214" s="1035">
        <v>687.33</v>
      </c>
    </row>
    <row r="215" spans="1:2">
      <c r="A215" s="1034" t="s">
        <v>861</v>
      </c>
      <c r="B215" s="1035">
        <v>4107.67</v>
      </c>
    </row>
    <row r="216" spans="1:2">
      <c r="A216" s="1034" t="s">
        <v>956</v>
      </c>
      <c r="B216" s="1035">
        <v>402.33</v>
      </c>
    </row>
    <row r="217" spans="1:2">
      <c r="A217" s="1034" t="s">
        <v>236</v>
      </c>
      <c r="B217" s="1035">
        <v>873.83</v>
      </c>
    </row>
    <row r="218" spans="1:2">
      <c r="A218" s="1034" t="s">
        <v>3548</v>
      </c>
      <c r="B218" s="1035">
        <v>69.83</v>
      </c>
    </row>
    <row r="219" spans="1:2">
      <c r="A219" s="1034" t="s">
        <v>3550</v>
      </c>
      <c r="B219" s="1035">
        <v>389.5</v>
      </c>
    </row>
    <row r="220" spans="1:2">
      <c r="A220" s="1034" t="s">
        <v>234</v>
      </c>
      <c r="B220" s="1035">
        <v>1065.83</v>
      </c>
    </row>
    <row r="221" spans="1:2">
      <c r="A221" s="1034" t="s">
        <v>208</v>
      </c>
      <c r="B221" s="1035">
        <v>955.83</v>
      </c>
    </row>
    <row r="222" spans="1:2">
      <c r="A222" s="1034" t="s">
        <v>210</v>
      </c>
      <c r="B222" s="1035">
        <v>340.5</v>
      </c>
    </row>
    <row r="223" spans="1:2">
      <c r="A223" s="1034" t="s">
        <v>7256</v>
      </c>
      <c r="B223" s="1035">
        <v>9</v>
      </c>
    </row>
    <row r="224" spans="1:2">
      <c r="A224" s="1034" t="s">
        <v>212</v>
      </c>
      <c r="B224" s="1035">
        <v>3327.67</v>
      </c>
    </row>
    <row r="225" spans="1:2">
      <c r="A225" s="1034" t="s">
        <v>214</v>
      </c>
      <c r="B225" s="1035">
        <v>6557</v>
      </c>
    </row>
    <row r="226" spans="1:2">
      <c r="A226" s="1034" t="s">
        <v>2714</v>
      </c>
      <c r="B226" s="1035">
        <v>878.5</v>
      </c>
    </row>
    <row r="227" spans="1:2">
      <c r="A227" s="1034" t="s">
        <v>250</v>
      </c>
      <c r="B227" s="1035">
        <v>390.83</v>
      </c>
    </row>
    <row r="228" spans="1:2">
      <c r="A228" s="1034" t="s">
        <v>2162</v>
      </c>
      <c r="B228" s="1035">
        <v>182.67</v>
      </c>
    </row>
    <row r="229" spans="1:2">
      <c r="A229" s="1034" t="s">
        <v>2716</v>
      </c>
      <c r="B229" s="1035">
        <v>101.83</v>
      </c>
    </row>
    <row r="230" spans="1:2">
      <c r="A230" s="1034" t="s">
        <v>2718</v>
      </c>
      <c r="B230" s="1035">
        <v>171.5</v>
      </c>
    </row>
    <row r="231" spans="1:2">
      <c r="A231" s="1034" t="s">
        <v>2720</v>
      </c>
      <c r="B231" s="1035">
        <v>177.67</v>
      </c>
    </row>
    <row r="232" spans="1:2">
      <c r="A232" s="1034" t="s">
        <v>1314</v>
      </c>
      <c r="B232" s="1035">
        <v>2447.67</v>
      </c>
    </row>
    <row r="233" spans="1:2">
      <c r="A233" s="1034" t="s">
        <v>2722</v>
      </c>
      <c r="B233" s="1035">
        <v>95.33</v>
      </c>
    </row>
    <row r="234" spans="1:2">
      <c r="A234" s="1034" t="s">
        <v>442</v>
      </c>
      <c r="B234" s="1035">
        <v>383.33</v>
      </c>
    </row>
    <row r="235" spans="1:2">
      <c r="A235" s="1034" t="s">
        <v>2724</v>
      </c>
      <c r="B235" s="1035">
        <v>575</v>
      </c>
    </row>
    <row r="236" spans="1:2">
      <c r="A236" s="1034" t="s">
        <v>5321</v>
      </c>
      <c r="B236" s="1035">
        <v>211.67</v>
      </c>
    </row>
    <row r="237" spans="1:2">
      <c r="A237" s="1034" t="s">
        <v>5323</v>
      </c>
      <c r="B237" s="1035">
        <v>49.67</v>
      </c>
    </row>
    <row r="238" spans="1:2">
      <c r="A238" s="1034" t="s">
        <v>5325</v>
      </c>
      <c r="B238" s="1035">
        <v>70.67</v>
      </c>
    </row>
    <row r="239" spans="1:2">
      <c r="A239" s="1034" t="s">
        <v>5327</v>
      </c>
      <c r="B239" s="1035">
        <v>45</v>
      </c>
    </row>
    <row r="240" spans="1:2">
      <c r="A240" s="1034" t="s">
        <v>5329</v>
      </c>
      <c r="B240" s="1035">
        <v>171</v>
      </c>
    </row>
    <row r="241" spans="1:2">
      <c r="A241" s="1034" t="s">
        <v>5331</v>
      </c>
      <c r="B241" s="1035">
        <v>1455</v>
      </c>
    </row>
    <row r="242" spans="1:2">
      <c r="A242" s="1034" t="s">
        <v>585</v>
      </c>
      <c r="B242" s="1035">
        <v>120.67</v>
      </c>
    </row>
    <row r="243" spans="1:2">
      <c r="A243" s="1034" t="s">
        <v>5333</v>
      </c>
      <c r="B243" s="1035">
        <v>108.5</v>
      </c>
    </row>
    <row r="244" spans="1:2">
      <c r="A244" s="1034" t="s">
        <v>239</v>
      </c>
      <c r="B244" s="1035">
        <v>4390.5</v>
      </c>
    </row>
    <row r="245" spans="1:2">
      <c r="A245" s="1034" t="s">
        <v>5335</v>
      </c>
      <c r="B245" s="1035">
        <v>154</v>
      </c>
    </row>
    <row r="246" spans="1:2">
      <c r="A246" s="1034" t="s">
        <v>2450</v>
      </c>
      <c r="B246" s="1035">
        <v>531.5</v>
      </c>
    </row>
    <row r="247" spans="1:2">
      <c r="A247" s="1034" t="s">
        <v>5685</v>
      </c>
      <c r="B247" s="1035">
        <v>457.33</v>
      </c>
    </row>
    <row r="248" spans="1:2">
      <c r="A248" s="1034" t="s">
        <v>2454</v>
      </c>
      <c r="B248" s="1035">
        <v>287.33</v>
      </c>
    </row>
    <row r="249" spans="1:2">
      <c r="A249" s="1034" t="s">
        <v>2456</v>
      </c>
      <c r="B249" s="1035">
        <v>329.67</v>
      </c>
    </row>
    <row r="250" spans="1:2">
      <c r="A250" s="1034" t="s">
        <v>2458</v>
      </c>
      <c r="B250" s="1035">
        <v>560.5</v>
      </c>
    </row>
    <row r="251" spans="1:2">
      <c r="A251" s="1034" t="s">
        <v>2460</v>
      </c>
      <c r="B251" s="1035">
        <v>346.33</v>
      </c>
    </row>
    <row r="252" spans="1:2">
      <c r="A252" s="1034" t="s">
        <v>2462</v>
      </c>
      <c r="B252" s="1035">
        <v>1067.33</v>
      </c>
    </row>
    <row r="253" spans="1:2">
      <c r="A253" s="1034" t="s">
        <v>2464</v>
      </c>
      <c r="B253" s="1035">
        <v>114.83</v>
      </c>
    </row>
    <row r="254" spans="1:2">
      <c r="A254" s="1034" t="s">
        <v>5693</v>
      </c>
      <c r="B254" s="1035">
        <v>0</v>
      </c>
    </row>
    <row r="255" spans="1:2">
      <c r="A255" s="1034" t="s">
        <v>2466</v>
      </c>
      <c r="B255" s="1035">
        <v>559.33000000000004</v>
      </c>
    </row>
    <row r="256" spans="1:2">
      <c r="A256" s="1034" t="s">
        <v>5303</v>
      </c>
      <c r="B256" s="1035">
        <v>9150.17</v>
      </c>
    </row>
    <row r="257" spans="1:2">
      <c r="A257" s="1034" t="s">
        <v>7262</v>
      </c>
      <c r="B257" s="1035">
        <v>4018.17</v>
      </c>
    </row>
    <row r="258" spans="1:2">
      <c r="A258" s="1034" t="s">
        <v>7264</v>
      </c>
      <c r="B258" s="1035">
        <v>178</v>
      </c>
    </row>
    <row r="259" spans="1:2">
      <c r="A259" s="1034" t="s">
        <v>5305</v>
      </c>
      <c r="B259" s="1035">
        <v>1245.67</v>
      </c>
    </row>
    <row r="260" spans="1:2">
      <c r="A260" s="1034" t="s">
        <v>7266</v>
      </c>
      <c r="B260" s="1035">
        <v>2902.83</v>
      </c>
    </row>
    <row r="261" spans="1:2">
      <c r="A261" s="1034" t="s">
        <v>7268</v>
      </c>
      <c r="B261" s="1035">
        <v>701.17</v>
      </c>
    </row>
    <row r="262" spans="1:2">
      <c r="A262" s="1034" t="s">
        <v>7270</v>
      </c>
      <c r="B262" s="1035">
        <v>205</v>
      </c>
    </row>
    <row r="263" spans="1:2">
      <c r="A263" s="1034" t="s">
        <v>7272</v>
      </c>
      <c r="B263" s="1035">
        <v>667.17</v>
      </c>
    </row>
    <row r="264" spans="1:2">
      <c r="A264" s="1034" t="s">
        <v>5307</v>
      </c>
      <c r="B264" s="1035">
        <v>734.67</v>
      </c>
    </row>
    <row r="265" spans="1:2">
      <c r="A265" s="1034" t="s">
        <v>7275</v>
      </c>
      <c r="B265" s="1035">
        <v>1761.83</v>
      </c>
    </row>
    <row r="266" spans="1:2">
      <c r="A266" s="1034" t="s">
        <v>7277</v>
      </c>
      <c r="B266" s="1035">
        <v>534.83000000000004</v>
      </c>
    </row>
    <row r="267" spans="1:2">
      <c r="A267" s="1034" t="s">
        <v>5309</v>
      </c>
      <c r="B267" s="1035">
        <v>1819.5</v>
      </c>
    </row>
    <row r="268" spans="1:2">
      <c r="A268" s="1034" t="s">
        <v>5311</v>
      </c>
      <c r="B268" s="1035">
        <v>968.67</v>
      </c>
    </row>
    <row r="269" spans="1:2">
      <c r="A269" s="1034" t="s">
        <v>5315</v>
      </c>
      <c r="B269" s="1035">
        <v>188.17</v>
      </c>
    </row>
    <row r="270" spans="1:2">
      <c r="A270" s="1034" t="s">
        <v>2100</v>
      </c>
      <c r="B270" s="1035">
        <v>748.38</v>
      </c>
    </row>
    <row r="271" spans="1:2">
      <c r="A271" s="1034" t="s">
        <v>3260</v>
      </c>
      <c r="B271" s="1035">
        <v>982</v>
      </c>
    </row>
    <row r="272" spans="1:2">
      <c r="A272" s="1034" t="s">
        <v>3262</v>
      </c>
      <c r="B272" s="1035">
        <v>900.33</v>
      </c>
    </row>
    <row r="273" spans="1:2">
      <c r="A273" s="1034" t="s">
        <v>3264</v>
      </c>
      <c r="B273" s="1035">
        <v>979.26</v>
      </c>
    </row>
    <row r="274" spans="1:2">
      <c r="A274" s="1034" t="s">
        <v>3266</v>
      </c>
      <c r="B274" s="1035">
        <v>676.75</v>
      </c>
    </row>
    <row r="275" spans="1:2">
      <c r="A275" s="1034" t="s">
        <v>2102</v>
      </c>
      <c r="B275" s="1035">
        <v>106.33</v>
      </c>
    </row>
    <row r="276" spans="1:2">
      <c r="A276" s="1034" t="s">
        <v>3268</v>
      </c>
      <c r="B276" s="1035">
        <v>170.33</v>
      </c>
    </row>
    <row r="277" spans="1:2">
      <c r="A277" s="1034" t="s">
        <v>3270</v>
      </c>
      <c r="B277" s="1035">
        <v>550</v>
      </c>
    </row>
    <row r="278" spans="1:2">
      <c r="A278" s="1034" t="s">
        <v>3272</v>
      </c>
      <c r="B278" s="1035">
        <v>1602.77</v>
      </c>
    </row>
    <row r="279" spans="1:2">
      <c r="A279" s="1034" t="s">
        <v>3274</v>
      </c>
      <c r="B279" s="1035">
        <v>230.67</v>
      </c>
    </row>
    <row r="280" spans="1:2">
      <c r="A280" s="1034" t="s">
        <v>3276</v>
      </c>
      <c r="B280" s="1035">
        <v>860.67</v>
      </c>
    </row>
    <row r="281" spans="1:2">
      <c r="A281" s="1034" t="s">
        <v>164</v>
      </c>
      <c r="B281" s="1035">
        <v>994.33</v>
      </c>
    </row>
    <row r="282" spans="1:2">
      <c r="A282" s="1034" t="s">
        <v>165</v>
      </c>
      <c r="B282" s="1035">
        <v>0</v>
      </c>
    </row>
    <row r="283" spans="1:2">
      <c r="A283" s="1034" t="s">
        <v>166</v>
      </c>
      <c r="B283" s="1035">
        <v>411.5</v>
      </c>
    </row>
    <row r="284" spans="1:2">
      <c r="A284" s="1034" t="s">
        <v>7945</v>
      </c>
      <c r="B284" s="1035">
        <v>401.67</v>
      </c>
    </row>
    <row r="285" spans="1:2">
      <c r="A285" s="1034" t="s">
        <v>8134</v>
      </c>
      <c r="B285" s="1035">
        <v>103.17</v>
      </c>
    </row>
    <row r="286" spans="1:2">
      <c r="A286" s="1034" t="s">
        <v>8135</v>
      </c>
      <c r="B286" s="1035">
        <v>885.67</v>
      </c>
    </row>
    <row r="287" spans="1:2">
      <c r="A287" s="1034" t="s">
        <v>8136</v>
      </c>
      <c r="B287" s="1035">
        <v>255.5</v>
      </c>
    </row>
    <row r="288" spans="1:2">
      <c r="A288" s="1034" t="s">
        <v>8137</v>
      </c>
      <c r="B288" s="1035">
        <v>2188.17</v>
      </c>
    </row>
    <row r="289" spans="1:2">
      <c r="A289" s="1034" t="s">
        <v>8138</v>
      </c>
      <c r="B289" s="1035">
        <v>165</v>
      </c>
    </row>
    <row r="290" spans="1:2">
      <c r="A290" s="1034" t="s">
        <v>2104</v>
      </c>
      <c r="B290" s="1035">
        <v>17563.169999999998</v>
      </c>
    </row>
    <row r="291" spans="1:2">
      <c r="A291" s="1034" t="s">
        <v>2106</v>
      </c>
      <c r="B291" s="1035">
        <v>5426.17</v>
      </c>
    </row>
    <row r="292" spans="1:2">
      <c r="A292" s="1034" t="s">
        <v>2108</v>
      </c>
      <c r="B292" s="1035">
        <v>148750.17000000001</v>
      </c>
    </row>
    <row r="293" spans="1:2">
      <c r="A293" s="1034" t="s">
        <v>2110</v>
      </c>
      <c r="B293" s="1035">
        <v>7106.83</v>
      </c>
    </row>
    <row r="294" spans="1:2">
      <c r="A294" s="1034" t="s">
        <v>2112</v>
      </c>
      <c r="B294" s="1035">
        <v>10370.5</v>
      </c>
    </row>
    <row r="295" spans="1:2">
      <c r="A295" s="1034" t="s">
        <v>1317</v>
      </c>
      <c r="B295" s="1035">
        <v>39372</v>
      </c>
    </row>
    <row r="296" spans="1:2">
      <c r="A296" s="1034" t="s">
        <v>587</v>
      </c>
      <c r="B296" s="1035">
        <v>21633.67</v>
      </c>
    </row>
    <row r="297" spans="1:2">
      <c r="A297" s="1034" t="s">
        <v>4569</v>
      </c>
      <c r="B297" s="1035">
        <v>0</v>
      </c>
    </row>
    <row r="298" spans="1:2">
      <c r="A298" s="1034" t="s">
        <v>6021</v>
      </c>
      <c r="B298" s="1035">
        <v>29212.33</v>
      </c>
    </row>
    <row r="299" spans="1:2">
      <c r="A299" s="1034" t="s">
        <v>4571</v>
      </c>
      <c r="B299" s="1035">
        <v>6414.17</v>
      </c>
    </row>
    <row r="300" spans="1:2">
      <c r="A300" s="1034" t="s">
        <v>6171</v>
      </c>
      <c r="B300" s="1035">
        <v>30644.33</v>
      </c>
    </row>
    <row r="301" spans="1:2">
      <c r="A301" s="1034" t="s">
        <v>4573</v>
      </c>
      <c r="B301" s="1035">
        <v>22719.17</v>
      </c>
    </row>
    <row r="302" spans="1:2">
      <c r="A302" s="1034" t="s">
        <v>4575</v>
      </c>
      <c r="B302" s="1035">
        <v>261</v>
      </c>
    </row>
    <row r="303" spans="1:2">
      <c r="A303" s="1034" t="s">
        <v>4579</v>
      </c>
      <c r="B303" s="1035">
        <v>866</v>
      </c>
    </row>
    <row r="304" spans="1:2">
      <c r="A304" s="1034" t="s">
        <v>3279</v>
      </c>
      <c r="B304" s="1035">
        <v>0</v>
      </c>
    </row>
    <row r="305" spans="1:2">
      <c r="A305" s="1034" t="s">
        <v>4581</v>
      </c>
      <c r="B305" s="1035">
        <v>80</v>
      </c>
    </row>
    <row r="306" spans="1:2">
      <c r="A306" s="1034" t="s">
        <v>4582</v>
      </c>
      <c r="B306" s="1035">
        <v>162.33000000000001</v>
      </c>
    </row>
    <row r="307" spans="1:2">
      <c r="A307" s="1034" t="s">
        <v>4584</v>
      </c>
      <c r="B307" s="1035">
        <v>1596</v>
      </c>
    </row>
    <row r="308" spans="1:2">
      <c r="A308" s="1034" t="s">
        <v>4586</v>
      </c>
      <c r="B308" s="1035">
        <v>147.61000000000001</v>
      </c>
    </row>
    <row r="309" spans="1:2">
      <c r="A309" s="1034" t="s">
        <v>1865</v>
      </c>
      <c r="B309" s="1035">
        <v>3512.83</v>
      </c>
    </row>
    <row r="310" spans="1:2">
      <c r="A310" s="1034" t="s">
        <v>5018</v>
      </c>
      <c r="B310" s="1035">
        <v>92.83</v>
      </c>
    </row>
    <row r="311" spans="1:2">
      <c r="A311" s="1034" t="s">
        <v>5020</v>
      </c>
      <c r="B311" s="1035">
        <v>611.33000000000004</v>
      </c>
    </row>
    <row r="312" spans="1:2">
      <c r="A312" s="1034" t="s">
        <v>589</v>
      </c>
      <c r="B312" s="1035">
        <v>156</v>
      </c>
    </row>
    <row r="313" spans="1:2">
      <c r="A313" s="1034" t="s">
        <v>3281</v>
      </c>
      <c r="B313" s="1035">
        <v>0</v>
      </c>
    </row>
    <row r="314" spans="1:2">
      <c r="A314" s="1034" t="s">
        <v>3283</v>
      </c>
      <c r="B314" s="1035">
        <v>310.17</v>
      </c>
    </row>
    <row r="315" spans="1:2">
      <c r="A315" s="1034" t="s">
        <v>8139</v>
      </c>
      <c r="B315" s="1035">
        <v>26.67</v>
      </c>
    </row>
    <row r="316" spans="1:2">
      <c r="A316" s="1034" t="s">
        <v>5022</v>
      </c>
      <c r="B316" s="1035">
        <v>11938.83</v>
      </c>
    </row>
    <row r="317" spans="1:2">
      <c r="A317" s="1034" t="s">
        <v>2989</v>
      </c>
      <c r="B317" s="1035">
        <v>18192.330000000002</v>
      </c>
    </row>
    <row r="318" spans="1:2">
      <c r="A318" s="1034" t="s">
        <v>5126</v>
      </c>
      <c r="B318" s="1035">
        <v>737.67</v>
      </c>
    </row>
    <row r="319" spans="1:2">
      <c r="A319" s="1034" t="s">
        <v>3090</v>
      </c>
      <c r="B319" s="1035">
        <v>808.17</v>
      </c>
    </row>
    <row r="320" spans="1:2">
      <c r="A320" s="1034" t="s">
        <v>5128</v>
      </c>
      <c r="B320" s="1035">
        <v>536</v>
      </c>
    </row>
    <row r="321" spans="1:2">
      <c r="A321" s="1034" t="s">
        <v>270</v>
      </c>
      <c r="B321" s="1035">
        <v>681</v>
      </c>
    </row>
    <row r="322" spans="1:2">
      <c r="A322" s="1034" t="s">
        <v>2391</v>
      </c>
      <c r="B322" s="1035">
        <v>1231</v>
      </c>
    </row>
    <row r="323" spans="1:2">
      <c r="A323" s="1034" t="s">
        <v>2746</v>
      </c>
      <c r="B323" s="1035">
        <v>248.83</v>
      </c>
    </row>
    <row r="324" spans="1:2">
      <c r="A324" s="1034" t="s">
        <v>6186</v>
      </c>
      <c r="B324" s="1035">
        <v>4358</v>
      </c>
    </row>
    <row r="325" spans="1:2">
      <c r="A325" s="1034" t="s">
        <v>6041</v>
      </c>
      <c r="B325" s="1035">
        <v>1636.5</v>
      </c>
    </row>
    <row r="326" spans="1:2">
      <c r="A326" s="1034" t="s">
        <v>591</v>
      </c>
      <c r="B326" s="1035">
        <v>3296.33</v>
      </c>
    </row>
    <row r="327" spans="1:2">
      <c r="A327" s="1034" t="s">
        <v>443</v>
      </c>
      <c r="B327" s="1035">
        <v>1393</v>
      </c>
    </row>
    <row r="328" spans="1:2">
      <c r="A328" s="1034" t="s">
        <v>2748</v>
      </c>
      <c r="B328" s="1035">
        <v>101</v>
      </c>
    </row>
    <row r="329" spans="1:2">
      <c r="A329" s="1034" t="s">
        <v>862</v>
      </c>
      <c r="B329" s="1035">
        <v>1171.17</v>
      </c>
    </row>
    <row r="330" spans="1:2">
      <c r="A330" s="1034" t="s">
        <v>2750</v>
      </c>
      <c r="B330" s="1035">
        <v>323</v>
      </c>
    </row>
    <row r="331" spans="1:2">
      <c r="A331" s="1034" t="s">
        <v>3899</v>
      </c>
      <c r="B331" s="1035">
        <v>47.67</v>
      </c>
    </row>
    <row r="332" spans="1:2">
      <c r="A332" s="1034" t="s">
        <v>3604</v>
      </c>
      <c r="B332" s="1035">
        <v>28</v>
      </c>
    </row>
    <row r="333" spans="1:2">
      <c r="A333" s="1034" t="s">
        <v>3166</v>
      </c>
      <c r="B333" s="1035">
        <v>141.66999999999999</v>
      </c>
    </row>
    <row r="334" spans="1:2">
      <c r="A334" s="1034" t="s">
        <v>3168</v>
      </c>
      <c r="B334" s="1035">
        <v>96.83</v>
      </c>
    </row>
    <row r="335" spans="1:2">
      <c r="A335" s="1034" t="s">
        <v>3091</v>
      </c>
      <c r="B335" s="1035">
        <v>2029.44</v>
      </c>
    </row>
    <row r="336" spans="1:2">
      <c r="A336" s="1034" t="s">
        <v>3171</v>
      </c>
      <c r="B336" s="1035">
        <v>268.17</v>
      </c>
    </row>
    <row r="337" spans="1:2">
      <c r="A337" s="1034" t="s">
        <v>593</v>
      </c>
      <c r="B337" s="1035">
        <v>90.33</v>
      </c>
    </row>
    <row r="338" spans="1:2">
      <c r="A338" s="1034" t="s">
        <v>5786</v>
      </c>
      <c r="B338" s="1035">
        <v>33</v>
      </c>
    </row>
    <row r="339" spans="1:2">
      <c r="A339" s="1034" t="s">
        <v>3175</v>
      </c>
      <c r="B339" s="1035">
        <v>346</v>
      </c>
    </row>
    <row r="340" spans="1:2">
      <c r="A340" s="1034" t="s">
        <v>3092</v>
      </c>
      <c r="B340" s="1035">
        <v>1226.83</v>
      </c>
    </row>
    <row r="341" spans="1:2">
      <c r="A341" s="1034" t="s">
        <v>673</v>
      </c>
      <c r="B341" s="1035">
        <v>542.83000000000004</v>
      </c>
    </row>
    <row r="342" spans="1:2">
      <c r="A342" s="1034" t="s">
        <v>322</v>
      </c>
      <c r="B342" s="1035">
        <v>492.67</v>
      </c>
    </row>
    <row r="343" spans="1:2">
      <c r="A343" s="1034" t="s">
        <v>675</v>
      </c>
      <c r="B343" s="1035">
        <v>652.83000000000004</v>
      </c>
    </row>
    <row r="344" spans="1:2">
      <c r="A344" s="1034" t="s">
        <v>677</v>
      </c>
      <c r="B344" s="1035">
        <v>221.33</v>
      </c>
    </row>
    <row r="345" spans="1:2">
      <c r="A345" s="1034" t="s">
        <v>679</v>
      </c>
      <c r="B345" s="1035">
        <v>334.33</v>
      </c>
    </row>
    <row r="346" spans="1:2">
      <c r="A346" s="1034" t="s">
        <v>2960</v>
      </c>
      <c r="B346" s="1035">
        <v>121</v>
      </c>
    </row>
    <row r="347" spans="1:2">
      <c r="A347" s="1034" t="s">
        <v>8140</v>
      </c>
      <c r="B347" s="1035">
        <v>142.83000000000001</v>
      </c>
    </row>
    <row r="348" spans="1:2">
      <c r="A348" s="1034" t="s">
        <v>8141</v>
      </c>
      <c r="B348" s="1035">
        <v>135</v>
      </c>
    </row>
    <row r="349" spans="1:2">
      <c r="A349" s="1034" t="s">
        <v>1994</v>
      </c>
      <c r="B349" s="1035">
        <v>15512.83</v>
      </c>
    </row>
    <row r="350" spans="1:2">
      <c r="A350" s="1034" t="s">
        <v>2735</v>
      </c>
      <c r="B350" s="1035">
        <v>195.17</v>
      </c>
    </row>
    <row r="351" spans="1:2">
      <c r="A351" s="1034" t="s">
        <v>2737</v>
      </c>
      <c r="B351" s="1035">
        <v>227.43</v>
      </c>
    </row>
    <row r="352" spans="1:2">
      <c r="A352" s="1034" t="s">
        <v>3646</v>
      </c>
      <c r="B352" s="1035">
        <v>938.33</v>
      </c>
    </row>
    <row r="353" spans="1:2">
      <c r="A353" s="1034" t="s">
        <v>1976</v>
      </c>
      <c r="B353" s="1035">
        <v>240.83</v>
      </c>
    </row>
    <row r="354" spans="1:2">
      <c r="A354" s="1034" t="s">
        <v>3648</v>
      </c>
      <c r="B354" s="1035">
        <v>4126.17</v>
      </c>
    </row>
    <row r="355" spans="1:2">
      <c r="A355" s="1034" t="s">
        <v>3650</v>
      </c>
      <c r="B355" s="1035">
        <v>2057.17</v>
      </c>
    </row>
    <row r="356" spans="1:2">
      <c r="A356" s="1034" t="s">
        <v>3093</v>
      </c>
      <c r="B356" s="1035">
        <v>69.67</v>
      </c>
    </row>
    <row r="357" spans="1:2">
      <c r="A357" s="1034" t="s">
        <v>7734</v>
      </c>
      <c r="B357" s="1035">
        <v>1929.67</v>
      </c>
    </row>
    <row r="358" spans="1:2">
      <c r="A358" s="1034" t="s">
        <v>915</v>
      </c>
      <c r="B358" s="1035">
        <v>200.5</v>
      </c>
    </row>
    <row r="359" spans="1:2">
      <c r="A359" s="1034" t="s">
        <v>1978</v>
      </c>
      <c r="B359" s="1035">
        <v>676.33</v>
      </c>
    </row>
    <row r="360" spans="1:2">
      <c r="A360" s="1034" t="s">
        <v>2767</v>
      </c>
      <c r="B360" s="1035">
        <v>2938</v>
      </c>
    </row>
    <row r="361" spans="1:2">
      <c r="A361" s="1034" t="s">
        <v>3555</v>
      </c>
      <c r="B361" s="1035">
        <v>4054</v>
      </c>
    </row>
    <row r="362" spans="1:2">
      <c r="A362" s="1034" t="s">
        <v>3094</v>
      </c>
      <c r="B362" s="1035">
        <v>372.83</v>
      </c>
    </row>
    <row r="363" spans="1:2">
      <c r="A363" s="1034" t="s">
        <v>1781</v>
      </c>
      <c r="B363" s="1035">
        <v>552.83000000000004</v>
      </c>
    </row>
    <row r="364" spans="1:2">
      <c r="A364" s="1034" t="s">
        <v>3289</v>
      </c>
      <c r="B364" s="1035">
        <v>292.17</v>
      </c>
    </row>
    <row r="365" spans="1:2">
      <c r="A365" s="1034" t="s">
        <v>3291</v>
      </c>
      <c r="B365" s="1035">
        <v>297.33</v>
      </c>
    </row>
    <row r="366" spans="1:2">
      <c r="A366" s="1034" t="s">
        <v>167</v>
      </c>
      <c r="B366" s="1035">
        <v>1922.17</v>
      </c>
    </row>
    <row r="367" spans="1:2">
      <c r="A367" s="1034" t="s">
        <v>168</v>
      </c>
      <c r="B367" s="1035">
        <v>241.67</v>
      </c>
    </row>
    <row r="368" spans="1:2">
      <c r="A368" s="1034" t="s">
        <v>8039</v>
      </c>
      <c r="B368" s="1035">
        <v>183.67</v>
      </c>
    </row>
    <row r="369" spans="1:2">
      <c r="A369" s="1034" t="s">
        <v>8142</v>
      </c>
      <c r="B369" s="1035">
        <v>92.17</v>
      </c>
    </row>
    <row r="370" spans="1:2">
      <c r="A370" s="1034" t="s">
        <v>741</v>
      </c>
      <c r="B370" s="1035">
        <v>11682.33</v>
      </c>
    </row>
    <row r="371" spans="1:2">
      <c r="A371" s="1034" t="s">
        <v>4035</v>
      </c>
      <c r="B371" s="1035">
        <v>46584.83</v>
      </c>
    </row>
    <row r="372" spans="1:2">
      <c r="A372" s="1034" t="s">
        <v>1524</v>
      </c>
      <c r="B372" s="1035">
        <v>2123.33</v>
      </c>
    </row>
    <row r="373" spans="1:2">
      <c r="A373" s="1034" t="s">
        <v>2388</v>
      </c>
      <c r="B373" s="1035">
        <v>3981</v>
      </c>
    </row>
    <row r="374" spans="1:2">
      <c r="A374" s="1034" t="s">
        <v>863</v>
      </c>
      <c r="B374" s="1035">
        <v>35093.33</v>
      </c>
    </row>
    <row r="375" spans="1:2">
      <c r="A375" s="1034" t="s">
        <v>268</v>
      </c>
      <c r="B375" s="1035">
        <v>797.83</v>
      </c>
    </row>
    <row r="376" spans="1:2">
      <c r="A376" s="1034" t="s">
        <v>981</v>
      </c>
      <c r="B376" s="1035">
        <v>5524.67</v>
      </c>
    </row>
    <row r="377" spans="1:2">
      <c r="A377" s="1034" t="s">
        <v>2414</v>
      </c>
      <c r="B377" s="1035">
        <v>1277.5</v>
      </c>
    </row>
    <row r="378" spans="1:2">
      <c r="A378" s="1034" t="s">
        <v>2401</v>
      </c>
      <c r="B378" s="1035">
        <v>32489.17</v>
      </c>
    </row>
    <row r="379" spans="1:2">
      <c r="A379" s="1034" t="s">
        <v>3295</v>
      </c>
      <c r="B379" s="1035">
        <v>0</v>
      </c>
    </row>
    <row r="380" spans="1:2">
      <c r="A380" s="1034" t="s">
        <v>3297</v>
      </c>
      <c r="B380" s="1035">
        <v>2315.83</v>
      </c>
    </row>
    <row r="381" spans="1:2">
      <c r="A381" s="1034" t="s">
        <v>169</v>
      </c>
      <c r="B381" s="1035">
        <v>93</v>
      </c>
    </row>
    <row r="382" spans="1:2">
      <c r="A382" s="1034" t="s">
        <v>4037</v>
      </c>
      <c r="B382" s="1035">
        <v>77.67</v>
      </c>
    </row>
    <row r="383" spans="1:2">
      <c r="A383" s="1034" t="s">
        <v>2140</v>
      </c>
      <c r="B383" s="1035">
        <v>909.5</v>
      </c>
    </row>
    <row r="384" spans="1:2">
      <c r="A384" s="1034" t="s">
        <v>2408</v>
      </c>
      <c r="B384" s="1035">
        <v>1680.67</v>
      </c>
    </row>
    <row r="385" spans="1:2">
      <c r="A385" s="1034" t="s">
        <v>2700</v>
      </c>
      <c r="B385" s="1035">
        <v>30.17</v>
      </c>
    </row>
    <row r="386" spans="1:2">
      <c r="A386" s="1034" t="s">
        <v>2702</v>
      </c>
      <c r="B386" s="1035">
        <v>74.67</v>
      </c>
    </row>
    <row r="387" spans="1:2">
      <c r="A387" s="1034" t="s">
        <v>2828</v>
      </c>
      <c r="B387" s="1035">
        <v>131.66999999999999</v>
      </c>
    </row>
    <row r="388" spans="1:2">
      <c r="A388" s="1034" t="s">
        <v>2704</v>
      </c>
      <c r="B388" s="1035">
        <v>59.5</v>
      </c>
    </row>
    <row r="389" spans="1:2">
      <c r="A389" s="1034" t="s">
        <v>2706</v>
      </c>
      <c r="B389" s="1035">
        <v>416.83</v>
      </c>
    </row>
    <row r="390" spans="1:2">
      <c r="A390" s="1034" t="s">
        <v>6162</v>
      </c>
      <c r="B390" s="1035">
        <v>881.5</v>
      </c>
    </row>
    <row r="391" spans="1:2">
      <c r="A391" s="1034" t="s">
        <v>967</v>
      </c>
      <c r="B391" s="1035">
        <v>36.33</v>
      </c>
    </row>
    <row r="392" spans="1:2">
      <c r="A392" s="1034" t="s">
        <v>2708</v>
      </c>
      <c r="B392" s="1035">
        <v>456.17</v>
      </c>
    </row>
    <row r="393" spans="1:2">
      <c r="A393" s="1034" t="s">
        <v>2710</v>
      </c>
      <c r="B393" s="1035">
        <v>1405.33</v>
      </c>
    </row>
    <row r="394" spans="1:2">
      <c r="A394" s="1034" t="s">
        <v>2830</v>
      </c>
      <c r="B394" s="1035">
        <v>177.33</v>
      </c>
    </row>
    <row r="395" spans="1:2">
      <c r="A395" s="1034" t="s">
        <v>3095</v>
      </c>
      <c r="B395" s="1035">
        <v>145.66999999999999</v>
      </c>
    </row>
    <row r="396" spans="1:2">
      <c r="A396" s="1034" t="s">
        <v>2712</v>
      </c>
      <c r="B396" s="1035">
        <v>372.33</v>
      </c>
    </row>
    <row r="397" spans="1:2">
      <c r="A397" s="1034" t="s">
        <v>2424</v>
      </c>
      <c r="B397" s="1035">
        <v>501.67</v>
      </c>
    </row>
    <row r="398" spans="1:2">
      <c r="A398" s="1034" t="s">
        <v>2426</v>
      </c>
      <c r="B398" s="1035">
        <v>159.83000000000001</v>
      </c>
    </row>
    <row r="399" spans="1:2">
      <c r="A399" s="1034" t="s">
        <v>2428</v>
      </c>
      <c r="B399" s="1035">
        <v>230</v>
      </c>
    </row>
    <row r="400" spans="1:2">
      <c r="A400" s="1034" t="s">
        <v>2832</v>
      </c>
      <c r="B400" s="1035">
        <v>232.17</v>
      </c>
    </row>
    <row r="401" spans="1:2">
      <c r="A401" s="1034" t="s">
        <v>4923</v>
      </c>
      <c r="B401" s="1035">
        <v>362.5</v>
      </c>
    </row>
    <row r="402" spans="1:2">
      <c r="A402" s="1034" t="s">
        <v>4925</v>
      </c>
      <c r="B402" s="1035">
        <v>999.17</v>
      </c>
    </row>
    <row r="403" spans="1:2">
      <c r="A403" s="1034" t="s">
        <v>4927</v>
      </c>
      <c r="B403" s="1035">
        <v>464.83</v>
      </c>
    </row>
    <row r="404" spans="1:2">
      <c r="A404" s="1034" t="s">
        <v>4929</v>
      </c>
      <c r="B404" s="1035">
        <v>69.83</v>
      </c>
    </row>
    <row r="405" spans="1:2">
      <c r="A405" s="1034" t="s">
        <v>4931</v>
      </c>
      <c r="B405" s="1035">
        <v>104.33</v>
      </c>
    </row>
    <row r="406" spans="1:2">
      <c r="A406" s="1034" t="s">
        <v>4933</v>
      </c>
      <c r="B406" s="1035">
        <v>155.66999999999999</v>
      </c>
    </row>
    <row r="407" spans="1:2">
      <c r="A407" s="1034" t="s">
        <v>444</v>
      </c>
      <c r="B407" s="1035">
        <v>201.33</v>
      </c>
    </row>
    <row r="408" spans="1:2">
      <c r="A408" s="1034" t="s">
        <v>3558</v>
      </c>
      <c r="B408" s="1035">
        <v>612</v>
      </c>
    </row>
    <row r="409" spans="1:2">
      <c r="A409" s="1034" t="s">
        <v>3560</v>
      </c>
      <c r="B409" s="1035">
        <v>392.17</v>
      </c>
    </row>
    <row r="410" spans="1:2">
      <c r="A410" s="1034" t="s">
        <v>3562</v>
      </c>
      <c r="B410" s="1035">
        <v>150.33000000000001</v>
      </c>
    </row>
    <row r="411" spans="1:2">
      <c r="A411" s="1034" t="s">
        <v>3564</v>
      </c>
      <c r="B411" s="1035">
        <v>14034.67</v>
      </c>
    </row>
    <row r="412" spans="1:2">
      <c r="A412" s="1034" t="s">
        <v>6179</v>
      </c>
      <c r="B412" s="1035">
        <v>1178.17</v>
      </c>
    </row>
    <row r="413" spans="1:2">
      <c r="A413" s="1034" t="s">
        <v>1309</v>
      </c>
      <c r="B413" s="1035">
        <v>28256.83</v>
      </c>
    </row>
    <row r="414" spans="1:2">
      <c r="A414" s="1034" t="s">
        <v>3568</v>
      </c>
      <c r="B414" s="1035">
        <v>2386.83</v>
      </c>
    </row>
    <row r="415" spans="1:2">
      <c r="A415" s="1034" t="s">
        <v>1607</v>
      </c>
      <c r="B415" s="1035">
        <v>951.17</v>
      </c>
    </row>
    <row r="416" spans="1:2">
      <c r="A416" s="1034" t="s">
        <v>2482</v>
      </c>
      <c r="B416" s="1035">
        <v>941</v>
      </c>
    </row>
    <row r="417" spans="1:2">
      <c r="A417" s="1034" t="s">
        <v>2484</v>
      </c>
      <c r="B417" s="1035">
        <v>711</v>
      </c>
    </row>
    <row r="418" spans="1:2">
      <c r="A418" s="1034" t="s">
        <v>2486</v>
      </c>
      <c r="B418" s="1035">
        <v>286</v>
      </c>
    </row>
    <row r="419" spans="1:2">
      <c r="A419" s="1034" t="s">
        <v>2488</v>
      </c>
      <c r="B419" s="1035">
        <v>70</v>
      </c>
    </row>
    <row r="420" spans="1:2">
      <c r="A420" s="1034" t="s">
        <v>2834</v>
      </c>
      <c r="B420" s="1035">
        <v>932.83</v>
      </c>
    </row>
    <row r="421" spans="1:2">
      <c r="A421" s="1034" t="s">
        <v>445</v>
      </c>
      <c r="B421" s="1035">
        <v>1800.5</v>
      </c>
    </row>
    <row r="422" spans="1:2">
      <c r="A422" s="1034" t="s">
        <v>2490</v>
      </c>
      <c r="B422" s="1035">
        <v>495.83</v>
      </c>
    </row>
    <row r="423" spans="1:2">
      <c r="A423" s="1034" t="s">
        <v>2492</v>
      </c>
      <c r="B423" s="1035">
        <v>48</v>
      </c>
    </row>
    <row r="424" spans="1:2">
      <c r="A424" s="1034" t="s">
        <v>2494</v>
      </c>
      <c r="B424" s="1035">
        <v>1495.33</v>
      </c>
    </row>
    <row r="425" spans="1:2">
      <c r="A425" s="1034" t="s">
        <v>2496</v>
      </c>
      <c r="B425" s="1035">
        <v>680.5</v>
      </c>
    </row>
    <row r="426" spans="1:2">
      <c r="A426" s="1034" t="s">
        <v>170</v>
      </c>
      <c r="B426" s="1035">
        <v>257.83</v>
      </c>
    </row>
    <row r="427" spans="1:2">
      <c r="A427" s="1034" t="s">
        <v>8143</v>
      </c>
      <c r="B427" s="1035">
        <v>416.17</v>
      </c>
    </row>
    <row r="428" spans="1:2">
      <c r="A428" s="1034" t="s">
        <v>2498</v>
      </c>
      <c r="B428" s="1035">
        <v>6918.17</v>
      </c>
    </row>
    <row r="429" spans="1:2">
      <c r="A429" s="1034" t="s">
        <v>1670</v>
      </c>
      <c r="B429" s="1035">
        <v>5463.83</v>
      </c>
    </row>
    <row r="430" spans="1:2">
      <c r="A430" s="1034" t="s">
        <v>1867</v>
      </c>
      <c r="B430" s="1035">
        <v>112.17</v>
      </c>
    </row>
    <row r="431" spans="1:2">
      <c r="A431" s="1034" t="s">
        <v>1672</v>
      </c>
      <c r="B431" s="1035">
        <v>2056.83</v>
      </c>
    </row>
    <row r="432" spans="1:2">
      <c r="A432" s="1034" t="s">
        <v>1674</v>
      </c>
      <c r="B432" s="1035">
        <v>4572.5</v>
      </c>
    </row>
    <row r="433" spans="1:2">
      <c r="A433" s="1034" t="s">
        <v>5048</v>
      </c>
      <c r="B433" s="1035">
        <v>1359.67</v>
      </c>
    </row>
    <row r="434" spans="1:2">
      <c r="A434" s="1034" t="s">
        <v>2392</v>
      </c>
      <c r="B434" s="1035">
        <v>1729.83</v>
      </c>
    </row>
    <row r="435" spans="1:2">
      <c r="A435" s="1034" t="s">
        <v>5050</v>
      </c>
      <c r="B435" s="1035">
        <v>11451.33</v>
      </c>
    </row>
    <row r="436" spans="1:2">
      <c r="A436" s="1034" t="s">
        <v>1311</v>
      </c>
      <c r="B436" s="1035">
        <v>262</v>
      </c>
    </row>
    <row r="437" spans="1:2">
      <c r="A437" s="1034" t="s">
        <v>3222</v>
      </c>
      <c r="B437" s="1035">
        <v>553.66999999999996</v>
      </c>
    </row>
    <row r="438" spans="1:2">
      <c r="A438" s="1034" t="s">
        <v>3224</v>
      </c>
      <c r="B438" s="1035">
        <v>130.33000000000001</v>
      </c>
    </row>
    <row r="439" spans="1:2">
      <c r="A439" s="1034" t="s">
        <v>6218</v>
      </c>
      <c r="B439" s="1035">
        <v>0</v>
      </c>
    </row>
    <row r="440" spans="1:2">
      <c r="A440" s="1034" t="s">
        <v>3228</v>
      </c>
      <c r="B440" s="1035">
        <v>1680</v>
      </c>
    </row>
    <row r="441" spans="1:2">
      <c r="A441" s="1034" t="s">
        <v>3230</v>
      </c>
      <c r="B441" s="1035">
        <v>226</v>
      </c>
    </row>
    <row r="442" spans="1:2">
      <c r="A442" s="1034" t="s">
        <v>3232</v>
      </c>
      <c r="B442" s="1035">
        <v>117</v>
      </c>
    </row>
    <row r="443" spans="1:2">
      <c r="A443" s="1034" t="s">
        <v>1899</v>
      </c>
      <c r="B443" s="1035">
        <v>705.5</v>
      </c>
    </row>
    <row r="444" spans="1:2">
      <c r="A444" s="1034" t="s">
        <v>1853</v>
      </c>
      <c r="B444" s="1035">
        <v>2032.67</v>
      </c>
    </row>
    <row r="445" spans="1:2">
      <c r="A445" s="1034" t="s">
        <v>1901</v>
      </c>
      <c r="B445" s="1035">
        <v>875.17</v>
      </c>
    </row>
    <row r="446" spans="1:2">
      <c r="A446" s="1034" t="s">
        <v>1903</v>
      </c>
      <c r="B446" s="1035">
        <v>275.17</v>
      </c>
    </row>
    <row r="447" spans="1:2">
      <c r="A447" s="1034" t="s">
        <v>52</v>
      </c>
      <c r="B447" s="1035">
        <v>102.5</v>
      </c>
    </row>
    <row r="448" spans="1:2">
      <c r="A448" s="1034" t="s">
        <v>54</v>
      </c>
      <c r="B448" s="1035">
        <v>108.17</v>
      </c>
    </row>
    <row r="449" spans="1:2">
      <c r="A449" s="1034" t="s">
        <v>6191</v>
      </c>
      <c r="B449" s="1035">
        <v>2287</v>
      </c>
    </row>
    <row r="450" spans="1:2">
      <c r="A450" s="1034" t="s">
        <v>732</v>
      </c>
      <c r="B450" s="1035">
        <v>12.17</v>
      </c>
    </row>
    <row r="451" spans="1:2">
      <c r="A451" s="1034" t="s">
        <v>949</v>
      </c>
      <c r="B451" s="1035">
        <v>280.83</v>
      </c>
    </row>
    <row r="452" spans="1:2">
      <c r="A452" s="1034" t="s">
        <v>3980</v>
      </c>
      <c r="B452" s="1035">
        <v>283.33</v>
      </c>
    </row>
    <row r="453" spans="1:2">
      <c r="A453" s="1034" t="s">
        <v>3982</v>
      </c>
      <c r="B453" s="1035">
        <v>3069.67</v>
      </c>
    </row>
    <row r="454" spans="1:2">
      <c r="A454" s="1034" t="s">
        <v>1871</v>
      </c>
      <c r="B454" s="1035">
        <v>492.83</v>
      </c>
    </row>
    <row r="455" spans="1:2">
      <c r="A455" s="1034" t="s">
        <v>3116</v>
      </c>
      <c r="B455" s="1035">
        <v>5012</v>
      </c>
    </row>
    <row r="456" spans="1:2">
      <c r="A456" s="1034" t="s">
        <v>3118</v>
      </c>
      <c r="B456" s="1035">
        <v>192.33</v>
      </c>
    </row>
    <row r="457" spans="1:2">
      <c r="A457" s="1034" t="s">
        <v>2836</v>
      </c>
      <c r="B457" s="1035">
        <v>470.17</v>
      </c>
    </row>
    <row r="458" spans="1:2">
      <c r="A458" s="1034" t="s">
        <v>2838</v>
      </c>
      <c r="B458" s="1035">
        <v>1072.5</v>
      </c>
    </row>
    <row r="459" spans="1:2">
      <c r="A459" s="1034" t="s">
        <v>5220</v>
      </c>
      <c r="B459" s="1035">
        <v>376.67</v>
      </c>
    </row>
    <row r="460" spans="1:2">
      <c r="A460" s="1034" t="s">
        <v>5129</v>
      </c>
      <c r="B460" s="1035">
        <v>599.66999999999996</v>
      </c>
    </row>
    <row r="461" spans="1:2">
      <c r="A461" s="1034" t="s">
        <v>5222</v>
      </c>
      <c r="B461" s="1035">
        <v>461.17</v>
      </c>
    </row>
    <row r="462" spans="1:2">
      <c r="A462" s="1034" t="s">
        <v>1858</v>
      </c>
      <c r="B462" s="1035">
        <v>262.5</v>
      </c>
    </row>
    <row r="463" spans="1:2">
      <c r="A463" s="1034" t="s">
        <v>5224</v>
      </c>
      <c r="B463" s="1035">
        <v>334.83</v>
      </c>
    </row>
    <row r="464" spans="1:2">
      <c r="A464" s="1034" t="s">
        <v>5226</v>
      </c>
      <c r="B464" s="1035">
        <v>40.5</v>
      </c>
    </row>
    <row r="465" spans="1:2">
      <c r="A465" s="1034" t="s">
        <v>5228</v>
      </c>
      <c r="B465" s="1035">
        <v>1322.33</v>
      </c>
    </row>
    <row r="466" spans="1:2">
      <c r="A466" s="1034" t="s">
        <v>5230</v>
      </c>
      <c r="B466" s="1035">
        <v>2523.67</v>
      </c>
    </row>
    <row r="467" spans="1:2">
      <c r="A467" s="1034" t="s">
        <v>2994</v>
      </c>
      <c r="B467" s="1035">
        <v>6236.83</v>
      </c>
    </row>
    <row r="468" spans="1:2">
      <c r="A468" s="1034" t="s">
        <v>7723</v>
      </c>
      <c r="B468" s="1035">
        <v>3003.67</v>
      </c>
    </row>
    <row r="469" spans="1:2">
      <c r="A469" s="1034" t="s">
        <v>221</v>
      </c>
      <c r="B469" s="1035">
        <v>643.16999999999996</v>
      </c>
    </row>
    <row r="470" spans="1:2">
      <c r="A470" s="1034" t="s">
        <v>2406</v>
      </c>
      <c r="B470" s="1035">
        <v>747.5</v>
      </c>
    </row>
    <row r="471" spans="1:2">
      <c r="A471" s="1034" t="s">
        <v>223</v>
      </c>
      <c r="B471" s="1035">
        <v>587.16999999999996</v>
      </c>
    </row>
    <row r="472" spans="1:2">
      <c r="A472" s="1034" t="s">
        <v>3307</v>
      </c>
      <c r="B472" s="1035">
        <v>0</v>
      </c>
    </row>
    <row r="473" spans="1:2">
      <c r="A473" s="1034" t="s">
        <v>225</v>
      </c>
      <c r="B473" s="1035">
        <v>357.5</v>
      </c>
    </row>
    <row r="474" spans="1:2">
      <c r="A474" s="1034" t="s">
        <v>227</v>
      </c>
      <c r="B474" s="1035">
        <v>207.67</v>
      </c>
    </row>
    <row r="475" spans="1:2">
      <c r="A475" s="1034" t="s">
        <v>229</v>
      </c>
      <c r="B475" s="1035">
        <v>2296</v>
      </c>
    </row>
    <row r="476" spans="1:2">
      <c r="A476" s="1034" t="s">
        <v>4039</v>
      </c>
      <c r="B476" s="1035">
        <v>93</v>
      </c>
    </row>
    <row r="477" spans="1:2">
      <c r="A477" s="1034" t="s">
        <v>2396</v>
      </c>
      <c r="B477" s="1035">
        <v>5264.17</v>
      </c>
    </row>
    <row r="478" spans="1:2">
      <c r="A478" s="1034" t="s">
        <v>2394</v>
      </c>
      <c r="B478" s="1035">
        <v>4525</v>
      </c>
    </row>
    <row r="479" spans="1:2">
      <c r="A479" s="1034" t="s">
        <v>4042</v>
      </c>
      <c r="B479" s="1035">
        <v>711.67</v>
      </c>
    </row>
    <row r="480" spans="1:2">
      <c r="A480" s="1034" t="s">
        <v>3004</v>
      </c>
      <c r="B480" s="1035">
        <v>679</v>
      </c>
    </row>
    <row r="481" spans="1:2">
      <c r="A481" s="1034" t="s">
        <v>4044</v>
      </c>
      <c r="B481" s="1035">
        <v>439</v>
      </c>
    </row>
    <row r="482" spans="1:2">
      <c r="A482" s="1034" t="s">
        <v>4046</v>
      </c>
      <c r="B482" s="1035">
        <v>94.67</v>
      </c>
    </row>
    <row r="483" spans="1:2">
      <c r="A483" s="1034" t="s">
        <v>5402</v>
      </c>
      <c r="B483" s="1035">
        <v>485.83</v>
      </c>
    </row>
    <row r="484" spans="1:2">
      <c r="A484" s="1034" t="s">
        <v>5404</v>
      </c>
      <c r="B484" s="1035">
        <v>191.17</v>
      </c>
    </row>
    <row r="485" spans="1:2">
      <c r="A485" s="1034" t="s">
        <v>423</v>
      </c>
      <c r="B485" s="1035">
        <v>4355</v>
      </c>
    </row>
    <row r="486" spans="1:2">
      <c r="A486" s="1034" t="s">
        <v>425</v>
      </c>
      <c r="B486" s="1035">
        <v>392.83</v>
      </c>
    </row>
    <row r="487" spans="1:2">
      <c r="A487" s="1034" t="s">
        <v>427</v>
      </c>
      <c r="B487" s="1035">
        <v>94.67</v>
      </c>
    </row>
    <row r="488" spans="1:2">
      <c r="A488" s="1034" t="s">
        <v>429</v>
      </c>
      <c r="B488" s="1035">
        <v>458.67</v>
      </c>
    </row>
    <row r="489" spans="1:2">
      <c r="A489" s="1034" t="s">
        <v>446</v>
      </c>
      <c r="B489" s="1035">
        <v>341</v>
      </c>
    </row>
    <row r="490" spans="1:2">
      <c r="A490" s="1034" t="s">
        <v>431</v>
      </c>
      <c r="B490" s="1035">
        <v>221.33</v>
      </c>
    </row>
    <row r="491" spans="1:2">
      <c r="A491" s="1034" t="s">
        <v>4945</v>
      </c>
      <c r="B491" s="1035">
        <v>65.5</v>
      </c>
    </row>
    <row r="492" spans="1:2">
      <c r="A492" s="1034" t="s">
        <v>4947</v>
      </c>
      <c r="B492" s="1035">
        <v>529.5</v>
      </c>
    </row>
    <row r="493" spans="1:2">
      <c r="A493" s="1034" t="s">
        <v>4949</v>
      </c>
      <c r="B493" s="1035">
        <v>170.83</v>
      </c>
    </row>
    <row r="494" spans="1:2">
      <c r="A494" s="1034" t="s">
        <v>4951</v>
      </c>
      <c r="B494" s="1035">
        <v>431.33</v>
      </c>
    </row>
    <row r="495" spans="1:2">
      <c r="A495" s="1034" t="s">
        <v>1560</v>
      </c>
      <c r="B495" s="1035">
        <v>624.5</v>
      </c>
    </row>
    <row r="496" spans="1:2">
      <c r="A496" s="1034" t="s">
        <v>2398</v>
      </c>
      <c r="B496" s="1035">
        <v>1608.17</v>
      </c>
    </row>
    <row r="497" spans="1:2">
      <c r="A497" s="1034" t="s">
        <v>1562</v>
      </c>
      <c r="B497" s="1035">
        <v>854.17</v>
      </c>
    </row>
    <row r="498" spans="1:2">
      <c r="A498" s="1034" t="s">
        <v>2997</v>
      </c>
      <c r="B498" s="1035">
        <v>1185</v>
      </c>
    </row>
    <row r="499" spans="1:2">
      <c r="A499" s="1034" t="s">
        <v>856</v>
      </c>
      <c r="B499" s="1035">
        <v>314</v>
      </c>
    </row>
    <row r="500" spans="1:2">
      <c r="A500" s="1034" t="s">
        <v>8042</v>
      </c>
      <c r="B500" s="1035">
        <v>0</v>
      </c>
    </row>
    <row r="501" spans="1:2">
      <c r="A501" s="1034" t="s">
        <v>1023</v>
      </c>
      <c r="B501" s="1035">
        <v>1006.17</v>
      </c>
    </row>
    <row r="502" spans="1:2">
      <c r="A502" s="1034" t="s">
        <v>1025</v>
      </c>
      <c r="B502" s="1035">
        <v>112.33</v>
      </c>
    </row>
    <row r="503" spans="1:2">
      <c r="A503" s="1034" t="s">
        <v>1027</v>
      </c>
      <c r="B503" s="1035">
        <v>726.67</v>
      </c>
    </row>
    <row r="504" spans="1:2">
      <c r="A504" s="1034" t="s">
        <v>1030</v>
      </c>
      <c r="B504" s="1035">
        <v>1259.83</v>
      </c>
    </row>
    <row r="505" spans="1:2">
      <c r="A505" s="1034" t="s">
        <v>1032</v>
      </c>
      <c r="B505" s="1035">
        <v>35.83</v>
      </c>
    </row>
    <row r="506" spans="1:2">
      <c r="A506" s="1034" t="s">
        <v>1034</v>
      </c>
      <c r="B506" s="1035">
        <v>758</v>
      </c>
    </row>
    <row r="507" spans="1:2">
      <c r="A507" s="1034" t="s">
        <v>1036</v>
      </c>
      <c r="B507" s="1035">
        <v>439</v>
      </c>
    </row>
    <row r="508" spans="1:2">
      <c r="A508" s="1034" t="s">
        <v>1040</v>
      </c>
      <c r="B508" s="1035">
        <v>10800.5</v>
      </c>
    </row>
    <row r="509" spans="1:2">
      <c r="A509" s="1034" t="s">
        <v>1568</v>
      </c>
      <c r="B509" s="1035">
        <v>1547</v>
      </c>
    </row>
    <row r="510" spans="1:2">
      <c r="A510" s="1034" t="s">
        <v>1570</v>
      </c>
      <c r="B510" s="1035">
        <v>186.83</v>
      </c>
    </row>
    <row r="511" spans="1:2">
      <c r="A511" s="1034" t="s">
        <v>1046</v>
      </c>
      <c r="B511" s="1035">
        <v>515</v>
      </c>
    </row>
    <row r="512" spans="1:2">
      <c r="A512" s="1034" t="s">
        <v>1050</v>
      </c>
      <c r="B512" s="1035">
        <v>178.33</v>
      </c>
    </row>
    <row r="513" spans="1:2">
      <c r="A513" s="1034" t="s">
        <v>1057</v>
      </c>
      <c r="B513" s="1035">
        <v>1841.5</v>
      </c>
    </row>
    <row r="514" spans="1:2">
      <c r="A514" s="1034" t="s">
        <v>1059</v>
      </c>
      <c r="B514" s="1035">
        <v>111.67</v>
      </c>
    </row>
    <row r="515" spans="1:2">
      <c r="A515" s="1034" t="s">
        <v>1063</v>
      </c>
      <c r="B515" s="1035">
        <v>247.67</v>
      </c>
    </row>
    <row r="516" spans="1:2">
      <c r="A516" s="1034" t="s">
        <v>5113</v>
      </c>
      <c r="B516" s="1035">
        <v>117.5</v>
      </c>
    </row>
    <row r="517" spans="1:2">
      <c r="A517" s="1034" t="s">
        <v>1070</v>
      </c>
      <c r="B517" s="1035">
        <v>1260.33</v>
      </c>
    </row>
    <row r="518" spans="1:2">
      <c r="A518" s="1034" t="s">
        <v>1982</v>
      </c>
      <c r="B518" s="1035">
        <v>492.17</v>
      </c>
    </row>
    <row r="519" spans="1:2">
      <c r="A519" s="1034" t="s">
        <v>1984</v>
      </c>
      <c r="B519" s="1035">
        <v>44.83</v>
      </c>
    </row>
    <row r="520" spans="1:2">
      <c r="A520" s="1034" t="s">
        <v>1076</v>
      </c>
      <c r="B520" s="1035">
        <v>7430.5</v>
      </c>
    </row>
    <row r="521" spans="1:2">
      <c r="A521" s="1034" t="s">
        <v>1986</v>
      </c>
      <c r="B521" s="1035">
        <v>2558</v>
      </c>
    </row>
    <row r="522" spans="1:2">
      <c r="A522" s="1034" t="s">
        <v>1078</v>
      </c>
      <c r="B522" s="1035">
        <v>355.5</v>
      </c>
    </row>
    <row r="523" spans="1:2">
      <c r="A523" s="1034" t="s">
        <v>1082</v>
      </c>
      <c r="B523" s="1035">
        <v>249.33</v>
      </c>
    </row>
    <row r="524" spans="1:2">
      <c r="A524" s="1034" t="s">
        <v>1084</v>
      </c>
      <c r="B524" s="1035">
        <v>486.67</v>
      </c>
    </row>
    <row r="525" spans="1:2">
      <c r="A525" s="1034" t="s">
        <v>1090</v>
      </c>
      <c r="B525" s="1035">
        <v>1023.67</v>
      </c>
    </row>
    <row r="526" spans="1:2">
      <c r="A526" s="1034" t="s">
        <v>1094</v>
      </c>
      <c r="B526" s="1035">
        <v>208.67</v>
      </c>
    </row>
    <row r="527" spans="1:2">
      <c r="A527" s="1034" t="s">
        <v>1096</v>
      </c>
      <c r="B527" s="1035">
        <v>552</v>
      </c>
    </row>
    <row r="528" spans="1:2">
      <c r="A528" s="1034" t="s">
        <v>171</v>
      </c>
      <c r="B528" s="1035">
        <v>2034.67</v>
      </c>
    </row>
    <row r="529" spans="1:2">
      <c r="A529" s="1034" t="s">
        <v>172</v>
      </c>
      <c r="B529" s="1035">
        <v>340.33</v>
      </c>
    </row>
    <row r="530" spans="1:2">
      <c r="A530" s="1034" t="s">
        <v>174</v>
      </c>
      <c r="B530" s="1035">
        <v>571.33000000000004</v>
      </c>
    </row>
    <row r="531" spans="1:2">
      <c r="A531" s="1034" t="s">
        <v>7798</v>
      </c>
      <c r="B531" s="1035">
        <v>1448.83</v>
      </c>
    </row>
    <row r="532" spans="1:2">
      <c r="A532" s="1034" t="s">
        <v>8144</v>
      </c>
      <c r="B532" s="1035">
        <v>133</v>
      </c>
    </row>
    <row r="533" spans="1:2">
      <c r="A533" s="1034" t="s">
        <v>8077</v>
      </c>
      <c r="B533" s="1035">
        <v>612.33000000000004</v>
      </c>
    </row>
    <row r="534" spans="1:2">
      <c r="A534" s="1034" t="s">
        <v>8145</v>
      </c>
      <c r="B534" s="1035">
        <v>70.33</v>
      </c>
    </row>
    <row r="535" spans="1:2">
      <c r="A535" s="1034" t="s">
        <v>8146</v>
      </c>
      <c r="B535" s="1035">
        <v>370.5</v>
      </c>
    </row>
    <row r="536" spans="1:2">
      <c r="A536" s="1034" t="s">
        <v>8147</v>
      </c>
      <c r="B536" s="1035">
        <v>337.33</v>
      </c>
    </row>
    <row r="537" spans="1:2">
      <c r="A537" s="1034" t="s">
        <v>8148</v>
      </c>
      <c r="B537" s="1035">
        <v>272.33</v>
      </c>
    </row>
    <row r="538" spans="1:2">
      <c r="A538" s="1034" t="s">
        <v>8149</v>
      </c>
      <c r="B538" s="1035">
        <v>325</v>
      </c>
    </row>
    <row r="539" spans="1:2">
      <c r="A539" s="1034" t="s">
        <v>819</v>
      </c>
      <c r="B539" s="1035">
        <v>57074</v>
      </c>
    </row>
    <row r="540" spans="1:2">
      <c r="A540" s="1034" t="s">
        <v>3887</v>
      </c>
      <c r="B540" s="1035">
        <v>38767.5</v>
      </c>
    </row>
    <row r="541" spans="1:2">
      <c r="A541" s="1034" t="s">
        <v>1988</v>
      </c>
      <c r="B541" s="1035">
        <v>7391</v>
      </c>
    </row>
    <row r="542" spans="1:2">
      <c r="A542" s="1034" t="s">
        <v>245</v>
      </c>
      <c r="B542" s="1035">
        <v>2768.33</v>
      </c>
    </row>
    <row r="543" spans="1:2">
      <c r="A543" s="1034" t="s">
        <v>1990</v>
      </c>
      <c r="B543" s="1035">
        <v>56663.5</v>
      </c>
    </row>
    <row r="544" spans="1:2">
      <c r="A544" s="1034" t="s">
        <v>2115</v>
      </c>
      <c r="B544" s="1035">
        <v>4790.5</v>
      </c>
    </row>
    <row r="545" spans="1:2">
      <c r="A545" s="1034" t="s">
        <v>1315</v>
      </c>
      <c r="B545" s="1035">
        <v>19267.169999999998</v>
      </c>
    </row>
    <row r="546" spans="1:2">
      <c r="A546" s="1034" t="s">
        <v>5622</v>
      </c>
      <c r="B546" s="1035">
        <v>16015.67</v>
      </c>
    </row>
    <row r="547" spans="1:2">
      <c r="A547" s="1034" t="s">
        <v>5624</v>
      </c>
      <c r="B547" s="1035">
        <v>180831.921</v>
      </c>
    </row>
    <row r="548" spans="1:2">
      <c r="A548" s="1034" t="s">
        <v>1873</v>
      </c>
      <c r="B548" s="1035">
        <v>13748</v>
      </c>
    </row>
    <row r="549" spans="1:2">
      <c r="A549" s="1034" t="s">
        <v>6028</v>
      </c>
      <c r="B549" s="1035">
        <v>21589.33</v>
      </c>
    </row>
    <row r="550" spans="1:2">
      <c r="A550" s="1034" t="s">
        <v>6035</v>
      </c>
      <c r="B550" s="1035">
        <v>21005.17</v>
      </c>
    </row>
    <row r="551" spans="1:2">
      <c r="A551" s="1034" t="s">
        <v>5626</v>
      </c>
      <c r="B551" s="1035">
        <v>3806.17</v>
      </c>
    </row>
    <row r="552" spans="1:2">
      <c r="A552" s="1034" t="s">
        <v>6194</v>
      </c>
      <c r="B552" s="1035">
        <v>44866</v>
      </c>
    </row>
    <row r="553" spans="1:2">
      <c r="A553" s="1034" t="s">
        <v>1539</v>
      </c>
      <c r="B553" s="1035">
        <v>28063</v>
      </c>
    </row>
    <row r="554" spans="1:2">
      <c r="A554" s="1034" t="s">
        <v>911</v>
      </c>
      <c r="B554" s="1035">
        <v>22709.17</v>
      </c>
    </row>
    <row r="555" spans="1:2">
      <c r="A555" s="1034" t="s">
        <v>1428</v>
      </c>
      <c r="B555" s="1035">
        <v>3188.83</v>
      </c>
    </row>
    <row r="556" spans="1:2">
      <c r="A556" s="1034" t="s">
        <v>1430</v>
      </c>
      <c r="B556" s="1035">
        <v>6556</v>
      </c>
    </row>
    <row r="557" spans="1:2">
      <c r="A557" s="1034" t="s">
        <v>4971</v>
      </c>
      <c r="B557" s="1035">
        <v>1265.83</v>
      </c>
    </row>
    <row r="558" spans="1:2">
      <c r="A558" s="1034" t="s">
        <v>1099</v>
      </c>
      <c r="B558" s="1035">
        <v>0</v>
      </c>
    </row>
    <row r="559" spans="1:2">
      <c r="A559" s="1034" t="s">
        <v>1432</v>
      </c>
      <c r="B559" s="1035">
        <v>169.67</v>
      </c>
    </row>
    <row r="560" spans="1:2">
      <c r="A560" s="1034" t="s">
        <v>1434</v>
      </c>
      <c r="B560" s="1035">
        <v>4396.5</v>
      </c>
    </row>
    <row r="561" spans="1:2">
      <c r="A561" s="1034" t="s">
        <v>1436</v>
      </c>
      <c r="B561" s="1035">
        <v>572.16999999999996</v>
      </c>
    </row>
    <row r="562" spans="1:2">
      <c r="A562" s="1034" t="s">
        <v>1438</v>
      </c>
      <c r="B562" s="1035">
        <v>2070.33</v>
      </c>
    </row>
    <row r="563" spans="1:2">
      <c r="A563" s="1034" t="s">
        <v>2580</v>
      </c>
      <c r="B563" s="1035">
        <v>311.67</v>
      </c>
    </row>
    <row r="564" spans="1:2">
      <c r="A564" s="1034" t="s">
        <v>2582</v>
      </c>
      <c r="B564" s="1035">
        <v>462.67</v>
      </c>
    </row>
    <row r="565" spans="1:2">
      <c r="A565" s="1034" t="s">
        <v>2584</v>
      </c>
      <c r="B565" s="1035">
        <v>83.17</v>
      </c>
    </row>
    <row r="566" spans="1:2">
      <c r="A566" s="1034" t="s">
        <v>1578</v>
      </c>
      <c r="B566" s="1035">
        <v>153.33000000000001</v>
      </c>
    </row>
    <row r="567" spans="1:2">
      <c r="A567" s="1034" t="s">
        <v>1580</v>
      </c>
      <c r="B567" s="1035">
        <v>407.33</v>
      </c>
    </row>
    <row r="568" spans="1:2">
      <c r="A568" s="1034" t="s">
        <v>1582</v>
      </c>
      <c r="B568" s="1035">
        <v>102.17</v>
      </c>
    </row>
    <row r="569" spans="1:2">
      <c r="A569" s="1034" t="s">
        <v>1584</v>
      </c>
      <c r="B569" s="1035">
        <v>105.67</v>
      </c>
    </row>
    <row r="570" spans="1:2">
      <c r="A570" s="1034" t="s">
        <v>1586</v>
      </c>
      <c r="B570" s="1035">
        <v>68.5</v>
      </c>
    </row>
    <row r="571" spans="1:2">
      <c r="A571" s="1034" t="s">
        <v>1102</v>
      </c>
      <c r="B571" s="1035">
        <v>225.33</v>
      </c>
    </row>
    <row r="572" spans="1:2">
      <c r="A572" s="1034" t="s">
        <v>8150</v>
      </c>
      <c r="B572" s="1035">
        <v>173</v>
      </c>
    </row>
    <row r="573" spans="1:2">
      <c r="A573" s="1034" t="s">
        <v>1588</v>
      </c>
      <c r="B573" s="1035">
        <v>5798.33</v>
      </c>
    </row>
    <row r="574" spans="1:2">
      <c r="A574" s="1034" t="s">
        <v>1292</v>
      </c>
      <c r="B574" s="1035">
        <v>548</v>
      </c>
    </row>
    <row r="575" spans="1:2">
      <c r="A575" s="1034" t="s">
        <v>1590</v>
      </c>
      <c r="B575" s="1035">
        <v>633.83000000000004</v>
      </c>
    </row>
    <row r="576" spans="1:2">
      <c r="A576" s="1034" t="s">
        <v>1864</v>
      </c>
      <c r="B576" s="1035">
        <v>9428.33</v>
      </c>
    </row>
    <row r="577" spans="1:2">
      <c r="A577" s="1034" t="s">
        <v>1592</v>
      </c>
      <c r="B577" s="1035">
        <v>442.5</v>
      </c>
    </row>
    <row r="578" spans="1:2">
      <c r="A578" s="1034" t="s">
        <v>1594</v>
      </c>
      <c r="B578" s="1035">
        <v>2473.83</v>
      </c>
    </row>
    <row r="579" spans="1:2">
      <c r="A579" s="1034" t="s">
        <v>1596</v>
      </c>
      <c r="B579" s="1035">
        <v>1489</v>
      </c>
    </row>
    <row r="580" spans="1:2">
      <c r="A580" s="1034" t="s">
        <v>1598</v>
      </c>
      <c r="B580" s="1035">
        <v>311.67</v>
      </c>
    </row>
    <row r="581" spans="1:2">
      <c r="A581" s="1034" t="s">
        <v>1600</v>
      </c>
      <c r="B581" s="1035">
        <v>1161.5</v>
      </c>
    </row>
    <row r="582" spans="1:2">
      <c r="A582" s="1034" t="s">
        <v>5260</v>
      </c>
      <c r="B582" s="1035">
        <v>884.5</v>
      </c>
    </row>
    <row r="583" spans="1:2">
      <c r="A583" s="1034" t="s">
        <v>2415</v>
      </c>
      <c r="B583" s="1035">
        <v>144</v>
      </c>
    </row>
    <row r="584" spans="1:2">
      <c r="A584" s="1034" t="s">
        <v>4973</v>
      </c>
      <c r="B584" s="1035">
        <v>126.33</v>
      </c>
    </row>
    <row r="585" spans="1:2">
      <c r="A585" s="1034" t="s">
        <v>5262</v>
      </c>
      <c r="B585" s="1035">
        <v>260.67</v>
      </c>
    </row>
    <row r="586" spans="1:2">
      <c r="A586" s="1034" t="s">
        <v>5264</v>
      </c>
      <c r="B586" s="1035">
        <v>1014.17</v>
      </c>
    </row>
    <row r="587" spans="1:2">
      <c r="A587" s="1034" t="s">
        <v>1107</v>
      </c>
      <c r="B587" s="1035">
        <v>289.17</v>
      </c>
    </row>
    <row r="588" spans="1:2">
      <c r="A588" s="1034" t="s">
        <v>778</v>
      </c>
      <c r="B588" s="1035">
        <v>18376.169999999998</v>
      </c>
    </row>
    <row r="589" spans="1:2">
      <c r="A589" s="1034" t="s">
        <v>1113</v>
      </c>
      <c r="B589" s="1035">
        <v>1963</v>
      </c>
    </row>
    <row r="590" spans="1:2">
      <c r="A590" s="1034" t="s">
        <v>8151</v>
      </c>
      <c r="B590" s="1035">
        <v>163.66999999999999</v>
      </c>
    </row>
    <row r="591" spans="1:2">
      <c r="A591" s="1034" t="s">
        <v>2054</v>
      </c>
      <c r="B591" s="1035">
        <v>15627.5</v>
      </c>
    </row>
    <row r="592" spans="1:2">
      <c r="A592" s="1034" t="s">
        <v>1519</v>
      </c>
      <c r="B592" s="1035">
        <v>4790</v>
      </c>
    </row>
    <row r="593" spans="1:2">
      <c r="A593" s="1034" t="s">
        <v>1521</v>
      </c>
      <c r="B593" s="1035">
        <v>29014.83</v>
      </c>
    </row>
    <row r="594" spans="1:2">
      <c r="A594" s="1034" t="s">
        <v>1866</v>
      </c>
      <c r="B594" s="1035">
        <v>3253.91</v>
      </c>
    </row>
    <row r="595" spans="1:2">
      <c r="A595" s="1034" t="s">
        <v>6167</v>
      </c>
      <c r="B595" s="1035">
        <v>20355.169999999998</v>
      </c>
    </row>
    <row r="596" spans="1:2">
      <c r="A596" s="1034" t="s">
        <v>6170</v>
      </c>
      <c r="B596" s="1035">
        <v>5780</v>
      </c>
    </row>
    <row r="597" spans="1:2">
      <c r="A597" s="1034" t="s">
        <v>6176</v>
      </c>
      <c r="B597" s="1035">
        <v>13603.67</v>
      </c>
    </row>
    <row r="598" spans="1:2">
      <c r="A598" s="1034" t="s">
        <v>5125</v>
      </c>
      <c r="B598" s="1035">
        <v>29596.5</v>
      </c>
    </row>
    <row r="599" spans="1:2">
      <c r="A599" s="1034" t="s">
        <v>648</v>
      </c>
      <c r="B599" s="1035">
        <v>2021.83</v>
      </c>
    </row>
    <row r="600" spans="1:2">
      <c r="A600" s="1034" t="s">
        <v>780</v>
      </c>
      <c r="B600" s="1035">
        <v>6313</v>
      </c>
    </row>
    <row r="601" spans="1:2">
      <c r="A601" s="1034" t="s">
        <v>6038</v>
      </c>
      <c r="B601" s="1035">
        <v>27593.59</v>
      </c>
    </row>
    <row r="602" spans="1:2">
      <c r="A602" s="1034" t="s">
        <v>3096</v>
      </c>
      <c r="B602" s="1035">
        <v>16894.830000000002</v>
      </c>
    </row>
    <row r="603" spans="1:2">
      <c r="A603" s="1034" t="s">
        <v>6040</v>
      </c>
      <c r="B603" s="1035">
        <v>610.16999999999996</v>
      </c>
    </row>
    <row r="604" spans="1:2">
      <c r="A604" s="1034" t="s">
        <v>3097</v>
      </c>
      <c r="B604" s="1035">
        <v>1048</v>
      </c>
    </row>
    <row r="605" spans="1:2">
      <c r="A605" s="1034" t="s">
        <v>2419</v>
      </c>
      <c r="B605" s="1035">
        <v>4394.17</v>
      </c>
    </row>
    <row r="606" spans="1:2">
      <c r="A606" s="1034" t="s">
        <v>1117</v>
      </c>
      <c r="B606" s="1035">
        <v>0</v>
      </c>
    </row>
    <row r="607" spans="1:2">
      <c r="A607" s="1034" t="s">
        <v>2608</v>
      </c>
      <c r="B607" s="1035">
        <v>65.67</v>
      </c>
    </row>
    <row r="608" spans="1:2">
      <c r="A608" s="1034" t="s">
        <v>448</v>
      </c>
      <c r="B608" s="1035">
        <v>143.66999999999999</v>
      </c>
    </row>
    <row r="609" spans="1:2">
      <c r="A609" s="1034" t="s">
        <v>243</v>
      </c>
      <c r="B609" s="1035">
        <v>170.67</v>
      </c>
    </row>
    <row r="610" spans="1:2">
      <c r="A610" s="1034" t="s">
        <v>1868</v>
      </c>
      <c r="B610" s="1035">
        <v>1548.67</v>
      </c>
    </row>
    <row r="611" spans="1:2">
      <c r="A611" s="1034" t="s">
        <v>3098</v>
      </c>
      <c r="B611" s="1035">
        <v>260.17</v>
      </c>
    </row>
    <row r="612" spans="1:2">
      <c r="A612" s="1034" t="s">
        <v>6022</v>
      </c>
      <c r="B612" s="1035">
        <v>475.17</v>
      </c>
    </row>
    <row r="613" spans="1:2">
      <c r="A613" s="1034" t="s">
        <v>2610</v>
      </c>
      <c r="B613" s="1035">
        <v>90.67</v>
      </c>
    </row>
    <row r="614" spans="1:2">
      <c r="A614" s="1034" t="s">
        <v>2612</v>
      </c>
      <c r="B614" s="1035">
        <v>129.16999999999999</v>
      </c>
    </row>
    <row r="615" spans="1:2">
      <c r="A615" s="1034" t="s">
        <v>782</v>
      </c>
      <c r="B615" s="1035">
        <v>948.33</v>
      </c>
    </row>
    <row r="616" spans="1:2">
      <c r="A616" s="1034" t="s">
        <v>2614</v>
      </c>
      <c r="B616" s="1035">
        <v>140.66999999999999</v>
      </c>
    </row>
    <row r="617" spans="1:2">
      <c r="A617" s="1034" t="s">
        <v>2468</v>
      </c>
      <c r="B617" s="1035">
        <v>239.33</v>
      </c>
    </row>
    <row r="618" spans="1:2">
      <c r="A618" s="1034" t="s">
        <v>2616</v>
      </c>
      <c r="B618" s="1035">
        <v>169.17</v>
      </c>
    </row>
    <row r="619" spans="1:2">
      <c r="A619" s="1034" t="s">
        <v>784</v>
      </c>
      <c r="B619" s="1035">
        <v>203.83</v>
      </c>
    </row>
    <row r="620" spans="1:2">
      <c r="A620" s="1034" t="s">
        <v>786</v>
      </c>
      <c r="B620" s="1035">
        <v>2091.5</v>
      </c>
    </row>
    <row r="621" spans="1:2">
      <c r="A621" s="1034" t="s">
        <v>788</v>
      </c>
      <c r="B621" s="1035">
        <v>150</v>
      </c>
    </row>
    <row r="622" spans="1:2">
      <c r="A622" s="1034" t="s">
        <v>969</v>
      </c>
      <c r="B622" s="1035">
        <v>292.67</v>
      </c>
    </row>
    <row r="623" spans="1:2">
      <c r="A623" s="1034" t="s">
        <v>790</v>
      </c>
      <c r="B623" s="1035">
        <v>239.67</v>
      </c>
    </row>
    <row r="624" spans="1:2">
      <c r="A624" s="1034" t="s">
        <v>792</v>
      </c>
      <c r="B624" s="1035">
        <v>60.67</v>
      </c>
    </row>
    <row r="625" spans="1:2">
      <c r="A625" s="1034" t="s">
        <v>794</v>
      </c>
      <c r="B625" s="1035">
        <v>3471.33</v>
      </c>
    </row>
    <row r="626" spans="1:2">
      <c r="A626" s="1034" t="s">
        <v>2991</v>
      </c>
      <c r="B626" s="1035">
        <v>194</v>
      </c>
    </row>
    <row r="627" spans="1:2">
      <c r="A627" s="1034" t="s">
        <v>2413</v>
      </c>
      <c r="B627" s="1035">
        <v>208</v>
      </c>
    </row>
    <row r="628" spans="1:2">
      <c r="A628" s="1034" t="s">
        <v>796</v>
      </c>
      <c r="B628" s="1035">
        <v>2860.17</v>
      </c>
    </row>
    <row r="629" spans="1:2">
      <c r="A629" s="1034" t="s">
        <v>2044</v>
      </c>
      <c r="B629" s="1035">
        <v>207.17</v>
      </c>
    </row>
    <row r="630" spans="1:2">
      <c r="A630" s="1034" t="s">
        <v>798</v>
      </c>
      <c r="B630" s="1035">
        <v>330</v>
      </c>
    </row>
    <row r="631" spans="1:2">
      <c r="A631" s="1034" t="s">
        <v>2358</v>
      </c>
      <c r="B631" s="1035">
        <v>148.5</v>
      </c>
    </row>
    <row r="632" spans="1:2">
      <c r="A632" s="1034" t="s">
        <v>800</v>
      </c>
      <c r="B632" s="1035">
        <v>557.16999999999996</v>
      </c>
    </row>
    <row r="633" spans="1:2">
      <c r="A633" s="1034" t="s">
        <v>802</v>
      </c>
      <c r="B633" s="1035">
        <v>189.17</v>
      </c>
    </row>
    <row r="634" spans="1:2">
      <c r="A634" s="1034" t="s">
        <v>2046</v>
      </c>
      <c r="B634" s="1035">
        <v>100</v>
      </c>
    </row>
    <row r="635" spans="1:2">
      <c r="A635" s="1034" t="s">
        <v>804</v>
      </c>
      <c r="B635" s="1035">
        <v>1320.33</v>
      </c>
    </row>
    <row r="636" spans="1:2">
      <c r="A636" s="1034" t="s">
        <v>806</v>
      </c>
      <c r="B636" s="1035">
        <v>341.17</v>
      </c>
    </row>
    <row r="637" spans="1:2">
      <c r="A637" s="1034" t="s">
        <v>808</v>
      </c>
      <c r="B637" s="1035">
        <v>231.33</v>
      </c>
    </row>
    <row r="638" spans="1:2">
      <c r="A638" s="1034" t="s">
        <v>810</v>
      </c>
      <c r="B638" s="1035">
        <v>266.17</v>
      </c>
    </row>
    <row r="639" spans="1:2">
      <c r="A639" s="1034" t="s">
        <v>667</v>
      </c>
      <c r="B639" s="1035">
        <v>185.83</v>
      </c>
    </row>
    <row r="640" spans="1:2">
      <c r="A640" s="1034" t="s">
        <v>1707</v>
      </c>
      <c r="B640" s="1035">
        <v>2749.5</v>
      </c>
    </row>
    <row r="641" spans="1:2">
      <c r="A641" s="1034" t="s">
        <v>1709</v>
      </c>
      <c r="B641" s="1035">
        <v>366.67</v>
      </c>
    </row>
    <row r="642" spans="1:2">
      <c r="A642" s="1034" t="s">
        <v>1711</v>
      </c>
      <c r="B642" s="1035">
        <v>192.83</v>
      </c>
    </row>
    <row r="643" spans="1:2">
      <c r="A643" s="1034" t="s">
        <v>1713</v>
      </c>
      <c r="B643" s="1035">
        <v>401.5</v>
      </c>
    </row>
    <row r="644" spans="1:2">
      <c r="A644" s="1034" t="s">
        <v>1330</v>
      </c>
      <c r="B644" s="1035">
        <v>95.98</v>
      </c>
    </row>
    <row r="645" spans="1:2">
      <c r="A645" s="1034" t="s">
        <v>1332</v>
      </c>
      <c r="B645" s="1035">
        <v>80</v>
      </c>
    </row>
    <row r="646" spans="1:2">
      <c r="A646" s="1034" t="s">
        <v>979</v>
      </c>
      <c r="B646" s="1035">
        <v>601.33000000000004</v>
      </c>
    </row>
    <row r="647" spans="1:2">
      <c r="A647" s="1034" t="s">
        <v>1334</v>
      </c>
      <c r="B647" s="1035">
        <v>260.5</v>
      </c>
    </row>
    <row r="648" spans="1:2">
      <c r="A648" s="1034" t="s">
        <v>235</v>
      </c>
      <c r="B648" s="1035">
        <v>1073.17</v>
      </c>
    </row>
    <row r="649" spans="1:2">
      <c r="A649" s="1034" t="s">
        <v>3961</v>
      </c>
      <c r="B649" s="1035">
        <v>3469.33</v>
      </c>
    </row>
    <row r="650" spans="1:2">
      <c r="A650" s="1034" t="s">
        <v>2359</v>
      </c>
      <c r="B650" s="1035">
        <v>444.5</v>
      </c>
    </row>
    <row r="651" spans="1:2">
      <c r="A651" s="1034" t="s">
        <v>650</v>
      </c>
      <c r="B651" s="1035">
        <v>1772.5</v>
      </c>
    </row>
    <row r="652" spans="1:2">
      <c r="A652" s="1034" t="s">
        <v>2127</v>
      </c>
      <c r="B652" s="1035">
        <v>388.67</v>
      </c>
    </row>
    <row r="653" spans="1:2">
      <c r="A653" s="1034" t="s">
        <v>3963</v>
      </c>
      <c r="B653" s="1035">
        <v>249.83</v>
      </c>
    </row>
    <row r="654" spans="1:2">
      <c r="A654" s="1034" t="s">
        <v>953</v>
      </c>
      <c r="B654" s="1035">
        <v>332.67</v>
      </c>
    </row>
    <row r="655" spans="1:2">
      <c r="A655" s="1034" t="s">
        <v>971</v>
      </c>
      <c r="B655" s="1035">
        <v>259.33</v>
      </c>
    </row>
    <row r="656" spans="1:2">
      <c r="A656" s="1034" t="s">
        <v>3965</v>
      </c>
      <c r="B656" s="1035">
        <v>1533.17</v>
      </c>
    </row>
    <row r="657" spans="1:2">
      <c r="A657" s="1034" t="s">
        <v>3967</v>
      </c>
      <c r="B657" s="1035">
        <v>373.67</v>
      </c>
    </row>
    <row r="658" spans="1:2">
      <c r="A658" s="1034" t="s">
        <v>3969</v>
      </c>
      <c r="B658" s="1035">
        <v>281.17</v>
      </c>
    </row>
    <row r="659" spans="1:2">
      <c r="A659" s="1034" t="s">
        <v>757</v>
      </c>
      <c r="B659" s="1035">
        <v>53.5</v>
      </c>
    </row>
    <row r="660" spans="1:2">
      <c r="A660" s="1034" t="s">
        <v>759</v>
      </c>
      <c r="B660" s="1035">
        <v>143.66999999999999</v>
      </c>
    </row>
    <row r="661" spans="1:2">
      <c r="A661" s="1034" t="s">
        <v>69</v>
      </c>
      <c r="B661" s="1035">
        <v>126.67</v>
      </c>
    </row>
    <row r="662" spans="1:2">
      <c r="A662" s="1034" t="s">
        <v>71</v>
      </c>
      <c r="B662" s="1035">
        <v>516.33000000000004</v>
      </c>
    </row>
    <row r="663" spans="1:2">
      <c r="A663" s="1034" t="s">
        <v>73</v>
      </c>
      <c r="B663" s="1035">
        <v>176.17</v>
      </c>
    </row>
    <row r="664" spans="1:2">
      <c r="A664" s="1034" t="s">
        <v>75</v>
      </c>
      <c r="B664" s="1035">
        <v>1009.83</v>
      </c>
    </row>
    <row r="665" spans="1:2">
      <c r="A665" s="1034" t="s">
        <v>1316</v>
      </c>
      <c r="B665" s="1035">
        <v>422</v>
      </c>
    </row>
    <row r="666" spans="1:2">
      <c r="A666" s="1034" t="s">
        <v>2600</v>
      </c>
      <c r="B666" s="1035">
        <v>388.5</v>
      </c>
    </row>
    <row r="667" spans="1:2">
      <c r="A667" s="1034" t="s">
        <v>7133</v>
      </c>
      <c r="B667" s="1035">
        <v>251.83</v>
      </c>
    </row>
    <row r="668" spans="1:2">
      <c r="A668" s="1034" t="s">
        <v>961</v>
      </c>
      <c r="B668" s="1035">
        <v>619.66999999999996</v>
      </c>
    </row>
    <row r="669" spans="1:2">
      <c r="A669" s="1034" t="s">
        <v>6024</v>
      </c>
      <c r="B669" s="1035">
        <v>1944.67</v>
      </c>
    </row>
    <row r="670" spans="1:2">
      <c r="A670" s="1034" t="s">
        <v>6034</v>
      </c>
      <c r="B670" s="1035">
        <v>961.33</v>
      </c>
    </row>
    <row r="671" spans="1:2">
      <c r="A671" s="1034" t="s">
        <v>7135</v>
      </c>
      <c r="B671" s="1035">
        <v>155.5</v>
      </c>
    </row>
    <row r="672" spans="1:2">
      <c r="A672" s="1034" t="s">
        <v>7137</v>
      </c>
      <c r="B672" s="1035">
        <v>90.83</v>
      </c>
    </row>
    <row r="673" spans="1:2">
      <c r="A673" s="1034" t="s">
        <v>7139</v>
      </c>
      <c r="B673" s="1035">
        <v>32.83</v>
      </c>
    </row>
    <row r="674" spans="1:2">
      <c r="A674" s="1034" t="s">
        <v>1123</v>
      </c>
      <c r="B674" s="1035">
        <v>0</v>
      </c>
    </row>
    <row r="675" spans="1:2">
      <c r="A675" s="1034" t="s">
        <v>7143</v>
      </c>
      <c r="B675" s="1035">
        <v>451</v>
      </c>
    </row>
    <row r="676" spans="1:2">
      <c r="A676" s="1034" t="s">
        <v>1131</v>
      </c>
      <c r="B676" s="1035">
        <v>270.17</v>
      </c>
    </row>
    <row r="677" spans="1:2">
      <c r="A677" s="1034" t="s">
        <v>8048</v>
      </c>
      <c r="B677" s="1035">
        <v>436.67</v>
      </c>
    </row>
    <row r="678" spans="1:2">
      <c r="A678" s="1034" t="s">
        <v>6178</v>
      </c>
      <c r="B678" s="1035">
        <v>2237.17</v>
      </c>
    </row>
    <row r="679" spans="1:2">
      <c r="A679" s="1034" t="s">
        <v>7145</v>
      </c>
      <c r="B679" s="1035">
        <v>7848.5</v>
      </c>
    </row>
    <row r="680" spans="1:2">
      <c r="A680" s="1034" t="s">
        <v>7147</v>
      </c>
      <c r="B680" s="1035">
        <v>1914</v>
      </c>
    </row>
    <row r="681" spans="1:2">
      <c r="A681" s="1034" t="s">
        <v>2808</v>
      </c>
      <c r="B681" s="1035">
        <v>14739.5</v>
      </c>
    </row>
    <row r="682" spans="1:2">
      <c r="A682" s="1034" t="s">
        <v>2810</v>
      </c>
      <c r="B682" s="1035">
        <v>234.67</v>
      </c>
    </row>
    <row r="683" spans="1:2">
      <c r="A683" s="1034" t="s">
        <v>1859</v>
      </c>
      <c r="B683" s="1035">
        <v>568.5</v>
      </c>
    </row>
    <row r="684" spans="1:2">
      <c r="A684" s="1034" t="s">
        <v>2812</v>
      </c>
      <c r="B684" s="1035">
        <v>930.48</v>
      </c>
    </row>
    <row r="685" spans="1:2">
      <c r="A685" s="1034" t="s">
        <v>820</v>
      </c>
      <c r="B685" s="1035">
        <v>4293.3900000000003</v>
      </c>
    </row>
    <row r="686" spans="1:2">
      <c r="A686" s="1034" t="s">
        <v>127</v>
      </c>
      <c r="B686" s="1035">
        <v>440.17</v>
      </c>
    </row>
    <row r="687" spans="1:2">
      <c r="A687" s="1034" t="s">
        <v>6189</v>
      </c>
      <c r="B687" s="1035">
        <v>1129.17</v>
      </c>
    </row>
    <row r="688" spans="1:2">
      <c r="A688" s="1034" t="s">
        <v>5130</v>
      </c>
      <c r="B688" s="1035">
        <v>415.83</v>
      </c>
    </row>
    <row r="689" spans="1:2">
      <c r="A689" s="1034" t="s">
        <v>2815</v>
      </c>
      <c r="B689" s="1035">
        <v>60.17</v>
      </c>
    </row>
    <row r="690" spans="1:2">
      <c r="A690" s="1034" t="s">
        <v>3888</v>
      </c>
      <c r="B690" s="1035">
        <v>2230.83</v>
      </c>
    </row>
    <row r="691" spans="1:2">
      <c r="A691" s="1034" t="s">
        <v>977</v>
      </c>
      <c r="B691" s="1035">
        <v>4210.5</v>
      </c>
    </row>
    <row r="692" spans="1:2">
      <c r="A692" s="1034" t="s">
        <v>739</v>
      </c>
      <c r="B692" s="1035">
        <v>4483.17</v>
      </c>
    </row>
    <row r="693" spans="1:2">
      <c r="A693" s="1034" t="s">
        <v>1855</v>
      </c>
      <c r="B693" s="1035">
        <v>440.5</v>
      </c>
    </row>
    <row r="694" spans="1:2">
      <c r="A694" s="1034" t="s">
        <v>6025</v>
      </c>
      <c r="B694" s="1035">
        <v>2596.5</v>
      </c>
    </row>
    <row r="695" spans="1:2">
      <c r="A695" s="1034" t="s">
        <v>2817</v>
      </c>
      <c r="B695" s="1035">
        <v>820.5</v>
      </c>
    </row>
    <row r="696" spans="1:2">
      <c r="A696" s="1034" t="s">
        <v>128</v>
      </c>
      <c r="B696" s="1035">
        <v>400.17</v>
      </c>
    </row>
    <row r="697" spans="1:2">
      <c r="A697" s="1034" t="s">
        <v>3551</v>
      </c>
      <c r="B697" s="1035">
        <v>1456</v>
      </c>
    </row>
    <row r="698" spans="1:2">
      <c r="A698" s="1034" t="s">
        <v>1851</v>
      </c>
      <c r="B698" s="1035">
        <v>1043.17</v>
      </c>
    </row>
    <row r="699" spans="1:2">
      <c r="A699" s="1034" t="s">
        <v>267</v>
      </c>
      <c r="B699" s="1035">
        <v>485.67</v>
      </c>
    </row>
    <row r="700" spans="1:2">
      <c r="A700" s="1034" t="s">
        <v>2819</v>
      </c>
      <c r="B700" s="1035">
        <v>299</v>
      </c>
    </row>
    <row r="701" spans="1:2">
      <c r="A701" s="1034" t="s">
        <v>1863</v>
      </c>
      <c r="B701" s="1035">
        <v>388.67</v>
      </c>
    </row>
    <row r="702" spans="1:2">
      <c r="A702" s="1034" t="s">
        <v>449</v>
      </c>
      <c r="B702" s="1035">
        <v>88.17</v>
      </c>
    </row>
    <row r="703" spans="1:2">
      <c r="A703" s="1034" t="s">
        <v>5138</v>
      </c>
      <c r="B703" s="1035">
        <v>463</v>
      </c>
    </row>
    <row r="704" spans="1:2">
      <c r="A704" s="1034" t="s">
        <v>6027</v>
      </c>
      <c r="B704" s="1035">
        <v>664.67</v>
      </c>
    </row>
    <row r="705" spans="1:2">
      <c r="A705" s="1034" t="s">
        <v>450</v>
      </c>
      <c r="B705" s="1035">
        <v>726.33</v>
      </c>
    </row>
    <row r="706" spans="1:2">
      <c r="A706" s="1034" t="s">
        <v>516</v>
      </c>
      <c r="B706" s="1035">
        <v>228.33</v>
      </c>
    </row>
    <row r="707" spans="1:2">
      <c r="A707" s="1034" t="s">
        <v>1525</v>
      </c>
      <c r="B707" s="1035">
        <v>78.33</v>
      </c>
    </row>
    <row r="708" spans="1:2">
      <c r="A708" s="1034" t="s">
        <v>244</v>
      </c>
      <c r="B708" s="1035">
        <v>1540</v>
      </c>
    </row>
    <row r="709" spans="1:2">
      <c r="A709" s="1034" t="s">
        <v>1308</v>
      </c>
      <c r="B709" s="1035">
        <v>2527.83</v>
      </c>
    </row>
    <row r="710" spans="1:2">
      <c r="A710" s="1034" t="s">
        <v>6029</v>
      </c>
      <c r="B710" s="1035">
        <v>2599.17</v>
      </c>
    </row>
    <row r="711" spans="1:2">
      <c r="A711" s="1034" t="s">
        <v>6031</v>
      </c>
      <c r="B711" s="1035">
        <v>1033</v>
      </c>
    </row>
    <row r="712" spans="1:2">
      <c r="A712" s="1034" t="s">
        <v>5628</v>
      </c>
      <c r="B712" s="1035">
        <v>2148.17</v>
      </c>
    </row>
    <row r="713" spans="1:2">
      <c r="A713" s="1034" t="s">
        <v>5630</v>
      </c>
      <c r="B713" s="1035">
        <v>3235</v>
      </c>
    </row>
    <row r="714" spans="1:2">
      <c r="A714" s="1034" t="s">
        <v>2395</v>
      </c>
      <c r="B714" s="1035">
        <v>461.67</v>
      </c>
    </row>
    <row r="715" spans="1:2">
      <c r="A715" s="1034" t="s">
        <v>7799</v>
      </c>
      <c r="B715" s="1035">
        <v>73.83</v>
      </c>
    </row>
    <row r="716" spans="1:2">
      <c r="A716" s="1034" t="s">
        <v>5632</v>
      </c>
      <c r="B716" s="1035">
        <v>1483</v>
      </c>
    </row>
    <row r="717" spans="1:2">
      <c r="A717" s="1034" t="s">
        <v>6147</v>
      </c>
      <c r="B717" s="1035">
        <v>674.33</v>
      </c>
    </row>
    <row r="718" spans="1:2">
      <c r="A718" s="1034" t="s">
        <v>5612</v>
      </c>
      <c r="B718" s="1035">
        <v>50.33</v>
      </c>
    </row>
    <row r="719" spans="1:2">
      <c r="A719" s="1034" t="s">
        <v>1419</v>
      </c>
      <c r="B719" s="1035">
        <v>66.83</v>
      </c>
    </row>
    <row r="720" spans="1:2">
      <c r="A720" s="1034" t="s">
        <v>2469</v>
      </c>
      <c r="B720" s="1035">
        <v>452.17</v>
      </c>
    </row>
    <row r="721" spans="1:2">
      <c r="A721" s="1034" t="s">
        <v>1421</v>
      </c>
      <c r="B721" s="1035">
        <v>70.83</v>
      </c>
    </row>
    <row r="722" spans="1:2">
      <c r="A722" s="1034" t="s">
        <v>1423</v>
      </c>
      <c r="B722" s="1035">
        <v>2985.33</v>
      </c>
    </row>
    <row r="723" spans="1:2">
      <c r="A723" s="1034" t="s">
        <v>1425</v>
      </c>
      <c r="B723" s="1035">
        <v>747.83</v>
      </c>
    </row>
    <row r="724" spans="1:2">
      <c r="A724" s="1034" t="s">
        <v>7151</v>
      </c>
      <c r="B724" s="1035">
        <v>0</v>
      </c>
    </row>
    <row r="725" spans="1:2">
      <c r="A725" s="1034" t="s">
        <v>7153</v>
      </c>
      <c r="B725" s="1035">
        <v>451.5</v>
      </c>
    </row>
    <row r="726" spans="1:2">
      <c r="A726" s="1034" t="s">
        <v>6426</v>
      </c>
      <c r="B726" s="1035">
        <v>29.33</v>
      </c>
    </row>
    <row r="727" spans="1:2">
      <c r="A727" s="1034" t="s">
        <v>1835</v>
      </c>
      <c r="B727" s="1035">
        <v>410</v>
      </c>
    </row>
    <row r="728" spans="1:2">
      <c r="A728" s="1034" t="s">
        <v>510</v>
      </c>
      <c r="B728" s="1035">
        <v>2800</v>
      </c>
    </row>
    <row r="729" spans="1:2">
      <c r="A729" s="1034" t="s">
        <v>3530</v>
      </c>
      <c r="B729" s="1035">
        <v>422.5</v>
      </c>
    </row>
    <row r="730" spans="1:2">
      <c r="A730" s="1034" t="s">
        <v>3532</v>
      </c>
      <c r="B730" s="1035">
        <v>271.5</v>
      </c>
    </row>
    <row r="731" spans="1:2">
      <c r="A731" s="1034" t="s">
        <v>3534</v>
      </c>
      <c r="B731" s="1035">
        <v>238.67</v>
      </c>
    </row>
    <row r="732" spans="1:2">
      <c r="A732" s="1034" t="s">
        <v>511</v>
      </c>
      <c r="B732" s="1035">
        <v>218.67</v>
      </c>
    </row>
    <row r="733" spans="1:2">
      <c r="A733" s="1034" t="s">
        <v>3539</v>
      </c>
      <c r="B733" s="1035">
        <v>267.17</v>
      </c>
    </row>
    <row r="734" spans="1:2">
      <c r="A734" s="1034" t="s">
        <v>3541</v>
      </c>
      <c r="B734" s="1035">
        <v>77.33</v>
      </c>
    </row>
    <row r="735" spans="1:2">
      <c r="A735" s="1034" t="s">
        <v>3543</v>
      </c>
      <c r="B735" s="1035">
        <v>517.5</v>
      </c>
    </row>
    <row r="736" spans="1:2">
      <c r="A736" s="1034" t="s">
        <v>129</v>
      </c>
      <c r="B736" s="1035">
        <v>150.83000000000001</v>
      </c>
    </row>
    <row r="737" spans="1:2">
      <c r="A737" s="1034" t="s">
        <v>6193</v>
      </c>
      <c r="B737" s="1035">
        <v>3034.67</v>
      </c>
    </row>
    <row r="738" spans="1:2">
      <c r="A738" s="1034" t="s">
        <v>2674</v>
      </c>
      <c r="B738" s="1035">
        <v>1377.67</v>
      </c>
    </row>
    <row r="739" spans="1:2">
      <c r="A739" s="1034" t="s">
        <v>512</v>
      </c>
      <c r="B739" s="1035">
        <v>659.83</v>
      </c>
    </row>
    <row r="740" spans="1:2">
      <c r="A740" s="1034" t="s">
        <v>600</v>
      </c>
      <c r="B740" s="1035">
        <v>135.5</v>
      </c>
    </row>
    <row r="741" spans="1:2">
      <c r="A741" s="1034" t="s">
        <v>602</v>
      </c>
      <c r="B741" s="1035">
        <v>1170.5</v>
      </c>
    </row>
    <row r="742" spans="1:2">
      <c r="A742" s="1034" t="s">
        <v>6188</v>
      </c>
      <c r="B742" s="1035">
        <v>492.67</v>
      </c>
    </row>
    <row r="743" spans="1:2">
      <c r="A743" s="1034" t="s">
        <v>2018</v>
      </c>
      <c r="B743" s="1035">
        <v>316.33</v>
      </c>
    </row>
    <row r="744" spans="1:2">
      <c r="A744" s="1034" t="s">
        <v>2020</v>
      </c>
      <c r="B744" s="1035">
        <v>257.17</v>
      </c>
    </row>
    <row r="745" spans="1:2">
      <c r="A745" s="1034" t="s">
        <v>2024</v>
      </c>
      <c r="B745" s="1035">
        <v>1828.83</v>
      </c>
    </row>
    <row r="746" spans="1:2">
      <c r="A746" s="1034" t="s">
        <v>2026</v>
      </c>
      <c r="B746" s="1035">
        <v>185.83</v>
      </c>
    </row>
    <row r="747" spans="1:2">
      <c r="A747" s="1034" t="s">
        <v>242</v>
      </c>
      <c r="B747" s="1035">
        <v>1148.17</v>
      </c>
    </row>
    <row r="748" spans="1:2">
      <c r="A748" s="1034" t="s">
        <v>2028</v>
      </c>
      <c r="B748" s="1035">
        <v>441.67</v>
      </c>
    </row>
    <row r="749" spans="1:2">
      <c r="A749" s="1034" t="s">
        <v>2030</v>
      </c>
      <c r="B749" s="1035">
        <v>170.33</v>
      </c>
    </row>
    <row r="750" spans="1:2">
      <c r="A750" s="1034" t="s">
        <v>2032</v>
      </c>
      <c r="B750" s="1035">
        <v>190.5</v>
      </c>
    </row>
    <row r="751" spans="1:2">
      <c r="A751" s="1034" t="s">
        <v>2034</v>
      </c>
      <c r="B751" s="1035">
        <v>50.83</v>
      </c>
    </row>
    <row r="752" spans="1:2">
      <c r="A752" s="1034" t="s">
        <v>2036</v>
      </c>
      <c r="B752" s="1035">
        <v>28.17</v>
      </c>
    </row>
    <row r="753" spans="1:2">
      <c r="A753" s="1034" t="s">
        <v>308</v>
      </c>
      <c r="B753" s="1035">
        <v>38.17</v>
      </c>
    </row>
    <row r="754" spans="1:2">
      <c r="A754" s="1034" t="s">
        <v>310</v>
      </c>
      <c r="B754" s="1035">
        <v>1355.67</v>
      </c>
    </row>
    <row r="755" spans="1:2">
      <c r="A755" s="1034" t="s">
        <v>312</v>
      </c>
      <c r="B755" s="1035">
        <v>458.17</v>
      </c>
    </row>
    <row r="756" spans="1:2">
      <c r="A756" s="1034" t="s">
        <v>314</v>
      </c>
      <c r="B756" s="1035">
        <v>165.33</v>
      </c>
    </row>
    <row r="757" spans="1:2">
      <c r="A757" s="1034" t="s">
        <v>316</v>
      </c>
      <c r="B757" s="1035">
        <v>662</v>
      </c>
    </row>
    <row r="758" spans="1:2">
      <c r="A758" s="1034" t="s">
        <v>318</v>
      </c>
      <c r="B758" s="1035">
        <v>308.33</v>
      </c>
    </row>
    <row r="759" spans="1:2">
      <c r="A759" s="1034" t="s">
        <v>320</v>
      </c>
      <c r="B759" s="1035">
        <v>272.67</v>
      </c>
    </row>
    <row r="760" spans="1:2">
      <c r="A760" s="1034" t="s">
        <v>2319</v>
      </c>
      <c r="B760" s="1035">
        <v>148.16999999999999</v>
      </c>
    </row>
    <row r="761" spans="1:2">
      <c r="A761" s="1034" t="s">
        <v>2321</v>
      </c>
      <c r="B761" s="1035">
        <v>406</v>
      </c>
    </row>
    <row r="762" spans="1:2">
      <c r="A762" s="1034" t="s">
        <v>3178</v>
      </c>
      <c r="B762" s="1035">
        <v>3227.67</v>
      </c>
    </row>
    <row r="763" spans="1:2">
      <c r="A763" s="1034" t="s">
        <v>249</v>
      </c>
      <c r="B763" s="1035">
        <v>3359.17</v>
      </c>
    </row>
    <row r="764" spans="1:2">
      <c r="A764" s="1034" t="s">
        <v>2323</v>
      </c>
      <c r="B764" s="1035">
        <v>86.83</v>
      </c>
    </row>
    <row r="765" spans="1:2">
      <c r="A765" s="1034" t="s">
        <v>513</v>
      </c>
      <c r="B765" s="1035">
        <v>713.5</v>
      </c>
    </row>
    <row r="766" spans="1:2">
      <c r="A766" s="1034" t="s">
        <v>1872</v>
      </c>
      <c r="B766" s="1035">
        <v>477.83</v>
      </c>
    </row>
    <row r="767" spans="1:2">
      <c r="A767" s="1034" t="s">
        <v>2325</v>
      </c>
      <c r="B767" s="1035">
        <v>1311.33</v>
      </c>
    </row>
    <row r="768" spans="1:2">
      <c r="A768" s="1034" t="s">
        <v>2327</v>
      </c>
      <c r="B768" s="1035">
        <v>895.5</v>
      </c>
    </row>
    <row r="769" spans="1:2">
      <c r="A769" s="1034" t="s">
        <v>5236</v>
      </c>
      <c r="B769" s="1035">
        <v>289.17</v>
      </c>
    </row>
    <row r="770" spans="1:2">
      <c r="A770" s="1034" t="s">
        <v>7700</v>
      </c>
      <c r="B770" s="1035">
        <v>1178</v>
      </c>
    </row>
    <row r="771" spans="1:2">
      <c r="A771" s="1034" t="s">
        <v>7702</v>
      </c>
      <c r="B771" s="1035">
        <v>1540.33</v>
      </c>
    </row>
    <row r="772" spans="1:2">
      <c r="A772" s="1034" t="s">
        <v>7704</v>
      </c>
      <c r="B772" s="1035">
        <v>246.67</v>
      </c>
    </row>
    <row r="773" spans="1:2">
      <c r="A773" s="1034" t="s">
        <v>5634</v>
      </c>
      <c r="B773" s="1035">
        <v>96.17</v>
      </c>
    </row>
    <row r="774" spans="1:2">
      <c r="A774" s="1034" t="s">
        <v>5636</v>
      </c>
      <c r="B774" s="1035">
        <v>99.33</v>
      </c>
    </row>
    <row r="775" spans="1:2">
      <c r="A775" s="1034" t="s">
        <v>4016</v>
      </c>
      <c r="B775" s="1035">
        <v>75.17</v>
      </c>
    </row>
    <row r="776" spans="1:2">
      <c r="A776" s="1034" t="s">
        <v>4018</v>
      </c>
      <c r="B776" s="1035">
        <v>582.83000000000004</v>
      </c>
    </row>
    <row r="777" spans="1:2">
      <c r="A777" s="1034" t="s">
        <v>4020</v>
      </c>
      <c r="B777" s="1035">
        <v>451.5</v>
      </c>
    </row>
    <row r="778" spans="1:2">
      <c r="A778" s="1034" t="s">
        <v>4022</v>
      </c>
      <c r="B778" s="1035">
        <v>1153.33</v>
      </c>
    </row>
    <row r="779" spans="1:2">
      <c r="A779" s="1034" t="s">
        <v>4024</v>
      </c>
      <c r="B779" s="1035">
        <v>235.67</v>
      </c>
    </row>
    <row r="780" spans="1:2">
      <c r="A780" s="1034" t="s">
        <v>1141</v>
      </c>
      <c r="B780" s="1035">
        <v>177</v>
      </c>
    </row>
    <row r="781" spans="1:2">
      <c r="A781" s="1034" t="s">
        <v>2996</v>
      </c>
      <c r="B781" s="1035">
        <v>23063</v>
      </c>
    </row>
    <row r="782" spans="1:2">
      <c r="A782" s="1034" t="s">
        <v>4028</v>
      </c>
      <c r="B782" s="1035">
        <v>439</v>
      </c>
    </row>
    <row r="783" spans="1:2">
      <c r="A783" s="1034" t="s">
        <v>4030</v>
      </c>
      <c r="B783" s="1035">
        <v>1031.33</v>
      </c>
    </row>
    <row r="784" spans="1:2">
      <c r="A784" s="1034" t="s">
        <v>2903</v>
      </c>
      <c r="B784" s="1035">
        <v>1903.83</v>
      </c>
    </row>
    <row r="785" spans="1:2">
      <c r="A785" s="1034" t="s">
        <v>1310</v>
      </c>
      <c r="B785" s="1035">
        <v>3718.67</v>
      </c>
    </row>
    <row r="786" spans="1:2">
      <c r="A786" s="1034" t="s">
        <v>4032</v>
      </c>
      <c r="B786" s="1035">
        <v>863.33</v>
      </c>
    </row>
    <row r="787" spans="1:2">
      <c r="A787" s="1034" t="s">
        <v>2397</v>
      </c>
      <c r="B787" s="1035">
        <v>747.5</v>
      </c>
    </row>
    <row r="788" spans="1:2">
      <c r="A788" s="1034" t="s">
        <v>669</v>
      </c>
      <c r="B788" s="1035">
        <v>380.83</v>
      </c>
    </row>
    <row r="789" spans="1:2">
      <c r="A789" s="1034" t="s">
        <v>1144</v>
      </c>
      <c r="B789" s="1035">
        <v>0</v>
      </c>
    </row>
    <row r="790" spans="1:2">
      <c r="A790" s="1034" t="s">
        <v>4151</v>
      </c>
      <c r="B790" s="1035">
        <v>236.83</v>
      </c>
    </row>
    <row r="791" spans="1:2">
      <c r="A791" s="1034" t="s">
        <v>4153</v>
      </c>
      <c r="B791" s="1035">
        <v>447.5</v>
      </c>
    </row>
    <row r="792" spans="1:2">
      <c r="A792" s="1034" t="s">
        <v>4155</v>
      </c>
      <c r="B792" s="1035">
        <v>102</v>
      </c>
    </row>
    <row r="793" spans="1:2">
      <c r="A793" s="1034" t="s">
        <v>4157</v>
      </c>
      <c r="B793" s="1035">
        <v>92.17</v>
      </c>
    </row>
    <row r="794" spans="1:2">
      <c r="A794" s="1034" t="s">
        <v>3000</v>
      </c>
      <c r="B794" s="1035">
        <v>1701.83</v>
      </c>
    </row>
    <row r="795" spans="1:2">
      <c r="A795" s="1034" t="s">
        <v>4159</v>
      </c>
      <c r="B795" s="1035">
        <v>311</v>
      </c>
    </row>
    <row r="796" spans="1:2">
      <c r="A796" s="1034" t="s">
        <v>4161</v>
      </c>
      <c r="B796" s="1035">
        <v>1013.67</v>
      </c>
    </row>
    <row r="797" spans="1:2">
      <c r="A797" s="1034" t="s">
        <v>4163</v>
      </c>
      <c r="B797" s="1035">
        <v>566</v>
      </c>
    </row>
    <row r="798" spans="1:2">
      <c r="A798" s="1034" t="s">
        <v>4165</v>
      </c>
      <c r="B798" s="1035">
        <v>69.17</v>
      </c>
    </row>
    <row r="799" spans="1:2">
      <c r="A799" s="1034" t="s">
        <v>4167</v>
      </c>
      <c r="B799" s="1035">
        <v>339.5</v>
      </c>
    </row>
    <row r="800" spans="1:2">
      <c r="A800" s="1034" t="s">
        <v>4169</v>
      </c>
      <c r="B800" s="1035">
        <v>2814.5</v>
      </c>
    </row>
    <row r="801" spans="1:2">
      <c r="A801" s="1034" t="s">
        <v>4171</v>
      </c>
      <c r="B801" s="1035">
        <v>598.33000000000004</v>
      </c>
    </row>
    <row r="802" spans="1:2">
      <c r="A802" s="1034" t="s">
        <v>2055</v>
      </c>
      <c r="B802" s="1035">
        <v>139.33000000000001</v>
      </c>
    </row>
    <row r="803" spans="1:2">
      <c r="A803" s="1034" t="s">
        <v>2057</v>
      </c>
      <c r="B803" s="1035">
        <v>976.83</v>
      </c>
    </row>
    <row r="804" spans="1:2">
      <c r="A804" s="1034" t="s">
        <v>2059</v>
      </c>
      <c r="B804" s="1035">
        <v>546.16999999999996</v>
      </c>
    </row>
    <row r="805" spans="1:2">
      <c r="A805" s="1034" t="s">
        <v>1814</v>
      </c>
      <c r="B805" s="1035">
        <v>13955.58</v>
      </c>
    </row>
    <row r="806" spans="1:2">
      <c r="A806" s="1034" t="s">
        <v>958</v>
      </c>
      <c r="B806" s="1035">
        <v>834.83</v>
      </c>
    </row>
    <row r="807" spans="1:2">
      <c r="A807" s="1034" t="s">
        <v>2061</v>
      </c>
      <c r="B807" s="1035">
        <v>155.83000000000001</v>
      </c>
    </row>
    <row r="808" spans="1:2">
      <c r="A808" s="1034" t="s">
        <v>1845</v>
      </c>
      <c r="B808" s="1035">
        <v>88.34</v>
      </c>
    </row>
    <row r="809" spans="1:2">
      <c r="A809" s="1034" t="s">
        <v>1146</v>
      </c>
      <c r="B809" s="1035">
        <v>219</v>
      </c>
    </row>
    <row r="810" spans="1:2">
      <c r="A810" s="1034" t="s">
        <v>1148</v>
      </c>
      <c r="B810" s="1035">
        <v>553.66999999999996</v>
      </c>
    </row>
    <row r="811" spans="1:2">
      <c r="A811" s="1034" t="s">
        <v>177</v>
      </c>
      <c r="B811" s="1035">
        <v>5204.5</v>
      </c>
    </row>
    <row r="812" spans="1:2">
      <c r="A812" s="1034" t="s">
        <v>5237</v>
      </c>
      <c r="B812" s="1035">
        <v>154.33000000000001</v>
      </c>
    </row>
    <row r="813" spans="1:2">
      <c r="A813" s="1034" t="s">
        <v>2065</v>
      </c>
      <c r="B813" s="1035">
        <v>2622.33</v>
      </c>
    </row>
    <row r="814" spans="1:2">
      <c r="A814" s="1034" t="s">
        <v>2905</v>
      </c>
      <c r="B814" s="1035">
        <v>2699.17</v>
      </c>
    </row>
    <row r="815" spans="1:2">
      <c r="A815" s="1034" t="s">
        <v>5238</v>
      </c>
      <c r="B815" s="1035">
        <v>512.83000000000004</v>
      </c>
    </row>
    <row r="816" spans="1:2">
      <c r="A816" s="1034" t="s">
        <v>6163</v>
      </c>
      <c r="B816" s="1035">
        <v>389.17</v>
      </c>
    </row>
    <row r="817" spans="1:2">
      <c r="A817" s="1034" t="s">
        <v>2470</v>
      </c>
      <c r="B817" s="1035">
        <v>916.5</v>
      </c>
    </row>
    <row r="818" spans="1:2">
      <c r="A818" s="1034" t="s">
        <v>973</v>
      </c>
      <c r="B818" s="1035">
        <v>465.33</v>
      </c>
    </row>
    <row r="819" spans="1:2">
      <c r="A819" s="1034" t="s">
        <v>2769</v>
      </c>
      <c r="B819" s="1035">
        <v>265.5</v>
      </c>
    </row>
    <row r="820" spans="1:2">
      <c r="A820" s="1034" t="s">
        <v>3553</v>
      </c>
      <c r="B820" s="1035">
        <v>13414.33</v>
      </c>
    </row>
    <row r="821" spans="1:2">
      <c r="A821" s="1034" t="s">
        <v>3556</v>
      </c>
      <c r="B821" s="1035">
        <v>649.16999999999996</v>
      </c>
    </row>
    <row r="822" spans="1:2">
      <c r="A822" s="1034" t="s">
        <v>5052</v>
      </c>
      <c r="B822" s="1035">
        <v>383.33</v>
      </c>
    </row>
    <row r="823" spans="1:2">
      <c r="A823" s="1034" t="s">
        <v>5054</v>
      </c>
      <c r="B823" s="1035">
        <v>460</v>
      </c>
    </row>
    <row r="824" spans="1:2">
      <c r="A824" s="1034" t="s">
        <v>737</v>
      </c>
      <c r="B824" s="1035">
        <v>685.17</v>
      </c>
    </row>
    <row r="825" spans="1:2">
      <c r="A825" s="1034" t="s">
        <v>237</v>
      </c>
      <c r="B825" s="1035">
        <v>1877.67</v>
      </c>
    </row>
    <row r="826" spans="1:2">
      <c r="A826" s="1034" t="s">
        <v>2307</v>
      </c>
      <c r="B826" s="1035">
        <v>810.67</v>
      </c>
    </row>
    <row r="827" spans="1:2">
      <c r="A827" s="1034" t="s">
        <v>957</v>
      </c>
      <c r="B827" s="1035">
        <v>273</v>
      </c>
    </row>
    <row r="828" spans="1:2">
      <c r="A828" s="1034" t="s">
        <v>5056</v>
      </c>
      <c r="B828" s="1035">
        <v>90.67</v>
      </c>
    </row>
    <row r="829" spans="1:2">
      <c r="A829" s="1034" t="s">
        <v>5137</v>
      </c>
      <c r="B829" s="1035">
        <v>192</v>
      </c>
    </row>
    <row r="830" spans="1:2">
      <c r="A830" s="1034" t="s">
        <v>1154</v>
      </c>
      <c r="B830" s="1035">
        <v>0</v>
      </c>
    </row>
    <row r="831" spans="1:2">
      <c r="A831" s="1034" t="s">
        <v>4568</v>
      </c>
      <c r="B831" s="1035">
        <v>69</v>
      </c>
    </row>
    <row r="832" spans="1:2">
      <c r="A832" s="1034" t="s">
        <v>2053</v>
      </c>
      <c r="B832" s="1035">
        <v>1222.33</v>
      </c>
    </row>
    <row r="833" spans="1:2">
      <c r="A833" s="1034" t="s">
        <v>1846</v>
      </c>
      <c r="B833" s="1035">
        <v>181.33</v>
      </c>
    </row>
    <row r="834" spans="1:2">
      <c r="A834" s="1034" t="s">
        <v>5239</v>
      </c>
      <c r="B834" s="1035">
        <v>930.67</v>
      </c>
    </row>
    <row r="835" spans="1:2">
      <c r="A835" s="1034" t="s">
        <v>1870</v>
      </c>
      <c r="B835" s="1035">
        <v>1637</v>
      </c>
    </row>
    <row r="836" spans="1:2">
      <c r="A836" s="1034" t="s">
        <v>6169</v>
      </c>
      <c r="B836" s="1035">
        <v>2383.33</v>
      </c>
    </row>
    <row r="837" spans="1:2">
      <c r="A837" s="1034" t="s">
        <v>574</v>
      </c>
      <c r="B837" s="1035">
        <v>210.5</v>
      </c>
    </row>
    <row r="838" spans="1:2">
      <c r="A838" s="1034" t="s">
        <v>1158</v>
      </c>
      <c r="B838" s="1035">
        <v>244.17</v>
      </c>
    </row>
    <row r="839" spans="1:2">
      <c r="A839" s="1034" t="s">
        <v>6172</v>
      </c>
      <c r="B839" s="1035">
        <v>11470</v>
      </c>
    </row>
    <row r="840" spans="1:2">
      <c r="A840" s="1034" t="s">
        <v>578</v>
      </c>
      <c r="B840" s="1035">
        <v>735.17</v>
      </c>
    </row>
    <row r="841" spans="1:2">
      <c r="A841" s="1034" t="s">
        <v>1161</v>
      </c>
      <c r="B841" s="1035">
        <v>0</v>
      </c>
    </row>
    <row r="842" spans="1:2">
      <c r="A842" s="1034" t="s">
        <v>980</v>
      </c>
      <c r="B842" s="1035">
        <v>1280.33</v>
      </c>
    </row>
    <row r="843" spans="1:2">
      <c r="A843" s="1034" t="s">
        <v>3972</v>
      </c>
      <c r="B843" s="1035">
        <v>125.67</v>
      </c>
    </row>
    <row r="844" spans="1:2">
      <c r="A844" s="1034" t="s">
        <v>6173</v>
      </c>
      <c r="B844" s="1035">
        <v>255.33</v>
      </c>
    </row>
    <row r="845" spans="1:2">
      <c r="A845" s="1034" t="s">
        <v>3974</v>
      </c>
      <c r="B845" s="1035">
        <v>1129.5</v>
      </c>
    </row>
    <row r="846" spans="1:2">
      <c r="A846" s="1034" t="s">
        <v>814</v>
      </c>
      <c r="B846" s="1035">
        <v>289.17</v>
      </c>
    </row>
    <row r="847" spans="1:2">
      <c r="A847" s="1034" t="s">
        <v>4587</v>
      </c>
      <c r="B847" s="1035">
        <v>135</v>
      </c>
    </row>
    <row r="848" spans="1:2">
      <c r="A848" s="1034" t="s">
        <v>1852</v>
      </c>
      <c r="B848" s="1035">
        <v>304.17</v>
      </c>
    </row>
    <row r="849" spans="1:2">
      <c r="A849" s="1034" t="s">
        <v>141</v>
      </c>
      <c r="B849" s="1035">
        <v>287.77999999999997</v>
      </c>
    </row>
    <row r="850" spans="1:2">
      <c r="A850" s="1034" t="s">
        <v>1847</v>
      </c>
      <c r="B850" s="1035">
        <v>81</v>
      </c>
    </row>
    <row r="851" spans="1:2">
      <c r="A851" s="1034" t="s">
        <v>145</v>
      </c>
      <c r="B851" s="1035">
        <v>656.67</v>
      </c>
    </row>
    <row r="852" spans="1:2">
      <c r="A852" s="1034" t="s">
        <v>147</v>
      </c>
      <c r="B852" s="1035">
        <v>124.33</v>
      </c>
    </row>
    <row r="853" spans="1:2">
      <c r="A853" s="1034" t="s">
        <v>149</v>
      </c>
      <c r="B853" s="1035">
        <v>103</v>
      </c>
    </row>
    <row r="854" spans="1:2">
      <c r="A854" s="1034" t="s">
        <v>1956</v>
      </c>
      <c r="B854" s="1035">
        <v>894.33</v>
      </c>
    </row>
    <row r="855" spans="1:2">
      <c r="A855" s="1034" t="s">
        <v>1958</v>
      </c>
      <c r="B855" s="1035">
        <v>472.33</v>
      </c>
    </row>
    <row r="856" spans="1:2">
      <c r="A856" s="1034" t="s">
        <v>1960</v>
      </c>
      <c r="B856" s="1035">
        <v>91</v>
      </c>
    </row>
    <row r="857" spans="1:2">
      <c r="A857" s="1034" t="s">
        <v>2039</v>
      </c>
      <c r="B857" s="1035">
        <v>58.33</v>
      </c>
    </row>
    <row r="858" spans="1:2">
      <c r="A858" s="1034" t="s">
        <v>2041</v>
      </c>
      <c r="B858" s="1035">
        <v>87.83</v>
      </c>
    </row>
    <row r="859" spans="1:2">
      <c r="A859" s="1034" t="s">
        <v>1825</v>
      </c>
      <c r="B859" s="1035">
        <v>96.83</v>
      </c>
    </row>
    <row r="860" spans="1:2">
      <c r="A860" s="1034" t="s">
        <v>1827</v>
      </c>
      <c r="B860" s="1035">
        <v>115.33</v>
      </c>
    </row>
    <row r="861" spans="1:2">
      <c r="A861" s="1034" t="s">
        <v>1163</v>
      </c>
      <c r="B861" s="1035">
        <v>416.33</v>
      </c>
    </row>
    <row r="862" spans="1:2">
      <c r="A862" s="1034" t="s">
        <v>238</v>
      </c>
      <c r="B862" s="1035">
        <v>21436.5</v>
      </c>
    </row>
    <row r="863" spans="1:2">
      <c r="A863" s="1034" t="s">
        <v>1829</v>
      </c>
      <c r="B863" s="1035">
        <v>2001.83</v>
      </c>
    </row>
    <row r="864" spans="1:2">
      <c r="A864" s="1034" t="s">
        <v>859</v>
      </c>
      <c r="B864" s="1035">
        <v>4167.5</v>
      </c>
    </row>
    <row r="865" spans="1:2">
      <c r="A865" s="1034" t="s">
        <v>3001</v>
      </c>
      <c r="B865" s="1035">
        <v>5283.5</v>
      </c>
    </row>
    <row r="866" spans="1:2">
      <c r="A866" s="1034" t="s">
        <v>2405</v>
      </c>
      <c r="B866" s="1035">
        <v>2245.5</v>
      </c>
    </row>
    <row r="867" spans="1:2">
      <c r="A867" s="1034" t="s">
        <v>2907</v>
      </c>
      <c r="B867" s="1035">
        <v>6985.17</v>
      </c>
    </row>
    <row r="868" spans="1:2">
      <c r="A868" s="1034" t="s">
        <v>1222</v>
      </c>
      <c r="B868" s="1035">
        <v>3265.5</v>
      </c>
    </row>
    <row r="869" spans="1:2">
      <c r="A869" s="1034" t="s">
        <v>1224</v>
      </c>
      <c r="B869" s="1035">
        <v>304.67</v>
      </c>
    </row>
    <row r="870" spans="1:2">
      <c r="A870" s="1034" t="s">
        <v>5375</v>
      </c>
      <c r="B870" s="1035">
        <v>891.83</v>
      </c>
    </row>
    <row r="871" spans="1:2">
      <c r="A871" s="1034" t="s">
        <v>5377</v>
      </c>
      <c r="B871" s="1035">
        <v>648.16999999999996</v>
      </c>
    </row>
    <row r="872" spans="1:2">
      <c r="A872" s="1034" t="s">
        <v>5379</v>
      </c>
      <c r="B872" s="1035">
        <v>146.5</v>
      </c>
    </row>
    <row r="873" spans="1:2">
      <c r="A873" s="1034" t="s">
        <v>7800</v>
      </c>
      <c r="B873" s="1035">
        <v>19</v>
      </c>
    </row>
    <row r="874" spans="1:2">
      <c r="A874" s="1034" t="s">
        <v>642</v>
      </c>
      <c r="B874" s="1035">
        <v>264.17</v>
      </c>
    </row>
    <row r="875" spans="1:2">
      <c r="A875" s="1034" t="s">
        <v>2618</v>
      </c>
      <c r="B875" s="1035">
        <v>358.83</v>
      </c>
    </row>
    <row r="876" spans="1:2">
      <c r="A876" s="1034" t="s">
        <v>644</v>
      </c>
      <c r="B876" s="1035">
        <v>358.17</v>
      </c>
    </row>
    <row r="877" spans="1:2">
      <c r="A877" s="1034" t="s">
        <v>2620</v>
      </c>
      <c r="B877" s="1035">
        <v>5467.67</v>
      </c>
    </row>
    <row r="878" spans="1:2">
      <c r="A878" s="1034" t="s">
        <v>4588</v>
      </c>
      <c r="B878" s="1035">
        <v>466.17</v>
      </c>
    </row>
    <row r="879" spans="1:2">
      <c r="A879" s="1034" t="s">
        <v>2622</v>
      </c>
      <c r="B879" s="1035">
        <v>451.17</v>
      </c>
    </row>
    <row r="880" spans="1:2">
      <c r="A880" s="1034" t="s">
        <v>2624</v>
      </c>
      <c r="B880" s="1035">
        <v>187.67</v>
      </c>
    </row>
    <row r="881" spans="1:2">
      <c r="A881" s="1034" t="s">
        <v>1523</v>
      </c>
      <c r="B881" s="1035">
        <v>107.33</v>
      </c>
    </row>
    <row r="882" spans="1:2">
      <c r="A882" s="1034" t="s">
        <v>2626</v>
      </c>
      <c r="B882" s="1035">
        <v>176.83</v>
      </c>
    </row>
    <row r="883" spans="1:2">
      <c r="A883" s="1034" t="s">
        <v>2628</v>
      </c>
      <c r="B883" s="1035">
        <v>558.5</v>
      </c>
    </row>
    <row r="884" spans="1:2">
      <c r="A884" s="1034" t="s">
        <v>241</v>
      </c>
      <c r="B884" s="1035">
        <v>4510.5</v>
      </c>
    </row>
    <row r="885" spans="1:2">
      <c r="A885" s="1034" t="s">
        <v>248</v>
      </c>
      <c r="B885" s="1035">
        <v>315.17</v>
      </c>
    </row>
    <row r="886" spans="1:2">
      <c r="A886" s="1034" t="s">
        <v>5084</v>
      </c>
      <c r="B886" s="1035">
        <v>245</v>
      </c>
    </row>
    <row r="887" spans="1:2">
      <c r="A887" s="1034" t="s">
        <v>2534</v>
      </c>
      <c r="B887" s="1035">
        <v>495.5</v>
      </c>
    </row>
    <row r="888" spans="1:2">
      <c r="A888" s="1034" t="s">
        <v>5086</v>
      </c>
      <c r="B888" s="1035">
        <v>281.5</v>
      </c>
    </row>
    <row r="889" spans="1:2">
      <c r="A889" s="1034" t="s">
        <v>2768</v>
      </c>
      <c r="B889" s="1035">
        <v>630</v>
      </c>
    </row>
    <row r="890" spans="1:2">
      <c r="A890" s="1034" t="s">
        <v>5088</v>
      </c>
      <c r="B890" s="1035">
        <v>236.83</v>
      </c>
    </row>
    <row r="891" spans="1:2">
      <c r="A891" s="1034" t="s">
        <v>6181</v>
      </c>
      <c r="B891" s="1035">
        <v>855</v>
      </c>
    </row>
    <row r="892" spans="1:2">
      <c r="A892" s="1034" t="s">
        <v>1848</v>
      </c>
      <c r="B892" s="1035">
        <v>344.5</v>
      </c>
    </row>
    <row r="893" spans="1:2">
      <c r="A893" s="1034" t="s">
        <v>2471</v>
      </c>
      <c r="B893" s="1035">
        <v>293.67</v>
      </c>
    </row>
    <row r="894" spans="1:2">
      <c r="A894" s="1034" t="s">
        <v>6044</v>
      </c>
      <c r="B894" s="1035">
        <v>1576.5</v>
      </c>
    </row>
    <row r="895" spans="1:2">
      <c r="A895" s="1034" t="s">
        <v>6046</v>
      </c>
      <c r="B895" s="1035">
        <v>60.5</v>
      </c>
    </row>
    <row r="896" spans="1:2">
      <c r="A896" s="1034" t="s">
        <v>4185</v>
      </c>
      <c r="B896" s="1035">
        <v>83.17</v>
      </c>
    </row>
    <row r="897" spans="1:2">
      <c r="A897" s="1034" t="s">
        <v>1167</v>
      </c>
      <c r="B897" s="1035">
        <v>166</v>
      </c>
    </row>
    <row r="898" spans="1:2">
      <c r="A898" s="1034" t="s">
        <v>1175</v>
      </c>
      <c r="B898" s="1035">
        <v>22</v>
      </c>
    </row>
    <row r="899" spans="1:2">
      <c r="A899" s="1034" t="s">
        <v>178</v>
      </c>
      <c r="B899" s="1035">
        <v>7.5</v>
      </c>
    </row>
    <row r="900" spans="1:2">
      <c r="A900" s="1034" t="s">
        <v>6689</v>
      </c>
      <c r="B900" s="1035">
        <v>258.67</v>
      </c>
    </row>
    <row r="901" spans="1:2">
      <c r="A901" s="1034" t="s">
        <v>6691</v>
      </c>
      <c r="B901" s="1035">
        <v>889.83</v>
      </c>
    </row>
    <row r="902" spans="1:2">
      <c r="A902" s="1034" t="s">
        <v>6693</v>
      </c>
      <c r="B902" s="1035">
        <v>1753</v>
      </c>
    </row>
    <row r="903" spans="1:2">
      <c r="A903" s="1034" t="s">
        <v>240</v>
      </c>
      <c r="B903" s="1035">
        <v>27498.67</v>
      </c>
    </row>
    <row r="904" spans="1:2">
      <c r="A904" s="1034" t="s">
        <v>6695</v>
      </c>
      <c r="B904" s="1035">
        <v>211.33</v>
      </c>
    </row>
    <row r="905" spans="1:2">
      <c r="A905" s="1034" t="s">
        <v>745</v>
      </c>
      <c r="B905" s="1035">
        <v>87.83</v>
      </c>
    </row>
    <row r="906" spans="1:2">
      <c r="A906" s="1034" t="s">
        <v>747</v>
      </c>
      <c r="B906" s="1035">
        <v>197.83</v>
      </c>
    </row>
    <row r="907" spans="1:2">
      <c r="A907" s="1034" t="s">
        <v>2308</v>
      </c>
      <c r="B907" s="1035">
        <v>2870.83</v>
      </c>
    </row>
    <row r="908" spans="1:2">
      <c r="A908" s="1034" t="s">
        <v>749</v>
      </c>
      <c r="B908" s="1035">
        <v>2161.17</v>
      </c>
    </row>
    <row r="909" spans="1:2">
      <c r="A909" s="1034" t="s">
        <v>2953</v>
      </c>
      <c r="B909" s="1035">
        <v>658.67</v>
      </c>
    </row>
    <row r="910" spans="1:2">
      <c r="A910" s="1034" t="s">
        <v>2955</v>
      </c>
      <c r="B910" s="1035">
        <v>2608</v>
      </c>
    </row>
    <row r="911" spans="1:2">
      <c r="A911" s="1034" t="s">
        <v>2957</v>
      </c>
      <c r="B911" s="1035">
        <v>1744.07</v>
      </c>
    </row>
    <row r="912" spans="1:2">
      <c r="A912" s="1034" t="s">
        <v>1176</v>
      </c>
      <c r="B912" s="1035">
        <v>0</v>
      </c>
    </row>
    <row r="913" spans="1:2">
      <c r="A913" s="1034" t="s">
        <v>5123</v>
      </c>
      <c r="B913" s="1035">
        <v>1380.33</v>
      </c>
    </row>
    <row r="914" spans="1:2">
      <c r="A914" s="1034" t="s">
        <v>7156</v>
      </c>
      <c r="B914" s="1035">
        <v>240</v>
      </c>
    </row>
    <row r="915" spans="1:2">
      <c r="A915" s="1034" t="s">
        <v>4119</v>
      </c>
      <c r="B915" s="1035">
        <v>109.83</v>
      </c>
    </row>
    <row r="916" spans="1:2">
      <c r="A916" s="1034" t="s">
        <v>4121</v>
      </c>
      <c r="B916" s="1035">
        <v>87.17</v>
      </c>
    </row>
    <row r="917" spans="1:2">
      <c r="A917" s="1034" t="s">
        <v>4123</v>
      </c>
      <c r="B917" s="1035">
        <v>34</v>
      </c>
    </row>
    <row r="918" spans="1:2">
      <c r="A918" s="1034" t="s">
        <v>5032</v>
      </c>
      <c r="B918" s="1035">
        <v>1091.83</v>
      </c>
    </row>
    <row r="919" spans="1:2">
      <c r="A919" s="1034" t="s">
        <v>4125</v>
      </c>
      <c r="B919" s="1035">
        <v>696.83</v>
      </c>
    </row>
    <row r="920" spans="1:2">
      <c r="A920" s="1034" t="s">
        <v>4127</v>
      </c>
      <c r="B920" s="1035">
        <v>2115.33</v>
      </c>
    </row>
    <row r="921" spans="1:2">
      <c r="A921" s="1034" t="s">
        <v>5033</v>
      </c>
      <c r="B921" s="1035">
        <v>2782.67</v>
      </c>
    </row>
    <row r="922" spans="1:2">
      <c r="A922" s="1034" t="s">
        <v>4129</v>
      </c>
      <c r="B922" s="1035">
        <v>1364.83</v>
      </c>
    </row>
    <row r="923" spans="1:2">
      <c r="A923" s="1034" t="s">
        <v>1179</v>
      </c>
      <c r="B923" s="1035">
        <v>0</v>
      </c>
    </row>
    <row r="924" spans="1:2">
      <c r="A924" s="1034" t="s">
        <v>4131</v>
      </c>
      <c r="B924" s="1035">
        <v>73.33</v>
      </c>
    </row>
    <row r="925" spans="1:2">
      <c r="A925" s="1034" t="s">
        <v>4133</v>
      </c>
      <c r="B925" s="1035">
        <v>180.67</v>
      </c>
    </row>
    <row r="926" spans="1:2">
      <c r="A926" s="1034" t="s">
        <v>6175</v>
      </c>
      <c r="B926" s="1035">
        <v>2315.17</v>
      </c>
    </row>
    <row r="927" spans="1:2">
      <c r="A927" s="1034" t="s">
        <v>4135</v>
      </c>
      <c r="B927" s="1035">
        <v>225.17</v>
      </c>
    </row>
    <row r="928" spans="1:2">
      <c r="A928" s="1034" t="s">
        <v>4137</v>
      </c>
      <c r="B928" s="1035">
        <v>104.83</v>
      </c>
    </row>
    <row r="929" spans="1:2">
      <c r="A929" s="1034" t="s">
        <v>4139</v>
      </c>
      <c r="B929" s="1035">
        <v>76</v>
      </c>
    </row>
    <row r="930" spans="1:2">
      <c r="A930" s="1034" t="s">
        <v>1181</v>
      </c>
      <c r="B930" s="1035">
        <v>54.5</v>
      </c>
    </row>
    <row r="931" spans="1:2">
      <c r="A931" s="1034" t="s">
        <v>4141</v>
      </c>
      <c r="B931" s="1035">
        <v>247.33</v>
      </c>
    </row>
    <row r="932" spans="1:2">
      <c r="A932" s="1034" t="s">
        <v>4143</v>
      </c>
      <c r="B932" s="1035">
        <v>1449.5</v>
      </c>
    </row>
    <row r="933" spans="1:2">
      <c r="A933" s="1034" t="s">
        <v>1318</v>
      </c>
      <c r="B933" s="1035">
        <v>266.83</v>
      </c>
    </row>
    <row r="934" spans="1:2">
      <c r="A934" s="1034" t="s">
        <v>179</v>
      </c>
      <c r="B934" s="1035">
        <v>47</v>
      </c>
    </row>
    <row r="935" spans="1:2">
      <c r="A935" s="1034" t="s">
        <v>2536</v>
      </c>
      <c r="B935" s="1035">
        <v>324.5</v>
      </c>
    </row>
    <row r="936" spans="1:2">
      <c r="A936" s="1034" t="s">
        <v>2407</v>
      </c>
      <c r="B936" s="1035">
        <v>1931.33</v>
      </c>
    </row>
    <row r="937" spans="1:2">
      <c r="A937" s="1034" t="s">
        <v>5034</v>
      </c>
      <c r="B937" s="1035">
        <v>3510.33</v>
      </c>
    </row>
    <row r="938" spans="1:2">
      <c r="A938" s="1034" t="s">
        <v>6174</v>
      </c>
      <c r="B938" s="1035">
        <v>400.33</v>
      </c>
    </row>
    <row r="939" spans="1:2">
      <c r="A939" s="1034" t="s">
        <v>4145</v>
      </c>
      <c r="B939" s="1035">
        <v>704.83</v>
      </c>
    </row>
    <row r="940" spans="1:2">
      <c r="A940" s="1034" t="s">
        <v>6196</v>
      </c>
      <c r="B940" s="1035">
        <v>395.17</v>
      </c>
    </row>
    <row r="941" spans="1:2">
      <c r="A941" s="1034" t="s">
        <v>6131</v>
      </c>
      <c r="B941" s="1035">
        <v>141.66999999999999</v>
      </c>
    </row>
    <row r="942" spans="1:2">
      <c r="A942" s="1034" t="s">
        <v>254</v>
      </c>
      <c r="B942" s="1035">
        <v>108.5</v>
      </c>
    </row>
    <row r="943" spans="1:2">
      <c r="A943" s="1034" t="s">
        <v>256</v>
      </c>
      <c r="B943" s="1035">
        <v>435.67</v>
      </c>
    </row>
    <row r="944" spans="1:2">
      <c r="A944" s="1034" t="s">
        <v>258</v>
      </c>
      <c r="B944" s="1035">
        <v>360.83</v>
      </c>
    </row>
    <row r="945" spans="1:2">
      <c r="A945" s="1034" t="s">
        <v>260</v>
      </c>
      <c r="B945" s="1035">
        <v>918.33</v>
      </c>
    </row>
    <row r="946" spans="1:2">
      <c r="A946" s="1034" t="s">
        <v>262</v>
      </c>
      <c r="B946" s="1035">
        <v>146.33000000000001</v>
      </c>
    </row>
    <row r="947" spans="1:2">
      <c r="A947" s="1034" t="s">
        <v>872</v>
      </c>
      <c r="B947" s="1035">
        <v>112.83</v>
      </c>
    </row>
    <row r="948" spans="1:2">
      <c r="A948" s="1034" t="s">
        <v>874</v>
      </c>
      <c r="B948" s="1035">
        <v>1613.17</v>
      </c>
    </row>
    <row r="949" spans="1:2">
      <c r="A949" s="1034" t="s">
        <v>876</v>
      </c>
      <c r="B949" s="1035">
        <v>271.67</v>
      </c>
    </row>
    <row r="950" spans="1:2">
      <c r="A950" s="1034" t="s">
        <v>3040</v>
      </c>
      <c r="B950" s="1035">
        <v>263.67</v>
      </c>
    </row>
    <row r="951" spans="1:2">
      <c r="A951" s="1034" t="s">
        <v>3042</v>
      </c>
      <c r="B951" s="1035">
        <v>249.67</v>
      </c>
    </row>
    <row r="952" spans="1:2">
      <c r="A952" s="1034" t="s">
        <v>709</v>
      </c>
      <c r="B952" s="1035">
        <v>752.33</v>
      </c>
    </row>
    <row r="953" spans="1:2">
      <c r="A953" s="1034" t="s">
        <v>3044</v>
      </c>
      <c r="B953" s="1035">
        <v>136.66999999999999</v>
      </c>
    </row>
    <row r="954" spans="1:2">
      <c r="A954" s="1034" t="s">
        <v>2992</v>
      </c>
      <c r="B954" s="1035">
        <v>2843.67</v>
      </c>
    </row>
    <row r="955" spans="1:2">
      <c r="A955" s="1034" t="s">
        <v>3046</v>
      </c>
      <c r="B955" s="1035">
        <v>691.17</v>
      </c>
    </row>
    <row r="956" spans="1:2">
      <c r="A956" s="1034" t="s">
        <v>264</v>
      </c>
      <c r="B956" s="1035">
        <v>23279</v>
      </c>
    </row>
    <row r="957" spans="1:2">
      <c r="A957" s="1034" t="s">
        <v>2306</v>
      </c>
      <c r="B957" s="1035">
        <v>836</v>
      </c>
    </row>
    <row r="958" spans="1:2">
      <c r="A958" s="1034" t="s">
        <v>3048</v>
      </c>
      <c r="B958" s="1035">
        <v>530</v>
      </c>
    </row>
    <row r="959" spans="1:2">
      <c r="A959" s="1034" t="s">
        <v>3049</v>
      </c>
      <c r="B959" s="1035">
        <v>376.67</v>
      </c>
    </row>
    <row r="960" spans="1:2">
      <c r="A960" s="1034" t="s">
        <v>1185</v>
      </c>
      <c r="B960" s="1035">
        <v>0</v>
      </c>
    </row>
    <row r="961" spans="1:2">
      <c r="A961" s="1034" t="s">
        <v>5035</v>
      </c>
      <c r="B961" s="1035">
        <v>260.83</v>
      </c>
    </row>
    <row r="962" spans="1:2">
      <c r="A962" s="1034" t="s">
        <v>5131</v>
      </c>
      <c r="B962" s="1035">
        <v>1300.67</v>
      </c>
    </row>
    <row r="963" spans="1:2">
      <c r="A963" s="1034" t="s">
        <v>5231</v>
      </c>
      <c r="B963" s="1035">
        <v>1008.67</v>
      </c>
    </row>
    <row r="964" spans="1:2">
      <c r="A964" s="1034" t="s">
        <v>3109</v>
      </c>
      <c r="B964" s="1035">
        <v>2788.67</v>
      </c>
    </row>
    <row r="965" spans="1:2">
      <c r="A965" s="1034" t="s">
        <v>3111</v>
      </c>
      <c r="B965" s="1035">
        <v>436.33</v>
      </c>
    </row>
    <row r="966" spans="1:2">
      <c r="A966" s="1034" t="s">
        <v>1187</v>
      </c>
      <c r="B966" s="1035">
        <v>231.17</v>
      </c>
    </row>
    <row r="967" spans="1:2">
      <c r="A967" s="1034" t="s">
        <v>3113</v>
      </c>
      <c r="B967" s="1035">
        <v>159.16999999999999</v>
      </c>
    </row>
    <row r="968" spans="1:2">
      <c r="A968" s="1034" t="s">
        <v>975</v>
      </c>
      <c r="B968" s="1035">
        <v>205.17</v>
      </c>
    </row>
    <row r="969" spans="1:2">
      <c r="A969" s="1034" t="s">
        <v>2771</v>
      </c>
      <c r="B969" s="1035">
        <v>400.5</v>
      </c>
    </row>
    <row r="970" spans="1:2">
      <c r="A970" s="1034" t="s">
        <v>2821</v>
      </c>
      <c r="B970" s="1035">
        <v>606.16999999999996</v>
      </c>
    </row>
    <row r="971" spans="1:2">
      <c r="A971" s="1034" t="s">
        <v>4589</v>
      </c>
      <c r="B971" s="1035">
        <v>359.83</v>
      </c>
    </row>
    <row r="972" spans="1:2">
      <c r="A972" s="1034" t="s">
        <v>2572</v>
      </c>
      <c r="B972" s="1035">
        <v>1490.33</v>
      </c>
    </row>
    <row r="973" spans="1:2">
      <c r="A973" s="1034" t="s">
        <v>1507</v>
      </c>
      <c r="B973" s="1035">
        <v>128</v>
      </c>
    </row>
    <row r="974" spans="1:2">
      <c r="A974" s="1034" t="s">
        <v>2574</v>
      </c>
      <c r="B974" s="1035">
        <v>71.5</v>
      </c>
    </row>
    <row r="975" spans="1:2">
      <c r="A975" s="1034" t="s">
        <v>2576</v>
      </c>
      <c r="B975" s="1035">
        <v>293.33</v>
      </c>
    </row>
    <row r="976" spans="1:2">
      <c r="A976" s="1034" t="s">
        <v>2578</v>
      </c>
      <c r="B976" s="1035">
        <v>489</v>
      </c>
    </row>
    <row r="977" spans="1:2">
      <c r="A977" s="1034" t="s">
        <v>158</v>
      </c>
      <c r="B977" s="1035">
        <v>46.5</v>
      </c>
    </row>
    <row r="978" spans="1:2">
      <c r="A978" s="1034" t="s">
        <v>5211</v>
      </c>
      <c r="B978" s="1035">
        <v>221</v>
      </c>
    </row>
    <row r="979" spans="1:2">
      <c r="A979" s="1034" t="s">
        <v>5213</v>
      </c>
      <c r="B979" s="1035">
        <v>166</v>
      </c>
    </row>
    <row r="980" spans="1:2">
      <c r="A980" s="1034" t="s">
        <v>5215</v>
      </c>
      <c r="B980" s="1035">
        <v>458.5</v>
      </c>
    </row>
    <row r="981" spans="1:2">
      <c r="A981" s="1034" t="s">
        <v>5217</v>
      </c>
      <c r="B981" s="1035">
        <v>891</v>
      </c>
    </row>
    <row r="982" spans="1:2">
      <c r="A982" s="1034" t="s">
        <v>5219</v>
      </c>
      <c r="B982" s="1035">
        <v>482</v>
      </c>
    </row>
    <row r="983" spans="1:2">
      <c r="A983" s="1034" t="s">
        <v>2125</v>
      </c>
      <c r="B983" s="1035">
        <v>4018.5</v>
      </c>
    </row>
    <row r="984" spans="1:2">
      <c r="A984" s="1034" t="s">
        <v>870</v>
      </c>
      <c r="B984" s="1035">
        <v>2011</v>
      </c>
    </row>
    <row r="985" spans="1:2">
      <c r="A985" s="1034" t="s">
        <v>5615</v>
      </c>
      <c r="B985" s="1035">
        <v>613.16999999999996</v>
      </c>
    </row>
    <row r="986" spans="1:2">
      <c r="A986" s="1034" t="s">
        <v>4590</v>
      </c>
      <c r="B986" s="1035">
        <v>149.16999999999999</v>
      </c>
    </row>
    <row r="987" spans="1:2">
      <c r="A987" s="1034" t="s">
        <v>860</v>
      </c>
      <c r="B987" s="1035">
        <v>465.17</v>
      </c>
    </row>
    <row r="988" spans="1:2">
      <c r="A988" s="1034" t="s">
        <v>4591</v>
      </c>
      <c r="B988" s="1035">
        <v>58.5</v>
      </c>
    </row>
    <row r="989" spans="1:2">
      <c r="A989" s="1034" t="s">
        <v>5617</v>
      </c>
      <c r="B989" s="1035">
        <v>2212.5</v>
      </c>
    </row>
    <row r="990" spans="1:2">
      <c r="A990" s="1034" t="s">
        <v>3150</v>
      </c>
      <c r="B990" s="1035">
        <v>169.33</v>
      </c>
    </row>
    <row r="991" spans="1:2">
      <c r="A991" s="1034" t="s">
        <v>3152</v>
      </c>
      <c r="B991" s="1035">
        <v>209.17</v>
      </c>
    </row>
    <row r="992" spans="1:2">
      <c r="A992" s="1034" t="s">
        <v>1949</v>
      </c>
      <c r="B992" s="1035">
        <v>212.5</v>
      </c>
    </row>
    <row r="993" spans="1:2">
      <c r="A993" s="1034" t="s">
        <v>1951</v>
      </c>
      <c r="B993" s="1035">
        <v>292</v>
      </c>
    </row>
    <row r="994" spans="1:2">
      <c r="A994" s="1034" t="s">
        <v>3154</v>
      </c>
      <c r="B994" s="1035">
        <v>992.83</v>
      </c>
    </row>
    <row r="995" spans="1:2">
      <c r="A995" s="1034" t="s">
        <v>3883</v>
      </c>
      <c r="B995" s="1035">
        <v>507.33</v>
      </c>
    </row>
    <row r="996" spans="1:2">
      <c r="A996" s="1034" t="s">
        <v>3156</v>
      </c>
      <c r="B996" s="1035">
        <v>781.33</v>
      </c>
    </row>
    <row r="997" spans="1:2">
      <c r="A997" s="1034" t="s">
        <v>3158</v>
      </c>
      <c r="B997" s="1035">
        <v>572.66999999999996</v>
      </c>
    </row>
    <row r="998" spans="1:2">
      <c r="A998" s="1034" t="s">
        <v>3160</v>
      </c>
      <c r="B998" s="1035">
        <v>532.83000000000004</v>
      </c>
    </row>
    <row r="999" spans="1:2">
      <c r="A999" s="1034" t="s">
        <v>3162</v>
      </c>
      <c r="B999" s="1035">
        <v>766</v>
      </c>
    </row>
    <row r="1000" spans="1:2">
      <c r="A1000" s="1034" t="s">
        <v>569</v>
      </c>
      <c r="B1000" s="1035">
        <v>283</v>
      </c>
    </row>
    <row r="1001" spans="1:2">
      <c r="A1001" s="1034" t="s">
        <v>571</v>
      </c>
      <c r="B1001" s="1035">
        <v>989.33</v>
      </c>
    </row>
    <row r="1002" spans="1:2">
      <c r="A1002" s="1034" t="s">
        <v>3181</v>
      </c>
      <c r="B1002" s="1035">
        <v>1383.5</v>
      </c>
    </row>
    <row r="1003" spans="1:2">
      <c r="A1003" s="1034" t="s">
        <v>2071</v>
      </c>
      <c r="B1003" s="1035">
        <v>1362.83</v>
      </c>
    </row>
    <row r="1004" spans="1:2">
      <c r="A1004" s="1034" t="s">
        <v>3183</v>
      </c>
      <c r="B1004" s="1035">
        <v>2074.17</v>
      </c>
    </row>
    <row r="1005" spans="1:2">
      <c r="A1005" s="1034" t="s">
        <v>924</v>
      </c>
      <c r="B1005" s="1035">
        <v>1288.67</v>
      </c>
    </row>
    <row r="1006" spans="1:2">
      <c r="A1006" s="1034" t="s">
        <v>6165</v>
      </c>
      <c r="B1006" s="1035">
        <v>1599.14</v>
      </c>
    </row>
    <row r="1007" spans="1:2">
      <c r="A1007" s="1034" t="s">
        <v>6187</v>
      </c>
      <c r="B1007" s="1035">
        <v>758.17</v>
      </c>
    </row>
    <row r="1008" spans="1:2">
      <c r="A1008" s="1034" t="s">
        <v>1837</v>
      </c>
      <c r="B1008" s="1035">
        <v>1594</v>
      </c>
    </row>
    <row r="1009" spans="1:2">
      <c r="A1009" s="1034" t="s">
        <v>3884</v>
      </c>
      <c r="B1009" s="1035">
        <v>912.67</v>
      </c>
    </row>
    <row r="1010" spans="1:2">
      <c r="A1010" s="1034" t="s">
        <v>2390</v>
      </c>
      <c r="B1010" s="1035">
        <v>480</v>
      </c>
    </row>
    <row r="1011" spans="1:2">
      <c r="A1011" s="1034" t="s">
        <v>926</v>
      </c>
      <c r="B1011" s="1035">
        <v>74</v>
      </c>
    </row>
    <row r="1012" spans="1:2">
      <c r="A1012" s="1034" t="s">
        <v>928</v>
      </c>
      <c r="B1012" s="1035">
        <v>78</v>
      </c>
    </row>
    <row r="1013" spans="1:2">
      <c r="A1013" s="1034" t="s">
        <v>930</v>
      </c>
      <c r="B1013" s="1035">
        <v>292.67</v>
      </c>
    </row>
    <row r="1014" spans="1:2">
      <c r="A1014" s="1034" t="s">
        <v>932</v>
      </c>
      <c r="B1014" s="1035">
        <v>107.17</v>
      </c>
    </row>
    <row r="1015" spans="1:2">
      <c r="A1015" s="1034" t="s">
        <v>934</v>
      </c>
      <c r="B1015" s="1035">
        <v>1588.67</v>
      </c>
    </row>
    <row r="1016" spans="1:2">
      <c r="A1016" s="1034" t="s">
        <v>936</v>
      </c>
      <c r="B1016" s="1035">
        <v>80</v>
      </c>
    </row>
    <row r="1017" spans="1:2">
      <c r="A1017" s="1034" t="s">
        <v>5145</v>
      </c>
      <c r="B1017" s="1035">
        <v>203</v>
      </c>
    </row>
    <row r="1018" spans="1:2">
      <c r="A1018" s="1034" t="s">
        <v>2950</v>
      </c>
      <c r="B1018" s="1035">
        <v>93.5</v>
      </c>
    </row>
    <row r="1019" spans="1:2">
      <c r="A1019" s="1034" t="s">
        <v>2952</v>
      </c>
      <c r="B1019" s="1035">
        <v>2169.83</v>
      </c>
    </row>
    <row r="1020" spans="1:2">
      <c r="A1020" s="1034" t="s">
        <v>2526</v>
      </c>
      <c r="B1020" s="1035">
        <v>463.17</v>
      </c>
    </row>
    <row r="1021" spans="1:2">
      <c r="A1021" s="1034" t="s">
        <v>3885</v>
      </c>
      <c r="B1021" s="1035">
        <v>580.33000000000004</v>
      </c>
    </row>
    <row r="1022" spans="1:2">
      <c r="A1022" s="1034" t="s">
        <v>2528</v>
      </c>
      <c r="B1022" s="1035">
        <v>522.5</v>
      </c>
    </row>
    <row r="1023" spans="1:2">
      <c r="A1023" s="1034" t="s">
        <v>2530</v>
      </c>
      <c r="B1023" s="1035">
        <v>496.33</v>
      </c>
    </row>
    <row r="1024" spans="1:2">
      <c r="A1024" s="1034" t="s">
        <v>2532</v>
      </c>
      <c r="B1024" s="1035">
        <v>60.5</v>
      </c>
    </row>
    <row r="1025" spans="1:2">
      <c r="A1025" s="1034" t="s">
        <v>2316</v>
      </c>
      <c r="B1025" s="1035">
        <v>113</v>
      </c>
    </row>
    <row r="1026" spans="1:2">
      <c r="A1026" s="1034" t="s">
        <v>5105</v>
      </c>
      <c r="B1026" s="1035">
        <v>367.5</v>
      </c>
    </row>
    <row r="1027" spans="1:2">
      <c r="A1027" s="1034" t="s">
        <v>1191</v>
      </c>
      <c r="B1027" s="1035">
        <v>406.83</v>
      </c>
    </row>
    <row r="1028" spans="1:2">
      <c r="A1028" s="1034" t="s">
        <v>8152</v>
      </c>
      <c r="B1028" s="1035">
        <v>124.83</v>
      </c>
    </row>
    <row r="1029" spans="1:2">
      <c r="A1029" s="1034" t="s">
        <v>5036</v>
      </c>
      <c r="B1029" s="1035">
        <v>465.33</v>
      </c>
    </row>
    <row r="1030" spans="1:2">
      <c r="A1030" s="1034" t="s">
        <v>2430</v>
      </c>
      <c r="B1030" s="1035">
        <v>897.33</v>
      </c>
    </row>
    <row r="1031" spans="1:2">
      <c r="A1031" s="1034" t="s">
        <v>2432</v>
      </c>
      <c r="B1031" s="1035">
        <v>1774.67</v>
      </c>
    </row>
    <row r="1032" spans="1:2">
      <c r="A1032" s="1034" t="s">
        <v>5339</v>
      </c>
      <c r="B1032" s="1035">
        <v>610.66999999999996</v>
      </c>
    </row>
    <row r="1033" spans="1:2">
      <c r="A1033" s="1034" t="s">
        <v>5341</v>
      </c>
      <c r="B1033" s="1035">
        <v>13409.83</v>
      </c>
    </row>
    <row r="1034" spans="1:2">
      <c r="A1034" s="1034" t="s">
        <v>858</v>
      </c>
      <c r="B1034" s="1035">
        <v>1928.5</v>
      </c>
    </row>
    <row r="1035" spans="1:2">
      <c r="A1035" s="1034" t="s">
        <v>5343</v>
      </c>
      <c r="B1035" s="1035">
        <v>2625.67</v>
      </c>
    </row>
    <row r="1036" spans="1:2">
      <c r="A1036" s="1034" t="s">
        <v>5344</v>
      </c>
      <c r="B1036" s="1035">
        <v>684.33</v>
      </c>
    </row>
    <row r="1037" spans="1:2">
      <c r="A1037" s="1034" t="s">
        <v>3382</v>
      </c>
      <c r="B1037" s="1035">
        <v>131.83000000000001</v>
      </c>
    </row>
    <row r="1038" spans="1:2">
      <c r="A1038" s="1034" t="s">
        <v>5346</v>
      </c>
      <c r="B1038" s="1035">
        <v>757.33</v>
      </c>
    </row>
    <row r="1039" spans="1:2">
      <c r="A1039" s="1034" t="s">
        <v>2770</v>
      </c>
      <c r="B1039" s="1035">
        <v>10939.33</v>
      </c>
    </row>
    <row r="1040" spans="1:2">
      <c r="A1040" s="1034" t="s">
        <v>5348</v>
      </c>
      <c r="B1040" s="1035">
        <v>210.17</v>
      </c>
    </row>
    <row r="1041" spans="1:2">
      <c r="A1041" s="1034" t="s">
        <v>3886</v>
      </c>
      <c r="B1041" s="1035">
        <v>6455.17</v>
      </c>
    </row>
    <row r="1042" spans="1:2">
      <c r="A1042" s="1034" t="s">
        <v>5350</v>
      </c>
      <c r="B1042" s="1035">
        <v>965.17</v>
      </c>
    </row>
    <row r="1043" spans="1:2">
      <c r="A1043" s="1034" t="s">
        <v>3139</v>
      </c>
      <c r="B1043" s="1035">
        <v>123.33</v>
      </c>
    </row>
    <row r="1044" spans="1:2">
      <c r="A1044" s="1034" t="s">
        <v>1530</v>
      </c>
      <c r="B1044" s="1035">
        <v>143</v>
      </c>
    </row>
    <row r="1045" spans="1:2">
      <c r="A1045" s="1034" t="s">
        <v>1532</v>
      </c>
      <c r="B1045" s="1035">
        <v>479.83</v>
      </c>
    </row>
    <row r="1046" spans="1:2">
      <c r="A1046" s="1034" t="s">
        <v>624</v>
      </c>
      <c r="B1046" s="1035">
        <v>121.17</v>
      </c>
    </row>
    <row r="1047" spans="1:2">
      <c r="A1047" s="1034" t="s">
        <v>626</v>
      </c>
      <c r="B1047" s="1035">
        <v>887.17</v>
      </c>
    </row>
    <row r="1048" spans="1:2">
      <c r="A1048" s="1034" t="s">
        <v>628</v>
      </c>
      <c r="B1048" s="1035">
        <v>182.83</v>
      </c>
    </row>
    <row r="1049" spans="1:2">
      <c r="A1049" s="1034" t="s">
        <v>630</v>
      </c>
      <c r="B1049" s="1035">
        <v>0</v>
      </c>
    </row>
    <row r="1050" spans="1:2">
      <c r="A1050" s="1034" t="s">
        <v>3184</v>
      </c>
      <c r="B1050" s="1035">
        <v>274.33</v>
      </c>
    </row>
    <row r="1051" spans="1:2">
      <c r="A1051" s="1034" t="s">
        <v>3394</v>
      </c>
      <c r="B1051" s="1035">
        <v>78.5</v>
      </c>
    </row>
    <row r="1052" spans="1:2">
      <c r="A1052" s="1034" t="s">
        <v>3396</v>
      </c>
      <c r="B1052" s="1035">
        <v>0</v>
      </c>
    </row>
    <row r="1053" spans="1:2">
      <c r="A1053" s="1034" t="s">
        <v>3398</v>
      </c>
      <c r="B1053" s="1035">
        <v>391</v>
      </c>
    </row>
    <row r="1054" spans="1:2">
      <c r="A1054" s="1034" t="s">
        <v>181</v>
      </c>
      <c r="B1054" s="1035">
        <v>0</v>
      </c>
    </row>
    <row r="1055" spans="1:2">
      <c r="A1055" s="1034" t="s">
        <v>7801</v>
      </c>
      <c r="B1055" s="1035">
        <v>325.83</v>
      </c>
    </row>
    <row r="1056" spans="1:2">
      <c r="A1056" s="1034" t="s">
        <v>8153</v>
      </c>
      <c r="B1056" s="1035">
        <v>422.83</v>
      </c>
    </row>
    <row r="1057" spans="1:2">
      <c r="A1057" s="1034" t="s">
        <v>8154</v>
      </c>
      <c r="B1057" s="1035">
        <v>130</v>
      </c>
    </row>
    <row r="1058" spans="1:2">
      <c r="A1058" s="1034" t="s">
        <v>269</v>
      </c>
      <c r="B1058" s="1035">
        <v>44445.67</v>
      </c>
    </row>
    <row r="1059" spans="1:2">
      <c r="A1059" s="1034" t="s">
        <v>951</v>
      </c>
      <c r="B1059" s="1035">
        <v>14398.83</v>
      </c>
    </row>
    <row r="1060" spans="1:2">
      <c r="A1060" s="1034" t="s">
        <v>409</v>
      </c>
      <c r="B1060" s="1035">
        <v>4835.8500000000004</v>
      </c>
    </row>
    <row r="1061" spans="1:2">
      <c r="A1061" s="1034" t="s">
        <v>3996</v>
      </c>
      <c r="B1061" s="1035">
        <v>75443</v>
      </c>
    </row>
    <row r="1062" spans="1:2">
      <c r="A1062" s="1034" t="s">
        <v>3998</v>
      </c>
      <c r="B1062" s="1035">
        <v>3228</v>
      </c>
    </row>
    <row r="1063" spans="1:2">
      <c r="A1063" s="1034" t="s">
        <v>6030</v>
      </c>
      <c r="B1063" s="1035">
        <v>8734.83</v>
      </c>
    </row>
    <row r="1064" spans="1:2">
      <c r="A1064" s="1034" t="s">
        <v>3002</v>
      </c>
      <c r="B1064" s="1035">
        <v>13710.5</v>
      </c>
    </row>
    <row r="1065" spans="1:2">
      <c r="A1065" s="1034" t="s">
        <v>2986</v>
      </c>
      <c r="B1065" s="1035">
        <v>2625</v>
      </c>
    </row>
    <row r="1066" spans="1:2">
      <c r="A1066" s="1034" t="s">
        <v>246</v>
      </c>
      <c r="B1066" s="1035">
        <v>10022.67</v>
      </c>
    </row>
    <row r="1067" spans="1:2">
      <c r="A1067" s="1034" t="s">
        <v>6032</v>
      </c>
      <c r="B1067" s="1035">
        <v>1303.33</v>
      </c>
    </row>
    <row r="1068" spans="1:2">
      <c r="A1068" s="1034" t="s">
        <v>946</v>
      </c>
      <c r="B1068" s="1035">
        <v>2969.5</v>
      </c>
    </row>
    <row r="1069" spans="1:2">
      <c r="A1069" s="1034" t="s">
        <v>1875</v>
      </c>
      <c r="B1069" s="1035">
        <v>12438.83</v>
      </c>
    </row>
    <row r="1070" spans="1:2">
      <c r="A1070" s="1034" t="s">
        <v>6682</v>
      </c>
      <c r="B1070" s="1035">
        <v>3429.67</v>
      </c>
    </row>
    <row r="1071" spans="1:2">
      <c r="A1071" s="1034" t="s">
        <v>4002</v>
      </c>
      <c r="B1071" s="1035">
        <v>8366.67</v>
      </c>
    </row>
    <row r="1072" spans="1:2">
      <c r="A1072" s="1034" t="s">
        <v>6681</v>
      </c>
      <c r="B1072" s="1035">
        <v>138</v>
      </c>
    </row>
    <row r="1073" spans="1:2">
      <c r="A1073" s="1034" t="s">
        <v>857</v>
      </c>
      <c r="B1073" s="1035">
        <v>3721.17</v>
      </c>
    </row>
    <row r="1074" spans="1:2">
      <c r="A1074" s="1034" t="s">
        <v>3402</v>
      </c>
      <c r="B1074" s="1035">
        <v>0</v>
      </c>
    </row>
    <row r="1075" spans="1:2">
      <c r="A1075" s="1034" t="s">
        <v>4004</v>
      </c>
      <c r="B1075" s="1035">
        <v>2276.17</v>
      </c>
    </row>
    <row r="1076" spans="1:2">
      <c r="A1076" s="1034" t="s">
        <v>4006</v>
      </c>
      <c r="B1076" s="1035">
        <v>11304</v>
      </c>
    </row>
    <row r="1077" spans="1:2">
      <c r="A1077" s="1034" t="s">
        <v>4008</v>
      </c>
      <c r="B1077" s="1035">
        <v>663.67</v>
      </c>
    </row>
    <row r="1078" spans="1:2">
      <c r="A1078" s="1034" t="s">
        <v>4010</v>
      </c>
      <c r="B1078" s="1035">
        <v>92.33</v>
      </c>
    </row>
    <row r="1079" spans="1:2">
      <c r="A1079" s="1034" t="s">
        <v>4012</v>
      </c>
      <c r="B1079" s="1035">
        <v>342</v>
      </c>
    </row>
    <row r="1080" spans="1:2">
      <c r="A1080" s="1034" t="s">
        <v>4014</v>
      </c>
      <c r="B1080" s="1035">
        <v>647</v>
      </c>
    </row>
    <row r="1081" spans="1:2">
      <c r="A1081" s="1034" t="s">
        <v>3405</v>
      </c>
      <c r="B1081" s="1035">
        <v>0</v>
      </c>
    </row>
    <row r="1082" spans="1:2">
      <c r="A1082" s="1034" t="s">
        <v>4015</v>
      </c>
      <c r="B1082" s="1035">
        <v>59.17</v>
      </c>
    </row>
    <row r="1083" spans="1:2">
      <c r="A1083" s="1034" t="s">
        <v>6120</v>
      </c>
      <c r="B1083" s="1035">
        <v>1551.67</v>
      </c>
    </row>
    <row r="1084" spans="1:2">
      <c r="A1084" s="1034" t="s">
        <v>6679</v>
      </c>
      <c r="B1084" s="1035">
        <v>245.17</v>
      </c>
    </row>
    <row r="1085" spans="1:2">
      <c r="A1085" s="1034" t="s">
        <v>6122</v>
      </c>
      <c r="B1085" s="1035">
        <v>159.5</v>
      </c>
    </row>
    <row r="1086" spans="1:2">
      <c r="A1086" s="1034" t="s">
        <v>1801</v>
      </c>
      <c r="B1086" s="1035">
        <v>94.67</v>
      </c>
    </row>
    <row r="1087" spans="1:2">
      <c r="A1087" s="1034" t="s">
        <v>1803</v>
      </c>
      <c r="B1087" s="1035">
        <v>86.33</v>
      </c>
    </row>
    <row r="1088" spans="1:2">
      <c r="A1088" s="1034" t="s">
        <v>1805</v>
      </c>
      <c r="B1088" s="1035">
        <v>4670.83</v>
      </c>
    </row>
    <row r="1089" spans="1:2">
      <c r="A1089" s="1034" t="s">
        <v>1807</v>
      </c>
      <c r="B1089" s="1035">
        <v>135</v>
      </c>
    </row>
    <row r="1090" spans="1:2">
      <c r="A1090" s="1034" t="s">
        <v>5037</v>
      </c>
      <c r="B1090" s="1035">
        <v>555.33000000000004</v>
      </c>
    </row>
    <row r="1091" spans="1:2">
      <c r="A1091" s="1034" t="s">
        <v>1809</v>
      </c>
      <c r="B1091" s="1035">
        <v>386.83</v>
      </c>
    </row>
    <row r="1092" spans="1:2">
      <c r="A1092" s="1034" t="s">
        <v>3407</v>
      </c>
      <c r="B1092" s="1035">
        <v>0</v>
      </c>
    </row>
    <row r="1093" spans="1:2">
      <c r="A1093" s="1034" t="s">
        <v>8015</v>
      </c>
      <c r="B1093" s="1035">
        <v>992.83</v>
      </c>
    </row>
    <row r="1094" spans="1:2">
      <c r="A1094" s="1034" t="s">
        <v>1697</v>
      </c>
      <c r="B1094" s="1035">
        <v>116</v>
      </c>
    </row>
    <row r="1095" spans="1:2">
      <c r="A1095" s="1034" t="s">
        <v>2385</v>
      </c>
      <c r="B1095" s="1035">
        <v>8938.5</v>
      </c>
    </row>
    <row r="1096" spans="1:2">
      <c r="A1096" s="1034" t="s">
        <v>1699</v>
      </c>
      <c r="B1096" s="1035">
        <v>157.16999999999999</v>
      </c>
    </row>
    <row r="1097" spans="1:2">
      <c r="A1097" s="1034" t="s">
        <v>3554</v>
      </c>
      <c r="B1097" s="1035">
        <v>219</v>
      </c>
    </row>
    <row r="1098" spans="1:2">
      <c r="A1098" s="1034" t="s">
        <v>1857</v>
      </c>
      <c r="B1098" s="1035">
        <v>735.67</v>
      </c>
    </row>
    <row r="1099" spans="1:2">
      <c r="A1099" s="1034" t="s">
        <v>7288</v>
      </c>
      <c r="B1099" s="1035">
        <v>144.66999999999999</v>
      </c>
    </row>
    <row r="1100" spans="1:2">
      <c r="A1100" s="1034" t="s">
        <v>3409</v>
      </c>
      <c r="B1100" s="1035">
        <v>0</v>
      </c>
    </row>
    <row r="1101" spans="1:2">
      <c r="A1101" s="1034" t="s">
        <v>8155</v>
      </c>
      <c r="B1101" s="1035">
        <v>0</v>
      </c>
    </row>
    <row r="1102" spans="1:2">
      <c r="A1102" s="1034" t="s">
        <v>3415</v>
      </c>
      <c r="B1102" s="1035">
        <v>954.67</v>
      </c>
    </row>
    <row r="1103" spans="1:2">
      <c r="A1103" s="1034" t="s">
        <v>3417</v>
      </c>
      <c r="B1103" s="1035">
        <v>386.5</v>
      </c>
    </row>
    <row r="1104" spans="1:2">
      <c r="A1104" s="1034" t="s">
        <v>3419</v>
      </c>
      <c r="B1104" s="1035">
        <v>193.5</v>
      </c>
    </row>
    <row r="1105" spans="1:2">
      <c r="A1105" s="1034" t="s">
        <v>3421</v>
      </c>
      <c r="B1105" s="1035">
        <v>351.33</v>
      </c>
    </row>
    <row r="1106" spans="1:2">
      <c r="A1106" s="1034" t="s">
        <v>7127</v>
      </c>
      <c r="B1106" s="1035">
        <v>0</v>
      </c>
    </row>
    <row r="1107" spans="1:2">
      <c r="A1107" s="1034" t="s">
        <v>3428</v>
      </c>
      <c r="B1107" s="1035">
        <v>1922.17</v>
      </c>
    </row>
    <row r="1108" spans="1:2">
      <c r="A1108" s="1034" t="s">
        <v>3430</v>
      </c>
      <c r="B1108" s="1035">
        <v>370.17</v>
      </c>
    </row>
    <row r="1109" spans="1:2">
      <c r="A1109" s="1034" t="s">
        <v>3434</v>
      </c>
      <c r="B1109" s="1035">
        <v>172.67</v>
      </c>
    </row>
    <row r="1110" spans="1:2">
      <c r="A1110" s="1034" t="s">
        <v>3436</v>
      </c>
      <c r="B1110" s="1035">
        <v>3691.33</v>
      </c>
    </row>
    <row r="1111" spans="1:2">
      <c r="A1111" s="1034" t="s">
        <v>3438</v>
      </c>
      <c r="B1111" s="1035">
        <v>59</v>
      </c>
    </row>
    <row r="1112" spans="1:2">
      <c r="A1112" s="1034" t="s">
        <v>8025</v>
      </c>
      <c r="B1112" s="1035">
        <v>580.66999999999996</v>
      </c>
    </row>
    <row r="1113" spans="1:2">
      <c r="A1113" s="1034" t="s">
        <v>8156</v>
      </c>
      <c r="B1113" s="1035">
        <v>424.17</v>
      </c>
    </row>
    <row r="1114" spans="1:2">
      <c r="A1114" s="1034" t="s">
        <v>8157</v>
      </c>
      <c r="B1114" s="1035">
        <v>49.5</v>
      </c>
    </row>
    <row r="1115" spans="1:2">
      <c r="A1115" s="1034" t="s">
        <v>8158</v>
      </c>
      <c r="B1115" s="1035">
        <v>0</v>
      </c>
    </row>
    <row r="1116" spans="1:2">
      <c r="A1116" s="1034" t="s">
        <v>8159</v>
      </c>
      <c r="B1116" s="1035">
        <v>195</v>
      </c>
    </row>
    <row r="1117" spans="1:2">
      <c r="A1117" s="1034" t="s">
        <v>2791</v>
      </c>
      <c r="B1117" s="1035">
        <v>51110.67</v>
      </c>
    </row>
    <row r="1118" spans="1:2">
      <c r="A1118" s="1034" t="s">
        <v>5124</v>
      </c>
      <c r="B1118" s="1035">
        <v>12659.83</v>
      </c>
    </row>
    <row r="1119" spans="1:2">
      <c r="A1119" s="1034" t="s">
        <v>3439</v>
      </c>
      <c r="B1119" s="1035">
        <v>0</v>
      </c>
    </row>
    <row r="1120" spans="1:2">
      <c r="A1120" s="1034" t="s">
        <v>3441</v>
      </c>
      <c r="B1120" s="1035">
        <v>0</v>
      </c>
    </row>
    <row r="1121" spans="1:2">
      <c r="A1121" s="1034" t="s">
        <v>2793</v>
      </c>
      <c r="B1121" s="1035">
        <v>7341.17</v>
      </c>
    </row>
    <row r="1122" spans="1:2">
      <c r="A1122" s="1034" t="s">
        <v>2795</v>
      </c>
      <c r="B1122" s="1035">
        <v>98.67</v>
      </c>
    </row>
    <row r="1123" spans="1:2">
      <c r="A1123" s="1034" t="s">
        <v>2052</v>
      </c>
      <c r="B1123" s="1035">
        <v>10465.83</v>
      </c>
    </row>
    <row r="1124" spans="1:2">
      <c r="A1124" s="1034" t="s">
        <v>2797</v>
      </c>
      <c r="B1124" s="1035">
        <v>457.67</v>
      </c>
    </row>
    <row r="1125" spans="1:2">
      <c r="A1125" s="1034" t="s">
        <v>2799</v>
      </c>
      <c r="B1125" s="1035">
        <v>678.5</v>
      </c>
    </row>
    <row r="1126" spans="1:2">
      <c r="A1126" s="1034" t="s">
        <v>3443</v>
      </c>
      <c r="B1126" s="1035">
        <v>0</v>
      </c>
    </row>
    <row r="1127" spans="1:2">
      <c r="A1127" s="1034" t="s">
        <v>2801</v>
      </c>
      <c r="B1127" s="1035">
        <v>460.67</v>
      </c>
    </row>
    <row r="1128" spans="1:2">
      <c r="A1128" s="1034" t="s">
        <v>2803</v>
      </c>
      <c r="B1128" s="1035">
        <v>999</v>
      </c>
    </row>
    <row r="1129" spans="1:2">
      <c r="A1129" s="1034" t="s">
        <v>2805</v>
      </c>
      <c r="B1129" s="1035">
        <v>80.33</v>
      </c>
    </row>
    <row r="1130" spans="1:2">
      <c r="A1130" s="1034" t="s">
        <v>2806</v>
      </c>
      <c r="B1130" s="1035">
        <v>132.83000000000001</v>
      </c>
    </row>
    <row r="1131" spans="1:2">
      <c r="A1131" s="1034" t="s">
        <v>232</v>
      </c>
      <c r="B1131" s="1035">
        <v>231.17</v>
      </c>
    </row>
    <row r="1132" spans="1:2">
      <c r="A1132" s="1034" t="s">
        <v>3572</v>
      </c>
      <c r="B1132" s="1035">
        <v>907.33</v>
      </c>
    </row>
    <row r="1133" spans="1:2">
      <c r="A1133" s="1034" t="s">
        <v>3574</v>
      </c>
      <c r="B1133" s="1035">
        <v>618.16999999999996</v>
      </c>
    </row>
    <row r="1134" spans="1:2">
      <c r="A1134" s="1034" t="s">
        <v>4072</v>
      </c>
      <c r="B1134" s="1035">
        <v>257.83</v>
      </c>
    </row>
    <row r="1135" spans="1:2">
      <c r="A1135" s="1034" t="s">
        <v>735</v>
      </c>
      <c r="B1135" s="1035">
        <v>89.33</v>
      </c>
    </row>
    <row r="1136" spans="1:2">
      <c r="A1136" s="1034" t="s">
        <v>3576</v>
      </c>
      <c r="B1136" s="1035">
        <v>455</v>
      </c>
    </row>
    <row r="1137" spans="1:2">
      <c r="A1137" s="1034" t="s">
        <v>3577</v>
      </c>
      <c r="B1137" s="1035">
        <v>1646.67</v>
      </c>
    </row>
    <row r="1138" spans="1:2">
      <c r="A1138" s="1034" t="s">
        <v>6190</v>
      </c>
      <c r="B1138" s="1035">
        <v>662.33</v>
      </c>
    </row>
    <row r="1139" spans="1:2">
      <c r="A1139" s="1034" t="s">
        <v>3580</v>
      </c>
      <c r="B1139" s="1035">
        <v>198.5</v>
      </c>
    </row>
    <row r="1140" spans="1:2">
      <c r="A1140" s="1034" t="s">
        <v>1862</v>
      </c>
      <c r="B1140" s="1035">
        <v>551.33000000000004</v>
      </c>
    </row>
    <row r="1141" spans="1:2">
      <c r="A1141" s="1034" t="s">
        <v>3582</v>
      </c>
      <c r="B1141" s="1035">
        <v>426.33</v>
      </c>
    </row>
    <row r="1142" spans="1:2">
      <c r="A1142" s="1034" t="s">
        <v>3584</v>
      </c>
      <c r="B1142" s="1035">
        <v>344.17</v>
      </c>
    </row>
    <row r="1143" spans="1:2">
      <c r="A1143" s="1034" t="s">
        <v>3586</v>
      </c>
      <c r="B1143" s="1035">
        <v>322.83</v>
      </c>
    </row>
    <row r="1144" spans="1:2">
      <c r="A1144" s="1034" t="s">
        <v>3588</v>
      </c>
      <c r="B1144" s="1035">
        <v>119.33</v>
      </c>
    </row>
    <row r="1145" spans="1:2">
      <c r="A1145" s="1034" t="s">
        <v>6036</v>
      </c>
      <c r="B1145" s="1035">
        <v>122.5</v>
      </c>
    </row>
    <row r="1146" spans="1:2">
      <c r="A1146" s="1034" t="s">
        <v>2472</v>
      </c>
      <c r="B1146" s="1035">
        <v>422.83</v>
      </c>
    </row>
    <row r="1147" spans="1:2">
      <c r="A1147" s="1034" t="s">
        <v>2418</v>
      </c>
      <c r="B1147" s="1035">
        <v>3963</v>
      </c>
    </row>
    <row r="1148" spans="1:2">
      <c r="A1148" s="1034" t="s">
        <v>3590</v>
      </c>
      <c r="B1148" s="1035">
        <v>108</v>
      </c>
    </row>
    <row r="1149" spans="1:2">
      <c r="A1149" s="1034" t="s">
        <v>2389</v>
      </c>
      <c r="B1149" s="1035">
        <v>8213.67</v>
      </c>
    </row>
    <row r="1150" spans="1:2">
      <c r="A1150" s="1034" t="s">
        <v>3594</v>
      </c>
      <c r="B1150" s="1035">
        <v>67.33</v>
      </c>
    </row>
    <row r="1151" spans="1:2">
      <c r="A1151" s="1034" t="s">
        <v>5319</v>
      </c>
      <c r="B1151" s="1035">
        <v>104.33</v>
      </c>
    </row>
    <row r="1152" spans="1:2">
      <c r="A1152" s="1034" t="s">
        <v>6241</v>
      </c>
      <c r="B1152" s="1035">
        <v>926.33</v>
      </c>
    </row>
    <row r="1153" spans="1:2">
      <c r="A1153" s="1034" t="s">
        <v>6243</v>
      </c>
      <c r="B1153" s="1035">
        <v>467.83</v>
      </c>
    </row>
    <row r="1154" spans="1:2">
      <c r="A1154" s="1034" t="s">
        <v>1832</v>
      </c>
      <c r="B1154" s="1035">
        <v>699.17</v>
      </c>
    </row>
    <row r="1155" spans="1:2">
      <c r="A1155" s="1034" t="s">
        <v>6164</v>
      </c>
      <c r="B1155" s="1035">
        <v>237</v>
      </c>
    </row>
    <row r="1156" spans="1:2">
      <c r="A1156" s="1034" t="s">
        <v>6244</v>
      </c>
      <c r="B1156" s="1035">
        <v>1314.5</v>
      </c>
    </row>
    <row r="1157" spans="1:2">
      <c r="A1157" s="1034" t="s">
        <v>6246</v>
      </c>
      <c r="B1157" s="1035">
        <v>1583.5</v>
      </c>
    </row>
    <row r="1158" spans="1:2">
      <c r="A1158" s="1034" t="s">
        <v>1313</v>
      </c>
      <c r="B1158" s="1035">
        <v>282.67</v>
      </c>
    </row>
    <row r="1159" spans="1:2">
      <c r="A1159" s="1034" t="s">
        <v>955</v>
      </c>
      <c r="B1159" s="1035">
        <v>993.5</v>
      </c>
    </row>
    <row r="1160" spans="1:2">
      <c r="A1160" s="1034" t="s">
        <v>3552</v>
      </c>
      <c r="B1160" s="1035">
        <v>9571.17</v>
      </c>
    </row>
    <row r="1161" spans="1:2">
      <c r="A1161" s="1034" t="s">
        <v>6248</v>
      </c>
      <c r="B1161" s="1035">
        <v>61.67</v>
      </c>
    </row>
    <row r="1162" spans="1:2">
      <c r="A1162" s="1034" t="s">
        <v>3450</v>
      </c>
      <c r="B1162" s="1035">
        <v>0</v>
      </c>
    </row>
    <row r="1163" spans="1:2">
      <c r="A1163" s="1034" t="s">
        <v>3452</v>
      </c>
      <c r="B1163" s="1035">
        <v>94.6</v>
      </c>
    </row>
    <row r="1164" spans="1:2">
      <c r="A1164" s="1034" t="s">
        <v>6182</v>
      </c>
      <c r="B1164" s="1035">
        <v>525.16999999999996</v>
      </c>
    </row>
    <row r="1165" spans="1:2">
      <c r="A1165" s="1034" t="s">
        <v>6250</v>
      </c>
      <c r="B1165" s="1035">
        <v>4100.83</v>
      </c>
    </row>
    <row r="1166" spans="1:2">
      <c r="A1166" s="1034" t="s">
        <v>3454</v>
      </c>
      <c r="B1166" s="1035">
        <v>0</v>
      </c>
    </row>
    <row r="1167" spans="1:2">
      <c r="A1167" s="1034" t="s">
        <v>3456</v>
      </c>
      <c r="B1167" s="1035">
        <v>0</v>
      </c>
    </row>
    <row r="1168" spans="1:2">
      <c r="A1168" s="1034" t="s">
        <v>5038</v>
      </c>
      <c r="B1168" s="1035">
        <v>1283.83</v>
      </c>
    </row>
    <row r="1169" spans="1:2">
      <c r="A1169" s="1034" t="s">
        <v>5039</v>
      </c>
      <c r="B1169" s="1035">
        <v>4173.83</v>
      </c>
    </row>
    <row r="1170" spans="1:2">
      <c r="A1170" s="1034" t="s">
        <v>2082</v>
      </c>
      <c r="B1170" s="1035">
        <v>1889.67</v>
      </c>
    </row>
    <row r="1171" spans="1:2">
      <c r="A1171" s="1034" t="s">
        <v>2084</v>
      </c>
      <c r="B1171" s="1035">
        <v>1223.5</v>
      </c>
    </row>
    <row r="1172" spans="1:2">
      <c r="A1172" s="1034" t="s">
        <v>2086</v>
      </c>
      <c r="B1172" s="1035">
        <v>109.17</v>
      </c>
    </row>
    <row r="1173" spans="1:2">
      <c r="A1173" s="1034" t="s">
        <v>2088</v>
      </c>
      <c r="B1173" s="1035">
        <v>2916.33</v>
      </c>
    </row>
    <row r="1174" spans="1:2">
      <c r="A1174" s="1034" t="s">
        <v>2090</v>
      </c>
      <c r="B1174" s="1035">
        <v>234</v>
      </c>
    </row>
    <row r="1175" spans="1:2">
      <c r="A1175" s="1034" t="s">
        <v>8160</v>
      </c>
      <c r="B1175" s="1035">
        <v>0</v>
      </c>
    </row>
    <row r="1176" spans="1:2">
      <c r="A1176" s="1034" t="s">
        <v>3460</v>
      </c>
      <c r="B1176" s="1035">
        <v>350.83</v>
      </c>
    </row>
    <row r="1177" spans="1:2">
      <c r="A1177" s="1034" t="s">
        <v>2987</v>
      </c>
      <c r="B1177" s="1035">
        <v>25400.17</v>
      </c>
    </row>
    <row r="1178" spans="1:2">
      <c r="A1178" s="1034" t="s">
        <v>2417</v>
      </c>
      <c r="B1178" s="1035">
        <v>36461.83</v>
      </c>
    </row>
    <row r="1179" spans="1:2">
      <c r="A1179" s="1034" t="s">
        <v>78</v>
      </c>
      <c r="B1179" s="1035">
        <v>246.83</v>
      </c>
    </row>
    <row r="1180" spans="1:2">
      <c r="A1180" s="1034" t="s">
        <v>80</v>
      </c>
      <c r="B1180" s="1035">
        <v>591.16999999999996</v>
      </c>
    </row>
    <row r="1181" spans="1:2">
      <c r="A1181" s="1034" t="s">
        <v>82</v>
      </c>
      <c r="B1181" s="1035">
        <v>334.33</v>
      </c>
    </row>
    <row r="1182" spans="1:2">
      <c r="A1182" s="1034" t="s">
        <v>84</v>
      </c>
      <c r="B1182" s="1035">
        <v>2430.17</v>
      </c>
    </row>
    <row r="1183" spans="1:2">
      <c r="A1183" s="1034" t="s">
        <v>86</v>
      </c>
      <c r="B1183" s="1035">
        <v>1830.83</v>
      </c>
    </row>
    <row r="1184" spans="1:2">
      <c r="A1184" s="1034" t="s">
        <v>88</v>
      </c>
      <c r="B1184" s="1035">
        <v>310.5</v>
      </c>
    </row>
    <row r="1185" spans="1:2">
      <c r="A1185" s="1034" t="s">
        <v>90</v>
      </c>
      <c r="B1185" s="1035">
        <v>269.83</v>
      </c>
    </row>
    <row r="1186" spans="1:2">
      <c r="A1186" s="1034" t="s">
        <v>92</v>
      </c>
      <c r="B1186" s="1035">
        <v>250.83</v>
      </c>
    </row>
    <row r="1187" spans="1:2">
      <c r="A1187" s="1034" t="s">
        <v>2332</v>
      </c>
      <c r="B1187" s="1035">
        <v>59</v>
      </c>
    </row>
    <row r="1188" spans="1:2">
      <c r="A1188" s="1034" t="s">
        <v>2334</v>
      </c>
      <c r="B1188" s="1035">
        <v>31.83</v>
      </c>
    </row>
    <row r="1189" spans="1:2">
      <c r="A1189" s="1034" t="s">
        <v>962</v>
      </c>
      <c r="B1189" s="1035">
        <v>1712.5</v>
      </c>
    </row>
    <row r="1190" spans="1:2">
      <c r="A1190" s="1034" t="s">
        <v>2336</v>
      </c>
      <c r="B1190" s="1035">
        <v>291.67</v>
      </c>
    </row>
    <row r="1191" spans="1:2">
      <c r="A1191" s="1034" t="s">
        <v>2338</v>
      </c>
      <c r="B1191" s="1035">
        <v>798</v>
      </c>
    </row>
    <row r="1192" spans="1:2">
      <c r="A1192" s="1034" t="s">
        <v>2340</v>
      </c>
      <c r="B1192" s="1035">
        <v>8984</v>
      </c>
    </row>
    <row r="1193" spans="1:2">
      <c r="A1193" s="1034" t="s">
        <v>738</v>
      </c>
      <c r="B1193" s="1035">
        <v>725.83</v>
      </c>
    </row>
    <row r="1194" spans="1:2">
      <c r="A1194" s="1034" t="s">
        <v>3465</v>
      </c>
      <c r="B1194" s="1035">
        <v>0</v>
      </c>
    </row>
    <row r="1195" spans="1:2">
      <c r="A1195" s="1034" t="s">
        <v>3219</v>
      </c>
      <c r="B1195" s="1035">
        <v>68.67</v>
      </c>
    </row>
    <row r="1196" spans="1:2">
      <c r="A1196" s="1034" t="s">
        <v>608</v>
      </c>
      <c r="B1196" s="1035">
        <v>1316.67</v>
      </c>
    </row>
    <row r="1197" spans="1:2">
      <c r="A1197" s="1034" t="s">
        <v>610</v>
      </c>
      <c r="B1197" s="1035">
        <v>92.83</v>
      </c>
    </row>
    <row r="1198" spans="1:2">
      <c r="A1198" s="1034" t="s">
        <v>6145</v>
      </c>
      <c r="B1198" s="1035">
        <v>477.33</v>
      </c>
    </row>
    <row r="1199" spans="1:2">
      <c r="A1199" s="1034" t="s">
        <v>2998</v>
      </c>
      <c r="B1199" s="1035">
        <v>1578.5</v>
      </c>
    </row>
    <row r="1200" spans="1:2">
      <c r="A1200" s="1034" t="s">
        <v>2766</v>
      </c>
      <c r="B1200" s="1035">
        <v>2125.83</v>
      </c>
    </row>
    <row r="1201" spans="1:2">
      <c r="A1201" s="1034" t="s">
        <v>5040</v>
      </c>
      <c r="B1201" s="1035">
        <v>234.67</v>
      </c>
    </row>
    <row r="1202" spans="1:2">
      <c r="A1202" s="1034" t="s">
        <v>8161</v>
      </c>
      <c r="B1202" s="1035">
        <v>84.17</v>
      </c>
    </row>
    <row r="1203" spans="1:2">
      <c r="A1203" s="1034" t="s">
        <v>1307</v>
      </c>
      <c r="B1203" s="1035">
        <v>653</v>
      </c>
    </row>
    <row r="1204" spans="1:2">
      <c r="A1204" s="1034" t="s">
        <v>1319</v>
      </c>
      <c r="B1204" s="1035">
        <v>5220.5</v>
      </c>
    </row>
    <row r="1205" spans="1:2">
      <c r="A1205" s="1034" t="s">
        <v>1856</v>
      </c>
      <c r="B1205" s="1035">
        <v>251</v>
      </c>
    </row>
    <row r="1206" spans="1:2">
      <c r="A1206" s="1034" t="s">
        <v>6020</v>
      </c>
      <c r="B1206" s="1035">
        <v>3021.5</v>
      </c>
    </row>
    <row r="1207" spans="1:2">
      <c r="A1207" s="1034" t="s">
        <v>611</v>
      </c>
      <c r="B1207" s="1035">
        <v>817.67</v>
      </c>
    </row>
    <row r="1208" spans="1:2">
      <c r="A1208" s="1034" t="s">
        <v>2990</v>
      </c>
      <c r="B1208" s="1035">
        <v>920.33</v>
      </c>
    </row>
    <row r="1209" spans="1:2">
      <c r="A1209" s="1034" t="s">
        <v>2382</v>
      </c>
      <c r="B1209" s="1035">
        <v>13491.67</v>
      </c>
    </row>
    <row r="1210" spans="1:2">
      <c r="A1210" s="1034" t="s">
        <v>2473</v>
      </c>
      <c r="B1210" s="1035">
        <v>2211.5</v>
      </c>
    </row>
    <row r="1211" spans="1:2">
      <c r="A1211" s="1034" t="s">
        <v>2412</v>
      </c>
      <c r="B1211" s="1035">
        <v>249</v>
      </c>
    </row>
    <row r="1212" spans="1:2">
      <c r="A1212" s="1034" t="s">
        <v>2988</v>
      </c>
      <c r="B1212" s="1035">
        <v>7694.17</v>
      </c>
    </row>
    <row r="1213" spans="1:2">
      <c r="A1213" s="1034" t="s">
        <v>613</v>
      </c>
      <c r="B1213" s="1035">
        <v>52.83</v>
      </c>
    </row>
    <row r="1214" spans="1:2">
      <c r="A1214" s="1034" t="s">
        <v>5041</v>
      </c>
      <c r="B1214" s="1035">
        <v>2201.33</v>
      </c>
    </row>
    <row r="1215" spans="1:2">
      <c r="A1215" s="1034" t="s">
        <v>6039</v>
      </c>
      <c r="B1215" s="1035">
        <v>811</v>
      </c>
    </row>
    <row r="1216" spans="1:2">
      <c r="A1216" s="1034" t="s">
        <v>5043</v>
      </c>
      <c r="B1216" s="1035">
        <v>314</v>
      </c>
    </row>
    <row r="1217" spans="1:2">
      <c r="A1217" s="1034" t="s">
        <v>2409</v>
      </c>
      <c r="B1217" s="1035">
        <v>448.67</v>
      </c>
    </row>
    <row r="1218" spans="1:2">
      <c r="A1218" s="1034" t="s">
        <v>615</v>
      </c>
      <c r="B1218" s="1035">
        <v>969.33</v>
      </c>
    </row>
    <row r="1219" spans="1:2">
      <c r="A1219" s="1034" t="s">
        <v>617</v>
      </c>
      <c r="B1219" s="1035">
        <v>191.17</v>
      </c>
    </row>
    <row r="1220" spans="1:2">
      <c r="A1220" s="1034" t="s">
        <v>3889</v>
      </c>
      <c r="B1220" s="1035">
        <v>233.17</v>
      </c>
    </row>
    <row r="1221" spans="1:2">
      <c r="A1221" s="1034" t="s">
        <v>619</v>
      </c>
      <c r="B1221" s="1035">
        <v>645.83000000000004</v>
      </c>
    </row>
    <row r="1222" spans="1:2">
      <c r="A1222" s="1034" t="s">
        <v>1328</v>
      </c>
      <c r="B1222" s="1035">
        <v>1369</v>
      </c>
    </row>
    <row r="1223" spans="1:2">
      <c r="A1223" s="1034" t="s">
        <v>6708</v>
      </c>
      <c r="B1223" s="1035">
        <v>418.33</v>
      </c>
    </row>
    <row r="1224" spans="1:2">
      <c r="A1224" s="1034" t="s">
        <v>6710</v>
      </c>
      <c r="B1224" s="1035">
        <v>1406.67</v>
      </c>
    </row>
    <row r="1225" spans="1:2">
      <c r="A1225" s="1034" t="s">
        <v>6192</v>
      </c>
      <c r="B1225" s="1035">
        <v>363.17</v>
      </c>
    </row>
    <row r="1226" spans="1:2">
      <c r="A1226" s="1034" t="s">
        <v>2400</v>
      </c>
      <c r="B1226" s="1035">
        <v>149</v>
      </c>
    </row>
    <row r="1227" spans="1:2">
      <c r="A1227" s="1034" t="s">
        <v>6712</v>
      </c>
      <c r="B1227" s="1035">
        <v>445</v>
      </c>
    </row>
    <row r="1228" spans="1:2">
      <c r="A1228" s="1034" t="s">
        <v>6714</v>
      </c>
      <c r="B1228" s="1035">
        <v>1001.17</v>
      </c>
    </row>
    <row r="1229" spans="1:2">
      <c r="A1229" s="1034" t="s">
        <v>6716</v>
      </c>
      <c r="B1229" s="1035">
        <v>716.17</v>
      </c>
    </row>
    <row r="1230" spans="1:2">
      <c r="A1230" s="1034" t="s">
        <v>6718</v>
      </c>
      <c r="B1230" s="1035">
        <v>217.33</v>
      </c>
    </row>
    <row r="1231" spans="1:2">
      <c r="A1231" s="1034" t="s">
        <v>2443</v>
      </c>
      <c r="B1231" s="1035">
        <v>481.33</v>
      </c>
    </row>
    <row r="1232" spans="1:2">
      <c r="A1232" s="1034" t="s">
        <v>2445</v>
      </c>
      <c r="B1232" s="1035">
        <v>795.5</v>
      </c>
    </row>
    <row r="1233" spans="1:2">
      <c r="A1233" s="1034" t="s">
        <v>2447</v>
      </c>
      <c r="B1233" s="1035">
        <v>924.67</v>
      </c>
    </row>
    <row r="1234" spans="1:2">
      <c r="A1234" s="1034" t="s">
        <v>905</v>
      </c>
      <c r="B1234" s="1035">
        <v>347.33</v>
      </c>
    </row>
    <row r="1235" spans="1:2">
      <c r="A1235" s="1034" t="s">
        <v>1854</v>
      </c>
      <c r="B1235" s="1035">
        <v>1432.33</v>
      </c>
    </row>
    <row r="1236" spans="1:2">
      <c r="A1236" s="1034" t="s">
        <v>907</v>
      </c>
      <c r="B1236" s="1035">
        <v>122</v>
      </c>
    </row>
    <row r="1237" spans="1:2">
      <c r="A1237" s="1034" t="s">
        <v>6146</v>
      </c>
      <c r="B1237" s="1035">
        <v>462.67</v>
      </c>
    </row>
    <row r="1238" spans="1:2">
      <c r="A1238" s="1034" t="s">
        <v>909</v>
      </c>
      <c r="B1238" s="1035">
        <v>3170.33</v>
      </c>
    </row>
    <row r="1239" spans="1:2">
      <c r="A1239" s="1034" t="s">
        <v>247</v>
      </c>
      <c r="B1239" s="1035">
        <v>2012.67</v>
      </c>
    </row>
    <row r="1240" spans="1:2">
      <c r="A1240" s="1034" t="s">
        <v>1527</v>
      </c>
      <c r="B1240" s="1035">
        <v>439.17</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D18"/>
  <sheetViews>
    <sheetView workbookViewId="0">
      <selection activeCell="D13" sqref="D13"/>
    </sheetView>
  </sheetViews>
  <sheetFormatPr defaultColWidth="6" defaultRowHeight="17.399999999999999"/>
  <cols>
    <col min="1" max="1" width="6" style="691"/>
    <col min="2" max="2" width="7.77734375" style="691" customWidth="1"/>
    <col min="3" max="3" width="64" style="691" customWidth="1"/>
    <col min="4" max="4" width="18" style="691" customWidth="1"/>
    <col min="5" max="16384" width="6" style="691"/>
  </cols>
  <sheetData>
    <row r="1" spans="1:4">
      <c r="A1" s="1002" t="s">
        <v>8105</v>
      </c>
      <c r="B1" s="1003"/>
      <c r="C1" s="1004"/>
      <c r="D1" s="1004"/>
    </row>
    <row r="2" spans="1:4">
      <c r="B2" s="1012" t="s">
        <v>8106</v>
      </c>
      <c r="C2" s="1004"/>
      <c r="D2" s="1004"/>
    </row>
    <row r="3" spans="1:4">
      <c r="B3" s="1005" t="s">
        <v>8107</v>
      </c>
      <c r="C3" s="1005"/>
      <c r="D3" s="1006" t="e">
        <f>'Enter Attendance.Funding Sheet'!J15</f>
        <v>#VALUE!</v>
      </c>
    </row>
    <row r="4" spans="1:4">
      <c r="B4" s="1005" t="s">
        <v>8108</v>
      </c>
      <c r="C4" s="1005"/>
      <c r="D4" s="1006" t="e">
        <f>'Enter Attendance.Funding Sheet'!Z38</f>
        <v>#DIV/0!</v>
      </c>
    </row>
    <row r="5" spans="1:4">
      <c r="B5" s="1005" t="s">
        <v>8109</v>
      </c>
      <c r="C5" s="1005"/>
      <c r="D5" s="1006" t="e">
        <f>'Enter Attendance.Funding Sheet'!J43</f>
        <v>#DIV/0!</v>
      </c>
    </row>
    <row r="6" spans="1:4">
      <c r="B6" s="1005" t="s">
        <v>8110</v>
      </c>
      <c r="C6" s="1005"/>
      <c r="D6" s="1006">
        <f>'Enter Attendance.Funding Sheet'!J47</f>
        <v>0</v>
      </c>
    </row>
    <row r="7" spans="1:4">
      <c r="B7" s="1005" t="s">
        <v>8117</v>
      </c>
      <c r="C7" s="1005"/>
      <c r="D7" s="1006">
        <f>'Enter Attendance.Funding Sheet'!J19</f>
        <v>0</v>
      </c>
    </row>
    <row r="8" spans="1:4">
      <c r="B8" s="1005" t="s">
        <v>8111</v>
      </c>
      <c r="C8" s="1005"/>
      <c r="D8" s="1006">
        <f>'Enter Attendance.Funding Sheet'!J52</f>
        <v>0</v>
      </c>
    </row>
    <row r="9" spans="1:4">
      <c r="B9" s="1005" t="s">
        <v>8112</v>
      </c>
      <c r="C9" s="1005"/>
      <c r="D9" s="1006">
        <v>0</v>
      </c>
    </row>
    <row r="10" spans="1:4">
      <c r="B10" s="1005" t="s">
        <v>8113</v>
      </c>
      <c r="C10" s="1005"/>
      <c r="D10" s="1006">
        <v>0</v>
      </c>
    </row>
    <row r="11" spans="1:4">
      <c r="B11" s="1005" t="s">
        <v>8116</v>
      </c>
      <c r="C11" s="1005"/>
      <c r="D11" s="1006">
        <v>0</v>
      </c>
    </row>
    <row r="12" spans="1:4" ht="18" thickBot="1">
      <c r="B12" s="1022" t="s">
        <v>8114</v>
      </c>
      <c r="C12" s="1022"/>
      <c r="D12" s="1023" t="e">
        <f>'Enter Attendance.Funding Sheet'!J17</f>
        <v>#DIV/0!</v>
      </c>
    </row>
    <row r="13" spans="1:4" ht="18" thickTop="1">
      <c r="B13" s="1019" t="s">
        <v>8115</v>
      </c>
      <c r="C13" s="1020"/>
      <c r="D13" s="1021" t="e">
        <f>SUM(D3:D12)</f>
        <v>#VALUE!</v>
      </c>
    </row>
    <row r="14" spans="1:4">
      <c r="A14" s="1007"/>
      <c r="B14" s="1008"/>
      <c r="C14" s="1008"/>
      <c r="D14" s="1009"/>
    </row>
    <row r="15" spans="1:4">
      <c r="A15" s="1007"/>
      <c r="B15" s="1010"/>
      <c r="C15" s="1010"/>
      <c r="D15" s="1011"/>
    </row>
    <row r="16" spans="1:4">
      <c r="A16" s="1007"/>
      <c r="B16" s="1010"/>
      <c r="C16" s="1010"/>
      <c r="D16" s="1011"/>
    </row>
    <row r="17" spans="1:4">
      <c r="A17" s="1007"/>
      <c r="B17" s="1007"/>
      <c r="C17" s="1007"/>
      <c r="D17" s="1007"/>
    </row>
    <row r="18" spans="1:4">
      <c r="A18" s="1007"/>
      <c r="B18" s="1007"/>
      <c r="C18" s="1007"/>
      <c r="D18" s="1007"/>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dimension ref="A7:A299"/>
  <sheetViews>
    <sheetView workbookViewId="0">
      <pane ySplit="14" topLeftCell="A262" activePane="bottomLeft" state="frozen"/>
      <selection pane="bottomLeft" activeCell="A267" sqref="A267"/>
    </sheetView>
  </sheetViews>
  <sheetFormatPr defaultRowHeight="13.2"/>
  <cols>
    <col min="1" max="1" width="107.21875" customWidth="1"/>
  </cols>
  <sheetData>
    <row r="7" spans="1:1">
      <c r="A7" s="132" t="s">
        <v>3544</v>
      </c>
    </row>
    <row r="8" spans="1:1">
      <c r="A8" s="132" t="s">
        <v>7708</v>
      </c>
    </row>
    <row r="9" spans="1:1">
      <c r="A9" s="132" t="s">
        <v>7709</v>
      </c>
    </row>
    <row r="10" spans="1:1">
      <c r="A10" s="132" t="s">
        <v>7710</v>
      </c>
    </row>
    <row r="11" spans="1:1">
      <c r="A11" s="132" t="s">
        <v>7711</v>
      </c>
    </row>
    <row r="12" spans="1:1">
      <c r="A12" s="132" t="s">
        <v>7712</v>
      </c>
    </row>
    <row r="13" spans="1:1">
      <c r="A13" s="132"/>
    </row>
    <row r="14" spans="1:1">
      <c r="A14" s="132" t="s">
        <v>3775</v>
      </c>
    </row>
    <row r="16" spans="1:1">
      <c r="A16" s="433" t="s">
        <v>5023</v>
      </c>
    </row>
    <row r="17" spans="1:1">
      <c r="A17" s="434" t="s">
        <v>7278</v>
      </c>
    </row>
    <row r="18" spans="1:1">
      <c r="A18" s="434" t="s">
        <v>3032</v>
      </c>
    </row>
    <row r="19" spans="1:1">
      <c r="A19" s="434" t="s">
        <v>3033</v>
      </c>
    </row>
    <row r="20" spans="1:1">
      <c r="A20" s="434" t="s">
        <v>4118</v>
      </c>
    </row>
    <row r="21" spans="1:1">
      <c r="A21" s="434"/>
    </row>
    <row r="22" spans="1:1">
      <c r="A22" s="434"/>
    </row>
    <row r="23" spans="1:1">
      <c r="A23" s="465" t="s">
        <v>6734</v>
      </c>
    </row>
    <row r="24" spans="1:1">
      <c r="A24" s="468" t="s">
        <v>6728</v>
      </c>
    </row>
    <row r="25" spans="1:1">
      <c r="A25" s="469" t="s">
        <v>6729</v>
      </c>
    </row>
    <row r="26" spans="1:1">
      <c r="A26" s="469" t="s">
        <v>6730</v>
      </c>
    </row>
    <row r="27" spans="1:1">
      <c r="A27" s="469" t="s">
        <v>6731</v>
      </c>
    </row>
    <row r="28" spans="1:1">
      <c r="A28" s="469" t="s">
        <v>6732</v>
      </c>
    </row>
    <row r="29" spans="1:1">
      <c r="A29" s="469" t="s">
        <v>6733</v>
      </c>
    </row>
    <row r="30" spans="1:1">
      <c r="A30" s="469" t="s">
        <v>7591</v>
      </c>
    </row>
    <row r="31" spans="1:1">
      <c r="A31" s="469" t="s">
        <v>6092</v>
      </c>
    </row>
    <row r="32" spans="1:1">
      <c r="A32" s="469"/>
    </row>
    <row r="33" spans="1:1">
      <c r="A33" s="469" t="s">
        <v>3099</v>
      </c>
    </row>
    <row r="34" spans="1:1">
      <c r="A34" s="469" t="s">
        <v>5338</v>
      </c>
    </row>
    <row r="35" spans="1:1">
      <c r="A35" s="469"/>
    </row>
    <row r="36" spans="1:1">
      <c r="A36" s="466" t="s">
        <v>5291</v>
      </c>
    </row>
    <row r="37" spans="1:1">
      <c r="A37" s="57"/>
    </row>
    <row r="38" spans="1:1">
      <c r="A38" s="434"/>
    </row>
    <row r="39" spans="1:1">
      <c r="A39" s="249" t="s">
        <v>1880</v>
      </c>
    </row>
    <row r="40" spans="1:1">
      <c r="A40" s="132" t="s">
        <v>130</v>
      </c>
    </row>
    <row r="41" spans="1:1">
      <c r="A41" s="132" t="s">
        <v>131</v>
      </c>
    </row>
    <row r="42" spans="1:1">
      <c r="A42" s="132" t="s">
        <v>7130</v>
      </c>
    </row>
    <row r="43" spans="1:1">
      <c r="A43" s="132" t="s">
        <v>1876</v>
      </c>
    </row>
    <row r="44" spans="1:1">
      <c r="A44" s="127" t="s">
        <v>1877</v>
      </c>
    </row>
    <row r="45" spans="1:1">
      <c r="A45" s="127" t="s">
        <v>3767</v>
      </c>
    </row>
    <row r="46" spans="1:1">
      <c r="A46" s="467" t="s">
        <v>3768</v>
      </c>
    </row>
    <row r="47" spans="1:1">
      <c r="A47" s="132"/>
    </row>
    <row r="48" spans="1:1">
      <c r="A48" s="490" t="s">
        <v>1878</v>
      </c>
    </row>
    <row r="49" spans="1:1">
      <c r="A49" s="490" t="s">
        <v>1879</v>
      </c>
    </row>
    <row r="50" spans="1:1">
      <c r="A50" s="490" t="s">
        <v>2947</v>
      </c>
    </row>
    <row r="51" spans="1:1">
      <c r="A51" s="490" t="s">
        <v>2946</v>
      </c>
    </row>
    <row r="52" spans="1:1">
      <c r="A52" s="132"/>
    </row>
    <row r="53" spans="1:1">
      <c r="A53" s="132" t="s">
        <v>1536</v>
      </c>
    </row>
    <row r="54" spans="1:1">
      <c r="A54" s="132" t="s">
        <v>5398</v>
      </c>
    </row>
    <row r="55" spans="1:1">
      <c r="A55" s="132" t="s">
        <v>7621</v>
      </c>
    </row>
    <row r="56" spans="1:1">
      <c r="A56" s="132" t="s">
        <v>7622</v>
      </c>
    </row>
    <row r="57" spans="1:1">
      <c r="A57" s="132"/>
    </row>
    <row r="58" spans="1:1">
      <c r="A58" s="132"/>
    </row>
    <row r="59" spans="1:1">
      <c r="A59" s="493" t="s">
        <v>3051</v>
      </c>
    </row>
    <row r="60" spans="1:1">
      <c r="A60" s="494" t="s">
        <v>3862</v>
      </c>
    </row>
    <row r="61" spans="1:1">
      <c r="A61" s="494" t="s">
        <v>3863</v>
      </c>
    </row>
    <row r="62" spans="1:1">
      <c r="A62" s="494" t="s">
        <v>5121</v>
      </c>
    </row>
    <row r="63" spans="1:1">
      <c r="A63" s="494"/>
    </row>
    <row r="64" spans="1:1">
      <c r="A64" s="495" t="s">
        <v>3812</v>
      </c>
    </row>
    <row r="65" spans="1:1">
      <c r="A65" s="495" t="s">
        <v>3910</v>
      </c>
    </row>
    <row r="66" spans="1:1">
      <c r="A66" s="495" t="s">
        <v>2852</v>
      </c>
    </row>
    <row r="67" spans="1:1">
      <c r="A67" s="495" t="s">
        <v>2853</v>
      </c>
    </row>
    <row r="68" spans="1:1">
      <c r="A68" s="495" t="s">
        <v>2854</v>
      </c>
    </row>
    <row r="71" spans="1:1">
      <c r="A71" s="496" t="s">
        <v>2755</v>
      </c>
    </row>
    <row r="72" spans="1:1">
      <c r="A72" s="497" t="s">
        <v>4938</v>
      </c>
    </row>
    <row r="73" spans="1:1">
      <c r="A73" s="497" t="s">
        <v>3006</v>
      </c>
    </row>
    <row r="74" spans="1:1">
      <c r="A74" s="497" t="s">
        <v>3191</v>
      </c>
    </row>
    <row r="75" spans="1:1">
      <c r="A75" s="497" t="s">
        <v>4969</v>
      </c>
    </row>
    <row r="76" spans="1:1">
      <c r="A76" s="497"/>
    </row>
    <row r="77" spans="1:1">
      <c r="A77" s="497"/>
    </row>
    <row r="78" spans="1:1">
      <c r="A78" s="498" t="s">
        <v>2787</v>
      </c>
    </row>
    <row r="79" spans="1:1">
      <c r="A79" s="499" t="s">
        <v>6087</v>
      </c>
    </row>
    <row r="80" spans="1:1">
      <c r="A80" s="499" t="s">
        <v>6088</v>
      </c>
    </row>
    <row r="81" spans="1:1">
      <c r="A81" s="499" t="s">
        <v>6089</v>
      </c>
    </row>
    <row r="82" spans="1:1">
      <c r="A82" s="501" t="s">
        <v>6090</v>
      </c>
    </row>
    <row r="83" spans="1:1">
      <c r="A83" s="500" t="s">
        <v>6091</v>
      </c>
    </row>
    <row r="84" spans="1:1">
      <c r="A84" s="500" t="s">
        <v>1488</v>
      </c>
    </row>
    <row r="86" spans="1:1">
      <c r="A86" s="500" t="s">
        <v>2205</v>
      </c>
    </row>
    <row r="87" spans="1:1">
      <c r="A87" s="500" t="s">
        <v>2741</v>
      </c>
    </row>
    <row r="88" spans="1:1">
      <c r="A88" s="500" t="s">
        <v>2742</v>
      </c>
    </row>
    <row r="89" spans="1:1">
      <c r="A89" s="500" t="s">
        <v>2743</v>
      </c>
    </row>
    <row r="91" spans="1:1">
      <c r="A91" s="500" t="s">
        <v>5245</v>
      </c>
    </row>
    <row r="92" spans="1:1">
      <c r="A92" s="500" t="s">
        <v>3520</v>
      </c>
    </row>
    <row r="93" spans="1:1">
      <c r="A93" s="500" t="s">
        <v>3521</v>
      </c>
    </row>
    <row r="96" spans="1:1">
      <c r="A96" s="523" t="s">
        <v>5641</v>
      </c>
    </row>
    <row r="97" spans="1:1">
      <c r="A97" s="182" t="s">
        <v>7731</v>
      </c>
    </row>
    <row r="98" spans="1:1">
      <c r="A98" s="182" t="s">
        <v>7729</v>
      </c>
    </row>
    <row r="99" spans="1:1">
      <c r="A99" s="182" t="s">
        <v>7730</v>
      </c>
    </row>
    <row r="100" spans="1:1">
      <c r="A100" s="182"/>
    </row>
    <row r="101" spans="1:1">
      <c r="A101" s="545" t="s">
        <v>2284</v>
      </c>
    </row>
    <row r="102" spans="1:1">
      <c r="A102" s="545" t="s">
        <v>7732</v>
      </c>
    </row>
    <row r="104" spans="1:1">
      <c r="A104" s="545" t="s">
        <v>1440</v>
      </c>
    </row>
    <row r="105" spans="1:1">
      <c r="A105" s="545" t="s">
        <v>6002</v>
      </c>
    </row>
    <row r="106" spans="1:1">
      <c r="A106" s="545" t="s">
        <v>6004</v>
      </c>
    </row>
    <row r="107" spans="1:1">
      <c r="A107" s="545" t="s">
        <v>6003</v>
      </c>
    </row>
    <row r="109" spans="1:1">
      <c r="A109" s="545" t="s">
        <v>6005</v>
      </c>
    </row>
    <row r="110" spans="1:1">
      <c r="A110" s="545" t="s">
        <v>3784</v>
      </c>
    </row>
    <row r="111" spans="1:1">
      <c r="A111" s="545" t="s">
        <v>3785</v>
      </c>
    </row>
    <row r="112" spans="1:1">
      <c r="A112" s="182"/>
    </row>
    <row r="113" spans="1:1">
      <c r="A113" s="546" t="s">
        <v>3786</v>
      </c>
    </row>
    <row r="114" spans="1:1">
      <c r="A114" s="182" t="s">
        <v>3787</v>
      </c>
    </row>
    <row r="115" spans="1:1">
      <c r="A115" s="182"/>
    </row>
    <row r="116" spans="1:1">
      <c r="A116" s="182" t="s">
        <v>5011</v>
      </c>
    </row>
    <row r="117" spans="1:1">
      <c r="A117" s="182" t="s">
        <v>5012</v>
      </c>
    </row>
    <row r="118" spans="1:1">
      <c r="A118" s="182" t="s">
        <v>5013</v>
      </c>
    </row>
    <row r="119" spans="1:1">
      <c r="A119" s="182"/>
    </row>
    <row r="120" spans="1:1">
      <c r="A120" s="182" t="s">
        <v>2283</v>
      </c>
    </row>
    <row r="121" spans="1:1">
      <c r="A121" s="182" t="s">
        <v>2654</v>
      </c>
    </row>
    <row r="123" spans="1:1">
      <c r="A123" s="182" t="s">
        <v>2286</v>
      </c>
    </row>
    <row r="124" spans="1:1">
      <c r="A124" s="182" t="s">
        <v>2287</v>
      </c>
    </row>
    <row r="126" spans="1:1">
      <c r="A126" s="182" t="s">
        <v>7639</v>
      </c>
    </row>
    <row r="127" spans="1:1">
      <c r="A127" s="182" t="s">
        <v>7640</v>
      </c>
    </row>
    <row r="128" spans="1:1">
      <c r="A128" s="182" t="s">
        <v>1898</v>
      </c>
    </row>
    <row r="129" spans="1:1">
      <c r="A129" s="182" t="s">
        <v>3036</v>
      </c>
    </row>
    <row r="130" spans="1:1">
      <c r="A130" s="182" t="s">
        <v>3038</v>
      </c>
    </row>
    <row r="131" spans="1:1">
      <c r="A131" s="182" t="s">
        <v>3037</v>
      </c>
    </row>
    <row r="133" spans="1:1">
      <c r="A133" s="182" t="s">
        <v>584</v>
      </c>
    </row>
    <row r="134" spans="1:1">
      <c r="A134" s="182" t="s">
        <v>583</v>
      </c>
    </row>
    <row r="136" spans="1:1">
      <c r="A136" s="182" t="s">
        <v>5099</v>
      </c>
    </row>
    <row r="137" spans="1:1">
      <c r="A137" s="182" t="s">
        <v>5100</v>
      </c>
    </row>
    <row r="138" spans="1:1">
      <c r="A138" s="182" t="s">
        <v>6156</v>
      </c>
    </row>
    <row r="139" spans="1:1">
      <c r="A139" s="182" t="s">
        <v>6157</v>
      </c>
    </row>
    <row r="140" spans="1:1">
      <c r="A140" s="182" t="s">
        <v>6158</v>
      </c>
    </row>
    <row r="141" spans="1:1">
      <c r="A141" s="182" t="s">
        <v>5102</v>
      </c>
    </row>
    <row r="142" spans="1:1">
      <c r="A142" s="182" t="s">
        <v>5103</v>
      </c>
    </row>
    <row r="145" spans="1:1">
      <c r="A145" s="548" t="s">
        <v>2073</v>
      </c>
    </row>
    <row r="146" spans="1:1">
      <c r="A146" s="549" t="s">
        <v>2207</v>
      </c>
    </row>
    <row r="147" spans="1:1">
      <c r="A147" s="549" t="s">
        <v>2074</v>
      </c>
    </row>
    <row r="148" spans="1:1">
      <c r="A148" s="549" t="s">
        <v>6687</v>
      </c>
    </row>
    <row r="149" spans="1:1">
      <c r="A149" s="549"/>
    </row>
    <row r="150" spans="1:1">
      <c r="A150" s="549" t="s">
        <v>2076</v>
      </c>
    </row>
    <row r="151" spans="1:1">
      <c r="A151" s="549" t="s">
        <v>2075</v>
      </c>
    </row>
    <row r="152" spans="1:1">
      <c r="A152" s="549"/>
    </row>
    <row r="153" spans="1:1">
      <c r="A153" s="549" t="s">
        <v>5247</v>
      </c>
    </row>
    <row r="154" spans="1:1">
      <c r="A154" s="549" t="s">
        <v>5248</v>
      </c>
    </row>
    <row r="155" spans="1:1">
      <c r="A155" s="549"/>
    </row>
    <row r="156" spans="1:1">
      <c r="A156" s="549" t="s">
        <v>2077</v>
      </c>
    </row>
    <row r="157" spans="1:1">
      <c r="A157" s="549" t="s">
        <v>988</v>
      </c>
    </row>
    <row r="158" spans="1:1">
      <c r="A158" s="550" t="s">
        <v>5296</v>
      </c>
    </row>
    <row r="160" spans="1:1">
      <c r="A160" s="549" t="s">
        <v>7726</v>
      </c>
    </row>
    <row r="161" spans="1:1">
      <c r="A161" s="549" t="s">
        <v>3601</v>
      </c>
    </row>
    <row r="162" spans="1:1">
      <c r="A162" s="549" t="s">
        <v>3602</v>
      </c>
    </row>
    <row r="163" spans="1:1">
      <c r="A163" s="549" t="s">
        <v>3603</v>
      </c>
    </row>
    <row r="166" spans="1:1">
      <c r="A166" s="552" t="s">
        <v>2734</v>
      </c>
    </row>
    <row r="167" spans="1:1">
      <c r="A167" s="566" t="s">
        <v>1942</v>
      </c>
    </row>
    <row r="168" spans="1:1">
      <c r="A168" s="566" t="s">
        <v>1943</v>
      </c>
    </row>
    <row r="169" spans="1:1">
      <c r="A169" s="566" t="s">
        <v>6677</v>
      </c>
    </row>
    <row r="170" spans="1:1">
      <c r="A170" s="566"/>
    </row>
    <row r="171" spans="1:1">
      <c r="A171" s="567" t="s">
        <v>710</v>
      </c>
    </row>
    <row r="172" spans="1:1">
      <c r="A172" s="567" t="s">
        <v>711</v>
      </c>
    </row>
    <row r="173" spans="1:1">
      <c r="A173" s="566" t="s">
        <v>3921</v>
      </c>
    </row>
    <row r="174" spans="1:1">
      <c r="A174" s="566" t="s">
        <v>6643</v>
      </c>
    </row>
    <row r="175" spans="1:1">
      <c r="A175" s="566" t="s">
        <v>6006</v>
      </c>
    </row>
    <row r="176" spans="1:1">
      <c r="A176" s="566"/>
    </row>
    <row r="177" spans="1:1">
      <c r="A177" s="566" t="s">
        <v>3070</v>
      </c>
    </row>
    <row r="178" spans="1:1">
      <c r="A178" s="566" t="s">
        <v>1944</v>
      </c>
    </row>
    <row r="179" spans="1:1">
      <c r="A179" s="566" t="s">
        <v>6634</v>
      </c>
    </row>
    <row r="180" spans="1:1">
      <c r="A180" s="566" t="s">
        <v>6644</v>
      </c>
    </row>
    <row r="181" spans="1:1">
      <c r="A181" s="566"/>
    </row>
    <row r="182" spans="1:1">
      <c r="A182" s="566" t="s">
        <v>3861</v>
      </c>
    </row>
    <row r="183" spans="1:1">
      <c r="A183" s="566" t="s">
        <v>3877</v>
      </c>
    </row>
    <row r="184" spans="1:1">
      <c r="A184" s="566" t="s">
        <v>1493</v>
      </c>
    </row>
    <row r="185" spans="1:1">
      <c r="A185" s="566" t="s">
        <v>3783</v>
      </c>
    </row>
    <row r="186" spans="1:1">
      <c r="A186" s="566" t="s">
        <v>6206</v>
      </c>
    </row>
    <row r="187" spans="1:1">
      <c r="A187" s="566"/>
    </row>
    <row r="188" spans="1:1">
      <c r="A188" s="566" t="s">
        <v>6007</v>
      </c>
    </row>
    <row r="189" spans="1:1">
      <c r="A189" s="566" t="s">
        <v>6207</v>
      </c>
    </row>
    <row r="190" spans="1:1">
      <c r="A190" s="567"/>
    </row>
    <row r="191" spans="1:1">
      <c r="A191" s="566" t="s">
        <v>6205</v>
      </c>
    </row>
    <row r="192" spans="1:1">
      <c r="A192" s="566" t="s">
        <v>6008</v>
      </c>
    </row>
    <row r="193" spans="1:1">
      <c r="A193" s="566" t="s">
        <v>3017</v>
      </c>
    </row>
    <row r="194" spans="1:1">
      <c r="A194" s="566" t="s">
        <v>3018</v>
      </c>
    </row>
    <row r="195" spans="1:1">
      <c r="A195" s="566" t="s">
        <v>3879</v>
      </c>
    </row>
    <row r="196" spans="1:1">
      <c r="A196" s="566" t="s">
        <v>3019</v>
      </c>
    </row>
    <row r="197" spans="1:1">
      <c r="A197" s="566"/>
    </row>
    <row r="198" spans="1:1">
      <c r="A198" s="566" t="s">
        <v>6009</v>
      </c>
    </row>
    <row r="199" spans="1:1">
      <c r="A199" s="566" t="s">
        <v>3020</v>
      </c>
    </row>
    <row r="200" spans="1:1">
      <c r="A200" s="566" t="s">
        <v>3021</v>
      </c>
    </row>
    <row r="201" spans="1:1">
      <c r="A201" s="566"/>
    </row>
    <row r="202" spans="1:1">
      <c r="A202" s="566" t="s">
        <v>6635</v>
      </c>
    </row>
    <row r="203" spans="1:1">
      <c r="A203" s="566" t="s">
        <v>3878</v>
      </c>
    </row>
    <row r="204" spans="1:1">
      <c r="A204" s="566"/>
    </row>
    <row r="205" spans="1:1">
      <c r="A205" s="566" t="s">
        <v>3875</v>
      </c>
    </row>
    <row r="206" spans="1:1">
      <c r="A206" s="566" t="s">
        <v>6010</v>
      </c>
    </row>
    <row r="207" spans="1:1">
      <c r="A207" s="566" t="s">
        <v>3876</v>
      </c>
    </row>
    <row r="208" spans="1:1">
      <c r="A208" s="566"/>
    </row>
    <row r="209" spans="1:1">
      <c r="A209" s="567" t="s">
        <v>3071</v>
      </c>
    </row>
    <row r="210" spans="1:1">
      <c r="A210" s="567" t="s">
        <v>647</v>
      </c>
    </row>
    <row r="211" spans="1:1">
      <c r="A211" s="567" t="s">
        <v>3016</v>
      </c>
    </row>
    <row r="212" spans="1:1">
      <c r="A212" s="566"/>
    </row>
    <row r="213" spans="1:1">
      <c r="A213" s="490" t="s">
        <v>3880</v>
      </c>
    </row>
    <row r="214" spans="1:1">
      <c r="A214" s="499" t="s">
        <v>6636</v>
      </c>
    </row>
    <row r="215" spans="1:1">
      <c r="A215" s="499" t="s">
        <v>6637</v>
      </c>
    </row>
    <row r="216" spans="1:1">
      <c r="A216" s="499" t="s">
        <v>6638</v>
      </c>
    </row>
    <row r="217" spans="1:1">
      <c r="A217" s="499" t="s">
        <v>6639</v>
      </c>
    </row>
    <row r="218" spans="1:1">
      <c r="A218" s="499" t="s">
        <v>6640</v>
      </c>
    </row>
    <row r="219" spans="1:1">
      <c r="A219" s="499" t="s">
        <v>6641</v>
      </c>
    </row>
    <row r="220" spans="1:1">
      <c r="A220" s="499"/>
    </row>
    <row r="221" spans="1:1">
      <c r="A221" s="499" t="s">
        <v>6642</v>
      </c>
    </row>
    <row r="222" spans="1:1">
      <c r="A222" s="499" t="s">
        <v>3052</v>
      </c>
    </row>
    <row r="223" spans="1:1">
      <c r="A223" s="499" t="s">
        <v>3053</v>
      </c>
    </row>
    <row r="224" spans="1:1">
      <c r="A224" s="499" t="s">
        <v>6678</v>
      </c>
    </row>
    <row r="225" spans="1:1">
      <c r="A225" s="499" t="s">
        <v>3055</v>
      </c>
    </row>
    <row r="226" spans="1:1">
      <c r="A226" s="601" t="s">
        <v>2733</v>
      </c>
    </row>
    <row r="227" spans="1:1">
      <c r="A227" s="499" t="s">
        <v>2725</v>
      </c>
    </row>
    <row r="228" spans="1:1">
      <c r="A228" s="499" t="s">
        <v>2727</v>
      </c>
    </row>
    <row r="229" spans="1:1">
      <c r="A229" s="499" t="s">
        <v>2728</v>
      </c>
    </row>
    <row r="230" spans="1:1">
      <c r="A230" s="499" t="s">
        <v>2726</v>
      </c>
    </row>
    <row r="231" spans="1:1">
      <c r="A231" s="499"/>
    </row>
    <row r="232" spans="1:1">
      <c r="A232" s="499" t="s">
        <v>2729</v>
      </c>
    </row>
    <row r="233" spans="1:1">
      <c r="A233" s="499" t="s">
        <v>2730</v>
      </c>
    </row>
    <row r="234" spans="1:1">
      <c r="A234" s="499" t="s">
        <v>646</v>
      </c>
    </row>
    <row r="235" spans="1:1">
      <c r="A235" s="499" t="s">
        <v>5914</v>
      </c>
    </row>
    <row r="236" spans="1:1">
      <c r="A236" s="499"/>
    </row>
    <row r="237" spans="1:1">
      <c r="A237" s="499" t="s">
        <v>6199</v>
      </c>
    </row>
    <row r="238" spans="1:1">
      <c r="A238" s="499" t="s">
        <v>2731</v>
      </c>
    </row>
    <row r="239" spans="1:1">
      <c r="A239" s="499" t="s">
        <v>985</v>
      </c>
    </row>
    <row r="240" spans="1:1">
      <c r="A240" s="499"/>
    </row>
    <row r="241" spans="1:1">
      <c r="A241" s="499" t="s">
        <v>6200</v>
      </c>
    </row>
    <row r="242" spans="1:1">
      <c r="A242" s="499" t="s">
        <v>2732</v>
      </c>
    </row>
    <row r="243" spans="1:1">
      <c r="A243" s="499" t="s">
        <v>851</v>
      </c>
    </row>
    <row r="244" spans="1:1">
      <c r="A244" s="499" t="s">
        <v>852</v>
      </c>
    </row>
    <row r="245" spans="1:1">
      <c r="A245" s="499" t="s">
        <v>2206</v>
      </c>
    </row>
    <row r="246" spans="1:1">
      <c r="A246" s="499" t="s">
        <v>853</v>
      </c>
    </row>
    <row r="247" spans="1:1">
      <c r="A247" s="499"/>
    </row>
    <row r="248" spans="1:1">
      <c r="A248" s="499" t="s">
        <v>6201</v>
      </c>
    </row>
    <row r="249" spans="1:1">
      <c r="A249" s="499" t="s">
        <v>854</v>
      </c>
    </row>
    <row r="250" spans="1:1">
      <c r="A250" s="499" t="s">
        <v>4952</v>
      </c>
    </row>
    <row r="251" spans="1:1">
      <c r="A251" s="499" t="s">
        <v>986</v>
      </c>
    </row>
    <row r="252" spans="1:1">
      <c r="A252" s="499" t="s">
        <v>688</v>
      </c>
    </row>
    <row r="253" spans="1:1">
      <c r="A253" s="499"/>
    </row>
    <row r="254" spans="1:1">
      <c r="A254" s="499" t="s">
        <v>6202</v>
      </c>
    </row>
    <row r="255" spans="1:1">
      <c r="A255" s="499" t="s">
        <v>4953</v>
      </c>
    </row>
    <row r="256" spans="1:1">
      <c r="A256" s="499" t="s">
        <v>987</v>
      </c>
    </row>
    <row r="257" spans="1:1">
      <c r="A257" s="499"/>
    </row>
    <row r="258" spans="1:1">
      <c r="A258" s="499" t="s">
        <v>6203</v>
      </c>
    </row>
    <row r="259" spans="1:1">
      <c r="A259" s="499" t="s">
        <v>4954</v>
      </c>
    </row>
    <row r="260" spans="1:1">
      <c r="A260" s="499"/>
    </row>
    <row r="261" spans="1:1">
      <c r="A261" s="499" t="s">
        <v>6204</v>
      </c>
    </row>
    <row r="262" spans="1:1">
      <c r="A262" s="499" t="s">
        <v>855</v>
      </c>
    </row>
    <row r="263" spans="1:1">
      <c r="A263" s="499" t="s">
        <v>2209</v>
      </c>
    </row>
    <row r="264" spans="1:1">
      <c r="A264" s="499" t="s">
        <v>277</v>
      </c>
    </row>
    <row r="265" spans="1:1">
      <c r="A265" s="499"/>
    </row>
    <row r="266" spans="1:1">
      <c r="A266" s="499"/>
    </row>
    <row r="267" spans="1:1">
      <c r="A267" s="628" t="s">
        <v>5393</v>
      </c>
    </row>
    <row r="268" spans="1:1">
      <c r="A268" s="629" t="s">
        <v>821</v>
      </c>
    </row>
    <row r="269" spans="1:1">
      <c r="A269" s="629"/>
    </row>
    <row r="270" spans="1:1">
      <c r="A270" s="629" t="s">
        <v>822</v>
      </c>
    </row>
    <row r="271" spans="1:1">
      <c r="A271" s="629" t="s">
        <v>823</v>
      </c>
    </row>
    <row r="272" spans="1:1">
      <c r="A272" s="629" t="s">
        <v>824</v>
      </c>
    </row>
    <row r="273" spans="1:1">
      <c r="A273" s="629" t="s">
        <v>825</v>
      </c>
    </row>
    <row r="274" spans="1:1">
      <c r="A274" s="629" t="s">
        <v>826</v>
      </c>
    </row>
    <row r="275" spans="1:1">
      <c r="A275" s="629" t="s">
        <v>827</v>
      </c>
    </row>
    <row r="276" spans="1:1">
      <c r="A276" s="629" t="s">
        <v>828</v>
      </c>
    </row>
    <row r="277" spans="1:1">
      <c r="A277" s="629" t="s">
        <v>7108</v>
      </c>
    </row>
    <row r="278" spans="1:1">
      <c r="A278" s="629" t="s">
        <v>1717</v>
      </c>
    </row>
    <row r="279" spans="1:1">
      <c r="A279" s="629" t="s">
        <v>2948</v>
      </c>
    </row>
    <row r="280" spans="1:1">
      <c r="A280" s="629" t="s">
        <v>507</v>
      </c>
    </row>
    <row r="281" spans="1:1">
      <c r="A281" s="629" t="s">
        <v>508</v>
      </c>
    </row>
    <row r="282" spans="1:1">
      <c r="A282" s="629" t="s">
        <v>509</v>
      </c>
    </row>
    <row r="284" spans="1:1">
      <c r="A284" s="629" t="s">
        <v>829</v>
      </c>
    </row>
    <row r="285" spans="1:1">
      <c r="A285" s="629" t="s">
        <v>830</v>
      </c>
    </row>
    <row r="286" spans="1:1">
      <c r="A286" s="629" t="s">
        <v>831</v>
      </c>
    </row>
    <row r="287" spans="1:1">
      <c r="A287" s="629"/>
    </row>
    <row r="288" spans="1:1">
      <c r="A288" s="629" t="s">
        <v>832</v>
      </c>
    </row>
    <row r="289" spans="1:1">
      <c r="A289" s="629" t="s">
        <v>833</v>
      </c>
    </row>
    <row r="290" spans="1:1">
      <c r="A290" s="629" t="s">
        <v>7106</v>
      </c>
    </row>
    <row r="291" spans="1:1">
      <c r="A291" s="629"/>
    </row>
    <row r="292" spans="1:1">
      <c r="A292" s="629" t="s">
        <v>7107</v>
      </c>
    </row>
    <row r="293" spans="1:1">
      <c r="A293" s="629"/>
    </row>
    <row r="294" spans="1:1">
      <c r="A294" s="629"/>
    </row>
    <row r="295" spans="1:1">
      <c r="A295" s="629"/>
    </row>
    <row r="296" spans="1:1">
      <c r="A296" s="629"/>
    </row>
    <row r="297" spans="1:1">
      <c r="A297" s="629"/>
    </row>
    <row r="298" spans="1:1">
      <c r="A298" s="629"/>
    </row>
    <row r="299" spans="1:1">
      <c r="A299" s="629"/>
    </row>
  </sheetData>
  <sheetProtection sheet="1" objects="1" scenarios="1"/>
  <phoneticPr fontId="0" type="noConversion"/>
  <pageMargins left="0.25" right="0.25" top="0.5" bottom="0.5" header="0.5" footer="0.5"/>
  <pageSetup orientation="portrait" horizontalDpi="4294967293" r:id="rId1"/>
  <headerFooter alignWithMargins="0"/>
  <rowBreaks count="3" manualBreakCount="3">
    <brk id="57" man="1"/>
    <brk id="94" man="1"/>
    <brk id="143"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
  <dimension ref="A1:M1054"/>
  <sheetViews>
    <sheetView topLeftCell="A13" workbookViewId="0">
      <selection activeCell="G3" sqref="G3"/>
    </sheetView>
  </sheetViews>
  <sheetFormatPr defaultColWidth="8.77734375" defaultRowHeight="14.4"/>
  <cols>
    <col min="1" max="1" width="8.77734375" style="633" customWidth="1"/>
    <col min="2" max="2" width="35.77734375" style="187" bestFit="1" customWidth="1"/>
    <col min="3" max="3" width="11.5546875" style="915" bestFit="1" customWidth="1"/>
    <col min="4" max="4" width="10.77734375" style="915" bestFit="1" customWidth="1"/>
    <col min="5" max="5" width="9.77734375" style="915" bestFit="1" customWidth="1"/>
    <col min="6" max="6" width="11.5546875" style="915" bestFit="1" customWidth="1"/>
    <col min="7" max="7" width="11.5546875" style="916" customWidth="1"/>
    <col min="8" max="9" width="11.5546875" style="915" customWidth="1"/>
    <col min="10" max="10" width="14" style="915" bestFit="1" customWidth="1"/>
    <col min="11" max="11" width="19.77734375" style="915" bestFit="1" customWidth="1"/>
    <col min="12" max="12" width="16.77734375" style="915" bestFit="1" customWidth="1"/>
    <col min="13" max="13" width="18.21875" style="915" bestFit="1" customWidth="1"/>
    <col min="14" max="16384" width="8.77734375" style="187"/>
  </cols>
  <sheetData>
    <row r="1" spans="1:13">
      <c r="A1" s="914" t="str">
        <f>'Data Entry - SOF'!B2</f>
        <v>000-000</v>
      </c>
      <c r="B1" s="423" t="s">
        <v>1759</v>
      </c>
      <c r="C1" s="915" t="s">
        <v>6291</v>
      </c>
      <c r="D1" s="915" t="s">
        <v>160</v>
      </c>
      <c r="E1" s="915" t="s">
        <v>7804</v>
      </c>
      <c r="F1" s="915" t="s">
        <v>7805</v>
      </c>
      <c r="G1" s="916" t="s">
        <v>7806</v>
      </c>
      <c r="J1" s="915" t="s">
        <v>7807</v>
      </c>
      <c r="K1" s="915" t="s">
        <v>7808</v>
      </c>
      <c r="L1" s="915" t="s">
        <v>7809</v>
      </c>
      <c r="M1" s="915" t="s">
        <v>7810</v>
      </c>
    </row>
    <row r="2" spans="1:13" s="913" customFormat="1">
      <c r="A2" s="917" t="e">
        <f>VLOOKUP($A$1,$A$3:A1045,1,FALSE)</f>
        <v>#N/A</v>
      </c>
      <c r="B2" s="917" t="e">
        <f>VLOOKUP($A$1,$A$3:B1045,2,FALSE)</f>
        <v>#N/A</v>
      </c>
      <c r="C2" s="918" t="e">
        <f>VLOOKUP($A$1,$A$3:C1045,3,FALSE)</f>
        <v>#N/A</v>
      </c>
      <c r="D2" s="918" t="e">
        <f>VLOOKUP($A$1,$A$3:D1045,4,FALSE)</f>
        <v>#N/A</v>
      </c>
      <c r="E2" s="918" t="e">
        <f>VLOOKUP($A$1,$A$3:E1045,5,FALSE)</f>
        <v>#N/A</v>
      </c>
      <c r="F2" s="918" t="e">
        <f>VLOOKUP($A$1,$A$3:F1045,6,FALSE)</f>
        <v>#N/A</v>
      </c>
      <c r="G2" s="919" t="e">
        <f>IF(F2&lt;C2,1,0)</f>
        <v>#N/A</v>
      </c>
      <c r="H2" s="920"/>
      <c r="I2" s="920"/>
      <c r="J2" s="920"/>
      <c r="K2" s="921"/>
      <c r="L2" s="921"/>
      <c r="M2" s="921"/>
    </row>
    <row r="3" spans="1:13">
      <c r="A3" s="633" t="s">
        <v>3890</v>
      </c>
      <c r="B3" s="423" t="s">
        <v>1763</v>
      </c>
      <c r="C3" s="915">
        <v>568.04600000000005</v>
      </c>
      <c r="D3" s="915">
        <v>0</v>
      </c>
      <c r="E3" s="915">
        <v>0</v>
      </c>
      <c r="F3" s="915">
        <v>568.04600000000005</v>
      </c>
      <c r="G3" s="922">
        <f t="shared" ref="G3:G66" si="0">IF(F3&lt;C3,1,0)</f>
        <v>0</v>
      </c>
      <c r="H3" s="915" t="e">
        <v>#REF!</v>
      </c>
      <c r="I3" s="915" t="e">
        <f t="shared" ref="I3:I66" si="1">F3-H3</f>
        <v>#REF!</v>
      </c>
      <c r="J3" s="915">
        <v>1.9590000000000001</v>
      </c>
      <c r="K3" s="915">
        <v>0</v>
      </c>
      <c r="L3" s="915">
        <v>0</v>
      </c>
      <c r="M3" s="915">
        <v>1.9590000000000001</v>
      </c>
    </row>
    <row r="4" spans="1:13">
      <c r="A4" s="633" t="s">
        <v>694</v>
      </c>
      <c r="B4" s="423" t="s">
        <v>1764</v>
      </c>
      <c r="C4" s="915">
        <v>1285.8520000000001</v>
      </c>
      <c r="D4" s="915">
        <v>87.521000000000001</v>
      </c>
      <c r="E4" s="915">
        <v>48.061999999999998</v>
      </c>
      <c r="F4" s="915">
        <v>1246.393</v>
      </c>
      <c r="G4" s="922">
        <f t="shared" si="0"/>
        <v>1</v>
      </c>
      <c r="H4" s="915" t="e">
        <v>#REF!</v>
      </c>
      <c r="I4" s="915" t="e">
        <f t="shared" si="1"/>
        <v>#REF!</v>
      </c>
      <c r="J4" s="915">
        <v>9.5139999999999993</v>
      </c>
      <c r="K4" s="915">
        <v>4.141</v>
      </c>
      <c r="L4" s="915">
        <v>2.1120000000000001</v>
      </c>
      <c r="M4" s="915">
        <v>7.4850000000000003</v>
      </c>
    </row>
    <row r="5" spans="1:13">
      <c r="A5" s="633" t="s">
        <v>696</v>
      </c>
      <c r="B5" s="423" t="s">
        <v>1765</v>
      </c>
      <c r="C5" s="915">
        <v>712.79899999999998</v>
      </c>
      <c r="D5" s="915">
        <v>8.6859999999999999</v>
      </c>
      <c r="E5" s="915">
        <v>8.6859999999999999</v>
      </c>
      <c r="F5" s="915">
        <v>712.79899999999998</v>
      </c>
      <c r="G5" s="922">
        <f t="shared" si="0"/>
        <v>0</v>
      </c>
      <c r="H5" s="915" t="e">
        <v>#REF!</v>
      </c>
      <c r="I5" s="915" t="e">
        <f t="shared" si="1"/>
        <v>#REF!</v>
      </c>
      <c r="J5" s="915">
        <v>29.018999999999998</v>
      </c>
      <c r="K5" s="915">
        <v>0.40600000000000003</v>
      </c>
      <c r="L5" s="915">
        <v>0.40600000000000003</v>
      </c>
      <c r="M5" s="915">
        <v>29.018999999999998</v>
      </c>
    </row>
    <row r="6" spans="1:13">
      <c r="A6" s="633" t="s">
        <v>698</v>
      </c>
      <c r="B6" s="423" t="s">
        <v>1766</v>
      </c>
      <c r="C6" s="915">
        <v>372.66500000000002</v>
      </c>
      <c r="D6" s="915">
        <v>0</v>
      </c>
      <c r="E6" s="915">
        <v>0</v>
      </c>
      <c r="F6" s="915">
        <v>372.66500000000002</v>
      </c>
      <c r="G6" s="922">
        <f t="shared" si="0"/>
        <v>0</v>
      </c>
      <c r="H6" s="915" t="e">
        <v>#REF!</v>
      </c>
      <c r="I6" s="915" t="e">
        <f t="shared" si="1"/>
        <v>#REF!</v>
      </c>
      <c r="J6" s="915">
        <v>4.7469999999999999</v>
      </c>
      <c r="K6" s="915">
        <v>0</v>
      </c>
      <c r="L6" s="915">
        <v>0</v>
      </c>
      <c r="M6" s="915">
        <v>4.7469999999999999</v>
      </c>
    </row>
    <row r="7" spans="1:13">
      <c r="A7" s="633" t="s">
        <v>700</v>
      </c>
      <c r="B7" s="423" t="s">
        <v>1767</v>
      </c>
      <c r="C7" s="915">
        <v>3023.0520000000001</v>
      </c>
      <c r="D7" s="915">
        <v>83.856999999999999</v>
      </c>
      <c r="E7" s="915">
        <v>83.692999999999998</v>
      </c>
      <c r="F7" s="915">
        <v>3022.8879999999999</v>
      </c>
      <c r="G7" s="922">
        <f t="shared" si="0"/>
        <v>1</v>
      </c>
      <c r="H7" s="915" t="e">
        <v>#REF!</v>
      </c>
      <c r="I7" s="915" t="e">
        <f t="shared" si="1"/>
        <v>#REF!</v>
      </c>
      <c r="J7" s="915">
        <v>246.953</v>
      </c>
      <c r="K7" s="915">
        <v>31.54</v>
      </c>
      <c r="L7" s="915">
        <v>31.54</v>
      </c>
      <c r="M7" s="915">
        <v>246.953</v>
      </c>
    </row>
    <row r="8" spans="1:13">
      <c r="A8" s="633" t="s">
        <v>1491</v>
      </c>
      <c r="B8" s="423" t="s">
        <v>1768</v>
      </c>
      <c r="C8" s="915">
        <v>1641.088</v>
      </c>
      <c r="D8" s="915">
        <v>58.061</v>
      </c>
      <c r="E8" s="915">
        <v>29.998000000000001</v>
      </c>
      <c r="F8" s="915">
        <v>1613.0250000000001</v>
      </c>
      <c r="G8" s="922">
        <f t="shared" si="0"/>
        <v>1</v>
      </c>
      <c r="H8" s="915" t="e">
        <v>#REF!</v>
      </c>
      <c r="I8" s="915" t="e">
        <f t="shared" si="1"/>
        <v>#REF!</v>
      </c>
      <c r="J8" s="915">
        <v>57.683999999999997</v>
      </c>
      <c r="K8" s="915">
        <v>6.63</v>
      </c>
      <c r="L8" s="915">
        <v>3.3149999999999999</v>
      </c>
      <c r="M8" s="915">
        <v>54.369</v>
      </c>
    </row>
    <row r="9" spans="1:13">
      <c r="A9" s="633" t="s">
        <v>6212</v>
      </c>
      <c r="B9" s="423" t="s">
        <v>1769</v>
      </c>
      <c r="C9" s="915">
        <v>370.54700000000003</v>
      </c>
      <c r="D9" s="915">
        <v>20.67</v>
      </c>
      <c r="E9" s="915">
        <v>10.73</v>
      </c>
      <c r="F9" s="915">
        <v>360.60700000000003</v>
      </c>
      <c r="G9" s="922">
        <f t="shared" si="0"/>
        <v>1</v>
      </c>
      <c r="H9" s="915" t="e">
        <v>#REF!</v>
      </c>
      <c r="I9" s="915" t="e">
        <f t="shared" si="1"/>
        <v>#REF!</v>
      </c>
      <c r="J9" s="915">
        <v>1.6</v>
      </c>
      <c r="K9" s="915">
        <v>0.65900000000000003</v>
      </c>
      <c r="L9" s="915">
        <v>0.35699999999999998</v>
      </c>
      <c r="M9" s="915">
        <v>1.298</v>
      </c>
    </row>
    <row r="10" spans="1:13">
      <c r="A10" s="633" t="s">
        <v>2753</v>
      </c>
      <c r="B10" s="423" t="s">
        <v>5003</v>
      </c>
      <c r="C10" s="915">
        <v>2851.7530000000002</v>
      </c>
      <c r="D10" s="915">
        <v>61.37</v>
      </c>
      <c r="E10" s="915">
        <v>61.37</v>
      </c>
      <c r="F10" s="915">
        <v>2851.7530000000002</v>
      </c>
      <c r="G10" s="922">
        <f t="shared" si="0"/>
        <v>0</v>
      </c>
      <c r="H10" s="915" t="e">
        <v>#REF!</v>
      </c>
      <c r="I10" s="915" t="e">
        <f t="shared" si="1"/>
        <v>#REF!</v>
      </c>
      <c r="J10" s="915">
        <v>227.46799999999999</v>
      </c>
      <c r="K10" s="915">
        <v>13.467000000000001</v>
      </c>
      <c r="L10" s="915">
        <v>13.467000000000001</v>
      </c>
      <c r="M10" s="915">
        <v>227.46799999999999</v>
      </c>
    </row>
    <row r="11" spans="1:13">
      <c r="A11" s="633" t="s">
        <v>3080</v>
      </c>
      <c r="B11" s="423" t="s">
        <v>3853</v>
      </c>
      <c r="C11" s="915">
        <v>2372.5770000000002</v>
      </c>
      <c r="D11" s="915">
        <v>42.795000000000002</v>
      </c>
      <c r="E11" s="915">
        <v>35.558</v>
      </c>
      <c r="F11" s="915">
        <v>2365.3409999999999</v>
      </c>
      <c r="G11" s="922">
        <f t="shared" si="0"/>
        <v>1</v>
      </c>
      <c r="H11" s="915" t="e">
        <v>#REF!</v>
      </c>
      <c r="I11" s="915" t="e">
        <f t="shared" si="1"/>
        <v>#REF!</v>
      </c>
      <c r="J11" s="915">
        <v>134.27199999999999</v>
      </c>
      <c r="K11" s="915">
        <v>13.317</v>
      </c>
      <c r="L11" s="915">
        <v>7.0970000000000004</v>
      </c>
      <c r="M11" s="915">
        <v>128.05199999999999</v>
      </c>
    </row>
    <row r="12" spans="1:13">
      <c r="A12" s="633" t="s">
        <v>2842</v>
      </c>
      <c r="B12" s="423" t="s">
        <v>5004</v>
      </c>
      <c r="C12" s="915">
        <v>8113.5749999999998</v>
      </c>
      <c r="D12" s="915">
        <v>629.42399999999998</v>
      </c>
      <c r="E12" s="915">
        <v>319.36399999999998</v>
      </c>
      <c r="F12" s="915">
        <v>7803.5150000000003</v>
      </c>
      <c r="G12" s="922">
        <f t="shared" si="0"/>
        <v>1</v>
      </c>
      <c r="H12" s="915" t="e">
        <v>#REF!</v>
      </c>
      <c r="I12" s="915" t="e">
        <f t="shared" si="1"/>
        <v>#REF!</v>
      </c>
      <c r="J12" s="915">
        <v>1227.8130000000001</v>
      </c>
      <c r="K12" s="915">
        <v>206.006</v>
      </c>
      <c r="L12" s="915">
        <v>104.014</v>
      </c>
      <c r="M12" s="915">
        <v>1125.8209999999999</v>
      </c>
    </row>
    <row r="13" spans="1:13">
      <c r="A13" s="633" t="s">
        <v>1874</v>
      </c>
      <c r="B13" s="423" t="s">
        <v>3857</v>
      </c>
      <c r="C13" s="915">
        <v>1641.8779999999999</v>
      </c>
      <c r="D13" s="915">
        <v>19.347999999999999</v>
      </c>
      <c r="E13" s="915">
        <v>19.347999999999999</v>
      </c>
      <c r="F13" s="915">
        <v>1641.8779999999999</v>
      </c>
      <c r="G13" s="922">
        <f t="shared" si="0"/>
        <v>0</v>
      </c>
      <c r="H13" s="915" t="e">
        <v>#REF!</v>
      </c>
      <c r="I13" s="915" t="e">
        <f t="shared" si="1"/>
        <v>#REF!</v>
      </c>
      <c r="J13" s="915">
        <v>15.975</v>
      </c>
      <c r="K13" s="915">
        <v>0.71599999999999997</v>
      </c>
      <c r="L13" s="915">
        <v>0.71599999999999997</v>
      </c>
      <c r="M13" s="915">
        <v>15.975</v>
      </c>
    </row>
    <row r="14" spans="1:13">
      <c r="A14" s="633" t="s">
        <v>2844</v>
      </c>
      <c r="B14" s="423" t="s">
        <v>5005</v>
      </c>
      <c r="C14" s="915">
        <v>1739.2460000000001</v>
      </c>
      <c r="D14" s="915">
        <v>117.377</v>
      </c>
      <c r="E14" s="915">
        <v>65.037999999999997</v>
      </c>
      <c r="F14" s="915">
        <v>1686.9069999999999</v>
      </c>
      <c r="G14" s="922">
        <f t="shared" si="0"/>
        <v>1</v>
      </c>
      <c r="H14" s="915" t="e">
        <v>#REF!</v>
      </c>
      <c r="I14" s="915" t="e">
        <f t="shared" si="1"/>
        <v>#REF!</v>
      </c>
      <c r="J14" s="915">
        <v>235.28</v>
      </c>
      <c r="K14" s="915">
        <v>39.832999999999998</v>
      </c>
      <c r="L14" s="915">
        <v>21.582999999999998</v>
      </c>
      <c r="M14" s="915">
        <v>217.029</v>
      </c>
    </row>
    <row r="15" spans="1:13">
      <c r="A15" s="633" t="s">
        <v>2846</v>
      </c>
      <c r="B15" s="423" t="s">
        <v>5006</v>
      </c>
      <c r="C15" s="915">
        <v>444.42700000000002</v>
      </c>
      <c r="D15" s="915">
        <v>6.165</v>
      </c>
      <c r="E15" s="915">
        <v>6.165</v>
      </c>
      <c r="F15" s="915">
        <v>444.42700000000002</v>
      </c>
      <c r="G15" s="922">
        <f t="shared" si="0"/>
        <v>0</v>
      </c>
      <c r="H15" s="915" t="e">
        <v>#REF!</v>
      </c>
      <c r="I15" s="915" t="e">
        <f t="shared" si="1"/>
        <v>#REF!</v>
      </c>
      <c r="J15" s="915">
        <v>0</v>
      </c>
      <c r="K15" s="915">
        <v>0</v>
      </c>
      <c r="L15" s="915">
        <v>0</v>
      </c>
      <c r="M15" s="915">
        <v>0</v>
      </c>
    </row>
    <row r="16" spans="1:13">
      <c r="A16" s="633" t="s">
        <v>2848</v>
      </c>
      <c r="B16" s="423" t="s">
        <v>5007</v>
      </c>
      <c r="C16" s="915">
        <v>1461.3040000000001</v>
      </c>
      <c r="D16" s="915">
        <v>20.794</v>
      </c>
      <c r="E16" s="915">
        <v>20.794</v>
      </c>
      <c r="F16" s="915">
        <v>1461.3040000000001</v>
      </c>
      <c r="G16" s="922">
        <f t="shared" si="0"/>
        <v>0</v>
      </c>
      <c r="H16" s="915" t="e">
        <v>#REF!</v>
      </c>
      <c r="I16" s="915" t="e">
        <f t="shared" si="1"/>
        <v>#REF!</v>
      </c>
      <c r="J16" s="915">
        <v>41.054000000000002</v>
      </c>
      <c r="K16" s="915">
        <v>2.0289999999999999</v>
      </c>
      <c r="L16" s="915">
        <v>2.0289999999999999</v>
      </c>
      <c r="M16" s="915">
        <v>41.054000000000002</v>
      </c>
    </row>
    <row r="17" spans="1:13">
      <c r="A17" s="633" t="s">
        <v>1225</v>
      </c>
      <c r="B17" s="423" t="s">
        <v>5008</v>
      </c>
      <c r="C17" s="915">
        <v>2840.0569999999998</v>
      </c>
      <c r="D17" s="915">
        <v>40.241999999999997</v>
      </c>
      <c r="E17" s="915">
        <v>40.241999999999997</v>
      </c>
      <c r="F17" s="915">
        <v>2840.0569999999998</v>
      </c>
      <c r="G17" s="922">
        <f t="shared" si="0"/>
        <v>0</v>
      </c>
      <c r="H17" s="915" t="e">
        <v>#REF!</v>
      </c>
      <c r="I17" s="915" t="e">
        <f t="shared" si="1"/>
        <v>#REF!</v>
      </c>
      <c r="J17" s="915">
        <v>118.486</v>
      </c>
      <c r="K17" s="915">
        <v>6.0019999999999998</v>
      </c>
      <c r="L17" s="915">
        <v>6.0019999999999998</v>
      </c>
      <c r="M17" s="915">
        <v>118.486</v>
      </c>
    </row>
    <row r="18" spans="1:13">
      <c r="A18" s="633" t="s">
        <v>1227</v>
      </c>
      <c r="B18" s="423" t="s">
        <v>4094</v>
      </c>
      <c r="C18" s="915">
        <v>428.54</v>
      </c>
      <c r="D18" s="915">
        <v>2.7040000000000002</v>
      </c>
      <c r="E18" s="915">
        <v>2.7040000000000002</v>
      </c>
      <c r="F18" s="915">
        <v>428.54</v>
      </c>
      <c r="G18" s="922">
        <f t="shared" si="0"/>
        <v>0</v>
      </c>
      <c r="H18" s="915" t="e">
        <v>#REF!</v>
      </c>
      <c r="I18" s="915" t="e">
        <f t="shared" si="1"/>
        <v>#REF!</v>
      </c>
      <c r="J18" s="915">
        <v>0.82599999999999996</v>
      </c>
      <c r="K18" s="915">
        <v>0</v>
      </c>
      <c r="L18" s="915">
        <v>0</v>
      </c>
      <c r="M18" s="915">
        <v>0.82599999999999996</v>
      </c>
    </row>
    <row r="19" spans="1:13">
      <c r="A19" s="633" t="s">
        <v>1229</v>
      </c>
      <c r="B19" s="423" t="s">
        <v>4095</v>
      </c>
      <c r="C19" s="915">
        <v>817.65599999999995</v>
      </c>
      <c r="D19" s="915">
        <v>7.5220000000000002</v>
      </c>
      <c r="E19" s="915">
        <v>7.3760000000000003</v>
      </c>
      <c r="F19" s="915">
        <v>817.50900000000001</v>
      </c>
      <c r="G19" s="922">
        <f t="shared" si="0"/>
        <v>1</v>
      </c>
      <c r="H19" s="915" t="e">
        <v>#REF!</v>
      </c>
      <c r="I19" s="915" t="e">
        <f t="shared" si="1"/>
        <v>#REF!</v>
      </c>
      <c r="J19" s="915">
        <v>0.90600000000000003</v>
      </c>
      <c r="K19" s="915">
        <v>0</v>
      </c>
      <c r="L19" s="915">
        <v>0</v>
      </c>
      <c r="M19" s="915">
        <v>0.90600000000000003</v>
      </c>
    </row>
    <row r="20" spans="1:13">
      <c r="A20" s="633" t="s">
        <v>2360</v>
      </c>
      <c r="B20" s="423" t="s">
        <v>2004</v>
      </c>
      <c r="C20" s="915">
        <v>484.16800000000001</v>
      </c>
      <c r="D20" s="915">
        <v>4.141</v>
      </c>
      <c r="E20" s="915">
        <v>4.141</v>
      </c>
      <c r="F20" s="915">
        <v>484.16800000000001</v>
      </c>
      <c r="G20" s="922">
        <f t="shared" si="0"/>
        <v>0</v>
      </c>
      <c r="H20" s="915" t="e">
        <v>#REF!</v>
      </c>
      <c r="I20" s="915" t="e">
        <f t="shared" si="1"/>
        <v>#REF!</v>
      </c>
      <c r="J20" s="915">
        <v>61.334000000000003</v>
      </c>
      <c r="K20" s="915">
        <v>2.7229999999999999</v>
      </c>
      <c r="L20" s="915">
        <v>2.7229999999999999</v>
      </c>
      <c r="M20" s="915">
        <v>61.334000000000003</v>
      </c>
    </row>
    <row r="21" spans="1:13">
      <c r="A21" s="633" t="s">
        <v>1233</v>
      </c>
      <c r="B21" s="423" t="s">
        <v>4097</v>
      </c>
      <c r="C21" s="915">
        <v>318.19400000000002</v>
      </c>
      <c r="D21" s="915">
        <v>0</v>
      </c>
      <c r="E21" s="915">
        <v>0</v>
      </c>
      <c r="F21" s="915">
        <v>318.19400000000002</v>
      </c>
      <c r="G21" s="922">
        <f t="shared" si="0"/>
        <v>0</v>
      </c>
      <c r="H21" s="915" t="e">
        <v>#REF!</v>
      </c>
      <c r="I21" s="915" t="e">
        <f t="shared" si="1"/>
        <v>#REF!</v>
      </c>
      <c r="J21" s="915">
        <v>5.883</v>
      </c>
      <c r="K21" s="915">
        <v>0</v>
      </c>
      <c r="L21" s="915">
        <v>0</v>
      </c>
      <c r="M21" s="915">
        <v>5.883</v>
      </c>
    </row>
    <row r="22" spans="1:13">
      <c r="A22" s="633" t="s">
        <v>3081</v>
      </c>
      <c r="B22" s="423" t="s">
        <v>6107</v>
      </c>
      <c r="C22" s="915">
        <v>494.54399999999998</v>
      </c>
      <c r="D22" s="915">
        <v>8.7650000000000006</v>
      </c>
      <c r="E22" s="915">
        <v>4.9980000000000002</v>
      </c>
      <c r="F22" s="915">
        <v>490.77699999999999</v>
      </c>
      <c r="G22" s="922">
        <f t="shared" si="0"/>
        <v>1</v>
      </c>
      <c r="H22" s="915" t="e">
        <v>#REF!</v>
      </c>
      <c r="I22" s="915" t="e">
        <f t="shared" si="1"/>
        <v>#REF!</v>
      </c>
      <c r="J22" s="915">
        <v>24.684999999999999</v>
      </c>
      <c r="K22" s="915">
        <v>0</v>
      </c>
      <c r="L22" s="915">
        <v>0</v>
      </c>
      <c r="M22" s="915">
        <v>24.684999999999999</v>
      </c>
    </row>
    <row r="23" spans="1:13">
      <c r="A23" s="633" t="s">
        <v>1235</v>
      </c>
      <c r="B23" s="423" t="s">
        <v>4098</v>
      </c>
      <c r="C23" s="915">
        <v>1204.759</v>
      </c>
      <c r="D23" s="915">
        <v>8.8149999999999995</v>
      </c>
      <c r="E23" s="915">
        <v>8.8149999999999995</v>
      </c>
      <c r="F23" s="915">
        <v>1204.759</v>
      </c>
      <c r="G23" s="922">
        <f t="shared" si="0"/>
        <v>0</v>
      </c>
      <c r="H23" s="915" t="e">
        <v>#REF!</v>
      </c>
      <c r="I23" s="915" t="e">
        <f t="shared" si="1"/>
        <v>#REF!</v>
      </c>
      <c r="J23" s="915">
        <v>23.135000000000002</v>
      </c>
      <c r="K23" s="915">
        <v>0.88600000000000001</v>
      </c>
      <c r="L23" s="915">
        <v>0.88600000000000001</v>
      </c>
      <c r="M23" s="915">
        <v>23.135000000000002</v>
      </c>
    </row>
    <row r="24" spans="1:13">
      <c r="A24" s="633" t="s">
        <v>2999</v>
      </c>
      <c r="B24" s="423" t="s">
        <v>4099</v>
      </c>
      <c r="C24" s="915">
        <v>1632.296</v>
      </c>
      <c r="D24" s="915">
        <v>84.492999999999995</v>
      </c>
      <c r="E24" s="915">
        <v>46.753999999999998</v>
      </c>
      <c r="F24" s="915">
        <v>1594.557</v>
      </c>
      <c r="G24" s="922">
        <f t="shared" si="0"/>
        <v>1</v>
      </c>
      <c r="H24" s="915" t="e">
        <v>#REF!</v>
      </c>
      <c r="I24" s="915" t="e">
        <f t="shared" si="1"/>
        <v>#REF!</v>
      </c>
      <c r="J24" s="915">
        <v>109.062</v>
      </c>
      <c r="K24" s="915">
        <v>11.257</v>
      </c>
      <c r="L24" s="915">
        <v>6.0590000000000002</v>
      </c>
      <c r="M24" s="915">
        <v>103.864</v>
      </c>
    </row>
    <row r="25" spans="1:13">
      <c r="A25" s="633" t="s">
        <v>5127</v>
      </c>
      <c r="B25" s="423" t="s">
        <v>342</v>
      </c>
      <c r="C25" s="915">
        <v>3209.7449999999999</v>
      </c>
      <c r="D25" s="915">
        <v>57.31</v>
      </c>
      <c r="E25" s="915">
        <v>57.31</v>
      </c>
      <c r="F25" s="915">
        <v>3209.7449999999999</v>
      </c>
      <c r="G25" s="922">
        <f t="shared" si="0"/>
        <v>0</v>
      </c>
      <c r="H25" s="915" t="e">
        <v>#REF!</v>
      </c>
      <c r="I25" s="915" t="e">
        <f t="shared" si="1"/>
        <v>#REF!</v>
      </c>
      <c r="J25" s="915">
        <v>83.944000000000003</v>
      </c>
      <c r="K25" s="915">
        <v>2.464</v>
      </c>
      <c r="L25" s="915">
        <v>2.464</v>
      </c>
      <c r="M25" s="915">
        <v>83.944000000000003</v>
      </c>
    </row>
    <row r="26" spans="1:13">
      <c r="A26" s="633" t="s">
        <v>2563</v>
      </c>
      <c r="B26" s="423" t="s">
        <v>345</v>
      </c>
      <c r="C26" s="915">
        <v>1595.2750000000001</v>
      </c>
      <c r="D26" s="915">
        <v>31.006</v>
      </c>
      <c r="E26" s="915">
        <v>31.006</v>
      </c>
      <c r="F26" s="915">
        <v>1595.2750000000001</v>
      </c>
      <c r="G26" s="922">
        <f t="shared" si="0"/>
        <v>0</v>
      </c>
      <c r="H26" s="915" t="e">
        <v>#REF!</v>
      </c>
      <c r="I26" s="915" t="e">
        <f t="shared" si="1"/>
        <v>#REF!</v>
      </c>
      <c r="J26" s="915">
        <v>71.555999999999997</v>
      </c>
      <c r="K26" s="915">
        <v>2.0880000000000001</v>
      </c>
      <c r="L26" s="915">
        <v>2.0880000000000001</v>
      </c>
      <c r="M26" s="915">
        <v>71.555999999999997</v>
      </c>
    </row>
    <row r="27" spans="1:13">
      <c r="A27" s="633" t="s">
        <v>1237</v>
      </c>
      <c r="B27" s="423" t="s">
        <v>4100</v>
      </c>
      <c r="C27" s="915">
        <v>2031.056</v>
      </c>
      <c r="D27" s="915">
        <v>21.81</v>
      </c>
      <c r="E27" s="915">
        <v>21.81</v>
      </c>
      <c r="F27" s="915">
        <v>2031.056</v>
      </c>
      <c r="G27" s="922">
        <f t="shared" si="0"/>
        <v>0</v>
      </c>
      <c r="H27" s="915" t="e">
        <v>#REF!</v>
      </c>
      <c r="I27" s="915" t="e">
        <f t="shared" si="1"/>
        <v>#REF!</v>
      </c>
      <c r="J27" s="915">
        <v>170.691</v>
      </c>
      <c r="K27" s="915">
        <v>10.971</v>
      </c>
      <c r="L27" s="915">
        <v>10.971</v>
      </c>
      <c r="M27" s="915">
        <v>170.691</v>
      </c>
    </row>
    <row r="28" spans="1:13">
      <c r="A28" s="633" t="s">
        <v>1239</v>
      </c>
      <c r="B28" s="423" t="s">
        <v>4101</v>
      </c>
      <c r="C28" s="915">
        <v>2476.1309999999999</v>
      </c>
      <c r="D28" s="915">
        <v>34.058</v>
      </c>
      <c r="E28" s="915">
        <v>34.058</v>
      </c>
      <c r="F28" s="915">
        <v>2476.1309999999999</v>
      </c>
      <c r="G28" s="922">
        <f t="shared" si="0"/>
        <v>0</v>
      </c>
      <c r="H28" s="915" t="e">
        <v>#REF!</v>
      </c>
      <c r="I28" s="915" t="e">
        <f t="shared" si="1"/>
        <v>#REF!</v>
      </c>
      <c r="J28" s="915">
        <v>260.17</v>
      </c>
      <c r="K28" s="915">
        <v>13.698</v>
      </c>
      <c r="L28" s="915">
        <v>13.698</v>
      </c>
      <c r="M28" s="915">
        <v>260.17</v>
      </c>
    </row>
    <row r="29" spans="1:13">
      <c r="A29" s="633" t="s">
        <v>1241</v>
      </c>
      <c r="B29" s="423" t="s">
        <v>4102</v>
      </c>
      <c r="C29" s="915">
        <v>766.52300000000002</v>
      </c>
      <c r="D29" s="915">
        <v>12.151</v>
      </c>
      <c r="E29" s="915">
        <v>12.151</v>
      </c>
      <c r="F29" s="915">
        <v>766.52300000000002</v>
      </c>
      <c r="G29" s="922">
        <f t="shared" si="0"/>
        <v>0</v>
      </c>
      <c r="H29" s="915" t="e">
        <v>#REF!</v>
      </c>
      <c r="I29" s="915" t="e">
        <f t="shared" si="1"/>
        <v>#REF!</v>
      </c>
      <c r="J29" s="915">
        <v>65.596000000000004</v>
      </c>
      <c r="K29" s="915">
        <v>5.3170000000000002</v>
      </c>
      <c r="L29" s="915">
        <v>5.3170000000000002</v>
      </c>
      <c r="M29" s="915">
        <v>65.596000000000004</v>
      </c>
    </row>
    <row r="30" spans="1:13">
      <c r="A30" s="633" t="s">
        <v>1243</v>
      </c>
      <c r="B30" s="423" t="s">
        <v>4103</v>
      </c>
      <c r="C30" s="915">
        <v>1349.9639999999999</v>
      </c>
      <c r="D30" s="915">
        <v>42.491</v>
      </c>
      <c r="E30" s="915">
        <v>42.491</v>
      </c>
      <c r="F30" s="915">
        <v>1349.9639999999999</v>
      </c>
      <c r="G30" s="922">
        <f t="shared" si="0"/>
        <v>0</v>
      </c>
      <c r="H30" s="915" t="e">
        <v>#REF!</v>
      </c>
      <c r="I30" s="915" t="e">
        <f t="shared" si="1"/>
        <v>#REF!</v>
      </c>
      <c r="J30" s="915">
        <v>233.51300000000001</v>
      </c>
      <c r="K30" s="915">
        <v>11.151</v>
      </c>
      <c r="L30" s="915">
        <v>11.151</v>
      </c>
      <c r="M30" s="915">
        <v>233.51300000000001</v>
      </c>
    </row>
    <row r="31" spans="1:13">
      <c r="A31" s="633" t="s">
        <v>1245</v>
      </c>
      <c r="B31" s="423" t="s">
        <v>4104</v>
      </c>
      <c r="C31" s="915">
        <v>329.30799999999999</v>
      </c>
      <c r="D31" s="915">
        <v>6.0430000000000001</v>
      </c>
      <c r="E31" s="915">
        <v>6.0430000000000001</v>
      </c>
      <c r="F31" s="915">
        <v>329.30799999999999</v>
      </c>
      <c r="G31" s="922">
        <f t="shared" si="0"/>
        <v>0</v>
      </c>
      <c r="H31" s="915" t="e">
        <v>#REF!</v>
      </c>
      <c r="I31" s="915" t="e">
        <f t="shared" si="1"/>
        <v>#REF!</v>
      </c>
      <c r="J31" s="915">
        <v>13.439</v>
      </c>
      <c r="K31" s="915">
        <v>0.93</v>
      </c>
      <c r="L31" s="915">
        <v>0.93</v>
      </c>
      <c r="M31" s="915">
        <v>13.439</v>
      </c>
    </row>
    <row r="32" spans="1:13">
      <c r="A32" s="633" t="s">
        <v>2361</v>
      </c>
      <c r="B32" s="423" t="s">
        <v>7695</v>
      </c>
      <c r="C32" s="915">
        <v>2297.848</v>
      </c>
      <c r="D32" s="915">
        <v>38.472000000000001</v>
      </c>
      <c r="E32" s="915">
        <v>38.472000000000001</v>
      </c>
      <c r="F32" s="915">
        <v>2297.848</v>
      </c>
      <c r="G32" s="922">
        <f t="shared" si="0"/>
        <v>0</v>
      </c>
      <c r="H32" s="915" t="e">
        <v>#REF!</v>
      </c>
      <c r="I32" s="915" t="e">
        <f t="shared" si="1"/>
        <v>#REF!</v>
      </c>
      <c r="J32" s="915">
        <v>98.643000000000001</v>
      </c>
      <c r="K32" s="915">
        <v>4.3639999999999999</v>
      </c>
      <c r="L32" s="915">
        <v>4.3639999999999999</v>
      </c>
      <c r="M32" s="915">
        <v>98.643000000000001</v>
      </c>
    </row>
    <row r="33" spans="1:13">
      <c r="A33" s="633" t="s">
        <v>948</v>
      </c>
      <c r="B33" s="423" t="s">
        <v>7697</v>
      </c>
      <c r="C33" s="915">
        <v>8030.4719999999998</v>
      </c>
      <c r="D33" s="915">
        <v>161.17500000000001</v>
      </c>
      <c r="E33" s="915">
        <v>161.107</v>
      </c>
      <c r="F33" s="915">
        <v>8030.4040000000005</v>
      </c>
      <c r="G33" s="922">
        <f t="shared" si="0"/>
        <v>1</v>
      </c>
      <c r="H33" s="915" t="e">
        <v>#REF!</v>
      </c>
      <c r="I33" s="915" t="e">
        <f t="shared" si="1"/>
        <v>#REF!</v>
      </c>
      <c r="J33" s="915">
        <v>972.40099999999995</v>
      </c>
      <c r="K33" s="915">
        <v>56.735999999999997</v>
      </c>
      <c r="L33" s="915">
        <v>56.735999999999997</v>
      </c>
      <c r="M33" s="915">
        <v>972.40099999999995</v>
      </c>
    </row>
    <row r="34" spans="1:13">
      <c r="A34" s="633" t="s">
        <v>1522</v>
      </c>
      <c r="B34" s="423" t="s">
        <v>1928</v>
      </c>
      <c r="C34" s="915">
        <v>3558.982</v>
      </c>
      <c r="D34" s="915">
        <v>74.555999999999997</v>
      </c>
      <c r="E34" s="915">
        <v>74.421999999999997</v>
      </c>
      <c r="F34" s="915">
        <v>3558.848</v>
      </c>
      <c r="G34" s="922">
        <f t="shared" si="0"/>
        <v>1</v>
      </c>
      <c r="H34" s="915" t="e">
        <v>#REF!</v>
      </c>
      <c r="I34" s="915" t="e">
        <f t="shared" si="1"/>
        <v>#REF!</v>
      </c>
      <c r="J34" s="915">
        <v>655.1</v>
      </c>
      <c r="K34" s="915">
        <v>33.613</v>
      </c>
      <c r="L34" s="915">
        <v>33.613</v>
      </c>
      <c r="M34" s="915">
        <v>655.1</v>
      </c>
    </row>
    <row r="35" spans="1:13">
      <c r="A35" s="633" t="s">
        <v>438</v>
      </c>
      <c r="B35" s="423" t="s">
        <v>2343</v>
      </c>
      <c r="C35" s="915">
        <v>1594.115</v>
      </c>
      <c r="D35" s="915">
        <v>32.470999999999997</v>
      </c>
      <c r="E35" s="915">
        <v>32.408999999999999</v>
      </c>
      <c r="F35" s="915">
        <v>1594.0530000000001</v>
      </c>
      <c r="G35" s="922">
        <f t="shared" si="0"/>
        <v>1</v>
      </c>
      <c r="H35" s="915" t="e">
        <v>#REF!</v>
      </c>
      <c r="I35" s="915" t="e">
        <f t="shared" si="1"/>
        <v>#REF!</v>
      </c>
      <c r="J35" s="915">
        <v>62.924999999999997</v>
      </c>
      <c r="K35" s="915">
        <v>2.3010000000000002</v>
      </c>
      <c r="L35" s="915">
        <v>2.3010000000000002</v>
      </c>
      <c r="M35" s="915">
        <v>62.924999999999997</v>
      </c>
    </row>
    <row r="36" spans="1:13">
      <c r="A36" s="633" t="s">
        <v>2565</v>
      </c>
      <c r="B36" s="423" t="s">
        <v>6074</v>
      </c>
      <c r="C36" s="915">
        <v>176.322</v>
      </c>
      <c r="D36" s="915">
        <v>9.2100000000000009</v>
      </c>
      <c r="E36" s="915">
        <v>9.2100000000000009</v>
      </c>
      <c r="F36" s="915">
        <v>176.322</v>
      </c>
      <c r="G36" s="922">
        <f t="shared" si="0"/>
        <v>0</v>
      </c>
      <c r="H36" s="915" t="e">
        <v>#REF!</v>
      </c>
      <c r="I36" s="915" t="e">
        <f t="shared" si="1"/>
        <v>#REF!</v>
      </c>
      <c r="J36" s="915">
        <v>34.366999999999997</v>
      </c>
      <c r="K36" s="915">
        <v>3.5179999999999998</v>
      </c>
      <c r="L36" s="915">
        <v>3.5179999999999998</v>
      </c>
      <c r="M36" s="915">
        <v>34.366999999999997</v>
      </c>
    </row>
    <row r="37" spans="1:13">
      <c r="A37" s="633" t="s">
        <v>1248</v>
      </c>
      <c r="B37" s="423" t="s">
        <v>4105</v>
      </c>
      <c r="C37" s="915">
        <v>530.60400000000004</v>
      </c>
      <c r="D37" s="915">
        <v>7.6440000000000001</v>
      </c>
      <c r="E37" s="915">
        <v>6.6550000000000002</v>
      </c>
      <c r="F37" s="915">
        <v>529.61599999999999</v>
      </c>
      <c r="G37" s="922">
        <f t="shared" si="0"/>
        <v>1</v>
      </c>
      <c r="H37" s="915" t="e">
        <v>#REF!</v>
      </c>
      <c r="I37" s="915" t="e">
        <f t="shared" si="1"/>
        <v>#REF!</v>
      </c>
      <c r="J37" s="915">
        <v>3.85</v>
      </c>
      <c r="K37" s="915">
        <v>0</v>
      </c>
      <c r="L37" s="915">
        <v>0</v>
      </c>
      <c r="M37" s="915">
        <v>3.85</v>
      </c>
    </row>
    <row r="38" spans="1:13">
      <c r="A38" s="633" t="s">
        <v>439</v>
      </c>
      <c r="B38" s="423" t="s">
        <v>7698</v>
      </c>
      <c r="C38" s="915">
        <v>3310.1849999999999</v>
      </c>
      <c r="D38" s="915">
        <v>107.702</v>
      </c>
      <c r="E38" s="915">
        <v>61.526000000000003</v>
      </c>
      <c r="F38" s="915">
        <v>3264.009</v>
      </c>
      <c r="G38" s="922">
        <f t="shared" si="0"/>
        <v>1</v>
      </c>
      <c r="H38" s="915" t="e">
        <v>#REF!</v>
      </c>
      <c r="I38" s="915" t="e">
        <f t="shared" si="1"/>
        <v>#REF!</v>
      </c>
      <c r="J38" s="915">
        <v>78.022999999999996</v>
      </c>
      <c r="K38" s="915">
        <v>5.7949999999999999</v>
      </c>
      <c r="L38" s="915">
        <v>2.8980000000000001</v>
      </c>
      <c r="M38" s="915">
        <v>75.125</v>
      </c>
    </row>
    <row r="39" spans="1:13">
      <c r="A39" s="633" t="s">
        <v>1250</v>
      </c>
      <c r="B39" s="423" t="s">
        <v>4106</v>
      </c>
      <c r="C39" s="915">
        <v>112.818</v>
      </c>
      <c r="D39" s="915">
        <v>4.9640000000000004</v>
      </c>
      <c r="E39" s="915">
        <v>4.76</v>
      </c>
      <c r="F39" s="915">
        <v>112.614</v>
      </c>
      <c r="G39" s="922">
        <f t="shared" si="0"/>
        <v>1</v>
      </c>
      <c r="H39" s="915" t="e">
        <v>#REF!</v>
      </c>
      <c r="I39" s="915" t="e">
        <f t="shared" si="1"/>
        <v>#REF!</v>
      </c>
      <c r="J39" s="915">
        <v>2.4430000000000001</v>
      </c>
      <c r="K39" s="915">
        <v>0.40200000000000002</v>
      </c>
      <c r="L39" s="915">
        <v>0.40200000000000002</v>
      </c>
      <c r="M39" s="915">
        <v>2.4430000000000001</v>
      </c>
    </row>
    <row r="40" spans="1:13">
      <c r="A40" s="633" t="s">
        <v>1252</v>
      </c>
      <c r="B40" s="423" t="s">
        <v>4107</v>
      </c>
      <c r="C40" s="915">
        <v>358.34699999999998</v>
      </c>
      <c r="D40" s="915">
        <v>5.7729999999999997</v>
      </c>
      <c r="E40" s="915">
        <v>5.7729999999999997</v>
      </c>
      <c r="F40" s="915">
        <v>358.34699999999998</v>
      </c>
      <c r="G40" s="922">
        <f t="shared" si="0"/>
        <v>0</v>
      </c>
      <c r="H40" s="915" t="e">
        <v>#REF!</v>
      </c>
      <c r="I40" s="915" t="e">
        <f t="shared" si="1"/>
        <v>#REF!</v>
      </c>
      <c r="J40" s="915">
        <v>5.5060000000000002</v>
      </c>
      <c r="K40" s="915">
        <v>0</v>
      </c>
      <c r="L40" s="915">
        <v>0</v>
      </c>
      <c r="M40" s="915">
        <v>5.5060000000000002</v>
      </c>
    </row>
    <row r="41" spans="1:13">
      <c r="A41" s="633" t="s">
        <v>2399</v>
      </c>
      <c r="B41" s="423" t="s">
        <v>2341</v>
      </c>
      <c r="C41" s="915">
        <v>693.33900000000006</v>
      </c>
      <c r="D41" s="915">
        <v>0</v>
      </c>
      <c r="E41" s="915">
        <v>0</v>
      </c>
      <c r="F41" s="915">
        <v>693.33900000000006</v>
      </c>
      <c r="G41" s="922">
        <f t="shared" si="0"/>
        <v>0</v>
      </c>
      <c r="H41" s="915" t="e">
        <v>#REF!</v>
      </c>
      <c r="I41" s="915" t="e">
        <f t="shared" si="1"/>
        <v>#REF!</v>
      </c>
      <c r="J41" s="915">
        <v>19.596</v>
      </c>
      <c r="K41" s="915">
        <v>0</v>
      </c>
      <c r="L41" s="915">
        <v>0</v>
      </c>
      <c r="M41" s="915">
        <v>19.596</v>
      </c>
    </row>
    <row r="42" spans="1:13">
      <c r="A42" s="633" t="s">
        <v>2566</v>
      </c>
      <c r="B42" s="423" t="s">
        <v>4108</v>
      </c>
      <c r="C42" s="915">
        <v>1039.1990000000001</v>
      </c>
      <c r="D42" s="915">
        <v>9.8279999999999994</v>
      </c>
      <c r="E42" s="915">
        <v>9.8279999999999994</v>
      </c>
      <c r="F42" s="915">
        <v>1039.1990000000001</v>
      </c>
      <c r="G42" s="922">
        <f t="shared" si="0"/>
        <v>0</v>
      </c>
      <c r="H42" s="915" t="e">
        <v>#REF!</v>
      </c>
      <c r="I42" s="915" t="e">
        <f t="shared" si="1"/>
        <v>#REF!</v>
      </c>
      <c r="J42" s="915">
        <v>20.259</v>
      </c>
      <c r="K42" s="915">
        <v>1.298</v>
      </c>
      <c r="L42" s="915">
        <v>1.298</v>
      </c>
      <c r="M42" s="915">
        <v>20.259</v>
      </c>
    </row>
    <row r="43" spans="1:13">
      <c r="A43" s="633" t="s">
        <v>947</v>
      </c>
      <c r="B43" s="423" t="s">
        <v>7696</v>
      </c>
      <c r="C43" s="915">
        <v>364.22899999999998</v>
      </c>
      <c r="D43" s="915">
        <v>14.897</v>
      </c>
      <c r="E43" s="915">
        <v>14.897</v>
      </c>
      <c r="F43" s="915">
        <v>364.22899999999998</v>
      </c>
      <c r="G43" s="922">
        <f t="shared" si="0"/>
        <v>0</v>
      </c>
      <c r="H43" s="915" t="e">
        <v>#REF!</v>
      </c>
      <c r="I43" s="915" t="e">
        <f t="shared" si="1"/>
        <v>#REF!</v>
      </c>
      <c r="J43" s="915">
        <v>49.145000000000003</v>
      </c>
      <c r="K43" s="915">
        <v>1.464</v>
      </c>
      <c r="L43" s="915">
        <v>1.464</v>
      </c>
      <c r="M43" s="915">
        <v>49.145000000000003</v>
      </c>
    </row>
    <row r="44" spans="1:13">
      <c r="A44" s="633" t="s">
        <v>950</v>
      </c>
      <c r="B44" s="423" t="s">
        <v>7654</v>
      </c>
      <c r="C44" s="915">
        <v>8120.65</v>
      </c>
      <c r="D44" s="915">
        <v>349.33499999999998</v>
      </c>
      <c r="E44" s="915">
        <v>186.178</v>
      </c>
      <c r="F44" s="915">
        <v>7957.4930000000004</v>
      </c>
      <c r="G44" s="922">
        <f t="shared" si="0"/>
        <v>1</v>
      </c>
      <c r="H44" s="915" t="e">
        <v>#REF!</v>
      </c>
      <c r="I44" s="915" t="e">
        <f t="shared" si="1"/>
        <v>#REF!</v>
      </c>
      <c r="J44" s="915">
        <v>548.84699999999998</v>
      </c>
      <c r="K44" s="915">
        <v>50.628999999999998</v>
      </c>
      <c r="L44" s="915">
        <v>25.888000000000002</v>
      </c>
      <c r="M44" s="915">
        <v>524.10599999999999</v>
      </c>
    </row>
    <row r="45" spans="1:13">
      <c r="A45" s="633" t="s">
        <v>1869</v>
      </c>
      <c r="B45" s="423" t="s">
        <v>3848</v>
      </c>
      <c r="C45" s="915">
        <v>519.173</v>
      </c>
      <c r="D45" s="915">
        <v>5.7690000000000001</v>
      </c>
      <c r="E45" s="915">
        <v>5.7690000000000001</v>
      </c>
      <c r="F45" s="915">
        <v>519.173</v>
      </c>
      <c r="G45" s="922">
        <f t="shared" si="0"/>
        <v>0</v>
      </c>
      <c r="H45" s="915" t="e">
        <v>#REF!</v>
      </c>
      <c r="I45" s="915" t="e">
        <f t="shared" si="1"/>
        <v>#REF!</v>
      </c>
      <c r="J45" s="915">
        <v>14.356</v>
      </c>
      <c r="K45" s="915">
        <v>0</v>
      </c>
      <c r="L45" s="915">
        <v>0</v>
      </c>
      <c r="M45" s="915">
        <v>14.356</v>
      </c>
    </row>
    <row r="46" spans="1:13">
      <c r="A46" s="633" t="s">
        <v>6033</v>
      </c>
      <c r="B46" s="423" t="s">
        <v>1920</v>
      </c>
      <c r="C46" s="915">
        <v>36382.51</v>
      </c>
      <c r="D46" s="915">
        <v>2393.6790000000001</v>
      </c>
      <c r="E46" s="915">
        <v>1259.5940000000001</v>
      </c>
      <c r="F46" s="915">
        <v>35248.425000000003</v>
      </c>
      <c r="G46" s="922">
        <f t="shared" si="0"/>
        <v>1</v>
      </c>
      <c r="H46" s="915" t="e">
        <v>#REF!</v>
      </c>
      <c r="I46" s="915" t="e">
        <f t="shared" si="1"/>
        <v>#REF!</v>
      </c>
      <c r="J46" s="915">
        <v>2279.3139999999999</v>
      </c>
      <c r="K46" s="915">
        <v>237.09899999999999</v>
      </c>
      <c r="L46" s="915">
        <v>121.333</v>
      </c>
      <c r="M46" s="915">
        <v>2163.547</v>
      </c>
    </row>
    <row r="47" spans="1:13">
      <c r="A47" s="633" t="s">
        <v>2309</v>
      </c>
      <c r="B47" s="423" t="s">
        <v>367</v>
      </c>
      <c r="C47" s="915">
        <v>806.55700000000002</v>
      </c>
      <c r="D47" s="915">
        <v>25.28</v>
      </c>
      <c r="E47" s="915">
        <v>12.725</v>
      </c>
      <c r="F47" s="915">
        <v>794.00199999999995</v>
      </c>
      <c r="G47" s="922">
        <f t="shared" si="0"/>
        <v>1</v>
      </c>
      <c r="H47" s="915" t="e">
        <v>#REF!</v>
      </c>
      <c r="I47" s="915" t="e">
        <f t="shared" si="1"/>
        <v>#REF!</v>
      </c>
      <c r="J47" s="915">
        <v>33.018000000000001</v>
      </c>
      <c r="K47" s="915">
        <v>3.5710000000000002</v>
      </c>
      <c r="L47" s="915">
        <v>1.786</v>
      </c>
      <c r="M47" s="915">
        <v>31.231999999999999</v>
      </c>
    </row>
    <row r="48" spans="1:13">
      <c r="A48" s="633" t="s">
        <v>2384</v>
      </c>
      <c r="B48" s="423" t="s">
        <v>376</v>
      </c>
      <c r="C48" s="915">
        <v>1243.0250000000001</v>
      </c>
      <c r="D48" s="915">
        <v>12.039</v>
      </c>
      <c r="E48" s="915">
        <v>12.039</v>
      </c>
      <c r="F48" s="915">
        <v>1243.0250000000001</v>
      </c>
      <c r="G48" s="922">
        <f t="shared" si="0"/>
        <v>0</v>
      </c>
      <c r="H48" s="915" t="e">
        <v>#REF!</v>
      </c>
      <c r="I48" s="915" t="e">
        <f t="shared" si="1"/>
        <v>#REF!</v>
      </c>
      <c r="J48" s="915">
        <v>76.260000000000005</v>
      </c>
      <c r="K48" s="915">
        <v>3.415</v>
      </c>
      <c r="L48" s="915">
        <v>3.415</v>
      </c>
      <c r="M48" s="915">
        <v>76.260000000000005</v>
      </c>
    </row>
    <row r="49" spans="1:13">
      <c r="A49" s="633" t="s">
        <v>2411</v>
      </c>
      <c r="B49" s="423" t="s">
        <v>5364</v>
      </c>
      <c r="C49" s="915">
        <v>7818.5060000000003</v>
      </c>
      <c r="D49" s="915">
        <v>387.78699999999998</v>
      </c>
      <c r="E49" s="915">
        <v>244.49199999999999</v>
      </c>
      <c r="F49" s="915">
        <v>7675.2110000000002</v>
      </c>
      <c r="G49" s="922">
        <f t="shared" si="0"/>
        <v>1</v>
      </c>
      <c r="H49" s="915" t="e">
        <v>#REF!</v>
      </c>
      <c r="I49" s="915" t="e">
        <f t="shared" si="1"/>
        <v>#REF!</v>
      </c>
      <c r="J49" s="915">
        <v>579.846</v>
      </c>
      <c r="K49" s="915">
        <v>75.004999999999995</v>
      </c>
      <c r="L49" s="915">
        <v>37.804000000000002</v>
      </c>
      <c r="M49" s="915">
        <v>542.64499999999998</v>
      </c>
    </row>
    <row r="50" spans="1:13">
      <c r="A50" s="633" t="s">
        <v>2416</v>
      </c>
      <c r="B50" s="423" t="s">
        <v>5369</v>
      </c>
      <c r="C50" s="915">
        <v>1218.3579999999999</v>
      </c>
      <c r="D50" s="915">
        <v>10.079000000000001</v>
      </c>
      <c r="E50" s="915">
        <v>10.079000000000001</v>
      </c>
      <c r="F50" s="915">
        <v>1218.3579999999999</v>
      </c>
      <c r="G50" s="922">
        <f t="shared" si="0"/>
        <v>0</v>
      </c>
      <c r="H50" s="915" t="e">
        <v>#REF!</v>
      </c>
      <c r="I50" s="915" t="e">
        <f t="shared" si="1"/>
        <v>#REF!</v>
      </c>
      <c r="J50" s="915">
        <v>25.675000000000001</v>
      </c>
      <c r="K50" s="915">
        <v>2.5609999999999999</v>
      </c>
      <c r="L50" s="915">
        <v>2.5609999999999999</v>
      </c>
      <c r="M50" s="915">
        <v>25.675000000000001</v>
      </c>
    </row>
    <row r="51" spans="1:13">
      <c r="A51" s="633" t="s">
        <v>37</v>
      </c>
      <c r="B51" s="423" t="s">
        <v>4109</v>
      </c>
      <c r="C51" s="915">
        <v>4366.6369999999997</v>
      </c>
      <c r="D51" s="915">
        <v>30.21</v>
      </c>
      <c r="E51" s="915">
        <v>30.181999999999999</v>
      </c>
      <c r="F51" s="915">
        <v>4366.6090000000004</v>
      </c>
      <c r="G51" s="922">
        <f t="shared" si="0"/>
        <v>1</v>
      </c>
      <c r="H51" s="915" t="e">
        <v>#REF!</v>
      </c>
      <c r="I51" s="915" t="e">
        <f t="shared" si="1"/>
        <v>#REF!</v>
      </c>
      <c r="J51" s="915">
        <v>199.55500000000001</v>
      </c>
      <c r="K51" s="915">
        <v>8.391</v>
      </c>
      <c r="L51" s="915">
        <v>8.3810000000000002</v>
      </c>
      <c r="M51" s="915">
        <v>199.54499999999999</v>
      </c>
    </row>
    <row r="52" spans="1:13">
      <c r="A52" s="633" t="s">
        <v>1860</v>
      </c>
      <c r="B52" s="423" t="s">
        <v>3918</v>
      </c>
      <c r="C52" s="915">
        <v>13345.02</v>
      </c>
      <c r="D52" s="915">
        <v>651.96</v>
      </c>
      <c r="E52" s="915">
        <v>424.14499999999998</v>
      </c>
      <c r="F52" s="915">
        <v>13117.204</v>
      </c>
      <c r="G52" s="922">
        <f t="shared" si="0"/>
        <v>1</v>
      </c>
      <c r="H52" s="915" t="e">
        <v>#REF!</v>
      </c>
      <c r="I52" s="915" t="e">
        <f t="shared" si="1"/>
        <v>#REF!</v>
      </c>
      <c r="J52" s="915">
        <v>1814.5239999999999</v>
      </c>
      <c r="K52" s="915">
        <v>150.48400000000001</v>
      </c>
      <c r="L52" s="915">
        <v>78.397999999999996</v>
      </c>
      <c r="M52" s="915">
        <v>1742.4390000000001</v>
      </c>
    </row>
    <row r="53" spans="1:13">
      <c r="A53" s="633" t="s">
        <v>1520</v>
      </c>
      <c r="B53" s="423" t="s">
        <v>1926</v>
      </c>
      <c r="C53" s="915">
        <v>10814.244000000001</v>
      </c>
      <c r="D53" s="915">
        <v>719.49099999999999</v>
      </c>
      <c r="E53" s="915">
        <v>404.637</v>
      </c>
      <c r="F53" s="915">
        <v>10499.39</v>
      </c>
      <c r="G53" s="922">
        <f t="shared" si="0"/>
        <v>1</v>
      </c>
      <c r="H53" s="915" t="e">
        <v>#REF!</v>
      </c>
      <c r="I53" s="915" t="e">
        <f t="shared" si="1"/>
        <v>#REF!</v>
      </c>
      <c r="J53" s="915">
        <v>1844.2159999999999</v>
      </c>
      <c r="K53" s="915">
        <v>212.53899999999999</v>
      </c>
      <c r="L53" s="915">
        <v>115.09099999999999</v>
      </c>
      <c r="M53" s="915">
        <v>1746.768</v>
      </c>
    </row>
    <row r="54" spans="1:13">
      <c r="A54" s="633" t="s">
        <v>39</v>
      </c>
      <c r="B54" s="423" t="s">
        <v>4110</v>
      </c>
      <c r="C54" s="915">
        <v>1133.8240000000001</v>
      </c>
      <c r="D54" s="915">
        <v>11.446999999999999</v>
      </c>
      <c r="E54" s="915">
        <v>11.446999999999999</v>
      </c>
      <c r="F54" s="915">
        <v>1133.8240000000001</v>
      </c>
      <c r="G54" s="922">
        <f t="shared" si="0"/>
        <v>0</v>
      </c>
      <c r="H54" s="915" t="e">
        <v>#REF!</v>
      </c>
      <c r="I54" s="915" t="e">
        <f t="shared" si="1"/>
        <v>#REF!</v>
      </c>
      <c r="J54" s="915">
        <v>5.468</v>
      </c>
      <c r="K54" s="915">
        <v>0</v>
      </c>
      <c r="L54" s="915">
        <v>0</v>
      </c>
      <c r="M54" s="915">
        <v>5.468</v>
      </c>
    </row>
    <row r="55" spans="1:13">
      <c r="A55" s="633" t="s">
        <v>2386</v>
      </c>
      <c r="B55" s="423" t="s">
        <v>379</v>
      </c>
      <c r="C55" s="915">
        <v>50753.15</v>
      </c>
      <c r="D55" s="915">
        <v>3726.54</v>
      </c>
      <c r="E55" s="915">
        <v>2012.384</v>
      </c>
      <c r="F55" s="915">
        <v>49038.993999999999</v>
      </c>
      <c r="G55" s="922">
        <f t="shared" si="0"/>
        <v>1</v>
      </c>
      <c r="H55" s="915" t="e">
        <v>#REF!</v>
      </c>
      <c r="I55" s="915" t="e">
        <f t="shared" si="1"/>
        <v>#REF!</v>
      </c>
      <c r="J55" s="915">
        <v>7875.0770000000002</v>
      </c>
      <c r="K55" s="915">
        <v>1022.068</v>
      </c>
      <c r="L55" s="915">
        <v>532.846</v>
      </c>
      <c r="M55" s="915">
        <v>7385.8549999999996</v>
      </c>
    </row>
    <row r="56" spans="1:13">
      <c r="A56" s="633" t="s">
        <v>2403</v>
      </c>
      <c r="B56" s="423" t="s">
        <v>2347</v>
      </c>
      <c r="C56" s="915">
        <v>9368.9449999999997</v>
      </c>
      <c r="D56" s="915">
        <v>546.84199999999998</v>
      </c>
      <c r="E56" s="915">
        <v>280.04199999999997</v>
      </c>
      <c r="F56" s="915">
        <v>9102.1450000000004</v>
      </c>
      <c r="G56" s="922">
        <f t="shared" si="0"/>
        <v>1</v>
      </c>
      <c r="H56" s="915" t="e">
        <v>#REF!</v>
      </c>
      <c r="I56" s="915" t="e">
        <f t="shared" si="1"/>
        <v>#REF!</v>
      </c>
      <c r="J56" s="915">
        <v>1438.8810000000001</v>
      </c>
      <c r="K56" s="915">
        <v>139.21799999999999</v>
      </c>
      <c r="L56" s="915">
        <v>71.599000000000004</v>
      </c>
      <c r="M56" s="915">
        <v>1371.2619999999999</v>
      </c>
    </row>
    <row r="57" spans="1:13">
      <c r="A57" s="633" t="s">
        <v>2402</v>
      </c>
      <c r="B57" s="423" t="s">
        <v>2346</v>
      </c>
      <c r="C57" s="915">
        <v>3255.201</v>
      </c>
      <c r="D57" s="915">
        <v>173.42099999999999</v>
      </c>
      <c r="E57" s="915">
        <v>95.801000000000002</v>
      </c>
      <c r="F57" s="915">
        <v>3177.5810000000001</v>
      </c>
      <c r="G57" s="922">
        <f t="shared" si="0"/>
        <v>1</v>
      </c>
      <c r="H57" s="915" t="e">
        <v>#REF!</v>
      </c>
      <c r="I57" s="915" t="e">
        <f t="shared" si="1"/>
        <v>#REF!</v>
      </c>
      <c r="J57" s="915">
        <v>278.673</v>
      </c>
      <c r="K57" s="915">
        <v>19.934000000000001</v>
      </c>
      <c r="L57" s="915">
        <v>10.476000000000001</v>
      </c>
      <c r="M57" s="915">
        <v>269.214</v>
      </c>
    </row>
    <row r="58" spans="1:13">
      <c r="A58" s="633" t="s">
        <v>6183</v>
      </c>
      <c r="B58" s="423" t="s">
        <v>1937</v>
      </c>
      <c r="C58" s="915">
        <v>59752.12</v>
      </c>
      <c r="D58" s="915">
        <v>457.81900000000002</v>
      </c>
      <c r="E58" s="915">
        <v>450.14299999999997</v>
      </c>
      <c r="F58" s="915">
        <v>59744.444000000003</v>
      </c>
      <c r="G58" s="922">
        <f t="shared" si="0"/>
        <v>1</v>
      </c>
      <c r="H58" s="915" t="e">
        <v>#REF!</v>
      </c>
      <c r="I58" s="915" t="e">
        <f t="shared" si="1"/>
        <v>#REF!</v>
      </c>
      <c r="J58" s="915">
        <v>4474.4059999999999</v>
      </c>
      <c r="K58" s="915">
        <v>163.67500000000001</v>
      </c>
      <c r="L58" s="915">
        <v>158.596</v>
      </c>
      <c r="M58" s="915">
        <v>4469.3270000000002</v>
      </c>
    </row>
    <row r="59" spans="1:13">
      <c r="A59" s="633" t="s">
        <v>1517</v>
      </c>
      <c r="B59" s="423" t="s">
        <v>3013</v>
      </c>
      <c r="C59" s="915">
        <v>8460.2090000000007</v>
      </c>
      <c r="D59" s="915">
        <v>283.08300000000003</v>
      </c>
      <c r="E59" s="915">
        <v>162.916</v>
      </c>
      <c r="F59" s="915">
        <v>8340.0419999999995</v>
      </c>
      <c r="G59" s="922">
        <f t="shared" si="0"/>
        <v>1</v>
      </c>
      <c r="H59" s="915" t="e">
        <v>#REF!</v>
      </c>
      <c r="I59" s="915" t="e">
        <f t="shared" si="1"/>
        <v>#REF!</v>
      </c>
      <c r="J59" s="915">
        <v>496.72899999999998</v>
      </c>
      <c r="K59" s="915">
        <v>46.802</v>
      </c>
      <c r="L59" s="915">
        <v>26.081</v>
      </c>
      <c r="M59" s="915">
        <v>476.00799999999998</v>
      </c>
    </row>
    <row r="60" spans="1:13">
      <c r="A60" s="633" t="s">
        <v>3082</v>
      </c>
      <c r="B60" s="423" t="s">
        <v>2349</v>
      </c>
      <c r="C60" s="915">
        <v>10439.763000000001</v>
      </c>
      <c r="D60" s="915">
        <v>150.65199999999999</v>
      </c>
      <c r="E60" s="915">
        <v>150.65199999999999</v>
      </c>
      <c r="F60" s="915">
        <v>10439.763000000001</v>
      </c>
      <c r="G60" s="922">
        <f t="shared" si="0"/>
        <v>0</v>
      </c>
      <c r="H60" s="915" t="e">
        <v>#REF!</v>
      </c>
      <c r="I60" s="915" t="e">
        <f t="shared" si="1"/>
        <v>#REF!</v>
      </c>
      <c r="J60" s="915">
        <v>1403.6</v>
      </c>
      <c r="K60" s="915">
        <v>36.558</v>
      </c>
      <c r="L60" s="915">
        <v>36.558</v>
      </c>
      <c r="M60" s="915">
        <v>1403.6</v>
      </c>
    </row>
    <row r="61" spans="1:13">
      <c r="A61" s="633" t="s">
        <v>41</v>
      </c>
      <c r="B61" s="423" t="s">
        <v>4111</v>
      </c>
      <c r="C61" s="915">
        <v>889.05100000000004</v>
      </c>
      <c r="D61" s="915">
        <v>87.430999999999997</v>
      </c>
      <c r="E61" s="915">
        <v>53.488</v>
      </c>
      <c r="F61" s="915">
        <v>855.10699999999997</v>
      </c>
      <c r="G61" s="922">
        <f t="shared" si="0"/>
        <v>1</v>
      </c>
      <c r="H61" s="915" t="e">
        <v>#REF!</v>
      </c>
      <c r="I61" s="915" t="e">
        <f t="shared" si="1"/>
        <v>#REF!</v>
      </c>
      <c r="J61" s="915">
        <v>9.4659999999999993</v>
      </c>
      <c r="K61" s="915">
        <v>1.8879999999999999</v>
      </c>
      <c r="L61" s="915">
        <v>1.05</v>
      </c>
      <c r="M61" s="915">
        <v>8.6280000000000001</v>
      </c>
    </row>
    <row r="62" spans="1:13">
      <c r="A62" s="633" t="s">
        <v>43</v>
      </c>
      <c r="B62" s="423" t="s">
        <v>4112</v>
      </c>
      <c r="C62" s="915">
        <v>1305.8869999999999</v>
      </c>
      <c r="D62" s="915">
        <v>48.442999999999998</v>
      </c>
      <c r="E62" s="915">
        <v>46.906999999999996</v>
      </c>
      <c r="F62" s="915">
        <v>1304.3510000000001</v>
      </c>
      <c r="G62" s="922">
        <f t="shared" si="0"/>
        <v>1</v>
      </c>
      <c r="H62" s="915" t="e">
        <v>#REF!</v>
      </c>
      <c r="I62" s="915" t="e">
        <f t="shared" si="1"/>
        <v>#REF!</v>
      </c>
      <c r="J62" s="915">
        <v>47.554000000000002</v>
      </c>
      <c r="K62" s="915">
        <v>1.663</v>
      </c>
      <c r="L62" s="915">
        <v>1.5860000000000001</v>
      </c>
      <c r="M62" s="915">
        <v>47.475999999999999</v>
      </c>
    </row>
    <row r="63" spans="1:13">
      <c r="A63" s="633" t="s">
        <v>6185</v>
      </c>
      <c r="B63" s="423" t="s">
        <v>1939</v>
      </c>
      <c r="C63" s="915">
        <v>82443.793999999994</v>
      </c>
      <c r="D63" s="915">
        <v>930.55700000000002</v>
      </c>
      <c r="E63" s="915">
        <v>930.55700000000002</v>
      </c>
      <c r="F63" s="915">
        <v>82443.793999999994</v>
      </c>
      <c r="G63" s="922">
        <f t="shared" si="0"/>
        <v>0</v>
      </c>
      <c r="H63" s="915" t="e">
        <v>#REF!</v>
      </c>
      <c r="I63" s="915" t="e">
        <f t="shared" si="1"/>
        <v>#REF!</v>
      </c>
      <c r="J63" s="915">
        <v>4791.8209999999999</v>
      </c>
      <c r="K63" s="915">
        <v>231.83500000000001</v>
      </c>
      <c r="L63" s="915">
        <v>231.83500000000001</v>
      </c>
      <c r="M63" s="915">
        <v>4791.8209999999999</v>
      </c>
    </row>
    <row r="64" spans="1:13">
      <c r="A64" s="633" t="s">
        <v>6026</v>
      </c>
      <c r="B64" s="423" t="s">
        <v>1911</v>
      </c>
      <c r="C64" s="915">
        <v>19877.554</v>
      </c>
      <c r="D64" s="915">
        <v>256.19799999999998</v>
      </c>
      <c r="E64" s="915">
        <v>256.19799999999998</v>
      </c>
      <c r="F64" s="915">
        <v>19877.554</v>
      </c>
      <c r="G64" s="922">
        <f t="shared" si="0"/>
        <v>0</v>
      </c>
      <c r="H64" s="915" t="e">
        <v>#REF!</v>
      </c>
      <c r="I64" s="915" t="e">
        <f t="shared" si="1"/>
        <v>#REF!</v>
      </c>
      <c r="J64" s="915">
        <v>1315.117</v>
      </c>
      <c r="K64" s="915">
        <v>61.634</v>
      </c>
      <c r="L64" s="915">
        <v>61.634</v>
      </c>
      <c r="M64" s="915">
        <v>1315.117</v>
      </c>
    </row>
    <row r="65" spans="1:13">
      <c r="A65" s="633" t="s">
        <v>2404</v>
      </c>
      <c r="B65" s="423" t="s">
        <v>2348</v>
      </c>
      <c r="C65" s="915">
        <v>4811.7790000000005</v>
      </c>
      <c r="D65" s="915">
        <v>195.654</v>
      </c>
      <c r="E65" s="915">
        <v>103.646</v>
      </c>
      <c r="F65" s="915">
        <v>4719.7709999999997</v>
      </c>
      <c r="G65" s="922">
        <f t="shared" si="0"/>
        <v>1</v>
      </c>
      <c r="H65" s="915" t="e">
        <v>#REF!</v>
      </c>
      <c r="I65" s="915" t="e">
        <f t="shared" si="1"/>
        <v>#REF!</v>
      </c>
      <c r="J65" s="915">
        <v>520.25400000000002</v>
      </c>
      <c r="K65" s="915">
        <v>26.274999999999999</v>
      </c>
      <c r="L65" s="915">
        <v>14.194000000000001</v>
      </c>
      <c r="M65" s="915">
        <v>508.173</v>
      </c>
    </row>
    <row r="66" spans="1:13">
      <c r="A66" s="633" t="s">
        <v>45</v>
      </c>
      <c r="B66" s="423" t="s">
        <v>4113</v>
      </c>
      <c r="C66" s="915">
        <v>667.12099999999998</v>
      </c>
      <c r="D66" s="915">
        <v>0</v>
      </c>
      <c r="E66" s="915">
        <v>0</v>
      </c>
      <c r="F66" s="915">
        <v>667.12099999999998</v>
      </c>
      <c r="G66" s="922">
        <f t="shared" si="0"/>
        <v>0</v>
      </c>
      <c r="H66" s="915" t="e">
        <v>#REF!</v>
      </c>
      <c r="I66" s="915" t="e">
        <f t="shared" si="1"/>
        <v>#REF!</v>
      </c>
      <c r="J66" s="915">
        <v>35.265999999999998</v>
      </c>
      <c r="K66" s="915">
        <v>0</v>
      </c>
      <c r="L66" s="915">
        <v>0</v>
      </c>
      <c r="M66" s="915">
        <v>35.265999999999998</v>
      </c>
    </row>
    <row r="67" spans="1:13">
      <c r="A67" s="633" t="s">
        <v>952</v>
      </c>
      <c r="B67" s="423" t="s">
        <v>7657</v>
      </c>
      <c r="C67" s="915">
        <v>894.71799999999996</v>
      </c>
      <c r="D67" s="915">
        <v>18.824000000000002</v>
      </c>
      <c r="E67" s="915">
        <v>16.504999999999999</v>
      </c>
      <c r="F67" s="915">
        <v>892.39800000000002</v>
      </c>
      <c r="G67" s="922">
        <f t="shared" ref="G67:G130" si="2">IF(F67&lt;C67,1,0)</f>
        <v>1</v>
      </c>
      <c r="H67" s="915" t="e">
        <v>#REF!</v>
      </c>
      <c r="I67" s="915" t="e">
        <f t="shared" ref="I67:I130" si="3">F67-H67</f>
        <v>#REF!</v>
      </c>
      <c r="J67" s="915">
        <v>43.466999999999999</v>
      </c>
      <c r="K67" s="915">
        <v>4.1859999999999999</v>
      </c>
      <c r="L67" s="915">
        <v>3.214</v>
      </c>
      <c r="M67" s="915">
        <v>42.496000000000002</v>
      </c>
    </row>
    <row r="68" spans="1:13">
      <c r="A68" s="633" t="s">
        <v>47</v>
      </c>
      <c r="B68" s="423" t="s">
        <v>4114</v>
      </c>
      <c r="C68" s="915">
        <v>188.161</v>
      </c>
      <c r="D68" s="915">
        <v>0</v>
      </c>
      <c r="E68" s="915">
        <v>0</v>
      </c>
      <c r="F68" s="915">
        <v>188.161</v>
      </c>
      <c r="G68" s="922">
        <f t="shared" si="2"/>
        <v>0</v>
      </c>
      <c r="H68" s="915" t="e">
        <v>#REF!</v>
      </c>
      <c r="I68" s="915" t="e">
        <f t="shared" si="3"/>
        <v>#REF!</v>
      </c>
      <c r="J68" s="915">
        <v>4.2030000000000003</v>
      </c>
      <c r="K68" s="915">
        <v>0</v>
      </c>
      <c r="L68" s="915">
        <v>0</v>
      </c>
      <c r="M68" s="915">
        <v>4.2030000000000003</v>
      </c>
    </row>
    <row r="69" spans="1:13">
      <c r="A69" s="633" t="s">
        <v>740</v>
      </c>
      <c r="B69" s="423" t="s">
        <v>6115</v>
      </c>
      <c r="C69" s="915">
        <v>1075.6690000000001</v>
      </c>
      <c r="D69" s="915">
        <v>12.79</v>
      </c>
      <c r="E69" s="915">
        <v>12.79</v>
      </c>
      <c r="F69" s="915">
        <v>1075.6690000000001</v>
      </c>
      <c r="G69" s="922">
        <f t="shared" si="2"/>
        <v>0</v>
      </c>
      <c r="H69" s="915" t="e">
        <v>#REF!</v>
      </c>
      <c r="I69" s="915" t="e">
        <f t="shared" si="3"/>
        <v>#REF!</v>
      </c>
      <c r="J69" s="915">
        <v>73.363</v>
      </c>
      <c r="K69" s="915">
        <v>3.4660000000000002</v>
      </c>
      <c r="L69" s="915">
        <v>3.4660000000000002</v>
      </c>
      <c r="M69" s="915">
        <v>73.363</v>
      </c>
    </row>
    <row r="70" spans="1:13">
      <c r="A70" s="633" t="s">
        <v>49</v>
      </c>
      <c r="B70" s="423" t="s">
        <v>4115</v>
      </c>
      <c r="C70" s="915">
        <v>496.52499999999998</v>
      </c>
      <c r="D70" s="915">
        <v>8.6820000000000004</v>
      </c>
      <c r="E70" s="915">
        <v>8.6820000000000004</v>
      </c>
      <c r="F70" s="915">
        <v>496.52499999999998</v>
      </c>
      <c r="G70" s="922">
        <f t="shared" si="2"/>
        <v>0</v>
      </c>
      <c r="H70" s="915" t="e">
        <v>#REF!</v>
      </c>
      <c r="I70" s="915" t="e">
        <f t="shared" si="3"/>
        <v>#REF!</v>
      </c>
      <c r="J70" s="915">
        <v>38.204000000000001</v>
      </c>
      <c r="K70" s="915">
        <v>1.7</v>
      </c>
      <c r="L70" s="915">
        <v>1.7</v>
      </c>
      <c r="M70" s="915">
        <v>38.204000000000001</v>
      </c>
    </row>
    <row r="71" spans="1:13">
      <c r="A71" s="633" t="s">
        <v>1337</v>
      </c>
      <c r="B71" s="423" t="s">
        <v>4116</v>
      </c>
      <c r="C71" s="915">
        <v>102.95699999999999</v>
      </c>
      <c r="D71" s="915">
        <v>6.1079999999999997</v>
      </c>
      <c r="E71" s="915">
        <v>5.7329999999999997</v>
      </c>
      <c r="F71" s="915">
        <v>102.58199999999999</v>
      </c>
      <c r="G71" s="922">
        <f t="shared" si="2"/>
        <v>1</v>
      </c>
      <c r="H71" s="915" t="e">
        <v>#REF!</v>
      </c>
      <c r="I71" s="915" t="e">
        <f t="shared" si="3"/>
        <v>#REF!</v>
      </c>
      <c r="J71" s="915">
        <v>14.475</v>
      </c>
      <c r="K71" s="915">
        <v>0.76700000000000002</v>
      </c>
      <c r="L71" s="915">
        <v>0.39200000000000002</v>
      </c>
      <c r="M71" s="915">
        <v>14.1</v>
      </c>
    </row>
    <row r="72" spans="1:13">
      <c r="A72" s="633" t="s">
        <v>1339</v>
      </c>
      <c r="B72" s="423" t="s">
        <v>4117</v>
      </c>
      <c r="C72" s="915">
        <v>575.20399999999995</v>
      </c>
      <c r="D72" s="915">
        <v>17.629000000000001</v>
      </c>
      <c r="E72" s="915">
        <v>9.8689999999999998</v>
      </c>
      <c r="F72" s="915">
        <v>567.44399999999996</v>
      </c>
      <c r="G72" s="922">
        <f t="shared" si="2"/>
        <v>1</v>
      </c>
      <c r="H72" s="915" t="e">
        <v>#REF!</v>
      </c>
      <c r="I72" s="915" t="e">
        <f t="shared" si="3"/>
        <v>#REF!</v>
      </c>
      <c r="J72" s="915">
        <v>35.542000000000002</v>
      </c>
      <c r="K72" s="915">
        <v>4.851</v>
      </c>
      <c r="L72" s="915">
        <v>2.4249999999999998</v>
      </c>
      <c r="M72" s="915">
        <v>33.116999999999997</v>
      </c>
    </row>
    <row r="73" spans="1:13">
      <c r="A73" s="633" t="s">
        <v>2474</v>
      </c>
      <c r="B73" s="423" t="s">
        <v>329</v>
      </c>
      <c r="C73" s="915">
        <v>190.90600000000001</v>
      </c>
      <c r="D73" s="915">
        <v>16.788</v>
      </c>
      <c r="E73" s="915">
        <v>8.6080000000000005</v>
      </c>
      <c r="F73" s="915">
        <v>182.726</v>
      </c>
      <c r="G73" s="922">
        <f t="shared" si="2"/>
        <v>1</v>
      </c>
      <c r="H73" s="915" t="e">
        <v>#REF!</v>
      </c>
      <c r="I73" s="915" t="e">
        <f t="shared" si="3"/>
        <v>#REF!</v>
      </c>
      <c r="J73" s="915">
        <v>33.960999999999999</v>
      </c>
      <c r="K73" s="915">
        <v>3.7450000000000001</v>
      </c>
      <c r="L73" s="915">
        <v>1.873</v>
      </c>
      <c r="M73" s="915">
        <v>32.088000000000001</v>
      </c>
    </row>
    <row r="74" spans="1:13">
      <c r="A74" s="633" t="s">
        <v>1341</v>
      </c>
      <c r="B74" s="423" t="s">
        <v>1663</v>
      </c>
      <c r="C74" s="915">
        <v>108.249</v>
      </c>
      <c r="D74" s="915">
        <v>2.7519999999999998</v>
      </c>
      <c r="E74" s="915">
        <v>2.7519999999999998</v>
      </c>
      <c r="F74" s="915">
        <v>108.249</v>
      </c>
      <c r="G74" s="922">
        <f t="shared" si="2"/>
        <v>0</v>
      </c>
      <c r="H74" s="915" t="e">
        <v>#REF!</v>
      </c>
      <c r="I74" s="915" t="e">
        <f t="shared" si="3"/>
        <v>#REF!</v>
      </c>
      <c r="J74" s="915">
        <v>0.94499999999999995</v>
      </c>
      <c r="K74" s="915">
        <v>0</v>
      </c>
      <c r="L74" s="915">
        <v>0</v>
      </c>
      <c r="M74" s="915">
        <v>0.94499999999999995</v>
      </c>
    </row>
    <row r="75" spans="1:13">
      <c r="A75" s="633" t="s">
        <v>1343</v>
      </c>
      <c r="B75" s="423" t="s">
        <v>1664</v>
      </c>
      <c r="C75" s="915">
        <v>228.85499999999999</v>
      </c>
      <c r="D75" s="915">
        <v>4.4169999999999998</v>
      </c>
      <c r="E75" s="915">
        <v>4.4169999999999998</v>
      </c>
      <c r="F75" s="915">
        <v>228.85499999999999</v>
      </c>
      <c r="G75" s="922">
        <f t="shared" si="2"/>
        <v>0</v>
      </c>
      <c r="H75" s="915" t="e">
        <v>#REF!</v>
      </c>
      <c r="I75" s="915" t="e">
        <f t="shared" si="3"/>
        <v>#REF!</v>
      </c>
      <c r="J75" s="915">
        <v>4.056</v>
      </c>
      <c r="K75" s="915">
        <v>0</v>
      </c>
      <c r="L75" s="915">
        <v>0</v>
      </c>
      <c r="M75" s="915">
        <v>4.056</v>
      </c>
    </row>
    <row r="76" spans="1:13">
      <c r="A76" s="633" t="s">
        <v>1345</v>
      </c>
      <c r="B76" s="423" t="s">
        <v>885</v>
      </c>
      <c r="C76" s="915">
        <v>86.995000000000005</v>
      </c>
      <c r="D76" s="915">
        <v>9.0869999999999997</v>
      </c>
      <c r="E76" s="915">
        <v>5.4820000000000002</v>
      </c>
      <c r="F76" s="915">
        <v>83.39</v>
      </c>
      <c r="G76" s="922">
        <f t="shared" si="2"/>
        <v>1</v>
      </c>
      <c r="H76" s="915" t="e">
        <v>#REF!</v>
      </c>
      <c r="I76" s="915" t="e">
        <f t="shared" si="3"/>
        <v>#REF!</v>
      </c>
      <c r="J76" s="915">
        <v>0.98499999999999999</v>
      </c>
      <c r="K76" s="915">
        <v>0</v>
      </c>
      <c r="L76" s="915">
        <v>0</v>
      </c>
      <c r="M76" s="915">
        <v>0.98499999999999999</v>
      </c>
    </row>
    <row r="77" spans="1:13">
      <c r="A77" s="633" t="s">
        <v>963</v>
      </c>
      <c r="B77" s="423" t="s">
        <v>996</v>
      </c>
      <c r="C77" s="915">
        <v>783.27499999999998</v>
      </c>
      <c r="D77" s="915">
        <v>55.148000000000003</v>
      </c>
      <c r="E77" s="915">
        <v>33.954000000000001</v>
      </c>
      <c r="F77" s="915">
        <v>762.08100000000002</v>
      </c>
      <c r="G77" s="922">
        <f t="shared" si="2"/>
        <v>1</v>
      </c>
      <c r="H77" s="915" t="e">
        <v>#REF!</v>
      </c>
      <c r="I77" s="915" t="e">
        <f t="shared" si="3"/>
        <v>#REF!</v>
      </c>
      <c r="J77" s="915">
        <v>20.007999999999999</v>
      </c>
      <c r="K77" s="915">
        <v>4.5019999999999998</v>
      </c>
      <c r="L77" s="915">
        <v>2.2509999999999999</v>
      </c>
      <c r="M77" s="915">
        <v>17.757000000000001</v>
      </c>
    </row>
    <row r="78" spans="1:13">
      <c r="A78" s="633" t="s">
        <v>3083</v>
      </c>
      <c r="B78" s="423" t="s">
        <v>3850</v>
      </c>
      <c r="C78" s="915">
        <v>988.42100000000005</v>
      </c>
      <c r="D78" s="915">
        <v>29.45</v>
      </c>
      <c r="E78" s="915">
        <v>15.628</v>
      </c>
      <c r="F78" s="915">
        <v>974.59900000000005</v>
      </c>
      <c r="G78" s="922">
        <f t="shared" si="2"/>
        <v>1</v>
      </c>
      <c r="H78" s="915" t="e">
        <v>#REF!</v>
      </c>
      <c r="I78" s="915" t="e">
        <f t="shared" si="3"/>
        <v>#REF!</v>
      </c>
      <c r="J78" s="915">
        <v>22.21</v>
      </c>
      <c r="K78" s="915">
        <v>0</v>
      </c>
      <c r="L78" s="915">
        <v>0</v>
      </c>
      <c r="M78" s="915">
        <v>22.21</v>
      </c>
    </row>
    <row r="79" spans="1:13">
      <c r="A79" s="633" t="s">
        <v>2568</v>
      </c>
      <c r="B79" s="423" t="s">
        <v>6070</v>
      </c>
      <c r="C79" s="915">
        <v>462.46899999999999</v>
      </c>
      <c r="D79" s="915">
        <v>7.3550000000000004</v>
      </c>
      <c r="E79" s="915">
        <v>7.3550000000000004</v>
      </c>
      <c r="F79" s="915">
        <v>462.46899999999999</v>
      </c>
      <c r="G79" s="922">
        <f t="shared" si="2"/>
        <v>0</v>
      </c>
      <c r="H79" s="915" t="e">
        <v>#REF!</v>
      </c>
      <c r="I79" s="915" t="e">
        <f t="shared" si="3"/>
        <v>#REF!</v>
      </c>
      <c r="J79" s="915">
        <v>0</v>
      </c>
      <c r="K79" s="915">
        <v>0</v>
      </c>
      <c r="L79" s="915">
        <v>0</v>
      </c>
      <c r="M79" s="915">
        <v>0</v>
      </c>
    </row>
    <row r="80" spans="1:13">
      <c r="A80" s="633" t="s">
        <v>1349</v>
      </c>
      <c r="B80" s="423" t="s">
        <v>886</v>
      </c>
      <c r="C80" s="915">
        <v>1295.874</v>
      </c>
      <c r="D80" s="915">
        <v>18.707000000000001</v>
      </c>
      <c r="E80" s="915">
        <v>18.707000000000001</v>
      </c>
      <c r="F80" s="915">
        <v>1295.874</v>
      </c>
      <c r="G80" s="922">
        <f t="shared" si="2"/>
        <v>0</v>
      </c>
      <c r="H80" s="915" t="e">
        <v>#REF!</v>
      </c>
      <c r="I80" s="915" t="e">
        <f t="shared" si="3"/>
        <v>#REF!</v>
      </c>
      <c r="J80" s="915">
        <v>8.8339999999999996</v>
      </c>
      <c r="K80" s="915">
        <v>0.5</v>
      </c>
      <c r="L80" s="915">
        <v>0.5</v>
      </c>
      <c r="M80" s="915">
        <v>8.8339999999999996</v>
      </c>
    </row>
    <row r="81" spans="1:13">
      <c r="A81" s="633" t="s">
        <v>6083</v>
      </c>
      <c r="B81" s="423" t="s">
        <v>887</v>
      </c>
      <c r="C81" s="915">
        <v>1018.806</v>
      </c>
      <c r="D81" s="915">
        <v>9.7669999999999995</v>
      </c>
      <c r="E81" s="915">
        <v>9.6029999999999998</v>
      </c>
      <c r="F81" s="915">
        <v>1018.6420000000001</v>
      </c>
      <c r="G81" s="922">
        <f t="shared" si="2"/>
        <v>1</v>
      </c>
      <c r="H81" s="915" t="e">
        <v>#REF!</v>
      </c>
      <c r="I81" s="915" t="e">
        <f t="shared" si="3"/>
        <v>#REF!</v>
      </c>
      <c r="J81" s="915">
        <v>1.6679999999999999</v>
      </c>
      <c r="K81" s="915">
        <v>0.34599999999999997</v>
      </c>
      <c r="L81" s="915">
        <v>0.18099999999999999</v>
      </c>
      <c r="M81" s="915">
        <v>1.504</v>
      </c>
    </row>
    <row r="82" spans="1:13">
      <c r="A82" s="633" t="s">
        <v>6085</v>
      </c>
      <c r="B82" s="423" t="s">
        <v>888</v>
      </c>
      <c r="C82" s="915">
        <v>6168.4539999999997</v>
      </c>
      <c r="D82" s="915">
        <v>312.26799999999997</v>
      </c>
      <c r="E82" s="915">
        <v>163.18100000000001</v>
      </c>
      <c r="F82" s="915">
        <v>6019.3670000000002</v>
      </c>
      <c r="G82" s="922">
        <f t="shared" si="2"/>
        <v>1</v>
      </c>
      <c r="H82" s="915" t="e">
        <v>#REF!</v>
      </c>
      <c r="I82" s="915" t="e">
        <f t="shared" si="3"/>
        <v>#REF!</v>
      </c>
      <c r="J82" s="915">
        <v>166.702</v>
      </c>
      <c r="K82" s="915">
        <v>29.091000000000001</v>
      </c>
      <c r="L82" s="915">
        <v>14.622999999999999</v>
      </c>
      <c r="M82" s="915">
        <v>152.233</v>
      </c>
    </row>
    <row r="83" spans="1:13">
      <c r="A83" s="633" t="s">
        <v>1998</v>
      </c>
      <c r="B83" s="423" t="s">
        <v>889</v>
      </c>
      <c r="C83" s="915">
        <v>2492.2660000000001</v>
      </c>
      <c r="D83" s="915">
        <v>107.79</v>
      </c>
      <c r="E83" s="915">
        <v>107.79</v>
      </c>
      <c r="F83" s="915">
        <v>2492.2660000000001</v>
      </c>
      <c r="G83" s="922">
        <f t="shared" si="2"/>
        <v>0</v>
      </c>
      <c r="H83" s="915" t="e">
        <v>#REF!</v>
      </c>
      <c r="I83" s="915" t="e">
        <f t="shared" si="3"/>
        <v>#REF!</v>
      </c>
      <c r="J83" s="915">
        <v>15.185</v>
      </c>
      <c r="K83" s="915">
        <v>1.9930000000000001</v>
      </c>
      <c r="L83" s="915">
        <v>1.9930000000000001</v>
      </c>
      <c r="M83" s="915">
        <v>15.185</v>
      </c>
    </row>
    <row r="84" spans="1:13">
      <c r="A84" s="633" t="s">
        <v>2570</v>
      </c>
      <c r="B84" s="423" t="s">
        <v>1467</v>
      </c>
      <c r="C84" s="915">
        <v>577.17899999999997</v>
      </c>
      <c r="D84" s="915">
        <v>9.1289999999999996</v>
      </c>
      <c r="E84" s="915">
        <v>9.1289999999999996</v>
      </c>
      <c r="F84" s="915">
        <v>577.17899999999997</v>
      </c>
      <c r="G84" s="922">
        <f t="shared" si="2"/>
        <v>0</v>
      </c>
      <c r="H84" s="915" t="e">
        <v>#REF!</v>
      </c>
      <c r="I84" s="915" t="e">
        <f t="shared" si="3"/>
        <v>#REF!</v>
      </c>
      <c r="J84" s="915">
        <v>0</v>
      </c>
      <c r="K84" s="915">
        <v>0</v>
      </c>
      <c r="L84" s="915">
        <v>0</v>
      </c>
      <c r="M84" s="915">
        <v>0</v>
      </c>
    </row>
    <row r="85" spans="1:13">
      <c r="A85" s="633" t="s">
        <v>4076</v>
      </c>
      <c r="B85" s="423" t="s">
        <v>6061</v>
      </c>
      <c r="C85" s="915">
        <v>94.259</v>
      </c>
      <c r="D85" s="915">
        <v>5.226</v>
      </c>
      <c r="E85" s="915">
        <v>5.226</v>
      </c>
      <c r="F85" s="915">
        <v>94.259</v>
      </c>
      <c r="G85" s="922">
        <f t="shared" si="2"/>
        <v>0</v>
      </c>
      <c r="H85" s="915" t="e">
        <v>#REF!</v>
      </c>
      <c r="I85" s="915" t="e">
        <f t="shared" si="3"/>
        <v>#REF!</v>
      </c>
      <c r="J85" s="915">
        <v>0</v>
      </c>
      <c r="K85" s="915">
        <v>0</v>
      </c>
      <c r="L85" s="915">
        <v>0</v>
      </c>
      <c r="M85" s="915">
        <v>0</v>
      </c>
    </row>
    <row r="86" spans="1:13">
      <c r="A86" s="633" t="s">
        <v>1963</v>
      </c>
      <c r="B86" s="423" t="s">
        <v>890</v>
      </c>
      <c r="C86" s="915">
        <v>418.97500000000002</v>
      </c>
      <c r="D86" s="915">
        <v>0</v>
      </c>
      <c r="E86" s="915">
        <v>0</v>
      </c>
      <c r="F86" s="915">
        <v>418.97500000000002</v>
      </c>
      <c r="G86" s="922">
        <f t="shared" si="2"/>
        <v>0</v>
      </c>
      <c r="H86" s="915" t="e">
        <v>#REF!</v>
      </c>
      <c r="I86" s="915" t="e">
        <f t="shared" si="3"/>
        <v>#REF!</v>
      </c>
      <c r="J86" s="915">
        <v>0</v>
      </c>
      <c r="K86" s="915">
        <v>0</v>
      </c>
      <c r="L86" s="915">
        <v>0</v>
      </c>
      <c r="M86" s="915">
        <v>0</v>
      </c>
    </row>
    <row r="87" spans="1:13">
      <c r="A87" s="633" t="s">
        <v>2000</v>
      </c>
      <c r="B87" s="423" t="s">
        <v>891</v>
      </c>
      <c r="C87" s="915">
        <v>1855.325</v>
      </c>
      <c r="D87" s="915">
        <v>65.433999999999997</v>
      </c>
      <c r="E87" s="915">
        <v>34.871000000000002</v>
      </c>
      <c r="F87" s="915">
        <v>1824.7619999999999</v>
      </c>
      <c r="G87" s="922">
        <f t="shared" si="2"/>
        <v>1</v>
      </c>
      <c r="H87" s="915" t="e">
        <v>#REF!</v>
      </c>
      <c r="I87" s="915" t="e">
        <f t="shared" si="3"/>
        <v>#REF!</v>
      </c>
      <c r="J87" s="915">
        <v>48.488999999999997</v>
      </c>
      <c r="K87" s="915">
        <v>9.3979999999999997</v>
      </c>
      <c r="L87" s="915">
        <v>4.7329999999999997</v>
      </c>
      <c r="M87" s="915">
        <v>43.825000000000003</v>
      </c>
    </row>
    <row r="88" spans="1:13">
      <c r="A88" s="633" t="s">
        <v>2002</v>
      </c>
      <c r="B88" s="423" t="s">
        <v>3852</v>
      </c>
      <c r="C88" s="915">
        <v>91.911000000000001</v>
      </c>
      <c r="D88" s="915">
        <v>4.55</v>
      </c>
      <c r="E88" s="915">
        <v>2.8410000000000002</v>
      </c>
      <c r="F88" s="915">
        <v>90.200999999999993</v>
      </c>
      <c r="G88" s="922">
        <f t="shared" si="2"/>
        <v>1</v>
      </c>
      <c r="H88" s="915" t="e">
        <v>#REF!</v>
      </c>
      <c r="I88" s="915" t="e">
        <f t="shared" si="3"/>
        <v>#REF!</v>
      </c>
      <c r="J88" s="915">
        <v>3.88</v>
      </c>
      <c r="K88" s="915">
        <v>0.90800000000000003</v>
      </c>
      <c r="L88" s="915">
        <v>0.90800000000000003</v>
      </c>
      <c r="M88" s="915">
        <v>3.88</v>
      </c>
    </row>
    <row r="89" spans="1:13">
      <c r="A89" s="633" t="s">
        <v>1964</v>
      </c>
      <c r="B89" s="423" t="s">
        <v>892</v>
      </c>
      <c r="C89" s="915">
        <v>103.57599999999999</v>
      </c>
      <c r="D89" s="915">
        <v>3.1880000000000002</v>
      </c>
      <c r="E89" s="915">
        <v>3.1880000000000002</v>
      </c>
      <c r="F89" s="915">
        <v>103.57599999999999</v>
      </c>
      <c r="G89" s="922">
        <f t="shared" si="2"/>
        <v>0</v>
      </c>
      <c r="H89" s="915" t="e">
        <v>#REF!</v>
      </c>
      <c r="I89" s="915" t="e">
        <f t="shared" si="3"/>
        <v>#REF!</v>
      </c>
      <c r="J89" s="915">
        <v>0</v>
      </c>
      <c r="K89" s="915">
        <v>0</v>
      </c>
      <c r="L89" s="915">
        <v>0</v>
      </c>
      <c r="M89" s="915">
        <v>0</v>
      </c>
    </row>
    <row r="90" spans="1:13">
      <c r="A90" s="633" t="s">
        <v>2136</v>
      </c>
      <c r="B90" s="423" t="s">
        <v>7679</v>
      </c>
      <c r="C90" s="915">
        <v>14930.848</v>
      </c>
      <c r="D90" s="915">
        <v>289.61</v>
      </c>
      <c r="E90" s="915">
        <v>289.37700000000001</v>
      </c>
      <c r="F90" s="915">
        <v>14930.615</v>
      </c>
      <c r="G90" s="922">
        <f t="shared" si="2"/>
        <v>1</v>
      </c>
      <c r="H90" s="915" t="e">
        <v>#REF!</v>
      </c>
      <c r="I90" s="915" t="e">
        <f t="shared" si="3"/>
        <v>#REF!</v>
      </c>
      <c r="J90" s="915">
        <v>1691.777</v>
      </c>
      <c r="K90" s="915">
        <v>124.94799999999999</v>
      </c>
      <c r="L90" s="915">
        <v>124.715</v>
      </c>
      <c r="M90" s="915">
        <v>1691.5440000000001</v>
      </c>
    </row>
    <row r="91" spans="1:13">
      <c r="A91" s="633" t="s">
        <v>2966</v>
      </c>
      <c r="B91" s="423" t="s">
        <v>893</v>
      </c>
      <c r="C91" s="915">
        <v>5766.4290000000001</v>
      </c>
      <c r="D91" s="915">
        <v>110.066</v>
      </c>
      <c r="E91" s="915">
        <v>110.066</v>
      </c>
      <c r="F91" s="915">
        <v>5766.4290000000001</v>
      </c>
      <c r="G91" s="922">
        <f t="shared" si="2"/>
        <v>0</v>
      </c>
      <c r="H91" s="915" t="e">
        <v>#REF!</v>
      </c>
      <c r="I91" s="915" t="e">
        <f t="shared" si="3"/>
        <v>#REF!</v>
      </c>
      <c r="J91" s="915">
        <v>334.63600000000002</v>
      </c>
      <c r="K91" s="915">
        <v>22.045000000000002</v>
      </c>
      <c r="L91" s="915">
        <v>22.045000000000002</v>
      </c>
      <c r="M91" s="915">
        <v>334.63600000000002</v>
      </c>
    </row>
    <row r="92" spans="1:13">
      <c r="A92" s="633" t="s">
        <v>3084</v>
      </c>
      <c r="B92" s="423" t="s">
        <v>992</v>
      </c>
      <c r="C92" s="915">
        <v>707.28499999999997</v>
      </c>
      <c r="D92" s="915">
        <v>6.94</v>
      </c>
      <c r="E92" s="915">
        <v>6.94</v>
      </c>
      <c r="F92" s="915">
        <v>707.28499999999997</v>
      </c>
      <c r="G92" s="922">
        <f t="shared" si="2"/>
        <v>0</v>
      </c>
      <c r="H92" s="915" t="e">
        <v>#REF!</v>
      </c>
      <c r="I92" s="915" t="e">
        <f t="shared" si="3"/>
        <v>#REF!</v>
      </c>
      <c r="J92" s="915">
        <v>16.809000000000001</v>
      </c>
      <c r="K92" s="915">
        <v>1.4730000000000001</v>
      </c>
      <c r="L92" s="915">
        <v>1.4730000000000001</v>
      </c>
      <c r="M92" s="915">
        <v>16.809000000000001</v>
      </c>
    </row>
    <row r="93" spans="1:13">
      <c r="A93" s="633" t="s">
        <v>6252</v>
      </c>
      <c r="B93" s="423" t="s">
        <v>1571</v>
      </c>
      <c r="C93" s="915">
        <v>12076.773999999999</v>
      </c>
      <c r="D93" s="915">
        <v>353.35700000000003</v>
      </c>
      <c r="E93" s="915">
        <v>185.107</v>
      </c>
      <c r="F93" s="915">
        <v>11908.523999999999</v>
      </c>
      <c r="G93" s="922">
        <f t="shared" si="2"/>
        <v>1</v>
      </c>
      <c r="H93" s="915" t="e">
        <v>#REF!</v>
      </c>
      <c r="I93" s="915" t="e">
        <f t="shared" si="3"/>
        <v>#REF!</v>
      </c>
      <c r="J93" s="915">
        <v>974.51400000000001</v>
      </c>
      <c r="K93" s="915">
        <v>81.320999999999998</v>
      </c>
      <c r="L93" s="915">
        <v>41.918999999999997</v>
      </c>
      <c r="M93" s="915">
        <v>935.11099999999999</v>
      </c>
    </row>
    <row r="94" spans="1:13">
      <c r="A94" s="633" t="s">
        <v>6254</v>
      </c>
      <c r="B94" s="423" t="s">
        <v>1572</v>
      </c>
      <c r="C94" s="915">
        <v>1840.2180000000001</v>
      </c>
      <c r="D94" s="915">
        <v>21.84</v>
      </c>
      <c r="E94" s="915">
        <v>21.84</v>
      </c>
      <c r="F94" s="915">
        <v>1840.2180000000001</v>
      </c>
      <c r="G94" s="922">
        <f t="shared" si="2"/>
        <v>0</v>
      </c>
      <c r="H94" s="915" t="e">
        <v>#REF!</v>
      </c>
      <c r="I94" s="915" t="e">
        <f t="shared" si="3"/>
        <v>#REF!</v>
      </c>
      <c r="J94" s="915">
        <v>35.811999999999998</v>
      </c>
      <c r="K94" s="915">
        <v>2.649</v>
      </c>
      <c r="L94" s="915">
        <v>2.649</v>
      </c>
      <c r="M94" s="915">
        <v>35.811999999999998</v>
      </c>
    </row>
    <row r="95" spans="1:13">
      <c r="A95" s="633" t="s">
        <v>233</v>
      </c>
      <c r="B95" s="423" t="s">
        <v>2640</v>
      </c>
      <c r="C95" s="915">
        <v>2903.7510000000002</v>
      </c>
      <c r="D95" s="915">
        <v>94.141999999999996</v>
      </c>
      <c r="E95" s="915">
        <v>50.758000000000003</v>
      </c>
      <c r="F95" s="915">
        <v>2860.3670000000002</v>
      </c>
      <c r="G95" s="922">
        <f t="shared" si="2"/>
        <v>1</v>
      </c>
      <c r="H95" s="915" t="e">
        <v>#REF!</v>
      </c>
      <c r="I95" s="915" t="e">
        <f t="shared" si="3"/>
        <v>#REF!</v>
      </c>
      <c r="J95" s="915">
        <v>98.373000000000005</v>
      </c>
      <c r="K95" s="915">
        <v>13.611000000000001</v>
      </c>
      <c r="L95" s="915">
        <v>6.806</v>
      </c>
      <c r="M95" s="915">
        <v>91.566999999999993</v>
      </c>
    </row>
    <row r="96" spans="1:13">
      <c r="A96" s="633" t="s">
        <v>6195</v>
      </c>
      <c r="B96" s="423" t="s">
        <v>5293</v>
      </c>
      <c r="C96" s="915">
        <v>16646.620999999999</v>
      </c>
      <c r="D96" s="915">
        <v>138.06200000000001</v>
      </c>
      <c r="E96" s="915">
        <v>137.69999999999999</v>
      </c>
      <c r="F96" s="915">
        <v>16646.258999999998</v>
      </c>
      <c r="G96" s="922">
        <f t="shared" si="2"/>
        <v>1</v>
      </c>
      <c r="H96" s="915" t="e">
        <v>#REF!</v>
      </c>
      <c r="I96" s="915" t="e">
        <f t="shared" si="3"/>
        <v>#REF!</v>
      </c>
      <c r="J96" s="915">
        <v>1312.5029999999999</v>
      </c>
      <c r="K96" s="915">
        <v>70.548000000000002</v>
      </c>
      <c r="L96" s="915">
        <v>70.548000000000002</v>
      </c>
      <c r="M96" s="915">
        <v>1312.5029999999999</v>
      </c>
    </row>
    <row r="97" spans="1:13">
      <c r="A97" s="633" t="s">
        <v>6256</v>
      </c>
      <c r="B97" s="423" t="s">
        <v>1573</v>
      </c>
      <c r="C97" s="915">
        <v>143.61199999999999</v>
      </c>
      <c r="D97" s="915">
        <v>4.2039999999999997</v>
      </c>
      <c r="E97" s="915">
        <v>4.2039999999999997</v>
      </c>
      <c r="F97" s="915">
        <v>143.61199999999999</v>
      </c>
      <c r="G97" s="922">
        <f t="shared" si="2"/>
        <v>0</v>
      </c>
      <c r="H97" s="915" t="e">
        <v>#REF!</v>
      </c>
      <c r="I97" s="915" t="e">
        <f t="shared" si="3"/>
        <v>#REF!</v>
      </c>
      <c r="J97" s="915">
        <v>17.606000000000002</v>
      </c>
      <c r="K97" s="915">
        <v>3.5000000000000003E-2</v>
      </c>
      <c r="L97" s="915">
        <v>3.5000000000000003E-2</v>
      </c>
      <c r="M97" s="915">
        <v>17.606000000000002</v>
      </c>
    </row>
    <row r="98" spans="1:13">
      <c r="A98" s="633" t="s">
        <v>743</v>
      </c>
      <c r="B98" s="423" t="s">
        <v>6119</v>
      </c>
      <c r="C98" s="915">
        <v>9193.7009999999991</v>
      </c>
      <c r="D98" s="915">
        <v>90.611000000000004</v>
      </c>
      <c r="E98" s="915">
        <v>90.394999999999996</v>
      </c>
      <c r="F98" s="915">
        <v>9193.4840000000004</v>
      </c>
      <c r="G98" s="922">
        <f t="shared" si="2"/>
        <v>1</v>
      </c>
      <c r="H98" s="915" t="e">
        <v>#REF!</v>
      </c>
      <c r="I98" s="915" t="e">
        <f t="shared" si="3"/>
        <v>#REF!</v>
      </c>
      <c r="J98" s="915">
        <v>525.62199999999996</v>
      </c>
      <c r="K98" s="915">
        <v>29.606999999999999</v>
      </c>
      <c r="L98" s="915">
        <v>29.606999999999999</v>
      </c>
      <c r="M98" s="915">
        <v>525.62199999999996</v>
      </c>
    </row>
    <row r="99" spans="1:13">
      <c r="A99" s="633" t="s">
        <v>960</v>
      </c>
      <c r="B99" s="423" t="s">
        <v>2143</v>
      </c>
      <c r="C99" s="915">
        <v>13926.627</v>
      </c>
      <c r="D99" s="915">
        <v>301.71199999999999</v>
      </c>
      <c r="E99" s="915">
        <v>301.71199999999999</v>
      </c>
      <c r="F99" s="915">
        <v>13926.627</v>
      </c>
      <c r="G99" s="922">
        <f t="shared" si="2"/>
        <v>0</v>
      </c>
      <c r="H99" s="915" t="e">
        <v>#REF!</v>
      </c>
      <c r="I99" s="915" t="e">
        <f t="shared" si="3"/>
        <v>#REF!</v>
      </c>
      <c r="J99" s="915">
        <v>2228.0079999999998</v>
      </c>
      <c r="K99" s="915">
        <v>128.53899999999999</v>
      </c>
      <c r="L99" s="915">
        <v>128.53899999999999</v>
      </c>
      <c r="M99" s="915">
        <v>2228.0079999999998</v>
      </c>
    </row>
    <row r="100" spans="1:13">
      <c r="A100" s="633" t="s">
        <v>6991</v>
      </c>
      <c r="B100" s="423" t="s">
        <v>107</v>
      </c>
      <c r="C100" s="915">
        <v>114.071</v>
      </c>
      <c r="D100" s="915">
        <v>0</v>
      </c>
      <c r="E100" s="915">
        <v>0</v>
      </c>
      <c r="F100" s="915">
        <v>114.071</v>
      </c>
      <c r="G100" s="922">
        <f t="shared" si="2"/>
        <v>0</v>
      </c>
      <c r="H100" s="915" t="e">
        <v>#REF!</v>
      </c>
      <c r="I100" s="915" t="e">
        <f t="shared" si="3"/>
        <v>#REF!</v>
      </c>
      <c r="J100" s="915">
        <v>32.529000000000003</v>
      </c>
      <c r="K100" s="915">
        <v>0</v>
      </c>
      <c r="L100" s="915">
        <v>0</v>
      </c>
      <c r="M100" s="915">
        <v>32.529000000000003</v>
      </c>
    </row>
    <row r="101" spans="1:13">
      <c r="A101" s="633" t="s">
        <v>6262</v>
      </c>
      <c r="B101" s="423" t="s">
        <v>108</v>
      </c>
      <c r="C101" s="915">
        <v>976.04</v>
      </c>
      <c r="D101" s="915">
        <v>46.322000000000003</v>
      </c>
      <c r="E101" s="915">
        <v>24.789000000000001</v>
      </c>
      <c r="F101" s="915">
        <v>954.50699999999995</v>
      </c>
      <c r="G101" s="922">
        <f t="shared" si="2"/>
        <v>1</v>
      </c>
      <c r="H101" s="915" t="e">
        <v>#REF!</v>
      </c>
      <c r="I101" s="915" t="e">
        <f t="shared" si="3"/>
        <v>#REF!</v>
      </c>
      <c r="J101" s="915">
        <v>71.503</v>
      </c>
      <c r="K101" s="915">
        <v>9.5670000000000002</v>
      </c>
      <c r="L101" s="915">
        <v>5.069</v>
      </c>
      <c r="M101" s="915">
        <v>67.004999999999995</v>
      </c>
    </row>
    <row r="102" spans="1:13">
      <c r="A102" s="633" t="s">
        <v>6264</v>
      </c>
      <c r="B102" s="423" t="s">
        <v>3792</v>
      </c>
      <c r="C102" s="915">
        <v>45.524000000000001</v>
      </c>
      <c r="D102" s="915">
        <v>0</v>
      </c>
      <c r="E102" s="915">
        <v>0</v>
      </c>
      <c r="F102" s="915">
        <v>45.524000000000001</v>
      </c>
      <c r="G102" s="922">
        <f t="shared" si="2"/>
        <v>0</v>
      </c>
      <c r="H102" s="915" t="e">
        <v>#REF!</v>
      </c>
      <c r="I102" s="915" t="e">
        <f t="shared" si="3"/>
        <v>#REF!</v>
      </c>
      <c r="J102" s="915">
        <v>0</v>
      </c>
      <c r="K102" s="915">
        <v>0</v>
      </c>
      <c r="L102" s="915">
        <v>0</v>
      </c>
      <c r="M102" s="915">
        <v>0</v>
      </c>
    </row>
    <row r="103" spans="1:13">
      <c r="A103" s="633" t="s">
        <v>6266</v>
      </c>
      <c r="B103" s="423" t="s">
        <v>3793</v>
      </c>
      <c r="C103" s="915">
        <v>29.843</v>
      </c>
      <c r="D103" s="915">
        <v>0</v>
      </c>
      <c r="E103" s="915">
        <v>0</v>
      </c>
      <c r="F103" s="915">
        <v>29.843</v>
      </c>
      <c r="G103" s="922">
        <f t="shared" si="2"/>
        <v>0</v>
      </c>
      <c r="H103" s="915" t="e">
        <v>#REF!</v>
      </c>
      <c r="I103" s="915" t="e">
        <f t="shared" si="3"/>
        <v>#REF!</v>
      </c>
      <c r="J103" s="915">
        <v>6.0000000000000001E-3</v>
      </c>
      <c r="K103" s="915">
        <v>0</v>
      </c>
      <c r="L103" s="915">
        <v>0</v>
      </c>
      <c r="M103" s="915">
        <v>6.0000000000000001E-3</v>
      </c>
    </row>
    <row r="104" spans="1:13">
      <c r="A104" s="633" t="s">
        <v>6268</v>
      </c>
      <c r="B104" s="423" t="s">
        <v>3794</v>
      </c>
      <c r="C104" s="915">
        <v>164.04599999999999</v>
      </c>
      <c r="D104" s="915">
        <v>1.7789999999999999</v>
      </c>
      <c r="E104" s="915">
        <v>1.7789999999999999</v>
      </c>
      <c r="F104" s="915">
        <v>164.04599999999999</v>
      </c>
      <c r="G104" s="922">
        <f t="shared" si="2"/>
        <v>0</v>
      </c>
      <c r="H104" s="915" t="e">
        <v>#REF!</v>
      </c>
      <c r="I104" s="915" t="e">
        <f t="shared" si="3"/>
        <v>#REF!</v>
      </c>
      <c r="J104" s="915">
        <v>12.268000000000001</v>
      </c>
      <c r="K104" s="915">
        <v>0</v>
      </c>
      <c r="L104" s="915">
        <v>0</v>
      </c>
      <c r="M104" s="915">
        <v>12.268000000000001</v>
      </c>
    </row>
    <row r="105" spans="1:13">
      <c r="A105" s="633" t="s">
        <v>6270</v>
      </c>
      <c r="B105" s="423" t="s">
        <v>3795</v>
      </c>
      <c r="C105" s="915">
        <v>1374.633</v>
      </c>
      <c r="D105" s="915">
        <v>60.771000000000001</v>
      </c>
      <c r="E105" s="915">
        <v>32.079000000000001</v>
      </c>
      <c r="F105" s="915">
        <v>1345.942</v>
      </c>
      <c r="G105" s="922">
        <f t="shared" si="2"/>
        <v>1</v>
      </c>
      <c r="H105" s="915" t="e">
        <v>#REF!</v>
      </c>
      <c r="I105" s="915" t="e">
        <f t="shared" si="3"/>
        <v>#REF!</v>
      </c>
      <c r="J105" s="915">
        <v>42.826000000000001</v>
      </c>
      <c r="K105" s="915">
        <v>1.968</v>
      </c>
      <c r="L105" s="915">
        <v>0.98399999999999999</v>
      </c>
      <c r="M105" s="915">
        <v>41.841999999999999</v>
      </c>
    </row>
    <row r="106" spans="1:13">
      <c r="A106" s="633" t="s">
        <v>6272</v>
      </c>
      <c r="B106" s="423" t="s">
        <v>3796</v>
      </c>
      <c r="C106" s="915">
        <v>1028.3219999999999</v>
      </c>
      <c r="D106" s="915">
        <v>13.724</v>
      </c>
      <c r="E106" s="915">
        <v>13.31</v>
      </c>
      <c r="F106" s="915">
        <v>1027.9079999999999</v>
      </c>
      <c r="G106" s="922">
        <f t="shared" si="2"/>
        <v>1</v>
      </c>
      <c r="H106" s="915" t="e">
        <v>#REF!</v>
      </c>
      <c r="I106" s="915" t="e">
        <f t="shared" si="3"/>
        <v>#REF!</v>
      </c>
      <c r="J106" s="915">
        <v>16.059999999999999</v>
      </c>
      <c r="K106" s="915">
        <v>0.375</v>
      </c>
      <c r="L106" s="915">
        <v>0.375</v>
      </c>
      <c r="M106" s="915">
        <v>16.059999999999999</v>
      </c>
    </row>
    <row r="107" spans="1:13">
      <c r="A107" s="633" t="s">
        <v>2291</v>
      </c>
      <c r="B107" s="423" t="s">
        <v>3797</v>
      </c>
      <c r="C107" s="915">
        <v>3259.3789999999999</v>
      </c>
      <c r="D107" s="915">
        <v>144.89099999999999</v>
      </c>
      <c r="E107" s="915">
        <v>80.515000000000001</v>
      </c>
      <c r="F107" s="915">
        <v>3195.0030000000002</v>
      </c>
      <c r="G107" s="922">
        <f t="shared" si="2"/>
        <v>1</v>
      </c>
      <c r="H107" s="915" t="e">
        <v>#REF!</v>
      </c>
      <c r="I107" s="915" t="e">
        <f t="shared" si="3"/>
        <v>#REF!</v>
      </c>
      <c r="J107" s="915">
        <v>56.311999999999998</v>
      </c>
      <c r="K107" s="915">
        <v>11.499000000000001</v>
      </c>
      <c r="L107" s="915">
        <v>5.7489999999999997</v>
      </c>
      <c r="M107" s="915">
        <v>50.563000000000002</v>
      </c>
    </row>
    <row r="108" spans="1:13">
      <c r="A108" s="633" t="s">
        <v>954</v>
      </c>
      <c r="B108" s="423" t="s">
        <v>7659</v>
      </c>
      <c r="C108" s="915">
        <v>205.464</v>
      </c>
      <c r="D108" s="915">
        <v>3.2109999999999999</v>
      </c>
      <c r="E108" s="915">
        <v>3.2109999999999999</v>
      </c>
      <c r="F108" s="915">
        <v>205.464</v>
      </c>
      <c r="G108" s="922">
        <f t="shared" si="2"/>
        <v>0</v>
      </c>
      <c r="H108" s="915" t="e">
        <v>#REF!</v>
      </c>
      <c r="I108" s="915" t="e">
        <f t="shared" si="3"/>
        <v>#REF!</v>
      </c>
      <c r="J108" s="915">
        <v>3.9580000000000002</v>
      </c>
      <c r="K108" s="915">
        <v>0</v>
      </c>
      <c r="L108" s="915">
        <v>0</v>
      </c>
      <c r="M108" s="915">
        <v>3.9580000000000002</v>
      </c>
    </row>
    <row r="109" spans="1:13">
      <c r="A109" s="633" t="s">
        <v>6166</v>
      </c>
      <c r="B109" s="423" t="s">
        <v>6071</v>
      </c>
      <c r="C109" s="915">
        <v>245.714</v>
      </c>
      <c r="D109" s="915">
        <v>3.7309999999999999</v>
      </c>
      <c r="E109" s="915">
        <v>3.7309999999999999</v>
      </c>
      <c r="F109" s="915">
        <v>245.714</v>
      </c>
      <c r="G109" s="922">
        <f t="shared" si="2"/>
        <v>0</v>
      </c>
      <c r="H109" s="915" t="e">
        <v>#REF!</v>
      </c>
      <c r="I109" s="915" t="e">
        <f t="shared" si="3"/>
        <v>#REF!</v>
      </c>
      <c r="J109" s="915">
        <v>3.9529999999999998</v>
      </c>
      <c r="K109" s="915">
        <v>0.42699999999999999</v>
      </c>
      <c r="L109" s="915">
        <v>0.42699999999999999</v>
      </c>
      <c r="M109" s="915">
        <v>3.9529999999999998</v>
      </c>
    </row>
    <row r="110" spans="1:13">
      <c r="A110" s="633" t="s">
        <v>864</v>
      </c>
      <c r="B110" s="423" t="s">
        <v>2011</v>
      </c>
      <c r="C110" s="915">
        <v>192.29</v>
      </c>
      <c r="D110" s="915">
        <v>0</v>
      </c>
      <c r="E110" s="915">
        <v>0</v>
      </c>
      <c r="F110" s="915">
        <v>192.29</v>
      </c>
      <c r="G110" s="922">
        <f t="shared" si="2"/>
        <v>0</v>
      </c>
      <c r="H110" s="915" t="e">
        <v>#REF!</v>
      </c>
      <c r="I110" s="915" t="e">
        <f t="shared" si="3"/>
        <v>#REF!</v>
      </c>
      <c r="J110" s="915">
        <v>0</v>
      </c>
      <c r="K110" s="915">
        <v>0</v>
      </c>
      <c r="L110" s="915">
        <v>0</v>
      </c>
      <c r="M110" s="915">
        <v>0</v>
      </c>
    </row>
    <row r="111" spans="1:13">
      <c r="A111" s="633" t="s">
        <v>3085</v>
      </c>
      <c r="B111" s="423" t="s">
        <v>2141</v>
      </c>
      <c r="C111" s="915">
        <v>167.61600000000001</v>
      </c>
      <c r="D111" s="915">
        <v>0</v>
      </c>
      <c r="E111" s="915">
        <v>0</v>
      </c>
      <c r="F111" s="915">
        <v>167.61600000000001</v>
      </c>
      <c r="G111" s="922">
        <f t="shared" si="2"/>
        <v>0</v>
      </c>
      <c r="H111" s="915" t="e">
        <v>#REF!</v>
      </c>
      <c r="I111" s="915" t="e">
        <f t="shared" si="3"/>
        <v>#REF!</v>
      </c>
      <c r="J111" s="915">
        <v>0</v>
      </c>
      <c r="K111" s="915">
        <v>0</v>
      </c>
      <c r="L111" s="915">
        <v>0</v>
      </c>
      <c r="M111" s="915">
        <v>0</v>
      </c>
    </row>
    <row r="112" spans="1:13">
      <c r="A112" s="633" t="s">
        <v>1518</v>
      </c>
      <c r="B112" s="423" t="s">
        <v>3012</v>
      </c>
      <c r="C112" s="915">
        <v>1206.2370000000001</v>
      </c>
      <c r="D112" s="915">
        <v>8.0340000000000007</v>
      </c>
      <c r="E112" s="915">
        <v>8.0340000000000007</v>
      </c>
      <c r="F112" s="915">
        <v>1206.2370000000001</v>
      </c>
      <c r="G112" s="922">
        <f t="shared" si="2"/>
        <v>0</v>
      </c>
      <c r="H112" s="915" t="e">
        <v>#REF!</v>
      </c>
      <c r="I112" s="915" t="e">
        <f t="shared" si="3"/>
        <v>#REF!</v>
      </c>
      <c r="J112" s="915">
        <v>19.393000000000001</v>
      </c>
      <c r="K112" s="915">
        <v>0.95099999999999996</v>
      </c>
      <c r="L112" s="915">
        <v>0.95099999999999996</v>
      </c>
      <c r="M112" s="915">
        <v>19.393000000000001</v>
      </c>
    </row>
    <row r="113" spans="1:13">
      <c r="A113" s="633" t="s">
        <v>7249</v>
      </c>
      <c r="B113" s="423" t="s">
        <v>3781</v>
      </c>
      <c r="C113" s="915">
        <v>133.77699999999999</v>
      </c>
      <c r="D113" s="915">
        <v>0</v>
      </c>
      <c r="E113" s="915">
        <v>0</v>
      </c>
      <c r="F113" s="915">
        <v>133.77699999999999</v>
      </c>
      <c r="G113" s="922">
        <f t="shared" si="2"/>
        <v>0</v>
      </c>
      <c r="H113" s="915" t="e">
        <v>#REF!</v>
      </c>
      <c r="I113" s="915" t="e">
        <f t="shared" si="3"/>
        <v>#REF!</v>
      </c>
      <c r="J113" s="915">
        <v>3.2349999999999999</v>
      </c>
      <c r="K113" s="915">
        <v>0</v>
      </c>
      <c r="L113" s="915">
        <v>0</v>
      </c>
      <c r="M113" s="915">
        <v>3.2349999999999999</v>
      </c>
    </row>
    <row r="114" spans="1:13">
      <c r="A114" s="633" t="s">
        <v>7251</v>
      </c>
      <c r="B114" s="423" t="s">
        <v>3781</v>
      </c>
      <c r="C114" s="915">
        <v>20.265999999999998</v>
      </c>
      <c r="D114" s="915">
        <v>0</v>
      </c>
      <c r="E114" s="915">
        <v>0</v>
      </c>
      <c r="F114" s="915">
        <v>20.265999999999998</v>
      </c>
      <c r="G114" s="922">
        <f t="shared" si="2"/>
        <v>0</v>
      </c>
      <c r="H114" s="915" t="e">
        <v>#REF!</v>
      </c>
      <c r="I114" s="915" t="e">
        <f t="shared" si="3"/>
        <v>#REF!</v>
      </c>
      <c r="J114" s="915">
        <v>1.3089999999999999</v>
      </c>
      <c r="K114" s="915">
        <v>0</v>
      </c>
      <c r="L114" s="915">
        <v>0</v>
      </c>
      <c r="M114" s="915">
        <v>1.3089999999999999</v>
      </c>
    </row>
    <row r="115" spans="1:13">
      <c r="A115" s="633" t="s">
        <v>2293</v>
      </c>
      <c r="B115" s="423" t="s">
        <v>3798</v>
      </c>
      <c r="C115" s="915">
        <v>1717.7059999999999</v>
      </c>
      <c r="D115" s="915">
        <v>34.872</v>
      </c>
      <c r="E115" s="915">
        <v>34.872</v>
      </c>
      <c r="F115" s="915">
        <v>1717.7059999999999</v>
      </c>
      <c r="G115" s="922">
        <f t="shared" si="2"/>
        <v>0</v>
      </c>
      <c r="H115" s="915" t="e">
        <v>#REF!</v>
      </c>
      <c r="I115" s="915" t="e">
        <f t="shared" si="3"/>
        <v>#REF!</v>
      </c>
      <c r="J115" s="915">
        <v>148.59</v>
      </c>
      <c r="K115" s="915">
        <v>9.3360000000000003</v>
      </c>
      <c r="L115" s="915">
        <v>9.3360000000000003</v>
      </c>
      <c r="M115" s="915">
        <v>148.59</v>
      </c>
    </row>
    <row r="116" spans="1:13">
      <c r="A116" s="633" t="s">
        <v>2295</v>
      </c>
      <c r="B116" s="423" t="s">
        <v>3799</v>
      </c>
      <c r="C116" s="915">
        <v>429.92399999999998</v>
      </c>
      <c r="D116" s="915">
        <v>8.91</v>
      </c>
      <c r="E116" s="915">
        <v>8.91</v>
      </c>
      <c r="F116" s="915">
        <v>429.92399999999998</v>
      </c>
      <c r="G116" s="922">
        <f t="shared" si="2"/>
        <v>0</v>
      </c>
      <c r="H116" s="915" t="e">
        <v>#REF!</v>
      </c>
      <c r="I116" s="915" t="e">
        <f t="shared" si="3"/>
        <v>#REF!</v>
      </c>
      <c r="J116" s="915">
        <v>19.146000000000001</v>
      </c>
      <c r="K116" s="915">
        <v>2.323</v>
      </c>
      <c r="L116" s="915">
        <v>2.323</v>
      </c>
      <c r="M116" s="915">
        <v>19.146000000000001</v>
      </c>
    </row>
    <row r="117" spans="1:13">
      <c r="A117" s="633" t="s">
        <v>2297</v>
      </c>
      <c r="B117" s="423" t="s">
        <v>3800</v>
      </c>
      <c r="C117" s="915">
        <v>476.21699999999998</v>
      </c>
      <c r="D117" s="915">
        <v>28.632000000000001</v>
      </c>
      <c r="E117" s="915">
        <v>15.994999999999999</v>
      </c>
      <c r="F117" s="915">
        <v>463.58</v>
      </c>
      <c r="G117" s="922">
        <f t="shared" si="2"/>
        <v>1</v>
      </c>
      <c r="H117" s="915" t="e">
        <v>#REF!</v>
      </c>
      <c r="I117" s="915" t="e">
        <f t="shared" si="3"/>
        <v>#REF!</v>
      </c>
      <c r="J117" s="915">
        <v>11.602</v>
      </c>
      <c r="K117" s="915">
        <v>2.609</v>
      </c>
      <c r="L117" s="915">
        <v>1.304</v>
      </c>
      <c r="M117" s="915">
        <v>10.298</v>
      </c>
    </row>
    <row r="118" spans="1:13">
      <c r="A118" s="633" t="s">
        <v>978</v>
      </c>
      <c r="B118" s="423" t="s">
        <v>4670</v>
      </c>
      <c r="C118" s="915">
        <v>3188.0459999999998</v>
      </c>
      <c r="D118" s="915">
        <v>40.716000000000001</v>
      </c>
      <c r="E118" s="915">
        <v>40.716000000000001</v>
      </c>
      <c r="F118" s="915">
        <v>3188.0459999999998</v>
      </c>
      <c r="G118" s="922">
        <f t="shared" si="2"/>
        <v>0</v>
      </c>
      <c r="H118" s="915" t="e">
        <v>#REF!</v>
      </c>
      <c r="I118" s="915" t="e">
        <f t="shared" si="3"/>
        <v>#REF!</v>
      </c>
      <c r="J118" s="915">
        <v>170.06399999999999</v>
      </c>
      <c r="K118" s="915">
        <v>4.4279999999999999</v>
      </c>
      <c r="L118" s="915">
        <v>4.4279999999999999</v>
      </c>
      <c r="M118" s="915">
        <v>170.06399999999999</v>
      </c>
    </row>
    <row r="119" spans="1:13">
      <c r="A119" s="633" t="s">
        <v>3003</v>
      </c>
      <c r="B119" s="423" t="s">
        <v>6063</v>
      </c>
      <c r="C119" s="915">
        <v>3707.9009999999998</v>
      </c>
      <c r="D119" s="915">
        <v>151.251</v>
      </c>
      <c r="E119" s="915">
        <v>84.599000000000004</v>
      </c>
      <c r="F119" s="915">
        <v>3641.2489999999998</v>
      </c>
      <c r="G119" s="922">
        <f t="shared" si="2"/>
        <v>1</v>
      </c>
      <c r="H119" s="915" t="e">
        <v>#REF!</v>
      </c>
      <c r="I119" s="915" t="e">
        <f t="shared" si="3"/>
        <v>#REF!</v>
      </c>
      <c r="J119" s="915">
        <v>445.46</v>
      </c>
      <c r="K119" s="915">
        <v>41.704999999999998</v>
      </c>
      <c r="L119" s="915">
        <v>21.783000000000001</v>
      </c>
      <c r="M119" s="915">
        <v>425.53899999999999</v>
      </c>
    </row>
    <row r="120" spans="1:13">
      <c r="A120" s="633" t="s">
        <v>2993</v>
      </c>
      <c r="B120" s="423" t="s">
        <v>196</v>
      </c>
      <c r="C120" s="915">
        <v>4154.2209999999995</v>
      </c>
      <c r="D120" s="915">
        <v>89.813999999999993</v>
      </c>
      <c r="E120" s="915">
        <v>89.813999999999993</v>
      </c>
      <c r="F120" s="915">
        <v>4154.2209999999995</v>
      </c>
      <c r="G120" s="922">
        <f t="shared" si="2"/>
        <v>0</v>
      </c>
      <c r="H120" s="915" t="e">
        <v>#REF!</v>
      </c>
      <c r="I120" s="915" t="e">
        <f t="shared" si="3"/>
        <v>#REF!</v>
      </c>
      <c r="J120" s="915">
        <v>267.34699999999998</v>
      </c>
      <c r="K120" s="915">
        <v>11.481999999999999</v>
      </c>
      <c r="L120" s="915">
        <v>11.481999999999999</v>
      </c>
      <c r="M120" s="915">
        <v>267.34699999999998</v>
      </c>
    </row>
    <row r="121" spans="1:13">
      <c r="A121" s="633" t="s">
        <v>518</v>
      </c>
      <c r="B121" s="423" t="s">
        <v>6056</v>
      </c>
      <c r="C121" s="915">
        <v>1362.4280000000001</v>
      </c>
      <c r="D121" s="915">
        <v>38.72</v>
      </c>
      <c r="E121" s="915">
        <v>38.72</v>
      </c>
      <c r="F121" s="915">
        <v>1362.4280000000001</v>
      </c>
      <c r="G121" s="922">
        <f t="shared" si="2"/>
        <v>0</v>
      </c>
      <c r="H121" s="915" t="e">
        <v>#REF!</v>
      </c>
      <c r="I121" s="915" t="e">
        <f t="shared" si="3"/>
        <v>#REF!</v>
      </c>
      <c r="J121" s="915">
        <v>140.99100000000001</v>
      </c>
      <c r="K121" s="915">
        <v>14.113</v>
      </c>
      <c r="L121" s="915">
        <v>14.113</v>
      </c>
      <c r="M121" s="915">
        <v>140.99100000000001</v>
      </c>
    </row>
    <row r="122" spans="1:13">
      <c r="A122" s="633" t="s">
        <v>2299</v>
      </c>
      <c r="B122" s="423" t="s">
        <v>3801</v>
      </c>
      <c r="C122" s="915">
        <v>205.226</v>
      </c>
      <c r="D122" s="915">
        <v>9.5299999999999994</v>
      </c>
      <c r="E122" s="915">
        <v>9.5299999999999994</v>
      </c>
      <c r="F122" s="915">
        <v>205.226</v>
      </c>
      <c r="G122" s="922">
        <f t="shared" si="2"/>
        <v>0</v>
      </c>
      <c r="H122" s="915" t="e">
        <v>#REF!</v>
      </c>
      <c r="I122" s="915" t="e">
        <f t="shared" si="3"/>
        <v>#REF!</v>
      </c>
      <c r="J122" s="915">
        <v>6.3760000000000003</v>
      </c>
      <c r="K122" s="915">
        <v>0</v>
      </c>
      <c r="L122" s="915">
        <v>0</v>
      </c>
      <c r="M122" s="915">
        <v>6.3760000000000003</v>
      </c>
    </row>
    <row r="123" spans="1:13">
      <c r="A123" s="633" t="s">
        <v>3971</v>
      </c>
      <c r="B123" s="423" t="s">
        <v>4676</v>
      </c>
      <c r="C123" s="915">
        <v>3994.4780000000001</v>
      </c>
      <c r="D123" s="915">
        <v>74.745999999999995</v>
      </c>
      <c r="E123" s="915">
        <v>73.311999999999998</v>
      </c>
      <c r="F123" s="915">
        <v>3993.0439999999999</v>
      </c>
      <c r="G123" s="922">
        <f t="shared" si="2"/>
        <v>1</v>
      </c>
      <c r="H123" s="915" t="e">
        <v>#REF!</v>
      </c>
      <c r="I123" s="915" t="e">
        <f t="shared" si="3"/>
        <v>#REF!</v>
      </c>
      <c r="J123" s="915">
        <v>373.73599999999999</v>
      </c>
      <c r="K123" s="915">
        <v>16.992000000000001</v>
      </c>
      <c r="L123" s="915">
        <v>16.545000000000002</v>
      </c>
      <c r="M123" s="915">
        <v>373.28800000000001</v>
      </c>
    </row>
    <row r="124" spans="1:13">
      <c r="A124" s="633" t="s">
        <v>2161</v>
      </c>
      <c r="B124" s="423" t="s">
        <v>3803</v>
      </c>
      <c r="C124" s="915">
        <v>341.29300000000001</v>
      </c>
      <c r="D124" s="915">
        <v>3.5739999999999998</v>
      </c>
      <c r="E124" s="915">
        <v>3.5739999999999998</v>
      </c>
      <c r="F124" s="915">
        <v>341.29300000000001</v>
      </c>
      <c r="G124" s="922">
        <f t="shared" si="2"/>
        <v>0</v>
      </c>
      <c r="H124" s="915" t="e">
        <v>#REF!</v>
      </c>
      <c r="I124" s="915" t="e">
        <f t="shared" si="3"/>
        <v>#REF!</v>
      </c>
      <c r="J124" s="915">
        <v>2</v>
      </c>
      <c r="K124" s="915">
        <v>0</v>
      </c>
      <c r="L124" s="915">
        <v>0</v>
      </c>
      <c r="M124" s="915">
        <v>2</v>
      </c>
    </row>
    <row r="125" spans="1:13">
      <c r="A125" s="633" t="s">
        <v>3086</v>
      </c>
      <c r="B125" s="423" t="s">
        <v>4679</v>
      </c>
      <c r="C125" s="915">
        <v>1377.0820000000001</v>
      </c>
      <c r="D125" s="915">
        <v>17.905999999999999</v>
      </c>
      <c r="E125" s="915">
        <v>17.905999999999999</v>
      </c>
      <c r="F125" s="915">
        <v>1377.0820000000001</v>
      </c>
      <c r="G125" s="922">
        <f t="shared" si="2"/>
        <v>0</v>
      </c>
      <c r="H125" s="915" t="e">
        <v>#REF!</v>
      </c>
      <c r="I125" s="915" t="e">
        <f t="shared" si="3"/>
        <v>#REF!</v>
      </c>
      <c r="J125" s="915">
        <v>6.7370000000000001</v>
      </c>
      <c r="K125" s="915">
        <v>0</v>
      </c>
      <c r="L125" s="915">
        <v>0</v>
      </c>
      <c r="M125" s="915">
        <v>6.7370000000000001</v>
      </c>
    </row>
    <row r="126" spans="1:13">
      <c r="A126" s="633" t="s">
        <v>2605</v>
      </c>
      <c r="B126" s="423" t="s">
        <v>3804</v>
      </c>
      <c r="C126" s="915">
        <v>285.70699999999999</v>
      </c>
      <c r="D126" s="915">
        <v>2.87</v>
      </c>
      <c r="E126" s="915">
        <v>2.87</v>
      </c>
      <c r="F126" s="915">
        <v>285.70699999999999</v>
      </c>
      <c r="G126" s="922">
        <f t="shared" si="2"/>
        <v>0</v>
      </c>
      <c r="H126" s="915" t="e">
        <v>#REF!</v>
      </c>
      <c r="I126" s="915" t="e">
        <f t="shared" si="3"/>
        <v>#REF!</v>
      </c>
      <c r="J126" s="915">
        <v>1.962</v>
      </c>
      <c r="K126" s="915">
        <v>0</v>
      </c>
      <c r="L126" s="915">
        <v>0</v>
      </c>
      <c r="M126" s="915">
        <v>1.962</v>
      </c>
    </row>
    <row r="127" spans="1:13">
      <c r="A127" s="633" t="s">
        <v>4181</v>
      </c>
      <c r="B127" s="423" t="s">
        <v>3805</v>
      </c>
      <c r="C127" s="915">
        <v>359.899</v>
      </c>
      <c r="D127" s="915">
        <v>6.94</v>
      </c>
      <c r="E127" s="915">
        <v>4.7009999999999996</v>
      </c>
      <c r="F127" s="915">
        <v>357.66</v>
      </c>
      <c r="G127" s="922">
        <f t="shared" si="2"/>
        <v>1</v>
      </c>
      <c r="H127" s="915" t="e">
        <v>#REF!</v>
      </c>
      <c r="I127" s="915" t="e">
        <f t="shared" si="3"/>
        <v>#REF!</v>
      </c>
      <c r="J127" s="915">
        <v>0.97699999999999998</v>
      </c>
      <c r="K127" s="915">
        <v>0</v>
      </c>
      <c r="L127" s="915">
        <v>0</v>
      </c>
      <c r="M127" s="915">
        <v>0.97699999999999998</v>
      </c>
    </row>
    <row r="128" spans="1:13">
      <c r="A128" s="633" t="s">
        <v>959</v>
      </c>
      <c r="B128" s="423" t="s">
        <v>2142</v>
      </c>
      <c r="C128" s="915">
        <v>45597.347000000002</v>
      </c>
      <c r="D128" s="915">
        <v>2291.6759999999999</v>
      </c>
      <c r="E128" s="915">
        <v>1359.8240000000001</v>
      </c>
      <c r="F128" s="915">
        <v>44665.495000000003</v>
      </c>
      <c r="G128" s="922">
        <f t="shared" si="2"/>
        <v>1</v>
      </c>
      <c r="H128" s="915" t="e">
        <v>#REF!</v>
      </c>
      <c r="I128" s="915" t="e">
        <f t="shared" si="3"/>
        <v>#REF!</v>
      </c>
      <c r="J128" s="915">
        <v>15025.432000000001</v>
      </c>
      <c r="K128" s="915">
        <v>1240.3689999999999</v>
      </c>
      <c r="L128" s="915">
        <v>736.053</v>
      </c>
      <c r="M128" s="915">
        <v>14521.116</v>
      </c>
    </row>
    <row r="129" spans="1:13">
      <c r="A129" s="633" t="s">
        <v>1861</v>
      </c>
      <c r="B129" s="423" t="s">
        <v>4684</v>
      </c>
      <c r="C129" s="915">
        <v>16069.06</v>
      </c>
      <c r="D129" s="915">
        <v>446.4</v>
      </c>
      <c r="E129" s="915">
        <v>446.28199999999998</v>
      </c>
      <c r="F129" s="915">
        <v>16068.941000000001</v>
      </c>
      <c r="G129" s="922">
        <f t="shared" si="2"/>
        <v>1</v>
      </c>
      <c r="H129" s="915" t="e">
        <v>#REF!</v>
      </c>
      <c r="I129" s="915" t="e">
        <f t="shared" si="3"/>
        <v>#REF!</v>
      </c>
      <c r="J129" s="915">
        <v>1739.3620000000001</v>
      </c>
      <c r="K129" s="915">
        <v>128.53299999999999</v>
      </c>
      <c r="L129" s="915">
        <v>128.44800000000001</v>
      </c>
      <c r="M129" s="915">
        <v>1739.277</v>
      </c>
    </row>
    <row r="130" spans="1:13">
      <c r="A130" s="633" t="s">
        <v>6037</v>
      </c>
      <c r="B130" s="423" t="s">
        <v>2152</v>
      </c>
      <c r="C130" s="915">
        <v>3250.6460000000002</v>
      </c>
      <c r="D130" s="915">
        <v>178.56100000000001</v>
      </c>
      <c r="E130" s="915">
        <v>93.283000000000001</v>
      </c>
      <c r="F130" s="915">
        <v>3165.3679999999999</v>
      </c>
      <c r="G130" s="922">
        <f t="shared" si="2"/>
        <v>1</v>
      </c>
      <c r="H130" s="915" t="e">
        <v>#REF!</v>
      </c>
      <c r="I130" s="915" t="e">
        <f t="shared" si="3"/>
        <v>#REF!</v>
      </c>
      <c r="J130" s="915">
        <v>424.71699999999998</v>
      </c>
      <c r="K130" s="915">
        <v>43.33</v>
      </c>
      <c r="L130" s="915">
        <v>22.186</v>
      </c>
      <c r="M130" s="915">
        <v>403.57299999999998</v>
      </c>
    </row>
    <row r="131" spans="1:13">
      <c r="A131" s="633" t="s">
        <v>2995</v>
      </c>
      <c r="B131" s="423" t="s">
        <v>4687</v>
      </c>
      <c r="C131" s="915">
        <v>8616.0560000000005</v>
      </c>
      <c r="D131" s="915">
        <v>196.31200000000001</v>
      </c>
      <c r="E131" s="915">
        <v>196.31200000000001</v>
      </c>
      <c r="F131" s="915">
        <v>8616.0560000000005</v>
      </c>
      <c r="G131" s="922">
        <f t="shared" ref="G131:G194" si="4">IF(F131&lt;C131,1,0)</f>
        <v>0</v>
      </c>
      <c r="H131" s="915" t="e">
        <v>#REF!</v>
      </c>
      <c r="I131" s="915" t="e">
        <f t="shared" ref="I131:I194" si="5">F131-H131</f>
        <v>#REF!</v>
      </c>
      <c r="J131" s="915">
        <v>1766.941</v>
      </c>
      <c r="K131" s="915">
        <v>90.593999999999994</v>
      </c>
      <c r="L131" s="915">
        <v>90.593999999999994</v>
      </c>
      <c r="M131" s="915">
        <v>1766.941</v>
      </c>
    </row>
    <row r="132" spans="1:13">
      <c r="A132" s="633" t="s">
        <v>7643</v>
      </c>
      <c r="B132" s="423" t="s">
        <v>3806</v>
      </c>
      <c r="C132" s="915">
        <v>2327.0749999999998</v>
      </c>
      <c r="D132" s="915">
        <v>79.703999999999994</v>
      </c>
      <c r="E132" s="915">
        <v>79.221000000000004</v>
      </c>
      <c r="F132" s="915">
        <v>2326.5920000000001</v>
      </c>
      <c r="G132" s="922">
        <f t="shared" si="4"/>
        <v>1</v>
      </c>
      <c r="H132" s="915" t="e">
        <v>#REF!</v>
      </c>
      <c r="I132" s="915" t="e">
        <f t="shared" si="5"/>
        <v>#REF!</v>
      </c>
      <c r="J132" s="915">
        <v>595.46600000000001</v>
      </c>
      <c r="K132" s="915">
        <v>35.472999999999999</v>
      </c>
      <c r="L132" s="915">
        <v>35.057000000000002</v>
      </c>
      <c r="M132" s="915">
        <v>595.04999999999995</v>
      </c>
    </row>
    <row r="133" spans="1:13">
      <c r="A133" s="633" t="s">
        <v>3087</v>
      </c>
      <c r="B133" s="423" t="s">
        <v>361</v>
      </c>
      <c r="C133" s="915">
        <v>2209.424</v>
      </c>
      <c r="D133" s="915">
        <v>122.343</v>
      </c>
      <c r="E133" s="915">
        <v>64.576999999999998</v>
      </c>
      <c r="F133" s="915">
        <v>2151.6579999999999</v>
      </c>
      <c r="G133" s="922">
        <f t="shared" si="4"/>
        <v>1</v>
      </c>
      <c r="H133" s="915" t="e">
        <v>#REF!</v>
      </c>
      <c r="I133" s="915" t="e">
        <f t="shared" si="5"/>
        <v>#REF!</v>
      </c>
      <c r="J133" s="915">
        <v>303.87200000000001</v>
      </c>
      <c r="K133" s="915">
        <v>37.031999999999996</v>
      </c>
      <c r="L133" s="915">
        <v>20.053000000000001</v>
      </c>
      <c r="M133" s="915">
        <v>286.89299999999997</v>
      </c>
    </row>
    <row r="134" spans="1:13">
      <c r="A134" s="633" t="s">
        <v>2387</v>
      </c>
      <c r="B134" s="423" t="s">
        <v>4691</v>
      </c>
      <c r="C134" s="915">
        <v>10055.513000000001</v>
      </c>
      <c r="D134" s="915">
        <v>257.28199999999998</v>
      </c>
      <c r="E134" s="915">
        <v>257.20499999999998</v>
      </c>
      <c r="F134" s="915">
        <v>10055.437</v>
      </c>
      <c r="G134" s="922">
        <f t="shared" si="4"/>
        <v>1</v>
      </c>
      <c r="H134" s="915" t="e">
        <v>#REF!</v>
      </c>
      <c r="I134" s="915" t="e">
        <f t="shared" si="5"/>
        <v>#REF!</v>
      </c>
      <c r="J134" s="915">
        <v>1918.261</v>
      </c>
      <c r="K134" s="915">
        <v>80.108000000000004</v>
      </c>
      <c r="L134" s="915">
        <v>80.066000000000003</v>
      </c>
      <c r="M134" s="915">
        <v>1918.2190000000001</v>
      </c>
    </row>
    <row r="135" spans="1:13">
      <c r="A135" s="633" t="s">
        <v>3088</v>
      </c>
      <c r="B135" s="423" t="s">
        <v>1459</v>
      </c>
      <c r="C135" s="915">
        <v>600.25099999999998</v>
      </c>
      <c r="D135" s="915">
        <v>35.002000000000002</v>
      </c>
      <c r="E135" s="915">
        <v>35.002000000000002</v>
      </c>
      <c r="F135" s="915">
        <v>600.25099999999998</v>
      </c>
      <c r="G135" s="922">
        <f t="shared" si="4"/>
        <v>0</v>
      </c>
      <c r="H135" s="915" t="e">
        <v>#REF!</v>
      </c>
      <c r="I135" s="915" t="e">
        <f t="shared" si="5"/>
        <v>#REF!</v>
      </c>
      <c r="J135" s="915">
        <v>244.667</v>
      </c>
      <c r="K135" s="915">
        <v>19.369</v>
      </c>
      <c r="L135" s="915">
        <v>19.369</v>
      </c>
      <c r="M135" s="915">
        <v>244.667</v>
      </c>
    </row>
    <row r="136" spans="1:13">
      <c r="A136" s="633" t="s">
        <v>2393</v>
      </c>
      <c r="B136" s="423" t="s">
        <v>1460</v>
      </c>
      <c r="C136" s="915">
        <v>1157.4860000000001</v>
      </c>
      <c r="D136" s="915">
        <v>49.277999999999999</v>
      </c>
      <c r="E136" s="915">
        <v>24.972999999999999</v>
      </c>
      <c r="F136" s="915">
        <v>1133.182</v>
      </c>
      <c r="G136" s="922">
        <f t="shared" si="4"/>
        <v>1</v>
      </c>
      <c r="H136" s="915" t="e">
        <v>#REF!</v>
      </c>
      <c r="I136" s="915" t="e">
        <f t="shared" si="5"/>
        <v>#REF!</v>
      </c>
      <c r="J136" s="915">
        <v>153.23400000000001</v>
      </c>
      <c r="K136" s="915">
        <v>15.513</v>
      </c>
      <c r="L136" s="915">
        <v>7.7969999999999997</v>
      </c>
      <c r="M136" s="915">
        <v>145.518</v>
      </c>
    </row>
    <row r="137" spans="1:13">
      <c r="A137" s="633" t="s">
        <v>7645</v>
      </c>
      <c r="B137" s="423" t="s">
        <v>7253</v>
      </c>
      <c r="C137" s="915">
        <v>2660.0149999999999</v>
      </c>
      <c r="D137" s="915">
        <v>0</v>
      </c>
      <c r="E137" s="915">
        <v>0</v>
      </c>
      <c r="F137" s="915">
        <v>2660.0149999999999</v>
      </c>
      <c r="G137" s="922">
        <f t="shared" si="4"/>
        <v>0</v>
      </c>
      <c r="H137" s="915" t="e">
        <v>#REF!</v>
      </c>
      <c r="I137" s="915" t="e">
        <f t="shared" si="5"/>
        <v>#REF!</v>
      </c>
      <c r="J137" s="915">
        <v>24.300999999999998</v>
      </c>
      <c r="K137" s="915">
        <v>0</v>
      </c>
      <c r="L137" s="915">
        <v>0</v>
      </c>
      <c r="M137" s="915">
        <v>24.300999999999998</v>
      </c>
    </row>
    <row r="138" spans="1:13">
      <c r="A138" s="633" t="s">
        <v>7647</v>
      </c>
      <c r="B138" s="423" t="s">
        <v>3807</v>
      </c>
      <c r="C138" s="915">
        <v>2213.02</v>
      </c>
      <c r="D138" s="915">
        <v>28.201000000000001</v>
      </c>
      <c r="E138" s="915">
        <v>28.201000000000001</v>
      </c>
      <c r="F138" s="915">
        <v>2213.02</v>
      </c>
      <c r="G138" s="922">
        <f t="shared" si="4"/>
        <v>0</v>
      </c>
      <c r="H138" s="915" t="e">
        <v>#REF!</v>
      </c>
      <c r="I138" s="915" t="e">
        <f t="shared" si="5"/>
        <v>#REF!</v>
      </c>
      <c r="J138" s="915">
        <v>281.93</v>
      </c>
      <c r="K138" s="915">
        <v>9.7219999999999995</v>
      </c>
      <c r="L138" s="915">
        <v>9.7219999999999995</v>
      </c>
      <c r="M138" s="915">
        <v>281.93</v>
      </c>
    </row>
    <row r="139" spans="1:13">
      <c r="A139" s="633" t="s">
        <v>7649</v>
      </c>
      <c r="B139" s="423" t="s">
        <v>3808</v>
      </c>
      <c r="C139" s="915">
        <v>125.773</v>
      </c>
      <c r="D139" s="915">
        <v>0</v>
      </c>
      <c r="E139" s="915">
        <v>0</v>
      </c>
      <c r="F139" s="915">
        <v>125.773</v>
      </c>
      <c r="G139" s="922">
        <f t="shared" si="4"/>
        <v>0</v>
      </c>
      <c r="H139" s="915" t="e">
        <v>#REF!</v>
      </c>
      <c r="I139" s="915" t="e">
        <f t="shared" si="5"/>
        <v>#REF!</v>
      </c>
      <c r="J139" s="915">
        <v>1.976</v>
      </c>
      <c r="K139" s="915">
        <v>0</v>
      </c>
      <c r="L139" s="915">
        <v>0</v>
      </c>
      <c r="M139" s="915">
        <v>1.976</v>
      </c>
    </row>
    <row r="140" spans="1:13">
      <c r="A140" s="633" t="s">
        <v>1786</v>
      </c>
      <c r="B140" s="423" t="s">
        <v>3809</v>
      </c>
      <c r="C140" s="915">
        <v>648.36699999999996</v>
      </c>
      <c r="D140" s="915">
        <v>21.678000000000001</v>
      </c>
      <c r="E140" s="915">
        <v>21.678000000000001</v>
      </c>
      <c r="F140" s="915">
        <v>648.36699999999996</v>
      </c>
      <c r="G140" s="922">
        <f t="shared" si="4"/>
        <v>0</v>
      </c>
      <c r="H140" s="915" t="e">
        <v>#REF!</v>
      </c>
      <c r="I140" s="915" t="e">
        <f t="shared" si="5"/>
        <v>#REF!</v>
      </c>
      <c r="J140" s="915">
        <v>3.746</v>
      </c>
      <c r="K140" s="915">
        <v>0.42599999999999999</v>
      </c>
      <c r="L140" s="915">
        <v>0.42599999999999999</v>
      </c>
      <c r="M140" s="915">
        <v>3.746</v>
      </c>
    </row>
    <row r="141" spans="1:13">
      <c r="A141" s="633" t="s">
        <v>1788</v>
      </c>
      <c r="B141" s="423" t="s">
        <v>6208</v>
      </c>
      <c r="C141" s="915">
        <v>349.07499999999999</v>
      </c>
      <c r="D141" s="915">
        <v>3.911</v>
      </c>
      <c r="E141" s="915">
        <v>3.911</v>
      </c>
      <c r="F141" s="915">
        <v>349.07499999999999</v>
      </c>
      <c r="G141" s="922">
        <f t="shared" si="4"/>
        <v>0</v>
      </c>
      <c r="H141" s="915" t="e">
        <v>#REF!</v>
      </c>
      <c r="I141" s="915" t="e">
        <f t="shared" si="5"/>
        <v>#REF!</v>
      </c>
      <c r="J141" s="915">
        <v>0</v>
      </c>
      <c r="K141" s="915">
        <v>0</v>
      </c>
      <c r="L141" s="915">
        <v>0</v>
      </c>
      <c r="M141" s="915">
        <v>0</v>
      </c>
    </row>
    <row r="142" spans="1:13">
      <c r="A142" s="633" t="s">
        <v>1790</v>
      </c>
      <c r="B142" s="423" t="s">
        <v>6209</v>
      </c>
      <c r="C142" s="915">
        <v>1739.3689999999999</v>
      </c>
      <c r="D142" s="915">
        <v>46.884999999999998</v>
      </c>
      <c r="E142" s="915">
        <v>46.884999999999998</v>
      </c>
      <c r="F142" s="915">
        <v>1739.3689999999999</v>
      </c>
      <c r="G142" s="922">
        <f t="shared" si="4"/>
        <v>0</v>
      </c>
      <c r="H142" s="915" t="e">
        <v>#REF!</v>
      </c>
      <c r="I142" s="915" t="e">
        <f t="shared" si="5"/>
        <v>#REF!</v>
      </c>
      <c r="J142" s="915">
        <v>21.510999999999999</v>
      </c>
      <c r="K142" s="915">
        <v>0.49</v>
      </c>
      <c r="L142" s="915">
        <v>0.49</v>
      </c>
      <c r="M142" s="915">
        <v>21.510999999999999</v>
      </c>
    </row>
    <row r="143" spans="1:13">
      <c r="A143" s="633" t="s">
        <v>1792</v>
      </c>
      <c r="B143" s="423" t="s">
        <v>6210</v>
      </c>
      <c r="C143" s="915">
        <v>120.363</v>
      </c>
      <c r="D143" s="915">
        <v>0</v>
      </c>
      <c r="E143" s="915">
        <v>0</v>
      </c>
      <c r="F143" s="915">
        <v>120.363</v>
      </c>
      <c r="G143" s="922">
        <f t="shared" si="4"/>
        <v>0</v>
      </c>
      <c r="H143" s="915" t="e">
        <v>#REF!</v>
      </c>
      <c r="I143" s="915" t="e">
        <f t="shared" si="5"/>
        <v>#REF!</v>
      </c>
      <c r="J143" s="915">
        <v>0</v>
      </c>
      <c r="K143" s="915">
        <v>0</v>
      </c>
      <c r="L143" s="915">
        <v>0</v>
      </c>
      <c r="M143" s="915">
        <v>0</v>
      </c>
    </row>
    <row r="144" spans="1:13">
      <c r="A144" s="633" t="s">
        <v>2982</v>
      </c>
      <c r="B144" s="423" t="s">
        <v>6211</v>
      </c>
      <c r="C144" s="915">
        <v>1016.323</v>
      </c>
      <c r="D144" s="915">
        <v>20.718</v>
      </c>
      <c r="E144" s="915">
        <v>20.606999999999999</v>
      </c>
      <c r="F144" s="915">
        <v>1016.212</v>
      </c>
      <c r="G144" s="922">
        <f t="shared" si="4"/>
        <v>1</v>
      </c>
      <c r="H144" s="915" t="e">
        <v>#REF!</v>
      </c>
      <c r="I144" s="915" t="e">
        <f t="shared" si="5"/>
        <v>#REF!</v>
      </c>
      <c r="J144" s="915">
        <v>18.960999999999999</v>
      </c>
      <c r="K144" s="915">
        <v>3.2269999999999999</v>
      </c>
      <c r="L144" s="915">
        <v>3.2269999999999999</v>
      </c>
      <c r="M144" s="915">
        <v>18.960999999999999</v>
      </c>
    </row>
    <row r="145" spans="1:13">
      <c r="A145" s="633" t="s">
        <v>2984</v>
      </c>
      <c r="B145" s="423" t="s">
        <v>4702</v>
      </c>
      <c r="C145" s="915">
        <v>751.59699999999998</v>
      </c>
      <c r="D145" s="915">
        <v>8.7059999999999995</v>
      </c>
      <c r="E145" s="915">
        <v>8.7059999999999995</v>
      </c>
      <c r="F145" s="915">
        <v>751.59699999999998</v>
      </c>
      <c r="G145" s="922">
        <f t="shared" si="4"/>
        <v>0</v>
      </c>
      <c r="H145" s="915" t="e">
        <v>#REF!</v>
      </c>
      <c r="I145" s="915" t="e">
        <f t="shared" si="5"/>
        <v>#REF!</v>
      </c>
      <c r="J145" s="915">
        <v>10.298999999999999</v>
      </c>
      <c r="K145" s="915">
        <v>0.877</v>
      </c>
      <c r="L145" s="915">
        <v>0.877</v>
      </c>
      <c r="M145" s="915">
        <v>10.298999999999999</v>
      </c>
    </row>
    <row r="146" spans="1:13">
      <c r="A146" s="633" t="s">
        <v>965</v>
      </c>
      <c r="B146" s="423" t="s">
        <v>6077</v>
      </c>
      <c r="C146" s="915">
        <v>383.14699999999999</v>
      </c>
      <c r="D146" s="915">
        <v>0</v>
      </c>
      <c r="E146" s="915">
        <v>0</v>
      </c>
      <c r="F146" s="915">
        <v>383.14699999999999</v>
      </c>
      <c r="G146" s="922">
        <f t="shared" si="4"/>
        <v>0</v>
      </c>
      <c r="H146" s="915" t="e">
        <v>#REF!</v>
      </c>
      <c r="I146" s="915" t="e">
        <f t="shared" si="5"/>
        <v>#REF!</v>
      </c>
      <c r="J146" s="915">
        <v>2</v>
      </c>
      <c r="K146" s="915">
        <v>0</v>
      </c>
      <c r="L146" s="915">
        <v>0</v>
      </c>
      <c r="M146" s="915">
        <v>2</v>
      </c>
    </row>
    <row r="147" spans="1:13">
      <c r="A147" s="633" t="s">
        <v>6704</v>
      </c>
      <c r="B147" s="423" t="s">
        <v>3814</v>
      </c>
      <c r="C147" s="915">
        <v>988.62</v>
      </c>
      <c r="D147" s="915">
        <v>30.111000000000001</v>
      </c>
      <c r="E147" s="915">
        <v>29.646999999999998</v>
      </c>
      <c r="F147" s="915">
        <v>988.15599999999995</v>
      </c>
      <c r="G147" s="922">
        <f t="shared" si="4"/>
        <v>1</v>
      </c>
      <c r="H147" s="915" t="e">
        <v>#REF!</v>
      </c>
      <c r="I147" s="915" t="e">
        <f t="shared" si="5"/>
        <v>#REF!</v>
      </c>
      <c r="J147" s="915">
        <v>1.9730000000000001</v>
      </c>
      <c r="K147" s="915">
        <v>0.158</v>
      </c>
      <c r="L147" s="915">
        <v>0.158</v>
      </c>
      <c r="M147" s="915">
        <v>1.9730000000000001</v>
      </c>
    </row>
    <row r="148" spans="1:13">
      <c r="A148" s="633" t="s">
        <v>6706</v>
      </c>
      <c r="C148" s="915">
        <v>0</v>
      </c>
      <c r="D148" s="915">
        <v>0</v>
      </c>
      <c r="E148" s="915">
        <v>0</v>
      </c>
      <c r="F148" s="915">
        <v>0</v>
      </c>
      <c r="G148" s="922">
        <f t="shared" si="4"/>
        <v>0</v>
      </c>
      <c r="H148" s="915" t="e">
        <v>#REF!</v>
      </c>
      <c r="I148" s="915" t="e">
        <f t="shared" si="5"/>
        <v>#REF!</v>
      </c>
      <c r="J148" s="915">
        <v>0</v>
      </c>
      <c r="K148" s="915">
        <v>0</v>
      </c>
      <c r="L148" s="915">
        <v>0</v>
      </c>
      <c r="M148" s="915">
        <v>0</v>
      </c>
    </row>
    <row r="149" spans="1:13">
      <c r="A149" s="633" t="s">
        <v>690</v>
      </c>
      <c r="B149" s="423" t="s">
        <v>3816</v>
      </c>
      <c r="C149" s="915">
        <v>246.96700000000001</v>
      </c>
      <c r="D149" s="915">
        <v>8.8940000000000001</v>
      </c>
      <c r="E149" s="915">
        <v>8.8940000000000001</v>
      </c>
      <c r="F149" s="915">
        <v>246.96700000000001</v>
      </c>
      <c r="G149" s="922">
        <f t="shared" si="4"/>
        <v>0</v>
      </c>
      <c r="H149" s="915" t="e">
        <v>#REF!</v>
      </c>
      <c r="I149" s="915" t="e">
        <f t="shared" si="5"/>
        <v>#REF!</v>
      </c>
      <c r="J149" s="915">
        <v>0</v>
      </c>
      <c r="K149" s="915">
        <v>0</v>
      </c>
      <c r="L149" s="915">
        <v>0</v>
      </c>
      <c r="M149" s="915">
        <v>0</v>
      </c>
    </row>
    <row r="150" spans="1:13">
      <c r="A150" s="633" t="s">
        <v>692</v>
      </c>
      <c r="B150" s="423" t="s">
        <v>3817</v>
      </c>
      <c r="C150" s="915">
        <v>1062.797</v>
      </c>
      <c r="D150" s="915">
        <v>24.035</v>
      </c>
      <c r="E150" s="915">
        <v>23.77</v>
      </c>
      <c r="F150" s="915">
        <v>1062.5319999999999</v>
      </c>
      <c r="G150" s="922">
        <f t="shared" si="4"/>
        <v>1</v>
      </c>
      <c r="H150" s="915" t="e">
        <v>#REF!</v>
      </c>
      <c r="I150" s="915" t="e">
        <f t="shared" si="5"/>
        <v>#REF!</v>
      </c>
      <c r="J150" s="915">
        <v>168.953</v>
      </c>
      <c r="K150" s="915">
        <v>4.6740000000000004</v>
      </c>
      <c r="L150" s="915">
        <v>4.6740000000000004</v>
      </c>
      <c r="M150" s="915">
        <v>168.953</v>
      </c>
    </row>
    <row r="151" spans="1:13">
      <c r="A151" s="633" t="s">
        <v>895</v>
      </c>
      <c r="B151" s="423" t="s">
        <v>3818</v>
      </c>
      <c r="C151" s="915">
        <v>273.16399999999999</v>
      </c>
      <c r="D151" s="915">
        <v>7.7670000000000003</v>
      </c>
      <c r="E151" s="915">
        <v>7.7670000000000003</v>
      </c>
      <c r="F151" s="915">
        <v>273.16399999999999</v>
      </c>
      <c r="G151" s="922">
        <f t="shared" si="4"/>
        <v>0</v>
      </c>
      <c r="H151" s="915" t="e">
        <v>#REF!</v>
      </c>
      <c r="I151" s="915" t="e">
        <f t="shared" si="5"/>
        <v>#REF!</v>
      </c>
      <c r="J151" s="915">
        <v>12.073</v>
      </c>
      <c r="K151" s="915">
        <v>0</v>
      </c>
      <c r="L151" s="915">
        <v>0</v>
      </c>
      <c r="M151" s="915">
        <v>12.073</v>
      </c>
    </row>
    <row r="152" spans="1:13">
      <c r="A152" s="633" t="s">
        <v>6177</v>
      </c>
      <c r="B152" s="423" t="s">
        <v>506</v>
      </c>
      <c r="C152" s="915">
        <v>219.29300000000001</v>
      </c>
      <c r="D152" s="915">
        <v>0</v>
      </c>
      <c r="E152" s="915">
        <v>0</v>
      </c>
      <c r="F152" s="915">
        <v>219.29300000000001</v>
      </c>
      <c r="G152" s="922">
        <f t="shared" si="4"/>
        <v>0</v>
      </c>
      <c r="H152" s="915" t="e">
        <v>#REF!</v>
      </c>
      <c r="I152" s="915" t="e">
        <f t="shared" si="5"/>
        <v>#REF!</v>
      </c>
      <c r="J152" s="915">
        <v>0.92900000000000005</v>
      </c>
      <c r="K152" s="915">
        <v>0</v>
      </c>
      <c r="L152" s="915">
        <v>0</v>
      </c>
      <c r="M152" s="915">
        <v>0.92900000000000005</v>
      </c>
    </row>
    <row r="153" spans="1:13">
      <c r="A153" s="633" t="s">
        <v>265</v>
      </c>
      <c r="B153" s="423" t="s">
        <v>7682</v>
      </c>
      <c r="C153" s="915">
        <v>1254.4870000000001</v>
      </c>
      <c r="D153" s="915">
        <v>11.618</v>
      </c>
      <c r="E153" s="915">
        <v>11.618</v>
      </c>
      <c r="F153" s="915">
        <v>1254.4870000000001</v>
      </c>
      <c r="G153" s="922">
        <f t="shared" si="4"/>
        <v>0</v>
      </c>
      <c r="H153" s="915" t="e">
        <v>#REF!</v>
      </c>
      <c r="I153" s="915" t="e">
        <f t="shared" si="5"/>
        <v>#REF!</v>
      </c>
      <c r="J153" s="915">
        <v>92.183999999999997</v>
      </c>
      <c r="K153" s="915">
        <v>7.7229999999999999</v>
      </c>
      <c r="L153" s="915">
        <v>7.7229999999999999</v>
      </c>
      <c r="M153" s="915">
        <v>92.183999999999997</v>
      </c>
    </row>
    <row r="154" spans="1:13">
      <c r="A154" s="633" t="s">
        <v>897</v>
      </c>
      <c r="B154" s="423" t="s">
        <v>3819</v>
      </c>
      <c r="C154" s="915">
        <v>3699.0279999999998</v>
      </c>
      <c r="D154" s="915">
        <v>23.652999999999999</v>
      </c>
      <c r="E154" s="915">
        <v>23.652999999999999</v>
      </c>
      <c r="F154" s="915">
        <v>3699.0279999999998</v>
      </c>
      <c r="G154" s="922">
        <f t="shared" si="4"/>
        <v>0</v>
      </c>
      <c r="H154" s="915" t="e">
        <v>#REF!</v>
      </c>
      <c r="I154" s="915" t="e">
        <f t="shared" si="5"/>
        <v>#REF!</v>
      </c>
      <c r="J154" s="915">
        <v>70.7</v>
      </c>
      <c r="K154" s="915">
        <v>6.0410000000000004</v>
      </c>
      <c r="L154" s="915">
        <v>6.0410000000000004</v>
      </c>
      <c r="M154" s="915">
        <v>70.7</v>
      </c>
    </row>
    <row r="155" spans="1:13">
      <c r="A155" s="633" t="s">
        <v>899</v>
      </c>
      <c r="B155" s="423" t="s">
        <v>3820</v>
      </c>
      <c r="C155" s="915">
        <v>1205.0309999999999</v>
      </c>
      <c r="D155" s="915">
        <v>25.867000000000001</v>
      </c>
      <c r="E155" s="915">
        <v>25.867000000000001</v>
      </c>
      <c r="F155" s="915">
        <v>1205.0309999999999</v>
      </c>
      <c r="G155" s="922">
        <f t="shared" si="4"/>
        <v>0</v>
      </c>
      <c r="H155" s="915" t="e">
        <v>#REF!</v>
      </c>
      <c r="I155" s="915" t="e">
        <f t="shared" si="5"/>
        <v>#REF!</v>
      </c>
      <c r="J155" s="915">
        <v>175.40899999999999</v>
      </c>
      <c r="K155" s="915">
        <v>14.872</v>
      </c>
      <c r="L155" s="915">
        <v>14.872</v>
      </c>
      <c r="M155" s="915">
        <v>175.40899999999999</v>
      </c>
    </row>
    <row r="156" spans="1:13">
      <c r="A156" s="633" t="s">
        <v>901</v>
      </c>
      <c r="B156" s="423" t="s">
        <v>3821</v>
      </c>
      <c r="C156" s="915">
        <v>622.34199999999998</v>
      </c>
      <c r="D156" s="915">
        <v>25.349</v>
      </c>
      <c r="E156" s="915">
        <v>13.092000000000001</v>
      </c>
      <c r="F156" s="915">
        <v>610.08500000000004</v>
      </c>
      <c r="G156" s="922">
        <f t="shared" si="4"/>
        <v>1</v>
      </c>
      <c r="H156" s="915" t="e">
        <v>#REF!</v>
      </c>
      <c r="I156" s="915" t="e">
        <f t="shared" si="5"/>
        <v>#REF!</v>
      </c>
      <c r="J156" s="915">
        <v>78.905000000000001</v>
      </c>
      <c r="K156" s="915">
        <v>0</v>
      </c>
      <c r="L156" s="915">
        <v>0</v>
      </c>
      <c r="M156" s="915">
        <v>78.905000000000001</v>
      </c>
    </row>
    <row r="157" spans="1:13">
      <c r="A157" s="633" t="s">
        <v>6023</v>
      </c>
      <c r="B157" s="423" t="s">
        <v>1908</v>
      </c>
      <c r="C157" s="915">
        <v>4540.8599999999997</v>
      </c>
      <c r="D157" s="915">
        <v>251.27</v>
      </c>
      <c r="E157" s="915">
        <v>132.03100000000001</v>
      </c>
      <c r="F157" s="915">
        <v>4421.6210000000001</v>
      </c>
      <c r="G157" s="922">
        <f t="shared" si="4"/>
        <v>1</v>
      </c>
      <c r="H157" s="915" t="e">
        <v>#REF!</v>
      </c>
      <c r="I157" s="915" t="e">
        <f t="shared" si="5"/>
        <v>#REF!</v>
      </c>
      <c r="J157" s="915">
        <v>1044.24</v>
      </c>
      <c r="K157" s="915">
        <v>110.741</v>
      </c>
      <c r="L157" s="915">
        <v>56.866</v>
      </c>
      <c r="M157" s="915">
        <v>990.36599999999999</v>
      </c>
    </row>
    <row r="158" spans="1:13">
      <c r="A158" s="633" t="s">
        <v>2383</v>
      </c>
      <c r="B158" s="423" t="s">
        <v>374</v>
      </c>
      <c r="C158" s="915">
        <v>1932.7719999999999</v>
      </c>
      <c r="D158" s="915">
        <v>101.22199999999999</v>
      </c>
      <c r="E158" s="915">
        <v>61.475000000000001</v>
      </c>
      <c r="F158" s="915">
        <v>1893.0250000000001</v>
      </c>
      <c r="G158" s="922">
        <f t="shared" si="4"/>
        <v>1</v>
      </c>
      <c r="H158" s="915" t="e">
        <v>#REF!</v>
      </c>
      <c r="I158" s="915" t="e">
        <f t="shared" si="5"/>
        <v>#REF!</v>
      </c>
      <c r="J158" s="915">
        <v>80.100999999999999</v>
      </c>
      <c r="K158" s="915">
        <v>14.358000000000001</v>
      </c>
      <c r="L158" s="915">
        <v>8.1210000000000004</v>
      </c>
      <c r="M158" s="915">
        <v>73.864000000000004</v>
      </c>
    </row>
    <row r="159" spans="1:13">
      <c r="A159" s="633" t="s">
        <v>6180</v>
      </c>
      <c r="B159" s="423" t="s">
        <v>1934</v>
      </c>
      <c r="C159" s="915">
        <v>418.04599999999999</v>
      </c>
      <c r="D159" s="915">
        <v>16.858000000000001</v>
      </c>
      <c r="E159" s="915">
        <v>16.858000000000001</v>
      </c>
      <c r="F159" s="915">
        <v>418.04599999999999</v>
      </c>
      <c r="G159" s="922">
        <f t="shared" si="4"/>
        <v>0</v>
      </c>
      <c r="H159" s="915" t="e">
        <v>#REF!</v>
      </c>
      <c r="I159" s="915" t="e">
        <f t="shared" si="5"/>
        <v>#REF!</v>
      </c>
      <c r="J159" s="915">
        <v>133.55199999999999</v>
      </c>
      <c r="K159" s="915">
        <v>6.5140000000000002</v>
      </c>
      <c r="L159" s="915">
        <v>6.5140000000000002</v>
      </c>
      <c r="M159" s="915">
        <v>133.55199999999999</v>
      </c>
    </row>
    <row r="160" spans="1:13">
      <c r="A160" s="633" t="s">
        <v>903</v>
      </c>
      <c r="B160" s="423" t="s">
        <v>3822</v>
      </c>
      <c r="C160" s="915">
        <v>306.327</v>
      </c>
      <c r="D160" s="915">
        <v>8.1690000000000005</v>
      </c>
      <c r="E160" s="915">
        <v>8.1690000000000005</v>
      </c>
      <c r="F160" s="915">
        <v>306.327</v>
      </c>
      <c r="G160" s="922">
        <f t="shared" si="4"/>
        <v>0</v>
      </c>
      <c r="H160" s="915" t="e">
        <v>#REF!</v>
      </c>
      <c r="I160" s="915" t="e">
        <f t="shared" si="5"/>
        <v>#REF!</v>
      </c>
      <c r="J160" s="915">
        <v>8.8800000000000008</v>
      </c>
      <c r="K160" s="915">
        <v>0</v>
      </c>
      <c r="L160" s="915">
        <v>0</v>
      </c>
      <c r="M160" s="915">
        <v>8.8800000000000008</v>
      </c>
    </row>
    <row r="161" spans="1:13">
      <c r="A161" s="633" t="s">
        <v>736</v>
      </c>
      <c r="B161" s="423" t="s">
        <v>6109</v>
      </c>
      <c r="C161" s="915">
        <v>1054.635</v>
      </c>
      <c r="D161" s="915">
        <v>31.834</v>
      </c>
      <c r="E161" s="915">
        <v>17.591000000000001</v>
      </c>
      <c r="F161" s="915">
        <v>1040.3920000000001</v>
      </c>
      <c r="G161" s="922">
        <f t="shared" si="4"/>
        <v>1</v>
      </c>
      <c r="H161" s="915" t="e">
        <v>#REF!</v>
      </c>
      <c r="I161" s="915" t="e">
        <f t="shared" si="5"/>
        <v>#REF!</v>
      </c>
      <c r="J161" s="915">
        <v>27.57</v>
      </c>
      <c r="K161" s="915">
        <v>3.5379999999999998</v>
      </c>
      <c r="L161" s="915">
        <v>1.7689999999999999</v>
      </c>
      <c r="M161" s="915">
        <v>25.800999999999998</v>
      </c>
    </row>
    <row r="162" spans="1:13">
      <c r="A162" s="633" t="s">
        <v>5336</v>
      </c>
      <c r="B162" s="423" t="s">
        <v>3823</v>
      </c>
      <c r="C162" s="915">
        <v>101.499</v>
      </c>
      <c r="D162" s="915">
        <v>0.96099999999999997</v>
      </c>
      <c r="E162" s="915">
        <v>0.96099999999999997</v>
      </c>
      <c r="F162" s="915">
        <v>101.499</v>
      </c>
      <c r="G162" s="922">
        <f t="shared" si="4"/>
        <v>0</v>
      </c>
      <c r="H162" s="915" t="e">
        <v>#REF!</v>
      </c>
      <c r="I162" s="915" t="e">
        <f t="shared" si="5"/>
        <v>#REF!</v>
      </c>
      <c r="J162" s="915">
        <v>0</v>
      </c>
      <c r="K162" s="915">
        <v>0</v>
      </c>
      <c r="L162" s="915">
        <v>0</v>
      </c>
      <c r="M162" s="915">
        <v>0</v>
      </c>
    </row>
    <row r="163" spans="1:13">
      <c r="A163" s="633" t="s">
        <v>2117</v>
      </c>
      <c r="B163" s="423" t="s">
        <v>3824</v>
      </c>
      <c r="C163" s="915">
        <v>897.05399999999997</v>
      </c>
      <c r="D163" s="915">
        <v>15.943</v>
      </c>
      <c r="E163" s="915">
        <v>8.0730000000000004</v>
      </c>
      <c r="F163" s="915">
        <v>889.18499999999995</v>
      </c>
      <c r="G163" s="922">
        <f t="shared" si="4"/>
        <v>1</v>
      </c>
      <c r="H163" s="915" t="e">
        <v>#REF!</v>
      </c>
      <c r="I163" s="915" t="e">
        <f t="shared" si="5"/>
        <v>#REF!</v>
      </c>
      <c r="J163" s="915">
        <v>0.61299999999999999</v>
      </c>
      <c r="K163" s="915">
        <v>0</v>
      </c>
      <c r="L163" s="915">
        <v>0</v>
      </c>
      <c r="M163" s="915">
        <v>0.61299999999999999</v>
      </c>
    </row>
    <row r="164" spans="1:13">
      <c r="A164" s="633" t="s">
        <v>3089</v>
      </c>
      <c r="B164" s="423" t="s">
        <v>338</v>
      </c>
      <c r="C164" s="915">
        <v>431.00700000000001</v>
      </c>
      <c r="D164" s="915">
        <v>15.564</v>
      </c>
      <c r="E164" s="915">
        <v>9.0340000000000007</v>
      </c>
      <c r="F164" s="915">
        <v>424.47699999999998</v>
      </c>
      <c r="G164" s="922">
        <f t="shared" si="4"/>
        <v>1</v>
      </c>
      <c r="H164" s="915" t="e">
        <v>#REF!</v>
      </c>
      <c r="I164" s="915" t="e">
        <f t="shared" si="5"/>
        <v>#REF!</v>
      </c>
      <c r="J164" s="915">
        <v>2.6070000000000002</v>
      </c>
      <c r="K164" s="915">
        <v>0</v>
      </c>
      <c r="L164" s="915">
        <v>0</v>
      </c>
      <c r="M164" s="915">
        <v>2.6070000000000002</v>
      </c>
    </row>
    <row r="165" spans="1:13">
      <c r="A165" s="633" t="s">
        <v>2119</v>
      </c>
      <c r="B165" s="423" t="s">
        <v>3825</v>
      </c>
      <c r="C165" s="915">
        <v>169.988</v>
      </c>
      <c r="D165" s="915">
        <v>0</v>
      </c>
      <c r="E165" s="915">
        <v>0</v>
      </c>
      <c r="F165" s="915">
        <v>169.988</v>
      </c>
      <c r="G165" s="922">
        <f t="shared" si="4"/>
        <v>0</v>
      </c>
      <c r="H165" s="915" t="e">
        <v>#REF!</v>
      </c>
      <c r="I165" s="915" t="e">
        <f t="shared" si="5"/>
        <v>#REF!</v>
      </c>
      <c r="J165" s="915">
        <v>1.6279999999999999</v>
      </c>
      <c r="K165" s="915">
        <v>0</v>
      </c>
      <c r="L165" s="915">
        <v>0</v>
      </c>
      <c r="M165" s="915">
        <v>1.6279999999999999</v>
      </c>
    </row>
    <row r="166" spans="1:13">
      <c r="A166" s="633" t="s">
        <v>2121</v>
      </c>
      <c r="B166" s="423" t="s">
        <v>2855</v>
      </c>
      <c r="C166" s="915">
        <v>113.67100000000001</v>
      </c>
      <c r="D166" s="915">
        <v>0</v>
      </c>
      <c r="E166" s="915">
        <v>0</v>
      </c>
      <c r="F166" s="915">
        <v>113.67100000000001</v>
      </c>
      <c r="G166" s="922">
        <f t="shared" si="4"/>
        <v>0</v>
      </c>
      <c r="H166" s="915" t="e">
        <v>#REF!</v>
      </c>
      <c r="I166" s="915" t="e">
        <f t="shared" si="5"/>
        <v>#REF!</v>
      </c>
      <c r="J166" s="915">
        <v>0</v>
      </c>
      <c r="K166" s="915">
        <v>0</v>
      </c>
      <c r="L166" s="915">
        <v>0</v>
      </c>
      <c r="M166" s="915">
        <v>0</v>
      </c>
    </row>
    <row r="167" spans="1:13">
      <c r="A167" s="633" t="s">
        <v>2123</v>
      </c>
      <c r="B167" s="423" t="s">
        <v>2856</v>
      </c>
      <c r="C167" s="915">
        <v>414.75599999999997</v>
      </c>
      <c r="D167" s="915">
        <v>18.192</v>
      </c>
      <c r="E167" s="915">
        <v>18.192</v>
      </c>
      <c r="F167" s="915">
        <v>414.75599999999997</v>
      </c>
      <c r="G167" s="922">
        <f t="shared" si="4"/>
        <v>0</v>
      </c>
      <c r="H167" s="915" t="e">
        <v>#REF!</v>
      </c>
      <c r="I167" s="915" t="e">
        <f t="shared" si="5"/>
        <v>#REF!</v>
      </c>
      <c r="J167" s="915">
        <v>55.371000000000002</v>
      </c>
      <c r="K167" s="915">
        <v>1.9079999999999999</v>
      </c>
      <c r="L167" s="915">
        <v>1.9079999999999999</v>
      </c>
      <c r="M167" s="915">
        <v>55.371000000000002</v>
      </c>
    </row>
    <row r="168" spans="1:13">
      <c r="A168" s="633" t="s">
        <v>3130</v>
      </c>
      <c r="B168" s="423" t="s">
        <v>4726</v>
      </c>
      <c r="C168" s="915">
        <v>291.58199999999999</v>
      </c>
      <c r="D168" s="915">
        <v>5.2649999999999997</v>
      </c>
      <c r="E168" s="915">
        <v>5.2649999999999997</v>
      </c>
      <c r="F168" s="915">
        <v>291.58199999999999</v>
      </c>
      <c r="G168" s="922">
        <f t="shared" si="4"/>
        <v>0</v>
      </c>
      <c r="H168" s="915" t="e">
        <v>#REF!</v>
      </c>
      <c r="I168" s="915" t="e">
        <f t="shared" si="5"/>
        <v>#REF!</v>
      </c>
      <c r="J168" s="915">
        <v>12.881</v>
      </c>
      <c r="K168" s="915">
        <v>0.48</v>
      </c>
      <c r="L168" s="915">
        <v>0.48</v>
      </c>
      <c r="M168" s="915">
        <v>12.881</v>
      </c>
    </row>
    <row r="169" spans="1:13">
      <c r="A169" s="633" t="s">
        <v>3132</v>
      </c>
      <c r="B169" s="423" t="s">
        <v>2858</v>
      </c>
      <c r="C169" s="915">
        <v>308.827</v>
      </c>
      <c r="D169" s="915">
        <v>2.081</v>
      </c>
      <c r="E169" s="915">
        <v>2.081</v>
      </c>
      <c r="F169" s="915">
        <v>308.827</v>
      </c>
      <c r="G169" s="922">
        <f t="shared" si="4"/>
        <v>0</v>
      </c>
      <c r="H169" s="915" t="e">
        <v>#REF!</v>
      </c>
      <c r="I169" s="915" t="e">
        <f t="shared" si="5"/>
        <v>#REF!</v>
      </c>
      <c r="J169" s="915">
        <v>22.526</v>
      </c>
      <c r="K169" s="915">
        <v>0</v>
      </c>
      <c r="L169" s="915">
        <v>0</v>
      </c>
      <c r="M169" s="915">
        <v>22.526</v>
      </c>
    </row>
    <row r="170" spans="1:13">
      <c r="A170" s="633" t="s">
        <v>1322</v>
      </c>
      <c r="B170" s="423" t="s">
        <v>2859</v>
      </c>
      <c r="C170" s="915">
        <v>226.952</v>
      </c>
      <c r="D170" s="915">
        <v>1.97</v>
      </c>
      <c r="E170" s="915">
        <v>1.97</v>
      </c>
      <c r="F170" s="915">
        <v>226.952</v>
      </c>
      <c r="G170" s="922">
        <f t="shared" si="4"/>
        <v>0</v>
      </c>
      <c r="H170" s="915" t="e">
        <v>#REF!</v>
      </c>
      <c r="I170" s="915" t="e">
        <f t="shared" si="5"/>
        <v>#REF!</v>
      </c>
      <c r="J170" s="915">
        <v>8.7919999999999998</v>
      </c>
      <c r="K170" s="915">
        <v>0</v>
      </c>
      <c r="L170" s="915">
        <v>0</v>
      </c>
      <c r="M170" s="915">
        <v>8.7919999999999998</v>
      </c>
    </row>
    <row r="171" spans="1:13">
      <c r="A171" s="633" t="s">
        <v>742</v>
      </c>
      <c r="B171" s="423" t="s">
        <v>6118</v>
      </c>
      <c r="C171" s="915">
        <v>916.19899999999996</v>
      </c>
      <c r="D171" s="915">
        <v>19.039000000000001</v>
      </c>
      <c r="E171" s="915">
        <v>19.039000000000001</v>
      </c>
      <c r="F171" s="915">
        <v>916.19899999999996</v>
      </c>
      <c r="G171" s="922">
        <f t="shared" si="4"/>
        <v>0</v>
      </c>
      <c r="H171" s="915" t="e">
        <v>#REF!</v>
      </c>
      <c r="I171" s="915" t="e">
        <f t="shared" si="5"/>
        <v>#REF!</v>
      </c>
      <c r="J171" s="915">
        <v>26.925000000000001</v>
      </c>
      <c r="K171" s="915">
        <v>3.2440000000000002</v>
      </c>
      <c r="L171" s="915">
        <v>3.2440000000000002</v>
      </c>
      <c r="M171" s="915">
        <v>26.925000000000001</v>
      </c>
    </row>
    <row r="172" spans="1:13">
      <c r="A172" s="633" t="s">
        <v>440</v>
      </c>
      <c r="B172" s="423" t="s">
        <v>1457</v>
      </c>
      <c r="C172" s="915">
        <v>275.85700000000003</v>
      </c>
      <c r="D172" s="915">
        <v>5.4</v>
      </c>
      <c r="E172" s="915">
        <v>5.4</v>
      </c>
      <c r="F172" s="915">
        <v>275.85700000000003</v>
      </c>
      <c r="G172" s="922">
        <f t="shared" si="4"/>
        <v>0</v>
      </c>
      <c r="H172" s="915" t="e">
        <v>#REF!</v>
      </c>
      <c r="I172" s="915" t="e">
        <f t="shared" si="5"/>
        <v>#REF!</v>
      </c>
      <c r="J172" s="915">
        <v>0</v>
      </c>
      <c r="K172" s="915">
        <v>0</v>
      </c>
      <c r="L172" s="915">
        <v>0</v>
      </c>
      <c r="M172" s="915">
        <v>0</v>
      </c>
    </row>
    <row r="173" spans="1:13">
      <c r="A173" s="633" t="s">
        <v>1324</v>
      </c>
      <c r="B173" s="423" t="s">
        <v>4732</v>
      </c>
      <c r="C173" s="915">
        <v>157.02600000000001</v>
      </c>
      <c r="D173" s="915">
        <v>2.677</v>
      </c>
      <c r="E173" s="915">
        <v>2.677</v>
      </c>
      <c r="F173" s="915">
        <v>157.02600000000001</v>
      </c>
      <c r="G173" s="922">
        <f t="shared" si="4"/>
        <v>0</v>
      </c>
      <c r="H173" s="915" t="e">
        <v>#REF!</v>
      </c>
      <c r="I173" s="915" t="e">
        <f t="shared" si="5"/>
        <v>#REF!</v>
      </c>
      <c r="J173" s="915">
        <v>7.8860000000000001</v>
      </c>
      <c r="K173" s="915">
        <v>0</v>
      </c>
      <c r="L173" s="915">
        <v>0</v>
      </c>
      <c r="M173" s="915">
        <v>7.8860000000000001</v>
      </c>
    </row>
    <row r="174" spans="1:13">
      <c r="A174" s="633" t="s">
        <v>1326</v>
      </c>
      <c r="B174" s="423" t="s">
        <v>2861</v>
      </c>
      <c r="C174" s="915">
        <v>89.287999999999997</v>
      </c>
      <c r="D174" s="915">
        <v>1.6439999999999999</v>
      </c>
      <c r="E174" s="915">
        <v>1.6439999999999999</v>
      </c>
      <c r="F174" s="915">
        <v>89.287999999999997</v>
      </c>
      <c r="G174" s="922">
        <f t="shared" si="4"/>
        <v>0</v>
      </c>
      <c r="H174" s="915" t="e">
        <v>#REF!</v>
      </c>
      <c r="I174" s="915" t="e">
        <f t="shared" si="5"/>
        <v>#REF!</v>
      </c>
      <c r="J174" s="915">
        <v>0</v>
      </c>
      <c r="K174" s="915">
        <v>0</v>
      </c>
      <c r="L174" s="915">
        <v>0</v>
      </c>
      <c r="M174" s="915">
        <v>0</v>
      </c>
    </row>
    <row r="175" spans="1:13">
      <c r="A175" s="633" t="s">
        <v>818</v>
      </c>
      <c r="B175" s="423" t="s">
        <v>7677</v>
      </c>
      <c r="C175" s="915">
        <v>16821.855</v>
      </c>
      <c r="D175" s="915">
        <v>102.065</v>
      </c>
      <c r="E175" s="915">
        <v>87.611000000000004</v>
      </c>
      <c r="F175" s="915">
        <v>16807.401000000002</v>
      </c>
      <c r="G175" s="922">
        <f t="shared" si="4"/>
        <v>1</v>
      </c>
      <c r="H175" s="915" t="e">
        <v>#REF!</v>
      </c>
      <c r="I175" s="915" t="e">
        <f t="shared" si="5"/>
        <v>#REF!</v>
      </c>
      <c r="J175" s="915">
        <v>1200.6880000000001</v>
      </c>
      <c r="K175" s="915">
        <v>71.658000000000001</v>
      </c>
      <c r="L175" s="915">
        <v>61.064</v>
      </c>
      <c r="M175" s="915">
        <v>1190.0940000000001</v>
      </c>
    </row>
    <row r="176" spans="1:13">
      <c r="A176" s="633" t="s">
        <v>266</v>
      </c>
      <c r="B176" s="423" t="s">
        <v>7683</v>
      </c>
      <c r="C176" s="915">
        <v>2028.068</v>
      </c>
      <c r="D176" s="915">
        <v>21.228000000000002</v>
      </c>
      <c r="E176" s="915">
        <v>21.228000000000002</v>
      </c>
      <c r="F176" s="915">
        <v>2028.068</v>
      </c>
      <c r="G176" s="922">
        <f t="shared" si="4"/>
        <v>0</v>
      </c>
      <c r="H176" s="915" t="e">
        <v>#REF!</v>
      </c>
      <c r="I176" s="915" t="e">
        <f t="shared" si="5"/>
        <v>#REF!</v>
      </c>
      <c r="J176" s="915">
        <v>262.09199999999998</v>
      </c>
      <c r="K176" s="915">
        <v>8.625</v>
      </c>
      <c r="L176" s="915">
        <v>8.625</v>
      </c>
      <c r="M176" s="915">
        <v>262.09199999999998</v>
      </c>
    </row>
    <row r="177" spans="1:13">
      <c r="A177" s="633" t="s">
        <v>441</v>
      </c>
      <c r="B177" s="423" t="s">
        <v>6104</v>
      </c>
      <c r="C177" s="915">
        <v>1757.394</v>
      </c>
      <c r="D177" s="915">
        <v>15.468</v>
      </c>
      <c r="E177" s="915">
        <v>15.468</v>
      </c>
      <c r="F177" s="915">
        <v>1757.394</v>
      </c>
      <c r="G177" s="922">
        <f t="shared" si="4"/>
        <v>0</v>
      </c>
      <c r="H177" s="915" t="e">
        <v>#REF!</v>
      </c>
      <c r="I177" s="915" t="e">
        <f t="shared" si="5"/>
        <v>#REF!</v>
      </c>
      <c r="J177" s="915">
        <v>105.899</v>
      </c>
      <c r="K177" s="915">
        <v>4.5739999999999998</v>
      </c>
      <c r="L177" s="915">
        <v>4.5739999999999998</v>
      </c>
      <c r="M177" s="915">
        <v>105.899</v>
      </c>
    </row>
    <row r="178" spans="1:13">
      <c r="A178" s="633" t="s">
        <v>1526</v>
      </c>
      <c r="B178" s="423" t="s">
        <v>110</v>
      </c>
      <c r="C178" s="915">
        <v>1381.124</v>
      </c>
      <c r="D178" s="915">
        <v>8.3770000000000007</v>
      </c>
      <c r="E178" s="915">
        <v>7.8289999999999997</v>
      </c>
      <c r="F178" s="915">
        <v>1380.576</v>
      </c>
      <c r="G178" s="922">
        <f t="shared" si="4"/>
        <v>1</v>
      </c>
      <c r="H178" s="915" t="e">
        <v>#REF!</v>
      </c>
      <c r="I178" s="915" t="e">
        <f t="shared" si="5"/>
        <v>#REF!</v>
      </c>
      <c r="J178" s="915">
        <v>79.188000000000002</v>
      </c>
      <c r="K178" s="915">
        <v>2.7759999999999998</v>
      </c>
      <c r="L178" s="915">
        <v>2.7759999999999998</v>
      </c>
      <c r="M178" s="915">
        <v>79.188000000000002</v>
      </c>
    </row>
    <row r="179" spans="1:13">
      <c r="A179" s="633" t="s">
        <v>1312</v>
      </c>
      <c r="B179" s="423" t="s">
        <v>117</v>
      </c>
      <c r="C179" s="915">
        <v>29403.663</v>
      </c>
      <c r="D179" s="915">
        <v>130.078</v>
      </c>
      <c r="E179" s="915">
        <v>130.078</v>
      </c>
      <c r="F179" s="915">
        <v>29403.663</v>
      </c>
      <c r="G179" s="922">
        <f t="shared" si="4"/>
        <v>0</v>
      </c>
      <c r="H179" s="915" t="e">
        <v>#REF!</v>
      </c>
      <c r="I179" s="915" t="e">
        <f t="shared" si="5"/>
        <v>#REF!</v>
      </c>
      <c r="J179" s="915">
        <v>1323.3389999999999</v>
      </c>
      <c r="K179" s="915">
        <v>81.790000000000006</v>
      </c>
      <c r="L179" s="915">
        <v>81.790000000000006</v>
      </c>
      <c r="M179" s="915">
        <v>1323.3389999999999</v>
      </c>
    </row>
    <row r="180" spans="1:13">
      <c r="A180" s="633" t="s">
        <v>6168</v>
      </c>
      <c r="B180" s="423" t="s">
        <v>6076</v>
      </c>
      <c r="C180" s="915">
        <v>22008.544000000002</v>
      </c>
      <c r="D180" s="915">
        <v>172.59700000000001</v>
      </c>
      <c r="E180" s="915">
        <v>164.416</v>
      </c>
      <c r="F180" s="915">
        <v>22000.363000000001</v>
      </c>
      <c r="G180" s="922">
        <f t="shared" si="4"/>
        <v>1</v>
      </c>
      <c r="H180" s="915" t="e">
        <v>#REF!</v>
      </c>
      <c r="I180" s="915" t="e">
        <f t="shared" si="5"/>
        <v>#REF!</v>
      </c>
      <c r="J180" s="915">
        <v>1985.252</v>
      </c>
      <c r="K180" s="915">
        <v>91.677999999999997</v>
      </c>
      <c r="L180" s="915">
        <v>84.328999999999994</v>
      </c>
      <c r="M180" s="915">
        <v>1977.902</v>
      </c>
    </row>
    <row r="181" spans="1:13">
      <c r="A181" s="633" t="s">
        <v>5913</v>
      </c>
      <c r="B181" s="423" t="s">
        <v>2862</v>
      </c>
      <c r="C181" s="915">
        <v>1207.798</v>
      </c>
      <c r="D181" s="915">
        <v>5.944</v>
      </c>
      <c r="E181" s="915">
        <v>5.944</v>
      </c>
      <c r="F181" s="915">
        <v>1207.798</v>
      </c>
      <c r="G181" s="922">
        <f t="shared" si="4"/>
        <v>0</v>
      </c>
      <c r="H181" s="915" t="e">
        <v>#REF!</v>
      </c>
      <c r="I181" s="915" t="e">
        <f t="shared" si="5"/>
        <v>#REF!</v>
      </c>
      <c r="J181" s="915">
        <v>52.805</v>
      </c>
      <c r="K181" s="915">
        <v>1.069</v>
      </c>
      <c r="L181" s="915">
        <v>1.069</v>
      </c>
      <c r="M181" s="915">
        <v>52.805</v>
      </c>
    </row>
    <row r="182" spans="1:13">
      <c r="A182" s="633" t="s">
        <v>3546</v>
      </c>
      <c r="B182" s="423" t="s">
        <v>2863</v>
      </c>
      <c r="C182" s="915">
        <v>51080.275999999998</v>
      </c>
      <c r="D182" s="915">
        <v>430.50900000000001</v>
      </c>
      <c r="E182" s="915">
        <v>430.50900000000001</v>
      </c>
      <c r="F182" s="915">
        <v>51080.275999999998</v>
      </c>
      <c r="G182" s="922">
        <f t="shared" si="4"/>
        <v>0</v>
      </c>
      <c r="H182" s="915" t="e">
        <v>#REF!</v>
      </c>
      <c r="I182" s="915" t="e">
        <f t="shared" si="5"/>
        <v>#REF!</v>
      </c>
      <c r="J182" s="915">
        <v>5642.1310000000003</v>
      </c>
      <c r="K182" s="915">
        <v>317.637</v>
      </c>
      <c r="L182" s="915">
        <v>317.637</v>
      </c>
      <c r="M182" s="915">
        <v>5642.1310000000003</v>
      </c>
    </row>
    <row r="183" spans="1:13">
      <c r="A183" s="633" t="s">
        <v>5132</v>
      </c>
      <c r="B183" s="423" t="s">
        <v>352</v>
      </c>
      <c r="C183" s="915">
        <v>2605.3829999999998</v>
      </c>
      <c r="D183" s="915">
        <v>61.438000000000002</v>
      </c>
      <c r="E183" s="915">
        <v>61.438000000000002</v>
      </c>
      <c r="F183" s="915">
        <v>2605.3829999999998</v>
      </c>
      <c r="G183" s="922">
        <f t="shared" si="4"/>
        <v>0</v>
      </c>
      <c r="H183" s="915" t="e">
        <v>#REF!</v>
      </c>
      <c r="I183" s="915" t="e">
        <f t="shared" si="5"/>
        <v>#REF!</v>
      </c>
      <c r="J183" s="915">
        <v>267.64800000000002</v>
      </c>
      <c r="K183" s="915">
        <v>22.838000000000001</v>
      </c>
      <c r="L183" s="915">
        <v>22.838000000000001</v>
      </c>
      <c r="M183" s="915">
        <v>267.64800000000002</v>
      </c>
    </row>
    <row r="184" spans="1:13">
      <c r="A184" s="633" t="s">
        <v>649</v>
      </c>
      <c r="B184" s="423" t="s">
        <v>354</v>
      </c>
      <c r="C184" s="915">
        <v>2930.366</v>
      </c>
      <c r="D184" s="915">
        <v>33.590000000000003</v>
      </c>
      <c r="E184" s="915">
        <v>33.311</v>
      </c>
      <c r="F184" s="915">
        <v>2930.087</v>
      </c>
      <c r="G184" s="922">
        <f t="shared" si="4"/>
        <v>1</v>
      </c>
      <c r="H184" s="915" t="e">
        <v>#REF!</v>
      </c>
      <c r="I184" s="915" t="e">
        <f t="shared" si="5"/>
        <v>#REF!</v>
      </c>
      <c r="J184" s="915">
        <v>204.482</v>
      </c>
      <c r="K184" s="915">
        <v>16.350000000000001</v>
      </c>
      <c r="L184" s="915">
        <v>16.152000000000001</v>
      </c>
      <c r="M184" s="915">
        <v>204.28399999999999</v>
      </c>
    </row>
    <row r="185" spans="1:13">
      <c r="A185" s="633" t="s">
        <v>861</v>
      </c>
      <c r="B185" s="423" t="s">
        <v>2008</v>
      </c>
      <c r="C185" s="915">
        <v>10834.89</v>
      </c>
      <c r="D185" s="915">
        <v>82.59</v>
      </c>
      <c r="E185" s="915">
        <v>82.59</v>
      </c>
      <c r="F185" s="915">
        <v>10834.89</v>
      </c>
      <c r="G185" s="922">
        <f t="shared" si="4"/>
        <v>0</v>
      </c>
      <c r="H185" s="915" t="e">
        <v>#REF!</v>
      </c>
      <c r="I185" s="915" t="e">
        <f t="shared" si="5"/>
        <v>#REF!</v>
      </c>
      <c r="J185" s="915">
        <v>856.49300000000005</v>
      </c>
      <c r="K185" s="915">
        <v>45.567999999999998</v>
      </c>
      <c r="L185" s="915">
        <v>45.567999999999998</v>
      </c>
      <c r="M185" s="915">
        <v>856.49300000000005</v>
      </c>
    </row>
    <row r="186" spans="1:13">
      <c r="A186" s="633" t="s">
        <v>956</v>
      </c>
      <c r="B186" s="423" t="s">
        <v>7661</v>
      </c>
      <c r="C186" s="915">
        <v>571.74099999999999</v>
      </c>
      <c r="D186" s="915">
        <v>4.9000000000000004</v>
      </c>
      <c r="E186" s="915">
        <v>4.9000000000000004</v>
      </c>
      <c r="F186" s="915">
        <v>571.74099999999999</v>
      </c>
      <c r="G186" s="922">
        <f t="shared" si="4"/>
        <v>0</v>
      </c>
      <c r="H186" s="915" t="e">
        <v>#REF!</v>
      </c>
      <c r="I186" s="915" t="e">
        <f t="shared" si="5"/>
        <v>#REF!</v>
      </c>
      <c r="J186" s="915">
        <v>22.556999999999999</v>
      </c>
      <c r="K186" s="915">
        <v>0</v>
      </c>
      <c r="L186" s="915">
        <v>0</v>
      </c>
      <c r="M186" s="915">
        <v>22.556999999999999</v>
      </c>
    </row>
    <row r="187" spans="1:13">
      <c r="A187" s="633" t="s">
        <v>236</v>
      </c>
      <c r="B187" s="423" t="s">
        <v>2643</v>
      </c>
      <c r="C187" s="915">
        <v>1533.36</v>
      </c>
      <c r="D187" s="915">
        <v>15.721</v>
      </c>
      <c r="E187" s="915">
        <v>15.721</v>
      </c>
      <c r="F187" s="915">
        <v>1533.36</v>
      </c>
      <c r="G187" s="922">
        <f t="shared" si="4"/>
        <v>0</v>
      </c>
      <c r="H187" s="915" t="e">
        <v>#REF!</v>
      </c>
      <c r="I187" s="915" t="e">
        <f t="shared" si="5"/>
        <v>#REF!</v>
      </c>
      <c r="J187" s="915">
        <v>81.358999999999995</v>
      </c>
      <c r="K187" s="915">
        <v>4.8860000000000001</v>
      </c>
      <c r="L187" s="915">
        <v>4.8860000000000001</v>
      </c>
      <c r="M187" s="915">
        <v>81.358999999999995</v>
      </c>
    </row>
    <row r="188" spans="1:13">
      <c r="A188" s="633" t="s">
        <v>3548</v>
      </c>
      <c r="B188" s="423" t="s">
        <v>2864</v>
      </c>
      <c r="C188" s="915">
        <v>2782.9920000000002</v>
      </c>
      <c r="D188" s="915">
        <v>0</v>
      </c>
      <c r="E188" s="915">
        <v>0</v>
      </c>
      <c r="F188" s="915">
        <v>2782.9920000000002</v>
      </c>
      <c r="G188" s="922">
        <f t="shared" si="4"/>
        <v>0</v>
      </c>
      <c r="H188" s="915" t="e">
        <v>#REF!</v>
      </c>
      <c r="I188" s="915" t="e">
        <f t="shared" si="5"/>
        <v>#REF!</v>
      </c>
      <c r="J188" s="915">
        <v>17.538</v>
      </c>
      <c r="K188" s="915">
        <v>0</v>
      </c>
      <c r="L188" s="915">
        <v>0</v>
      </c>
      <c r="M188" s="915">
        <v>17.538</v>
      </c>
    </row>
    <row r="189" spans="1:13">
      <c r="A189" s="633" t="s">
        <v>3550</v>
      </c>
      <c r="B189" s="423" t="s">
        <v>2865</v>
      </c>
      <c r="C189" s="915">
        <v>500.84100000000001</v>
      </c>
      <c r="D189" s="915">
        <v>10.884</v>
      </c>
      <c r="E189" s="915">
        <v>10.884</v>
      </c>
      <c r="F189" s="915">
        <v>500.84100000000001</v>
      </c>
      <c r="G189" s="922">
        <f t="shared" si="4"/>
        <v>0</v>
      </c>
      <c r="H189" s="915" t="e">
        <v>#REF!</v>
      </c>
      <c r="I189" s="915" t="e">
        <f t="shared" si="5"/>
        <v>#REF!</v>
      </c>
      <c r="J189" s="915">
        <v>49.051000000000002</v>
      </c>
      <c r="K189" s="915">
        <v>2.738</v>
      </c>
      <c r="L189" s="915">
        <v>2.738</v>
      </c>
      <c r="M189" s="915">
        <v>49.051000000000002</v>
      </c>
    </row>
    <row r="190" spans="1:13">
      <c r="A190" s="633" t="s">
        <v>206</v>
      </c>
      <c r="B190" s="423" t="s">
        <v>2866</v>
      </c>
      <c r="C190" s="915">
        <v>92.876999999999995</v>
      </c>
      <c r="D190" s="915">
        <v>3.1120000000000001</v>
      </c>
      <c r="E190" s="915">
        <v>3.1120000000000001</v>
      </c>
      <c r="F190" s="915">
        <v>92.876999999999995</v>
      </c>
      <c r="G190" s="922">
        <f t="shared" si="4"/>
        <v>0</v>
      </c>
      <c r="H190" s="915" t="e">
        <v>#REF!</v>
      </c>
      <c r="I190" s="915" t="e">
        <f t="shared" si="5"/>
        <v>#REF!</v>
      </c>
      <c r="J190" s="915">
        <v>0.33900000000000002</v>
      </c>
      <c r="K190" s="915">
        <v>0.33800000000000002</v>
      </c>
      <c r="L190" s="915">
        <v>0.33800000000000002</v>
      </c>
      <c r="M190" s="915">
        <v>0.33900000000000002</v>
      </c>
    </row>
    <row r="191" spans="1:13">
      <c r="A191" s="633" t="s">
        <v>234</v>
      </c>
      <c r="B191" s="423" t="s">
        <v>2641</v>
      </c>
      <c r="C191" s="915">
        <v>1436.4739999999999</v>
      </c>
      <c r="D191" s="915">
        <v>15.641999999999999</v>
      </c>
      <c r="E191" s="915">
        <v>15.641999999999999</v>
      </c>
      <c r="F191" s="915">
        <v>1436.4739999999999</v>
      </c>
      <c r="G191" s="922">
        <f t="shared" si="4"/>
        <v>0</v>
      </c>
      <c r="H191" s="915" t="e">
        <v>#REF!</v>
      </c>
      <c r="I191" s="915" t="e">
        <f t="shared" si="5"/>
        <v>#REF!</v>
      </c>
      <c r="J191" s="915">
        <v>1.0999999999999999E-2</v>
      </c>
      <c r="K191" s="915">
        <v>0</v>
      </c>
      <c r="L191" s="915">
        <v>0</v>
      </c>
      <c r="M191" s="915">
        <v>1.0999999999999999E-2</v>
      </c>
    </row>
    <row r="192" spans="1:13">
      <c r="A192" s="633" t="s">
        <v>208</v>
      </c>
      <c r="B192" s="423" t="s">
        <v>4752</v>
      </c>
      <c r="C192" s="915">
        <v>1195.76</v>
      </c>
      <c r="D192" s="915">
        <v>25.106000000000002</v>
      </c>
      <c r="E192" s="915">
        <v>25.106000000000002</v>
      </c>
      <c r="F192" s="915">
        <v>1195.76</v>
      </c>
      <c r="G192" s="922">
        <f t="shared" si="4"/>
        <v>0</v>
      </c>
      <c r="H192" s="915" t="e">
        <v>#REF!</v>
      </c>
      <c r="I192" s="915" t="e">
        <f t="shared" si="5"/>
        <v>#REF!</v>
      </c>
      <c r="J192" s="915">
        <v>98.08</v>
      </c>
      <c r="K192" s="915">
        <v>4.7519999999999998</v>
      </c>
      <c r="L192" s="915">
        <v>4.7519999999999998</v>
      </c>
      <c r="M192" s="915">
        <v>98.08</v>
      </c>
    </row>
    <row r="193" spans="1:13">
      <c r="A193" s="633" t="s">
        <v>210</v>
      </c>
      <c r="B193" s="423" t="s">
        <v>2868</v>
      </c>
      <c r="C193" s="915">
        <v>549.62099999999998</v>
      </c>
      <c r="D193" s="915">
        <v>12.92</v>
      </c>
      <c r="E193" s="915">
        <v>12.92</v>
      </c>
      <c r="F193" s="915">
        <v>549.62099999999998</v>
      </c>
      <c r="G193" s="922">
        <f t="shared" si="4"/>
        <v>0</v>
      </c>
      <c r="H193" s="915" t="e">
        <v>#REF!</v>
      </c>
      <c r="I193" s="915" t="e">
        <f t="shared" si="5"/>
        <v>#REF!</v>
      </c>
      <c r="J193" s="915">
        <v>63.570999999999998</v>
      </c>
      <c r="K193" s="915">
        <v>5.0110000000000001</v>
      </c>
      <c r="L193" s="915">
        <v>5.0110000000000001</v>
      </c>
      <c r="M193" s="915">
        <v>63.570999999999998</v>
      </c>
    </row>
    <row r="194" spans="1:13">
      <c r="A194" s="633" t="s">
        <v>212</v>
      </c>
      <c r="B194" s="423" t="s">
        <v>2869</v>
      </c>
      <c r="C194" s="915">
        <v>7072.7830000000004</v>
      </c>
      <c r="D194" s="915">
        <v>47.411000000000001</v>
      </c>
      <c r="E194" s="915">
        <v>47.411000000000001</v>
      </c>
      <c r="F194" s="915">
        <v>7072.7830000000004</v>
      </c>
      <c r="G194" s="922">
        <f t="shared" si="4"/>
        <v>0</v>
      </c>
      <c r="H194" s="915" t="e">
        <v>#REF!</v>
      </c>
      <c r="I194" s="915" t="e">
        <f t="shared" si="5"/>
        <v>#REF!</v>
      </c>
      <c r="J194" s="915">
        <v>660.08299999999997</v>
      </c>
      <c r="K194" s="915">
        <v>10.939</v>
      </c>
      <c r="L194" s="915">
        <v>10.939</v>
      </c>
      <c r="M194" s="915">
        <v>660.08299999999997</v>
      </c>
    </row>
    <row r="195" spans="1:13">
      <c r="A195" s="633" t="s">
        <v>214</v>
      </c>
      <c r="B195" s="423" t="s">
        <v>2870</v>
      </c>
      <c r="C195" s="915">
        <v>15140.986000000001</v>
      </c>
      <c r="D195" s="915">
        <v>100.949</v>
      </c>
      <c r="E195" s="915">
        <v>100.90600000000001</v>
      </c>
      <c r="F195" s="915">
        <v>15140.942999999999</v>
      </c>
      <c r="G195" s="922">
        <f t="shared" ref="G195:G258" si="6">IF(F195&lt;C195,1,0)</f>
        <v>1</v>
      </c>
      <c r="H195" s="915" t="e">
        <v>#REF!</v>
      </c>
      <c r="I195" s="915" t="e">
        <f t="shared" ref="I195:I258" si="7">F195-H195</f>
        <v>#REF!</v>
      </c>
      <c r="J195" s="915">
        <v>640.25</v>
      </c>
      <c r="K195" s="915">
        <v>31.277999999999999</v>
      </c>
      <c r="L195" s="915">
        <v>31.257999999999999</v>
      </c>
      <c r="M195" s="915">
        <v>640.23099999999999</v>
      </c>
    </row>
    <row r="196" spans="1:13">
      <c r="A196" s="633" t="s">
        <v>2714</v>
      </c>
      <c r="B196" s="423" t="s">
        <v>2871</v>
      </c>
      <c r="C196" s="915">
        <v>1151.761</v>
      </c>
      <c r="D196" s="915">
        <v>11.695</v>
      </c>
      <c r="E196" s="915">
        <v>11.695</v>
      </c>
      <c r="F196" s="915">
        <v>1151.761</v>
      </c>
      <c r="G196" s="922">
        <f t="shared" si="6"/>
        <v>0</v>
      </c>
      <c r="H196" s="915" t="e">
        <v>#REF!</v>
      </c>
      <c r="I196" s="915" t="e">
        <f t="shared" si="7"/>
        <v>#REF!</v>
      </c>
      <c r="J196" s="915">
        <v>99.007999999999996</v>
      </c>
      <c r="K196" s="915">
        <v>2.1720000000000002</v>
      </c>
      <c r="L196" s="915">
        <v>2.1720000000000002</v>
      </c>
      <c r="M196" s="915">
        <v>99.007999999999996</v>
      </c>
    </row>
    <row r="197" spans="1:13">
      <c r="A197" s="633" t="s">
        <v>250</v>
      </c>
      <c r="B197" s="423" t="s">
        <v>995</v>
      </c>
      <c r="C197" s="915">
        <v>630.54100000000005</v>
      </c>
      <c r="D197" s="915">
        <v>9.4789999999999992</v>
      </c>
      <c r="E197" s="915">
        <v>9.4789999999999992</v>
      </c>
      <c r="F197" s="915">
        <v>630.54100000000005</v>
      </c>
      <c r="G197" s="922">
        <f t="shared" si="6"/>
        <v>0</v>
      </c>
      <c r="H197" s="915" t="e">
        <v>#REF!</v>
      </c>
      <c r="I197" s="915" t="e">
        <f t="shared" si="7"/>
        <v>#REF!</v>
      </c>
      <c r="J197" s="915">
        <v>22.100999999999999</v>
      </c>
      <c r="K197" s="915">
        <v>1.0569999999999999</v>
      </c>
      <c r="L197" s="915">
        <v>1.0569999999999999</v>
      </c>
      <c r="M197" s="915">
        <v>22.100999999999999</v>
      </c>
    </row>
    <row r="198" spans="1:13">
      <c r="A198" s="633" t="s">
        <v>2162</v>
      </c>
      <c r="B198" s="423" t="s">
        <v>3915</v>
      </c>
      <c r="C198" s="915">
        <v>193.089</v>
      </c>
      <c r="D198" s="915">
        <v>7.8380000000000001</v>
      </c>
      <c r="E198" s="915">
        <v>7.8380000000000001</v>
      </c>
      <c r="F198" s="915">
        <v>193.089</v>
      </c>
      <c r="G198" s="922">
        <f t="shared" si="6"/>
        <v>0</v>
      </c>
      <c r="H198" s="915" t="e">
        <v>#REF!</v>
      </c>
      <c r="I198" s="915" t="e">
        <f t="shared" si="7"/>
        <v>#REF!</v>
      </c>
      <c r="J198" s="915">
        <v>49.356000000000002</v>
      </c>
      <c r="K198" s="915">
        <v>4.226</v>
      </c>
      <c r="L198" s="915">
        <v>4.226</v>
      </c>
      <c r="M198" s="915">
        <v>49.356000000000002</v>
      </c>
    </row>
    <row r="199" spans="1:13">
      <c r="A199" s="633" t="s">
        <v>2716</v>
      </c>
      <c r="B199" s="423" t="s">
        <v>2872</v>
      </c>
      <c r="C199" s="915">
        <v>134.614</v>
      </c>
      <c r="D199" s="915">
        <v>0</v>
      </c>
      <c r="E199" s="915">
        <v>0</v>
      </c>
      <c r="F199" s="915">
        <v>134.614</v>
      </c>
      <c r="G199" s="922">
        <f t="shared" si="6"/>
        <v>0</v>
      </c>
      <c r="H199" s="915" t="e">
        <v>#REF!</v>
      </c>
      <c r="I199" s="915" t="e">
        <f t="shared" si="7"/>
        <v>#REF!</v>
      </c>
      <c r="J199" s="915">
        <v>0</v>
      </c>
      <c r="K199" s="915">
        <v>0</v>
      </c>
      <c r="L199" s="915">
        <v>0</v>
      </c>
      <c r="M199" s="915">
        <v>0</v>
      </c>
    </row>
    <row r="200" spans="1:13">
      <c r="A200" s="633" t="s">
        <v>2718</v>
      </c>
      <c r="B200" s="423" t="s">
        <v>4761</v>
      </c>
      <c r="C200" s="915">
        <v>253.75899999999999</v>
      </c>
      <c r="D200" s="915">
        <v>0</v>
      </c>
      <c r="E200" s="915">
        <v>0</v>
      </c>
      <c r="F200" s="915">
        <v>253.75899999999999</v>
      </c>
      <c r="G200" s="922">
        <f t="shared" si="6"/>
        <v>0</v>
      </c>
      <c r="H200" s="915" t="e">
        <v>#REF!</v>
      </c>
      <c r="I200" s="915" t="e">
        <f t="shared" si="7"/>
        <v>#REF!</v>
      </c>
      <c r="J200" s="915">
        <v>5.984</v>
      </c>
      <c r="K200" s="915">
        <v>0</v>
      </c>
      <c r="L200" s="915">
        <v>0</v>
      </c>
      <c r="M200" s="915">
        <v>5.984</v>
      </c>
    </row>
    <row r="201" spans="1:13">
      <c r="A201" s="633" t="s">
        <v>2720</v>
      </c>
      <c r="B201" s="423" t="s">
        <v>2874</v>
      </c>
      <c r="C201" s="915">
        <v>129.99700000000001</v>
      </c>
      <c r="D201" s="915">
        <v>3.3170000000000002</v>
      </c>
      <c r="E201" s="915">
        <v>3.3170000000000002</v>
      </c>
      <c r="F201" s="915">
        <v>129.99700000000001</v>
      </c>
      <c r="G201" s="922">
        <f t="shared" si="6"/>
        <v>0</v>
      </c>
      <c r="H201" s="915" t="e">
        <v>#REF!</v>
      </c>
      <c r="I201" s="915" t="e">
        <f t="shared" si="7"/>
        <v>#REF!</v>
      </c>
      <c r="J201" s="915">
        <v>2.395</v>
      </c>
      <c r="K201" s="915">
        <v>0.45</v>
      </c>
      <c r="L201" s="915">
        <v>0.45</v>
      </c>
      <c r="M201" s="915">
        <v>2.395</v>
      </c>
    </row>
    <row r="202" spans="1:13">
      <c r="A202" s="633" t="s">
        <v>1314</v>
      </c>
      <c r="B202" s="423" t="s">
        <v>119</v>
      </c>
      <c r="C202" s="915">
        <v>2524.54</v>
      </c>
      <c r="D202" s="915">
        <v>121.986</v>
      </c>
      <c r="E202" s="915">
        <v>65.13</v>
      </c>
      <c r="F202" s="915">
        <v>2467.6840000000002</v>
      </c>
      <c r="G202" s="922">
        <f t="shared" si="6"/>
        <v>1</v>
      </c>
      <c r="H202" s="915" t="e">
        <v>#REF!</v>
      </c>
      <c r="I202" s="915" t="e">
        <f t="shared" si="7"/>
        <v>#REF!</v>
      </c>
      <c r="J202" s="915">
        <v>556.178</v>
      </c>
      <c r="K202" s="915">
        <v>69.722999999999999</v>
      </c>
      <c r="L202" s="915">
        <v>35.881</v>
      </c>
      <c r="M202" s="915">
        <v>522.33600000000001</v>
      </c>
    </row>
    <row r="203" spans="1:13">
      <c r="A203" s="633" t="s">
        <v>2722</v>
      </c>
      <c r="B203" s="423" t="s">
        <v>2875</v>
      </c>
      <c r="C203" s="915">
        <v>463.92099999999999</v>
      </c>
      <c r="D203" s="915">
        <v>5.1580000000000004</v>
      </c>
      <c r="E203" s="915">
        <v>3.0790000000000002</v>
      </c>
      <c r="F203" s="915">
        <v>461.84199999999998</v>
      </c>
      <c r="G203" s="922">
        <f t="shared" si="6"/>
        <v>1</v>
      </c>
      <c r="H203" s="915" t="e">
        <v>#REF!</v>
      </c>
      <c r="I203" s="915" t="e">
        <f t="shared" si="7"/>
        <v>#REF!</v>
      </c>
      <c r="J203" s="915">
        <v>4.8449999999999998</v>
      </c>
      <c r="K203" s="915">
        <v>0.97899999999999998</v>
      </c>
      <c r="L203" s="915">
        <v>0.48899999999999999</v>
      </c>
      <c r="M203" s="915">
        <v>4.3559999999999999</v>
      </c>
    </row>
    <row r="204" spans="1:13">
      <c r="A204" s="633" t="s">
        <v>442</v>
      </c>
      <c r="B204" s="423" t="s">
        <v>5372</v>
      </c>
      <c r="C204" s="915">
        <v>628.12400000000002</v>
      </c>
      <c r="D204" s="915">
        <v>8.6669999999999998</v>
      </c>
      <c r="E204" s="915">
        <v>8.6669999999999998</v>
      </c>
      <c r="F204" s="915">
        <v>628.12400000000002</v>
      </c>
      <c r="G204" s="922">
        <f t="shared" si="6"/>
        <v>0</v>
      </c>
      <c r="H204" s="915" t="e">
        <v>#REF!</v>
      </c>
      <c r="I204" s="915" t="e">
        <f t="shared" si="7"/>
        <v>#REF!</v>
      </c>
      <c r="J204" s="915">
        <v>27.143999999999998</v>
      </c>
      <c r="K204" s="915">
        <v>1.4950000000000001</v>
      </c>
      <c r="L204" s="915">
        <v>1.4950000000000001</v>
      </c>
      <c r="M204" s="915">
        <v>27.143999999999998</v>
      </c>
    </row>
    <row r="205" spans="1:13">
      <c r="A205" s="633" t="s">
        <v>7258</v>
      </c>
      <c r="B205" s="423" t="s">
        <v>7259</v>
      </c>
      <c r="C205" s="915">
        <v>262.57299999999998</v>
      </c>
      <c r="D205" s="915">
        <v>0</v>
      </c>
      <c r="E205" s="915">
        <v>0</v>
      </c>
      <c r="F205" s="915">
        <v>262.57299999999998</v>
      </c>
      <c r="G205" s="922">
        <f t="shared" si="6"/>
        <v>0</v>
      </c>
      <c r="H205" s="915" t="e">
        <v>#REF!</v>
      </c>
      <c r="I205" s="915" t="e">
        <f t="shared" si="7"/>
        <v>#REF!</v>
      </c>
      <c r="J205" s="915">
        <v>15.332000000000001</v>
      </c>
      <c r="K205" s="915">
        <v>0</v>
      </c>
      <c r="L205" s="915">
        <v>0</v>
      </c>
      <c r="M205" s="915">
        <v>15.332000000000001</v>
      </c>
    </row>
    <row r="206" spans="1:13">
      <c r="A206" s="633" t="s">
        <v>2724</v>
      </c>
      <c r="B206" s="423" t="s">
        <v>2876</v>
      </c>
      <c r="C206" s="915">
        <v>1121.942</v>
      </c>
      <c r="D206" s="915">
        <v>18.923999999999999</v>
      </c>
      <c r="E206" s="915">
        <v>18.923999999999999</v>
      </c>
      <c r="F206" s="915">
        <v>1121.942</v>
      </c>
      <c r="G206" s="922">
        <f t="shared" si="6"/>
        <v>0</v>
      </c>
      <c r="H206" s="915" t="e">
        <v>#REF!</v>
      </c>
      <c r="I206" s="915" t="e">
        <f t="shared" si="7"/>
        <v>#REF!</v>
      </c>
      <c r="J206" s="915">
        <v>21.053000000000001</v>
      </c>
      <c r="K206" s="915">
        <v>0.85099999999999998</v>
      </c>
      <c r="L206" s="915">
        <v>0.85099999999999998</v>
      </c>
      <c r="M206" s="915">
        <v>21.053000000000001</v>
      </c>
    </row>
    <row r="207" spans="1:13">
      <c r="A207" s="633" t="s">
        <v>5321</v>
      </c>
      <c r="B207" s="423" t="s">
        <v>2877</v>
      </c>
      <c r="C207" s="915">
        <v>428.08</v>
      </c>
      <c r="D207" s="915">
        <v>0</v>
      </c>
      <c r="E207" s="915">
        <v>0</v>
      </c>
      <c r="F207" s="915">
        <v>428.08</v>
      </c>
      <c r="G207" s="922">
        <f t="shared" si="6"/>
        <v>0</v>
      </c>
      <c r="H207" s="915" t="e">
        <v>#REF!</v>
      </c>
      <c r="I207" s="915" t="e">
        <f t="shared" si="7"/>
        <v>#REF!</v>
      </c>
      <c r="J207" s="915">
        <v>0.99399999999999999</v>
      </c>
      <c r="K207" s="915">
        <v>0</v>
      </c>
      <c r="L207" s="915">
        <v>0</v>
      </c>
      <c r="M207" s="915">
        <v>0.99399999999999999</v>
      </c>
    </row>
    <row r="208" spans="1:13">
      <c r="A208" s="633" t="s">
        <v>5323</v>
      </c>
      <c r="B208" s="423" t="s">
        <v>2878</v>
      </c>
      <c r="C208" s="915">
        <v>504.12200000000001</v>
      </c>
      <c r="D208" s="915">
        <v>0</v>
      </c>
      <c r="E208" s="915">
        <v>0</v>
      </c>
      <c r="F208" s="915">
        <v>504.12200000000001</v>
      </c>
      <c r="G208" s="922">
        <f t="shared" si="6"/>
        <v>0</v>
      </c>
      <c r="H208" s="915" t="e">
        <v>#REF!</v>
      </c>
      <c r="I208" s="915" t="e">
        <f t="shared" si="7"/>
        <v>#REF!</v>
      </c>
      <c r="J208" s="915">
        <v>0</v>
      </c>
      <c r="K208" s="915">
        <v>0</v>
      </c>
      <c r="L208" s="915">
        <v>0</v>
      </c>
      <c r="M208" s="915">
        <v>0</v>
      </c>
    </row>
    <row r="209" spans="1:13">
      <c r="A209" s="633" t="s">
        <v>5325</v>
      </c>
      <c r="B209" s="423" t="s">
        <v>2879</v>
      </c>
      <c r="C209" s="915">
        <v>61.927</v>
      </c>
      <c r="D209" s="915">
        <v>3.677</v>
      </c>
      <c r="E209" s="915">
        <v>3.677</v>
      </c>
      <c r="F209" s="915">
        <v>61.927</v>
      </c>
      <c r="G209" s="922">
        <f t="shared" si="6"/>
        <v>0</v>
      </c>
      <c r="H209" s="915" t="e">
        <v>#REF!</v>
      </c>
      <c r="I209" s="915" t="e">
        <f t="shared" si="7"/>
        <v>#REF!</v>
      </c>
      <c r="J209" s="915">
        <v>0</v>
      </c>
      <c r="K209" s="915">
        <v>0</v>
      </c>
      <c r="L209" s="915">
        <v>0</v>
      </c>
      <c r="M209" s="915">
        <v>0</v>
      </c>
    </row>
    <row r="210" spans="1:13">
      <c r="A210" s="633" t="s">
        <v>5327</v>
      </c>
      <c r="B210" s="423" t="s">
        <v>2880</v>
      </c>
      <c r="C210" s="915">
        <v>60.76</v>
      </c>
      <c r="D210" s="915">
        <v>0.72899999999999998</v>
      </c>
      <c r="E210" s="915">
        <v>0.72899999999999998</v>
      </c>
      <c r="F210" s="915">
        <v>60.76</v>
      </c>
      <c r="G210" s="922">
        <f t="shared" si="6"/>
        <v>0</v>
      </c>
      <c r="H210" s="915" t="e">
        <v>#REF!</v>
      </c>
      <c r="I210" s="915" t="e">
        <f t="shared" si="7"/>
        <v>#REF!</v>
      </c>
      <c r="J210" s="915">
        <v>1.831</v>
      </c>
      <c r="K210" s="915">
        <v>0</v>
      </c>
      <c r="L210" s="915">
        <v>0</v>
      </c>
      <c r="M210" s="915">
        <v>1.831</v>
      </c>
    </row>
    <row r="211" spans="1:13">
      <c r="A211" s="633" t="s">
        <v>5329</v>
      </c>
      <c r="B211" s="423" t="s">
        <v>2881</v>
      </c>
      <c r="C211" s="915">
        <v>250.167</v>
      </c>
      <c r="D211" s="915">
        <v>4.2910000000000004</v>
      </c>
      <c r="E211" s="915">
        <v>3.8330000000000002</v>
      </c>
      <c r="F211" s="915">
        <v>249.709</v>
      </c>
      <c r="G211" s="922">
        <f t="shared" si="6"/>
        <v>1</v>
      </c>
      <c r="H211" s="915" t="e">
        <v>#REF!</v>
      </c>
      <c r="I211" s="915" t="e">
        <f t="shared" si="7"/>
        <v>#REF!</v>
      </c>
      <c r="J211" s="915">
        <v>5.367</v>
      </c>
      <c r="K211" s="915">
        <v>0</v>
      </c>
      <c r="L211" s="915">
        <v>0</v>
      </c>
      <c r="M211" s="915">
        <v>5.367</v>
      </c>
    </row>
    <row r="212" spans="1:13">
      <c r="A212" s="633" t="s">
        <v>5331</v>
      </c>
      <c r="B212" s="423" t="s">
        <v>2882</v>
      </c>
      <c r="C212" s="915">
        <v>2569.9380000000001</v>
      </c>
      <c r="D212" s="915">
        <v>29.712</v>
      </c>
      <c r="E212" s="915">
        <v>29.712</v>
      </c>
      <c r="F212" s="915">
        <v>2569.9380000000001</v>
      </c>
      <c r="G212" s="922">
        <f t="shared" si="6"/>
        <v>0</v>
      </c>
      <c r="H212" s="915" t="e">
        <v>#REF!</v>
      </c>
      <c r="I212" s="915" t="e">
        <f t="shared" si="7"/>
        <v>#REF!</v>
      </c>
      <c r="J212" s="915">
        <v>57.637</v>
      </c>
      <c r="K212" s="915">
        <v>2.4049999999999998</v>
      </c>
      <c r="L212" s="915">
        <v>2.4049999999999998</v>
      </c>
      <c r="M212" s="915">
        <v>57.637</v>
      </c>
    </row>
    <row r="213" spans="1:13">
      <c r="A213" s="633" t="s">
        <v>585</v>
      </c>
      <c r="B213" s="423" t="s">
        <v>3833</v>
      </c>
      <c r="C213" s="915">
        <v>163.41800000000001</v>
      </c>
      <c r="D213" s="915">
        <v>3.8380000000000001</v>
      </c>
      <c r="E213" s="915">
        <v>3.8380000000000001</v>
      </c>
      <c r="F213" s="915">
        <v>163.41800000000001</v>
      </c>
      <c r="G213" s="922">
        <f t="shared" si="6"/>
        <v>0</v>
      </c>
      <c r="H213" s="915" t="e">
        <v>#REF!</v>
      </c>
      <c r="I213" s="915" t="e">
        <f t="shared" si="7"/>
        <v>#REF!</v>
      </c>
      <c r="J213" s="915">
        <v>0.92700000000000005</v>
      </c>
      <c r="K213" s="915">
        <v>0</v>
      </c>
      <c r="L213" s="915">
        <v>0</v>
      </c>
      <c r="M213" s="915">
        <v>0.92700000000000005</v>
      </c>
    </row>
    <row r="214" spans="1:13">
      <c r="A214" s="633" t="s">
        <v>5333</v>
      </c>
      <c r="B214" s="423" t="s">
        <v>2883</v>
      </c>
      <c r="C214" s="915">
        <v>143.417</v>
      </c>
      <c r="D214" s="915">
        <v>0</v>
      </c>
      <c r="E214" s="915">
        <v>0</v>
      </c>
      <c r="F214" s="915">
        <v>143.417</v>
      </c>
      <c r="G214" s="922">
        <f t="shared" si="6"/>
        <v>0</v>
      </c>
      <c r="H214" s="915" t="e">
        <v>#REF!</v>
      </c>
      <c r="I214" s="915" t="e">
        <f t="shared" si="7"/>
        <v>#REF!</v>
      </c>
      <c r="J214" s="915">
        <v>1.9890000000000001</v>
      </c>
      <c r="K214" s="915">
        <v>0</v>
      </c>
      <c r="L214" s="915">
        <v>0</v>
      </c>
      <c r="M214" s="915">
        <v>1.9890000000000001</v>
      </c>
    </row>
    <row r="215" spans="1:13">
      <c r="A215" s="633" t="s">
        <v>239</v>
      </c>
      <c r="B215" s="423" t="s">
        <v>2647</v>
      </c>
      <c r="C215" s="915">
        <v>7529.2950000000001</v>
      </c>
      <c r="D215" s="915">
        <v>705.44899999999996</v>
      </c>
      <c r="E215" s="915">
        <v>396.52300000000002</v>
      </c>
      <c r="F215" s="915">
        <v>7220.3689999999997</v>
      </c>
      <c r="G215" s="922">
        <f t="shared" si="6"/>
        <v>1</v>
      </c>
      <c r="H215" s="915" t="e">
        <v>#REF!</v>
      </c>
      <c r="I215" s="915" t="e">
        <f t="shared" si="7"/>
        <v>#REF!</v>
      </c>
      <c r="J215" s="915">
        <v>78.483999999999995</v>
      </c>
      <c r="K215" s="915">
        <v>14.99</v>
      </c>
      <c r="L215" s="915">
        <v>9.0380000000000003</v>
      </c>
      <c r="M215" s="915">
        <v>72.531999999999996</v>
      </c>
    </row>
    <row r="216" spans="1:13">
      <c r="A216" s="633" t="s">
        <v>5335</v>
      </c>
      <c r="B216" s="423" t="s">
        <v>2884</v>
      </c>
      <c r="C216" s="915">
        <v>235.38800000000001</v>
      </c>
      <c r="D216" s="915">
        <v>3.7210000000000001</v>
      </c>
      <c r="E216" s="915">
        <v>3.7210000000000001</v>
      </c>
      <c r="F216" s="915">
        <v>235.38800000000001</v>
      </c>
      <c r="G216" s="922">
        <f t="shared" si="6"/>
        <v>0</v>
      </c>
      <c r="H216" s="915" t="e">
        <v>#REF!</v>
      </c>
      <c r="I216" s="915" t="e">
        <f t="shared" si="7"/>
        <v>#REF!</v>
      </c>
      <c r="J216" s="915">
        <v>0</v>
      </c>
      <c r="K216" s="915">
        <v>0</v>
      </c>
      <c r="L216" s="915">
        <v>0</v>
      </c>
      <c r="M216" s="915">
        <v>0</v>
      </c>
    </row>
    <row r="217" spans="1:13">
      <c r="A217" s="633" t="s">
        <v>2450</v>
      </c>
      <c r="B217" s="423" t="s">
        <v>2885</v>
      </c>
      <c r="C217" s="915">
        <v>910.96600000000001</v>
      </c>
      <c r="D217" s="915">
        <v>17.992999999999999</v>
      </c>
      <c r="E217" s="915">
        <v>17.992999999999999</v>
      </c>
      <c r="F217" s="915">
        <v>910.96600000000001</v>
      </c>
      <c r="G217" s="922">
        <f t="shared" si="6"/>
        <v>0</v>
      </c>
      <c r="H217" s="915" t="e">
        <v>#REF!</v>
      </c>
      <c r="I217" s="915" t="e">
        <f t="shared" si="7"/>
        <v>#REF!</v>
      </c>
      <c r="J217" s="915">
        <v>93.91</v>
      </c>
      <c r="K217" s="915">
        <v>7.16</v>
      </c>
      <c r="L217" s="915">
        <v>7.16</v>
      </c>
      <c r="M217" s="915">
        <v>93.91</v>
      </c>
    </row>
    <row r="218" spans="1:13">
      <c r="A218" s="633" t="s">
        <v>5685</v>
      </c>
      <c r="B218" s="423" t="s">
        <v>4779</v>
      </c>
      <c r="C218" s="915">
        <v>717.58799999999997</v>
      </c>
      <c r="D218" s="915">
        <v>23.058</v>
      </c>
      <c r="E218" s="915">
        <v>12.465999999999999</v>
      </c>
      <c r="F218" s="915">
        <v>706.99699999999996</v>
      </c>
      <c r="G218" s="922">
        <f t="shared" si="6"/>
        <v>1</v>
      </c>
      <c r="H218" s="915" t="e">
        <v>#REF!</v>
      </c>
      <c r="I218" s="915" t="e">
        <f t="shared" si="7"/>
        <v>#REF!</v>
      </c>
      <c r="J218" s="915">
        <v>107.101</v>
      </c>
      <c r="K218" s="915">
        <v>10.202999999999999</v>
      </c>
      <c r="L218" s="915">
        <v>5.5119999999999996</v>
      </c>
      <c r="M218" s="915">
        <v>102.41</v>
      </c>
    </row>
    <row r="219" spans="1:13">
      <c r="A219" s="633" t="s">
        <v>2454</v>
      </c>
      <c r="B219" s="423" t="s">
        <v>4781</v>
      </c>
      <c r="C219" s="915">
        <v>388.11200000000002</v>
      </c>
      <c r="D219" s="915">
        <v>24.939</v>
      </c>
      <c r="E219" s="915">
        <v>12.978999999999999</v>
      </c>
      <c r="F219" s="915">
        <v>376.15300000000002</v>
      </c>
      <c r="G219" s="922">
        <f t="shared" si="6"/>
        <v>1</v>
      </c>
      <c r="H219" s="915" t="e">
        <v>#REF!</v>
      </c>
      <c r="I219" s="915" t="e">
        <f t="shared" si="7"/>
        <v>#REF!</v>
      </c>
      <c r="J219" s="915">
        <v>4.7119999999999997</v>
      </c>
      <c r="K219" s="915">
        <v>0</v>
      </c>
      <c r="L219" s="915">
        <v>0</v>
      </c>
      <c r="M219" s="915">
        <v>4.7119999999999997</v>
      </c>
    </row>
    <row r="220" spans="1:13">
      <c r="A220" s="633" t="s">
        <v>2456</v>
      </c>
      <c r="B220" s="423" t="s">
        <v>2888</v>
      </c>
      <c r="C220" s="915">
        <v>277.142</v>
      </c>
      <c r="D220" s="915">
        <v>17.504999999999999</v>
      </c>
      <c r="E220" s="915">
        <v>9.2970000000000006</v>
      </c>
      <c r="F220" s="915">
        <v>268.93400000000003</v>
      </c>
      <c r="G220" s="922">
        <f t="shared" si="6"/>
        <v>1</v>
      </c>
      <c r="H220" s="915" t="e">
        <v>#REF!</v>
      </c>
      <c r="I220" s="915" t="e">
        <f t="shared" si="7"/>
        <v>#REF!</v>
      </c>
      <c r="J220" s="915">
        <v>24.093</v>
      </c>
      <c r="K220" s="915">
        <v>0</v>
      </c>
      <c r="L220" s="915">
        <v>0</v>
      </c>
      <c r="M220" s="915">
        <v>24.093</v>
      </c>
    </row>
    <row r="221" spans="1:13">
      <c r="A221" s="633" t="s">
        <v>2458</v>
      </c>
      <c r="B221" s="423" t="s">
        <v>2889</v>
      </c>
      <c r="C221" s="915">
        <v>494.75900000000001</v>
      </c>
      <c r="D221" s="915">
        <v>29.914000000000001</v>
      </c>
      <c r="E221" s="915">
        <v>15.135</v>
      </c>
      <c r="F221" s="915">
        <v>479.98</v>
      </c>
      <c r="G221" s="922">
        <f t="shared" si="6"/>
        <v>1</v>
      </c>
      <c r="H221" s="915" t="e">
        <v>#REF!</v>
      </c>
      <c r="I221" s="915" t="e">
        <f t="shared" si="7"/>
        <v>#REF!</v>
      </c>
      <c r="J221" s="915">
        <v>8.4979999999999993</v>
      </c>
      <c r="K221" s="915">
        <v>1.5569999999999999</v>
      </c>
      <c r="L221" s="915">
        <v>0.77800000000000002</v>
      </c>
      <c r="M221" s="915">
        <v>7.72</v>
      </c>
    </row>
    <row r="222" spans="1:13">
      <c r="A222" s="633" t="s">
        <v>2460</v>
      </c>
      <c r="B222" s="423" t="s">
        <v>2890</v>
      </c>
      <c r="C222" s="915">
        <v>440.13799999999998</v>
      </c>
      <c r="D222" s="915">
        <v>0</v>
      </c>
      <c r="E222" s="915">
        <v>0</v>
      </c>
      <c r="F222" s="915">
        <v>440.13799999999998</v>
      </c>
      <c r="G222" s="922">
        <f t="shared" si="6"/>
        <v>0</v>
      </c>
      <c r="H222" s="915" t="e">
        <v>#REF!</v>
      </c>
      <c r="I222" s="915" t="e">
        <f t="shared" si="7"/>
        <v>#REF!</v>
      </c>
      <c r="J222" s="915">
        <v>30.173999999999999</v>
      </c>
      <c r="K222" s="915">
        <v>0</v>
      </c>
      <c r="L222" s="915">
        <v>0</v>
      </c>
      <c r="M222" s="915">
        <v>30.173999999999999</v>
      </c>
    </row>
    <row r="223" spans="1:13">
      <c r="A223" s="633" t="s">
        <v>2462</v>
      </c>
      <c r="B223" s="423" t="s">
        <v>2891</v>
      </c>
      <c r="C223" s="915">
        <v>1516.95</v>
      </c>
      <c r="D223" s="915">
        <v>88.39</v>
      </c>
      <c r="E223" s="915">
        <v>48.570999999999998</v>
      </c>
      <c r="F223" s="915">
        <v>1477.1310000000001</v>
      </c>
      <c r="G223" s="922">
        <f t="shared" si="6"/>
        <v>1</v>
      </c>
      <c r="H223" s="915" t="e">
        <v>#REF!</v>
      </c>
      <c r="I223" s="915" t="e">
        <f t="shared" si="7"/>
        <v>#REF!</v>
      </c>
      <c r="J223" s="915">
        <v>112.818</v>
      </c>
      <c r="K223" s="915">
        <v>1.1080000000000001</v>
      </c>
      <c r="L223" s="915">
        <v>0.55400000000000005</v>
      </c>
      <c r="M223" s="915">
        <v>112.264</v>
      </c>
    </row>
    <row r="224" spans="1:13">
      <c r="A224" s="633" t="s">
        <v>2464</v>
      </c>
      <c r="B224" s="423" t="s">
        <v>2892</v>
      </c>
      <c r="C224" s="915">
        <v>145.39400000000001</v>
      </c>
      <c r="D224" s="915">
        <v>8.5050000000000008</v>
      </c>
      <c r="E224" s="915">
        <v>8.5050000000000008</v>
      </c>
      <c r="F224" s="915">
        <v>145.39400000000001</v>
      </c>
      <c r="G224" s="922">
        <f t="shared" si="6"/>
        <v>0</v>
      </c>
      <c r="H224" s="915" t="e">
        <v>#REF!</v>
      </c>
      <c r="I224" s="915" t="e">
        <f t="shared" si="7"/>
        <v>#REF!</v>
      </c>
      <c r="J224" s="915">
        <v>23.571000000000002</v>
      </c>
      <c r="K224" s="915">
        <v>2.5339999999999998</v>
      </c>
      <c r="L224" s="915">
        <v>2.5339999999999998</v>
      </c>
      <c r="M224" s="915">
        <v>23.571000000000002</v>
      </c>
    </row>
    <row r="225" spans="1:13">
      <c r="A225" s="633" t="s">
        <v>2104</v>
      </c>
      <c r="B225" s="423" t="s">
        <v>2893</v>
      </c>
      <c r="C225" s="915">
        <v>24344.885999999999</v>
      </c>
      <c r="D225" s="915">
        <v>558.85599999999999</v>
      </c>
      <c r="E225" s="915">
        <v>558.80799999999999</v>
      </c>
      <c r="F225" s="915">
        <v>24344.838</v>
      </c>
      <c r="G225" s="922">
        <f t="shared" si="6"/>
        <v>1</v>
      </c>
      <c r="H225" s="915" t="e">
        <v>#REF!</v>
      </c>
      <c r="I225" s="915" t="e">
        <f t="shared" si="7"/>
        <v>#REF!</v>
      </c>
      <c r="J225" s="915">
        <v>5606.8159999999998</v>
      </c>
      <c r="K225" s="915">
        <v>339.88900000000001</v>
      </c>
      <c r="L225" s="915">
        <v>339.88900000000001</v>
      </c>
      <c r="M225" s="915">
        <v>5606.8159999999998</v>
      </c>
    </row>
    <row r="226" spans="1:13">
      <c r="A226" s="633" t="s">
        <v>2106</v>
      </c>
      <c r="B226" s="423" t="s">
        <v>2894</v>
      </c>
      <c r="C226" s="915">
        <v>7644.7910000000002</v>
      </c>
      <c r="D226" s="915">
        <v>75.820999999999998</v>
      </c>
      <c r="E226" s="915">
        <v>75.820999999999998</v>
      </c>
      <c r="F226" s="915">
        <v>7644.7910000000002</v>
      </c>
      <c r="G226" s="922">
        <f t="shared" si="6"/>
        <v>0</v>
      </c>
      <c r="H226" s="915" t="e">
        <v>#REF!</v>
      </c>
      <c r="I226" s="915" t="e">
        <f t="shared" si="7"/>
        <v>#REF!</v>
      </c>
      <c r="J226" s="915">
        <v>351.23599999999999</v>
      </c>
      <c r="K226" s="915">
        <v>17.14</v>
      </c>
      <c r="L226" s="915">
        <v>17.14</v>
      </c>
      <c r="M226" s="915">
        <v>351.23599999999999</v>
      </c>
    </row>
    <row r="227" spans="1:13">
      <c r="A227" s="633" t="s">
        <v>2108</v>
      </c>
      <c r="B227" s="423" t="s">
        <v>2895</v>
      </c>
      <c r="C227" s="915">
        <v>146701.71799999999</v>
      </c>
      <c r="D227" s="915">
        <v>6482.7049999999999</v>
      </c>
      <c r="E227" s="915">
        <v>4128.4160000000002</v>
      </c>
      <c r="F227" s="915">
        <v>144347.43</v>
      </c>
      <c r="G227" s="922">
        <f t="shared" si="6"/>
        <v>1</v>
      </c>
      <c r="H227" s="915" t="e">
        <v>#REF!</v>
      </c>
      <c r="I227" s="915" t="e">
        <f t="shared" si="7"/>
        <v>#REF!</v>
      </c>
      <c r="J227" s="915">
        <v>47655.197</v>
      </c>
      <c r="K227" s="915">
        <v>3284.1570000000002</v>
      </c>
      <c r="L227" s="915">
        <v>2149.047</v>
      </c>
      <c r="M227" s="915">
        <v>46520.087</v>
      </c>
    </row>
    <row r="228" spans="1:13">
      <c r="A228" s="633" t="s">
        <v>2110</v>
      </c>
      <c r="B228" s="423" t="s">
        <v>2896</v>
      </c>
      <c r="C228" s="915">
        <v>8442.4680000000008</v>
      </c>
      <c r="D228" s="915">
        <v>106.113</v>
      </c>
      <c r="E228" s="915">
        <v>106.113</v>
      </c>
      <c r="F228" s="915">
        <v>8442.4680000000008</v>
      </c>
      <c r="G228" s="922">
        <f t="shared" si="6"/>
        <v>0</v>
      </c>
      <c r="H228" s="915" t="e">
        <v>#REF!</v>
      </c>
      <c r="I228" s="915" t="e">
        <f t="shared" si="7"/>
        <v>#REF!</v>
      </c>
      <c r="J228" s="915">
        <v>429.22</v>
      </c>
      <c r="K228" s="915">
        <v>22.373999999999999</v>
      </c>
      <c r="L228" s="915">
        <v>22.373999999999999</v>
      </c>
      <c r="M228" s="915">
        <v>429.22</v>
      </c>
    </row>
    <row r="229" spans="1:13">
      <c r="A229" s="633" t="s">
        <v>2112</v>
      </c>
      <c r="B229" s="423" t="s">
        <v>2897</v>
      </c>
      <c r="C229" s="915">
        <v>11821.527</v>
      </c>
      <c r="D229" s="915">
        <v>140.71</v>
      </c>
      <c r="E229" s="915">
        <v>140.71</v>
      </c>
      <c r="F229" s="915">
        <v>11821.527</v>
      </c>
      <c r="G229" s="922">
        <f t="shared" si="6"/>
        <v>0</v>
      </c>
      <c r="H229" s="915" t="e">
        <v>#REF!</v>
      </c>
      <c r="I229" s="915" t="e">
        <f t="shared" si="7"/>
        <v>#REF!</v>
      </c>
      <c r="J229" s="915">
        <v>1460.8019999999999</v>
      </c>
      <c r="K229" s="915">
        <v>74.447000000000003</v>
      </c>
      <c r="L229" s="915">
        <v>74.447000000000003</v>
      </c>
      <c r="M229" s="915">
        <v>1460.8019999999999</v>
      </c>
    </row>
    <row r="230" spans="1:13">
      <c r="A230" s="633" t="s">
        <v>1317</v>
      </c>
      <c r="B230" s="423" t="s">
        <v>122</v>
      </c>
      <c r="C230" s="915">
        <v>53793.47</v>
      </c>
      <c r="D230" s="915">
        <v>918.44799999999998</v>
      </c>
      <c r="E230" s="915">
        <v>918.44799999999998</v>
      </c>
      <c r="F230" s="915">
        <v>53793.47</v>
      </c>
      <c r="G230" s="922">
        <f t="shared" si="6"/>
        <v>0</v>
      </c>
      <c r="H230" s="915" t="e">
        <v>#REF!</v>
      </c>
      <c r="I230" s="915" t="e">
        <f t="shared" si="7"/>
        <v>#REF!</v>
      </c>
      <c r="J230" s="915">
        <v>10805.383</v>
      </c>
      <c r="K230" s="915">
        <v>629.22799999999995</v>
      </c>
      <c r="L230" s="915">
        <v>629.22799999999995</v>
      </c>
      <c r="M230" s="915">
        <v>10805.383</v>
      </c>
    </row>
    <row r="231" spans="1:13">
      <c r="A231" s="633" t="s">
        <v>587</v>
      </c>
      <c r="B231" s="423" t="s">
        <v>4966</v>
      </c>
      <c r="C231" s="915">
        <v>23940.537</v>
      </c>
      <c r="D231" s="915">
        <v>397.161</v>
      </c>
      <c r="E231" s="915">
        <v>397.161</v>
      </c>
      <c r="F231" s="915">
        <v>23940.537</v>
      </c>
      <c r="G231" s="922">
        <f t="shared" si="6"/>
        <v>0</v>
      </c>
      <c r="H231" s="915" t="e">
        <v>#REF!</v>
      </c>
      <c r="I231" s="915" t="e">
        <f t="shared" si="7"/>
        <v>#REF!</v>
      </c>
      <c r="J231" s="915">
        <v>5185.8180000000002</v>
      </c>
      <c r="K231" s="915">
        <v>262.24900000000002</v>
      </c>
      <c r="L231" s="915">
        <v>262.24900000000002</v>
      </c>
      <c r="M231" s="915">
        <v>5185.8180000000002</v>
      </c>
    </row>
    <row r="232" spans="1:13">
      <c r="A232" s="633" t="s">
        <v>4569</v>
      </c>
      <c r="B232" s="423" t="s">
        <v>2898</v>
      </c>
      <c r="C232" s="915">
        <v>6098.34</v>
      </c>
      <c r="D232" s="915">
        <v>0</v>
      </c>
      <c r="E232" s="915">
        <v>0</v>
      </c>
      <c r="F232" s="915">
        <v>6098.34</v>
      </c>
      <c r="G232" s="922">
        <f t="shared" si="6"/>
        <v>0</v>
      </c>
      <c r="H232" s="915" t="e">
        <v>#REF!</v>
      </c>
      <c r="I232" s="915" t="e">
        <f t="shared" si="7"/>
        <v>#REF!</v>
      </c>
      <c r="J232" s="915">
        <v>19.687000000000001</v>
      </c>
      <c r="K232" s="915">
        <v>0</v>
      </c>
      <c r="L232" s="915">
        <v>0</v>
      </c>
      <c r="M232" s="915">
        <v>19.687000000000001</v>
      </c>
    </row>
    <row r="233" spans="1:13">
      <c r="A233" s="633" t="s">
        <v>6021</v>
      </c>
      <c r="B233" s="423" t="s">
        <v>3860</v>
      </c>
      <c r="C233" s="915">
        <v>30487.343000000001</v>
      </c>
      <c r="D233" s="915">
        <v>812.50900000000001</v>
      </c>
      <c r="E233" s="915">
        <v>812.50900000000001</v>
      </c>
      <c r="F233" s="915">
        <v>30487.343000000001</v>
      </c>
      <c r="G233" s="922">
        <f t="shared" si="6"/>
        <v>0</v>
      </c>
      <c r="H233" s="915" t="e">
        <v>#REF!</v>
      </c>
      <c r="I233" s="915" t="e">
        <f t="shared" si="7"/>
        <v>#REF!</v>
      </c>
      <c r="J233" s="915">
        <v>11750.516</v>
      </c>
      <c r="K233" s="915">
        <v>603.75400000000002</v>
      </c>
      <c r="L233" s="915">
        <v>603.75400000000002</v>
      </c>
      <c r="M233" s="915">
        <v>11750.516</v>
      </c>
    </row>
    <row r="234" spans="1:13">
      <c r="A234" s="633" t="s">
        <v>4571</v>
      </c>
      <c r="B234" s="423" t="s">
        <v>2899</v>
      </c>
      <c r="C234" s="915">
        <v>5665.3190000000004</v>
      </c>
      <c r="D234" s="915">
        <v>332.02600000000001</v>
      </c>
      <c r="E234" s="915">
        <v>171.14099999999999</v>
      </c>
      <c r="F234" s="915">
        <v>5504.4340000000002</v>
      </c>
      <c r="G234" s="922">
        <f t="shared" si="6"/>
        <v>1</v>
      </c>
      <c r="H234" s="915" t="e">
        <v>#REF!</v>
      </c>
      <c r="I234" s="915" t="e">
        <f t="shared" si="7"/>
        <v>#REF!</v>
      </c>
      <c r="J234" s="915">
        <v>357.73</v>
      </c>
      <c r="K234" s="915">
        <v>46.052999999999997</v>
      </c>
      <c r="L234" s="915">
        <v>23.027000000000001</v>
      </c>
      <c r="M234" s="915">
        <v>334.70299999999997</v>
      </c>
    </row>
    <row r="235" spans="1:13">
      <c r="A235" s="633" t="s">
        <v>6171</v>
      </c>
      <c r="B235" s="423" t="s">
        <v>496</v>
      </c>
      <c r="C235" s="915">
        <v>35041.446000000004</v>
      </c>
      <c r="D235" s="915">
        <v>384.48</v>
      </c>
      <c r="E235" s="915">
        <v>384.48</v>
      </c>
      <c r="F235" s="915">
        <v>35041.446000000004</v>
      </c>
      <c r="G235" s="922">
        <f t="shared" si="6"/>
        <v>0</v>
      </c>
      <c r="H235" s="915" t="e">
        <v>#REF!</v>
      </c>
      <c r="I235" s="915" t="e">
        <f t="shared" si="7"/>
        <v>#REF!</v>
      </c>
      <c r="J235" s="915">
        <v>6094.6459999999997</v>
      </c>
      <c r="K235" s="915">
        <v>209.81399999999999</v>
      </c>
      <c r="L235" s="915">
        <v>209.81399999999999</v>
      </c>
      <c r="M235" s="915">
        <v>6094.6459999999997</v>
      </c>
    </row>
    <row r="236" spans="1:13">
      <c r="A236" s="633" t="s">
        <v>4573</v>
      </c>
      <c r="B236" s="423" t="s">
        <v>2900</v>
      </c>
      <c r="C236" s="915">
        <v>32104.984</v>
      </c>
      <c r="D236" s="915">
        <v>556.93299999999999</v>
      </c>
      <c r="E236" s="915">
        <v>556.93299999999999</v>
      </c>
      <c r="F236" s="915">
        <v>32104.984</v>
      </c>
      <c r="G236" s="922">
        <f t="shared" si="6"/>
        <v>0</v>
      </c>
      <c r="H236" s="915" t="e">
        <v>#REF!</v>
      </c>
      <c r="I236" s="915" t="e">
        <f t="shared" si="7"/>
        <v>#REF!</v>
      </c>
      <c r="J236" s="915">
        <v>6750.9709999999995</v>
      </c>
      <c r="K236" s="915">
        <v>419.93400000000003</v>
      </c>
      <c r="L236" s="915">
        <v>419.93400000000003</v>
      </c>
      <c r="M236" s="915">
        <v>6750.9709999999995</v>
      </c>
    </row>
    <row r="237" spans="1:13">
      <c r="A237" s="633" t="s">
        <v>4575</v>
      </c>
      <c r="B237" s="423" t="s">
        <v>2901</v>
      </c>
      <c r="C237" s="915">
        <v>797.88499999999999</v>
      </c>
      <c r="D237" s="915">
        <v>0</v>
      </c>
      <c r="E237" s="915">
        <v>0</v>
      </c>
      <c r="F237" s="915">
        <v>797.88499999999999</v>
      </c>
      <c r="G237" s="922">
        <f t="shared" si="6"/>
        <v>0</v>
      </c>
      <c r="H237" s="915" t="e">
        <v>#REF!</v>
      </c>
      <c r="I237" s="915" t="e">
        <f t="shared" si="7"/>
        <v>#REF!</v>
      </c>
      <c r="J237" s="915">
        <v>35.915999999999997</v>
      </c>
      <c r="K237" s="915">
        <v>0</v>
      </c>
      <c r="L237" s="915">
        <v>0</v>
      </c>
      <c r="M237" s="915">
        <v>35.915999999999997</v>
      </c>
    </row>
    <row r="238" spans="1:13">
      <c r="A238" s="633" t="s">
        <v>4579</v>
      </c>
      <c r="B238" s="423" t="s">
        <v>2676</v>
      </c>
      <c r="C238" s="915">
        <v>9495.5849999999991</v>
      </c>
      <c r="D238" s="915">
        <v>48.89</v>
      </c>
      <c r="E238" s="915">
        <v>48.89</v>
      </c>
      <c r="F238" s="915">
        <v>9495.5849999999991</v>
      </c>
      <c r="G238" s="922">
        <f t="shared" si="6"/>
        <v>0</v>
      </c>
      <c r="H238" s="915" t="e">
        <v>#REF!</v>
      </c>
      <c r="I238" s="915" t="e">
        <f t="shared" si="7"/>
        <v>#REF!</v>
      </c>
      <c r="J238" s="915">
        <v>629.80200000000002</v>
      </c>
      <c r="K238" s="915">
        <v>38.399000000000001</v>
      </c>
      <c r="L238" s="915">
        <v>38.399000000000001</v>
      </c>
      <c r="M238" s="915">
        <v>629.80200000000002</v>
      </c>
    </row>
    <row r="239" spans="1:13">
      <c r="A239" s="633" t="s">
        <v>4581</v>
      </c>
      <c r="B239" s="423" t="s">
        <v>993</v>
      </c>
      <c r="C239" s="915">
        <v>139.27099999999999</v>
      </c>
      <c r="D239" s="915">
        <v>1.359</v>
      </c>
      <c r="E239" s="915">
        <v>1.359</v>
      </c>
      <c r="F239" s="915">
        <v>139.27099999999999</v>
      </c>
      <c r="G239" s="922">
        <f t="shared" si="6"/>
        <v>0</v>
      </c>
      <c r="H239" s="915" t="e">
        <v>#REF!</v>
      </c>
      <c r="I239" s="915" t="e">
        <f t="shared" si="7"/>
        <v>#REF!</v>
      </c>
      <c r="J239" s="915">
        <v>7.36</v>
      </c>
      <c r="K239" s="915">
        <v>0.33600000000000002</v>
      </c>
      <c r="L239" s="915">
        <v>0.33600000000000002</v>
      </c>
      <c r="M239" s="915">
        <v>7.36</v>
      </c>
    </row>
    <row r="240" spans="1:13">
      <c r="A240" s="633" t="s">
        <v>4582</v>
      </c>
      <c r="B240" s="423" t="s">
        <v>2677</v>
      </c>
      <c r="C240" s="915">
        <v>176.642</v>
      </c>
      <c r="D240" s="915">
        <v>4.13</v>
      </c>
      <c r="E240" s="915">
        <v>4.13</v>
      </c>
      <c r="F240" s="915">
        <v>176.642</v>
      </c>
      <c r="G240" s="922">
        <f t="shared" si="6"/>
        <v>0</v>
      </c>
      <c r="H240" s="915" t="e">
        <v>#REF!</v>
      </c>
      <c r="I240" s="915" t="e">
        <f t="shared" si="7"/>
        <v>#REF!</v>
      </c>
      <c r="J240" s="915">
        <v>26.177</v>
      </c>
      <c r="K240" s="915">
        <v>1.885</v>
      </c>
      <c r="L240" s="915">
        <v>1.885</v>
      </c>
      <c r="M240" s="915">
        <v>26.177</v>
      </c>
    </row>
    <row r="241" spans="1:13">
      <c r="A241" s="633" t="s">
        <v>4584</v>
      </c>
      <c r="B241" s="423" t="s">
        <v>2678</v>
      </c>
      <c r="C241" s="915">
        <v>1826.558</v>
      </c>
      <c r="D241" s="915">
        <v>86.671000000000006</v>
      </c>
      <c r="E241" s="915">
        <v>47.280999999999999</v>
      </c>
      <c r="F241" s="915">
        <v>1787.1679999999999</v>
      </c>
      <c r="G241" s="922">
        <f t="shared" si="6"/>
        <v>1</v>
      </c>
      <c r="H241" s="915" t="e">
        <v>#REF!</v>
      </c>
      <c r="I241" s="915" t="e">
        <f t="shared" si="7"/>
        <v>#REF!</v>
      </c>
      <c r="J241" s="915">
        <v>79.468000000000004</v>
      </c>
      <c r="K241" s="915">
        <v>4.718</v>
      </c>
      <c r="L241" s="915">
        <v>2.359</v>
      </c>
      <c r="M241" s="915">
        <v>77.108999999999995</v>
      </c>
    </row>
    <row r="242" spans="1:13">
      <c r="A242" s="633" t="s">
        <v>4586</v>
      </c>
      <c r="B242" s="423" t="s">
        <v>2679</v>
      </c>
      <c r="C242" s="915">
        <v>209.298</v>
      </c>
      <c r="D242" s="915">
        <v>3.0630000000000002</v>
      </c>
      <c r="E242" s="915">
        <v>3.0630000000000002</v>
      </c>
      <c r="F242" s="915">
        <v>209.298</v>
      </c>
      <c r="G242" s="922">
        <f t="shared" si="6"/>
        <v>0</v>
      </c>
      <c r="H242" s="915" t="e">
        <v>#REF!</v>
      </c>
      <c r="I242" s="915" t="e">
        <f t="shared" si="7"/>
        <v>#REF!</v>
      </c>
      <c r="J242" s="915">
        <v>46.935000000000002</v>
      </c>
      <c r="K242" s="915">
        <v>2.0830000000000002</v>
      </c>
      <c r="L242" s="915">
        <v>2.0830000000000002</v>
      </c>
      <c r="M242" s="915">
        <v>46.935000000000002</v>
      </c>
    </row>
    <row r="243" spans="1:13">
      <c r="A243" s="633" t="s">
        <v>1865</v>
      </c>
      <c r="B243" s="423" t="s">
        <v>3843</v>
      </c>
      <c r="C243" s="915">
        <v>3869.4690000000001</v>
      </c>
      <c r="D243" s="915">
        <v>197.68299999999999</v>
      </c>
      <c r="E243" s="915">
        <v>119.44199999999999</v>
      </c>
      <c r="F243" s="915">
        <v>3791.2280000000001</v>
      </c>
      <c r="G243" s="922">
        <f t="shared" si="6"/>
        <v>1</v>
      </c>
      <c r="H243" s="915" t="e">
        <v>#REF!</v>
      </c>
      <c r="I243" s="915" t="e">
        <f t="shared" si="7"/>
        <v>#REF!</v>
      </c>
      <c r="J243" s="915">
        <v>542.90800000000002</v>
      </c>
      <c r="K243" s="915">
        <v>56.722000000000001</v>
      </c>
      <c r="L243" s="915">
        <v>28.388000000000002</v>
      </c>
      <c r="M243" s="915">
        <v>514.57399999999996</v>
      </c>
    </row>
    <row r="244" spans="1:13">
      <c r="A244" s="633" t="s">
        <v>5018</v>
      </c>
      <c r="B244" s="423" t="s">
        <v>2680</v>
      </c>
      <c r="C244" s="915">
        <v>141.18899999999999</v>
      </c>
      <c r="D244" s="915">
        <v>7.6929999999999996</v>
      </c>
      <c r="E244" s="915">
        <v>7.2789999999999999</v>
      </c>
      <c r="F244" s="915">
        <v>140.774</v>
      </c>
      <c r="G244" s="922">
        <f t="shared" si="6"/>
        <v>1</v>
      </c>
      <c r="H244" s="915" t="e">
        <v>#REF!</v>
      </c>
      <c r="I244" s="915" t="e">
        <f t="shared" si="7"/>
        <v>#REF!</v>
      </c>
      <c r="J244" s="915">
        <v>19.132999999999999</v>
      </c>
      <c r="K244" s="915">
        <v>0.93700000000000006</v>
      </c>
      <c r="L244" s="915">
        <v>0.93700000000000006</v>
      </c>
      <c r="M244" s="915">
        <v>19.132999999999999</v>
      </c>
    </row>
    <row r="245" spans="1:13">
      <c r="A245" s="633" t="s">
        <v>5020</v>
      </c>
      <c r="B245" s="423" t="s">
        <v>2681</v>
      </c>
      <c r="C245" s="915">
        <v>800.53800000000001</v>
      </c>
      <c r="D245" s="915">
        <v>25.459</v>
      </c>
      <c r="E245" s="915">
        <v>25.459</v>
      </c>
      <c r="F245" s="915">
        <v>800.53800000000001</v>
      </c>
      <c r="G245" s="922">
        <f t="shared" si="6"/>
        <v>0</v>
      </c>
      <c r="H245" s="915" t="e">
        <v>#REF!</v>
      </c>
      <c r="I245" s="915" t="e">
        <f t="shared" si="7"/>
        <v>#REF!</v>
      </c>
      <c r="J245" s="915">
        <v>8.9890000000000008</v>
      </c>
      <c r="K245" s="915">
        <v>0</v>
      </c>
      <c r="L245" s="915">
        <v>0</v>
      </c>
      <c r="M245" s="915">
        <v>8.9890000000000008</v>
      </c>
    </row>
    <row r="246" spans="1:13">
      <c r="A246" s="633" t="s">
        <v>589</v>
      </c>
      <c r="B246" s="423" t="s">
        <v>109</v>
      </c>
      <c r="C246" s="915">
        <v>184.46700000000001</v>
      </c>
      <c r="D246" s="915">
        <v>23.32</v>
      </c>
      <c r="E246" s="915">
        <v>12.912000000000001</v>
      </c>
      <c r="F246" s="915">
        <v>174.059</v>
      </c>
      <c r="G246" s="922">
        <f t="shared" si="6"/>
        <v>1</v>
      </c>
      <c r="H246" s="915" t="e">
        <v>#REF!</v>
      </c>
      <c r="I246" s="915" t="e">
        <f t="shared" si="7"/>
        <v>#REF!</v>
      </c>
      <c r="J246" s="915">
        <v>0.93700000000000006</v>
      </c>
      <c r="K246" s="915">
        <v>0</v>
      </c>
      <c r="L246" s="915">
        <v>0</v>
      </c>
      <c r="M246" s="915">
        <v>0.93700000000000006</v>
      </c>
    </row>
    <row r="247" spans="1:13">
      <c r="A247" s="633" t="s">
        <v>5022</v>
      </c>
      <c r="B247" s="423" t="s">
        <v>2682</v>
      </c>
      <c r="C247" s="915">
        <v>20660.094000000001</v>
      </c>
      <c r="D247" s="915">
        <v>122.119</v>
      </c>
      <c r="E247" s="915">
        <v>121.361</v>
      </c>
      <c r="F247" s="915">
        <v>20659.335999999999</v>
      </c>
      <c r="G247" s="922">
        <f t="shared" si="6"/>
        <v>1</v>
      </c>
      <c r="H247" s="915" t="e">
        <v>#REF!</v>
      </c>
      <c r="I247" s="915" t="e">
        <f t="shared" si="7"/>
        <v>#REF!</v>
      </c>
      <c r="J247" s="915">
        <v>3005.7939999999999</v>
      </c>
      <c r="K247" s="915">
        <v>57.658999999999999</v>
      </c>
      <c r="L247" s="915">
        <v>57.225999999999999</v>
      </c>
      <c r="M247" s="915">
        <v>3005.3620000000001</v>
      </c>
    </row>
    <row r="248" spans="1:13">
      <c r="A248" s="633" t="s">
        <v>2989</v>
      </c>
      <c r="B248" s="423" t="s">
        <v>190</v>
      </c>
      <c r="C248" s="915">
        <v>47581.754999999997</v>
      </c>
      <c r="D248" s="915">
        <v>383.27699999999999</v>
      </c>
      <c r="E248" s="915">
        <v>383.27699999999999</v>
      </c>
      <c r="F248" s="915">
        <v>47581.754999999997</v>
      </c>
      <c r="G248" s="922">
        <f t="shared" si="6"/>
        <v>0</v>
      </c>
      <c r="H248" s="915" t="e">
        <v>#REF!</v>
      </c>
      <c r="I248" s="915" t="e">
        <f t="shared" si="7"/>
        <v>#REF!</v>
      </c>
      <c r="J248" s="915">
        <v>5114.7669999999998</v>
      </c>
      <c r="K248" s="915">
        <v>284.68299999999999</v>
      </c>
      <c r="L248" s="915">
        <v>284.68299999999999</v>
      </c>
      <c r="M248" s="915">
        <v>5114.7669999999998</v>
      </c>
    </row>
    <row r="249" spans="1:13">
      <c r="A249" s="633" t="s">
        <v>5126</v>
      </c>
      <c r="B249" s="423" t="s">
        <v>341</v>
      </c>
      <c r="C249" s="915">
        <v>1395.0229999999999</v>
      </c>
      <c r="D249" s="915">
        <v>26.956</v>
      </c>
      <c r="E249" s="915">
        <v>26.875</v>
      </c>
      <c r="F249" s="915">
        <v>1394.942</v>
      </c>
      <c r="G249" s="922">
        <f t="shared" si="6"/>
        <v>1</v>
      </c>
      <c r="H249" s="915" t="e">
        <v>#REF!</v>
      </c>
      <c r="I249" s="915" t="e">
        <f t="shared" si="7"/>
        <v>#REF!</v>
      </c>
      <c r="J249" s="915">
        <v>234.40700000000001</v>
      </c>
      <c r="K249" s="915">
        <v>15.038</v>
      </c>
      <c r="L249" s="915">
        <v>15.038</v>
      </c>
      <c r="M249" s="915">
        <v>234.40700000000001</v>
      </c>
    </row>
    <row r="250" spans="1:13">
      <c r="A250" s="633" t="s">
        <v>3090</v>
      </c>
      <c r="B250" s="423" t="s">
        <v>5640</v>
      </c>
      <c r="C250" s="915">
        <v>1465.7940000000001</v>
      </c>
      <c r="D250" s="915">
        <v>15.634</v>
      </c>
      <c r="E250" s="915">
        <v>15.634</v>
      </c>
      <c r="F250" s="915">
        <v>1465.7940000000001</v>
      </c>
      <c r="G250" s="922">
        <f t="shared" si="6"/>
        <v>0</v>
      </c>
      <c r="H250" s="915" t="e">
        <v>#REF!</v>
      </c>
      <c r="I250" s="915" t="e">
        <f t="shared" si="7"/>
        <v>#REF!</v>
      </c>
      <c r="J250" s="915">
        <v>101.51300000000001</v>
      </c>
      <c r="K250" s="915">
        <v>8.3469999999999995</v>
      </c>
      <c r="L250" s="915">
        <v>8.3469999999999995</v>
      </c>
      <c r="M250" s="915">
        <v>101.51300000000001</v>
      </c>
    </row>
    <row r="251" spans="1:13">
      <c r="A251" s="633" t="s">
        <v>5128</v>
      </c>
      <c r="B251" s="423" t="s">
        <v>343</v>
      </c>
      <c r="C251" s="915">
        <v>1123.54</v>
      </c>
      <c r="D251" s="915">
        <v>15.871</v>
      </c>
      <c r="E251" s="915">
        <v>15.871</v>
      </c>
      <c r="F251" s="915">
        <v>1123.54</v>
      </c>
      <c r="G251" s="922">
        <f t="shared" si="6"/>
        <v>0</v>
      </c>
      <c r="H251" s="915" t="e">
        <v>#REF!</v>
      </c>
      <c r="I251" s="915" t="e">
        <f t="shared" si="7"/>
        <v>#REF!</v>
      </c>
      <c r="J251" s="915">
        <v>27.082000000000001</v>
      </c>
      <c r="K251" s="915">
        <v>1.895</v>
      </c>
      <c r="L251" s="915">
        <v>1.895</v>
      </c>
      <c r="M251" s="915">
        <v>27.082000000000001</v>
      </c>
    </row>
    <row r="252" spans="1:13">
      <c r="A252" s="633" t="s">
        <v>270</v>
      </c>
      <c r="B252" s="423" t="s">
        <v>7690</v>
      </c>
      <c r="C252" s="915">
        <v>1601.8810000000001</v>
      </c>
      <c r="D252" s="915">
        <v>20.207999999999998</v>
      </c>
      <c r="E252" s="915">
        <v>20.207999999999998</v>
      </c>
      <c r="F252" s="915">
        <v>1601.8810000000001</v>
      </c>
      <c r="G252" s="922">
        <f t="shared" si="6"/>
        <v>0</v>
      </c>
      <c r="H252" s="915" t="e">
        <v>#REF!</v>
      </c>
      <c r="I252" s="915" t="e">
        <f t="shared" si="7"/>
        <v>#REF!</v>
      </c>
      <c r="J252" s="915">
        <v>72.603999999999999</v>
      </c>
      <c r="K252" s="915">
        <v>6.2869999999999999</v>
      </c>
      <c r="L252" s="915">
        <v>6.2869999999999999</v>
      </c>
      <c r="M252" s="915">
        <v>72.603999999999999</v>
      </c>
    </row>
    <row r="253" spans="1:13">
      <c r="A253" s="633" t="s">
        <v>2391</v>
      </c>
      <c r="B253" s="423" t="s">
        <v>1456</v>
      </c>
      <c r="C253" s="915">
        <v>2473.3870000000002</v>
      </c>
      <c r="D253" s="915">
        <v>42.85</v>
      </c>
      <c r="E253" s="915">
        <v>42.85</v>
      </c>
      <c r="F253" s="915">
        <v>2473.3870000000002</v>
      </c>
      <c r="G253" s="922">
        <f t="shared" si="6"/>
        <v>0</v>
      </c>
      <c r="H253" s="915" t="e">
        <v>#REF!</v>
      </c>
      <c r="I253" s="915" t="e">
        <f t="shared" si="7"/>
        <v>#REF!</v>
      </c>
      <c r="J253" s="915">
        <v>129.221</v>
      </c>
      <c r="K253" s="915">
        <v>10.968</v>
      </c>
      <c r="L253" s="915">
        <v>10.968</v>
      </c>
      <c r="M253" s="915">
        <v>129.221</v>
      </c>
    </row>
    <row r="254" spans="1:13">
      <c r="A254" s="633" t="s">
        <v>2746</v>
      </c>
      <c r="B254" s="423" t="s">
        <v>2683</v>
      </c>
      <c r="C254" s="915">
        <v>1657.29</v>
      </c>
      <c r="D254" s="915">
        <v>0</v>
      </c>
      <c r="E254" s="915">
        <v>0</v>
      </c>
      <c r="F254" s="915">
        <v>1657.29</v>
      </c>
      <c r="G254" s="922">
        <f t="shared" si="6"/>
        <v>0</v>
      </c>
      <c r="H254" s="915" t="e">
        <v>#REF!</v>
      </c>
      <c r="I254" s="915" t="e">
        <f t="shared" si="7"/>
        <v>#REF!</v>
      </c>
      <c r="J254" s="915">
        <v>35.808</v>
      </c>
      <c r="K254" s="915">
        <v>0</v>
      </c>
      <c r="L254" s="915">
        <v>0</v>
      </c>
      <c r="M254" s="915">
        <v>35.808</v>
      </c>
    </row>
    <row r="255" spans="1:13">
      <c r="A255" s="633" t="s">
        <v>6186</v>
      </c>
      <c r="B255" s="423" t="s">
        <v>3831</v>
      </c>
      <c r="C255" s="915">
        <v>12317.772000000001</v>
      </c>
      <c r="D255" s="915">
        <v>61.761000000000003</v>
      </c>
      <c r="E255" s="915">
        <v>61.606999999999999</v>
      </c>
      <c r="F255" s="915">
        <v>12317.617</v>
      </c>
      <c r="G255" s="922">
        <f t="shared" si="6"/>
        <v>1</v>
      </c>
      <c r="H255" s="915" t="e">
        <v>#REF!</v>
      </c>
      <c r="I255" s="915" t="e">
        <f t="shared" si="7"/>
        <v>#REF!</v>
      </c>
      <c r="J255" s="915">
        <v>584.05999999999995</v>
      </c>
      <c r="K255" s="915">
        <v>24.041</v>
      </c>
      <c r="L255" s="915">
        <v>24.041</v>
      </c>
      <c r="M255" s="915">
        <v>584.05999999999995</v>
      </c>
    </row>
    <row r="256" spans="1:13">
      <c r="A256" s="633" t="s">
        <v>6041</v>
      </c>
      <c r="B256" s="423" t="s">
        <v>185</v>
      </c>
      <c r="C256" s="915">
        <v>3860.982</v>
      </c>
      <c r="D256" s="915">
        <v>29.632000000000001</v>
      </c>
      <c r="E256" s="915">
        <v>28.236000000000001</v>
      </c>
      <c r="F256" s="915">
        <v>3859.5859999999998</v>
      </c>
      <c r="G256" s="922">
        <f t="shared" si="6"/>
        <v>1</v>
      </c>
      <c r="H256" s="915" t="e">
        <v>#REF!</v>
      </c>
      <c r="I256" s="915" t="e">
        <f t="shared" si="7"/>
        <v>#REF!</v>
      </c>
      <c r="J256" s="915">
        <v>233.851</v>
      </c>
      <c r="K256" s="915">
        <v>12.106999999999999</v>
      </c>
      <c r="L256" s="915">
        <v>11.708</v>
      </c>
      <c r="M256" s="915">
        <v>233.452</v>
      </c>
    </row>
    <row r="257" spans="1:13">
      <c r="A257" s="633" t="s">
        <v>591</v>
      </c>
      <c r="B257" s="423" t="s">
        <v>194</v>
      </c>
      <c r="C257" s="915">
        <v>5534.6379999999999</v>
      </c>
      <c r="D257" s="915">
        <v>229.86199999999999</v>
      </c>
      <c r="E257" s="915">
        <v>142.749</v>
      </c>
      <c r="F257" s="915">
        <v>5447.5249999999996</v>
      </c>
      <c r="G257" s="922">
        <f t="shared" si="6"/>
        <v>1</v>
      </c>
      <c r="H257" s="915" t="e">
        <v>#REF!</v>
      </c>
      <c r="I257" s="915" t="e">
        <f t="shared" si="7"/>
        <v>#REF!</v>
      </c>
      <c r="J257" s="915">
        <v>877.52</v>
      </c>
      <c r="K257" s="915">
        <v>141.56100000000001</v>
      </c>
      <c r="L257" s="915">
        <v>88.528000000000006</v>
      </c>
      <c r="M257" s="915">
        <v>824.48699999999997</v>
      </c>
    </row>
    <row r="258" spans="1:13">
      <c r="A258" s="633" t="s">
        <v>443</v>
      </c>
      <c r="B258" s="423" t="s">
        <v>990</v>
      </c>
      <c r="C258" s="915">
        <v>1753.4549999999999</v>
      </c>
      <c r="D258" s="915">
        <v>31.997</v>
      </c>
      <c r="E258" s="915">
        <v>31.997</v>
      </c>
      <c r="F258" s="915">
        <v>1753.4549999999999</v>
      </c>
      <c r="G258" s="922">
        <f t="shared" si="6"/>
        <v>0</v>
      </c>
      <c r="H258" s="915" t="e">
        <v>#REF!</v>
      </c>
      <c r="I258" s="915" t="e">
        <f t="shared" si="7"/>
        <v>#REF!</v>
      </c>
      <c r="J258" s="915">
        <v>23.277999999999999</v>
      </c>
      <c r="K258" s="915">
        <v>1.7829999999999999</v>
      </c>
      <c r="L258" s="915">
        <v>1.7829999999999999</v>
      </c>
      <c r="M258" s="915">
        <v>23.277999999999999</v>
      </c>
    </row>
    <row r="259" spans="1:13">
      <c r="A259" s="633" t="s">
        <v>2748</v>
      </c>
      <c r="B259" s="423" t="s">
        <v>2684</v>
      </c>
      <c r="C259" s="915">
        <v>83.521000000000001</v>
      </c>
      <c r="D259" s="915">
        <v>1.6160000000000001</v>
      </c>
      <c r="E259" s="915">
        <v>1.6160000000000001</v>
      </c>
      <c r="F259" s="915">
        <v>83.521000000000001</v>
      </c>
      <c r="G259" s="922">
        <f t="shared" ref="G259:G322" si="8">IF(F259&lt;C259,1,0)</f>
        <v>0</v>
      </c>
      <c r="H259" s="915" t="e">
        <v>#REF!</v>
      </c>
      <c r="I259" s="915" t="e">
        <f t="shared" ref="I259:I322" si="9">F259-H259</f>
        <v>#REF!</v>
      </c>
      <c r="J259" s="915">
        <v>0</v>
      </c>
      <c r="K259" s="915">
        <v>0</v>
      </c>
      <c r="L259" s="915">
        <v>0</v>
      </c>
      <c r="M259" s="915">
        <v>0</v>
      </c>
    </row>
    <row r="260" spans="1:13">
      <c r="A260" s="633" t="s">
        <v>862</v>
      </c>
      <c r="B260" s="423" t="s">
        <v>2009</v>
      </c>
      <c r="C260" s="915">
        <v>1410.796</v>
      </c>
      <c r="D260" s="915">
        <v>37.292000000000002</v>
      </c>
      <c r="E260" s="915">
        <v>36.823</v>
      </c>
      <c r="F260" s="915">
        <v>1410.327</v>
      </c>
      <c r="G260" s="922">
        <f t="shared" si="8"/>
        <v>1</v>
      </c>
      <c r="H260" s="915" t="e">
        <v>#REF!</v>
      </c>
      <c r="I260" s="915" t="e">
        <f t="shared" si="9"/>
        <v>#REF!</v>
      </c>
      <c r="J260" s="915">
        <v>139.06200000000001</v>
      </c>
      <c r="K260" s="915">
        <v>9.0079999999999991</v>
      </c>
      <c r="L260" s="915">
        <v>9.0079999999999991</v>
      </c>
      <c r="M260" s="915">
        <v>139.06200000000001</v>
      </c>
    </row>
    <row r="261" spans="1:13">
      <c r="A261" s="633" t="s">
        <v>2750</v>
      </c>
      <c r="B261" s="423" t="s">
        <v>2685</v>
      </c>
      <c r="C261" s="915">
        <v>559.11699999999996</v>
      </c>
      <c r="D261" s="915">
        <v>19.047999999999998</v>
      </c>
      <c r="E261" s="915">
        <v>11.598000000000001</v>
      </c>
      <c r="F261" s="915">
        <v>551.66600000000005</v>
      </c>
      <c r="G261" s="922">
        <f t="shared" si="8"/>
        <v>1</v>
      </c>
      <c r="H261" s="915" t="e">
        <v>#REF!</v>
      </c>
      <c r="I261" s="915" t="e">
        <f t="shared" si="9"/>
        <v>#REF!</v>
      </c>
      <c r="J261" s="915">
        <v>4.03</v>
      </c>
      <c r="K261" s="915">
        <v>0.98799999999999999</v>
      </c>
      <c r="L261" s="915">
        <v>0.49399999999999999</v>
      </c>
      <c r="M261" s="915">
        <v>3.536</v>
      </c>
    </row>
    <row r="262" spans="1:13">
      <c r="A262" s="633" t="s">
        <v>3899</v>
      </c>
      <c r="B262" s="423" t="s">
        <v>2686</v>
      </c>
      <c r="C262" s="915">
        <v>38.244999999999997</v>
      </c>
      <c r="D262" s="915">
        <v>1.1619999999999999</v>
      </c>
      <c r="E262" s="915">
        <v>1.1619999999999999</v>
      </c>
      <c r="F262" s="915">
        <v>38.244999999999997</v>
      </c>
      <c r="G262" s="922">
        <f t="shared" si="8"/>
        <v>0</v>
      </c>
      <c r="H262" s="915" t="e">
        <v>#REF!</v>
      </c>
      <c r="I262" s="915" t="e">
        <f t="shared" si="9"/>
        <v>#REF!</v>
      </c>
      <c r="J262" s="915">
        <v>2.8010000000000002</v>
      </c>
      <c r="K262" s="915">
        <v>0.27700000000000002</v>
      </c>
      <c r="L262" s="915">
        <v>0.27700000000000002</v>
      </c>
      <c r="M262" s="915">
        <v>2.8010000000000002</v>
      </c>
    </row>
    <row r="263" spans="1:13">
      <c r="A263" s="633" t="s">
        <v>3604</v>
      </c>
      <c r="B263" s="423" t="s">
        <v>2687</v>
      </c>
      <c r="C263" s="915">
        <v>142.501</v>
      </c>
      <c r="D263" s="915">
        <v>0</v>
      </c>
      <c r="E263" s="915">
        <v>0</v>
      </c>
      <c r="F263" s="915">
        <v>142.501</v>
      </c>
      <c r="G263" s="922">
        <f t="shared" si="8"/>
        <v>0</v>
      </c>
      <c r="H263" s="915" t="e">
        <v>#REF!</v>
      </c>
      <c r="I263" s="915" t="e">
        <f t="shared" si="9"/>
        <v>#REF!</v>
      </c>
      <c r="J263" s="915">
        <v>0</v>
      </c>
      <c r="K263" s="915">
        <v>0</v>
      </c>
      <c r="L263" s="915">
        <v>0</v>
      </c>
      <c r="M263" s="915">
        <v>0</v>
      </c>
    </row>
    <row r="264" spans="1:13">
      <c r="A264" s="633" t="s">
        <v>3166</v>
      </c>
      <c r="B264" s="423" t="s">
        <v>2688</v>
      </c>
      <c r="C264" s="915">
        <v>252.95</v>
      </c>
      <c r="D264" s="915">
        <v>8.6739999999999995</v>
      </c>
      <c r="E264" s="915">
        <v>8.6739999999999995</v>
      </c>
      <c r="F264" s="915">
        <v>252.95</v>
      </c>
      <c r="G264" s="922">
        <f t="shared" si="8"/>
        <v>0</v>
      </c>
      <c r="H264" s="915" t="e">
        <v>#REF!</v>
      </c>
      <c r="I264" s="915" t="e">
        <f t="shared" si="9"/>
        <v>#REF!</v>
      </c>
      <c r="J264" s="915">
        <v>0</v>
      </c>
      <c r="K264" s="915">
        <v>0</v>
      </c>
      <c r="L264" s="915">
        <v>0</v>
      </c>
      <c r="M264" s="915">
        <v>0</v>
      </c>
    </row>
    <row r="265" spans="1:13">
      <c r="A265" s="633" t="s">
        <v>3168</v>
      </c>
      <c r="B265" s="423" t="s">
        <v>2689</v>
      </c>
      <c r="C265" s="915">
        <v>87.869</v>
      </c>
      <c r="D265" s="915">
        <v>2.5139999999999998</v>
      </c>
      <c r="E265" s="915">
        <v>2.5139999999999998</v>
      </c>
      <c r="F265" s="915">
        <v>87.869</v>
      </c>
      <c r="G265" s="922">
        <f t="shared" si="8"/>
        <v>0</v>
      </c>
      <c r="H265" s="915" t="e">
        <v>#REF!</v>
      </c>
      <c r="I265" s="915" t="e">
        <f t="shared" si="9"/>
        <v>#REF!</v>
      </c>
      <c r="J265" s="915">
        <v>0</v>
      </c>
      <c r="K265" s="915">
        <v>0</v>
      </c>
      <c r="L265" s="915">
        <v>0</v>
      </c>
      <c r="M265" s="915">
        <v>0</v>
      </c>
    </row>
    <row r="266" spans="1:13">
      <c r="A266" s="633" t="s">
        <v>3091</v>
      </c>
      <c r="B266" s="423" t="s">
        <v>1385</v>
      </c>
      <c r="C266" s="915">
        <v>2172.4279999999999</v>
      </c>
      <c r="D266" s="915">
        <v>203.81700000000001</v>
      </c>
      <c r="E266" s="915">
        <v>122.925</v>
      </c>
      <c r="F266" s="915">
        <v>2091.5349999999999</v>
      </c>
      <c r="G266" s="922">
        <f t="shared" si="8"/>
        <v>1</v>
      </c>
      <c r="H266" s="915" t="e">
        <v>#REF!</v>
      </c>
      <c r="I266" s="915" t="e">
        <f t="shared" si="9"/>
        <v>#REF!</v>
      </c>
      <c r="J266" s="915">
        <v>130.86000000000001</v>
      </c>
      <c r="K266" s="915">
        <v>16.547999999999998</v>
      </c>
      <c r="L266" s="915">
        <v>8.3140000000000001</v>
      </c>
      <c r="M266" s="915">
        <v>122.627</v>
      </c>
    </row>
    <row r="267" spans="1:13">
      <c r="A267" s="633" t="s">
        <v>3171</v>
      </c>
      <c r="B267" s="423" t="s">
        <v>2690</v>
      </c>
      <c r="C267" s="915">
        <v>474.255</v>
      </c>
      <c r="D267" s="915">
        <v>11.864000000000001</v>
      </c>
      <c r="E267" s="915">
        <v>10.339</v>
      </c>
      <c r="F267" s="915">
        <v>472.73</v>
      </c>
      <c r="G267" s="922">
        <f t="shared" si="8"/>
        <v>1</v>
      </c>
      <c r="H267" s="915" t="e">
        <v>#REF!</v>
      </c>
      <c r="I267" s="915" t="e">
        <f t="shared" si="9"/>
        <v>#REF!</v>
      </c>
      <c r="J267" s="915">
        <v>3.3889999999999998</v>
      </c>
      <c r="K267" s="915">
        <v>0.44600000000000001</v>
      </c>
      <c r="L267" s="915">
        <v>0.44600000000000001</v>
      </c>
      <c r="M267" s="915">
        <v>3.3889999999999998</v>
      </c>
    </row>
    <row r="268" spans="1:13">
      <c r="A268" s="633" t="s">
        <v>593</v>
      </c>
      <c r="B268" s="423" t="s">
        <v>3841</v>
      </c>
      <c r="C268" s="915">
        <v>142.309</v>
      </c>
      <c r="D268" s="915">
        <v>1.893</v>
      </c>
      <c r="E268" s="915">
        <v>1.893</v>
      </c>
      <c r="F268" s="915">
        <v>142.309</v>
      </c>
      <c r="G268" s="922">
        <f t="shared" si="8"/>
        <v>0</v>
      </c>
      <c r="H268" s="915" t="e">
        <v>#REF!</v>
      </c>
      <c r="I268" s="915" t="e">
        <f t="shared" si="9"/>
        <v>#REF!</v>
      </c>
      <c r="J268" s="915">
        <v>4.7759999999999998</v>
      </c>
      <c r="K268" s="915">
        <v>0</v>
      </c>
      <c r="L268" s="915">
        <v>0</v>
      </c>
      <c r="M268" s="915">
        <v>4.7759999999999998</v>
      </c>
    </row>
    <row r="269" spans="1:13">
      <c r="A269" s="633" t="s">
        <v>5786</v>
      </c>
      <c r="B269" s="423" t="s">
        <v>2691</v>
      </c>
      <c r="C269" s="915">
        <v>37.377000000000002</v>
      </c>
      <c r="D269" s="915">
        <v>8.8179999999999996</v>
      </c>
      <c r="E269" s="915">
        <v>4.7699999999999996</v>
      </c>
      <c r="F269" s="915">
        <v>33.329000000000001</v>
      </c>
      <c r="G269" s="922">
        <f t="shared" si="8"/>
        <v>1</v>
      </c>
      <c r="H269" s="915" t="e">
        <v>#REF!</v>
      </c>
      <c r="I269" s="915" t="e">
        <f t="shared" si="9"/>
        <v>#REF!</v>
      </c>
      <c r="J269" s="915">
        <v>13.678000000000001</v>
      </c>
      <c r="K269" s="915">
        <v>8.0860000000000003</v>
      </c>
      <c r="L269" s="915">
        <v>4.391</v>
      </c>
      <c r="M269" s="915">
        <v>9.984</v>
      </c>
    </row>
    <row r="270" spans="1:13">
      <c r="A270" s="633" t="s">
        <v>3175</v>
      </c>
      <c r="B270" s="423" t="s">
        <v>2692</v>
      </c>
      <c r="C270" s="915">
        <v>390.38400000000001</v>
      </c>
      <c r="D270" s="915">
        <v>19.466000000000001</v>
      </c>
      <c r="E270" s="915">
        <v>9.85</v>
      </c>
      <c r="F270" s="915">
        <v>380.76799999999997</v>
      </c>
      <c r="G270" s="922">
        <f t="shared" si="8"/>
        <v>1</v>
      </c>
      <c r="H270" s="915" t="e">
        <v>#REF!</v>
      </c>
      <c r="I270" s="915" t="e">
        <f t="shared" si="9"/>
        <v>#REF!</v>
      </c>
      <c r="J270" s="915">
        <v>36.631999999999998</v>
      </c>
      <c r="K270" s="915">
        <v>3.49</v>
      </c>
      <c r="L270" s="915">
        <v>1.7450000000000001</v>
      </c>
      <c r="M270" s="915">
        <v>34.887</v>
      </c>
    </row>
    <row r="271" spans="1:13">
      <c r="A271" s="633" t="s">
        <v>3092</v>
      </c>
      <c r="B271" s="423" t="s">
        <v>381</v>
      </c>
      <c r="C271" s="915">
        <v>1230.6199999999999</v>
      </c>
      <c r="D271" s="915">
        <v>42.551000000000002</v>
      </c>
      <c r="E271" s="915">
        <v>21.806999999999999</v>
      </c>
      <c r="F271" s="915">
        <v>1209.876</v>
      </c>
      <c r="G271" s="922">
        <f t="shared" si="8"/>
        <v>1</v>
      </c>
      <c r="H271" s="915" t="e">
        <v>#REF!</v>
      </c>
      <c r="I271" s="915" t="e">
        <f t="shared" si="9"/>
        <v>#REF!</v>
      </c>
      <c r="J271" s="915">
        <v>67.557000000000002</v>
      </c>
      <c r="K271" s="915">
        <v>0</v>
      </c>
      <c r="L271" s="915">
        <v>0</v>
      </c>
      <c r="M271" s="915">
        <v>67.557000000000002</v>
      </c>
    </row>
    <row r="272" spans="1:13">
      <c r="A272" s="633" t="s">
        <v>673</v>
      </c>
      <c r="B272" s="423" t="s">
        <v>2693</v>
      </c>
      <c r="C272" s="915">
        <v>743.93700000000001</v>
      </c>
      <c r="D272" s="915">
        <v>19.829999999999998</v>
      </c>
      <c r="E272" s="915">
        <v>19.829999999999998</v>
      </c>
      <c r="F272" s="915">
        <v>743.93700000000001</v>
      </c>
      <c r="G272" s="922">
        <f t="shared" si="8"/>
        <v>0</v>
      </c>
      <c r="H272" s="915" t="e">
        <v>#REF!</v>
      </c>
      <c r="I272" s="915" t="e">
        <f t="shared" si="9"/>
        <v>#REF!</v>
      </c>
      <c r="J272" s="915">
        <v>24.622</v>
      </c>
      <c r="K272" s="915">
        <v>1.367</v>
      </c>
      <c r="L272" s="915">
        <v>1.367</v>
      </c>
      <c r="M272" s="915">
        <v>24.622</v>
      </c>
    </row>
    <row r="273" spans="1:13">
      <c r="A273" s="633" t="s">
        <v>322</v>
      </c>
      <c r="B273" s="423" t="s">
        <v>325</v>
      </c>
      <c r="C273" s="915">
        <v>796.16899999999998</v>
      </c>
      <c r="D273" s="915">
        <v>12.401999999999999</v>
      </c>
      <c r="E273" s="915">
        <v>11.760999999999999</v>
      </c>
      <c r="F273" s="915">
        <v>795.52800000000002</v>
      </c>
      <c r="G273" s="922">
        <f t="shared" si="8"/>
        <v>1</v>
      </c>
      <c r="H273" s="915" t="e">
        <v>#REF!</v>
      </c>
      <c r="I273" s="915" t="e">
        <f t="shared" si="9"/>
        <v>#REF!</v>
      </c>
      <c r="J273" s="915">
        <v>10.058</v>
      </c>
      <c r="K273" s="915">
        <v>0.98299999999999998</v>
      </c>
      <c r="L273" s="915">
        <v>0.98299999999999998</v>
      </c>
      <c r="M273" s="915">
        <v>10.058</v>
      </c>
    </row>
    <row r="274" spans="1:13">
      <c r="A274" s="633" t="s">
        <v>675</v>
      </c>
      <c r="B274" s="423" t="s">
        <v>7652</v>
      </c>
      <c r="C274" s="915">
        <v>1121.2650000000001</v>
      </c>
      <c r="D274" s="915">
        <v>17.169</v>
      </c>
      <c r="E274" s="915">
        <v>17.169</v>
      </c>
      <c r="F274" s="915">
        <v>1121.2650000000001</v>
      </c>
      <c r="G274" s="922">
        <f t="shared" si="8"/>
        <v>0</v>
      </c>
      <c r="H274" s="915" t="e">
        <v>#REF!</v>
      </c>
      <c r="I274" s="915" t="e">
        <f t="shared" si="9"/>
        <v>#REF!</v>
      </c>
      <c r="J274" s="915">
        <v>85.635000000000005</v>
      </c>
      <c r="K274" s="915">
        <v>3.516</v>
      </c>
      <c r="L274" s="915">
        <v>3.516</v>
      </c>
      <c r="M274" s="915">
        <v>85.635000000000005</v>
      </c>
    </row>
    <row r="275" spans="1:13">
      <c r="A275" s="633" t="s">
        <v>677</v>
      </c>
      <c r="B275" s="423" t="s">
        <v>1259</v>
      </c>
      <c r="C275" s="915">
        <v>354.99</v>
      </c>
      <c r="D275" s="915">
        <v>20.425000000000001</v>
      </c>
      <c r="E275" s="915">
        <v>13.382</v>
      </c>
      <c r="F275" s="915">
        <v>347.947</v>
      </c>
      <c r="G275" s="922">
        <f t="shared" si="8"/>
        <v>1</v>
      </c>
      <c r="H275" s="915" t="e">
        <v>#REF!</v>
      </c>
      <c r="I275" s="915" t="e">
        <f t="shared" si="9"/>
        <v>#REF!</v>
      </c>
      <c r="J275" s="915">
        <v>17.042999999999999</v>
      </c>
      <c r="K275" s="915">
        <v>1.3560000000000001</v>
      </c>
      <c r="L275" s="915">
        <v>0.88100000000000001</v>
      </c>
      <c r="M275" s="915">
        <v>16.568000000000001</v>
      </c>
    </row>
    <row r="276" spans="1:13">
      <c r="A276" s="633" t="s">
        <v>679</v>
      </c>
      <c r="B276" s="423" t="s">
        <v>1260</v>
      </c>
      <c r="C276" s="915">
        <v>404.62</v>
      </c>
      <c r="D276" s="915">
        <v>10.561</v>
      </c>
      <c r="E276" s="915">
        <v>10.561</v>
      </c>
      <c r="F276" s="915">
        <v>404.62</v>
      </c>
      <c r="G276" s="922">
        <f t="shared" si="8"/>
        <v>0</v>
      </c>
      <c r="H276" s="915" t="e">
        <v>#REF!</v>
      </c>
      <c r="I276" s="915" t="e">
        <f t="shared" si="9"/>
        <v>#REF!</v>
      </c>
      <c r="J276" s="915">
        <v>8.4079999999999995</v>
      </c>
      <c r="K276" s="915">
        <v>0.85899999999999999</v>
      </c>
      <c r="L276" s="915">
        <v>0.85899999999999999</v>
      </c>
      <c r="M276" s="915">
        <v>8.4079999999999995</v>
      </c>
    </row>
    <row r="277" spans="1:13">
      <c r="A277" s="633" t="s">
        <v>2960</v>
      </c>
      <c r="B277" s="423" t="s">
        <v>1261</v>
      </c>
      <c r="C277" s="915">
        <v>209.89</v>
      </c>
      <c r="D277" s="915">
        <v>6.992</v>
      </c>
      <c r="E277" s="915">
        <v>6.992</v>
      </c>
      <c r="F277" s="915">
        <v>209.89</v>
      </c>
      <c r="G277" s="922">
        <f t="shared" si="8"/>
        <v>0</v>
      </c>
      <c r="H277" s="915" t="e">
        <v>#REF!</v>
      </c>
      <c r="I277" s="915" t="e">
        <f t="shared" si="9"/>
        <v>#REF!</v>
      </c>
      <c r="J277" s="915">
        <v>5.8550000000000004</v>
      </c>
      <c r="K277" s="915">
        <v>0.44900000000000001</v>
      </c>
      <c r="L277" s="915">
        <v>0.44900000000000001</v>
      </c>
      <c r="M277" s="915">
        <v>5.8550000000000004</v>
      </c>
    </row>
    <row r="278" spans="1:13">
      <c r="A278" s="633" t="s">
        <v>1994</v>
      </c>
      <c r="B278" s="423" t="s">
        <v>1262</v>
      </c>
      <c r="C278" s="915">
        <v>24878.124</v>
      </c>
      <c r="D278" s="915">
        <v>338.149</v>
      </c>
      <c r="E278" s="915">
        <v>338.149</v>
      </c>
      <c r="F278" s="915">
        <v>24878.124</v>
      </c>
      <c r="G278" s="922">
        <f t="shared" si="8"/>
        <v>0</v>
      </c>
      <c r="H278" s="915" t="e">
        <v>#REF!</v>
      </c>
      <c r="I278" s="915" t="e">
        <f t="shared" si="9"/>
        <v>#REF!</v>
      </c>
      <c r="J278" s="915">
        <v>2849.3180000000002</v>
      </c>
      <c r="K278" s="915">
        <v>86.367999999999995</v>
      </c>
      <c r="L278" s="915">
        <v>86.367999999999995</v>
      </c>
      <c r="M278" s="915">
        <v>2849.3180000000002</v>
      </c>
    </row>
    <row r="279" spans="1:13">
      <c r="A279" s="633" t="s">
        <v>2735</v>
      </c>
      <c r="B279" s="423" t="s">
        <v>1263</v>
      </c>
      <c r="C279" s="915">
        <v>304.27999999999997</v>
      </c>
      <c r="D279" s="915">
        <v>7.875</v>
      </c>
      <c r="E279" s="915">
        <v>7.875</v>
      </c>
      <c r="F279" s="915">
        <v>304.27999999999997</v>
      </c>
      <c r="G279" s="922">
        <f t="shared" si="8"/>
        <v>0</v>
      </c>
      <c r="H279" s="915" t="e">
        <v>#REF!</v>
      </c>
      <c r="I279" s="915" t="e">
        <f t="shared" si="9"/>
        <v>#REF!</v>
      </c>
      <c r="J279" s="915">
        <v>29.466000000000001</v>
      </c>
      <c r="K279" s="915">
        <v>1.647</v>
      </c>
      <c r="L279" s="915">
        <v>1.647</v>
      </c>
      <c r="M279" s="915">
        <v>29.466000000000001</v>
      </c>
    </row>
    <row r="280" spans="1:13">
      <c r="A280" s="633" t="s">
        <v>2737</v>
      </c>
      <c r="B280" s="423" t="s">
        <v>1264</v>
      </c>
      <c r="C280" s="915">
        <v>257.90199999999999</v>
      </c>
      <c r="D280" s="915">
        <v>0</v>
      </c>
      <c r="E280" s="915">
        <v>0</v>
      </c>
      <c r="F280" s="915">
        <v>257.90199999999999</v>
      </c>
      <c r="G280" s="922">
        <f t="shared" si="8"/>
        <v>0</v>
      </c>
      <c r="H280" s="915" t="e">
        <v>#REF!</v>
      </c>
      <c r="I280" s="915" t="e">
        <f t="shared" si="9"/>
        <v>#REF!</v>
      </c>
      <c r="J280" s="915">
        <v>0</v>
      </c>
      <c r="K280" s="915">
        <v>0</v>
      </c>
      <c r="L280" s="915">
        <v>0</v>
      </c>
      <c r="M280" s="915">
        <v>0</v>
      </c>
    </row>
    <row r="281" spans="1:13">
      <c r="A281" s="633" t="s">
        <v>1976</v>
      </c>
      <c r="B281" s="423" t="s">
        <v>7691</v>
      </c>
      <c r="C281" s="915">
        <v>275.94900000000001</v>
      </c>
      <c r="D281" s="915">
        <v>12.938000000000001</v>
      </c>
      <c r="E281" s="915">
        <v>12.938000000000001</v>
      </c>
      <c r="F281" s="915">
        <v>275.94900000000001</v>
      </c>
      <c r="G281" s="922">
        <f t="shared" si="8"/>
        <v>0</v>
      </c>
      <c r="H281" s="915" t="e">
        <v>#REF!</v>
      </c>
      <c r="I281" s="915" t="e">
        <f t="shared" si="9"/>
        <v>#REF!</v>
      </c>
      <c r="J281" s="915">
        <v>17.914999999999999</v>
      </c>
      <c r="K281" s="915">
        <v>1.754</v>
      </c>
      <c r="L281" s="915">
        <v>1.754</v>
      </c>
      <c r="M281" s="915">
        <v>17.914999999999999</v>
      </c>
    </row>
    <row r="282" spans="1:13">
      <c r="A282" s="633" t="s">
        <v>3648</v>
      </c>
      <c r="B282" s="423" t="s">
        <v>1265</v>
      </c>
      <c r="C282" s="915">
        <v>5469.7759999999998</v>
      </c>
      <c r="D282" s="915">
        <v>216.66399999999999</v>
      </c>
      <c r="E282" s="915">
        <v>135.34700000000001</v>
      </c>
      <c r="F282" s="915">
        <v>5388.4589999999998</v>
      </c>
      <c r="G282" s="922">
        <f t="shared" si="8"/>
        <v>1</v>
      </c>
      <c r="H282" s="915" t="e">
        <v>#REF!</v>
      </c>
      <c r="I282" s="915" t="e">
        <f t="shared" si="9"/>
        <v>#REF!</v>
      </c>
      <c r="J282" s="915">
        <v>704.66600000000005</v>
      </c>
      <c r="K282" s="915">
        <v>117.16</v>
      </c>
      <c r="L282" s="915">
        <v>59.131</v>
      </c>
      <c r="M282" s="915">
        <v>646.63699999999994</v>
      </c>
    </row>
    <row r="283" spans="1:13">
      <c r="A283" s="633" t="s">
        <v>3650</v>
      </c>
      <c r="B283" s="423" t="s">
        <v>1266</v>
      </c>
      <c r="C283" s="915">
        <v>2233.1669999999999</v>
      </c>
      <c r="D283" s="915">
        <v>92.159000000000006</v>
      </c>
      <c r="E283" s="915">
        <v>92.09</v>
      </c>
      <c r="F283" s="915">
        <v>2233.098</v>
      </c>
      <c r="G283" s="922">
        <f t="shared" si="8"/>
        <v>1</v>
      </c>
      <c r="H283" s="915" t="e">
        <v>#REF!</v>
      </c>
      <c r="I283" s="915" t="e">
        <f t="shared" si="9"/>
        <v>#REF!</v>
      </c>
      <c r="J283" s="915">
        <v>382.67700000000002</v>
      </c>
      <c r="K283" s="915">
        <v>44.164000000000001</v>
      </c>
      <c r="L283" s="915">
        <v>44.146999999999998</v>
      </c>
      <c r="M283" s="915">
        <v>382.66</v>
      </c>
    </row>
    <row r="284" spans="1:13">
      <c r="A284" s="633" t="s">
        <v>3093</v>
      </c>
      <c r="B284" s="423" t="s">
        <v>1906</v>
      </c>
      <c r="C284" s="915">
        <v>584.30200000000002</v>
      </c>
      <c r="D284" s="915">
        <v>11.071999999999999</v>
      </c>
      <c r="E284" s="915">
        <v>11.071999999999999</v>
      </c>
      <c r="F284" s="915">
        <v>584.30200000000002</v>
      </c>
      <c r="G284" s="922">
        <f t="shared" si="8"/>
        <v>0</v>
      </c>
      <c r="H284" s="915" t="e">
        <v>#REF!</v>
      </c>
      <c r="I284" s="915" t="e">
        <f t="shared" si="9"/>
        <v>#REF!</v>
      </c>
      <c r="J284" s="915">
        <v>41.109000000000002</v>
      </c>
      <c r="K284" s="915">
        <v>3.181</v>
      </c>
      <c r="L284" s="915">
        <v>3.181</v>
      </c>
      <c r="M284" s="915">
        <v>41.109000000000002</v>
      </c>
    </row>
    <row r="285" spans="1:13">
      <c r="A285" s="633" t="s">
        <v>7734</v>
      </c>
      <c r="B285" s="423" t="s">
        <v>1267</v>
      </c>
      <c r="C285" s="915">
        <v>6812.1310000000003</v>
      </c>
      <c r="D285" s="915">
        <v>39.206000000000003</v>
      </c>
      <c r="E285" s="915">
        <v>39.206000000000003</v>
      </c>
      <c r="F285" s="915">
        <v>6812.1310000000003</v>
      </c>
      <c r="G285" s="922">
        <f t="shared" si="8"/>
        <v>0</v>
      </c>
      <c r="H285" s="915" t="e">
        <v>#REF!</v>
      </c>
      <c r="I285" s="915" t="e">
        <f t="shared" si="9"/>
        <v>#REF!</v>
      </c>
      <c r="J285" s="915">
        <v>191.63800000000001</v>
      </c>
      <c r="K285" s="915">
        <v>10.627000000000001</v>
      </c>
      <c r="L285" s="915">
        <v>10.627000000000001</v>
      </c>
      <c r="M285" s="915">
        <v>191.63800000000001</v>
      </c>
    </row>
    <row r="286" spans="1:13">
      <c r="A286" s="633" t="s">
        <v>915</v>
      </c>
      <c r="B286" s="423" t="s">
        <v>1268</v>
      </c>
      <c r="C286" s="915">
        <v>216.64</v>
      </c>
      <c r="D286" s="915">
        <v>4.7030000000000003</v>
      </c>
      <c r="E286" s="915">
        <v>4.7030000000000003</v>
      </c>
      <c r="F286" s="915">
        <v>216.64</v>
      </c>
      <c r="G286" s="922">
        <f t="shared" si="8"/>
        <v>0</v>
      </c>
      <c r="H286" s="915" t="e">
        <v>#REF!</v>
      </c>
      <c r="I286" s="915" t="e">
        <f t="shared" si="9"/>
        <v>#REF!</v>
      </c>
      <c r="J286" s="915">
        <v>15.013999999999999</v>
      </c>
      <c r="K286" s="915">
        <v>0.96299999999999997</v>
      </c>
      <c r="L286" s="915">
        <v>0.96299999999999997</v>
      </c>
      <c r="M286" s="915">
        <v>15.013999999999999</v>
      </c>
    </row>
    <row r="287" spans="1:13">
      <c r="A287" s="633" t="s">
        <v>1978</v>
      </c>
      <c r="B287" s="423" t="s">
        <v>3628</v>
      </c>
      <c r="C287" s="915">
        <v>1053.79</v>
      </c>
      <c r="D287" s="915">
        <v>18.423999999999999</v>
      </c>
      <c r="E287" s="915">
        <v>18.423999999999999</v>
      </c>
      <c r="F287" s="915">
        <v>1053.79</v>
      </c>
      <c r="G287" s="922">
        <f t="shared" si="8"/>
        <v>0</v>
      </c>
      <c r="H287" s="915" t="e">
        <v>#REF!</v>
      </c>
      <c r="I287" s="915" t="e">
        <f t="shared" si="9"/>
        <v>#REF!</v>
      </c>
      <c r="J287" s="915">
        <v>78.397999999999996</v>
      </c>
      <c r="K287" s="915">
        <v>7.399</v>
      </c>
      <c r="L287" s="915">
        <v>7.399</v>
      </c>
      <c r="M287" s="915">
        <v>78.397999999999996</v>
      </c>
    </row>
    <row r="288" spans="1:13">
      <c r="A288" s="633" t="s">
        <v>2767</v>
      </c>
      <c r="B288" s="423" t="s">
        <v>357</v>
      </c>
      <c r="C288" s="915">
        <v>5047.0479999999998</v>
      </c>
      <c r="D288" s="915">
        <v>53.856000000000002</v>
      </c>
      <c r="E288" s="915">
        <v>44.895000000000003</v>
      </c>
      <c r="F288" s="915">
        <v>5038.0870000000004</v>
      </c>
      <c r="G288" s="922">
        <f t="shared" si="8"/>
        <v>1</v>
      </c>
      <c r="H288" s="915" t="e">
        <v>#REF!</v>
      </c>
      <c r="I288" s="915" t="e">
        <f t="shared" si="9"/>
        <v>#REF!</v>
      </c>
      <c r="J288" s="915">
        <v>224.66</v>
      </c>
      <c r="K288" s="915">
        <v>12.702</v>
      </c>
      <c r="L288" s="915">
        <v>11.297000000000001</v>
      </c>
      <c r="M288" s="915">
        <v>223.256</v>
      </c>
    </row>
    <row r="289" spans="1:13">
      <c r="A289" s="633" t="s">
        <v>3555</v>
      </c>
      <c r="B289" s="423" t="s">
        <v>4063</v>
      </c>
      <c r="C289" s="915">
        <v>6242.36</v>
      </c>
      <c r="D289" s="915">
        <v>100.13200000000001</v>
      </c>
      <c r="E289" s="915">
        <v>100.13200000000001</v>
      </c>
      <c r="F289" s="915">
        <v>6242.36</v>
      </c>
      <c r="G289" s="922">
        <f t="shared" si="8"/>
        <v>0</v>
      </c>
      <c r="H289" s="915" t="e">
        <v>#REF!</v>
      </c>
      <c r="I289" s="915" t="e">
        <f t="shared" si="9"/>
        <v>#REF!</v>
      </c>
      <c r="J289" s="915">
        <v>371.79500000000002</v>
      </c>
      <c r="K289" s="915">
        <v>23.821999999999999</v>
      </c>
      <c r="L289" s="915">
        <v>23.821999999999999</v>
      </c>
      <c r="M289" s="915">
        <v>371.79500000000002</v>
      </c>
    </row>
    <row r="290" spans="1:13">
      <c r="A290" s="633" t="s">
        <v>3094</v>
      </c>
      <c r="B290" s="423" t="s">
        <v>6072</v>
      </c>
      <c r="C290" s="915">
        <v>1037.9480000000001</v>
      </c>
      <c r="D290" s="915">
        <v>10.369</v>
      </c>
      <c r="E290" s="915">
        <v>10.369</v>
      </c>
      <c r="F290" s="915">
        <v>1037.9480000000001</v>
      </c>
      <c r="G290" s="922">
        <f t="shared" si="8"/>
        <v>0</v>
      </c>
      <c r="H290" s="915" t="e">
        <v>#REF!</v>
      </c>
      <c r="I290" s="915" t="e">
        <f t="shared" si="9"/>
        <v>#REF!</v>
      </c>
      <c r="J290" s="915">
        <v>57.55</v>
      </c>
      <c r="K290" s="915">
        <v>3.347</v>
      </c>
      <c r="L290" s="915">
        <v>3.347</v>
      </c>
      <c r="M290" s="915">
        <v>57.55</v>
      </c>
    </row>
    <row r="291" spans="1:13">
      <c r="A291" s="633" t="s">
        <v>741</v>
      </c>
      <c r="B291" s="423" t="s">
        <v>6116</v>
      </c>
      <c r="C291" s="915">
        <v>10076.022000000001</v>
      </c>
      <c r="D291" s="915">
        <v>251.41900000000001</v>
      </c>
      <c r="E291" s="915">
        <v>251.41900000000001</v>
      </c>
      <c r="F291" s="915">
        <v>10076.022000000001</v>
      </c>
      <c r="G291" s="922">
        <f t="shared" si="8"/>
        <v>0</v>
      </c>
      <c r="H291" s="915" t="e">
        <v>#REF!</v>
      </c>
      <c r="I291" s="915" t="e">
        <f t="shared" si="9"/>
        <v>#REF!</v>
      </c>
      <c r="J291" s="915">
        <v>3272.9090000000001</v>
      </c>
      <c r="K291" s="915">
        <v>154.46600000000001</v>
      </c>
      <c r="L291" s="915">
        <v>154.46600000000001</v>
      </c>
      <c r="M291" s="915">
        <v>3272.9090000000001</v>
      </c>
    </row>
    <row r="292" spans="1:13">
      <c r="A292" s="633" t="s">
        <v>4035</v>
      </c>
      <c r="B292" s="423" t="s">
        <v>1269</v>
      </c>
      <c r="C292" s="915">
        <v>57492.233</v>
      </c>
      <c r="D292" s="915">
        <v>1155.2739999999999</v>
      </c>
      <c r="E292" s="915">
        <v>1153.9190000000001</v>
      </c>
      <c r="F292" s="915">
        <v>57490.879000000001</v>
      </c>
      <c r="G292" s="922">
        <f t="shared" si="8"/>
        <v>1</v>
      </c>
      <c r="H292" s="915" t="e">
        <v>#REF!</v>
      </c>
      <c r="I292" s="915" t="e">
        <f t="shared" si="9"/>
        <v>#REF!</v>
      </c>
      <c r="J292" s="915">
        <v>12541.916999999999</v>
      </c>
      <c r="K292" s="915">
        <v>560.16800000000001</v>
      </c>
      <c r="L292" s="915">
        <v>559.11099999999999</v>
      </c>
      <c r="M292" s="915">
        <v>12540.861000000001</v>
      </c>
    </row>
    <row r="293" spans="1:13">
      <c r="A293" s="633" t="s">
        <v>1524</v>
      </c>
      <c r="B293" s="423" t="s">
        <v>1930</v>
      </c>
      <c r="C293" s="915">
        <v>2370.4639999999999</v>
      </c>
      <c r="D293" s="915">
        <v>89.99</v>
      </c>
      <c r="E293" s="915">
        <v>50.795999999999999</v>
      </c>
      <c r="F293" s="915">
        <v>2331.27</v>
      </c>
      <c r="G293" s="922">
        <f t="shared" si="8"/>
        <v>1</v>
      </c>
      <c r="H293" s="915" t="e">
        <v>#REF!</v>
      </c>
      <c r="I293" s="915" t="e">
        <f t="shared" si="9"/>
        <v>#REF!</v>
      </c>
      <c r="J293" s="915">
        <v>656.86300000000006</v>
      </c>
      <c r="K293" s="915">
        <v>30.853999999999999</v>
      </c>
      <c r="L293" s="915">
        <v>16.210999999999999</v>
      </c>
      <c r="M293" s="915">
        <v>642.22</v>
      </c>
    </row>
    <row r="294" spans="1:13">
      <c r="A294" s="633" t="s">
        <v>2388</v>
      </c>
      <c r="B294" s="423" t="s">
        <v>382</v>
      </c>
      <c r="C294" s="915">
        <v>3596.2150000000001</v>
      </c>
      <c r="D294" s="915">
        <v>155.81899999999999</v>
      </c>
      <c r="E294" s="915">
        <v>155.81899999999999</v>
      </c>
      <c r="F294" s="915">
        <v>3596.2150000000001</v>
      </c>
      <c r="G294" s="922">
        <f t="shared" si="8"/>
        <v>0</v>
      </c>
      <c r="H294" s="915" t="e">
        <v>#REF!</v>
      </c>
      <c r="I294" s="915" t="e">
        <f t="shared" si="9"/>
        <v>#REF!</v>
      </c>
      <c r="J294" s="915">
        <v>1426.2139999999999</v>
      </c>
      <c r="K294" s="915">
        <v>103.63800000000001</v>
      </c>
      <c r="L294" s="915">
        <v>103.63800000000001</v>
      </c>
      <c r="M294" s="915">
        <v>1426.2139999999999</v>
      </c>
    </row>
    <row r="295" spans="1:13">
      <c r="A295" s="633" t="s">
        <v>863</v>
      </c>
      <c r="B295" s="423" t="s">
        <v>2010</v>
      </c>
      <c r="C295" s="915">
        <v>41261.250999999997</v>
      </c>
      <c r="D295" s="915">
        <v>938.26</v>
      </c>
      <c r="E295" s="915">
        <v>822.428</v>
      </c>
      <c r="F295" s="915">
        <v>41145.419000000002</v>
      </c>
      <c r="G295" s="922">
        <f t="shared" si="8"/>
        <v>1</v>
      </c>
      <c r="H295" s="915" t="e">
        <v>#REF!</v>
      </c>
      <c r="I295" s="915" t="e">
        <f t="shared" si="9"/>
        <v>#REF!</v>
      </c>
      <c r="J295" s="915">
        <v>9040.1080000000002</v>
      </c>
      <c r="K295" s="915">
        <v>329.15600000000001</v>
      </c>
      <c r="L295" s="915">
        <v>299.31700000000001</v>
      </c>
      <c r="M295" s="915">
        <v>9010.2690000000002</v>
      </c>
    </row>
    <row r="296" spans="1:13">
      <c r="A296" s="633" t="s">
        <v>268</v>
      </c>
      <c r="B296" s="423" t="s">
        <v>7349</v>
      </c>
      <c r="C296" s="915">
        <v>713.04600000000005</v>
      </c>
      <c r="D296" s="915">
        <v>29.244</v>
      </c>
      <c r="E296" s="915">
        <v>29.244</v>
      </c>
      <c r="F296" s="915">
        <v>713.04600000000005</v>
      </c>
      <c r="G296" s="922">
        <f t="shared" si="8"/>
        <v>0</v>
      </c>
      <c r="H296" s="915" t="e">
        <v>#REF!</v>
      </c>
      <c r="I296" s="915" t="e">
        <f t="shared" si="9"/>
        <v>#REF!</v>
      </c>
      <c r="J296" s="915">
        <v>132.50899999999999</v>
      </c>
      <c r="K296" s="915">
        <v>12.425000000000001</v>
      </c>
      <c r="L296" s="915">
        <v>12.425000000000001</v>
      </c>
      <c r="M296" s="915">
        <v>132.50899999999999</v>
      </c>
    </row>
    <row r="297" spans="1:13">
      <c r="A297" s="633" t="s">
        <v>981</v>
      </c>
      <c r="B297" s="423" t="s">
        <v>6099</v>
      </c>
      <c r="C297" s="915">
        <v>5275.3860000000004</v>
      </c>
      <c r="D297" s="915">
        <v>105.81100000000001</v>
      </c>
      <c r="E297" s="915">
        <v>105.81100000000001</v>
      </c>
      <c r="F297" s="915">
        <v>5275.3860000000004</v>
      </c>
      <c r="G297" s="922">
        <f t="shared" si="8"/>
        <v>0</v>
      </c>
      <c r="H297" s="915" t="e">
        <v>#REF!</v>
      </c>
      <c r="I297" s="915" t="e">
        <f t="shared" si="9"/>
        <v>#REF!</v>
      </c>
      <c r="J297" s="915">
        <v>1510.8710000000001</v>
      </c>
      <c r="K297" s="915">
        <v>44.502000000000002</v>
      </c>
      <c r="L297" s="915">
        <v>44.502000000000002</v>
      </c>
      <c r="M297" s="915">
        <v>1510.8710000000001</v>
      </c>
    </row>
    <row r="298" spans="1:13">
      <c r="A298" s="633" t="s">
        <v>2414</v>
      </c>
      <c r="B298" s="423" t="s">
        <v>5367</v>
      </c>
      <c r="C298" s="915">
        <v>1179.55</v>
      </c>
      <c r="D298" s="915">
        <v>29.148</v>
      </c>
      <c r="E298" s="915">
        <v>29.148</v>
      </c>
      <c r="F298" s="915">
        <v>1179.55</v>
      </c>
      <c r="G298" s="922">
        <f t="shared" si="8"/>
        <v>0</v>
      </c>
      <c r="H298" s="915" t="e">
        <v>#REF!</v>
      </c>
      <c r="I298" s="915" t="e">
        <f t="shared" si="9"/>
        <v>#REF!</v>
      </c>
      <c r="J298" s="915">
        <v>287.185</v>
      </c>
      <c r="K298" s="915">
        <v>13.196999999999999</v>
      </c>
      <c r="L298" s="915">
        <v>13.196999999999999</v>
      </c>
      <c r="M298" s="915">
        <v>287.185</v>
      </c>
    </row>
    <row r="299" spans="1:13">
      <c r="A299" s="633" t="s">
        <v>2401</v>
      </c>
      <c r="B299" s="423" t="s">
        <v>2345</v>
      </c>
      <c r="C299" s="915">
        <v>37150.622000000003</v>
      </c>
      <c r="D299" s="915">
        <v>667.971</v>
      </c>
      <c r="E299" s="915">
        <v>667.971</v>
      </c>
      <c r="F299" s="915">
        <v>37150.622000000003</v>
      </c>
      <c r="G299" s="922">
        <f t="shared" si="8"/>
        <v>0</v>
      </c>
      <c r="H299" s="915" t="e">
        <v>#REF!</v>
      </c>
      <c r="I299" s="915" t="e">
        <f t="shared" si="9"/>
        <v>#REF!</v>
      </c>
      <c r="J299" s="915">
        <v>7524.0659999999998</v>
      </c>
      <c r="K299" s="915">
        <v>303.51100000000002</v>
      </c>
      <c r="L299" s="915">
        <v>303.51100000000002</v>
      </c>
      <c r="M299" s="915">
        <v>7524.0659999999998</v>
      </c>
    </row>
    <row r="300" spans="1:13">
      <c r="A300" s="633" t="s">
        <v>4037</v>
      </c>
      <c r="B300" s="423" t="s">
        <v>1270</v>
      </c>
      <c r="C300" s="915">
        <v>38.158999999999999</v>
      </c>
      <c r="D300" s="915">
        <v>4.274</v>
      </c>
      <c r="E300" s="915">
        <v>4.1909999999999998</v>
      </c>
      <c r="F300" s="915">
        <v>38.076000000000001</v>
      </c>
      <c r="G300" s="922">
        <f t="shared" si="8"/>
        <v>1</v>
      </c>
      <c r="H300" s="915" t="e">
        <v>#REF!</v>
      </c>
      <c r="I300" s="915" t="e">
        <f t="shared" si="9"/>
        <v>#REF!</v>
      </c>
      <c r="J300" s="915">
        <v>9.3650000000000002</v>
      </c>
      <c r="K300" s="915">
        <v>3.1779999999999999</v>
      </c>
      <c r="L300" s="915">
        <v>3.0939999999999999</v>
      </c>
      <c r="M300" s="915">
        <v>9.282</v>
      </c>
    </row>
    <row r="301" spans="1:13">
      <c r="A301" s="633" t="s">
        <v>2140</v>
      </c>
      <c r="B301" s="423" t="s">
        <v>1271</v>
      </c>
      <c r="C301" s="915">
        <v>1213.424</v>
      </c>
      <c r="D301" s="915">
        <v>29.802</v>
      </c>
      <c r="E301" s="915">
        <v>29.802</v>
      </c>
      <c r="F301" s="915">
        <v>1213.424</v>
      </c>
      <c r="G301" s="922">
        <f t="shared" si="8"/>
        <v>0</v>
      </c>
      <c r="H301" s="915" t="e">
        <v>#REF!</v>
      </c>
      <c r="I301" s="915" t="e">
        <f t="shared" si="9"/>
        <v>#REF!</v>
      </c>
      <c r="J301" s="915">
        <v>224.16499999999999</v>
      </c>
      <c r="K301" s="915">
        <v>11.648999999999999</v>
      </c>
      <c r="L301" s="915">
        <v>11.648999999999999</v>
      </c>
      <c r="M301" s="915">
        <v>224.16499999999999</v>
      </c>
    </row>
    <row r="302" spans="1:13">
      <c r="A302" s="633" t="s">
        <v>2408</v>
      </c>
      <c r="B302" s="423" t="s">
        <v>2355</v>
      </c>
      <c r="C302" s="915">
        <v>3265.002</v>
      </c>
      <c r="D302" s="915">
        <v>62.776000000000003</v>
      </c>
      <c r="E302" s="915">
        <v>62.776000000000003</v>
      </c>
      <c r="F302" s="915">
        <v>3265.002</v>
      </c>
      <c r="G302" s="922">
        <f t="shared" si="8"/>
        <v>0</v>
      </c>
      <c r="H302" s="915" t="e">
        <v>#REF!</v>
      </c>
      <c r="I302" s="915" t="e">
        <f t="shared" si="9"/>
        <v>#REF!</v>
      </c>
      <c r="J302" s="915">
        <v>203.68700000000001</v>
      </c>
      <c r="K302" s="915">
        <v>13.452</v>
      </c>
      <c r="L302" s="915">
        <v>13.452</v>
      </c>
      <c r="M302" s="915">
        <v>203.68700000000001</v>
      </c>
    </row>
    <row r="303" spans="1:13">
      <c r="A303" s="633" t="s">
        <v>2700</v>
      </c>
      <c r="B303" s="423" t="s">
        <v>1272</v>
      </c>
      <c r="C303" s="915">
        <v>90.126999999999995</v>
      </c>
      <c r="D303" s="915">
        <v>0</v>
      </c>
      <c r="E303" s="915">
        <v>0</v>
      </c>
      <c r="F303" s="915">
        <v>90.126999999999995</v>
      </c>
      <c r="G303" s="922">
        <f t="shared" si="8"/>
        <v>0</v>
      </c>
      <c r="H303" s="915" t="e">
        <v>#REF!</v>
      </c>
      <c r="I303" s="915" t="e">
        <f t="shared" si="9"/>
        <v>#REF!</v>
      </c>
      <c r="J303" s="915">
        <v>1.9710000000000001</v>
      </c>
      <c r="K303" s="915">
        <v>0</v>
      </c>
      <c r="L303" s="915">
        <v>0</v>
      </c>
      <c r="M303" s="915">
        <v>1.9710000000000001</v>
      </c>
    </row>
    <row r="304" spans="1:13">
      <c r="A304" s="633" t="s">
        <v>2702</v>
      </c>
      <c r="B304" s="423" t="s">
        <v>1273</v>
      </c>
      <c r="C304" s="915">
        <v>181.81700000000001</v>
      </c>
      <c r="D304" s="915">
        <v>0</v>
      </c>
      <c r="E304" s="915">
        <v>0</v>
      </c>
      <c r="F304" s="915">
        <v>181.81700000000001</v>
      </c>
      <c r="G304" s="922">
        <f t="shared" si="8"/>
        <v>0</v>
      </c>
      <c r="H304" s="915" t="e">
        <v>#REF!</v>
      </c>
      <c r="I304" s="915" t="e">
        <f t="shared" si="9"/>
        <v>#REF!</v>
      </c>
      <c r="J304" s="915">
        <v>7.4119999999999999</v>
      </c>
      <c r="K304" s="915">
        <v>0</v>
      </c>
      <c r="L304" s="915">
        <v>0</v>
      </c>
      <c r="M304" s="915">
        <v>7.4119999999999999</v>
      </c>
    </row>
    <row r="305" spans="1:13">
      <c r="A305" s="633" t="s">
        <v>2828</v>
      </c>
      <c r="B305" s="423" t="s">
        <v>192</v>
      </c>
      <c r="C305" s="915">
        <v>203.82</v>
      </c>
      <c r="D305" s="915">
        <v>13.43</v>
      </c>
      <c r="E305" s="915">
        <v>6.7329999999999997</v>
      </c>
      <c r="F305" s="915">
        <v>197.12200000000001</v>
      </c>
      <c r="G305" s="922">
        <f t="shared" si="8"/>
        <v>1</v>
      </c>
      <c r="H305" s="915" t="e">
        <v>#REF!</v>
      </c>
      <c r="I305" s="915" t="e">
        <f t="shared" si="9"/>
        <v>#REF!</v>
      </c>
      <c r="J305" s="915">
        <v>41.319000000000003</v>
      </c>
      <c r="K305" s="915">
        <v>7.2060000000000004</v>
      </c>
      <c r="L305" s="915">
        <v>3.6059999999999999</v>
      </c>
      <c r="M305" s="915">
        <v>37.719000000000001</v>
      </c>
    </row>
    <row r="306" spans="1:13">
      <c r="A306" s="633" t="s">
        <v>2704</v>
      </c>
      <c r="B306" s="423" t="s">
        <v>1274</v>
      </c>
      <c r="C306" s="915">
        <v>93.721999999999994</v>
      </c>
      <c r="D306" s="915">
        <v>0</v>
      </c>
      <c r="E306" s="915">
        <v>0</v>
      </c>
      <c r="F306" s="915">
        <v>93.721999999999994</v>
      </c>
      <c r="G306" s="922">
        <f t="shared" si="8"/>
        <v>0</v>
      </c>
      <c r="H306" s="915" t="e">
        <v>#REF!</v>
      </c>
      <c r="I306" s="915" t="e">
        <f t="shared" si="9"/>
        <v>#REF!</v>
      </c>
      <c r="J306" s="915">
        <v>0</v>
      </c>
      <c r="K306" s="915">
        <v>0</v>
      </c>
      <c r="L306" s="915">
        <v>0</v>
      </c>
      <c r="M306" s="915">
        <v>0</v>
      </c>
    </row>
    <row r="307" spans="1:13">
      <c r="A307" s="633" t="s">
        <v>2706</v>
      </c>
      <c r="B307" s="423" t="s">
        <v>7361</v>
      </c>
      <c r="C307" s="915">
        <v>421.39</v>
      </c>
      <c r="D307" s="915">
        <v>14.885999999999999</v>
      </c>
      <c r="E307" s="915">
        <v>14.885999999999999</v>
      </c>
      <c r="F307" s="915">
        <v>421.39</v>
      </c>
      <c r="G307" s="922">
        <f t="shared" si="8"/>
        <v>0</v>
      </c>
      <c r="H307" s="915" t="e">
        <v>#REF!</v>
      </c>
      <c r="I307" s="915" t="e">
        <f t="shared" si="9"/>
        <v>#REF!</v>
      </c>
      <c r="J307" s="915">
        <v>61.923999999999999</v>
      </c>
      <c r="K307" s="915">
        <v>3.0470000000000002</v>
      </c>
      <c r="L307" s="915">
        <v>3.0470000000000002</v>
      </c>
      <c r="M307" s="915">
        <v>61.923999999999999</v>
      </c>
    </row>
    <row r="308" spans="1:13">
      <c r="A308" s="633" t="s">
        <v>6162</v>
      </c>
      <c r="B308" s="423" t="s">
        <v>6066</v>
      </c>
      <c r="C308" s="915">
        <v>1074.1189999999999</v>
      </c>
      <c r="D308" s="915">
        <v>27.643000000000001</v>
      </c>
      <c r="E308" s="915">
        <v>27.643000000000001</v>
      </c>
      <c r="F308" s="915">
        <v>1074.1189999999999</v>
      </c>
      <c r="G308" s="922">
        <f t="shared" si="8"/>
        <v>0</v>
      </c>
      <c r="H308" s="915" t="e">
        <v>#REF!</v>
      </c>
      <c r="I308" s="915" t="e">
        <f t="shared" si="9"/>
        <v>#REF!</v>
      </c>
      <c r="J308" s="915">
        <v>108.878</v>
      </c>
      <c r="K308" s="915">
        <v>5.3780000000000001</v>
      </c>
      <c r="L308" s="915">
        <v>5.3780000000000001</v>
      </c>
      <c r="M308" s="915">
        <v>108.878</v>
      </c>
    </row>
    <row r="309" spans="1:13">
      <c r="A309" s="633" t="s">
        <v>967</v>
      </c>
      <c r="B309" s="423" t="s">
        <v>4068</v>
      </c>
      <c r="C309" s="915">
        <v>149.03100000000001</v>
      </c>
      <c r="D309" s="915">
        <v>0</v>
      </c>
      <c r="E309" s="915">
        <v>0</v>
      </c>
      <c r="F309" s="915">
        <v>149.03100000000001</v>
      </c>
      <c r="G309" s="922">
        <f t="shared" si="8"/>
        <v>0</v>
      </c>
      <c r="H309" s="915" t="e">
        <v>#REF!</v>
      </c>
      <c r="I309" s="915" t="e">
        <f t="shared" si="9"/>
        <v>#REF!</v>
      </c>
      <c r="J309" s="915">
        <v>5.2160000000000002</v>
      </c>
      <c r="K309" s="915">
        <v>0</v>
      </c>
      <c r="L309" s="915">
        <v>0</v>
      </c>
      <c r="M309" s="915">
        <v>5.2160000000000002</v>
      </c>
    </row>
    <row r="310" spans="1:13">
      <c r="A310" s="633" t="s">
        <v>2708</v>
      </c>
      <c r="B310" s="423" t="s">
        <v>1276</v>
      </c>
      <c r="C310" s="915">
        <v>751.23400000000004</v>
      </c>
      <c r="D310" s="915">
        <v>22.597999999999999</v>
      </c>
      <c r="E310" s="915">
        <v>22.597999999999999</v>
      </c>
      <c r="F310" s="915">
        <v>751.23400000000004</v>
      </c>
      <c r="G310" s="922">
        <f t="shared" si="8"/>
        <v>0</v>
      </c>
      <c r="H310" s="915" t="e">
        <v>#REF!</v>
      </c>
      <c r="I310" s="915" t="e">
        <f t="shared" si="9"/>
        <v>#REF!</v>
      </c>
      <c r="J310" s="915">
        <v>15.779</v>
      </c>
      <c r="K310" s="915">
        <v>0.19700000000000001</v>
      </c>
      <c r="L310" s="915">
        <v>0.19700000000000001</v>
      </c>
      <c r="M310" s="915">
        <v>15.779</v>
      </c>
    </row>
    <row r="311" spans="1:13">
      <c r="A311" s="633" t="s">
        <v>2710</v>
      </c>
      <c r="B311" s="423" t="s">
        <v>1277</v>
      </c>
      <c r="C311" s="915">
        <v>1846.329</v>
      </c>
      <c r="D311" s="915">
        <v>57.606999999999999</v>
      </c>
      <c r="E311" s="915">
        <v>57.606999999999999</v>
      </c>
      <c r="F311" s="915">
        <v>1846.329</v>
      </c>
      <c r="G311" s="922">
        <f t="shared" si="8"/>
        <v>0</v>
      </c>
      <c r="H311" s="915" t="e">
        <v>#REF!</v>
      </c>
      <c r="I311" s="915" t="e">
        <f t="shared" si="9"/>
        <v>#REF!</v>
      </c>
      <c r="J311" s="915">
        <v>121.042</v>
      </c>
      <c r="K311" s="915">
        <v>7.03</v>
      </c>
      <c r="L311" s="915">
        <v>7.03</v>
      </c>
      <c r="M311" s="915">
        <v>121.042</v>
      </c>
    </row>
    <row r="312" spans="1:13">
      <c r="A312" s="633" t="s">
        <v>2830</v>
      </c>
      <c r="B312" s="423" t="s">
        <v>2282</v>
      </c>
      <c r="C312" s="915">
        <v>284.33</v>
      </c>
      <c r="D312" s="915">
        <v>14.483000000000001</v>
      </c>
      <c r="E312" s="915">
        <v>7.2969999999999997</v>
      </c>
      <c r="F312" s="915">
        <v>277.14400000000001</v>
      </c>
      <c r="G312" s="922">
        <f t="shared" si="8"/>
        <v>1</v>
      </c>
      <c r="H312" s="915" t="e">
        <v>#REF!</v>
      </c>
      <c r="I312" s="915" t="e">
        <f t="shared" si="9"/>
        <v>#REF!</v>
      </c>
      <c r="J312" s="915">
        <v>0.92800000000000005</v>
      </c>
      <c r="K312" s="915">
        <v>0</v>
      </c>
      <c r="L312" s="915">
        <v>0</v>
      </c>
      <c r="M312" s="915">
        <v>0.92800000000000005</v>
      </c>
    </row>
    <row r="313" spans="1:13">
      <c r="A313" s="633" t="s">
        <v>3095</v>
      </c>
      <c r="B313" s="423" t="s">
        <v>3014</v>
      </c>
      <c r="C313" s="915">
        <v>246</v>
      </c>
      <c r="D313" s="915">
        <v>0.67100000000000004</v>
      </c>
      <c r="E313" s="915">
        <v>0.67100000000000004</v>
      </c>
      <c r="F313" s="915">
        <v>246</v>
      </c>
      <c r="G313" s="922">
        <f t="shared" si="8"/>
        <v>0</v>
      </c>
      <c r="H313" s="915" t="e">
        <v>#REF!</v>
      </c>
      <c r="I313" s="915" t="e">
        <f t="shared" si="9"/>
        <v>#REF!</v>
      </c>
      <c r="J313" s="915">
        <v>9.3160000000000007</v>
      </c>
      <c r="K313" s="915">
        <v>0</v>
      </c>
      <c r="L313" s="915">
        <v>0</v>
      </c>
      <c r="M313" s="915">
        <v>9.3160000000000007</v>
      </c>
    </row>
    <row r="314" spans="1:13">
      <c r="A314" s="633" t="s">
        <v>2712</v>
      </c>
      <c r="B314" s="423" t="s">
        <v>1278</v>
      </c>
      <c r="C314" s="915">
        <v>578.54600000000005</v>
      </c>
      <c r="D314" s="915">
        <v>17.805</v>
      </c>
      <c r="E314" s="915">
        <v>17.805</v>
      </c>
      <c r="F314" s="915">
        <v>578.54600000000005</v>
      </c>
      <c r="G314" s="922">
        <f t="shared" si="8"/>
        <v>0</v>
      </c>
      <c r="H314" s="915" t="e">
        <v>#REF!</v>
      </c>
      <c r="I314" s="915" t="e">
        <f t="shared" si="9"/>
        <v>#REF!</v>
      </c>
      <c r="J314" s="915">
        <v>26.614999999999998</v>
      </c>
      <c r="K314" s="915">
        <v>1.52</v>
      </c>
      <c r="L314" s="915">
        <v>1.52</v>
      </c>
      <c r="M314" s="915">
        <v>26.614999999999998</v>
      </c>
    </row>
    <row r="315" spans="1:13">
      <c r="A315" s="633" t="s">
        <v>2424</v>
      </c>
      <c r="B315" s="423" t="s">
        <v>1279</v>
      </c>
      <c r="C315" s="915">
        <v>848.60500000000002</v>
      </c>
      <c r="D315" s="915">
        <v>25.565000000000001</v>
      </c>
      <c r="E315" s="915">
        <v>14.272</v>
      </c>
      <c r="F315" s="915">
        <v>837.31100000000004</v>
      </c>
      <c r="G315" s="922">
        <f t="shared" si="8"/>
        <v>1</v>
      </c>
      <c r="H315" s="915" t="e">
        <v>#REF!</v>
      </c>
      <c r="I315" s="915" t="e">
        <f t="shared" si="9"/>
        <v>#REF!</v>
      </c>
      <c r="J315" s="915">
        <v>26.861000000000001</v>
      </c>
      <c r="K315" s="915">
        <v>3.5110000000000001</v>
      </c>
      <c r="L315" s="915">
        <v>1.7549999999999999</v>
      </c>
      <c r="M315" s="915">
        <v>25.106000000000002</v>
      </c>
    </row>
    <row r="316" spans="1:13">
      <c r="A316" s="633" t="s">
        <v>2426</v>
      </c>
      <c r="B316" s="423" t="s">
        <v>1280</v>
      </c>
      <c r="C316" s="915">
        <v>293.85899999999998</v>
      </c>
      <c r="D316" s="915">
        <v>4.181</v>
      </c>
      <c r="E316" s="915">
        <v>4.181</v>
      </c>
      <c r="F316" s="915">
        <v>293.85899999999998</v>
      </c>
      <c r="G316" s="922">
        <f t="shared" si="8"/>
        <v>0</v>
      </c>
      <c r="H316" s="915" t="e">
        <v>#REF!</v>
      </c>
      <c r="I316" s="915" t="e">
        <f t="shared" si="9"/>
        <v>#REF!</v>
      </c>
      <c r="J316" s="915">
        <v>0</v>
      </c>
      <c r="K316" s="915">
        <v>0</v>
      </c>
      <c r="L316" s="915">
        <v>0</v>
      </c>
      <c r="M316" s="915">
        <v>0</v>
      </c>
    </row>
    <row r="317" spans="1:13">
      <c r="A317" s="633" t="s">
        <v>2428</v>
      </c>
      <c r="B317" s="423" t="s">
        <v>1281</v>
      </c>
      <c r="C317" s="915">
        <v>521.15300000000002</v>
      </c>
      <c r="D317" s="915">
        <v>13.201000000000001</v>
      </c>
      <c r="E317" s="915">
        <v>12.571999999999999</v>
      </c>
      <c r="F317" s="915">
        <v>520.524</v>
      </c>
      <c r="G317" s="922">
        <f t="shared" si="8"/>
        <v>1</v>
      </c>
      <c r="H317" s="915" t="e">
        <v>#REF!</v>
      </c>
      <c r="I317" s="915" t="e">
        <f t="shared" si="9"/>
        <v>#REF!</v>
      </c>
      <c r="J317" s="915">
        <v>9.4719999999999995</v>
      </c>
      <c r="K317" s="915">
        <v>0.46800000000000003</v>
      </c>
      <c r="L317" s="915">
        <v>0.46800000000000003</v>
      </c>
      <c r="M317" s="915">
        <v>9.4719999999999995</v>
      </c>
    </row>
    <row r="318" spans="1:13">
      <c r="A318" s="633" t="s">
        <v>2832</v>
      </c>
      <c r="B318" s="423" t="s">
        <v>377</v>
      </c>
      <c r="C318" s="915">
        <v>400.78</v>
      </c>
      <c r="D318" s="915">
        <v>0</v>
      </c>
      <c r="E318" s="915">
        <v>0</v>
      </c>
      <c r="F318" s="915">
        <v>400.78</v>
      </c>
      <c r="G318" s="922">
        <f t="shared" si="8"/>
        <v>0</v>
      </c>
      <c r="H318" s="915" t="e">
        <v>#REF!</v>
      </c>
      <c r="I318" s="915" t="e">
        <f t="shared" si="9"/>
        <v>#REF!</v>
      </c>
      <c r="J318" s="915">
        <v>7.6440000000000001</v>
      </c>
      <c r="K318" s="915">
        <v>0</v>
      </c>
      <c r="L318" s="915">
        <v>0</v>
      </c>
      <c r="M318" s="915">
        <v>7.6440000000000001</v>
      </c>
    </row>
    <row r="319" spans="1:13">
      <c r="A319" s="633" t="s">
        <v>4923</v>
      </c>
      <c r="B319" s="423" t="s">
        <v>1282</v>
      </c>
      <c r="C319" s="915">
        <v>510.358</v>
      </c>
      <c r="D319" s="915">
        <v>8.5470000000000006</v>
      </c>
      <c r="E319" s="915">
        <v>8.5470000000000006</v>
      </c>
      <c r="F319" s="915">
        <v>510.358</v>
      </c>
      <c r="G319" s="922">
        <f t="shared" si="8"/>
        <v>0</v>
      </c>
      <c r="H319" s="915" t="e">
        <v>#REF!</v>
      </c>
      <c r="I319" s="915" t="e">
        <f t="shared" si="9"/>
        <v>#REF!</v>
      </c>
      <c r="J319" s="915">
        <v>68.864000000000004</v>
      </c>
      <c r="K319" s="915">
        <v>5.1950000000000003</v>
      </c>
      <c r="L319" s="915">
        <v>5.1950000000000003</v>
      </c>
      <c r="M319" s="915">
        <v>68.864000000000004</v>
      </c>
    </row>
    <row r="320" spans="1:13">
      <c r="A320" s="633" t="s">
        <v>4925</v>
      </c>
      <c r="B320" s="423" t="s">
        <v>1283</v>
      </c>
      <c r="C320" s="915">
        <v>1750.2</v>
      </c>
      <c r="D320" s="915">
        <v>28.134</v>
      </c>
      <c r="E320" s="915">
        <v>28.007999999999999</v>
      </c>
      <c r="F320" s="915">
        <v>1750.0740000000001</v>
      </c>
      <c r="G320" s="922">
        <f t="shared" si="8"/>
        <v>1</v>
      </c>
      <c r="H320" s="915" t="e">
        <v>#REF!</v>
      </c>
      <c r="I320" s="915" t="e">
        <f t="shared" si="9"/>
        <v>#REF!</v>
      </c>
      <c r="J320" s="915">
        <v>164.69499999999999</v>
      </c>
      <c r="K320" s="915">
        <v>8.65</v>
      </c>
      <c r="L320" s="915">
        <v>8.65</v>
      </c>
      <c r="M320" s="915">
        <v>164.69499999999999</v>
      </c>
    </row>
    <row r="321" spans="1:13">
      <c r="A321" s="633" t="s">
        <v>4927</v>
      </c>
      <c r="B321" s="423" t="s">
        <v>1284</v>
      </c>
      <c r="C321" s="915">
        <v>689.95899999999995</v>
      </c>
      <c r="D321" s="915">
        <v>14.253</v>
      </c>
      <c r="E321" s="915">
        <v>14.253</v>
      </c>
      <c r="F321" s="915">
        <v>689.95899999999995</v>
      </c>
      <c r="G321" s="922">
        <f t="shared" si="8"/>
        <v>0</v>
      </c>
      <c r="H321" s="915" t="e">
        <v>#REF!</v>
      </c>
      <c r="I321" s="915" t="e">
        <f t="shared" si="9"/>
        <v>#REF!</v>
      </c>
      <c r="J321" s="915">
        <v>57.84</v>
      </c>
      <c r="K321" s="915">
        <v>4.12</v>
      </c>
      <c r="L321" s="915">
        <v>4.12</v>
      </c>
      <c r="M321" s="915">
        <v>57.84</v>
      </c>
    </row>
    <row r="322" spans="1:13">
      <c r="A322" s="633" t="s">
        <v>4929</v>
      </c>
      <c r="B322" s="423" t="s">
        <v>1285</v>
      </c>
      <c r="C322" s="915">
        <v>208.00299999999999</v>
      </c>
      <c r="D322" s="915">
        <v>0</v>
      </c>
      <c r="E322" s="915">
        <v>0</v>
      </c>
      <c r="F322" s="915">
        <v>208.00299999999999</v>
      </c>
      <c r="G322" s="922">
        <f t="shared" si="8"/>
        <v>0</v>
      </c>
      <c r="H322" s="915" t="e">
        <v>#REF!</v>
      </c>
      <c r="I322" s="915" t="e">
        <f t="shared" si="9"/>
        <v>#REF!</v>
      </c>
      <c r="J322" s="915">
        <v>0.98499999999999999</v>
      </c>
      <c r="K322" s="915">
        <v>0</v>
      </c>
      <c r="L322" s="915">
        <v>0</v>
      </c>
      <c r="M322" s="915">
        <v>0.98499999999999999</v>
      </c>
    </row>
    <row r="323" spans="1:13">
      <c r="A323" s="633" t="s">
        <v>4931</v>
      </c>
      <c r="B323" s="423" t="s">
        <v>1286</v>
      </c>
      <c r="C323" s="915">
        <v>218.48099999999999</v>
      </c>
      <c r="D323" s="915">
        <v>3.1989999999999998</v>
      </c>
      <c r="E323" s="915">
        <v>3.1989999999999998</v>
      </c>
      <c r="F323" s="915">
        <v>218.48099999999999</v>
      </c>
      <c r="G323" s="922">
        <f t="shared" ref="G323:G386" si="10">IF(F323&lt;C323,1,0)</f>
        <v>0</v>
      </c>
      <c r="H323" s="915" t="e">
        <v>#REF!</v>
      </c>
      <c r="I323" s="915" t="e">
        <f t="shared" ref="I323:I386" si="11">F323-H323</f>
        <v>#REF!</v>
      </c>
      <c r="J323" s="915">
        <v>8.8889999999999993</v>
      </c>
      <c r="K323" s="915">
        <v>2.1739999999999999</v>
      </c>
      <c r="L323" s="915">
        <v>2.1739999999999999</v>
      </c>
      <c r="M323" s="915">
        <v>8.8889999999999993</v>
      </c>
    </row>
    <row r="324" spans="1:13">
      <c r="A324" s="633" t="s">
        <v>4933</v>
      </c>
      <c r="B324" s="423" t="s">
        <v>7379</v>
      </c>
      <c r="C324" s="915">
        <v>265.05200000000002</v>
      </c>
      <c r="D324" s="915">
        <v>7.1449999999999996</v>
      </c>
      <c r="E324" s="915">
        <v>7.1449999999999996</v>
      </c>
      <c r="F324" s="915">
        <v>265.05200000000002</v>
      </c>
      <c r="G324" s="922">
        <f t="shared" si="10"/>
        <v>0</v>
      </c>
      <c r="H324" s="915" t="e">
        <v>#REF!</v>
      </c>
      <c r="I324" s="915" t="e">
        <f t="shared" si="11"/>
        <v>#REF!</v>
      </c>
      <c r="J324" s="915">
        <v>1.417</v>
      </c>
      <c r="K324" s="915">
        <v>0.438</v>
      </c>
      <c r="L324" s="915">
        <v>0.438</v>
      </c>
      <c r="M324" s="915">
        <v>1.417</v>
      </c>
    </row>
    <row r="325" spans="1:13">
      <c r="A325" s="633" t="s">
        <v>444</v>
      </c>
      <c r="B325" s="423" t="s">
        <v>370</v>
      </c>
      <c r="C325" s="915">
        <v>317.78199999999998</v>
      </c>
      <c r="D325" s="915">
        <v>9.0579999999999998</v>
      </c>
      <c r="E325" s="915">
        <v>9.0579999999999998</v>
      </c>
      <c r="F325" s="915">
        <v>317.78199999999998</v>
      </c>
      <c r="G325" s="922">
        <f t="shared" si="10"/>
        <v>0</v>
      </c>
      <c r="H325" s="915" t="e">
        <v>#REF!</v>
      </c>
      <c r="I325" s="915" t="e">
        <f t="shared" si="11"/>
        <v>#REF!</v>
      </c>
      <c r="J325" s="915">
        <v>5.8760000000000003</v>
      </c>
      <c r="K325" s="915">
        <v>0</v>
      </c>
      <c r="L325" s="915">
        <v>0</v>
      </c>
      <c r="M325" s="915">
        <v>5.8760000000000003</v>
      </c>
    </row>
    <row r="326" spans="1:13">
      <c r="A326" s="633" t="s">
        <v>3558</v>
      </c>
      <c r="B326" s="423" t="s">
        <v>1288</v>
      </c>
      <c r="C326" s="915">
        <v>806.47299999999996</v>
      </c>
      <c r="D326" s="915">
        <v>18.513999999999999</v>
      </c>
      <c r="E326" s="915">
        <v>18.513999999999999</v>
      </c>
      <c r="F326" s="915">
        <v>806.47299999999996</v>
      </c>
      <c r="G326" s="922">
        <f t="shared" si="10"/>
        <v>0</v>
      </c>
      <c r="H326" s="915" t="e">
        <v>#REF!</v>
      </c>
      <c r="I326" s="915" t="e">
        <f t="shared" si="11"/>
        <v>#REF!</v>
      </c>
      <c r="J326" s="915">
        <v>79.572000000000003</v>
      </c>
      <c r="K326" s="915">
        <v>1.3129999999999999</v>
      </c>
      <c r="L326" s="915">
        <v>1.3129999999999999</v>
      </c>
      <c r="M326" s="915">
        <v>79.572000000000003</v>
      </c>
    </row>
    <row r="327" spans="1:13">
      <c r="A327" s="633" t="s">
        <v>3560</v>
      </c>
      <c r="B327" s="423" t="s">
        <v>2909</v>
      </c>
      <c r="C327" s="915">
        <v>513.48500000000001</v>
      </c>
      <c r="D327" s="915">
        <v>11.147</v>
      </c>
      <c r="E327" s="915">
        <v>11.147</v>
      </c>
      <c r="F327" s="915">
        <v>513.48500000000001</v>
      </c>
      <c r="G327" s="922">
        <f t="shared" si="10"/>
        <v>0</v>
      </c>
      <c r="H327" s="915" t="e">
        <v>#REF!</v>
      </c>
      <c r="I327" s="915" t="e">
        <f t="shared" si="11"/>
        <v>#REF!</v>
      </c>
      <c r="J327" s="915">
        <v>16.661000000000001</v>
      </c>
      <c r="K327" s="915">
        <v>0.91600000000000004</v>
      </c>
      <c r="L327" s="915">
        <v>0.91600000000000004</v>
      </c>
      <c r="M327" s="915">
        <v>16.661000000000001</v>
      </c>
    </row>
    <row r="328" spans="1:13">
      <c r="A328" s="633" t="s">
        <v>3562</v>
      </c>
      <c r="B328" s="423" t="s">
        <v>2910</v>
      </c>
      <c r="C328" s="915">
        <v>220.78899999999999</v>
      </c>
      <c r="D328" s="915">
        <v>2.08</v>
      </c>
      <c r="E328" s="915">
        <v>2.08</v>
      </c>
      <c r="F328" s="915">
        <v>220.78899999999999</v>
      </c>
      <c r="G328" s="922">
        <f t="shared" si="10"/>
        <v>0</v>
      </c>
      <c r="H328" s="915" t="e">
        <v>#REF!</v>
      </c>
      <c r="I328" s="915" t="e">
        <f t="shared" si="11"/>
        <v>#REF!</v>
      </c>
      <c r="J328" s="915">
        <v>3.9380000000000002</v>
      </c>
      <c r="K328" s="915">
        <v>0</v>
      </c>
      <c r="L328" s="915">
        <v>0</v>
      </c>
      <c r="M328" s="915">
        <v>3.9380000000000002</v>
      </c>
    </row>
    <row r="329" spans="1:13">
      <c r="A329" s="633" t="s">
        <v>3564</v>
      </c>
      <c r="B329" s="423" t="s">
        <v>7385</v>
      </c>
      <c r="C329" s="915">
        <v>21480.733</v>
      </c>
      <c r="D329" s="915">
        <v>395.09899999999999</v>
      </c>
      <c r="E329" s="915">
        <v>389.44200000000001</v>
      </c>
      <c r="F329" s="915">
        <v>21475.076000000001</v>
      </c>
      <c r="G329" s="922">
        <f t="shared" si="10"/>
        <v>1</v>
      </c>
      <c r="H329" s="915" t="e">
        <v>#REF!</v>
      </c>
      <c r="I329" s="915" t="e">
        <f t="shared" si="11"/>
        <v>#REF!</v>
      </c>
      <c r="J329" s="915">
        <v>2712.3829999999998</v>
      </c>
      <c r="K329" s="915">
        <v>160.21299999999999</v>
      </c>
      <c r="L329" s="915">
        <v>158.96</v>
      </c>
      <c r="M329" s="915">
        <v>2711.13</v>
      </c>
    </row>
    <row r="330" spans="1:13">
      <c r="A330" s="633" t="s">
        <v>6179</v>
      </c>
      <c r="B330" s="423" t="s">
        <v>1932</v>
      </c>
      <c r="C330" s="915">
        <v>2444.7069999999999</v>
      </c>
      <c r="D330" s="915">
        <v>15.798</v>
      </c>
      <c r="E330" s="915">
        <v>15.798</v>
      </c>
      <c r="F330" s="915">
        <v>2444.7069999999999</v>
      </c>
      <c r="G330" s="922">
        <f t="shared" si="10"/>
        <v>0</v>
      </c>
      <c r="H330" s="915" t="e">
        <v>#REF!</v>
      </c>
      <c r="I330" s="915" t="e">
        <f t="shared" si="11"/>
        <v>#REF!</v>
      </c>
      <c r="J330" s="915">
        <v>159.31399999999999</v>
      </c>
      <c r="K330" s="915">
        <v>9.3919999999999995</v>
      </c>
      <c r="L330" s="915">
        <v>9.3919999999999995</v>
      </c>
      <c r="M330" s="915">
        <v>159.31399999999999</v>
      </c>
    </row>
    <row r="331" spans="1:13">
      <c r="A331" s="633" t="s">
        <v>1309</v>
      </c>
      <c r="B331" s="423" t="s">
        <v>114</v>
      </c>
      <c r="C331" s="915">
        <v>65525.105000000003</v>
      </c>
      <c r="D331" s="915">
        <v>480.21800000000002</v>
      </c>
      <c r="E331" s="915">
        <v>477.54599999999999</v>
      </c>
      <c r="F331" s="915">
        <v>65522.432999999997</v>
      </c>
      <c r="G331" s="922">
        <f t="shared" si="10"/>
        <v>1</v>
      </c>
      <c r="H331" s="915" t="e">
        <v>#REF!</v>
      </c>
      <c r="I331" s="915" t="e">
        <f t="shared" si="11"/>
        <v>#REF!</v>
      </c>
      <c r="J331" s="915">
        <v>7563.1819999999998</v>
      </c>
      <c r="K331" s="915">
        <v>288.80399999999997</v>
      </c>
      <c r="L331" s="915">
        <v>286.59300000000002</v>
      </c>
      <c r="M331" s="915">
        <v>7560.9709999999995</v>
      </c>
    </row>
    <row r="332" spans="1:13">
      <c r="A332" s="633" t="s">
        <v>3566</v>
      </c>
      <c r="B332" s="423" t="s">
        <v>2912</v>
      </c>
      <c r="C332" s="915">
        <v>68.311999999999998</v>
      </c>
      <c r="D332" s="915">
        <v>9.1240000000000006</v>
      </c>
      <c r="E332" s="915">
        <v>9.1240000000000006</v>
      </c>
      <c r="F332" s="915">
        <v>68.311999999999998</v>
      </c>
      <c r="G332" s="922">
        <f t="shared" si="10"/>
        <v>0</v>
      </c>
      <c r="H332" s="915" t="e">
        <v>#REF!</v>
      </c>
      <c r="I332" s="915" t="e">
        <f t="shared" si="11"/>
        <v>#REF!</v>
      </c>
      <c r="J332" s="915">
        <v>12.891</v>
      </c>
      <c r="K332" s="915">
        <v>1.395</v>
      </c>
      <c r="L332" s="915">
        <v>1.395</v>
      </c>
      <c r="M332" s="915">
        <v>12.891</v>
      </c>
    </row>
    <row r="333" spans="1:13">
      <c r="A333" s="633" t="s">
        <v>3568</v>
      </c>
      <c r="B333" s="423" t="s">
        <v>7390</v>
      </c>
      <c r="C333" s="915">
        <v>2863.491</v>
      </c>
      <c r="D333" s="915">
        <v>46.677</v>
      </c>
      <c r="E333" s="915">
        <v>45.813000000000002</v>
      </c>
      <c r="F333" s="915">
        <v>2862.6280000000002</v>
      </c>
      <c r="G333" s="922">
        <f t="shared" si="10"/>
        <v>1</v>
      </c>
      <c r="H333" s="915" t="e">
        <v>#REF!</v>
      </c>
      <c r="I333" s="915" t="e">
        <f t="shared" si="11"/>
        <v>#REF!</v>
      </c>
      <c r="J333" s="915">
        <v>351.55900000000003</v>
      </c>
      <c r="K333" s="915">
        <v>22.91</v>
      </c>
      <c r="L333" s="915">
        <v>22.484999999999999</v>
      </c>
      <c r="M333" s="915">
        <v>351.13400000000001</v>
      </c>
    </row>
    <row r="334" spans="1:13">
      <c r="A334" s="633" t="s">
        <v>1607</v>
      </c>
      <c r="B334" s="423" t="s">
        <v>2914</v>
      </c>
      <c r="C334" s="915">
        <v>1439.5889999999999</v>
      </c>
      <c r="D334" s="915">
        <v>14.786</v>
      </c>
      <c r="E334" s="915">
        <v>14.786</v>
      </c>
      <c r="F334" s="915">
        <v>1439.5889999999999</v>
      </c>
      <c r="G334" s="922">
        <f t="shared" si="10"/>
        <v>0</v>
      </c>
      <c r="H334" s="915" t="e">
        <v>#REF!</v>
      </c>
      <c r="I334" s="915" t="e">
        <f t="shared" si="11"/>
        <v>#REF!</v>
      </c>
      <c r="J334" s="915">
        <v>104.869</v>
      </c>
      <c r="K334" s="915">
        <v>4.577</v>
      </c>
      <c r="L334" s="915">
        <v>4.577</v>
      </c>
      <c r="M334" s="915">
        <v>104.869</v>
      </c>
    </row>
    <row r="335" spans="1:13">
      <c r="A335" s="633" t="s">
        <v>2482</v>
      </c>
      <c r="B335" s="423" t="s">
        <v>2915</v>
      </c>
      <c r="C335" s="915">
        <v>1750.248</v>
      </c>
      <c r="D335" s="915">
        <v>52.665999999999997</v>
      </c>
      <c r="E335" s="915">
        <v>27.06</v>
      </c>
      <c r="F335" s="915">
        <v>1724.6420000000001</v>
      </c>
      <c r="G335" s="922">
        <f t="shared" si="10"/>
        <v>1</v>
      </c>
      <c r="H335" s="915" t="e">
        <v>#REF!</v>
      </c>
      <c r="I335" s="915" t="e">
        <f t="shared" si="11"/>
        <v>#REF!</v>
      </c>
      <c r="J335" s="915">
        <v>106.111</v>
      </c>
      <c r="K335" s="915">
        <v>10.09</v>
      </c>
      <c r="L335" s="915">
        <v>5.0730000000000004</v>
      </c>
      <c r="M335" s="915">
        <v>101.09399999999999</v>
      </c>
    </row>
    <row r="336" spans="1:13">
      <c r="A336" s="633" t="s">
        <v>2484</v>
      </c>
      <c r="B336" s="423" t="s">
        <v>2916</v>
      </c>
      <c r="C336" s="915">
        <v>1121.193</v>
      </c>
      <c r="D336" s="915">
        <v>13.233000000000001</v>
      </c>
      <c r="E336" s="915">
        <v>13.233000000000001</v>
      </c>
      <c r="F336" s="915">
        <v>1121.193</v>
      </c>
      <c r="G336" s="922">
        <f t="shared" si="10"/>
        <v>0</v>
      </c>
      <c r="H336" s="915" t="e">
        <v>#REF!</v>
      </c>
      <c r="I336" s="915" t="e">
        <f t="shared" si="11"/>
        <v>#REF!</v>
      </c>
      <c r="J336" s="915">
        <v>71.477999999999994</v>
      </c>
      <c r="K336" s="915">
        <v>3.8959999999999999</v>
      </c>
      <c r="L336" s="915">
        <v>3.8959999999999999</v>
      </c>
      <c r="M336" s="915">
        <v>71.477999999999994</v>
      </c>
    </row>
    <row r="337" spans="1:13">
      <c r="A337" s="633" t="s">
        <v>2486</v>
      </c>
      <c r="B337" s="423" t="s">
        <v>2917</v>
      </c>
      <c r="C337" s="915">
        <v>446.32299999999998</v>
      </c>
      <c r="D337" s="915">
        <v>4.7380000000000004</v>
      </c>
      <c r="E337" s="915">
        <v>4.7380000000000004</v>
      </c>
      <c r="F337" s="915">
        <v>446.32299999999998</v>
      </c>
      <c r="G337" s="922">
        <f t="shared" si="10"/>
        <v>0</v>
      </c>
      <c r="H337" s="915" t="e">
        <v>#REF!</v>
      </c>
      <c r="I337" s="915" t="e">
        <f t="shared" si="11"/>
        <v>#REF!</v>
      </c>
      <c r="J337" s="915">
        <v>13.135</v>
      </c>
      <c r="K337" s="915">
        <v>0</v>
      </c>
      <c r="L337" s="915">
        <v>0</v>
      </c>
      <c r="M337" s="915">
        <v>13.135</v>
      </c>
    </row>
    <row r="338" spans="1:13">
      <c r="A338" s="633" t="s">
        <v>2488</v>
      </c>
      <c r="B338" s="423" t="s">
        <v>2918</v>
      </c>
      <c r="C338" s="915">
        <v>143.21199999999999</v>
      </c>
      <c r="D338" s="915">
        <v>3.3010000000000002</v>
      </c>
      <c r="E338" s="915">
        <v>3.3010000000000002</v>
      </c>
      <c r="F338" s="915">
        <v>143.21199999999999</v>
      </c>
      <c r="G338" s="922">
        <f t="shared" si="10"/>
        <v>0</v>
      </c>
      <c r="H338" s="915" t="e">
        <v>#REF!</v>
      </c>
      <c r="I338" s="915" t="e">
        <f t="shared" si="11"/>
        <v>#REF!</v>
      </c>
      <c r="J338" s="915">
        <v>0.94</v>
      </c>
      <c r="K338" s="915">
        <v>0</v>
      </c>
      <c r="L338" s="915">
        <v>0</v>
      </c>
      <c r="M338" s="915">
        <v>0.94</v>
      </c>
    </row>
    <row r="339" spans="1:13">
      <c r="A339" s="633" t="s">
        <v>2834</v>
      </c>
      <c r="B339" s="423" t="s">
        <v>1002</v>
      </c>
      <c r="C339" s="915">
        <v>824.774</v>
      </c>
      <c r="D339" s="915">
        <v>14.324</v>
      </c>
      <c r="E339" s="915">
        <v>14.324</v>
      </c>
      <c r="F339" s="915">
        <v>824.774</v>
      </c>
      <c r="G339" s="922">
        <f t="shared" si="10"/>
        <v>0</v>
      </c>
      <c r="H339" s="915" t="e">
        <v>#REF!</v>
      </c>
      <c r="I339" s="915" t="e">
        <f t="shared" si="11"/>
        <v>#REF!</v>
      </c>
      <c r="J339" s="915">
        <v>30</v>
      </c>
      <c r="K339" s="915">
        <v>0.72499999999999998</v>
      </c>
      <c r="L339" s="915">
        <v>0.72499999999999998</v>
      </c>
      <c r="M339" s="915">
        <v>30</v>
      </c>
    </row>
    <row r="340" spans="1:13">
      <c r="A340" s="633" t="s">
        <v>445</v>
      </c>
      <c r="B340" s="423" t="s">
        <v>5294</v>
      </c>
      <c r="C340" s="915">
        <v>2124.0909999999999</v>
      </c>
      <c r="D340" s="915">
        <v>92.903999999999996</v>
      </c>
      <c r="E340" s="915">
        <v>48.802</v>
      </c>
      <c r="F340" s="915">
        <v>2079.9899999999998</v>
      </c>
      <c r="G340" s="922">
        <f t="shared" si="10"/>
        <v>1</v>
      </c>
      <c r="H340" s="915" t="e">
        <v>#REF!</v>
      </c>
      <c r="I340" s="915" t="e">
        <f t="shared" si="11"/>
        <v>#REF!</v>
      </c>
      <c r="J340" s="915">
        <v>108.336</v>
      </c>
      <c r="K340" s="915">
        <v>12.827999999999999</v>
      </c>
      <c r="L340" s="915">
        <v>6.58</v>
      </c>
      <c r="M340" s="915">
        <v>102.08799999999999</v>
      </c>
    </row>
    <row r="341" spans="1:13">
      <c r="A341" s="633" t="s">
        <v>2490</v>
      </c>
      <c r="B341" s="423" t="s">
        <v>2919</v>
      </c>
      <c r="C341" s="915">
        <v>526.78800000000001</v>
      </c>
      <c r="D341" s="915">
        <v>14.739000000000001</v>
      </c>
      <c r="E341" s="915">
        <v>14.739000000000001</v>
      </c>
      <c r="F341" s="915">
        <v>526.78800000000001</v>
      </c>
      <c r="G341" s="922">
        <f t="shared" si="10"/>
        <v>0</v>
      </c>
      <c r="H341" s="915" t="e">
        <v>#REF!</v>
      </c>
      <c r="I341" s="915" t="e">
        <f t="shared" si="11"/>
        <v>#REF!</v>
      </c>
      <c r="J341" s="915">
        <v>45.462000000000003</v>
      </c>
      <c r="K341" s="915">
        <v>1.9419999999999999</v>
      </c>
      <c r="L341" s="915">
        <v>1.9419999999999999</v>
      </c>
      <c r="M341" s="915">
        <v>45.462000000000003</v>
      </c>
    </row>
    <row r="342" spans="1:13">
      <c r="A342" s="633" t="s">
        <v>2492</v>
      </c>
      <c r="B342" s="423" t="s">
        <v>2920</v>
      </c>
      <c r="C342" s="915">
        <v>123.03700000000001</v>
      </c>
      <c r="D342" s="915">
        <v>5.8259999999999996</v>
      </c>
      <c r="E342" s="915">
        <v>2.9430000000000001</v>
      </c>
      <c r="F342" s="915">
        <v>120.154</v>
      </c>
      <c r="G342" s="922">
        <f t="shared" si="10"/>
        <v>1</v>
      </c>
      <c r="H342" s="915" t="e">
        <v>#REF!</v>
      </c>
      <c r="I342" s="915" t="e">
        <f t="shared" si="11"/>
        <v>#REF!</v>
      </c>
      <c r="J342" s="915">
        <v>6.0060000000000002</v>
      </c>
      <c r="K342" s="915">
        <v>2.9140000000000001</v>
      </c>
      <c r="L342" s="915">
        <v>1.4570000000000001</v>
      </c>
      <c r="M342" s="915">
        <v>4.5490000000000004</v>
      </c>
    </row>
    <row r="343" spans="1:13">
      <c r="A343" s="633" t="s">
        <v>2494</v>
      </c>
      <c r="B343" s="423" t="s">
        <v>2921</v>
      </c>
      <c r="C343" s="915">
        <v>2249.7080000000001</v>
      </c>
      <c r="D343" s="915">
        <v>120.252</v>
      </c>
      <c r="E343" s="915">
        <v>71.317999999999998</v>
      </c>
      <c r="F343" s="915">
        <v>2200.7739999999999</v>
      </c>
      <c r="G343" s="922">
        <f t="shared" si="10"/>
        <v>1</v>
      </c>
      <c r="H343" s="915" t="e">
        <v>#REF!</v>
      </c>
      <c r="I343" s="915" t="e">
        <f t="shared" si="11"/>
        <v>#REF!</v>
      </c>
      <c r="J343" s="915">
        <v>243.89599999999999</v>
      </c>
      <c r="K343" s="915">
        <v>31.210999999999999</v>
      </c>
      <c r="L343" s="915">
        <v>18.404</v>
      </c>
      <c r="M343" s="915">
        <v>231.08799999999999</v>
      </c>
    </row>
    <row r="344" spans="1:13">
      <c r="A344" s="633" t="s">
        <v>2498</v>
      </c>
      <c r="B344" s="423" t="s">
        <v>2922</v>
      </c>
      <c r="C344" s="915">
        <v>7760.8370000000004</v>
      </c>
      <c r="D344" s="915">
        <v>186.32400000000001</v>
      </c>
      <c r="E344" s="915">
        <v>186.32400000000001</v>
      </c>
      <c r="F344" s="915">
        <v>7760.8370000000004</v>
      </c>
      <c r="G344" s="922">
        <f t="shared" si="10"/>
        <v>0</v>
      </c>
      <c r="H344" s="915" t="e">
        <v>#REF!</v>
      </c>
      <c r="I344" s="915" t="e">
        <f t="shared" si="11"/>
        <v>#REF!</v>
      </c>
      <c r="J344" s="915">
        <v>736.46799999999996</v>
      </c>
      <c r="K344" s="915">
        <v>63.220999999999997</v>
      </c>
      <c r="L344" s="915">
        <v>63.220999999999997</v>
      </c>
      <c r="M344" s="915">
        <v>736.46799999999996</v>
      </c>
    </row>
    <row r="345" spans="1:13">
      <c r="A345" s="633" t="s">
        <v>1670</v>
      </c>
      <c r="B345" s="423" t="s">
        <v>2923</v>
      </c>
      <c r="C345" s="915">
        <v>5582.2209999999995</v>
      </c>
      <c r="D345" s="915">
        <v>147.286</v>
      </c>
      <c r="E345" s="915">
        <v>145.029</v>
      </c>
      <c r="F345" s="915">
        <v>5579.9650000000001</v>
      </c>
      <c r="G345" s="922">
        <f t="shared" si="10"/>
        <v>1</v>
      </c>
      <c r="H345" s="915" t="e">
        <v>#REF!</v>
      </c>
      <c r="I345" s="915" t="e">
        <f t="shared" si="11"/>
        <v>#REF!</v>
      </c>
      <c r="J345" s="915">
        <v>783.60799999999995</v>
      </c>
      <c r="K345" s="915">
        <v>24.004999999999999</v>
      </c>
      <c r="L345" s="915">
        <v>24.004999999999999</v>
      </c>
      <c r="M345" s="915">
        <v>783.60799999999995</v>
      </c>
    </row>
    <row r="346" spans="1:13">
      <c r="A346" s="633" t="s">
        <v>1867</v>
      </c>
      <c r="B346" s="423" t="s">
        <v>3846</v>
      </c>
      <c r="C346" s="915">
        <v>165.62</v>
      </c>
      <c r="D346" s="915">
        <v>0</v>
      </c>
      <c r="E346" s="915">
        <v>0</v>
      </c>
      <c r="F346" s="915">
        <v>165.62</v>
      </c>
      <c r="G346" s="922">
        <f t="shared" si="10"/>
        <v>0</v>
      </c>
      <c r="H346" s="915" t="e">
        <v>#REF!</v>
      </c>
      <c r="I346" s="915" t="e">
        <f t="shared" si="11"/>
        <v>#REF!</v>
      </c>
      <c r="J346" s="915">
        <v>3.3740000000000001</v>
      </c>
      <c r="K346" s="915">
        <v>0</v>
      </c>
      <c r="L346" s="915">
        <v>0</v>
      </c>
      <c r="M346" s="915">
        <v>3.3740000000000001</v>
      </c>
    </row>
    <row r="347" spans="1:13">
      <c r="A347" s="633" t="s">
        <v>1672</v>
      </c>
      <c r="B347" s="423" t="s">
        <v>2924</v>
      </c>
      <c r="C347" s="915">
        <v>3333.4749999999999</v>
      </c>
      <c r="D347" s="915">
        <v>83.516000000000005</v>
      </c>
      <c r="E347" s="915">
        <v>83.216999999999999</v>
      </c>
      <c r="F347" s="915">
        <v>3333.1770000000001</v>
      </c>
      <c r="G347" s="922">
        <f t="shared" si="10"/>
        <v>1</v>
      </c>
      <c r="H347" s="915" t="e">
        <v>#REF!</v>
      </c>
      <c r="I347" s="915" t="e">
        <f t="shared" si="11"/>
        <v>#REF!</v>
      </c>
      <c r="J347" s="915">
        <v>148.5</v>
      </c>
      <c r="K347" s="915">
        <v>7.3220000000000001</v>
      </c>
      <c r="L347" s="915">
        <v>7.3220000000000001</v>
      </c>
      <c r="M347" s="915">
        <v>148.5</v>
      </c>
    </row>
    <row r="348" spans="1:13">
      <c r="A348" s="633" t="s">
        <v>1674</v>
      </c>
      <c r="B348" s="423" t="s">
        <v>2925</v>
      </c>
      <c r="C348" s="915">
        <v>5432.4459999999999</v>
      </c>
      <c r="D348" s="915">
        <v>32.369999999999997</v>
      </c>
      <c r="E348" s="915">
        <v>32.369999999999997</v>
      </c>
      <c r="F348" s="915">
        <v>5432.4459999999999</v>
      </c>
      <c r="G348" s="922">
        <f t="shared" si="10"/>
        <v>0</v>
      </c>
      <c r="H348" s="915" t="e">
        <v>#REF!</v>
      </c>
      <c r="I348" s="915" t="e">
        <f t="shared" si="11"/>
        <v>#REF!</v>
      </c>
      <c r="J348" s="915">
        <v>408.22899999999998</v>
      </c>
      <c r="K348" s="915">
        <v>14.009</v>
      </c>
      <c r="L348" s="915">
        <v>14.009</v>
      </c>
      <c r="M348" s="915">
        <v>408.22899999999998</v>
      </c>
    </row>
    <row r="349" spans="1:13">
      <c r="A349" s="633" t="s">
        <v>5048</v>
      </c>
      <c r="B349" s="423" t="s">
        <v>2926</v>
      </c>
      <c r="C349" s="915">
        <v>1087.7750000000001</v>
      </c>
      <c r="D349" s="915">
        <v>66.599999999999994</v>
      </c>
      <c r="E349" s="915">
        <v>34.33</v>
      </c>
      <c r="F349" s="915">
        <v>1055.5050000000001</v>
      </c>
      <c r="G349" s="922">
        <f t="shared" si="10"/>
        <v>1</v>
      </c>
      <c r="H349" s="915" t="e">
        <v>#REF!</v>
      </c>
      <c r="I349" s="915" t="e">
        <f t="shared" si="11"/>
        <v>#REF!</v>
      </c>
      <c r="J349" s="915">
        <v>72.832999999999998</v>
      </c>
      <c r="K349" s="915">
        <v>4.4509999999999996</v>
      </c>
      <c r="L349" s="915">
        <v>2.2810000000000001</v>
      </c>
      <c r="M349" s="915">
        <v>70.662999999999997</v>
      </c>
    </row>
    <row r="350" spans="1:13">
      <c r="A350" s="633" t="s">
        <v>2392</v>
      </c>
      <c r="B350" s="423" t="s">
        <v>1458</v>
      </c>
      <c r="C350" s="915">
        <v>4281.1480000000001</v>
      </c>
      <c r="D350" s="915">
        <v>55.942</v>
      </c>
      <c r="E350" s="915">
        <v>31.513000000000002</v>
      </c>
      <c r="F350" s="915">
        <v>4256.7190000000001</v>
      </c>
      <c r="G350" s="922">
        <f t="shared" si="10"/>
        <v>1</v>
      </c>
      <c r="H350" s="915" t="e">
        <v>#REF!</v>
      </c>
      <c r="I350" s="915" t="e">
        <f t="shared" si="11"/>
        <v>#REF!</v>
      </c>
      <c r="J350" s="915">
        <v>87.933000000000007</v>
      </c>
      <c r="K350" s="915">
        <v>4.1420000000000003</v>
      </c>
      <c r="L350" s="915">
        <v>2.0710000000000002</v>
      </c>
      <c r="M350" s="915">
        <v>85.861999999999995</v>
      </c>
    </row>
    <row r="351" spans="1:13">
      <c r="A351" s="633" t="s">
        <v>5050</v>
      </c>
      <c r="B351" s="423" t="s">
        <v>2927</v>
      </c>
      <c r="C351" s="915">
        <v>34974.531000000003</v>
      </c>
      <c r="D351" s="915">
        <v>354.61</v>
      </c>
      <c r="E351" s="915">
        <v>283.697</v>
      </c>
      <c r="F351" s="915">
        <v>34903.618000000002</v>
      </c>
      <c r="G351" s="922">
        <f t="shared" si="10"/>
        <v>1</v>
      </c>
      <c r="H351" s="915" t="e">
        <v>#REF!</v>
      </c>
      <c r="I351" s="915" t="e">
        <f t="shared" si="11"/>
        <v>#REF!</v>
      </c>
      <c r="J351" s="915">
        <v>2365.1109999999999</v>
      </c>
      <c r="K351" s="915">
        <v>169.15700000000001</v>
      </c>
      <c r="L351" s="915">
        <v>131.35</v>
      </c>
      <c r="M351" s="915">
        <v>2327.3040000000001</v>
      </c>
    </row>
    <row r="352" spans="1:13">
      <c r="A352" s="633" t="s">
        <v>1311</v>
      </c>
      <c r="B352" s="423" t="s">
        <v>116</v>
      </c>
      <c r="C352" s="915">
        <v>5748.9889999999996</v>
      </c>
      <c r="D352" s="915">
        <v>22.459</v>
      </c>
      <c r="E352" s="915">
        <v>13.468999999999999</v>
      </c>
      <c r="F352" s="915">
        <v>5739.9989999999998</v>
      </c>
      <c r="G352" s="922">
        <f t="shared" si="10"/>
        <v>1</v>
      </c>
      <c r="H352" s="915" t="e">
        <v>#REF!</v>
      </c>
      <c r="I352" s="915" t="e">
        <f t="shared" si="11"/>
        <v>#REF!</v>
      </c>
      <c r="J352" s="915">
        <v>93.418000000000006</v>
      </c>
      <c r="K352" s="915">
        <v>6.8609999999999998</v>
      </c>
      <c r="L352" s="915">
        <v>3.8239999999999998</v>
      </c>
      <c r="M352" s="915">
        <v>90.381</v>
      </c>
    </row>
    <row r="353" spans="1:13">
      <c r="A353" s="633" t="s">
        <v>3222</v>
      </c>
      <c r="B353" s="423" t="s">
        <v>2928</v>
      </c>
      <c r="C353" s="915">
        <v>784.73199999999997</v>
      </c>
      <c r="D353" s="915">
        <v>22.31</v>
      </c>
      <c r="E353" s="915">
        <v>21.385000000000002</v>
      </c>
      <c r="F353" s="915">
        <v>783.80700000000002</v>
      </c>
      <c r="G353" s="922">
        <f t="shared" si="10"/>
        <v>1</v>
      </c>
      <c r="H353" s="915" t="e">
        <v>#REF!</v>
      </c>
      <c r="I353" s="915" t="e">
        <f t="shared" si="11"/>
        <v>#REF!</v>
      </c>
      <c r="J353" s="915">
        <v>56.192</v>
      </c>
      <c r="K353" s="915">
        <v>2.032</v>
      </c>
      <c r="L353" s="915">
        <v>2.032</v>
      </c>
      <c r="M353" s="915">
        <v>56.192</v>
      </c>
    </row>
    <row r="354" spans="1:13">
      <c r="A354" s="633" t="s">
        <v>3224</v>
      </c>
      <c r="B354" s="423" t="s">
        <v>2929</v>
      </c>
      <c r="C354" s="915">
        <v>138.25399999999999</v>
      </c>
      <c r="D354" s="915">
        <v>2.3079999999999998</v>
      </c>
      <c r="E354" s="915">
        <v>2.3079999999999998</v>
      </c>
      <c r="F354" s="915">
        <v>138.25399999999999</v>
      </c>
      <c r="G354" s="922">
        <f t="shared" si="10"/>
        <v>0</v>
      </c>
      <c r="H354" s="915" t="e">
        <v>#REF!</v>
      </c>
      <c r="I354" s="915" t="e">
        <f t="shared" si="11"/>
        <v>#REF!</v>
      </c>
      <c r="J354" s="915">
        <v>0</v>
      </c>
      <c r="K354" s="915">
        <v>0</v>
      </c>
      <c r="L354" s="915">
        <v>0</v>
      </c>
      <c r="M354" s="915">
        <v>0</v>
      </c>
    </row>
    <row r="355" spans="1:13">
      <c r="A355" s="633" t="s">
        <v>6218</v>
      </c>
      <c r="B355" s="423" t="s">
        <v>7413</v>
      </c>
      <c r="C355" s="915">
        <v>24.465</v>
      </c>
      <c r="D355" s="915">
        <v>0</v>
      </c>
      <c r="E355" s="915">
        <v>0</v>
      </c>
      <c r="F355" s="915">
        <v>24.465</v>
      </c>
      <c r="G355" s="922">
        <f t="shared" si="10"/>
        <v>0</v>
      </c>
      <c r="H355" s="915" t="e">
        <v>#REF!</v>
      </c>
      <c r="I355" s="915" t="e">
        <f t="shared" si="11"/>
        <v>#REF!</v>
      </c>
      <c r="J355" s="915">
        <v>0</v>
      </c>
      <c r="K355" s="915">
        <v>0</v>
      </c>
      <c r="L355" s="915">
        <v>0</v>
      </c>
      <c r="M355" s="915">
        <v>0</v>
      </c>
    </row>
    <row r="356" spans="1:13">
      <c r="A356" s="633" t="s">
        <v>3228</v>
      </c>
      <c r="B356" s="423" t="s">
        <v>2931</v>
      </c>
      <c r="C356" s="915">
        <v>2669.5619999999999</v>
      </c>
      <c r="D356" s="915">
        <v>34.252000000000002</v>
      </c>
      <c r="E356" s="915">
        <v>34.252000000000002</v>
      </c>
      <c r="F356" s="915">
        <v>2669.5619999999999</v>
      </c>
      <c r="G356" s="922">
        <f t="shared" si="10"/>
        <v>0</v>
      </c>
      <c r="H356" s="915" t="e">
        <v>#REF!</v>
      </c>
      <c r="I356" s="915" t="e">
        <f t="shared" si="11"/>
        <v>#REF!</v>
      </c>
      <c r="J356" s="915">
        <v>214.952</v>
      </c>
      <c r="K356" s="915">
        <v>9.9130000000000003</v>
      </c>
      <c r="L356" s="915">
        <v>9.9130000000000003</v>
      </c>
      <c r="M356" s="915">
        <v>214.952</v>
      </c>
    </row>
    <row r="357" spans="1:13">
      <c r="A357" s="633" t="s">
        <v>3230</v>
      </c>
      <c r="B357" s="423" t="s">
        <v>2932</v>
      </c>
      <c r="C357" s="915">
        <v>570.14599999999996</v>
      </c>
      <c r="D357" s="915">
        <v>0</v>
      </c>
      <c r="E357" s="915">
        <v>0</v>
      </c>
      <c r="F357" s="915">
        <v>570.14599999999996</v>
      </c>
      <c r="G357" s="922">
        <f t="shared" si="10"/>
        <v>0</v>
      </c>
      <c r="H357" s="915" t="e">
        <v>#REF!</v>
      </c>
      <c r="I357" s="915" t="e">
        <f t="shared" si="11"/>
        <v>#REF!</v>
      </c>
      <c r="J357" s="915">
        <v>6.6589999999999998</v>
      </c>
      <c r="K357" s="915">
        <v>0</v>
      </c>
      <c r="L357" s="915">
        <v>0</v>
      </c>
      <c r="M357" s="915">
        <v>6.6589999999999998</v>
      </c>
    </row>
    <row r="358" spans="1:13">
      <c r="A358" s="633" t="s">
        <v>3232</v>
      </c>
      <c r="B358" s="423" t="s">
        <v>3788</v>
      </c>
      <c r="C358" s="915">
        <v>248.96</v>
      </c>
      <c r="D358" s="915">
        <v>6.6390000000000002</v>
      </c>
      <c r="E358" s="915">
        <v>6.6390000000000002</v>
      </c>
      <c r="F358" s="915">
        <v>248.96</v>
      </c>
      <c r="G358" s="922">
        <f t="shared" si="10"/>
        <v>0</v>
      </c>
      <c r="H358" s="915" t="e">
        <v>#REF!</v>
      </c>
      <c r="I358" s="915" t="e">
        <f t="shared" si="11"/>
        <v>#REF!</v>
      </c>
      <c r="J358" s="915">
        <v>25.077000000000002</v>
      </c>
      <c r="K358" s="915">
        <v>0</v>
      </c>
      <c r="L358" s="915">
        <v>0</v>
      </c>
      <c r="M358" s="915">
        <v>25.077000000000002</v>
      </c>
    </row>
    <row r="359" spans="1:13">
      <c r="A359" s="633" t="s">
        <v>1899</v>
      </c>
      <c r="B359" s="423" t="s">
        <v>3789</v>
      </c>
      <c r="C359" s="915">
        <v>1250.585</v>
      </c>
      <c r="D359" s="915">
        <v>42.209000000000003</v>
      </c>
      <c r="E359" s="915">
        <v>23.477</v>
      </c>
      <c r="F359" s="915">
        <v>1231.8520000000001</v>
      </c>
      <c r="G359" s="922">
        <f t="shared" si="10"/>
        <v>1</v>
      </c>
      <c r="H359" s="915" t="e">
        <v>#REF!</v>
      </c>
      <c r="I359" s="915" t="e">
        <f t="shared" si="11"/>
        <v>#REF!</v>
      </c>
      <c r="J359" s="915">
        <v>33.462000000000003</v>
      </c>
      <c r="K359" s="915">
        <v>2.5510000000000002</v>
      </c>
      <c r="L359" s="915">
        <v>1.276</v>
      </c>
      <c r="M359" s="915">
        <v>32.186</v>
      </c>
    </row>
    <row r="360" spans="1:13">
      <c r="A360" s="633" t="s">
        <v>1853</v>
      </c>
      <c r="B360" s="423" t="s">
        <v>4964</v>
      </c>
      <c r="C360" s="915">
        <v>2373.922</v>
      </c>
      <c r="D360" s="915">
        <v>135.49100000000001</v>
      </c>
      <c r="E360" s="915">
        <v>69.052000000000007</v>
      </c>
      <c r="F360" s="915">
        <v>2307.482</v>
      </c>
      <c r="G360" s="922">
        <f t="shared" si="10"/>
        <v>1</v>
      </c>
      <c r="H360" s="915" t="e">
        <v>#REF!</v>
      </c>
      <c r="I360" s="915" t="e">
        <f t="shared" si="11"/>
        <v>#REF!</v>
      </c>
      <c r="J360" s="915">
        <v>304.20600000000002</v>
      </c>
      <c r="K360" s="915">
        <v>48.308999999999997</v>
      </c>
      <c r="L360" s="915">
        <v>24.169</v>
      </c>
      <c r="M360" s="915">
        <v>280.06599999999997</v>
      </c>
    </row>
    <row r="361" spans="1:13">
      <c r="A361" s="633" t="s">
        <v>1901</v>
      </c>
      <c r="B361" s="423" t="s">
        <v>7420</v>
      </c>
      <c r="C361" s="915">
        <v>946.85299999999995</v>
      </c>
      <c r="D361" s="915">
        <v>33.417000000000002</v>
      </c>
      <c r="E361" s="915">
        <v>33.417000000000002</v>
      </c>
      <c r="F361" s="915">
        <v>946.85299999999995</v>
      </c>
      <c r="G361" s="922">
        <f t="shared" si="10"/>
        <v>0</v>
      </c>
      <c r="H361" s="915" t="e">
        <v>#REF!</v>
      </c>
      <c r="I361" s="915" t="e">
        <f t="shared" si="11"/>
        <v>#REF!</v>
      </c>
      <c r="J361" s="915">
        <v>91.879000000000005</v>
      </c>
      <c r="K361" s="915">
        <v>8.0920000000000005</v>
      </c>
      <c r="L361" s="915">
        <v>8.0920000000000005</v>
      </c>
      <c r="M361" s="915">
        <v>91.879000000000005</v>
      </c>
    </row>
    <row r="362" spans="1:13">
      <c r="A362" s="633" t="s">
        <v>1903</v>
      </c>
      <c r="B362" s="423" t="s">
        <v>3791</v>
      </c>
      <c r="C362" s="915">
        <v>221.35599999999999</v>
      </c>
      <c r="D362" s="915">
        <v>16.173999999999999</v>
      </c>
      <c r="E362" s="915">
        <v>16.173999999999999</v>
      </c>
      <c r="F362" s="915">
        <v>221.35599999999999</v>
      </c>
      <c r="G362" s="922">
        <f t="shared" si="10"/>
        <v>0</v>
      </c>
      <c r="H362" s="915" t="e">
        <v>#REF!</v>
      </c>
      <c r="I362" s="915" t="e">
        <f t="shared" si="11"/>
        <v>#REF!</v>
      </c>
      <c r="J362" s="915">
        <v>5.4429999999999996</v>
      </c>
      <c r="K362" s="915">
        <v>0</v>
      </c>
      <c r="L362" s="915">
        <v>0</v>
      </c>
      <c r="M362" s="915">
        <v>5.4429999999999996</v>
      </c>
    </row>
    <row r="363" spans="1:13">
      <c r="A363" s="633" t="s">
        <v>52</v>
      </c>
      <c r="B363" s="423" t="s">
        <v>5666</v>
      </c>
      <c r="C363" s="915">
        <v>134.15299999999999</v>
      </c>
      <c r="D363" s="915">
        <v>1.504</v>
      </c>
      <c r="E363" s="915">
        <v>1.504</v>
      </c>
      <c r="F363" s="915">
        <v>134.15299999999999</v>
      </c>
      <c r="G363" s="922">
        <f t="shared" si="10"/>
        <v>0</v>
      </c>
      <c r="H363" s="915" t="e">
        <v>#REF!</v>
      </c>
      <c r="I363" s="915" t="e">
        <f t="shared" si="11"/>
        <v>#REF!</v>
      </c>
      <c r="J363" s="915">
        <v>0</v>
      </c>
      <c r="K363" s="915">
        <v>0</v>
      </c>
      <c r="L363" s="915">
        <v>0</v>
      </c>
      <c r="M363" s="915">
        <v>0</v>
      </c>
    </row>
    <row r="364" spans="1:13">
      <c r="A364" s="633" t="s">
        <v>54</v>
      </c>
      <c r="B364" s="423" t="s">
        <v>5667</v>
      </c>
      <c r="C364" s="915">
        <v>208.142</v>
      </c>
      <c r="D364" s="915">
        <v>3.1629999999999998</v>
      </c>
      <c r="E364" s="915">
        <v>3.1629999999999998</v>
      </c>
      <c r="F364" s="915">
        <v>208.142</v>
      </c>
      <c r="G364" s="922">
        <f t="shared" si="10"/>
        <v>0</v>
      </c>
      <c r="H364" s="915" t="e">
        <v>#REF!</v>
      </c>
      <c r="I364" s="915" t="e">
        <f t="shared" si="11"/>
        <v>#REF!</v>
      </c>
      <c r="J364" s="915">
        <v>0.99399999999999999</v>
      </c>
      <c r="K364" s="915">
        <v>0</v>
      </c>
      <c r="L364" s="915">
        <v>0</v>
      </c>
      <c r="M364" s="915">
        <v>0.99399999999999999</v>
      </c>
    </row>
    <row r="365" spans="1:13">
      <c r="A365" s="633" t="s">
        <v>6191</v>
      </c>
      <c r="B365" s="423" t="s">
        <v>3629</v>
      </c>
      <c r="C365" s="915">
        <v>3161.2750000000001</v>
      </c>
      <c r="D365" s="915">
        <v>48.12</v>
      </c>
      <c r="E365" s="915">
        <v>47.793999999999997</v>
      </c>
      <c r="F365" s="915">
        <v>3160.9490000000001</v>
      </c>
      <c r="G365" s="922">
        <f t="shared" si="10"/>
        <v>1</v>
      </c>
      <c r="H365" s="915" t="e">
        <v>#REF!</v>
      </c>
      <c r="I365" s="915" t="e">
        <f t="shared" si="11"/>
        <v>#REF!</v>
      </c>
      <c r="J365" s="915">
        <v>318.19400000000002</v>
      </c>
      <c r="K365" s="915">
        <v>1.504</v>
      </c>
      <c r="L365" s="915">
        <v>1.504</v>
      </c>
      <c r="M365" s="915">
        <v>318.19400000000002</v>
      </c>
    </row>
    <row r="366" spans="1:13">
      <c r="A366" s="633" t="s">
        <v>732</v>
      </c>
      <c r="B366" s="423" t="s">
        <v>5668</v>
      </c>
      <c r="C366" s="915">
        <v>24.257000000000001</v>
      </c>
      <c r="D366" s="915">
        <v>0</v>
      </c>
      <c r="E366" s="915">
        <v>0</v>
      </c>
      <c r="F366" s="915">
        <v>24.257000000000001</v>
      </c>
      <c r="G366" s="922">
        <f t="shared" si="10"/>
        <v>0</v>
      </c>
      <c r="H366" s="915" t="e">
        <v>#REF!</v>
      </c>
      <c r="I366" s="915" t="e">
        <f t="shared" si="11"/>
        <v>#REF!</v>
      </c>
      <c r="J366" s="915">
        <v>0</v>
      </c>
      <c r="K366" s="915">
        <v>0</v>
      </c>
      <c r="L366" s="915">
        <v>0</v>
      </c>
      <c r="M366" s="915">
        <v>0</v>
      </c>
    </row>
    <row r="367" spans="1:13">
      <c r="A367" s="633" t="s">
        <v>949</v>
      </c>
      <c r="B367" s="423" t="s">
        <v>7653</v>
      </c>
      <c r="C367" s="915">
        <v>751.32600000000002</v>
      </c>
      <c r="D367" s="915">
        <v>5.4189999999999996</v>
      </c>
      <c r="E367" s="915">
        <v>5.4189999999999996</v>
      </c>
      <c r="F367" s="915">
        <v>751.32600000000002</v>
      </c>
      <c r="G367" s="922">
        <f t="shared" si="10"/>
        <v>0</v>
      </c>
      <c r="H367" s="915" t="e">
        <v>#REF!</v>
      </c>
      <c r="I367" s="915" t="e">
        <f t="shared" si="11"/>
        <v>#REF!</v>
      </c>
      <c r="J367" s="915">
        <v>2.984</v>
      </c>
      <c r="K367" s="915">
        <v>0</v>
      </c>
      <c r="L367" s="915">
        <v>0</v>
      </c>
      <c r="M367" s="915">
        <v>2.984</v>
      </c>
    </row>
    <row r="368" spans="1:13">
      <c r="A368" s="633" t="s">
        <v>3980</v>
      </c>
      <c r="B368" s="423" t="s">
        <v>5669</v>
      </c>
      <c r="C368" s="915">
        <v>513.05999999999995</v>
      </c>
      <c r="D368" s="915">
        <v>7.7060000000000004</v>
      </c>
      <c r="E368" s="915">
        <v>7.7060000000000004</v>
      </c>
      <c r="F368" s="915">
        <v>513.05999999999995</v>
      </c>
      <c r="G368" s="922">
        <f t="shared" si="10"/>
        <v>0</v>
      </c>
      <c r="H368" s="915" t="e">
        <v>#REF!</v>
      </c>
      <c r="I368" s="915" t="e">
        <f t="shared" si="11"/>
        <v>#REF!</v>
      </c>
      <c r="J368" s="915">
        <v>15.597</v>
      </c>
      <c r="K368" s="915">
        <v>1.478</v>
      </c>
      <c r="L368" s="915">
        <v>1.478</v>
      </c>
      <c r="M368" s="915">
        <v>15.597</v>
      </c>
    </row>
    <row r="369" spans="1:13">
      <c r="A369" s="633" t="s">
        <v>3982</v>
      </c>
      <c r="B369" s="423" t="s">
        <v>5670</v>
      </c>
      <c r="C369" s="915">
        <v>4163.4669999999996</v>
      </c>
      <c r="D369" s="915">
        <v>76.852999999999994</v>
      </c>
      <c r="E369" s="915">
        <v>76.852999999999994</v>
      </c>
      <c r="F369" s="915">
        <v>4163.4669999999996</v>
      </c>
      <c r="G369" s="922">
        <f t="shared" si="10"/>
        <v>0</v>
      </c>
      <c r="H369" s="915" t="e">
        <v>#REF!</v>
      </c>
      <c r="I369" s="915" t="e">
        <f t="shared" si="11"/>
        <v>#REF!</v>
      </c>
      <c r="J369" s="915">
        <v>172.452</v>
      </c>
      <c r="K369" s="915">
        <v>11.047000000000001</v>
      </c>
      <c r="L369" s="915">
        <v>11.047000000000001</v>
      </c>
      <c r="M369" s="915">
        <v>172.452</v>
      </c>
    </row>
    <row r="370" spans="1:13">
      <c r="A370" s="633" t="s">
        <v>1871</v>
      </c>
      <c r="B370" s="423" t="s">
        <v>3851</v>
      </c>
      <c r="C370" s="915">
        <v>931.63800000000003</v>
      </c>
      <c r="D370" s="915">
        <v>10.701000000000001</v>
      </c>
      <c r="E370" s="915">
        <v>10.701000000000001</v>
      </c>
      <c r="F370" s="915">
        <v>931.63800000000003</v>
      </c>
      <c r="G370" s="922">
        <f t="shared" si="10"/>
        <v>0</v>
      </c>
      <c r="H370" s="915" t="e">
        <v>#REF!</v>
      </c>
      <c r="I370" s="915" t="e">
        <f t="shared" si="11"/>
        <v>#REF!</v>
      </c>
      <c r="J370" s="915">
        <v>34.396000000000001</v>
      </c>
      <c r="K370" s="915">
        <v>2.8159999999999998</v>
      </c>
      <c r="L370" s="915">
        <v>2.8159999999999998</v>
      </c>
      <c r="M370" s="915">
        <v>34.396000000000001</v>
      </c>
    </row>
    <row r="371" spans="1:13">
      <c r="A371" s="633" t="s">
        <v>3116</v>
      </c>
      <c r="B371" s="423" t="s">
        <v>5242</v>
      </c>
      <c r="C371" s="915">
        <v>6024.3440000000001</v>
      </c>
      <c r="D371" s="915">
        <v>150.66</v>
      </c>
      <c r="E371" s="915">
        <v>150.66</v>
      </c>
      <c r="F371" s="915">
        <v>6024.3440000000001</v>
      </c>
      <c r="G371" s="922">
        <f t="shared" si="10"/>
        <v>0</v>
      </c>
      <c r="H371" s="915" t="e">
        <v>#REF!</v>
      </c>
      <c r="I371" s="915" t="e">
        <f t="shared" si="11"/>
        <v>#REF!</v>
      </c>
      <c r="J371" s="915">
        <v>831.17600000000004</v>
      </c>
      <c r="K371" s="915">
        <v>54.201000000000001</v>
      </c>
      <c r="L371" s="915">
        <v>54.201000000000001</v>
      </c>
      <c r="M371" s="915">
        <v>831.17600000000004</v>
      </c>
    </row>
    <row r="372" spans="1:13">
      <c r="A372" s="633" t="s">
        <v>3118</v>
      </c>
      <c r="B372" s="423" t="s">
        <v>5243</v>
      </c>
      <c r="C372" s="915">
        <v>136.81800000000001</v>
      </c>
      <c r="D372" s="915">
        <v>3.8809999999999998</v>
      </c>
      <c r="E372" s="915">
        <v>3.8809999999999998</v>
      </c>
      <c r="F372" s="915">
        <v>136.81800000000001</v>
      </c>
      <c r="G372" s="922">
        <f t="shared" si="10"/>
        <v>0</v>
      </c>
      <c r="H372" s="915" t="e">
        <v>#REF!</v>
      </c>
      <c r="I372" s="915" t="e">
        <f t="shared" si="11"/>
        <v>#REF!</v>
      </c>
      <c r="J372" s="915">
        <v>17.695</v>
      </c>
      <c r="K372" s="915">
        <v>1.86</v>
      </c>
      <c r="L372" s="915">
        <v>1.86</v>
      </c>
      <c r="M372" s="915">
        <v>17.695</v>
      </c>
    </row>
    <row r="373" spans="1:13">
      <c r="A373" s="633" t="s">
        <v>2836</v>
      </c>
      <c r="B373" s="423" t="s">
        <v>5373</v>
      </c>
      <c r="C373" s="915">
        <v>1283.6790000000001</v>
      </c>
      <c r="D373" s="915">
        <v>5.6239999999999997</v>
      </c>
      <c r="E373" s="915">
        <v>5.6239999999999997</v>
      </c>
      <c r="F373" s="915">
        <v>1283.6790000000001</v>
      </c>
      <c r="G373" s="922">
        <f t="shared" si="10"/>
        <v>0</v>
      </c>
      <c r="H373" s="915" t="e">
        <v>#REF!</v>
      </c>
      <c r="I373" s="915" t="e">
        <f t="shared" si="11"/>
        <v>#REF!</v>
      </c>
      <c r="J373" s="915">
        <v>28.82</v>
      </c>
      <c r="K373" s="915">
        <v>1.7649999999999999</v>
      </c>
      <c r="L373" s="915">
        <v>1.7649999999999999</v>
      </c>
      <c r="M373" s="915">
        <v>28.82</v>
      </c>
    </row>
    <row r="374" spans="1:13">
      <c r="A374" s="633" t="s">
        <v>2838</v>
      </c>
      <c r="B374" s="423" t="s">
        <v>4071</v>
      </c>
      <c r="C374" s="915">
        <v>1496.319</v>
      </c>
      <c r="D374" s="915">
        <v>21.321999999999999</v>
      </c>
      <c r="E374" s="915">
        <v>21.321999999999999</v>
      </c>
      <c r="F374" s="915">
        <v>1496.319</v>
      </c>
      <c r="G374" s="922">
        <f t="shared" si="10"/>
        <v>0</v>
      </c>
      <c r="H374" s="915" t="e">
        <v>#REF!</v>
      </c>
      <c r="I374" s="915" t="e">
        <f t="shared" si="11"/>
        <v>#REF!</v>
      </c>
      <c r="J374" s="915">
        <v>33.164999999999999</v>
      </c>
      <c r="K374" s="915">
        <v>0.49</v>
      </c>
      <c r="L374" s="915">
        <v>0.49</v>
      </c>
      <c r="M374" s="915">
        <v>33.164999999999999</v>
      </c>
    </row>
    <row r="375" spans="1:13">
      <c r="A375" s="633" t="s">
        <v>5220</v>
      </c>
      <c r="B375" s="423" t="s">
        <v>5244</v>
      </c>
      <c r="C375" s="915">
        <v>709.86599999999999</v>
      </c>
      <c r="D375" s="915">
        <v>11.397</v>
      </c>
      <c r="E375" s="915">
        <v>11.272</v>
      </c>
      <c r="F375" s="915">
        <v>709.74199999999996</v>
      </c>
      <c r="G375" s="922">
        <f t="shared" si="10"/>
        <v>1</v>
      </c>
      <c r="H375" s="915" t="e">
        <v>#REF!</v>
      </c>
      <c r="I375" s="915" t="e">
        <f t="shared" si="11"/>
        <v>#REF!</v>
      </c>
      <c r="J375" s="915">
        <v>9.1010000000000009</v>
      </c>
      <c r="K375" s="915">
        <v>0.42299999999999999</v>
      </c>
      <c r="L375" s="915">
        <v>0.42299999999999999</v>
      </c>
      <c r="M375" s="915">
        <v>9.1010000000000009</v>
      </c>
    </row>
    <row r="376" spans="1:13">
      <c r="A376" s="633" t="s">
        <v>5129</v>
      </c>
      <c r="B376" s="423" t="s">
        <v>347</v>
      </c>
      <c r="C376" s="915">
        <v>1225.175</v>
      </c>
      <c r="D376" s="915">
        <v>16.353000000000002</v>
      </c>
      <c r="E376" s="915">
        <v>16.09</v>
      </c>
      <c r="F376" s="915">
        <v>1224.912</v>
      </c>
      <c r="G376" s="922">
        <f t="shared" si="10"/>
        <v>1</v>
      </c>
      <c r="H376" s="915" t="e">
        <v>#REF!</v>
      </c>
      <c r="I376" s="915" t="e">
        <f t="shared" si="11"/>
        <v>#REF!</v>
      </c>
      <c r="J376" s="915">
        <v>6.9660000000000002</v>
      </c>
      <c r="K376" s="915">
        <v>0</v>
      </c>
      <c r="L376" s="915">
        <v>0</v>
      </c>
      <c r="M376" s="915">
        <v>6.9660000000000002</v>
      </c>
    </row>
    <row r="377" spans="1:13">
      <c r="A377" s="633" t="s">
        <v>5222</v>
      </c>
      <c r="B377" s="423" t="s">
        <v>7437</v>
      </c>
      <c r="C377" s="915">
        <v>806.63400000000001</v>
      </c>
      <c r="D377" s="915">
        <v>12.023999999999999</v>
      </c>
      <c r="E377" s="915">
        <v>12.023999999999999</v>
      </c>
      <c r="F377" s="915">
        <v>806.63400000000001</v>
      </c>
      <c r="G377" s="922">
        <f t="shared" si="10"/>
        <v>0</v>
      </c>
      <c r="H377" s="915" t="e">
        <v>#REF!</v>
      </c>
      <c r="I377" s="915" t="e">
        <f t="shared" si="11"/>
        <v>#REF!</v>
      </c>
      <c r="J377" s="915">
        <v>9.9640000000000004</v>
      </c>
      <c r="K377" s="915">
        <v>0.47799999999999998</v>
      </c>
      <c r="L377" s="915">
        <v>0.47799999999999998</v>
      </c>
      <c r="M377" s="915">
        <v>9.9640000000000004</v>
      </c>
    </row>
    <row r="378" spans="1:13">
      <c r="A378" s="633" t="s">
        <v>1858</v>
      </c>
      <c r="B378" s="423" t="s">
        <v>3914</v>
      </c>
      <c r="C378" s="915">
        <v>784.44899999999996</v>
      </c>
      <c r="D378" s="915">
        <v>8.7010000000000005</v>
      </c>
      <c r="E378" s="915">
        <v>8.7010000000000005</v>
      </c>
      <c r="F378" s="915">
        <v>784.44899999999996</v>
      </c>
      <c r="G378" s="922">
        <f t="shared" si="10"/>
        <v>0</v>
      </c>
      <c r="H378" s="915" t="e">
        <v>#REF!</v>
      </c>
      <c r="I378" s="915" t="e">
        <f t="shared" si="11"/>
        <v>#REF!</v>
      </c>
      <c r="J378" s="915">
        <v>37.534999999999997</v>
      </c>
      <c r="K378" s="915">
        <v>5.3120000000000003</v>
      </c>
      <c r="L378" s="915">
        <v>5.3120000000000003</v>
      </c>
      <c r="M378" s="915">
        <v>37.534999999999997</v>
      </c>
    </row>
    <row r="379" spans="1:13">
      <c r="A379" s="633" t="s">
        <v>5224</v>
      </c>
      <c r="B379" s="423" t="s">
        <v>7160</v>
      </c>
      <c r="C379" s="915">
        <v>767.16</v>
      </c>
      <c r="D379" s="915">
        <v>0</v>
      </c>
      <c r="E379" s="915">
        <v>0</v>
      </c>
      <c r="F379" s="915">
        <v>767.16</v>
      </c>
      <c r="G379" s="922">
        <f t="shared" si="10"/>
        <v>0</v>
      </c>
      <c r="H379" s="915" t="e">
        <v>#REF!</v>
      </c>
      <c r="I379" s="915" t="e">
        <f t="shared" si="11"/>
        <v>#REF!</v>
      </c>
      <c r="J379" s="915">
        <v>2.4239999999999999</v>
      </c>
      <c r="K379" s="915">
        <v>0</v>
      </c>
      <c r="L379" s="915">
        <v>0</v>
      </c>
      <c r="M379" s="915">
        <v>2.4239999999999999</v>
      </c>
    </row>
    <row r="380" spans="1:13">
      <c r="A380" s="633" t="s">
        <v>5228</v>
      </c>
      <c r="B380" s="423" t="s">
        <v>7161</v>
      </c>
      <c r="C380" s="915">
        <v>1894.173</v>
      </c>
      <c r="D380" s="915">
        <v>48.145000000000003</v>
      </c>
      <c r="E380" s="915">
        <v>48.145000000000003</v>
      </c>
      <c r="F380" s="915">
        <v>1894.173</v>
      </c>
      <c r="G380" s="922">
        <f t="shared" si="10"/>
        <v>0</v>
      </c>
      <c r="H380" s="915" t="e">
        <v>#REF!</v>
      </c>
      <c r="I380" s="915" t="e">
        <f t="shared" si="11"/>
        <v>#REF!</v>
      </c>
      <c r="J380" s="915">
        <v>49.365000000000002</v>
      </c>
      <c r="K380" s="915">
        <v>5.024</v>
      </c>
      <c r="L380" s="915">
        <v>5.024</v>
      </c>
      <c r="M380" s="915">
        <v>49.365000000000002</v>
      </c>
    </row>
    <row r="381" spans="1:13">
      <c r="A381" s="633" t="s">
        <v>5230</v>
      </c>
      <c r="B381" s="423" t="s">
        <v>7162</v>
      </c>
      <c r="C381" s="915">
        <v>3603.0630000000001</v>
      </c>
      <c r="D381" s="915">
        <v>209.227</v>
      </c>
      <c r="E381" s="915">
        <v>108.26900000000001</v>
      </c>
      <c r="F381" s="915">
        <v>3502.105</v>
      </c>
      <c r="G381" s="922">
        <f t="shared" si="10"/>
        <v>1</v>
      </c>
      <c r="H381" s="915" t="e">
        <v>#REF!</v>
      </c>
      <c r="I381" s="915" t="e">
        <f t="shared" si="11"/>
        <v>#REF!</v>
      </c>
      <c r="J381" s="915">
        <v>393.947</v>
      </c>
      <c r="K381" s="915">
        <v>42.569000000000003</v>
      </c>
      <c r="L381" s="915">
        <v>21.786999999999999</v>
      </c>
      <c r="M381" s="915">
        <v>373.166</v>
      </c>
    </row>
    <row r="382" spans="1:13">
      <c r="A382" s="633" t="s">
        <v>2994</v>
      </c>
      <c r="B382" s="423" t="s">
        <v>199</v>
      </c>
      <c r="C382" s="915">
        <v>7505.9380000000001</v>
      </c>
      <c r="D382" s="915">
        <v>175.30699999999999</v>
      </c>
      <c r="E382" s="915">
        <v>175.30699999999999</v>
      </c>
      <c r="F382" s="915">
        <v>7505.9380000000001</v>
      </c>
      <c r="G382" s="922">
        <f t="shared" si="10"/>
        <v>0</v>
      </c>
      <c r="H382" s="915" t="e">
        <v>#REF!</v>
      </c>
      <c r="I382" s="915" t="e">
        <f t="shared" si="11"/>
        <v>#REF!</v>
      </c>
      <c r="J382" s="915">
        <v>977.60400000000004</v>
      </c>
      <c r="K382" s="915">
        <v>45.685000000000002</v>
      </c>
      <c r="L382" s="915">
        <v>45.685000000000002</v>
      </c>
      <c r="M382" s="915">
        <v>977.60400000000004</v>
      </c>
    </row>
    <row r="383" spans="1:13">
      <c r="A383" s="633" t="s">
        <v>7723</v>
      </c>
      <c r="B383" s="423" t="s">
        <v>7163</v>
      </c>
      <c r="C383" s="915">
        <v>4319.6750000000002</v>
      </c>
      <c r="D383" s="915">
        <v>70.748999999999995</v>
      </c>
      <c r="E383" s="915">
        <v>70.748999999999995</v>
      </c>
      <c r="F383" s="915">
        <v>4319.6750000000002</v>
      </c>
      <c r="G383" s="922">
        <f t="shared" si="10"/>
        <v>0</v>
      </c>
      <c r="H383" s="915" t="e">
        <v>#REF!</v>
      </c>
      <c r="I383" s="915" t="e">
        <f t="shared" si="11"/>
        <v>#REF!</v>
      </c>
      <c r="J383" s="915">
        <v>366.90899999999999</v>
      </c>
      <c r="K383" s="915">
        <v>21.381</v>
      </c>
      <c r="L383" s="915">
        <v>21.381</v>
      </c>
      <c r="M383" s="915">
        <v>366.90899999999999</v>
      </c>
    </row>
    <row r="384" spans="1:13">
      <c r="A384" s="633" t="s">
        <v>221</v>
      </c>
      <c r="B384" s="423" t="s">
        <v>7164</v>
      </c>
      <c r="C384" s="915">
        <v>1226.279</v>
      </c>
      <c r="D384" s="915">
        <v>15.659000000000001</v>
      </c>
      <c r="E384" s="915">
        <v>15.513999999999999</v>
      </c>
      <c r="F384" s="915">
        <v>1226.134</v>
      </c>
      <c r="G384" s="922">
        <f t="shared" si="10"/>
        <v>1</v>
      </c>
      <c r="H384" s="915" t="e">
        <v>#REF!</v>
      </c>
      <c r="I384" s="915" t="e">
        <f t="shared" si="11"/>
        <v>#REF!</v>
      </c>
      <c r="J384" s="915">
        <v>77.591999999999999</v>
      </c>
      <c r="K384" s="915">
        <v>4.577</v>
      </c>
      <c r="L384" s="915">
        <v>4.4320000000000004</v>
      </c>
      <c r="M384" s="915">
        <v>77.447000000000003</v>
      </c>
    </row>
    <row r="385" spans="1:13">
      <c r="A385" s="633" t="s">
        <v>2406</v>
      </c>
      <c r="B385" s="423" t="s">
        <v>2351</v>
      </c>
      <c r="C385" s="915">
        <v>1784.9960000000001</v>
      </c>
      <c r="D385" s="915">
        <v>13.879</v>
      </c>
      <c r="E385" s="915">
        <v>13.879</v>
      </c>
      <c r="F385" s="915">
        <v>1784.9960000000001</v>
      </c>
      <c r="G385" s="922">
        <f t="shared" si="10"/>
        <v>0</v>
      </c>
      <c r="H385" s="915" t="e">
        <v>#REF!</v>
      </c>
      <c r="I385" s="915" t="e">
        <f t="shared" si="11"/>
        <v>#REF!</v>
      </c>
      <c r="J385" s="915">
        <v>59.557000000000002</v>
      </c>
      <c r="K385" s="915">
        <v>0.96899999999999997</v>
      </c>
      <c r="L385" s="915">
        <v>0.96899999999999997</v>
      </c>
      <c r="M385" s="915">
        <v>59.557000000000002</v>
      </c>
    </row>
    <row r="386" spans="1:13">
      <c r="A386" s="633" t="s">
        <v>223</v>
      </c>
      <c r="B386" s="423" t="s">
        <v>7165</v>
      </c>
      <c r="C386" s="915">
        <v>1316.8610000000001</v>
      </c>
      <c r="D386" s="915">
        <v>10.856999999999999</v>
      </c>
      <c r="E386" s="915">
        <v>10.856999999999999</v>
      </c>
      <c r="F386" s="915">
        <v>1316.8610000000001</v>
      </c>
      <c r="G386" s="922">
        <f t="shared" si="10"/>
        <v>0</v>
      </c>
      <c r="H386" s="915" t="e">
        <v>#REF!</v>
      </c>
      <c r="I386" s="915" t="e">
        <f t="shared" si="11"/>
        <v>#REF!</v>
      </c>
      <c r="J386" s="915">
        <v>14.189</v>
      </c>
      <c r="K386" s="915">
        <v>1.4350000000000001</v>
      </c>
      <c r="L386" s="915">
        <v>1.4350000000000001</v>
      </c>
      <c r="M386" s="915">
        <v>14.189</v>
      </c>
    </row>
    <row r="387" spans="1:13">
      <c r="A387" s="633" t="s">
        <v>225</v>
      </c>
      <c r="B387" s="423" t="s">
        <v>7448</v>
      </c>
      <c r="C387" s="915">
        <v>608.13</v>
      </c>
      <c r="D387" s="915">
        <v>21.683</v>
      </c>
      <c r="E387" s="915">
        <v>11.523</v>
      </c>
      <c r="F387" s="915">
        <v>597.97</v>
      </c>
      <c r="G387" s="922">
        <f t="shared" ref="G387:G450" si="12">IF(F387&lt;C387,1,0)</f>
        <v>1</v>
      </c>
      <c r="H387" s="915" t="e">
        <v>#REF!</v>
      </c>
      <c r="I387" s="915" t="e">
        <f t="shared" ref="I387:I450" si="13">F387-H387</f>
        <v>#REF!</v>
      </c>
      <c r="J387" s="915">
        <v>22.004999999999999</v>
      </c>
      <c r="K387" s="915">
        <v>0.81699999999999995</v>
      </c>
      <c r="L387" s="915">
        <v>0.40799999999999997</v>
      </c>
      <c r="M387" s="915">
        <v>21.597000000000001</v>
      </c>
    </row>
    <row r="388" spans="1:13">
      <c r="A388" s="633" t="s">
        <v>227</v>
      </c>
      <c r="B388" s="423" t="s">
        <v>7167</v>
      </c>
      <c r="C388" s="915">
        <v>462.05900000000003</v>
      </c>
      <c r="D388" s="915">
        <v>6.5679999999999996</v>
      </c>
      <c r="E388" s="915">
        <v>6.5679999999999996</v>
      </c>
      <c r="F388" s="915">
        <v>462.05900000000003</v>
      </c>
      <c r="G388" s="922">
        <f t="shared" si="12"/>
        <v>0</v>
      </c>
      <c r="H388" s="915" t="e">
        <v>#REF!</v>
      </c>
      <c r="I388" s="915" t="e">
        <f t="shared" si="13"/>
        <v>#REF!</v>
      </c>
      <c r="J388" s="915">
        <v>2.4670000000000001</v>
      </c>
      <c r="K388" s="915">
        <v>0.38600000000000001</v>
      </c>
      <c r="L388" s="915">
        <v>0.38600000000000001</v>
      </c>
      <c r="M388" s="915">
        <v>2.4670000000000001</v>
      </c>
    </row>
    <row r="389" spans="1:13">
      <c r="A389" s="633" t="s">
        <v>229</v>
      </c>
      <c r="B389" s="423" t="s">
        <v>7168</v>
      </c>
      <c r="C389" s="915">
        <v>2704.3519999999999</v>
      </c>
      <c r="D389" s="915">
        <v>87.156000000000006</v>
      </c>
      <c r="E389" s="915">
        <v>87.156000000000006</v>
      </c>
      <c r="F389" s="915">
        <v>2704.3519999999999</v>
      </c>
      <c r="G389" s="922">
        <f t="shared" si="12"/>
        <v>0</v>
      </c>
      <c r="H389" s="915" t="e">
        <v>#REF!</v>
      </c>
      <c r="I389" s="915" t="e">
        <f t="shared" si="13"/>
        <v>#REF!</v>
      </c>
      <c r="J389" s="915">
        <v>314.57299999999998</v>
      </c>
      <c r="K389" s="915">
        <v>23.573</v>
      </c>
      <c r="L389" s="915">
        <v>23.573</v>
      </c>
      <c r="M389" s="915">
        <v>314.57299999999998</v>
      </c>
    </row>
    <row r="390" spans="1:13">
      <c r="A390" s="633" t="s">
        <v>4039</v>
      </c>
      <c r="B390" s="423" t="s">
        <v>7169</v>
      </c>
      <c r="C390" s="915">
        <v>122.104</v>
      </c>
      <c r="D390" s="915">
        <v>0</v>
      </c>
      <c r="E390" s="915">
        <v>0</v>
      </c>
      <c r="F390" s="915">
        <v>122.104</v>
      </c>
      <c r="G390" s="922">
        <f t="shared" si="12"/>
        <v>0</v>
      </c>
      <c r="H390" s="915" t="e">
        <v>#REF!</v>
      </c>
      <c r="I390" s="915" t="e">
        <f t="shared" si="13"/>
        <v>#REF!</v>
      </c>
      <c r="J390" s="915">
        <v>0</v>
      </c>
      <c r="K390" s="915">
        <v>0</v>
      </c>
      <c r="L390" s="915">
        <v>0</v>
      </c>
      <c r="M390" s="915">
        <v>0</v>
      </c>
    </row>
    <row r="391" spans="1:13">
      <c r="A391" s="633" t="s">
        <v>2396</v>
      </c>
      <c r="B391" s="423" t="s">
        <v>1463</v>
      </c>
      <c r="C391" s="915">
        <v>6940.3789999999999</v>
      </c>
      <c r="D391" s="915">
        <v>211.68100000000001</v>
      </c>
      <c r="E391" s="915">
        <v>185.279</v>
      </c>
      <c r="F391" s="915">
        <v>6913.9769999999999</v>
      </c>
      <c r="G391" s="922">
        <f t="shared" si="12"/>
        <v>1</v>
      </c>
      <c r="H391" s="915" t="e">
        <v>#REF!</v>
      </c>
      <c r="I391" s="915" t="e">
        <f t="shared" si="13"/>
        <v>#REF!</v>
      </c>
      <c r="J391" s="915">
        <v>543.37699999999995</v>
      </c>
      <c r="K391" s="915">
        <v>38.890999999999998</v>
      </c>
      <c r="L391" s="915">
        <v>30.652000000000001</v>
      </c>
      <c r="M391" s="915">
        <v>535.13699999999994</v>
      </c>
    </row>
    <row r="392" spans="1:13">
      <c r="A392" s="633" t="s">
        <v>2394</v>
      </c>
      <c r="B392" s="423" t="s">
        <v>1461</v>
      </c>
      <c r="C392" s="915">
        <v>10610.947</v>
      </c>
      <c r="D392" s="915">
        <v>82.635999999999996</v>
      </c>
      <c r="E392" s="915">
        <v>82.186000000000007</v>
      </c>
      <c r="F392" s="915">
        <v>10610.496999999999</v>
      </c>
      <c r="G392" s="922">
        <f t="shared" si="12"/>
        <v>1</v>
      </c>
      <c r="H392" s="915" t="e">
        <v>#REF!</v>
      </c>
      <c r="I392" s="915" t="e">
        <f t="shared" si="13"/>
        <v>#REF!</v>
      </c>
      <c r="J392" s="915">
        <v>303.06799999999998</v>
      </c>
      <c r="K392" s="915">
        <v>15.864000000000001</v>
      </c>
      <c r="L392" s="915">
        <v>15.864000000000001</v>
      </c>
      <c r="M392" s="915">
        <v>303.06799999999998</v>
      </c>
    </row>
    <row r="393" spans="1:13">
      <c r="A393" s="633" t="s">
        <v>4042</v>
      </c>
      <c r="B393" s="423" t="s">
        <v>7170</v>
      </c>
      <c r="C393" s="915">
        <v>1432.088</v>
      </c>
      <c r="D393" s="915">
        <v>10.858000000000001</v>
      </c>
      <c r="E393" s="915">
        <v>10.238</v>
      </c>
      <c r="F393" s="915">
        <v>1431.4680000000001</v>
      </c>
      <c r="G393" s="922">
        <f t="shared" si="12"/>
        <v>1</v>
      </c>
      <c r="H393" s="915" t="e">
        <v>#REF!</v>
      </c>
      <c r="I393" s="915" t="e">
        <f t="shared" si="13"/>
        <v>#REF!</v>
      </c>
      <c r="J393" s="915">
        <v>20.324000000000002</v>
      </c>
      <c r="K393" s="915">
        <v>0.40500000000000003</v>
      </c>
      <c r="L393" s="915">
        <v>0.40500000000000003</v>
      </c>
      <c r="M393" s="915">
        <v>20.324000000000002</v>
      </c>
    </row>
    <row r="394" spans="1:13">
      <c r="A394" s="633" t="s">
        <v>3004</v>
      </c>
      <c r="B394" s="423" t="s">
        <v>6065</v>
      </c>
      <c r="C394" s="915">
        <v>1259.037</v>
      </c>
      <c r="D394" s="915">
        <v>14.682</v>
      </c>
      <c r="E394" s="915">
        <v>14.682</v>
      </c>
      <c r="F394" s="915">
        <v>1259.037</v>
      </c>
      <c r="G394" s="922">
        <f t="shared" si="12"/>
        <v>0</v>
      </c>
      <c r="H394" s="915" t="e">
        <v>#REF!</v>
      </c>
      <c r="I394" s="915" t="e">
        <f t="shared" si="13"/>
        <v>#REF!</v>
      </c>
      <c r="J394" s="915">
        <v>47.337000000000003</v>
      </c>
      <c r="K394" s="915">
        <v>2.4780000000000002</v>
      </c>
      <c r="L394" s="915">
        <v>2.4780000000000002</v>
      </c>
      <c r="M394" s="915">
        <v>47.337000000000003</v>
      </c>
    </row>
    <row r="395" spans="1:13">
      <c r="A395" s="633" t="s">
        <v>4044</v>
      </c>
      <c r="B395" s="423" t="s">
        <v>5272</v>
      </c>
      <c r="C395" s="915">
        <v>724.98299999999995</v>
      </c>
      <c r="D395" s="915">
        <v>11.916</v>
      </c>
      <c r="E395" s="915">
        <v>11.916</v>
      </c>
      <c r="F395" s="915">
        <v>724.98299999999995</v>
      </c>
      <c r="G395" s="922">
        <f t="shared" si="12"/>
        <v>0</v>
      </c>
      <c r="H395" s="915" t="e">
        <v>#REF!</v>
      </c>
      <c r="I395" s="915" t="e">
        <f t="shared" si="13"/>
        <v>#REF!</v>
      </c>
      <c r="J395" s="915">
        <v>12.579000000000001</v>
      </c>
      <c r="K395" s="915">
        <v>0.45300000000000001</v>
      </c>
      <c r="L395" s="915">
        <v>0.45300000000000001</v>
      </c>
      <c r="M395" s="915">
        <v>12.579000000000001</v>
      </c>
    </row>
    <row r="396" spans="1:13">
      <c r="A396" s="633" t="s">
        <v>4046</v>
      </c>
      <c r="B396" s="423" t="s">
        <v>5273</v>
      </c>
      <c r="C396" s="915">
        <v>111.84099999999999</v>
      </c>
      <c r="D396" s="915">
        <v>3.653</v>
      </c>
      <c r="E396" s="915">
        <v>3.653</v>
      </c>
      <c r="F396" s="915">
        <v>111.84099999999999</v>
      </c>
      <c r="G396" s="922">
        <f t="shared" si="12"/>
        <v>0</v>
      </c>
      <c r="H396" s="915" t="e">
        <v>#REF!</v>
      </c>
      <c r="I396" s="915" t="e">
        <f t="shared" si="13"/>
        <v>#REF!</v>
      </c>
      <c r="J396" s="915">
        <v>7.6020000000000003</v>
      </c>
      <c r="K396" s="915">
        <v>0.4</v>
      </c>
      <c r="L396" s="915">
        <v>0.4</v>
      </c>
      <c r="M396" s="915">
        <v>7.6020000000000003</v>
      </c>
    </row>
    <row r="397" spans="1:13">
      <c r="A397" s="633" t="s">
        <v>5402</v>
      </c>
      <c r="B397" s="423" t="s">
        <v>5274</v>
      </c>
      <c r="C397" s="915">
        <v>554.274</v>
      </c>
      <c r="D397" s="915">
        <v>15.923</v>
      </c>
      <c r="E397" s="915">
        <v>14.965</v>
      </c>
      <c r="F397" s="915">
        <v>553.31600000000003</v>
      </c>
      <c r="G397" s="922">
        <f t="shared" si="12"/>
        <v>1</v>
      </c>
      <c r="H397" s="915" t="e">
        <v>#REF!</v>
      </c>
      <c r="I397" s="915" t="e">
        <f t="shared" si="13"/>
        <v>#REF!</v>
      </c>
      <c r="J397" s="915">
        <v>33.106999999999999</v>
      </c>
      <c r="K397" s="915">
        <v>2.347</v>
      </c>
      <c r="L397" s="915">
        <v>2.29</v>
      </c>
      <c r="M397" s="915">
        <v>33.049999999999997</v>
      </c>
    </row>
    <row r="398" spans="1:13">
      <c r="A398" s="633" t="s">
        <v>5404</v>
      </c>
      <c r="B398" s="423" t="s">
        <v>5275</v>
      </c>
      <c r="C398" s="915">
        <v>267.91399999999999</v>
      </c>
      <c r="D398" s="915">
        <v>15.473000000000001</v>
      </c>
      <c r="E398" s="915">
        <v>8.2780000000000005</v>
      </c>
      <c r="F398" s="915">
        <v>260.72000000000003</v>
      </c>
      <c r="G398" s="922">
        <f t="shared" si="12"/>
        <v>1</v>
      </c>
      <c r="H398" s="915" t="e">
        <v>#REF!</v>
      </c>
      <c r="I398" s="915" t="e">
        <f t="shared" si="13"/>
        <v>#REF!</v>
      </c>
      <c r="J398" s="915">
        <v>8.0820000000000007</v>
      </c>
      <c r="K398" s="915">
        <v>0</v>
      </c>
      <c r="L398" s="915">
        <v>0</v>
      </c>
      <c r="M398" s="915">
        <v>8.0820000000000007</v>
      </c>
    </row>
    <row r="399" spans="1:13">
      <c r="A399" s="633" t="s">
        <v>423</v>
      </c>
      <c r="B399" s="423" t="s">
        <v>5276</v>
      </c>
      <c r="C399" s="915">
        <v>5266.0990000000002</v>
      </c>
      <c r="D399" s="915">
        <v>125.422</v>
      </c>
      <c r="E399" s="915">
        <v>125.422</v>
      </c>
      <c r="F399" s="915">
        <v>5266.0990000000002</v>
      </c>
      <c r="G399" s="922">
        <f t="shared" si="12"/>
        <v>0</v>
      </c>
      <c r="H399" s="915" t="e">
        <v>#REF!</v>
      </c>
      <c r="I399" s="915" t="e">
        <f t="shared" si="13"/>
        <v>#REF!</v>
      </c>
      <c r="J399" s="915">
        <v>357.35700000000003</v>
      </c>
      <c r="K399" s="915">
        <v>18.094000000000001</v>
      </c>
      <c r="L399" s="915">
        <v>18.094000000000001</v>
      </c>
      <c r="M399" s="915">
        <v>357.35700000000003</v>
      </c>
    </row>
    <row r="400" spans="1:13">
      <c r="A400" s="633" t="s">
        <v>425</v>
      </c>
      <c r="B400" s="423" t="s">
        <v>5277</v>
      </c>
      <c r="C400" s="915">
        <v>511.404</v>
      </c>
      <c r="D400" s="915">
        <v>19.742000000000001</v>
      </c>
      <c r="E400" s="915">
        <v>19.742000000000001</v>
      </c>
      <c r="F400" s="915">
        <v>511.404</v>
      </c>
      <c r="G400" s="922">
        <f t="shared" si="12"/>
        <v>0</v>
      </c>
      <c r="H400" s="915" t="e">
        <v>#REF!</v>
      </c>
      <c r="I400" s="915" t="e">
        <f t="shared" si="13"/>
        <v>#REF!</v>
      </c>
      <c r="J400" s="915">
        <v>55.686999999999998</v>
      </c>
      <c r="K400" s="915">
        <v>2.14</v>
      </c>
      <c r="L400" s="915">
        <v>2.14</v>
      </c>
      <c r="M400" s="915">
        <v>55.686999999999998</v>
      </c>
    </row>
    <row r="401" spans="1:13">
      <c r="A401" s="633" t="s">
        <v>427</v>
      </c>
      <c r="B401" s="423" t="s">
        <v>5278</v>
      </c>
      <c r="C401" s="915">
        <v>206.547</v>
      </c>
      <c r="D401" s="915">
        <v>2.786</v>
      </c>
      <c r="E401" s="915">
        <v>2.786</v>
      </c>
      <c r="F401" s="915">
        <v>206.547</v>
      </c>
      <c r="G401" s="922">
        <f t="shared" si="12"/>
        <v>0</v>
      </c>
      <c r="H401" s="915" t="e">
        <v>#REF!</v>
      </c>
      <c r="I401" s="915" t="e">
        <f t="shared" si="13"/>
        <v>#REF!</v>
      </c>
      <c r="J401" s="915">
        <v>17.111000000000001</v>
      </c>
      <c r="K401" s="915">
        <v>0.46400000000000002</v>
      </c>
      <c r="L401" s="915">
        <v>0.46400000000000002</v>
      </c>
      <c r="M401" s="915">
        <v>17.111000000000001</v>
      </c>
    </row>
    <row r="402" spans="1:13">
      <c r="A402" s="633" t="s">
        <v>429</v>
      </c>
      <c r="B402" s="423" t="s">
        <v>7464</v>
      </c>
      <c r="C402" s="915">
        <v>773.69299999999998</v>
      </c>
      <c r="D402" s="915">
        <v>12.932</v>
      </c>
      <c r="E402" s="915">
        <v>12.932</v>
      </c>
      <c r="F402" s="915">
        <v>773.69299999999998</v>
      </c>
      <c r="G402" s="922">
        <f t="shared" si="12"/>
        <v>0</v>
      </c>
      <c r="H402" s="915" t="e">
        <v>#REF!</v>
      </c>
      <c r="I402" s="915" t="e">
        <f t="shared" si="13"/>
        <v>#REF!</v>
      </c>
      <c r="J402" s="915">
        <v>23.009</v>
      </c>
      <c r="K402" s="915">
        <v>1.7110000000000001</v>
      </c>
      <c r="L402" s="915">
        <v>1.7110000000000001</v>
      </c>
      <c r="M402" s="915">
        <v>23.009</v>
      </c>
    </row>
    <row r="403" spans="1:13">
      <c r="A403" s="633" t="s">
        <v>446</v>
      </c>
      <c r="B403" s="423" t="s">
        <v>3844</v>
      </c>
      <c r="C403" s="915">
        <v>658.15200000000004</v>
      </c>
      <c r="D403" s="915">
        <v>9.8109999999999999</v>
      </c>
      <c r="E403" s="915">
        <v>9.8109999999999999</v>
      </c>
      <c r="F403" s="915">
        <v>658.15200000000004</v>
      </c>
      <c r="G403" s="922">
        <f t="shared" si="12"/>
        <v>0</v>
      </c>
      <c r="H403" s="915" t="e">
        <v>#REF!</v>
      </c>
      <c r="I403" s="915" t="e">
        <f t="shared" si="13"/>
        <v>#REF!</v>
      </c>
      <c r="J403" s="915">
        <v>40.982999999999997</v>
      </c>
      <c r="K403" s="915">
        <v>1.629</v>
      </c>
      <c r="L403" s="915">
        <v>1.629</v>
      </c>
      <c r="M403" s="915">
        <v>40.982999999999997</v>
      </c>
    </row>
    <row r="404" spans="1:13">
      <c r="A404" s="633" t="s">
        <v>431</v>
      </c>
      <c r="B404" s="423" t="s">
        <v>5280</v>
      </c>
      <c r="C404" s="915">
        <v>381.505</v>
      </c>
      <c r="D404" s="915">
        <v>8.2270000000000003</v>
      </c>
      <c r="E404" s="915">
        <v>8.2270000000000003</v>
      </c>
      <c r="F404" s="915">
        <v>381.505</v>
      </c>
      <c r="G404" s="922">
        <f t="shared" si="12"/>
        <v>0</v>
      </c>
      <c r="H404" s="915" t="e">
        <v>#REF!</v>
      </c>
      <c r="I404" s="915" t="e">
        <f t="shared" si="13"/>
        <v>#REF!</v>
      </c>
      <c r="J404" s="915">
        <v>70.057000000000002</v>
      </c>
      <c r="K404" s="915">
        <v>4.5620000000000003</v>
      </c>
      <c r="L404" s="915">
        <v>4.5620000000000003</v>
      </c>
      <c r="M404" s="915">
        <v>70.057000000000002</v>
      </c>
    </row>
    <row r="405" spans="1:13">
      <c r="A405" s="633" t="s">
        <v>4945</v>
      </c>
      <c r="B405" s="423" t="s">
        <v>7468</v>
      </c>
      <c r="C405" s="915">
        <v>110.279</v>
      </c>
      <c r="D405" s="915">
        <v>2.1469999999999998</v>
      </c>
      <c r="E405" s="915">
        <v>2.1469999999999998</v>
      </c>
      <c r="F405" s="915">
        <v>110.279</v>
      </c>
      <c r="G405" s="922">
        <f t="shared" si="12"/>
        <v>0</v>
      </c>
      <c r="H405" s="915" t="e">
        <v>#REF!</v>
      </c>
      <c r="I405" s="915" t="e">
        <f t="shared" si="13"/>
        <v>#REF!</v>
      </c>
      <c r="J405" s="915">
        <v>15.861000000000001</v>
      </c>
      <c r="K405" s="915">
        <v>1.4890000000000001</v>
      </c>
      <c r="L405" s="915">
        <v>1.4890000000000001</v>
      </c>
      <c r="M405" s="915">
        <v>15.861000000000001</v>
      </c>
    </row>
    <row r="406" spans="1:13">
      <c r="A406" s="633" t="s">
        <v>4947</v>
      </c>
      <c r="B406" s="423" t="s">
        <v>5282</v>
      </c>
      <c r="C406" s="915">
        <v>750.63300000000004</v>
      </c>
      <c r="D406" s="915">
        <v>27.087</v>
      </c>
      <c r="E406" s="915">
        <v>27.087</v>
      </c>
      <c r="F406" s="915">
        <v>750.63300000000004</v>
      </c>
      <c r="G406" s="922">
        <f t="shared" si="12"/>
        <v>0</v>
      </c>
      <c r="H406" s="915" t="e">
        <v>#REF!</v>
      </c>
      <c r="I406" s="915" t="e">
        <f t="shared" si="13"/>
        <v>#REF!</v>
      </c>
      <c r="J406" s="915">
        <v>148.95699999999999</v>
      </c>
      <c r="K406" s="915">
        <v>19.135000000000002</v>
      </c>
      <c r="L406" s="915">
        <v>19.135000000000002</v>
      </c>
      <c r="M406" s="915">
        <v>148.95699999999999</v>
      </c>
    </row>
    <row r="407" spans="1:13">
      <c r="A407" s="633" t="s">
        <v>4949</v>
      </c>
      <c r="B407" s="423" t="s">
        <v>5283</v>
      </c>
      <c r="C407" s="915">
        <v>175.952</v>
      </c>
      <c r="D407" s="915">
        <v>0</v>
      </c>
      <c r="E407" s="915">
        <v>0</v>
      </c>
      <c r="F407" s="915">
        <v>175.952</v>
      </c>
      <c r="G407" s="922">
        <f t="shared" si="12"/>
        <v>0</v>
      </c>
      <c r="H407" s="915" t="e">
        <v>#REF!</v>
      </c>
      <c r="I407" s="915" t="e">
        <f t="shared" si="13"/>
        <v>#REF!</v>
      </c>
      <c r="J407" s="915">
        <v>11.718</v>
      </c>
      <c r="K407" s="915">
        <v>0</v>
      </c>
      <c r="L407" s="915">
        <v>0</v>
      </c>
      <c r="M407" s="915">
        <v>11.718</v>
      </c>
    </row>
    <row r="408" spans="1:13">
      <c r="A408" s="633" t="s">
        <v>4951</v>
      </c>
      <c r="B408" s="423" t="s">
        <v>5284</v>
      </c>
      <c r="C408" s="915">
        <v>514.13199999999995</v>
      </c>
      <c r="D408" s="915">
        <v>5.0289999999999999</v>
      </c>
      <c r="E408" s="915">
        <v>5.0289999999999999</v>
      </c>
      <c r="F408" s="915">
        <v>514.13199999999995</v>
      </c>
      <c r="G408" s="922">
        <f t="shared" si="12"/>
        <v>0</v>
      </c>
      <c r="H408" s="915" t="e">
        <v>#REF!</v>
      </c>
      <c r="I408" s="915" t="e">
        <f t="shared" si="13"/>
        <v>#REF!</v>
      </c>
      <c r="J408" s="915">
        <v>7.41</v>
      </c>
      <c r="K408" s="915">
        <v>0</v>
      </c>
      <c r="L408" s="915">
        <v>0</v>
      </c>
      <c r="M408" s="915">
        <v>7.41</v>
      </c>
    </row>
    <row r="409" spans="1:13">
      <c r="A409" s="633" t="s">
        <v>1560</v>
      </c>
      <c r="B409" s="423" t="s">
        <v>5285</v>
      </c>
      <c r="C409" s="915">
        <v>1256.9780000000001</v>
      </c>
      <c r="D409" s="915">
        <v>9.718</v>
      </c>
      <c r="E409" s="915">
        <v>9.718</v>
      </c>
      <c r="F409" s="915">
        <v>1256.9780000000001</v>
      </c>
      <c r="G409" s="922">
        <f t="shared" si="12"/>
        <v>0</v>
      </c>
      <c r="H409" s="915" t="e">
        <v>#REF!</v>
      </c>
      <c r="I409" s="915" t="e">
        <f t="shared" si="13"/>
        <v>#REF!</v>
      </c>
      <c r="J409" s="915">
        <v>12.645</v>
      </c>
      <c r="K409" s="915">
        <v>0.96099999999999997</v>
      </c>
      <c r="L409" s="915">
        <v>0.96099999999999997</v>
      </c>
      <c r="M409" s="915">
        <v>12.645</v>
      </c>
    </row>
    <row r="410" spans="1:13">
      <c r="A410" s="633" t="s">
        <v>2398</v>
      </c>
      <c r="B410" s="423" t="s">
        <v>1466</v>
      </c>
      <c r="C410" s="915">
        <v>2694.6880000000001</v>
      </c>
      <c r="D410" s="915">
        <v>23.573</v>
      </c>
      <c r="E410" s="915">
        <v>23.573</v>
      </c>
      <c r="F410" s="915">
        <v>2694.6880000000001</v>
      </c>
      <c r="G410" s="922">
        <f t="shared" si="12"/>
        <v>0</v>
      </c>
      <c r="H410" s="915" t="e">
        <v>#REF!</v>
      </c>
      <c r="I410" s="915" t="e">
        <f t="shared" si="13"/>
        <v>#REF!</v>
      </c>
      <c r="J410" s="915">
        <v>29.19</v>
      </c>
      <c r="K410" s="915">
        <v>2.6230000000000002</v>
      </c>
      <c r="L410" s="915">
        <v>2.6230000000000002</v>
      </c>
      <c r="M410" s="915">
        <v>29.19</v>
      </c>
    </row>
    <row r="411" spans="1:13">
      <c r="A411" s="633" t="s">
        <v>1562</v>
      </c>
      <c r="B411" s="423" t="s">
        <v>5286</v>
      </c>
      <c r="C411" s="915">
        <v>1923.93</v>
      </c>
      <c r="D411" s="915">
        <v>27.698</v>
      </c>
      <c r="E411" s="915">
        <v>24.565999999999999</v>
      </c>
      <c r="F411" s="915">
        <v>1920.798</v>
      </c>
      <c r="G411" s="922">
        <f t="shared" si="12"/>
        <v>1</v>
      </c>
      <c r="H411" s="915" t="e">
        <v>#REF!</v>
      </c>
      <c r="I411" s="915" t="e">
        <f t="shared" si="13"/>
        <v>#REF!</v>
      </c>
      <c r="J411" s="915">
        <v>33.054000000000002</v>
      </c>
      <c r="K411" s="915">
        <v>7.1529999999999996</v>
      </c>
      <c r="L411" s="915">
        <v>5.5030000000000001</v>
      </c>
      <c r="M411" s="915">
        <v>31.405000000000001</v>
      </c>
    </row>
    <row r="412" spans="1:13">
      <c r="A412" s="633" t="s">
        <v>2997</v>
      </c>
      <c r="B412" s="423" t="s">
        <v>6057</v>
      </c>
      <c r="C412" s="915">
        <v>3653.2910000000002</v>
      </c>
      <c r="D412" s="915">
        <v>33.573</v>
      </c>
      <c r="E412" s="915">
        <v>33.441000000000003</v>
      </c>
      <c r="F412" s="915">
        <v>3653.1590000000001</v>
      </c>
      <c r="G412" s="922">
        <f t="shared" si="12"/>
        <v>1</v>
      </c>
      <c r="H412" s="915" t="e">
        <v>#REF!</v>
      </c>
      <c r="I412" s="915" t="e">
        <f t="shared" si="13"/>
        <v>#REF!</v>
      </c>
      <c r="J412" s="915">
        <v>21.184999999999999</v>
      </c>
      <c r="K412" s="915">
        <v>0.49099999999999999</v>
      </c>
      <c r="L412" s="915">
        <v>0.49099999999999999</v>
      </c>
      <c r="M412" s="915">
        <v>21.184999999999999</v>
      </c>
    </row>
    <row r="413" spans="1:13">
      <c r="A413" s="633" t="s">
        <v>856</v>
      </c>
      <c r="B413" s="423" t="s">
        <v>7477</v>
      </c>
      <c r="C413" s="915">
        <v>540.69500000000005</v>
      </c>
      <c r="D413" s="915">
        <v>13.906000000000001</v>
      </c>
      <c r="E413" s="915">
        <v>13.906000000000001</v>
      </c>
      <c r="F413" s="915">
        <v>540.69500000000005</v>
      </c>
      <c r="G413" s="922">
        <f t="shared" si="12"/>
        <v>0</v>
      </c>
      <c r="H413" s="915" t="e">
        <v>#REF!</v>
      </c>
      <c r="I413" s="915" t="e">
        <f t="shared" si="13"/>
        <v>#REF!</v>
      </c>
      <c r="J413" s="915">
        <v>0.73</v>
      </c>
      <c r="K413" s="915">
        <v>0</v>
      </c>
      <c r="L413" s="915">
        <v>0</v>
      </c>
      <c r="M413" s="915">
        <v>0.73</v>
      </c>
    </row>
    <row r="414" spans="1:13">
      <c r="A414" s="633" t="s">
        <v>819</v>
      </c>
      <c r="B414" s="423" t="s">
        <v>3901</v>
      </c>
      <c r="C414" s="915">
        <v>56091.925999999999</v>
      </c>
      <c r="D414" s="915">
        <v>1637.704</v>
      </c>
      <c r="E414" s="915">
        <v>1636.7339999999999</v>
      </c>
      <c r="F414" s="915">
        <v>56090.955999999998</v>
      </c>
      <c r="G414" s="922">
        <f t="shared" si="12"/>
        <v>1</v>
      </c>
      <c r="H414" s="915" t="e">
        <v>#REF!</v>
      </c>
      <c r="I414" s="915" t="e">
        <f t="shared" si="13"/>
        <v>#REF!</v>
      </c>
      <c r="J414" s="915">
        <v>16168.638000000001</v>
      </c>
      <c r="K414" s="915">
        <v>905.12300000000005</v>
      </c>
      <c r="L414" s="915">
        <v>905.12300000000005</v>
      </c>
      <c r="M414" s="915">
        <v>16168.638000000001</v>
      </c>
    </row>
    <row r="415" spans="1:13">
      <c r="A415" s="633" t="s">
        <v>3887</v>
      </c>
      <c r="B415" s="423" t="s">
        <v>1844</v>
      </c>
      <c r="C415" s="915">
        <v>41395.815999999999</v>
      </c>
      <c r="D415" s="915">
        <v>991.08100000000002</v>
      </c>
      <c r="E415" s="915">
        <v>991.08100000000002</v>
      </c>
      <c r="F415" s="915">
        <v>41395.815999999999</v>
      </c>
      <c r="G415" s="922">
        <f t="shared" si="12"/>
        <v>0</v>
      </c>
      <c r="H415" s="915" t="e">
        <v>#REF!</v>
      </c>
      <c r="I415" s="915" t="e">
        <f t="shared" si="13"/>
        <v>#REF!</v>
      </c>
      <c r="J415" s="915">
        <v>14132.322</v>
      </c>
      <c r="K415" s="915">
        <v>693.80899999999997</v>
      </c>
      <c r="L415" s="915">
        <v>693.80899999999997</v>
      </c>
      <c r="M415" s="915">
        <v>14132.322</v>
      </c>
    </row>
    <row r="416" spans="1:13">
      <c r="A416" s="633" t="s">
        <v>1988</v>
      </c>
      <c r="B416" s="423" t="s">
        <v>303</v>
      </c>
      <c r="C416" s="915">
        <v>8087.2089999999998</v>
      </c>
      <c r="D416" s="915">
        <v>396.274</v>
      </c>
      <c r="E416" s="915">
        <v>218.79599999999999</v>
      </c>
      <c r="F416" s="915">
        <v>7909.7309999999998</v>
      </c>
      <c r="G416" s="922">
        <f t="shared" si="12"/>
        <v>1</v>
      </c>
      <c r="H416" s="915" t="e">
        <v>#REF!</v>
      </c>
      <c r="I416" s="915" t="e">
        <f t="shared" si="13"/>
        <v>#REF!</v>
      </c>
      <c r="J416" s="915">
        <v>1987.9280000000001</v>
      </c>
      <c r="K416" s="915">
        <v>241.035</v>
      </c>
      <c r="L416" s="915">
        <v>138.39599999999999</v>
      </c>
      <c r="M416" s="915">
        <v>1885.289</v>
      </c>
    </row>
    <row r="417" spans="1:13">
      <c r="A417" s="633" t="s">
        <v>245</v>
      </c>
      <c r="B417" s="423" t="s">
        <v>1667</v>
      </c>
      <c r="C417" s="915">
        <v>4624.7809999999999</v>
      </c>
      <c r="D417" s="915">
        <v>55.1</v>
      </c>
      <c r="E417" s="915">
        <v>55.1</v>
      </c>
      <c r="F417" s="915">
        <v>4624.7809999999999</v>
      </c>
      <c r="G417" s="922">
        <f t="shared" si="12"/>
        <v>0</v>
      </c>
      <c r="H417" s="915" t="e">
        <v>#REF!</v>
      </c>
      <c r="I417" s="915" t="e">
        <f t="shared" si="13"/>
        <v>#REF!</v>
      </c>
      <c r="J417" s="915">
        <v>177.417</v>
      </c>
      <c r="K417" s="915">
        <v>8.1620000000000008</v>
      </c>
      <c r="L417" s="915">
        <v>8.1620000000000008</v>
      </c>
      <c r="M417" s="915">
        <v>177.417</v>
      </c>
    </row>
    <row r="418" spans="1:13">
      <c r="A418" s="633" t="s">
        <v>1990</v>
      </c>
      <c r="B418" s="423" t="s">
        <v>304</v>
      </c>
      <c r="C418" s="915">
        <v>94439.593999999997</v>
      </c>
      <c r="D418" s="915">
        <v>1449.048</v>
      </c>
      <c r="E418" s="915">
        <v>1448.921</v>
      </c>
      <c r="F418" s="915">
        <v>94439.467000000004</v>
      </c>
      <c r="G418" s="922">
        <f t="shared" si="12"/>
        <v>1</v>
      </c>
      <c r="H418" s="915" t="e">
        <v>#REF!</v>
      </c>
      <c r="I418" s="915" t="e">
        <f t="shared" si="13"/>
        <v>#REF!</v>
      </c>
      <c r="J418" s="915">
        <v>14232.713</v>
      </c>
      <c r="K418" s="915">
        <v>1040.655</v>
      </c>
      <c r="L418" s="915">
        <v>1040.556</v>
      </c>
      <c r="M418" s="915">
        <v>14232.614</v>
      </c>
    </row>
    <row r="419" spans="1:13">
      <c r="A419" s="633" t="s">
        <v>2115</v>
      </c>
      <c r="B419" s="423" t="s">
        <v>305</v>
      </c>
      <c r="C419" s="915">
        <v>11700.566999999999</v>
      </c>
      <c r="D419" s="915">
        <v>118.155</v>
      </c>
      <c r="E419" s="915">
        <v>118.075</v>
      </c>
      <c r="F419" s="915">
        <v>11700.486999999999</v>
      </c>
      <c r="G419" s="922">
        <f t="shared" si="12"/>
        <v>1</v>
      </c>
      <c r="H419" s="915" t="e">
        <v>#REF!</v>
      </c>
      <c r="I419" s="915" t="e">
        <f t="shared" si="13"/>
        <v>#REF!</v>
      </c>
      <c r="J419" s="915">
        <v>1106.7470000000001</v>
      </c>
      <c r="K419" s="915">
        <v>57.834000000000003</v>
      </c>
      <c r="L419" s="915">
        <v>57.817</v>
      </c>
      <c r="M419" s="915">
        <v>1106.73</v>
      </c>
    </row>
    <row r="420" spans="1:13">
      <c r="A420" s="633" t="s">
        <v>6184</v>
      </c>
      <c r="B420" s="423" t="s">
        <v>1938</v>
      </c>
      <c r="C420" s="915">
        <v>6964.6480000000001</v>
      </c>
      <c r="D420" s="915">
        <v>435.995</v>
      </c>
      <c r="E420" s="915">
        <v>435.822</v>
      </c>
      <c r="F420" s="915">
        <v>6964.4750000000004</v>
      </c>
      <c r="G420" s="922">
        <f t="shared" si="12"/>
        <v>1</v>
      </c>
      <c r="H420" s="915" t="e">
        <v>#REF!</v>
      </c>
      <c r="I420" s="915" t="e">
        <f t="shared" si="13"/>
        <v>#REF!</v>
      </c>
      <c r="J420" s="915">
        <v>852.94399999999996</v>
      </c>
      <c r="K420" s="915">
        <v>57.89</v>
      </c>
      <c r="L420" s="915">
        <v>57.89</v>
      </c>
      <c r="M420" s="915">
        <v>852.94399999999996</v>
      </c>
    </row>
    <row r="421" spans="1:13">
      <c r="A421" s="633" t="s">
        <v>1315</v>
      </c>
      <c r="B421" s="423" t="s">
        <v>120</v>
      </c>
      <c r="C421" s="915">
        <v>19779.991000000002</v>
      </c>
      <c r="D421" s="915">
        <v>454.11</v>
      </c>
      <c r="E421" s="915">
        <v>454.11</v>
      </c>
      <c r="F421" s="915">
        <v>19779.991000000002</v>
      </c>
      <c r="G421" s="922">
        <f t="shared" si="12"/>
        <v>0</v>
      </c>
      <c r="H421" s="915" t="e">
        <v>#REF!</v>
      </c>
      <c r="I421" s="915" t="e">
        <f t="shared" si="13"/>
        <v>#REF!</v>
      </c>
      <c r="J421" s="915">
        <v>5301.6</v>
      </c>
      <c r="K421" s="915">
        <v>240.27099999999999</v>
      </c>
      <c r="L421" s="915">
        <v>240.27099999999999</v>
      </c>
      <c r="M421" s="915">
        <v>5301.6</v>
      </c>
    </row>
    <row r="422" spans="1:13">
      <c r="A422" s="633" t="s">
        <v>5622</v>
      </c>
      <c r="B422" s="423" t="s">
        <v>306</v>
      </c>
      <c r="C422" s="915">
        <v>19070.804</v>
      </c>
      <c r="D422" s="915">
        <v>328.10599999999999</v>
      </c>
      <c r="E422" s="915">
        <v>328.10599999999999</v>
      </c>
      <c r="F422" s="915">
        <v>19070.804</v>
      </c>
      <c r="G422" s="922">
        <f t="shared" si="12"/>
        <v>0</v>
      </c>
      <c r="H422" s="915" t="e">
        <v>#REF!</v>
      </c>
      <c r="I422" s="915" t="e">
        <f t="shared" si="13"/>
        <v>#REF!</v>
      </c>
      <c r="J422" s="915">
        <v>1926.4780000000001</v>
      </c>
      <c r="K422" s="915">
        <v>122.14100000000001</v>
      </c>
      <c r="L422" s="915">
        <v>122.14100000000001</v>
      </c>
      <c r="M422" s="915">
        <v>1926.4780000000001</v>
      </c>
    </row>
    <row r="423" spans="1:13">
      <c r="A423" s="633" t="s">
        <v>5624</v>
      </c>
      <c r="B423" s="423" t="s">
        <v>95</v>
      </c>
      <c r="C423" s="915">
        <v>181236.63800000001</v>
      </c>
      <c r="D423" s="915">
        <v>8948.9809999999998</v>
      </c>
      <c r="E423" s="915">
        <v>7542.5159999999996</v>
      </c>
      <c r="F423" s="915">
        <v>179830.17</v>
      </c>
      <c r="G423" s="922">
        <f t="shared" si="12"/>
        <v>1</v>
      </c>
      <c r="H423" s="915" t="e">
        <v>#REF!</v>
      </c>
      <c r="I423" s="915" t="e">
        <f t="shared" si="13"/>
        <v>#REF!</v>
      </c>
      <c r="J423" s="915">
        <v>51339.385999999999</v>
      </c>
      <c r="K423" s="915">
        <v>4077.78</v>
      </c>
      <c r="L423" s="915">
        <v>3485.0810000000001</v>
      </c>
      <c r="M423" s="915">
        <v>50746.686999999998</v>
      </c>
    </row>
    <row r="424" spans="1:13">
      <c r="A424" s="633" t="s">
        <v>1873</v>
      </c>
      <c r="B424" s="423" t="s">
        <v>3856</v>
      </c>
      <c r="C424" s="915">
        <v>31570.271000000001</v>
      </c>
      <c r="D424" s="915">
        <v>439.83699999999999</v>
      </c>
      <c r="E424" s="915">
        <v>439.27800000000002</v>
      </c>
      <c r="F424" s="915">
        <v>31569.712</v>
      </c>
      <c r="G424" s="922">
        <f t="shared" si="12"/>
        <v>1</v>
      </c>
      <c r="H424" s="915" t="e">
        <v>#REF!</v>
      </c>
      <c r="I424" s="915" t="e">
        <f t="shared" si="13"/>
        <v>#REF!</v>
      </c>
      <c r="J424" s="915">
        <v>2432.2939999999999</v>
      </c>
      <c r="K424" s="915">
        <v>223.65</v>
      </c>
      <c r="L424" s="915">
        <v>223.65</v>
      </c>
      <c r="M424" s="915">
        <v>2432.2939999999999</v>
      </c>
    </row>
    <row r="425" spans="1:13">
      <c r="A425" s="633" t="s">
        <v>6028</v>
      </c>
      <c r="B425" s="423" t="s">
        <v>1913</v>
      </c>
      <c r="C425" s="915">
        <v>53645.158000000003</v>
      </c>
      <c r="D425" s="915">
        <v>551.64599999999996</v>
      </c>
      <c r="E425" s="915">
        <v>551.12099999999998</v>
      </c>
      <c r="F425" s="915">
        <v>53644.633999999998</v>
      </c>
      <c r="G425" s="922">
        <f t="shared" si="12"/>
        <v>1</v>
      </c>
      <c r="H425" s="915" t="e">
        <v>#REF!</v>
      </c>
      <c r="I425" s="915" t="e">
        <f t="shared" si="13"/>
        <v>#REF!</v>
      </c>
      <c r="J425" s="915">
        <v>6757.6859999999997</v>
      </c>
      <c r="K425" s="915">
        <v>431.63200000000001</v>
      </c>
      <c r="L425" s="915">
        <v>431.19099999999997</v>
      </c>
      <c r="M425" s="915">
        <v>6757.2449999999999</v>
      </c>
    </row>
    <row r="426" spans="1:13">
      <c r="A426" s="633" t="s">
        <v>6035</v>
      </c>
      <c r="B426" s="423" t="s">
        <v>1923</v>
      </c>
      <c r="C426" s="915">
        <v>41115.548999999999</v>
      </c>
      <c r="D426" s="915">
        <v>487.50700000000001</v>
      </c>
      <c r="E426" s="915">
        <v>486.86</v>
      </c>
      <c r="F426" s="915">
        <v>41114.902000000002</v>
      </c>
      <c r="G426" s="922">
        <f t="shared" si="12"/>
        <v>1</v>
      </c>
      <c r="H426" s="915" t="e">
        <v>#REF!</v>
      </c>
      <c r="I426" s="915" t="e">
        <f t="shared" si="13"/>
        <v>#REF!</v>
      </c>
      <c r="J426" s="915">
        <v>4814.982</v>
      </c>
      <c r="K426" s="915">
        <v>265.25200000000001</v>
      </c>
      <c r="L426" s="915">
        <v>264.822</v>
      </c>
      <c r="M426" s="915">
        <v>4814.5519999999997</v>
      </c>
    </row>
    <row r="427" spans="1:13">
      <c r="A427" s="633" t="s">
        <v>5626</v>
      </c>
      <c r="B427" s="423" t="s">
        <v>96</v>
      </c>
      <c r="C427" s="915">
        <v>7518.7280000000001</v>
      </c>
      <c r="D427" s="915">
        <v>188.02500000000001</v>
      </c>
      <c r="E427" s="915">
        <v>108.23699999999999</v>
      </c>
      <c r="F427" s="915">
        <v>7438.9390000000003</v>
      </c>
      <c r="G427" s="922">
        <f t="shared" si="12"/>
        <v>1</v>
      </c>
      <c r="H427" s="915" t="e">
        <v>#REF!</v>
      </c>
      <c r="I427" s="915" t="e">
        <f t="shared" si="13"/>
        <v>#REF!</v>
      </c>
      <c r="J427" s="915">
        <v>522.90899999999999</v>
      </c>
      <c r="K427" s="915">
        <v>40.042000000000002</v>
      </c>
      <c r="L427" s="915">
        <v>20.254999999999999</v>
      </c>
      <c r="M427" s="915">
        <v>503.12200000000001</v>
      </c>
    </row>
    <row r="428" spans="1:13">
      <c r="A428" s="633" t="s">
        <v>6194</v>
      </c>
      <c r="B428" s="423" t="s">
        <v>5292</v>
      </c>
      <c r="C428" s="915">
        <v>47559.748</v>
      </c>
      <c r="D428" s="915">
        <v>1034.739</v>
      </c>
      <c r="E428" s="915">
        <v>1034.739</v>
      </c>
      <c r="F428" s="915">
        <v>47559.748</v>
      </c>
      <c r="G428" s="922">
        <f t="shared" si="12"/>
        <v>0</v>
      </c>
      <c r="H428" s="915" t="e">
        <v>#REF!</v>
      </c>
      <c r="I428" s="915" t="e">
        <f t="shared" si="13"/>
        <v>#REF!</v>
      </c>
      <c r="J428" s="915">
        <v>11822.018</v>
      </c>
      <c r="K428" s="915">
        <v>498.798</v>
      </c>
      <c r="L428" s="915">
        <v>498.798</v>
      </c>
      <c r="M428" s="915">
        <v>11822.018</v>
      </c>
    </row>
    <row r="429" spans="1:13">
      <c r="A429" s="633" t="s">
        <v>1539</v>
      </c>
      <c r="B429" s="423" t="s">
        <v>97</v>
      </c>
      <c r="C429" s="915">
        <v>31516.69</v>
      </c>
      <c r="D429" s="915">
        <v>698.44200000000001</v>
      </c>
      <c r="E429" s="915">
        <v>693.05200000000002</v>
      </c>
      <c r="F429" s="915">
        <v>31511.300999999999</v>
      </c>
      <c r="G429" s="922">
        <f t="shared" si="12"/>
        <v>1</v>
      </c>
      <c r="H429" s="915" t="e">
        <v>#REF!</v>
      </c>
      <c r="I429" s="915" t="e">
        <f t="shared" si="13"/>
        <v>#REF!</v>
      </c>
      <c r="J429" s="915">
        <v>4528.8280000000004</v>
      </c>
      <c r="K429" s="915">
        <v>292.10500000000002</v>
      </c>
      <c r="L429" s="915">
        <v>290.26299999999998</v>
      </c>
      <c r="M429" s="915">
        <v>4526.9859999999999</v>
      </c>
    </row>
    <row r="430" spans="1:13">
      <c r="A430" s="633" t="s">
        <v>911</v>
      </c>
      <c r="B430" s="423" t="s">
        <v>98</v>
      </c>
      <c r="C430" s="915">
        <v>30478.959999999999</v>
      </c>
      <c r="D430" s="915">
        <v>1530.703</v>
      </c>
      <c r="E430" s="915">
        <v>796.89</v>
      </c>
      <c r="F430" s="915">
        <v>29745.148000000001</v>
      </c>
      <c r="G430" s="922">
        <f t="shared" si="12"/>
        <v>1</v>
      </c>
      <c r="H430" s="915" t="e">
        <v>#REF!</v>
      </c>
      <c r="I430" s="915" t="e">
        <f t="shared" si="13"/>
        <v>#REF!</v>
      </c>
      <c r="J430" s="915">
        <v>9964.5319999999992</v>
      </c>
      <c r="K430" s="915">
        <v>1068.731</v>
      </c>
      <c r="L430" s="915">
        <v>552.505</v>
      </c>
      <c r="M430" s="915">
        <v>9448.3060000000005</v>
      </c>
    </row>
    <row r="431" spans="1:13">
      <c r="A431" s="633" t="s">
        <v>1428</v>
      </c>
      <c r="B431" s="423" t="s">
        <v>99</v>
      </c>
      <c r="C431" s="915">
        <v>9181.0480000000007</v>
      </c>
      <c r="D431" s="915">
        <v>92.632000000000005</v>
      </c>
      <c r="E431" s="915">
        <v>92.632000000000005</v>
      </c>
      <c r="F431" s="915">
        <v>9181.0480000000007</v>
      </c>
      <c r="G431" s="922">
        <f t="shared" si="12"/>
        <v>0</v>
      </c>
      <c r="H431" s="915" t="e">
        <v>#REF!</v>
      </c>
      <c r="I431" s="915" t="e">
        <f t="shared" si="13"/>
        <v>#REF!</v>
      </c>
      <c r="J431" s="915">
        <v>804.79</v>
      </c>
      <c r="K431" s="915">
        <v>44.417999999999999</v>
      </c>
      <c r="L431" s="915">
        <v>44.417999999999999</v>
      </c>
      <c r="M431" s="915">
        <v>804.79</v>
      </c>
    </row>
    <row r="432" spans="1:13">
      <c r="A432" s="633" t="s">
        <v>1430</v>
      </c>
      <c r="B432" s="423" t="s">
        <v>100</v>
      </c>
      <c r="C432" s="915">
        <v>5790.4340000000002</v>
      </c>
      <c r="D432" s="915">
        <v>154.191</v>
      </c>
      <c r="E432" s="915">
        <v>154.191</v>
      </c>
      <c r="F432" s="915">
        <v>5790.4340000000002</v>
      </c>
      <c r="G432" s="922">
        <f t="shared" si="12"/>
        <v>0</v>
      </c>
      <c r="H432" s="915" t="e">
        <v>#REF!</v>
      </c>
      <c r="I432" s="915" t="e">
        <f t="shared" si="13"/>
        <v>#REF!</v>
      </c>
      <c r="J432" s="915">
        <v>1351.14</v>
      </c>
      <c r="K432" s="915">
        <v>88.361000000000004</v>
      </c>
      <c r="L432" s="915">
        <v>88.361000000000004</v>
      </c>
      <c r="M432" s="915">
        <v>1351.14</v>
      </c>
    </row>
    <row r="433" spans="1:13">
      <c r="A433" s="633" t="s">
        <v>4971</v>
      </c>
      <c r="B433" s="423" t="s">
        <v>3854</v>
      </c>
      <c r="C433" s="915">
        <v>2864.2150000000001</v>
      </c>
      <c r="D433" s="915">
        <v>35.996000000000002</v>
      </c>
      <c r="E433" s="915">
        <v>35.996000000000002</v>
      </c>
      <c r="F433" s="915">
        <v>2864.2150000000001</v>
      </c>
      <c r="G433" s="922">
        <f t="shared" si="12"/>
        <v>0</v>
      </c>
      <c r="H433" s="915" t="e">
        <v>#REF!</v>
      </c>
      <c r="I433" s="915" t="e">
        <f t="shared" si="13"/>
        <v>#REF!</v>
      </c>
      <c r="J433" s="915">
        <v>111.479</v>
      </c>
      <c r="K433" s="915">
        <v>3.125</v>
      </c>
      <c r="L433" s="915">
        <v>3.125</v>
      </c>
      <c r="M433" s="915">
        <v>111.479</v>
      </c>
    </row>
    <row r="434" spans="1:13">
      <c r="A434" s="633" t="s">
        <v>1432</v>
      </c>
      <c r="B434" s="423" t="s">
        <v>101</v>
      </c>
      <c r="C434" s="915">
        <v>171.828</v>
      </c>
      <c r="D434" s="915">
        <v>15.305</v>
      </c>
      <c r="E434" s="915">
        <v>15.305</v>
      </c>
      <c r="F434" s="915">
        <v>171.828</v>
      </c>
      <c r="G434" s="922">
        <f t="shared" si="12"/>
        <v>0</v>
      </c>
      <c r="H434" s="915" t="e">
        <v>#REF!</v>
      </c>
      <c r="I434" s="915" t="e">
        <f t="shared" si="13"/>
        <v>#REF!</v>
      </c>
      <c r="J434" s="915">
        <v>6.08</v>
      </c>
      <c r="K434" s="915">
        <v>0.48599999999999999</v>
      </c>
      <c r="L434" s="915">
        <v>0.48599999999999999</v>
      </c>
      <c r="M434" s="915">
        <v>6.08</v>
      </c>
    </row>
    <row r="435" spans="1:13">
      <c r="A435" s="633" t="s">
        <v>1434</v>
      </c>
      <c r="B435" s="423" t="s">
        <v>877</v>
      </c>
      <c r="C435" s="915">
        <v>5364.8450000000003</v>
      </c>
      <c r="D435" s="915">
        <v>125.68</v>
      </c>
      <c r="E435" s="915">
        <v>125.68</v>
      </c>
      <c r="F435" s="915">
        <v>5364.8450000000003</v>
      </c>
      <c r="G435" s="922">
        <f t="shared" si="12"/>
        <v>0</v>
      </c>
      <c r="H435" s="915" t="e">
        <v>#REF!</v>
      </c>
      <c r="I435" s="915" t="e">
        <f t="shared" si="13"/>
        <v>#REF!</v>
      </c>
      <c r="J435" s="915">
        <v>734.45299999999997</v>
      </c>
      <c r="K435" s="915">
        <v>46.238999999999997</v>
      </c>
      <c r="L435" s="915">
        <v>46.238999999999997</v>
      </c>
      <c r="M435" s="915">
        <v>734.45299999999997</v>
      </c>
    </row>
    <row r="436" spans="1:13">
      <c r="A436" s="633" t="s">
        <v>1436</v>
      </c>
      <c r="B436" s="423" t="s">
        <v>878</v>
      </c>
      <c r="C436" s="915">
        <v>711.91600000000005</v>
      </c>
      <c r="D436" s="915">
        <v>15.83</v>
      </c>
      <c r="E436" s="915">
        <v>11.849</v>
      </c>
      <c r="F436" s="915">
        <v>707.93499999999995</v>
      </c>
      <c r="G436" s="922">
        <f t="shared" si="12"/>
        <v>1</v>
      </c>
      <c r="H436" s="915" t="e">
        <v>#REF!</v>
      </c>
      <c r="I436" s="915" t="e">
        <f t="shared" si="13"/>
        <v>#REF!</v>
      </c>
      <c r="J436" s="915">
        <v>58.753999999999998</v>
      </c>
      <c r="K436" s="915">
        <v>3.3809999999999998</v>
      </c>
      <c r="L436" s="915">
        <v>1.6910000000000001</v>
      </c>
      <c r="M436" s="915">
        <v>57.063000000000002</v>
      </c>
    </row>
    <row r="437" spans="1:13">
      <c r="A437" s="633" t="s">
        <v>1438</v>
      </c>
      <c r="B437" s="423" t="s">
        <v>879</v>
      </c>
      <c r="C437" s="915">
        <v>3946.9450000000002</v>
      </c>
      <c r="D437" s="915">
        <v>46.601999999999997</v>
      </c>
      <c r="E437" s="915">
        <v>46.601999999999997</v>
      </c>
      <c r="F437" s="915">
        <v>3946.9450000000002</v>
      </c>
      <c r="G437" s="922">
        <f t="shared" si="12"/>
        <v>0</v>
      </c>
      <c r="H437" s="915" t="e">
        <v>#REF!</v>
      </c>
      <c r="I437" s="915" t="e">
        <f t="shared" si="13"/>
        <v>#REF!</v>
      </c>
      <c r="J437" s="915">
        <v>73.783000000000001</v>
      </c>
      <c r="K437" s="915">
        <v>8.3170000000000002</v>
      </c>
      <c r="L437" s="915">
        <v>8.3170000000000002</v>
      </c>
      <c r="M437" s="915">
        <v>73.783000000000001</v>
      </c>
    </row>
    <row r="438" spans="1:13">
      <c r="A438" s="633" t="s">
        <v>2580</v>
      </c>
      <c r="B438" s="423" t="s">
        <v>880</v>
      </c>
      <c r="C438" s="915">
        <v>661.54499999999996</v>
      </c>
      <c r="D438" s="915">
        <v>9.1489999999999991</v>
      </c>
      <c r="E438" s="915">
        <v>9.0779999999999994</v>
      </c>
      <c r="F438" s="915">
        <v>661.47400000000005</v>
      </c>
      <c r="G438" s="922">
        <f t="shared" si="12"/>
        <v>1</v>
      </c>
      <c r="H438" s="915" t="e">
        <v>#REF!</v>
      </c>
      <c r="I438" s="915" t="e">
        <f t="shared" si="13"/>
        <v>#REF!</v>
      </c>
      <c r="J438" s="915">
        <v>8.6720000000000006</v>
      </c>
      <c r="K438" s="915">
        <v>0.8</v>
      </c>
      <c r="L438" s="915">
        <v>0.8</v>
      </c>
      <c r="M438" s="915">
        <v>8.6720000000000006</v>
      </c>
    </row>
    <row r="439" spans="1:13">
      <c r="A439" s="633" t="s">
        <v>2582</v>
      </c>
      <c r="B439" s="423" t="s">
        <v>881</v>
      </c>
      <c r="C439" s="915">
        <v>934.875</v>
      </c>
      <c r="D439" s="915">
        <v>27.042999999999999</v>
      </c>
      <c r="E439" s="915">
        <v>15.742000000000001</v>
      </c>
      <c r="F439" s="915">
        <v>923.57399999999996</v>
      </c>
      <c r="G439" s="922">
        <f t="shared" si="12"/>
        <v>1</v>
      </c>
      <c r="H439" s="915" t="e">
        <v>#REF!</v>
      </c>
      <c r="I439" s="915" t="e">
        <f t="shared" si="13"/>
        <v>#REF!</v>
      </c>
      <c r="J439" s="915">
        <v>10.042999999999999</v>
      </c>
      <c r="K439" s="915">
        <v>0.79900000000000004</v>
      </c>
      <c r="L439" s="915">
        <v>0.39900000000000002</v>
      </c>
      <c r="M439" s="915">
        <v>9.6440000000000001</v>
      </c>
    </row>
    <row r="440" spans="1:13">
      <c r="A440" s="633" t="s">
        <v>2584</v>
      </c>
      <c r="B440" s="423" t="s">
        <v>834</v>
      </c>
      <c r="C440" s="915">
        <v>136.46299999999999</v>
      </c>
      <c r="D440" s="915">
        <v>0</v>
      </c>
      <c r="E440" s="915">
        <v>0</v>
      </c>
      <c r="F440" s="915">
        <v>136.46299999999999</v>
      </c>
      <c r="G440" s="922">
        <f t="shared" si="12"/>
        <v>0</v>
      </c>
      <c r="H440" s="915" t="e">
        <v>#REF!</v>
      </c>
      <c r="I440" s="915" t="e">
        <f t="shared" si="13"/>
        <v>#REF!</v>
      </c>
      <c r="J440" s="915">
        <v>3.1259999999999999</v>
      </c>
      <c r="K440" s="915">
        <v>0</v>
      </c>
      <c r="L440" s="915">
        <v>0</v>
      </c>
      <c r="M440" s="915">
        <v>3.1259999999999999</v>
      </c>
    </row>
    <row r="441" spans="1:13">
      <c r="A441" s="633" t="s">
        <v>1578</v>
      </c>
      <c r="B441" s="423" t="s">
        <v>835</v>
      </c>
      <c r="C441" s="915">
        <v>203.17400000000001</v>
      </c>
      <c r="D441" s="915">
        <v>11.193</v>
      </c>
      <c r="E441" s="915">
        <v>5.5990000000000002</v>
      </c>
      <c r="F441" s="915">
        <v>197.58</v>
      </c>
      <c r="G441" s="922">
        <f t="shared" si="12"/>
        <v>1</v>
      </c>
      <c r="H441" s="915" t="e">
        <v>#REF!</v>
      </c>
      <c r="I441" s="915" t="e">
        <f t="shared" si="13"/>
        <v>#REF!</v>
      </c>
      <c r="J441" s="915">
        <v>73.028000000000006</v>
      </c>
      <c r="K441" s="915">
        <v>9.1059999999999999</v>
      </c>
      <c r="L441" s="915">
        <v>4.5549999999999997</v>
      </c>
      <c r="M441" s="915">
        <v>68.477000000000004</v>
      </c>
    </row>
    <row r="442" spans="1:13">
      <c r="A442" s="633" t="s">
        <v>1580</v>
      </c>
      <c r="B442" s="423" t="s">
        <v>3838</v>
      </c>
      <c r="C442" s="915">
        <v>561.38900000000001</v>
      </c>
      <c r="D442" s="915">
        <v>24.268000000000001</v>
      </c>
      <c r="E442" s="915">
        <v>24.268000000000001</v>
      </c>
      <c r="F442" s="915">
        <v>561.38900000000001</v>
      </c>
      <c r="G442" s="922">
        <f t="shared" si="12"/>
        <v>0</v>
      </c>
      <c r="H442" s="915" t="e">
        <v>#REF!</v>
      </c>
      <c r="I442" s="915" t="e">
        <f t="shared" si="13"/>
        <v>#REF!</v>
      </c>
      <c r="J442" s="915">
        <v>15.718</v>
      </c>
      <c r="K442" s="915">
        <v>1.2669999999999999</v>
      </c>
      <c r="L442" s="915">
        <v>1.2669999999999999</v>
      </c>
      <c r="M442" s="915">
        <v>15.718</v>
      </c>
    </row>
    <row r="443" spans="1:13">
      <c r="A443" s="633" t="s">
        <v>1582</v>
      </c>
      <c r="B443" s="423" t="s">
        <v>837</v>
      </c>
      <c r="C443" s="915">
        <v>135.86699999999999</v>
      </c>
      <c r="D443" s="915">
        <v>2.673</v>
      </c>
      <c r="E443" s="915">
        <v>2.673</v>
      </c>
      <c r="F443" s="915">
        <v>135.86699999999999</v>
      </c>
      <c r="G443" s="922">
        <f t="shared" si="12"/>
        <v>0</v>
      </c>
      <c r="H443" s="915" t="e">
        <v>#REF!</v>
      </c>
      <c r="I443" s="915" t="e">
        <f t="shared" si="13"/>
        <v>#REF!</v>
      </c>
      <c r="J443" s="915">
        <v>5.9269999999999996</v>
      </c>
      <c r="K443" s="915">
        <v>0.48</v>
      </c>
      <c r="L443" s="915">
        <v>0.48</v>
      </c>
      <c r="M443" s="915">
        <v>5.9269999999999996</v>
      </c>
    </row>
    <row r="444" spans="1:13">
      <c r="A444" s="633" t="s">
        <v>1584</v>
      </c>
      <c r="B444" s="423" t="s">
        <v>838</v>
      </c>
      <c r="C444" s="915">
        <v>140.06200000000001</v>
      </c>
      <c r="D444" s="915">
        <v>2.048</v>
      </c>
      <c r="E444" s="915">
        <v>1.845</v>
      </c>
      <c r="F444" s="915">
        <v>139.85900000000001</v>
      </c>
      <c r="G444" s="922">
        <f t="shared" si="12"/>
        <v>1</v>
      </c>
      <c r="H444" s="915" t="e">
        <v>#REF!</v>
      </c>
      <c r="I444" s="915" t="e">
        <f t="shared" si="13"/>
        <v>#REF!</v>
      </c>
      <c r="J444" s="915">
        <v>5.9509999999999996</v>
      </c>
      <c r="K444" s="915">
        <v>0</v>
      </c>
      <c r="L444" s="915">
        <v>0</v>
      </c>
      <c r="M444" s="915">
        <v>5.9509999999999996</v>
      </c>
    </row>
    <row r="445" spans="1:13">
      <c r="A445" s="633" t="s">
        <v>1588</v>
      </c>
      <c r="B445" s="423" t="s">
        <v>7510</v>
      </c>
      <c r="C445" s="915">
        <v>6726.8429999999998</v>
      </c>
      <c r="D445" s="915">
        <v>185.99</v>
      </c>
      <c r="E445" s="915">
        <v>172.16200000000001</v>
      </c>
      <c r="F445" s="915">
        <v>6713.0150000000003</v>
      </c>
      <c r="G445" s="922">
        <f t="shared" si="12"/>
        <v>1</v>
      </c>
      <c r="H445" s="915" t="e">
        <v>#REF!</v>
      </c>
      <c r="I445" s="915" t="e">
        <f t="shared" si="13"/>
        <v>#REF!</v>
      </c>
      <c r="J445" s="915">
        <v>562.57000000000005</v>
      </c>
      <c r="K445" s="915">
        <v>47.311</v>
      </c>
      <c r="L445" s="915">
        <v>33.482999999999997</v>
      </c>
      <c r="M445" s="915">
        <v>548.74199999999996</v>
      </c>
    </row>
    <row r="446" spans="1:13">
      <c r="A446" s="633" t="s">
        <v>1292</v>
      </c>
      <c r="B446" s="423" t="s">
        <v>3010</v>
      </c>
      <c r="C446" s="915">
        <v>3946.5940000000001</v>
      </c>
      <c r="D446" s="915">
        <v>14.289</v>
      </c>
      <c r="E446" s="915">
        <v>14.289</v>
      </c>
      <c r="F446" s="915">
        <v>3946.5940000000001</v>
      </c>
      <c r="G446" s="922">
        <f t="shared" si="12"/>
        <v>0</v>
      </c>
      <c r="H446" s="915" t="e">
        <v>#REF!</v>
      </c>
      <c r="I446" s="915" t="e">
        <f t="shared" si="13"/>
        <v>#REF!</v>
      </c>
      <c r="J446" s="915">
        <v>131.363</v>
      </c>
      <c r="K446" s="915">
        <v>7.2910000000000004</v>
      </c>
      <c r="L446" s="915">
        <v>7.2910000000000004</v>
      </c>
      <c r="M446" s="915">
        <v>131.363</v>
      </c>
    </row>
    <row r="447" spans="1:13">
      <c r="A447" s="633" t="s">
        <v>1590</v>
      </c>
      <c r="B447" s="423" t="s">
        <v>840</v>
      </c>
      <c r="C447" s="915">
        <v>1866.9939999999999</v>
      </c>
      <c r="D447" s="915">
        <v>17.254000000000001</v>
      </c>
      <c r="E447" s="915">
        <v>17.254000000000001</v>
      </c>
      <c r="F447" s="915">
        <v>1866.9939999999999</v>
      </c>
      <c r="G447" s="922">
        <f t="shared" si="12"/>
        <v>0</v>
      </c>
      <c r="H447" s="915" t="e">
        <v>#REF!</v>
      </c>
      <c r="I447" s="915" t="e">
        <f t="shared" si="13"/>
        <v>#REF!</v>
      </c>
      <c r="J447" s="915">
        <v>85.474000000000004</v>
      </c>
      <c r="K447" s="915">
        <v>6.9660000000000002</v>
      </c>
      <c r="L447" s="915">
        <v>6.9660000000000002</v>
      </c>
      <c r="M447" s="915">
        <v>85.474000000000004</v>
      </c>
    </row>
    <row r="448" spans="1:13">
      <c r="A448" s="633" t="s">
        <v>1864</v>
      </c>
      <c r="B448" s="423" t="s">
        <v>7514</v>
      </c>
      <c r="C448" s="915">
        <v>12976.050999999999</v>
      </c>
      <c r="D448" s="915">
        <v>194.88</v>
      </c>
      <c r="E448" s="915">
        <v>194.88</v>
      </c>
      <c r="F448" s="915">
        <v>12976.050999999999</v>
      </c>
      <c r="G448" s="922">
        <f t="shared" si="12"/>
        <v>0</v>
      </c>
      <c r="H448" s="915" t="e">
        <v>#REF!</v>
      </c>
      <c r="I448" s="915" t="e">
        <f t="shared" si="13"/>
        <v>#REF!</v>
      </c>
      <c r="J448" s="915">
        <v>1628.239</v>
      </c>
      <c r="K448" s="915">
        <v>78.933999999999997</v>
      </c>
      <c r="L448" s="915">
        <v>78.933999999999997</v>
      </c>
      <c r="M448" s="915">
        <v>1628.239</v>
      </c>
    </row>
    <row r="449" spans="1:13">
      <c r="A449" s="633" t="s">
        <v>1592</v>
      </c>
      <c r="B449" s="423" t="s">
        <v>841</v>
      </c>
      <c r="C449" s="915">
        <v>726.97900000000004</v>
      </c>
      <c r="D449" s="915">
        <v>9.8279999999999994</v>
      </c>
      <c r="E449" s="915">
        <v>9.7530000000000001</v>
      </c>
      <c r="F449" s="915">
        <v>726.904</v>
      </c>
      <c r="G449" s="922">
        <f t="shared" si="12"/>
        <v>1</v>
      </c>
      <c r="H449" s="915" t="e">
        <v>#REF!</v>
      </c>
      <c r="I449" s="915" t="e">
        <f t="shared" si="13"/>
        <v>#REF!</v>
      </c>
      <c r="J449" s="915">
        <v>116.504</v>
      </c>
      <c r="K449" s="915">
        <v>6.3970000000000002</v>
      </c>
      <c r="L449" s="915">
        <v>6.3970000000000002</v>
      </c>
      <c r="M449" s="915">
        <v>116.504</v>
      </c>
    </row>
    <row r="450" spans="1:13">
      <c r="A450" s="633" t="s">
        <v>1594</v>
      </c>
      <c r="B450" s="423" t="s">
        <v>842</v>
      </c>
      <c r="C450" s="915">
        <v>3271.4859999999999</v>
      </c>
      <c r="D450" s="915">
        <v>162.82</v>
      </c>
      <c r="E450" s="915">
        <v>86.013999999999996</v>
      </c>
      <c r="F450" s="915">
        <v>3194.68</v>
      </c>
      <c r="G450" s="922">
        <f t="shared" si="12"/>
        <v>1</v>
      </c>
      <c r="H450" s="915" t="e">
        <v>#REF!</v>
      </c>
      <c r="I450" s="915" t="e">
        <f t="shared" si="13"/>
        <v>#REF!</v>
      </c>
      <c r="J450" s="915">
        <v>574.08199999999999</v>
      </c>
      <c r="K450" s="915">
        <v>65.125</v>
      </c>
      <c r="L450" s="915">
        <v>33.012</v>
      </c>
      <c r="M450" s="915">
        <v>541.96900000000005</v>
      </c>
    </row>
    <row r="451" spans="1:13">
      <c r="A451" s="633" t="s">
        <v>1596</v>
      </c>
      <c r="B451" s="423" t="s">
        <v>843</v>
      </c>
      <c r="C451" s="915">
        <v>2587.1779999999999</v>
      </c>
      <c r="D451" s="915">
        <v>35.424999999999997</v>
      </c>
      <c r="E451" s="915">
        <v>35.424999999999997</v>
      </c>
      <c r="F451" s="915">
        <v>2587.1779999999999</v>
      </c>
      <c r="G451" s="922">
        <f t="shared" ref="G451:G514" si="14">IF(F451&lt;C451,1,0)</f>
        <v>0</v>
      </c>
      <c r="H451" s="915" t="e">
        <v>#REF!</v>
      </c>
      <c r="I451" s="915" t="e">
        <f t="shared" ref="I451:I514" si="15">F451-H451</f>
        <v>#REF!</v>
      </c>
      <c r="J451" s="915">
        <v>57.738999999999997</v>
      </c>
      <c r="K451" s="915">
        <v>1.6759999999999999</v>
      </c>
      <c r="L451" s="915">
        <v>1.6759999999999999</v>
      </c>
      <c r="M451" s="915">
        <v>57.738999999999997</v>
      </c>
    </row>
    <row r="452" spans="1:13">
      <c r="A452" s="633" t="s">
        <v>1598</v>
      </c>
      <c r="B452" s="423" t="s">
        <v>844</v>
      </c>
      <c r="C452" s="915">
        <v>563.76700000000005</v>
      </c>
      <c r="D452" s="915">
        <v>5.274</v>
      </c>
      <c r="E452" s="915">
        <v>5.274</v>
      </c>
      <c r="F452" s="915">
        <v>563.76700000000005</v>
      </c>
      <c r="G452" s="922">
        <f t="shared" si="14"/>
        <v>0</v>
      </c>
      <c r="H452" s="915" t="e">
        <v>#REF!</v>
      </c>
      <c r="I452" s="915" t="e">
        <f t="shared" si="15"/>
        <v>#REF!</v>
      </c>
      <c r="J452" s="915">
        <v>4.9589999999999996</v>
      </c>
      <c r="K452" s="915">
        <v>0</v>
      </c>
      <c r="L452" s="915">
        <v>0</v>
      </c>
      <c r="M452" s="915">
        <v>4.9589999999999996</v>
      </c>
    </row>
    <row r="453" spans="1:13">
      <c r="A453" s="633" t="s">
        <v>1600</v>
      </c>
      <c r="B453" s="423" t="s">
        <v>845</v>
      </c>
      <c r="C453" s="915">
        <v>1436.0840000000001</v>
      </c>
      <c r="D453" s="915">
        <v>53.323</v>
      </c>
      <c r="E453" s="915">
        <v>27.867999999999999</v>
      </c>
      <c r="F453" s="915">
        <v>1410.6289999999999</v>
      </c>
      <c r="G453" s="922">
        <f t="shared" si="14"/>
        <v>1</v>
      </c>
      <c r="H453" s="915" t="e">
        <v>#REF!</v>
      </c>
      <c r="I453" s="915" t="e">
        <f t="shared" si="15"/>
        <v>#REF!</v>
      </c>
      <c r="J453" s="915">
        <v>10.097</v>
      </c>
      <c r="K453" s="915">
        <v>0</v>
      </c>
      <c r="L453" s="915">
        <v>0</v>
      </c>
      <c r="M453" s="915">
        <v>10.097</v>
      </c>
    </row>
    <row r="454" spans="1:13">
      <c r="A454" s="633" t="s">
        <v>5260</v>
      </c>
      <c r="B454" s="423" t="s">
        <v>846</v>
      </c>
      <c r="C454" s="915">
        <v>1133.838</v>
      </c>
      <c r="D454" s="915">
        <v>63.756</v>
      </c>
      <c r="E454" s="915">
        <v>36.372</v>
      </c>
      <c r="F454" s="915">
        <v>1106.454</v>
      </c>
      <c r="G454" s="922">
        <f t="shared" si="14"/>
        <v>1</v>
      </c>
      <c r="H454" s="915" t="e">
        <v>#REF!</v>
      </c>
      <c r="I454" s="915" t="e">
        <f t="shared" si="15"/>
        <v>#REF!</v>
      </c>
      <c r="J454" s="915">
        <v>52.326000000000001</v>
      </c>
      <c r="K454" s="915">
        <v>4.2370000000000001</v>
      </c>
      <c r="L454" s="915">
        <v>2.5249999999999999</v>
      </c>
      <c r="M454" s="915">
        <v>50.613999999999997</v>
      </c>
    </row>
    <row r="455" spans="1:13">
      <c r="A455" s="633" t="s">
        <v>2415</v>
      </c>
      <c r="B455" s="423" t="s">
        <v>5368</v>
      </c>
      <c r="C455" s="915">
        <v>184.79499999999999</v>
      </c>
      <c r="D455" s="915">
        <v>2.4700000000000002</v>
      </c>
      <c r="E455" s="915">
        <v>2.4700000000000002</v>
      </c>
      <c r="F455" s="915">
        <v>184.79499999999999</v>
      </c>
      <c r="G455" s="922">
        <f t="shared" si="14"/>
        <v>0</v>
      </c>
      <c r="H455" s="915" t="e">
        <v>#REF!</v>
      </c>
      <c r="I455" s="915" t="e">
        <f t="shared" si="15"/>
        <v>#REF!</v>
      </c>
      <c r="J455" s="915">
        <v>0</v>
      </c>
      <c r="K455" s="915">
        <v>0</v>
      </c>
      <c r="L455" s="915">
        <v>0</v>
      </c>
      <c r="M455" s="915">
        <v>0</v>
      </c>
    </row>
    <row r="456" spans="1:13">
      <c r="A456" s="633" t="s">
        <v>4973</v>
      </c>
      <c r="B456" s="423" t="s">
        <v>328</v>
      </c>
      <c r="C456" s="915">
        <v>132.596</v>
      </c>
      <c r="D456" s="915">
        <v>9.5380000000000003</v>
      </c>
      <c r="E456" s="915">
        <v>9.26</v>
      </c>
      <c r="F456" s="915">
        <v>132.31800000000001</v>
      </c>
      <c r="G456" s="922">
        <f t="shared" si="14"/>
        <v>1</v>
      </c>
      <c r="H456" s="915" t="e">
        <v>#REF!</v>
      </c>
      <c r="I456" s="915" t="e">
        <f t="shared" si="15"/>
        <v>#REF!</v>
      </c>
      <c r="J456" s="915">
        <v>10.859</v>
      </c>
      <c r="K456" s="915">
        <v>0.97199999999999998</v>
      </c>
      <c r="L456" s="915">
        <v>0.97199999999999998</v>
      </c>
      <c r="M456" s="915">
        <v>10.859</v>
      </c>
    </row>
    <row r="457" spans="1:13">
      <c r="A457" s="633" t="s">
        <v>5262</v>
      </c>
      <c r="B457" s="423" t="s">
        <v>847</v>
      </c>
      <c r="C457" s="915">
        <v>437.01100000000002</v>
      </c>
      <c r="D457" s="915">
        <v>16.529</v>
      </c>
      <c r="E457" s="915">
        <v>16.529</v>
      </c>
      <c r="F457" s="915">
        <v>437.01100000000002</v>
      </c>
      <c r="G457" s="922">
        <f t="shared" si="14"/>
        <v>0</v>
      </c>
      <c r="H457" s="915" t="e">
        <v>#REF!</v>
      </c>
      <c r="I457" s="915" t="e">
        <f t="shared" si="15"/>
        <v>#REF!</v>
      </c>
      <c r="J457" s="915">
        <v>4.4249999999999998</v>
      </c>
      <c r="K457" s="915">
        <v>0.48599999999999999</v>
      </c>
      <c r="L457" s="915">
        <v>0.48599999999999999</v>
      </c>
      <c r="M457" s="915">
        <v>4.4249999999999998</v>
      </c>
    </row>
    <row r="458" spans="1:13">
      <c r="A458" s="633" t="s">
        <v>2054</v>
      </c>
      <c r="B458" s="423" t="s">
        <v>7525</v>
      </c>
      <c r="C458" s="915">
        <v>13861.839</v>
      </c>
      <c r="D458" s="915">
        <v>961.95299999999997</v>
      </c>
      <c r="E458" s="915">
        <v>495.89800000000002</v>
      </c>
      <c r="F458" s="915">
        <v>13395.784</v>
      </c>
      <c r="G458" s="922">
        <f t="shared" si="14"/>
        <v>1</v>
      </c>
      <c r="H458" s="915" t="e">
        <v>#REF!</v>
      </c>
      <c r="I458" s="915" t="e">
        <f t="shared" si="15"/>
        <v>#REF!</v>
      </c>
      <c r="J458" s="915">
        <v>7055.5</v>
      </c>
      <c r="K458" s="915">
        <v>598.03700000000003</v>
      </c>
      <c r="L458" s="915">
        <v>305.98</v>
      </c>
      <c r="M458" s="915">
        <v>6763.4430000000002</v>
      </c>
    </row>
    <row r="459" spans="1:13">
      <c r="A459" s="633" t="s">
        <v>1519</v>
      </c>
      <c r="B459" s="423" t="s">
        <v>3015</v>
      </c>
      <c r="C459" s="915">
        <v>5065.3639999999996</v>
      </c>
      <c r="D459" s="915">
        <v>116.819</v>
      </c>
      <c r="E459" s="915">
        <v>116.819</v>
      </c>
      <c r="F459" s="915">
        <v>5065.3639999999996</v>
      </c>
      <c r="G459" s="922">
        <f t="shared" si="14"/>
        <v>0</v>
      </c>
      <c r="H459" s="915" t="e">
        <v>#REF!</v>
      </c>
      <c r="I459" s="915" t="e">
        <f t="shared" si="15"/>
        <v>#REF!</v>
      </c>
      <c r="J459" s="915">
        <v>1935.3710000000001</v>
      </c>
      <c r="K459" s="915">
        <v>36.277000000000001</v>
      </c>
      <c r="L459" s="915">
        <v>36.277000000000001</v>
      </c>
      <c r="M459" s="915">
        <v>1935.3710000000001</v>
      </c>
    </row>
    <row r="460" spans="1:13">
      <c r="A460" s="633" t="s">
        <v>1521</v>
      </c>
      <c r="B460" s="423" t="s">
        <v>7528</v>
      </c>
      <c r="C460" s="915">
        <v>28720.761999999999</v>
      </c>
      <c r="D460" s="915">
        <v>676.03099999999995</v>
      </c>
      <c r="E460" s="915">
        <v>675.89</v>
      </c>
      <c r="F460" s="915">
        <v>28720.620999999999</v>
      </c>
      <c r="G460" s="922">
        <f t="shared" si="14"/>
        <v>1</v>
      </c>
      <c r="H460" s="915" t="e">
        <v>#REF!</v>
      </c>
      <c r="I460" s="915" t="e">
        <f t="shared" si="15"/>
        <v>#REF!</v>
      </c>
      <c r="J460" s="915">
        <v>8686.32</v>
      </c>
      <c r="K460" s="915">
        <v>405.03399999999999</v>
      </c>
      <c r="L460" s="915">
        <v>404.976</v>
      </c>
      <c r="M460" s="915">
        <v>8686.2620000000006</v>
      </c>
    </row>
    <row r="461" spans="1:13">
      <c r="A461" s="633" t="s">
        <v>1866</v>
      </c>
      <c r="B461" s="423" t="s">
        <v>3845</v>
      </c>
      <c r="C461" s="915">
        <v>3285.3939999999998</v>
      </c>
      <c r="D461" s="915">
        <v>348.79500000000002</v>
      </c>
      <c r="E461" s="915">
        <v>177.56899999999999</v>
      </c>
      <c r="F461" s="915">
        <v>3114.1680000000001</v>
      </c>
      <c r="G461" s="922">
        <f t="shared" si="14"/>
        <v>1</v>
      </c>
      <c r="H461" s="915" t="e">
        <v>#REF!</v>
      </c>
      <c r="I461" s="915" t="e">
        <f t="shared" si="15"/>
        <v>#REF!</v>
      </c>
      <c r="J461" s="915">
        <v>1820.6279999999999</v>
      </c>
      <c r="K461" s="915">
        <v>293.15199999999999</v>
      </c>
      <c r="L461" s="915">
        <v>148.75800000000001</v>
      </c>
      <c r="M461" s="915">
        <v>1676.2339999999999</v>
      </c>
    </row>
    <row r="462" spans="1:13">
      <c r="A462" s="633" t="s">
        <v>6167</v>
      </c>
      <c r="B462" s="423" t="s">
        <v>6073</v>
      </c>
      <c r="C462" s="915">
        <v>23618.194</v>
      </c>
      <c r="D462" s="915">
        <v>1225.9449999999999</v>
      </c>
      <c r="E462" s="915">
        <v>643.74400000000003</v>
      </c>
      <c r="F462" s="915">
        <v>23035.992999999999</v>
      </c>
      <c r="G462" s="922">
        <f t="shared" si="14"/>
        <v>1</v>
      </c>
      <c r="H462" s="915" t="e">
        <v>#REF!</v>
      </c>
      <c r="I462" s="915" t="e">
        <f t="shared" si="15"/>
        <v>#REF!</v>
      </c>
      <c r="J462" s="915">
        <v>6666.4989999999998</v>
      </c>
      <c r="K462" s="915">
        <v>632.40200000000004</v>
      </c>
      <c r="L462" s="915">
        <v>327.72300000000001</v>
      </c>
      <c r="M462" s="915">
        <v>6361.82</v>
      </c>
    </row>
    <row r="463" spans="1:13">
      <c r="A463" s="633" t="s">
        <v>6170</v>
      </c>
      <c r="B463" s="423" t="s">
        <v>495</v>
      </c>
      <c r="C463" s="915">
        <v>5104.0789999999997</v>
      </c>
      <c r="D463" s="915">
        <v>160.03700000000001</v>
      </c>
      <c r="E463" s="915">
        <v>160.03700000000001</v>
      </c>
      <c r="F463" s="915">
        <v>5104.0789999999997</v>
      </c>
      <c r="G463" s="922">
        <f t="shared" si="14"/>
        <v>0</v>
      </c>
      <c r="H463" s="915" t="e">
        <v>#REF!</v>
      </c>
      <c r="I463" s="915" t="e">
        <f t="shared" si="15"/>
        <v>#REF!</v>
      </c>
      <c r="J463" s="915">
        <v>1296.2260000000001</v>
      </c>
      <c r="K463" s="915">
        <v>72.787000000000006</v>
      </c>
      <c r="L463" s="915">
        <v>72.787000000000006</v>
      </c>
      <c r="M463" s="915">
        <v>1296.2260000000001</v>
      </c>
    </row>
    <row r="464" spans="1:13">
      <c r="A464" s="633" t="s">
        <v>6176</v>
      </c>
      <c r="B464" s="423" t="s">
        <v>7533</v>
      </c>
      <c r="C464" s="915">
        <v>14320.472</v>
      </c>
      <c r="D464" s="915">
        <v>299.27699999999999</v>
      </c>
      <c r="E464" s="915">
        <v>298.77699999999999</v>
      </c>
      <c r="F464" s="915">
        <v>14319.972</v>
      </c>
      <c r="G464" s="922">
        <f t="shared" si="14"/>
        <v>1</v>
      </c>
      <c r="H464" s="915" t="e">
        <v>#REF!</v>
      </c>
      <c r="I464" s="915" t="e">
        <f t="shared" si="15"/>
        <v>#REF!</v>
      </c>
      <c r="J464" s="915">
        <v>4865.0860000000002</v>
      </c>
      <c r="K464" s="915">
        <v>154.20400000000001</v>
      </c>
      <c r="L464" s="915">
        <v>154.20400000000001</v>
      </c>
      <c r="M464" s="915">
        <v>4865.0860000000002</v>
      </c>
    </row>
    <row r="465" spans="1:13">
      <c r="A465" s="633" t="s">
        <v>5125</v>
      </c>
      <c r="B465" s="423" t="s">
        <v>340</v>
      </c>
      <c r="C465" s="915">
        <v>29059.123</v>
      </c>
      <c r="D465" s="915">
        <v>1873.6559999999999</v>
      </c>
      <c r="E465" s="915">
        <v>983.72400000000005</v>
      </c>
      <c r="F465" s="915">
        <v>28169.19</v>
      </c>
      <c r="G465" s="922">
        <f t="shared" si="14"/>
        <v>1</v>
      </c>
      <c r="H465" s="915" t="e">
        <v>#REF!</v>
      </c>
      <c r="I465" s="915" t="e">
        <f t="shared" si="15"/>
        <v>#REF!</v>
      </c>
      <c r="J465" s="915">
        <v>11786.538</v>
      </c>
      <c r="K465" s="915">
        <v>928.98299999999995</v>
      </c>
      <c r="L465" s="915">
        <v>479.22800000000001</v>
      </c>
      <c r="M465" s="915">
        <v>11336.782999999999</v>
      </c>
    </row>
    <row r="466" spans="1:13">
      <c r="A466" s="633" t="s">
        <v>648</v>
      </c>
      <c r="B466" s="423" t="s">
        <v>353</v>
      </c>
      <c r="C466" s="915">
        <v>2047.127</v>
      </c>
      <c r="D466" s="915">
        <v>211.452</v>
      </c>
      <c r="E466" s="915">
        <v>109.345</v>
      </c>
      <c r="F466" s="915">
        <v>1945.021</v>
      </c>
      <c r="G466" s="922">
        <f t="shared" si="14"/>
        <v>1</v>
      </c>
      <c r="H466" s="915" t="e">
        <v>#REF!</v>
      </c>
      <c r="I466" s="915" t="e">
        <f t="shared" si="15"/>
        <v>#REF!</v>
      </c>
      <c r="J466" s="915">
        <v>992.41600000000005</v>
      </c>
      <c r="K466" s="915">
        <v>129.274</v>
      </c>
      <c r="L466" s="915">
        <v>66.373000000000005</v>
      </c>
      <c r="M466" s="915">
        <v>929.51499999999999</v>
      </c>
    </row>
    <row r="467" spans="1:13">
      <c r="A467" s="633" t="s">
        <v>780</v>
      </c>
      <c r="B467" s="423" t="s">
        <v>848</v>
      </c>
      <c r="C467" s="915">
        <v>8716.9779999999992</v>
      </c>
      <c r="D467" s="915">
        <v>138.274</v>
      </c>
      <c r="E467" s="915">
        <v>137.84399999999999</v>
      </c>
      <c r="F467" s="915">
        <v>8716.5480000000007</v>
      </c>
      <c r="G467" s="922">
        <f t="shared" si="14"/>
        <v>1</v>
      </c>
      <c r="H467" s="915" t="e">
        <v>#REF!</v>
      </c>
      <c r="I467" s="915" t="e">
        <f t="shared" si="15"/>
        <v>#REF!</v>
      </c>
      <c r="J467" s="915">
        <v>2302.13</v>
      </c>
      <c r="K467" s="915">
        <v>92.59</v>
      </c>
      <c r="L467" s="915">
        <v>92.382000000000005</v>
      </c>
      <c r="M467" s="915">
        <v>2301.9209999999998</v>
      </c>
    </row>
    <row r="468" spans="1:13">
      <c r="A468" s="633" t="s">
        <v>6038</v>
      </c>
      <c r="B468" s="423" t="s">
        <v>2153</v>
      </c>
      <c r="C468" s="915">
        <v>25246.04</v>
      </c>
      <c r="D468" s="915">
        <v>1675.845</v>
      </c>
      <c r="E468" s="915">
        <v>894.96900000000005</v>
      </c>
      <c r="F468" s="915">
        <v>24465.163</v>
      </c>
      <c r="G468" s="922">
        <f t="shared" si="14"/>
        <v>1</v>
      </c>
      <c r="H468" s="915" t="e">
        <v>#REF!</v>
      </c>
      <c r="I468" s="915" t="e">
        <f t="shared" si="15"/>
        <v>#REF!</v>
      </c>
      <c r="J468" s="915">
        <v>11577.478999999999</v>
      </c>
      <c r="K468" s="915">
        <v>1055.0989999999999</v>
      </c>
      <c r="L468" s="915">
        <v>560.13</v>
      </c>
      <c r="M468" s="915">
        <v>11082.51</v>
      </c>
    </row>
    <row r="469" spans="1:13">
      <c r="A469" s="633" t="s">
        <v>3096</v>
      </c>
      <c r="B469" s="423" t="s">
        <v>4065</v>
      </c>
      <c r="C469" s="915">
        <v>15548.816999999999</v>
      </c>
      <c r="D469" s="915">
        <v>310.52600000000001</v>
      </c>
      <c r="E469" s="915">
        <v>309.62900000000002</v>
      </c>
      <c r="F469" s="923">
        <v>15547.919</v>
      </c>
      <c r="G469" s="922">
        <f t="shared" si="14"/>
        <v>1</v>
      </c>
      <c r="H469" s="915" t="e">
        <v>#REF!</v>
      </c>
      <c r="I469" s="915" t="e">
        <f t="shared" si="15"/>
        <v>#REF!</v>
      </c>
      <c r="J469" s="915">
        <v>3581.9679999999998</v>
      </c>
      <c r="K469" s="915">
        <v>108.143</v>
      </c>
      <c r="L469" s="915">
        <v>108.005</v>
      </c>
      <c r="M469" s="915">
        <v>3581.83</v>
      </c>
    </row>
    <row r="470" spans="1:13">
      <c r="A470" s="633" t="s">
        <v>6040</v>
      </c>
      <c r="B470" s="423" t="s">
        <v>184</v>
      </c>
      <c r="C470" s="915">
        <v>575.43700000000001</v>
      </c>
      <c r="D470" s="915">
        <v>48.470999999999997</v>
      </c>
      <c r="E470" s="915">
        <v>25.164999999999999</v>
      </c>
      <c r="F470" s="915">
        <v>552.13099999999997</v>
      </c>
      <c r="G470" s="922">
        <f t="shared" si="14"/>
        <v>1</v>
      </c>
      <c r="H470" s="915" t="e">
        <v>#REF!</v>
      </c>
      <c r="I470" s="915" t="e">
        <f t="shared" si="15"/>
        <v>#REF!</v>
      </c>
      <c r="J470" s="915">
        <v>173.072</v>
      </c>
      <c r="K470" s="915">
        <v>21.423999999999999</v>
      </c>
      <c r="L470" s="915">
        <v>11.459</v>
      </c>
      <c r="M470" s="915">
        <v>163.107</v>
      </c>
    </row>
    <row r="471" spans="1:13">
      <c r="A471" s="633" t="s">
        <v>3097</v>
      </c>
      <c r="B471" s="423" t="s">
        <v>503</v>
      </c>
      <c r="C471" s="915">
        <v>669.36099999999999</v>
      </c>
      <c r="D471" s="915">
        <v>62.027000000000001</v>
      </c>
      <c r="E471" s="915">
        <v>31.97</v>
      </c>
      <c r="F471" s="915">
        <v>639.30399999999997</v>
      </c>
      <c r="G471" s="922">
        <f t="shared" si="14"/>
        <v>1</v>
      </c>
      <c r="H471" s="915" t="e">
        <v>#REF!</v>
      </c>
      <c r="I471" s="915" t="e">
        <f t="shared" si="15"/>
        <v>#REF!</v>
      </c>
      <c r="J471" s="915">
        <v>262.19499999999999</v>
      </c>
      <c r="K471" s="915">
        <v>30.88</v>
      </c>
      <c r="L471" s="915">
        <v>15.597</v>
      </c>
      <c r="M471" s="915">
        <v>246.91200000000001</v>
      </c>
    </row>
    <row r="472" spans="1:13">
      <c r="A472" s="633" t="s">
        <v>2419</v>
      </c>
      <c r="B472" s="423" t="s">
        <v>5372</v>
      </c>
      <c r="C472" s="915">
        <v>4344.2569999999996</v>
      </c>
      <c r="D472" s="915">
        <v>281.745</v>
      </c>
      <c r="E472" s="915">
        <v>144.42699999999999</v>
      </c>
      <c r="F472" s="915">
        <v>4206.9390000000003</v>
      </c>
      <c r="G472" s="922">
        <f t="shared" si="14"/>
        <v>1</v>
      </c>
      <c r="H472" s="915" t="e">
        <v>#REF!</v>
      </c>
      <c r="I472" s="915" t="e">
        <f t="shared" si="15"/>
        <v>#REF!</v>
      </c>
      <c r="J472" s="915">
        <v>2518.335</v>
      </c>
      <c r="K472" s="915">
        <v>244.255</v>
      </c>
      <c r="L472" s="915">
        <v>125.053</v>
      </c>
      <c r="M472" s="915">
        <v>2399.1329999999998</v>
      </c>
    </row>
    <row r="473" spans="1:13">
      <c r="A473" s="633" t="s">
        <v>1115</v>
      </c>
      <c r="B473" s="423" t="s">
        <v>1116</v>
      </c>
      <c r="C473" s="915">
        <v>146.54</v>
      </c>
      <c r="D473" s="915">
        <v>0</v>
      </c>
      <c r="E473" s="915">
        <v>0</v>
      </c>
      <c r="F473" s="915">
        <v>146.54</v>
      </c>
      <c r="G473" s="922">
        <f t="shared" si="14"/>
        <v>0</v>
      </c>
      <c r="H473" s="915" t="e">
        <v>#REF!</v>
      </c>
      <c r="I473" s="915" t="e">
        <f t="shared" si="15"/>
        <v>#REF!</v>
      </c>
      <c r="J473" s="915">
        <v>21.056000000000001</v>
      </c>
      <c r="K473" s="915">
        <v>0</v>
      </c>
      <c r="L473" s="915">
        <v>0</v>
      </c>
      <c r="M473" s="915">
        <v>21.056000000000001</v>
      </c>
    </row>
    <row r="474" spans="1:13">
      <c r="A474" s="633" t="s">
        <v>2608</v>
      </c>
      <c r="B474" s="423" t="s">
        <v>324</v>
      </c>
      <c r="C474" s="915">
        <v>285.47399999999999</v>
      </c>
      <c r="D474" s="915">
        <v>4.4290000000000003</v>
      </c>
      <c r="E474" s="915">
        <v>4.4240000000000004</v>
      </c>
      <c r="F474" s="915">
        <v>285.47000000000003</v>
      </c>
      <c r="G474" s="922">
        <f t="shared" si="14"/>
        <v>1</v>
      </c>
      <c r="H474" s="915" t="e">
        <v>#REF!</v>
      </c>
      <c r="I474" s="915" t="e">
        <f t="shared" si="15"/>
        <v>#REF!</v>
      </c>
      <c r="J474" s="915">
        <v>1.5620000000000001</v>
      </c>
      <c r="K474" s="915">
        <v>0</v>
      </c>
      <c r="L474" s="915">
        <v>0</v>
      </c>
      <c r="M474" s="915">
        <v>1.5620000000000001</v>
      </c>
    </row>
    <row r="475" spans="1:13">
      <c r="A475" s="633" t="s">
        <v>448</v>
      </c>
      <c r="B475" s="423" t="s">
        <v>6096</v>
      </c>
      <c r="C475" s="915">
        <v>235.26499999999999</v>
      </c>
      <c r="D475" s="915">
        <v>4.2809999999999997</v>
      </c>
      <c r="E475" s="915">
        <v>2.6589999999999998</v>
      </c>
      <c r="F475" s="915">
        <v>233.64400000000001</v>
      </c>
      <c r="G475" s="922">
        <f t="shared" si="14"/>
        <v>1</v>
      </c>
      <c r="H475" s="915" t="e">
        <v>#REF!</v>
      </c>
      <c r="I475" s="915" t="e">
        <f t="shared" si="15"/>
        <v>#REF!</v>
      </c>
      <c r="J475" s="915">
        <v>7.7750000000000004</v>
      </c>
      <c r="K475" s="915">
        <v>0</v>
      </c>
      <c r="L475" s="915">
        <v>0</v>
      </c>
      <c r="M475" s="915">
        <v>7.7750000000000004</v>
      </c>
    </row>
    <row r="476" spans="1:13">
      <c r="A476" s="633" t="s">
        <v>243</v>
      </c>
      <c r="B476" s="423" t="s">
        <v>5246</v>
      </c>
      <c r="C476" s="915">
        <v>266.67099999999999</v>
      </c>
      <c r="D476" s="915">
        <v>3.847</v>
      </c>
      <c r="E476" s="915">
        <v>3.847</v>
      </c>
      <c r="F476" s="915">
        <v>266.67099999999999</v>
      </c>
      <c r="G476" s="922">
        <f t="shared" si="14"/>
        <v>0</v>
      </c>
      <c r="H476" s="915" t="e">
        <v>#REF!</v>
      </c>
      <c r="I476" s="915" t="e">
        <f t="shared" si="15"/>
        <v>#REF!</v>
      </c>
      <c r="J476" s="915">
        <v>3.0830000000000002</v>
      </c>
      <c r="K476" s="915">
        <v>1.194</v>
      </c>
      <c r="L476" s="915">
        <v>1.194</v>
      </c>
      <c r="M476" s="915">
        <v>3.0830000000000002</v>
      </c>
    </row>
    <row r="477" spans="1:13">
      <c r="A477" s="633" t="s">
        <v>1868</v>
      </c>
      <c r="B477" s="423" t="s">
        <v>3847</v>
      </c>
      <c r="C477" s="915">
        <v>1691.3620000000001</v>
      </c>
      <c r="D477" s="915">
        <v>77.614000000000004</v>
      </c>
      <c r="E477" s="915">
        <v>77.614000000000004</v>
      </c>
      <c r="F477" s="915">
        <v>1691.3620000000001</v>
      </c>
      <c r="G477" s="922">
        <f t="shared" si="14"/>
        <v>0</v>
      </c>
      <c r="H477" s="915" t="e">
        <v>#REF!</v>
      </c>
      <c r="I477" s="915" t="e">
        <f t="shared" si="15"/>
        <v>#REF!</v>
      </c>
      <c r="J477" s="915">
        <v>266.85000000000002</v>
      </c>
      <c r="K477" s="915">
        <v>23.405000000000001</v>
      </c>
      <c r="L477" s="915">
        <v>23.405000000000001</v>
      </c>
      <c r="M477" s="915">
        <v>266.85000000000002</v>
      </c>
    </row>
    <row r="478" spans="1:13">
      <c r="A478" s="633" t="s">
        <v>3098</v>
      </c>
      <c r="B478" s="423" t="s">
        <v>3852</v>
      </c>
      <c r="C478" s="915">
        <v>387.45</v>
      </c>
      <c r="D478" s="915">
        <v>25.992000000000001</v>
      </c>
      <c r="E478" s="915">
        <v>14.111000000000001</v>
      </c>
      <c r="F478" s="915">
        <v>375.56900000000002</v>
      </c>
      <c r="G478" s="922">
        <f t="shared" si="14"/>
        <v>1</v>
      </c>
      <c r="H478" s="915" t="e">
        <v>#REF!</v>
      </c>
      <c r="I478" s="915" t="e">
        <f t="shared" si="15"/>
        <v>#REF!</v>
      </c>
      <c r="J478" s="915">
        <v>3.8969999999999998</v>
      </c>
      <c r="K478" s="915">
        <v>1</v>
      </c>
      <c r="L478" s="915">
        <v>0.5</v>
      </c>
      <c r="M478" s="915">
        <v>3.3969999999999998</v>
      </c>
    </row>
    <row r="479" spans="1:13">
      <c r="A479" s="633" t="s">
        <v>6022</v>
      </c>
      <c r="B479" s="423" t="s">
        <v>1907</v>
      </c>
      <c r="C479" s="915">
        <v>668.65499999999997</v>
      </c>
      <c r="D479" s="915">
        <v>19.777000000000001</v>
      </c>
      <c r="E479" s="915">
        <v>10.355</v>
      </c>
      <c r="F479" s="915">
        <v>659.23199999999997</v>
      </c>
      <c r="G479" s="922">
        <f t="shared" si="14"/>
        <v>1</v>
      </c>
      <c r="H479" s="915" t="e">
        <v>#REF!</v>
      </c>
      <c r="I479" s="915" t="e">
        <f t="shared" si="15"/>
        <v>#REF!</v>
      </c>
      <c r="J479" s="915">
        <v>41.283000000000001</v>
      </c>
      <c r="K479" s="915">
        <v>5.2119999999999997</v>
      </c>
      <c r="L479" s="915">
        <v>2.6059999999999999</v>
      </c>
      <c r="M479" s="915">
        <v>38.677</v>
      </c>
    </row>
    <row r="480" spans="1:13">
      <c r="A480" s="633" t="s">
        <v>2610</v>
      </c>
      <c r="B480" s="423" t="s">
        <v>326</v>
      </c>
      <c r="C480" s="915">
        <v>68.923000000000002</v>
      </c>
      <c r="D480" s="915">
        <v>9.952</v>
      </c>
      <c r="E480" s="915">
        <v>5.4139999999999997</v>
      </c>
      <c r="F480" s="915">
        <v>64.385000000000005</v>
      </c>
      <c r="G480" s="922">
        <f t="shared" si="14"/>
        <v>1</v>
      </c>
      <c r="H480" s="915" t="e">
        <v>#REF!</v>
      </c>
      <c r="I480" s="915" t="e">
        <f t="shared" si="15"/>
        <v>#REF!</v>
      </c>
      <c r="J480" s="915">
        <v>9.3149999999999995</v>
      </c>
      <c r="K480" s="915">
        <v>1.8580000000000001</v>
      </c>
      <c r="L480" s="915">
        <v>0.92900000000000005</v>
      </c>
      <c r="M480" s="915">
        <v>8.3859999999999992</v>
      </c>
    </row>
    <row r="481" spans="1:13">
      <c r="A481" s="633" t="s">
        <v>2612</v>
      </c>
      <c r="B481" s="423" t="s">
        <v>504</v>
      </c>
      <c r="C481" s="915">
        <v>134.95400000000001</v>
      </c>
      <c r="D481" s="915">
        <v>8.1519999999999992</v>
      </c>
      <c r="E481" s="915">
        <v>4.5510000000000002</v>
      </c>
      <c r="F481" s="915">
        <v>131.35300000000001</v>
      </c>
      <c r="G481" s="922">
        <f t="shared" si="14"/>
        <v>1</v>
      </c>
      <c r="H481" s="915" t="e">
        <v>#REF!</v>
      </c>
      <c r="I481" s="915" t="e">
        <f t="shared" si="15"/>
        <v>#REF!</v>
      </c>
      <c r="J481" s="915">
        <v>8.7539999999999996</v>
      </c>
      <c r="K481" s="915">
        <v>1.966</v>
      </c>
      <c r="L481" s="915">
        <v>0.98299999999999998</v>
      </c>
      <c r="M481" s="915">
        <v>7.7709999999999999</v>
      </c>
    </row>
    <row r="482" spans="1:13">
      <c r="A482" s="633" t="s">
        <v>782</v>
      </c>
      <c r="B482" s="423" t="s">
        <v>849</v>
      </c>
      <c r="C482" s="915">
        <v>1504.829</v>
      </c>
      <c r="D482" s="915">
        <v>17.234000000000002</v>
      </c>
      <c r="E482" s="915">
        <v>17.234000000000002</v>
      </c>
      <c r="F482" s="915">
        <v>1504.829</v>
      </c>
      <c r="G482" s="922">
        <f t="shared" si="14"/>
        <v>0</v>
      </c>
      <c r="H482" s="915" t="e">
        <v>#REF!</v>
      </c>
      <c r="I482" s="915" t="e">
        <f t="shared" si="15"/>
        <v>#REF!</v>
      </c>
      <c r="J482" s="915">
        <v>59.017000000000003</v>
      </c>
      <c r="K482" s="915">
        <v>3.4020000000000001</v>
      </c>
      <c r="L482" s="915">
        <v>3.4020000000000001</v>
      </c>
      <c r="M482" s="915">
        <v>59.017000000000003</v>
      </c>
    </row>
    <row r="483" spans="1:13">
      <c r="A483" s="633" t="s">
        <v>2614</v>
      </c>
      <c r="B483" s="423" t="s">
        <v>7686</v>
      </c>
      <c r="C483" s="915">
        <v>208.227</v>
      </c>
      <c r="D483" s="915">
        <v>2.9510000000000001</v>
      </c>
      <c r="E483" s="915">
        <v>2.9510000000000001</v>
      </c>
      <c r="F483" s="915">
        <v>208.227</v>
      </c>
      <c r="G483" s="922">
        <f t="shared" si="14"/>
        <v>0</v>
      </c>
      <c r="H483" s="915" t="e">
        <v>#REF!</v>
      </c>
      <c r="I483" s="915" t="e">
        <f t="shared" si="15"/>
        <v>#REF!</v>
      </c>
      <c r="J483" s="915">
        <v>1</v>
      </c>
      <c r="K483" s="915">
        <v>0</v>
      </c>
      <c r="L483" s="915">
        <v>0</v>
      </c>
      <c r="M483" s="915">
        <v>1</v>
      </c>
    </row>
    <row r="484" spans="1:13">
      <c r="A484" s="633" t="s">
        <v>2468</v>
      </c>
      <c r="B484" s="423" t="s">
        <v>7662</v>
      </c>
      <c r="C484" s="915">
        <v>340.13499999999999</v>
      </c>
      <c r="D484" s="915">
        <v>8.5459999999999994</v>
      </c>
      <c r="E484" s="915">
        <v>5.306</v>
      </c>
      <c r="F484" s="915">
        <v>336.89499999999998</v>
      </c>
      <c r="G484" s="922">
        <f t="shared" si="14"/>
        <v>1</v>
      </c>
      <c r="H484" s="915" t="e">
        <v>#REF!</v>
      </c>
      <c r="I484" s="915" t="e">
        <f t="shared" si="15"/>
        <v>#REF!</v>
      </c>
      <c r="J484" s="915">
        <v>21.715</v>
      </c>
      <c r="K484" s="915">
        <v>2.4889999999999999</v>
      </c>
      <c r="L484" s="915">
        <v>1.2450000000000001</v>
      </c>
      <c r="M484" s="915">
        <v>20.47</v>
      </c>
    </row>
    <row r="485" spans="1:13">
      <c r="A485" s="633" t="s">
        <v>2616</v>
      </c>
      <c r="B485" s="423" t="s">
        <v>336</v>
      </c>
      <c r="C485" s="915">
        <v>178.57499999999999</v>
      </c>
      <c r="D485" s="915">
        <v>6.1120000000000001</v>
      </c>
      <c r="E485" s="915">
        <v>3.0870000000000002</v>
      </c>
      <c r="F485" s="915">
        <v>175.55099999999999</v>
      </c>
      <c r="G485" s="922">
        <f t="shared" si="14"/>
        <v>1</v>
      </c>
      <c r="H485" s="915" t="e">
        <v>#REF!</v>
      </c>
      <c r="I485" s="915" t="e">
        <f t="shared" si="15"/>
        <v>#REF!</v>
      </c>
      <c r="J485" s="915">
        <v>15.226000000000001</v>
      </c>
      <c r="K485" s="915">
        <v>1</v>
      </c>
      <c r="L485" s="915">
        <v>0.5</v>
      </c>
      <c r="M485" s="915">
        <v>14.726000000000001</v>
      </c>
    </row>
    <row r="486" spans="1:13">
      <c r="A486" s="633" t="s">
        <v>784</v>
      </c>
      <c r="B486" s="423" t="s">
        <v>850</v>
      </c>
      <c r="C486" s="915">
        <v>272.74099999999999</v>
      </c>
      <c r="D486" s="915">
        <v>9.6539999999999999</v>
      </c>
      <c r="E486" s="915">
        <v>9.6539999999999999</v>
      </c>
      <c r="F486" s="915">
        <v>272.74099999999999</v>
      </c>
      <c r="G486" s="922">
        <f t="shared" si="14"/>
        <v>0</v>
      </c>
      <c r="H486" s="915" t="e">
        <v>#REF!</v>
      </c>
      <c r="I486" s="915" t="e">
        <f t="shared" si="15"/>
        <v>#REF!</v>
      </c>
      <c r="J486" s="915">
        <v>1.93</v>
      </c>
      <c r="K486" s="915">
        <v>0</v>
      </c>
      <c r="L486" s="915">
        <v>0</v>
      </c>
      <c r="M486" s="915">
        <v>1.93</v>
      </c>
    </row>
    <row r="487" spans="1:13">
      <c r="A487" s="633" t="s">
        <v>786</v>
      </c>
      <c r="B487" s="423" t="s">
        <v>7109</v>
      </c>
      <c r="C487" s="915">
        <v>2745.395</v>
      </c>
      <c r="D487" s="915">
        <v>159.13399999999999</v>
      </c>
      <c r="E487" s="915">
        <v>82.745999999999995</v>
      </c>
      <c r="F487" s="915">
        <v>2669.0079999999998</v>
      </c>
      <c r="G487" s="922">
        <f t="shared" si="14"/>
        <v>1</v>
      </c>
      <c r="H487" s="915" t="e">
        <v>#REF!</v>
      </c>
      <c r="I487" s="915" t="e">
        <f t="shared" si="15"/>
        <v>#REF!</v>
      </c>
      <c r="J487" s="915">
        <v>115.937</v>
      </c>
      <c r="K487" s="915">
        <v>15.406000000000001</v>
      </c>
      <c r="L487" s="915">
        <v>8.0809999999999995</v>
      </c>
      <c r="M487" s="915">
        <v>108.613</v>
      </c>
    </row>
    <row r="488" spans="1:13">
      <c r="A488" s="633" t="s">
        <v>788</v>
      </c>
      <c r="B488" s="423" t="s">
        <v>7110</v>
      </c>
      <c r="C488" s="915">
        <v>316.149</v>
      </c>
      <c r="D488" s="915">
        <v>7.827</v>
      </c>
      <c r="E488" s="915">
        <v>7.827</v>
      </c>
      <c r="F488" s="915">
        <v>316.149</v>
      </c>
      <c r="G488" s="922">
        <f t="shared" si="14"/>
        <v>0</v>
      </c>
      <c r="H488" s="915" t="e">
        <v>#REF!</v>
      </c>
      <c r="I488" s="915" t="e">
        <f t="shared" si="15"/>
        <v>#REF!</v>
      </c>
      <c r="J488" s="915">
        <v>13.712999999999999</v>
      </c>
      <c r="K488" s="915">
        <v>0.40300000000000002</v>
      </c>
      <c r="L488" s="915">
        <v>0.40300000000000002</v>
      </c>
      <c r="M488" s="915">
        <v>13.712999999999999</v>
      </c>
    </row>
    <row r="489" spans="1:13">
      <c r="A489" s="633" t="s">
        <v>969</v>
      </c>
      <c r="B489" s="423" t="s">
        <v>2344</v>
      </c>
      <c r="C489" s="915">
        <v>346.53199999999998</v>
      </c>
      <c r="D489" s="915">
        <v>16.172000000000001</v>
      </c>
      <c r="E489" s="915">
        <v>9.3209999999999997</v>
      </c>
      <c r="F489" s="915">
        <v>339.68099999999998</v>
      </c>
      <c r="G489" s="922">
        <f t="shared" si="14"/>
        <v>1</v>
      </c>
      <c r="H489" s="915" t="e">
        <v>#REF!</v>
      </c>
      <c r="I489" s="915" t="e">
        <f t="shared" si="15"/>
        <v>#REF!</v>
      </c>
      <c r="J489" s="915">
        <v>15.696999999999999</v>
      </c>
      <c r="K489" s="915">
        <v>0.73399999999999999</v>
      </c>
      <c r="L489" s="915">
        <v>0.42099999999999999</v>
      </c>
      <c r="M489" s="915">
        <v>15.382999999999999</v>
      </c>
    </row>
    <row r="490" spans="1:13">
      <c r="A490" s="633" t="s">
        <v>790</v>
      </c>
      <c r="B490" s="423" t="s">
        <v>7111</v>
      </c>
      <c r="C490" s="915">
        <v>567.46900000000005</v>
      </c>
      <c r="D490" s="915">
        <v>6.5679999999999996</v>
      </c>
      <c r="E490" s="915">
        <v>6.5679999999999996</v>
      </c>
      <c r="F490" s="915">
        <v>567.46900000000005</v>
      </c>
      <c r="G490" s="922">
        <f t="shared" si="14"/>
        <v>0</v>
      </c>
      <c r="H490" s="915" t="e">
        <v>#REF!</v>
      </c>
      <c r="I490" s="915" t="e">
        <f t="shared" si="15"/>
        <v>#REF!</v>
      </c>
      <c r="J490" s="915">
        <v>3.645</v>
      </c>
      <c r="K490" s="915">
        <v>0.43</v>
      </c>
      <c r="L490" s="915">
        <v>0.43</v>
      </c>
      <c r="M490" s="915">
        <v>3.645</v>
      </c>
    </row>
    <row r="491" spans="1:13">
      <c r="A491" s="633" t="s">
        <v>792</v>
      </c>
      <c r="B491" s="423" t="s">
        <v>7112</v>
      </c>
      <c r="C491" s="915">
        <v>175.33199999999999</v>
      </c>
      <c r="D491" s="915">
        <v>0</v>
      </c>
      <c r="E491" s="915">
        <v>0</v>
      </c>
      <c r="F491" s="915">
        <v>175.33199999999999</v>
      </c>
      <c r="G491" s="922">
        <f t="shared" si="14"/>
        <v>0</v>
      </c>
      <c r="H491" s="915" t="e">
        <v>#REF!</v>
      </c>
      <c r="I491" s="915" t="e">
        <f t="shared" si="15"/>
        <v>#REF!</v>
      </c>
      <c r="J491" s="915">
        <v>3.6819999999999999</v>
      </c>
      <c r="K491" s="915">
        <v>0</v>
      </c>
      <c r="L491" s="915">
        <v>0</v>
      </c>
      <c r="M491" s="915">
        <v>3.6819999999999999</v>
      </c>
    </row>
    <row r="492" spans="1:13">
      <c r="A492" s="633" t="s">
        <v>794</v>
      </c>
      <c r="B492" s="423" t="s">
        <v>7113</v>
      </c>
      <c r="C492" s="915">
        <v>6352.6779999999999</v>
      </c>
      <c r="D492" s="915">
        <v>79.057000000000002</v>
      </c>
      <c r="E492" s="915">
        <v>78.849000000000004</v>
      </c>
      <c r="F492" s="915">
        <v>6352.4709999999995</v>
      </c>
      <c r="G492" s="922">
        <f t="shared" si="14"/>
        <v>1</v>
      </c>
      <c r="H492" s="915" t="e">
        <v>#REF!</v>
      </c>
      <c r="I492" s="915" t="e">
        <f t="shared" si="15"/>
        <v>#REF!</v>
      </c>
      <c r="J492" s="915">
        <v>385.65499999999997</v>
      </c>
      <c r="K492" s="915">
        <v>16.786000000000001</v>
      </c>
      <c r="L492" s="915">
        <v>16.786000000000001</v>
      </c>
      <c r="M492" s="915">
        <v>385.65499999999997</v>
      </c>
    </row>
    <row r="493" spans="1:13">
      <c r="A493" s="633" t="s">
        <v>2991</v>
      </c>
      <c r="B493" s="423" t="s">
        <v>193</v>
      </c>
      <c r="C493" s="915">
        <v>278.637</v>
      </c>
      <c r="D493" s="915">
        <v>4.6529999999999996</v>
      </c>
      <c r="E493" s="915">
        <v>4.6529999999999996</v>
      </c>
      <c r="F493" s="915">
        <v>278.637</v>
      </c>
      <c r="G493" s="922">
        <f t="shared" si="14"/>
        <v>0</v>
      </c>
      <c r="H493" s="915" t="e">
        <v>#REF!</v>
      </c>
      <c r="I493" s="915" t="e">
        <f t="shared" si="15"/>
        <v>#REF!</v>
      </c>
      <c r="J493" s="915">
        <v>0.98199999999999998</v>
      </c>
      <c r="K493" s="915">
        <v>0</v>
      </c>
      <c r="L493" s="915">
        <v>0</v>
      </c>
      <c r="M493" s="915">
        <v>0.98199999999999998</v>
      </c>
    </row>
    <row r="494" spans="1:13">
      <c r="A494" s="633" t="s">
        <v>2413</v>
      </c>
      <c r="B494" s="423" t="s">
        <v>5366</v>
      </c>
      <c r="C494" s="915">
        <v>548.36</v>
      </c>
      <c r="D494" s="915">
        <v>1.4339999999999999</v>
      </c>
      <c r="E494" s="915">
        <v>1.4339999999999999</v>
      </c>
      <c r="F494" s="915">
        <v>548.36</v>
      </c>
      <c r="G494" s="922">
        <f t="shared" si="14"/>
        <v>0</v>
      </c>
      <c r="H494" s="915" t="e">
        <v>#REF!</v>
      </c>
      <c r="I494" s="915" t="e">
        <f t="shared" si="15"/>
        <v>#REF!</v>
      </c>
      <c r="J494" s="915">
        <v>17.004999999999999</v>
      </c>
      <c r="K494" s="915">
        <v>0.874</v>
      </c>
      <c r="L494" s="915">
        <v>0.874</v>
      </c>
      <c r="M494" s="915">
        <v>17.004999999999999</v>
      </c>
    </row>
    <row r="495" spans="1:13">
      <c r="A495" s="633" t="s">
        <v>796</v>
      </c>
      <c r="B495" s="423" t="s">
        <v>7114</v>
      </c>
      <c r="C495" s="915">
        <v>3958.7069999999999</v>
      </c>
      <c r="D495" s="915">
        <v>232.44200000000001</v>
      </c>
      <c r="E495" s="915">
        <v>120.95699999999999</v>
      </c>
      <c r="F495" s="915">
        <v>3847.2220000000002</v>
      </c>
      <c r="G495" s="922">
        <f t="shared" si="14"/>
        <v>1</v>
      </c>
      <c r="H495" s="915" t="e">
        <v>#REF!</v>
      </c>
      <c r="I495" s="915" t="e">
        <f t="shared" si="15"/>
        <v>#REF!</v>
      </c>
      <c r="J495" s="915">
        <v>277.048</v>
      </c>
      <c r="K495" s="915">
        <v>18.748999999999999</v>
      </c>
      <c r="L495" s="915">
        <v>9.4139999999999997</v>
      </c>
      <c r="M495" s="915">
        <v>267.71300000000002</v>
      </c>
    </row>
    <row r="496" spans="1:13">
      <c r="A496" s="633" t="s">
        <v>2044</v>
      </c>
      <c r="B496" s="423" t="s">
        <v>991</v>
      </c>
      <c r="C496" s="915">
        <v>403.32299999999998</v>
      </c>
      <c r="D496" s="915">
        <v>15.99</v>
      </c>
      <c r="E496" s="915">
        <v>8.0850000000000009</v>
      </c>
      <c r="F496" s="915">
        <v>395.41800000000001</v>
      </c>
      <c r="G496" s="922">
        <f t="shared" si="14"/>
        <v>1</v>
      </c>
      <c r="H496" s="915" t="e">
        <v>#REF!</v>
      </c>
      <c r="I496" s="915" t="e">
        <f t="shared" si="15"/>
        <v>#REF!</v>
      </c>
      <c r="J496" s="915">
        <v>13.433999999999999</v>
      </c>
      <c r="K496" s="915">
        <v>1.895</v>
      </c>
      <c r="L496" s="915">
        <v>0.94699999999999995</v>
      </c>
      <c r="M496" s="915">
        <v>12.487</v>
      </c>
    </row>
    <row r="497" spans="1:13">
      <c r="A497" s="633" t="s">
        <v>798</v>
      </c>
      <c r="B497" s="423" t="s">
        <v>7115</v>
      </c>
      <c r="C497" s="915">
        <v>405.87099999999998</v>
      </c>
      <c r="D497" s="915">
        <v>13.617000000000001</v>
      </c>
      <c r="E497" s="915">
        <v>13.516999999999999</v>
      </c>
      <c r="F497" s="915">
        <v>405.77100000000002</v>
      </c>
      <c r="G497" s="922">
        <f t="shared" si="14"/>
        <v>1</v>
      </c>
      <c r="H497" s="915" t="e">
        <v>#REF!</v>
      </c>
      <c r="I497" s="915" t="e">
        <f t="shared" si="15"/>
        <v>#REF!</v>
      </c>
      <c r="J497" s="915">
        <v>25.071000000000002</v>
      </c>
      <c r="K497" s="915">
        <v>0</v>
      </c>
      <c r="L497" s="915">
        <v>0</v>
      </c>
      <c r="M497" s="915">
        <v>25.071000000000002</v>
      </c>
    </row>
    <row r="498" spans="1:13">
      <c r="A498" s="633" t="s">
        <v>2358</v>
      </c>
      <c r="B498" s="423" t="s">
        <v>499</v>
      </c>
      <c r="C498" s="915">
        <v>229.084</v>
      </c>
      <c r="D498" s="915">
        <v>7.4569999999999999</v>
      </c>
      <c r="E498" s="915">
        <v>7.4569999999999999</v>
      </c>
      <c r="F498" s="915">
        <v>229.084</v>
      </c>
      <c r="G498" s="922">
        <f t="shared" si="14"/>
        <v>0</v>
      </c>
      <c r="H498" s="915" t="e">
        <v>#REF!</v>
      </c>
      <c r="I498" s="915" t="e">
        <f t="shared" si="15"/>
        <v>#REF!</v>
      </c>
      <c r="J498" s="915">
        <v>26.622</v>
      </c>
      <c r="K498" s="915">
        <v>1.6419999999999999</v>
      </c>
      <c r="L498" s="915">
        <v>1.6419999999999999</v>
      </c>
      <c r="M498" s="915">
        <v>26.622</v>
      </c>
    </row>
    <row r="499" spans="1:13">
      <c r="A499" s="633" t="s">
        <v>800</v>
      </c>
      <c r="B499" s="423" t="s">
        <v>7116</v>
      </c>
      <c r="C499" s="915">
        <v>771.78599999999994</v>
      </c>
      <c r="D499" s="915">
        <v>34.610999999999997</v>
      </c>
      <c r="E499" s="915">
        <v>26.565999999999999</v>
      </c>
      <c r="F499" s="915">
        <v>763.74099999999999</v>
      </c>
      <c r="G499" s="922">
        <f t="shared" si="14"/>
        <v>1</v>
      </c>
      <c r="H499" s="915" t="e">
        <v>#REF!</v>
      </c>
      <c r="I499" s="915" t="e">
        <f t="shared" si="15"/>
        <v>#REF!</v>
      </c>
      <c r="J499" s="915">
        <v>102.19199999999999</v>
      </c>
      <c r="K499" s="915">
        <v>10.68</v>
      </c>
      <c r="L499" s="915">
        <v>8.5060000000000002</v>
      </c>
      <c r="M499" s="915">
        <v>100.018</v>
      </c>
    </row>
    <row r="500" spans="1:13">
      <c r="A500" s="633" t="s">
        <v>802</v>
      </c>
      <c r="B500" s="423" t="s">
        <v>7117</v>
      </c>
      <c r="C500" s="915">
        <v>236.005</v>
      </c>
      <c r="D500" s="915">
        <v>10.659000000000001</v>
      </c>
      <c r="E500" s="915">
        <v>5.6280000000000001</v>
      </c>
      <c r="F500" s="915">
        <v>230.97499999999999</v>
      </c>
      <c r="G500" s="922">
        <f t="shared" si="14"/>
        <v>1</v>
      </c>
      <c r="H500" s="915" t="e">
        <v>#REF!</v>
      </c>
      <c r="I500" s="915" t="e">
        <f t="shared" si="15"/>
        <v>#REF!</v>
      </c>
      <c r="J500" s="915">
        <v>21.904</v>
      </c>
      <c r="K500" s="915">
        <v>0.63</v>
      </c>
      <c r="L500" s="915">
        <v>0.33</v>
      </c>
      <c r="M500" s="915">
        <v>21.603999999999999</v>
      </c>
    </row>
    <row r="501" spans="1:13">
      <c r="A501" s="633" t="s">
        <v>2046</v>
      </c>
      <c r="B501" s="423" t="s">
        <v>2357</v>
      </c>
      <c r="C501" s="915">
        <v>227.631</v>
      </c>
      <c r="D501" s="915">
        <v>7.5890000000000004</v>
      </c>
      <c r="E501" s="915">
        <v>4.4119999999999999</v>
      </c>
      <c r="F501" s="915">
        <v>224.45400000000001</v>
      </c>
      <c r="G501" s="922">
        <f t="shared" si="14"/>
        <v>1</v>
      </c>
      <c r="H501" s="915" t="e">
        <v>#REF!</v>
      </c>
      <c r="I501" s="915" t="e">
        <f t="shared" si="15"/>
        <v>#REF!</v>
      </c>
      <c r="J501" s="915">
        <v>7.8769999999999998</v>
      </c>
      <c r="K501" s="915">
        <v>0</v>
      </c>
      <c r="L501" s="915">
        <v>0</v>
      </c>
      <c r="M501" s="915">
        <v>7.8769999999999998</v>
      </c>
    </row>
    <row r="502" spans="1:13">
      <c r="A502" s="633" t="s">
        <v>804</v>
      </c>
      <c r="B502" s="423" t="s">
        <v>7118</v>
      </c>
      <c r="C502" s="915">
        <v>1374.2439999999999</v>
      </c>
      <c r="D502" s="915">
        <v>90.358999999999995</v>
      </c>
      <c r="E502" s="915">
        <v>49.889000000000003</v>
      </c>
      <c r="F502" s="915">
        <v>1333.7729999999999</v>
      </c>
      <c r="G502" s="922">
        <f t="shared" si="14"/>
        <v>1</v>
      </c>
      <c r="H502" s="915" t="e">
        <v>#REF!</v>
      </c>
      <c r="I502" s="915" t="e">
        <f t="shared" si="15"/>
        <v>#REF!</v>
      </c>
      <c r="J502" s="915">
        <v>126.76900000000001</v>
      </c>
      <c r="K502" s="915">
        <v>18.062000000000001</v>
      </c>
      <c r="L502" s="915">
        <v>9.0310000000000006</v>
      </c>
      <c r="M502" s="915">
        <v>117.738</v>
      </c>
    </row>
    <row r="503" spans="1:13">
      <c r="A503" s="633" t="s">
        <v>806</v>
      </c>
      <c r="B503" s="423" t="s">
        <v>7119</v>
      </c>
      <c r="C503" s="915">
        <v>470.661</v>
      </c>
      <c r="D503" s="915">
        <v>7.1520000000000001</v>
      </c>
      <c r="E503" s="915">
        <v>7.0060000000000002</v>
      </c>
      <c r="F503" s="915">
        <v>470.51499999999999</v>
      </c>
      <c r="G503" s="922">
        <f t="shared" si="14"/>
        <v>1</v>
      </c>
      <c r="H503" s="915" t="e">
        <v>#REF!</v>
      </c>
      <c r="I503" s="915" t="e">
        <f t="shared" si="15"/>
        <v>#REF!</v>
      </c>
      <c r="J503" s="915">
        <v>4.4109999999999996</v>
      </c>
      <c r="K503" s="915">
        <v>0</v>
      </c>
      <c r="L503" s="915">
        <v>0</v>
      </c>
      <c r="M503" s="915">
        <v>4.4109999999999996</v>
      </c>
    </row>
    <row r="504" spans="1:13">
      <c r="A504" s="633" t="s">
        <v>808</v>
      </c>
      <c r="B504" s="423" t="s">
        <v>7120</v>
      </c>
      <c r="C504" s="915">
        <v>511.18900000000002</v>
      </c>
      <c r="D504" s="915">
        <v>0</v>
      </c>
      <c r="E504" s="915">
        <v>0</v>
      </c>
      <c r="F504" s="915">
        <v>511.18900000000002</v>
      </c>
      <c r="G504" s="922">
        <f t="shared" si="14"/>
        <v>0</v>
      </c>
      <c r="H504" s="915" t="e">
        <v>#REF!</v>
      </c>
      <c r="I504" s="915" t="e">
        <f t="shared" si="15"/>
        <v>#REF!</v>
      </c>
      <c r="J504" s="915">
        <v>0.996</v>
      </c>
      <c r="K504" s="915">
        <v>0</v>
      </c>
      <c r="L504" s="915">
        <v>0</v>
      </c>
      <c r="M504" s="915">
        <v>0.996</v>
      </c>
    </row>
    <row r="505" spans="1:13">
      <c r="A505" s="633" t="s">
        <v>1119</v>
      </c>
      <c r="B505" s="423" t="s">
        <v>1120</v>
      </c>
      <c r="C505" s="915">
        <v>177.19</v>
      </c>
      <c r="D505" s="915">
        <v>0</v>
      </c>
      <c r="E505" s="915">
        <v>0</v>
      </c>
      <c r="F505" s="915">
        <v>177.19</v>
      </c>
      <c r="G505" s="922">
        <f t="shared" si="14"/>
        <v>0</v>
      </c>
      <c r="H505" s="915" t="e">
        <v>#REF!</v>
      </c>
      <c r="I505" s="915" t="e">
        <f t="shared" si="15"/>
        <v>#REF!</v>
      </c>
      <c r="J505" s="915">
        <v>6.2670000000000003</v>
      </c>
      <c r="K505" s="915">
        <v>0</v>
      </c>
      <c r="L505" s="915">
        <v>0</v>
      </c>
      <c r="M505" s="915">
        <v>6.2670000000000003</v>
      </c>
    </row>
    <row r="506" spans="1:13">
      <c r="A506" s="633" t="s">
        <v>810</v>
      </c>
      <c r="B506" s="423" t="s">
        <v>7121</v>
      </c>
      <c r="C506" s="915">
        <v>416.71899999999999</v>
      </c>
      <c r="D506" s="915">
        <v>4.18</v>
      </c>
      <c r="E506" s="915">
        <v>4.0570000000000004</v>
      </c>
      <c r="F506" s="915">
        <v>416.596</v>
      </c>
      <c r="G506" s="922">
        <f t="shared" si="14"/>
        <v>1</v>
      </c>
      <c r="H506" s="915" t="e">
        <v>#REF!</v>
      </c>
      <c r="I506" s="915" t="e">
        <f t="shared" si="15"/>
        <v>#REF!</v>
      </c>
      <c r="J506" s="915">
        <v>3.9260000000000002</v>
      </c>
      <c r="K506" s="915">
        <v>0</v>
      </c>
      <c r="L506" s="915">
        <v>0</v>
      </c>
      <c r="M506" s="915">
        <v>3.9260000000000002</v>
      </c>
    </row>
    <row r="507" spans="1:13">
      <c r="A507" s="633" t="s">
        <v>667</v>
      </c>
      <c r="B507" s="423" t="s">
        <v>7122</v>
      </c>
      <c r="C507" s="915">
        <v>307.512</v>
      </c>
      <c r="D507" s="915">
        <v>10.589</v>
      </c>
      <c r="E507" s="915">
        <v>10.103</v>
      </c>
      <c r="F507" s="915">
        <v>307.02600000000001</v>
      </c>
      <c r="G507" s="922">
        <f t="shared" si="14"/>
        <v>1</v>
      </c>
      <c r="H507" s="915" t="e">
        <v>#REF!</v>
      </c>
      <c r="I507" s="915" t="e">
        <f t="shared" si="15"/>
        <v>#REF!</v>
      </c>
      <c r="J507" s="915">
        <v>0</v>
      </c>
      <c r="K507" s="915">
        <v>0</v>
      </c>
      <c r="L507" s="915">
        <v>0</v>
      </c>
      <c r="M507" s="915">
        <v>0</v>
      </c>
    </row>
    <row r="508" spans="1:13">
      <c r="A508" s="633" t="s">
        <v>1707</v>
      </c>
      <c r="B508" s="423" t="s">
        <v>3864</v>
      </c>
      <c r="C508" s="915">
        <v>3569.152</v>
      </c>
      <c r="D508" s="915">
        <v>0</v>
      </c>
      <c r="E508" s="915">
        <v>0</v>
      </c>
      <c r="F508" s="915">
        <v>3569.152</v>
      </c>
      <c r="G508" s="922">
        <f t="shared" si="14"/>
        <v>0</v>
      </c>
      <c r="H508" s="915" t="e">
        <v>#REF!</v>
      </c>
      <c r="I508" s="915" t="e">
        <f t="shared" si="15"/>
        <v>#REF!</v>
      </c>
      <c r="J508" s="915">
        <v>55.344999999999999</v>
      </c>
      <c r="K508" s="915">
        <v>0</v>
      </c>
      <c r="L508" s="915">
        <v>0</v>
      </c>
      <c r="M508" s="915">
        <v>55.344999999999999</v>
      </c>
    </row>
    <row r="509" spans="1:13">
      <c r="A509" s="633" t="s">
        <v>1709</v>
      </c>
      <c r="B509" s="423" t="s">
        <v>3865</v>
      </c>
      <c r="C509" s="915">
        <v>778.92700000000002</v>
      </c>
      <c r="D509" s="915">
        <v>8.4139999999999997</v>
      </c>
      <c r="E509" s="915">
        <v>8.4139999999999997</v>
      </c>
      <c r="F509" s="915">
        <v>778.92700000000002</v>
      </c>
      <c r="G509" s="922">
        <f t="shared" si="14"/>
        <v>0</v>
      </c>
      <c r="H509" s="915" t="e">
        <v>#REF!</v>
      </c>
      <c r="I509" s="915" t="e">
        <f t="shared" si="15"/>
        <v>#REF!</v>
      </c>
      <c r="J509" s="915">
        <v>6.5060000000000002</v>
      </c>
      <c r="K509" s="915">
        <v>0</v>
      </c>
      <c r="L509" s="915">
        <v>0</v>
      </c>
      <c r="M509" s="915">
        <v>6.5060000000000002</v>
      </c>
    </row>
    <row r="510" spans="1:13">
      <c r="A510" s="633" t="s">
        <v>1711</v>
      </c>
      <c r="B510" s="423" t="s">
        <v>3866</v>
      </c>
      <c r="C510" s="915">
        <v>672.09500000000003</v>
      </c>
      <c r="D510" s="915">
        <v>6.0380000000000003</v>
      </c>
      <c r="E510" s="915">
        <v>6.0380000000000003</v>
      </c>
      <c r="F510" s="915">
        <v>672.09500000000003</v>
      </c>
      <c r="G510" s="922">
        <f t="shared" si="14"/>
        <v>0</v>
      </c>
      <c r="H510" s="915" t="e">
        <v>#REF!</v>
      </c>
      <c r="I510" s="915" t="e">
        <f t="shared" si="15"/>
        <v>#REF!</v>
      </c>
      <c r="J510" s="915">
        <v>1.7829999999999999</v>
      </c>
      <c r="K510" s="915">
        <v>0.246</v>
      </c>
      <c r="L510" s="915">
        <v>0.246</v>
      </c>
      <c r="M510" s="915">
        <v>1.7829999999999999</v>
      </c>
    </row>
    <row r="511" spans="1:13">
      <c r="A511" s="633" t="s">
        <v>1713</v>
      </c>
      <c r="B511" s="423" t="s">
        <v>3867</v>
      </c>
      <c r="C511" s="915">
        <v>463.392</v>
      </c>
      <c r="D511" s="915">
        <v>6.2670000000000003</v>
      </c>
      <c r="E511" s="915">
        <v>6.2670000000000003</v>
      </c>
      <c r="F511" s="915">
        <v>463.392</v>
      </c>
      <c r="G511" s="922">
        <f t="shared" si="14"/>
        <v>0</v>
      </c>
      <c r="H511" s="915" t="e">
        <v>#REF!</v>
      </c>
      <c r="I511" s="915" t="e">
        <f t="shared" si="15"/>
        <v>#REF!</v>
      </c>
      <c r="J511" s="915">
        <v>233.02199999999999</v>
      </c>
      <c r="K511" s="915">
        <v>6.2670000000000003</v>
      </c>
      <c r="L511" s="915">
        <v>6.2670000000000003</v>
      </c>
      <c r="M511" s="915">
        <v>233.02199999999999</v>
      </c>
    </row>
    <row r="512" spans="1:13">
      <c r="A512" s="633" t="s">
        <v>1330</v>
      </c>
      <c r="B512" s="423" t="s">
        <v>3868</v>
      </c>
      <c r="C512" s="915">
        <v>156.69</v>
      </c>
      <c r="D512" s="915">
        <v>0</v>
      </c>
      <c r="E512" s="915">
        <v>0</v>
      </c>
      <c r="F512" s="915">
        <v>156.69</v>
      </c>
      <c r="G512" s="922">
        <f t="shared" si="14"/>
        <v>0</v>
      </c>
      <c r="H512" s="915" t="e">
        <v>#REF!</v>
      </c>
      <c r="I512" s="915" t="e">
        <f t="shared" si="15"/>
        <v>#REF!</v>
      </c>
      <c r="J512" s="915">
        <v>3.8380000000000001</v>
      </c>
      <c r="K512" s="915">
        <v>0</v>
      </c>
      <c r="L512" s="915">
        <v>0</v>
      </c>
      <c r="M512" s="915">
        <v>3.8380000000000001</v>
      </c>
    </row>
    <row r="513" spans="1:13">
      <c r="A513" s="633" t="s">
        <v>1332</v>
      </c>
      <c r="B513" s="423" t="s">
        <v>3869</v>
      </c>
      <c r="C513" s="915">
        <v>82.091999999999999</v>
      </c>
      <c r="D513" s="915">
        <v>0</v>
      </c>
      <c r="E513" s="915">
        <v>0</v>
      </c>
      <c r="F513" s="915">
        <v>82.091999999999999</v>
      </c>
      <c r="G513" s="922">
        <f t="shared" si="14"/>
        <v>0</v>
      </c>
      <c r="H513" s="915" t="e">
        <v>#REF!</v>
      </c>
      <c r="I513" s="915" t="e">
        <f t="shared" si="15"/>
        <v>#REF!</v>
      </c>
      <c r="J513" s="915">
        <v>11.185</v>
      </c>
      <c r="K513" s="915">
        <v>0</v>
      </c>
      <c r="L513" s="915">
        <v>0</v>
      </c>
      <c r="M513" s="915">
        <v>11.185</v>
      </c>
    </row>
    <row r="514" spans="1:13">
      <c r="A514" s="633" t="s">
        <v>979</v>
      </c>
      <c r="B514" s="423" t="s">
        <v>6097</v>
      </c>
      <c r="C514" s="915">
        <v>1363.306</v>
      </c>
      <c r="D514" s="915">
        <v>40.590000000000003</v>
      </c>
      <c r="E514" s="915">
        <v>22.422000000000001</v>
      </c>
      <c r="F514" s="915">
        <v>1345.1379999999999</v>
      </c>
      <c r="G514" s="922">
        <f t="shared" si="14"/>
        <v>1</v>
      </c>
      <c r="H514" s="915" t="e">
        <v>#REF!</v>
      </c>
      <c r="I514" s="915" t="e">
        <f t="shared" si="15"/>
        <v>#REF!</v>
      </c>
      <c r="J514" s="915">
        <v>32.677999999999997</v>
      </c>
      <c r="K514" s="915">
        <v>4.883</v>
      </c>
      <c r="L514" s="915">
        <v>2.93</v>
      </c>
      <c r="M514" s="915">
        <v>30.725999999999999</v>
      </c>
    </row>
    <row r="515" spans="1:13">
      <c r="A515" s="633" t="s">
        <v>1334</v>
      </c>
      <c r="B515" s="423" t="s">
        <v>3870</v>
      </c>
      <c r="C515" s="915">
        <v>484.69900000000001</v>
      </c>
      <c r="D515" s="915">
        <v>13.239000000000001</v>
      </c>
      <c r="E515" s="915">
        <v>6.6749999999999998</v>
      </c>
      <c r="F515" s="915">
        <v>478.13499999999999</v>
      </c>
      <c r="G515" s="922">
        <f t="shared" ref="G515:G578" si="16">IF(F515&lt;C515,1,0)</f>
        <v>1</v>
      </c>
      <c r="H515" s="915" t="e">
        <v>#REF!</v>
      </c>
      <c r="I515" s="915" t="e">
        <f t="shared" ref="I515:I578" si="17">F515-H515</f>
        <v>#REF!</v>
      </c>
      <c r="J515" s="915">
        <v>4.6870000000000003</v>
      </c>
      <c r="K515" s="915">
        <v>1.3460000000000001</v>
      </c>
      <c r="L515" s="915">
        <v>0.68200000000000005</v>
      </c>
      <c r="M515" s="915">
        <v>4.0220000000000002</v>
      </c>
    </row>
    <row r="516" spans="1:13">
      <c r="A516" s="633" t="s">
        <v>235</v>
      </c>
      <c r="B516" s="423" t="s">
        <v>2642</v>
      </c>
      <c r="C516" s="915">
        <v>1528.9670000000001</v>
      </c>
      <c r="D516" s="915">
        <v>87.134</v>
      </c>
      <c r="E516" s="915">
        <v>45.933</v>
      </c>
      <c r="F516" s="915">
        <v>1487.7660000000001</v>
      </c>
      <c r="G516" s="922">
        <f t="shared" si="16"/>
        <v>1</v>
      </c>
      <c r="H516" s="915" t="e">
        <v>#REF!</v>
      </c>
      <c r="I516" s="915" t="e">
        <f t="shared" si="17"/>
        <v>#REF!</v>
      </c>
      <c r="J516" s="915">
        <v>107.136</v>
      </c>
      <c r="K516" s="915">
        <v>11.884</v>
      </c>
      <c r="L516" s="915">
        <v>5.9420000000000002</v>
      </c>
      <c r="M516" s="915">
        <v>101.194</v>
      </c>
    </row>
    <row r="517" spans="1:13">
      <c r="A517" s="633" t="s">
        <v>3961</v>
      </c>
      <c r="B517" s="423" t="s">
        <v>3871</v>
      </c>
      <c r="C517" s="915">
        <v>4515.9530000000004</v>
      </c>
      <c r="D517" s="915">
        <v>276.73200000000003</v>
      </c>
      <c r="E517" s="915">
        <v>148.27699999999999</v>
      </c>
      <c r="F517" s="915">
        <v>4387.4979999999996</v>
      </c>
      <c r="G517" s="922">
        <f t="shared" si="16"/>
        <v>1</v>
      </c>
      <c r="H517" s="915" t="e">
        <v>#REF!</v>
      </c>
      <c r="I517" s="915" t="e">
        <f t="shared" si="17"/>
        <v>#REF!</v>
      </c>
      <c r="J517" s="915">
        <v>613.30399999999997</v>
      </c>
      <c r="K517" s="915">
        <v>82.549000000000007</v>
      </c>
      <c r="L517" s="915">
        <v>42.432000000000002</v>
      </c>
      <c r="M517" s="915">
        <v>573.18700000000001</v>
      </c>
    </row>
    <row r="518" spans="1:13">
      <c r="A518" s="633" t="s">
        <v>2359</v>
      </c>
      <c r="B518" s="423" t="s">
        <v>198</v>
      </c>
      <c r="C518" s="915">
        <v>888.38099999999997</v>
      </c>
      <c r="D518" s="915">
        <v>22.777999999999999</v>
      </c>
      <c r="E518" s="915">
        <v>11.919</v>
      </c>
      <c r="F518" s="915">
        <v>877.52200000000005</v>
      </c>
      <c r="G518" s="922">
        <f t="shared" si="16"/>
        <v>1</v>
      </c>
      <c r="H518" s="915" t="e">
        <v>#REF!</v>
      </c>
      <c r="I518" s="915" t="e">
        <f t="shared" si="17"/>
        <v>#REF!</v>
      </c>
      <c r="J518" s="915">
        <v>10.647</v>
      </c>
      <c r="K518" s="915">
        <v>0</v>
      </c>
      <c r="L518" s="915">
        <v>0</v>
      </c>
      <c r="M518" s="915">
        <v>10.647</v>
      </c>
    </row>
    <row r="519" spans="1:13">
      <c r="A519" s="633" t="s">
        <v>650</v>
      </c>
      <c r="B519" s="423" t="s">
        <v>355</v>
      </c>
      <c r="C519" s="915">
        <v>2395.3850000000002</v>
      </c>
      <c r="D519" s="915">
        <v>107.422</v>
      </c>
      <c r="E519" s="915">
        <v>56.837000000000003</v>
      </c>
      <c r="F519" s="915">
        <v>2344.8009999999999</v>
      </c>
      <c r="G519" s="922">
        <f t="shared" si="16"/>
        <v>1</v>
      </c>
      <c r="H519" s="915" t="e">
        <v>#REF!</v>
      </c>
      <c r="I519" s="915" t="e">
        <f t="shared" si="17"/>
        <v>#REF!</v>
      </c>
      <c r="J519" s="915">
        <v>109.101</v>
      </c>
      <c r="K519" s="915">
        <v>13.385999999999999</v>
      </c>
      <c r="L519" s="915">
        <v>6.6929999999999996</v>
      </c>
      <c r="M519" s="915">
        <v>102.408</v>
      </c>
    </row>
    <row r="520" spans="1:13">
      <c r="A520" s="633" t="s">
        <v>2127</v>
      </c>
      <c r="B520" s="423" t="s">
        <v>2007</v>
      </c>
      <c r="C520" s="915">
        <v>584.69000000000005</v>
      </c>
      <c r="D520" s="915">
        <v>28.391999999999999</v>
      </c>
      <c r="E520" s="915">
        <v>20.074000000000002</v>
      </c>
      <c r="F520" s="915">
        <v>576.37199999999996</v>
      </c>
      <c r="G520" s="922">
        <f t="shared" si="16"/>
        <v>1</v>
      </c>
      <c r="H520" s="915" t="e">
        <v>#REF!</v>
      </c>
      <c r="I520" s="915" t="e">
        <f t="shared" si="17"/>
        <v>#REF!</v>
      </c>
      <c r="J520" s="915">
        <v>29.276</v>
      </c>
      <c r="K520" s="915">
        <v>4.5350000000000001</v>
      </c>
      <c r="L520" s="915">
        <v>3.1230000000000002</v>
      </c>
      <c r="M520" s="915">
        <v>27.864000000000001</v>
      </c>
    </row>
    <row r="521" spans="1:13">
      <c r="A521" s="633" t="s">
        <v>3963</v>
      </c>
      <c r="B521" s="423" t="s">
        <v>3872</v>
      </c>
      <c r="C521" s="915">
        <v>321.00200000000001</v>
      </c>
      <c r="D521" s="915">
        <v>13.805999999999999</v>
      </c>
      <c r="E521" s="915">
        <v>7.6520000000000001</v>
      </c>
      <c r="F521" s="915">
        <v>314.84800000000001</v>
      </c>
      <c r="G521" s="922">
        <f t="shared" si="16"/>
        <v>1</v>
      </c>
      <c r="H521" s="915" t="e">
        <v>#REF!</v>
      </c>
      <c r="I521" s="915" t="e">
        <f t="shared" si="17"/>
        <v>#REF!</v>
      </c>
      <c r="J521" s="915">
        <v>20.001999999999999</v>
      </c>
      <c r="K521" s="915">
        <v>0</v>
      </c>
      <c r="L521" s="915">
        <v>0</v>
      </c>
      <c r="M521" s="915">
        <v>20.001999999999999</v>
      </c>
    </row>
    <row r="522" spans="1:13">
      <c r="A522" s="633" t="s">
        <v>953</v>
      </c>
      <c r="B522" s="423" t="s">
        <v>7658</v>
      </c>
      <c r="C522" s="915">
        <v>546.09500000000003</v>
      </c>
      <c r="D522" s="915">
        <v>16.721</v>
      </c>
      <c r="E522" s="915">
        <v>9.5510000000000002</v>
      </c>
      <c r="F522" s="915">
        <v>538.92499999999995</v>
      </c>
      <c r="G522" s="922">
        <f t="shared" si="16"/>
        <v>1</v>
      </c>
      <c r="H522" s="915" t="e">
        <v>#REF!</v>
      </c>
      <c r="I522" s="915" t="e">
        <f t="shared" si="17"/>
        <v>#REF!</v>
      </c>
      <c r="J522" s="915">
        <v>23.800999999999998</v>
      </c>
      <c r="K522" s="915">
        <v>0</v>
      </c>
      <c r="L522" s="915">
        <v>0</v>
      </c>
      <c r="M522" s="915">
        <v>23.800999999999998</v>
      </c>
    </row>
    <row r="523" spans="1:13">
      <c r="A523" s="633" t="s">
        <v>971</v>
      </c>
      <c r="B523" s="423" t="s">
        <v>7663</v>
      </c>
      <c r="C523" s="915">
        <v>501.13600000000002</v>
      </c>
      <c r="D523" s="915">
        <v>20.672999999999998</v>
      </c>
      <c r="E523" s="915">
        <v>10.481999999999999</v>
      </c>
      <c r="F523" s="915">
        <v>490.94600000000003</v>
      </c>
      <c r="G523" s="922">
        <f t="shared" si="16"/>
        <v>1</v>
      </c>
      <c r="H523" s="915" t="e">
        <v>#REF!</v>
      </c>
      <c r="I523" s="915" t="e">
        <f t="shared" si="17"/>
        <v>#REF!</v>
      </c>
      <c r="J523" s="915">
        <v>0</v>
      </c>
      <c r="K523" s="915">
        <v>0</v>
      </c>
      <c r="L523" s="915">
        <v>0</v>
      </c>
      <c r="M523" s="915">
        <v>0</v>
      </c>
    </row>
    <row r="524" spans="1:13">
      <c r="A524" s="633" t="s">
        <v>3965</v>
      </c>
      <c r="B524" s="423" t="s">
        <v>3873</v>
      </c>
      <c r="C524" s="915">
        <v>2532.0129999999999</v>
      </c>
      <c r="D524" s="915">
        <v>71.954999999999998</v>
      </c>
      <c r="E524" s="915">
        <v>71.653999999999996</v>
      </c>
      <c r="F524" s="915">
        <v>2531.712</v>
      </c>
      <c r="G524" s="922">
        <f t="shared" si="16"/>
        <v>1</v>
      </c>
      <c r="H524" s="915" t="e">
        <v>#REF!</v>
      </c>
      <c r="I524" s="915" t="e">
        <f t="shared" si="17"/>
        <v>#REF!</v>
      </c>
      <c r="J524" s="915">
        <v>174.62200000000001</v>
      </c>
      <c r="K524" s="915">
        <v>8.5299999999999994</v>
      </c>
      <c r="L524" s="915">
        <v>8.5299999999999994</v>
      </c>
      <c r="M524" s="915">
        <v>174.62200000000001</v>
      </c>
    </row>
    <row r="525" spans="1:13">
      <c r="A525" s="633" t="s">
        <v>3967</v>
      </c>
      <c r="B525" s="423" t="s">
        <v>3683</v>
      </c>
      <c r="C525" s="915">
        <v>783.76099999999997</v>
      </c>
      <c r="D525" s="915">
        <v>13.247999999999999</v>
      </c>
      <c r="E525" s="915">
        <v>13.207000000000001</v>
      </c>
      <c r="F525" s="915">
        <v>783.721</v>
      </c>
      <c r="G525" s="922">
        <f t="shared" si="16"/>
        <v>1</v>
      </c>
      <c r="H525" s="915" t="e">
        <v>#REF!</v>
      </c>
      <c r="I525" s="915" t="e">
        <f t="shared" si="17"/>
        <v>#REF!</v>
      </c>
      <c r="J525" s="915">
        <v>0.73599999999999999</v>
      </c>
      <c r="K525" s="915">
        <v>0</v>
      </c>
      <c r="L525" s="915">
        <v>0</v>
      </c>
      <c r="M525" s="915">
        <v>0.73599999999999999</v>
      </c>
    </row>
    <row r="526" spans="1:13">
      <c r="A526" s="633" t="s">
        <v>3969</v>
      </c>
      <c r="B526" s="423" t="s">
        <v>3685</v>
      </c>
      <c r="C526" s="915">
        <v>520.60900000000004</v>
      </c>
      <c r="D526" s="915">
        <v>8.5500000000000007</v>
      </c>
      <c r="E526" s="915">
        <v>8.5500000000000007</v>
      </c>
      <c r="F526" s="915">
        <v>520.60900000000004</v>
      </c>
      <c r="G526" s="922">
        <f t="shared" si="16"/>
        <v>0</v>
      </c>
      <c r="H526" s="915" t="e">
        <v>#REF!</v>
      </c>
      <c r="I526" s="915" t="e">
        <f t="shared" si="17"/>
        <v>#REF!</v>
      </c>
      <c r="J526" s="915">
        <v>4.3019999999999996</v>
      </c>
      <c r="K526" s="915">
        <v>0</v>
      </c>
      <c r="L526" s="915">
        <v>0</v>
      </c>
      <c r="M526" s="915">
        <v>4.3019999999999996</v>
      </c>
    </row>
    <row r="527" spans="1:13">
      <c r="A527" s="633" t="s">
        <v>757</v>
      </c>
      <c r="B527" s="423" t="s">
        <v>3057</v>
      </c>
      <c r="C527" s="915">
        <v>89.992999999999995</v>
      </c>
      <c r="D527" s="915">
        <v>0</v>
      </c>
      <c r="E527" s="915">
        <v>0</v>
      </c>
      <c r="F527" s="915">
        <v>89.992999999999995</v>
      </c>
      <c r="G527" s="922">
        <f t="shared" si="16"/>
        <v>0</v>
      </c>
      <c r="H527" s="915" t="e">
        <v>#REF!</v>
      </c>
      <c r="I527" s="915" t="e">
        <f t="shared" si="17"/>
        <v>#REF!</v>
      </c>
      <c r="J527" s="915">
        <v>3.0339999999999998</v>
      </c>
      <c r="K527" s="915">
        <v>0</v>
      </c>
      <c r="L527" s="915">
        <v>0</v>
      </c>
      <c r="M527" s="915">
        <v>3.0339999999999998</v>
      </c>
    </row>
    <row r="528" spans="1:13">
      <c r="A528" s="633" t="s">
        <v>759</v>
      </c>
      <c r="B528" s="423" t="s">
        <v>3688</v>
      </c>
      <c r="C528" s="915">
        <v>322.608</v>
      </c>
      <c r="D528" s="915">
        <v>0</v>
      </c>
      <c r="E528" s="915">
        <v>0</v>
      </c>
      <c r="F528" s="915">
        <v>322.608</v>
      </c>
      <c r="G528" s="922">
        <f t="shared" si="16"/>
        <v>0</v>
      </c>
      <c r="H528" s="915" t="e">
        <v>#REF!</v>
      </c>
      <c r="I528" s="915" t="e">
        <f t="shared" si="17"/>
        <v>#REF!</v>
      </c>
      <c r="J528" s="915">
        <v>0</v>
      </c>
      <c r="K528" s="915">
        <v>0</v>
      </c>
      <c r="L528" s="915">
        <v>0</v>
      </c>
      <c r="M528" s="915">
        <v>0</v>
      </c>
    </row>
    <row r="529" spans="1:13">
      <c r="A529" s="633" t="s">
        <v>69</v>
      </c>
      <c r="B529" s="423" t="s">
        <v>3059</v>
      </c>
      <c r="C529" s="915">
        <v>220.14500000000001</v>
      </c>
      <c r="D529" s="915">
        <v>2.0299999999999998</v>
      </c>
      <c r="E529" s="915">
        <v>2.0299999999999998</v>
      </c>
      <c r="F529" s="915">
        <v>220.14500000000001</v>
      </c>
      <c r="G529" s="922">
        <f t="shared" si="16"/>
        <v>0</v>
      </c>
      <c r="H529" s="915" t="e">
        <v>#REF!</v>
      </c>
      <c r="I529" s="915" t="e">
        <f t="shared" si="17"/>
        <v>#REF!</v>
      </c>
      <c r="J529" s="915">
        <v>4.218</v>
      </c>
      <c r="K529" s="915">
        <v>0.434</v>
      </c>
      <c r="L529" s="915">
        <v>0.434</v>
      </c>
      <c r="M529" s="915">
        <v>4.218</v>
      </c>
    </row>
    <row r="530" spans="1:13">
      <c r="A530" s="633" t="s">
        <v>71</v>
      </c>
      <c r="B530" s="423" t="s">
        <v>3060</v>
      </c>
      <c r="C530" s="915">
        <v>911.98099999999999</v>
      </c>
      <c r="D530" s="915">
        <v>14.779</v>
      </c>
      <c r="E530" s="915">
        <v>14.779</v>
      </c>
      <c r="F530" s="915">
        <v>911.98099999999999</v>
      </c>
      <c r="G530" s="922">
        <f t="shared" si="16"/>
        <v>0</v>
      </c>
      <c r="H530" s="915" t="e">
        <v>#REF!</v>
      </c>
      <c r="I530" s="915" t="e">
        <f t="shared" si="17"/>
        <v>#REF!</v>
      </c>
      <c r="J530" s="915">
        <v>67.155000000000001</v>
      </c>
      <c r="K530" s="915">
        <v>4.4370000000000003</v>
      </c>
      <c r="L530" s="915">
        <v>4.4370000000000003</v>
      </c>
      <c r="M530" s="915">
        <v>67.155000000000001</v>
      </c>
    </row>
    <row r="531" spans="1:13">
      <c r="A531" s="633" t="s">
        <v>73</v>
      </c>
      <c r="B531" s="423" t="s">
        <v>3692</v>
      </c>
      <c r="C531" s="915">
        <v>346.97800000000001</v>
      </c>
      <c r="D531" s="915">
        <v>4.835</v>
      </c>
      <c r="E531" s="915">
        <v>4.835</v>
      </c>
      <c r="F531" s="915">
        <v>346.97800000000001</v>
      </c>
      <c r="G531" s="922">
        <f t="shared" si="16"/>
        <v>0</v>
      </c>
      <c r="H531" s="915" t="e">
        <v>#REF!</v>
      </c>
      <c r="I531" s="915" t="e">
        <f t="shared" si="17"/>
        <v>#REF!</v>
      </c>
      <c r="J531" s="915">
        <v>12.097</v>
      </c>
      <c r="K531" s="915">
        <v>0.41099999999999998</v>
      </c>
      <c r="L531" s="915">
        <v>0.41099999999999998</v>
      </c>
      <c r="M531" s="915">
        <v>12.097</v>
      </c>
    </row>
    <row r="532" spans="1:13">
      <c r="A532" s="633" t="s">
        <v>75</v>
      </c>
      <c r="B532" s="423" t="s">
        <v>3062</v>
      </c>
      <c r="C532" s="915">
        <v>1406.5719999999999</v>
      </c>
      <c r="D532" s="915">
        <v>51.051000000000002</v>
      </c>
      <c r="E532" s="915">
        <v>26.905000000000001</v>
      </c>
      <c r="F532" s="915">
        <v>1382.4259999999999</v>
      </c>
      <c r="G532" s="922">
        <f t="shared" si="16"/>
        <v>1</v>
      </c>
      <c r="H532" s="915" t="e">
        <v>#REF!</v>
      </c>
      <c r="I532" s="915" t="e">
        <f t="shared" si="17"/>
        <v>#REF!</v>
      </c>
      <c r="J532" s="915">
        <v>83.369</v>
      </c>
      <c r="K532" s="915">
        <v>10.298999999999999</v>
      </c>
      <c r="L532" s="915">
        <v>5.5469999999999997</v>
      </c>
      <c r="M532" s="915">
        <v>78.617000000000004</v>
      </c>
    </row>
    <row r="533" spans="1:13">
      <c r="A533" s="633" t="s">
        <v>1316</v>
      </c>
      <c r="B533" s="423" t="s">
        <v>121</v>
      </c>
      <c r="C533" s="915">
        <v>609.18899999999996</v>
      </c>
      <c r="D533" s="915">
        <v>14.867000000000001</v>
      </c>
      <c r="E533" s="915">
        <v>14.009</v>
      </c>
      <c r="F533" s="915">
        <v>608.33000000000004</v>
      </c>
      <c r="G533" s="922">
        <f t="shared" si="16"/>
        <v>1</v>
      </c>
      <c r="H533" s="915" t="e">
        <v>#REF!</v>
      </c>
      <c r="I533" s="915" t="e">
        <f t="shared" si="17"/>
        <v>#REF!</v>
      </c>
      <c r="J533" s="915">
        <v>51.817</v>
      </c>
      <c r="K533" s="915">
        <v>4.3230000000000004</v>
      </c>
      <c r="L533" s="915">
        <v>4.3230000000000004</v>
      </c>
      <c r="M533" s="915">
        <v>51.817</v>
      </c>
    </row>
    <row r="534" spans="1:13">
      <c r="A534" s="633" t="s">
        <v>2600</v>
      </c>
      <c r="B534" s="423" t="s">
        <v>3063</v>
      </c>
      <c r="C534" s="915">
        <v>1039.788</v>
      </c>
      <c r="D534" s="915">
        <v>7.649</v>
      </c>
      <c r="E534" s="915">
        <v>7.649</v>
      </c>
      <c r="F534" s="915">
        <v>1039.788</v>
      </c>
      <c r="G534" s="922">
        <f t="shared" si="16"/>
        <v>0</v>
      </c>
      <c r="H534" s="915" t="e">
        <v>#REF!</v>
      </c>
      <c r="I534" s="915" t="e">
        <f t="shared" si="17"/>
        <v>#REF!</v>
      </c>
      <c r="J534" s="915">
        <v>29.901</v>
      </c>
      <c r="K534" s="915">
        <v>2.3690000000000002</v>
      </c>
      <c r="L534" s="915">
        <v>2.3690000000000002</v>
      </c>
      <c r="M534" s="915">
        <v>29.901</v>
      </c>
    </row>
    <row r="535" spans="1:13">
      <c r="A535" s="633" t="s">
        <v>7133</v>
      </c>
      <c r="B535" s="423" t="s">
        <v>3064</v>
      </c>
      <c r="C535" s="915">
        <v>368.17500000000001</v>
      </c>
      <c r="D535" s="915">
        <v>5.8170000000000002</v>
      </c>
      <c r="E535" s="915">
        <v>5.8170000000000002</v>
      </c>
      <c r="F535" s="915">
        <v>368.17500000000001</v>
      </c>
      <c r="G535" s="922">
        <f t="shared" si="16"/>
        <v>0</v>
      </c>
      <c r="H535" s="915" t="e">
        <v>#REF!</v>
      </c>
      <c r="I535" s="915" t="e">
        <f t="shared" si="17"/>
        <v>#REF!</v>
      </c>
      <c r="J535" s="915">
        <v>0.96599999999999997</v>
      </c>
      <c r="K535" s="915">
        <v>0</v>
      </c>
      <c r="L535" s="915">
        <v>0</v>
      </c>
      <c r="M535" s="915">
        <v>0.96599999999999997</v>
      </c>
    </row>
    <row r="536" spans="1:13">
      <c r="A536" s="633" t="s">
        <v>961</v>
      </c>
      <c r="B536" s="423" t="s">
        <v>2145</v>
      </c>
      <c r="C536" s="915">
        <v>1360.146</v>
      </c>
      <c r="D536" s="915">
        <v>12.273999999999999</v>
      </c>
      <c r="E536" s="915">
        <v>12.124000000000001</v>
      </c>
      <c r="F536" s="915">
        <v>1359.9960000000001</v>
      </c>
      <c r="G536" s="922">
        <f t="shared" si="16"/>
        <v>1</v>
      </c>
      <c r="H536" s="915" t="e">
        <v>#REF!</v>
      </c>
      <c r="I536" s="915" t="e">
        <f t="shared" si="17"/>
        <v>#REF!</v>
      </c>
      <c r="J536" s="915">
        <v>2.9780000000000002</v>
      </c>
      <c r="K536" s="915">
        <v>0</v>
      </c>
      <c r="L536" s="915">
        <v>0</v>
      </c>
      <c r="M536" s="915">
        <v>2.9780000000000002</v>
      </c>
    </row>
    <row r="537" spans="1:13">
      <c r="A537" s="633" t="s">
        <v>6024</v>
      </c>
      <c r="B537" s="423" t="s">
        <v>1909</v>
      </c>
      <c r="C537" s="915">
        <v>2599.98</v>
      </c>
      <c r="D537" s="915">
        <v>58.802</v>
      </c>
      <c r="E537" s="915">
        <v>58.317</v>
      </c>
      <c r="F537" s="915">
        <v>2599.4949999999999</v>
      </c>
      <c r="G537" s="922">
        <f t="shared" si="16"/>
        <v>1</v>
      </c>
      <c r="H537" s="915" t="e">
        <v>#REF!</v>
      </c>
      <c r="I537" s="915" t="e">
        <f t="shared" si="17"/>
        <v>#REF!</v>
      </c>
      <c r="J537" s="915">
        <v>121.44499999999999</v>
      </c>
      <c r="K537" s="915">
        <v>9.4019999999999992</v>
      </c>
      <c r="L537" s="915">
        <v>8.9169999999999998</v>
      </c>
      <c r="M537" s="915">
        <v>120.96</v>
      </c>
    </row>
    <row r="538" spans="1:13">
      <c r="A538" s="633" t="s">
        <v>6034</v>
      </c>
      <c r="B538" s="423" t="s">
        <v>1922</v>
      </c>
      <c r="C538" s="915">
        <v>1362.595</v>
      </c>
      <c r="D538" s="915">
        <v>22.588999999999999</v>
      </c>
      <c r="E538" s="915">
        <v>22.588999999999999</v>
      </c>
      <c r="F538" s="915">
        <v>1362.595</v>
      </c>
      <c r="G538" s="922">
        <f t="shared" si="16"/>
        <v>0</v>
      </c>
      <c r="H538" s="915" t="e">
        <v>#REF!</v>
      </c>
      <c r="I538" s="915" t="e">
        <f t="shared" si="17"/>
        <v>#REF!</v>
      </c>
      <c r="J538" s="915">
        <v>21.734999999999999</v>
      </c>
      <c r="K538" s="915">
        <v>1.2989999999999999</v>
      </c>
      <c r="L538" s="915">
        <v>1.2989999999999999</v>
      </c>
      <c r="M538" s="915">
        <v>21.734999999999999</v>
      </c>
    </row>
    <row r="539" spans="1:13">
      <c r="A539" s="633" t="s">
        <v>7135</v>
      </c>
      <c r="B539" s="423" t="s">
        <v>3065</v>
      </c>
      <c r="C539" s="915">
        <v>404.42700000000002</v>
      </c>
      <c r="D539" s="915">
        <v>0</v>
      </c>
      <c r="E539" s="915">
        <v>0</v>
      </c>
      <c r="F539" s="915">
        <v>404.42700000000002</v>
      </c>
      <c r="G539" s="922">
        <f t="shared" si="16"/>
        <v>0</v>
      </c>
      <c r="H539" s="915" t="e">
        <v>#REF!</v>
      </c>
      <c r="I539" s="915" t="e">
        <f t="shared" si="17"/>
        <v>#REF!</v>
      </c>
      <c r="J539" s="915">
        <v>0</v>
      </c>
      <c r="K539" s="915">
        <v>0</v>
      </c>
      <c r="L539" s="915">
        <v>0</v>
      </c>
      <c r="M539" s="915">
        <v>0</v>
      </c>
    </row>
    <row r="540" spans="1:13">
      <c r="A540" s="633" t="s">
        <v>7137</v>
      </c>
      <c r="B540" s="423" t="s">
        <v>3066</v>
      </c>
      <c r="C540" s="915">
        <v>307.99799999999999</v>
      </c>
      <c r="D540" s="915">
        <v>0</v>
      </c>
      <c r="E540" s="915">
        <v>0</v>
      </c>
      <c r="F540" s="915">
        <v>307.99799999999999</v>
      </c>
      <c r="G540" s="922">
        <f t="shared" si="16"/>
        <v>0</v>
      </c>
      <c r="H540" s="915" t="e">
        <v>#REF!</v>
      </c>
      <c r="I540" s="915" t="e">
        <f t="shared" si="17"/>
        <v>#REF!</v>
      </c>
      <c r="J540" s="915">
        <v>28.158000000000001</v>
      </c>
      <c r="K540" s="915">
        <v>0</v>
      </c>
      <c r="L540" s="915">
        <v>0</v>
      </c>
      <c r="M540" s="915">
        <v>28.158000000000001</v>
      </c>
    </row>
    <row r="541" spans="1:13">
      <c r="A541" s="633" t="s">
        <v>7139</v>
      </c>
      <c r="B541" s="423" t="s">
        <v>3067</v>
      </c>
      <c r="C541" s="915">
        <v>46.213000000000001</v>
      </c>
      <c r="D541" s="915">
        <v>0.99199999999999999</v>
      </c>
      <c r="E541" s="915">
        <v>0.99199999999999999</v>
      </c>
      <c r="F541" s="915">
        <v>46.213000000000001</v>
      </c>
      <c r="G541" s="922">
        <f t="shared" si="16"/>
        <v>0</v>
      </c>
      <c r="H541" s="915" t="e">
        <v>#REF!</v>
      </c>
      <c r="I541" s="915" t="e">
        <f t="shared" si="17"/>
        <v>#REF!</v>
      </c>
      <c r="J541" s="915">
        <v>3.4620000000000002</v>
      </c>
      <c r="K541" s="915">
        <v>0.49199999999999999</v>
      </c>
      <c r="L541" s="915">
        <v>0.49199999999999999</v>
      </c>
      <c r="M541" s="915">
        <v>3.4620000000000002</v>
      </c>
    </row>
    <row r="542" spans="1:13">
      <c r="A542" s="633" t="s">
        <v>6178</v>
      </c>
      <c r="B542" s="423" t="s">
        <v>3519</v>
      </c>
      <c r="C542" s="915">
        <v>4734.3990000000003</v>
      </c>
      <c r="D542" s="915">
        <v>42.27</v>
      </c>
      <c r="E542" s="915">
        <v>42.27</v>
      </c>
      <c r="F542" s="915">
        <v>4734.3990000000003</v>
      </c>
      <c r="G542" s="922">
        <f t="shared" si="16"/>
        <v>0</v>
      </c>
      <c r="H542" s="915" t="e">
        <v>#REF!</v>
      </c>
      <c r="I542" s="915" t="e">
        <f t="shared" si="17"/>
        <v>#REF!</v>
      </c>
      <c r="J542" s="915">
        <v>164.47300000000001</v>
      </c>
      <c r="K542" s="915">
        <v>9.5350000000000001</v>
      </c>
      <c r="L542" s="915">
        <v>9.5350000000000001</v>
      </c>
      <c r="M542" s="915">
        <v>164.47300000000001</v>
      </c>
    </row>
    <row r="543" spans="1:13">
      <c r="A543" s="633" t="s">
        <v>7145</v>
      </c>
      <c r="B543" s="423" t="s">
        <v>3068</v>
      </c>
      <c r="C543" s="915">
        <v>8415.2049999999999</v>
      </c>
      <c r="D543" s="915">
        <v>396.91899999999998</v>
      </c>
      <c r="E543" s="915">
        <v>273.14499999999998</v>
      </c>
      <c r="F543" s="915">
        <v>8291.4310000000005</v>
      </c>
      <c r="G543" s="922">
        <f t="shared" si="16"/>
        <v>1</v>
      </c>
      <c r="H543" s="915" t="e">
        <v>#REF!</v>
      </c>
      <c r="I543" s="915" t="e">
        <f t="shared" si="17"/>
        <v>#REF!</v>
      </c>
      <c r="J543" s="915">
        <v>857.06899999999996</v>
      </c>
      <c r="K543" s="915">
        <v>71.341999999999999</v>
      </c>
      <c r="L543" s="915">
        <v>39.929000000000002</v>
      </c>
      <c r="M543" s="915">
        <v>825.65599999999995</v>
      </c>
    </row>
    <row r="544" spans="1:13">
      <c r="A544" s="633" t="s">
        <v>7147</v>
      </c>
      <c r="B544" s="423" t="s">
        <v>3069</v>
      </c>
      <c r="C544" s="915">
        <v>4422.9250000000002</v>
      </c>
      <c r="D544" s="915">
        <v>41.691000000000003</v>
      </c>
      <c r="E544" s="915">
        <v>41.216000000000001</v>
      </c>
      <c r="F544" s="915">
        <v>4422.45</v>
      </c>
      <c r="G544" s="922">
        <f t="shared" si="16"/>
        <v>1</v>
      </c>
      <c r="H544" s="915" t="e">
        <v>#REF!</v>
      </c>
      <c r="I544" s="915" t="e">
        <f t="shared" si="17"/>
        <v>#REF!</v>
      </c>
      <c r="J544" s="915">
        <v>106.099</v>
      </c>
      <c r="K544" s="915">
        <v>8.3689999999999998</v>
      </c>
      <c r="L544" s="915">
        <v>8.3689999999999998</v>
      </c>
      <c r="M544" s="915">
        <v>106.099</v>
      </c>
    </row>
    <row r="545" spans="1:13">
      <c r="A545" s="633" t="s">
        <v>2808</v>
      </c>
      <c r="B545" s="423" t="s">
        <v>3054</v>
      </c>
      <c r="C545" s="915">
        <v>17681.728999999999</v>
      </c>
      <c r="D545" s="915">
        <v>508.24</v>
      </c>
      <c r="E545" s="915">
        <v>508.24</v>
      </c>
      <c r="F545" s="915">
        <v>17681.728999999999</v>
      </c>
      <c r="G545" s="922">
        <f t="shared" si="16"/>
        <v>0</v>
      </c>
      <c r="H545" s="915" t="e">
        <v>#REF!</v>
      </c>
      <c r="I545" s="915" t="e">
        <f t="shared" si="17"/>
        <v>#REF!</v>
      </c>
      <c r="J545" s="915">
        <v>1209.152</v>
      </c>
      <c r="K545" s="915">
        <v>63.781999999999996</v>
      </c>
      <c r="L545" s="915">
        <v>63.781999999999996</v>
      </c>
      <c r="M545" s="915">
        <v>1209.152</v>
      </c>
    </row>
    <row r="546" spans="1:13">
      <c r="A546" s="633" t="s">
        <v>2810</v>
      </c>
      <c r="B546" s="423" t="s">
        <v>6648</v>
      </c>
      <c r="C546" s="915">
        <v>240.56399999999999</v>
      </c>
      <c r="D546" s="915">
        <v>0</v>
      </c>
      <c r="E546" s="915">
        <v>0</v>
      </c>
      <c r="F546" s="915">
        <v>240.56399999999999</v>
      </c>
      <c r="G546" s="922">
        <f t="shared" si="16"/>
        <v>0</v>
      </c>
      <c r="H546" s="915" t="e">
        <v>#REF!</v>
      </c>
      <c r="I546" s="915" t="e">
        <f t="shared" si="17"/>
        <v>#REF!</v>
      </c>
      <c r="J546" s="915">
        <v>2.0289999999999999</v>
      </c>
      <c r="K546" s="915">
        <v>0</v>
      </c>
      <c r="L546" s="915">
        <v>0</v>
      </c>
      <c r="M546" s="915">
        <v>2.0289999999999999</v>
      </c>
    </row>
    <row r="547" spans="1:13">
      <c r="A547" s="633" t="s">
        <v>1859</v>
      </c>
      <c r="B547" s="423" t="s">
        <v>3916</v>
      </c>
      <c r="C547" s="915">
        <v>1637.769</v>
      </c>
      <c r="D547" s="915">
        <v>10.417</v>
      </c>
      <c r="E547" s="915">
        <v>10.417</v>
      </c>
      <c r="F547" s="915">
        <v>1637.769</v>
      </c>
      <c r="G547" s="922">
        <f t="shared" si="16"/>
        <v>0</v>
      </c>
      <c r="H547" s="915" t="e">
        <v>#REF!</v>
      </c>
      <c r="I547" s="915" t="e">
        <f t="shared" si="17"/>
        <v>#REF!</v>
      </c>
      <c r="J547" s="915">
        <v>33.68</v>
      </c>
      <c r="K547" s="915">
        <v>1.518</v>
      </c>
      <c r="L547" s="915">
        <v>1.518</v>
      </c>
      <c r="M547" s="915">
        <v>33.68</v>
      </c>
    </row>
    <row r="548" spans="1:13">
      <c r="A548" s="633" t="s">
        <v>1133</v>
      </c>
      <c r="B548" s="423" t="s">
        <v>3782</v>
      </c>
      <c r="C548" s="915">
        <v>190.42400000000001</v>
      </c>
      <c r="D548" s="915">
        <v>0</v>
      </c>
      <c r="E548" s="915">
        <v>0</v>
      </c>
      <c r="F548" s="915">
        <v>190.42400000000001</v>
      </c>
      <c r="G548" s="922">
        <f t="shared" si="16"/>
        <v>0</v>
      </c>
      <c r="H548" s="915" t="e">
        <v>#REF!</v>
      </c>
      <c r="I548" s="915" t="e">
        <f t="shared" si="17"/>
        <v>#REF!</v>
      </c>
      <c r="J548" s="915">
        <v>12.176</v>
      </c>
      <c r="K548" s="915">
        <v>0</v>
      </c>
      <c r="L548" s="915">
        <v>0</v>
      </c>
      <c r="M548" s="915">
        <v>12.176</v>
      </c>
    </row>
    <row r="549" spans="1:13">
      <c r="A549" s="633" t="s">
        <v>2812</v>
      </c>
      <c r="B549" s="423" t="s">
        <v>6649</v>
      </c>
      <c r="C549" s="915">
        <v>1032.711</v>
      </c>
      <c r="D549" s="915">
        <v>66.816999999999993</v>
      </c>
      <c r="E549" s="915">
        <v>42.93</v>
      </c>
      <c r="F549" s="915">
        <v>1008.824</v>
      </c>
      <c r="G549" s="922">
        <f t="shared" si="16"/>
        <v>1</v>
      </c>
      <c r="H549" s="915" t="e">
        <v>#REF!</v>
      </c>
      <c r="I549" s="915" t="e">
        <f t="shared" si="17"/>
        <v>#REF!</v>
      </c>
      <c r="J549" s="915">
        <v>164.625</v>
      </c>
      <c r="K549" s="915">
        <v>28.361999999999998</v>
      </c>
      <c r="L549" s="915">
        <v>18.768999999999998</v>
      </c>
      <c r="M549" s="915">
        <v>155.03200000000001</v>
      </c>
    </row>
    <row r="550" spans="1:13">
      <c r="A550" s="633" t="s">
        <v>820</v>
      </c>
      <c r="B550" s="423" t="s">
        <v>1843</v>
      </c>
      <c r="C550" s="915">
        <v>4905.3639999999996</v>
      </c>
      <c r="D550" s="915">
        <v>230.858</v>
      </c>
      <c r="E550" s="915">
        <v>118.422</v>
      </c>
      <c r="F550" s="915">
        <v>4792.9279999999999</v>
      </c>
      <c r="G550" s="922">
        <f t="shared" si="16"/>
        <v>1</v>
      </c>
      <c r="H550" s="915" t="e">
        <v>#REF!</v>
      </c>
      <c r="I550" s="915" t="e">
        <f t="shared" si="17"/>
        <v>#REF!</v>
      </c>
      <c r="J550" s="915">
        <v>257.47399999999999</v>
      </c>
      <c r="K550" s="915">
        <v>15.19</v>
      </c>
      <c r="L550" s="915">
        <v>7.6189999999999998</v>
      </c>
      <c r="M550" s="915">
        <v>249.904</v>
      </c>
    </row>
    <row r="551" spans="1:13">
      <c r="A551" s="633" t="s">
        <v>127</v>
      </c>
      <c r="B551" s="423" t="s">
        <v>7655</v>
      </c>
      <c r="C551" s="915">
        <v>570.26099999999997</v>
      </c>
      <c r="D551" s="915">
        <v>26.821999999999999</v>
      </c>
      <c r="E551" s="915">
        <v>13.45</v>
      </c>
      <c r="F551" s="915">
        <v>556.88800000000003</v>
      </c>
      <c r="G551" s="922">
        <f t="shared" si="16"/>
        <v>1</v>
      </c>
      <c r="H551" s="915" t="e">
        <v>#REF!</v>
      </c>
      <c r="I551" s="915" t="e">
        <f t="shared" si="17"/>
        <v>#REF!</v>
      </c>
      <c r="J551" s="915">
        <v>46.469000000000001</v>
      </c>
      <c r="K551" s="915">
        <v>2.3540000000000001</v>
      </c>
      <c r="L551" s="915">
        <v>1.1890000000000001</v>
      </c>
      <c r="M551" s="915">
        <v>45.302999999999997</v>
      </c>
    </row>
    <row r="552" spans="1:13">
      <c r="A552" s="633" t="s">
        <v>6189</v>
      </c>
      <c r="B552" s="423" t="s">
        <v>3625</v>
      </c>
      <c r="C552" s="915">
        <v>1662.9159999999999</v>
      </c>
      <c r="D552" s="915">
        <v>30.471</v>
      </c>
      <c r="E552" s="915">
        <v>30.471</v>
      </c>
      <c r="F552" s="915">
        <v>1662.9159999999999</v>
      </c>
      <c r="G552" s="922">
        <f t="shared" si="16"/>
        <v>0</v>
      </c>
      <c r="H552" s="915" t="e">
        <v>#REF!</v>
      </c>
      <c r="I552" s="915" t="e">
        <f t="shared" si="17"/>
        <v>#REF!</v>
      </c>
      <c r="J552" s="915">
        <v>47.137999999999998</v>
      </c>
      <c r="K552" s="915">
        <v>0.96599999999999997</v>
      </c>
      <c r="L552" s="915">
        <v>0.96599999999999997</v>
      </c>
      <c r="M552" s="915">
        <v>47.137999999999998</v>
      </c>
    </row>
    <row r="553" spans="1:13">
      <c r="A553" s="633" t="s">
        <v>5130</v>
      </c>
      <c r="B553" s="423" t="s">
        <v>349</v>
      </c>
      <c r="C553" s="915">
        <v>599.44799999999998</v>
      </c>
      <c r="D553" s="915">
        <v>6.2309999999999999</v>
      </c>
      <c r="E553" s="915">
        <v>6.2309999999999999</v>
      </c>
      <c r="F553" s="915">
        <v>599.44799999999998</v>
      </c>
      <c r="G553" s="922">
        <f t="shared" si="16"/>
        <v>0</v>
      </c>
      <c r="H553" s="915" t="e">
        <v>#REF!</v>
      </c>
      <c r="I553" s="915" t="e">
        <f t="shared" si="17"/>
        <v>#REF!</v>
      </c>
      <c r="J553" s="915">
        <v>47.33</v>
      </c>
      <c r="K553" s="915">
        <v>2.266</v>
      </c>
      <c r="L553" s="915">
        <v>2.266</v>
      </c>
      <c r="M553" s="915">
        <v>47.33</v>
      </c>
    </row>
    <row r="554" spans="1:13">
      <c r="A554" s="633" t="s">
        <v>2815</v>
      </c>
      <c r="B554" s="423" t="s">
        <v>6650</v>
      </c>
      <c r="C554" s="915">
        <v>101.483</v>
      </c>
      <c r="D554" s="915">
        <v>0.64300000000000002</v>
      </c>
      <c r="E554" s="915">
        <v>0.64300000000000002</v>
      </c>
      <c r="F554" s="915">
        <v>101.483</v>
      </c>
      <c r="G554" s="922">
        <f t="shared" si="16"/>
        <v>0</v>
      </c>
      <c r="H554" s="915" t="e">
        <v>#REF!</v>
      </c>
      <c r="I554" s="915" t="e">
        <f t="shared" si="17"/>
        <v>#REF!</v>
      </c>
      <c r="J554" s="915">
        <v>3.7210000000000001</v>
      </c>
      <c r="K554" s="915">
        <v>0</v>
      </c>
      <c r="L554" s="915">
        <v>0</v>
      </c>
      <c r="M554" s="915">
        <v>3.7210000000000001</v>
      </c>
    </row>
    <row r="555" spans="1:13">
      <c r="A555" s="633" t="s">
        <v>3888</v>
      </c>
      <c r="B555" s="423" t="s">
        <v>7678</v>
      </c>
      <c r="C555" s="915">
        <v>3055.9349999999999</v>
      </c>
      <c r="D555" s="915">
        <v>47.055999999999997</v>
      </c>
      <c r="E555" s="915">
        <v>46.631</v>
      </c>
      <c r="F555" s="915">
        <v>3055.51</v>
      </c>
      <c r="G555" s="922">
        <f t="shared" si="16"/>
        <v>1</v>
      </c>
      <c r="H555" s="915" t="e">
        <v>#REF!</v>
      </c>
      <c r="I555" s="915" t="e">
        <f t="shared" si="17"/>
        <v>#REF!</v>
      </c>
      <c r="J555" s="915">
        <v>253.32599999999999</v>
      </c>
      <c r="K555" s="915">
        <v>13.127000000000001</v>
      </c>
      <c r="L555" s="915">
        <v>13.127000000000001</v>
      </c>
      <c r="M555" s="915">
        <v>253.32599999999999</v>
      </c>
    </row>
    <row r="556" spans="1:13">
      <c r="A556" s="633" t="s">
        <v>977</v>
      </c>
      <c r="B556" s="423" t="s">
        <v>2147</v>
      </c>
      <c r="C556" s="915">
        <v>9025.2479999999996</v>
      </c>
      <c r="D556" s="915">
        <v>88.91</v>
      </c>
      <c r="E556" s="915">
        <v>88.91</v>
      </c>
      <c r="F556" s="915">
        <v>9025.2479999999996</v>
      </c>
      <c r="G556" s="922">
        <f t="shared" si="16"/>
        <v>0</v>
      </c>
      <c r="H556" s="915" t="e">
        <v>#REF!</v>
      </c>
      <c r="I556" s="915" t="e">
        <f t="shared" si="17"/>
        <v>#REF!</v>
      </c>
      <c r="J556" s="915">
        <v>246.792</v>
      </c>
      <c r="K556" s="915">
        <v>11.289</v>
      </c>
      <c r="L556" s="915">
        <v>11.289</v>
      </c>
      <c r="M556" s="915">
        <v>246.792</v>
      </c>
    </row>
    <row r="557" spans="1:13">
      <c r="A557" s="633" t="s">
        <v>739</v>
      </c>
      <c r="B557" s="423" t="s">
        <v>6113</v>
      </c>
      <c r="C557" s="915">
        <v>6404.4809999999998</v>
      </c>
      <c r="D557" s="915">
        <v>113.518</v>
      </c>
      <c r="E557" s="915">
        <v>113.354</v>
      </c>
      <c r="F557" s="915">
        <v>6404.3180000000002</v>
      </c>
      <c r="G557" s="922">
        <f t="shared" si="16"/>
        <v>1</v>
      </c>
      <c r="H557" s="915" t="e">
        <v>#REF!</v>
      </c>
      <c r="I557" s="915" t="e">
        <f t="shared" si="17"/>
        <v>#REF!</v>
      </c>
      <c r="J557" s="915">
        <v>1083.0050000000001</v>
      </c>
      <c r="K557" s="915">
        <v>48.125</v>
      </c>
      <c r="L557" s="915">
        <v>48.054000000000002</v>
      </c>
      <c r="M557" s="915">
        <v>1082.934</v>
      </c>
    </row>
    <row r="558" spans="1:13">
      <c r="A558" s="633" t="s">
        <v>1855</v>
      </c>
      <c r="B558" s="423" t="s">
        <v>4968</v>
      </c>
      <c r="C558" s="915">
        <v>1075.3</v>
      </c>
      <c r="D558" s="915">
        <v>26.821000000000002</v>
      </c>
      <c r="E558" s="915">
        <v>15.555</v>
      </c>
      <c r="F558" s="915">
        <v>1064.0340000000001</v>
      </c>
      <c r="G558" s="922">
        <f t="shared" si="16"/>
        <v>1</v>
      </c>
      <c r="H558" s="915" t="e">
        <v>#REF!</v>
      </c>
      <c r="I558" s="915" t="e">
        <f t="shared" si="17"/>
        <v>#REF!</v>
      </c>
      <c r="J558" s="915">
        <v>33.36</v>
      </c>
      <c r="K558" s="915">
        <v>2.8839999999999999</v>
      </c>
      <c r="L558" s="915">
        <v>1.4419999999999999</v>
      </c>
      <c r="M558" s="915">
        <v>31.917999999999999</v>
      </c>
    </row>
    <row r="559" spans="1:13">
      <c r="A559" s="633" t="s">
        <v>6025</v>
      </c>
      <c r="B559" s="423" t="s">
        <v>1910</v>
      </c>
      <c r="C559" s="915">
        <v>4425.1710000000003</v>
      </c>
      <c r="D559" s="915">
        <v>145.542</v>
      </c>
      <c r="E559" s="915">
        <v>79.673000000000002</v>
      </c>
      <c r="F559" s="915">
        <v>4359.3019999999997</v>
      </c>
      <c r="G559" s="922">
        <f t="shared" si="16"/>
        <v>1</v>
      </c>
      <c r="H559" s="915" t="e">
        <v>#REF!</v>
      </c>
      <c r="I559" s="915" t="e">
        <f t="shared" si="17"/>
        <v>#REF!</v>
      </c>
      <c r="J559" s="915">
        <v>210.81299999999999</v>
      </c>
      <c r="K559" s="915">
        <v>27.783000000000001</v>
      </c>
      <c r="L559" s="915">
        <v>14.324999999999999</v>
      </c>
      <c r="M559" s="915">
        <v>197.35499999999999</v>
      </c>
    </row>
    <row r="560" spans="1:13">
      <c r="A560" s="633" t="s">
        <v>2817</v>
      </c>
      <c r="B560" s="423" t="s">
        <v>6651</v>
      </c>
      <c r="C560" s="915">
        <v>739.30499999999995</v>
      </c>
      <c r="D560" s="915">
        <v>16.82</v>
      </c>
      <c r="E560" s="915">
        <v>16.82</v>
      </c>
      <c r="F560" s="915">
        <v>739.30499999999995</v>
      </c>
      <c r="G560" s="922">
        <f t="shared" si="16"/>
        <v>0</v>
      </c>
      <c r="H560" s="915" t="e">
        <v>#REF!</v>
      </c>
      <c r="I560" s="915" t="e">
        <f t="shared" si="17"/>
        <v>#REF!</v>
      </c>
      <c r="J560" s="915">
        <v>146.13300000000001</v>
      </c>
      <c r="K560" s="915">
        <v>4.7279999999999998</v>
      </c>
      <c r="L560" s="915">
        <v>4.7279999999999998</v>
      </c>
      <c r="M560" s="915">
        <v>146.13300000000001</v>
      </c>
    </row>
    <row r="561" spans="1:13">
      <c r="A561" s="633" t="s">
        <v>128</v>
      </c>
      <c r="B561" s="423" t="s">
        <v>362</v>
      </c>
      <c r="C561" s="915">
        <v>834.16200000000003</v>
      </c>
      <c r="D561" s="915">
        <v>11.567</v>
      </c>
      <c r="E561" s="915">
        <v>11.526999999999999</v>
      </c>
      <c r="F561" s="915">
        <v>834.12199999999996</v>
      </c>
      <c r="G561" s="922">
        <f t="shared" si="16"/>
        <v>1</v>
      </c>
      <c r="H561" s="915" t="e">
        <v>#REF!</v>
      </c>
      <c r="I561" s="915" t="e">
        <f t="shared" si="17"/>
        <v>#REF!</v>
      </c>
      <c r="J561" s="915">
        <v>22.439</v>
      </c>
      <c r="K561" s="915">
        <v>0.81100000000000005</v>
      </c>
      <c r="L561" s="915">
        <v>0.81100000000000005</v>
      </c>
      <c r="M561" s="915">
        <v>22.439</v>
      </c>
    </row>
    <row r="562" spans="1:13">
      <c r="A562" s="633" t="s">
        <v>3551</v>
      </c>
      <c r="B562" s="423" t="s">
        <v>7131</v>
      </c>
      <c r="C562" s="915">
        <v>1658.3630000000001</v>
      </c>
      <c r="D562" s="915">
        <v>36.371000000000002</v>
      </c>
      <c r="E562" s="915">
        <v>36.371000000000002</v>
      </c>
      <c r="F562" s="915">
        <v>1658.3630000000001</v>
      </c>
      <c r="G562" s="922">
        <f t="shared" si="16"/>
        <v>0</v>
      </c>
      <c r="H562" s="915" t="e">
        <v>#REF!</v>
      </c>
      <c r="I562" s="915" t="e">
        <f t="shared" si="17"/>
        <v>#REF!</v>
      </c>
      <c r="J562" s="915">
        <v>229.69200000000001</v>
      </c>
      <c r="K562" s="915">
        <v>15.217000000000001</v>
      </c>
      <c r="L562" s="915">
        <v>15.217000000000001</v>
      </c>
      <c r="M562" s="915">
        <v>229.69200000000001</v>
      </c>
    </row>
    <row r="563" spans="1:13">
      <c r="A563" s="633" t="s">
        <v>1851</v>
      </c>
      <c r="B563" s="423" t="s">
        <v>126</v>
      </c>
      <c r="C563" s="915">
        <v>1448.634</v>
      </c>
      <c r="D563" s="915">
        <v>33.115000000000002</v>
      </c>
      <c r="E563" s="915">
        <v>31.510999999999999</v>
      </c>
      <c r="F563" s="915">
        <v>1447.03</v>
      </c>
      <c r="G563" s="922">
        <f t="shared" si="16"/>
        <v>1</v>
      </c>
      <c r="H563" s="915" t="e">
        <v>#REF!</v>
      </c>
      <c r="I563" s="915" t="e">
        <f t="shared" si="17"/>
        <v>#REF!</v>
      </c>
      <c r="J563" s="915">
        <v>72.322000000000003</v>
      </c>
      <c r="K563" s="915">
        <v>4.8849999999999998</v>
      </c>
      <c r="L563" s="915">
        <v>4.8849999999999998</v>
      </c>
      <c r="M563" s="915">
        <v>72.322000000000003</v>
      </c>
    </row>
    <row r="564" spans="1:13">
      <c r="A564" s="633" t="s">
        <v>267</v>
      </c>
      <c r="B564" s="423" t="s">
        <v>7684</v>
      </c>
      <c r="C564" s="915">
        <v>694.12699999999995</v>
      </c>
      <c r="D564" s="915">
        <v>16.814</v>
      </c>
      <c r="E564" s="915">
        <v>16.814</v>
      </c>
      <c r="F564" s="915">
        <v>694.12699999999995</v>
      </c>
      <c r="G564" s="922">
        <f t="shared" si="16"/>
        <v>0</v>
      </c>
      <c r="H564" s="915" t="e">
        <v>#REF!</v>
      </c>
      <c r="I564" s="915" t="e">
        <f t="shared" si="17"/>
        <v>#REF!</v>
      </c>
      <c r="J564" s="915">
        <v>46.265999999999998</v>
      </c>
      <c r="K564" s="915">
        <v>0</v>
      </c>
      <c r="L564" s="915">
        <v>0</v>
      </c>
      <c r="M564" s="915">
        <v>46.265999999999998</v>
      </c>
    </row>
    <row r="565" spans="1:13">
      <c r="A565" s="633" t="s">
        <v>2819</v>
      </c>
      <c r="B565" s="423" t="s">
        <v>6652</v>
      </c>
      <c r="C565" s="915">
        <v>443.49299999999999</v>
      </c>
      <c r="D565" s="915">
        <v>16.952999999999999</v>
      </c>
      <c r="E565" s="915">
        <v>16.952999999999999</v>
      </c>
      <c r="F565" s="915">
        <v>443.49299999999999</v>
      </c>
      <c r="G565" s="922">
        <f t="shared" si="16"/>
        <v>0</v>
      </c>
      <c r="H565" s="915" t="e">
        <v>#REF!</v>
      </c>
      <c r="I565" s="915" t="e">
        <f t="shared" si="17"/>
        <v>#REF!</v>
      </c>
      <c r="J565" s="915">
        <v>22.001999999999999</v>
      </c>
      <c r="K565" s="915">
        <v>2.2389999999999999</v>
      </c>
      <c r="L565" s="915">
        <v>2.2389999999999999</v>
      </c>
      <c r="M565" s="915">
        <v>22.001999999999999</v>
      </c>
    </row>
    <row r="566" spans="1:13">
      <c r="A566" s="633" t="s">
        <v>1863</v>
      </c>
      <c r="B566" s="423" t="s">
        <v>3839</v>
      </c>
      <c r="C566" s="915">
        <v>710.69</v>
      </c>
      <c r="D566" s="915">
        <v>10.625999999999999</v>
      </c>
      <c r="E566" s="915">
        <v>10.625999999999999</v>
      </c>
      <c r="F566" s="915">
        <v>710.69</v>
      </c>
      <c r="G566" s="922">
        <f t="shared" si="16"/>
        <v>0</v>
      </c>
      <c r="H566" s="915" t="e">
        <v>#REF!</v>
      </c>
      <c r="I566" s="915" t="e">
        <f t="shared" si="17"/>
        <v>#REF!</v>
      </c>
      <c r="J566" s="915">
        <v>4.78</v>
      </c>
      <c r="K566" s="915">
        <v>0</v>
      </c>
      <c r="L566" s="915">
        <v>0</v>
      </c>
      <c r="M566" s="915">
        <v>4.78</v>
      </c>
    </row>
    <row r="567" spans="1:13">
      <c r="A567" s="633" t="s">
        <v>449</v>
      </c>
      <c r="B567" s="423" t="s">
        <v>6155</v>
      </c>
      <c r="C567" s="915">
        <v>108.854</v>
      </c>
      <c r="D567" s="915">
        <v>3.6459999999999999</v>
      </c>
      <c r="E567" s="915">
        <v>3.42</v>
      </c>
      <c r="F567" s="915">
        <v>108.628</v>
      </c>
      <c r="G567" s="922">
        <f t="shared" si="16"/>
        <v>1</v>
      </c>
      <c r="H567" s="915" t="e">
        <v>#REF!</v>
      </c>
      <c r="I567" s="915" t="e">
        <f t="shared" si="17"/>
        <v>#REF!</v>
      </c>
      <c r="J567" s="915">
        <v>0</v>
      </c>
      <c r="K567" s="915">
        <v>0</v>
      </c>
      <c r="L567" s="915">
        <v>0</v>
      </c>
      <c r="M567" s="915">
        <v>0</v>
      </c>
    </row>
    <row r="568" spans="1:13">
      <c r="A568" s="633" t="s">
        <v>5138</v>
      </c>
      <c r="B568" s="423" t="s">
        <v>2354</v>
      </c>
      <c r="C568" s="915">
        <v>585.26099999999997</v>
      </c>
      <c r="D568" s="915">
        <v>22.739000000000001</v>
      </c>
      <c r="E568" s="915">
        <v>22.739000000000001</v>
      </c>
      <c r="F568" s="915">
        <v>585.26099999999997</v>
      </c>
      <c r="G568" s="922">
        <f t="shared" si="16"/>
        <v>0</v>
      </c>
      <c r="H568" s="915" t="e">
        <v>#REF!</v>
      </c>
      <c r="I568" s="915" t="e">
        <f t="shared" si="17"/>
        <v>#REF!</v>
      </c>
      <c r="J568" s="915">
        <v>14.362</v>
      </c>
      <c r="K568" s="915">
        <v>1.8129999999999999</v>
      </c>
      <c r="L568" s="915">
        <v>1.8129999999999999</v>
      </c>
      <c r="M568" s="915">
        <v>14.362</v>
      </c>
    </row>
    <row r="569" spans="1:13">
      <c r="A569" s="633" t="s">
        <v>6027</v>
      </c>
      <c r="B569" s="423" t="s">
        <v>1912</v>
      </c>
      <c r="C569" s="915">
        <v>904.702</v>
      </c>
      <c r="D569" s="915">
        <v>39.707000000000001</v>
      </c>
      <c r="E569" s="915">
        <v>20.905000000000001</v>
      </c>
      <c r="F569" s="915">
        <v>885.9</v>
      </c>
      <c r="G569" s="922">
        <f t="shared" si="16"/>
        <v>1</v>
      </c>
      <c r="H569" s="915" t="e">
        <v>#REF!</v>
      </c>
      <c r="I569" s="915" t="e">
        <f t="shared" si="17"/>
        <v>#REF!</v>
      </c>
      <c r="J569" s="915">
        <v>14.696999999999999</v>
      </c>
      <c r="K569" s="915">
        <v>1.9079999999999999</v>
      </c>
      <c r="L569" s="915">
        <v>0.95399999999999996</v>
      </c>
      <c r="M569" s="915">
        <v>13.743</v>
      </c>
    </row>
    <row r="570" spans="1:13">
      <c r="A570" s="633" t="s">
        <v>450</v>
      </c>
      <c r="B570" s="423" t="s">
        <v>1917</v>
      </c>
      <c r="C570" s="915">
        <v>652.06399999999996</v>
      </c>
      <c r="D570" s="915">
        <v>33.585999999999999</v>
      </c>
      <c r="E570" s="915">
        <v>18.920999999999999</v>
      </c>
      <c r="F570" s="915">
        <v>637.39800000000002</v>
      </c>
      <c r="G570" s="922">
        <f t="shared" si="16"/>
        <v>1</v>
      </c>
      <c r="H570" s="915" t="e">
        <v>#REF!</v>
      </c>
      <c r="I570" s="915" t="e">
        <f t="shared" si="17"/>
        <v>#REF!</v>
      </c>
      <c r="J570" s="915">
        <v>7.0010000000000003</v>
      </c>
      <c r="K570" s="915">
        <v>0</v>
      </c>
      <c r="L570" s="915">
        <v>0</v>
      </c>
      <c r="M570" s="915">
        <v>7.0010000000000003</v>
      </c>
    </row>
    <row r="571" spans="1:13">
      <c r="A571" s="633" t="s">
        <v>516</v>
      </c>
      <c r="B571" s="423" t="s">
        <v>6653</v>
      </c>
      <c r="C571" s="915">
        <v>289.24</v>
      </c>
      <c r="D571" s="915">
        <v>15.476000000000001</v>
      </c>
      <c r="E571" s="915">
        <v>8.1669999999999998</v>
      </c>
      <c r="F571" s="915">
        <v>281.93200000000002</v>
      </c>
      <c r="G571" s="922">
        <f t="shared" si="16"/>
        <v>1</v>
      </c>
      <c r="H571" s="915" t="e">
        <v>#REF!</v>
      </c>
      <c r="I571" s="915" t="e">
        <f t="shared" si="17"/>
        <v>#REF!</v>
      </c>
      <c r="J571" s="915">
        <v>2.411</v>
      </c>
      <c r="K571" s="915">
        <v>0</v>
      </c>
      <c r="L571" s="915">
        <v>0</v>
      </c>
      <c r="M571" s="915">
        <v>2.411</v>
      </c>
    </row>
    <row r="572" spans="1:13">
      <c r="A572" s="633" t="s">
        <v>1525</v>
      </c>
      <c r="B572" s="423" t="s">
        <v>1931</v>
      </c>
      <c r="C572" s="915">
        <v>313.03500000000003</v>
      </c>
      <c r="D572" s="915">
        <v>0</v>
      </c>
      <c r="E572" s="915">
        <v>0</v>
      </c>
      <c r="F572" s="915">
        <v>313.03500000000003</v>
      </c>
      <c r="G572" s="922">
        <f t="shared" si="16"/>
        <v>0</v>
      </c>
      <c r="H572" s="915" t="e">
        <v>#REF!</v>
      </c>
      <c r="I572" s="915" t="e">
        <f t="shared" si="17"/>
        <v>#REF!</v>
      </c>
      <c r="J572" s="915">
        <v>5.0910000000000002</v>
      </c>
      <c r="K572" s="915">
        <v>0</v>
      </c>
      <c r="L572" s="915">
        <v>0</v>
      </c>
      <c r="M572" s="915">
        <v>5.0910000000000002</v>
      </c>
    </row>
    <row r="573" spans="1:13">
      <c r="A573" s="633" t="s">
        <v>244</v>
      </c>
      <c r="B573" s="423" t="s">
        <v>1665</v>
      </c>
      <c r="C573" s="915">
        <v>2438.5729999999999</v>
      </c>
      <c r="D573" s="915">
        <v>30.960999999999999</v>
      </c>
      <c r="E573" s="915">
        <v>30.960999999999999</v>
      </c>
      <c r="F573" s="915">
        <v>2438.5729999999999</v>
      </c>
      <c r="G573" s="922">
        <f t="shared" si="16"/>
        <v>0</v>
      </c>
      <c r="H573" s="915" t="e">
        <v>#REF!</v>
      </c>
      <c r="I573" s="915" t="e">
        <f t="shared" si="17"/>
        <v>#REF!</v>
      </c>
      <c r="J573" s="915">
        <v>75.994</v>
      </c>
      <c r="K573" s="915">
        <v>7.4560000000000004</v>
      </c>
      <c r="L573" s="915">
        <v>7.4560000000000004</v>
      </c>
      <c r="M573" s="915">
        <v>75.994</v>
      </c>
    </row>
    <row r="574" spans="1:13">
      <c r="A574" s="633" t="s">
        <v>1308</v>
      </c>
      <c r="B574" s="423" t="s">
        <v>113</v>
      </c>
      <c r="C574" s="915">
        <v>7149.5789999999997</v>
      </c>
      <c r="D574" s="915">
        <v>115.093</v>
      </c>
      <c r="E574" s="915">
        <v>64.388999999999996</v>
      </c>
      <c r="F574" s="915">
        <v>7098.8739999999998</v>
      </c>
      <c r="G574" s="922">
        <f t="shared" si="16"/>
        <v>1</v>
      </c>
      <c r="H574" s="915" t="e">
        <v>#REF!</v>
      </c>
      <c r="I574" s="915" t="e">
        <f t="shared" si="17"/>
        <v>#REF!</v>
      </c>
      <c r="J574" s="915">
        <v>368.70100000000002</v>
      </c>
      <c r="K574" s="915">
        <v>39.764000000000003</v>
      </c>
      <c r="L574" s="915">
        <v>21.369</v>
      </c>
      <c r="M574" s="915">
        <v>350.30599999999998</v>
      </c>
    </row>
    <row r="575" spans="1:13">
      <c r="A575" s="633" t="s">
        <v>6029</v>
      </c>
      <c r="B575" s="423" t="s">
        <v>1914</v>
      </c>
      <c r="C575" s="915">
        <v>3432.105</v>
      </c>
      <c r="D575" s="915">
        <v>130.834</v>
      </c>
      <c r="E575" s="915">
        <v>83.353999999999999</v>
      </c>
      <c r="F575" s="915">
        <v>3384.625</v>
      </c>
      <c r="G575" s="922">
        <f t="shared" si="16"/>
        <v>1</v>
      </c>
      <c r="H575" s="915" t="e">
        <v>#REF!</v>
      </c>
      <c r="I575" s="915" t="e">
        <f t="shared" si="17"/>
        <v>#REF!</v>
      </c>
      <c r="J575" s="915">
        <v>427.22699999999998</v>
      </c>
      <c r="K575" s="915">
        <v>36.36</v>
      </c>
      <c r="L575" s="915">
        <v>24.811</v>
      </c>
      <c r="M575" s="915">
        <v>415.678</v>
      </c>
    </row>
    <row r="576" spans="1:13">
      <c r="A576" s="633" t="s">
        <v>6031</v>
      </c>
      <c r="B576" s="423" t="s">
        <v>1916</v>
      </c>
      <c r="C576" s="915">
        <v>1496.163</v>
      </c>
      <c r="D576" s="915">
        <v>63.832999999999998</v>
      </c>
      <c r="E576" s="915">
        <v>35.405000000000001</v>
      </c>
      <c r="F576" s="915">
        <v>1467.7360000000001</v>
      </c>
      <c r="G576" s="922">
        <f t="shared" si="16"/>
        <v>1</v>
      </c>
      <c r="H576" s="915" t="e">
        <v>#REF!</v>
      </c>
      <c r="I576" s="915" t="e">
        <f t="shared" si="17"/>
        <v>#REF!</v>
      </c>
      <c r="J576" s="915">
        <v>67.519000000000005</v>
      </c>
      <c r="K576" s="915">
        <v>2.75</v>
      </c>
      <c r="L576" s="915">
        <v>1.375</v>
      </c>
      <c r="M576" s="915">
        <v>66.144000000000005</v>
      </c>
    </row>
    <row r="577" spans="1:13">
      <c r="A577" s="633" t="s">
        <v>5628</v>
      </c>
      <c r="B577" s="423" t="s">
        <v>6654</v>
      </c>
      <c r="C577" s="915">
        <v>3074.1509999999998</v>
      </c>
      <c r="D577" s="915">
        <v>59.414999999999999</v>
      </c>
      <c r="E577" s="915">
        <v>59.256</v>
      </c>
      <c r="F577" s="915">
        <v>3073.9920000000002</v>
      </c>
      <c r="G577" s="922">
        <f t="shared" si="16"/>
        <v>1</v>
      </c>
      <c r="H577" s="915" t="e">
        <v>#REF!</v>
      </c>
      <c r="I577" s="915" t="e">
        <f t="shared" si="17"/>
        <v>#REF!</v>
      </c>
      <c r="J577" s="915">
        <v>61.587000000000003</v>
      </c>
      <c r="K577" s="915">
        <v>3.0390000000000001</v>
      </c>
      <c r="L577" s="915">
        <v>3.0390000000000001</v>
      </c>
      <c r="M577" s="915">
        <v>61.587000000000003</v>
      </c>
    </row>
    <row r="578" spans="1:13">
      <c r="A578" s="633" t="s">
        <v>5630</v>
      </c>
      <c r="B578" s="423" t="s">
        <v>6655</v>
      </c>
      <c r="C578" s="915">
        <v>4016.9380000000001</v>
      </c>
      <c r="D578" s="915">
        <v>111.36499999999999</v>
      </c>
      <c r="E578" s="915">
        <v>111.36499999999999</v>
      </c>
      <c r="F578" s="915">
        <v>4016.9380000000001</v>
      </c>
      <c r="G578" s="922">
        <f t="shared" si="16"/>
        <v>0</v>
      </c>
      <c r="H578" s="915" t="e">
        <v>#REF!</v>
      </c>
      <c r="I578" s="915" t="e">
        <f t="shared" si="17"/>
        <v>#REF!</v>
      </c>
      <c r="J578" s="915">
        <v>629.35799999999995</v>
      </c>
      <c r="K578" s="915">
        <v>40.054000000000002</v>
      </c>
      <c r="L578" s="915">
        <v>40.054000000000002</v>
      </c>
      <c r="M578" s="915">
        <v>629.35799999999995</v>
      </c>
    </row>
    <row r="579" spans="1:13">
      <c r="A579" s="633" t="s">
        <v>2395</v>
      </c>
      <c r="B579" s="423" t="s">
        <v>1462</v>
      </c>
      <c r="C579" s="915">
        <v>843.87900000000002</v>
      </c>
      <c r="D579" s="915">
        <v>7.6189999999999998</v>
      </c>
      <c r="E579" s="915">
        <v>7.6189999999999998</v>
      </c>
      <c r="F579" s="915">
        <v>843.87900000000002</v>
      </c>
      <c r="G579" s="922">
        <f t="shared" ref="G579:G642" si="18">IF(F579&lt;C579,1,0)</f>
        <v>0</v>
      </c>
      <c r="H579" s="915" t="e">
        <v>#REF!</v>
      </c>
      <c r="I579" s="915" t="e">
        <f t="shared" ref="I579:I642" si="19">F579-H579</f>
        <v>#REF!</v>
      </c>
      <c r="J579" s="915">
        <v>8.3670000000000009</v>
      </c>
      <c r="K579" s="915">
        <v>0</v>
      </c>
      <c r="L579" s="915">
        <v>0</v>
      </c>
      <c r="M579" s="915">
        <v>8.3670000000000009</v>
      </c>
    </row>
    <row r="580" spans="1:13">
      <c r="A580" s="633" t="s">
        <v>5632</v>
      </c>
      <c r="B580" s="423" t="s">
        <v>6656</v>
      </c>
      <c r="C580" s="915">
        <v>6000.5950000000003</v>
      </c>
      <c r="D580" s="915">
        <v>21.324000000000002</v>
      </c>
      <c r="E580" s="915">
        <v>14.516999999999999</v>
      </c>
      <c r="F580" s="915">
        <v>5993.7879999999996</v>
      </c>
      <c r="G580" s="922">
        <f t="shared" si="18"/>
        <v>1</v>
      </c>
      <c r="H580" s="915" t="e">
        <v>#REF!</v>
      </c>
      <c r="I580" s="915" t="e">
        <f t="shared" si="19"/>
        <v>#REF!</v>
      </c>
      <c r="J580" s="915">
        <v>188.75700000000001</v>
      </c>
      <c r="K580" s="915">
        <v>13.778</v>
      </c>
      <c r="L580" s="915">
        <v>7.0289999999999999</v>
      </c>
      <c r="M580" s="915">
        <v>182.00800000000001</v>
      </c>
    </row>
    <row r="581" spans="1:13">
      <c r="A581" s="633" t="s">
        <v>6147</v>
      </c>
      <c r="B581" s="423" t="s">
        <v>6657</v>
      </c>
      <c r="C581" s="915">
        <v>1101.943</v>
      </c>
      <c r="D581" s="915">
        <v>18.591999999999999</v>
      </c>
      <c r="E581" s="915">
        <v>18.591999999999999</v>
      </c>
      <c r="F581" s="915">
        <v>1101.943</v>
      </c>
      <c r="G581" s="922">
        <f t="shared" si="18"/>
        <v>0</v>
      </c>
      <c r="H581" s="915" t="e">
        <v>#REF!</v>
      </c>
      <c r="I581" s="915" t="e">
        <f t="shared" si="19"/>
        <v>#REF!</v>
      </c>
      <c r="J581" s="915">
        <v>160.828</v>
      </c>
      <c r="K581" s="915">
        <v>8.2690000000000001</v>
      </c>
      <c r="L581" s="915">
        <v>8.2690000000000001</v>
      </c>
      <c r="M581" s="915">
        <v>160.828</v>
      </c>
    </row>
    <row r="582" spans="1:13">
      <c r="A582" s="633" t="s">
        <v>5612</v>
      </c>
      <c r="B582" s="423" t="s">
        <v>6658</v>
      </c>
      <c r="C582" s="915">
        <v>75.635999999999996</v>
      </c>
      <c r="D582" s="915">
        <v>7.0529999999999999</v>
      </c>
      <c r="E582" s="915">
        <v>7.0529999999999999</v>
      </c>
      <c r="F582" s="915">
        <v>75.635999999999996</v>
      </c>
      <c r="G582" s="922">
        <f t="shared" si="18"/>
        <v>0</v>
      </c>
      <c r="H582" s="915" t="e">
        <v>#REF!</v>
      </c>
      <c r="I582" s="915" t="e">
        <f t="shared" si="19"/>
        <v>#REF!</v>
      </c>
      <c r="J582" s="915">
        <v>1.962</v>
      </c>
      <c r="K582" s="915">
        <v>0</v>
      </c>
      <c r="L582" s="915">
        <v>0</v>
      </c>
      <c r="M582" s="915">
        <v>1.962</v>
      </c>
    </row>
    <row r="583" spans="1:13">
      <c r="A583" s="633" t="s">
        <v>1419</v>
      </c>
      <c r="B583" s="423" t="s">
        <v>6659</v>
      </c>
      <c r="C583" s="915">
        <v>127.85599999999999</v>
      </c>
      <c r="D583" s="915">
        <v>0</v>
      </c>
      <c r="E583" s="915">
        <v>0</v>
      </c>
      <c r="F583" s="915">
        <v>127.85599999999999</v>
      </c>
      <c r="G583" s="922">
        <f t="shared" si="18"/>
        <v>0</v>
      </c>
      <c r="H583" s="915" t="e">
        <v>#REF!</v>
      </c>
      <c r="I583" s="915" t="e">
        <f t="shared" si="19"/>
        <v>#REF!</v>
      </c>
      <c r="J583" s="915">
        <v>0</v>
      </c>
      <c r="K583" s="915">
        <v>0</v>
      </c>
      <c r="L583" s="915">
        <v>0</v>
      </c>
      <c r="M583" s="915">
        <v>0</v>
      </c>
    </row>
    <row r="584" spans="1:13">
      <c r="A584" s="633" t="s">
        <v>2469</v>
      </c>
      <c r="B584" s="423" t="s">
        <v>6105</v>
      </c>
      <c r="C584" s="915">
        <v>579.12</v>
      </c>
      <c r="D584" s="915">
        <v>9.4670000000000005</v>
      </c>
      <c r="E584" s="915">
        <v>9.4670000000000005</v>
      </c>
      <c r="F584" s="915">
        <v>579.12</v>
      </c>
      <c r="G584" s="922">
        <f t="shared" si="18"/>
        <v>0</v>
      </c>
      <c r="H584" s="915" t="e">
        <v>#REF!</v>
      </c>
      <c r="I584" s="915" t="e">
        <f t="shared" si="19"/>
        <v>#REF!</v>
      </c>
      <c r="J584" s="915">
        <v>70.72</v>
      </c>
      <c r="K584" s="915">
        <v>3.12</v>
      </c>
      <c r="L584" s="915">
        <v>3.12</v>
      </c>
      <c r="M584" s="915">
        <v>70.72</v>
      </c>
    </row>
    <row r="585" spans="1:13">
      <c r="A585" s="633" t="s">
        <v>1421</v>
      </c>
      <c r="B585" s="423" t="s">
        <v>6660</v>
      </c>
      <c r="C585" s="915">
        <v>184.714</v>
      </c>
      <c r="D585" s="915">
        <v>0</v>
      </c>
      <c r="E585" s="915">
        <v>0</v>
      </c>
      <c r="F585" s="915">
        <v>184.714</v>
      </c>
      <c r="G585" s="922">
        <f t="shared" si="18"/>
        <v>0</v>
      </c>
      <c r="H585" s="915" t="e">
        <v>#REF!</v>
      </c>
      <c r="I585" s="915" t="e">
        <f t="shared" si="19"/>
        <v>#REF!</v>
      </c>
      <c r="J585" s="915">
        <v>18.489000000000001</v>
      </c>
      <c r="K585" s="915">
        <v>0</v>
      </c>
      <c r="L585" s="915">
        <v>0</v>
      </c>
      <c r="M585" s="915">
        <v>18.489000000000001</v>
      </c>
    </row>
    <row r="586" spans="1:13">
      <c r="A586" s="633" t="s">
        <v>1423</v>
      </c>
      <c r="B586" s="423" t="s">
        <v>6661</v>
      </c>
      <c r="C586" s="915">
        <v>4450.9759999999997</v>
      </c>
      <c r="D586" s="915">
        <v>85.153000000000006</v>
      </c>
      <c r="E586" s="915">
        <v>85.153000000000006</v>
      </c>
      <c r="F586" s="915">
        <v>4450.9759999999997</v>
      </c>
      <c r="G586" s="922">
        <f t="shared" si="18"/>
        <v>0</v>
      </c>
      <c r="H586" s="915" t="e">
        <v>#REF!</v>
      </c>
      <c r="I586" s="915" t="e">
        <f t="shared" si="19"/>
        <v>#REF!</v>
      </c>
      <c r="J586" s="915">
        <v>180.93899999999999</v>
      </c>
      <c r="K586" s="915">
        <v>9.8729999999999993</v>
      </c>
      <c r="L586" s="915">
        <v>9.8729999999999993</v>
      </c>
      <c r="M586" s="915">
        <v>180.93899999999999</v>
      </c>
    </row>
    <row r="587" spans="1:13">
      <c r="A587" s="633" t="s">
        <v>1425</v>
      </c>
      <c r="B587" s="423" t="s">
        <v>6662</v>
      </c>
      <c r="C587" s="915">
        <v>1185.979</v>
      </c>
      <c r="D587" s="915">
        <v>17.827999999999999</v>
      </c>
      <c r="E587" s="915">
        <v>17.827999999999999</v>
      </c>
      <c r="F587" s="915">
        <v>1185.979</v>
      </c>
      <c r="G587" s="922">
        <f t="shared" si="18"/>
        <v>0</v>
      </c>
      <c r="H587" s="915" t="e">
        <v>#REF!</v>
      </c>
      <c r="I587" s="915" t="e">
        <f t="shared" si="19"/>
        <v>#REF!</v>
      </c>
      <c r="J587" s="915">
        <v>98.611999999999995</v>
      </c>
      <c r="K587" s="915">
        <v>4.9089999999999998</v>
      </c>
      <c r="L587" s="915">
        <v>4.9089999999999998</v>
      </c>
      <c r="M587" s="915">
        <v>98.611999999999995</v>
      </c>
    </row>
    <row r="588" spans="1:13">
      <c r="A588" s="633" t="s">
        <v>7151</v>
      </c>
      <c r="B588" s="423" t="s">
        <v>6663</v>
      </c>
      <c r="C588" s="915">
        <v>16.074000000000002</v>
      </c>
      <c r="D588" s="915">
        <v>3.742</v>
      </c>
      <c r="E588" s="915">
        <v>1.871</v>
      </c>
      <c r="F588" s="915">
        <v>14.202999999999999</v>
      </c>
      <c r="G588" s="922">
        <f t="shared" si="18"/>
        <v>1</v>
      </c>
      <c r="H588" s="915" t="e">
        <v>#REF!</v>
      </c>
      <c r="I588" s="915" t="e">
        <f t="shared" si="19"/>
        <v>#REF!</v>
      </c>
      <c r="J588" s="915">
        <v>0</v>
      </c>
      <c r="K588" s="915">
        <v>0</v>
      </c>
      <c r="L588" s="915">
        <v>0</v>
      </c>
      <c r="M588" s="915">
        <v>0</v>
      </c>
    </row>
    <row r="589" spans="1:13">
      <c r="A589" s="633" t="s">
        <v>7153</v>
      </c>
      <c r="B589" s="423" t="s">
        <v>6664</v>
      </c>
      <c r="C589" s="915">
        <v>641.07500000000005</v>
      </c>
      <c r="D589" s="915">
        <v>0</v>
      </c>
      <c r="E589" s="915">
        <v>0</v>
      </c>
      <c r="F589" s="915">
        <v>641.07500000000005</v>
      </c>
      <c r="G589" s="922">
        <f t="shared" si="18"/>
        <v>0</v>
      </c>
      <c r="H589" s="915" t="e">
        <v>#REF!</v>
      </c>
      <c r="I589" s="915" t="e">
        <f t="shared" si="19"/>
        <v>#REF!</v>
      </c>
      <c r="J589" s="915">
        <v>12.61</v>
      </c>
      <c r="K589" s="915">
        <v>0</v>
      </c>
      <c r="L589" s="915">
        <v>0</v>
      </c>
      <c r="M589" s="915">
        <v>12.61</v>
      </c>
    </row>
    <row r="590" spans="1:13">
      <c r="A590" s="633" t="s">
        <v>6426</v>
      </c>
      <c r="B590" s="423" t="s">
        <v>6665</v>
      </c>
      <c r="C590" s="915">
        <v>92.204999999999998</v>
      </c>
      <c r="D590" s="915">
        <v>0</v>
      </c>
      <c r="E590" s="915">
        <v>0</v>
      </c>
      <c r="F590" s="915">
        <v>92.204999999999998</v>
      </c>
      <c r="G590" s="922">
        <f t="shared" si="18"/>
        <v>0</v>
      </c>
      <c r="H590" s="915" t="e">
        <v>#REF!</v>
      </c>
      <c r="I590" s="915" t="e">
        <f t="shared" si="19"/>
        <v>#REF!</v>
      </c>
      <c r="J590" s="915">
        <v>0</v>
      </c>
      <c r="K590" s="915">
        <v>0</v>
      </c>
      <c r="L590" s="915">
        <v>0</v>
      </c>
      <c r="M590" s="915">
        <v>0</v>
      </c>
    </row>
    <row r="591" spans="1:13">
      <c r="A591" s="633" t="s">
        <v>1835</v>
      </c>
      <c r="B591" s="423" t="s">
        <v>6666</v>
      </c>
      <c r="C591" s="915">
        <v>561.33100000000002</v>
      </c>
      <c r="D591" s="915">
        <v>10.54</v>
      </c>
      <c r="E591" s="915">
        <v>10.54</v>
      </c>
      <c r="F591" s="915">
        <v>561.33100000000002</v>
      </c>
      <c r="G591" s="922">
        <f t="shared" si="18"/>
        <v>0</v>
      </c>
      <c r="H591" s="915" t="e">
        <v>#REF!</v>
      </c>
      <c r="I591" s="915" t="e">
        <f t="shared" si="19"/>
        <v>#REF!</v>
      </c>
      <c r="J591" s="915">
        <v>43.534999999999997</v>
      </c>
      <c r="K591" s="915">
        <v>1.835</v>
      </c>
      <c r="L591" s="915">
        <v>1.835</v>
      </c>
      <c r="M591" s="915">
        <v>43.534999999999997</v>
      </c>
    </row>
    <row r="592" spans="1:13">
      <c r="A592" s="633" t="s">
        <v>510</v>
      </c>
      <c r="B592" s="423" t="s">
        <v>1921</v>
      </c>
      <c r="C592" s="915">
        <v>3674.6109999999999</v>
      </c>
      <c r="D592" s="915">
        <v>221.23099999999999</v>
      </c>
      <c r="E592" s="915">
        <v>127.392</v>
      </c>
      <c r="F592" s="915">
        <v>3580.7719999999999</v>
      </c>
      <c r="G592" s="922">
        <f t="shared" si="18"/>
        <v>1</v>
      </c>
      <c r="H592" s="915" t="e">
        <v>#REF!</v>
      </c>
      <c r="I592" s="915" t="e">
        <f t="shared" si="19"/>
        <v>#REF!</v>
      </c>
      <c r="J592" s="915">
        <v>161.15199999999999</v>
      </c>
      <c r="K592" s="915">
        <v>18.62</v>
      </c>
      <c r="L592" s="915">
        <v>11.167</v>
      </c>
      <c r="M592" s="915">
        <v>153.69900000000001</v>
      </c>
    </row>
    <row r="593" spans="1:13">
      <c r="A593" s="633" t="s">
        <v>3530</v>
      </c>
      <c r="B593" s="423" t="s">
        <v>6667</v>
      </c>
      <c r="C593" s="915">
        <v>595.63199999999995</v>
      </c>
      <c r="D593" s="915">
        <v>10.672000000000001</v>
      </c>
      <c r="E593" s="915">
        <v>10.672000000000001</v>
      </c>
      <c r="F593" s="915">
        <v>595.63199999999995</v>
      </c>
      <c r="G593" s="922">
        <f t="shared" si="18"/>
        <v>0</v>
      </c>
      <c r="H593" s="915" t="e">
        <v>#REF!</v>
      </c>
      <c r="I593" s="915" t="e">
        <f t="shared" si="19"/>
        <v>#REF!</v>
      </c>
      <c r="J593" s="915">
        <v>33.808999999999997</v>
      </c>
      <c r="K593" s="915">
        <v>0.94699999999999995</v>
      </c>
      <c r="L593" s="915">
        <v>0.94699999999999995</v>
      </c>
      <c r="M593" s="915">
        <v>33.808999999999997</v>
      </c>
    </row>
    <row r="594" spans="1:13">
      <c r="A594" s="633" t="s">
        <v>3532</v>
      </c>
      <c r="B594" s="423" t="s">
        <v>6668</v>
      </c>
      <c r="C594" s="915">
        <v>462.62599999999998</v>
      </c>
      <c r="D594" s="915">
        <v>5.8479999999999999</v>
      </c>
      <c r="E594" s="915">
        <v>3.4710000000000001</v>
      </c>
      <c r="F594" s="915">
        <v>460.24900000000002</v>
      </c>
      <c r="G594" s="922">
        <f t="shared" si="18"/>
        <v>1</v>
      </c>
      <c r="H594" s="915" t="e">
        <v>#REF!</v>
      </c>
      <c r="I594" s="915" t="e">
        <f t="shared" si="19"/>
        <v>#REF!</v>
      </c>
      <c r="J594" s="915">
        <v>12.391</v>
      </c>
      <c r="K594" s="915">
        <v>1.9510000000000001</v>
      </c>
      <c r="L594" s="915">
        <v>0.97599999999999998</v>
      </c>
      <c r="M594" s="915">
        <v>11.414999999999999</v>
      </c>
    </row>
    <row r="595" spans="1:13">
      <c r="A595" s="633" t="s">
        <v>3534</v>
      </c>
      <c r="B595" s="423" t="s">
        <v>6669</v>
      </c>
      <c r="C595" s="915">
        <v>348.77699999999999</v>
      </c>
      <c r="D595" s="915">
        <v>2.8740000000000001</v>
      </c>
      <c r="E595" s="915">
        <v>2.8740000000000001</v>
      </c>
      <c r="F595" s="915">
        <v>348.77699999999999</v>
      </c>
      <c r="G595" s="922">
        <f t="shared" si="18"/>
        <v>0</v>
      </c>
      <c r="H595" s="915" t="e">
        <v>#REF!</v>
      </c>
      <c r="I595" s="915" t="e">
        <f t="shared" si="19"/>
        <v>#REF!</v>
      </c>
      <c r="J595" s="915">
        <v>4.2389999999999999</v>
      </c>
      <c r="K595" s="915">
        <v>0.35199999999999998</v>
      </c>
      <c r="L595" s="915">
        <v>0.35199999999999998</v>
      </c>
      <c r="M595" s="915">
        <v>4.2389999999999999</v>
      </c>
    </row>
    <row r="596" spans="1:13">
      <c r="A596" s="633" t="s">
        <v>511</v>
      </c>
      <c r="B596" s="423" t="s">
        <v>7811</v>
      </c>
      <c r="C596" s="915">
        <v>251.988</v>
      </c>
      <c r="D596" s="915">
        <v>5.5789999999999997</v>
      </c>
      <c r="E596" s="915">
        <v>5.5789999999999997</v>
      </c>
      <c r="F596" s="915">
        <v>251.988</v>
      </c>
      <c r="G596" s="922">
        <f t="shared" si="18"/>
        <v>0</v>
      </c>
      <c r="H596" s="915" t="e">
        <v>#REF!</v>
      </c>
      <c r="I596" s="915" t="e">
        <f t="shared" si="19"/>
        <v>#REF!</v>
      </c>
      <c r="J596" s="915">
        <v>19.437999999999999</v>
      </c>
      <c r="K596" s="915">
        <v>0</v>
      </c>
      <c r="L596" s="915">
        <v>0</v>
      </c>
      <c r="M596" s="915">
        <v>19.437999999999999</v>
      </c>
    </row>
    <row r="597" spans="1:13">
      <c r="A597" s="633" t="s">
        <v>3539</v>
      </c>
      <c r="B597" s="423" t="s">
        <v>6670</v>
      </c>
      <c r="C597" s="915">
        <v>375.065</v>
      </c>
      <c r="D597" s="915">
        <v>6.8170000000000002</v>
      </c>
      <c r="E597" s="915">
        <v>6.8170000000000002</v>
      </c>
      <c r="F597" s="915">
        <v>375.065</v>
      </c>
      <c r="G597" s="922">
        <f t="shared" si="18"/>
        <v>0</v>
      </c>
      <c r="H597" s="915" t="e">
        <v>#REF!</v>
      </c>
      <c r="I597" s="915" t="e">
        <f t="shared" si="19"/>
        <v>#REF!</v>
      </c>
      <c r="J597" s="915">
        <v>29.994</v>
      </c>
      <c r="K597" s="915">
        <v>1.3140000000000001</v>
      </c>
      <c r="L597" s="915">
        <v>1.3140000000000001</v>
      </c>
      <c r="M597" s="915">
        <v>29.994</v>
      </c>
    </row>
    <row r="598" spans="1:13">
      <c r="A598" s="633" t="s">
        <v>3541</v>
      </c>
      <c r="B598" s="423" t="s">
        <v>6671</v>
      </c>
      <c r="C598" s="915">
        <v>71.951999999999998</v>
      </c>
      <c r="D598" s="915">
        <v>1.931</v>
      </c>
      <c r="E598" s="915">
        <v>1.931</v>
      </c>
      <c r="F598" s="915">
        <v>71.951999999999998</v>
      </c>
      <c r="G598" s="922">
        <f t="shared" si="18"/>
        <v>0</v>
      </c>
      <c r="H598" s="915" t="e">
        <v>#REF!</v>
      </c>
      <c r="I598" s="915" t="e">
        <f t="shared" si="19"/>
        <v>#REF!</v>
      </c>
      <c r="J598" s="915">
        <v>3.907</v>
      </c>
      <c r="K598" s="915">
        <v>0</v>
      </c>
      <c r="L598" s="915">
        <v>0</v>
      </c>
      <c r="M598" s="915">
        <v>3.907</v>
      </c>
    </row>
    <row r="599" spans="1:13">
      <c r="A599" s="633" t="s">
        <v>3543</v>
      </c>
      <c r="B599" s="423" t="s">
        <v>278</v>
      </c>
      <c r="C599" s="915">
        <v>835.65899999999999</v>
      </c>
      <c r="D599" s="915">
        <v>9.6189999999999998</v>
      </c>
      <c r="E599" s="915">
        <v>9.1359999999999992</v>
      </c>
      <c r="F599" s="915">
        <v>835.17499999999995</v>
      </c>
      <c r="G599" s="922">
        <f t="shared" si="18"/>
        <v>1</v>
      </c>
      <c r="H599" s="915" t="e">
        <v>#REF!</v>
      </c>
      <c r="I599" s="915" t="e">
        <f t="shared" si="19"/>
        <v>#REF!</v>
      </c>
      <c r="J599" s="915">
        <v>31.52</v>
      </c>
      <c r="K599" s="915">
        <v>1.075</v>
      </c>
      <c r="L599" s="915">
        <v>1.075</v>
      </c>
      <c r="M599" s="915">
        <v>31.52</v>
      </c>
    </row>
    <row r="600" spans="1:13">
      <c r="A600" s="633" t="s">
        <v>129</v>
      </c>
      <c r="B600" s="423" t="s">
        <v>372</v>
      </c>
      <c r="C600" s="915">
        <v>198.44300000000001</v>
      </c>
      <c r="D600" s="915">
        <v>2.8340000000000001</v>
      </c>
      <c r="E600" s="915">
        <v>2.8340000000000001</v>
      </c>
      <c r="F600" s="915">
        <v>198.44300000000001</v>
      </c>
      <c r="G600" s="922">
        <f t="shared" si="18"/>
        <v>0</v>
      </c>
      <c r="H600" s="915" t="e">
        <v>#REF!</v>
      </c>
      <c r="I600" s="915" t="e">
        <f t="shared" si="19"/>
        <v>#REF!</v>
      </c>
      <c r="J600" s="915">
        <v>0</v>
      </c>
      <c r="K600" s="915">
        <v>0</v>
      </c>
      <c r="L600" s="915">
        <v>0</v>
      </c>
      <c r="M600" s="915">
        <v>0</v>
      </c>
    </row>
    <row r="601" spans="1:13">
      <c r="A601" s="633" t="s">
        <v>6193</v>
      </c>
      <c r="B601" s="423" t="s">
        <v>3891</v>
      </c>
      <c r="C601" s="915">
        <v>3536.6309999999999</v>
      </c>
      <c r="D601" s="915">
        <v>286.39400000000001</v>
      </c>
      <c r="E601" s="915">
        <v>154.44200000000001</v>
      </c>
      <c r="F601" s="915">
        <v>3404.6790000000001</v>
      </c>
      <c r="G601" s="922">
        <f t="shared" si="18"/>
        <v>1</v>
      </c>
      <c r="H601" s="915" t="e">
        <v>#REF!</v>
      </c>
      <c r="I601" s="915" t="e">
        <f t="shared" si="19"/>
        <v>#REF!</v>
      </c>
      <c r="J601" s="915">
        <v>182</v>
      </c>
      <c r="K601" s="915">
        <v>27.928000000000001</v>
      </c>
      <c r="L601" s="915">
        <v>14.007</v>
      </c>
      <c r="M601" s="915">
        <v>168.07900000000001</v>
      </c>
    </row>
    <row r="602" spans="1:13">
      <c r="A602" s="633" t="s">
        <v>2674</v>
      </c>
      <c r="B602" s="423" t="s">
        <v>279</v>
      </c>
      <c r="C602" s="915">
        <v>2868.9789999999998</v>
      </c>
      <c r="D602" s="915">
        <v>19.855</v>
      </c>
      <c r="E602" s="915">
        <v>17.777000000000001</v>
      </c>
      <c r="F602" s="915">
        <v>2866.9009999999998</v>
      </c>
      <c r="G602" s="922">
        <f t="shared" si="18"/>
        <v>1</v>
      </c>
      <c r="H602" s="915" t="e">
        <v>#REF!</v>
      </c>
      <c r="I602" s="915" t="e">
        <f t="shared" si="19"/>
        <v>#REF!</v>
      </c>
      <c r="J602" s="915">
        <v>63.438000000000002</v>
      </c>
      <c r="K602" s="915">
        <v>0.97599999999999998</v>
      </c>
      <c r="L602" s="915">
        <v>0.97599999999999998</v>
      </c>
      <c r="M602" s="915">
        <v>63.438000000000002</v>
      </c>
    </row>
    <row r="603" spans="1:13">
      <c r="A603" s="633" t="s">
        <v>512</v>
      </c>
      <c r="B603" s="423" t="s">
        <v>348</v>
      </c>
      <c r="C603" s="915">
        <v>1060.04</v>
      </c>
      <c r="D603" s="915">
        <v>22.695</v>
      </c>
      <c r="E603" s="915">
        <v>22.695</v>
      </c>
      <c r="F603" s="915">
        <v>1060.04</v>
      </c>
      <c r="G603" s="922">
        <f t="shared" si="18"/>
        <v>0</v>
      </c>
      <c r="H603" s="915" t="e">
        <v>#REF!</v>
      </c>
      <c r="I603" s="915" t="e">
        <f t="shared" si="19"/>
        <v>#REF!</v>
      </c>
      <c r="J603" s="915">
        <v>22.763999999999999</v>
      </c>
      <c r="K603" s="915">
        <v>0.91100000000000003</v>
      </c>
      <c r="L603" s="915">
        <v>0.91100000000000003</v>
      </c>
      <c r="M603" s="915">
        <v>22.763999999999999</v>
      </c>
    </row>
    <row r="604" spans="1:13">
      <c r="A604" s="633" t="s">
        <v>600</v>
      </c>
      <c r="B604" s="423" t="s">
        <v>280</v>
      </c>
      <c r="C604" s="915">
        <v>152.99</v>
      </c>
      <c r="D604" s="915">
        <v>0</v>
      </c>
      <c r="E604" s="915">
        <v>0</v>
      </c>
      <c r="F604" s="915">
        <v>152.99</v>
      </c>
      <c r="G604" s="922">
        <f t="shared" si="18"/>
        <v>0</v>
      </c>
      <c r="H604" s="915" t="e">
        <v>#REF!</v>
      </c>
      <c r="I604" s="915" t="e">
        <f t="shared" si="19"/>
        <v>#REF!</v>
      </c>
      <c r="J604" s="915">
        <v>23.777999999999999</v>
      </c>
      <c r="K604" s="915">
        <v>0</v>
      </c>
      <c r="L604" s="915">
        <v>0</v>
      </c>
      <c r="M604" s="915">
        <v>23.777999999999999</v>
      </c>
    </row>
    <row r="605" spans="1:13">
      <c r="A605" s="633" t="s">
        <v>602</v>
      </c>
      <c r="B605" s="423" t="s">
        <v>281</v>
      </c>
      <c r="C605" s="915">
        <v>1395.7919999999999</v>
      </c>
      <c r="D605" s="915">
        <v>80.295000000000002</v>
      </c>
      <c r="E605" s="915">
        <v>42.18</v>
      </c>
      <c r="F605" s="915">
        <v>1357.6769999999999</v>
      </c>
      <c r="G605" s="922">
        <f t="shared" si="18"/>
        <v>1</v>
      </c>
      <c r="H605" s="915" t="e">
        <v>#REF!</v>
      </c>
      <c r="I605" s="915" t="e">
        <f t="shared" si="19"/>
        <v>#REF!</v>
      </c>
      <c r="J605" s="915">
        <v>86.257000000000005</v>
      </c>
      <c r="K605" s="915">
        <v>6.9470000000000001</v>
      </c>
      <c r="L605" s="915">
        <v>3.4729999999999999</v>
      </c>
      <c r="M605" s="915">
        <v>82.784000000000006</v>
      </c>
    </row>
    <row r="606" spans="1:13">
      <c r="A606" s="633" t="s">
        <v>6188</v>
      </c>
      <c r="B606" s="423" t="s">
        <v>3836</v>
      </c>
      <c r="C606" s="915">
        <v>684.47699999999998</v>
      </c>
      <c r="D606" s="915">
        <v>38.261000000000003</v>
      </c>
      <c r="E606" s="915">
        <v>21.484999999999999</v>
      </c>
      <c r="F606" s="915">
        <v>667.702</v>
      </c>
      <c r="G606" s="922">
        <f t="shared" si="18"/>
        <v>1</v>
      </c>
      <c r="H606" s="915" t="e">
        <v>#REF!</v>
      </c>
      <c r="I606" s="915" t="e">
        <f t="shared" si="19"/>
        <v>#REF!</v>
      </c>
      <c r="J606" s="915">
        <v>109.637</v>
      </c>
      <c r="K606" s="915">
        <v>9.6579999999999995</v>
      </c>
      <c r="L606" s="915">
        <v>4.8289999999999997</v>
      </c>
      <c r="M606" s="915">
        <v>104.80800000000001</v>
      </c>
    </row>
    <row r="607" spans="1:13">
      <c r="A607" s="633" t="s">
        <v>2018</v>
      </c>
      <c r="B607" s="423" t="s">
        <v>283</v>
      </c>
      <c r="C607" s="915">
        <v>379.78500000000003</v>
      </c>
      <c r="D607" s="915">
        <v>17.399000000000001</v>
      </c>
      <c r="E607" s="915">
        <v>8.7539999999999996</v>
      </c>
      <c r="F607" s="915">
        <v>371.14</v>
      </c>
      <c r="G607" s="922">
        <f t="shared" si="18"/>
        <v>1</v>
      </c>
      <c r="H607" s="915" t="e">
        <v>#REF!</v>
      </c>
      <c r="I607" s="915" t="e">
        <f t="shared" si="19"/>
        <v>#REF!</v>
      </c>
      <c r="J607" s="915">
        <v>46.895000000000003</v>
      </c>
      <c r="K607" s="915">
        <v>1.0920000000000001</v>
      </c>
      <c r="L607" s="915">
        <v>0.54600000000000004</v>
      </c>
      <c r="M607" s="915">
        <v>46.348999999999997</v>
      </c>
    </row>
    <row r="608" spans="1:13">
      <c r="A608" s="633" t="s">
        <v>2020</v>
      </c>
      <c r="B608" s="423" t="s">
        <v>284</v>
      </c>
      <c r="C608" s="915">
        <v>355.58699999999999</v>
      </c>
      <c r="D608" s="915">
        <v>12.146000000000001</v>
      </c>
      <c r="E608" s="915">
        <v>6.0730000000000004</v>
      </c>
      <c r="F608" s="915">
        <v>349.51400000000001</v>
      </c>
      <c r="G608" s="922">
        <f t="shared" si="18"/>
        <v>1</v>
      </c>
      <c r="H608" s="915" t="e">
        <v>#REF!</v>
      </c>
      <c r="I608" s="915" t="e">
        <f t="shared" si="19"/>
        <v>#REF!</v>
      </c>
      <c r="J608" s="915">
        <v>21.536999999999999</v>
      </c>
      <c r="K608" s="915">
        <v>2.5289999999999999</v>
      </c>
      <c r="L608" s="915">
        <v>1.264</v>
      </c>
      <c r="M608" s="915">
        <v>20.273</v>
      </c>
    </row>
    <row r="609" spans="1:13">
      <c r="A609" s="633" t="s">
        <v>2024</v>
      </c>
      <c r="B609" s="423" t="s">
        <v>285</v>
      </c>
      <c r="C609" s="915">
        <v>3132.2910000000002</v>
      </c>
      <c r="D609" s="915">
        <v>29.969000000000001</v>
      </c>
      <c r="E609" s="915">
        <v>29.969000000000001</v>
      </c>
      <c r="F609" s="915">
        <v>3132.2910000000002</v>
      </c>
      <c r="G609" s="922">
        <f t="shared" si="18"/>
        <v>0</v>
      </c>
      <c r="H609" s="915" t="e">
        <v>#REF!</v>
      </c>
      <c r="I609" s="915" t="e">
        <f t="shared" si="19"/>
        <v>#REF!</v>
      </c>
      <c r="J609" s="915">
        <v>103.497</v>
      </c>
      <c r="K609" s="915">
        <v>4.4470000000000001</v>
      </c>
      <c r="L609" s="915">
        <v>4.4470000000000001</v>
      </c>
      <c r="M609" s="915">
        <v>103.497</v>
      </c>
    </row>
    <row r="610" spans="1:13">
      <c r="A610" s="633" t="s">
        <v>2026</v>
      </c>
      <c r="B610" s="423" t="s">
        <v>286</v>
      </c>
      <c r="C610" s="915">
        <v>289.54599999999999</v>
      </c>
      <c r="D610" s="915">
        <v>19.294</v>
      </c>
      <c r="E610" s="915">
        <v>19.294</v>
      </c>
      <c r="F610" s="915">
        <v>289.54599999999999</v>
      </c>
      <c r="G610" s="922">
        <f t="shared" si="18"/>
        <v>0</v>
      </c>
      <c r="H610" s="915" t="e">
        <v>#REF!</v>
      </c>
      <c r="I610" s="915" t="e">
        <f t="shared" si="19"/>
        <v>#REF!</v>
      </c>
      <c r="J610" s="915">
        <v>17.108000000000001</v>
      </c>
      <c r="K610" s="915">
        <v>2.5630000000000002</v>
      </c>
      <c r="L610" s="915">
        <v>2.5630000000000002</v>
      </c>
      <c r="M610" s="915">
        <v>17.108000000000001</v>
      </c>
    </row>
    <row r="611" spans="1:13">
      <c r="A611" s="633" t="s">
        <v>242</v>
      </c>
      <c r="B611" s="423" t="s">
        <v>2650</v>
      </c>
      <c r="C611" s="915">
        <v>1121.5940000000001</v>
      </c>
      <c r="D611" s="915">
        <v>62.314</v>
      </c>
      <c r="E611" s="915">
        <v>32.253</v>
      </c>
      <c r="F611" s="915">
        <v>1091.5329999999999</v>
      </c>
      <c r="G611" s="922">
        <f t="shared" si="18"/>
        <v>1</v>
      </c>
      <c r="H611" s="915" t="e">
        <v>#REF!</v>
      </c>
      <c r="I611" s="915" t="e">
        <f t="shared" si="19"/>
        <v>#REF!</v>
      </c>
      <c r="J611" s="915">
        <v>147.50899999999999</v>
      </c>
      <c r="K611" s="915">
        <v>10.441000000000001</v>
      </c>
      <c r="L611" s="915">
        <v>5.226</v>
      </c>
      <c r="M611" s="915">
        <v>142.29400000000001</v>
      </c>
    </row>
    <row r="612" spans="1:13">
      <c r="A612" s="633" t="s">
        <v>2028</v>
      </c>
      <c r="B612" s="423" t="s">
        <v>287</v>
      </c>
      <c r="C612" s="915">
        <v>817.69500000000005</v>
      </c>
      <c r="D612" s="915">
        <v>1.927</v>
      </c>
      <c r="E612" s="915">
        <v>1.927</v>
      </c>
      <c r="F612" s="915">
        <v>817.69500000000005</v>
      </c>
      <c r="G612" s="922">
        <f t="shared" si="18"/>
        <v>0</v>
      </c>
      <c r="H612" s="915" t="e">
        <v>#REF!</v>
      </c>
      <c r="I612" s="915" t="e">
        <f t="shared" si="19"/>
        <v>#REF!</v>
      </c>
      <c r="J612" s="915">
        <v>7.1379999999999999</v>
      </c>
      <c r="K612" s="915">
        <v>0</v>
      </c>
      <c r="L612" s="915">
        <v>0</v>
      </c>
      <c r="M612" s="915">
        <v>7.1379999999999999</v>
      </c>
    </row>
    <row r="613" spans="1:13">
      <c r="A613" s="633" t="s">
        <v>2030</v>
      </c>
      <c r="B613" s="423" t="s">
        <v>288</v>
      </c>
      <c r="C613" s="915">
        <v>289.721</v>
      </c>
      <c r="D613" s="915">
        <v>0</v>
      </c>
      <c r="E613" s="915">
        <v>0</v>
      </c>
      <c r="F613" s="915">
        <v>289.721</v>
      </c>
      <c r="G613" s="922">
        <f t="shared" si="18"/>
        <v>0</v>
      </c>
      <c r="H613" s="915" t="e">
        <v>#REF!</v>
      </c>
      <c r="I613" s="915" t="e">
        <f t="shared" si="19"/>
        <v>#REF!</v>
      </c>
      <c r="J613" s="915">
        <v>12.44</v>
      </c>
      <c r="K613" s="915">
        <v>0</v>
      </c>
      <c r="L613" s="915">
        <v>0</v>
      </c>
      <c r="M613" s="915">
        <v>12.44</v>
      </c>
    </row>
    <row r="614" spans="1:13">
      <c r="A614" s="633" t="s">
        <v>2032</v>
      </c>
      <c r="B614" s="423" t="s">
        <v>289</v>
      </c>
      <c r="C614" s="915">
        <v>524.41999999999996</v>
      </c>
      <c r="D614" s="915">
        <v>4.774</v>
      </c>
      <c r="E614" s="915">
        <v>4.774</v>
      </c>
      <c r="F614" s="915">
        <v>524.41999999999996</v>
      </c>
      <c r="G614" s="922">
        <f t="shared" si="18"/>
        <v>0</v>
      </c>
      <c r="H614" s="915" t="e">
        <v>#REF!</v>
      </c>
      <c r="I614" s="915" t="e">
        <f t="shared" si="19"/>
        <v>#REF!</v>
      </c>
      <c r="J614" s="915">
        <v>11.157999999999999</v>
      </c>
      <c r="K614" s="915">
        <v>0.46</v>
      </c>
      <c r="L614" s="915">
        <v>0.46</v>
      </c>
      <c r="M614" s="915">
        <v>11.157999999999999</v>
      </c>
    </row>
    <row r="615" spans="1:13">
      <c r="A615" s="633" t="s">
        <v>2034</v>
      </c>
      <c r="B615" s="423" t="s">
        <v>290</v>
      </c>
      <c r="C615" s="915">
        <v>90.763999999999996</v>
      </c>
      <c r="D615" s="915">
        <v>0</v>
      </c>
      <c r="E615" s="915">
        <v>0</v>
      </c>
      <c r="F615" s="915">
        <v>90.763999999999996</v>
      </c>
      <c r="G615" s="922">
        <f t="shared" si="18"/>
        <v>0</v>
      </c>
      <c r="H615" s="915" t="e">
        <v>#REF!</v>
      </c>
      <c r="I615" s="915" t="e">
        <f t="shared" si="19"/>
        <v>#REF!</v>
      </c>
      <c r="J615" s="915">
        <v>0</v>
      </c>
      <c r="K615" s="915">
        <v>0</v>
      </c>
      <c r="L615" s="915">
        <v>0</v>
      </c>
      <c r="M615" s="915">
        <v>0</v>
      </c>
    </row>
    <row r="616" spans="1:13">
      <c r="A616" s="633" t="s">
        <v>2036</v>
      </c>
      <c r="B616" s="423" t="s">
        <v>291</v>
      </c>
      <c r="C616" s="915">
        <v>114.79900000000001</v>
      </c>
      <c r="D616" s="915">
        <v>0</v>
      </c>
      <c r="E616" s="915">
        <v>0</v>
      </c>
      <c r="F616" s="915">
        <v>114.79900000000001</v>
      </c>
      <c r="G616" s="922">
        <f t="shared" si="18"/>
        <v>0</v>
      </c>
      <c r="H616" s="915" t="e">
        <v>#REF!</v>
      </c>
      <c r="I616" s="915" t="e">
        <f t="shared" si="19"/>
        <v>#REF!</v>
      </c>
      <c r="J616" s="915">
        <v>0</v>
      </c>
      <c r="K616" s="915">
        <v>0</v>
      </c>
      <c r="L616" s="915">
        <v>0</v>
      </c>
      <c r="M616" s="915">
        <v>0</v>
      </c>
    </row>
    <row r="617" spans="1:13">
      <c r="A617" s="633" t="s">
        <v>308</v>
      </c>
      <c r="B617" s="423" t="s">
        <v>292</v>
      </c>
      <c r="C617" s="915">
        <v>62.555999999999997</v>
      </c>
      <c r="D617" s="915">
        <v>0</v>
      </c>
      <c r="E617" s="915">
        <v>0</v>
      </c>
      <c r="F617" s="915">
        <v>62.555999999999997</v>
      </c>
      <c r="G617" s="922">
        <f t="shared" si="18"/>
        <v>0</v>
      </c>
      <c r="H617" s="915" t="e">
        <v>#REF!</v>
      </c>
      <c r="I617" s="915" t="e">
        <f t="shared" si="19"/>
        <v>#REF!</v>
      </c>
      <c r="J617" s="915">
        <v>0</v>
      </c>
      <c r="K617" s="915">
        <v>0</v>
      </c>
      <c r="L617" s="915">
        <v>0</v>
      </c>
      <c r="M617" s="915">
        <v>0</v>
      </c>
    </row>
    <row r="618" spans="1:13">
      <c r="A618" s="633" t="s">
        <v>310</v>
      </c>
      <c r="B618" s="423" t="s">
        <v>293</v>
      </c>
      <c r="C618" s="915">
        <v>1736.6310000000001</v>
      </c>
      <c r="D618" s="915">
        <v>35.268000000000001</v>
      </c>
      <c r="E618" s="915">
        <v>35.268000000000001</v>
      </c>
      <c r="F618" s="915">
        <v>1736.6310000000001</v>
      </c>
      <c r="G618" s="922">
        <f t="shared" si="18"/>
        <v>0</v>
      </c>
      <c r="H618" s="915" t="e">
        <v>#REF!</v>
      </c>
      <c r="I618" s="915" t="e">
        <f t="shared" si="19"/>
        <v>#REF!</v>
      </c>
      <c r="J618" s="915">
        <v>215.75299999999999</v>
      </c>
      <c r="K618" s="915">
        <v>12.03</v>
      </c>
      <c r="L618" s="915">
        <v>12.03</v>
      </c>
      <c r="M618" s="915">
        <v>215.75299999999999</v>
      </c>
    </row>
    <row r="619" spans="1:13">
      <c r="A619" s="633" t="s">
        <v>312</v>
      </c>
      <c r="B619" s="423" t="s">
        <v>294</v>
      </c>
      <c r="C619" s="915">
        <v>911.06899999999996</v>
      </c>
      <c r="D619" s="915">
        <v>23.738</v>
      </c>
      <c r="E619" s="915">
        <v>11.941000000000001</v>
      </c>
      <c r="F619" s="915">
        <v>899.27200000000005</v>
      </c>
      <c r="G619" s="922">
        <f t="shared" si="18"/>
        <v>1</v>
      </c>
      <c r="H619" s="915" t="e">
        <v>#REF!</v>
      </c>
      <c r="I619" s="915" t="e">
        <f t="shared" si="19"/>
        <v>#REF!</v>
      </c>
      <c r="J619" s="915">
        <v>29.609000000000002</v>
      </c>
      <c r="K619" s="915">
        <v>2.4710000000000001</v>
      </c>
      <c r="L619" s="915">
        <v>1.2350000000000001</v>
      </c>
      <c r="M619" s="915">
        <v>28.373999999999999</v>
      </c>
    </row>
    <row r="620" spans="1:13">
      <c r="A620" s="633" t="s">
        <v>314</v>
      </c>
      <c r="B620" s="423" t="s">
        <v>295</v>
      </c>
      <c r="C620" s="915">
        <v>155.971</v>
      </c>
      <c r="D620" s="915">
        <v>6.2480000000000002</v>
      </c>
      <c r="E620" s="915">
        <v>3.677</v>
      </c>
      <c r="F620" s="915">
        <v>153.399</v>
      </c>
      <c r="G620" s="922">
        <f t="shared" si="18"/>
        <v>1</v>
      </c>
      <c r="H620" s="915" t="e">
        <v>#REF!</v>
      </c>
      <c r="I620" s="915" t="e">
        <f t="shared" si="19"/>
        <v>#REF!</v>
      </c>
      <c r="J620" s="915">
        <v>17.131</v>
      </c>
      <c r="K620" s="915">
        <v>4.6779999999999999</v>
      </c>
      <c r="L620" s="915">
        <v>2.339</v>
      </c>
      <c r="M620" s="915">
        <v>14.792</v>
      </c>
    </row>
    <row r="621" spans="1:13">
      <c r="A621" s="633" t="s">
        <v>1136</v>
      </c>
      <c r="B621" s="423" t="s">
        <v>1137</v>
      </c>
      <c r="C621" s="915">
        <v>306.142</v>
      </c>
      <c r="D621" s="915">
        <v>0</v>
      </c>
      <c r="E621" s="915">
        <v>0</v>
      </c>
      <c r="F621" s="915">
        <v>306.142</v>
      </c>
      <c r="G621" s="922">
        <f t="shared" si="18"/>
        <v>0</v>
      </c>
      <c r="H621" s="915" t="e">
        <v>#REF!</v>
      </c>
      <c r="I621" s="915" t="e">
        <f t="shared" si="19"/>
        <v>#REF!</v>
      </c>
      <c r="J621" s="915">
        <v>21.623000000000001</v>
      </c>
      <c r="K621" s="915">
        <v>0</v>
      </c>
      <c r="L621" s="915">
        <v>0</v>
      </c>
      <c r="M621" s="915">
        <v>21.623000000000001</v>
      </c>
    </row>
    <row r="622" spans="1:13">
      <c r="A622" s="633" t="s">
        <v>316</v>
      </c>
      <c r="B622" s="423" t="s">
        <v>296</v>
      </c>
      <c r="C622" s="915">
        <v>776.54600000000005</v>
      </c>
      <c r="D622" s="915">
        <v>17.34</v>
      </c>
      <c r="E622" s="915">
        <v>17.34</v>
      </c>
      <c r="F622" s="915">
        <v>776.54600000000005</v>
      </c>
      <c r="G622" s="922">
        <f t="shared" si="18"/>
        <v>0</v>
      </c>
      <c r="H622" s="915" t="e">
        <v>#REF!</v>
      </c>
      <c r="I622" s="915" t="e">
        <f t="shared" si="19"/>
        <v>#REF!</v>
      </c>
      <c r="J622" s="915">
        <v>140.4</v>
      </c>
      <c r="K622" s="915">
        <v>11.365</v>
      </c>
      <c r="L622" s="915">
        <v>11.365</v>
      </c>
      <c r="M622" s="915">
        <v>140.4</v>
      </c>
    </row>
    <row r="623" spans="1:13">
      <c r="A623" s="633" t="s">
        <v>318</v>
      </c>
      <c r="B623" s="423" t="s">
        <v>297</v>
      </c>
      <c r="C623" s="915">
        <v>680.64200000000005</v>
      </c>
      <c r="D623" s="915">
        <v>4.5919999999999996</v>
      </c>
      <c r="E623" s="915">
        <v>4.5919999999999996</v>
      </c>
      <c r="F623" s="915">
        <v>680.64200000000005</v>
      </c>
      <c r="G623" s="922">
        <f t="shared" si="18"/>
        <v>0</v>
      </c>
      <c r="H623" s="915" t="e">
        <v>#REF!</v>
      </c>
      <c r="I623" s="915" t="e">
        <f t="shared" si="19"/>
        <v>#REF!</v>
      </c>
      <c r="J623" s="915">
        <v>23.696000000000002</v>
      </c>
      <c r="K623" s="915">
        <v>0</v>
      </c>
      <c r="L623" s="915">
        <v>0</v>
      </c>
      <c r="M623" s="915">
        <v>23.696000000000002</v>
      </c>
    </row>
    <row r="624" spans="1:13">
      <c r="A624" s="633" t="s">
        <v>320</v>
      </c>
      <c r="B624" s="423" t="s">
        <v>298</v>
      </c>
      <c r="C624" s="915">
        <v>496.64</v>
      </c>
      <c r="D624" s="915">
        <v>7.899</v>
      </c>
      <c r="E624" s="915">
        <v>7.899</v>
      </c>
      <c r="F624" s="915">
        <v>496.64</v>
      </c>
      <c r="G624" s="922">
        <f t="shared" si="18"/>
        <v>0</v>
      </c>
      <c r="H624" s="915" t="e">
        <v>#REF!</v>
      </c>
      <c r="I624" s="915" t="e">
        <f t="shared" si="19"/>
        <v>#REF!</v>
      </c>
      <c r="J624" s="915">
        <v>7.0960000000000001</v>
      </c>
      <c r="K624" s="915">
        <v>1.19</v>
      </c>
      <c r="L624" s="915">
        <v>1.19</v>
      </c>
      <c r="M624" s="915">
        <v>7.0960000000000001</v>
      </c>
    </row>
    <row r="625" spans="1:13">
      <c r="A625" s="633" t="s">
        <v>2319</v>
      </c>
      <c r="B625" s="423" t="s">
        <v>299</v>
      </c>
      <c r="C625" s="915">
        <v>214.36699999999999</v>
      </c>
      <c r="D625" s="915">
        <v>7.718</v>
      </c>
      <c r="E625" s="915">
        <v>3.859</v>
      </c>
      <c r="F625" s="915">
        <v>210.50800000000001</v>
      </c>
      <c r="G625" s="922">
        <f t="shared" si="18"/>
        <v>1</v>
      </c>
      <c r="H625" s="915" t="e">
        <v>#REF!</v>
      </c>
      <c r="I625" s="915" t="e">
        <f t="shared" si="19"/>
        <v>#REF!</v>
      </c>
      <c r="J625" s="915">
        <v>1.115</v>
      </c>
      <c r="K625" s="915">
        <v>0</v>
      </c>
      <c r="L625" s="915">
        <v>0</v>
      </c>
      <c r="M625" s="915">
        <v>1.115</v>
      </c>
    </row>
    <row r="626" spans="1:13">
      <c r="A626" s="633" t="s">
        <v>2321</v>
      </c>
      <c r="B626" s="423" t="s">
        <v>300</v>
      </c>
      <c r="C626" s="915">
        <v>669.36599999999999</v>
      </c>
      <c r="D626" s="915">
        <v>8.173</v>
      </c>
      <c r="E626" s="915">
        <v>8.173</v>
      </c>
      <c r="F626" s="915">
        <v>669.36599999999999</v>
      </c>
      <c r="G626" s="922">
        <f t="shared" si="18"/>
        <v>0</v>
      </c>
      <c r="H626" s="915" t="e">
        <v>#REF!</v>
      </c>
      <c r="I626" s="915" t="e">
        <f t="shared" si="19"/>
        <v>#REF!</v>
      </c>
      <c r="J626" s="915">
        <v>54.88</v>
      </c>
      <c r="K626" s="915">
        <v>0.94199999999999995</v>
      </c>
      <c r="L626" s="915">
        <v>0.94199999999999995</v>
      </c>
      <c r="M626" s="915">
        <v>54.88</v>
      </c>
    </row>
    <row r="627" spans="1:13">
      <c r="A627" s="633" t="s">
        <v>3178</v>
      </c>
      <c r="B627" s="423" t="s">
        <v>6114</v>
      </c>
      <c r="C627" s="915">
        <v>3322.6350000000002</v>
      </c>
      <c r="D627" s="915">
        <v>99.707999999999998</v>
      </c>
      <c r="E627" s="915">
        <v>99.707999999999998</v>
      </c>
      <c r="F627" s="915">
        <v>3322.6350000000002</v>
      </c>
      <c r="G627" s="922">
        <f t="shared" si="18"/>
        <v>0</v>
      </c>
      <c r="H627" s="915" t="e">
        <v>#REF!</v>
      </c>
      <c r="I627" s="915" t="e">
        <f t="shared" si="19"/>
        <v>#REF!</v>
      </c>
      <c r="J627" s="915">
        <v>468.47800000000001</v>
      </c>
      <c r="K627" s="915">
        <v>31.120999999999999</v>
      </c>
      <c r="L627" s="915">
        <v>31.120999999999999</v>
      </c>
      <c r="M627" s="915">
        <v>468.47800000000001</v>
      </c>
    </row>
    <row r="628" spans="1:13">
      <c r="A628" s="633" t="s">
        <v>249</v>
      </c>
      <c r="B628" s="423" t="s">
        <v>994</v>
      </c>
      <c r="C628" s="915">
        <v>4430.3530000000001</v>
      </c>
      <c r="D628" s="915">
        <v>48.600999999999999</v>
      </c>
      <c r="E628" s="915">
        <v>48.456000000000003</v>
      </c>
      <c r="F628" s="915">
        <v>4430.2079999999996</v>
      </c>
      <c r="G628" s="922">
        <f t="shared" si="18"/>
        <v>1</v>
      </c>
      <c r="H628" s="915" t="e">
        <v>#REF!</v>
      </c>
      <c r="I628" s="915" t="e">
        <f t="shared" si="19"/>
        <v>#REF!</v>
      </c>
      <c r="J628" s="915">
        <v>334.85700000000003</v>
      </c>
      <c r="K628" s="915">
        <v>18.234999999999999</v>
      </c>
      <c r="L628" s="915">
        <v>18.234999999999999</v>
      </c>
      <c r="M628" s="915">
        <v>334.85700000000003</v>
      </c>
    </row>
    <row r="629" spans="1:13">
      <c r="A629" s="633" t="s">
        <v>2323</v>
      </c>
      <c r="B629" s="423" t="s">
        <v>301</v>
      </c>
      <c r="C629" s="915">
        <v>127.036</v>
      </c>
      <c r="D629" s="915">
        <v>3.4140000000000001</v>
      </c>
      <c r="E629" s="915">
        <v>3.4140000000000001</v>
      </c>
      <c r="F629" s="915">
        <v>127.036</v>
      </c>
      <c r="G629" s="922">
        <f t="shared" si="18"/>
        <v>0</v>
      </c>
      <c r="H629" s="915" t="e">
        <v>#REF!</v>
      </c>
      <c r="I629" s="915" t="e">
        <f t="shared" si="19"/>
        <v>#REF!</v>
      </c>
      <c r="J629" s="915">
        <v>10.669</v>
      </c>
      <c r="K629" s="915">
        <v>0</v>
      </c>
      <c r="L629" s="915">
        <v>0</v>
      </c>
      <c r="M629" s="915">
        <v>10.669</v>
      </c>
    </row>
    <row r="630" spans="1:13">
      <c r="A630" s="633" t="s">
        <v>513</v>
      </c>
      <c r="B630" s="423" t="s">
        <v>3917</v>
      </c>
      <c r="C630" s="915">
        <v>1094.752</v>
      </c>
      <c r="D630" s="915">
        <v>18.324000000000002</v>
      </c>
      <c r="E630" s="915">
        <v>17.844999999999999</v>
      </c>
      <c r="F630" s="915">
        <v>1094.2729999999999</v>
      </c>
      <c r="G630" s="922">
        <f t="shared" si="18"/>
        <v>1</v>
      </c>
      <c r="H630" s="915" t="e">
        <v>#REF!</v>
      </c>
      <c r="I630" s="915" t="e">
        <f t="shared" si="19"/>
        <v>#REF!</v>
      </c>
      <c r="J630" s="915">
        <v>31.998000000000001</v>
      </c>
      <c r="K630" s="915">
        <v>1.871</v>
      </c>
      <c r="L630" s="915">
        <v>1.871</v>
      </c>
      <c r="M630" s="915">
        <v>31.998000000000001</v>
      </c>
    </row>
    <row r="631" spans="1:13">
      <c r="A631" s="633" t="s">
        <v>1872</v>
      </c>
      <c r="B631" s="423" t="s">
        <v>3855</v>
      </c>
      <c r="C631" s="915">
        <v>470.68799999999999</v>
      </c>
      <c r="D631" s="915">
        <v>9.2080000000000002</v>
      </c>
      <c r="E631" s="915">
        <v>9.2080000000000002</v>
      </c>
      <c r="F631" s="915">
        <v>470.68799999999999</v>
      </c>
      <c r="G631" s="922">
        <f t="shared" si="18"/>
        <v>0</v>
      </c>
      <c r="H631" s="915" t="e">
        <v>#REF!</v>
      </c>
      <c r="I631" s="915" t="e">
        <f t="shared" si="19"/>
        <v>#REF!</v>
      </c>
      <c r="J631" s="915">
        <v>3.988</v>
      </c>
      <c r="K631" s="915">
        <v>0</v>
      </c>
      <c r="L631" s="915">
        <v>0</v>
      </c>
      <c r="M631" s="915">
        <v>3.988</v>
      </c>
    </row>
    <row r="632" spans="1:13">
      <c r="A632" s="633" t="s">
        <v>2325</v>
      </c>
      <c r="B632" s="423" t="s">
        <v>302</v>
      </c>
      <c r="C632" s="915">
        <v>2107.0230000000001</v>
      </c>
      <c r="D632" s="915">
        <v>97.861000000000004</v>
      </c>
      <c r="E632" s="915">
        <v>51.706000000000003</v>
      </c>
      <c r="F632" s="915">
        <v>2060.8679999999999</v>
      </c>
      <c r="G632" s="922">
        <f t="shared" si="18"/>
        <v>1</v>
      </c>
      <c r="H632" s="915" t="e">
        <v>#REF!</v>
      </c>
      <c r="I632" s="915" t="e">
        <f t="shared" si="19"/>
        <v>#REF!</v>
      </c>
      <c r="J632" s="915">
        <v>238.28800000000001</v>
      </c>
      <c r="K632" s="915">
        <v>25.285</v>
      </c>
      <c r="L632" s="915">
        <v>12.808999999999999</v>
      </c>
      <c r="M632" s="915">
        <v>225.81200000000001</v>
      </c>
    </row>
    <row r="633" spans="1:13">
      <c r="A633" s="633" t="s">
        <v>2327</v>
      </c>
      <c r="B633" s="423" t="s">
        <v>2163</v>
      </c>
      <c r="C633" s="915">
        <v>1821.223</v>
      </c>
      <c r="D633" s="915">
        <v>12.462</v>
      </c>
      <c r="E633" s="915">
        <v>12.462</v>
      </c>
      <c r="F633" s="915">
        <v>1821.223</v>
      </c>
      <c r="G633" s="922">
        <f t="shared" si="18"/>
        <v>0</v>
      </c>
      <c r="H633" s="915" t="e">
        <v>#REF!</v>
      </c>
      <c r="I633" s="915" t="e">
        <f t="shared" si="19"/>
        <v>#REF!</v>
      </c>
      <c r="J633" s="915">
        <v>13.596</v>
      </c>
      <c r="K633" s="915">
        <v>0.48499999999999999</v>
      </c>
      <c r="L633" s="915">
        <v>0.48499999999999999</v>
      </c>
      <c r="M633" s="915">
        <v>13.596</v>
      </c>
    </row>
    <row r="634" spans="1:13">
      <c r="A634" s="633" t="s">
        <v>5236</v>
      </c>
      <c r="B634" s="423" t="s">
        <v>2646</v>
      </c>
      <c r="C634" s="915">
        <v>264.17099999999999</v>
      </c>
      <c r="D634" s="915">
        <v>16.907</v>
      </c>
      <c r="E634" s="915">
        <v>8.9060000000000006</v>
      </c>
      <c r="F634" s="915">
        <v>256.17</v>
      </c>
      <c r="G634" s="922">
        <f t="shared" si="18"/>
        <v>1</v>
      </c>
      <c r="H634" s="915" t="e">
        <v>#REF!</v>
      </c>
      <c r="I634" s="915" t="e">
        <f t="shared" si="19"/>
        <v>#REF!</v>
      </c>
      <c r="J634" s="915">
        <v>53.523000000000003</v>
      </c>
      <c r="K634" s="915">
        <v>4.7169999999999996</v>
      </c>
      <c r="L634" s="915">
        <v>2.7530000000000001</v>
      </c>
      <c r="M634" s="915">
        <v>51.558999999999997</v>
      </c>
    </row>
    <row r="635" spans="1:13">
      <c r="A635" s="633" t="s">
        <v>7700</v>
      </c>
      <c r="B635" s="423" t="s">
        <v>2164</v>
      </c>
      <c r="C635" s="915">
        <v>1464.193</v>
      </c>
      <c r="D635" s="915">
        <v>62.44</v>
      </c>
      <c r="E635" s="915">
        <v>34.435000000000002</v>
      </c>
      <c r="F635" s="915">
        <v>1436.1869999999999</v>
      </c>
      <c r="G635" s="922">
        <f t="shared" si="18"/>
        <v>1</v>
      </c>
      <c r="H635" s="915" t="e">
        <v>#REF!</v>
      </c>
      <c r="I635" s="915" t="e">
        <f t="shared" si="19"/>
        <v>#REF!</v>
      </c>
      <c r="J635" s="915">
        <v>62.076999999999998</v>
      </c>
      <c r="K635" s="915">
        <v>2.8039999999999998</v>
      </c>
      <c r="L635" s="915">
        <v>1.4019999999999999</v>
      </c>
      <c r="M635" s="915">
        <v>60.674999999999997</v>
      </c>
    </row>
    <row r="636" spans="1:13">
      <c r="A636" s="633" t="s">
        <v>7702</v>
      </c>
      <c r="B636" s="423" t="s">
        <v>2165</v>
      </c>
      <c r="C636" s="915">
        <v>2007.383</v>
      </c>
      <c r="D636" s="915">
        <v>60.343000000000004</v>
      </c>
      <c r="E636" s="915">
        <v>60.343000000000004</v>
      </c>
      <c r="F636" s="915">
        <v>2007.383</v>
      </c>
      <c r="G636" s="922">
        <f t="shared" si="18"/>
        <v>0</v>
      </c>
      <c r="H636" s="915" t="e">
        <v>#REF!</v>
      </c>
      <c r="I636" s="915" t="e">
        <f t="shared" si="19"/>
        <v>#REF!</v>
      </c>
      <c r="J636" s="915">
        <v>163.63499999999999</v>
      </c>
      <c r="K636" s="915">
        <v>7.468</v>
      </c>
      <c r="L636" s="915">
        <v>7.468</v>
      </c>
      <c r="M636" s="915">
        <v>163.63499999999999</v>
      </c>
    </row>
    <row r="637" spans="1:13">
      <c r="A637" s="633" t="s">
        <v>7704</v>
      </c>
      <c r="B637" s="423" t="s">
        <v>2166</v>
      </c>
      <c r="C637" s="915">
        <v>359.81799999999998</v>
      </c>
      <c r="D637" s="915">
        <v>25.783999999999999</v>
      </c>
      <c r="E637" s="915">
        <v>14.025</v>
      </c>
      <c r="F637" s="915">
        <v>348.05900000000003</v>
      </c>
      <c r="G637" s="922">
        <f t="shared" si="18"/>
        <v>1</v>
      </c>
      <c r="H637" s="915" t="e">
        <v>#REF!</v>
      </c>
      <c r="I637" s="915" t="e">
        <f t="shared" si="19"/>
        <v>#REF!</v>
      </c>
      <c r="J637" s="915">
        <v>90.930999999999997</v>
      </c>
      <c r="K637" s="915">
        <v>12.391999999999999</v>
      </c>
      <c r="L637" s="915">
        <v>6.2160000000000002</v>
      </c>
      <c r="M637" s="915">
        <v>84.754999999999995</v>
      </c>
    </row>
    <row r="638" spans="1:13">
      <c r="A638" s="633" t="s">
        <v>5634</v>
      </c>
      <c r="B638" s="423" t="s">
        <v>2167</v>
      </c>
      <c r="C638" s="915">
        <v>154.17699999999999</v>
      </c>
      <c r="D638" s="915">
        <v>2.7160000000000002</v>
      </c>
      <c r="E638" s="915">
        <v>2.7160000000000002</v>
      </c>
      <c r="F638" s="915">
        <v>154.17699999999999</v>
      </c>
      <c r="G638" s="922">
        <f t="shared" si="18"/>
        <v>0</v>
      </c>
      <c r="H638" s="915" t="e">
        <v>#REF!</v>
      </c>
      <c r="I638" s="915" t="e">
        <f t="shared" si="19"/>
        <v>#REF!</v>
      </c>
      <c r="J638" s="915">
        <v>12.977</v>
      </c>
      <c r="K638" s="915">
        <v>0.83199999999999996</v>
      </c>
      <c r="L638" s="915">
        <v>0.83199999999999996</v>
      </c>
      <c r="M638" s="915">
        <v>12.977</v>
      </c>
    </row>
    <row r="639" spans="1:13">
      <c r="A639" s="633" t="s">
        <v>5636</v>
      </c>
      <c r="B639" s="423" t="s">
        <v>2168</v>
      </c>
      <c r="C639" s="915">
        <v>89.998999999999995</v>
      </c>
      <c r="D639" s="915">
        <v>6.96</v>
      </c>
      <c r="E639" s="915">
        <v>4.367</v>
      </c>
      <c r="F639" s="915">
        <v>87.406000000000006</v>
      </c>
      <c r="G639" s="922">
        <f t="shared" si="18"/>
        <v>1</v>
      </c>
      <c r="H639" s="915" t="e">
        <v>#REF!</v>
      </c>
      <c r="I639" s="915" t="e">
        <f t="shared" si="19"/>
        <v>#REF!</v>
      </c>
      <c r="J639" s="915">
        <v>1.4610000000000001</v>
      </c>
      <c r="K639" s="915">
        <v>0</v>
      </c>
      <c r="L639" s="915">
        <v>0</v>
      </c>
      <c r="M639" s="915">
        <v>1.4610000000000001</v>
      </c>
    </row>
    <row r="640" spans="1:13">
      <c r="A640" s="633" t="s">
        <v>4016</v>
      </c>
      <c r="B640" s="423" t="s">
        <v>2169</v>
      </c>
      <c r="C640" s="915">
        <v>131.404</v>
      </c>
      <c r="D640" s="915">
        <v>4.1180000000000003</v>
      </c>
      <c r="E640" s="915">
        <v>4.1180000000000003</v>
      </c>
      <c r="F640" s="915">
        <v>131.404</v>
      </c>
      <c r="G640" s="922">
        <f t="shared" si="18"/>
        <v>0</v>
      </c>
      <c r="H640" s="915" t="e">
        <v>#REF!</v>
      </c>
      <c r="I640" s="915" t="e">
        <f t="shared" si="19"/>
        <v>#REF!</v>
      </c>
      <c r="J640" s="915">
        <v>2.5230000000000001</v>
      </c>
      <c r="K640" s="915">
        <v>0.44700000000000001</v>
      </c>
      <c r="L640" s="915">
        <v>0.44700000000000001</v>
      </c>
      <c r="M640" s="915">
        <v>2.5230000000000001</v>
      </c>
    </row>
    <row r="641" spans="1:13">
      <c r="A641" s="633" t="s">
        <v>4018</v>
      </c>
      <c r="B641" s="423" t="s">
        <v>2170</v>
      </c>
      <c r="C641" s="915">
        <v>1031.663</v>
      </c>
      <c r="D641" s="915">
        <v>4.593</v>
      </c>
      <c r="E641" s="915">
        <v>4.593</v>
      </c>
      <c r="F641" s="915">
        <v>1031.663</v>
      </c>
      <c r="G641" s="922">
        <f t="shared" si="18"/>
        <v>0</v>
      </c>
      <c r="H641" s="915" t="e">
        <v>#REF!</v>
      </c>
      <c r="I641" s="915" t="e">
        <f t="shared" si="19"/>
        <v>#REF!</v>
      </c>
      <c r="J641" s="915">
        <v>12.734</v>
      </c>
      <c r="K641" s="915">
        <v>0.45100000000000001</v>
      </c>
      <c r="L641" s="915">
        <v>0.45100000000000001</v>
      </c>
      <c r="M641" s="915">
        <v>12.734</v>
      </c>
    </row>
    <row r="642" spans="1:13">
      <c r="A642" s="633" t="s">
        <v>4020</v>
      </c>
      <c r="B642" s="423" t="s">
        <v>5648</v>
      </c>
      <c r="C642" s="915">
        <v>591.39</v>
      </c>
      <c r="D642" s="915">
        <v>5.9340000000000002</v>
      </c>
      <c r="E642" s="915">
        <v>5.9340000000000002</v>
      </c>
      <c r="F642" s="915">
        <v>591.39</v>
      </c>
      <c r="G642" s="922">
        <f t="shared" si="18"/>
        <v>0</v>
      </c>
      <c r="H642" s="915" t="e">
        <v>#REF!</v>
      </c>
      <c r="I642" s="915" t="e">
        <f t="shared" si="19"/>
        <v>#REF!</v>
      </c>
      <c r="J642" s="915">
        <v>0.34</v>
      </c>
      <c r="K642" s="915">
        <v>0</v>
      </c>
      <c r="L642" s="915">
        <v>0</v>
      </c>
      <c r="M642" s="915">
        <v>0.34</v>
      </c>
    </row>
    <row r="643" spans="1:13">
      <c r="A643" s="633" t="s">
        <v>4022</v>
      </c>
      <c r="B643" s="423" t="s">
        <v>5649</v>
      </c>
      <c r="C643" s="915">
        <v>1812.405</v>
      </c>
      <c r="D643" s="915">
        <v>26.786999999999999</v>
      </c>
      <c r="E643" s="915">
        <v>26.786999999999999</v>
      </c>
      <c r="F643" s="915">
        <v>1812.405</v>
      </c>
      <c r="G643" s="922">
        <f t="shared" ref="G643:G706" si="20">IF(F643&lt;C643,1,0)</f>
        <v>0</v>
      </c>
      <c r="H643" s="915" t="e">
        <v>#REF!</v>
      </c>
      <c r="I643" s="915" t="e">
        <f t="shared" ref="I643:I706" si="21">F643-H643</f>
        <v>#REF!</v>
      </c>
      <c r="J643" s="915">
        <v>61.033999999999999</v>
      </c>
      <c r="K643" s="915">
        <v>1.3759999999999999</v>
      </c>
      <c r="L643" s="915">
        <v>1.3759999999999999</v>
      </c>
      <c r="M643" s="915">
        <v>61.033999999999999</v>
      </c>
    </row>
    <row r="644" spans="1:13">
      <c r="A644" s="633" t="s">
        <v>2996</v>
      </c>
      <c r="B644" s="423" t="s">
        <v>202</v>
      </c>
      <c r="C644" s="915">
        <v>26269.724999999999</v>
      </c>
      <c r="D644" s="915">
        <v>903.01499999999999</v>
      </c>
      <c r="E644" s="915">
        <v>502.57100000000003</v>
      </c>
      <c r="F644" s="915">
        <v>25869.280999999999</v>
      </c>
      <c r="G644" s="922">
        <f t="shared" si="20"/>
        <v>1</v>
      </c>
      <c r="H644" s="915" t="e">
        <v>#REF!</v>
      </c>
      <c r="I644" s="915" t="e">
        <f t="shared" si="21"/>
        <v>#REF!</v>
      </c>
      <c r="J644" s="915">
        <v>439.28199999999998</v>
      </c>
      <c r="K644" s="915">
        <v>36.670999999999999</v>
      </c>
      <c r="L644" s="915">
        <v>18.428999999999998</v>
      </c>
      <c r="M644" s="915">
        <v>421.04</v>
      </c>
    </row>
    <row r="645" spans="1:13">
      <c r="A645" s="633" t="s">
        <v>4028</v>
      </c>
      <c r="B645" s="423" t="s">
        <v>5650</v>
      </c>
      <c r="C645" s="915">
        <v>677.31399999999996</v>
      </c>
      <c r="D645" s="915">
        <v>13.65</v>
      </c>
      <c r="E645" s="915">
        <v>13.65</v>
      </c>
      <c r="F645" s="915">
        <v>677.31399999999996</v>
      </c>
      <c r="G645" s="922">
        <f t="shared" si="20"/>
        <v>0</v>
      </c>
      <c r="H645" s="915" t="e">
        <v>#REF!</v>
      </c>
      <c r="I645" s="915" t="e">
        <f t="shared" si="21"/>
        <v>#REF!</v>
      </c>
      <c r="J645" s="915">
        <v>9.9060000000000006</v>
      </c>
      <c r="K645" s="915">
        <v>0.41099999999999998</v>
      </c>
      <c r="L645" s="915">
        <v>0.41099999999999998</v>
      </c>
      <c r="M645" s="915">
        <v>9.9060000000000006</v>
      </c>
    </row>
    <row r="646" spans="1:13">
      <c r="A646" s="633" t="s">
        <v>4030</v>
      </c>
      <c r="B646" s="423" t="s">
        <v>5651</v>
      </c>
      <c r="C646" s="915">
        <v>1205.4100000000001</v>
      </c>
      <c r="D646" s="915">
        <v>24.216999999999999</v>
      </c>
      <c r="E646" s="915">
        <v>24.216999999999999</v>
      </c>
      <c r="F646" s="915">
        <v>1205.4100000000001</v>
      </c>
      <c r="G646" s="922">
        <f t="shared" si="20"/>
        <v>0</v>
      </c>
      <c r="H646" s="915" t="e">
        <v>#REF!</v>
      </c>
      <c r="I646" s="915" t="e">
        <f t="shared" si="21"/>
        <v>#REF!</v>
      </c>
      <c r="J646" s="915">
        <v>46.078000000000003</v>
      </c>
      <c r="K646" s="915">
        <v>2.722</v>
      </c>
      <c r="L646" s="915">
        <v>2.722</v>
      </c>
      <c r="M646" s="915">
        <v>46.078000000000003</v>
      </c>
    </row>
    <row r="647" spans="1:13">
      <c r="A647" s="633" t="s">
        <v>2903</v>
      </c>
      <c r="B647" s="423" t="s">
        <v>203</v>
      </c>
      <c r="C647" s="915">
        <v>3300.674</v>
      </c>
      <c r="D647" s="915">
        <v>96.210999999999999</v>
      </c>
      <c r="E647" s="915">
        <v>50.031999999999996</v>
      </c>
      <c r="F647" s="915">
        <v>3254.4949999999999</v>
      </c>
      <c r="G647" s="922">
        <f t="shared" si="20"/>
        <v>1</v>
      </c>
      <c r="H647" s="915" t="e">
        <v>#REF!</v>
      </c>
      <c r="I647" s="915" t="e">
        <f t="shared" si="21"/>
        <v>#REF!</v>
      </c>
      <c r="J647" s="915">
        <v>103.264</v>
      </c>
      <c r="K647" s="915">
        <v>12.545</v>
      </c>
      <c r="L647" s="915">
        <v>6.7130000000000001</v>
      </c>
      <c r="M647" s="915">
        <v>97.432000000000002</v>
      </c>
    </row>
    <row r="648" spans="1:13">
      <c r="A648" s="633" t="s">
        <v>1310</v>
      </c>
      <c r="B648" s="423" t="s">
        <v>115</v>
      </c>
      <c r="C648" s="915">
        <v>6661.7290000000003</v>
      </c>
      <c r="D648" s="915">
        <v>57.881999999999998</v>
      </c>
      <c r="E648" s="915">
        <v>57.881999999999998</v>
      </c>
      <c r="F648" s="915">
        <v>6661.7290000000003</v>
      </c>
      <c r="G648" s="922">
        <f t="shared" si="20"/>
        <v>0</v>
      </c>
      <c r="H648" s="915" t="e">
        <v>#REF!</v>
      </c>
      <c r="I648" s="915" t="e">
        <f t="shared" si="21"/>
        <v>#REF!</v>
      </c>
      <c r="J648" s="915">
        <v>173.87200000000001</v>
      </c>
      <c r="K648" s="915">
        <v>7.2789999999999999</v>
      </c>
      <c r="L648" s="915">
        <v>7.2789999999999999</v>
      </c>
      <c r="M648" s="915">
        <v>173.87200000000001</v>
      </c>
    </row>
    <row r="649" spans="1:13">
      <c r="A649" s="633" t="s">
        <v>4032</v>
      </c>
      <c r="B649" s="423" t="s">
        <v>5652</v>
      </c>
      <c r="C649" s="915">
        <v>1081.249</v>
      </c>
      <c r="D649" s="915">
        <v>51.395000000000003</v>
      </c>
      <c r="E649" s="915">
        <v>27.073</v>
      </c>
      <c r="F649" s="915">
        <v>1056.9280000000001</v>
      </c>
      <c r="G649" s="922">
        <f t="shared" si="20"/>
        <v>1</v>
      </c>
      <c r="H649" s="915" t="e">
        <v>#REF!</v>
      </c>
      <c r="I649" s="915" t="e">
        <f t="shared" si="21"/>
        <v>#REF!</v>
      </c>
      <c r="J649" s="915">
        <v>46.866</v>
      </c>
      <c r="K649" s="915">
        <v>4.8959999999999999</v>
      </c>
      <c r="L649" s="915">
        <v>2.5310000000000001</v>
      </c>
      <c r="M649" s="915">
        <v>44.500999999999998</v>
      </c>
    </row>
    <row r="650" spans="1:13">
      <c r="A650" s="633" t="s">
        <v>2397</v>
      </c>
      <c r="B650" s="423" t="s">
        <v>1464</v>
      </c>
      <c r="C650" s="915">
        <v>1344.8050000000001</v>
      </c>
      <c r="D650" s="915">
        <v>21.808</v>
      </c>
      <c r="E650" s="915">
        <v>21.808</v>
      </c>
      <c r="F650" s="915">
        <v>1344.8050000000001</v>
      </c>
      <c r="G650" s="922">
        <f t="shared" si="20"/>
        <v>0</v>
      </c>
      <c r="H650" s="915" t="e">
        <v>#REF!</v>
      </c>
      <c r="I650" s="915" t="e">
        <f t="shared" si="21"/>
        <v>#REF!</v>
      </c>
      <c r="J650" s="915">
        <v>30.756</v>
      </c>
      <c r="K650" s="915">
        <v>1.847</v>
      </c>
      <c r="L650" s="915">
        <v>1.847</v>
      </c>
      <c r="M650" s="915">
        <v>30.756</v>
      </c>
    </row>
    <row r="651" spans="1:13">
      <c r="A651" s="633" t="s">
        <v>669</v>
      </c>
      <c r="B651" s="423" t="s">
        <v>5653</v>
      </c>
      <c r="C651" s="915">
        <v>906.86099999999999</v>
      </c>
      <c r="D651" s="915">
        <v>31.068999999999999</v>
      </c>
      <c r="E651" s="915">
        <v>18.523</v>
      </c>
      <c r="F651" s="915">
        <v>894.31500000000005</v>
      </c>
      <c r="G651" s="922">
        <f t="shared" si="20"/>
        <v>1</v>
      </c>
      <c r="H651" s="915" t="e">
        <v>#REF!</v>
      </c>
      <c r="I651" s="915" t="e">
        <f t="shared" si="21"/>
        <v>#REF!</v>
      </c>
      <c r="J651" s="915">
        <v>24.288</v>
      </c>
      <c r="K651" s="915">
        <v>2.395</v>
      </c>
      <c r="L651" s="915">
        <v>1.56</v>
      </c>
      <c r="M651" s="915">
        <v>23.452999999999999</v>
      </c>
    </row>
    <row r="652" spans="1:13">
      <c r="A652" s="633" t="s">
        <v>4151</v>
      </c>
      <c r="B652" s="423" t="s">
        <v>7812</v>
      </c>
      <c r="C652" s="915">
        <v>309.71899999999999</v>
      </c>
      <c r="D652" s="915">
        <v>16.367000000000001</v>
      </c>
      <c r="E652" s="915">
        <v>9.4619999999999997</v>
      </c>
      <c r="F652" s="915">
        <v>302.81400000000002</v>
      </c>
      <c r="G652" s="922">
        <f t="shared" si="20"/>
        <v>1</v>
      </c>
      <c r="H652" s="915" t="e">
        <v>#REF!</v>
      </c>
      <c r="I652" s="915" t="e">
        <f t="shared" si="21"/>
        <v>#REF!</v>
      </c>
      <c r="J652" s="915">
        <v>21.175999999999998</v>
      </c>
      <c r="K652" s="915">
        <v>0.379</v>
      </c>
      <c r="L652" s="915">
        <v>0.19</v>
      </c>
      <c r="M652" s="915">
        <v>20.986000000000001</v>
      </c>
    </row>
    <row r="653" spans="1:13">
      <c r="A653" s="633" t="s">
        <v>4153</v>
      </c>
      <c r="B653" s="423" t="s">
        <v>3100</v>
      </c>
      <c r="C653" s="915">
        <v>556.51700000000005</v>
      </c>
      <c r="D653" s="915">
        <v>2.5179999999999998</v>
      </c>
      <c r="E653" s="915">
        <v>2.08</v>
      </c>
      <c r="F653" s="915">
        <v>556.07899999999995</v>
      </c>
      <c r="G653" s="922">
        <f t="shared" si="20"/>
        <v>1</v>
      </c>
      <c r="H653" s="915" t="e">
        <v>#REF!</v>
      </c>
      <c r="I653" s="915" t="e">
        <f t="shared" si="21"/>
        <v>#REF!</v>
      </c>
      <c r="J653" s="915">
        <v>17.536999999999999</v>
      </c>
      <c r="K653" s="915">
        <v>0.55100000000000005</v>
      </c>
      <c r="L653" s="915">
        <v>0.27600000000000002</v>
      </c>
      <c r="M653" s="915">
        <v>17.260999999999999</v>
      </c>
    </row>
    <row r="654" spans="1:13">
      <c r="A654" s="633" t="s">
        <v>4155</v>
      </c>
      <c r="B654" s="423" t="s">
        <v>3101</v>
      </c>
      <c r="C654" s="915">
        <v>179.024</v>
      </c>
      <c r="D654" s="915">
        <v>2.927</v>
      </c>
      <c r="E654" s="915">
        <v>2.927</v>
      </c>
      <c r="F654" s="915">
        <v>179.024</v>
      </c>
      <c r="G654" s="922">
        <f t="shared" si="20"/>
        <v>0</v>
      </c>
      <c r="H654" s="915" t="e">
        <v>#REF!</v>
      </c>
      <c r="I654" s="915" t="e">
        <f t="shared" si="21"/>
        <v>#REF!</v>
      </c>
      <c r="J654" s="915">
        <v>8.4619999999999997</v>
      </c>
      <c r="K654" s="915">
        <v>0.42499999999999999</v>
      </c>
      <c r="L654" s="915">
        <v>0.42499999999999999</v>
      </c>
      <c r="M654" s="915">
        <v>8.4619999999999997</v>
      </c>
    </row>
    <row r="655" spans="1:13">
      <c r="A655" s="633" t="s">
        <v>4157</v>
      </c>
      <c r="B655" s="423" t="s">
        <v>3102</v>
      </c>
      <c r="C655" s="915">
        <v>133.94200000000001</v>
      </c>
      <c r="D655" s="915">
        <v>8.5410000000000004</v>
      </c>
      <c r="E655" s="915">
        <v>4.2839999999999998</v>
      </c>
      <c r="F655" s="915">
        <v>129.685</v>
      </c>
      <c r="G655" s="922">
        <f t="shared" si="20"/>
        <v>1</v>
      </c>
      <c r="H655" s="915" t="e">
        <v>#REF!</v>
      </c>
      <c r="I655" s="915" t="e">
        <f t="shared" si="21"/>
        <v>#REF!</v>
      </c>
      <c r="J655" s="915">
        <v>13.13</v>
      </c>
      <c r="K655" s="915">
        <v>0</v>
      </c>
      <c r="L655" s="915">
        <v>0</v>
      </c>
      <c r="M655" s="915">
        <v>13.13</v>
      </c>
    </row>
    <row r="656" spans="1:13">
      <c r="A656" s="633" t="s">
        <v>3000</v>
      </c>
      <c r="B656" s="423" t="s">
        <v>6547</v>
      </c>
      <c r="C656" s="915">
        <v>2113.6509999999998</v>
      </c>
      <c r="D656" s="915">
        <v>104.818</v>
      </c>
      <c r="E656" s="915">
        <v>64.563000000000002</v>
      </c>
      <c r="F656" s="915">
        <v>2073.3960000000002</v>
      </c>
      <c r="G656" s="922">
        <f t="shared" si="20"/>
        <v>1</v>
      </c>
      <c r="H656" s="915" t="e">
        <v>#REF!</v>
      </c>
      <c r="I656" s="915" t="e">
        <f t="shared" si="21"/>
        <v>#REF!</v>
      </c>
      <c r="J656" s="915">
        <v>267.66800000000001</v>
      </c>
      <c r="K656" s="915">
        <v>29.792999999999999</v>
      </c>
      <c r="L656" s="915">
        <v>16.498000000000001</v>
      </c>
      <c r="M656" s="915">
        <v>254.37200000000001</v>
      </c>
    </row>
    <row r="657" spans="1:13">
      <c r="A657" s="633" t="s">
        <v>4159</v>
      </c>
      <c r="B657" s="423" t="s">
        <v>3103</v>
      </c>
      <c r="C657" s="915">
        <v>311.02199999999999</v>
      </c>
      <c r="D657" s="915">
        <v>10.685</v>
      </c>
      <c r="E657" s="915">
        <v>5.7869999999999999</v>
      </c>
      <c r="F657" s="915">
        <v>306.12299999999999</v>
      </c>
      <c r="G657" s="922">
        <f t="shared" si="20"/>
        <v>1</v>
      </c>
      <c r="H657" s="915" t="e">
        <v>#REF!</v>
      </c>
      <c r="I657" s="915" t="e">
        <f t="shared" si="21"/>
        <v>#REF!</v>
      </c>
      <c r="J657" s="915">
        <v>5.5</v>
      </c>
      <c r="K657" s="915">
        <v>0</v>
      </c>
      <c r="L657" s="915">
        <v>0</v>
      </c>
      <c r="M657" s="915">
        <v>5.5</v>
      </c>
    </row>
    <row r="658" spans="1:13">
      <c r="A658" s="633" t="s">
        <v>4161</v>
      </c>
      <c r="B658" s="423" t="s">
        <v>3104</v>
      </c>
      <c r="C658" s="915">
        <v>1174.9349999999999</v>
      </c>
      <c r="D658" s="915">
        <v>67.816999999999993</v>
      </c>
      <c r="E658" s="915">
        <v>37.875</v>
      </c>
      <c r="F658" s="915">
        <v>1144.9929999999999</v>
      </c>
      <c r="G658" s="922">
        <f t="shared" si="20"/>
        <v>1</v>
      </c>
      <c r="H658" s="915" t="e">
        <v>#REF!</v>
      </c>
      <c r="I658" s="915" t="e">
        <f t="shared" si="21"/>
        <v>#REF!</v>
      </c>
      <c r="J658" s="915">
        <v>15.691000000000001</v>
      </c>
      <c r="K658" s="915">
        <v>0</v>
      </c>
      <c r="L658" s="915">
        <v>0</v>
      </c>
      <c r="M658" s="915">
        <v>15.691000000000001</v>
      </c>
    </row>
    <row r="659" spans="1:13">
      <c r="A659" s="633" t="s">
        <v>4163</v>
      </c>
      <c r="B659" s="423" t="s">
        <v>3105</v>
      </c>
      <c r="C659" s="915">
        <v>682.40099999999995</v>
      </c>
      <c r="D659" s="915">
        <v>3.5489999999999999</v>
      </c>
      <c r="E659" s="915">
        <v>3.1139999999999999</v>
      </c>
      <c r="F659" s="915">
        <v>681.96600000000001</v>
      </c>
      <c r="G659" s="922">
        <f t="shared" si="20"/>
        <v>1</v>
      </c>
      <c r="H659" s="915" t="e">
        <v>#REF!</v>
      </c>
      <c r="I659" s="915" t="e">
        <f t="shared" si="21"/>
        <v>#REF!</v>
      </c>
      <c r="J659" s="915">
        <v>35.085999999999999</v>
      </c>
      <c r="K659" s="915">
        <v>0.35599999999999998</v>
      </c>
      <c r="L659" s="915">
        <v>0.35599999999999998</v>
      </c>
      <c r="M659" s="915">
        <v>35.085999999999999</v>
      </c>
    </row>
    <row r="660" spans="1:13">
      <c r="A660" s="633" t="s">
        <v>4165</v>
      </c>
      <c r="B660" s="423" t="s">
        <v>3106</v>
      </c>
      <c r="C660" s="915">
        <v>192.47900000000001</v>
      </c>
      <c r="D660" s="915">
        <v>0</v>
      </c>
      <c r="E660" s="915">
        <v>0</v>
      </c>
      <c r="F660" s="915">
        <v>192.47900000000001</v>
      </c>
      <c r="G660" s="922">
        <f t="shared" si="20"/>
        <v>0</v>
      </c>
      <c r="H660" s="915" t="e">
        <v>#REF!</v>
      </c>
      <c r="I660" s="915" t="e">
        <f t="shared" si="21"/>
        <v>#REF!</v>
      </c>
      <c r="J660" s="915">
        <v>9.5839999999999996</v>
      </c>
      <c r="K660" s="915">
        <v>0</v>
      </c>
      <c r="L660" s="915">
        <v>0</v>
      </c>
      <c r="M660" s="915">
        <v>9.5839999999999996</v>
      </c>
    </row>
    <row r="661" spans="1:13">
      <c r="A661" s="633" t="s">
        <v>4167</v>
      </c>
      <c r="B661" s="423" t="s">
        <v>3107</v>
      </c>
      <c r="C661" s="915">
        <v>582.99300000000005</v>
      </c>
      <c r="D661" s="915">
        <v>14.17</v>
      </c>
      <c r="E661" s="915">
        <v>14.17</v>
      </c>
      <c r="F661" s="915">
        <v>582.99300000000005</v>
      </c>
      <c r="G661" s="922">
        <f t="shared" si="20"/>
        <v>0</v>
      </c>
      <c r="H661" s="915" t="e">
        <v>#REF!</v>
      </c>
      <c r="I661" s="915" t="e">
        <f t="shared" si="21"/>
        <v>#REF!</v>
      </c>
      <c r="J661" s="915">
        <v>31.199000000000002</v>
      </c>
      <c r="K661" s="915">
        <v>0</v>
      </c>
      <c r="L661" s="915">
        <v>0</v>
      </c>
      <c r="M661" s="915">
        <v>31.199000000000002</v>
      </c>
    </row>
    <row r="662" spans="1:13">
      <c r="A662" s="633" t="s">
        <v>4169</v>
      </c>
      <c r="B662" s="423" t="s">
        <v>3108</v>
      </c>
      <c r="C662" s="915">
        <v>3599.4169999999999</v>
      </c>
      <c r="D662" s="915">
        <v>62.347000000000001</v>
      </c>
      <c r="E662" s="915">
        <v>62.347000000000001</v>
      </c>
      <c r="F662" s="915">
        <v>3599.4169999999999</v>
      </c>
      <c r="G662" s="922">
        <f t="shared" si="20"/>
        <v>0</v>
      </c>
      <c r="H662" s="915" t="e">
        <v>#REF!</v>
      </c>
      <c r="I662" s="915" t="e">
        <f t="shared" si="21"/>
        <v>#REF!</v>
      </c>
      <c r="J662" s="915">
        <v>238.959</v>
      </c>
      <c r="K662" s="915">
        <v>6.3120000000000003</v>
      </c>
      <c r="L662" s="915">
        <v>6.3120000000000003</v>
      </c>
      <c r="M662" s="915">
        <v>238.959</v>
      </c>
    </row>
    <row r="663" spans="1:13">
      <c r="A663" s="633" t="s">
        <v>4171</v>
      </c>
      <c r="B663" s="423" t="s">
        <v>713</v>
      </c>
      <c r="C663" s="915">
        <v>773.077</v>
      </c>
      <c r="D663" s="915">
        <v>10.731</v>
      </c>
      <c r="E663" s="915">
        <v>10.731</v>
      </c>
      <c r="F663" s="915">
        <v>773.077</v>
      </c>
      <c r="G663" s="922">
        <f t="shared" si="20"/>
        <v>0</v>
      </c>
      <c r="H663" s="915" t="e">
        <v>#REF!</v>
      </c>
      <c r="I663" s="915" t="e">
        <f t="shared" si="21"/>
        <v>#REF!</v>
      </c>
      <c r="J663" s="915">
        <v>51.938000000000002</v>
      </c>
      <c r="K663" s="915">
        <v>1.56</v>
      </c>
      <c r="L663" s="915">
        <v>1.56</v>
      </c>
      <c r="M663" s="915">
        <v>51.938000000000002</v>
      </c>
    </row>
    <row r="664" spans="1:13">
      <c r="A664" s="633" t="s">
        <v>2055</v>
      </c>
      <c r="B664" s="423" t="s">
        <v>714</v>
      </c>
      <c r="C664" s="915">
        <v>84.906999999999996</v>
      </c>
      <c r="D664" s="915">
        <v>6.867</v>
      </c>
      <c r="E664" s="915">
        <v>6.867</v>
      </c>
      <c r="F664" s="915">
        <v>84.906999999999996</v>
      </c>
      <c r="G664" s="922">
        <f t="shared" si="20"/>
        <v>0</v>
      </c>
      <c r="H664" s="915" t="e">
        <v>#REF!</v>
      </c>
      <c r="I664" s="915" t="e">
        <f t="shared" si="21"/>
        <v>#REF!</v>
      </c>
      <c r="J664" s="915">
        <v>1.2370000000000001</v>
      </c>
      <c r="K664" s="915">
        <v>0</v>
      </c>
      <c r="L664" s="915">
        <v>0</v>
      </c>
      <c r="M664" s="915">
        <v>1.2370000000000001</v>
      </c>
    </row>
    <row r="665" spans="1:13">
      <c r="A665" s="633" t="s">
        <v>2057</v>
      </c>
      <c r="B665" s="423" t="s">
        <v>715</v>
      </c>
      <c r="C665" s="915">
        <v>1404.377</v>
      </c>
      <c r="D665" s="915">
        <v>33.259</v>
      </c>
      <c r="E665" s="915">
        <v>33.259</v>
      </c>
      <c r="F665" s="915">
        <v>1404.377</v>
      </c>
      <c r="G665" s="922">
        <f t="shared" si="20"/>
        <v>0</v>
      </c>
      <c r="H665" s="915" t="e">
        <v>#REF!</v>
      </c>
      <c r="I665" s="915" t="e">
        <f t="shared" si="21"/>
        <v>#REF!</v>
      </c>
      <c r="J665" s="915">
        <v>206.381</v>
      </c>
      <c r="K665" s="915">
        <v>18.657</v>
      </c>
      <c r="L665" s="915">
        <v>18.657</v>
      </c>
      <c r="M665" s="915">
        <v>206.381</v>
      </c>
    </row>
    <row r="666" spans="1:13">
      <c r="A666" s="633" t="s">
        <v>2059</v>
      </c>
      <c r="B666" s="423" t="s">
        <v>716</v>
      </c>
      <c r="C666" s="915">
        <v>858.61900000000003</v>
      </c>
      <c r="D666" s="915">
        <v>13.307</v>
      </c>
      <c r="E666" s="915">
        <v>13.066000000000001</v>
      </c>
      <c r="F666" s="915">
        <v>858.37699999999995</v>
      </c>
      <c r="G666" s="922">
        <f t="shared" si="20"/>
        <v>1</v>
      </c>
      <c r="H666" s="915" t="e">
        <v>#REF!</v>
      </c>
      <c r="I666" s="915" t="e">
        <f t="shared" si="21"/>
        <v>#REF!</v>
      </c>
      <c r="J666" s="915">
        <v>2.879</v>
      </c>
      <c r="K666" s="915">
        <v>0.45600000000000002</v>
      </c>
      <c r="L666" s="915">
        <v>0.45600000000000002</v>
      </c>
      <c r="M666" s="915">
        <v>2.879</v>
      </c>
    </row>
    <row r="667" spans="1:13">
      <c r="A667" s="633" t="s">
        <v>1814</v>
      </c>
      <c r="B667" s="423" t="s">
        <v>3011</v>
      </c>
      <c r="C667" s="915">
        <v>13269.61</v>
      </c>
      <c r="D667" s="915">
        <v>261.73099999999999</v>
      </c>
      <c r="E667" s="915">
        <v>260.85700000000003</v>
      </c>
      <c r="F667" s="915">
        <v>13268.736000000001</v>
      </c>
      <c r="G667" s="922">
        <f t="shared" si="20"/>
        <v>1</v>
      </c>
      <c r="H667" s="915" t="e">
        <v>#REF!</v>
      </c>
      <c r="I667" s="915" t="e">
        <f t="shared" si="21"/>
        <v>#REF!</v>
      </c>
      <c r="J667" s="915">
        <v>4558.2389999999996</v>
      </c>
      <c r="K667" s="915">
        <v>211.078</v>
      </c>
      <c r="L667" s="915">
        <v>210.61099999999999</v>
      </c>
      <c r="M667" s="915">
        <v>4557.7719999999999</v>
      </c>
    </row>
    <row r="668" spans="1:13">
      <c r="A668" s="633" t="s">
        <v>958</v>
      </c>
      <c r="B668" s="423" t="s">
        <v>7665</v>
      </c>
      <c r="C668" s="915">
        <v>1245.569</v>
      </c>
      <c r="D668" s="915">
        <v>56.47</v>
      </c>
      <c r="E668" s="915">
        <v>30.94</v>
      </c>
      <c r="F668" s="915">
        <v>1220.039</v>
      </c>
      <c r="G668" s="922">
        <f t="shared" si="20"/>
        <v>1</v>
      </c>
      <c r="H668" s="915" t="e">
        <v>#REF!</v>
      </c>
      <c r="I668" s="915" t="e">
        <f t="shared" si="21"/>
        <v>#REF!</v>
      </c>
      <c r="J668" s="915">
        <v>31.678000000000001</v>
      </c>
      <c r="K668" s="915">
        <v>2.867</v>
      </c>
      <c r="L668" s="915">
        <v>1.4339999999999999</v>
      </c>
      <c r="M668" s="915">
        <v>30.244</v>
      </c>
    </row>
    <row r="669" spans="1:13">
      <c r="A669" s="633" t="s">
        <v>2061</v>
      </c>
      <c r="B669" s="423" t="s">
        <v>717</v>
      </c>
      <c r="C669" s="915">
        <v>192.89699999999999</v>
      </c>
      <c r="D669" s="915">
        <v>4.7530000000000001</v>
      </c>
      <c r="E669" s="915">
        <v>4.5890000000000004</v>
      </c>
      <c r="F669" s="915">
        <v>192.733</v>
      </c>
      <c r="G669" s="922">
        <f t="shared" si="20"/>
        <v>1</v>
      </c>
      <c r="H669" s="915" t="e">
        <v>#REF!</v>
      </c>
      <c r="I669" s="915" t="e">
        <f t="shared" si="21"/>
        <v>#REF!</v>
      </c>
      <c r="J669" s="915">
        <v>0</v>
      </c>
      <c r="K669" s="915">
        <v>0</v>
      </c>
      <c r="L669" s="915">
        <v>0</v>
      </c>
      <c r="M669" s="915">
        <v>0</v>
      </c>
    </row>
    <row r="670" spans="1:13">
      <c r="A670" s="633" t="s">
        <v>1845</v>
      </c>
      <c r="B670" s="423" t="s">
        <v>197</v>
      </c>
      <c r="C670" s="915">
        <v>102.80500000000001</v>
      </c>
      <c r="D670" s="915">
        <v>2.036</v>
      </c>
      <c r="E670" s="915">
        <v>2.036</v>
      </c>
      <c r="F670" s="915">
        <v>102.80500000000001</v>
      </c>
      <c r="G670" s="922">
        <f t="shared" si="20"/>
        <v>0</v>
      </c>
      <c r="H670" s="915" t="e">
        <v>#REF!</v>
      </c>
      <c r="I670" s="915" t="e">
        <f t="shared" si="21"/>
        <v>#REF!</v>
      </c>
      <c r="J670" s="915">
        <v>0</v>
      </c>
      <c r="K670" s="915">
        <v>0</v>
      </c>
      <c r="L670" s="915">
        <v>0</v>
      </c>
      <c r="M670" s="915">
        <v>0</v>
      </c>
    </row>
    <row r="671" spans="1:13">
      <c r="A671" s="633" t="s">
        <v>5237</v>
      </c>
      <c r="B671" s="423" t="s">
        <v>1666</v>
      </c>
      <c r="C671" s="915">
        <v>570.06200000000001</v>
      </c>
      <c r="D671" s="915">
        <v>0</v>
      </c>
      <c r="E671" s="915">
        <v>0</v>
      </c>
      <c r="F671" s="915">
        <v>570.06200000000001</v>
      </c>
      <c r="G671" s="922">
        <f t="shared" si="20"/>
        <v>0</v>
      </c>
      <c r="H671" s="915" t="e">
        <v>#REF!</v>
      </c>
      <c r="I671" s="915" t="e">
        <f t="shared" si="21"/>
        <v>#REF!</v>
      </c>
      <c r="J671" s="915">
        <v>1.8440000000000001</v>
      </c>
      <c r="K671" s="915">
        <v>0</v>
      </c>
      <c r="L671" s="915">
        <v>0</v>
      </c>
      <c r="M671" s="915">
        <v>1.8440000000000001</v>
      </c>
    </row>
    <row r="672" spans="1:13">
      <c r="A672" s="633" t="s">
        <v>2065</v>
      </c>
      <c r="B672" s="423" t="s">
        <v>2855</v>
      </c>
      <c r="C672" s="915">
        <v>6224.6120000000001</v>
      </c>
      <c r="D672" s="915">
        <v>35.85</v>
      </c>
      <c r="E672" s="915">
        <v>35.85</v>
      </c>
      <c r="F672" s="915">
        <v>6224.6120000000001</v>
      </c>
      <c r="G672" s="922">
        <f t="shared" si="20"/>
        <v>0</v>
      </c>
      <c r="H672" s="915" t="e">
        <v>#REF!</v>
      </c>
      <c r="I672" s="915" t="e">
        <f t="shared" si="21"/>
        <v>#REF!</v>
      </c>
      <c r="J672" s="915">
        <v>139.94200000000001</v>
      </c>
      <c r="K672" s="915">
        <v>7.8579999999999997</v>
      </c>
      <c r="L672" s="915">
        <v>7.8579999999999997</v>
      </c>
      <c r="M672" s="915">
        <v>139.94200000000001</v>
      </c>
    </row>
    <row r="673" spans="1:13">
      <c r="A673" s="633" t="s">
        <v>2905</v>
      </c>
      <c r="B673" s="423" t="s">
        <v>2155</v>
      </c>
      <c r="C673" s="915">
        <v>2549.8510000000001</v>
      </c>
      <c r="D673" s="915">
        <v>73.206999999999994</v>
      </c>
      <c r="E673" s="915">
        <v>73.206999999999994</v>
      </c>
      <c r="F673" s="915">
        <v>2549.8510000000001</v>
      </c>
      <c r="G673" s="922">
        <f t="shared" si="20"/>
        <v>0</v>
      </c>
      <c r="H673" s="915" t="e">
        <v>#REF!</v>
      </c>
      <c r="I673" s="915" t="e">
        <f t="shared" si="21"/>
        <v>#REF!</v>
      </c>
      <c r="J673" s="915">
        <v>355.72899999999998</v>
      </c>
      <c r="K673" s="915">
        <v>23.100999999999999</v>
      </c>
      <c r="L673" s="915">
        <v>23.100999999999999</v>
      </c>
      <c r="M673" s="915">
        <v>355.72899999999998</v>
      </c>
    </row>
    <row r="674" spans="1:13">
      <c r="A674" s="633" t="s">
        <v>5238</v>
      </c>
      <c r="B674" s="423" t="s">
        <v>200</v>
      </c>
      <c r="C674" s="915">
        <v>1514.577</v>
      </c>
      <c r="D674" s="915">
        <v>10.068</v>
      </c>
      <c r="E674" s="915">
        <v>10.068</v>
      </c>
      <c r="F674" s="915">
        <v>1514.577</v>
      </c>
      <c r="G674" s="922">
        <f t="shared" si="20"/>
        <v>0</v>
      </c>
      <c r="H674" s="915" t="e">
        <v>#REF!</v>
      </c>
      <c r="I674" s="915" t="e">
        <f t="shared" si="21"/>
        <v>#REF!</v>
      </c>
      <c r="J674" s="915">
        <v>24.952999999999999</v>
      </c>
      <c r="K674" s="915">
        <v>0.40500000000000003</v>
      </c>
      <c r="L674" s="915">
        <v>0.40500000000000003</v>
      </c>
      <c r="M674" s="915">
        <v>24.952999999999999</v>
      </c>
    </row>
    <row r="675" spans="1:13">
      <c r="A675" s="633" t="s">
        <v>6163</v>
      </c>
      <c r="B675" s="423" t="s">
        <v>6067</v>
      </c>
      <c r="C675" s="915">
        <v>532.14300000000003</v>
      </c>
      <c r="D675" s="915">
        <v>14.007</v>
      </c>
      <c r="E675" s="915">
        <v>7.8129999999999997</v>
      </c>
      <c r="F675" s="915">
        <v>525.94899999999996</v>
      </c>
      <c r="G675" s="922">
        <f t="shared" si="20"/>
        <v>1</v>
      </c>
      <c r="H675" s="915" t="e">
        <v>#REF!</v>
      </c>
      <c r="I675" s="915" t="e">
        <f t="shared" si="21"/>
        <v>#REF!</v>
      </c>
      <c r="J675" s="915">
        <v>6.2160000000000002</v>
      </c>
      <c r="K675" s="915">
        <v>0.45600000000000002</v>
      </c>
      <c r="L675" s="915">
        <v>0.22800000000000001</v>
      </c>
      <c r="M675" s="915">
        <v>5.9880000000000004</v>
      </c>
    </row>
    <row r="676" spans="1:13">
      <c r="A676" s="633" t="s">
        <v>2470</v>
      </c>
      <c r="B676" s="423" t="s">
        <v>6075</v>
      </c>
      <c r="C676" s="915">
        <v>1184.5160000000001</v>
      </c>
      <c r="D676" s="915">
        <v>29.155999999999999</v>
      </c>
      <c r="E676" s="915">
        <v>28.672000000000001</v>
      </c>
      <c r="F676" s="915">
        <v>1184.0319999999999</v>
      </c>
      <c r="G676" s="922">
        <f t="shared" si="20"/>
        <v>1</v>
      </c>
      <c r="H676" s="915" t="e">
        <v>#REF!</v>
      </c>
      <c r="I676" s="915" t="e">
        <f t="shared" si="21"/>
        <v>#REF!</v>
      </c>
      <c r="J676" s="915">
        <v>180.92400000000001</v>
      </c>
      <c r="K676" s="915">
        <v>12.784000000000001</v>
      </c>
      <c r="L676" s="915">
        <v>12.784000000000001</v>
      </c>
      <c r="M676" s="915">
        <v>180.92400000000001</v>
      </c>
    </row>
    <row r="677" spans="1:13">
      <c r="A677" s="633" t="s">
        <v>973</v>
      </c>
      <c r="B677" s="423" t="s">
        <v>718</v>
      </c>
      <c r="C677" s="915">
        <v>694.79300000000001</v>
      </c>
      <c r="D677" s="915">
        <v>12.353</v>
      </c>
      <c r="E677" s="915">
        <v>12.353</v>
      </c>
      <c r="F677" s="915">
        <v>694.79300000000001</v>
      </c>
      <c r="G677" s="922">
        <f t="shared" si="20"/>
        <v>0</v>
      </c>
      <c r="H677" s="915" t="e">
        <v>#REF!</v>
      </c>
      <c r="I677" s="915" t="e">
        <f t="shared" si="21"/>
        <v>#REF!</v>
      </c>
      <c r="J677" s="915">
        <v>17.888000000000002</v>
      </c>
      <c r="K677" s="915">
        <v>2.145</v>
      </c>
      <c r="L677" s="915">
        <v>2.145</v>
      </c>
      <c r="M677" s="915">
        <v>17.888000000000002</v>
      </c>
    </row>
    <row r="678" spans="1:13">
      <c r="A678" s="633" t="s">
        <v>2769</v>
      </c>
      <c r="B678" s="423" t="s">
        <v>359</v>
      </c>
      <c r="C678" s="915">
        <v>514.77200000000005</v>
      </c>
      <c r="D678" s="915">
        <v>4.7229999999999999</v>
      </c>
      <c r="E678" s="915">
        <v>4.7229999999999999</v>
      </c>
      <c r="F678" s="915">
        <v>514.77200000000005</v>
      </c>
      <c r="G678" s="922">
        <f t="shared" si="20"/>
        <v>0</v>
      </c>
      <c r="H678" s="915" t="e">
        <v>#REF!</v>
      </c>
      <c r="I678" s="915" t="e">
        <f t="shared" si="21"/>
        <v>#REF!</v>
      </c>
      <c r="J678" s="915">
        <v>5.0490000000000004</v>
      </c>
      <c r="K678" s="915">
        <v>0</v>
      </c>
      <c r="L678" s="915">
        <v>0</v>
      </c>
      <c r="M678" s="915">
        <v>5.0490000000000004</v>
      </c>
    </row>
    <row r="679" spans="1:13">
      <c r="A679" s="633" t="s">
        <v>3553</v>
      </c>
      <c r="B679" s="423" t="s">
        <v>4060</v>
      </c>
      <c r="C679" s="915">
        <v>13979.9</v>
      </c>
      <c r="D679" s="915">
        <v>546.09500000000003</v>
      </c>
      <c r="E679" s="915">
        <v>423.67</v>
      </c>
      <c r="F679" s="915">
        <v>13857.475</v>
      </c>
      <c r="G679" s="922">
        <f t="shared" si="20"/>
        <v>1</v>
      </c>
      <c r="H679" s="915" t="e">
        <v>#REF!</v>
      </c>
      <c r="I679" s="915" t="e">
        <f t="shared" si="21"/>
        <v>#REF!</v>
      </c>
      <c r="J679" s="915">
        <v>2118.578</v>
      </c>
      <c r="K679" s="915">
        <v>156.804</v>
      </c>
      <c r="L679" s="915">
        <v>111.679</v>
      </c>
      <c r="M679" s="915">
        <v>2073.4520000000002</v>
      </c>
    </row>
    <row r="680" spans="1:13">
      <c r="A680" s="633" t="s">
        <v>3556</v>
      </c>
      <c r="B680" s="423" t="s">
        <v>4067</v>
      </c>
      <c r="C680" s="915">
        <v>1392.4549999999999</v>
      </c>
      <c r="D680" s="915">
        <v>18.911999999999999</v>
      </c>
      <c r="E680" s="915">
        <v>18.803000000000001</v>
      </c>
      <c r="F680" s="915">
        <v>1392.346</v>
      </c>
      <c r="G680" s="922">
        <f t="shared" si="20"/>
        <v>1</v>
      </c>
      <c r="H680" s="915" t="e">
        <v>#REF!</v>
      </c>
      <c r="I680" s="915" t="e">
        <f t="shared" si="21"/>
        <v>#REF!</v>
      </c>
      <c r="J680" s="915">
        <v>41.61</v>
      </c>
      <c r="K680" s="915">
        <v>4.0170000000000003</v>
      </c>
      <c r="L680" s="915">
        <v>4.0170000000000003</v>
      </c>
      <c r="M680" s="915">
        <v>41.61</v>
      </c>
    </row>
    <row r="681" spans="1:13">
      <c r="A681" s="633" t="s">
        <v>5052</v>
      </c>
      <c r="B681" s="423" t="s">
        <v>719</v>
      </c>
      <c r="C681" s="915">
        <v>740.20500000000004</v>
      </c>
      <c r="D681" s="915">
        <v>10.734</v>
      </c>
      <c r="E681" s="915">
        <v>10.423999999999999</v>
      </c>
      <c r="F681" s="915">
        <v>739.89499999999998</v>
      </c>
      <c r="G681" s="922">
        <f t="shared" si="20"/>
        <v>1</v>
      </c>
      <c r="H681" s="915" t="e">
        <v>#REF!</v>
      </c>
      <c r="I681" s="915" t="e">
        <f t="shared" si="21"/>
        <v>#REF!</v>
      </c>
      <c r="J681" s="915">
        <v>0.25600000000000001</v>
      </c>
      <c r="K681" s="915">
        <v>0</v>
      </c>
      <c r="L681" s="915">
        <v>0</v>
      </c>
      <c r="M681" s="915">
        <v>0.25600000000000001</v>
      </c>
    </row>
    <row r="682" spans="1:13">
      <c r="A682" s="633" t="s">
        <v>5054</v>
      </c>
      <c r="B682" s="423" t="s">
        <v>720</v>
      </c>
      <c r="C682" s="915">
        <v>806.36300000000006</v>
      </c>
      <c r="D682" s="915">
        <v>0</v>
      </c>
      <c r="E682" s="915">
        <v>0</v>
      </c>
      <c r="F682" s="915">
        <v>806.36300000000006</v>
      </c>
      <c r="G682" s="922">
        <f t="shared" si="20"/>
        <v>0</v>
      </c>
      <c r="H682" s="915" t="e">
        <v>#REF!</v>
      </c>
      <c r="I682" s="915" t="e">
        <f t="shared" si="21"/>
        <v>#REF!</v>
      </c>
      <c r="J682" s="915">
        <v>18.952999999999999</v>
      </c>
      <c r="K682" s="915">
        <v>0</v>
      </c>
      <c r="L682" s="915">
        <v>0</v>
      </c>
      <c r="M682" s="915">
        <v>18.952999999999999</v>
      </c>
    </row>
    <row r="683" spans="1:13">
      <c r="A683" s="633" t="s">
        <v>737</v>
      </c>
      <c r="B683" s="423" t="s">
        <v>6110</v>
      </c>
      <c r="C683" s="915">
        <v>2066.7739999999999</v>
      </c>
      <c r="D683" s="915">
        <v>27.265000000000001</v>
      </c>
      <c r="E683" s="915">
        <v>14.534000000000001</v>
      </c>
      <c r="F683" s="915">
        <v>2054.0430000000001</v>
      </c>
      <c r="G683" s="922">
        <f t="shared" si="20"/>
        <v>1</v>
      </c>
      <c r="H683" s="915" t="e">
        <v>#REF!</v>
      </c>
      <c r="I683" s="915" t="e">
        <f t="shared" si="21"/>
        <v>#REF!</v>
      </c>
      <c r="J683" s="915">
        <v>20.331</v>
      </c>
      <c r="K683" s="915">
        <v>2.9950000000000001</v>
      </c>
      <c r="L683" s="915">
        <v>1.5209999999999999</v>
      </c>
      <c r="M683" s="915">
        <v>18.856999999999999</v>
      </c>
    </row>
    <row r="684" spans="1:13">
      <c r="A684" s="633" t="s">
        <v>237</v>
      </c>
      <c r="B684" s="423" t="s">
        <v>2644</v>
      </c>
      <c r="C684" s="915">
        <v>2345.7179999999998</v>
      </c>
      <c r="D684" s="915">
        <v>107.946</v>
      </c>
      <c r="E684" s="915">
        <v>56.475999999999999</v>
      </c>
      <c r="F684" s="915">
        <v>2294.248</v>
      </c>
      <c r="G684" s="922">
        <f t="shared" si="20"/>
        <v>1</v>
      </c>
      <c r="H684" s="915" t="e">
        <v>#REF!</v>
      </c>
      <c r="I684" s="915" t="e">
        <f t="shared" si="21"/>
        <v>#REF!</v>
      </c>
      <c r="J684" s="915">
        <v>127.78100000000001</v>
      </c>
      <c r="K684" s="915">
        <v>14.992000000000001</v>
      </c>
      <c r="L684" s="915">
        <v>7.5190000000000001</v>
      </c>
      <c r="M684" s="915">
        <v>120.30800000000001</v>
      </c>
    </row>
    <row r="685" spans="1:13">
      <c r="A685" s="633" t="s">
        <v>2307</v>
      </c>
      <c r="B685" s="423" t="s">
        <v>365</v>
      </c>
      <c r="C685" s="915">
        <v>2105.7919999999999</v>
      </c>
      <c r="D685" s="915">
        <v>0</v>
      </c>
      <c r="E685" s="915">
        <v>0</v>
      </c>
      <c r="F685" s="915">
        <v>2105.7919999999999</v>
      </c>
      <c r="G685" s="922">
        <f t="shared" si="20"/>
        <v>0</v>
      </c>
      <c r="H685" s="915" t="e">
        <v>#REF!</v>
      </c>
      <c r="I685" s="915" t="e">
        <f t="shared" si="21"/>
        <v>#REF!</v>
      </c>
      <c r="J685" s="915">
        <v>15.952999999999999</v>
      </c>
      <c r="K685" s="915">
        <v>0</v>
      </c>
      <c r="L685" s="915">
        <v>0</v>
      </c>
      <c r="M685" s="915">
        <v>15.952999999999999</v>
      </c>
    </row>
    <row r="686" spans="1:13">
      <c r="A686" s="633" t="s">
        <v>957</v>
      </c>
      <c r="B686" s="423" t="s">
        <v>7664</v>
      </c>
      <c r="C686" s="915">
        <v>485.42200000000003</v>
      </c>
      <c r="D686" s="915">
        <v>27.855</v>
      </c>
      <c r="E686" s="915">
        <v>16.003</v>
      </c>
      <c r="F686" s="915">
        <v>473.57</v>
      </c>
      <c r="G686" s="922">
        <f t="shared" si="20"/>
        <v>1</v>
      </c>
      <c r="H686" s="915" t="e">
        <v>#REF!</v>
      </c>
      <c r="I686" s="915" t="e">
        <f t="shared" si="21"/>
        <v>#REF!</v>
      </c>
      <c r="J686" s="915">
        <v>14.999000000000001</v>
      </c>
      <c r="K686" s="915">
        <v>2.9079999999999999</v>
      </c>
      <c r="L686" s="915">
        <v>1.454</v>
      </c>
      <c r="M686" s="915">
        <v>13.545</v>
      </c>
    </row>
    <row r="687" spans="1:13">
      <c r="A687" s="633" t="s">
        <v>5056</v>
      </c>
      <c r="B687" s="423" t="s">
        <v>721</v>
      </c>
      <c r="C687" s="915">
        <v>114.381</v>
      </c>
      <c r="D687" s="915">
        <v>0</v>
      </c>
      <c r="E687" s="915">
        <v>0</v>
      </c>
      <c r="F687" s="915">
        <v>114.381</v>
      </c>
      <c r="G687" s="922">
        <f t="shared" si="20"/>
        <v>0</v>
      </c>
      <c r="H687" s="915" t="e">
        <v>#REF!</v>
      </c>
      <c r="I687" s="915" t="e">
        <f t="shared" si="21"/>
        <v>#REF!</v>
      </c>
      <c r="J687" s="915">
        <v>1.8280000000000001</v>
      </c>
      <c r="K687" s="915">
        <v>0</v>
      </c>
      <c r="L687" s="915">
        <v>0</v>
      </c>
      <c r="M687" s="915">
        <v>1.8280000000000001</v>
      </c>
    </row>
    <row r="688" spans="1:13">
      <c r="A688" s="633" t="s">
        <v>5137</v>
      </c>
      <c r="B688" s="423" t="s">
        <v>722</v>
      </c>
      <c r="C688" s="915">
        <v>139.88399999999999</v>
      </c>
      <c r="D688" s="915">
        <v>3.3820000000000001</v>
      </c>
      <c r="E688" s="915">
        <v>3.3820000000000001</v>
      </c>
      <c r="F688" s="915">
        <v>139.88399999999999</v>
      </c>
      <c r="G688" s="922">
        <f t="shared" si="20"/>
        <v>0</v>
      </c>
      <c r="H688" s="915" t="e">
        <v>#REF!</v>
      </c>
      <c r="I688" s="915" t="e">
        <f t="shared" si="21"/>
        <v>#REF!</v>
      </c>
      <c r="J688" s="915">
        <v>4.431</v>
      </c>
      <c r="K688" s="915">
        <v>0.5</v>
      </c>
      <c r="L688" s="915">
        <v>0.5</v>
      </c>
      <c r="M688" s="915">
        <v>4.431</v>
      </c>
    </row>
    <row r="689" spans="1:13">
      <c r="A689" s="633" t="s">
        <v>1151</v>
      </c>
      <c r="B689" s="423" t="s">
        <v>3778</v>
      </c>
      <c r="C689" s="915">
        <v>176.57900000000001</v>
      </c>
      <c r="D689" s="915">
        <v>0</v>
      </c>
      <c r="E689" s="915">
        <v>0</v>
      </c>
      <c r="F689" s="915">
        <v>176.57900000000001</v>
      </c>
      <c r="G689" s="922">
        <f t="shared" si="20"/>
        <v>0</v>
      </c>
      <c r="H689" s="915" t="e">
        <v>#REF!</v>
      </c>
      <c r="I689" s="915" t="e">
        <f t="shared" si="21"/>
        <v>#REF!</v>
      </c>
      <c r="J689" s="915">
        <v>4.0289999999999999</v>
      </c>
      <c r="K689" s="915">
        <v>0</v>
      </c>
      <c r="L689" s="915">
        <v>0</v>
      </c>
      <c r="M689" s="915">
        <v>4.0289999999999999</v>
      </c>
    </row>
    <row r="690" spans="1:13">
      <c r="A690" s="633" t="s">
        <v>1153</v>
      </c>
      <c r="B690" s="423" t="s">
        <v>3778</v>
      </c>
      <c r="C690" s="915">
        <v>187.185</v>
      </c>
      <c r="D690" s="915">
        <v>0</v>
      </c>
      <c r="E690" s="915">
        <v>0</v>
      </c>
      <c r="F690" s="915">
        <v>187.185</v>
      </c>
      <c r="G690" s="922">
        <f t="shared" si="20"/>
        <v>0</v>
      </c>
      <c r="H690" s="915" t="e">
        <v>#REF!</v>
      </c>
      <c r="I690" s="915" t="e">
        <f t="shared" si="21"/>
        <v>#REF!</v>
      </c>
      <c r="J690" s="915">
        <v>5.59</v>
      </c>
      <c r="K690" s="915">
        <v>0</v>
      </c>
      <c r="L690" s="915">
        <v>0</v>
      </c>
      <c r="M690" s="915">
        <v>5.59</v>
      </c>
    </row>
    <row r="691" spans="1:13">
      <c r="A691" s="633" t="s">
        <v>4568</v>
      </c>
      <c r="B691" s="423" t="s">
        <v>723</v>
      </c>
      <c r="C691" s="915">
        <v>145.56200000000001</v>
      </c>
      <c r="D691" s="915">
        <v>3.153</v>
      </c>
      <c r="E691" s="915">
        <v>3.153</v>
      </c>
      <c r="F691" s="915">
        <v>145.56200000000001</v>
      </c>
      <c r="G691" s="922">
        <f t="shared" si="20"/>
        <v>0</v>
      </c>
      <c r="H691" s="915" t="e">
        <v>#REF!</v>
      </c>
      <c r="I691" s="915" t="e">
        <f t="shared" si="21"/>
        <v>#REF!</v>
      </c>
      <c r="J691" s="915">
        <v>5.6559999999999997</v>
      </c>
      <c r="K691" s="915">
        <v>0</v>
      </c>
      <c r="L691" s="915">
        <v>0</v>
      </c>
      <c r="M691" s="915">
        <v>5.6559999999999997</v>
      </c>
    </row>
    <row r="692" spans="1:13">
      <c r="A692" s="633" t="s">
        <v>2053</v>
      </c>
      <c r="B692" s="423" t="s">
        <v>999</v>
      </c>
      <c r="C692" s="915">
        <v>1807.422</v>
      </c>
      <c r="D692" s="915">
        <v>48.256</v>
      </c>
      <c r="E692" s="915">
        <v>47.783999999999999</v>
      </c>
      <c r="F692" s="915">
        <v>1806.95</v>
      </c>
      <c r="G692" s="922">
        <f t="shared" si="20"/>
        <v>1</v>
      </c>
      <c r="H692" s="915" t="e">
        <v>#REF!</v>
      </c>
      <c r="I692" s="915" t="e">
        <f t="shared" si="21"/>
        <v>#REF!</v>
      </c>
      <c r="J692" s="915">
        <v>47.198</v>
      </c>
      <c r="K692" s="915">
        <v>3.0760000000000001</v>
      </c>
      <c r="L692" s="915">
        <v>3.0760000000000001</v>
      </c>
      <c r="M692" s="915">
        <v>47.198</v>
      </c>
    </row>
    <row r="693" spans="1:13">
      <c r="A693" s="633" t="s">
        <v>1846</v>
      </c>
      <c r="B693" s="423" t="s">
        <v>7813</v>
      </c>
      <c r="C693" s="915">
        <v>313.59699999999998</v>
      </c>
      <c r="D693" s="915">
        <v>0</v>
      </c>
      <c r="E693" s="915">
        <v>0</v>
      </c>
      <c r="F693" s="915">
        <v>313.59699999999998</v>
      </c>
      <c r="G693" s="922">
        <f t="shared" si="20"/>
        <v>0</v>
      </c>
      <c r="H693" s="915" t="e">
        <v>#REF!</v>
      </c>
      <c r="I693" s="915" t="e">
        <f t="shared" si="21"/>
        <v>#REF!</v>
      </c>
      <c r="J693" s="915">
        <v>4.9320000000000004</v>
      </c>
      <c r="K693" s="915">
        <v>0</v>
      </c>
      <c r="L693" s="915">
        <v>0</v>
      </c>
      <c r="M693" s="915">
        <v>4.9320000000000004</v>
      </c>
    </row>
    <row r="694" spans="1:13">
      <c r="A694" s="633" t="s">
        <v>5239</v>
      </c>
      <c r="B694" s="423" t="s">
        <v>505</v>
      </c>
      <c r="C694" s="915">
        <v>1008.859</v>
      </c>
      <c r="D694" s="915">
        <v>36.472999999999999</v>
      </c>
      <c r="E694" s="915">
        <v>36.472999999999999</v>
      </c>
      <c r="F694" s="915">
        <v>1008.859</v>
      </c>
      <c r="G694" s="922">
        <f t="shared" si="20"/>
        <v>0</v>
      </c>
      <c r="H694" s="915" t="e">
        <v>#REF!</v>
      </c>
      <c r="I694" s="915" t="e">
        <f t="shared" si="21"/>
        <v>#REF!</v>
      </c>
      <c r="J694" s="915">
        <v>50.533000000000001</v>
      </c>
      <c r="K694" s="915">
        <v>2.1179999999999999</v>
      </c>
      <c r="L694" s="915">
        <v>2.1179999999999999</v>
      </c>
      <c r="M694" s="915">
        <v>50.533000000000001</v>
      </c>
    </row>
    <row r="695" spans="1:13">
      <c r="A695" s="633" t="s">
        <v>1870</v>
      </c>
      <c r="B695" s="423" t="s">
        <v>3849</v>
      </c>
      <c r="C695" s="915">
        <v>2119.4929999999999</v>
      </c>
      <c r="D695" s="915">
        <v>38.957999999999998</v>
      </c>
      <c r="E695" s="915">
        <v>38.424999999999997</v>
      </c>
      <c r="F695" s="915">
        <v>2118.9609999999998</v>
      </c>
      <c r="G695" s="922">
        <f t="shared" si="20"/>
        <v>1</v>
      </c>
      <c r="H695" s="915" t="e">
        <v>#REF!</v>
      </c>
      <c r="I695" s="915" t="e">
        <f t="shared" si="21"/>
        <v>#REF!</v>
      </c>
      <c r="J695" s="915">
        <v>45.720999999999997</v>
      </c>
      <c r="K695" s="915">
        <v>2.21</v>
      </c>
      <c r="L695" s="915">
        <v>2.21</v>
      </c>
      <c r="M695" s="915">
        <v>45.720999999999997</v>
      </c>
    </row>
    <row r="696" spans="1:13">
      <c r="A696" s="633" t="s">
        <v>6169</v>
      </c>
      <c r="B696" s="423" t="s">
        <v>6079</v>
      </c>
      <c r="C696" s="915">
        <v>3057.1480000000001</v>
      </c>
      <c r="D696" s="915">
        <v>51.828000000000003</v>
      </c>
      <c r="E696" s="915">
        <v>43.548999999999999</v>
      </c>
      <c r="F696" s="915">
        <v>3048.8690000000001</v>
      </c>
      <c r="G696" s="922">
        <f t="shared" si="20"/>
        <v>1</v>
      </c>
      <c r="H696" s="915" t="e">
        <v>#REF!</v>
      </c>
      <c r="I696" s="915" t="e">
        <f t="shared" si="21"/>
        <v>#REF!</v>
      </c>
      <c r="J696" s="915">
        <v>129.529</v>
      </c>
      <c r="K696" s="915">
        <v>7.1059999999999999</v>
      </c>
      <c r="L696" s="915">
        <v>5.88</v>
      </c>
      <c r="M696" s="915">
        <v>128.303</v>
      </c>
    </row>
    <row r="697" spans="1:13">
      <c r="A697" s="633" t="s">
        <v>574</v>
      </c>
      <c r="B697" s="423" t="s">
        <v>724</v>
      </c>
      <c r="C697" s="915">
        <v>317.27300000000002</v>
      </c>
      <c r="D697" s="915">
        <v>3.6379999999999999</v>
      </c>
      <c r="E697" s="915">
        <v>3.6379999999999999</v>
      </c>
      <c r="F697" s="915">
        <v>317.27300000000002</v>
      </c>
      <c r="G697" s="922">
        <f t="shared" si="20"/>
        <v>0</v>
      </c>
      <c r="H697" s="915" t="e">
        <v>#REF!</v>
      </c>
      <c r="I697" s="915" t="e">
        <f t="shared" si="21"/>
        <v>#REF!</v>
      </c>
      <c r="J697" s="915">
        <v>9.9819999999999993</v>
      </c>
      <c r="K697" s="915">
        <v>0.45500000000000002</v>
      </c>
      <c r="L697" s="915">
        <v>0.45500000000000002</v>
      </c>
      <c r="M697" s="915">
        <v>9.9819999999999993</v>
      </c>
    </row>
    <row r="698" spans="1:13">
      <c r="A698" s="633" t="s">
        <v>6172</v>
      </c>
      <c r="B698" s="423" t="s">
        <v>497</v>
      </c>
      <c r="C698" s="915">
        <v>19718.620999999999</v>
      </c>
      <c r="D698" s="915">
        <v>408.26600000000002</v>
      </c>
      <c r="E698" s="915">
        <v>308.89499999999998</v>
      </c>
      <c r="F698" s="915">
        <v>19619.25</v>
      </c>
      <c r="G698" s="922">
        <f t="shared" si="20"/>
        <v>1</v>
      </c>
      <c r="H698" s="915" t="e">
        <v>#REF!</v>
      </c>
      <c r="I698" s="915" t="e">
        <f t="shared" si="21"/>
        <v>#REF!</v>
      </c>
      <c r="J698" s="915">
        <v>1772.931</v>
      </c>
      <c r="K698" s="915">
        <v>107.423</v>
      </c>
      <c r="L698" s="915">
        <v>74.619</v>
      </c>
      <c r="M698" s="915">
        <v>1740.1279999999999</v>
      </c>
    </row>
    <row r="699" spans="1:13">
      <c r="A699" s="633" t="s">
        <v>578</v>
      </c>
      <c r="B699" s="423" t="s">
        <v>725</v>
      </c>
      <c r="C699" s="915">
        <v>1556.2170000000001</v>
      </c>
      <c r="D699" s="915">
        <v>18.701000000000001</v>
      </c>
      <c r="E699" s="915">
        <v>18.701000000000001</v>
      </c>
      <c r="F699" s="915">
        <v>1556.2170000000001</v>
      </c>
      <c r="G699" s="922">
        <f t="shared" si="20"/>
        <v>0</v>
      </c>
      <c r="H699" s="915" t="e">
        <v>#REF!</v>
      </c>
      <c r="I699" s="915" t="e">
        <f t="shared" si="21"/>
        <v>#REF!</v>
      </c>
      <c r="J699" s="915">
        <v>66.385000000000005</v>
      </c>
      <c r="K699" s="915">
        <v>8.8689999999999998</v>
      </c>
      <c r="L699" s="915">
        <v>8.8689999999999998</v>
      </c>
      <c r="M699" s="915">
        <v>66.385000000000005</v>
      </c>
    </row>
    <row r="700" spans="1:13">
      <c r="A700" s="633" t="s">
        <v>980</v>
      </c>
      <c r="B700" s="423" t="s">
        <v>6098</v>
      </c>
      <c r="C700" s="915">
        <v>1493.16</v>
      </c>
      <c r="D700" s="915">
        <v>43.481999999999999</v>
      </c>
      <c r="E700" s="915">
        <v>43.481999999999999</v>
      </c>
      <c r="F700" s="915">
        <v>1493.16</v>
      </c>
      <c r="G700" s="922">
        <f t="shared" si="20"/>
        <v>0</v>
      </c>
      <c r="H700" s="915" t="e">
        <v>#REF!</v>
      </c>
      <c r="I700" s="915" t="e">
        <f t="shared" si="21"/>
        <v>#REF!</v>
      </c>
      <c r="J700" s="915">
        <v>110.953</v>
      </c>
      <c r="K700" s="915">
        <v>7.4870000000000001</v>
      </c>
      <c r="L700" s="915">
        <v>7.4870000000000001</v>
      </c>
      <c r="M700" s="915">
        <v>110.953</v>
      </c>
    </row>
    <row r="701" spans="1:13">
      <c r="A701" s="633" t="s">
        <v>3972</v>
      </c>
      <c r="B701" s="423" t="s">
        <v>726</v>
      </c>
      <c r="C701" s="915">
        <v>133.43199999999999</v>
      </c>
      <c r="D701" s="915">
        <v>3.7280000000000002</v>
      </c>
      <c r="E701" s="915">
        <v>3.7280000000000002</v>
      </c>
      <c r="F701" s="915">
        <v>133.43199999999999</v>
      </c>
      <c r="G701" s="922">
        <f t="shared" si="20"/>
        <v>0</v>
      </c>
      <c r="H701" s="915" t="e">
        <v>#REF!</v>
      </c>
      <c r="I701" s="915" t="e">
        <f t="shared" si="21"/>
        <v>#REF!</v>
      </c>
      <c r="J701" s="915">
        <v>0</v>
      </c>
      <c r="K701" s="915">
        <v>0</v>
      </c>
      <c r="L701" s="915">
        <v>0</v>
      </c>
      <c r="M701" s="915">
        <v>0</v>
      </c>
    </row>
    <row r="702" spans="1:13">
      <c r="A702" s="633" t="s">
        <v>6173</v>
      </c>
      <c r="B702" s="423" t="s">
        <v>727</v>
      </c>
      <c r="C702" s="915">
        <v>414.34500000000003</v>
      </c>
      <c r="D702" s="915">
        <v>7.5289999999999999</v>
      </c>
      <c r="E702" s="915">
        <v>7.5289999999999999</v>
      </c>
      <c r="F702" s="915">
        <v>414.34500000000003</v>
      </c>
      <c r="G702" s="922">
        <f t="shared" si="20"/>
        <v>0</v>
      </c>
      <c r="H702" s="915" t="e">
        <v>#REF!</v>
      </c>
      <c r="I702" s="915" t="e">
        <f t="shared" si="21"/>
        <v>#REF!</v>
      </c>
      <c r="J702" s="915">
        <v>17.143999999999998</v>
      </c>
      <c r="K702" s="915">
        <v>0.38500000000000001</v>
      </c>
      <c r="L702" s="915">
        <v>0.38500000000000001</v>
      </c>
      <c r="M702" s="915">
        <v>17.143999999999998</v>
      </c>
    </row>
    <row r="703" spans="1:13">
      <c r="A703" s="633" t="s">
        <v>3974</v>
      </c>
      <c r="B703" s="423" t="s">
        <v>728</v>
      </c>
      <c r="C703" s="915">
        <v>1593.787</v>
      </c>
      <c r="D703" s="915">
        <v>16.966000000000001</v>
      </c>
      <c r="E703" s="915">
        <v>16.966000000000001</v>
      </c>
      <c r="F703" s="915">
        <v>1593.787</v>
      </c>
      <c r="G703" s="922">
        <f t="shared" si="20"/>
        <v>0</v>
      </c>
      <c r="H703" s="915" t="e">
        <v>#REF!</v>
      </c>
      <c r="I703" s="915" t="e">
        <f t="shared" si="21"/>
        <v>#REF!</v>
      </c>
      <c r="J703" s="915">
        <v>69.521000000000001</v>
      </c>
      <c r="K703" s="915">
        <v>4.4660000000000002</v>
      </c>
      <c r="L703" s="915">
        <v>4.4660000000000002</v>
      </c>
      <c r="M703" s="915">
        <v>69.521000000000001</v>
      </c>
    </row>
    <row r="704" spans="1:13">
      <c r="A704" s="633" t="s">
        <v>814</v>
      </c>
      <c r="B704" s="423" t="s">
        <v>729</v>
      </c>
      <c r="C704" s="915">
        <v>529.80600000000004</v>
      </c>
      <c r="D704" s="915">
        <v>8.4830000000000005</v>
      </c>
      <c r="E704" s="915">
        <v>8.4830000000000005</v>
      </c>
      <c r="F704" s="915">
        <v>529.80600000000004</v>
      </c>
      <c r="G704" s="922">
        <f t="shared" si="20"/>
        <v>0</v>
      </c>
      <c r="H704" s="915" t="e">
        <v>#REF!</v>
      </c>
      <c r="I704" s="915" t="e">
        <f t="shared" si="21"/>
        <v>#REF!</v>
      </c>
      <c r="J704" s="915">
        <v>30.166</v>
      </c>
      <c r="K704" s="915">
        <v>2.3959999999999999</v>
      </c>
      <c r="L704" s="915">
        <v>2.3959999999999999</v>
      </c>
      <c r="M704" s="915">
        <v>30.166</v>
      </c>
    </row>
    <row r="705" spans="1:13">
      <c r="A705" s="633" t="s">
        <v>4587</v>
      </c>
      <c r="B705" s="423" t="s">
        <v>2144</v>
      </c>
      <c r="C705" s="915">
        <v>171.76499999999999</v>
      </c>
      <c r="D705" s="915">
        <v>4.1849999999999996</v>
      </c>
      <c r="E705" s="915">
        <v>4.1849999999999996</v>
      </c>
      <c r="F705" s="915">
        <v>171.76499999999999</v>
      </c>
      <c r="G705" s="922">
        <f t="shared" si="20"/>
        <v>0</v>
      </c>
      <c r="H705" s="915" t="e">
        <v>#REF!</v>
      </c>
      <c r="I705" s="915" t="e">
        <f t="shared" si="21"/>
        <v>#REF!</v>
      </c>
      <c r="J705" s="915">
        <v>5.109</v>
      </c>
      <c r="K705" s="915">
        <v>0.42299999999999999</v>
      </c>
      <c r="L705" s="915">
        <v>0.42299999999999999</v>
      </c>
      <c r="M705" s="915">
        <v>5.109</v>
      </c>
    </row>
    <row r="706" spans="1:13">
      <c r="A706" s="633" t="s">
        <v>1852</v>
      </c>
      <c r="B706" s="423" t="s">
        <v>4963</v>
      </c>
      <c r="C706" s="915">
        <v>551.77099999999996</v>
      </c>
      <c r="D706" s="915">
        <v>6.42</v>
      </c>
      <c r="E706" s="915">
        <v>6.42</v>
      </c>
      <c r="F706" s="915">
        <v>551.77099999999996</v>
      </c>
      <c r="G706" s="922">
        <f t="shared" si="20"/>
        <v>0</v>
      </c>
      <c r="H706" s="915" t="e">
        <v>#REF!</v>
      </c>
      <c r="I706" s="915" t="e">
        <f t="shared" si="21"/>
        <v>#REF!</v>
      </c>
      <c r="J706" s="915">
        <v>19.204999999999998</v>
      </c>
      <c r="K706" s="915">
        <v>2.17</v>
      </c>
      <c r="L706" s="915">
        <v>2.17</v>
      </c>
      <c r="M706" s="915">
        <v>19.204999999999998</v>
      </c>
    </row>
    <row r="707" spans="1:13">
      <c r="A707" s="633" t="s">
        <v>141</v>
      </c>
      <c r="B707" s="423" t="s">
        <v>730</v>
      </c>
      <c r="C707" s="915">
        <v>90.649000000000001</v>
      </c>
      <c r="D707" s="915">
        <v>3.109</v>
      </c>
      <c r="E707" s="915">
        <v>3.109</v>
      </c>
      <c r="F707" s="915">
        <v>90.649000000000001</v>
      </c>
      <c r="G707" s="922">
        <f t="shared" ref="G707:G770" si="22">IF(F707&lt;C707,1,0)</f>
        <v>0</v>
      </c>
      <c r="H707" s="915" t="e">
        <v>#REF!</v>
      </c>
      <c r="I707" s="915" t="e">
        <f t="shared" ref="I707:I770" si="23">F707-H707</f>
        <v>#REF!</v>
      </c>
      <c r="J707" s="915">
        <v>6.4809999999999999</v>
      </c>
      <c r="K707" s="915">
        <v>0.48099999999999998</v>
      </c>
      <c r="L707" s="915">
        <v>0.48099999999999998</v>
      </c>
      <c r="M707" s="915">
        <v>6.4809999999999999</v>
      </c>
    </row>
    <row r="708" spans="1:13">
      <c r="A708" s="633" t="s">
        <v>143</v>
      </c>
      <c r="B708" s="423" t="s">
        <v>524</v>
      </c>
      <c r="C708" s="915">
        <v>62.561999999999998</v>
      </c>
      <c r="D708" s="915">
        <v>2.2970000000000002</v>
      </c>
      <c r="E708" s="915">
        <v>1.1779999999999999</v>
      </c>
      <c r="F708" s="915">
        <v>61.444000000000003</v>
      </c>
      <c r="G708" s="922">
        <f t="shared" si="22"/>
        <v>1</v>
      </c>
      <c r="H708" s="915" t="e">
        <v>#REF!</v>
      </c>
      <c r="I708" s="915" t="e">
        <f t="shared" si="23"/>
        <v>#REF!</v>
      </c>
      <c r="J708" s="915">
        <v>9.6129999999999995</v>
      </c>
      <c r="K708" s="915">
        <v>1.948</v>
      </c>
      <c r="L708" s="915">
        <v>0.97399999999999998</v>
      </c>
      <c r="M708" s="915">
        <v>8.6389999999999993</v>
      </c>
    </row>
    <row r="709" spans="1:13">
      <c r="A709" s="633" t="s">
        <v>1847</v>
      </c>
      <c r="B709" s="423" t="s">
        <v>351</v>
      </c>
      <c r="C709" s="915">
        <v>95.212999999999994</v>
      </c>
      <c r="D709" s="915">
        <v>8.1820000000000004</v>
      </c>
      <c r="E709" s="915">
        <v>4.1820000000000004</v>
      </c>
      <c r="F709" s="915">
        <v>91.212000000000003</v>
      </c>
      <c r="G709" s="922">
        <f t="shared" si="22"/>
        <v>1</v>
      </c>
      <c r="H709" s="915" t="e">
        <v>#REF!</v>
      </c>
      <c r="I709" s="915" t="e">
        <f t="shared" si="23"/>
        <v>#REF!</v>
      </c>
      <c r="J709" s="915">
        <v>0</v>
      </c>
      <c r="K709" s="915">
        <v>0</v>
      </c>
      <c r="L709" s="915">
        <v>0</v>
      </c>
      <c r="M709" s="915">
        <v>0</v>
      </c>
    </row>
    <row r="710" spans="1:13">
      <c r="A710" s="633" t="s">
        <v>145</v>
      </c>
      <c r="B710" s="423" t="s">
        <v>525</v>
      </c>
      <c r="C710" s="915">
        <v>956.11699999999996</v>
      </c>
      <c r="D710" s="915">
        <v>26.193000000000001</v>
      </c>
      <c r="E710" s="915">
        <v>26.193000000000001</v>
      </c>
      <c r="F710" s="915">
        <v>956.11699999999996</v>
      </c>
      <c r="G710" s="922">
        <f t="shared" si="22"/>
        <v>0</v>
      </c>
      <c r="H710" s="915" t="e">
        <v>#REF!</v>
      </c>
      <c r="I710" s="915" t="e">
        <f t="shared" si="23"/>
        <v>#REF!</v>
      </c>
      <c r="J710" s="915">
        <v>28.596</v>
      </c>
      <c r="K710" s="915">
        <v>0.49099999999999999</v>
      </c>
      <c r="L710" s="915">
        <v>0.49099999999999999</v>
      </c>
      <c r="M710" s="915">
        <v>28.596</v>
      </c>
    </row>
    <row r="711" spans="1:13">
      <c r="A711" s="633" t="s">
        <v>147</v>
      </c>
      <c r="B711" s="423" t="s">
        <v>526</v>
      </c>
      <c r="C711" s="915">
        <v>153.55600000000001</v>
      </c>
      <c r="D711" s="915">
        <v>14.935</v>
      </c>
      <c r="E711" s="915">
        <v>7.6580000000000004</v>
      </c>
      <c r="F711" s="915">
        <v>146.279</v>
      </c>
      <c r="G711" s="922">
        <f t="shared" si="22"/>
        <v>1</v>
      </c>
      <c r="H711" s="915" t="e">
        <v>#REF!</v>
      </c>
      <c r="I711" s="915" t="e">
        <f t="shared" si="23"/>
        <v>#REF!</v>
      </c>
      <c r="J711" s="915">
        <v>6.7789999999999999</v>
      </c>
      <c r="K711" s="915">
        <v>1.321</v>
      </c>
      <c r="L711" s="915">
        <v>0.67500000000000004</v>
      </c>
      <c r="M711" s="915">
        <v>6.1319999999999997</v>
      </c>
    </row>
    <row r="712" spans="1:13">
      <c r="A712" s="633" t="s">
        <v>149</v>
      </c>
      <c r="B712" s="423" t="s">
        <v>527</v>
      </c>
      <c r="C712" s="915">
        <v>193.34100000000001</v>
      </c>
      <c r="D712" s="915">
        <v>4.3470000000000004</v>
      </c>
      <c r="E712" s="915">
        <v>4.2759999999999998</v>
      </c>
      <c r="F712" s="915">
        <v>193.27</v>
      </c>
      <c r="G712" s="922">
        <f t="shared" si="22"/>
        <v>1</v>
      </c>
      <c r="H712" s="915" t="e">
        <v>#REF!</v>
      </c>
      <c r="I712" s="915" t="e">
        <f t="shared" si="23"/>
        <v>#REF!</v>
      </c>
      <c r="J712" s="915">
        <v>0</v>
      </c>
      <c r="K712" s="915">
        <v>0</v>
      </c>
      <c r="L712" s="915">
        <v>0</v>
      </c>
      <c r="M712" s="915">
        <v>0</v>
      </c>
    </row>
    <row r="713" spans="1:13">
      <c r="A713" s="633" t="s">
        <v>1956</v>
      </c>
      <c r="B713" s="423" t="s">
        <v>528</v>
      </c>
      <c r="C713" s="915">
        <v>1500.1089999999999</v>
      </c>
      <c r="D713" s="915">
        <v>75.966999999999999</v>
      </c>
      <c r="E713" s="915">
        <v>40.11</v>
      </c>
      <c r="F713" s="915">
        <v>1464.252</v>
      </c>
      <c r="G713" s="922">
        <f t="shared" si="22"/>
        <v>1</v>
      </c>
      <c r="H713" s="915" t="e">
        <v>#REF!</v>
      </c>
      <c r="I713" s="915" t="e">
        <f t="shared" si="23"/>
        <v>#REF!</v>
      </c>
      <c r="J713" s="915">
        <v>76.046000000000006</v>
      </c>
      <c r="K713" s="915">
        <v>5.6639999999999997</v>
      </c>
      <c r="L713" s="915">
        <v>3.2869999999999999</v>
      </c>
      <c r="M713" s="915">
        <v>73.668000000000006</v>
      </c>
    </row>
    <row r="714" spans="1:13">
      <c r="A714" s="633" t="s">
        <v>1958</v>
      </c>
      <c r="B714" s="423" t="s">
        <v>529</v>
      </c>
      <c r="C714" s="915">
        <v>784.89499999999998</v>
      </c>
      <c r="D714" s="915">
        <v>7.1239999999999997</v>
      </c>
      <c r="E714" s="915">
        <v>7.1239999999999997</v>
      </c>
      <c r="F714" s="915">
        <v>784.89499999999998</v>
      </c>
      <c r="G714" s="922">
        <f t="shared" si="22"/>
        <v>0</v>
      </c>
      <c r="H714" s="915" t="e">
        <v>#REF!</v>
      </c>
      <c r="I714" s="915" t="e">
        <f t="shared" si="23"/>
        <v>#REF!</v>
      </c>
      <c r="J714" s="915">
        <v>62.777999999999999</v>
      </c>
      <c r="K714" s="915">
        <v>3.004</v>
      </c>
      <c r="L714" s="915">
        <v>3.004</v>
      </c>
      <c r="M714" s="915">
        <v>62.777999999999999</v>
      </c>
    </row>
    <row r="715" spans="1:13">
      <c r="A715" s="633" t="s">
        <v>1960</v>
      </c>
      <c r="B715" s="423" t="s">
        <v>530</v>
      </c>
      <c r="C715" s="915">
        <v>112.902</v>
      </c>
      <c r="D715" s="915">
        <v>0</v>
      </c>
      <c r="E715" s="915">
        <v>0</v>
      </c>
      <c r="F715" s="915">
        <v>112.902</v>
      </c>
      <c r="G715" s="922">
        <f t="shared" si="22"/>
        <v>0</v>
      </c>
      <c r="H715" s="915" t="e">
        <v>#REF!</v>
      </c>
      <c r="I715" s="915" t="e">
        <f t="shared" si="23"/>
        <v>#REF!</v>
      </c>
      <c r="J715" s="915">
        <v>0</v>
      </c>
      <c r="K715" s="915">
        <v>0</v>
      </c>
      <c r="L715" s="915">
        <v>0</v>
      </c>
      <c r="M715" s="915">
        <v>0</v>
      </c>
    </row>
    <row r="716" spans="1:13">
      <c r="A716" s="633" t="s">
        <v>2039</v>
      </c>
      <c r="B716" s="423" t="s">
        <v>531</v>
      </c>
      <c r="C716" s="915">
        <v>89.509</v>
      </c>
      <c r="D716" s="915">
        <v>1.776</v>
      </c>
      <c r="E716" s="915">
        <v>1.776</v>
      </c>
      <c r="F716" s="915">
        <v>89.509</v>
      </c>
      <c r="G716" s="922">
        <f t="shared" si="22"/>
        <v>0</v>
      </c>
      <c r="H716" s="915" t="e">
        <v>#REF!</v>
      </c>
      <c r="I716" s="915" t="e">
        <f t="shared" si="23"/>
        <v>#REF!</v>
      </c>
      <c r="J716" s="915">
        <v>1.893</v>
      </c>
      <c r="K716" s="915">
        <v>0</v>
      </c>
      <c r="L716" s="915">
        <v>0</v>
      </c>
      <c r="M716" s="915">
        <v>1.893</v>
      </c>
    </row>
    <row r="717" spans="1:13">
      <c r="A717" s="633" t="s">
        <v>2041</v>
      </c>
      <c r="B717" s="423" t="s">
        <v>532</v>
      </c>
      <c r="C717" s="915">
        <v>124.712</v>
      </c>
      <c r="D717" s="915">
        <v>2.2629999999999999</v>
      </c>
      <c r="E717" s="915">
        <v>1.8220000000000001</v>
      </c>
      <c r="F717" s="915">
        <v>124.271</v>
      </c>
      <c r="G717" s="922">
        <f t="shared" si="22"/>
        <v>1</v>
      </c>
      <c r="H717" s="915" t="e">
        <v>#REF!</v>
      </c>
      <c r="I717" s="915" t="e">
        <f t="shared" si="23"/>
        <v>#REF!</v>
      </c>
      <c r="J717" s="915">
        <v>0.63200000000000001</v>
      </c>
      <c r="K717" s="915">
        <v>0.63200000000000001</v>
      </c>
      <c r="L717" s="915">
        <v>0.34100000000000003</v>
      </c>
      <c r="M717" s="915">
        <v>0.34100000000000003</v>
      </c>
    </row>
    <row r="718" spans="1:13">
      <c r="A718" s="633" t="s">
        <v>1825</v>
      </c>
      <c r="B718" s="423" t="s">
        <v>533</v>
      </c>
      <c r="C718" s="915">
        <v>169.56399999999999</v>
      </c>
      <c r="D718" s="915">
        <v>7.016</v>
      </c>
      <c r="E718" s="915">
        <v>3.528</v>
      </c>
      <c r="F718" s="915">
        <v>166.07599999999999</v>
      </c>
      <c r="G718" s="922">
        <f t="shared" si="22"/>
        <v>1</v>
      </c>
      <c r="H718" s="915" t="e">
        <v>#REF!</v>
      </c>
      <c r="I718" s="915" t="e">
        <f t="shared" si="23"/>
        <v>#REF!</v>
      </c>
      <c r="J718" s="915">
        <v>0</v>
      </c>
      <c r="K718" s="915">
        <v>0</v>
      </c>
      <c r="L718" s="915">
        <v>0</v>
      </c>
      <c r="M718" s="915">
        <v>0</v>
      </c>
    </row>
    <row r="719" spans="1:13">
      <c r="A719" s="633" t="s">
        <v>1827</v>
      </c>
      <c r="B719" s="423" t="s">
        <v>534</v>
      </c>
      <c r="C719" s="915">
        <v>253.733</v>
      </c>
      <c r="D719" s="915">
        <v>3.2469999999999999</v>
      </c>
      <c r="E719" s="915">
        <v>3.2469999999999999</v>
      </c>
      <c r="F719" s="915">
        <v>253.733</v>
      </c>
      <c r="G719" s="922">
        <f t="shared" si="22"/>
        <v>0</v>
      </c>
      <c r="H719" s="915" t="e">
        <v>#REF!</v>
      </c>
      <c r="I719" s="915" t="e">
        <f t="shared" si="23"/>
        <v>#REF!</v>
      </c>
      <c r="J719" s="915">
        <v>1.4039999999999999</v>
      </c>
      <c r="K719" s="915">
        <v>0</v>
      </c>
      <c r="L719" s="915">
        <v>0</v>
      </c>
      <c r="M719" s="915">
        <v>1.4039999999999999</v>
      </c>
    </row>
    <row r="720" spans="1:13">
      <c r="A720" s="633" t="s">
        <v>238</v>
      </c>
      <c r="B720" s="423" t="s">
        <v>2645</v>
      </c>
      <c r="C720" s="915">
        <v>44914.68</v>
      </c>
      <c r="D720" s="915">
        <v>542.78399999999999</v>
      </c>
      <c r="E720" s="915">
        <v>542.78399999999999</v>
      </c>
      <c r="F720" s="915">
        <v>44914.68</v>
      </c>
      <c r="G720" s="922">
        <f t="shared" si="22"/>
        <v>0</v>
      </c>
      <c r="H720" s="915" t="e">
        <v>#REF!</v>
      </c>
      <c r="I720" s="915" t="e">
        <f t="shared" si="23"/>
        <v>#REF!</v>
      </c>
      <c r="J720" s="915">
        <v>4587.7060000000001</v>
      </c>
      <c r="K720" s="915">
        <v>252.46199999999999</v>
      </c>
      <c r="L720" s="915">
        <v>252.46199999999999</v>
      </c>
      <c r="M720" s="915">
        <v>4587.7060000000001</v>
      </c>
    </row>
    <row r="721" spans="1:13">
      <c r="A721" s="633" t="s">
        <v>1829</v>
      </c>
      <c r="B721" s="423" t="s">
        <v>535</v>
      </c>
      <c r="C721" s="915">
        <v>5940.2340000000004</v>
      </c>
      <c r="D721" s="915">
        <v>34.011000000000003</v>
      </c>
      <c r="E721" s="915">
        <v>34.011000000000003</v>
      </c>
      <c r="F721" s="915">
        <v>5940.2340000000004</v>
      </c>
      <c r="G721" s="922">
        <f t="shared" si="22"/>
        <v>0</v>
      </c>
      <c r="H721" s="915" t="e">
        <v>#REF!</v>
      </c>
      <c r="I721" s="915" t="e">
        <f t="shared" si="23"/>
        <v>#REF!</v>
      </c>
      <c r="J721" s="915">
        <v>132.17400000000001</v>
      </c>
      <c r="K721" s="915">
        <v>7.23</v>
      </c>
      <c r="L721" s="915">
        <v>7.23</v>
      </c>
      <c r="M721" s="915">
        <v>132.17400000000001</v>
      </c>
    </row>
    <row r="722" spans="1:13">
      <c r="A722" s="633" t="s">
        <v>859</v>
      </c>
      <c r="B722" s="423" t="s">
        <v>2003</v>
      </c>
      <c r="C722" s="915">
        <v>5595.1279999999997</v>
      </c>
      <c r="D722" s="915">
        <v>93.697999999999993</v>
      </c>
      <c r="E722" s="915">
        <v>92.12</v>
      </c>
      <c r="F722" s="915">
        <v>5593.55</v>
      </c>
      <c r="G722" s="922">
        <f t="shared" si="22"/>
        <v>1</v>
      </c>
      <c r="H722" s="915" t="e">
        <v>#REF!</v>
      </c>
      <c r="I722" s="915" t="e">
        <f t="shared" si="23"/>
        <v>#REF!</v>
      </c>
      <c r="J722" s="915">
        <v>755.053</v>
      </c>
      <c r="K722" s="915">
        <v>31.361000000000001</v>
      </c>
      <c r="L722" s="915">
        <v>30.975999999999999</v>
      </c>
      <c r="M722" s="915">
        <v>754.66800000000001</v>
      </c>
    </row>
    <row r="723" spans="1:13">
      <c r="A723" s="633" t="s">
        <v>3001</v>
      </c>
      <c r="B723" s="423" t="s">
        <v>6060</v>
      </c>
      <c r="C723" s="915">
        <v>10517.996999999999</v>
      </c>
      <c r="D723" s="915">
        <v>120.434</v>
      </c>
      <c r="E723" s="915">
        <v>120.434</v>
      </c>
      <c r="F723" s="915">
        <v>10517.996999999999</v>
      </c>
      <c r="G723" s="922">
        <f t="shared" si="22"/>
        <v>0</v>
      </c>
      <c r="H723" s="915" t="e">
        <v>#REF!</v>
      </c>
      <c r="I723" s="915" t="e">
        <f t="shared" si="23"/>
        <v>#REF!</v>
      </c>
      <c r="J723" s="915">
        <v>984.851</v>
      </c>
      <c r="K723" s="915">
        <v>51.441000000000003</v>
      </c>
      <c r="L723" s="915">
        <v>51.441000000000003</v>
      </c>
      <c r="M723" s="915">
        <v>984.851</v>
      </c>
    </row>
    <row r="724" spans="1:13">
      <c r="A724" s="633" t="s">
        <v>2405</v>
      </c>
      <c r="B724" s="423" t="s">
        <v>2350</v>
      </c>
      <c r="C724" s="915">
        <v>3133.22</v>
      </c>
      <c r="D724" s="915">
        <v>76.495000000000005</v>
      </c>
      <c r="E724" s="915">
        <v>76.055999999999997</v>
      </c>
      <c r="F724" s="915">
        <v>3132.78</v>
      </c>
      <c r="G724" s="922">
        <f t="shared" si="22"/>
        <v>1</v>
      </c>
      <c r="H724" s="915" t="e">
        <v>#REF!</v>
      </c>
      <c r="I724" s="915" t="e">
        <f t="shared" si="23"/>
        <v>#REF!</v>
      </c>
      <c r="J724" s="915">
        <v>237.846</v>
      </c>
      <c r="K724" s="915">
        <v>15.441000000000001</v>
      </c>
      <c r="L724" s="915">
        <v>15.122</v>
      </c>
      <c r="M724" s="915">
        <v>237.52699999999999</v>
      </c>
    </row>
    <row r="725" spans="1:13">
      <c r="A725" s="633" t="s">
        <v>2907</v>
      </c>
      <c r="B725" s="423" t="s">
        <v>1933</v>
      </c>
      <c r="C725" s="915">
        <v>8449.3349999999991</v>
      </c>
      <c r="D725" s="915">
        <v>167.28899999999999</v>
      </c>
      <c r="E725" s="915">
        <v>167.28899999999999</v>
      </c>
      <c r="F725" s="915">
        <v>8449.3349999999991</v>
      </c>
      <c r="G725" s="922">
        <f t="shared" si="22"/>
        <v>0</v>
      </c>
      <c r="H725" s="915" t="e">
        <v>#REF!</v>
      </c>
      <c r="I725" s="915" t="e">
        <f t="shared" si="23"/>
        <v>#REF!</v>
      </c>
      <c r="J725" s="915">
        <v>1338.21</v>
      </c>
      <c r="K725" s="915">
        <v>77.504999999999995</v>
      </c>
      <c r="L725" s="915">
        <v>77.504999999999995</v>
      </c>
      <c r="M725" s="915">
        <v>1338.21</v>
      </c>
    </row>
    <row r="726" spans="1:13">
      <c r="A726" s="633" t="s">
        <v>1222</v>
      </c>
      <c r="B726" s="423" t="s">
        <v>536</v>
      </c>
      <c r="C726" s="915">
        <v>3970.346</v>
      </c>
      <c r="D726" s="915">
        <v>99.23</v>
      </c>
      <c r="E726" s="915">
        <v>99.23</v>
      </c>
      <c r="F726" s="915">
        <v>3970.346</v>
      </c>
      <c r="G726" s="922">
        <f t="shared" si="22"/>
        <v>0</v>
      </c>
      <c r="H726" s="915" t="e">
        <v>#REF!</v>
      </c>
      <c r="I726" s="915" t="e">
        <f t="shared" si="23"/>
        <v>#REF!</v>
      </c>
      <c r="J726" s="915">
        <v>1025.2739999999999</v>
      </c>
      <c r="K726" s="915">
        <v>48.35</v>
      </c>
      <c r="L726" s="915">
        <v>48.35</v>
      </c>
      <c r="M726" s="915">
        <v>1025.2739999999999</v>
      </c>
    </row>
    <row r="727" spans="1:13">
      <c r="A727" s="633" t="s">
        <v>1224</v>
      </c>
      <c r="B727" s="423" t="s">
        <v>537</v>
      </c>
      <c r="C727" s="915">
        <v>512.41200000000003</v>
      </c>
      <c r="D727" s="915">
        <v>18.608000000000001</v>
      </c>
      <c r="E727" s="915">
        <v>10.914</v>
      </c>
      <c r="F727" s="915">
        <v>504.71800000000002</v>
      </c>
      <c r="G727" s="922">
        <f t="shared" si="22"/>
        <v>1</v>
      </c>
      <c r="H727" s="915" t="e">
        <v>#REF!</v>
      </c>
      <c r="I727" s="915" t="e">
        <f t="shared" si="23"/>
        <v>#REF!</v>
      </c>
      <c r="J727" s="915">
        <v>74.822000000000003</v>
      </c>
      <c r="K727" s="915">
        <v>6.9530000000000003</v>
      </c>
      <c r="L727" s="915">
        <v>3.5390000000000001</v>
      </c>
      <c r="M727" s="915">
        <v>71.408000000000001</v>
      </c>
    </row>
    <row r="728" spans="1:13">
      <c r="A728" s="633" t="s">
        <v>5375</v>
      </c>
      <c r="B728" s="423" t="s">
        <v>538</v>
      </c>
      <c r="C728" s="915">
        <v>1241.384</v>
      </c>
      <c r="D728" s="915">
        <v>58.225999999999999</v>
      </c>
      <c r="E728" s="915">
        <v>30.039000000000001</v>
      </c>
      <c r="F728" s="915">
        <v>1213.1959999999999</v>
      </c>
      <c r="G728" s="922">
        <f t="shared" si="22"/>
        <v>1</v>
      </c>
      <c r="H728" s="915" t="e">
        <v>#REF!</v>
      </c>
      <c r="I728" s="915" t="e">
        <f t="shared" si="23"/>
        <v>#REF!</v>
      </c>
      <c r="J728" s="915">
        <v>57.93</v>
      </c>
      <c r="K728" s="915">
        <v>1.9430000000000001</v>
      </c>
      <c r="L728" s="915">
        <v>0.97099999999999997</v>
      </c>
      <c r="M728" s="915">
        <v>56.959000000000003</v>
      </c>
    </row>
    <row r="729" spans="1:13">
      <c r="A729" s="633" t="s">
        <v>5377</v>
      </c>
      <c r="B729" s="423" t="s">
        <v>6619</v>
      </c>
      <c r="C729" s="915">
        <v>890.91200000000003</v>
      </c>
      <c r="D729" s="915">
        <v>15.803000000000001</v>
      </c>
      <c r="E729" s="915">
        <v>15.803000000000001</v>
      </c>
      <c r="F729" s="915">
        <v>890.91200000000003</v>
      </c>
      <c r="G729" s="922">
        <f t="shared" si="22"/>
        <v>0</v>
      </c>
      <c r="H729" s="915" t="e">
        <v>#REF!</v>
      </c>
      <c r="I729" s="915" t="e">
        <f t="shared" si="23"/>
        <v>#REF!</v>
      </c>
      <c r="J729" s="915">
        <v>12.446</v>
      </c>
      <c r="K729" s="915">
        <v>0.48399999999999999</v>
      </c>
      <c r="L729" s="915">
        <v>0.48399999999999999</v>
      </c>
      <c r="M729" s="915">
        <v>12.446</v>
      </c>
    </row>
    <row r="730" spans="1:13">
      <c r="A730" s="633" t="s">
        <v>5379</v>
      </c>
      <c r="B730" s="423" t="s">
        <v>540</v>
      </c>
      <c r="C730" s="915">
        <v>172.65299999999999</v>
      </c>
      <c r="D730" s="915">
        <v>11.782</v>
      </c>
      <c r="E730" s="915">
        <v>6.9160000000000004</v>
      </c>
      <c r="F730" s="915">
        <v>167.786</v>
      </c>
      <c r="G730" s="922">
        <f t="shared" si="22"/>
        <v>1</v>
      </c>
      <c r="H730" s="915" t="e">
        <v>#REF!</v>
      </c>
      <c r="I730" s="915" t="e">
        <f t="shared" si="23"/>
        <v>#REF!</v>
      </c>
      <c r="J730" s="915">
        <v>5.875</v>
      </c>
      <c r="K730" s="915">
        <v>0</v>
      </c>
      <c r="L730" s="915">
        <v>0</v>
      </c>
      <c r="M730" s="915">
        <v>5.875</v>
      </c>
    </row>
    <row r="731" spans="1:13">
      <c r="A731" s="633" t="s">
        <v>642</v>
      </c>
      <c r="B731" s="423" t="s">
        <v>6111</v>
      </c>
      <c r="C731" s="915">
        <v>308.08</v>
      </c>
      <c r="D731" s="915">
        <v>17.143000000000001</v>
      </c>
      <c r="E731" s="915">
        <v>9.1329999999999991</v>
      </c>
      <c r="F731" s="915">
        <v>300.07</v>
      </c>
      <c r="G731" s="922">
        <f t="shared" si="22"/>
        <v>1</v>
      </c>
      <c r="H731" s="915" t="e">
        <v>#REF!</v>
      </c>
      <c r="I731" s="915" t="e">
        <f t="shared" si="23"/>
        <v>#REF!</v>
      </c>
      <c r="J731" s="915">
        <v>21.507999999999999</v>
      </c>
      <c r="K731" s="915">
        <v>1.92</v>
      </c>
      <c r="L731" s="915">
        <v>0.96</v>
      </c>
      <c r="M731" s="915">
        <v>20.547999999999998</v>
      </c>
    </row>
    <row r="732" spans="1:13">
      <c r="A732" s="633" t="s">
        <v>2618</v>
      </c>
      <c r="B732" s="423" t="s">
        <v>541</v>
      </c>
      <c r="C732" s="915">
        <v>447.54700000000003</v>
      </c>
      <c r="D732" s="915">
        <v>14.147</v>
      </c>
      <c r="E732" s="915">
        <v>13.667999999999999</v>
      </c>
      <c r="F732" s="915">
        <v>447.06700000000001</v>
      </c>
      <c r="G732" s="922">
        <f t="shared" si="22"/>
        <v>1</v>
      </c>
      <c r="H732" s="915" t="e">
        <v>#REF!</v>
      </c>
      <c r="I732" s="915" t="e">
        <f t="shared" si="23"/>
        <v>#REF!</v>
      </c>
      <c r="J732" s="915">
        <v>10.728999999999999</v>
      </c>
      <c r="K732" s="915">
        <v>0.91500000000000004</v>
      </c>
      <c r="L732" s="915">
        <v>0.91500000000000004</v>
      </c>
      <c r="M732" s="915">
        <v>10.728999999999999</v>
      </c>
    </row>
    <row r="733" spans="1:13">
      <c r="A733" s="633" t="s">
        <v>644</v>
      </c>
      <c r="B733" s="423" t="s">
        <v>123</v>
      </c>
      <c r="C733" s="915">
        <v>632.62800000000004</v>
      </c>
      <c r="D733" s="915">
        <v>15.638999999999999</v>
      </c>
      <c r="E733" s="915">
        <v>8.7609999999999992</v>
      </c>
      <c r="F733" s="915">
        <v>625.75</v>
      </c>
      <c r="G733" s="922">
        <f t="shared" si="22"/>
        <v>1</v>
      </c>
      <c r="H733" s="915" t="e">
        <v>#REF!</v>
      </c>
      <c r="I733" s="915" t="e">
        <f t="shared" si="23"/>
        <v>#REF!</v>
      </c>
      <c r="J733" s="915">
        <v>9.9009999999999998</v>
      </c>
      <c r="K733" s="915">
        <v>3.089</v>
      </c>
      <c r="L733" s="915">
        <v>1.585</v>
      </c>
      <c r="M733" s="915">
        <v>8.3970000000000002</v>
      </c>
    </row>
    <row r="734" spans="1:13">
      <c r="A734" s="633" t="s">
        <v>2620</v>
      </c>
      <c r="B734" s="423" t="s">
        <v>542</v>
      </c>
      <c r="C734" s="915">
        <v>5841.3389999999999</v>
      </c>
      <c r="D734" s="915">
        <v>111.348</v>
      </c>
      <c r="E734" s="915">
        <v>110.247</v>
      </c>
      <c r="F734" s="915">
        <v>5840.2380000000003</v>
      </c>
      <c r="G734" s="922">
        <f t="shared" si="22"/>
        <v>1</v>
      </c>
      <c r="H734" s="915" t="e">
        <v>#REF!</v>
      </c>
      <c r="I734" s="915" t="e">
        <f t="shared" si="23"/>
        <v>#REF!</v>
      </c>
      <c r="J734" s="915">
        <v>1053.3699999999999</v>
      </c>
      <c r="K734" s="915">
        <v>56.28</v>
      </c>
      <c r="L734" s="915">
        <v>56.164999999999999</v>
      </c>
      <c r="M734" s="915">
        <v>1053.2550000000001</v>
      </c>
    </row>
    <row r="735" spans="1:13">
      <c r="A735" s="633" t="s">
        <v>4588</v>
      </c>
      <c r="B735" s="423" t="s">
        <v>2006</v>
      </c>
      <c r="C735" s="915">
        <v>821.697</v>
      </c>
      <c r="D735" s="915">
        <v>40.655999999999999</v>
      </c>
      <c r="E735" s="915">
        <v>20.968</v>
      </c>
      <c r="F735" s="915">
        <v>802.00900000000001</v>
      </c>
      <c r="G735" s="922">
        <f t="shared" si="22"/>
        <v>1</v>
      </c>
      <c r="H735" s="915" t="e">
        <v>#REF!</v>
      </c>
      <c r="I735" s="915" t="e">
        <f t="shared" si="23"/>
        <v>#REF!</v>
      </c>
      <c r="J735" s="915">
        <v>31.41</v>
      </c>
      <c r="K735" s="915">
        <v>6.5039999999999996</v>
      </c>
      <c r="L735" s="915">
        <v>3.5640000000000001</v>
      </c>
      <c r="M735" s="915">
        <v>28.47</v>
      </c>
    </row>
    <row r="736" spans="1:13">
      <c r="A736" s="633" t="s">
        <v>2622</v>
      </c>
      <c r="B736" s="423" t="s">
        <v>543</v>
      </c>
      <c r="C736" s="915">
        <v>768.01800000000003</v>
      </c>
      <c r="D736" s="915">
        <v>29.372</v>
      </c>
      <c r="E736" s="915">
        <v>14.832000000000001</v>
      </c>
      <c r="F736" s="915">
        <v>753.47900000000004</v>
      </c>
      <c r="G736" s="922">
        <f t="shared" si="22"/>
        <v>1</v>
      </c>
      <c r="H736" s="915" t="e">
        <v>#REF!</v>
      </c>
      <c r="I736" s="915" t="e">
        <f t="shared" si="23"/>
        <v>#REF!</v>
      </c>
      <c r="J736" s="915">
        <v>23.942</v>
      </c>
      <c r="K736" s="915">
        <v>3.738</v>
      </c>
      <c r="L736" s="915">
        <v>1.869</v>
      </c>
      <c r="M736" s="915">
        <v>22.073</v>
      </c>
    </row>
    <row r="737" spans="1:13">
      <c r="A737" s="633" t="s">
        <v>2624</v>
      </c>
      <c r="B737" s="423" t="s">
        <v>544</v>
      </c>
      <c r="C737" s="915">
        <v>314.678</v>
      </c>
      <c r="D737" s="915">
        <v>0</v>
      </c>
      <c r="E737" s="915">
        <v>0</v>
      </c>
      <c r="F737" s="915">
        <v>314.678</v>
      </c>
      <c r="G737" s="922">
        <f t="shared" si="22"/>
        <v>0</v>
      </c>
      <c r="H737" s="915" t="e">
        <v>#REF!</v>
      </c>
      <c r="I737" s="915" t="e">
        <f t="shared" si="23"/>
        <v>#REF!</v>
      </c>
      <c r="J737" s="915">
        <v>12.164</v>
      </c>
      <c r="K737" s="915">
        <v>0</v>
      </c>
      <c r="L737" s="915">
        <v>0</v>
      </c>
      <c r="M737" s="915">
        <v>12.164</v>
      </c>
    </row>
    <row r="738" spans="1:13">
      <c r="A738" s="633" t="s">
        <v>1523</v>
      </c>
      <c r="B738" s="423" t="s">
        <v>1929</v>
      </c>
      <c r="C738" s="915">
        <v>104.39400000000001</v>
      </c>
      <c r="D738" s="915">
        <v>0</v>
      </c>
      <c r="E738" s="915">
        <v>0</v>
      </c>
      <c r="F738" s="915">
        <v>104.39400000000001</v>
      </c>
      <c r="G738" s="922">
        <f t="shared" si="22"/>
        <v>0</v>
      </c>
      <c r="H738" s="915" t="e">
        <v>#REF!</v>
      </c>
      <c r="I738" s="915" t="e">
        <f t="shared" si="23"/>
        <v>#REF!</v>
      </c>
      <c r="J738" s="915">
        <v>0</v>
      </c>
      <c r="K738" s="915">
        <v>0</v>
      </c>
      <c r="L738" s="915">
        <v>0</v>
      </c>
      <c r="M738" s="915">
        <v>0</v>
      </c>
    </row>
    <row r="739" spans="1:13">
      <c r="A739" s="633" t="s">
        <v>2626</v>
      </c>
      <c r="B739" s="423" t="s">
        <v>545</v>
      </c>
      <c r="C739" s="915">
        <v>355.17399999999998</v>
      </c>
      <c r="D739" s="915">
        <v>0</v>
      </c>
      <c r="E739" s="915">
        <v>0</v>
      </c>
      <c r="F739" s="915">
        <v>355.17399999999998</v>
      </c>
      <c r="G739" s="922">
        <f t="shared" si="22"/>
        <v>0</v>
      </c>
      <c r="H739" s="915" t="e">
        <v>#REF!</v>
      </c>
      <c r="I739" s="915" t="e">
        <f t="shared" si="23"/>
        <v>#REF!</v>
      </c>
      <c r="J739" s="915">
        <v>13.66</v>
      </c>
      <c r="K739" s="915">
        <v>0</v>
      </c>
      <c r="L739" s="915">
        <v>0</v>
      </c>
      <c r="M739" s="915">
        <v>13.66</v>
      </c>
    </row>
    <row r="740" spans="1:13">
      <c r="A740" s="633" t="s">
        <v>2628</v>
      </c>
      <c r="B740" s="423" t="s">
        <v>546</v>
      </c>
      <c r="C740" s="915">
        <v>815.35400000000004</v>
      </c>
      <c r="D740" s="915">
        <v>8.423</v>
      </c>
      <c r="E740" s="915">
        <v>8.3460000000000001</v>
      </c>
      <c r="F740" s="915">
        <v>815.27599999999995</v>
      </c>
      <c r="G740" s="922">
        <f t="shared" si="22"/>
        <v>1</v>
      </c>
      <c r="H740" s="915" t="e">
        <v>#REF!</v>
      </c>
      <c r="I740" s="915" t="e">
        <f t="shared" si="23"/>
        <v>#REF!</v>
      </c>
      <c r="J740" s="915">
        <v>32.851999999999997</v>
      </c>
      <c r="K740" s="915">
        <v>1.998</v>
      </c>
      <c r="L740" s="915">
        <v>1.998</v>
      </c>
      <c r="M740" s="915">
        <v>32.851999999999997</v>
      </c>
    </row>
    <row r="741" spans="1:13">
      <c r="A741" s="633" t="s">
        <v>241</v>
      </c>
      <c r="B741" s="423" t="s">
        <v>2649</v>
      </c>
      <c r="C741" s="915">
        <v>5288.3509999999997</v>
      </c>
      <c r="D741" s="915">
        <v>187.54900000000001</v>
      </c>
      <c r="E741" s="915">
        <v>106.76</v>
      </c>
      <c r="F741" s="915">
        <v>5207.5630000000001</v>
      </c>
      <c r="G741" s="922">
        <f t="shared" si="22"/>
        <v>1</v>
      </c>
      <c r="H741" s="915" t="e">
        <v>#REF!</v>
      </c>
      <c r="I741" s="915" t="e">
        <f t="shared" si="23"/>
        <v>#REF!</v>
      </c>
      <c r="J741" s="915">
        <v>800.02200000000005</v>
      </c>
      <c r="K741" s="915">
        <v>68.27</v>
      </c>
      <c r="L741" s="915">
        <v>35.585999999999999</v>
      </c>
      <c r="M741" s="915">
        <v>767.33799999999997</v>
      </c>
    </row>
    <row r="742" spans="1:13">
      <c r="A742" s="633" t="s">
        <v>248</v>
      </c>
      <c r="B742" s="423" t="s">
        <v>993</v>
      </c>
      <c r="C742" s="915">
        <v>400.63600000000002</v>
      </c>
      <c r="D742" s="915">
        <v>4.8849999999999998</v>
      </c>
      <c r="E742" s="915">
        <v>4.8849999999999998</v>
      </c>
      <c r="F742" s="915">
        <v>400.63600000000002</v>
      </c>
      <c r="G742" s="922">
        <f t="shared" si="22"/>
        <v>0</v>
      </c>
      <c r="H742" s="915" t="e">
        <v>#REF!</v>
      </c>
      <c r="I742" s="915" t="e">
        <f t="shared" si="23"/>
        <v>#REF!</v>
      </c>
      <c r="J742" s="915">
        <v>12.707000000000001</v>
      </c>
      <c r="K742" s="915">
        <v>0.76200000000000001</v>
      </c>
      <c r="L742" s="915">
        <v>0.76200000000000001</v>
      </c>
      <c r="M742" s="915">
        <v>12.707000000000001</v>
      </c>
    </row>
    <row r="743" spans="1:13">
      <c r="A743" s="633" t="s">
        <v>5084</v>
      </c>
      <c r="B743" s="423" t="s">
        <v>547</v>
      </c>
      <c r="C743" s="915">
        <v>320.63400000000001</v>
      </c>
      <c r="D743" s="915">
        <v>9.7929999999999993</v>
      </c>
      <c r="E743" s="915">
        <v>4.93</v>
      </c>
      <c r="F743" s="915">
        <v>315.77100000000002</v>
      </c>
      <c r="G743" s="922">
        <f t="shared" si="22"/>
        <v>1</v>
      </c>
      <c r="H743" s="915" t="e">
        <v>#REF!</v>
      </c>
      <c r="I743" s="915" t="e">
        <f t="shared" si="23"/>
        <v>#REF!</v>
      </c>
      <c r="J743" s="915">
        <v>35.847000000000001</v>
      </c>
      <c r="K743" s="915">
        <v>3.84</v>
      </c>
      <c r="L743" s="915">
        <v>1.92</v>
      </c>
      <c r="M743" s="915">
        <v>33.927</v>
      </c>
    </row>
    <row r="744" spans="1:13">
      <c r="A744" s="633" t="s">
        <v>2534</v>
      </c>
      <c r="B744" s="423" t="s">
        <v>1919</v>
      </c>
      <c r="C744" s="915">
        <v>632.12400000000002</v>
      </c>
      <c r="D744" s="915">
        <v>14.795999999999999</v>
      </c>
      <c r="E744" s="915">
        <v>14.795999999999999</v>
      </c>
      <c r="F744" s="915">
        <v>632.12400000000002</v>
      </c>
      <c r="G744" s="922">
        <f t="shared" si="22"/>
        <v>0</v>
      </c>
      <c r="H744" s="915" t="e">
        <v>#REF!</v>
      </c>
      <c r="I744" s="915" t="e">
        <f t="shared" si="23"/>
        <v>#REF!</v>
      </c>
      <c r="J744" s="915">
        <v>15.083</v>
      </c>
      <c r="K744" s="915">
        <v>0.44600000000000001</v>
      </c>
      <c r="L744" s="915">
        <v>0.44600000000000001</v>
      </c>
      <c r="M744" s="915">
        <v>15.083</v>
      </c>
    </row>
    <row r="745" spans="1:13">
      <c r="A745" s="633" t="s">
        <v>1165</v>
      </c>
      <c r="B745" s="423" t="s">
        <v>3779</v>
      </c>
      <c r="C745" s="915">
        <v>135.65100000000001</v>
      </c>
      <c r="D745" s="915">
        <v>0</v>
      </c>
      <c r="E745" s="915">
        <v>0</v>
      </c>
      <c r="F745" s="915">
        <v>135.65100000000001</v>
      </c>
      <c r="G745" s="922">
        <f t="shared" si="22"/>
        <v>0</v>
      </c>
      <c r="H745" s="915" t="e">
        <v>#REF!</v>
      </c>
      <c r="I745" s="915" t="e">
        <f t="shared" si="23"/>
        <v>#REF!</v>
      </c>
      <c r="J745" s="915">
        <v>2.9670000000000001</v>
      </c>
      <c r="K745" s="915">
        <v>0</v>
      </c>
      <c r="L745" s="915">
        <v>0</v>
      </c>
      <c r="M745" s="915">
        <v>2.9670000000000001</v>
      </c>
    </row>
    <row r="746" spans="1:13">
      <c r="A746" s="633" t="s">
        <v>5086</v>
      </c>
      <c r="B746" s="423" t="s">
        <v>548</v>
      </c>
      <c r="C746" s="915">
        <v>660.22199999999998</v>
      </c>
      <c r="D746" s="915">
        <v>0</v>
      </c>
      <c r="E746" s="915">
        <v>0</v>
      </c>
      <c r="F746" s="915">
        <v>660.22199999999998</v>
      </c>
      <c r="G746" s="922">
        <f t="shared" si="22"/>
        <v>0</v>
      </c>
      <c r="H746" s="915" t="e">
        <v>#REF!</v>
      </c>
      <c r="I746" s="915" t="e">
        <f t="shared" si="23"/>
        <v>#REF!</v>
      </c>
      <c r="J746" s="915">
        <v>7.0460000000000003</v>
      </c>
      <c r="K746" s="915">
        <v>0</v>
      </c>
      <c r="L746" s="915">
        <v>0</v>
      </c>
      <c r="M746" s="915">
        <v>7.0460000000000003</v>
      </c>
    </row>
    <row r="747" spans="1:13">
      <c r="A747" s="633" t="s">
        <v>2768</v>
      </c>
      <c r="B747" s="423" t="s">
        <v>358</v>
      </c>
      <c r="C747" s="915">
        <v>738.62599999999998</v>
      </c>
      <c r="D747" s="915">
        <v>16.713000000000001</v>
      </c>
      <c r="E747" s="915">
        <v>16.713000000000001</v>
      </c>
      <c r="F747" s="915">
        <v>738.62599999999998</v>
      </c>
      <c r="G747" s="922">
        <f t="shared" si="22"/>
        <v>0</v>
      </c>
      <c r="H747" s="915" t="e">
        <v>#REF!</v>
      </c>
      <c r="I747" s="915" t="e">
        <f t="shared" si="23"/>
        <v>#REF!</v>
      </c>
      <c r="J747" s="915">
        <v>128.523</v>
      </c>
      <c r="K747" s="915">
        <v>8.2029999999999994</v>
      </c>
      <c r="L747" s="915">
        <v>8.2029999999999994</v>
      </c>
      <c r="M747" s="915">
        <v>128.523</v>
      </c>
    </row>
    <row r="748" spans="1:13">
      <c r="A748" s="633" t="s">
        <v>5088</v>
      </c>
      <c r="B748" s="423" t="s">
        <v>549</v>
      </c>
      <c r="C748" s="915">
        <v>285.33</v>
      </c>
      <c r="D748" s="915">
        <v>4.8650000000000002</v>
      </c>
      <c r="E748" s="915">
        <v>4.8650000000000002</v>
      </c>
      <c r="F748" s="915">
        <v>285.33</v>
      </c>
      <c r="G748" s="922">
        <f t="shared" si="22"/>
        <v>0</v>
      </c>
      <c r="H748" s="915" t="e">
        <v>#REF!</v>
      </c>
      <c r="I748" s="915" t="e">
        <f t="shared" si="23"/>
        <v>#REF!</v>
      </c>
      <c r="J748" s="915">
        <v>0</v>
      </c>
      <c r="K748" s="915">
        <v>0</v>
      </c>
      <c r="L748" s="915">
        <v>0</v>
      </c>
      <c r="M748" s="915">
        <v>0</v>
      </c>
    </row>
    <row r="749" spans="1:13">
      <c r="A749" s="633" t="s">
        <v>6181</v>
      </c>
      <c r="B749" s="423" t="s">
        <v>1936</v>
      </c>
      <c r="C749" s="915">
        <v>1080.33</v>
      </c>
      <c r="D749" s="915">
        <v>16.597999999999999</v>
      </c>
      <c r="E749" s="915">
        <v>15.893000000000001</v>
      </c>
      <c r="F749" s="915">
        <v>1079.624</v>
      </c>
      <c r="G749" s="922">
        <f t="shared" si="22"/>
        <v>1</v>
      </c>
      <c r="H749" s="915" t="e">
        <v>#REF!</v>
      </c>
      <c r="I749" s="915" t="e">
        <f t="shared" si="23"/>
        <v>#REF!</v>
      </c>
      <c r="J749" s="915">
        <v>1.94</v>
      </c>
      <c r="K749" s="915">
        <v>0</v>
      </c>
      <c r="L749" s="915">
        <v>0</v>
      </c>
      <c r="M749" s="915">
        <v>1.94</v>
      </c>
    </row>
    <row r="750" spans="1:13">
      <c r="A750" s="633" t="s">
        <v>1848</v>
      </c>
      <c r="B750" s="423" t="s">
        <v>1000</v>
      </c>
      <c r="C750" s="915">
        <v>644.09400000000005</v>
      </c>
      <c r="D750" s="915">
        <v>4.84</v>
      </c>
      <c r="E750" s="915">
        <v>4.84</v>
      </c>
      <c r="F750" s="915">
        <v>644.09400000000005</v>
      </c>
      <c r="G750" s="922">
        <f t="shared" si="22"/>
        <v>0</v>
      </c>
      <c r="H750" s="915" t="e">
        <v>#REF!</v>
      </c>
      <c r="I750" s="915" t="e">
        <f t="shared" si="23"/>
        <v>#REF!</v>
      </c>
      <c r="J750" s="915">
        <v>0.97299999999999998</v>
      </c>
      <c r="K750" s="915">
        <v>0</v>
      </c>
      <c r="L750" s="915">
        <v>0</v>
      </c>
      <c r="M750" s="915">
        <v>0.97299999999999998</v>
      </c>
    </row>
    <row r="751" spans="1:13">
      <c r="A751" s="633" t="s">
        <v>2471</v>
      </c>
      <c r="B751" s="423" t="s">
        <v>369</v>
      </c>
      <c r="C751" s="915">
        <v>310.36799999999999</v>
      </c>
      <c r="D751" s="915">
        <v>6.875</v>
      </c>
      <c r="E751" s="915">
        <v>6.875</v>
      </c>
      <c r="F751" s="915">
        <v>310.36799999999999</v>
      </c>
      <c r="G751" s="922">
        <f t="shared" si="22"/>
        <v>0</v>
      </c>
      <c r="H751" s="915" t="e">
        <v>#REF!</v>
      </c>
      <c r="I751" s="915" t="e">
        <f t="shared" si="23"/>
        <v>#REF!</v>
      </c>
      <c r="J751" s="915">
        <v>21.946999999999999</v>
      </c>
      <c r="K751" s="915">
        <v>2.3740000000000001</v>
      </c>
      <c r="L751" s="915">
        <v>2.3740000000000001</v>
      </c>
      <c r="M751" s="915">
        <v>21.946999999999999</v>
      </c>
    </row>
    <row r="752" spans="1:13">
      <c r="A752" s="633" t="s">
        <v>6044</v>
      </c>
      <c r="B752" s="423" t="s">
        <v>550</v>
      </c>
      <c r="C752" s="915">
        <v>2112.1819999999998</v>
      </c>
      <c r="D752" s="915">
        <v>60.308</v>
      </c>
      <c r="E752" s="915">
        <v>60.308</v>
      </c>
      <c r="F752" s="915">
        <v>2112.1819999999998</v>
      </c>
      <c r="G752" s="922">
        <f t="shared" si="22"/>
        <v>0</v>
      </c>
      <c r="H752" s="915" t="e">
        <v>#REF!</v>
      </c>
      <c r="I752" s="915" t="e">
        <f t="shared" si="23"/>
        <v>#REF!</v>
      </c>
      <c r="J752" s="915">
        <v>30.721</v>
      </c>
      <c r="K752" s="915">
        <v>1.5669999999999999</v>
      </c>
      <c r="L752" s="915">
        <v>1.5669999999999999</v>
      </c>
      <c r="M752" s="915">
        <v>30.721</v>
      </c>
    </row>
    <row r="753" spans="1:13">
      <c r="A753" s="633" t="s">
        <v>6046</v>
      </c>
      <c r="B753" s="423" t="s">
        <v>4207</v>
      </c>
      <c r="C753" s="915">
        <v>147.52799999999999</v>
      </c>
      <c r="D753" s="915">
        <v>1.4750000000000001</v>
      </c>
      <c r="E753" s="915">
        <v>1.4750000000000001</v>
      </c>
      <c r="F753" s="915">
        <v>147.52799999999999</v>
      </c>
      <c r="G753" s="922">
        <f t="shared" si="22"/>
        <v>0</v>
      </c>
      <c r="H753" s="915" t="e">
        <v>#REF!</v>
      </c>
      <c r="I753" s="915" t="e">
        <f t="shared" si="23"/>
        <v>#REF!</v>
      </c>
      <c r="J753" s="915">
        <v>2.9910000000000001</v>
      </c>
      <c r="K753" s="915">
        <v>0</v>
      </c>
      <c r="L753" s="915">
        <v>0</v>
      </c>
      <c r="M753" s="915">
        <v>2.9910000000000001</v>
      </c>
    </row>
    <row r="754" spans="1:13">
      <c r="A754" s="633" t="s">
        <v>4185</v>
      </c>
      <c r="B754" s="423" t="s">
        <v>552</v>
      </c>
      <c r="C754" s="915">
        <v>191.54599999999999</v>
      </c>
      <c r="D754" s="915">
        <v>1.544</v>
      </c>
      <c r="E754" s="915">
        <v>1.544</v>
      </c>
      <c r="F754" s="915">
        <v>191.54599999999999</v>
      </c>
      <c r="G754" s="922">
        <f t="shared" si="22"/>
        <v>0</v>
      </c>
      <c r="H754" s="915" t="e">
        <v>#REF!</v>
      </c>
      <c r="I754" s="915" t="e">
        <f t="shared" si="23"/>
        <v>#REF!</v>
      </c>
      <c r="J754" s="915">
        <v>7.4130000000000003</v>
      </c>
      <c r="K754" s="915">
        <v>0.33200000000000002</v>
      </c>
      <c r="L754" s="915">
        <v>0.33200000000000002</v>
      </c>
      <c r="M754" s="915">
        <v>7.4130000000000003</v>
      </c>
    </row>
    <row r="755" spans="1:13">
      <c r="A755" s="633" t="s">
        <v>6689</v>
      </c>
      <c r="B755" s="423" t="s">
        <v>553</v>
      </c>
      <c r="C755" s="915">
        <v>344.613</v>
      </c>
      <c r="D755" s="915">
        <v>3.8839999999999999</v>
      </c>
      <c r="E755" s="915">
        <v>3.8839999999999999</v>
      </c>
      <c r="F755" s="915">
        <v>344.613</v>
      </c>
      <c r="G755" s="922">
        <f t="shared" si="22"/>
        <v>0</v>
      </c>
      <c r="H755" s="915" t="e">
        <v>#REF!</v>
      </c>
      <c r="I755" s="915" t="e">
        <f t="shared" si="23"/>
        <v>#REF!</v>
      </c>
      <c r="J755" s="915">
        <v>12.57</v>
      </c>
      <c r="K755" s="915">
        <v>0</v>
      </c>
      <c r="L755" s="915">
        <v>0</v>
      </c>
      <c r="M755" s="915">
        <v>12.57</v>
      </c>
    </row>
    <row r="756" spans="1:13">
      <c r="A756" s="633" t="s">
        <v>6691</v>
      </c>
      <c r="B756" s="423" t="s">
        <v>4211</v>
      </c>
      <c r="C756" s="915">
        <v>1116.95</v>
      </c>
      <c r="D756" s="915">
        <v>23.812000000000001</v>
      </c>
      <c r="E756" s="915">
        <v>23.812000000000001</v>
      </c>
      <c r="F756" s="915">
        <v>1116.95</v>
      </c>
      <c r="G756" s="922">
        <f t="shared" si="22"/>
        <v>0</v>
      </c>
      <c r="H756" s="915" t="e">
        <v>#REF!</v>
      </c>
      <c r="I756" s="915" t="e">
        <f t="shared" si="23"/>
        <v>#REF!</v>
      </c>
      <c r="J756" s="915">
        <v>58.860999999999997</v>
      </c>
      <c r="K756" s="915">
        <v>1.8720000000000001</v>
      </c>
      <c r="L756" s="915">
        <v>1.8720000000000001</v>
      </c>
      <c r="M756" s="915">
        <v>58.860999999999997</v>
      </c>
    </row>
    <row r="757" spans="1:13">
      <c r="A757" s="633" t="s">
        <v>6693</v>
      </c>
      <c r="B757" s="423" t="s">
        <v>555</v>
      </c>
      <c r="C757" s="915">
        <v>3599.7689999999998</v>
      </c>
      <c r="D757" s="915">
        <v>32.661999999999999</v>
      </c>
      <c r="E757" s="915">
        <v>32.661999999999999</v>
      </c>
      <c r="F757" s="915">
        <v>3599.7689999999998</v>
      </c>
      <c r="G757" s="922">
        <f t="shared" si="22"/>
        <v>0</v>
      </c>
      <c r="H757" s="915" t="e">
        <v>#REF!</v>
      </c>
      <c r="I757" s="915" t="e">
        <f t="shared" si="23"/>
        <v>#REF!</v>
      </c>
      <c r="J757" s="915">
        <v>80.988</v>
      </c>
      <c r="K757" s="915">
        <v>2.1040000000000001</v>
      </c>
      <c r="L757" s="915">
        <v>2.1040000000000001</v>
      </c>
      <c r="M757" s="915">
        <v>80.988</v>
      </c>
    </row>
    <row r="758" spans="1:13">
      <c r="A758" s="633" t="s">
        <v>240</v>
      </c>
      <c r="B758" s="423" t="s">
        <v>2648</v>
      </c>
      <c r="C758" s="915">
        <v>35685.211000000003</v>
      </c>
      <c r="D758" s="915">
        <v>776.07799999999997</v>
      </c>
      <c r="E758" s="915">
        <v>572.80200000000002</v>
      </c>
      <c r="F758" s="915">
        <v>35481.934999999998</v>
      </c>
      <c r="G758" s="922">
        <f t="shared" si="22"/>
        <v>1</v>
      </c>
      <c r="H758" s="915" t="e">
        <v>#REF!</v>
      </c>
      <c r="I758" s="915" t="e">
        <f t="shared" si="23"/>
        <v>#REF!</v>
      </c>
      <c r="J758" s="915">
        <v>1942.3130000000001</v>
      </c>
      <c r="K758" s="915">
        <v>116.47499999999999</v>
      </c>
      <c r="L758" s="915">
        <v>77.460999999999999</v>
      </c>
      <c r="M758" s="915">
        <v>1903.299</v>
      </c>
    </row>
    <row r="759" spans="1:13">
      <c r="A759" s="633" t="s">
        <v>6695</v>
      </c>
      <c r="B759" s="423" t="s">
        <v>556</v>
      </c>
      <c r="C759" s="915">
        <v>252.267</v>
      </c>
      <c r="D759" s="915">
        <v>18.306000000000001</v>
      </c>
      <c r="E759" s="915">
        <v>9.266</v>
      </c>
      <c r="F759" s="915">
        <v>243.227</v>
      </c>
      <c r="G759" s="922">
        <f t="shared" si="22"/>
        <v>1</v>
      </c>
      <c r="H759" s="915" t="e">
        <v>#REF!</v>
      </c>
      <c r="I759" s="915" t="e">
        <f t="shared" si="23"/>
        <v>#REF!</v>
      </c>
      <c r="J759" s="915">
        <v>27.134</v>
      </c>
      <c r="K759" s="915">
        <v>2.032</v>
      </c>
      <c r="L759" s="915">
        <v>1.016</v>
      </c>
      <c r="M759" s="915">
        <v>26.117999999999999</v>
      </c>
    </row>
    <row r="760" spans="1:13">
      <c r="A760" s="633" t="s">
        <v>745</v>
      </c>
      <c r="B760" s="423" t="s">
        <v>557</v>
      </c>
      <c r="C760" s="915">
        <v>258.23200000000003</v>
      </c>
      <c r="D760" s="915">
        <v>0</v>
      </c>
      <c r="E760" s="915">
        <v>0</v>
      </c>
      <c r="F760" s="915">
        <v>258.23200000000003</v>
      </c>
      <c r="G760" s="922">
        <f t="shared" si="22"/>
        <v>0</v>
      </c>
      <c r="H760" s="915" t="e">
        <v>#REF!</v>
      </c>
      <c r="I760" s="915" t="e">
        <f t="shared" si="23"/>
        <v>#REF!</v>
      </c>
      <c r="J760" s="915">
        <v>7.194</v>
      </c>
      <c r="K760" s="915">
        <v>0</v>
      </c>
      <c r="L760" s="915">
        <v>0</v>
      </c>
      <c r="M760" s="915">
        <v>7.194</v>
      </c>
    </row>
    <row r="761" spans="1:13">
      <c r="A761" s="633" t="s">
        <v>747</v>
      </c>
      <c r="B761" s="423" t="s">
        <v>558</v>
      </c>
      <c r="C761" s="915">
        <v>492.59899999999999</v>
      </c>
      <c r="D761" s="915">
        <v>0</v>
      </c>
      <c r="E761" s="915">
        <v>0</v>
      </c>
      <c r="F761" s="915">
        <v>492.59899999999999</v>
      </c>
      <c r="G761" s="922">
        <f t="shared" si="22"/>
        <v>0</v>
      </c>
      <c r="H761" s="915" t="e">
        <v>#REF!</v>
      </c>
      <c r="I761" s="915" t="e">
        <f t="shared" si="23"/>
        <v>#REF!</v>
      </c>
      <c r="J761" s="915">
        <v>3.383</v>
      </c>
      <c r="K761" s="915">
        <v>0</v>
      </c>
      <c r="L761" s="915">
        <v>0</v>
      </c>
      <c r="M761" s="915">
        <v>3.383</v>
      </c>
    </row>
    <row r="762" spans="1:13">
      <c r="A762" s="633" t="s">
        <v>2308</v>
      </c>
      <c r="B762" s="423" t="s">
        <v>366</v>
      </c>
      <c r="C762" s="915">
        <v>3047.0729999999999</v>
      </c>
      <c r="D762" s="915">
        <v>119.069</v>
      </c>
      <c r="E762" s="915">
        <v>119.069</v>
      </c>
      <c r="F762" s="915">
        <v>3047.0729999999999</v>
      </c>
      <c r="G762" s="922">
        <f t="shared" si="22"/>
        <v>0</v>
      </c>
      <c r="H762" s="915" t="e">
        <v>#REF!</v>
      </c>
      <c r="I762" s="915" t="e">
        <f t="shared" si="23"/>
        <v>#REF!</v>
      </c>
      <c r="J762" s="915">
        <v>145.77199999999999</v>
      </c>
      <c r="K762" s="915">
        <v>11.57</v>
      </c>
      <c r="L762" s="915">
        <v>11.57</v>
      </c>
      <c r="M762" s="915">
        <v>145.77199999999999</v>
      </c>
    </row>
    <row r="763" spans="1:13">
      <c r="A763" s="633" t="s">
        <v>749</v>
      </c>
      <c r="B763" s="423" t="s">
        <v>559</v>
      </c>
      <c r="C763" s="915">
        <v>3202.5050000000001</v>
      </c>
      <c r="D763" s="915">
        <v>27.878</v>
      </c>
      <c r="E763" s="915">
        <v>27.878</v>
      </c>
      <c r="F763" s="915">
        <v>3202.5050000000001</v>
      </c>
      <c r="G763" s="922">
        <f t="shared" si="22"/>
        <v>0</v>
      </c>
      <c r="H763" s="915" t="e">
        <v>#REF!</v>
      </c>
      <c r="I763" s="915" t="e">
        <f t="shared" si="23"/>
        <v>#REF!</v>
      </c>
      <c r="J763" s="915">
        <v>137.024</v>
      </c>
      <c r="K763" s="915">
        <v>6.8289999999999997</v>
      </c>
      <c r="L763" s="915">
        <v>6.8289999999999997</v>
      </c>
      <c r="M763" s="915">
        <v>137.024</v>
      </c>
    </row>
    <row r="764" spans="1:13">
      <c r="A764" s="633" t="s">
        <v>2953</v>
      </c>
      <c r="B764" s="423" t="s">
        <v>560</v>
      </c>
      <c r="C764" s="915">
        <v>791.94600000000003</v>
      </c>
      <c r="D764" s="915">
        <v>27.2</v>
      </c>
      <c r="E764" s="915">
        <v>18.366</v>
      </c>
      <c r="F764" s="915">
        <v>783.11199999999997</v>
      </c>
      <c r="G764" s="922">
        <f t="shared" si="22"/>
        <v>1</v>
      </c>
      <c r="H764" s="915" t="e">
        <v>#REF!</v>
      </c>
      <c r="I764" s="915" t="e">
        <f t="shared" si="23"/>
        <v>#REF!</v>
      </c>
      <c r="J764" s="915">
        <v>13.492000000000001</v>
      </c>
      <c r="K764" s="915">
        <v>2.9790000000000001</v>
      </c>
      <c r="L764" s="915">
        <v>1.784</v>
      </c>
      <c r="M764" s="915">
        <v>12.298</v>
      </c>
    </row>
    <row r="765" spans="1:13">
      <c r="A765" s="633" t="s">
        <v>2955</v>
      </c>
      <c r="B765" s="423" t="s">
        <v>561</v>
      </c>
      <c r="C765" s="915">
        <v>5217.5420000000004</v>
      </c>
      <c r="D765" s="915">
        <v>69.016999999999996</v>
      </c>
      <c r="E765" s="915">
        <v>68.17</v>
      </c>
      <c r="F765" s="915">
        <v>5216.6949999999997</v>
      </c>
      <c r="G765" s="922">
        <f t="shared" si="22"/>
        <v>1</v>
      </c>
      <c r="H765" s="915" t="e">
        <v>#REF!</v>
      </c>
      <c r="I765" s="915" t="e">
        <f t="shared" si="23"/>
        <v>#REF!</v>
      </c>
      <c r="J765" s="915">
        <v>121.505</v>
      </c>
      <c r="K765" s="915">
        <v>2.3580000000000001</v>
      </c>
      <c r="L765" s="915">
        <v>2.3580000000000001</v>
      </c>
      <c r="M765" s="915">
        <v>121.505</v>
      </c>
    </row>
    <row r="766" spans="1:13">
      <c r="A766" s="633" t="s">
        <v>2957</v>
      </c>
      <c r="B766" s="423" t="s">
        <v>562</v>
      </c>
      <c r="C766" s="915">
        <v>1954.7860000000001</v>
      </c>
      <c r="D766" s="915">
        <v>100.21</v>
      </c>
      <c r="E766" s="915">
        <v>52.825000000000003</v>
      </c>
      <c r="F766" s="915">
        <v>1907.4010000000001</v>
      </c>
      <c r="G766" s="922">
        <f t="shared" si="22"/>
        <v>1</v>
      </c>
      <c r="H766" s="915" t="e">
        <v>#REF!</v>
      </c>
      <c r="I766" s="915" t="e">
        <f t="shared" si="23"/>
        <v>#REF!</v>
      </c>
      <c r="J766" s="915">
        <v>97.103999999999999</v>
      </c>
      <c r="K766" s="915">
        <v>12.997</v>
      </c>
      <c r="L766" s="915">
        <v>6.4989999999999997</v>
      </c>
      <c r="M766" s="915">
        <v>90.605000000000004</v>
      </c>
    </row>
    <row r="767" spans="1:13">
      <c r="A767" s="633" t="s">
        <v>5123</v>
      </c>
      <c r="B767" s="423" t="s">
        <v>337</v>
      </c>
      <c r="C767" s="915">
        <v>2071.9189999999999</v>
      </c>
      <c r="D767" s="915">
        <v>92.391999999999996</v>
      </c>
      <c r="E767" s="915">
        <v>83.230999999999995</v>
      </c>
      <c r="F767" s="915">
        <v>2062.7579999999998</v>
      </c>
      <c r="G767" s="922">
        <f t="shared" si="22"/>
        <v>1</v>
      </c>
      <c r="H767" s="915" t="e">
        <v>#REF!</v>
      </c>
      <c r="I767" s="915" t="e">
        <f t="shared" si="23"/>
        <v>#REF!</v>
      </c>
      <c r="J767" s="915">
        <v>439.74900000000002</v>
      </c>
      <c r="K767" s="915">
        <v>58.893000000000001</v>
      </c>
      <c r="L767" s="915">
        <v>51.573999999999998</v>
      </c>
      <c r="M767" s="915">
        <v>432.43</v>
      </c>
    </row>
    <row r="768" spans="1:13">
      <c r="A768" s="633" t="s">
        <v>7156</v>
      </c>
      <c r="B768" s="423" t="s">
        <v>1178</v>
      </c>
      <c r="C768" s="915">
        <v>308.15199999999999</v>
      </c>
      <c r="D768" s="915">
        <v>0</v>
      </c>
      <c r="E768" s="915">
        <v>0</v>
      </c>
      <c r="F768" s="915">
        <v>308.15199999999999</v>
      </c>
      <c r="G768" s="922">
        <f t="shared" si="22"/>
        <v>0</v>
      </c>
      <c r="H768" s="915" t="e">
        <v>#REF!</v>
      </c>
      <c r="I768" s="915" t="e">
        <f t="shared" si="23"/>
        <v>#REF!</v>
      </c>
      <c r="J768" s="915">
        <v>4.6150000000000002</v>
      </c>
      <c r="K768" s="915">
        <v>0</v>
      </c>
      <c r="L768" s="915">
        <v>0</v>
      </c>
      <c r="M768" s="915">
        <v>4.6150000000000002</v>
      </c>
    </row>
    <row r="769" spans="1:13">
      <c r="A769" s="633" t="s">
        <v>4119</v>
      </c>
      <c r="B769" s="423" t="s">
        <v>563</v>
      </c>
      <c r="C769" s="915">
        <v>272.86399999999998</v>
      </c>
      <c r="D769" s="915">
        <v>0</v>
      </c>
      <c r="E769" s="915">
        <v>0</v>
      </c>
      <c r="F769" s="915">
        <v>272.86399999999998</v>
      </c>
      <c r="G769" s="922">
        <f t="shared" si="22"/>
        <v>0</v>
      </c>
      <c r="H769" s="915" t="e">
        <v>#REF!</v>
      </c>
      <c r="I769" s="915" t="e">
        <f t="shared" si="23"/>
        <v>#REF!</v>
      </c>
      <c r="J769" s="915">
        <v>1.458</v>
      </c>
      <c r="K769" s="915">
        <v>0</v>
      </c>
      <c r="L769" s="915">
        <v>0</v>
      </c>
      <c r="M769" s="915">
        <v>1.458</v>
      </c>
    </row>
    <row r="770" spans="1:13">
      <c r="A770" s="633" t="s">
        <v>4121</v>
      </c>
      <c r="B770" s="423" t="s">
        <v>564</v>
      </c>
      <c r="C770" s="915">
        <v>116.741</v>
      </c>
      <c r="D770" s="915">
        <v>2.5920000000000001</v>
      </c>
      <c r="E770" s="915">
        <v>2.5920000000000001</v>
      </c>
      <c r="F770" s="915">
        <v>116.741</v>
      </c>
      <c r="G770" s="922">
        <f t="shared" si="22"/>
        <v>0</v>
      </c>
      <c r="H770" s="915" t="e">
        <v>#REF!</v>
      </c>
      <c r="I770" s="915" t="e">
        <f t="shared" si="23"/>
        <v>#REF!</v>
      </c>
      <c r="J770" s="915">
        <v>1.917</v>
      </c>
      <c r="K770" s="915">
        <v>0</v>
      </c>
      <c r="L770" s="915">
        <v>0</v>
      </c>
      <c r="M770" s="915">
        <v>1.917</v>
      </c>
    </row>
    <row r="771" spans="1:13">
      <c r="A771" s="633" t="s">
        <v>4123</v>
      </c>
      <c r="B771" s="423" t="s">
        <v>565</v>
      </c>
      <c r="C771" s="915">
        <v>83.075999999999993</v>
      </c>
      <c r="D771" s="915">
        <v>3.214</v>
      </c>
      <c r="E771" s="915">
        <v>3.214</v>
      </c>
      <c r="F771" s="915">
        <v>83.075999999999993</v>
      </c>
      <c r="G771" s="922">
        <f t="shared" ref="G771:G834" si="24">IF(F771&lt;C771,1,0)</f>
        <v>0</v>
      </c>
      <c r="H771" s="915" t="e">
        <v>#REF!</v>
      </c>
      <c r="I771" s="915" t="e">
        <f t="shared" ref="I771:I834" si="25">F771-H771</f>
        <v>#REF!</v>
      </c>
      <c r="J771" s="915">
        <v>1.4079999999999999</v>
      </c>
      <c r="K771" s="915">
        <v>0.41799999999999998</v>
      </c>
      <c r="L771" s="915">
        <v>0.41799999999999998</v>
      </c>
      <c r="M771" s="915">
        <v>1.4079999999999999</v>
      </c>
    </row>
    <row r="772" spans="1:13">
      <c r="A772" s="633" t="s">
        <v>5032</v>
      </c>
      <c r="B772" s="423" t="s">
        <v>7666</v>
      </c>
      <c r="C772" s="915">
        <v>2275.8150000000001</v>
      </c>
      <c r="D772" s="915">
        <v>40.463000000000001</v>
      </c>
      <c r="E772" s="915">
        <v>21.478000000000002</v>
      </c>
      <c r="F772" s="915">
        <v>2256.8310000000001</v>
      </c>
      <c r="G772" s="922">
        <f t="shared" si="24"/>
        <v>1</v>
      </c>
      <c r="H772" s="915" t="e">
        <v>#REF!</v>
      </c>
      <c r="I772" s="915" t="e">
        <f t="shared" si="25"/>
        <v>#REF!</v>
      </c>
      <c r="J772" s="915">
        <v>69.867000000000004</v>
      </c>
      <c r="K772" s="915">
        <v>10.473000000000001</v>
      </c>
      <c r="L772" s="915">
        <v>5.266</v>
      </c>
      <c r="M772" s="915">
        <v>64.66</v>
      </c>
    </row>
    <row r="773" spans="1:13">
      <c r="A773" s="633" t="s">
        <v>4125</v>
      </c>
      <c r="B773" s="423" t="s">
        <v>566</v>
      </c>
      <c r="C773" s="915">
        <v>1618.4179999999999</v>
      </c>
      <c r="D773" s="915">
        <v>21.376000000000001</v>
      </c>
      <c r="E773" s="915">
        <v>21.376000000000001</v>
      </c>
      <c r="F773" s="915">
        <v>1618.4179999999999</v>
      </c>
      <c r="G773" s="922">
        <f t="shared" si="24"/>
        <v>0</v>
      </c>
      <c r="H773" s="915" t="e">
        <v>#REF!</v>
      </c>
      <c r="I773" s="915" t="e">
        <f t="shared" si="25"/>
        <v>#REF!</v>
      </c>
      <c r="J773" s="915">
        <v>15.537000000000001</v>
      </c>
      <c r="K773" s="915">
        <v>3.0579999999999998</v>
      </c>
      <c r="L773" s="915">
        <v>3.0579999999999998</v>
      </c>
      <c r="M773" s="915">
        <v>15.537000000000001</v>
      </c>
    </row>
    <row r="774" spans="1:13">
      <c r="A774" s="633" t="s">
        <v>4127</v>
      </c>
      <c r="B774" s="423" t="s">
        <v>4229</v>
      </c>
      <c r="C774" s="915">
        <v>2255.136</v>
      </c>
      <c r="D774" s="915">
        <v>116.869</v>
      </c>
      <c r="E774" s="915">
        <v>116.708</v>
      </c>
      <c r="F774" s="915">
        <v>2254.9749999999999</v>
      </c>
      <c r="G774" s="922">
        <f t="shared" si="24"/>
        <v>1</v>
      </c>
      <c r="H774" s="915" t="e">
        <v>#REF!</v>
      </c>
      <c r="I774" s="915" t="e">
        <f t="shared" si="25"/>
        <v>#REF!</v>
      </c>
      <c r="J774" s="915">
        <v>56.05</v>
      </c>
      <c r="K774" s="915">
        <v>5.76</v>
      </c>
      <c r="L774" s="915">
        <v>5.76</v>
      </c>
      <c r="M774" s="915">
        <v>56.05</v>
      </c>
    </row>
    <row r="775" spans="1:13">
      <c r="A775" s="633" t="s">
        <v>5033</v>
      </c>
      <c r="B775" s="423" t="s">
        <v>4059</v>
      </c>
      <c r="C775" s="915">
        <v>4503.6499999999996</v>
      </c>
      <c r="D775" s="915">
        <v>90.128</v>
      </c>
      <c r="E775" s="915">
        <v>90.128</v>
      </c>
      <c r="F775" s="915">
        <v>4503.6499999999996</v>
      </c>
      <c r="G775" s="922">
        <f t="shared" si="24"/>
        <v>0</v>
      </c>
      <c r="H775" s="915" t="e">
        <v>#REF!</v>
      </c>
      <c r="I775" s="915" t="e">
        <f t="shared" si="25"/>
        <v>#REF!</v>
      </c>
      <c r="J775" s="915">
        <v>23.036999999999999</v>
      </c>
      <c r="K775" s="915">
        <v>1.4610000000000001</v>
      </c>
      <c r="L775" s="915">
        <v>1.4610000000000001</v>
      </c>
      <c r="M775" s="915">
        <v>23.036999999999999</v>
      </c>
    </row>
    <row r="776" spans="1:13">
      <c r="A776" s="633" t="s">
        <v>4129</v>
      </c>
      <c r="B776" s="423" t="s">
        <v>4232</v>
      </c>
      <c r="C776" s="915">
        <v>3402.78</v>
      </c>
      <c r="D776" s="915">
        <v>28.47</v>
      </c>
      <c r="E776" s="915">
        <v>28.47</v>
      </c>
      <c r="F776" s="915">
        <v>3402.78</v>
      </c>
      <c r="G776" s="922">
        <f t="shared" si="24"/>
        <v>0</v>
      </c>
      <c r="H776" s="915" t="e">
        <v>#REF!</v>
      </c>
      <c r="I776" s="915" t="e">
        <f t="shared" si="25"/>
        <v>#REF!</v>
      </c>
      <c r="J776" s="915">
        <v>40.277999999999999</v>
      </c>
      <c r="K776" s="915">
        <v>2.5750000000000002</v>
      </c>
      <c r="L776" s="915">
        <v>2.5750000000000002</v>
      </c>
      <c r="M776" s="915">
        <v>40.277999999999999</v>
      </c>
    </row>
    <row r="777" spans="1:13">
      <c r="A777" s="633" t="s">
        <v>4131</v>
      </c>
      <c r="B777" s="423" t="s">
        <v>1622</v>
      </c>
      <c r="C777" s="915">
        <v>168.12899999999999</v>
      </c>
      <c r="D777" s="915">
        <v>1.8779999999999999</v>
      </c>
      <c r="E777" s="915">
        <v>1.875</v>
      </c>
      <c r="F777" s="915">
        <v>168.126</v>
      </c>
      <c r="G777" s="922">
        <f t="shared" si="24"/>
        <v>1</v>
      </c>
      <c r="H777" s="915" t="e">
        <v>#REF!</v>
      </c>
      <c r="I777" s="915" t="e">
        <f t="shared" si="25"/>
        <v>#REF!</v>
      </c>
      <c r="J777" s="915">
        <v>2.8929999999999998</v>
      </c>
      <c r="K777" s="915">
        <v>0</v>
      </c>
      <c r="L777" s="915">
        <v>0</v>
      </c>
      <c r="M777" s="915">
        <v>2.8929999999999998</v>
      </c>
    </row>
    <row r="778" spans="1:13">
      <c r="A778" s="633" t="s">
        <v>4133</v>
      </c>
      <c r="B778" s="423" t="s">
        <v>1623</v>
      </c>
      <c r="C778" s="915">
        <v>293.72699999999998</v>
      </c>
      <c r="D778" s="915">
        <v>5.5640000000000001</v>
      </c>
      <c r="E778" s="915">
        <v>5.21</v>
      </c>
      <c r="F778" s="915">
        <v>293.37200000000001</v>
      </c>
      <c r="G778" s="922">
        <f t="shared" si="24"/>
        <v>1</v>
      </c>
      <c r="H778" s="915" t="e">
        <v>#REF!</v>
      </c>
      <c r="I778" s="915" t="e">
        <f t="shared" si="25"/>
        <v>#REF!</v>
      </c>
      <c r="J778" s="915">
        <v>2.02</v>
      </c>
      <c r="K778" s="915">
        <v>0</v>
      </c>
      <c r="L778" s="915">
        <v>0</v>
      </c>
      <c r="M778" s="915">
        <v>2.02</v>
      </c>
    </row>
    <row r="779" spans="1:13">
      <c r="A779" s="633" t="s">
        <v>6175</v>
      </c>
      <c r="B779" s="423" t="s">
        <v>501</v>
      </c>
      <c r="C779" s="915">
        <v>3355.2689999999998</v>
      </c>
      <c r="D779" s="915">
        <v>79.134</v>
      </c>
      <c r="E779" s="915">
        <v>79.134</v>
      </c>
      <c r="F779" s="915">
        <v>3355.2689999999998</v>
      </c>
      <c r="G779" s="922">
        <f t="shared" si="24"/>
        <v>0</v>
      </c>
      <c r="H779" s="915" t="e">
        <v>#REF!</v>
      </c>
      <c r="I779" s="915" t="e">
        <f t="shared" si="25"/>
        <v>#REF!</v>
      </c>
      <c r="J779" s="915">
        <v>280.79599999999999</v>
      </c>
      <c r="K779" s="915">
        <v>21.329000000000001</v>
      </c>
      <c r="L779" s="915">
        <v>21.329000000000001</v>
      </c>
      <c r="M779" s="915">
        <v>280.79599999999999</v>
      </c>
    </row>
    <row r="780" spans="1:13">
      <c r="A780" s="633" t="s">
        <v>4135</v>
      </c>
      <c r="B780" s="423" t="s">
        <v>1624</v>
      </c>
      <c r="C780" s="915">
        <v>459.56200000000001</v>
      </c>
      <c r="D780" s="915">
        <v>4.9400000000000004</v>
      </c>
      <c r="E780" s="915">
        <v>4.9400000000000004</v>
      </c>
      <c r="F780" s="915">
        <v>459.56200000000001</v>
      </c>
      <c r="G780" s="922">
        <f t="shared" si="24"/>
        <v>0</v>
      </c>
      <c r="H780" s="915" t="e">
        <v>#REF!</v>
      </c>
      <c r="I780" s="915" t="e">
        <f t="shared" si="25"/>
        <v>#REF!</v>
      </c>
      <c r="J780" s="915">
        <v>15.304</v>
      </c>
      <c r="K780" s="915">
        <v>1.9550000000000001</v>
      </c>
      <c r="L780" s="915">
        <v>1.9550000000000001</v>
      </c>
      <c r="M780" s="915">
        <v>15.304</v>
      </c>
    </row>
    <row r="781" spans="1:13">
      <c r="A781" s="633" t="s">
        <v>4137</v>
      </c>
      <c r="B781" s="423" t="s">
        <v>1625</v>
      </c>
      <c r="C781" s="915">
        <v>177.49600000000001</v>
      </c>
      <c r="D781" s="915">
        <v>6.0730000000000004</v>
      </c>
      <c r="E781" s="915">
        <v>5.9889999999999999</v>
      </c>
      <c r="F781" s="915">
        <v>177.41300000000001</v>
      </c>
      <c r="G781" s="922">
        <f t="shared" si="24"/>
        <v>1</v>
      </c>
      <c r="H781" s="915" t="e">
        <v>#REF!</v>
      </c>
      <c r="I781" s="915" t="e">
        <f t="shared" si="25"/>
        <v>#REF!</v>
      </c>
      <c r="J781" s="915">
        <v>12.641999999999999</v>
      </c>
      <c r="K781" s="915">
        <v>0</v>
      </c>
      <c r="L781" s="915">
        <v>0</v>
      </c>
      <c r="M781" s="915">
        <v>12.641999999999999</v>
      </c>
    </row>
    <row r="782" spans="1:13">
      <c r="A782" s="633" t="s">
        <v>4139</v>
      </c>
      <c r="B782" s="423" t="s">
        <v>1626</v>
      </c>
      <c r="C782" s="915">
        <v>71.117000000000004</v>
      </c>
      <c r="D782" s="915">
        <v>3.548</v>
      </c>
      <c r="E782" s="915">
        <v>2.0640000000000001</v>
      </c>
      <c r="F782" s="915">
        <v>69.632000000000005</v>
      </c>
      <c r="G782" s="922">
        <f t="shared" si="24"/>
        <v>1</v>
      </c>
      <c r="H782" s="915" t="e">
        <v>#REF!</v>
      </c>
      <c r="I782" s="915" t="e">
        <f t="shared" si="25"/>
        <v>#REF!</v>
      </c>
      <c r="J782" s="915">
        <v>4.8860000000000001</v>
      </c>
      <c r="K782" s="915">
        <v>0</v>
      </c>
      <c r="L782" s="915">
        <v>0</v>
      </c>
      <c r="M782" s="915">
        <v>4.8860000000000001</v>
      </c>
    </row>
    <row r="783" spans="1:13">
      <c r="A783" s="633" t="s">
        <v>4141</v>
      </c>
      <c r="B783" s="423" t="s">
        <v>1627</v>
      </c>
      <c r="C783" s="915">
        <v>578.55799999999999</v>
      </c>
      <c r="D783" s="915">
        <v>21.062999999999999</v>
      </c>
      <c r="E783" s="915">
        <v>11.667999999999999</v>
      </c>
      <c r="F783" s="915">
        <v>569.16200000000003</v>
      </c>
      <c r="G783" s="922">
        <f t="shared" si="24"/>
        <v>1</v>
      </c>
      <c r="H783" s="915" t="e">
        <v>#REF!</v>
      </c>
      <c r="I783" s="915" t="e">
        <f t="shared" si="25"/>
        <v>#REF!</v>
      </c>
      <c r="J783" s="915">
        <v>17.22</v>
      </c>
      <c r="K783" s="915">
        <v>1.8680000000000001</v>
      </c>
      <c r="L783" s="915">
        <v>1.405</v>
      </c>
      <c r="M783" s="915">
        <v>16.757000000000001</v>
      </c>
    </row>
    <row r="784" spans="1:13">
      <c r="A784" s="633" t="s">
        <v>4143</v>
      </c>
      <c r="B784" s="423" t="s">
        <v>1628</v>
      </c>
      <c r="C784" s="915">
        <v>2547.0309999999999</v>
      </c>
      <c r="D784" s="915">
        <v>38.518999999999998</v>
      </c>
      <c r="E784" s="915">
        <v>38.518999999999998</v>
      </c>
      <c r="F784" s="915">
        <v>2547.0309999999999</v>
      </c>
      <c r="G784" s="922">
        <f t="shared" si="24"/>
        <v>0</v>
      </c>
      <c r="H784" s="915" t="e">
        <v>#REF!</v>
      </c>
      <c r="I784" s="915" t="e">
        <f t="shared" si="25"/>
        <v>#REF!</v>
      </c>
      <c r="J784" s="915">
        <v>156.95400000000001</v>
      </c>
      <c r="K784" s="915">
        <v>11.004</v>
      </c>
      <c r="L784" s="915">
        <v>11.004</v>
      </c>
      <c r="M784" s="915">
        <v>156.95400000000001</v>
      </c>
    </row>
    <row r="785" spans="1:13">
      <c r="A785" s="633" t="s">
        <v>1318</v>
      </c>
      <c r="B785" s="423" t="s">
        <v>124</v>
      </c>
      <c r="C785" s="915">
        <v>331.86599999999999</v>
      </c>
      <c r="D785" s="915">
        <v>18.314</v>
      </c>
      <c r="E785" s="915">
        <v>10.545</v>
      </c>
      <c r="F785" s="915">
        <v>324.09699999999998</v>
      </c>
      <c r="G785" s="922">
        <f t="shared" si="24"/>
        <v>1</v>
      </c>
      <c r="H785" s="915" t="e">
        <v>#REF!</v>
      </c>
      <c r="I785" s="915" t="e">
        <f t="shared" si="25"/>
        <v>#REF!</v>
      </c>
      <c r="J785" s="915">
        <v>5.4880000000000004</v>
      </c>
      <c r="K785" s="915">
        <v>0</v>
      </c>
      <c r="L785" s="915">
        <v>0</v>
      </c>
      <c r="M785" s="915">
        <v>5.4880000000000004</v>
      </c>
    </row>
    <row r="786" spans="1:13">
      <c r="A786" s="633" t="s">
        <v>2536</v>
      </c>
      <c r="B786" s="423" t="s">
        <v>344</v>
      </c>
      <c r="C786" s="915">
        <v>531.14700000000005</v>
      </c>
      <c r="D786" s="915">
        <v>12.552</v>
      </c>
      <c r="E786" s="915">
        <v>12.481999999999999</v>
      </c>
      <c r="F786" s="915">
        <v>531.07799999999997</v>
      </c>
      <c r="G786" s="922">
        <f t="shared" si="24"/>
        <v>1</v>
      </c>
      <c r="H786" s="915" t="e">
        <v>#REF!</v>
      </c>
      <c r="I786" s="915" t="e">
        <f t="shared" si="25"/>
        <v>#REF!</v>
      </c>
      <c r="J786" s="915">
        <v>37.082999999999998</v>
      </c>
      <c r="K786" s="915">
        <v>3.2919999999999998</v>
      </c>
      <c r="L786" s="915">
        <v>3.2919999999999998</v>
      </c>
      <c r="M786" s="915">
        <v>37.082999999999998</v>
      </c>
    </row>
    <row r="787" spans="1:13">
      <c r="A787" s="633" t="s">
        <v>2407</v>
      </c>
      <c r="B787" s="423" t="s">
        <v>2352</v>
      </c>
      <c r="C787" s="915">
        <v>3343.5790000000002</v>
      </c>
      <c r="D787" s="915">
        <v>136.619</v>
      </c>
      <c r="E787" s="915">
        <v>80.709000000000003</v>
      </c>
      <c r="F787" s="915">
        <v>3287.67</v>
      </c>
      <c r="G787" s="922">
        <f t="shared" si="24"/>
        <v>1</v>
      </c>
      <c r="H787" s="915" t="e">
        <v>#REF!</v>
      </c>
      <c r="I787" s="915" t="e">
        <f t="shared" si="25"/>
        <v>#REF!</v>
      </c>
      <c r="J787" s="915">
        <v>80.891000000000005</v>
      </c>
      <c r="K787" s="915">
        <v>15.625</v>
      </c>
      <c r="L787" s="915">
        <v>8.4619999999999997</v>
      </c>
      <c r="M787" s="915">
        <v>73.727999999999994</v>
      </c>
    </row>
    <row r="788" spans="1:13">
      <c r="A788" s="633" t="s">
        <v>5034</v>
      </c>
      <c r="B788" s="423" t="s">
        <v>4064</v>
      </c>
      <c r="C788" s="915">
        <v>6957.63</v>
      </c>
      <c r="D788" s="915">
        <v>80.980999999999995</v>
      </c>
      <c r="E788" s="915">
        <v>80.980999999999995</v>
      </c>
      <c r="F788" s="915">
        <v>6957.63</v>
      </c>
      <c r="G788" s="922">
        <f t="shared" si="24"/>
        <v>0</v>
      </c>
      <c r="H788" s="915" t="e">
        <v>#REF!</v>
      </c>
      <c r="I788" s="915" t="e">
        <f t="shared" si="25"/>
        <v>#REF!</v>
      </c>
      <c r="J788" s="915">
        <v>453.29199999999997</v>
      </c>
      <c r="K788" s="915">
        <v>28.173999999999999</v>
      </c>
      <c r="L788" s="915">
        <v>28.173999999999999</v>
      </c>
      <c r="M788" s="915">
        <v>453.29199999999997</v>
      </c>
    </row>
    <row r="789" spans="1:13">
      <c r="A789" s="633" t="s">
        <v>6174</v>
      </c>
      <c r="B789" s="423" t="s">
        <v>500</v>
      </c>
      <c r="C789" s="915">
        <v>695.05100000000004</v>
      </c>
      <c r="D789" s="915">
        <v>6.4379999999999997</v>
      </c>
      <c r="E789" s="915">
        <v>6.4379999999999997</v>
      </c>
      <c r="F789" s="915">
        <v>695.05100000000004</v>
      </c>
      <c r="G789" s="922">
        <f t="shared" si="24"/>
        <v>0</v>
      </c>
      <c r="H789" s="915" t="e">
        <v>#REF!</v>
      </c>
      <c r="I789" s="915" t="e">
        <f t="shared" si="25"/>
        <v>#REF!</v>
      </c>
      <c r="J789" s="915">
        <v>19.405000000000001</v>
      </c>
      <c r="K789" s="915">
        <v>0.44400000000000001</v>
      </c>
      <c r="L789" s="915">
        <v>0.44400000000000001</v>
      </c>
      <c r="M789" s="915">
        <v>19.405000000000001</v>
      </c>
    </row>
    <row r="790" spans="1:13">
      <c r="A790" s="633" t="s">
        <v>4145</v>
      </c>
      <c r="B790" s="423" t="s">
        <v>1629</v>
      </c>
      <c r="C790" s="915">
        <v>4372.2939999999999</v>
      </c>
      <c r="D790" s="915">
        <v>10.471</v>
      </c>
      <c r="E790" s="915">
        <v>10.471</v>
      </c>
      <c r="F790" s="915">
        <v>4372.2939999999999</v>
      </c>
      <c r="G790" s="922">
        <f t="shared" si="24"/>
        <v>0</v>
      </c>
      <c r="H790" s="915" t="e">
        <v>#REF!</v>
      </c>
      <c r="I790" s="915" t="e">
        <f t="shared" si="25"/>
        <v>#REF!</v>
      </c>
      <c r="J790" s="915">
        <v>83.204999999999998</v>
      </c>
      <c r="K790" s="915">
        <v>3.7320000000000002</v>
      </c>
      <c r="L790" s="915">
        <v>3.7320000000000002</v>
      </c>
      <c r="M790" s="915">
        <v>83.204999999999998</v>
      </c>
    </row>
    <row r="791" spans="1:13">
      <c r="A791" s="633" t="s">
        <v>6196</v>
      </c>
      <c r="B791" s="423" t="s">
        <v>5295</v>
      </c>
      <c r="C791" s="915">
        <v>1050.7560000000001</v>
      </c>
      <c r="D791" s="915">
        <v>8.3870000000000005</v>
      </c>
      <c r="E791" s="915">
        <v>8.15</v>
      </c>
      <c r="F791" s="915">
        <v>1050.519</v>
      </c>
      <c r="G791" s="922">
        <f t="shared" si="24"/>
        <v>1</v>
      </c>
      <c r="H791" s="915" t="e">
        <v>#REF!</v>
      </c>
      <c r="I791" s="915" t="e">
        <f t="shared" si="25"/>
        <v>#REF!</v>
      </c>
      <c r="J791" s="915">
        <v>26.62</v>
      </c>
      <c r="K791" s="915">
        <v>1.732</v>
      </c>
      <c r="L791" s="915">
        <v>1.732</v>
      </c>
      <c r="M791" s="915">
        <v>26.62</v>
      </c>
    </row>
    <row r="792" spans="1:13">
      <c r="A792" s="633" t="s">
        <v>6131</v>
      </c>
      <c r="B792" s="423" t="s">
        <v>7667</v>
      </c>
      <c r="C792" s="915">
        <v>781.33900000000006</v>
      </c>
      <c r="D792" s="915">
        <v>0</v>
      </c>
      <c r="E792" s="915">
        <v>0</v>
      </c>
      <c r="F792" s="915">
        <v>781.33900000000006</v>
      </c>
      <c r="G792" s="922">
        <f t="shared" si="24"/>
        <v>0</v>
      </c>
      <c r="H792" s="915" t="e">
        <v>#REF!</v>
      </c>
      <c r="I792" s="915" t="e">
        <f t="shared" si="25"/>
        <v>#REF!</v>
      </c>
      <c r="J792" s="915">
        <v>8.9990000000000006</v>
      </c>
      <c r="K792" s="915">
        <v>0</v>
      </c>
      <c r="L792" s="915">
        <v>0</v>
      </c>
      <c r="M792" s="915">
        <v>8.9990000000000006</v>
      </c>
    </row>
    <row r="793" spans="1:13">
      <c r="A793" s="633" t="s">
        <v>254</v>
      </c>
      <c r="B793" s="423" t="s">
        <v>1630</v>
      </c>
      <c r="C793" s="915">
        <v>177.57499999999999</v>
      </c>
      <c r="D793" s="915">
        <v>3.0270000000000001</v>
      </c>
      <c r="E793" s="915">
        <v>3.0270000000000001</v>
      </c>
      <c r="F793" s="915">
        <v>177.57499999999999</v>
      </c>
      <c r="G793" s="922">
        <f t="shared" si="24"/>
        <v>0</v>
      </c>
      <c r="H793" s="915" t="e">
        <v>#REF!</v>
      </c>
      <c r="I793" s="915" t="e">
        <f t="shared" si="25"/>
        <v>#REF!</v>
      </c>
      <c r="J793" s="915">
        <v>6.6130000000000004</v>
      </c>
      <c r="K793" s="915">
        <v>0</v>
      </c>
      <c r="L793" s="915">
        <v>0</v>
      </c>
      <c r="M793" s="915">
        <v>6.6130000000000004</v>
      </c>
    </row>
    <row r="794" spans="1:13">
      <c r="A794" s="633" t="s">
        <v>256</v>
      </c>
      <c r="B794" s="423" t="s">
        <v>1631</v>
      </c>
      <c r="C794" s="915">
        <v>450.75700000000001</v>
      </c>
      <c r="D794" s="915">
        <v>15.968</v>
      </c>
      <c r="E794" s="915">
        <v>15.968</v>
      </c>
      <c r="F794" s="915">
        <v>450.75700000000001</v>
      </c>
      <c r="G794" s="922">
        <f t="shared" si="24"/>
        <v>0</v>
      </c>
      <c r="H794" s="915" t="e">
        <v>#REF!</v>
      </c>
      <c r="I794" s="915" t="e">
        <f t="shared" si="25"/>
        <v>#REF!</v>
      </c>
      <c r="J794" s="915">
        <v>114.453</v>
      </c>
      <c r="K794" s="915">
        <v>9</v>
      </c>
      <c r="L794" s="915">
        <v>9</v>
      </c>
      <c r="M794" s="915">
        <v>114.453</v>
      </c>
    </row>
    <row r="795" spans="1:13">
      <c r="A795" s="633" t="s">
        <v>258</v>
      </c>
      <c r="B795" s="423" t="s">
        <v>1632</v>
      </c>
      <c r="C795" s="915">
        <v>490.17599999999999</v>
      </c>
      <c r="D795" s="915">
        <v>9.7080000000000002</v>
      </c>
      <c r="E795" s="915">
        <v>9.2669999999999995</v>
      </c>
      <c r="F795" s="915">
        <v>489.73500000000001</v>
      </c>
      <c r="G795" s="922">
        <f t="shared" si="24"/>
        <v>1</v>
      </c>
      <c r="H795" s="915" t="e">
        <v>#REF!</v>
      </c>
      <c r="I795" s="915" t="e">
        <f t="shared" si="25"/>
        <v>#REF!</v>
      </c>
      <c r="J795" s="915">
        <v>66.228999999999999</v>
      </c>
      <c r="K795" s="915">
        <v>3.12</v>
      </c>
      <c r="L795" s="915">
        <v>2.7650000000000001</v>
      </c>
      <c r="M795" s="915">
        <v>65.873999999999995</v>
      </c>
    </row>
    <row r="796" spans="1:13">
      <c r="A796" s="633" t="s">
        <v>260</v>
      </c>
      <c r="B796" s="423" t="s">
        <v>1633</v>
      </c>
      <c r="C796" s="915">
        <v>1128.71</v>
      </c>
      <c r="D796" s="915">
        <v>27.393999999999998</v>
      </c>
      <c r="E796" s="915">
        <v>27.393999999999998</v>
      </c>
      <c r="F796" s="915">
        <v>1128.71</v>
      </c>
      <c r="G796" s="922">
        <f t="shared" si="24"/>
        <v>0</v>
      </c>
      <c r="H796" s="915" t="e">
        <v>#REF!</v>
      </c>
      <c r="I796" s="915" t="e">
        <f t="shared" si="25"/>
        <v>#REF!</v>
      </c>
      <c r="J796" s="915">
        <v>201.23099999999999</v>
      </c>
      <c r="K796" s="915">
        <v>10.709</v>
      </c>
      <c r="L796" s="915">
        <v>10.709</v>
      </c>
      <c r="M796" s="915">
        <v>201.23099999999999</v>
      </c>
    </row>
    <row r="797" spans="1:13">
      <c r="A797" s="633" t="s">
        <v>262</v>
      </c>
      <c r="B797" s="423" t="s">
        <v>1634</v>
      </c>
      <c r="C797" s="915">
        <v>139.143</v>
      </c>
      <c r="D797" s="915">
        <v>2.52</v>
      </c>
      <c r="E797" s="915">
        <v>2.52</v>
      </c>
      <c r="F797" s="915">
        <v>139.143</v>
      </c>
      <c r="G797" s="922">
        <f t="shared" si="24"/>
        <v>0</v>
      </c>
      <c r="H797" s="915" t="e">
        <v>#REF!</v>
      </c>
      <c r="I797" s="915" t="e">
        <f t="shared" si="25"/>
        <v>#REF!</v>
      </c>
      <c r="J797" s="915">
        <v>20.155999999999999</v>
      </c>
      <c r="K797" s="915">
        <v>0</v>
      </c>
      <c r="L797" s="915">
        <v>0</v>
      </c>
      <c r="M797" s="915">
        <v>20.155999999999999</v>
      </c>
    </row>
    <row r="798" spans="1:13">
      <c r="A798" s="633" t="s">
        <v>872</v>
      </c>
      <c r="B798" s="423" t="s">
        <v>397</v>
      </c>
      <c r="C798" s="915">
        <v>111.376</v>
      </c>
      <c r="D798" s="915">
        <v>1.4159999999999999</v>
      </c>
      <c r="E798" s="915">
        <v>1.4159999999999999</v>
      </c>
      <c r="F798" s="915">
        <v>111.376</v>
      </c>
      <c r="G798" s="922">
        <f t="shared" si="24"/>
        <v>0</v>
      </c>
      <c r="H798" s="915" t="e">
        <v>#REF!</v>
      </c>
      <c r="I798" s="915" t="e">
        <f t="shared" si="25"/>
        <v>#REF!</v>
      </c>
      <c r="J798" s="915">
        <v>13.265000000000001</v>
      </c>
      <c r="K798" s="915">
        <v>0</v>
      </c>
      <c r="L798" s="915">
        <v>0</v>
      </c>
      <c r="M798" s="915">
        <v>13.265000000000001</v>
      </c>
    </row>
    <row r="799" spans="1:13">
      <c r="A799" s="633" t="s">
        <v>874</v>
      </c>
      <c r="B799" s="423" t="s">
        <v>6848</v>
      </c>
      <c r="C799" s="915">
        <v>2170.3290000000002</v>
      </c>
      <c r="D799" s="915">
        <v>24.285</v>
      </c>
      <c r="E799" s="915">
        <v>24.285</v>
      </c>
      <c r="F799" s="915">
        <v>2170.3290000000002</v>
      </c>
      <c r="G799" s="922">
        <f t="shared" si="24"/>
        <v>0</v>
      </c>
      <c r="H799" s="915" t="e">
        <v>#REF!</v>
      </c>
      <c r="I799" s="915" t="e">
        <f t="shared" si="25"/>
        <v>#REF!</v>
      </c>
      <c r="J799" s="915">
        <v>252.5</v>
      </c>
      <c r="K799" s="915">
        <v>9.5389999999999997</v>
      </c>
      <c r="L799" s="915">
        <v>9.5389999999999997</v>
      </c>
      <c r="M799" s="915">
        <v>252.5</v>
      </c>
    </row>
    <row r="800" spans="1:13">
      <c r="A800" s="633" t="s">
        <v>876</v>
      </c>
      <c r="B800" s="423" t="s">
        <v>399</v>
      </c>
      <c r="C800" s="915">
        <v>547.01300000000003</v>
      </c>
      <c r="D800" s="915">
        <v>5.77</v>
      </c>
      <c r="E800" s="915">
        <v>3.0609999999999999</v>
      </c>
      <c r="F800" s="915">
        <v>544.30499999999995</v>
      </c>
      <c r="G800" s="922">
        <f t="shared" si="24"/>
        <v>1</v>
      </c>
      <c r="H800" s="915" t="e">
        <v>#REF!</v>
      </c>
      <c r="I800" s="915" t="e">
        <f t="shared" si="25"/>
        <v>#REF!</v>
      </c>
      <c r="J800" s="915">
        <v>43.276000000000003</v>
      </c>
      <c r="K800" s="915">
        <v>3.5190000000000001</v>
      </c>
      <c r="L800" s="915">
        <v>1.78</v>
      </c>
      <c r="M800" s="915">
        <v>41.536999999999999</v>
      </c>
    </row>
    <row r="801" spans="1:13">
      <c r="A801" s="633" t="s">
        <v>3040</v>
      </c>
      <c r="B801" s="423" t="s">
        <v>400</v>
      </c>
      <c r="C801" s="915">
        <v>466.65600000000001</v>
      </c>
      <c r="D801" s="915">
        <v>13.297000000000001</v>
      </c>
      <c r="E801" s="915">
        <v>11.394</v>
      </c>
      <c r="F801" s="915">
        <v>464.75299999999999</v>
      </c>
      <c r="G801" s="922">
        <f t="shared" si="24"/>
        <v>1</v>
      </c>
      <c r="H801" s="915" t="e">
        <v>#REF!</v>
      </c>
      <c r="I801" s="915" t="e">
        <f t="shared" si="25"/>
        <v>#REF!</v>
      </c>
      <c r="J801" s="915">
        <v>0</v>
      </c>
      <c r="K801" s="915">
        <v>0</v>
      </c>
      <c r="L801" s="915">
        <v>0</v>
      </c>
      <c r="M801" s="915">
        <v>0</v>
      </c>
    </row>
    <row r="802" spans="1:13">
      <c r="A802" s="633" t="s">
        <v>3042</v>
      </c>
      <c r="B802" s="423" t="s">
        <v>401</v>
      </c>
      <c r="C802" s="915">
        <v>240.16399999999999</v>
      </c>
      <c r="D802" s="915">
        <v>7.8789999999999996</v>
      </c>
      <c r="E802" s="915">
        <v>7.8789999999999996</v>
      </c>
      <c r="F802" s="915">
        <v>240.16399999999999</v>
      </c>
      <c r="G802" s="922">
        <f t="shared" si="24"/>
        <v>0</v>
      </c>
      <c r="H802" s="915" t="e">
        <v>#REF!</v>
      </c>
      <c r="I802" s="915" t="e">
        <f t="shared" si="25"/>
        <v>#REF!</v>
      </c>
      <c r="J802" s="915">
        <v>31.318000000000001</v>
      </c>
      <c r="K802" s="915">
        <v>1.6279999999999999</v>
      </c>
      <c r="L802" s="915">
        <v>1.6279999999999999</v>
      </c>
      <c r="M802" s="915">
        <v>31.318000000000001</v>
      </c>
    </row>
    <row r="803" spans="1:13">
      <c r="A803" s="633" t="s">
        <v>709</v>
      </c>
      <c r="B803" s="423" t="s">
        <v>402</v>
      </c>
      <c r="C803" s="915">
        <v>955.14099999999996</v>
      </c>
      <c r="D803" s="915">
        <v>24.045999999999999</v>
      </c>
      <c r="E803" s="915">
        <v>24.045999999999999</v>
      </c>
      <c r="F803" s="915">
        <v>955.14099999999996</v>
      </c>
      <c r="G803" s="922">
        <f t="shared" si="24"/>
        <v>0</v>
      </c>
      <c r="H803" s="915" t="e">
        <v>#REF!</v>
      </c>
      <c r="I803" s="915" t="e">
        <f t="shared" si="25"/>
        <v>#REF!</v>
      </c>
      <c r="J803" s="915">
        <v>94.174999999999997</v>
      </c>
      <c r="K803" s="915">
        <v>6.8280000000000003</v>
      </c>
      <c r="L803" s="915">
        <v>6.8280000000000003</v>
      </c>
      <c r="M803" s="915">
        <v>94.174999999999997</v>
      </c>
    </row>
    <row r="804" spans="1:13">
      <c r="A804" s="633" t="s">
        <v>3044</v>
      </c>
      <c r="B804" s="423" t="s">
        <v>403</v>
      </c>
      <c r="C804" s="915">
        <v>189.97300000000001</v>
      </c>
      <c r="D804" s="915">
        <v>4.8010000000000002</v>
      </c>
      <c r="E804" s="915">
        <v>4.8010000000000002</v>
      </c>
      <c r="F804" s="915">
        <v>189.97300000000001</v>
      </c>
      <c r="G804" s="922">
        <f t="shared" si="24"/>
        <v>0</v>
      </c>
      <c r="H804" s="915" t="e">
        <v>#REF!</v>
      </c>
      <c r="I804" s="915" t="e">
        <f t="shared" si="25"/>
        <v>#REF!</v>
      </c>
      <c r="J804" s="915">
        <v>9.1189999999999998</v>
      </c>
      <c r="K804" s="915">
        <v>0</v>
      </c>
      <c r="L804" s="915">
        <v>0</v>
      </c>
      <c r="M804" s="915">
        <v>9.1189999999999998</v>
      </c>
    </row>
    <row r="805" spans="1:13">
      <c r="A805" s="633" t="s">
        <v>2992</v>
      </c>
      <c r="B805" s="423" t="s">
        <v>195</v>
      </c>
      <c r="C805" s="915">
        <v>3732.8290000000002</v>
      </c>
      <c r="D805" s="915">
        <v>50.664999999999999</v>
      </c>
      <c r="E805" s="915">
        <v>50.48</v>
      </c>
      <c r="F805" s="915">
        <v>3732.6439999999998</v>
      </c>
      <c r="G805" s="922">
        <f t="shared" si="24"/>
        <v>1</v>
      </c>
      <c r="H805" s="915" t="e">
        <v>#REF!</v>
      </c>
      <c r="I805" s="915" t="e">
        <f t="shared" si="25"/>
        <v>#REF!</v>
      </c>
      <c r="J805" s="915">
        <v>224.964</v>
      </c>
      <c r="K805" s="915">
        <v>11.065</v>
      </c>
      <c r="L805" s="915">
        <v>11.065</v>
      </c>
      <c r="M805" s="915">
        <v>224.964</v>
      </c>
    </row>
    <row r="806" spans="1:13">
      <c r="A806" s="633" t="s">
        <v>3046</v>
      </c>
      <c r="B806" s="423" t="s">
        <v>404</v>
      </c>
      <c r="C806" s="915">
        <v>845.99099999999999</v>
      </c>
      <c r="D806" s="915">
        <v>17.966999999999999</v>
      </c>
      <c r="E806" s="915">
        <v>17.135000000000002</v>
      </c>
      <c r="F806" s="915">
        <v>845.15899999999999</v>
      </c>
      <c r="G806" s="922">
        <f t="shared" si="24"/>
        <v>1</v>
      </c>
      <c r="H806" s="915" t="e">
        <v>#REF!</v>
      </c>
      <c r="I806" s="915" t="e">
        <f t="shared" si="25"/>
        <v>#REF!</v>
      </c>
      <c r="J806" s="915">
        <v>0</v>
      </c>
      <c r="K806" s="915">
        <v>0</v>
      </c>
      <c r="L806" s="915">
        <v>0</v>
      </c>
      <c r="M806" s="915">
        <v>0</v>
      </c>
    </row>
    <row r="807" spans="1:13">
      <c r="A807" s="633" t="s">
        <v>264</v>
      </c>
      <c r="B807" s="423" t="s">
        <v>7681</v>
      </c>
      <c r="C807" s="915">
        <v>28085.398000000001</v>
      </c>
      <c r="D807" s="915">
        <v>737.80399999999997</v>
      </c>
      <c r="E807" s="915">
        <v>735.23099999999999</v>
      </c>
      <c r="F807" s="915">
        <v>28082.825000000001</v>
      </c>
      <c r="G807" s="922">
        <f t="shared" si="24"/>
        <v>1</v>
      </c>
      <c r="H807" s="915" t="e">
        <v>#REF!</v>
      </c>
      <c r="I807" s="915" t="e">
        <f t="shared" si="25"/>
        <v>#REF!</v>
      </c>
      <c r="J807" s="915">
        <v>2907.1680000000001</v>
      </c>
      <c r="K807" s="915">
        <v>157.31800000000001</v>
      </c>
      <c r="L807" s="915">
        <v>157.102</v>
      </c>
      <c r="M807" s="915">
        <v>2906.951</v>
      </c>
    </row>
    <row r="808" spans="1:13">
      <c r="A808" s="633" t="s">
        <v>2306</v>
      </c>
      <c r="B808" s="423" t="s">
        <v>363</v>
      </c>
      <c r="C808" s="915">
        <v>1324.3579999999999</v>
      </c>
      <c r="D808" s="915">
        <v>23.745999999999999</v>
      </c>
      <c r="E808" s="915">
        <v>23.745999999999999</v>
      </c>
      <c r="F808" s="915">
        <v>1324.3579999999999</v>
      </c>
      <c r="G808" s="922">
        <f t="shared" si="24"/>
        <v>0</v>
      </c>
      <c r="H808" s="915" t="e">
        <v>#REF!</v>
      </c>
      <c r="I808" s="915" t="e">
        <f t="shared" si="25"/>
        <v>#REF!</v>
      </c>
      <c r="J808" s="915">
        <v>14.691000000000001</v>
      </c>
      <c r="K808" s="915">
        <v>0.42</v>
      </c>
      <c r="L808" s="915">
        <v>0.42</v>
      </c>
      <c r="M808" s="915">
        <v>14.691000000000001</v>
      </c>
    </row>
    <row r="809" spans="1:13">
      <c r="A809" s="633" t="s">
        <v>3048</v>
      </c>
      <c r="B809" s="423" t="s">
        <v>2898</v>
      </c>
      <c r="C809" s="915">
        <v>858.03599999999994</v>
      </c>
      <c r="D809" s="915">
        <v>57.140999999999998</v>
      </c>
      <c r="E809" s="915">
        <v>30.716999999999999</v>
      </c>
      <c r="F809" s="915">
        <v>831.61199999999997</v>
      </c>
      <c r="G809" s="922">
        <f t="shared" si="24"/>
        <v>1</v>
      </c>
      <c r="H809" s="915" t="e">
        <v>#REF!</v>
      </c>
      <c r="I809" s="915" t="e">
        <f t="shared" si="25"/>
        <v>#REF!</v>
      </c>
      <c r="J809" s="915">
        <v>32.902999999999999</v>
      </c>
      <c r="K809" s="915">
        <v>3.7759999999999998</v>
      </c>
      <c r="L809" s="915">
        <v>1.8879999999999999</v>
      </c>
      <c r="M809" s="915">
        <v>31.015000000000001</v>
      </c>
    </row>
    <row r="810" spans="1:13">
      <c r="A810" s="633" t="s">
        <v>3049</v>
      </c>
      <c r="B810" s="423" t="s">
        <v>405</v>
      </c>
      <c r="C810" s="915">
        <v>1107.8789999999999</v>
      </c>
      <c r="D810" s="915">
        <v>2.1339999999999999</v>
      </c>
      <c r="E810" s="915">
        <v>2.1339999999999999</v>
      </c>
      <c r="F810" s="915">
        <v>1107.8789999999999</v>
      </c>
      <c r="G810" s="922">
        <f t="shared" si="24"/>
        <v>0</v>
      </c>
      <c r="H810" s="915" t="e">
        <v>#REF!</v>
      </c>
      <c r="I810" s="915" t="e">
        <f t="shared" si="25"/>
        <v>#REF!</v>
      </c>
      <c r="J810" s="915">
        <v>4.6459999999999999</v>
      </c>
      <c r="K810" s="915">
        <v>0</v>
      </c>
      <c r="L810" s="915">
        <v>0</v>
      </c>
      <c r="M810" s="915">
        <v>4.6459999999999999</v>
      </c>
    </row>
    <row r="811" spans="1:13">
      <c r="A811" s="633" t="s">
        <v>5035</v>
      </c>
      <c r="B811" s="423" t="s">
        <v>6064</v>
      </c>
      <c r="C811" s="915">
        <v>325.45299999999997</v>
      </c>
      <c r="D811" s="915">
        <v>7.5389999999999997</v>
      </c>
      <c r="E811" s="915">
        <v>7.5389999999999997</v>
      </c>
      <c r="F811" s="915">
        <v>325.45299999999997</v>
      </c>
      <c r="G811" s="922">
        <f t="shared" si="24"/>
        <v>0</v>
      </c>
      <c r="H811" s="915" t="e">
        <v>#REF!</v>
      </c>
      <c r="I811" s="915" t="e">
        <f t="shared" si="25"/>
        <v>#REF!</v>
      </c>
      <c r="J811" s="915">
        <v>32.454999999999998</v>
      </c>
      <c r="K811" s="915">
        <v>3.1379999999999999</v>
      </c>
      <c r="L811" s="915">
        <v>3.1379999999999999</v>
      </c>
      <c r="M811" s="915">
        <v>32.454999999999998</v>
      </c>
    </row>
    <row r="812" spans="1:13">
      <c r="A812" s="633" t="s">
        <v>5131</v>
      </c>
      <c r="B812" s="423" t="s">
        <v>350</v>
      </c>
      <c r="C812" s="915">
        <v>1298.183</v>
      </c>
      <c r="D812" s="915">
        <v>63.652999999999999</v>
      </c>
      <c r="E812" s="915">
        <v>32.603000000000002</v>
      </c>
      <c r="F812" s="915">
        <v>1267.134</v>
      </c>
      <c r="G812" s="922">
        <f t="shared" si="24"/>
        <v>1</v>
      </c>
      <c r="H812" s="915" t="e">
        <v>#REF!</v>
      </c>
      <c r="I812" s="915" t="e">
        <f t="shared" si="25"/>
        <v>#REF!</v>
      </c>
      <c r="J812" s="915">
        <v>583.34</v>
      </c>
      <c r="K812" s="915">
        <v>55.847999999999999</v>
      </c>
      <c r="L812" s="915">
        <v>28.564</v>
      </c>
      <c r="M812" s="915">
        <v>556.05600000000004</v>
      </c>
    </row>
    <row r="813" spans="1:13">
      <c r="A813" s="633" t="s">
        <v>5231</v>
      </c>
      <c r="B813" s="423" t="s">
        <v>406</v>
      </c>
      <c r="C813" s="915">
        <v>1525.5050000000001</v>
      </c>
      <c r="D813" s="915">
        <v>11.29</v>
      </c>
      <c r="E813" s="915">
        <v>11.29</v>
      </c>
      <c r="F813" s="915">
        <v>1525.5050000000001</v>
      </c>
      <c r="G813" s="922">
        <f t="shared" si="24"/>
        <v>0</v>
      </c>
      <c r="H813" s="915" t="e">
        <v>#REF!</v>
      </c>
      <c r="I813" s="915" t="e">
        <f t="shared" si="25"/>
        <v>#REF!</v>
      </c>
      <c r="J813" s="915">
        <v>66.244</v>
      </c>
      <c r="K813" s="915">
        <v>3.9430000000000001</v>
      </c>
      <c r="L813" s="915">
        <v>3.9430000000000001</v>
      </c>
      <c r="M813" s="915">
        <v>66.244</v>
      </c>
    </row>
    <row r="814" spans="1:13">
      <c r="A814" s="633" t="s">
        <v>3109</v>
      </c>
      <c r="B814" s="423" t="s">
        <v>4271</v>
      </c>
      <c r="C814" s="915">
        <v>8160.5330000000004</v>
      </c>
      <c r="D814" s="915">
        <v>52.43</v>
      </c>
      <c r="E814" s="915">
        <v>52.43</v>
      </c>
      <c r="F814" s="915">
        <v>8160.5330000000004</v>
      </c>
      <c r="G814" s="922">
        <f t="shared" si="24"/>
        <v>0</v>
      </c>
      <c r="H814" s="915" t="e">
        <v>#REF!</v>
      </c>
      <c r="I814" s="915" t="e">
        <f t="shared" si="25"/>
        <v>#REF!</v>
      </c>
      <c r="J814" s="915">
        <v>68.783000000000001</v>
      </c>
      <c r="K814" s="915">
        <v>2.5110000000000001</v>
      </c>
      <c r="L814" s="915">
        <v>2.5110000000000001</v>
      </c>
      <c r="M814" s="915">
        <v>68.783000000000001</v>
      </c>
    </row>
    <row r="815" spans="1:13">
      <c r="A815" s="633" t="s">
        <v>3111</v>
      </c>
      <c r="B815" s="423" t="s">
        <v>3193</v>
      </c>
      <c r="C815" s="915">
        <v>742.75099999999998</v>
      </c>
      <c r="D815" s="915">
        <v>9.548</v>
      </c>
      <c r="E815" s="915">
        <v>9.548</v>
      </c>
      <c r="F815" s="915">
        <v>742.75099999999998</v>
      </c>
      <c r="G815" s="922">
        <f t="shared" si="24"/>
        <v>0</v>
      </c>
      <c r="H815" s="915" t="e">
        <v>#REF!</v>
      </c>
      <c r="I815" s="915" t="e">
        <f t="shared" si="25"/>
        <v>#REF!</v>
      </c>
      <c r="J815" s="915">
        <v>80.78</v>
      </c>
      <c r="K815" s="915">
        <v>1.859</v>
      </c>
      <c r="L815" s="915">
        <v>1.859</v>
      </c>
      <c r="M815" s="915">
        <v>80.78</v>
      </c>
    </row>
    <row r="816" spans="1:13">
      <c r="A816" s="633" t="s">
        <v>3113</v>
      </c>
      <c r="B816" s="423" t="s">
        <v>3194</v>
      </c>
      <c r="C816" s="915">
        <v>232.648</v>
      </c>
      <c r="D816" s="915">
        <v>0</v>
      </c>
      <c r="E816" s="915">
        <v>0</v>
      </c>
      <c r="F816" s="915">
        <v>232.648</v>
      </c>
      <c r="G816" s="922">
        <f t="shared" si="24"/>
        <v>0</v>
      </c>
      <c r="H816" s="915" t="e">
        <v>#REF!</v>
      </c>
      <c r="I816" s="915" t="e">
        <f t="shared" si="25"/>
        <v>#REF!</v>
      </c>
      <c r="J816" s="915">
        <v>12.675000000000001</v>
      </c>
      <c r="K816" s="915">
        <v>0</v>
      </c>
      <c r="L816" s="915">
        <v>0</v>
      </c>
      <c r="M816" s="915">
        <v>12.675000000000001</v>
      </c>
    </row>
    <row r="817" spans="1:13">
      <c r="A817" s="633" t="s">
        <v>975</v>
      </c>
      <c r="B817" s="423" t="s">
        <v>7692</v>
      </c>
      <c r="C817" s="915">
        <v>396.05</v>
      </c>
      <c r="D817" s="915">
        <v>5.1929999999999996</v>
      </c>
      <c r="E817" s="915">
        <v>5.1929999999999996</v>
      </c>
      <c r="F817" s="915">
        <v>396.05</v>
      </c>
      <c r="G817" s="922">
        <f t="shared" si="24"/>
        <v>0</v>
      </c>
      <c r="H817" s="915" t="e">
        <v>#REF!</v>
      </c>
      <c r="I817" s="915" t="e">
        <f t="shared" si="25"/>
        <v>#REF!</v>
      </c>
      <c r="J817" s="915">
        <v>9.3450000000000006</v>
      </c>
      <c r="K817" s="915">
        <v>0</v>
      </c>
      <c r="L817" s="915">
        <v>0</v>
      </c>
      <c r="M817" s="915">
        <v>9.3450000000000006</v>
      </c>
    </row>
    <row r="818" spans="1:13">
      <c r="A818" s="633" t="s">
        <v>2771</v>
      </c>
      <c r="B818" s="423" t="s">
        <v>364</v>
      </c>
      <c r="C818" s="915">
        <v>692.05499999999995</v>
      </c>
      <c r="D818" s="915">
        <v>11.182</v>
      </c>
      <c r="E818" s="915">
        <v>11.182</v>
      </c>
      <c r="F818" s="915">
        <v>692.05499999999995</v>
      </c>
      <c r="G818" s="922">
        <f t="shared" si="24"/>
        <v>0</v>
      </c>
      <c r="H818" s="915" t="e">
        <v>#REF!</v>
      </c>
      <c r="I818" s="915" t="e">
        <f t="shared" si="25"/>
        <v>#REF!</v>
      </c>
      <c r="J818" s="915">
        <v>16.457000000000001</v>
      </c>
      <c r="K818" s="915">
        <v>2.8570000000000002</v>
      </c>
      <c r="L818" s="915">
        <v>2.8570000000000002</v>
      </c>
      <c r="M818" s="915">
        <v>16.457000000000001</v>
      </c>
    </row>
    <row r="819" spans="1:13">
      <c r="A819" s="633" t="s">
        <v>2821</v>
      </c>
      <c r="B819" s="423" t="s">
        <v>3195</v>
      </c>
      <c r="C819" s="915">
        <v>739.61</v>
      </c>
      <c r="D819" s="915">
        <v>32.082999999999998</v>
      </c>
      <c r="E819" s="915">
        <v>32.082999999999998</v>
      </c>
      <c r="F819" s="915">
        <v>739.61</v>
      </c>
      <c r="G819" s="922">
        <f t="shared" si="24"/>
        <v>0</v>
      </c>
      <c r="H819" s="915" t="e">
        <v>#REF!</v>
      </c>
      <c r="I819" s="915" t="e">
        <f t="shared" si="25"/>
        <v>#REF!</v>
      </c>
      <c r="J819" s="915">
        <v>49.121000000000002</v>
      </c>
      <c r="K819" s="915">
        <v>7.52</v>
      </c>
      <c r="L819" s="915">
        <v>7.52</v>
      </c>
      <c r="M819" s="915">
        <v>49.121000000000002</v>
      </c>
    </row>
    <row r="820" spans="1:13">
      <c r="A820" s="633" t="s">
        <v>4589</v>
      </c>
      <c r="B820" s="423" t="s">
        <v>998</v>
      </c>
      <c r="C820" s="915">
        <v>465.54700000000003</v>
      </c>
      <c r="D820" s="915">
        <v>17.452999999999999</v>
      </c>
      <c r="E820" s="915">
        <v>16.974</v>
      </c>
      <c r="F820" s="915">
        <v>465.06799999999998</v>
      </c>
      <c r="G820" s="922">
        <f t="shared" si="24"/>
        <v>1</v>
      </c>
      <c r="H820" s="915" t="e">
        <v>#REF!</v>
      </c>
      <c r="I820" s="915" t="e">
        <f t="shared" si="25"/>
        <v>#REF!</v>
      </c>
      <c r="J820" s="915">
        <v>2.9430000000000001</v>
      </c>
      <c r="K820" s="915">
        <v>0</v>
      </c>
      <c r="L820" s="915">
        <v>0</v>
      </c>
      <c r="M820" s="915">
        <v>2.9430000000000001</v>
      </c>
    </row>
    <row r="821" spans="1:13">
      <c r="A821" s="633" t="s">
        <v>2572</v>
      </c>
      <c r="B821" s="423" t="s">
        <v>3196</v>
      </c>
      <c r="C821" s="915">
        <v>2053.9740000000002</v>
      </c>
      <c r="D821" s="915">
        <v>23.486000000000001</v>
      </c>
      <c r="E821" s="915">
        <v>23.013999999999999</v>
      </c>
      <c r="F821" s="915">
        <v>2053.502</v>
      </c>
      <c r="G821" s="922">
        <f t="shared" si="24"/>
        <v>1</v>
      </c>
      <c r="H821" s="915" t="e">
        <v>#REF!</v>
      </c>
      <c r="I821" s="915" t="e">
        <f t="shared" si="25"/>
        <v>#REF!</v>
      </c>
      <c r="J821" s="915">
        <v>147.78399999999999</v>
      </c>
      <c r="K821" s="915">
        <v>4.8869999999999996</v>
      </c>
      <c r="L821" s="915">
        <v>4.415</v>
      </c>
      <c r="M821" s="915">
        <v>147.31200000000001</v>
      </c>
    </row>
    <row r="822" spans="1:13">
      <c r="A822" s="633" t="s">
        <v>1507</v>
      </c>
      <c r="B822" s="423" t="s">
        <v>7694</v>
      </c>
      <c r="C822" s="915">
        <v>153.916</v>
      </c>
      <c r="D822" s="915">
        <v>0</v>
      </c>
      <c r="E822" s="915">
        <v>0</v>
      </c>
      <c r="F822" s="915">
        <v>153.916</v>
      </c>
      <c r="G822" s="922">
        <f t="shared" si="24"/>
        <v>0</v>
      </c>
      <c r="H822" s="915" t="e">
        <v>#REF!</v>
      </c>
      <c r="I822" s="915" t="e">
        <f t="shared" si="25"/>
        <v>#REF!</v>
      </c>
      <c r="J822" s="915">
        <v>4.5110000000000001</v>
      </c>
      <c r="K822" s="915">
        <v>0</v>
      </c>
      <c r="L822" s="915">
        <v>0</v>
      </c>
      <c r="M822" s="915">
        <v>4.5110000000000001</v>
      </c>
    </row>
    <row r="823" spans="1:13">
      <c r="A823" s="633" t="s">
        <v>2574</v>
      </c>
      <c r="B823" s="423" t="s">
        <v>3197</v>
      </c>
      <c r="C823" s="915">
        <v>149.32400000000001</v>
      </c>
      <c r="D823" s="915">
        <v>0</v>
      </c>
      <c r="E823" s="915">
        <v>0</v>
      </c>
      <c r="F823" s="915">
        <v>149.32400000000001</v>
      </c>
      <c r="G823" s="922">
        <f t="shared" si="24"/>
        <v>0</v>
      </c>
      <c r="H823" s="915" t="e">
        <v>#REF!</v>
      </c>
      <c r="I823" s="915" t="e">
        <f t="shared" si="25"/>
        <v>#REF!</v>
      </c>
      <c r="J823" s="915">
        <v>3.1680000000000001</v>
      </c>
      <c r="K823" s="915">
        <v>0</v>
      </c>
      <c r="L823" s="915">
        <v>0</v>
      </c>
      <c r="M823" s="915">
        <v>3.1680000000000001</v>
      </c>
    </row>
    <row r="824" spans="1:13">
      <c r="A824" s="633" t="s">
        <v>2576</v>
      </c>
      <c r="B824" s="423" t="s">
        <v>3198</v>
      </c>
      <c r="C824" s="915">
        <v>494.82100000000003</v>
      </c>
      <c r="D824" s="915">
        <v>9.173</v>
      </c>
      <c r="E824" s="915">
        <v>9.0920000000000005</v>
      </c>
      <c r="F824" s="915">
        <v>494.74</v>
      </c>
      <c r="G824" s="922">
        <f t="shared" si="24"/>
        <v>1</v>
      </c>
      <c r="H824" s="915" t="e">
        <v>#REF!</v>
      </c>
      <c r="I824" s="915" t="e">
        <f t="shared" si="25"/>
        <v>#REF!</v>
      </c>
      <c r="J824" s="915">
        <v>0.98499999999999999</v>
      </c>
      <c r="K824" s="915">
        <v>0</v>
      </c>
      <c r="L824" s="915">
        <v>0</v>
      </c>
      <c r="M824" s="915">
        <v>0.98499999999999999</v>
      </c>
    </row>
    <row r="825" spans="1:13">
      <c r="A825" s="633" t="s">
        <v>2578</v>
      </c>
      <c r="B825" s="423" t="s">
        <v>3199</v>
      </c>
      <c r="C825" s="915">
        <v>713.46799999999996</v>
      </c>
      <c r="D825" s="915">
        <v>17.709</v>
      </c>
      <c r="E825" s="915">
        <v>17.709</v>
      </c>
      <c r="F825" s="915">
        <v>713.46799999999996</v>
      </c>
      <c r="G825" s="922">
        <f t="shared" si="24"/>
        <v>0</v>
      </c>
      <c r="H825" s="915" t="e">
        <v>#REF!</v>
      </c>
      <c r="I825" s="915" t="e">
        <f t="shared" si="25"/>
        <v>#REF!</v>
      </c>
      <c r="J825" s="915">
        <v>23.638000000000002</v>
      </c>
      <c r="K825" s="915">
        <v>1.9</v>
      </c>
      <c r="L825" s="915">
        <v>1.9</v>
      </c>
      <c r="M825" s="915">
        <v>23.638000000000002</v>
      </c>
    </row>
    <row r="826" spans="1:13">
      <c r="A826" s="633" t="s">
        <v>158</v>
      </c>
      <c r="B826" s="423" t="s">
        <v>3200</v>
      </c>
      <c r="C826" s="915">
        <v>150.893</v>
      </c>
      <c r="D826" s="915">
        <v>1.913</v>
      </c>
      <c r="E826" s="915">
        <v>1.913</v>
      </c>
      <c r="F826" s="915">
        <v>150.893</v>
      </c>
      <c r="G826" s="922">
        <f t="shared" si="24"/>
        <v>0</v>
      </c>
      <c r="H826" s="915" t="e">
        <v>#REF!</v>
      </c>
      <c r="I826" s="915" t="e">
        <f t="shared" si="25"/>
        <v>#REF!</v>
      </c>
      <c r="J826" s="915">
        <v>0</v>
      </c>
      <c r="K826" s="915">
        <v>0</v>
      </c>
      <c r="L826" s="915">
        <v>0</v>
      </c>
      <c r="M826" s="915">
        <v>0</v>
      </c>
    </row>
    <row r="827" spans="1:13">
      <c r="A827" s="633" t="s">
        <v>5211</v>
      </c>
      <c r="B827" s="423" t="s">
        <v>3201</v>
      </c>
      <c r="C827" s="915">
        <v>415.26</v>
      </c>
      <c r="D827" s="915">
        <v>5.1159999999999997</v>
      </c>
      <c r="E827" s="915">
        <v>5.1159999999999997</v>
      </c>
      <c r="F827" s="915">
        <v>415.26</v>
      </c>
      <c r="G827" s="922">
        <f t="shared" si="24"/>
        <v>0</v>
      </c>
      <c r="H827" s="915" t="e">
        <v>#REF!</v>
      </c>
      <c r="I827" s="915" t="e">
        <f t="shared" si="25"/>
        <v>#REF!</v>
      </c>
      <c r="J827" s="915">
        <v>5.3280000000000003</v>
      </c>
      <c r="K827" s="915">
        <v>0</v>
      </c>
      <c r="L827" s="915">
        <v>0</v>
      </c>
      <c r="M827" s="915">
        <v>5.3280000000000003</v>
      </c>
    </row>
    <row r="828" spans="1:13">
      <c r="A828" s="633" t="s">
        <v>5213</v>
      </c>
      <c r="B828" s="423" t="s">
        <v>3202</v>
      </c>
      <c r="C828" s="915">
        <v>176.203</v>
      </c>
      <c r="D828" s="915">
        <v>9.9939999999999998</v>
      </c>
      <c r="E828" s="915">
        <v>5.92</v>
      </c>
      <c r="F828" s="915">
        <v>172.12899999999999</v>
      </c>
      <c r="G828" s="922">
        <f t="shared" si="24"/>
        <v>1</v>
      </c>
      <c r="H828" s="915" t="e">
        <v>#REF!</v>
      </c>
      <c r="I828" s="915" t="e">
        <f t="shared" si="25"/>
        <v>#REF!</v>
      </c>
      <c r="J828" s="915">
        <v>0</v>
      </c>
      <c r="K828" s="915">
        <v>0</v>
      </c>
      <c r="L828" s="915">
        <v>0</v>
      </c>
      <c r="M828" s="915">
        <v>0</v>
      </c>
    </row>
    <row r="829" spans="1:13">
      <c r="A829" s="633" t="s">
        <v>5215</v>
      </c>
      <c r="B829" s="423" t="s">
        <v>3203</v>
      </c>
      <c r="C829" s="915">
        <v>934.50300000000004</v>
      </c>
      <c r="D829" s="915">
        <v>10.79</v>
      </c>
      <c r="E829" s="915">
        <v>10.79</v>
      </c>
      <c r="F829" s="915">
        <v>934.50300000000004</v>
      </c>
      <c r="G829" s="922">
        <f t="shared" si="24"/>
        <v>0</v>
      </c>
      <c r="H829" s="915" t="e">
        <v>#REF!</v>
      </c>
      <c r="I829" s="915" t="e">
        <f t="shared" si="25"/>
        <v>#REF!</v>
      </c>
      <c r="J829" s="915">
        <v>27.08</v>
      </c>
      <c r="K829" s="915">
        <v>1.321</v>
      </c>
      <c r="L829" s="915">
        <v>1.321</v>
      </c>
      <c r="M829" s="915">
        <v>27.08</v>
      </c>
    </row>
    <row r="830" spans="1:13">
      <c r="A830" s="633" t="s">
        <v>5217</v>
      </c>
      <c r="B830" s="423" t="s">
        <v>3204</v>
      </c>
      <c r="C830" s="915">
        <v>1036.4069999999999</v>
      </c>
      <c r="D830" s="915">
        <v>110.765</v>
      </c>
      <c r="E830" s="915">
        <v>57.924999999999997</v>
      </c>
      <c r="F830" s="915">
        <v>983.56700000000001</v>
      </c>
      <c r="G830" s="922">
        <f t="shared" si="24"/>
        <v>1</v>
      </c>
      <c r="H830" s="915" t="e">
        <v>#REF!</v>
      </c>
      <c r="I830" s="915" t="e">
        <f t="shared" si="25"/>
        <v>#REF!</v>
      </c>
      <c r="J830" s="915">
        <v>103.003</v>
      </c>
      <c r="K830" s="915">
        <v>27.945</v>
      </c>
      <c r="L830" s="915">
        <v>14.064</v>
      </c>
      <c r="M830" s="915">
        <v>89.123000000000005</v>
      </c>
    </row>
    <row r="831" spans="1:13">
      <c r="A831" s="633" t="s">
        <v>5219</v>
      </c>
      <c r="B831" s="423" t="s">
        <v>3205</v>
      </c>
      <c r="C831" s="915">
        <v>491.41</v>
      </c>
      <c r="D831" s="915">
        <v>55.79</v>
      </c>
      <c r="E831" s="915">
        <v>29.57</v>
      </c>
      <c r="F831" s="915">
        <v>465.19</v>
      </c>
      <c r="G831" s="922">
        <f t="shared" si="24"/>
        <v>1</v>
      </c>
      <c r="H831" s="915" t="e">
        <v>#REF!</v>
      </c>
      <c r="I831" s="915" t="e">
        <f t="shared" si="25"/>
        <v>#REF!</v>
      </c>
      <c r="J831" s="915">
        <v>58.817</v>
      </c>
      <c r="K831" s="915">
        <v>12.019</v>
      </c>
      <c r="L831" s="915">
        <v>6.4649999999999999</v>
      </c>
      <c r="M831" s="915">
        <v>53.262999999999998</v>
      </c>
    </row>
    <row r="832" spans="1:13">
      <c r="A832" s="633" t="s">
        <v>2125</v>
      </c>
      <c r="B832" s="423" t="s">
        <v>3206</v>
      </c>
      <c r="C832" s="915">
        <v>12691.325000000001</v>
      </c>
      <c r="D832" s="915">
        <v>90.38</v>
      </c>
      <c r="E832" s="915">
        <v>88.174999999999997</v>
      </c>
      <c r="F832" s="915">
        <v>12689.12</v>
      </c>
      <c r="G832" s="922">
        <f t="shared" si="24"/>
        <v>1</v>
      </c>
      <c r="H832" s="915" t="e">
        <v>#REF!</v>
      </c>
      <c r="I832" s="915" t="e">
        <f t="shared" si="25"/>
        <v>#REF!</v>
      </c>
      <c r="J832" s="915">
        <v>708.82100000000003</v>
      </c>
      <c r="K832" s="915">
        <v>36.536000000000001</v>
      </c>
      <c r="L832" s="915">
        <v>35.768000000000001</v>
      </c>
      <c r="M832" s="915">
        <v>708.053</v>
      </c>
    </row>
    <row r="833" spans="1:13">
      <c r="A833" s="633" t="s">
        <v>870</v>
      </c>
      <c r="B833" s="423" t="s">
        <v>373</v>
      </c>
      <c r="C833" s="915">
        <v>4040.5830000000001</v>
      </c>
      <c r="D833" s="915">
        <v>52.2</v>
      </c>
      <c r="E833" s="915">
        <v>51.796999999999997</v>
      </c>
      <c r="F833" s="915">
        <v>4040.18</v>
      </c>
      <c r="G833" s="922">
        <f t="shared" si="24"/>
        <v>1</v>
      </c>
      <c r="H833" s="915" t="e">
        <v>#REF!</v>
      </c>
      <c r="I833" s="915" t="e">
        <f t="shared" si="25"/>
        <v>#REF!</v>
      </c>
      <c r="J833" s="915">
        <v>313.964</v>
      </c>
      <c r="K833" s="915">
        <v>20.669</v>
      </c>
      <c r="L833" s="915">
        <v>20.669</v>
      </c>
      <c r="M833" s="915">
        <v>313.964</v>
      </c>
    </row>
    <row r="834" spans="1:13">
      <c r="A834" s="633" t="s">
        <v>5615</v>
      </c>
      <c r="B834" s="423" t="s">
        <v>3207</v>
      </c>
      <c r="C834" s="915">
        <v>939.024</v>
      </c>
      <c r="D834" s="915">
        <v>35.232999999999997</v>
      </c>
      <c r="E834" s="915">
        <v>18.29</v>
      </c>
      <c r="F834" s="915">
        <v>922.08100000000002</v>
      </c>
      <c r="G834" s="922">
        <f t="shared" si="24"/>
        <v>1</v>
      </c>
      <c r="H834" s="915" t="e">
        <v>#REF!</v>
      </c>
      <c r="I834" s="915" t="e">
        <f t="shared" si="25"/>
        <v>#REF!</v>
      </c>
      <c r="J834" s="915">
        <v>24.681999999999999</v>
      </c>
      <c r="K834" s="915">
        <v>2.2959999999999998</v>
      </c>
      <c r="L834" s="915">
        <v>1.1479999999999999</v>
      </c>
      <c r="M834" s="915">
        <v>23.533999999999999</v>
      </c>
    </row>
    <row r="835" spans="1:13">
      <c r="A835" s="633" t="s">
        <v>4590</v>
      </c>
      <c r="B835" s="423" t="s">
        <v>498</v>
      </c>
      <c r="C835" s="915">
        <v>378.95600000000002</v>
      </c>
      <c r="D835" s="915">
        <v>2.9780000000000002</v>
      </c>
      <c r="E835" s="915">
        <v>2.9780000000000002</v>
      </c>
      <c r="F835" s="915">
        <v>378.95600000000002</v>
      </c>
      <c r="G835" s="922">
        <f t="shared" ref="G835:G898" si="26">IF(F835&lt;C835,1,0)</f>
        <v>0</v>
      </c>
      <c r="H835" s="915" t="e">
        <v>#REF!</v>
      </c>
      <c r="I835" s="915" t="e">
        <f t="shared" ref="I835:I898" si="27">F835-H835</f>
        <v>#REF!</v>
      </c>
      <c r="J835" s="915">
        <v>45.624000000000002</v>
      </c>
      <c r="K835" s="915">
        <v>0.58299999999999996</v>
      </c>
      <c r="L835" s="915">
        <v>0.58299999999999996</v>
      </c>
      <c r="M835" s="915">
        <v>45.624000000000002</v>
      </c>
    </row>
    <row r="836" spans="1:13">
      <c r="A836" s="633" t="s">
        <v>860</v>
      </c>
      <c r="B836" s="423" t="s">
        <v>4294</v>
      </c>
      <c r="C836" s="915">
        <v>593.45500000000004</v>
      </c>
      <c r="D836" s="915">
        <v>14.651</v>
      </c>
      <c r="E836" s="915">
        <v>14.651</v>
      </c>
      <c r="F836" s="915">
        <v>593.45500000000004</v>
      </c>
      <c r="G836" s="922">
        <f t="shared" si="26"/>
        <v>0</v>
      </c>
      <c r="H836" s="915" t="e">
        <v>#REF!</v>
      </c>
      <c r="I836" s="915" t="e">
        <f t="shared" si="27"/>
        <v>#REF!</v>
      </c>
      <c r="J836" s="915">
        <v>17.663</v>
      </c>
      <c r="K836" s="915">
        <v>0.77</v>
      </c>
      <c r="L836" s="915">
        <v>0.77</v>
      </c>
      <c r="M836" s="915">
        <v>17.663</v>
      </c>
    </row>
    <row r="837" spans="1:13">
      <c r="A837" s="633" t="s">
        <v>4591</v>
      </c>
      <c r="B837" s="423" t="s">
        <v>3834</v>
      </c>
      <c r="C837" s="915">
        <v>61.7</v>
      </c>
      <c r="D837" s="915">
        <v>2.673</v>
      </c>
      <c r="E837" s="915">
        <v>1.3420000000000001</v>
      </c>
      <c r="F837" s="915">
        <v>60.369</v>
      </c>
      <c r="G837" s="922">
        <f t="shared" si="26"/>
        <v>1</v>
      </c>
      <c r="H837" s="915" t="e">
        <v>#REF!</v>
      </c>
      <c r="I837" s="915" t="e">
        <f t="shared" si="27"/>
        <v>#REF!</v>
      </c>
      <c r="J837" s="915">
        <v>3.5920000000000001</v>
      </c>
      <c r="K837" s="915">
        <v>0</v>
      </c>
      <c r="L837" s="915">
        <v>0</v>
      </c>
      <c r="M837" s="915">
        <v>3.5920000000000001</v>
      </c>
    </row>
    <row r="838" spans="1:13">
      <c r="A838" s="633" t="s">
        <v>5617</v>
      </c>
      <c r="B838" s="423" t="s">
        <v>3208</v>
      </c>
      <c r="C838" s="915">
        <v>3145.116</v>
      </c>
      <c r="D838" s="915">
        <v>74.263999999999996</v>
      </c>
      <c r="E838" s="915">
        <v>74.263999999999996</v>
      </c>
      <c r="F838" s="915">
        <v>3145.116</v>
      </c>
      <c r="G838" s="922">
        <f t="shared" si="26"/>
        <v>0</v>
      </c>
      <c r="H838" s="915" t="e">
        <v>#REF!</v>
      </c>
      <c r="I838" s="915" t="e">
        <f t="shared" si="27"/>
        <v>#REF!</v>
      </c>
      <c r="J838" s="915">
        <v>173.21700000000001</v>
      </c>
      <c r="K838" s="915">
        <v>17.181999999999999</v>
      </c>
      <c r="L838" s="915">
        <v>17.181999999999999</v>
      </c>
      <c r="M838" s="915">
        <v>173.21700000000001</v>
      </c>
    </row>
    <row r="839" spans="1:13">
      <c r="A839" s="633" t="s">
        <v>3150</v>
      </c>
      <c r="B839" s="423" t="s">
        <v>3209</v>
      </c>
      <c r="C839" s="915">
        <v>133.292</v>
      </c>
      <c r="D839" s="915">
        <v>7.5359999999999996</v>
      </c>
      <c r="E839" s="915">
        <v>7.5359999999999996</v>
      </c>
      <c r="F839" s="915">
        <v>133.292</v>
      </c>
      <c r="G839" s="922">
        <f t="shared" si="26"/>
        <v>0</v>
      </c>
      <c r="H839" s="915" t="e">
        <v>#REF!</v>
      </c>
      <c r="I839" s="915" t="e">
        <f t="shared" si="27"/>
        <v>#REF!</v>
      </c>
      <c r="J839" s="915">
        <v>6.7880000000000003</v>
      </c>
      <c r="K839" s="915">
        <v>0.81200000000000006</v>
      </c>
      <c r="L839" s="915">
        <v>0.81200000000000006</v>
      </c>
      <c r="M839" s="915">
        <v>6.7880000000000003</v>
      </c>
    </row>
    <row r="840" spans="1:13">
      <c r="A840" s="633" t="s">
        <v>3152</v>
      </c>
      <c r="B840" s="423" t="s">
        <v>3210</v>
      </c>
      <c r="C840" s="915">
        <v>227.86199999999999</v>
      </c>
      <c r="D840" s="915">
        <v>13.047000000000001</v>
      </c>
      <c r="E840" s="915">
        <v>13.047000000000001</v>
      </c>
      <c r="F840" s="915">
        <v>227.86199999999999</v>
      </c>
      <c r="G840" s="922">
        <f t="shared" si="26"/>
        <v>0</v>
      </c>
      <c r="H840" s="915" t="e">
        <v>#REF!</v>
      </c>
      <c r="I840" s="915" t="e">
        <f t="shared" si="27"/>
        <v>#REF!</v>
      </c>
      <c r="J840" s="915">
        <v>16.475000000000001</v>
      </c>
      <c r="K840" s="915">
        <v>2.8250000000000002</v>
      </c>
      <c r="L840" s="915">
        <v>2.8250000000000002</v>
      </c>
      <c r="M840" s="915">
        <v>16.475000000000001</v>
      </c>
    </row>
    <row r="841" spans="1:13">
      <c r="A841" s="633" t="s">
        <v>1949</v>
      </c>
      <c r="B841" s="423" t="s">
        <v>327</v>
      </c>
      <c r="C841" s="915">
        <v>383.01900000000001</v>
      </c>
      <c r="D841" s="915">
        <v>8.7330000000000005</v>
      </c>
      <c r="E841" s="915">
        <v>8.7330000000000005</v>
      </c>
      <c r="F841" s="915">
        <v>383.01900000000001</v>
      </c>
      <c r="G841" s="922">
        <f t="shared" si="26"/>
        <v>0</v>
      </c>
      <c r="H841" s="915" t="e">
        <v>#REF!</v>
      </c>
      <c r="I841" s="915" t="e">
        <f t="shared" si="27"/>
        <v>#REF!</v>
      </c>
      <c r="J841" s="915">
        <v>10.038</v>
      </c>
      <c r="K841" s="915">
        <v>1.1659999999999999</v>
      </c>
      <c r="L841" s="915">
        <v>1.1659999999999999</v>
      </c>
      <c r="M841" s="915">
        <v>10.038</v>
      </c>
    </row>
    <row r="842" spans="1:13">
      <c r="A842" s="633" t="s">
        <v>1951</v>
      </c>
      <c r="B842" s="423" t="s">
        <v>3627</v>
      </c>
      <c r="C842" s="915">
        <v>500.65899999999999</v>
      </c>
      <c r="D842" s="915">
        <v>17.818999999999999</v>
      </c>
      <c r="E842" s="915">
        <v>10.038</v>
      </c>
      <c r="F842" s="915">
        <v>492.87799999999999</v>
      </c>
      <c r="G842" s="922">
        <f t="shared" si="26"/>
        <v>1</v>
      </c>
      <c r="H842" s="915" t="e">
        <v>#REF!</v>
      </c>
      <c r="I842" s="915" t="e">
        <f t="shared" si="27"/>
        <v>#REF!</v>
      </c>
      <c r="J842" s="915">
        <v>0.28199999999999997</v>
      </c>
      <c r="K842" s="915">
        <v>0</v>
      </c>
      <c r="L842" s="915">
        <v>0</v>
      </c>
      <c r="M842" s="915">
        <v>0.28199999999999997</v>
      </c>
    </row>
    <row r="843" spans="1:13">
      <c r="A843" s="633" t="s">
        <v>3154</v>
      </c>
      <c r="B843" s="423" t="s">
        <v>3211</v>
      </c>
      <c r="C843" s="915">
        <v>1367.962</v>
      </c>
      <c r="D843" s="915">
        <v>23.282</v>
      </c>
      <c r="E843" s="915">
        <v>23.282</v>
      </c>
      <c r="F843" s="915">
        <v>1367.962</v>
      </c>
      <c r="G843" s="922">
        <f t="shared" si="26"/>
        <v>0</v>
      </c>
      <c r="H843" s="915" t="e">
        <v>#REF!</v>
      </c>
      <c r="I843" s="915" t="e">
        <f t="shared" si="27"/>
        <v>#REF!</v>
      </c>
      <c r="J843" s="915">
        <v>134.011</v>
      </c>
      <c r="K843" s="915">
        <v>8.6460000000000008</v>
      </c>
      <c r="L843" s="915">
        <v>8.6460000000000008</v>
      </c>
      <c r="M843" s="915">
        <v>134.011</v>
      </c>
    </row>
    <row r="844" spans="1:13">
      <c r="A844" s="633" t="s">
        <v>3883</v>
      </c>
      <c r="B844" s="423" t="s">
        <v>6100</v>
      </c>
      <c r="C844" s="915">
        <v>593.42999999999995</v>
      </c>
      <c r="D844" s="915">
        <v>20.678000000000001</v>
      </c>
      <c r="E844" s="915">
        <v>20.678000000000001</v>
      </c>
      <c r="F844" s="915">
        <v>593.42999999999995</v>
      </c>
      <c r="G844" s="922">
        <f t="shared" si="26"/>
        <v>0</v>
      </c>
      <c r="H844" s="915" t="e">
        <v>#REF!</v>
      </c>
      <c r="I844" s="915" t="e">
        <f t="shared" si="27"/>
        <v>#REF!</v>
      </c>
      <c r="J844" s="915">
        <v>134.87200000000001</v>
      </c>
      <c r="K844" s="915">
        <v>7.27</v>
      </c>
      <c r="L844" s="915">
        <v>7.27</v>
      </c>
      <c r="M844" s="915">
        <v>134.87200000000001</v>
      </c>
    </row>
    <row r="845" spans="1:13">
      <c r="A845" s="633" t="s">
        <v>3156</v>
      </c>
      <c r="B845" s="423" t="s">
        <v>3212</v>
      </c>
      <c r="C845" s="915">
        <v>774.87400000000002</v>
      </c>
      <c r="D845" s="915">
        <v>23.228000000000002</v>
      </c>
      <c r="E845" s="915">
        <v>23.228000000000002</v>
      </c>
      <c r="F845" s="915">
        <v>774.87400000000002</v>
      </c>
      <c r="G845" s="922">
        <f t="shared" si="26"/>
        <v>0</v>
      </c>
      <c r="H845" s="915" t="e">
        <v>#REF!</v>
      </c>
      <c r="I845" s="915" t="e">
        <f t="shared" si="27"/>
        <v>#REF!</v>
      </c>
      <c r="J845" s="915">
        <v>71.753</v>
      </c>
      <c r="K845" s="915">
        <v>5.4969999999999999</v>
      </c>
      <c r="L845" s="915">
        <v>5.4969999999999999</v>
      </c>
      <c r="M845" s="915">
        <v>71.753</v>
      </c>
    </row>
    <row r="846" spans="1:13">
      <c r="A846" s="633" t="s">
        <v>3158</v>
      </c>
      <c r="B846" s="423" t="s">
        <v>3213</v>
      </c>
      <c r="C846" s="915">
        <v>937.25400000000002</v>
      </c>
      <c r="D846" s="915">
        <v>48.179000000000002</v>
      </c>
      <c r="E846" s="915">
        <v>26.779</v>
      </c>
      <c r="F846" s="915">
        <v>915.85400000000004</v>
      </c>
      <c r="G846" s="922">
        <f t="shared" si="26"/>
        <v>1</v>
      </c>
      <c r="H846" s="915" t="e">
        <v>#REF!</v>
      </c>
      <c r="I846" s="915" t="e">
        <f t="shared" si="27"/>
        <v>#REF!</v>
      </c>
      <c r="J846" s="915">
        <v>23.613</v>
      </c>
      <c r="K846" s="915">
        <v>2.7610000000000001</v>
      </c>
      <c r="L846" s="915">
        <v>1.381</v>
      </c>
      <c r="M846" s="915">
        <v>22.231999999999999</v>
      </c>
    </row>
    <row r="847" spans="1:13">
      <c r="A847" s="633" t="s">
        <v>3160</v>
      </c>
      <c r="B847" s="423" t="s">
        <v>3214</v>
      </c>
      <c r="C847" s="915">
        <v>597.42999999999995</v>
      </c>
      <c r="D847" s="915">
        <v>12.683999999999999</v>
      </c>
      <c r="E847" s="915">
        <v>12.683999999999999</v>
      </c>
      <c r="F847" s="915">
        <v>597.42999999999995</v>
      </c>
      <c r="G847" s="922">
        <f t="shared" si="26"/>
        <v>0</v>
      </c>
      <c r="H847" s="915" t="e">
        <v>#REF!</v>
      </c>
      <c r="I847" s="915" t="e">
        <f t="shared" si="27"/>
        <v>#REF!</v>
      </c>
      <c r="J847" s="915">
        <v>3.1829999999999998</v>
      </c>
      <c r="K847" s="915">
        <v>0</v>
      </c>
      <c r="L847" s="915">
        <v>0</v>
      </c>
      <c r="M847" s="915">
        <v>3.1829999999999998</v>
      </c>
    </row>
    <row r="848" spans="1:13">
      <c r="A848" s="633" t="s">
        <v>3162</v>
      </c>
      <c r="B848" s="423" t="s">
        <v>3215</v>
      </c>
      <c r="C848" s="915">
        <v>802.26800000000003</v>
      </c>
      <c r="D848" s="915">
        <v>77.230999999999995</v>
      </c>
      <c r="E848" s="915">
        <v>41.472000000000001</v>
      </c>
      <c r="F848" s="915">
        <v>766.50900000000001</v>
      </c>
      <c r="G848" s="922">
        <f t="shared" si="26"/>
        <v>1</v>
      </c>
      <c r="H848" s="915" t="e">
        <v>#REF!</v>
      </c>
      <c r="I848" s="915" t="e">
        <f t="shared" si="27"/>
        <v>#REF!</v>
      </c>
      <c r="J848" s="915">
        <v>45.695999999999998</v>
      </c>
      <c r="K848" s="915">
        <v>4.125</v>
      </c>
      <c r="L848" s="915">
        <v>2.0619999999999998</v>
      </c>
      <c r="M848" s="915">
        <v>43.634</v>
      </c>
    </row>
    <row r="849" spans="1:13">
      <c r="A849" s="633" t="s">
        <v>569</v>
      </c>
      <c r="B849" s="423" t="s">
        <v>3216</v>
      </c>
      <c r="C849" s="915">
        <v>435.11200000000002</v>
      </c>
      <c r="D849" s="915">
        <v>17.574000000000002</v>
      </c>
      <c r="E849" s="915">
        <v>9.2799999999999994</v>
      </c>
      <c r="F849" s="915">
        <v>426.81799999999998</v>
      </c>
      <c r="G849" s="922">
        <f t="shared" si="26"/>
        <v>1</v>
      </c>
      <c r="H849" s="915" t="e">
        <v>#REF!</v>
      </c>
      <c r="I849" s="915" t="e">
        <f t="shared" si="27"/>
        <v>#REF!</v>
      </c>
      <c r="J849" s="915">
        <v>8.1850000000000005</v>
      </c>
      <c r="K849" s="915">
        <v>2.863</v>
      </c>
      <c r="L849" s="915">
        <v>1.4319999999999999</v>
      </c>
      <c r="M849" s="915">
        <v>6.7530000000000001</v>
      </c>
    </row>
    <row r="850" spans="1:13">
      <c r="A850" s="633" t="s">
        <v>571</v>
      </c>
      <c r="B850" s="423" t="s">
        <v>4309</v>
      </c>
      <c r="C850" s="915">
        <v>1522.153</v>
      </c>
      <c r="D850" s="915">
        <v>9.2509999999999994</v>
      </c>
      <c r="E850" s="915">
        <v>9.2509999999999994</v>
      </c>
      <c r="F850" s="915">
        <v>1522.153</v>
      </c>
      <c r="G850" s="922">
        <f t="shared" si="26"/>
        <v>0</v>
      </c>
      <c r="H850" s="915" t="e">
        <v>#REF!</v>
      </c>
      <c r="I850" s="915" t="e">
        <f t="shared" si="27"/>
        <v>#REF!</v>
      </c>
      <c r="J850" s="915">
        <v>10.708</v>
      </c>
      <c r="K850" s="915">
        <v>0</v>
      </c>
      <c r="L850" s="915">
        <v>0</v>
      </c>
      <c r="M850" s="915">
        <v>10.708</v>
      </c>
    </row>
    <row r="851" spans="1:13">
      <c r="A851" s="633" t="s">
        <v>3181</v>
      </c>
      <c r="B851" s="423" t="s">
        <v>3596</v>
      </c>
      <c r="C851" s="915">
        <v>1715.4349999999999</v>
      </c>
      <c r="D851" s="915">
        <v>18.385000000000002</v>
      </c>
      <c r="E851" s="915">
        <v>18.356999999999999</v>
      </c>
      <c r="F851" s="915">
        <v>1715.4069999999999</v>
      </c>
      <c r="G851" s="922">
        <f t="shared" si="26"/>
        <v>1</v>
      </c>
      <c r="H851" s="915" t="e">
        <v>#REF!</v>
      </c>
      <c r="I851" s="915" t="e">
        <f t="shared" si="27"/>
        <v>#REF!</v>
      </c>
      <c r="J851" s="915">
        <v>89.296999999999997</v>
      </c>
      <c r="K851" s="915">
        <v>2.5449999999999999</v>
      </c>
      <c r="L851" s="915">
        <v>2.5179999999999998</v>
      </c>
      <c r="M851" s="915">
        <v>89.269000000000005</v>
      </c>
    </row>
    <row r="852" spans="1:13">
      <c r="A852" s="633" t="s">
        <v>2071</v>
      </c>
      <c r="B852" s="423" t="s">
        <v>7687</v>
      </c>
      <c r="C852" s="915">
        <v>1868.68</v>
      </c>
      <c r="D852" s="915">
        <v>102.346</v>
      </c>
      <c r="E852" s="915">
        <v>53.328000000000003</v>
      </c>
      <c r="F852" s="915">
        <v>1819.6610000000001</v>
      </c>
      <c r="G852" s="922">
        <f t="shared" si="26"/>
        <v>1</v>
      </c>
      <c r="H852" s="915" t="e">
        <v>#REF!</v>
      </c>
      <c r="I852" s="915" t="e">
        <f t="shared" si="27"/>
        <v>#REF!</v>
      </c>
      <c r="J852" s="915">
        <v>169.03100000000001</v>
      </c>
      <c r="K852" s="915">
        <v>9.3829999999999991</v>
      </c>
      <c r="L852" s="915">
        <v>4.6920000000000002</v>
      </c>
      <c r="M852" s="915">
        <v>164.339</v>
      </c>
    </row>
    <row r="853" spans="1:13">
      <c r="A853" s="633" t="s">
        <v>3183</v>
      </c>
      <c r="B853" s="423" t="s">
        <v>3597</v>
      </c>
      <c r="C853" s="915">
        <v>4034.902</v>
      </c>
      <c r="D853" s="915">
        <v>36.773000000000003</v>
      </c>
      <c r="E853" s="915">
        <v>36.311999999999998</v>
      </c>
      <c r="F853" s="915">
        <v>4034.4409999999998</v>
      </c>
      <c r="G853" s="922">
        <f t="shared" si="26"/>
        <v>1</v>
      </c>
      <c r="H853" s="915" t="e">
        <v>#REF!</v>
      </c>
      <c r="I853" s="915" t="e">
        <f t="shared" si="27"/>
        <v>#REF!</v>
      </c>
      <c r="J853" s="915">
        <v>77.585999999999999</v>
      </c>
      <c r="K853" s="915">
        <v>4.0599999999999996</v>
      </c>
      <c r="L853" s="915">
        <v>4.0599999999999996</v>
      </c>
      <c r="M853" s="915">
        <v>77.585999999999999</v>
      </c>
    </row>
    <row r="854" spans="1:13">
      <c r="A854" s="633" t="s">
        <v>924</v>
      </c>
      <c r="B854" s="423" t="s">
        <v>3598</v>
      </c>
      <c r="C854" s="915">
        <v>2050.1979999999999</v>
      </c>
      <c r="D854" s="915">
        <v>27.56</v>
      </c>
      <c r="E854" s="915">
        <v>27.56</v>
      </c>
      <c r="F854" s="915">
        <v>2050.1979999999999</v>
      </c>
      <c r="G854" s="922">
        <f t="shared" si="26"/>
        <v>0</v>
      </c>
      <c r="H854" s="915" t="e">
        <v>#REF!</v>
      </c>
      <c r="I854" s="915" t="e">
        <f t="shared" si="27"/>
        <v>#REF!</v>
      </c>
      <c r="J854" s="915">
        <v>109.932</v>
      </c>
      <c r="K854" s="915">
        <v>4.1269999999999998</v>
      </c>
      <c r="L854" s="915">
        <v>4.1269999999999998</v>
      </c>
      <c r="M854" s="915">
        <v>109.932</v>
      </c>
    </row>
    <row r="855" spans="1:13">
      <c r="A855" s="633" t="s">
        <v>6165</v>
      </c>
      <c r="B855" s="423" t="s">
        <v>6069</v>
      </c>
      <c r="C855" s="915">
        <v>1642.6369999999999</v>
      </c>
      <c r="D855" s="915">
        <v>45.844000000000001</v>
      </c>
      <c r="E855" s="915">
        <v>45.353000000000002</v>
      </c>
      <c r="F855" s="915">
        <v>1642.146</v>
      </c>
      <c r="G855" s="922">
        <f t="shared" si="26"/>
        <v>1</v>
      </c>
      <c r="H855" s="915" t="e">
        <v>#REF!</v>
      </c>
      <c r="I855" s="915" t="e">
        <f t="shared" si="27"/>
        <v>#REF!</v>
      </c>
      <c r="J855" s="915">
        <v>32.962000000000003</v>
      </c>
      <c r="K855" s="915">
        <v>1.7669999999999999</v>
      </c>
      <c r="L855" s="915">
        <v>1.7669999999999999</v>
      </c>
      <c r="M855" s="915">
        <v>32.962000000000003</v>
      </c>
    </row>
    <row r="856" spans="1:13">
      <c r="A856" s="633" t="s">
        <v>6187</v>
      </c>
      <c r="B856" s="423" t="s">
        <v>3832</v>
      </c>
      <c r="C856" s="915">
        <v>1052.71</v>
      </c>
      <c r="D856" s="915">
        <v>15.061</v>
      </c>
      <c r="E856" s="915">
        <v>15.061</v>
      </c>
      <c r="F856" s="915">
        <v>1052.71</v>
      </c>
      <c r="G856" s="922">
        <f t="shared" si="26"/>
        <v>0</v>
      </c>
      <c r="H856" s="915" t="e">
        <v>#REF!</v>
      </c>
      <c r="I856" s="915" t="e">
        <f t="shared" si="27"/>
        <v>#REF!</v>
      </c>
      <c r="J856" s="915">
        <v>34.954000000000001</v>
      </c>
      <c r="K856" s="915">
        <v>2.7519999999999998</v>
      </c>
      <c r="L856" s="915">
        <v>2.7519999999999998</v>
      </c>
      <c r="M856" s="915">
        <v>34.954000000000001</v>
      </c>
    </row>
    <row r="857" spans="1:13">
      <c r="A857" s="633" t="s">
        <v>1837</v>
      </c>
      <c r="B857" s="423" t="s">
        <v>1468</v>
      </c>
      <c r="C857" s="915">
        <v>1983.9739999999999</v>
      </c>
      <c r="D857" s="915">
        <v>25</v>
      </c>
      <c r="E857" s="915">
        <v>25</v>
      </c>
      <c r="F857" s="915">
        <v>1983.9739999999999</v>
      </c>
      <c r="G857" s="922">
        <f t="shared" si="26"/>
        <v>0</v>
      </c>
      <c r="H857" s="915" t="e">
        <v>#REF!</v>
      </c>
      <c r="I857" s="915" t="e">
        <f t="shared" si="27"/>
        <v>#REF!</v>
      </c>
      <c r="J857" s="915">
        <v>31.425000000000001</v>
      </c>
      <c r="K857" s="915">
        <v>0.46500000000000002</v>
      </c>
      <c r="L857" s="915">
        <v>0.46500000000000002</v>
      </c>
      <c r="M857" s="915">
        <v>31.425000000000001</v>
      </c>
    </row>
    <row r="858" spans="1:13">
      <c r="A858" s="633" t="s">
        <v>3884</v>
      </c>
      <c r="B858" s="423" t="s">
        <v>5362</v>
      </c>
      <c r="C858" s="915">
        <v>1113.5640000000001</v>
      </c>
      <c r="D858" s="915">
        <v>63.295999999999999</v>
      </c>
      <c r="E858" s="915">
        <v>33.755000000000003</v>
      </c>
      <c r="F858" s="915">
        <v>1084.0219999999999</v>
      </c>
      <c r="G858" s="922">
        <f t="shared" si="26"/>
        <v>1</v>
      </c>
      <c r="H858" s="915" t="e">
        <v>#REF!</v>
      </c>
      <c r="I858" s="915" t="e">
        <f t="shared" si="27"/>
        <v>#REF!</v>
      </c>
      <c r="J858" s="915">
        <v>32.575000000000003</v>
      </c>
      <c r="K858" s="915">
        <v>1.403</v>
      </c>
      <c r="L858" s="915">
        <v>0.70199999999999996</v>
      </c>
      <c r="M858" s="915">
        <v>31.873000000000001</v>
      </c>
    </row>
    <row r="859" spans="1:13">
      <c r="A859" s="633" t="s">
        <v>2390</v>
      </c>
      <c r="B859" s="423" t="s">
        <v>1455</v>
      </c>
      <c r="C859" s="915">
        <v>646.82899999999995</v>
      </c>
      <c r="D859" s="915">
        <v>14.417</v>
      </c>
      <c r="E859" s="915">
        <v>14.417</v>
      </c>
      <c r="F859" s="915">
        <v>646.82899999999995</v>
      </c>
      <c r="G859" s="922">
        <f t="shared" si="26"/>
        <v>0</v>
      </c>
      <c r="H859" s="915" t="e">
        <v>#REF!</v>
      </c>
      <c r="I859" s="915" t="e">
        <f t="shared" si="27"/>
        <v>#REF!</v>
      </c>
      <c r="J859" s="915">
        <v>71.468000000000004</v>
      </c>
      <c r="K859" s="915">
        <v>4.5999999999999996</v>
      </c>
      <c r="L859" s="915">
        <v>4.5999999999999996</v>
      </c>
      <c r="M859" s="915">
        <v>71.468000000000004</v>
      </c>
    </row>
    <row r="860" spans="1:13">
      <c r="A860" s="633" t="s">
        <v>926</v>
      </c>
      <c r="B860" s="423" t="s">
        <v>3599</v>
      </c>
      <c r="C860" s="915">
        <v>132.29900000000001</v>
      </c>
      <c r="D860" s="915">
        <v>0</v>
      </c>
      <c r="E860" s="915">
        <v>0</v>
      </c>
      <c r="F860" s="915">
        <v>132.29900000000001</v>
      </c>
      <c r="G860" s="922">
        <f t="shared" si="26"/>
        <v>0</v>
      </c>
      <c r="H860" s="915" t="e">
        <v>#REF!</v>
      </c>
      <c r="I860" s="915" t="e">
        <f t="shared" si="27"/>
        <v>#REF!</v>
      </c>
      <c r="J860" s="915">
        <v>1.1619999999999999</v>
      </c>
      <c r="K860" s="915">
        <v>0</v>
      </c>
      <c r="L860" s="915">
        <v>0</v>
      </c>
      <c r="M860" s="915">
        <v>1.1619999999999999</v>
      </c>
    </row>
    <row r="861" spans="1:13">
      <c r="A861" s="633" t="s">
        <v>928</v>
      </c>
      <c r="B861" s="423" t="s">
        <v>1840</v>
      </c>
      <c r="C861" s="915">
        <v>120.187</v>
      </c>
      <c r="D861" s="915">
        <v>0</v>
      </c>
      <c r="E861" s="915">
        <v>0</v>
      </c>
      <c r="F861" s="915">
        <v>120.187</v>
      </c>
      <c r="G861" s="922">
        <f t="shared" si="26"/>
        <v>0</v>
      </c>
      <c r="H861" s="915" t="e">
        <v>#REF!</v>
      </c>
      <c r="I861" s="915" t="e">
        <f t="shared" si="27"/>
        <v>#REF!</v>
      </c>
      <c r="J861" s="915">
        <v>3.8479999999999999</v>
      </c>
      <c r="K861" s="915">
        <v>0</v>
      </c>
      <c r="L861" s="915">
        <v>0</v>
      </c>
      <c r="M861" s="915">
        <v>3.8479999999999999</v>
      </c>
    </row>
    <row r="862" spans="1:13">
      <c r="A862" s="633" t="s">
        <v>930</v>
      </c>
      <c r="B862" s="423" t="s">
        <v>1841</v>
      </c>
      <c r="C862" s="915">
        <v>572.85400000000004</v>
      </c>
      <c r="D862" s="915">
        <v>4.4210000000000003</v>
      </c>
      <c r="E862" s="915">
        <v>4.4210000000000003</v>
      </c>
      <c r="F862" s="915">
        <v>572.85400000000004</v>
      </c>
      <c r="G862" s="922">
        <f t="shared" si="26"/>
        <v>0</v>
      </c>
      <c r="H862" s="915" t="e">
        <v>#REF!</v>
      </c>
      <c r="I862" s="915" t="e">
        <f t="shared" si="27"/>
        <v>#REF!</v>
      </c>
      <c r="J862" s="915">
        <v>47.326000000000001</v>
      </c>
      <c r="K862" s="915">
        <v>0.87</v>
      </c>
      <c r="L862" s="915">
        <v>0.87</v>
      </c>
      <c r="M862" s="915">
        <v>47.326000000000001</v>
      </c>
    </row>
    <row r="863" spans="1:13">
      <c r="A863" s="633" t="s">
        <v>932</v>
      </c>
      <c r="B863" s="423" t="s">
        <v>1842</v>
      </c>
      <c r="C863" s="915">
        <v>185.792</v>
      </c>
      <c r="D863" s="915">
        <v>11.036</v>
      </c>
      <c r="E863" s="915">
        <v>5.976</v>
      </c>
      <c r="F863" s="915">
        <v>180.732</v>
      </c>
      <c r="G863" s="922">
        <f t="shared" si="26"/>
        <v>1</v>
      </c>
      <c r="H863" s="915" t="e">
        <v>#REF!</v>
      </c>
      <c r="I863" s="915" t="e">
        <f t="shared" si="27"/>
        <v>#REF!</v>
      </c>
      <c r="J863" s="915">
        <v>4.3890000000000002</v>
      </c>
      <c r="K863" s="915">
        <v>0</v>
      </c>
      <c r="L863" s="915">
        <v>0</v>
      </c>
      <c r="M863" s="915">
        <v>4.3890000000000002</v>
      </c>
    </row>
    <row r="864" spans="1:13">
      <c r="A864" s="633" t="s">
        <v>934</v>
      </c>
      <c r="B864" s="423" t="s">
        <v>0</v>
      </c>
      <c r="C864" s="915">
        <v>2446.598</v>
      </c>
      <c r="D864" s="915">
        <v>43.287999999999997</v>
      </c>
      <c r="E864" s="915">
        <v>43.204999999999998</v>
      </c>
      <c r="F864" s="915">
        <v>2446.5149999999999</v>
      </c>
      <c r="G864" s="922">
        <f t="shared" si="26"/>
        <v>1</v>
      </c>
      <c r="H864" s="915" t="e">
        <v>#REF!</v>
      </c>
      <c r="I864" s="915" t="e">
        <f t="shared" si="27"/>
        <v>#REF!</v>
      </c>
      <c r="J864" s="915">
        <v>116.83199999999999</v>
      </c>
      <c r="K864" s="915">
        <v>7.8140000000000001</v>
      </c>
      <c r="L864" s="915">
        <v>7.8140000000000001</v>
      </c>
      <c r="M864" s="915">
        <v>116.83199999999999</v>
      </c>
    </row>
    <row r="865" spans="1:13">
      <c r="A865" s="633" t="s">
        <v>936</v>
      </c>
      <c r="B865" s="423" t="s">
        <v>1</v>
      </c>
      <c r="C865" s="915">
        <v>222.21</v>
      </c>
      <c r="D865" s="915">
        <v>0</v>
      </c>
      <c r="E865" s="915">
        <v>0</v>
      </c>
      <c r="F865" s="915">
        <v>222.21</v>
      </c>
      <c r="G865" s="922">
        <f t="shared" si="26"/>
        <v>0</v>
      </c>
      <c r="H865" s="915" t="e">
        <v>#REF!</v>
      </c>
      <c r="I865" s="915" t="e">
        <f t="shared" si="27"/>
        <v>#REF!</v>
      </c>
      <c r="J865" s="915">
        <v>7.8109999999999999</v>
      </c>
      <c r="K865" s="915">
        <v>0</v>
      </c>
      <c r="L865" s="915">
        <v>0</v>
      </c>
      <c r="M865" s="915">
        <v>7.8109999999999999</v>
      </c>
    </row>
    <row r="866" spans="1:13">
      <c r="A866" s="633" t="s">
        <v>5145</v>
      </c>
      <c r="B866" s="423" t="s">
        <v>2</v>
      </c>
      <c r="C866" s="915">
        <v>463.762</v>
      </c>
      <c r="D866" s="915">
        <v>10.568</v>
      </c>
      <c r="E866" s="915">
        <v>10.568</v>
      </c>
      <c r="F866" s="915">
        <v>463.762</v>
      </c>
      <c r="G866" s="922">
        <f t="shared" si="26"/>
        <v>0</v>
      </c>
      <c r="H866" s="915" t="e">
        <v>#REF!</v>
      </c>
      <c r="I866" s="915" t="e">
        <f t="shared" si="27"/>
        <v>#REF!</v>
      </c>
      <c r="J866" s="915">
        <v>9.532</v>
      </c>
      <c r="K866" s="915">
        <v>0.75600000000000001</v>
      </c>
      <c r="L866" s="915">
        <v>0.75600000000000001</v>
      </c>
      <c r="M866" s="915">
        <v>9.532</v>
      </c>
    </row>
    <row r="867" spans="1:13">
      <c r="A867" s="633" t="s">
        <v>2950</v>
      </c>
      <c r="B867" s="423" t="s">
        <v>3</v>
      </c>
      <c r="C867" s="915">
        <v>177.08799999999999</v>
      </c>
      <c r="D867" s="915">
        <v>12.484</v>
      </c>
      <c r="E867" s="915">
        <v>6.5490000000000004</v>
      </c>
      <c r="F867" s="915">
        <v>171.15299999999999</v>
      </c>
      <c r="G867" s="922">
        <f t="shared" si="26"/>
        <v>1</v>
      </c>
      <c r="H867" s="915" t="e">
        <v>#REF!</v>
      </c>
      <c r="I867" s="915" t="e">
        <f t="shared" si="27"/>
        <v>#REF!</v>
      </c>
      <c r="J867" s="915">
        <v>0</v>
      </c>
      <c r="K867" s="915">
        <v>0</v>
      </c>
      <c r="L867" s="915">
        <v>0</v>
      </c>
      <c r="M867" s="915">
        <v>0</v>
      </c>
    </row>
    <row r="868" spans="1:13">
      <c r="A868" s="633" t="s">
        <v>2952</v>
      </c>
      <c r="B868" s="423" t="s">
        <v>4</v>
      </c>
      <c r="C868" s="915">
        <v>2398.415</v>
      </c>
      <c r="D868" s="915">
        <v>229.73400000000001</v>
      </c>
      <c r="E868" s="915">
        <v>119.84399999999999</v>
      </c>
      <c r="F868" s="915">
        <v>2288.5250000000001</v>
      </c>
      <c r="G868" s="922">
        <f t="shared" si="26"/>
        <v>1</v>
      </c>
      <c r="H868" s="915" t="e">
        <v>#REF!</v>
      </c>
      <c r="I868" s="915" t="e">
        <f t="shared" si="27"/>
        <v>#REF!</v>
      </c>
      <c r="J868" s="915">
        <v>513.84500000000003</v>
      </c>
      <c r="K868" s="915">
        <v>76.832999999999998</v>
      </c>
      <c r="L868" s="915">
        <v>38.677999999999997</v>
      </c>
      <c r="M868" s="915">
        <v>475.69</v>
      </c>
    </row>
    <row r="869" spans="1:13">
      <c r="A869" s="633" t="s">
        <v>2526</v>
      </c>
      <c r="B869" s="423" t="s">
        <v>5</v>
      </c>
      <c r="C869" s="915">
        <v>660.76900000000001</v>
      </c>
      <c r="D869" s="915">
        <v>16.440000000000001</v>
      </c>
      <c r="E869" s="915">
        <v>8.3550000000000004</v>
      </c>
      <c r="F869" s="915">
        <v>652.68499999999995</v>
      </c>
      <c r="G869" s="922">
        <f t="shared" si="26"/>
        <v>1</v>
      </c>
      <c r="H869" s="915" t="e">
        <v>#REF!</v>
      </c>
      <c r="I869" s="915" t="e">
        <f t="shared" si="27"/>
        <v>#REF!</v>
      </c>
      <c r="J869" s="915">
        <v>33.162999999999997</v>
      </c>
      <c r="K869" s="915">
        <v>3.8250000000000002</v>
      </c>
      <c r="L869" s="915">
        <v>1.96</v>
      </c>
      <c r="M869" s="915">
        <v>31.297999999999998</v>
      </c>
    </row>
    <row r="870" spans="1:13">
      <c r="A870" s="633" t="s">
        <v>3885</v>
      </c>
      <c r="B870" s="423" t="s">
        <v>1465</v>
      </c>
      <c r="C870" s="915">
        <v>696.21</v>
      </c>
      <c r="D870" s="915">
        <v>25.613</v>
      </c>
      <c r="E870" s="915">
        <v>13.996</v>
      </c>
      <c r="F870" s="915">
        <v>684.59400000000005</v>
      </c>
      <c r="G870" s="922">
        <f t="shared" si="26"/>
        <v>1</v>
      </c>
      <c r="H870" s="915" t="e">
        <v>#REF!</v>
      </c>
      <c r="I870" s="915" t="e">
        <f t="shared" si="27"/>
        <v>#REF!</v>
      </c>
      <c r="J870" s="915">
        <v>33.237000000000002</v>
      </c>
      <c r="K870" s="915">
        <v>6.0789999999999997</v>
      </c>
      <c r="L870" s="915">
        <v>3.0550000000000002</v>
      </c>
      <c r="M870" s="915">
        <v>30.212</v>
      </c>
    </row>
    <row r="871" spans="1:13">
      <c r="A871" s="633" t="s">
        <v>2528</v>
      </c>
      <c r="B871" s="423" t="s">
        <v>6</v>
      </c>
      <c r="C871" s="915">
        <v>422.49700000000001</v>
      </c>
      <c r="D871" s="915">
        <v>16.510000000000002</v>
      </c>
      <c r="E871" s="915">
        <v>16.510000000000002</v>
      </c>
      <c r="F871" s="915">
        <v>422.49700000000001</v>
      </c>
      <c r="G871" s="922">
        <f t="shared" si="26"/>
        <v>0</v>
      </c>
      <c r="H871" s="915" t="e">
        <v>#REF!</v>
      </c>
      <c r="I871" s="915" t="e">
        <f t="shared" si="27"/>
        <v>#REF!</v>
      </c>
      <c r="J871" s="915">
        <v>77.423000000000002</v>
      </c>
      <c r="K871" s="915">
        <v>6.1159999999999997</v>
      </c>
      <c r="L871" s="915">
        <v>6.1159999999999997</v>
      </c>
      <c r="M871" s="915">
        <v>77.423000000000002</v>
      </c>
    </row>
    <row r="872" spans="1:13">
      <c r="A872" s="633" t="s">
        <v>2530</v>
      </c>
      <c r="B872" s="423" t="s">
        <v>7</v>
      </c>
      <c r="C872" s="915">
        <v>552.67899999999997</v>
      </c>
      <c r="D872" s="915">
        <v>20.54</v>
      </c>
      <c r="E872" s="915">
        <v>20.54</v>
      </c>
      <c r="F872" s="915">
        <v>552.67899999999997</v>
      </c>
      <c r="G872" s="922">
        <f t="shared" si="26"/>
        <v>0</v>
      </c>
      <c r="H872" s="915" t="e">
        <v>#REF!</v>
      </c>
      <c r="I872" s="915" t="e">
        <f t="shared" si="27"/>
        <v>#REF!</v>
      </c>
      <c r="J872" s="915">
        <v>20.039000000000001</v>
      </c>
      <c r="K872" s="915">
        <v>4.7779999999999996</v>
      </c>
      <c r="L872" s="915">
        <v>4.7779999999999996</v>
      </c>
      <c r="M872" s="915">
        <v>20.039000000000001</v>
      </c>
    </row>
    <row r="873" spans="1:13">
      <c r="A873" s="633" t="s">
        <v>2532</v>
      </c>
      <c r="B873" s="423" t="s">
        <v>8</v>
      </c>
      <c r="C873" s="915">
        <v>103.907</v>
      </c>
      <c r="D873" s="915">
        <v>20.616</v>
      </c>
      <c r="E873" s="915">
        <v>12.576000000000001</v>
      </c>
      <c r="F873" s="915">
        <v>95.867000000000004</v>
      </c>
      <c r="G873" s="922">
        <f t="shared" si="26"/>
        <v>1</v>
      </c>
      <c r="H873" s="915" t="e">
        <v>#REF!</v>
      </c>
      <c r="I873" s="915" t="e">
        <f t="shared" si="27"/>
        <v>#REF!</v>
      </c>
      <c r="J873" s="915">
        <v>8.2739999999999991</v>
      </c>
      <c r="K873" s="915">
        <v>3.601</v>
      </c>
      <c r="L873" s="915">
        <v>1.8</v>
      </c>
      <c r="M873" s="915">
        <v>6.4740000000000002</v>
      </c>
    </row>
    <row r="874" spans="1:13">
      <c r="A874" s="633" t="s">
        <v>2316</v>
      </c>
      <c r="B874" s="423" t="s">
        <v>9</v>
      </c>
      <c r="C874" s="915">
        <v>104.899</v>
      </c>
      <c r="D874" s="915">
        <v>3.633</v>
      </c>
      <c r="E874" s="915">
        <v>3.633</v>
      </c>
      <c r="F874" s="915">
        <v>104.899</v>
      </c>
      <c r="G874" s="922">
        <f t="shared" si="26"/>
        <v>0</v>
      </c>
      <c r="H874" s="915" t="e">
        <v>#REF!</v>
      </c>
      <c r="I874" s="915" t="e">
        <f t="shared" si="27"/>
        <v>#REF!</v>
      </c>
      <c r="J874" s="915">
        <v>10.673</v>
      </c>
      <c r="K874" s="915">
        <v>0.875</v>
      </c>
      <c r="L874" s="915">
        <v>0.875</v>
      </c>
      <c r="M874" s="915">
        <v>10.673</v>
      </c>
    </row>
    <row r="875" spans="1:13">
      <c r="A875" s="633" t="s">
        <v>5105</v>
      </c>
      <c r="B875" s="423" t="s">
        <v>10</v>
      </c>
      <c r="C875" s="915">
        <v>570.20299999999997</v>
      </c>
      <c r="D875" s="915">
        <v>12.881</v>
      </c>
      <c r="E875" s="915">
        <v>12.881</v>
      </c>
      <c r="F875" s="915">
        <v>570.20299999999997</v>
      </c>
      <c r="G875" s="922">
        <f t="shared" si="26"/>
        <v>0</v>
      </c>
      <c r="H875" s="915" t="e">
        <v>#REF!</v>
      </c>
      <c r="I875" s="915" t="e">
        <f t="shared" si="27"/>
        <v>#REF!</v>
      </c>
      <c r="J875" s="915">
        <v>79.209999999999994</v>
      </c>
      <c r="K875" s="915">
        <v>4.6100000000000003</v>
      </c>
      <c r="L875" s="915">
        <v>4.6100000000000003</v>
      </c>
      <c r="M875" s="915">
        <v>79.209999999999994</v>
      </c>
    </row>
    <row r="876" spans="1:13">
      <c r="A876" s="633" t="s">
        <v>5036</v>
      </c>
      <c r="B876" s="423" t="s">
        <v>7689</v>
      </c>
      <c r="C876" s="915">
        <v>806.50400000000002</v>
      </c>
      <c r="D876" s="915">
        <v>12.762</v>
      </c>
      <c r="E876" s="915">
        <v>12.762</v>
      </c>
      <c r="F876" s="915">
        <v>806.50400000000002</v>
      </c>
      <c r="G876" s="922">
        <f t="shared" si="26"/>
        <v>0</v>
      </c>
      <c r="H876" s="915" t="e">
        <v>#REF!</v>
      </c>
      <c r="I876" s="915" t="e">
        <f t="shared" si="27"/>
        <v>#REF!</v>
      </c>
      <c r="J876" s="915">
        <v>14.577</v>
      </c>
      <c r="K876" s="915">
        <v>0</v>
      </c>
      <c r="L876" s="915">
        <v>0</v>
      </c>
      <c r="M876" s="915">
        <v>14.577</v>
      </c>
    </row>
    <row r="877" spans="1:13">
      <c r="A877" s="633" t="s">
        <v>2430</v>
      </c>
      <c r="B877" s="423" t="s">
        <v>11</v>
      </c>
      <c r="C877" s="915">
        <v>1774.7719999999999</v>
      </c>
      <c r="D877" s="915">
        <v>22.23</v>
      </c>
      <c r="E877" s="915">
        <v>22.23</v>
      </c>
      <c r="F877" s="915">
        <v>1774.7719999999999</v>
      </c>
      <c r="G877" s="922">
        <f t="shared" si="26"/>
        <v>0</v>
      </c>
      <c r="H877" s="915" t="e">
        <v>#REF!</v>
      </c>
      <c r="I877" s="915" t="e">
        <f t="shared" si="27"/>
        <v>#REF!</v>
      </c>
      <c r="J877" s="915">
        <v>27.231000000000002</v>
      </c>
      <c r="K877" s="915">
        <v>1.0449999999999999</v>
      </c>
      <c r="L877" s="915">
        <v>1.0449999999999999</v>
      </c>
      <c r="M877" s="915">
        <v>27.231000000000002</v>
      </c>
    </row>
    <row r="878" spans="1:13">
      <c r="A878" s="633" t="s">
        <v>2432</v>
      </c>
      <c r="B878" s="423" t="s">
        <v>12</v>
      </c>
      <c r="C878" s="915">
        <v>3362.2</v>
      </c>
      <c r="D878" s="915">
        <v>96.793000000000006</v>
      </c>
      <c r="E878" s="915">
        <v>51.186999999999998</v>
      </c>
      <c r="F878" s="915">
        <v>3316.5940000000001</v>
      </c>
      <c r="G878" s="922">
        <f t="shared" si="26"/>
        <v>1</v>
      </c>
      <c r="H878" s="915" t="e">
        <v>#REF!</v>
      </c>
      <c r="I878" s="915" t="e">
        <f t="shared" si="27"/>
        <v>#REF!</v>
      </c>
      <c r="J878" s="915">
        <v>126.074</v>
      </c>
      <c r="K878" s="915">
        <v>13.202</v>
      </c>
      <c r="L878" s="915">
        <v>6.625</v>
      </c>
      <c r="M878" s="915">
        <v>119.498</v>
      </c>
    </row>
    <row r="879" spans="1:13">
      <c r="A879" s="633" t="s">
        <v>5339</v>
      </c>
      <c r="B879" s="423" t="s">
        <v>13</v>
      </c>
      <c r="C879" s="915">
        <v>1000.534</v>
      </c>
      <c r="D879" s="915">
        <v>10.5</v>
      </c>
      <c r="E879" s="915">
        <v>5.4080000000000004</v>
      </c>
      <c r="F879" s="915">
        <v>995.44200000000001</v>
      </c>
      <c r="G879" s="922">
        <f t="shared" si="26"/>
        <v>1</v>
      </c>
      <c r="H879" s="915" t="e">
        <v>#REF!</v>
      </c>
      <c r="I879" s="915" t="e">
        <f t="shared" si="27"/>
        <v>#REF!</v>
      </c>
      <c r="J879" s="915">
        <v>28.312000000000001</v>
      </c>
      <c r="K879" s="915">
        <v>0</v>
      </c>
      <c r="L879" s="915">
        <v>0</v>
      </c>
      <c r="M879" s="915">
        <v>28.312000000000001</v>
      </c>
    </row>
    <row r="880" spans="1:13">
      <c r="A880" s="633" t="s">
        <v>5341</v>
      </c>
      <c r="B880" s="423" t="s">
        <v>14</v>
      </c>
      <c r="C880" s="915">
        <v>16961.879000000001</v>
      </c>
      <c r="D880" s="915">
        <v>289.80700000000002</v>
      </c>
      <c r="E880" s="915">
        <v>247.38499999999999</v>
      </c>
      <c r="F880" s="915">
        <v>16919.456999999999</v>
      </c>
      <c r="G880" s="922">
        <f t="shared" si="26"/>
        <v>1</v>
      </c>
      <c r="H880" s="915" t="e">
        <v>#REF!</v>
      </c>
      <c r="I880" s="915" t="e">
        <f t="shared" si="27"/>
        <v>#REF!</v>
      </c>
      <c r="J880" s="915">
        <v>2926.8209999999999</v>
      </c>
      <c r="K880" s="915">
        <v>135.07900000000001</v>
      </c>
      <c r="L880" s="915">
        <v>98.700999999999993</v>
      </c>
      <c r="M880" s="915">
        <v>2890.4430000000002</v>
      </c>
    </row>
    <row r="881" spans="1:13">
      <c r="A881" s="633" t="s">
        <v>858</v>
      </c>
      <c r="B881" s="423" t="s">
        <v>4070</v>
      </c>
      <c r="C881" s="915">
        <v>4293.5820000000003</v>
      </c>
      <c r="D881" s="915">
        <v>87.947999999999993</v>
      </c>
      <c r="E881" s="915">
        <v>45.344000000000001</v>
      </c>
      <c r="F881" s="915">
        <v>4250.9780000000001</v>
      </c>
      <c r="G881" s="922">
        <f t="shared" si="26"/>
        <v>1</v>
      </c>
      <c r="H881" s="915" t="e">
        <v>#REF!</v>
      </c>
      <c r="I881" s="915" t="e">
        <f t="shared" si="27"/>
        <v>#REF!</v>
      </c>
      <c r="J881" s="915">
        <v>109.913</v>
      </c>
      <c r="K881" s="915">
        <v>15.329000000000001</v>
      </c>
      <c r="L881" s="915">
        <v>7.665</v>
      </c>
      <c r="M881" s="915">
        <v>102.248</v>
      </c>
    </row>
    <row r="882" spans="1:13">
      <c r="A882" s="633" t="s">
        <v>5343</v>
      </c>
      <c r="B882" s="423" t="s">
        <v>6106</v>
      </c>
      <c r="C882" s="915">
        <v>3027.7550000000001</v>
      </c>
      <c r="D882" s="915">
        <v>157.78100000000001</v>
      </c>
      <c r="E882" s="915">
        <v>80.34</v>
      </c>
      <c r="F882" s="915">
        <v>2950.3139999999999</v>
      </c>
      <c r="G882" s="922">
        <f t="shared" si="26"/>
        <v>1</v>
      </c>
      <c r="H882" s="915" t="e">
        <v>#REF!</v>
      </c>
      <c r="I882" s="915" t="e">
        <f t="shared" si="27"/>
        <v>#REF!</v>
      </c>
      <c r="J882" s="915">
        <v>344.46100000000001</v>
      </c>
      <c r="K882" s="915">
        <v>32.905000000000001</v>
      </c>
      <c r="L882" s="915">
        <v>16.452000000000002</v>
      </c>
      <c r="M882" s="915">
        <v>328.00900000000001</v>
      </c>
    </row>
    <row r="883" spans="1:13">
      <c r="A883" s="633" t="s">
        <v>5344</v>
      </c>
      <c r="B883" s="423" t="s">
        <v>15</v>
      </c>
      <c r="C883" s="915">
        <v>960.375</v>
      </c>
      <c r="D883" s="915">
        <v>52.886000000000003</v>
      </c>
      <c r="E883" s="915">
        <v>28.443000000000001</v>
      </c>
      <c r="F883" s="915">
        <v>935.93200000000002</v>
      </c>
      <c r="G883" s="922">
        <f t="shared" si="26"/>
        <v>1</v>
      </c>
      <c r="H883" s="915" t="e">
        <v>#REF!</v>
      </c>
      <c r="I883" s="915" t="e">
        <f t="shared" si="27"/>
        <v>#REF!</v>
      </c>
      <c r="J883" s="915">
        <v>33.381</v>
      </c>
      <c r="K883" s="915">
        <v>0</v>
      </c>
      <c r="L883" s="915">
        <v>0</v>
      </c>
      <c r="M883" s="915">
        <v>33.381</v>
      </c>
    </row>
    <row r="884" spans="1:13">
      <c r="A884" s="633" t="s">
        <v>5346</v>
      </c>
      <c r="B884" s="423" t="s">
        <v>16</v>
      </c>
      <c r="C884" s="915">
        <v>1610.7180000000001</v>
      </c>
      <c r="D884" s="915">
        <v>30.68</v>
      </c>
      <c r="E884" s="915">
        <v>30.088000000000001</v>
      </c>
      <c r="F884" s="915">
        <v>1610.127</v>
      </c>
      <c r="G884" s="922">
        <f t="shared" si="26"/>
        <v>1</v>
      </c>
      <c r="H884" s="915" t="e">
        <v>#REF!</v>
      </c>
      <c r="I884" s="915" t="e">
        <f t="shared" si="27"/>
        <v>#REF!</v>
      </c>
      <c r="J884" s="915">
        <v>167.60599999999999</v>
      </c>
      <c r="K884" s="915">
        <v>8.7029999999999994</v>
      </c>
      <c r="L884" s="915">
        <v>8.7029999999999994</v>
      </c>
      <c r="M884" s="915">
        <v>167.60599999999999</v>
      </c>
    </row>
    <row r="885" spans="1:13">
      <c r="A885" s="633" t="s">
        <v>2770</v>
      </c>
      <c r="B885" s="423" t="s">
        <v>360</v>
      </c>
      <c r="C885" s="915">
        <v>9702.4840000000004</v>
      </c>
      <c r="D885" s="915">
        <v>541.274</v>
      </c>
      <c r="E885" s="915">
        <v>296.08300000000003</v>
      </c>
      <c r="F885" s="915">
        <v>9457.2939999999999</v>
      </c>
      <c r="G885" s="922">
        <f t="shared" si="26"/>
        <v>1</v>
      </c>
      <c r="H885" s="915" t="e">
        <v>#REF!</v>
      </c>
      <c r="I885" s="915" t="e">
        <f t="shared" si="27"/>
        <v>#REF!</v>
      </c>
      <c r="J885" s="915">
        <v>5576.8760000000002</v>
      </c>
      <c r="K885" s="915">
        <v>490.423</v>
      </c>
      <c r="L885" s="915">
        <v>253.38300000000001</v>
      </c>
      <c r="M885" s="915">
        <v>5339.8360000000002</v>
      </c>
    </row>
    <row r="886" spans="1:13">
      <c r="A886" s="633" t="s">
        <v>5348</v>
      </c>
      <c r="B886" s="423" t="s">
        <v>1718</v>
      </c>
      <c r="C886" s="915">
        <v>262.55</v>
      </c>
      <c r="D886" s="915">
        <v>15.663</v>
      </c>
      <c r="E886" s="915">
        <v>8.0640000000000001</v>
      </c>
      <c r="F886" s="915">
        <v>254.95099999999999</v>
      </c>
      <c r="G886" s="922">
        <f t="shared" si="26"/>
        <v>1</v>
      </c>
      <c r="H886" s="915" t="e">
        <v>#REF!</v>
      </c>
      <c r="I886" s="915" t="e">
        <f t="shared" si="27"/>
        <v>#REF!</v>
      </c>
      <c r="J886" s="915">
        <v>48.503999999999998</v>
      </c>
      <c r="K886" s="915">
        <v>6.5389999999999997</v>
      </c>
      <c r="L886" s="915">
        <v>3.2690000000000001</v>
      </c>
      <c r="M886" s="915">
        <v>45.234999999999999</v>
      </c>
    </row>
    <row r="887" spans="1:13">
      <c r="A887" s="633" t="s">
        <v>3886</v>
      </c>
      <c r="B887" s="423" t="s">
        <v>368</v>
      </c>
      <c r="C887" s="915">
        <v>5936.3419999999996</v>
      </c>
      <c r="D887" s="915">
        <v>337.84300000000002</v>
      </c>
      <c r="E887" s="915">
        <v>174.983</v>
      </c>
      <c r="F887" s="915">
        <v>5773.482</v>
      </c>
      <c r="G887" s="922">
        <f t="shared" si="26"/>
        <v>1</v>
      </c>
      <c r="H887" s="915" t="e">
        <v>#REF!</v>
      </c>
      <c r="I887" s="915" t="e">
        <f t="shared" si="27"/>
        <v>#REF!</v>
      </c>
      <c r="J887" s="915">
        <v>3237.096</v>
      </c>
      <c r="K887" s="915">
        <v>294.79899999999998</v>
      </c>
      <c r="L887" s="915">
        <v>152.38300000000001</v>
      </c>
      <c r="M887" s="915">
        <v>3094.681</v>
      </c>
    </row>
    <row r="888" spans="1:13">
      <c r="A888" s="633" t="s">
        <v>5350</v>
      </c>
      <c r="B888" s="423" t="s">
        <v>1719</v>
      </c>
      <c r="C888" s="915">
        <v>1418.6659999999999</v>
      </c>
      <c r="D888" s="915">
        <v>33.856999999999999</v>
      </c>
      <c r="E888" s="915">
        <v>33.856999999999999</v>
      </c>
      <c r="F888" s="915">
        <v>1418.6659999999999</v>
      </c>
      <c r="G888" s="922">
        <f t="shared" si="26"/>
        <v>0</v>
      </c>
      <c r="H888" s="915" t="e">
        <v>#REF!</v>
      </c>
      <c r="I888" s="915" t="e">
        <f t="shared" si="27"/>
        <v>#REF!</v>
      </c>
      <c r="J888" s="915">
        <v>112.848</v>
      </c>
      <c r="K888" s="915">
        <v>4.95</v>
      </c>
      <c r="L888" s="915">
        <v>4.95</v>
      </c>
      <c r="M888" s="915">
        <v>112.848</v>
      </c>
    </row>
    <row r="889" spans="1:13">
      <c r="A889" s="633" t="s">
        <v>3139</v>
      </c>
      <c r="B889" s="423" t="s">
        <v>1720</v>
      </c>
      <c r="C889" s="915">
        <v>194.50800000000001</v>
      </c>
      <c r="D889" s="915">
        <v>0</v>
      </c>
      <c r="E889" s="915">
        <v>0</v>
      </c>
      <c r="F889" s="915">
        <v>194.50800000000001</v>
      </c>
      <c r="G889" s="922">
        <f t="shared" si="26"/>
        <v>0</v>
      </c>
      <c r="H889" s="915" t="e">
        <v>#REF!</v>
      </c>
      <c r="I889" s="915" t="e">
        <f t="shared" si="27"/>
        <v>#REF!</v>
      </c>
      <c r="J889" s="915">
        <v>4.194</v>
      </c>
      <c r="K889" s="915">
        <v>0</v>
      </c>
      <c r="L889" s="915">
        <v>0</v>
      </c>
      <c r="M889" s="915">
        <v>4.194</v>
      </c>
    </row>
    <row r="890" spans="1:13">
      <c r="A890" s="633" t="s">
        <v>1530</v>
      </c>
      <c r="B890" s="423" t="s">
        <v>1721</v>
      </c>
      <c r="C890" s="915">
        <v>209.869</v>
      </c>
      <c r="D890" s="915">
        <v>5.2919999999999998</v>
      </c>
      <c r="E890" s="915">
        <v>5.2919999999999998</v>
      </c>
      <c r="F890" s="915">
        <v>209.869</v>
      </c>
      <c r="G890" s="922">
        <f t="shared" si="26"/>
        <v>0</v>
      </c>
      <c r="H890" s="915" t="e">
        <v>#REF!</v>
      </c>
      <c r="I890" s="915" t="e">
        <f t="shared" si="27"/>
        <v>#REF!</v>
      </c>
      <c r="J890" s="915">
        <v>3.02</v>
      </c>
      <c r="K890" s="915">
        <v>0</v>
      </c>
      <c r="L890" s="915">
        <v>0</v>
      </c>
      <c r="M890" s="915">
        <v>3.02</v>
      </c>
    </row>
    <row r="891" spans="1:13">
      <c r="A891" s="633" t="s">
        <v>1532</v>
      </c>
      <c r="B891" s="423" t="s">
        <v>1722</v>
      </c>
      <c r="C891" s="915">
        <v>932.81700000000001</v>
      </c>
      <c r="D891" s="915">
        <v>41.088999999999999</v>
      </c>
      <c r="E891" s="915">
        <v>23.233000000000001</v>
      </c>
      <c r="F891" s="915">
        <v>914.96100000000001</v>
      </c>
      <c r="G891" s="922">
        <f t="shared" si="26"/>
        <v>1</v>
      </c>
      <c r="H891" s="915" t="e">
        <v>#REF!</v>
      </c>
      <c r="I891" s="915" t="e">
        <f t="shared" si="27"/>
        <v>#REF!</v>
      </c>
      <c r="J891" s="915">
        <v>92.462999999999994</v>
      </c>
      <c r="K891" s="915">
        <v>22.931000000000001</v>
      </c>
      <c r="L891" s="915">
        <v>12.933999999999999</v>
      </c>
      <c r="M891" s="915">
        <v>82.465000000000003</v>
      </c>
    </row>
    <row r="892" spans="1:13">
      <c r="A892" s="633" t="s">
        <v>624</v>
      </c>
      <c r="B892" s="423" t="s">
        <v>1723</v>
      </c>
      <c r="C892" s="915">
        <v>207.547</v>
      </c>
      <c r="D892" s="915">
        <v>0</v>
      </c>
      <c r="E892" s="915">
        <v>0</v>
      </c>
      <c r="F892" s="915">
        <v>207.547</v>
      </c>
      <c r="G892" s="922">
        <f t="shared" si="26"/>
        <v>0</v>
      </c>
      <c r="H892" s="915" t="e">
        <v>#REF!</v>
      </c>
      <c r="I892" s="915" t="e">
        <f t="shared" si="27"/>
        <v>#REF!</v>
      </c>
      <c r="J892" s="915">
        <v>10.465999999999999</v>
      </c>
      <c r="K892" s="915">
        <v>0</v>
      </c>
      <c r="L892" s="915">
        <v>0</v>
      </c>
      <c r="M892" s="915">
        <v>10.465999999999999</v>
      </c>
    </row>
    <row r="893" spans="1:13">
      <c r="A893" s="633" t="s">
        <v>626</v>
      </c>
      <c r="B893" s="423" t="s">
        <v>1724</v>
      </c>
      <c r="C893" s="915">
        <v>961.48500000000001</v>
      </c>
      <c r="D893" s="915">
        <v>23.581</v>
      </c>
      <c r="E893" s="915">
        <v>23.581</v>
      </c>
      <c r="F893" s="915">
        <v>961.48500000000001</v>
      </c>
      <c r="G893" s="922">
        <f t="shared" si="26"/>
        <v>0</v>
      </c>
      <c r="H893" s="915" t="e">
        <v>#REF!</v>
      </c>
      <c r="I893" s="915" t="e">
        <f t="shared" si="27"/>
        <v>#REF!</v>
      </c>
      <c r="J893" s="915">
        <v>32.351999999999997</v>
      </c>
      <c r="K893" s="915">
        <v>1.7010000000000001</v>
      </c>
      <c r="L893" s="915">
        <v>1.7010000000000001</v>
      </c>
      <c r="M893" s="915">
        <v>32.351999999999997</v>
      </c>
    </row>
    <row r="894" spans="1:13">
      <c r="A894" s="633" t="s">
        <v>628</v>
      </c>
      <c r="B894" s="423" t="s">
        <v>1725</v>
      </c>
      <c r="C894" s="915">
        <v>184.66300000000001</v>
      </c>
      <c r="D894" s="915">
        <v>3.6960000000000002</v>
      </c>
      <c r="E894" s="915">
        <v>3.6960000000000002</v>
      </c>
      <c r="F894" s="915">
        <v>184.66300000000001</v>
      </c>
      <c r="G894" s="922">
        <f t="shared" si="26"/>
        <v>0</v>
      </c>
      <c r="H894" s="915" t="e">
        <v>#REF!</v>
      </c>
      <c r="I894" s="915" t="e">
        <f t="shared" si="27"/>
        <v>#REF!</v>
      </c>
      <c r="J894" s="915">
        <v>7.9749999999999996</v>
      </c>
      <c r="K894" s="915">
        <v>0.54</v>
      </c>
      <c r="L894" s="915">
        <v>0.54</v>
      </c>
      <c r="M894" s="915">
        <v>7.9749999999999996</v>
      </c>
    </row>
    <row r="895" spans="1:13">
      <c r="A895" s="633" t="s">
        <v>269</v>
      </c>
      <c r="B895" s="423" t="s">
        <v>7688</v>
      </c>
      <c r="C895" s="915">
        <v>57481.156999999999</v>
      </c>
      <c r="D895" s="915">
        <v>1517.989</v>
      </c>
      <c r="E895" s="915">
        <v>1517.4169999999999</v>
      </c>
      <c r="F895" s="915">
        <v>57480.584000000003</v>
      </c>
      <c r="G895" s="922">
        <f t="shared" si="26"/>
        <v>1</v>
      </c>
      <c r="H895" s="915" t="e">
        <v>#REF!</v>
      </c>
      <c r="I895" s="915" t="e">
        <f t="shared" si="27"/>
        <v>#REF!</v>
      </c>
      <c r="J895" s="915">
        <v>12050.099</v>
      </c>
      <c r="K895" s="915">
        <v>925.94600000000003</v>
      </c>
      <c r="L895" s="915">
        <v>925.48400000000004</v>
      </c>
      <c r="M895" s="915">
        <v>12049.637000000001</v>
      </c>
    </row>
    <row r="896" spans="1:13">
      <c r="A896" s="633" t="s">
        <v>951</v>
      </c>
      <c r="B896" s="423" t="s">
        <v>7656</v>
      </c>
      <c r="C896" s="915">
        <v>20992.350999999999</v>
      </c>
      <c r="D896" s="915">
        <v>389.988</v>
      </c>
      <c r="E896" s="915">
        <v>385.64699999999999</v>
      </c>
      <c r="F896" s="915">
        <v>20988.01</v>
      </c>
      <c r="G896" s="922">
        <f t="shared" si="26"/>
        <v>1</v>
      </c>
      <c r="H896" s="915" t="e">
        <v>#REF!</v>
      </c>
      <c r="I896" s="915" t="e">
        <f t="shared" si="27"/>
        <v>#REF!</v>
      </c>
      <c r="J896" s="915">
        <v>2967.498</v>
      </c>
      <c r="K896" s="915">
        <v>206.923</v>
      </c>
      <c r="L896" s="915">
        <v>205.083</v>
      </c>
      <c r="M896" s="915">
        <v>2965.6579999999999</v>
      </c>
    </row>
    <row r="897" spans="1:13">
      <c r="A897" s="633" t="s">
        <v>409</v>
      </c>
      <c r="B897" s="423" t="s">
        <v>1726</v>
      </c>
      <c r="C897" s="915">
        <v>4494.41</v>
      </c>
      <c r="D897" s="915">
        <v>122.733</v>
      </c>
      <c r="E897" s="915">
        <v>120.804</v>
      </c>
      <c r="F897" s="915">
        <v>4492.4809999999998</v>
      </c>
      <c r="G897" s="922">
        <f t="shared" si="26"/>
        <v>1</v>
      </c>
      <c r="H897" s="915" t="e">
        <v>#REF!</v>
      </c>
      <c r="I897" s="915" t="e">
        <f t="shared" si="27"/>
        <v>#REF!</v>
      </c>
      <c r="J897" s="915">
        <v>890.74699999999996</v>
      </c>
      <c r="K897" s="915">
        <v>59.637999999999998</v>
      </c>
      <c r="L897" s="915">
        <v>58.783999999999999</v>
      </c>
      <c r="M897" s="915">
        <v>889.89300000000003</v>
      </c>
    </row>
    <row r="898" spans="1:13">
      <c r="A898" s="633" t="s">
        <v>3996</v>
      </c>
      <c r="B898" s="423" t="s">
        <v>1727</v>
      </c>
      <c r="C898" s="915">
        <v>74340.115999999995</v>
      </c>
      <c r="D898" s="915">
        <v>3704.7939999999999</v>
      </c>
      <c r="E898" s="915">
        <v>2101.5140000000001</v>
      </c>
      <c r="F898" s="915">
        <v>72736.835999999996</v>
      </c>
      <c r="G898" s="922">
        <f t="shared" si="26"/>
        <v>1</v>
      </c>
      <c r="H898" s="915" t="e">
        <v>#REF!</v>
      </c>
      <c r="I898" s="915" t="e">
        <f t="shared" si="27"/>
        <v>#REF!</v>
      </c>
      <c r="J898" s="915">
        <v>21309.486000000001</v>
      </c>
      <c r="K898" s="915">
        <v>2180.13</v>
      </c>
      <c r="L898" s="915">
        <v>1188.3610000000001</v>
      </c>
      <c r="M898" s="915">
        <v>20317.717000000001</v>
      </c>
    </row>
    <row r="899" spans="1:13">
      <c r="A899" s="633" t="s">
        <v>3998</v>
      </c>
      <c r="B899" s="423" t="s">
        <v>1728</v>
      </c>
      <c r="C899" s="915">
        <v>13153.269</v>
      </c>
      <c r="D899" s="915">
        <v>78.046999999999997</v>
      </c>
      <c r="E899" s="915">
        <v>77.751999999999995</v>
      </c>
      <c r="F899" s="915">
        <v>13152.974</v>
      </c>
      <c r="G899" s="922">
        <f t="shared" ref="G899:G962" si="28">IF(F899&lt;C899,1,0)</f>
        <v>1</v>
      </c>
      <c r="H899" s="915" t="e">
        <v>#REF!</v>
      </c>
      <c r="I899" s="915" t="e">
        <f t="shared" ref="I899:I962" si="29">F899-H899</f>
        <v>#REF!</v>
      </c>
      <c r="J899" s="915">
        <v>911.61099999999999</v>
      </c>
      <c r="K899" s="915">
        <v>50.128</v>
      </c>
      <c r="L899" s="915">
        <v>49.832999999999998</v>
      </c>
      <c r="M899" s="915">
        <v>911.31600000000003</v>
      </c>
    </row>
    <row r="900" spans="1:13">
      <c r="A900" s="633" t="s">
        <v>6030</v>
      </c>
      <c r="B900" s="423" t="s">
        <v>1915</v>
      </c>
      <c r="C900" s="915">
        <v>28057.120999999999</v>
      </c>
      <c r="D900" s="915">
        <v>164.76300000000001</v>
      </c>
      <c r="E900" s="915">
        <v>163.48500000000001</v>
      </c>
      <c r="F900" s="915">
        <v>28055.844000000001</v>
      </c>
      <c r="G900" s="922">
        <f t="shared" si="28"/>
        <v>1</v>
      </c>
      <c r="H900" s="915" t="e">
        <v>#REF!</v>
      </c>
      <c r="I900" s="915" t="e">
        <f t="shared" si="29"/>
        <v>#REF!</v>
      </c>
      <c r="J900" s="915">
        <v>1407.9749999999999</v>
      </c>
      <c r="K900" s="915">
        <v>79.465000000000003</v>
      </c>
      <c r="L900" s="915">
        <v>78.992999999999995</v>
      </c>
      <c r="M900" s="915">
        <v>1407.5029999999999</v>
      </c>
    </row>
    <row r="901" spans="1:13">
      <c r="A901" s="633" t="s">
        <v>3002</v>
      </c>
      <c r="B901" s="423" t="s">
        <v>6062</v>
      </c>
      <c r="C901" s="915">
        <v>29053.633999999998</v>
      </c>
      <c r="D901" s="915">
        <v>332.24200000000002</v>
      </c>
      <c r="E901" s="915">
        <v>322.38200000000001</v>
      </c>
      <c r="F901" s="915">
        <v>29043.774000000001</v>
      </c>
      <c r="G901" s="922">
        <f t="shared" si="28"/>
        <v>1</v>
      </c>
      <c r="H901" s="915" t="e">
        <v>#REF!</v>
      </c>
      <c r="I901" s="915" t="e">
        <f t="shared" si="29"/>
        <v>#REF!</v>
      </c>
      <c r="J901" s="915">
        <v>2697.7370000000001</v>
      </c>
      <c r="K901" s="915">
        <v>167.84</v>
      </c>
      <c r="L901" s="915">
        <v>163.84100000000001</v>
      </c>
      <c r="M901" s="915">
        <v>2693.7370000000001</v>
      </c>
    </row>
    <row r="902" spans="1:13">
      <c r="A902" s="633" t="s">
        <v>2986</v>
      </c>
      <c r="B902" s="423" t="s">
        <v>186</v>
      </c>
      <c r="C902" s="915">
        <v>2537.69</v>
      </c>
      <c r="D902" s="915">
        <v>92.558000000000007</v>
      </c>
      <c r="E902" s="915">
        <v>92.558000000000007</v>
      </c>
      <c r="F902" s="915">
        <v>2537.69</v>
      </c>
      <c r="G902" s="922">
        <f t="shared" si="28"/>
        <v>0</v>
      </c>
      <c r="H902" s="915" t="e">
        <v>#REF!</v>
      </c>
      <c r="I902" s="915" t="e">
        <f t="shared" si="29"/>
        <v>#REF!</v>
      </c>
      <c r="J902" s="915">
        <v>428.21499999999997</v>
      </c>
      <c r="K902" s="915">
        <v>33.372</v>
      </c>
      <c r="L902" s="915">
        <v>33.372</v>
      </c>
      <c r="M902" s="915">
        <v>428.21499999999997</v>
      </c>
    </row>
    <row r="903" spans="1:13">
      <c r="A903" s="633" t="s">
        <v>246</v>
      </c>
      <c r="B903" s="423" t="s">
        <v>1668</v>
      </c>
      <c r="C903" s="915">
        <v>13960.936</v>
      </c>
      <c r="D903" s="915">
        <v>234.316</v>
      </c>
      <c r="E903" s="915">
        <v>202.41499999999999</v>
      </c>
      <c r="F903" s="915">
        <v>13929.035</v>
      </c>
      <c r="G903" s="922">
        <f t="shared" si="28"/>
        <v>1</v>
      </c>
      <c r="H903" s="915" t="e">
        <v>#REF!</v>
      </c>
      <c r="I903" s="915" t="e">
        <f t="shared" si="29"/>
        <v>#REF!</v>
      </c>
      <c r="J903" s="915">
        <v>1181.4280000000001</v>
      </c>
      <c r="K903" s="915">
        <v>87.831000000000003</v>
      </c>
      <c r="L903" s="915">
        <v>62.097999999999999</v>
      </c>
      <c r="M903" s="915">
        <v>1155.6949999999999</v>
      </c>
    </row>
    <row r="904" spans="1:13">
      <c r="A904" s="633" t="s">
        <v>6032</v>
      </c>
      <c r="B904" s="423" t="s">
        <v>1918</v>
      </c>
      <c r="C904" s="915">
        <v>2986.1860000000001</v>
      </c>
      <c r="D904" s="915">
        <v>32.255000000000003</v>
      </c>
      <c r="E904" s="915">
        <v>32.255000000000003</v>
      </c>
      <c r="F904" s="915">
        <v>2986.1860000000001</v>
      </c>
      <c r="G904" s="922">
        <f t="shared" si="28"/>
        <v>0</v>
      </c>
      <c r="H904" s="915" t="e">
        <v>#REF!</v>
      </c>
      <c r="I904" s="915" t="e">
        <f t="shared" si="29"/>
        <v>#REF!</v>
      </c>
      <c r="J904" s="915">
        <v>170.16300000000001</v>
      </c>
      <c r="K904" s="915">
        <v>13.762</v>
      </c>
      <c r="L904" s="915">
        <v>13.762</v>
      </c>
      <c r="M904" s="915">
        <v>170.16300000000001</v>
      </c>
    </row>
    <row r="905" spans="1:13">
      <c r="A905" s="633" t="s">
        <v>946</v>
      </c>
      <c r="B905" s="423" t="s">
        <v>7693</v>
      </c>
      <c r="C905" s="915">
        <v>5410.1419999999998</v>
      </c>
      <c r="D905" s="915">
        <v>28.100999999999999</v>
      </c>
      <c r="E905" s="915">
        <v>26.789000000000001</v>
      </c>
      <c r="F905" s="915">
        <v>5408.8289999999997</v>
      </c>
      <c r="G905" s="922">
        <f t="shared" si="28"/>
        <v>1</v>
      </c>
      <c r="H905" s="915" t="e">
        <v>#REF!</v>
      </c>
      <c r="I905" s="915" t="e">
        <f t="shared" si="29"/>
        <v>#REF!</v>
      </c>
      <c r="J905" s="915">
        <v>167.99700000000001</v>
      </c>
      <c r="K905" s="915">
        <v>3.47</v>
      </c>
      <c r="L905" s="915">
        <v>3.2280000000000002</v>
      </c>
      <c r="M905" s="915">
        <v>167.756</v>
      </c>
    </row>
    <row r="906" spans="1:13">
      <c r="A906" s="633" t="s">
        <v>1875</v>
      </c>
      <c r="B906" s="423" t="s">
        <v>3858</v>
      </c>
      <c r="C906" s="915">
        <v>19326.550999999999</v>
      </c>
      <c r="D906" s="915">
        <v>275.38099999999997</v>
      </c>
      <c r="E906" s="915">
        <v>274.887</v>
      </c>
      <c r="F906" s="915">
        <v>19326.057000000001</v>
      </c>
      <c r="G906" s="922">
        <f t="shared" si="28"/>
        <v>1</v>
      </c>
      <c r="H906" s="915" t="e">
        <v>#REF!</v>
      </c>
      <c r="I906" s="915" t="e">
        <f t="shared" si="29"/>
        <v>#REF!</v>
      </c>
      <c r="J906" s="915">
        <v>2139.8780000000002</v>
      </c>
      <c r="K906" s="915">
        <v>129.899</v>
      </c>
      <c r="L906" s="915">
        <v>129.80500000000001</v>
      </c>
      <c r="M906" s="915">
        <v>2139.7840000000001</v>
      </c>
    </row>
    <row r="907" spans="1:13">
      <c r="A907" s="633" t="s">
        <v>6682</v>
      </c>
      <c r="B907" s="423" t="s">
        <v>6103</v>
      </c>
      <c r="C907" s="915">
        <v>3241.4839999999999</v>
      </c>
      <c r="D907" s="915">
        <v>79.872</v>
      </c>
      <c r="E907" s="915">
        <v>74.584999999999994</v>
      </c>
      <c r="F907" s="915">
        <v>3236.1970000000001</v>
      </c>
      <c r="G907" s="922">
        <f t="shared" si="28"/>
        <v>1</v>
      </c>
      <c r="H907" s="915" t="e">
        <v>#REF!</v>
      </c>
      <c r="I907" s="915" t="e">
        <f t="shared" si="29"/>
        <v>#REF!</v>
      </c>
      <c r="J907" s="915">
        <v>947.56100000000004</v>
      </c>
      <c r="K907" s="915">
        <v>44.951999999999998</v>
      </c>
      <c r="L907" s="915">
        <v>43.182000000000002</v>
      </c>
      <c r="M907" s="915">
        <v>945.79100000000005</v>
      </c>
    </row>
    <row r="908" spans="1:13">
      <c r="A908" s="633" t="s">
        <v>4002</v>
      </c>
      <c r="B908" s="423" t="s">
        <v>1729</v>
      </c>
      <c r="C908" s="915">
        <v>14365.155000000001</v>
      </c>
      <c r="D908" s="915">
        <v>143.83799999999999</v>
      </c>
      <c r="E908" s="915">
        <v>143.83799999999999</v>
      </c>
      <c r="F908" s="915">
        <v>14365.155000000001</v>
      </c>
      <c r="G908" s="922">
        <f t="shared" si="28"/>
        <v>0</v>
      </c>
      <c r="H908" s="915" t="e">
        <v>#REF!</v>
      </c>
      <c r="I908" s="915" t="e">
        <f t="shared" si="29"/>
        <v>#REF!</v>
      </c>
      <c r="J908" s="915">
        <v>882.20100000000002</v>
      </c>
      <c r="K908" s="915">
        <v>56.14</v>
      </c>
      <c r="L908" s="915">
        <v>56.14</v>
      </c>
      <c r="M908" s="915">
        <v>882.20100000000002</v>
      </c>
    </row>
    <row r="909" spans="1:13">
      <c r="A909" s="633" t="s">
        <v>6681</v>
      </c>
      <c r="B909" s="423" t="s">
        <v>6102</v>
      </c>
      <c r="C909" s="915">
        <v>7493.89</v>
      </c>
      <c r="D909" s="915">
        <v>30.669</v>
      </c>
      <c r="E909" s="915">
        <v>25.686</v>
      </c>
      <c r="F909" s="915">
        <v>7488.9070000000002</v>
      </c>
      <c r="G909" s="922">
        <f t="shared" si="28"/>
        <v>1</v>
      </c>
      <c r="H909" s="915" t="e">
        <v>#REF!</v>
      </c>
      <c r="I909" s="915" t="e">
        <f t="shared" si="29"/>
        <v>#REF!</v>
      </c>
      <c r="J909" s="915">
        <v>29.236000000000001</v>
      </c>
      <c r="K909" s="915">
        <v>1.9259999999999999</v>
      </c>
      <c r="L909" s="915">
        <v>1.046</v>
      </c>
      <c r="M909" s="915">
        <v>28.356000000000002</v>
      </c>
    </row>
    <row r="910" spans="1:13">
      <c r="A910" s="633" t="s">
        <v>857</v>
      </c>
      <c r="B910" s="423" t="s">
        <v>4069</v>
      </c>
      <c r="C910" s="915">
        <v>5339.0439999999999</v>
      </c>
      <c r="D910" s="915">
        <v>115.56100000000001</v>
      </c>
      <c r="E910" s="915">
        <v>112.01600000000001</v>
      </c>
      <c r="F910" s="915">
        <v>5335.4979999999996</v>
      </c>
      <c r="G910" s="922">
        <f t="shared" si="28"/>
        <v>1</v>
      </c>
      <c r="H910" s="915" t="e">
        <v>#REF!</v>
      </c>
      <c r="I910" s="915" t="e">
        <f t="shared" si="29"/>
        <v>#REF!</v>
      </c>
      <c r="J910" s="915">
        <v>381.21899999999999</v>
      </c>
      <c r="K910" s="915">
        <v>25.344000000000001</v>
      </c>
      <c r="L910" s="915">
        <v>22.376999999999999</v>
      </c>
      <c r="M910" s="915">
        <v>378.25200000000001</v>
      </c>
    </row>
    <row r="911" spans="1:13">
      <c r="A911" s="633" t="s">
        <v>4006</v>
      </c>
      <c r="B911" s="423" t="s">
        <v>1730</v>
      </c>
      <c r="C911" s="915">
        <v>15062.071</v>
      </c>
      <c r="D911" s="915">
        <v>317.39999999999998</v>
      </c>
      <c r="E911" s="915">
        <v>317.39999999999998</v>
      </c>
      <c r="F911" s="915">
        <v>15062.071</v>
      </c>
      <c r="G911" s="922">
        <f t="shared" si="28"/>
        <v>0</v>
      </c>
      <c r="H911" s="915" t="e">
        <v>#REF!</v>
      </c>
      <c r="I911" s="915" t="e">
        <f t="shared" si="29"/>
        <v>#REF!</v>
      </c>
      <c r="J911" s="915">
        <v>466.92399999999998</v>
      </c>
      <c r="K911" s="915">
        <v>15.167</v>
      </c>
      <c r="L911" s="915">
        <v>15.167</v>
      </c>
      <c r="M911" s="915">
        <v>466.92399999999998</v>
      </c>
    </row>
    <row r="912" spans="1:13">
      <c r="A912" s="633" t="s">
        <v>4008</v>
      </c>
      <c r="B912" s="423" t="s">
        <v>1731</v>
      </c>
      <c r="C912" s="915">
        <v>1033.193</v>
      </c>
      <c r="D912" s="915">
        <v>22.555</v>
      </c>
      <c r="E912" s="915">
        <v>22.555</v>
      </c>
      <c r="F912" s="915">
        <v>1033.193</v>
      </c>
      <c r="G912" s="922">
        <f t="shared" si="28"/>
        <v>0</v>
      </c>
      <c r="H912" s="915" t="e">
        <v>#REF!</v>
      </c>
      <c r="I912" s="915" t="e">
        <f t="shared" si="29"/>
        <v>#REF!</v>
      </c>
      <c r="J912" s="915">
        <v>12.471</v>
      </c>
      <c r="K912" s="915">
        <v>0.48499999999999999</v>
      </c>
      <c r="L912" s="915">
        <v>0.48499999999999999</v>
      </c>
      <c r="M912" s="915">
        <v>12.471</v>
      </c>
    </row>
    <row r="913" spans="1:13">
      <c r="A913" s="633" t="s">
        <v>4010</v>
      </c>
      <c r="B913" s="423" t="s">
        <v>1732</v>
      </c>
      <c r="C913" s="915">
        <v>185.87</v>
      </c>
      <c r="D913" s="915">
        <v>5.6980000000000004</v>
      </c>
      <c r="E913" s="915">
        <v>3.13</v>
      </c>
      <c r="F913" s="915">
        <v>183.30199999999999</v>
      </c>
      <c r="G913" s="922">
        <f t="shared" si="28"/>
        <v>1</v>
      </c>
      <c r="H913" s="915" t="e">
        <v>#REF!</v>
      </c>
      <c r="I913" s="915" t="e">
        <f t="shared" si="29"/>
        <v>#REF!</v>
      </c>
      <c r="J913" s="915">
        <v>5.7039999999999997</v>
      </c>
      <c r="K913" s="915">
        <v>0</v>
      </c>
      <c r="L913" s="915">
        <v>0</v>
      </c>
      <c r="M913" s="915">
        <v>5.7039999999999997</v>
      </c>
    </row>
    <row r="914" spans="1:13">
      <c r="A914" s="633" t="s">
        <v>4012</v>
      </c>
      <c r="B914" s="423" t="s">
        <v>4374</v>
      </c>
      <c r="C914" s="915">
        <v>969.01700000000005</v>
      </c>
      <c r="D914" s="915">
        <v>5.8390000000000004</v>
      </c>
      <c r="E914" s="915">
        <v>5.8390000000000004</v>
      </c>
      <c r="F914" s="915">
        <v>969.01700000000005</v>
      </c>
      <c r="G914" s="922">
        <f t="shared" si="28"/>
        <v>0</v>
      </c>
      <c r="H914" s="915" t="e">
        <v>#REF!</v>
      </c>
      <c r="I914" s="915" t="e">
        <f t="shared" si="29"/>
        <v>#REF!</v>
      </c>
      <c r="J914" s="915">
        <v>3.5950000000000002</v>
      </c>
      <c r="K914" s="915">
        <v>0.72099999999999997</v>
      </c>
      <c r="L914" s="915">
        <v>0.72099999999999997</v>
      </c>
      <c r="M914" s="915">
        <v>3.5950000000000002</v>
      </c>
    </row>
    <row r="915" spans="1:13">
      <c r="A915" s="633" t="s">
        <v>4014</v>
      </c>
      <c r="B915" s="423" t="s">
        <v>2008</v>
      </c>
      <c r="C915" s="915">
        <v>3052.614</v>
      </c>
      <c r="D915" s="915">
        <v>30.849</v>
      </c>
      <c r="E915" s="915">
        <v>30.849</v>
      </c>
      <c r="F915" s="915">
        <v>3052.614</v>
      </c>
      <c r="G915" s="922">
        <f t="shared" si="28"/>
        <v>0</v>
      </c>
      <c r="H915" s="915" t="e">
        <v>#REF!</v>
      </c>
      <c r="I915" s="915" t="e">
        <f t="shared" si="29"/>
        <v>#REF!</v>
      </c>
      <c r="J915" s="915">
        <v>16.132999999999999</v>
      </c>
      <c r="K915" s="915">
        <v>1.4359999999999999</v>
      </c>
      <c r="L915" s="915">
        <v>1.4359999999999999</v>
      </c>
      <c r="M915" s="915">
        <v>16.132999999999999</v>
      </c>
    </row>
    <row r="916" spans="1:13">
      <c r="A916" s="633" t="s">
        <v>4015</v>
      </c>
      <c r="B916" s="423" t="s">
        <v>1734</v>
      </c>
      <c r="C916" s="915">
        <v>150.79300000000001</v>
      </c>
      <c r="D916" s="915">
        <v>3.1589999999999998</v>
      </c>
      <c r="E916" s="915">
        <v>3.1589999999999998</v>
      </c>
      <c r="F916" s="915">
        <v>150.79300000000001</v>
      </c>
      <c r="G916" s="922">
        <f t="shared" si="28"/>
        <v>0</v>
      </c>
      <c r="H916" s="915" t="e">
        <v>#REF!</v>
      </c>
      <c r="I916" s="915" t="e">
        <f t="shared" si="29"/>
        <v>#REF!</v>
      </c>
      <c r="J916" s="915">
        <v>0.98899999999999999</v>
      </c>
      <c r="K916" s="915">
        <v>0</v>
      </c>
      <c r="L916" s="915">
        <v>0</v>
      </c>
      <c r="M916" s="915">
        <v>0.98899999999999999</v>
      </c>
    </row>
    <row r="917" spans="1:13">
      <c r="A917" s="633" t="s">
        <v>6120</v>
      </c>
      <c r="B917" s="423" t="s">
        <v>1735</v>
      </c>
      <c r="C917" s="915">
        <v>1666.3</v>
      </c>
      <c r="D917" s="915">
        <v>92.531999999999996</v>
      </c>
      <c r="E917" s="915">
        <v>47.701999999999998</v>
      </c>
      <c r="F917" s="915">
        <v>1621.47</v>
      </c>
      <c r="G917" s="922">
        <f t="shared" si="28"/>
        <v>1</v>
      </c>
      <c r="H917" s="915" t="e">
        <v>#REF!</v>
      </c>
      <c r="I917" s="915" t="e">
        <f t="shared" si="29"/>
        <v>#REF!</v>
      </c>
      <c r="J917" s="915">
        <v>96.698999999999998</v>
      </c>
      <c r="K917" s="915">
        <v>1.8360000000000001</v>
      </c>
      <c r="L917" s="915">
        <v>0.91800000000000004</v>
      </c>
      <c r="M917" s="915">
        <v>95.781000000000006</v>
      </c>
    </row>
    <row r="918" spans="1:13">
      <c r="A918" s="633" t="s">
        <v>6679</v>
      </c>
      <c r="B918" s="423" t="s">
        <v>6078</v>
      </c>
      <c r="C918" s="915">
        <v>250.922</v>
      </c>
      <c r="D918" s="915">
        <v>15.82</v>
      </c>
      <c r="E918" s="915">
        <v>8.2530000000000001</v>
      </c>
      <c r="F918" s="915">
        <v>243.35499999999999</v>
      </c>
      <c r="G918" s="922">
        <f t="shared" si="28"/>
        <v>1</v>
      </c>
      <c r="H918" s="915" t="e">
        <v>#REF!</v>
      </c>
      <c r="I918" s="915" t="e">
        <f t="shared" si="29"/>
        <v>#REF!</v>
      </c>
      <c r="J918" s="915">
        <v>15.143000000000001</v>
      </c>
      <c r="K918" s="915">
        <v>2.4830000000000001</v>
      </c>
      <c r="L918" s="915">
        <v>1.242</v>
      </c>
      <c r="M918" s="915">
        <v>13.901</v>
      </c>
    </row>
    <row r="919" spans="1:13">
      <c r="A919" s="633" t="s">
        <v>6122</v>
      </c>
      <c r="B919" s="423" t="s">
        <v>4380</v>
      </c>
      <c r="C919" s="915">
        <v>221.90899999999999</v>
      </c>
      <c r="D919" s="915">
        <v>0</v>
      </c>
      <c r="E919" s="915">
        <v>0</v>
      </c>
      <c r="F919" s="915">
        <v>221.90899999999999</v>
      </c>
      <c r="G919" s="922">
        <f t="shared" si="28"/>
        <v>0</v>
      </c>
      <c r="H919" s="915" t="e">
        <v>#REF!</v>
      </c>
      <c r="I919" s="915" t="e">
        <f t="shared" si="29"/>
        <v>#REF!</v>
      </c>
      <c r="J919" s="915">
        <v>21.873000000000001</v>
      </c>
      <c r="K919" s="915">
        <v>0</v>
      </c>
      <c r="L919" s="915">
        <v>0</v>
      </c>
      <c r="M919" s="915">
        <v>21.873000000000001</v>
      </c>
    </row>
    <row r="920" spans="1:13">
      <c r="A920" s="633" t="s">
        <v>1801</v>
      </c>
      <c r="B920" s="423" t="s">
        <v>1737</v>
      </c>
      <c r="C920" s="915">
        <v>202.06299999999999</v>
      </c>
      <c r="D920" s="915">
        <v>1.4870000000000001</v>
      </c>
      <c r="E920" s="915">
        <v>1.4870000000000001</v>
      </c>
      <c r="F920" s="915">
        <v>202.06299999999999</v>
      </c>
      <c r="G920" s="922">
        <f t="shared" si="28"/>
        <v>0</v>
      </c>
      <c r="H920" s="915" t="e">
        <v>#REF!</v>
      </c>
      <c r="I920" s="915" t="e">
        <f t="shared" si="29"/>
        <v>#REF!</v>
      </c>
      <c r="J920" s="915">
        <v>0</v>
      </c>
      <c r="K920" s="915">
        <v>0</v>
      </c>
      <c r="L920" s="915">
        <v>0</v>
      </c>
      <c r="M920" s="915">
        <v>0</v>
      </c>
    </row>
    <row r="921" spans="1:13">
      <c r="A921" s="633" t="s">
        <v>1803</v>
      </c>
      <c r="B921" s="423" t="s">
        <v>1738</v>
      </c>
      <c r="C921" s="915">
        <v>117.102</v>
      </c>
      <c r="D921" s="915">
        <v>1.238</v>
      </c>
      <c r="E921" s="915">
        <v>1.238</v>
      </c>
      <c r="F921" s="915">
        <v>117.102</v>
      </c>
      <c r="G921" s="922">
        <f t="shared" si="28"/>
        <v>0</v>
      </c>
      <c r="H921" s="915" t="e">
        <v>#REF!</v>
      </c>
      <c r="I921" s="915" t="e">
        <f t="shared" si="29"/>
        <v>#REF!</v>
      </c>
      <c r="J921" s="915">
        <v>2.5089999999999999</v>
      </c>
      <c r="K921" s="915">
        <v>0</v>
      </c>
      <c r="L921" s="915">
        <v>0</v>
      </c>
      <c r="M921" s="915">
        <v>2.5089999999999999</v>
      </c>
    </row>
    <row r="922" spans="1:13">
      <c r="A922" s="633" t="s">
        <v>1805</v>
      </c>
      <c r="B922" s="423" t="s">
        <v>1739</v>
      </c>
      <c r="C922" s="915">
        <v>4760.0749999999998</v>
      </c>
      <c r="D922" s="915">
        <v>241.506</v>
      </c>
      <c r="E922" s="915">
        <v>221.77600000000001</v>
      </c>
      <c r="F922" s="915">
        <v>4740.3450000000003</v>
      </c>
      <c r="G922" s="922">
        <f t="shared" si="28"/>
        <v>1</v>
      </c>
      <c r="H922" s="915" t="e">
        <v>#REF!</v>
      </c>
      <c r="I922" s="915" t="e">
        <f t="shared" si="29"/>
        <v>#REF!</v>
      </c>
      <c r="J922" s="915">
        <v>1306.5350000000001</v>
      </c>
      <c r="K922" s="915">
        <v>125.051</v>
      </c>
      <c r="L922" s="915">
        <v>106.818</v>
      </c>
      <c r="M922" s="915">
        <v>1288.3030000000001</v>
      </c>
    </row>
    <row r="923" spans="1:13">
      <c r="A923" s="633" t="s">
        <v>1807</v>
      </c>
      <c r="B923" s="423" t="s">
        <v>1740</v>
      </c>
      <c r="C923" s="915">
        <v>133.059</v>
      </c>
      <c r="D923" s="915">
        <v>0</v>
      </c>
      <c r="E923" s="915">
        <v>0</v>
      </c>
      <c r="F923" s="915">
        <v>133.059</v>
      </c>
      <c r="G923" s="922">
        <f t="shared" si="28"/>
        <v>0</v>
      </c>
      <c r="H923" s="915" t="e">
        <v>#REF!</v>
      </c>
      <c r="I923" s="915" t="e">
        <f t="shared" si="29"/>
        <v>#REF!</v>
      </c>
      <c r="J923" s="915">
        <v>54.636000000000003</v>
      </c>
      <c r="K923" s="915">
        <v>0</v>
      </c>
      <c r="L923" s="915">
        <v>0</v>
      </c>
      <c r="M923" s="915">
        <v>54.636000000000003</v>
      </c>
    </row>
    <row r="924" spans="1:13">
      <c r="A924" s="633" t="s">
        <v>5037</v>
      </c>
      <c r="B924" s="423" t="s">
        <v>6106</v>
      </c>
      <c r="C924" s="915">
        <v>863.25099999999998</v>
      </c>
      <c r="D924" s="915">
        <v>0</v>
      </c>
      <c r="E924" s="915">
        <v>0</v>
      </c>
      <c r="F924" s="915">
        <v>863.25099999999998</v>
      </c>
      <c r="G924" s="922">
        <f t="shared" si="28"/>
        <v>0</v>
      </c>
      <c r="H924" s="915" t="e">
        <v>#REF!</v>
      </c>
      <c r="I924" s="915" t="e">
        <f t="shared" si="29"/>
        <v>#REF!</v>
      </c>
      <c r="J924" s="915">
        <v>115.146</v>
      </c>
      <c r="K924" s="915">
        <v>0</v>
      </c>
      <c r="L924" s="915">
        <v>0</v>
      </c>
      <c r="M924" s="915">
        <v>115.146</v>
      </c>
    </row>
    <row r="925" spans="1:13">
      <c r="A925" s="633" t="s">
        <v>1809</v>
      </c>
      <c r="B925" s="423" t="s">
        <v>1741</v>
      </c>
      <c r="C925" s="915">
        <v>432.74099999999999</v>
      </c>
      <c r="D925" s="915">
        <v>0</v>
      </c>
      <c r="E925" s="915">
        <v>0</v>
      </c>
      <c r="F925" s="915">
        <v>432.74099999999999</v>
      </c>
      <c r="G925" s="922">
        <f t="shared" si="28"/>
        <v>0</v>
      </c>
      <c r="H925" s="915" t="e">
        <v>#REF!</v>
      </c>
      <c r="I925" s="915" t="e">
        <f t="shared" si="29"/>
        <v>#REF!</v>
      </c>
      <c r="J925" s="915">
        <v>90.626999999999995</v>
      </c>
      <c r="K925" s="915">
        <v>0</v>
      </c>
      <c r="L925" s="915">
        <v>0</v>
      </c>
      <c r="M925" s="915">
        <v>90.626999999999995</v>
      </c>
    </row>
    <row r="926" spans="1:13">
      <c r="A926" s="633" t="s">
        <v>1697</v>
      </c>
      <c r="B926" s="423" t="s">
        <v>1742</v>
      </c>
      <c r="C926" s="915">
        <v>378.68900000000002</v>
      </c>
      <c r="D926" s="915">
        <v>0</v>
      </c>
      <c r="E926" s="915">
        <v>0</v>
      </c>
      <c r="F926" s="915">
        <v>378.68900000000002</v>
      </c>
      <c r="G926" s="922">
        <f t="shared" si="28"/>
        <v>0</v>
      </c>
      <c r="H926" s="915" t="e">
        <v>#REF!</v>
      </c>
      <c r="I926" s="915" t="e">
        <f t="shared" si="29"/>
        <v>#REF!</v>
      </c>
      <c r="J926" s="915">
        <v>1.4259999999999999</v>
      </c>
      <c r="K926" s="915">
        <v>0</v>
      </c>
      <c r="L926" s="915">
        <v>0</v>
      </c>
      <c r="M926" s="915">
        <v>1.4259999999999999</v>
      </c>
    </row>
    <row r="927" spans="1:13">
      <c r="A927" s="633" t="s">
        <v>2385</v>
      </c>
      <c r="B927" s="423" t="s">
        <v>378</v>
      </c>
      <c r="C927" s="915">
        <v>13539.725</v>
      </c>
      <c r="D927" s="915">
        <v>108.52</v>
      </c>
      <c r="E927" s="915">
        <v>108.036</v>
      </c>
      <c r="F927" s="915">
        <v>13539.24</v>
      </c>
      <c r="G927" s="922">
        <f t="shared" si="28"/>
        <v>1</v>
      </c>
      <c r="H927" s="915" t="e">
        <v>#REF!</v>
      </c>
      <c r="I927" s="915" t="e">
        <f t="shared" si="29"/>
        <v>#REF!</v>
      </c>
      <c r="J927" s="915">
        <v>706.14200000000005</v>
      </c>
      <c r="K927" s="915">
        <v>19.594000000000001</v>
      </c>
      <c r="L927" s="915">
        <v>19.443999999999999</v>
      </c>
      <c r="M927" s="915">
        <v>705.99199999999996</v>
      </c>
    </row>
    <row r="928" spans="1:13">
      <c r="A928" s="633" t="s">
        <v>1699</v>
      </c>
      <c r="B928" s="423" t="s">
        <v>1743</v>
      </c>
      <c r="C928" s="915">
        <v>315.52499999999998</v>
      </c>
      <c r="D928" s="915">
        <v>3.9569999999999999</v>
      </c>
      <c r="E928" s="915">
        <v>3.5289999999999999</v>
      </c>
      <c r="F928" s="915">
        <v>315.09699999999998</v>
      </c>
      <c r="G928" s="922">
        <f t="shared" si="28"/>
        <v>1</v>
      </c>
      <c r="H928" s="915" t="e">
        <v>#REF!</v>
      </c>
      <c r="I928" s="915" t="e">
        <f t="shared" si="29"/>
        <v>#REF!</v>
      </c>
      <c r="J928" s="915">
        <v>1</v>
      </c>
      <c r="K928" s="915">
        <v>0</v>
      </c>
      <c r="L928" s="915">
        <v>0</v>
      </c>
      <c r="M928" s="915">
        <v>1</v>
      </c>
    </row>
    <row r="929" spans="1:13">
      <c r="A929" s="633" t="s">
        <v>3554</v>
      </c>
      <c r="B929" s="423" t="s">
        <v>4061</v>
      </c>
      <c r="C929" s="915">
        <v>976.66</v>
      </c>
      <c r="D929" s="915">
        <v>0</v>
      </c>
      <c r="E929" s="915">
        <v>0</v>
      </c>
      <c r="F929" s="915">
        <v>976.66</v>
      </c>
      <c r="G929" s="922">
        <f t="shared" si="28"/>
        <v>0</v>
      </c>
      <c r="H929" s="915" t="e">
        <v>#REF!</v>
      </c>
      <c r="I929" s="915" t="e">
        <f t="shared" si="29"/>
        <v>#REF!</v>
      </c>
      <c r="J929" s="915">
        <v>17.863</v>
      </c>
      <c r="K929" s="915">
        <v>0</v>
      </c>
      <c r="L929" s="915">
        <v>0</v>
      </c>
      <c r="M929" s="915">
        <v>17.863</v>
      </c>
    </row>
    <row r="930" spans="1:13">
      <c r="A930" s="633" t="s">
        <v>1857</v>
      </c>
      <c r="B930" s="423" t="s">
        <v>3913</v>
      </c>
      <c r="C930" s="915">
        <v>1017.73</v>
      </c>
      <c r="D930" s="915">
        <v>7.9029999999999996</v>
      </c>
      <c r="E930" s="915">
        <v>7.9029999999999996</v>
      </c>
      <c r="F930" s="915">
        <v>1017.73</v>
      </c>
      <c r="G930" s="922">
        <f t="shared" si="28"/>
        <v>0</v>
      </c>
      <c r="H930" s="915" t="e">
        <v>#REF!</v>
      </c>
      <c r="I930" s="915" t="e">
        <f t="shared" si="29"/>
        <v>#REF!</v>
      </c>
      <c r="J930" s="915">
        <v>39.21</v>
      </c>
      <c r="K930" s="915">
        <v>0.42099999999999999</v>
      </c>
      <c r="L930" s="915">
        <v>0.42099999999999999</v>
      </c>
      <c r="M930" s="915">
        <v>39.21</v>
      </c>
    </row>
    <row r="931" spans="1:13">
      <c r="A931" s="633" t="s">
        <v>7288</v>
      </c>
      <c r="B931" s="423" t="s">
        <v>7132</v>
      </c>
      <c r="C931" s="915">
        <v>249.16399999999999</v>
      </c>
      <c r="D931" s="915">
        <v>2.9430000000000001</v>
      </c>
      <c r="E931" s="915">
        <v>2.9430000000000001</v>
      </c>
      <c r="F931" s="915">
        <v>249.16399999999999</v>
      </c>
      <c r="G931" s="922">
        <f t="shared" si="28"/>
        <v>0</v>
      </c>
      <c r="H931" s="915" t="e">
        <v>#REF!</v>
      </c>
      <c r="I931" s="915" t="e">
        <f t="shared" si="29"/>
        <v>#REF!</v>
      </c>
      <c r="J931" s="915">
        <v>14.129</v>
      </c>
      <c r="K931" s="915">
        <v>0.77400000000000002</v>
      </c>
      <c r="L931" s="915">
        <v>0.77400000000000002</v>
      </c>
      <c r="M931" s="915">
        <v>14.129</v>
      </c>
    </row>
    <row r="932" spans="1:13">
      <c r="A932" s="633" t="s">
        <v>2791</v>
      </c>
      <c r="B932" s="423" t="s">
        <v>1744</v>
      </c>
      <c r="C932" s="915">
        <v>77705.572</v>
      </c>
      <c r="D932" s="915">
        <v>4382.6970000000001</v>
      </c>
      <c r="E932" s="915">
        <v>2283.63</v>
      </c>
      <c r="F932" s="915">
        <v>75606.505000000005</v>
      </c>
      <c r="G932" s="922">
        <f t="shared" si="28"/>
        <v>1</v>
      </c>
      <c r="H932" s="915" t="e">
        <v>#REF!</v>
      </c>
      <c r="I932" s="915" t="e">
        <f t="shared" si="29"/>
        <v>#REF!</v>
      </c>
      <c r="J932" s="915">
        <v>21850.931</v>
      </c>
      <c r="K932" s="915">
        <v>2408.13</v>
      </c>
      <c r="L932" s="915">
        <v>1249.3530000000001</v>
      </c>
      <c r="M932" s="915">
        <v>20692.154999999999</v>
      </c>
    </row>
    <row r="933" spans="1:13">
      <c r="A933" s="633" t="s">
        <v>5124</v>
      </c>
      <c r="B933" s="423" t="s">
        <v>339</v>
      </c>
      <c r="C933" s="915">
        <v>20335.956999999999</v>
      </c>
      <c r="D933" s="915">
        <v>259.88900000000001</v>
      </c>
      <c r="E933" s="915">
        <v>242.721</v>
      </c>
      <c r="F933" s="915">
        <v>20318.788</v>
      </c>
      <c r="G933" s="922">
        <f t="shared" si="28"/>
        <v>1</v>
      </c>
      <c r="H933" s="915" t="e">
        <v>#REF!</v>
      </c>
      <c r="I933" s="915" t="e">
        <f t="shared" si="29"/>
        <v>#REF!</v>
      </c>
      <c r="J933" s="915">
        <v>3034.67</v>
      </c>
      <c r="K933" s="915">
        <v>137.72</v>
      </c>
      <c r="L933" s="915">
        <v>135.29900000000001</v>
      </c>
      <c r="M933" s="915">
        <v>3032.25</v>
      </c>
    </row>
    <row r="934" spans="1:13">
      <c r="A934" s="633" t="s">
        <v>2793</v>
      </c>
      <c r="B934" s="423" t="s">
        <v>1745</v>
      </c>
      <c r="C934" s="915">
        <v>5606.4620000000004</v>
      </c>
      <c r="D934" s="915">
        <v>243.58600000000001</v>
      </c>
      <c r="E934" s="915">
        <v>243.58600000000001</v>
      </c>
      <c r="F934" s="915">
        <v>5606.4620000000004</v>
      </c>
      <c r="G934" s="922">
        <f t="shared" si="28"/>
        <v>0</v>
      </c>
      <c r="H934" s="915" t="e">
        <v>#REF!</v>
      </c>
      <c r="I934" s="915" t="e">
        <f t="shared" si="29"/>
        <v>#REF!</v>
      </c>
      <c r="J934" s="915">
        <v>1647.0540000000001</v>
      </c>
      <c r="K934" s="915">
        <v>122.146</v>
      </c>
      <c r="L934" s="915">
        <v>122.146</v>
      </c>
      <c r="M934" s="915">
        <v>1647.0540000000001</v>
      </c>
    </row>
    <row r="935" spans="1:13">
      <c r="A935" s="633" t="s">
        <v>2795</v>
      </c>
      <c r="B935" s="423" t="s">
        <v>1746</v>
      </c>
      <c r="C935" s="915">
        <v>7107.4870000000001</v>
      </c>
      <c r="D935" s="915">
        <v>0</v>
      </c>
      <c r="E935" s="915">
        <v>0</v>
      </c>
      <c r="F935" s="915">
        <v>7107.4870000000001</v>
      </c>
      <c r="G935" s="922">
        <f t="shared" si="28"/>
        <v>0</v>
      </c>
      <c r="H935" s="915" t="e">
        <v>#REF!</v>
      </c>
      <c r="I935" s="915" t="e">
        <f t="shared" si="29"/>
        <v>#REF!</v>
      </c>
      <c r="J935" s="915">
        <v>96.864999999999995</v>
      </c>
      <c r="K935" s="915">
        <v>0</v>
      </c>
      <c r="L935" s="915">
        <v>0</v>
      </c>
      <c r="M935" s="915">
        <v>96.864999999999995</v>
      </c>
    </row>
    <row r="936" spans="1:13">
      <c r="A936" s="633" t="s">
        <v>2052</v>
      </c>
      <c r="B936" s="423" t="s">
        <v>997</v>
      </c>
      <c r="C936" s="915">
        <v>8822.9480000000003</v>
      </c>
      <c r="D936" s="915">
        <v>217.22200000000001</v>
      </c>
      <c r="E936" s="915">
        <v>217.22200000000001</v>
      </c>
      <c r="F936" s="915">
        <v>8822.9480000000003</v>
      </c>
      <c r="G936" s="922">
        <f t="shared" si="28"/>
        <v>0</v>
      </c>
      <c r="H936" s="915" t="e">
        <v>#REF!</v>
      </c>
      <c r="I936" s="915" t="e">
        <f t="shared" si="29"/>
        <v>#REF!</v>
      </c>
      <c r="J936" s="915">
        <v>2507.7919999999999</v>
      </c>
      <c r="K936" s="915">
        <v>130.44200000000001</v>
      </c>
      <c r="L936" s="915">
        <v>130.44200000000001</v>
      </c>
      <c r="M936" s="915">
        <v>2507.7919999999999</v>
      </c>
    </row>
    <row r="937" spans="1:13">
      <c r="A937" s="633" t="s">
        <v>2797</v>
      </c>
      <c r="B937" s="423" t="s">
        <v>1747</v>
      </c>
      <c r="C937" s="915">
        <v>1156.4939999999999</v>
      </c>
      <c r="D937" s="915">
        <v>12.692</v>
      </c>
      <c r="E937" s="915">
        <v>12.692</v>
      </c>
      <c r="F937" s="915">
        <v>1156.4939999999999</v>
      </c>
      <c r="G937" s="922">
        <f t="shared" si="28"/>
        <v>0</v>
      </c>
      <c r="H937" s="915" t="e">
        <v>#REF!</v>
      </c>
      <c r="I937" s="915" t="e">
        <f t="shared" si="29"/>
        <v>#REF!</v>
      </c>
      <c r="J937" s="915">
        <v>51.463999999999999</v>
      </c>
      <c r="K937" s="915">
        <v>4.2279999999999998</v>
      </c>
      <c r="L937" s="915">
        <v>4.2279999999999998</v>
      </c>
      <c r="M937" s="915">
        <v>51.463999999999999</v>
      </c>
    </row>
    <row r="938" spans="1:13">
      <c r="A938" s="633" t="s">
        <v>2799</v>
      </c>
      <c r="B938" s="423" t="s">
        <v>1748</v>
      </c>
      <c r="C938" s="915">
        <v>5877.29</v>
      </c>
      <c r="D938" s="915">
        <v>0</v>
      </c>
      <c r="E938" s="915">
        <v>0</v>
      </c>
      <c r="F938" s="915">
        <v>5877.29</v>
      </c>
      <c r="G938" s="922">
        <f t="shared" si="28"/>
        <v>0</v>
      </c>
      <c r="H938" s="915" t="e">
        <v>#REF!</v>
      </c>
      <c r="I938" s="915" t="e">
        <f t="shared" si="29"/>
        <v>#REF!</v>
      </c>
      <c r="J938" s="915">
        <v>288.81099999999998</v>
      </c>
      <c r="K938" s="915">
        <v>0</v>
      </c>
      <c r="L938" s="915">
        <v>0</v>
      </c>
      <c r="M938" s="915">
        <v>288.81099999999998</v>
      </c>
    </row>
    <row r="939" spans="1:13">
      <c r="A939" s="633" t="s">
        <v>2801</v>
      </c>
      <c r="B939" s="423" t="s">
        <v>1749</v>
      </c>
      <c r="C939" s="915">
        <v>673.70500000000004</v>
      </c>
      <c r="D939" s="915">
        <v>0</v>
      </c>
      <c r="E939" s="915">
        <v>0</v>
      </c>
      <c r="F939" s="915">
        <v>673.70500000000004</v>
      </c>
      <c r="G939" s="922">
        <f t="shared" si="28"/>
        <v>0</v>
      </c>
      <c r="H939" s="915" t="e">
        <v>#REF!</v>
      </c>
      <c r="I939" s="915" t="e">
        <f t="shared" si="29"/>
        <v>#REF!</v>
      </c>
      <c r="J939" s="915">
        <v>10.253</v>
      </c>
      <c r="K939" s="915">
        <v>0</v>
      </c>
      <c r="L939" s="915">
        <v>0</v>
      </c>
      <c r="M939" s="915">
        <v>10.253</v>
      </c>
    </row>
    <row r="940" spans="1:13">
      <c r="A940" s="633" t="s">
        <v>2803</v>
      </c>
      <c r="B940" s="423" t="s">
        <v>1750</v>
      </c>
      <c r="C940" s="915">
        <v>1119.097</v>
      </c>
      <c r="D940" s="915">
        <v>56.753</v>
      </c>
      <c r="E940" s="915">
        <v>29.271000000000001</v>
      </c>
      <c r="F940" s="915">
        <v>1091.615</v>
      </c>
      <c r="G940" s="922">
        <f t="shared" si="28"/>
        <v>1</v>
      </c>
      <c r="H940" s="915" t="e">
        <v>#REF!</v>
      </c>
      <c r="I940" s="915" t="e">
        <f t="shared" si="29"/>
        <v>#REF!</v>
      </c>
      <c r="J940" s="915">
        <v>106.02200000000001</v>
      </c>
      <c r="K940" s="915">
        <v>9.6959999999999997</v>
      </c>
      <c r="L940" s="915">
        <v>4.8479999999999999</v>
      </c>
      <c r="M940" s="915">
        <v>101.17400000000001</v>
      </c>
    </row>
    <row r="941" spans="1:13">
      <c r="A941" s="633" t="s">
        <v>2805</v>
      </c>
      <c r="B941" s="423" t="s">
        <v>297</v>
      </c>
      <c r="C941" s="915">
        <v>145.92400000000001</v>
      </c>
      <c r="D941" s="915">
        <v>2.3420000000000001</v>
      </c>
      <c r="E941" s="915">
        <v>2.3420000000000001</v>
      </c>
      <c r="F941" s="915">
        <v>145.92400000000001</v>
      </c>
      <c r="G941" s="922">
        <f t="shared" si="28"/>
        <v>0</v>
      </c>
      <c r="H941" s="915" t="e">
        <v>#REF!</v>
      </c>
      <c r="I941" s="915" t="e">
        <f t="shared" si="29"/>
        <v>#REF!</v>
      </c>
      <c r="J941" s="915">
        <v>0</v>
      </c>
      <c r="K941" s="915">
        <v>0</v>
      </c>
      <c r="L941" s="915">
        <v>0</v>
      </c>
      <c r="M941" s="915">
        <v>0</v>
      </c>
    </row>
    <row r="942" spans="1:13">
      <c r="A942" s="633" t="s">
        <v>2806</v>
      </c>
      <c r="B942" s="423" t="s">
        <v>1751</v>
      </c>
      <c r="C942" s="915">
        <v>195.15100000000001</v>
      </c>
      <c r="D942" s="915">
        <v>2.8220000000000001</v>
      </c>
      <c r="E942" s="915">
        <v>2.8220000000000001</v>
      </c>
      <c r="F942" s="915">
        <v>195.15100000000001</v>
      </c>
      <c r="G942" s="922">
        <f t="shared" si="28"/>
        <v>0</v>
      </c>
      <c r="H942" s="915" t="e">
        <v>#REF!</v>
      </c>
      <c r="I942" s="915" t="e">
        <f t="shared" si="29"/>
        <v>#REF!</v>
      </c>
      <c r="J942" s="915">
        <v>0</v>
      </c>
      <c r="K942" s="915">
        <v>0</v>
      </c>
      <c r="L942" s="915">
        <v>0</v>
      </c>
      <c r="M942" s="915">
        <v>0</v>
      </c>
    </row>
    <row r="943" spans="1:13">
      <c r="A943" s="633" t="s">
        <v>232</v>
      </c>
      <c r="B943" s="423" t="s">
        <v>2639</v>
      </c>
      <c r="C943" s="915">
        <v>482.66300000000001</v>
      </c>
      <c r="D943" s="915">
        <v>0</v>
      </c>
      <c r="E943" s="915">
        <v>0</v>
      </c>
      <c r="F943" s="915">
        <v>482.66300000000001</v>
      </c>
      <c r="G943" s="922">
        <f t="shared" si="28"/>
        <v>0</v>
      </c>
      <c r="H943" s="915" t="e">
        <v>#REF!</v>
      </c>
      <c r="I943" s="915" t="e">
        <f t="shared" si="29"/>
        <v>#REF!</v>
      </c>
      <c r="J943" s="915">
        <v>0</v>
      </c>
      <c r="K943" s="915">
        <v>0</v>
      </c>
      <c r="L943" s="915">
        <v>0</v>
      </c>
      <c r="M943" s="915">
        <v>0</v>
      </c>
    </row>
    <row r="944" spans="1:13">
      <c r="A944" s="633" t="s">
        <v>3572</v>
      </c>
      <c r="B944" s="423" t="s">
        <v>1752</v>
      </c>
      <c r="C944" s="915">
        <v>1246.1099999999999</v>
      </c>
      <c r="D944" s="915">
        <v>26.658999999999999</v>
      </c>
      <c r="E944" s="915">
        <v>26.658999999999999</v>
      </c>
      <c r="F944" s="915">
        <v>1246.1099999999999</v>
      </c>
      <c r="G944" s="922">
        <f t="shared" si="28"/>
        <v>0</v>
      </c>
      <c r="H944" s="915" t="e">
        <v>#REF!</v>
      </c>
      <c r="I944" s="915" t="e">
        <f t="shared" si="29"/>
        <v>#REF!</v>
      </c>
      <c r="J944" s="915">
        <v>25.744</v>
      </c>
      <c r="K944" s="915">
        <v>1.91</v>
      </c>
      <c r="L944" s="915">
        <v>1.91</v>
      </c>
      <c r="M944" s="915">
        <v>25.744</v>
      </c>
    </row>
    <row r="945" spans="1:13">
      <c r="A945" s="633" t="s">
        <v>3574</v>
      </c>
      <c r="B945" s="423" t="s">
        <v>7623</v>
      </c>
      <c r="C945" s="915">
        <v>1126.604</v>
      </c>
      <c r="D945" s="915">
        <v>51.277000000000001</v>
      </c>
      <c r="E945" s="915">
        <v>26.277999999999999</v>
      </c>
      <c r="F945" s="915">
        <v>1101.605</v>
      </c>
      <c r="G945" s="922">
        <f t="shared" si="28"/>
        <v>1</v>
      </c>
      <c r="H945" s="915" t="e">
        <v>#REF!</v>
      </c>
      <c r="I945" s="915" t="e">
        <f t="shared" si="29"/>
        <v>#REF!</v>
      </c>
      <c r="J945" s="915">
        <v>7.742</v>
      </c>
      <c r="K945" s="915">
        <v>1.5740000000000001</v>
      </c>
      <c r="L945" s="915">
        <v>0.78700000000000003</v>
      </c>
      <c r="M945" s="915">
        <v>6.9550000000000001</v>
      </c>
    </row>
    <row r="946" spans="1:13">
      <c r="A946" s="633" t="s">
        <v>4072</v>
      </c>
      <c r="B946" s="423" t="s">
        <v>2353</v>
      </c>
      <c r="C946" s="915">
        <v>345.28199999999998</v>
      </c>
      <c r="D946" s="915">
        <v>0</v>
      </c>
      <c r="E946" s="915">
        <v>0</v>
      </c>
      <c r="F946" s="915">
        <v>345.28199999999998</v>
      </c>
      <c r="G946" s="922">
        <f t="shared" si="28"/>
        <v>0</v>
      </c>
      <c r="H946" s="915" t="e">
        <v>#REF!</v>
      </c>
      <c r="I946" s="915" t="e">
        <f t="shared" si="29"/>
        <v>#REF!</v>
      </c>
      <c r="J946" s="915">
        <v>0</v>
      </c>
      <c r="K946" s="915">
        <v>0</v>
      </c>
      <c r="L946" s="915">
        <v>0</v>
      </c>
      <c r="M946" s="915">
        <v>0</v>
      </c>
    </row>
    <row r="947" spans="1:13">
      <c r="A947" s="633" t="s">
        <v>735</v>
      </c>
      <c r="B947" s="423" t="s">
        <v>6108</v>
      </c>
      <c r="C947" s="915">
        <v>178.715</v>
      </c>
      <c r="D947" s="915">
        <v>0</v>
      </c>
      <c r="E947" s="915">
        <v>0</v>
      </c>
      <c r="F947" s="915">
        <v>178.715</v>
      </c>
      <c r="G947" s="922">
        <f t="shared" si="28"/>
        <v>0</v>
      </c>
      <c r="H947" s="915" t="e">
        <v>#REF!</v>
      </c>
      <c r="I947" s="915" t="e">
        <f t="shared" si="29"/>
        <v>#REF!</v>
      </c>
      <c r="J947" s="915">
        <v>0</v>
      </c>
      <c r="K947" s="915">
        <v>0</v>
      </c>
      <c r="L947" s="915">
        <v>0</v>
      </c>
      <c r="M947" s="915">
        <v>0</v>
      </c>
    </row>
    <row r="948" spans="1:13">
      <c r="A948" s="633" t="s">
        <v>3576</v>
      </c>
      <c r="B948" s="423" t="s">
        <v>400</v>
      </c>
      <c r="C948" s="915">
        <v>686.51</v>
      </c>
      <c r="D948" s="915">
        <v>16.861999999999998</v>
      </c>
      <c r="E948" s="915">
        <v>16.861999999999998</v>
      </c>
      <c r="F948" s="915">
        <v>686.51</v>
      </c>
      <c r="G948" s="922">
        <f t="shared" si="28"/>
        <v>0</v>
      </c>
      <c r="H948" s="915" t="e">
        <v>#REF!</v>
      </c>
      <c r="I948" s="915" t="e">
        <f t="shared" si="29"/>
        <v>#REF!</v>
      </c>
      <c r="J948" s="915">
        <v>23.521000000000001</v>
      </c>
      <c r="K948" s="915">
        <v>2.2530000000000001</v>
      </c>
      <c r="L948" s="915">
        <v>2.2530000000000001</v>
      </c>
      <c r="M948" s="915">
        <v>23.521000000000001</v>
      </c>
    </row>
    <row r="949" spans="1:13">
      <c r="A949" s="633" t="s">
        <v>3577</v>
      </c>
      <c r="B949" s="423" t="s">
        <v>7624</v>
      </c>
      <c r="C949" s="915">
        <v>2240.6260000000002</v>
      </c>
      <c r="D949" s="915">
        <v>87.921999999999997</v>
      </c>
      <c r="E949" s="915">
        <v>47.475999999999999</v>
      </c>
      <c r="F949" s="915">
        <v>2200.1799999999998</v>
      </c>
      <c r="G949" s="922">
        <f t="shared" si="28"/>
        <v>1</v>
      </c>
      <c r="H949" s="915" t="e">
        <v>#REF!</v>
      </c>
      <c r="I949" s="915" t="e">
        <f t="shared" si="29"/>
        <v>#REF!</v>
      </c>
      <c r="J949" s="915">
        <v>98.495999999999995</v>
      </c>
      <c r="K949" s="915">
        <v>11.71</v>
      </c>
      <c r="L949" s="915">
        <v>5.8739999999999997</v>
      </c>
      <c r="M949" s="915">
        <v>92.66</v>
      </c>
    </row>
    <row r="950" spans="1:13">
      <c r="A950" s="633" t="s">
        <v>6190</v>
      </c>
      <c r="B950" s="423" t="s">
        <v>3626</v>
      </c>
      <c r="C950" s="915">
        <v>801.55</v>
      </c>
      <c r="D950" s="915">
        <v>16.643000000000001</v>
      </c>
      <c r="E950" s="915">
        <v>8.7170000000000005</v>
      </c>
      <c r="F950" s="915">
        <v>793.62300000000005</v>
      </c>
      <c r="G950" s="922">
        <f t="shared" si="28"/>
        <v>1</v>
      </c>
      <c r="H950" s="915" t="e">
        <v>#REF!</v>
      </c>
      <c r="I950" s="915" t="e">
        <f t="shared" si="29"/>
        <v>#REF!</v>
      </c>
      <c r="J950" s="915">
        <v>28.369</v>
      </c>
      <c r="K950" s="915">
        <v>1.915</v>
      </c>
      <c r="L950" s="915">
        <v>0.95699999999999996</v>
      </c>
      <c r="M950" s="915">
        <v>27.411999999999999</v>
      </c>
    </row>
    <row r="951" spans="1:13">
      <c r="A951" s="633" t="s">
        <v>3580</v>
      </c>
      <c r="B951" s="423" t="s">
        <v>7625</v>
      </c>
      <c r="C951" s="915">
        <v>253.19</v>
      </c>
      <c r="D951" s="915">
        <v>5.734</v>
      </c>
      <c r="E951" s="915">
        <v>5.734</v>
      </c>
      <c r="F951" s="915">
        <v>253.19</v>
      </c>
      <c r="G951" s="922">
        <f t="shared" si="28"/>
        <v>0</v>
      </c>
      <c r="H951" s="915" t="e">
        <v>#REF!</v>
      </c>
      <c r="I951" s="915" t="e">
        <f t="shared" si="29"/>
        <v>#REF!</v>
      </c>
      <c r="J951" s="915">
        <v>9.9570000000000007</v>
      </c>
      <c r="K951" s="915">
        <v>0</v>
      </c>
      <c r="L951" s="915">
        <v>0</v>
      </c>
      <c r="M951" s="915">
        <v>9.9570000000000007</v>
      </c>
    </row>
    <row r="952" spans="1:13">
      <c r="A952" s="633" t="s">
        <v>1862</v>
      </c>
      <c r="B952" s="423" t="s">
        <v>3837</v>
      </c>
      <c r="C952" s="915">
        <v>994.42</v>
      </c>
      <c r="D952" s="915">
        <v>8.1609999999999996</v>
      </c>
      <c r="E952" s="915">
        <v>8.1609999999999996</v>
      </c>
      <c r="F952" s="915">
        <v>994.42</v>
      </c>
      <c r="G952" s="922">
        <f t="shared" si="28"/>
        <v>0</v>
      </c>
      <c r="H952" s="915" t="e">
        <v>#REF!</v>
      </c>
      <c r="I952" s="915" t="e">
        <f t="shared" si="29"/>
        <v>#REF!</v>
      </c>
      <c r="J952" s="915">
        <v>36.771999999999998</v>
      </c>
      <c r="K952" s="915">
        <v>2.0430000000000001</v>
      </c>
      <c r="L952" s="915">
        <v>2.0430000000000001</v>
      </c>
      <c r="M952" s="915">
        <v>36.771999999999998</v>
      </c>
    </row>
    <row r="953" spans="1:13">
      <c r="A953" s="633" t="s">
        <v>3582</v>
      </c>
      <c r="B953" s="423" t="s">
        <v>7626</v>
      </c>
      <c r="C953" s="915">
        <v>963.86699999999996</v>
      </c>
      <c r="D953" s="915">
        <v>9.9749999999999996</v>
      </c>
      <c r="E953" s="915">
        <v>9.9749999999999996</v>
      </c>
      <c r="F953" s="915">
        <v>963.86699999999996</v>
      </c>
      <c r="G953" s="922">
        <f t="shared" si="28"/>
        <v>0</v>
      </c>
      <c r="H953" s="915" t="e">
        <v>#REF!</v>
      </c>
      <c r="I953" s="915" t="e">
        <f t="shared" si="29"/>
        <v>#REF!</v>
      </c>
      <c r="J953" s="915">
        <v>18.925999999999998</v>
      </c>
      <c r="K953" s="915">
        <v>1.514</v>
      </c>
      <c r="L953" s="915">
        <v>1.514</v>
      </c>
      <c r="M953" s="915">
        <v>18.925999999999998</v>
      </c>
    </row>
    <row r="954" spans="1:13">
      <c r="A954" s="633" t="s">
        <v>3584</v>
      </c>
      <c r="B954" s="423" t="s">
        <v>7627</v>
      </c>
      <c r="C954" s="915">
        <v>690.76199999999994</v>
      </c>
      <c r="D954" s="915">
        <v>0</v>
      </c>
      <c r="E954" s="915">
        <v>0</v>
      </c>
      <c r="F954" s="915">
        <v>690.76199999999994</v>
      </c>
      <c r="G954" s="922">
        <f t="shared" si="28"/>
        <v>0</v>
      </c>
      <c r="H954" s="915" t="e">
        <v>#REF!</v>
      </c>
      <c r="I954" s="915" t="e">
        <f t="shared" si="29"/>
        <v>#REF!</v>
      </c>
      <c r="J954" s="915">
        <v>0.96699999999999997</v>
      </c>
      <c r="K954" s="915">
        <v>0</v>
      </c>
      <c r="L954" s="915">
        <v>0</v>
      </c>
      <c r="M954" s="915">
        <v>0.96699999999999997</v>
      </c>
    </row>
    <row r="955" spans="1:13">
      <c r="A955" s="633" t="s">
        <v>3586</v>
      </c>
      <c r="B955" s="423" t="s">
        <v>7628</v>
      </c>
      <c r="C955" s="915">
        <v>437.09100000000001</v>
      </c>
      <c r="D955" s="915">
        <v>10.906000000000001</v>
      </c>
      <c r="E955" s="915">
        <v>10.906000000000001</v>
      </c>
      <c r="F955" s="915">
        <v>437.09100000000001</v>
      </c>
      <c r="G955" s="922">
        <f t="shared" si="28"/>
        <v>0</v>
      </c>
      <c r="H955" s="915" t="e">
        <v>#REF!</v>
      </c>
      <c r="I955" s="915" t="e">
        <f t="shared" si="29"/>
        <v>#REF!</v>
      </c>
      <c r="J955" s="915">
        <v>18.771000000000001</v>
      </c>
      <c r="K955" s="915">
        <v>0.372</v>
      </c>
      <c r="L955" s="915">
        <v>0.372</v>
      </c>
      <c r="M955" s="915">
        <v>18.771000000000001</v>
      </c>
    </row>
    <row r="956" spans="1:13">
      <c r="A956" s="633" t="s">
        <v>3588</v>
      </c>
      <c r="B956" s="423" t="s">
        <v>7629</v>
      </c>
      <c r="C956" s="915">
        <v>194.38499999999999</v>
      </c>
      <c r="D956" s="915">
        <v>15.852</v>
      </c>
      <c r="E956" s="915">
        <v>8.6479999999999997</v>
      </c>
      <c r="F956" s="915">
        <v>187.18100000000001</v>
      </c>
      <c r="G956" s="922">
        <f t="shared" si="28"/>
        <v>1</v>
      </c>
      <c r="H956" s="915" t="e">
        <v>#REF!</v>
      </c>
      <c r="I956" s="915" t="e">
        <f t="shared" si="29"/>
        <v>#REF!</v>
      </c>
      <c r="J956" s="915">
        <v>14.148999999999999</v>
      </c>
      <c r="K956" s="915">
        <v>2.573</v>
      </c>
      <c r="L956" s="915">
        <v>1.286</v>
      </c>
      <c r="M956" s="915">
        <v>12.863</v>
      </c>
    </row>
    <row r="957" spans="1:13">
      <c r="A957" s="633" t="s">
        <v>6036</v>
      </c>
      <c r="B957" s="423" t="s">
        <v>5638</v>
      </c>
      <c r="C957" s="915">
        <v>223.434</v>
      </c>
      <c r="D957" s="915">
        <v>5.0179999999999998</v>
      </c>
      <c r="E957" s="915">
        <v>5.0179999999999998</v>
      </c>
      <c r="F957" s="915">
        <v>223.434</v>
      </c>
      <c r="G957" s="922">
        <f t="shared" si="28"/>
        <v>0</v>
      </c>
      <c r="H957" s="915" t="e">
        <v>#REF!</v>
      </c>
      <c r="I957" s="915" t="e">
        <f t="shared" si="29"/>
        <v>#REF!</v>
      </c>
      <c r="J957" s="915">
        <v>3.8610000000000002</v>
      </c>
      <c r="K957" s="915">
        <v>0.40799999999999997</v>
      </c>
      <c r="L957" s="915">
        <v>0.40799999999999997</v>
      </c>
      <c r="M957" s="915">
        <v>3.8610000000000002</v>
      </c>
    </row>
    <row r="958" spans="1:13">
      <c r="A958" s="633" t="s">
        <v>2472</v>
      </c>
      <c r="B958" s="423" t="s">
        <v>375</v>
      </c>
      <c r="C958" s="915">
        <v>454.404</v>
      </c>
      <c r="D958" s="915">
        <v>10.897</v>
      </c>
      <c r="E958" s="915">
        <v>10.510999999999999</v>
      </c>
      <c r="F958" s="915">
        <v>454.01900000000001</v>
      </c>
      <c r="G958" s="922">
        <f t="shared" si="28"/>
        <v>1</v>
      </c>
      <c r="H958" s="915" t="e">
        <v>#REF!</v>
      </c>
      <c r="I958" s="915" t="e">
        <f t="shared" si="29"/>
        <v>#REF!</v>
      </c>
      <c r="J958" s="915">
        <v>30.093</v>
      </c>
      <c r="K958" s="915">
        <v>0.51900000000000002</v>
      </c>
      <c r="L958" s="915">
        <v>0.51900000000000002</v>
      </c>
      <c r="M958" s="915">
        <v>30.093</v>
      </c>
    </row>
    <row r="959" spans="1:13">
      <c r="A959" s="633" t="s">
        <v>2418</v>
      </c>
      <c r="B959" s="423" t="s">
        <v>6740</v>
      </c>
      <c r="C959" s="915">
        <v>4525.9560000000001</v>
      </c>
      <c r="D959" s="915">
        <v>147.6</v>
      </c>
      <c r="E959" s="915">
        <v>127.732</v>
      </c>
      <c r="F959" s="915">
        <v>4506.0879999999997</v>
      </c>
      <c r="G959" s="922">
        <f t="shared" si="28"/>
        <v>1</v>
      </c>
      <c r="H959" s="915" t="e">
        <v>#REF!</v>
      </c>
      <c r="I959" s="915" t="e">
        <f t="shared" si="29"/>
        <v>#REF!</v>
      </c>
      <c r="J959" s="915">
        <v>250.499</v>
      </c>
      <c r="K959" s="915">
        <v>12.25</v>
      </c>
      <c r="L959" s="915">
        <v>6.64</v>
      </c>
      <c r="M959" s="915">
        <v>244.88900000000001</v>
      </c>
    </row>
    <row r="960" spans="1:13">
      <c r="A960" s="633" t="s">
        <v>3590</v>
      </c>
      <c r="B960" s="423" t="s">
        <v>7630</v>
      </c>
      <c r="C960" s="915">
        <v>199.99700000000001</v>
      </c>
      <c r="D960" s="915">
        <v>1.877</v>
      </c>
      <c r="E960" s="915">
        <v>1.877</v>
      </c>
      <c r="F960" s="915">
        <v>199.99700000000001</v>
      </c>
      <c r="G960" s="922">
        <f t="shared" si="28"/>
        <v>0</v>
      </c>
      <c r="H960" s="915" t="e">
        <v>#REF!</v>
      </c>
      <c r="I960" s="915" t="e">
        <f t="shared" si="29"/>
        <v>#REF!</v>
      </c>
      <c r="J960" s="915">
        <v>4.5960000000000001</v>
      </c>
      <c r="K960" s="915">
        <v>0</v>
      </c>
      <c r="L960" s="915">
        <v>0</v>
      </c>
      <c r="M960" s="915">
        <v>4.5960000000000001</v>
      </c>
    </row>
    <row r="961" spans="1:13">
      <c r="A961" s="633" t="s">
        <v>2389</v>
      </c>
      <c r="B961" s="423" t="s">
        <v>2014</v>
      </c>
      <c r="C961" s="915">
        <v>9589.1720000000005</v>
      </c>
      <c r="D961" s="915">
        <v>386.471</v>
      </c>
      <c r="E961" s="915">
        <v>206.208</v>
      </c>
      <c r="F961" s="915">
        <v>9408.9089999999997</v>
      </c>
      <c r="G961" s="922">
        <f t="shared" si="28"/>
        <v>1</v>
      </c>
      <c r="H961" s="915" t="e">
        <v>#REF!</v>
      </c>
      <c r="I961" s="915" t="e">
        <f t="shared" si="29"/>
        <v>#REF!</v>
      </c>
      <c r="J961" s="915">
        <v>1703.067</v>
      </c>
      <c r="K961" s="915">
        <v>129.917</v>
      </c>
      <c r="L961" s="915">
        <v>68.486999999999995</v>
      </c>
      <c r="M961" s="915">
        <v>1641.6369999999999</v>
      </c>
    </row>
    <row r="962" spans="1:13">
      <c r="A962" s="633" t="s">
        <v>3594</v>
      </c>
      <c r="B962" s="423" t="s">
        <v>7631</v>
      </c>
      <c r="C962" s="915">
        <v>200.95500000000001</v>
      </c>
      <c r="D962" s="915">
        <v>0</v>
      </c>
      <c r="E962" s="915">
        <v>0</v>
      </c>
      <c r="F962" s="915">
        <v>200.95500000000001</v>
      </c>
      <c r="G962" s="922">
        <f t="shared" si="28"/>
        <v>0</v>
      </c>
      <c r="H962" s="915" t="e">
        <v>#REF!</v>
      </c>
      <c r="I962" s="915" t="e">
        <f t="shared" si="29"/>
        <v>#REF!</v>
      </c>
      <c r="J962" s="915">
        <v>0</v>
      </c>
      <c r="K962" s="915">
        <v>0</v>
      </c>
      <c r="L962" s="915">
        <v>0</v>
      </c>
      <c r="M962" s="915">
        <v>0</v>
      </c>
    </row>
    <row r="963" spans="1:13">
      <c r="A963" s="633" t="s">
        <v>6241</v>
      </c>
      <c r="B963" s="423" t="s">
        <v>7632</v>
      </c>
      <c r="C963" s="915">
        <v>1858.884</v>
      </c>
      <c r="D963" s="915">
        <v>21.931000000000001</v>
      </c>
      <c r="E963" s="915">
        <v>21.931000000000001</v>
      </c>
      <c r="F963" s="915">
        <v>1858.884</v>
      </c>
      <c r="G963" s="922">
        <f t="shared" ref="G963:G1026" si="30">IF(F963&lt;C963,1,0)</f>
        <v>0</v>
      </c>
      <c r="H963" s="915" t="e">
        <v>#REF!</v>
      </c>
      <c r="I963" s="915" t="e">
        <f t="shared" ref="I963:I1026" si="31">F963-H963</f>
        <v>#REF!</v>
      </c>
      <c r="J963" s="915">
        <v>51.484999999999999</v>
      </c>
      <c r="K963" s="915">
        <v>1.952</v>
      </c>
      <c r="L963" s="915">
        <v>1.952</v>
      </c>
      <c r="M963" s="915">
        <v>51.484999999999999</v>
      </c>
    </row>
    <row r="964" spans="1:13">
      <c r="A964" s="633" t="s">
        <v>6243</v>
      </c>
      <c r="B964" s="423" t="s">
        <v>1926</v>
      </c>
      <c r="C964" s="915">
        <v>893.12</v>
      </c>
      <c r="D964" s="915">
        <v>7.78</v>
      </c>
      <c r="E964" s="915">
        <v>7.78</v>
      </c>
      <c r="F964" s="915">
        <v>893.12</v>
      </c>
      <c r="G964" s="922">
        <f t="shared" si="30"/>
        <v>0</v>
      </c>
      <c r="H964" s="915" t="e">
        <v>#REF!</v>
      </c>
      <c r="I964" s="915" t="e">
        <f t="shared" si="31"/>
        <v>#REF!</v>
      </c>
      <c r="J964" s="915">
        <v>15.257999999999999</v>
      </c>
      <c r="K964" s="915">
        <v>0</v>
      </c>
      <c r="L964" s="915">
        <v>0</v>
      </c>
      <c r="M964" s="915">
        <v>15.257999999999999</v>
      </c>
    </row>
    <row r="965" spans="1:13">
      <c r="A965" s="633" t="s">
        <v>1832</v>
      </c>
      <c r="B965" s="423" t="s">
        <v>4967</v>
      </c>
      <c r="C965" s="915">
        <v>1040.23</v>
      </c>
      <c r="D965" s="915">
        <v>26.669</v>
      </c>
      <c r="E965" s="915">
        <v>26.669</v>
      </c>
      <c r="F965" s="915">
        <v>1040.23</v>
      </c>
      <c r="G965" s="922">
        <f t="shared" si="30"/>
        <v>0</v>
      </c>
      <c r="H965" s="915" t="e">
        <v>#REF!</v>
      </c>
      <c r="I965" s="915" t="e">
        <f t="shared" si="31"/>
        <v>#REF!</v>
      </c>
      <c r="J965" s="915">
        <v>75.311999999999998</v>
      </c>
      <c r="K965" s="915">
        <v>6.6379999999999999</v>
      </c>
      <c r="L965" s="915">
        <v>6.6379999999999999</v>
      </c>
      <c r="M965" s="915">
        <v>75.311999999999998</v>
      </c>
    </row>
    <row r="966" spans="1:13">
      <c r="A966" s="633" t="s">
        <v>6164</v>
      </c>
      <c r="B966" s="423" t="s">
        <v>6068</v>
      </c>
      <c r="C966" s="915">
        <v>462.33300000000003</v>
      </c>
      <c r="D966" s="915">
        <v>13.951000000000001</v>
      </c>
      <c r="E966" s="915">
        <v>9.2880000000000003</v>
      </c>
      <c r="F966" s="915">
        <v>457.67</v>
      </c>
      <c r="G966" s="922">
        <f t="shared" si="30"/>
        <v>1</v>
      </c>
      <c r="H966" s="915" t="e">
        <v>#REF!</v>
      </c>
      <c r="I966" s="915" t="e">
        <f t="shared" si="31"/>
        <v>#REF!</v>
      </c>
      <c r="J966" s="915">
        <v>32.222000000000001</v>
      </c>
      <c r="K966" s="915">
        <v>1.6819999999999999</v>
      </c>
      <c r="L966" s="915">
        <v>0.84099999999999997</v>
      </c>
      <c r="M966" s="915">
        <v>31.381</v>
      </c>
    </row>
    <row r="967" spans="1:13">
      <c r="A967" s="633" t="s">
        <v>6244</v>
      </c>
      <c r="B967" s="423" t="s">
        <v>7633</v>
      </c>
      <c r="C967" s="915">
        <v>2065.123</v>
      </c>
      <c r="D967" s="915">
        <v>28.204000000000001</v>
      </c>
      <c r="E967" s="915">
        <v>28.204000000000001</v>
      </c>
      <c r="F967" s="915">
        <v>2065.123</v>
      </c>
      <c r="G967" s="922">
        <f t="shared" si="30"/>
        <v>0</v>
      </c>
      <c r="H967" s="915" t="e">
        <v>#REF!</v>
      </c>
      <c r="I967" s="915" t="e">
        <f t="shared" si="31"/>
        <v>#REF!</v>
      </c>
      <c r="J967" s="915">
        <v>116.06699999999999</v>
      </c>
      <c r="K967" s="915">
        <v>0.84499999999999997</v>
      </c>
      <c r="L967" s="915">
        <v>0.84499999999999997</v>
      </c>
      <c r="M967" s="915">
        <v>116.06699999999999</v>
      </c>
    </row>
    <row r="968" spans="1:13">
      <c r="A968" s="633" t="s">
        <v>6246</v>
      </c>
      <c r="B968" s="423" t="s">
        <v>7634</v>
      </c>
      <c r="C968" s="915">
        <v>2526.04</v>
      </c>
      <c r="D968" s="915">
        <v>103.57899999999999</v>
      </c>
      <c r="E968" s="915">
        <v>55.231999999999999</v>
      </c>
      <c r="F968" s="915">
        <v>2477.6930000000002</v>
      </c>
      <c r="G968" s="922">
        <f t="shared" si="30"/>
        <v>1</v>
      </c>
      <c r="H968" s="915" t="e">
        <v>#REF!</v>
      </c>
      <c r="I968" s="915" t="e">
        <f t="shared" si="31"/>
        <v>#REF!</v>
      </c>
      <c r="J968" s="915">
        <v>90.221000000000004</v>
      </c>
      <c r="K968" s="915">
        <v>8.7690000000000001</v>
      </c>
      <c r="L968" s="915">
        <v>4.3849999999999998</v>
      </c>
      <c r="M968" s="915">
        <v>85.835999999999999</v>
      </c>
    </row>
    <row r="969" spans="1:13">
      <c r="A969" s="633" t="s">
        <v>1313</v>
      </c>
      <c r="B969" s="423" t="s">
        <v>118</v>
      </c>
      <c r="C969" s="915">
        <v>386.262</v>
      </c>
      <c r="D969" s="915">
        <v>42.292000000000002</v>
      </c>
      <c r="E969" s="915">
        <v>23.006</v>
      </c>
      <c r="F969" s="915">
        <v>366.976</v>
      </c>
      <c r="G969" s="922">
        <f t="shared" si="30"/>
        <v>1</v>
      </c>
      <c r="H969" s="915" t="e">
        <v>#REF!</v>
      </c>
      <c r="I969" s="915" t="e">
        <f t="shared" si="31"/>
        <v>#REF!</v>
      </c>
      <c r="J969" s="915">
        <v>6.65</v>
      </c>
      <c r="K969" s="915">
        <v>0.88200000000000001</v>
      </c>
      <c r="L969" s="915">
        <v>0.441</v>
      </c>
      <c r="M969" s="915">
        <v>6.2089999999999996</v>
      </c>
    </row>
    <row r="970" spans="1:13">
      <c r="A970" s="633" t="s">
        <v>955</v>
      </c>
      <c r="B970" s="423" t="s">
        <v>7660</v>
      </c>
      <c r="C970" s="915">
        <v>831.67700000000002</v>
      </c>
      <c r="D970" s="915">
        <v>23.36</v>
      </c>
      <c r="E970" s="915">
        <v>23.317</v>
      </c>
      <c r="F970" s="915">
        <v>831.63400000000001</v>
      </c>
      <c r="G970" s="922">
        <f t="shared" si="30"/>
        <v>1</v>
      </c>
      <c r="H970" s="915" t="e">
        <v>#REF!</v>
      </c>
      <c r="I970" s="915" t="e">
        <f t="shared" si="31"/>
        <v>#REF!</v>
      </c>
      <c r="J970" s="915">
        <v>79.596000000000004</v>
      </c>
      <c r="K970" s="915">
        <v>3.6960000000000002</v>
      </c>
      <c r="L970" s="915">
        <v>3.6960000000000002</v>
      </c>
      <c r="M970" s="915">
        <v>79.596000000000004</v>
      </c>
    </row>
    <row r="971" spans="1:13">
      <c r="A971" s="633" t="s">
        <v>3552</v>
      </c>
      <c r="B971" s="423" t="s">
        <v>4058</v>
      </c>
      <c r="C971" s="915">
        <v>12272.288</v>
      </c>
      <c r="D971" s="915">
        <v>205.26900000000001</v>
      </c>
      <c r="E971" s="915">
        <v>205.26900000000001</v>
      </c>
      <c r="F971" s="915">
        <v>12272.288</v>
      </c>
      <c r="G971" s="922">
        <f t="shared" si="30"/>
        <v>0</v>
      </c>
      <c r="H971" s="915" t="e">
        <v>#REF!</v>
      </c>
      <c r="I971" s="915" t="e">
        <f t="shared" si="31"/>
        <v>#REF!</v>
      </c>
      <c r="J971" s="915">
        <v>418.93799999999999</v>
      </c>
      <c r="K971" s="915">
        <v>24.413</v>
      </c>
      <c r="L971" s="915">
        <v>24.413</v>
      </c>
      <c r="M971" s="915">
        <v>418.93799999999999</v>
      </c>
    </row>
    <row r="972" spans="1:13">
      <c r="A972" s="633" t="s">
        <v>6248</v>
      </c>
      <c r="B972" s="423" t="s">
        <v>7635</v>
      </c>
      <c r="C972" s="915">
        <v>104.41200000000001</v>
      </c>
      <c r="D972" s="915">
        <v>0</v>
      </c>
      <c r="E972" s="915">
        <v>0</v>
      </c>
      <c r="F972" s="915">
        <v>104.41200000000001</v>
      </c>
      <c r="G972" s="922">
        <f t="shared" si="30"/>
        <v>0</v>
      </c>
      <c r="H972" s="915" t="e">
        <v>#REF!</v>
      </c>
      <c r="I972" s="915" t="e">
        <f t="shared" si="31"/>
        <v>#REF!</v>
      </c>
      <c r="J972" s="915">
        <v>0.55900000000000005</v>
      </c>
      <c r="K972" s="915">
        <v>0</v>
      </c>
      <c r="L972" s="915">
        <v>0</v>
      </c>
      <c r="M972" s="915">
        <v>0.55900000000000005</v>
      </c>
    </row>
    <row r="973" spans="1:13">
      <c r="A973" s="633" t="s">
        <v>6182</v>
      </c>
      <c r="B973" s="423" t="s">
        <v>1935</v>
      </c>
      <c r="C973" s="915">
        <v>830.71299999999997</v>
      </c>
      <c r="D973" s="915">
        <v>28.094000000000001</v>
      </c>
      <c r="E973" s="915">
        <v>15.177</v>
      </c>
      <c r="F973" s="915">
        <v>817.79600000000005</v>
      </c>
      <c r="G973" s="922">
        <f t="shared" si="30"/>
        <v>1</v>
      </c>
      <c r="H973" s="915" t="e">
        <v>#REF!</v>
      </c>
      <c r="I973" s="915" t="e">
        <f t="shared" si="31"/>
        <v>#REF!</v>
      </c>
      <c r="J973" s="915">
        <v>24.838000000000001</v>
      </c>
      <c r="K973" s="915">
        <v>1.6859999999999999</v>
      </c>
      <c r="L973" s="915">
        <v>0.84299999999999997</v>
      </c>
      <c r="M973" s="915">
        <v>23.995000000000001</v>
      </c>
    </row>
    <row r="974" spans="1:13">
      <c r="A974" s="633" t="s">
        <v>6250</v>
      </c>
      <c r="B974" s="423" t="s">
        <v>7636</v>
      </c>
      <c r="C974" s="915">
        <v>5553.1130000000003</v>
      </c>
      <c r="D974" s="915">
        <v>124.976</v>
      </c>
      <c r="E974" s="915">
        <v>124.976</v>
      </c>
      <c r="F974" s="915">
        <v>5553.1130000000003</v>
      </c>
      <c r="G974" s="922">
        <f t="shared" si="30"/>
        <v>0</v>
      </c>
      <c r="H974" s="915" t="e">
        <v>#REF!</v>
      </c>
      <c r="I974" s="915" t="e">
        <f t="shared" si="31"/>
        <v>#REF!</v>
      </c>
      <c r="J974" s="915">
        <v>492.42500000000001</v>
      </c>
      <c r="K974" s="915">
        <v>23.088000000000001</v>
      </c>
      <c r="L974" s="915">
        <v>23.088000000000001</v>
      </c>
      <c r="M974" s="915">
        <v>492.42500000000001</v>
      </c>
    </row>
    <row r="975" spans="1:13">
      <c r="A975" s="633" t="s">
        <v>5038</v>
      </c>
      <c r="B975" s="423" t="s">
        <v>3842</v>
      </c>
      <c r="C975" s="915">
        <v>1302.2850000000001</v>
      </c>
      <c r="D975" s="915">
        <v>12.721</v>
      </c>
      <c r="E975" s="915">
        <v>12.721</v>
      </c>
      <c r="F975" s="915">
        <v>1302.2850000000001</v>
      </c>
      <c r="G975" s="922">
        <f t="shared" si="30"/>
        <v>0</v>
      </c>
      <c r="H975" s="915" t="e">
        <v>#REF!</v>
      </c>
      <c r="I975" s="915" t="e">
        <f t="shared" si="31"/>
        <v>#REF!</v>
      </c>
      <c r="J975" s="915">
        <v>240.41</v>
      </c>
      <c r="K975" s="915">
        <v>3.7090000000000001</v>
      </c>
      <c r="L975" s="915">
        <v>3.7090000000000001</v>
      </c>
      <c r="M975" s="915">
        <v>240.41</v>
      </c>
    </row>
    <row r="976" spans="1:13">
      <c r="A976" s="633" t="s">
        <v>5039</v>
      </c>
      <c r="B976" s="423" t="s">
        <v>4062</v>
      </c>
      <c r="C976" s="915">
        <v>4861.3190000000004</v>
      </c>
      <c r="D976" s="915">
        <v>79.271000000000001</v>
      </c>
      <c r="E976" s="915">
        <v>79.122</v>
      </c>
      <c r="F976" s="915">
        <v>4861.17</v>
      </c>
      <c r="G976" s="922">
        <f t="shared" si="30"/>
        <v>1</v>
      </c>
      <c r="H976" s="915" t="e">
        <v>#REF!</v>
      </c>
      <c r="I976" s="915" t="e">
        <f t="shared" si="31"/>
        <v>#REF!</v>
      </c>
      <c r="J976" s="915">
        <v>957.29300000000001</v>
      </c>
      <c r="K976" s="915">
        <v>35.116</v>
      </c>
      <c r="L976" s="915">
        <v>34.97</v>
      </c>
      <c r="M976" s="915">
        <v>957.14599999999996</v>
      </c>
    </row>
    <row r="977" spans="1:13">
      <c r="A977" s="633" t="s">
        <v>2082</v>
      </c>
      <c r="B977" s="423" t="s">
        <v>7637</v>
      </c>
      <c r="C977" s="915">
        <v>1768.6859999999999</v>
      </c>
      <c r="D977" s="915">
        <v>53.219000000000001</v>
      </c>
      <c r="E977" s="915">
        <v>53.219000000000001</v>
      </c>
      <c r="F977" s="915">
        <v>1768.6859999999999</v>
      </c>
      <c r="G977" s="922">
        <f t="shared" si="30"/>
        <v>0</v>
      </c>
      <c r="H977" s="915" t="e">
        <v>#REF!</v>
      </c>
      <c r="I977" s="915" t="e">
        <f t="shared" si="31"/>
        <v>#REF!</v>
      </c>
      <c r="J977" s="915">
        <v>357.58300000000003</v>
      </c>
      <c r="K977" s="915">
        <v>24.914999999999999</v>
      </c>
      <c r="L977" s="915">
        <v>24.914999999999999</v>
      </c>
      <c r="M977" s="915">
        <v>357.58300000000003</v>
      </c>
    </row>
    <row r="978" spans="1:13">
      <c r="A978" s="633" t="s">
        <v>2084</v>
      </c>
      <c r="B978" s="423" t="s">
        <v>7638</v>
      </c>
      <c r="C978" s="915">
        <v>1839.6769999999999</v>
      </c>
      <c r="D978" s="915">
        <v>28.417000000000002</v>
      </c>
      <c r="E978" s="915">
        <v>28.417000000000002</v>
      </c>
      <c r="F978" s="915">
        <v>1839.6769999999999</v>
      </c>
      <c r="G978" s="922">
        <f t="shared" si="30"/>
        <v>0</v>
      </c>
      <c r="H978" s="915" t="e">
        <v>#REF!</v>
      </c>
      <c r="I978" s="915" t="e">
        <f t="shared" si="31"/>
        <v>#REF!</v>
      </c>
      <c r="J978" s="915">
        <v>67.936000000000007</v>
      </c>
      <c r="K978" s="915">
        <v>3.427</v>
      </c>
      <c r="L978" s="915">
        <v>3.427</v>
      </c>
      <c r="M978" s="915">
        <v>67.936000000000007</v>
      </c>
    </row>
    <row r="979" spans="1:13">
      <c r="A979" s="633" t="s">
        <v>2086</v>
      </c>
      <c r="B979" s="423" t="s">
        <v>2936</v>
      </c>
      <c r="C979" s="915">
        <v>112.56699999999999</v>
      </c>
      <c r="D979" s="915">
        <v>4.0010000000000003</v>
      </c>
      <c r="E979" s="915">
        <v>4.0010000000000003</v>
      </c>
      <c r="F979" s="915">
        <v>112.56699999999999</v>
      </c>
      <c r="G979" s="922">
        <f t="shared" si="30"/>
        <v>0</v>
      </c>
      <c r="H979" s="915" t="e">
        <v>#REF!</v>
      </c>
      <c r="I979" s="915" t="e">
        <f t="shared" si="31"/>
        <v>#REF!</v>
      </c>
      <c r="J979" s="915">
        <v>1.88</v>
      </c>
      <c r="K979" s="915">
        <v>0</v>
      </c>
      <c r="L979" s="915">
        <v>0</v>
      </c>
      <c r="M979" s="915">
        <v>1.88</v>
      </c>
    </row>
    <row r="980" spans="1:13">
      <c r="A980" s="633" t="s">
        <v>3458</v>
      </c>
      <c r="C980" s="915">
        <v>0</v>
      </c>
      <c r="D980" s="915">
        <v>0</v>
      </c>
      <c r="E980" s="915">
        <v>0</v>
      </c>
      <c r="F980" s="915">
        <v>0</v>
      </c>
      <c r="G980" s="922">
        <f t="shared" si="30"/>
        <v>0</v>
      </c>
      <c r="H980" s="915" t="e">
        <v>#REF!</v>
      </c>
      <c r="I980" s="915" t="e">
        <f t="shared" si="31"/>
        <v>#REF!</v>
      </c>
      <c r="J980" s="915">
        <v>29.89</v>
      </c>
      <c r="K980" s="915">
        <v>0</v>
      </c>
      <c r="L980" s="915">
        <v>0</v>
      </c>
      <c r="M980" s="915">
        <v>29.89</v>
      </c>
    </row>
    <row r="981" spans="1:13">
      <c r="A981" s="633" t="s">
        <v>2088</v>
      </c>
      <c r="B981" s="423" t="s">
        <v>2937</v>
      </c>
      <c r="C981" s="915">
        <v>4644.8419999999996</v>
      </c>
      <c r="D981" s="915">
        <v>220.14599999999999</v>
      </c>
      <c r="E981" s="915">
        <v>129.02600000000001</v>
      </c>
      <c r="F981" s="915">
        <v>4553.7209999999995</v>
      </c>
      <c r="G981" s="922">
        <f t="shared" si="30"/>
        <v>1</v>
      </c>
      <c r="H981" s="915" t="e">
        <v>#REF!</v>
      </c>
      <c r="I981" s="915" t="e">
        <f t="shared" si="31"/>
        <v>#REF!</v>
      </c>
      <c r="J981" s="915">
        <v>417.57100000000003</v>
      </c>
      <c r="K981" s="915">
        <v>52.654000000000003</v>
      </c>
      <c r="L981" s="915">
        <v>26.922000000000001</v>
      </c>
      <c r="M981" s="915">
        <v>391.839</v>
      </c>
    </row>
    <row r="982" spans="1:13">
      <c r="A982" s="633" t="s">
        <v>2090</v>
      </c>
      <c r="B982" s="423" t="s">
        <v>2938</v>
      </c>
      <c r="C982" s="915">
        <v>314.197</v>
      </c>
      <c r="D982" s="915">
        <v>10.576000000000001</v>
      </c>
      <c r="E982" s="915">
        <v>5.3949999999999996</v>
      </c>
      <c r="F982" s="915">
        <v>309.01499999999999</v>
      </c>
      <c r="G982" s="922">
        <f t="shared" si="30"/>
        <v>1</v>
      </c>
      <c r="H982" s="915" t="e">
        <v>#REF!</v>
      </c>
      <c r="I982" s="915" t="e">
        <f t="shared" si="31"/>
        <v>#REF!</v>
      </c>
      <c r="J982" s="915">
        <v>9.6829999999999998</v>
      </c>
      <c r="K982" s="915">
        <v>0.93200000000000005</v>
      </c>
      <c r="L982" s="915">
        <v>0.46600000000000003</v>
      </c>
      <c r="M982" s="915">
        <v>9.2170000000000005</v>
      </c>
    </row>
    <row r="983" spans="1:13">
      <c r="A983" s="633" t="s">
        <v>2987</v>
      </c>
      <c r="B983" s="423" t="s">
        <v>187</v>
      </c>
      <c r="C983" s="915">
        <v>23786.284</v>
      </c>
      <c r="D983" s="915">
        <v>2324.165</v>
      </c>
      <c r="E983" s="915">
        <v>1187.248</v>
      </c>
      <c r="F983" s="915">
        <v>22649.366999999998</v>
      </c>
      <c r="G983" s="922">
        <f t="shared" si="30"/>
        <v>1</v>
      </c>
      <c r="H983" s="915" t="e">
        <v>#REF!</v>
      </c>
      <c r="I983" s="915" t="e">
        <f t="shared" si="31"/>
        <v>#REF!</v>
      </c>
      <c r="J983" s="915">
        <v>15115.868</v>
      </c>
      <c r="K983" s="915">
        <v>1794.2</v>
      </c>
      <c r="L983" s="915">
        <v>905.84199999999998</v>
      </c>
      <c r="M983" s="915">
        <v>14227.51</v>
      </c>
    </row>
    <row r="984" spans="1:13">
      <c r="A984" s="633" t="s">
        <v>2417</v>
      </c>
      <c r="B984" s="423" t="s">
        <v>5370</v>
      </c>
      <c r="C984" s="915">
        <v>37666.569000000003</v>
      </c>
      <c r="D984" s="915">
        <v>1506.646</v>
      </c>
      <c r="E984" s="915">
        <v>976.09299999999996</v>
      </c>
      <c r="F984" s="915">
        <v>37136.016000000003</v>
      </c>
      <c r="G984" s="922">
        <f t="shared" si="30"/>
        <v>1</v>
      </c>
      <c r="H984" s="915" t="e">
        <v>#REF!</v>
      </c>
      <c r="I984" s="915" t="e">
        <f t="shared" si="31"/>
        <v>#REF!</v>
      </c>
      <c r="J984" s="915">
        <v>16435.16</v>
      </c>
      <c r="K984" s="915">
        <v>1162.3130000000001</v>
      </c>
      <c r="L984" s="915">
        <v>743.33299999999997</v>
      </c>
      <c r="M984" s="915">
        <v>16016.18</v>
      </c>
    </row>
    <row r="985" spans="1:13">
      <c r="A985" s="633" t="s">
        <v>78</v>
      </c>
      <c r="B985" s="423" t="s">
        <v>6766</v>
      </c>
      <c r="C985" s="915">
        <v>317.33600000000001</v>
      </c>
      <c r="D985" s="915">
        <v>14.827999999999999</v>
      </c>
      <c r="E985" s="915">
        <v>7.4320000000000004</v>
      </c>
      <c r="F985" s="915">
        <v>309.94</v>
      </c>
      <c r="G985" s="922">
        <f t="shared" si="30"/>
        <v>1</v>
      </c>
      <c r="H985" s="915" t="e">
        <v>#REF!</v>
      </c>
      <c r="I985" s="915" t="e">
        <f t="shared" si="31"/>
        <v>#REF!</v>
      </c>
      <c r="J985" s="915">
        <v>32.540999999999997</v>
      </c>
      <c r="K985" s="915">
        <v>0.93799999999999994</v>
      </c>
      <c r="L985" s="915">
        <v>0.46899999999999997</v>
      </c>
      <c r="M985" s="915">
        <v>32.072000000000003</v>
      </c>
    </row>
    <row r="986" spans="1:13">
      <c r="A986" s="633" t="s">
        <v>80</v>
      </c>
      <c r="B986" s="423" t="s">
        <v>2941</v>
      </c>
      <c r="C986" s="915">
        <v>868.75800000000004</v>
      </c>
      <c r="D986" s="915">
        <v>10.912000000000001</v>
      </c>
      <c r="E986" s="915">
        <v>10.912000000000001</v>
      </c>
      <c r="F986" s="915">
        <v>868.75800000000004</v>
      </c>
      <c r="G986" s="922">
        <f t="shared" si="30"/>
        <v>0</v>
      </c>
      <c r="H986" s="915" t="e">
        <v>#REF!</v>
      </c>
      <c r="I986" s="915" t="e">
        <f t="shared" si="31"/>
        <v>#REF!</v>
      </c>
      <c r="J986" s="915">
        <v>43.914000000000001</v>
      </c>
      <c r="K986" s="915">
        <v>3.0009999999999999</v>
      </c>
      <c r="L986" s="915">
        <v>3.0009999999999999</v>
      </c>
      <c r="M986" s="915">
        <v>43.914000000000001</v>
      </c>
    </row>
    <row r="987" spans="1:13">
      <c r="A987" s="633" t="s">
        <v>82</v>
      </c>
      <c r="B987" s="423" t="s">
        <v>6720</v>
      </c>
      <c r="C987" s="915">
        <v>896.60699999999997</v>
      </c>
      <c r="D987" s="915">
        <v>10.247999999999999</v>
      </c>
      <c r="E987" s="915">
        <v>10.247999999999999</v>
      </c>
      <c r="F987" s="915">
        <v>896.60699999999997</v>
      </c>
      <c r="G987" s="922">
        <f t="shared" si="30"/>
        <v>0</v>
      </c>
      <c r="H987" s="915" t="e">
        <v>#REF!</v>
      </c>
      <c r="I987" s="915" t="e">
        <f t="shared" si="31"/>
        <v>#REF!</v>
      </c>
      <c r="J987" s="915">
        <v>57.05</v>
      </c>
      <c r="K987" s="915">
        <v>2.5750000000000002</v>
      </c>
      <c r="L987" s="915">
        <v>2.5750000000000002</v>
      </c>
      <c r="M987" s="915">
        <v>57.05</v>
      </c>
    </row>
    <row r="988" spans="1:13">
      <c r="A988" s="633" t="s">
        <v>84</v>
      </c>
      <c r="B988" s="423" t="s">
        <v>6721</v>
      </c>
      <c r="C988" s="915">
        <v>3200.3760000000002</v>
      </c>
      <c r="D988" s="915">
        <v>39.180999999999997</v>
      </c>
      <c r="E988" s="915">
        <v>39.180999999999997</v>
      </c>
      <c r="F988" s="915">
        <v>3200.3760000000002</v>
      </c>
      <c r="G988" s="922">
        <f t="shared" si="30"/>
        <v>0</v>
      </c>
      <c r="H988" s="915" t="e">
        <v>#REF!</v>
      </c>
      <c r="I988" s="915" t="e">
        <f t="shared" si="31"/>
        <v>#REF!</v>
      </c>
      <c r="J988" s="915">
        <v>288.69600000000003</v>
      </c>
      <c r="K988" s="915">
        <v>7.46</v>
      </c>
      <c r="L988" s="915">
        <v>7.46</v>
      </c>
      <c r="M988" s="915">
        <v>288.69600000000003</v>
      </c>
    </row>
    <row r="989" spans="1:13">
      <c r="A989" s="633" t="s">
        <v>86</v>
      </c>
      <c r="B989" s="423" t="s">
        <v>6722</v>
      </c>
      <c r="C989" s="915">
        <v>2097.6680000000001</v>
      </c>
      <c r="D989" s="915">
        <v>123.126</v>
      </c>
      <c r="E989" s="915">
        <v>63.817999999999998</v>
      </c>
      <c r="F989" s="915">
        <v>2038.3589999999999</v>
      </c>
      <c r="G989" s="922">
        <f t="shared" si="30"/>
        <v>1</v>
      </c>
      <c r="H989" s="915" t="e">
        <v>#REF!</v>
      </c>
      <c r="I989" s="915" t="e">
        <f t="shared" si="31"/>
        <v>#REF!</v>
      </c>
      <c r="J989" s="915">
        <v>131.72800000000001</v>
      </c>
      <c r="K989" s="915">
        <v>22.878</v>
      </c>
      <c r="L989" s="915">
        <v>11.455</v>
      </c>
      <c r="M989" s="915">
        <v>120.306</v>
      </c>
    </row>
    <row r="990" spans="1:13">
      <c r="A990" s="633" t="s">
        <v>88</v>
      </c>
      <c r="B990" s="423" t="s">
        <v>6723</v>
      </c>
      <c r="C990" s="915">
        <v>471.69499999999999</v>
      </c>
      <c r="D990" s="915">
        <v>9.3759999999999994</v>
      </c>
      <c r="E990" s="915">
        <v>9.1349999999999998</v>
      </c>
      <c r="F990" s="915">
        <v>471.45400000000001</v>
      </c>
      <c r="G990" s="922">
        <f t="shared" si="30"/>
        <v>1</v>
      </c>
      <c r="H990" s="915" t="e">
        <v>#REF!</v>
      </c>
      <c r="I990" s="915" t="e">
        <f t="shared" si="31"/>
        <v>#REF!</v>
      </c>
      <c r="J990" s="915">
        <v>54.405000000000001</v>
      </c>
      <c r="K990" s="915">
        <v>3.4780000000000002</v>
      </c>
      <c r="L990" s="915">
        <v>3.4780000000000002</v>
      </c>
      <c r="M990" s="915">
        <v>54.405000000000001</v>
      </c>
    </row>
    <row r="991" spans="1:13">
      <c r="A991" s="633" t="s">
        <v>90</v>
      </c>
      <c r="B991" s="423" t="s">
        <v>6724</v>
      </c>
      <c r="C991" s="915">
        <v>300.27199999999999</v>
      </c>
      <c r="D991" s="915">
        <v>6.2569999999999997</v>
      </c>
      <c r="E991" s="915">
        <v>6.2569999999999997</v>
      </c>
      <c r="F991" s="915">
        <v>300.27199999999999</v>
      </c>
      <c r="G991" s="922">
        <f t="shared" si="30"/>
        <v>0</v>
      </c>
      <c r="H991" s="915" t="e">
        <v>#REF!</v>
      </c>
      <c r="I991" s="915" t="e">
        <f t="shared" si="31"/>
        <v>#REF!</v>
      </c>
      <c r="J991" s="915">
        <v>10.14</v>
      </c>
      <c r="K991" s="915">
        <v>0</v>
      </c>
      <c r="L991" s="915">
        <v>0</v>
      </c>
      <c r="M991" s="915">
        <v>10.14</v>
      </c>
    </row>
    <row r="992" spans="1:13">
      <c r="A992" s="633" t="s">
        <v>92</v>
      </c>
      <c r="B992" s="423" t="s">
        <v>1546</v>
      </c>
      <c r="C992" s="915">
        <v>381.14100000000002</v>
      </c>
      <c r="D992" s="915">
        <v>18.382000000000001</v>
      </c>
      <c r="E992" s="915">
        <v>9.31</v>
      </c>
      <c r="F992" s="915">
        <v>372.06799999999998</v>
      </c>
      <c r="G992" s="922">
        <f t="shared" si="30"/>
        <v>1</v>
      </c>
      <c r="H992" s="915" t="e">
        <v>#REF!</v>
      </c>
      <c r="I992" s="915" t="e">
        <f t="shared" si="31"/>
        <v>#REF!</v>
      </c>
      <c r="J992" s="915">
        <v>91.855999999999995</v>
      </c>
      <c r="K992" s="915">
        <v>14.548</v>
      </c>
      <c r="L992" s="915">
        <v>7.3380000000000001</v>
      </c>
      <c r="M992" s="915">
        <v>84.646000000000001</v>
      </c>
    </row>
    <row r="993" spans="1:13">
      <c r="A993" s="633" t="s">
        <v>2332</v>
      </c>
      <c r="B993" s="423" t="s">
        <v>1547</v>
      </c>
      <c r="C993" s="915">
        <v>114.217</v>
      </c>
      <c r="D993" s="915">
        <v>4.49</v>
      </c>
      <c r="E993" s="915">
        <v>4.49</v>
      </c>
      <c r="F993" s="915">
        <v>114.217</v>
      </c>
      <c r="G993" s="922">
        <f t="shared" si="30"/>
        <v>0</v>
      </c>
      <c r="H993" s="915" t="e">
        <v>#REF!</v>
      </c>
      <c r="I993" s="915" t="e">
        <f t="shared" si="31"/>
        <v>#REF!</v>
      </c>
      <c r="J993" s="915">
        <v>5.97</v>
      </c>
      <c r="K993" s="915">
        <v>0</v>
      </c>
      <c r="L993" s="915">
        <v>0</v>
      </c>
      <c r="M993" s="915">
        <v>5.97</v>
      </c>
    </row>
    <row r="994" spans="1:13">
      <c r="A994" s="633" t="s">
        <v>2334</v>
      </c>
      <c r="B994" s="423" t="s">
        <v>1548</v>
      </c>
      <c r="C994" s="915">
        <v>138.072</v>
      </c>
      <c r="D994" s="915">
        <v>1.2250000000000001</v>
      </c>
      <c r="E994" s="915">
        <v>1.2250000000000001</v>
      </c>
      <c r="F994" s="915">
        <v>138.072</v>
      </c>
      <c r="G994" s="922">
        <f t="shared" si="30"/>
        <v>0</v>
      </c>
      <c r="H994" s="915" t="e">
        <v>#REF!</v>
      </c>
      <c r="I994" s="915" t="e">
        <f t="shared" si="31"/>
        <v>#REF!</v>
      </c>
      <c r="J994" s="915">
        <v>0</v>
      </c>
      <c r="K994" s="915">
        <v>0</v>
      </c>
      <c r="L994" s="915">
        <v>0</v>
      </c>
      <c r="M994" s="915">
        <v>0</v>
      </c>
    </row>
    <row r="995" spans="1:13">
      <c r="A995" s="633" t="s">
        <v>962</v>
      </c>
      <c r="B995" s="423" t="s">
        <v>2146</v>
      </c>
      <c r="C995" s="915">
        <v>3379.1819999999998</v>
      </c>
      <c r="D995" s="915">
        <v>223.10300000000001</v>
      </c>
      <c r="E995" s="915">
        <v>152.67099999999999</v>
      </c>
      <c r="F995" s="915">
        <v>3308.75</v>
      </c>
      <c r="G995" s="922">
        <f t="shared" si="30"/>
        <v>1</v>
      </c>
      <c r="H995" s="915" t="e">
        <v>#REF!</v>
      </c>
      <c r="I995" s="915" t="e">
        <f t="shared" si="31"/>
        <v>#REF!</v>
      </c>
      <c r="J995" s="915">
        <v>20.427</v>
      </c>
      <c r="K995" s="915">
        <v>1.6910000000000001</v>
      </c>
      <c r="L995" s="915">
        <v>0.84599999999999997</v>
      </c>
      <c r="M995" s="915">
        <v>19.581</v>
      </c>
    </row>
    <row r="996" spans="1:13">
      <c r="A996" s="633" t="s">
        <v>2336</v>
      </c>
      <c r="B996" s="423" t="s">
        <v>1549</v>
      </c>
      <c r="C996" s="915">
        <v>498.22199999999998</v>
      </c>
      <c r="D996" s="915">
        <v>6.8559999999999999</v>
      </c>
      <c r="E996" s="915">
        <v>6.8559999999999999</v>
      </c>
      <c r="F996" s="915">
        <v>498.22199999999998</v>
      </c>
      <c r="G996" s="922">
        <f t="shared" si="30"/>
        <v>0</v>
      </c>
      <c r="H996" s="915" t="e">
        <v>#REF!</v>
      </c>
      <c r="I996" s="915" t="e">
        <f t="shared" si="31"/>
        <v>#REF!</v>
      </c>
      <c r="J996" s="915">
        <v>7.9690000000000003</v>
      </c>
      <c r="K996" s="915">
        <v>0</v>
      </c>
      <c r="L996" s="915">
        <v>0</v>
      </c>
      <c r="M996" s="915">
        <v>7.9690000000000003</v>
      </c>
    </row>
    <row r="997" spans="1:13">
      <c r="A997" s="633" t="s">
        <v>2338</v>
      </c>
      <c r="B997" s="423" t="s">
        <v>6779</v>
      </c>
      <c r="C997" s="915">
        <v>1664.633</v>
      </c>
      <c r="D997" s="915">
        <v>40.286999999999999</v>
      </c>
      <c r="E997" s="915">
        <v>39.128999999999998</v>
      </c>
      <c r="F997" s="915">
        <v>1663.4739999999999</v>
      </c>
      <c r="G997" s="922">
        <f t="shared" si="30"/>
        <v>1</v>
      </c>
      <c r="H997" s="915" t="e">
        <v>#REF!</v>
      </c>
      <c r="I997" s="915" t="e">
        <f t="shared" si="31"/>
        <v>#REF!</v>
      </c>
      <c r="J997" s="915">
        <v>4.1280000000000001</v>
      </c>
      <c r="K997" s="915">
        <v>0.44900000000000001</v>
      </c>
      <c r="L997" s="915">
        <v>0.44900000000000001</v>
      </c>
      <c r="M997" s="915">
        <v>4.1280000000000001</v>
      </c>
    </row>
    <row r="998" spans="1:13">
      <c r="A998" s="633" t="s">
        <v>2340</v>
      </c>
      <c r="B998" s="423" t="s">
        <v>1551</v>
      </c>
      <c r="C998" s="915">
        <v>13788.134</v>
      </c>
      <c r="D998" s="915">
        <v>839.10799999999995</v>
      </c>
      <c r="E998" s="915">
        <v>460.8</v>
      </c>
      <c r="F998" s="915">
        <v>13409.826999999999</v>
      </c>
      <c r="G998" s="922">
        <f t="shared" si="30"/>
        <v>1</v>
      </c>
      <c r="H998" s="915" t="e">
        <v>#REF!</v>
      </c>
      <c r="I998" s="915" t="e">
        <f t="shared" si="31"/>
        <v>#REF!</v>
      </c>
      <c r="J998" s="915">
        <v>691.61099999999999</v>
      </c>
      <c r="K998" s="915">
        <v>111.438</v>
      </c>
      <c r="L998" s="915">
        <v>59.732999999999997</v>
      </c>
      <c r="M998" s="915">
        <v>639.90599999999995</v>
      </c>
    </row>
    <row r="999" spans="1:13">
      <c r="A999" s="633" t="s">
        <v>738</v>
      </c>
      <c r="B999" s="423" t="s">
        <v>6112</v>
      </c>
      <c r="C999" s="915">
        <v>924.39499999999998</v>
      </c>
      <c r="D999" s="915">
        <v>46.173999999999999</v>
      </c>
      <c r="E999" s="915">
        <v>28.779</v>
      </c>
      <c r="F999" s="915">
        <v>907</v>
      </c>
      <c r="G999" s="922">
        <f t="shared" si="30"/>
        <v>1</v>
      </c>
      <c r="H999" s="915" t="e">
        <v>#REF!</v>
      </c>
      <c r="I999" s="915" t="e">
        <f t="shared" si="31"/>
        <v>#REF!</v>
      </c>
      <c r="J999" s="915">
        <v>20.076000000000001</v>
      </c>
      <c r="K999" s="915">
        <v>0.82399999999999995</v>
      </c>
      <c r="L999" s="915">
        <v>0.41199999999999998</v>
      </c>
      <c r="M999" s="915">
        <v>19.664000000000001</v>
      </c>
    </row>
    <row r="1000" spans="1:13">
      <c r="A1000" s="633" t="s">
        <v>3219</v>
      </c>
      <c r="B1000" s="423" t="s">
        <v>1485</v>
      </c>
      <c r="C1000" s="915">
        <v>95.165000000000006</v>
      </c>
      <c r="D1000" s="915">
        <v>0</v>
      </c>
      <c r="E1000" s="915">
        <v>0</v>
      </c>
      <c r="F1000" s="915">
        <v>95.165000000000006</v>
      </c>
      <c r="G1000" s="922">
        <f t="shared" si="30"/>
        <v>0</v>
      </c>
      <c r="H1000" s="915" t="e">
        <v>#REF!</v>
      </c>
      <c r="I1000" s="915" t="e">
        <f t="shared" si="31"/>
        <v>#REF!</v>
      </c>
      <c r="J1000" s="915">
        <v>0</v>
      </c>
      <c r="K1000" s="915">
        <v>0</v>
      </c>
      <c r="L1000" s="915">
        <v>0</v>
      </c>
      <c r="M1000" s="915">
        <v>0</v>
      </c>
    </row>
    <row r="1001" spans="1:13">
      <c r="A1001" s="633" t="s">
        <v>608</v>
      </c>
      <c r="B1001" s="423" t="s">
        <v>1486</v>
      </c>
      <c r="C1001" s="915">
        <v>2113.0030000000002</v>
      </c>
      <c r="D1001" s="915">
        <v>87.813000000000002</v>
      </c>
      <c r="E1001" s="915">
        <v>52.149000000000001</v>
      </c>
      <c r="F1001" s="915">
        <v>2077.3380000000002</v>
      </c>
      <c r="G1001" s="922">
        <f t="shared" si="30"/>
        <v>1</v>
      </c>
      <c r="H1001" s="915" t="e">
        <v>#REF!</v>
      </c>
      <c r="I1001" s="915" t="e">
        <f t="shared" si="31"/>
        <v>#REF!</v>
      </c>
      <c r="J1001" s="915">
        <v>88.912999999999997</v>
      </c>
      <c r="K1001" s="915">
        <v>12.433</v>
      </c>
      <c r="L1001" s="915">
        <v>6.7039999999999997</v>
      </c>
      <c r="M1001" s="915">
        <v>83.183999999999997</v>
      </c>
    </row>
    <row r="1002" spans="1:13">
      <c r="A1002" s="633" t="s">
        <v>610</v>
      </c>
      <c r="B1002" s="423" t="s">
        <v>1939</v>
      </c>
      <c r="C1002" s="915">
        <v>169.44300000000001</v>
      </c>
      <c r="D1002" s="915">
        <v>0</v>
      </c>
      <c r="E1002" s="915">
        <v>0</v>
      </c>
      <c r="F1002" s="915">
        <v>169.44300000000001</v>
      </c>
      <c r="G1002" s="922">
        <f t="shared" si="30"/>
        <v>0</v>
      </c>
      <c r="H1002" s="915" t="e">
        <v>#REF!</v>
      </c>
      <c r="I1002" s="915" t="e">
        <f t="shared" si="31"/>
        <v>#REF!</v>
      </c>
      <c r="J1002" s="915">
        <v>0</v>
      </c>
      <c r="K1002" s="915">
        <v>0</v>
      </c>
      <c r="L1002" s="915">
        <v>0</v>
      </c>
      <c r="M1002" s="915">
        <v>0</v>
      </c>
    </row>
    <row r="1003" spans="1:13">
      <c r="A1003" s="633" t="s">
        <v>3467</v>
      </c>
      <c r="B1003" s="423" t="s">
        <v>3780</v>
      </c>
      <c r="C1003" s="915">
        <v>85.75</v>
      </c>
      <c r="D1003" s="915">
        <v>0</v>
      </c>
      <c r="E1003" s="915">
        <v>0</v>
      </c>
      <c r="F1003" s="915">
        <v>85.75</v>
      </c>
      <c r="G1003" s="922">
        <f t="shared" si="30"/>
        <v>0</v>
      </c>
      <c r="H1003" s="915" t="e">
        <v>#REF!</v>
      </c>
      <c r="I1003" s="915" t="e">
        <f t="shared" si="31"/>
        <v>#REF!</v>
      </c>
      <c r="J1003" s="915">
        <v>4.07</v>
      </c>
      <c r="K1003" s="915">
        <v>0</v>
      </c>
      <c r="L1003" s="915">
        <v>0</v>
      </c>
      <c r="M1003" s="915">
        <v>4.07</v>
      </c>
    </row>
    <row r="1004" spans="1:13">
      <c r="A1004" s="633" t="s">
        <v>6145</v>
      </c>
      <c r="B1004" s="423" t="s">
        <v>188</v>
      </c>
      <c r="C1004" s="915">
        <v>407.02199999999999</v>
      </c>
      <c r="D1004" s="915">
        <v>24.08</v>
      </c>
      <c r="E1004" s="915">
        <v>12.061999999999999</v>
      </c>
      <c r="F1004" s="915">
        <v>395.00400000000002</v>
      </c>
      <c r="G1004" s="922">
        <f t="shared" si="30"/>
        <v>1</v>
      </c>
      <c r="H1004" s="915" t="e">
        <v>#REF!</v>
      </c>
      <c r="I1004" s="915" t="e">
        <f t="shared" si="31"/>
        <v>#REF!</v>
      </c>
      <c r="J1004" s="915">
        <v>48.442999999999998</v>
      </c>
      <c r="K1004" s="915">
        <v>8.4350000000000005</v>
      </c>
      <c r="L1004" s="915">
        <v>4.218</v>
      </c>
      <c r="M1004" s="915">
        <v>44.225000000000001</v>
      </c>
    </row>
    <row r="1005" spans="1:13">
      <c r="A1005" s="633" t="s">
        <v>2998</v>
      </c>
      <c r="B1005" s="423" t="s">
        <v>6058</v>
      </c>
      <c r="C1005" s="915">
        <v>1446.2370000000001</v>
      </c>
      <c r="D1005" s="915">
        <v>67.944999999999993</v>
      </c>
      <c r="E1005" s="915">
        <v>41.134999999999998</v>
      </c>
      <c r="F1005" s="915">
        <v>1419.4269999999999</v>
      </c>
      <c r="G1005" s="922">
        <f t="shared" si="30"/>
        <v>1</v>
      </c>
      <c r="H1005" s="915" t="e">
        <v>#REF!</v>
      </c>
      <c r="I1005" s="915" t="e">
        <f t="shared" si="31"/>
        <v>#REF!</v>
      </c>
      <c r="J1005" s="915">
        <v>140.04900000000001</v>
      </c>
      <c r="K1005" s="915">
        <v>16.029</v>
      </c>
      <c r="L1005" s="915">
        <v>9.4659999999999993</v>
      </c>
      <c r="M1005" s="915">
        <v>133.48599999999999</v>
      </c>
    </row>
    <row r="1006" spans="1:13">
      <c r="A1006" s="633" t="s">
        <v>2766</v>
      </c>
      <c r="B1006" s="423" t="s">
        <v>356</v>
      </c>
      <c r="C1006" s="915">
        <v>2033.729</v>
      </c>
      <c r="D1006" s="915">
        <v>29.876999999999999</v>
      </c>
      <c r="E1006" s="915">
        <v>29.876999999999999</v>
      </c>
      <c r="F1006" s="915">
        <v>2033.729</v>
      </c>
      <c r="G1006" s="922">
        <f t="shared" si="30"/>
        <v>0</v>
      </c>
      <c r="H1006" s="915" t="e">
        <v>#REF!</v>
      </c>
      <c r="I1006" s="915" t="e">
        <f t="shared" si="31"/>
        <v>#REF!</v>
      </c>
      <c r="J1006" s="915">
        <v>162.25299999999999</v>
      </c>
      <c r="K1006" s="915">
        <v>1.617</v>
      </c>
      <c r="L1006" s="915">
        <v>1.617</v>
      </c>
      <c r="M1006" s="915">
        <v>162.25299999999999</v>
      </c>
    </row>
    <row r="1007" spans="1:13">
      <c r="A1007" s="633" t="s">
        <v>5040</v>
      </c>
      <c r="B1007" s="423" t="s">
        <v>384</v>
      </c>
      <c r="C1007" s="915">
        <v>273.99</v>
      </c>
      <c r="D1007" s="915">
        <v>16.366</v>
      </c>
      <c r="E1007" s="915">
        <v>8.1829999999999998</v>
      </c>
      <c r="F1007" s="915">
        <v>265.80700000000002</v>
      </c>
      <c r="G1007" s="922">
        <f t="shared" si="30"/>
        <v>1</v>
      </c>
      <c r="H1007" s="915" t="e">
        <v>#REF!</v>
      </c>
      <c r="I1007" s="915" t="e">
        <f t="shared" si="31"/>
        <v>#REF!</v>
      </c>
      <c r="J1007" s="915">
        <v>19.869</v>
      </c>
      <c r="K1007" s="915">
        <v>3.3759999999999999</v>
      </c>
      <c r="L1007" s="915">
        <v>1.6879999999999999</v>
      </c>
      <c r="M1007" s="915">
        <v>18.181000000000001</v>
      </c>
    </row>
    <row r="1008" spans="1:13">
      <c r="A1008" s="633" t="s">
        <v>1307</v>
      </c>
      <c r="B1008" s="423" t="s">
        <v>111</v>
      </c>
      <c r="C1008" s="915">
        <v>978.76400000000001</v>
      </c>
      <c r="D1008" s="915">
        <v>40.210999999999999</v>
      </c>
      <c r="E1008" s="915">
        <v>28.908000000000001</v>
      </c>
      <c r="F1008" s="915">
        <v>967.46100000000001</v>
      </c>
      <c r="G1008" s="922">
        <f t="shared" si="30"/>
        <v>1</v>
      </c>
      <c r="H1008" s="915" t="e">
        <v>#REF!</v>
      </c>
      <c r="I1008" s="915" t="e">
        <f t="shared" si="31"/>
        <v>#REF!</v>
      </c>
      <c r="J1008" s="915">
        <v>81.805000000000007</v>
      </c>
      <c r="K1008" s="915">
        <v>8.1259999999999994</v>
      </c>
      <c r="L1008" s="915">
        <v>7.0430000000000001</v>
      </c>
      <c r="M1008" s="915">
        <v>80.721999999999994</v>
      </c>
    </row>
    <row r="1009" spans="1:13">
      <c r="A1009" s="633" t="s">
        <v>1319</v>
      </c>
      <c r="B1009" s="423" t="s">
        <v>125</v>
      </c>
      <c r="C1009" s="915">
        <v>9734.116</v>
      </c>
      <c r="D1009" s="915">
        <v>288.46800000000002</v>
      </c>
      <c r="E1009" s="915">
        <v>156.423</v>
      </c>
      <c r="F1009" s="915">
        <v>9602.0709999999999</v>
      </c>
      <c r="G1009" s="922">
        <f t="shared" si="30"/>
        <v>1</v>
      </c>
      <c r="H1009" s="915" t="e">
        <v>#REF!</v>
      </c>
      <c r="I1009" s="915" t="e">
        <f t="shared" si="31"/>
        <v>#REF!</v>
      </c>
      <c r="J1009" s="915">
        <v>916.27300000000002</v>
      </c>
      <c r="K1009" s="915">
        <v>107.318</v>
      </c>
      <c r="L1009" s="915">
        <v>55.554000000000002</v>
      </c>
      <c r="M1009" s="915">
        <v>864.50900000000001</v>
      </c>
    </row>
    <row r="1010" spans="1:13">
      <c r="A1010" s="633" t="s">
        <v>1856</v>
      </c>
      <c r="B1010" s="423" t="s">
        <v>3912</v>
      </c>
      <c r="C1010" s="915">
        <v>420.70299999999997</v>
      </c>
      <c r="D1010" s="915">
        <v>13.603</v>
      </c>
      <c r="E1010" s="915">
        <v>6.8239999999999998</v>
      </c>
      <c r="F1010" s="915">
        <v>413.92399999999998</v>
      </c>
      <c r="G1010" s="922">
        <f t="shared" si="30"/>
        <v>1</v>
      </c>
      <c r="H1010" s="915" t="e">
        <v>#REF!</v>
      </c>
      <c r="I1010" s="915" t="e">
        <f t="shared" si="31"/>
        <v>#REF!</v>
      </c>
      <c r="J1010" s="915">
        <v>36.252000000000002</v>
      </c>
      <c r="K1010" s="915">
        <v>4.7720000000000002</v>
      </c>
      <c r="L1010" s="915">
        <v>2.3860000000000001</v>
      </c>
      <c r="M1010" s="915">
        <v>33.866</v>
      </c>
    </row>
    <row r="1011" spans="1:13">
      <c r="A1011" s="633" t="s">
        <v>6020</v>
      </c>
      <c r="B1011" s="423" t="s">
        <v>3859</v>
      </c>
      <c r="C1011" s="915">
        <v>4581.8710000000001</v>
      </c>
      <c r="D1011" s="915">
        <v>75.319999999999993</v>
      </c>
      <c r="E1011" s="915">
        <v>74.372</v>
      </c>
      <c r="F1011" s="915">
        <v>4580.9229999999998</v>
      </c>
      <c r="G1011" s="922">
        <f t="shared" si="30"/>
        <v>1</v>
      </c>
      <c r="H1011" s="915" t="e">
        <v>#REF!</v>
      </c>
      <c r="I1011" s="915" t="e">
        <f t="shared" si="31"/>
        <v>#REF!</v>
      </c>
      <c r="J1011" s="915">
        <v>221.83600000000001</v>
      </c>
      <c r="K1011" s="915">
        <v>15.375</v>
      </c>
      <c r="L1011" s="915">
        <v>15.375</v>
      </c>
      <c r="M1011" s="915">
        <v>221.83600000000001</v>
      </c>
    </row>
    <row r="1012" spans="1:13">
      <c r="A1012" s="633" t="s">
        <v>611</v>
      </c>
      <c r="B1012" s="423" t="s">
        <v>1487</v>
      </c>
      <c r="C1012" s="915">
        <v>835.59299999999996</v>
      </c>
      <c r="D1012" s="915">
        <v>45.311</v>
      </c>
      <c r="E1012" s="915">
        <v>23.631</v>
      </c>
      <c r="F1012" s="915">
        <v>813.91300000000001</v>
      </c>
      <c r="G1012" s="922">
        <f t="shared" si="30"/>
        <v>1</v>
      </c>
      <c r="H1012" s="915" t="e">
        <v>#REF!</v>
      </c>
      <c r="I1012" s="915" t="e">
        <f t="shared" si="31"/>
        <v>#REF!</v>
      </c>
      <c r="J1012" s="915">
        <v>123.401</v>
      </c>
      <c r="K1012" s="915">
        <v>17.536000000000001</v>
      </c>
      <c r="L1012" s="915">
        <v>9.5969999999999995</v>
      </c>
      <c r="M1012" s="915">
        <v>115.46299999999999</v>
      </c>
    </row>
    <row r="1013" spans="1:13">
      <c r="A1013" s="633" t="s">
        <v>2990</v>
      </c>
      <c r="B1013" s="423" t="s">
        <v>191</v>
      </c>
      <c r="C1013" s="915">
        <v>2378.299</v>
      </c>
      <c r="D1013" s="915">
        <v>34.816000000000003</v>
      </c>
      <c r="E1013" s="915">
        <v>18.864000000000001</v>
      </c>
      <c r="F1013" s="915">
        <v>2362.3470000000002</v>
      </c>
      <c r="G1013" s="922">
        <f t="shared" si="30"/>
        <v>1</v>
      </c>
      <c r="H1013" s="915" t="e">
        <v>#REF!</v>
      </c>
      <c r="I1013" s="915" t="e">
        <f t="shared" si="31"/>
        <v>#REF!</v>
      </c>
      <c r="J1013" s="915">
        <v>49.280999999999999</v>
      </c>
      <c r="K1013" s="915">
        <v>2.63</v>
      </c>
      <c r="L1013" s="915">
        <v>1.3169999999999999</v>
      </c>
      <c r="M1013" s="915">
        <v>47.969000000000001</v>
      </c>
    </row>
    <row r="1014" spans="1:13">
      <c r="A1014" s="633" t="s">
        <v>2382</v>
      </c>
      <c r="B1014" s="423" t="s">
        <v>371</v>
      </c>
      <c r="C1014" s="915">
        <v>39308.230000000003</v>
      </c>
      <c r="D1014" s="915">
        <v>315.03699999999998</v>
      </c>
      <c r="E1014" s="915">
        <v>314.72699999999998</v>
      </c>
      <c r="F1014" s="915">
        <v>39307.919999999998</v>
      </c>
      <c r="G1014" s="922">
        <f t="shared" si="30"/>
        <v>1</v>
      </c>
      <c r="H1014" s="915" t="e">
        <v>#REF!</v>
      </c>
      <c r="I1014" s="915" t="e">
        <f t="shared" si="31"/>
        <v>#REF!</v>
      </c>
      <c r="J1014" s="915">
        <v>2994.3910000000001</v>
      </c>
      <c r="K1014" s="915">
        <v>152.029</v>
      </c>
      <c r="L1014" s="915">
        <v>152.029</v>
      </c>
      <c r="M1014" s="915">
        <v>2994.3910000000001</v>
      </c>
    </row>
    <row r="1015" spans="1:13">
      <c r="A1015" s="633" t="s">
        <v>2473</v>
      </c>
      <c r="B1015" s="423" t="s">
        <v>5363</v>
      </c>
      <c r="C1015" s="915">
        <v>2917.922</v>
      </c>
      <c r="D1015" s="915">
        <v>86.899000000000001</v>
      </c>
      <c r="E1015" s="915">
        <v>86.451999999999998</v>
      </c>
      <c r="F1015" s="915">
        <v>2917.4749999999999</v>
      </c>
      <c r="G1015" s="922">
        <f t="shared" si="30"/>
        <v>1</v>
      </c>
      <c r="H1015" s="915" t="e">
        <v>#REF!</v>
      </c>
      <c r="I1015" s="915" t="e">
        <f t="shared" si="31"/>
        <v>#REF!</v>
      </c>
      <c r="J1015" s="915">
        <v>318.05200000000002</v>
      </c>
      <c r="K1015" s="915">
        <v>26.052</v>
      </c>
      <c r="L1015" s="915">
        <v>26.052</v>
      </c>
      <c r="M1015" s="915">
        <v>318.05200000000002</v>
      </c>
    </row>
    <row r="1016" spans="1:13">
      <c r="A1016" s="633" t="s">
        <v>2412</v>
      </c>
      <c r="B1016" s="423" t="s">
        <v>5365</v>
      </c>
      <c r="C1016" s="915">
        <v>591.88099999999997</v>
      </c>
      <c r="D1016" s="915">
        <v>3.0750000000000002</v>
      </c>
      <c r="E1016" s="915">
        <v>3.0750000000000002</v>
      </c>
      <c r="F1016" s="915">
        <v>591.88099999999997</v>
      </c>
      <c r="G1016" s="922">
        <f t="shared" si="30"/>
        <v>0</v>
      </c>
      <c r="H1016" s="915" t="e">
        <v>#REF!</v>
      </c>
      <c r="I1016" s="915" t="e">
        <f t="shared" si="31"/>
        <v>#REF!</v>
      </c>
      <c r="J1016" s="915">
        <v>11.119</v>
      </c>
      <c r="K1016" s="915">
        <v>0.68799999999999994</v>
      </c>
      <c r="L1016" s="915">
        <v>0.68799999999999994</v>
      </c>
      <c r="M1016" s="915">
        <v>11.119</v>
      </c>
    </row>
    <row r="1017" spans="1:13">
      <c r="A1017" s="633" t="s">
        <v>2988</v>
      </c>
      <c r="B1017" s="423" t="s">
        <v>189</v>
      </c>
      <c r="C1017" s="915">
        <v>26953.723000000002</v>
      </c>
      <c r="D1017" s="915">
        <v>142.65799999999999</v>
      </c>
      <c r="E1017" s="915">
        <v>142.02600000000001</v>
      </c>
      <c r="F1017" s="915">
        <v>26953.091</v>
      </c>
      <c r="G1017" s="922">
        <f t="shared" si="30"/>
        <v>1</v>
      </c>
      <c r="H1017" s="915" t="e">
        <v>#REF!</v>
      </c>
      <c r="I1017" s="915" t="e">
        <f t="shared" si="31"/>
        <v>#REF!</v>
      </c>
      <c r="J1017" s="915">
        <v>1256.2170000000001</v>
      </c>
      <c r="K1017" s="915">
        <v>63.636000000000003</v>
      </c>
      <c r="L1017" s="915">
        <v>63.237000000000002</v>
      </c>
      <c r="M1017" s="915">
        <v>1255.817</v>
      </c>
    </row>
    <row r="1018" spans="1:13">
      <c r="A1018" s="633" t="s">
        <v>613</v>
      </c>
      <c r="B1018" s="423" t="s">
        <v>1003</v>
      </c>
      <c r="C1018" s="915">
        <v>137.66</v>
      </c>
      <c r="D1018" s="915">
        <v>0</v>
      </c>
      <c r="E1018" s="915">
        <v>0</v>
      </c>
      <c r="F1018" s="915">
        <v>137.66</v>
      </c>
      <c r="G1018" s="922">
        <f t="shared" si="30"/>
        <v>0</v>
      </c>
      <c r="H1018" s="915" t="e">
        <v>#REF!</v>
      </c>
      <c r="I1018" s="915" t="e">
        <f t="shared" si="31"/>
        <v>#REF!</v>
      </c>
      <c r="J1018" s="915">
        <v>3.9630000000000001</v>
      </c>
      <c r="K1018" s="915">
        <v>0</v>
      </c>
      <c r="L1018" s="915">
        <v>0</v>
      </c>
      <c r="M1018" s="915">
        <v>3.9630000000000001</v>
      </c>
    </row>
    <row r="1019" spans="1:13">
      <c r="A1019" s="633" t="s">
        <v>5041</v>
      </c>
      <c r="B1019" s="423" t="s">
        <v>112</v>
      </c>
      <c r="C1019" s="915">
        <v>3513.4650000000001</v>
      </c>
      <c r="D1019" s="915">
        <v>121.709</v>
      </c>
      <c r="E1019" s="915">
        <v>67.429000000000002</v>
      </c>
      <c r="F1019" s="915">
        <v>3459.1849999999999</v>
      </c>
      <c r="G1019" s="922">
        <f t="shared" si="30"/>
        <v>1</v>
      </c>
      <c r="H1019" s="915" t="e">
        <v>#REF!</v>
      </c>
      <c r="I1019" s="915" t="e">
        <f t="shared" si="31"/>
        <v>#REF!</v>
      </c>
      <c r="J1019" s="915">
        <v>107.114</v>
      </c>
      <c r="K1019" s="915">
        <v>9.9939999999999998</v>
      </c>
      <c r="L1019" s="915">
        <v>5.2149999999999999</v>
      </c>
      <c r="M1019" s="915">
        <v>102.33499999999999</v>
      </c>
    </row>
    <row r="1020" spans="1:13">
      <c r="A1020" s="633" t="s">
        <v>6039</v>
      </c>
      <c r="B1020" s="423" t="s">
        <v>183</v>
      </c>
      <c r="C1020" s="915">
        <v>2769.9850000000001</v>
      </c>
      <c r="D1020" s="915">
        <v>19.771999999999998</v>
      </c>
      <c r="E1020" s="915">
        <v>19.771999999999998</v>
      </c>
      <c r="F1020" s="915">
        <v>2769.9850000000001</v>
      </c>
      <c r="G1020" s="922">
        <f t="shared" si="30"/>
        <v>0</v>
      </c>
      <c r="H1020" s="915" t="e">
        <v>#REF!</v>
      </c>
      <c r="I1020" s="915" t="e">
        <f t="shared" si="31"/>
        <v>#REF!</v>
      </c>
      <c r="J1020" s="915">
        <v>72.790000000000006</v>
      </c>
      <c r="K1020" s="915">
        <v>4.3499999999999996</v>
      </c>
      <c r="L1020" s="915">
        <v>4.3499999999999996</v>
      </c>
      <c r="M1020" s="915">
        <v>72.790000000000006</v>
      </c>
    </row>
    <row r="1021" spans="1:13">
      <c r="A1021" s="633" t="s">
        <v>5043</v>
      </c>
      <c r="B1021" s="423" t="s">
        <v>346</v>
      </c>
      <c r="C1021" s="915">
        <v>762.76700000000005</v>
      </c>
      <c r="D1021" s="915">
        <v>7.8789999999999996</v>
      </c>
      <c r="E1021" s="915">
        <v>7.8789999999999996</v>
      </c>
      <c r="F1021" s="915">
        <v>762.76700000000005</v>
      </c>
      <c r="G1021" s="922">
        <f t="shared" si="30"/>
        <v>0</v>
      </c>
      <c r="H1021" s="915" t="e">
        <v>#REF!</v>
      </c>
      <c r="I1021" s="915" t="e">
        <f t="shared" si="31"/>
        <v>#REF!</v>
      </c>
      <c r="J1021" s="915">
        <v>21.135999999999999</v>
      </c>
      <c r="K1021" s="915">
        <v>1.369</v>
      </c>
      <c r="L1021" s="915">
        <v>1.369</v>
      </c>
      <c r="M1021" s="915">
        <v>21.135999999999999</v>
      </c>
    </row>
    <row r="1022" spans="1:13">
      <c r="A1022" s="633" t="s">
        <v>2409</v>
      </c>
      <c r="B1022" s="423" t="s">
        <v>2356</v>
      </c>
      <c r="C1022" s="915">
        <v>755.69799999999998</v>
      </c>
      <c r="D1022" s="915">
        <v>44.28</v>
      </c>
      <c r="E1022" s="915">
        <v>31.89</v>
      </c>
      <c r="F1022" s="915">
        <v>743.30799999999999</v>
      </c>
      <c r="G1022" s="922">
        <f t="shared" si="30"/>
        <v>1</v>
      </c>
      <c r="H1022" s="915" t="e">
        <v>#REF!</v>
      </c>
      <c r="I1022" s="915" t="e">
        <f t="shared" si="31"/>
        <v>#REF!</v>
      </c>
      <c r="J1022" s="915">
        <v>13.478</v>
      </c>
      <c r="K1022" s="915">
        <v>1.9670000000000001</v>
      </c>
      <c r="L1022" s="915">
        <v>0.98399999999999999</v>
      </c>
      <c r="M1022" s="915">
        <v>12.494</v>
      </c>
    </row>
    <row r="1023" spans="1:13">
      <c r="A1023" s="633" t="s">
        <v>615</v>
      </c>
      <c r="B1023" s="423" t="s">
        <v>1004</v>
      </c>
      <c r="C1023" s="915">
        <v>1217.5070000000001</v>
      </c>
      <c r="D1023" s="915">
        <v>52.93</v>
      </c>
      <c r="E1023" s="915">
        <v>26.998999999999999</v>
      </c>
      <c r="F1023" s="915">
        <v>1191.576</v>
      </c>
      <c r="G1023" s="922">
        <f t="shared" si="30"/>
        <v>1</v>
      </c>
      <c r="H1023" s="915" t="e">
        <v>#REF!</v>
      </c>
      <c r="I1023" s="915" t="e">
        <f t="shared" si="31"/>
        <v>#REF!</v>
      </c>
      <c r="J1023" s="915">
        <v>118.58199999999999</v>
      </c>
      <c r="K1023" s="915">
        <v>13.488</v>
      </c>
      <c r="L1023" s="915">
        <v>6.8940000000000001</v>
      </c>
      <c r="M1023" s="915">
        <v>111.98699999999999</v>
      </c>
    </row>
    <row r="1024" spans="1:13">
      <c r="A1024" s="633" t="s">
        <v>617</v>
      </c>
      <c r="B1024" s="423" t="s">
        <v>1005</v>
      </c>
      <c r="C1024" s="915">
        <v>281.98599999999999</v>
      </c>
      <c r="D1024" s="915">
        <v>0</v>
      </c>
      <c r="E1024" s="915">
        <v>0</v>
      </c>
      <c r="F1024" s="915">
        <v>281.98599999999999</v>
      </c>
      <c r="G1024" s="922">
        <f t="shared" si="30"/>
        <v>0</v>
      </c>
      <c r="H1024" s="915" t="e">
        <v>#REF!</v>
      </c>
      <c r="I1024" s="915" t="e">
        <f t="shared" si="31"/>
        <v>#REF!</v>
      </c>
      <c r="J1024" s="915">
        <v>3.9</v>
      </c>
      <c r="K1024" s="915">
        <v>0</v>
      </c>
      <c r="L1024" s="915">
        <v>0</v>
      </c>
      <c r="M1024" s="915">
        <v>3.9</v>
      </c>
    </row>
    <row r="1025" spans="1:13">
      <c r="A1025" s="633" t="s">
        <v>3889</v>
      </c>
      <c r="B1025" s="423" t="s">
        <v>7680</v>
      </c>
      <c r="C1025" s="915">
        <v>686.68399999999997</v>
      </c>
      <c r="D1025" s="915">
        <v>6.6159999999999997</v>
      </c>
      <c r="E1025" s="915">
        <v>6.6159999999999997</v>
      </c>
      <c r="F1025" s="915">
        <v>686.68399999999997</v>
      </c>
      <c r="G1025" s="922">
        <f t="shared" si="30"/>
        <v>0</v>
      </c>
      <c r="H1025" s="915" t="e">
        <v>#REF!</v>
      </c>
      <c r="I1025" s="915" t="e">
        <f t="shared" si="31"/>
        <v>#REF!</v>
      </c>
      <c r="J1025" s="915">
        <v>18.646999999999998</v>
      </c>
      <c r="K1025" s="915">
        <v>0.86799999999999999</v>
      </c>
      <c r="L1025" s="915">
        <v>0.86799999999999999</v>
      </c>
      <c r="M1025" s="915">
        <v>18.646999999999998</v>
      </c>
    </row>
    <row r="1026" spans="1:13">
      <c r="A1026" s="633" t="s">
        <v>619</v>
      </c>
      <c r="B1026" s="423" t="s">
        <v>1006</v>
      </c>
      <c r="C1026" s="915">
        <v>947.92399999999998</v>
      </c>
      <c r="D1026" s="915">
        <v>9.7680000000000007</v>
      </c>
      <c r="E1026" s="915">
        <v>9.7680000000000007</v>
      </c>
      <c r="F1026" s="915">
        <v>947.92399999999998</v>
      </c>
      <c r="G1026" s="922">
        <f t="shared" si="30"/>
        <v>0</v>
      </c>
      <c r="H1026" s="915" t="e">
        <v>#REF!</v>
      </c>
      <c r="I1026" s="915" t="e">
        <f t="shared" si="31"/>
        <v>#REF!</v>
      </c>
      <c r="J1026" s="915">
        <v>37.500999999999998</v>
      </c>
      <c r="K1026" s="915">
        <v>2.3519999999999999</v>
      </c>
      <c r="L1026" s="915">
        <v>2.3519999999999999</v>
      </c>
      <c r="M1026" s="915">
        <v>37.500999999999998</v>
      </c>
    </row>
    <row r="1027" spans="1:13">
      <c r="A1027" s="633" t="s">
        <v>1328</v>
      </c>
      <c r="B1027" s="423" t="s">
        <v>1007</v>
      </c>
      <c r="C1027" s="915">
        <v>2181.4459999999999</v>
      </c>
      <c r="D1027" s="915">
        <v>38.014000000000003</v>
      </c>
      <c r="E1027" s="915">
        <v>38.014000000000003</v>
      </c>
      <c r="F1027" s="915">
        <v>2181.4459999999999</v>
      </c>
      <c r="G1027" s="922">
        <f t="shared" ref="G1027:G1045" si="32">IF(F1027&lt;C1027,1,0)</f>
        <v>0</v>
      </c>
      <c r="H1027" s="915" t="e">
        <v>#REF!</v>
      </c>
      <c r="I1027" s="915" t="e">
        <f t="shared" ref="I1027:I1045" si="33">F1027-H1027</f>
        <v>#REF!</v>
      </c>
      <c r="J1027" s="915">
        <v>371.76799999999997</v>
      </c>
      <c r="K1027" s="915">
        <v>24.664999999999999</v>
      </c>
      <c r="L1027" s="915">
        <v>24.664999999999999</v>
      </c>
      <c r="M1027" s="915">
        <v>371.76799999999997</v>
      </c>
    </row>
    <row r="1028" spans="1:13">
      <c r="A1028" s="633" t="s">
        <v>6708</v>
      </c>
      <c r="B1028" s="423" t="s">
        <v>1008</v>
      </c>
      <c r="C1028" s="915">
        <v>585.21199999999999</v>
      </c>
      <c r="D1028" s="915">
        <v>9.8569999999999993</v>
      </c>
      <c r="E1028" s="915">
        <v>9.8569999999999993</v>
      </c>
      <c r="F1028" s="915">
        <v>585.21199999999999</v>
      </c>
      <c r="G1028" s="922">
        <f t="shared" si="32"/>
        <v>0</v>
      </c>
      <c r="H1028" s="915" t="e">
        <v>#REF!</v>
      </c>
      <c r="I1028" s="915" t="e">
        <f t="shared" si="33"/>
        <v>#REF!</v>
      </c>
      <c r="J1028" s="915">
        <v>67.123999999999995</v>
      </c>
      <c r="K1028" s="915">
        <v>2.0670000000000002</v>
      </c>
      <c r="L1028" s="915">
        <v>2.0670000000000002</v>
      </c>
      <c r="M1028" s="915">
        <v>67.123999999999995</v>
      </c>
    </row>
    <row r="1029" spans="1:13">
      <c r="A1029" s="633" t="s">
        <v>6710</v>
      </c>
      <c r="B1029" s="423" t="s">
        <v>1009</v>
      </c>
      <c r="C1029" s="915">
        <v>2801.7159999999999</v>
      </c>
      <c r="D1029" s="915">
        <v>25.07</v>
      </c>
      <c r="E1029" s="915">
        <v>24.785</v>
      </c>
      <c r="F1029" s="915">
        <v>2801.43</v>
      </c>
      <c r="G1029" s="922">
        <f t="shared" si="32"/>
        <v>1</v>
      </c>
      <c r="H1029" s="915" t="e">
        <v>#REF!</v>
      </c>
      <c r="I1029" s="915" t="e">
        <f t="shared" si="33"/>
        <v>#REF!</v>
      </c>
      <c r="J1029" s="915">
        <v>337.56599999999997</v>
      </c>
      <c r="K1029" s="915">
        <v>11.787000000000001</v>
      </c>
      <c r="L1029" s="915">
        <v>11.787000000000001</v>
      </c>
      <c r="M1029" s="915">
        <v>337.56599999999997</v>
      </c>
    </row>
    <row r="1030" spans="1:13">
      <c r="A1030" s="633" t="s">
        <v>6192</v>
      </c>
      <c r="B1030" s="423" t="s">
        <v>3630</v>
      </c>
      <c r="C1030" s="915">
        <v>989.17700000000002</v>
      </c>
      <c r="D1030" s="915">
        <v>11.701000000000001</v>
      </c>
      <c r="E1030" s="915">
        <v>11.701000000000001</v>
      </c>
      <c r="F1030" s="915">
        <v>989.17700000000002</v>
      </c>
      <c r="G1030" s="922">
        <f t="shared" si="32"/>
        <v>0</v>
      </c>
      <c r="H1030" s="915" t="e">
        <v>#REF!</v>
      </c>
      <c r="I1030" s="915" t="e">
        <f t="shared" si="33"/>
        <v>#REF!</v>
      </c>
      <c r="J1030" s="915">
        <v>17.288</v>
      </c>
      <c r="K1030" s="915">
        <v>2.1869999999999998</v>
      </c>
      <c r="L1030" s="915">
        <v>2.1869999999999998</v>
      </c>
      <c r="M1030" s="915">
        <v>17.288</v>
      </c>
    </row>
    <row r="1031" spans="1:13">
      <c r="A1031" s="633" t="s">
        <v>2400</v>
      </c>
      <c r="B1031" s="423" t="s">
        <v>2342</v>
      </c>
      <c r="C1031" s="915">
        <v>222.751</v>
      </c>
      <c r="D1031" s="915">
        <v>0.84399999999999997</v>
      </c>
      <c r="E1031" s="915">
        <v>0.84399999999999997</v>
      </c>
      <c r="F1031" s="915">
        <v>222.751</v>
      </c>
      <c r="G1031" s="922">
        <f t="shared" si="32"/>
        <v>0</v>
      </c>
      <c r="H1031" s="915" t="e">
        <v>#REF!</v>
      </c>
      <c r="I1031" s="915" t="e">
        <f t="shared" si="33"/>
        <v>#REF!</v>
      </c>
      <c r="J1031" s="915">
        <v>7.6050000000000004</v>
      </c>
      <c r="K1031" s="915">
        <v>0</v>
      </c>
      <c r="L1031" s="915">
        <v>0</v>
      </c>
      <c r="M1031" s="915">
        <v>7.6050000000000004</v>
      </c>
    </row>
    <row r="1032" spans="1:13">
      <c r="A1032" s="633" t="s">
        <v>6712</v>
      </c>
      <c r="B1032" s="423" t="s">
        <v>1010</v>
      </c>
      <c r="C1032" s="915">
        <v>713.55799999999999</v>
      </c>
      <c r="D1032" s="915">
        <v>10.226000000000001</v>
      </c>
      <c r="E1032" s="915">
        <v>10.226000000000001</v>
      </c>
      <c r="F1032" s="915">
        <v>713.55799999999999</v>
      </c>
      <c r="G1032" s="922">
        <f t="shared" si="32"/>
        <v>0</v>
      </c>
      <c r="H1032" s="915" t="e">
        <v>#REF!</v>
      </c>
      <c r="I1032" s="915" t="e">
        <f t="shared" si="33"/>
        <v>#REF!</v>
      </c>
      <c r="J1032" s="915">
        <v>0.91400000000000003</v>
      </c>
      <c r="K1032" s="915">
        <v>0</v>
      </c>
      <c r="L1032" s="915">
        <v>0</v>
      </c>
      <c r="M1032" s="915">
        <v>0.91400000000000003</v>
      </c>
    </row>
    <row r="1033" spans="1:13">
      <c r="A1033" s="633" t="s">
        <v>6714</v>
      </c>
      <c r="B1033" s="423" t="s">
        <v>1011</v>
      </c>
      <c r="C1033" s="915">
        <v>1439.5219999999999</v>
      </c>
      <c r="D1033" s="915">
        <v>35.951999999999998</v>
      </c>
      <c r="E1033" s="915">
        <v>35.951999999999998</v>
      </c>
      <c r="F1033" s="915">
        <v>1439.5219999999999</v>
      </c>
      <c r="G1033" s="922">
        <f t="shared" si="32"/>
        <v>0</v>
      </c>
      <c r="H1033" s="915" t="e">
        <v>#REF!</v>
      </c>
      <c r="I1033" s="915" t="e">
        <f t="shared" si="33"/>
        <v>#REF!</v>
      </c>
      <c r="J1033" s="915">
        <v>119.03100000000001</v>
      </c>
      <c r="K1033" s="915">
        <v>4.5469999999999997</v>
      </c>
      <c r="L1033" s="915">
        <v>4.5469999999999997</v>
      </c>
      <c r="M1033" s="915">
        <v>119.03100000000001</v>
      </c>
    </row>
    <row r="1034" spans="1:13">
      <c r="A1034" s="633" t="s">
        <v>6716</v>
      </c>
      <c r="B1034" s="423" t="s">
        <v>1012</v>
      </c>
      <c r="C1034" s="915">
        <v>1054.4190000000001</v>
      </c>
      <c r="D1034" s="915">
        <v>20.097999999999999</v>
      </c>
      <c r="E1034" s="915">
        <v>20.097999999999999</v>
      </c>
      <c r="F1034" s="915">
        <v>1054.4190000000001</v>
      </c>
      <c r="G1034" s="922">
        <f t="shared" si="32"/>
        <v>0</v>
      </c>
      <c r="H1034" s="915" t="e">
        <v>#REF!</v>
      </c>
      <c r="I1034" s="915" t="e">
        <f t="shared" si="33"/>
        <v>#REF!</v>
      </c>
      <c r="J1034" s="915">
        <v>55.576999999999998</v>
      </c>
      <c r="K1034" s="915">
        <v>2.4300000000000002</v>
      </c>
      <c r="L1034" s="915">
        <v>2.4300000000000002</v>
      </c>
      <c r="M1034" s="915">
        <v>55.576999999999998</v>
      </c>
    </row>
    <row r="1035" spans="1:13">
      <c r="A1035" s="633" t="s">
        <v>6718</v>
      </c>
      <c r="B1035" s="423" t="s">
        <v>1013</v>
      </c>
      <c r="C1035" s="915">
        <v>350.75099999999998</v>
      </c>
      <c r="D1035" s="915">
        <v>11.074999999999999</v>
      </c>
      <c r="E1035" s="915">
        <v>11.074999999999999</v>
      </c>
      <c r="F1035" s="915">
        <v>350.75099999999998</v>
      </c>
      <c r="G1035" s="922">
        <f t="shared" si="32"/>
        <v>0</v>
      </c>
      <c r="H1035" s="915" t="e">
        <v>#REF!</v>
      </c>
      <c r="I1035" s="915" t="e">
        <f t="shared" si="33"/>
        <v>#REF!</v>
      </c>
      <c r="J1035" s="915">
        <v>33.14</v>
      </c>
      <c r="K1035" s="915">
        <v>3.927</v>
      </c>
      <c r="L1035" s="915">
        <v>3.927</v>
      </c>
      <c r="M1035" s="915">
        <v>33.14</v>
      </c>
    </row>
    <row r="1036" spans="1:13">
      <c r="A1036" s="633" t="s">
        <v>2443</v>
      </c>
      <c r="B1036" s="423" t="s">
        <v>1014</v>
      </c>
      <c r="C1036" s="915">
        <v>791.44200000000001</v>
      </c>
      <c r="D1036" s="915">
        <v>18.338999999999999</v>
      </c>
      <c r="E1036" s="915">
        <v>18.338999999999999</v>
      </c>
      <c r="F1036" s="915">
        <v>791.44200000000001</v>
      </c>
      <c r="G1036" s="922">
        <f t="shared" si="32"/>
        <v>0</v>
      </c>
      <c r="H1036" s="915" t="e">
        <v>#REF!</v>
      </c>
      <c r="I1036" s="915" t="e">
        <f t="shared" si="33"/>
        <v>#REF!</v>
      </c>
      <c r="J1036" s="915">
        <v>23.818999999999999</v>
      </c>
      <c r="K1036" s="915">
        <v>0.67700000000000005</v>
      </c>
      <c r="L1036" s="915">
        <v>0.67700000000000005</v>
      </c>
      <c r="M1036" s="915">
        <v>23.818999999999999</v>
      </c>
    </row>
    <row r="1037" spans="1:13">
      <c r="A1037" s="633" t="s">
        <v>2445</v>
      </c>
      <c r="B1037" s="423" t="s">
        <v>1015</v>
      </c>
      <c r="C1037" s="915">
        <v>1342.001</v>
      </c>
      <c r="D1037" s="915">
        <v>68.069000000000003</v>
      </c>
      <c r="E1037" s="915">
        <v>35.265999999999998</v>
      </c>
      <c r="F1037" s="915">
        <v>1309.1980000000001</v>
      </c>
      <c r="G1037" s="922">
        <f t="shared" si="32"/>
        <v>1</v>
      </c>
      <c r="H1037" s="915" t="e">
        <v>#REF!</v>
      </c>
      <c r="I1037" s="915" t="e">
        <f t="shared" si="33"/>
        <v>#REF!</v>
      </c>
      <c r="J1037" s="915">
        <v>78.174000000000007</v>
      </c>
      <c r="K1037" s="915">
        <v>5.7240000000000002</v>
      </c>
      <c r="L1037" s="915">
        <v>2.8620000000000001</v>
      </c>
      <c r="M1037" s="915">
        <v>75.311999999999998</v>
      </c>
    </row>
    <row r="1038" spans="1:13">
      <c r="A1038" s="633" t="s">
        <v>2447</v>
      </c>
      <c r="B1038" s="423" t="s">
        <v>1016</v>
      </c>
      <c r="C1038" s="915">
        <v>1408.2080000000001</v>
      </c>
      <c r="D1038" s="915">
        <v>28.260999999999999</v>
      </c>
      <c r="E1038" s="915">
        <v>28.213000000000001</v>
      </c>
      <c r="F1038" s="915">
        <v>1408.16</v>
      </c>
      <c r="G1038" s="922">
        <f t="shared" si="32"/>
        <v>1</v>
      </c>
      <c r="H1038" s="915" t="e">
        <v>#REF!</v>
      </c>
      <c r="I1038" s="915" t="e">
        <f t="shared" si="33"/>
        <v>#REF!</v>
      </c>
      <c r="J1038" s="915">
        <v>234.04599999999999</v>
      </c>
      <c r="K1038" s="915">
        <v>10.419</v>
      </c>
      <c r="L1038" s="915">
        <v>10.419</v>
      </c>
      <c r="M1038" s="915">
        <v>234.04599999999999</v>
      </c>
    </row>
    <row r="1039" spans="1:13">
      <c r="A1039" s="633" t="s">
        <v>905</v>
      </c>
      <c r="B1039" s="423" t="s">
        <v>1017</v>
      </c>
      <c r="C1039" s="915">
        <v>432.75700000000001</v>
      </c>
      <c r="D1039" s="915">
        <v>5.9569999999999999</v>
      </c>
      <c r="E1039" s="915">
        <v>5.9569999999999999</v>
      </c>
      <c r="F1039" s="915">
        <v>432.75700000000001</v>
      </c>
      <c r="G1039" s="922">
        <f t="shared" si="32"/>
        <v>0</v>
      </c>
      <c r="H1039" s="915" t="e">
        <v>#REF!</v>
      </c>
      <c r="I1039" s="915" t="e">
        <f t="shared" si="33"/>
        <v>#REF!</v>
      </c>
      <c r="J1039" s="915">
        <v>68.834999999999994</v>
      </c>
      <c r="K1039" s="915">
        <v>1.7270000000000001</v>
      </c>
      <c r="L1039" s="915">
        <v>1.7270000000000001</v>
      </c>
      <c r="M1039" s="915">
        <v>68.834999999999994</v>
      </c>
    </row>
    <row r="1040" spans="1:13">
      <c r="A1040" s="633" t="s">
        <v>1854</v>
      </c>
      <c r="B1040" s="423" t="s">
        <v>4965</v>
      </c>
      <c r="C1040" s="915">
        <v>2315.777</v>
      </c>
      <c r="D1040" s="915">
        <v>51.088000000000001</v>
      </c>
      <c r="E1040" s="915">
        <v>50.771000000000001</v>
      </c>
      <c r="F1040" s="915">
        <v>2315.46</v>
      </c>
      <c r="G1040" s="922">
        <f t="shared" si="32"/>
        <v>1</v>
      </c>
      <c r="H1040" s="915" t="e">
        <v>#REF!</v>
      </c>
      <c r="I1040" s="915" t="e">
        <f t="shared" si="33"/>
        <v>#REF!</v>
      </c>
      <c r="J1040" s="915">
        <v>162.94300000000001</v>
      </c>
      <c r="K1040" s="915">
        <v>10.930999999999999</v>
      </c>
      <c r="L1040" s="915">
        <v>10.930999999999999</v>
      </c>
      <c r="M1040" s="915">
        <v>162.94300000000001</v>
      </c>
    </row>
    <row r="1041" spans="1:13">
      <c r="A1041" s="633" t="s">
        <v>907</v>
      </c>
      <c r="B1041" s="423" t="s">
        <v>1018</v>
      </c>
      <c r="C1041" s="915">
        <v>171.774</v>
      </c>
      <c r="D1041" s="915">
        <v>3.4049999999999998</v>
      </c>
      <c r="E1041" s="915">
        <v>2.4470000000000001</v>
      </c>
      <c r="F1041" s="915">
        <v>170.816</v>
      </c>
      <c r="G1041" s="922">
        <f t="shared" si="32"/>
        <v>1</v>
      </c>
      <c r="H1041" s="915" t="e">
        <v>#REF!</v>
      </c>
      <c r="I1041" s="915" t="e">
        <f t="shared" si="33"/>
        <v>#REF!</v>
      </c>
      <c r="J1041" s="915">
        <v>0.17199999999999999</v>
      </c>
      <c r="K1041" s="915">
        <v>0</v>
      </c>
      <c r="L1041" s="915">
        <v>0</v>
      </c>
      <c r="M1041" s="915">
        <v>0.17199999999999999</v>
      </c>
    </row>
    <row r="1042" spans="1:13">
      <c r="A1042" s="633" t="s">
        <v>6146</v>
      </c>
      <c r="B1042" s="423" t="s">
        <v>3835</v>
      </c>
      <c r="C1042" s="915">
        <v>735.202</v>
      </c>
      <c r="D1042" s="915">
        <v>18.536000000000001</v>
      </c>
      <c r="E1042" s="915">
        <v>18.536000000000001</v>
      </c>
      <c r="F1042" s="915">
        <v>735.202</v>
      </c>
      <c r="G1042" s="922">
        <f t="shared" si="32"/>
        <v>0</v>
      </c>
      <c r="H1042" s="915" t="e">
        <v>#REF!</v>
      </c>
      <c r="I1042" s="915" t="e">
        <f t="shared" si="33"/>
        <v>#REF!</v>
      </c>
      <c r="J1042" s="915">
        <v>49.76</v>
      </c>
      <c r="K1042" s="915">
        <v>2.6259999999999999</v>
      </c>
      <c r="L1042" s="915">
        <v>2.6259999999999999</v>
      </c>
      <c r="M1042" s="915">
        <v>49.76</v>
      </c>
    </row>
    <row r="1043" spans="1:13">
      <c r="A1043" s="633" t="s">
        <v>909</v>
      </c>
      <c r="B1043" s="423" t="s">
        <v>1019</v>
      </c>
      <c r="C1043" s="915">
        <v>3200.8020000000001</v>
      </c>
      <c r="D1043" s="915">
        <v>233.483</v>
      </c>
      <c r="E1043" s="915">
        <v>147.30199999999999</v>
      </c>
      <c r="F1043" s="915">
        <v>3114.6210000000001</v>
      </c>
      <c r="G1043" s="922">
        <f t="shared" si="32"/>
        <v>1</v>
      </c>
      <c r="H1043" s="915" t="e">
        <v>#REF!</v>
      </c>
      <c r="I1043" s="915" t="e">
        <f t="shared" si="33"/>
        <v>#REF!</v>
      </c>
      <c r="J1043" s="915">
        <v>998.05200000000002</v>
      </c>
      <c r="K1043" s="915">
        <v>121.90600000000001</v>
      </c>
      <c r="L1043" s="915">
        <v>74.100999999999999</v>
      </c>
      <c r="M1043" s="915">
        <v>950.24699999999996</v>
      </c>
    </row>
    <row r="1044" spans="1:13">
      <c r="A1044" s="633" t="s">
        <v>247</v>
      </c>
      <c r="B1044" s="423" t="s">
        <v>989</v>
      </c>
      <c r="C1044" s="915">
        <v>1750.0820000000001</v>
      </c>
      <c r="D1044" s="915">
        <v>55.552999999999997</v>
      </c>
      <c r="E1044" s="915">
        <v>37.255000000000003</v>
      </c>
      <c r="F1044" s="915">
        <v>1731.7840000000001</v>
      </c>
      <c r="G1044" s="922">
        <f t="shared" si="32"/>
        <v>1</v>
      </c>
      <c r="H1044" s="915" t="e">
        <v>#REF!</v>
      </c>
      <c r="I1044" s="915" t="e">
        <f t="shared" si="33"/>
        <v>#REF!</v>
      </c>
      <c r="J1044" s="915">
        <v>143.191</v>
      </c>
      <c r="K1044" s="915">
        <v>1.4</v>
      </c>
      <c r="L1044" s="915">
        <v>0.73399999999999999</v>
      </c>
      <c r="M1044" s="915">
        <v>142.52500000000001</v>
      </c>
    </row>
    <row r="1045" spans="1:13">
      <c r="A1045" s="633" t="s">
        <v>1527</v>
      </c>
      <c r="B1045" s="423" t="s">
        <v>2154</v>
      </c>
      <c r="C1045" s="915">
        <v>457.50799999999998</v>
      </c>
      <c r="D1045" s="915">
        <v>15.016999999999999</v>
      </c>
      <c r="E1045" s="915">
        <v>8.2059999999999995</v>
      </c>
      <c r="F1045" s="915">
        <v>450.697</v>
      </c>
      <c r="G1045" s="922">
        <f t="shared" si="32"/>
        <v>1</v>
      </c>
      <c r="H1045" s="915" t="e">
        <v>#REF!</v>
      </c>
      <c r="I1045" s="915" t="e">
        <f t="shared" si="33"/>
        <v>#REF!</v>
      </c>
      <c r="J1045" s="915">
        <v>61.356000000000002</v>
      </c>
      <c r="K1045" s="915">
        <v>1.7709999999999999</v>
      </c>
      <c r="L1045" s="915">
        <v>0.88500000000000001</v>
      </c>
      <c r="M1045" s="915">
        <v>60.470999999999997</v>
      </c>
    </row>
    <row r="1046" spans="1:13">
      <c r="B1046" s="423" t="s">
        <v>1759</v>
      </c>
      <c r="C1046" s="915" t="s">
        <v>6291</v>
      </c>
      <c r="D1046" s="915" t="s">
        <v>160</v>
      </c>
      <c r="E1046" s="915" t="s">
        <v>7804</v>
      </c>
      <c r="F1046" s="915" t="s">
        <v>7805</v>
      </c>
      <c r="J1046" s="915" t="s">
        <v>7807</v>
      </c>
      <c r="K1046" s="915" t="s">
        <v>7808</v>
      </c>
      <c r="L1046" s="915" t="s">
        <v>7809</v>
      </c>
      <c r="M1046" s="915" t="s">
        <v>7810</v>
      </c>
    </row>
    <row r="1048" spans="1:13">
      <c r="C1048" s="915">
        <f t="shared" ref="C1048:I1048" si="34">SUM(C4:C1047)</f>
        <v>4330003.8560000034</v>
      </c>
      <c r="D1048" s="915">
        <f t="shared" si="34"/>
        <v>115079.98699999991</v>
      </c>
      <c r="E1048" s="915">
        <f t="shared" si="34"/>
        <v>87084.406999999919</v>
      </c>
      <c r="F1048" s="915">
        <f t="shared" si="34"/>
        <v>4302008.2689999994</v>
      </c>
      <c r="H1048" s="915" t="e">
        <f t="shared" si="34"/>
        <v>#REF!</v>
      </c>
      <c r="I1048" s="915" t="e">
        <f t="shared" si="34"/>
        <v>#REF!</v>
      </c>
    </row>
    <row r="1050" spans="1:13">
      <c r="F1050" s="915">
        <f>C1048-F1048</f>
        <v>27995.587000004016</v>
      </c>
    </row>
    <row r="1051" spans="1:13">
      <c r="B1051" s="187">
        <v>4303646.66</v>
      </c>
    </row>
    <row r="1052" spans="1:13">
      <c r="F1052" s="915">
        <v>4393893.4000000004</v>
      </c>
    </row>
    <row r="1053" spans="1:13">
      <c r="B1053" s="924">
        <f>B1051-F1048</f>
        <v>1638.39100000076</v>
      </c>
    </row>
    <row r="1054" spans="1:13">
      <c r="F1054" s="915">
        <f>F1052-F1048</f>
        <v>91885.131000000983</v>
      </c>
    </row>
  </sheetData>
  <phoneticPr fontId="33" type="noConversion"/>
  <pageMargins left="0.75" right="0.75" top="1" bottom="1" header="0.5" footer="0.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dimension ref="A1:I768"/>
  <sheetViews>
    <sheetView workbookViewId="0">
      <selection activeCell="A3" sqref="A3"/>
    </sheetView>
  </sheetViews>
  <sheetFormatPr defaultColWidth="9.21875" defaultRowHeight="13.2"/>
  <cols>
    <col min="1" max="1" width="14" style="187" customWidth="1"/>
    <col min="2" max="2" width="50.21875" style="187" customWidth="1"/>
    <col min="3" max="3" width="28.5546875" style="646" customWidth="1"/>
    <col min="4" max="4" width="38" style="646" customWidth="1"/>
    <col min="5" max="5" width="9.21875" style="187" customWidth="1"/>
    <col min="6" max="6" width="0" style="636" hidden="1" customWidth="1"/>
    <col min="7" max="7" width="14" style="187" hidden="1" customWidth="1"/>
    <col min="8" max="8" width="0" style="187" hidden="1" customWidth="1"/>
    <col min="9" max="9" width="0" style="214" hidden="1" customWidth="1"/>
    <col min="10" max="16384" width="9.21875" style="187"/>
  </cols>
  <sheetData>
    <row r="1" spans="1:9" ht="13.5" customHeight="1">
      <c r="A1" s="634" t="s">
        <v>3471</v>
      </c>
      <c r="B1" s="634" t="s">
        <v>3485</v>
      </c>
      <c r="C1" s="635" t="s">
        <v>3486</v>
      </c>
      <c r="D1" s="635" t="s">
        <v>3487</v>
      </c>
      <c r="G1" s="637" t="s">
        <v>3471</v>
      </c>
    </row>
    <row r="2" spans="1:9" s="640" customFormat="1">
      <c r="A2" s="638" t="str">
        <f>'Data Entry - SOF'!B2</f>
        <v>000-000</v>
      </c>
      <c r="B2" s="638" t="e">
        <f>VLOOKUP(A2,A3:B767,2,FALSE)</f>
        <v>#N/A</v>
      </c>
      <c r="C2" s="639" t="e">
        <f>VLOOKUP(A2,A3:C767,3,FALSE)</f>
        <v>#N/A</v>
      </c>
      <c r="D2" s="639" t="e">
        <f>VLOOKUP(A2,A3:D767,4,FALSE)</f>
        <v>#N/A</v>
      </c>
      <c r="F2" s="641"/>
    </row>
    <row r="3" spans="1:9" ht="13.5" customHeight="1">
      <c r="A3" s="642" t="s">
        <v>696</v>
      </c>
      <c r="B3" s="642" t="s">
        <v>3488</v>
      </c>
      <c r="C3" s="643">
        <v>232375</v>
      </c>
      <c r="D3" s="643">
        <v>221875</v>
      </c>
      <c r="F3" s="636" t="s">
        <v>3472</v>
      </c>
      <c r="G3" s="644">
        <v>1</v>
      </c>
      <c r="H3" s="187">
        <v>904</v>
      </c>
      <c r="I3" s="214" t="str">
        <f>F3&amp;G3&amp;"-"&amp;H3</f>
        <v>001-904</v>
      </c>
    </row>
    <row r="4" spans="1:9" ht="13.5" customHeight="1">
      <c r="A4" s="216" t="s">
        <v>700</v>
      </c>
      <c r="B4" s="216" t="s">
        <v>3489</v>
      </c>
      <c r="C4" s="645">
        <v>1308631</v>
      </c>
      <c r="D4" s="645">
        <v>1312206</v>
      </c>
      <c r="F4" s="636" t="s">
        <v>3472</v>
      </c>
      <c r="G4" s="187">
        <v>1</v>
      </c>
      <c r="H4" s="187">
        <v>907</v>
      </c>
      <c r="I4" s="214" t="str">
        <f t="shared" ref="I4:I67" si="0">F4&amp;G4&amp;"-"&amp;H4</f>
        <v>001-907</v>
      </c>
    </row>
    <row r="5" spans="1:9" ht="13.5" customHeight="1">
      <c r="A5" s="216" t="s">
        <v>2753</v>
      </c>
      <c r="B5" s="216" t="s">
        <v>3490</v>
      </c>
      <c r="C5" s="645">
        <v>3621400</v>
      </c>
      <c r="D5" s="645">
        <v>3624988</v>
      </c>
      <c r="F5" s="636" t="s">
        <v>3472</v>
      </c>
      <c r="G5" s="187">
        <v>2</v>
      </c>
      <c r="H5" s="187">
        <v>901</v>
      </c>
      <c r="I5" s="214" t="str">
        <f t="shared" si="0"/>
        <v>002-901</v>
      </c>
    </row>
    <row r="6" spans="1:9" ht="13.5" customHeight="1">
      <c r="A6" s="216" t="s">
        <v>3080</v>
      </c>
      <c r="B6" s="216" t="s">
        <v>3491</v>
      </c>
      <c r="C6" s="645">
        <v>905021</v>
      </c>
      <c r="D6" s="645">
        <v>877938</v>
      </c>
      <c r="F6" s="636" t="s">
        <v>3472</v>
      </c>
      <c r="G6" s="187">
        <v>3</v>
      </c>
      <c r="H6" s="187">
        <v>902</v>
      </c>
      <c r="I6" s="214" t="str">
        <f t="shared" si="0"/>
        <v>003-902</v>
      </c>
    </row>
    <row r="7" spans="1:9" ht="13.5" customHeight="1">
      <c r="A7" s="216" t="s">
        <v>2842</v>
      </c>
      <c r="B7" s="216" t="s">
        <v>3492</v>
      </c>
      <c r="C7" s="645">
        <v>2212276</v>
      </c>
      <c r="D7" s="645">
        <v>2099788</v>
      </c>
      <c r="F7" s="636" t="s">
        <v>3472</v>
      </c>
      <c r="G7" s="187">
        <v>3</v>
      </c>
      <c r="H7" s="187">
        <v>903</v>
      </c>
      <c r="I7" s="214" t="str">
        <f t="shared" si="0"/>
        <v>003-903</v>
      </c>
    </row>
    <row r="8" spans="1:9" ht="13.5" customHeight="1">
      <c r="A8" s="216" t="s">
        <v>1874</v>
      </c>
      <c r="B8" s="216" t="s">
        <v>3493</v>
      </c>
      <c r="C8" s="645">
        <v>769558</v>
      </c>
      <c r="D8" s="645">
        <v>763273</v>
      </c>
      <c r="F8" s="636" t="s">
        <v>3472</v>
      </c>
      <c r="G8" s="187">
        <v>3</v>
      </c>
      <c r="H8" s="187">
        <v>904</v>
      </c>
      <c r="I8" s="214" t="str">
        <f t="shared" si="0"/>
        <v>003-904</v>
      </c>
    </row>
    <row r="9" spans="1:9" ht="13.5" customHeight="1">
      <c r="A9" s="216" t="s">
        <v>2846</v>
      </c>
      <c r="B9" s="216" t="s">
        <v>3494</v>
      </c>
      <c r="C9" s="645">
        <v>96908</v>
      </c>
      <c r="D9" s="645">
        <v>103058</v>
      </c>
      <c r="F9" s="636" t="s">
        <v>3472</v>
      </c>
      <c r="G9" s="187">
        <v>3</v>
      </c>
      <c r="H9" s="187">
        <v>906</v>
      </c>
      <c r="I9" s="214" t="str">
        <f t="shared" si="0"/>
        <v>003-906</v>
      </c>
    </row>
    <row r="10" spans="1:9" ht="13.5" customHeight="1">
      <c r="A10" s="216" t="s">
        <v>1225</v>
      </c>
      <c r="B10" s="216" t="s">
        <v>3495</v>
      </c>
      <c r="C10" s="645">
        <v>1131579</v>
      </c>
      <c r="D10" s="645">
        <v>1113270</v>
      </c>
      <c r="F10" s="636" t="s">
        <v>3472</v>
      </c>
      <c r="G10" s="187">
        <v>4</v>
      </c>
      <c r="H10" s="187">
        <v>901</v>
      </c>
      <c r="I10" s="214" t="str">
        <f t="shared" si="0"/>
        <v>004-901</v>
      </c>
    </row>
    <row r="11" spans="1:9" ht="13.5" customHeight="1">
      <c r="A11" s="216" t="s">
        <v>1227</v>
      </c>
      <c r="B11" s="216" t="s">
        <v>3496</v>
      </c>
      <c r="C11" s="645">
        <v>131572</v>
      </c>
      <c r="D11" s="645">
        <v>132826</v>
      </c>
      <c r="F11" s="636" t="s">
        <v>3472</v>
      </c>
      <c r="G11" s="187">
        <v>5</v>
      </c>
      <c r="H11" s="187">
        <v>901</v>
      </c>
      <c r="I11" s="214" t="str">
        <f t="shared" si="0"/>
        <v>005-901</v>
      </c>
    </row>
    <row r="12" spans="1:9" ht="13.5" customHeight="1">
      <c r="A12" s="216" t="s">
        <v>1229</v>
      </c>
      <c r="B12" s="216" t="s">
        <v>3497</v>
      </c>
      <c r="C12" s="645">
        <v>406088</v>
      </c>
      <c r="D12" s="645">
        <v>406438</v>
      </c>
      <c r="F12" s="636" t="s">
        <v>3472</v>
      </c>
      <c r="G12" s="187">
        <v>5</v>
      </c>
      <c r="H12" s="187">
        <v>902</v>
      </c>
      <c r="I12" s="214" t="str">
        <f t="shared" si="0"/>
        <v>005-902</v>
      </c>
    </row>
    <row r="13" spans="1:9" ht="13.5" customHeight="1">
      <c r="A13" s="216" t="s">
        <v>2360</v>
      </c>
      <c r="B13" s="216" t="s">
        <v>3498</v>
      </c>
      <c r="C13" s="645">
        <v>170905</v>
      </c>
      <c r="D13" s="645">
        <v>168318</v>
      </c>
      <c r="F13" s="636" t="s">
        <v>3472</v>
      </c>
      <c r="G13" s="187">
        <v>5</v>
      </c>
      <c r="H13" s="187">
        <v>904</v>
      </c>
      <c r="I13" s="214" t="str">
        <f t="shared" si="0"/>
        <v>005-904</v>
      </c>
    </row>
    <row r="14" spans="1:9" ht="13.5" customHeight="1">
      <c r="A14" s="216" t="s">
        <v>1233</v>
      </c>
      <c r="B14" s="216" t="s">
        <v>3499</v>
      </c>
      <c r="C14" s="645">
        <v>134254</v>
      </c>
      <c r="D14" s="645">
        <v>133354</v>
      </c>
      <c r="F14" s="636" t="s">
        <v>3472</v>
      </c>
      <c r="G14" s="187">
        <v>6</v>
      </c>
      <c r="H14" s="187">
        <v>902</v>
      </c>
      <c r="I14" s="214" t="str">
        <f t="shared" si="0"/>
        <v>006-902</v>
      </c>
    </row>
    <row r="15" spans="1:9" ht="13.5" customHeight="1">
      <c r="A15" s="216" t="s">
        <v>3081</v>
      </c>
      <c r="B15" s="216" t="s">
        <v>3500</v>
      </c>
      <c r="C15" s="645">
        <v>237976</v>
      </c>
      <c r="D15" s="645">
        <v>221638</v>
      </c>
      <c r="F15" s="636" t="s">
        <v>3472</v>
      </c>
      <c r="G15" s="187">
        <v>7</v>
      </c>
      <c r="H15" s="187">
        <v>901</v>
      </c>
      <c r="I15" s="214" t="str">
        <f t="shared" si="0"/>
        <v>007-901</v>
      </c>
    </row>
    <row r="16" spans="1:9" ht="13.5" customHeight="1">
      <c r="A16" s="216" t="s">
        <v>2999</v>
      </c>
      <c r="B16" s="216" t="s">
        <v>3501</v>
      </c>
      <c r="C16" s="645">
        <v>1123326</v>
      </c>
      <c r="D16" s="645">
        <v>1115599</v>
      </c>
      <c r="F16" s="636" t="s">
        <v>3472</v>
      </c>
      <c r="G16" s="187">
        <v>7</v>
      </c>
      <c r="H16" s="187">
        <v>904</v>
      </c>
      <c r="I16" s="214" t="str">
        <f t="shared" si="0"/>
        <v>007-904</v>
      </c>
    </row>
    <row r="17" spans="1:9" ht="13.5" customHeight="1">
      <c r="A17" s="216" t="s">
        <v>5127</v>
      </c>
      <c r="B17" s="216" t="s">
        <v>3502</v>
      </c>
      <c r="C17" s="645">
        <v>776905</v>
      </c>
      <c r="D17" s="645">
        <v>778233</v>
      </c>
      <c r="F17" s="636" t="s">
        <v>3472</v>
      </c>
      <c r="G17" s="187">
        <v>7</v>
      </c>
      <c r="H17" s="187">
        <v>905</v>
      </c>
      <c r="I17" s="214" t="str">
        <f t="shared" si="0"/>
        <v>007-905</v>
      </c>
    </row>
    <row r="18" spans="1:9" ht="13.5" customHeight="1">
      <c r="A18" s="216" t="s">
        <v>2563</v>
      </c>
      <c r="B18" s="216" t="s">
        <v>3503</v>
      </c>
      <c r="C18" s="645">
        <v>387771</v>
      </c>
      <c r="D18" s="645">
        <v>391246</v>
      </c>
      <c r="F18" s="636" t="s">
        <v>3472</v>
      </c>
      <c r="G18" s="187">
        <v>7</v>
      </c>
      <c r="H18" s="187">
        <v>906</v>
      </c>
      <c r="I18" s="214" t="str">
        <f t="shared" si="0"/>
        <v>007-906</v>
      </c>
    </row>
    <row r="19" spans="1:9" ht="13.5" customHeight="1">
      <c r="A19" s="216" t="s">
        <v>1237</v>
      </c>
      <c r="B19" s="216" t="s">
        <v>3504</v>
      </c>
      <c r="C19" s="645">
        <v>1204711</v>
      </c>
      <c r="D19" s="645">
        <v>1250353</v>
      </c>
      <c r="F19" s="636" t="s">
        <v>3472</v>
      </c>
      <c r="G19" s="187">
        <v>8</v>
      </c>
      <c r="H19" s="187">
        <v>901</v>
      </c>
      <c r="I19" s="214" t="str">
        <f t="shared" si="0"/>
        <v>008-901</v>
      </c>
    </row>
    <row r="20" spans="1:9" ht="13.5" customHeight="1">
      <c r="A20" s="216" t="s">
        <v>1239</v>
      </c>
      <c r="B20" s="216" t="s">
        <v>3505</v>
      </c>
      <c r="C20" s="645">
        <v>2140959</v>
      </c>
      <c r="D20" s="645">
        <v>2105321</v>
      </c>
      <c r="F20" s="636" t="s">
        <v>3472</v>
      </c>
      <c r="G20" s="187">
        <v>8</v>
      </c>
      <c r="H20" s="187">
        <v>902</v>
      </c>
      <c r="I20" s="214" t="str">
        <f t="shared" si="0"/>
        <v>008-902</v>
      </c>
    </row>
    <row r="21" spans="1:9" ht="13.5" customHeight="1">
      <c r="A21" s="216" t="s">
        <v>1241</v>
      </c>
      <c r="B21" s="216" t="s">
        <v>3506</v>
      </c>
      <c r="C21" s="645">
        <v>688201</v>
      </c>
      <c r="D21" s="645">
        <v>693326</v>
      </c>
      <c r="F21" s="636" t="s">
        <v>3472</v>
      </c>
      <c r="G21" s="187">
        <v>8</v>
      </c>
      <c r="H21" s="187">
        <v>903</v>
      </c>
      <c r="I21" s="214" t="str">
        <f t="shared" si="0"/>
        <v>008-903</v>
      </c>
    </row>
    <row r="22" spans="1:9" ht="13.5" customHeight="1">
      <c r="A22" s="216" t="s">
        <v>2361</v>
      </c>
      <c r="B22" s="216" t="s">
        <v>3507</v>
      </c>
      <c r="C22" s="645">
        <v>1813881</v>
      </c>
      <c r="D22" s="645">
        <v>1846531</v>
      </c>
      <c r="F22" s="636" t="s">
        <v>3508</v>
      </c>
      <c r="G22" s="187">
        <v>10</v>
      </c>
      <c r="H22" s="187">
        <v>902</v>
      </c>
      <c r="I22" s="214" t="str">
        <f t="shared" si="0"/>
        <v>010-902</v>
      </c>
    </row>
    <row r="23" spans="1:9" ht="13.5" customHeight="1">
      <c r="A23" s="216" t="s">
        <v>948</v>
      </c>
      <c r="B23" s="216" t="s">
        <v>3509</v>
      </c>
      <c r="C23" s="645">
        <v>5044089</v>
      </c>
      <c r="D23" s="645">
        <v>5661809</v>
      </c>
      <c r="F23" s="636" t="s">
        <v>3508</v>
      </c>
      <c r="G23" s="187">
        <v>11</v>
      </c>
      <c r="H23" s="187">
        <v>901</v>
      </c>
      <c r="I23" s="214" t="str">
        <f t="shared" si="0"/>
        <v>011-901</v>
      </c>
    </row>
    <row r="24" spans="1:9" ht="13.5" customHeight="1">
      <c r="A24" s="216" t="s">
        <v>1522</v>
      </c>
      <c r="B24" s="216" t="s">
        <v>3510</v>
      </c>
      <c r="C24" s="645">
        <v>2681590</v>
      </c>
      <c r="D24" s="645">
        <v>3105447</v>
      </c>
      <c r="F24" s="636" t="s">
        <v>3508</v>
      </c>
      <c r="G24" s="187">
        <v>11</v>
      </c>
      <c r="H24" s="187">
        <v>902</v>
      </c>
      <c r="I24" s="214" t="str">
        <f t="shared" si="0"/>
        <v>011-902</v>
      </c>
    </row>
    <row r="25" spans="1:9" ht="13.5" customHeight="1">
      <c r="A25" s="216" t="s">
        <v>438</v>
      </c>
      <c r="B25" s="216" t="s">
        <v>3511</v>
      </c>
      <c r="C25" s="645">
        <v>1519933</v>
      </c>
      <c r="D25" s="645">
        <v>1484339</v>
      </c>
      <c r="F25" s="636" t="s">
        <v>3508</v>
      </c>
      <c r="G25" s="187">
        <v>11</v>
      </c>
      <c r="H25" s="187">
        <v>904</v>
      </c>
      <c r="I25" s="214" t="str">
        <f t="shared" si="0"/>
        <v>011-904</v>
      </c>
    </row>
    <row r="26" spans="1:9" ht="13.5" customHeight="1">
      <c r="A26" s="216" t="s">
        <v>2565</v>
      </c>
      <c r="B26" s="216" t="s">
        <v>3512</v>
      </c>
      <c r="C26" s="645">
        <v>99793</v>
      </c>
      <c r="D26" s="645">
        <v>102761</v>
      </c>
      <c r="F26" s="636" t="s">
        <v>3508</v>
      </c>
      <c r="G26" s="187">
        <v>11</v>
      </c>
      <c r="H26" s="187">
        <v>905</v>
      </c>
      <c r="I26" s="214" t="str">
        <f t="shared" si="0"/>
        <v>011-905</v>
      </c>
    </row>
    <row r="27" spans="1:9" ht="13.5" customHeight="1">
      <c r="A27" s="216" t="s">
        <v>1248</v>
      </c>
      <c r="B27" s="216" t="s">
        <v>3513</v>
      </c>
      <c r="C27" s="645">
        <v>318386</v>
      </c>
      <c r="D27" s="645">
        <v>325000</v>
      </c>
      <c r="F27" s="636" t="s">
        <v>3508</v>
      </c>
      <c r="G27" s="187">
        <v>12</v>
      </c>
      <c r="H27" s="187">
        <v>901</v>
      </c>
      <c r="I27" s="214" t="str">
        <f t="shared" si="0"/>
        <v>012-901</v>
      </c>
    </row>
    <row r="28" spans="1:9" ht="13.5" customHeight="1">
      <c r="A28" s="216" t="s">
        <v>439</v>
      </c>
      <c r="B28" s="216" t="s">
        <v>3514</v>
      </c>
      <c r="C28" s="645">
        <v>1831063</v>
      </c>
      <c r="D28" s="645">
        <v>1823663</v>
      </c>
      <c r="F28" s="636" t="s">
        <v>3508</v>
      </c>
      <c r="G28" s="187">
        <v>13</v>
      </c>
      <c r="H28" s="187">
        <v>901</v>
      </c>
      <c r="I28" s="214" t="str">
        <f t="shared" si="0"/>
        <v>013-901</v>
      </c>
    </row>
    <row r="29" spans="1:9" ht="13.5" customHeight="1">
      <c r="A29" s="216" t="s">
        <v>2399</v>
      </c>
      <c r="B29" s="216" t="s">
        <v>3515</v>
      </c>
      <c r="C29" s="645">
        <v>159659</v>
      </c>
      <c r="D29" s="645">
        <v>169168</v>
      </c>
      <c r="F29" s="636" t="s">
        <v>3508</v>
      </c>
      <c r="G29" s="187">
        <v>13</v>
      </c>
      <c r="H29" s="187">
        <v>905</v>
      </c>
      <c r="I29" s="214" t="str">
        <f t="shared" si="0"/>
        <v>013-905</v>
      </c>
    </row>
    <row r="30" spans="1:9" ht="13.5" customHeight="1">
      <c r="A30" s="216" t="s">
        <v>2566</v>
      </c>
      <c r="B30" s="216" t="s">
        <v>3516</v>
      </c>
      <c r="C30" s="645">
        <v>488905</v>
      </c>
      <c r="D30" s="645">
        <v>394845</v>
      </c>
      <c r="F30" s="636" t="s">
        <v>3508</v>
      </c>
      <c r="G30" s="187">
        <v>14</v>
      </c>
      <c r="H30" s="187">
        <v>901</v>
      </c>
      <c r="I30" s="214" t="str">
        <f t="shared" si="0"/>
        <v>014-901</v>
      </c>
    </row>
    <row r="31" spans="1:9" ht="13.5" customHeight="1">
      <c r="A31" s="216" t="s">
        <v>947</v>
      </c>
      <c r="B31" s="216" t="s">
        <v>3517</v>
      </c>
      <c r="C31" s="645">
        <v>210720</v>
      </c>
      <c r="D31" s="645">
        <v>177500</v>
      </c>
      <c r="F31" s="636" t="s">
        <v>3508</v>
      </c>
      <c r="G31" s="187">
        <v>14</v>
      </c>
      <c r="H31" s="187">
        <v>902</v>
      </c>
      <c r="I31" s="214" t="str">
        <f t="shared" si="0"/>
        <v>014-902</v>
      </c>
    </row>
    <row r="32" spans="1:9" ht="13.5" customHeight="1">
      <c r="A32" s="216" t="s">
        <v>950</v>
      </c>
      <c r="B32" s="216" t="s">
        <v>3518</v>
      </c>
      <c r="C32" s="645">
        <v>5617145</v>
      </c>
      <c r="D32" s="645">
        <v>5620150</v>
      </c>
      <c r="F32" s="636" t="s">
        <v>3508</v>
      </c>
      <c r="G32" s="187">
        <v>14</v>
      </c>
      <c r="H32" s="187">
        <v>903</v>
      </c>
      <c r="I32" s="214" t="str">
        <f t="shared" si="0"/>
        <v>014-903</v>
      </c>
    </row>
    <row r="33" spans="1:9" ht="13.5" customHeight="1">
      <c r="A33" s="216" t="s">
        <v>1869</v>
      </c>
      <c r="B33" s="216" t="s">
        <v>5671</v>
      </c>
      <c r="C33" s="645">
        <v>271178</v>
      </c>
      <c r="D33" s="645">
        <v>269625</v>
      </c>
      <c r="F33" s="636" t="s">
        <v>3508</v>
      </c>
      <c r="G33" s="187">
        <v>14</v>
      </c>
      <c r="H33" s="187">
        <v>905</v>
      </c>
      <c r="I33" s="214" t="str">
        <f t="shared" si="0"/>
        <v>014-905</v>
      </c>
    </row>
    <row r="34" spans="1:9" ht="13.5" customHeight="1">
      <c r="A34" s="216" t="s">
        <v>6033</v>
      </c>
      <c r="B34" s="216" t="s">
        <v>5672</v>
      </c>
      <c r="C34" s="645">
        <v>15617018</v>
      </c>
      <c r="D34" s="645">
        <v>15933418</v>
      </c>
      <c r="F34" s="636" t="s">
        <v>3508</v>
      </c>
      <c r="G34" s="187">
        <v>14</v>
      </c>
      <c r="H34" s="187">
        <v>906</v>
      </c>
      <c r="I34" s="214" t="str">
        <f t="shared" si="0"/>
        <v>014-906</v>
      </c>
    </row>
    <row r="35" spans="1:9" ht="13.5" customHeight="1">
      <c r="A35" s="216" t="s">
        <v>2309</v>
      </c>
      <c r="B35" s="216" t="s">
        <v>5673</v>
      </c>
      <c r="C35" s="645">
        <v>220830</v>
      </c>
      <c r="D35" s="645">
        <v>220430</v>
      </c>
      <c r="F35" s="636" t="s">
        <v>3508</v>
      </c>
      <c r="G35" s="187">
        <v>14</v>
      </c>
      <c r="H35" s="187">
        <v>907</v>
      </c>
      <c r="I35" s="214" t="str">
        <f t="shared" si="0"/>
        <v>014-907</v>
      </c>
    </row>
    <row r="36" spans="1:9" ht="13.5" customHeight="1">
      <c r="A36" s="216" t="s">
        <v>2384</v>
      </c>
      <c r="B36" s="216" t="s">
        <v>5915</v>
      </c>
      <c r="C36" s="645">
        <v>622289</v>
      </c>
      <c r="D36" s="645">
        <v>649137</v>
      </c>
      <c r="F36" s="636" t="s">
        <v>3508</v>
      </c>
      <c r="G36" s="187">
        <v>14</v>
      </c>
      <c r="H36" s="187">
        <v>908</v>
      </c>
      <c r="I36" s="214" t="str">
        <f t="shared" si="0"/>
        <v>014-908</v>
      </c>
    </row>
    <row r="37" spans="1:9" ht="13.5" customHeight="1">
      <c r="A37" s="216" t="s">
        <v>2411</v>
      </c>
      <c r="B37" s="216" t="s">
        <v>5916</v>
      </c>
      <c r="C37" s="645">
        <v>3714469</v>
      </c>
      <c r="D37" s="645">
        <v>3414444</v>
      </c>
      <c r="F37" s="636" t="s">
        <v>3508</v>
      </c>
      <c r="G37" s="187">
        <v>14</v>
      </c>
      <c r="H37" s="187">
        <v>909</v>
      </c>
      <c r="I37" s="214" t="str">
        <f t="shared" si="0"/>
        <v>014-909</v>
      </c>
    </row>
    <row r="38" spans="1:9" ht="13.5" customHeight="1">
      <c r="A38" s="216" t="s">
        <v>2416</v>
      </c>
      <c r="B38" s="216" t="s">
        <v>5917</v>
      </c>
      <c r="C38" s="645">
        <v>838361</v>
      </c>
      <c r="D38" s="645">
        <v>803901</v>
      </c>
      <c r="F38" s="636" t="s">
        <v>3508</v>
      </c>
      <c r="G38" s="187">
        <v>14</v>
      </c>
      <c r="H38" s="187">
        <v>910</v>
      </c>
      <c r="I38" s="214" t="str">
        <f t="shared" si="0"/>
        <v>014-910</v>
      </c>
    </row>
    <row r="39" spans="1:9" ht="13.5" customHeight="1">
      <c r="A39" s="216" t="s">
        <v>37</v>
      </c>
      <c r="B39" s="216" t="s">
        <v>5918</v>
      </c>
      <c r="C39" s="645">
        <v>5723966</v>
      </c>
      <c r="D39" s="645">
        <v>5990841</v>
      </c>
      <c r="F39" s="636" t="s">
        <v>3508</v>
      </c>
      <c r="G39" s="187">
        <v>15</v>
      </c>
      <c r="H39" s="187">
        <v>901</v>
      </c>
      <c r="I39" s="214" t="str">
        <f t="shared" si="0"/>
        <v>015-901</v>
      </c>
    </row>
    <row r="40" spans="1:9" ht="13.5" customHeight="1">
      <c r="A40" s="216" t="s">
        <v>1860</v>
      </c>
      <c r="B40" s="216" t="s">
        <v>5919</v>
      </c>
      <c r="C40" s="645">
        <v>11810736</v>
      </c>
      <c r="D40" s="645">
        <v>11944451</v>
      </c>
      <c r="F40" s="636" t="s">
        <v>3508</v>
      </c>
      <c r="G40" s="187">
        <v>15</v>
      </c>
      <c r="H40" s="187">
        <v>904</v>
      </c>
      <c r="I40" s="214" t="str">
        <f t="shared" si="0"/>
        <v>015-904</v>
      </c>
    </row>
    <row r="41" spans="1:9" ht="13.5" customHeight="1">
      <c r="A41" s="216" t="s">
        <v>1520</v>
      </c>
      <c r="B41" s="216" t="s">
        <v>5920</v>
      </c>
      <c r="C41" s="645">
        <v>9101713</v>
      </c>
      <c r="D41" s="645">
        <v>9113667</v>
      </c>
      <c r="F41" s="636" t="s">
        <v>3508</v>
      </c>
      <c r="G41" s="187">
        <v>15</v>
      </c>
      <c r="H41" s="187">
        <v>905</v>
      </c>
      <c r="I41" s="214" t="str">
        <f t="shared" si="0"/>
        <v>015-905</v>
      </c>
    </row>
    <row r="42" spans="1:9" ht="13.5" customHeight="1">
      <c r="A42" s="216" t="s">
        <v>2386</v>
      </c>
      <c r="B42" s="216" t="s">
        <v>5921</v>
      </c>
      <c r="C42" s="645">
        <v>39153867</v>
      </c>
      <c r="D42" s="645">
        <v>39111547</v>
      </c>
      <c r="F42" s="636" t="s">
        <v>3508</v>
      </c>
      <c r="G42" s="187">
        <v>15</v>
      </c>
      <c r="H42" s="187">
        <v>907</v>
      </c>
      <c r="I42" s="214" t="str">
        <f t="shared" si="0"/>
        <v>015-907</v>
      </c>
    </row>
    <row r="43" spans="1:9" ht="13.5" customHeight="1">
      <c r="A43" s="216" t="s">
        <v>2403</v>
      </c>
      <c r="B43" s="216" t="s">
        <v>5922</v>
      </c>
      <c r="C43" s="645">
        <v>7292089</v>
      </c>
      <c r="D43" s="645">
        <v>7290852</v>
      </c>
      <c r="F43" s="636" t="s">
        <v>3508</v>
      </c>
      <c r="G43" s="187">
        <v>15</v>
      </c>
      <c r="H43" s="187">
        <v>908</v>
      </c>
      <c r="I43" s="214" t="str">
        <f t="shared" si="0"/>
        <v>015-908</v>
      </c>
    </row>
    <row r="44" spans="1:9" ht="13.5" customHeight="1">
      <c r="A44" s="216" t="s">
        <v>2402</v>
      </c>
      <c r="B44" s="216" t="s">
        <v>5923</v>
      </c>
      <c r="C44" s="645">
        <v>2295867</v>
      </c>
      <c r="D44" s="645">
        <v>1961455</v>
      </c>
      <c r="F44" s="636" t="s">
        <v>3508</v>
      </c>
      <c r="G44" s="187">
        <v>15</v>
      </c>
      <c r="H44" s="187">
        <v>909</v>
      </c>
      <c r="I44" s="214" t="str">
        <f t="shared" si="0"/>
        <v>015-909</v>
      </c>
    </row>
    <row r="45" spans="1:9" ht="13.5" customHeight="1">
      <c r="A45" s="216" t="s">
        <v>6183</v>
      </c>
      <c r="B45" s="216" t="s">
        <v>5924</v>
      </c>
      <c r="C45" s="645">
        <v>67797538</v>
      </c>
      <c r="D45" s="645">
        <v>64505738</v>
      </c>
      <c r="F45" s="636" t="s">
        <v>3508</v>
      </c>
      <c r="G45" s="187">
        <v>15</v>
      </c>
      <c r="H45" s="187">
        <v>910</v>
      </c>
      <c r="I45" s="214" t="str">
        <f t="shared" si="0"/>
        <v>015-910</v>
      </c>
    </row>
    <row r="46" spans="1:9" ht="13.5" customHeight="1">
      <c r="A46" s="216" t="s">
        <v>1517</v>
      </c>
      <c r="B46" s="216" t="s">
        <v>5925</v>
      </c>
      <c r="C46" s="645">
        <v>4731364</v>
      </c>
      <c r="D46" s="645">
        <v>4730969</v>
      </c>
      <c r="F46" s="636" t="s">
        <v>3508</v>
      </c>
      <c r="G46" s="187">
        <v>15</v>
      </c>
      <c r="H46" s="187">
        <v>911</v>
      </c>
      <c r="I46" s="214" t="str">
        <f t="shared" si="0"/>
        <v>015-911</v>
      </c>
    </row>
    <row r="47" spans="1:9" ht="13.5" customHeight="1">
      <c r="A47" s="216" t="s">
        <v>3082</v>
      </c>
      <c r="B47" s="216" t="s">
        <v>5926</v>
      </c>
      <c r="C47" s="645">
        <v>3946256</v>
      </c>
      <c r="D47" s="645">
        <v>3958462</v>
      </c>
      <c r="F47" s="636" t="s">
        <v>3508</v>
      </c>
      <c r="G47" s="187">
        <v>15</v>
      </c>
      <c r="H47" s="187">
        <v>912</v>
      </c>
      <c r="I47" s="214" t="str">
        <f t="shared" si="0"/>
        <v>015-912</v>
      </c>
    </row>
    <row r="48" spans="1:9" ht="13.5" customHeight="1">
      <c r="A48" s="216" t="s">
        <v>6185</v>
      </c>
      <c r="B48" s="216" t="s">
        <v>5927</v>
      </c>
      <c r="C48" s="645">
        <v>67860532</v>
      </c>
      <c r="D48" s="645">
        <v>76314012</v>
      </c>
      <c r="F48" s="636" t="s">
        <v>3508</v>
      </c>
      <c r="G48" s="187">
        <v>15</v>
      </c>
      <c r="H48" s="187">
        <v>915</v>
      </c>
      <c r="I48" s="214" t="str">
        <f t="shared" si="0"/>
        <v>015-915</v>
      </c>
    </row>
    <row r="49" spans="1:9" ht="13.5" customHeight="1">
      <c r="A49" s="216" t="s">
        <v>6026</v>
      </c>
      <c r="B49" s="216" t="s">
        <v>5928</v>
      </c>
      <c r="C49" s="645">
        <v>17439984</v>
      </c>
      <c r="D49" s="645">
        <v>18204468</v>
      </c>
      <c r="F49" s="636" t="s">
        <v>3508</v>
      </c>
      <c r="G49" s="187">
        <v>15</v>
      </c>
      <c r="H49" s="187">
        <v>916</v>
      </c>
      <c r="I49" s="214" t="str">
        <f t="shared" si="0"/>
        <v>015-916</v>
      </c>
    </row>
    <row r="50" spans="1:9" ht="13.5" customHeight="1">
      <c r="A50" s="216" t="s">
        <v>2404</v>
      </c>
      <c r="B50" s="216" t="s">
        <v>5929</v>
      </c>
      <c r="C50" s="645">
        <v>3505763</v>
      </c>
      <c r="D50" s="645">
        <v>3504263</v>
      </c>
      <c r="F50" s="636" t="s">
        <v>3508</v>
      </c>
      <c r="G50" s="187">
        <v>15</v>
      </c>
      <c r="H50" s="187">
        <v>917</v>
      </c>
      <c r="I50" s="214" t="str">
        <f t="shared" si="0"/>
        <v>015-917</v>
      </c>
    </row>
    <row r="51" spans="1:9" ht="13.5" customHeight="1">
      <c r="A51" s="216" t="s">
        <v>45</v>
      </c>
      <c r="B51" s="216" t="s">
        <v>5930</v>
      </c>
      <c r="C51" s="645">
        <v>786179</v>
      </c>
      <c r="D51" s="645">
        <v>738094</v>
      </c>
      <c r="F51" s="636" t="s">
        <v>3508</v>
      </c>
      <c r="G51" s="187">
        <v>16</v>
      </c>
      <c r="H51" s="187">
        <v>901</v>
      </c>
      <c r="I51" s="214" t="str">
        <f t="shared" si="0"/>
        <v>016-901</v>
      </c>
    </row>
    <row r="52" spans="1:9" ht="13.5" customHeight="1">
      <c r="A52" s="216" t="s">
        <v>952</v>
      </c>
      <c r="B52" s="216" t="s">
        <v>5931</v>
      </c>
      <c r="C52" s="645">
        <v>659621</v>
      </c>
      <c r="D52" s="645">
        <v>654590</v>
      </c>
      <c r="F52" s="636" t="s">
        <v>3508</v>
      </c>
      <c r="G52" s="187">
        <v>16</v>
      </c>
      <c r="H52" s="187">
        <v>902</v>
      </c>
      <c r="I52" s="214" t="str">
        <f t="shared" si="0"/>
        <v>016-902</v>
      </c>
    </row>
    <row r="53" spans="1:9" ht="13.5" customHeight="1">
      <c r="A53" s="216" t="s">
        <v>740</v>
      </c>
      <c r="B53" s="216" t="s">
        <v>5932</v>
      </c>
      <c r="C53" s="645">
        <v>578250</v>
      </c>
      <c r="D53" s="645">
        <v>585125</v>
      </c>
      <c r="F53" s="636" t="s">
        <v>3508</v>
      </c>
      <c r="G53" s="187">
        <v>18</v>
      </c>
      <c r="H53" s="187">
        <v>901</v>
      </c>
      <c r="I53" s="214" t="str">
        <f t="shared" si="0"/>
        <v>018-901</v>
      </c>
    </row>
    <row r="54" spans="1:9" ht="13.5" customHeight="1">
      <c r="A54" s="216" t="s">
        <v>49</v>
      </c>
      <c r="B54" s="216" t="s">
        <v>5933</v>
      </c>
      <c r="C54" s="645">
        <v>183654</v>
      </c>
      <c r="D54" s="645">
        <v>177361</v>
      </c>
      <c r="F54" s="636" t="s">
        <v>3508</v>
      </c>
      <c r="G54" s="187">
        <v>18</v>
      </c>
      <c r="H54" s="187">
        <v>902</v>
      </c>
      <c r="I54" s="214" t="str">
        <f t="shared" si="0"/>
        <v>018-902</v>
      </c>
    </row>
    <row r="55" spans="1:9" ht="13.5" customHeight="1">
      <c r="A55" s="216" t="s">
        <v>1339</v>
      </c>
      <c r="B55" s="216" t="s">
        <v>5934</v>
      </c>
      <c r="C55" s="645">
        <v>337703</v>
      </c>
      <c r="D55" s="645">
        <v>346156</v>
      </c>
      <c r="F55" s="636" t="s">
        <v>3508</v>
      </c>
      <c r="G55" s="187">
        <v>18</v>
      </c>
      <c r="H55" s="187">
        <v>904</v>
      </c>
      <c r="I55" s="214" t="str">
        <f t="shared" si="0"/>
        <v>018-904</v>
      </c>
    </row>
    <row r="56" spans="1:9" ht="13.5" customHeight="1">
      <c r="A56" s="216" t="s">
        <v>1341</v>
      </c>
      <c r="B56" s="216" t="s">
        <v>5935</v>
      </c>
      <c r="C56" s="645">
        <v>62348</v>
      </c>
      <c r="D56" s="645">
        <v>65333</v>
      </c>
      <c r="F56" s="636" t="s">
        <v>3508</v>
      </c>
      <c r="G56" s="187">
        <v>18</v>
      </c>
      <c r="H56" s="187">
        <v>906</v>
      </c>
      <c r="I56" s="214" t="str">
        <f t="shared" si="0"/>
        <v>018-906</v>
      </c>
    </row>
    <row r="57" spans="1:9" ht="13.5" customHeight="1">
      <c r="A57" s="216" t="s">
        <v>1343</v>
      </c>
      <c r="B57" s="216" t="s">
        <v>5936</v>
      </c>
      <c r="C57" s="645">
        <v>22121</v>
      </c>
      <c r="D57" s="645">
        <v>21484</v>
      </c>
      <c r="F57" s="636" t="s">
        <v>3508</v>
      </c>
      <c r="G57" s="187">
        <v>18</v>
      </c>
      <c r="H57" s="187">
        <v>907</v>
      </c>
      <c r="I57" s="214" t="str">
        <f t="shared" si="0"/>
        <v>018-907</v>
      </c>
    </row>
    <row r="58" spans="1:9" ht="13.5" customHeight="1">
      <c r="A58" s="216" t="s">
        <v>963</v>
      </c>
      <c r="B58" s="216" t="s">
        <v>5937</v>
      </c>
      <c r="C58" s="645">
        <v>140803</v>
      </c>
      <c r="D58" s="645">
        <v>156318</v>
      </c>
      <c r="F58" s="636" t="s">
        <v>3508</v>
      </c>
      <c r="G58" s="187">
        <v>19</v>
      </c>
      <c r="H58" s="187">
        <v>901</v>
      </c>
      <c r="I58" s="214" t="str">
        <f t="shared" si="0"/>
        <v>019-901</v>
      </c>
    </row>
    <row r="59" spans="1:9" ht="13.5" customHeight="1">
      <c r="A59" s="216" t="s">
        <v>3083</v>
      </c>
      <c r="B59" s="216" t="s">
        <v>5938</v>
      </c>
      <c r="C59" s="645">
        <v>526980</v>
      </c>
      <c r="D59" s="645">
        <v>526833</v>
      </c>
      <c r="F59" s="636" t="s">
        <v>3508</v>
      </c>
      <c r="G59" s="187">
        <v>19</v>
      </c>
      <c r="H59" s="187">
        <v>902</v>
      </c>
      <c r="I59" s="214" t="str">
        <f t="shared" si="0"/>
        <v>019-902</v>
      </c>
    </row>
    <row r="60" spans="1:9" ht="13.5" customHeight="1">
      <c r="A60" s="216" t="s">
        <v>2568</v>
      </c>
      <c r="B60" s="216" t="s">
        <v>5939</v>
      </c>
      <c r="C60" s="645">
        <v>72388</v>
      </c>
      <c r="D60" s="645">
        <v>71163</v>
      </c>
      <c r="F60" s="636" t="s">
        <v>3508</v>
      </c>
      <c r="G60" s="187">
        <v>19</v>
      </c>
      <c r="H60" s="187">
        <v>903</v>
      </c>
      <c r="I60" s="214" t="str">
        <f t="shared" si="0"/>
        <v>019-903</v>
      </c>
    </row>
    <row r="61" spans="1:9" ht="13.5" customHeight="1">
      <c r="A61" s="216" t="s">
        <v>1349</v>
      </c>
      <c r="B61" s="216" t="s">
        <v>5940</v>
      </c>
      <c r="C61" s="645">
        <v>337489</v>
      </c>
      <c r="D61" s="645">
        <v>341451</v>
      </c>
      <c r="F61" s="636" t="s">
        <v>3508</v>
      </c>
      <c r="G61" s="187">
        <v>19</v>
      </c>
      <c r="H61" s="187">
        <v>905</v>
      </c>
      <c r="I61" s="214" t="str">
        <f t="shared" si="0"/>
        <v>019-905</v>
      </c>
    </row>
    <row r="62" spans="1:9" ht="13.5" customHeight="1">
      <c r="A62" s="216" t="s">
        <v>6083</v>
      </c>
      <c r="B62" s="216" t="s">
        <v>5941</v>
      </c>
      <c r="C62" s="645">
        <v>417042</v>
      </c>
      <c r="D62" s="645">
        <v>402688</v>
      </c>
      <c r="F62" s="636" t="s">
        <v>3508</v>
      </c>
      <c r="G62" s="187">
        <v>19</v>
      </c>
      <c r="H62" s="187">
        <v>906</v>
      </c>
      <c r="I62" s="214" t="str">
        <f t="shared" si="0"/>
        <v>019-906</v>
      </c>
    </row>
    <row r="63" spans="1:9" ht="13.5" customHeight="1">
      <c r="A63" s="216" t="s">
        <v>6085</v>
      </c>
      <c r="B63" s="216" t="s">
        <v>5942</v>
      </c>
      <c r="C63" s="645">
        <v>2110713</v>
      </c>
      <c r="D63" s="645">
        <v>2065196</v>
      </c>
      <c r="F63" s="636" t="s">
        <v>3508</v>
      </c>
      <c r="G63" s="187">
        <v>19</v>
      </c>
      <c r="H63" s="187">
        <v>907</v>
      </c>
      <c r="I63" s="214" t="str">
        <f t="shared" si="0"/>
        <v>019-907</v>
      </c>
    </row>
    <row r="64" spans="1:9" ht="13.5" customHeight="1">
      <c r="A64" s="216" t="s">
        <v>1998</v>
      </c>
      <c r="B64" s="216" t="s">
        <v>5943</v>
      </c>
      <c r="C64" s="645">
        <v>738938</v>
      </c>
      <c r="D64" s="645">
        <v>484129</v>
      </c>
      <c r="F64" s="636" t="s">
        <v>3508</v>
      </c>
      <c r="G64" s="187">
        <v>19</v>
      </c>
      <c r="H64" s="187">
        <v>908</v>
      </c>
      <c r="I64" s="214" t="str">
        <f t="shared" si="0"/>
        <v>019-908</v>
      </c>
    </row>
    <row r="65" spans="1:9" ht="13.5" customHeight="1">
      <c r="A65" s="216" t="s">
        <v>2570</v>
      </c>
      <c r="B65" s="216" t="s">
        <v>5944</v>
      </c>
      <c r="C65" s="645">
        <v>128248</v>
      </c>
      <c r="D65" s="645">
        <v>126148</v>
      </c>
      <c r="F65" s="636" t="s">
        <v>3508</v>
      </c>
      <c r="G65" s="187">
        <v>19</v>
      </c>
      <c r="H65" s="187">
        <v>909</v>
      </c>
      <c r="I65" s="214" t="str">
        <f t="shared" si="0"/>
        <v>019-909</v>
      </c>
    </row>
    <row r="66" spans="1:9" ht="13.5" customHeight="1">
      <c r="A66" s="216" t="s">
        <v>4076</v>
      </c>
      <c r="B66" s="216" t="s">
        <v>5945</v>
      </c>
      <c r="C66" s="645">
        <v>79240</v>
      </c>
      <c r="D66" s="645">
        <v>78030</v>
      </c>
      <c r="F66" s="636" t="s">
        <v>3508</v>
      </c>
      <c r="G66" s="187">
        <v>19</v>
      </c>
      <c r="H66" s="187">
        <v>910</v>
      </c>
      <c r="I66" s="214" t="str">
        <f t="shared" si="0"/>
        <v>019-910</v>
      </c>
    </row>
    <row r="67" spans="1:9" ht="13.5" customHeight="1">
      <c r="A67" s="216" t="s">
        <v>1963</v>
      </c>
      <c r="B67" s="216" t="s">
        <v>5946</v>
      </c>
      <c r="C67" s="645">
        <v>0</v>
      </c>
      <c r="D67" s="645">
        <v>0</v>
      </c>
      <c r="F67" s="636" t="s">
        <v>3508</v>
      </c>
      <c r="G67" s="187">
        <v>19</v>
      </c>
      <c r="H67" s="187">
        <v>911</v>
      </c>
      <c r="I67" s="214" t="str">
        <f t="shared" si="0"/>
        <v>019-911</v>
      </c>
    </row>
    <row r="68" spans="1:9" ht="13.5" customHeight="1">
      <c r="A68" s="216" t="s">
        <v>2000</v>
      </c>
      <c r="B68" s="216" t="s">
        <v>5947</v>
      </c>
      <c r="C68" s="645">
        <v>1249867</v>
      </c>
      <c r="D68" s="645">
        <v>1261348</v>
      </c>
      <c r="F68" s="636" t="s">
        <v>3508</v>
      </c>
      <c r="G68" s="187">
        <v>19</v>
      </c>
      <c r="H68" s="187">
        <v>912</v>
      </c>
      <c r="I68" s="214" t="str">
        <f t="shared" ref="I68:I131" si="1">F68&amp;G68&amp;"-"&amp;H68</f>
        <v>019-912</v>
      </c>
    </row>
    <row r="69" spans="1:9" ht="13.5" customHeight="1">
      <c r="A69" s="216" t="s">
        <v>2136</v>
      </c>
      <c r="B69" s="216" t="s">
        <v>5948</v>
      </c>
      <c r="C69" s="645">
        <v>8839503</v>
      </c>
      <c r="D69" s="645">
        <v>9021722</v>
      </c>
      <c r="F69" s="636" t="s">
        <v>3508</v>
      </c>
      <c r="G69" s="187">
        <v>20</v>
      </c>
      <c r="H69" s="187">
        <v>901</v>
      </c>
      <c r="I69" s="214" t="str">
        <f t="shared" si="1"/>
        <v>020-901</v>
      </c>
    </row>
    <row r="70" spans="1:9" ht="13.5" customHeight="1">
      <c r="A70" s="216" t="s">
        <v>2966</v>
      </c>
      <c r="B70" s="216" t="s">
        <v>5949</v>
      </c>
      <c r="C70" s="645">
        <v>2936781</v>
      </c>
      <c r="D70" s="645">
        <v>2970594</v>
      </c>
      <c r="F70" s="636" t="s">
        <v>3508</v>
      </c>
      <c r="G70" s="187">
        <v>20</v>
      </c>
      <c r="H70" s="187">
        <v>902</v>
      </c>
      <c r="I70" s="214" t="str">
        <f t="shared" si="1"/>
        <v>020-902</v>
      </c>
    </row>
    <row r="71" spans="1:9" ht="13.5" customHeight="1">
      <c r="A71" s="216" t="s">
        <v>3084</v>
      </c>
      <c r="B71" s="216" t="s">
        <v>5950</v>
      </c>
      <c r="C71" s="645">
        <v>269098</v>
      </c>
      <c r="D71" s="645">
        <v>252011</v>
      </c>
      <c r="F71" s="636" t="s">
        <v>3508</v>
      </c>
      <c r="G71" s="187">
        <v>20</v>
      </c>
      <c r="H71" s="187">
        <v>904</v>
      </c>
      <c r="I71" s="214" t="str">
        <f t="shared" si="1"/>
        <v>020-904</v>
      </c>
    </row>
    <row r="72" spans="1:9" ht="13.5" customHeight="1">
      <c r="A72" s="216" t="s">
        <v>6252</v>
      </c>
      <c r="B72" s="216" t="s">
        <v>5951</v>
      </c>
      <c r="C72" s="645">
        <v>10138914</v>
      </c>
      <c r="D72" s="645">
        <v>11161518</v>
      </c>
      <c r="F72" s="636" t="s">
        <v>3508</v>
      </c>
      <c r="G72" s="187">
        <v>20</v>
      </c>
      <c r="H72" s="187">
        <v>905</v>
      </c>
      <c r="I72" s="214" t="str">
        <f t="shared" si="1"/>
        <v>020-905</v>
      </c>
    </row>
    <row r="73" spans="1:9" ht="13.5" customHeight="1">
      <c r="A73" s="216" t="s">
        <v>6254</v>
      </c>
      <c r="B73" s="216" t="s">
        <v>5952</v>
      </c>
      <c r="C73" s="645">
        <v>1562694</v>
      </c>
      <c r="D73" s="645">
        <v>1563832</v>
      </c>
      <c r="F73" s="636" t="s">
        <v>3508</v>
      </c>
      <c r="G73" s="187">
        <v>20</v>
      </c>
      <c r="H73" s="187">
        <v>906</v>
      </c>
      <c r="I73" s="214" t="str">
        <f t="shared" si="1"/>
        <v>020-906</v>
      </c>
    </row>
    <row r="74" spans="1:9" ht="13.5" customHeight="1">
      <c r="A74" s="216" t="s">
        <v>233</v>
      </c>
      <c r="B74" s="216" t="s">
        <v>5953</v>
      </c>
      <c r="C74" s="645">
        <v>2649686</v>
      </c>
      <c r="D74" s="645">
        <v>2649636</v>
      </c>
      <c r="F74" s="636" t="s">
        <v>3508</v>
      </c>
      <c r="G74" s="187">
        <v>20</v>
      </c>
      <c r="H74" s="187">
        <v>907</v>
      </c>
      <c r="I74" s="214" t="str">
        <f t="shared" si="1"/>
        <v>020-907</v>
      </c>
    </row>
    <row r="75" spans="1:9" ht="13.5" customHeight="1">
      <c r="A75" s="216" t="s">
        <v>6195</v>
      </c>
      <c r="B75" s="216" t="s">
        <v>5954</v>
      </c>
      <c r="C75" s="645">
        <v>14169907</v>
      </c>
      <c r="D75" s="645">
        <v>13953493</v>
      </c>
      <c r="F75" s="636" t="s">
        <v>3508</v>
      </c>
      <c r="G75" s="187">
        <v>20</v>
      </c>
      <c r="H75" s="187">
        <v>908</v>
      </c>
      <c r="I75" s="214" t="str">
        <f t="shared" si="1"/>
        <v>020-908</v>
      </c>
    </row>
    <row r="76" spans="1:9" ht="13.5" customHeight="1">
      <c r="A76" s="216" t="s">
        <v>743</v>
      </c>
      <c r="B76" s="216" t="s">
        <v>5955</v>
      </c>
      <c r="C76" s="645">
        <v>6722229</v>
      </c>
      <c r="D76" s="645">
        <v>6701273</v>
      </c>
      <c r="F76" s="636" t="s">
        <v>3508</v>
      </c>
      <c r="G76" s="187">
        <v>21</v>
      </c>
      <c r="H76" s="187">
        <v>901</v>
      </c>
      <c r="I76" s="214" t="str">
        <f t="shared" si="1"/>
        <v>021-901</v>
      </c>
    </row>
    <row r="77" spans="1:9" ht="13.5" customHeight="1">
      <c r="A77" s="216" t="s">
        <v>960</v>
      </c>
      <c r="B77" s="216" t="s">
        <v>5956</v>
      </c>
      <c r="C77" s="645">
        <v>11891358</v>
      </c>
      <c r="D77" s="645">
        <v>11641374</v>
      </c>
      <c r="F77" s="636" t="s">
        <v>3508</v>
      </c>
      <c r="G77" s="187">
        <v>21</v>
      </c>
      <c r="H77" s="187">
        <v>902</v>
      </c>
      <c r="I77" s="214" t="str">
        <f t="shared" si="1"/>
        <v>021-902</v>
      </c>
    </row>
    <row r="78" spans="1:9" ht="13.5" customHeight="1">
      <c r="A78" s="216" t="s">
        <v>6262</v>
      </c>
      <c r="B78" s="216" t="s">
        <v>5957</v>
      </c>
      <c r="C78" s="645">
        <v>344103</v>
      </c>
      <c r="D78" s="645">
        <v>344103</v>
      </c>
      <c r="F78" s="636" t="s">
        <v>3508</v>
      </c>
      <c r="G78" s="187">
        <v>22</v>
      </c>
      <c r="H78" s="187">
        <v>901</v>
      </c>
      <c r="I78" s="214" t="str">
        <f t="shared" si="1"/>
        <v>022-901</v>
      </c>
    </row>
    <row r="79" spans="1:9" ht="13.5" customHeight="1">
      <c r="A79" s="216" t="s">
        <v>6270</v>
      </c>
      <c r="B79" s="216" t="s">
        <v>5958</v>
      </c>
      <c r="C79" s="645">
        <v>297844</v>
      </c>
      <c r="D79" s="645">
        <v>284389</v>
      </c>
      <c r="F79" s="636" t="s">
        <v>3508</v>
      </c>
      <c r="G79" s="187">
        <v>24</v>
      </c>
      <c r="H79" s="187">
        <v>901</v>
      </c>
      <c r="I79" s="214" t="str">
        <f t="shared" si="1"/>
        <v>024-901</v>
      </c>
    </row>
    <row r="80" spans="1:9" ht="13.5" customHeight="1">
      <c r="A80" s="216" t="s">
        <v>6272</v>
      </c>
      <c r="B80" s="216" t="s">
        <v>6298</v>
      </c>
      <c r="C80" s="645">
        <v>222219</v>
      </c>
      <c r="D80" s="645">
        <v>222219</v>
      </c>
      <c r="F80" s="636" t="s">
        <v>3508</v>
      </c>
      <c r="G80" s="187">
        <v>25</v>
      </c>
      <c r="H80" s="187">
        <v>901</v>
      </c>
      <c r="I80" s="214" t="str">
        <f t="shared" si="1"/>
        <v>025-901</v>
      </c>
    </row>
    <row r="81" spans="1:9" ht="13.5" customHeight="1">
      <c r="A81" s="216" t="s">
        <v>2291</v>
      </c>
      <c r="B81" s="216" t="s">
        <v>6299</v>
      </c>
      <c r="C81" s="645">
        <v>2804298</v>
      </c>
      <c r="D81" s="645">
        <v>2829698</v>
      </c>
      <c r="F81" s="636" t="s">
        <v>3508</v>
      </c>
      <c r="G81" s="187">
        <v>25</v>
      </c>
      <c r="H81" s="187">
        <v>902</v>
      </c>
      <c r="I81" s="214" t="str">
        <f t="shared" si="1"/>
        <v>025-902</v>
      </c>
    </row>
    <row r="82" spans="1:9" ht="13.5" customHeight="1">
      <c r="A82" s="216" t="s">
        <v>954</v>
      </c>
      <c r="B82" s="216" t="s">
        <v>6300</v>
      </c>
      <c r="C82" s="645">
        <v>102520</v>
      </c>
      <c r="D82" s="645">
        <v>100645</v>
      </c>
      <c r="F82" s="636" t="s">
        <v>3508</v>
      </c>
      <c r="G82" s="187">
        <v>25</v>
      </c>
      <c r="H82" s="187">
        <v>904</v>
      </c>
      <c r="I82" s="214" t="str">
        <f t="shared" si="1"/>
        <v>025-904</v>
      </c>
    </row>
    <row r="83" spans="1:9" ht="13.5" customHeight="1">
      <c r="A83" s="216" t="s">
        <v>6166</v>
      </c>
      <c r="B83" s="216" t="s">
        <v>6301</v>
      </c>
      <c r="C83" s="645">
        <v>154406</v>
      </c>
      <c r="D83" s="645">
        <v>156038</v>
      </c>
      <c r="F83" s="636" t="s">
        <v>3508</v>
      </c>
      <c r="G83" s="187">
        <v>25</v>
      </c>
      <c r="H83" s="187">
        <v>905</v>
      </c>
      <c r="I83" s="214" t="str">
        <f t="shared" si="1"/>
        <v>025-905</v>
      </c>
    </row>
    <row r="84" spans="1:9" ht="13.5" customHeight="1">
      <c r="A84" s="216" t="s">
        <v>864</v>
      </c>
      <c r="B84" s="216" t="s">
        <v>2541</v>
      </c>
      <c r="C84" s="645">
        <v>45831</v>
      </c>
      <c r="D84" s="645">
        <v>44269</v>
      </c>
      <c r="F84" s="636" t="s">
        <v>3508</v>
      </c>
      <c r="G84" s="187">
        <v>25</v>
      </c>
      <c r="H84" s="187">
        <v>906</v>
      </c>
      <c r="I84" s="214" t="str">
        <f t="shared" si="1"/>
        <v>025-906</v>
      </c>
    </row>
    <row r="85" spans="1:9" ht="13.5" customHeight="1">
      <c r="A85" s="216" t="s">
        <v>3085</v>
      </c>
      <c r="B85" s="216" t="s">
        <v>2542</v>
      </c>
      <c r="C85" s="645">
        <v>138409</v>
      </c>
      <c r="D85" s="645">
        <v>134569</v>
      </c>
      <c r="F85" s="636" t="s">
        <v>3508</v>
      </c>
      <c r="G85" s="187">
        <v>25</v>
      </c>
      <c r="H85" s="187">
        <v>908</v>
      </c>
      <c r="I85" s="214" t="str">
        <f t="shared" si="1"/>
        <v>025-908</v>
      </c>
    </row>
    <row r="86" spans="1:9" ht="13.5" customHeight="1">
      <c r="A86" s="216" t="s">
        <v>1518</v>
      </c>
      <c r="B86" s="216" t="s">
        <v>2543</v>
      </c>
      <c r="C86" s="645">
        <v>402374</v>
      </c>
      <c r="D86" s="645">
        <v>377188</v>
      </c>
      <c r="F86" s="636" t="s">
        <v>3508</v>
      </c>
      <c r="G86" s="187">
        <v>25</v>
      </c>
      <c r="H86" s="187">
        <v>909</v>
      </c>
      <c r="I86" s="214" t="str">
        <f t="shared" si="1"/>
        <v>025-909</v>
      </c>
    </row>
    <row r="87" spans="1:9" ht="13.5" customHeight="1">
      <c r="A87" s="216" t="s">
        <v>2293</v>
      </c>
      <c r="B87" s="216" t="s">
        <v>2544</v>
      </c>
      <c r="C87" s="645">
        <v>707959</v>
      </c>
      <c r="D87" s="645">
        <v>707959</v>
      </c>
      <c r="F87" s="636" t="s">
        <v>3508</v>
      </c>
      <c r="G87" s="187">
        <v>26</v>
      </c>
      <c r="H87" s="187">
        <v>901</v>
      </c>
      <c r="I87" s="214" t="str">
        <f t="shared" si="1"/>
        <v>026-901</v>
      </c>
    </row>
    <row r="88" spans="1:9" ht="13.5" customHeight="1">
      <c r="A88" s="216" t="s">
        <v>2295</v>
      </c>
      <c r="B88" s="216" t="s">
        <v>2545</v>
      </c>
      <c r="C88" s="645">
        <v>200450</v>
      </c>
      <c r="D88" s="645">
        <v>201431</v>
      </c>
      <c r="F88" s="636" t="s">
        <v>3508</v>
      </c>
      <c r="G88" s="187">
        <v>26</v>
      </c>
      <c r="H88" s="187">
        <v>902</v>
      </c>
      <c r="I88" s="214" t="str">
        <f t="shared" si="1"/>
        <v>026-902</v>
      </c>
    </row>
    <row r="89" spans="1:9" ht="13.5" customHeight="1">
      <c r="A89" s="216" t="s">
        <v>978</v>
      </c>
      <c r="B89" s="216" t="s">
        <v>2546</v>
      </c>
      <c r="C89" s="645">
        <v>3002379</v>
      </c>
      <c r="D89" s="645">
        <v>3094999</v>
      </c>
      <c r="F89" s="636" t="s">
        <v>3508</v>
      </c>
      <c r="G89" s="187">
        <v>27</v>
      </c>
      <c r="H89" s="187">
        <v>903</v>
      </c>
      <c r="I89" s="214" t="str">
        <f t="shared" si="1"/>
        <v>027-903</v>
      </c>
    </row>
    <row r="90" spans="1:9" ht="13.5" customHeight="1">
      <c r="A90" s="216" t="s">
        <v>3003</v>
      </c>
      <c r="B90" s="216" t="s">
        <v>2547</v>
      </c>
      <c r="C90" s="645">
        <v>2691734</v>
      </c>
      <c r="D90" s="645">
        <v>2730608</v>
      </c>
      <c r="F90" s="636" t="s">
        <v>3508</v>
      </c>
      <c r="G90" s="187">
        <v>27</v>
      </c>
      <c r="H90" s="187">
        <v>904</v>
      </c>
      <c r="I90" s="214" t="str">
        <f t="shared" si="1"/>
        <v>027-904</v>
      </c>
    </row>
    <row r="91" spans="1:9" ht="13.5" customHeight="1">
      <c r="A91" s="216" t="s">
        <v>2993</v>
      </c>
      <c r="B91" s="216" t="s">
        <v>2548</v>
      </c>
      <c r="C91" s="645">
        <v>2976932</v>
      </c>
      <c r="D91" s="645">
        <v>2851865</v>
      </c>
      <c r="F91" s="636" t="s">
        <v>3508</v>
      </c>
      <c r="G91" s="187">
        <v>28</v>
      </c>
      <c r="H91" s="187">
        <v>902</v>
      </c>
      <c r="I91" s="214" t="str">
        <f t="shared" si="1"/>
        <v>028-902</v>
      </c>
    </row>
    <row r="92" spans="1:9" ht="13.5" customHeight="1">
      <c r="A92" s="216" t="s">
        <v>518</v>
      </c>
      <c r="B92" s="216" t="s">
        <v>2549</v>
      </c>
      <c r="C92" s="645">
        <v>365843</v>
      </c>
      <c r="D92" s="645">
        <v>366118</v>
      </c>
      <c r="F92" s="636" t="s">
        <v>3508</v>
      </c>
      <c r="G92" s="187">
        <v>28</v>
      </c>
      <c r="H92" s="187">
        <v>903</v>
      </c>
      <c r="I92" s="214" t="str">
        <f t="shared" si="1"/>
        <v>028-903</v>
      </c>
    </row>
    <row r="93" spans="1:9" ht="13.5" customHeight="1">
      <c r="A93" s="216" t="s">
        <v>3971</v>
      </c>
      <c r="B93" s="216" t="s">
        <v>4842</v>
      </c>
      <c r="C93" s="645" t="s">
        <v>6153</v>
      </c>
      <c r="D93" s="645" t="s">
        <v>6153</v>
      </c>
      <c r="F93" s="636" t="s">
        <v>3508</v>
      </c>
      <c r="G93" s="187">
        <v>29</v>
      </c>
      <c r="H93" s="187">
        <v>901</v>
      </c>
      <c r="I93" s="214" t="str">
        <f t="shared" si="1"/>
        <v>029-901</v>
      </c>
    </row>
    <row r="94" spans="1:9" ht="13.5" customHeight="1">
      <c r="A94" s="216" t="s">
        <v>2161</v>
      </c>
      <c r="B94" s="216" t="s">
        <v>4843</v>
      </c>
      <c r="C94" s="645">
        <v>88428</v>
      </c>
      <c r="D94" s="645">
        <v>90834</v>
      </c>
      <c r="F94" s="636" t="s">
        <v>3508</v>
      </c>
      <c r="G94" s="187">
        <v>30</v>
      </c>
      <c r="H94" s="187">
        <v>901</v>
      </c>
      <c r="I94" s="214" t="str">
        <f t="shared" si="1"/>
        <v>030-901</v>
      </c>
    </row>
    <row r="95" spans="1:9" ht="13.5" customHeight="1">
      <c r="A95" s="216" t="s">
        <v>3086</v>
      </c>
      <c r="B95" s="216" t="s">
        <v>4844</v>
      </c>
      <c r="C95" s="645">
        <v>606338</v>
      </c>
      <c r="D95" s="645">
        <v>606175</v>
      </c>
      <c r="F95" s="636" t="s">
        <v>3508</v>
      </c>
      <c r="G95" s="187">
        <v>30</v>
      </c>
      <c r="H95" s="187">
        <v>902</v>
      </c>
      <c r="I95" s="214" t="str">
        <f t="shared" si="1"/>
        <v>030-902</v>
      </c>
    </row>
    <row r="96" spans="1:9" ht="13.5" customHeight="1">
      <c r="A96" s="216" t="s">
        <v>4181</v>
      </c>
      <c r="B96" s="216" t="s">
        <v>4845</v>
      </c>
      <c r="C96" s="645">
        <v>362401</v>
      </c>
      <c r="D96" s="645">
        <v>359619</v>
      </c>
      <c r="F96" s="636" t="s">
        <v>3508</v>
      </c>
      <c r="G96" s="187">
        <v>30</v>
      </c>
      <c r="H96" s="187">
        <v>906</v>
      </c>
      <c r="I96" s="214" t="str">
        <f t="shared" si="1"/>
        <v>030-906</v>
      </c>
    </row>
    <row r="97" spans="1:9" ht="13.5" customHeight="1">
      <c r="A97" s="216" t="s">
        <v>959</v>
      </c>
      <c r="B97" s="216" t="s">
        <v>4846</v>
      </c>
      <c r="C97" s="645">
        <v>7176559</v>
      </c>
      <c r="D97" s="645">
        <v>6904555</v>
      </c>
      <c r="F97" s="636" t="s">
        <v>3508</v>
      </c>
      <c r="G97" s="187">
        <v>31</v>
      </c>
      <c r="H97" s="187">
        <v>901</v>
      </c>
      <c r="I97" s="214" t="str">
        <f t="shared" si="1"/>
        <v>031-901</v>
      </c>
    </row>
    <row r="98" spans="1:9" ht="13.5" customHeight="1">
      <c r="A98" s="216" t="s">
        <v>1861</v>
      </c>
      <c r="B98" s="216" t="s">
        <v>4847</v>
      </c>
      <c r="C98" s="645">
        <v>5341086</v>
      </c>
      <c r="D98" s="645">
        <v>5318486</v>
      </c>
      <c r="F98" s="636" t="s">
        <v>3508</v>
      </c>
      <c r="G98" s="187">
        <v>31</v>
      </c>
      <c r="H98" s="187">
        <v>903</v>
      </c>
      <c r="I98" s="214" t="str">
        <f t="shared" si="1"/>
        <v>031-903</v>
      </c>
    </row>
    <row r="99" spans="1:9" ht="13.5" customHeight="1">
      <c r="A99" s="216" t="s">
        <v>6037</v>
      </c>
      <c r="B99" s="216" t="s">
        <v>4848</v>
      </c>
      <c r="C99" s="645">
        <v>1834901</v>
      </c>
      <c r="D99" s="645">
        <v>1794484</v>
      </c>
      <c r="F99" s="636" t="s">
        <v>3508</v>
      </c>
      <c r="G99" s="187">
        <v>31</v>
      </c>
      <c r="H99" s="187">
        <v>905</v>
      </c>
      <c r="I99" s="214" t="str">
        <f t="shared" si="1"/>
        <v>031-905</v>
      </c>
    </row>
    <row r="100" spans="1:9" ht="13.5" customHeight="1">
      <c r="A100" s="216" t="s">
        <v>2995</v>
      </c>
      <c r="B100" s="216" t="s">
        <v>4849</v>
      </c>
      <c r="C100" s="645">
        <v>3592920</v>
      </c>
      <c r="D100" s="645">
        <v>3454574</v>
      </c>
      <c r="F100" s="636" t="s">
        <v>3508</v>
      </c>
      <c r="G100" s="187">
        <v>31</v>
      </c>
      <c r="H100" s="187">
        <v>906</v>
      </c>
      <c r="I100" s="214" t="str">
        <f t="shared" si="1"/>
        <v>031-906</v>
      </c>
    </row>
    <row r="101" spans="1:9" ht="13.5" customHeight="1">
      <c r="A101" s="216" t="s">
        <v>7643</v>
      </c>
      <c r="B101" s="216" t="s">
        <v>4850</v>
      </c>
      <c r="C101" s="645">
        <v>1510586</v>
      </c>
      <c r="D101" s="645">
        <v>1518816</v>
      </c>
      <c r="F101" s="636" t="s">
        <v>3508</v>
      </c>
      <c r="G101" s="187">
        <v>31</v>
      </c>
      <c r="H101" s="187">
        <v>909</v>
      </c>
      <c r="I101" s="214" t="str">
        <f t="shared" si="1"/>
        <v>031-909</v>
      </c>
    </row>
    <row r="102" spans="1:9" ht="13.5" customHeight="1">
      <c r="A102" s="216" t="s">
        <v>3087</v>
      </c>
      <c r="B102" s="216" t="s">
        <v>4851</v>
      </c>
      <c r="C102" s="645">
        <v>1647917</v>
      </c>
      <c r="D102" s="645">
        <v>1684961</v>
      </c>
      <c r="F102" s="636" t="s">
        <v>3508</v>
      </c>
      <c r="G102" s="187">
        <v>31</v>
      </c>
      <c r="H102" s="187">
        <v>911</v>
      </c>
      <c r="I102" s="214" t="str">
        <f t="shared" si="1"/>
        <v>031-911</v>
      </c>
    </row>
    <row r="103" spans="1:9" ht="13.5" customHeight="1">
      <c r="A103" s="216" t="s">
        <v>2387</v>
      </c>
      <c r="B103" s="216" t="s">
        <v>4852</v>
      </c>
      <c r="C103" s="645">
        <v>7316555</v>
      </c>
      <c r="D103" s="645">
        <v>7345244</v>
      </c>
      <c r="F103" s="636" t="s">
        <v>3508</v>
      </c>
      <c r="G103" s="187">
        <v>31</v>
      </c>
      <c r="H103" s="187">
        <v>912</v>
      </c>
      <c r="I103" s="214" t="str">
        <f t="shared" si="1"/>
        <v>031-912</v>
      </c>
    </row>
    <row r="104" spans="1:9" ht="13.5" customHeight="1">
      <c r="A104" s="216" t="s">
        <v>3088</v>
      </c>
      <c r="B104" s="216" t="s">
        <v>4853</v>
      </c>
      <c r="C104" s="645">
        <v>432367</v>
      </c>
      <c r="D104" s="645">
        <v>428376</v>
      </c>
      <c r="F104" s="636" t="s">
        <v>3508</v>
      </c>
      <c r="G104" s="187">
        <v>31</v>
      </c>
      <c r="H104" s="187">
        <v>913</v>
      </c>
      <c r="I104" s="214" t="str">
        <f t="shared" si="1"/>
        <v>031-913</v>
      </c>
    </row>
    <row r="105" spans="1:9" ht="13.5" customHeight="1">
      <c r="A105" s="216" t="s">
        <v>2393</v>
      </c>
      <c r="B105" s="216" t="s">
        <v>4854</v>
      </c>
      <c r="C105" s="645">
        <v>855530</v>
      </c>
      <c r="D105" s="645">
        <v>853010</v>
      </c>
      <c r="F105" s="636" t="s">
        <v>3508</v>
      </c>
      <c r="G105" s="187">
        <v>31</v>
      </c>
      <c r="H105" s="187">
        <v>914</v>
      </c>
      <c r="I105" s="214" t="str">
        <f t="shared" si="1"/>
        <v>031-914</v>
      </c>
    </row>
    <row r="106" spans="1:9" ht="13.5" customHeight="1">
      <c r="A106" s="216" t="s">
        <v>7647</v>
      </c>
      <c r="B106" s="216" t="s">
        <v>4855</v>
      </c>
      <c r="C106" s="645">
        <v>521024</v>
      </c>
      <c r="D106" s="645">
        <v>509399</v>
      </c>
      <c r="F106" s="636" t="s">
        <v>3508</v>
      </c>
      <c r="G106" s="187">
        <v>32</v>
      </c>
      <c r="H106" s="187">
        <v>902</v>
      </c>
      <c r="I106" s="214" t="str">
        <f t="shared" si="1"/>
        <v>032-902</v>
      </c>
    </row>
    <row r="107" spans="1:9" ht="13.5" customHeight="1">
      <c r="A107" s="216" t="s">
        <v>7649</v>
      </c>
      <c r="B107" s="216" t="s">
        <v>4856</v>
      </c>
      <c r="C107" s="645">
        <v>57345</v>
      </c>
      <c r="D107" s="645">
        <v>55695</v>
      </c>
      <c r="F107" s="636" t="s">
        <v>3508</v>
      </c>
      <c r="G107" s="187">
        <v>33</v>
      </c>
      <c r="H107" s="187">
        <v>901</v>
      </c>
      <c r="I107" s="214" t="str">
        <f t="shared" si="1"/>
        <v>033-901</v>
      </c>
    </row>
    <row r="108" spans="1:9" ht="13.5" customHeight="1">
      <c r="A108" s="216" t="s">
        <v>1790</v>
      </c>
      <c r="B108" s="216" t="s">
        <v>4857</v>
      </c>
      <c r="C108" s="645">
        <v>335125</v>
      </c>
      <c r="D108" s="645">
        <v>316078</v>
      </c>
      <c r="F108" s="636" t="s">
        <v>3508</v>
      </c>
      <c r="G108" s="187">
        <v>34</v>
      </c>
      <c r="H108" s="187">
        <v>901</v>
      </c>
      <c r="I108" s="214" t="str">
        <f t="shared" si="1"/>
        <v>034-901</v>
      </c>
    </row>
    <row r="109" spans="1:9" ht="13.5" customHeight="1">
      <c r="A109" s="216" t="s">
        <v>2982</v>
      </c>
      <c r="B109" s="216" t="s">
        <v>4858</v>
      </c>
      <c r="C109" s="645">
        <v>429651</v>
      </c>
      <c r="D109" s="645">
        <v>233325</v>
      </c>
      <c r="F109" s="636" t="s">
        <v>3508</v>
      </c>
      <c r="G109" s="187">
        <v>34</v>
      </c>
      <c r="H109" s="187">
        <v>903</v>
      </c>
      <c r="I109" s="214" t="str">
        <f t="shared" si="1"/>
        <v>034-903</v>
      </c>
    </row>
    <row r="110" spans="1:9" ht="13.5" customHeight="1">
      <c r="A110" s="216" t="s">
        <v>6704</v>
      </c>
      <c r="B110" s="216" t="s">
        <v>4859</v>
      </c>
      <c r="C110" s="645">
        <v>368655</v>
      </c>
      <c r="D110" s="645">
        <v>376773</v>
      </c>
      <c r="F110" s="636" t="s">
        <v>3508</v>
      </c>
      <c r="G110" s="187">
        <v>34</v>
      </c>
      <c r="H110" s="187">
        <v>907</v>
      </c>
      <c r="I110" s="214" t="str">
        <f t="shared" si="1"/>
        <v>034-907</v>
      </c>
    </row>
    <row r="111" spans="1:9" ht="13.5" customHeight="1">
      <c r="A111" s="216" t="s">
        <v>6177</v>
      </c>
      <c r="B111" s="216" t="s">
        <v>4860</v>
      </c>
      <c r="C111" s="645">
        <v>170800</v>
      </c>
      <c r="D111" s="645">
        <v>171990</v>
      </c>
      <c r="F111" s="636" t="s">
        <v>3508</v>
      </c>
      <c r="G111" s="187">
        <v>35</v>
      </c>
      <c r="H111" s="187">
        <v>903</v>
      </c>
      <c r="I111" s="214" t="str">
        <f t="shared" si="1"/>
        <v>035-903</v>
      </c>
    </row>
    <row r="112" spans="1:9" ht="13.5" customHeight="1">
      <c r="A112" s="216" t="s">
        <v>265</v>
      </c>
      <c r="B112" s="216" t="s">
        <v>4861</v>
      </c>
      <c r="C112" s="645">
        <v>541185</v>
      </c>
      <c r="D112" s="645">
        <v>544008</v>
      </c>
      <c r="F112" s="636" t="s">
        <v>3508</v>
      </c>
      <c r="G112" s="187">
        <v>36</v>
      </c>
      <c r="H112" s="187">
        <v>901</v>
      </c>
      <c r="I112" s="214" t="str">
        <f t="shared" si="1"/>
        <v>036-901</v>
      </c>
    </row>
    <row r="113" spans="1:9" ht="13.5" customHeight="1">
      <c r="A113" s="216" t="s">
        <v>897</v>
      </c>
      <c r="B113" s="216" t="s">
        <v>4862</v>
      </c>
      <c r="C113" s="645">
        <v>5282422</v>
      </c>
      <c r="D113" s="645">
        <v>5069844</v>
      </c>
      <c r="F113" s="636" t="s">
        <v>3508</v>
      </c>
      <c r="G113" s="187">
        <v>36</v>
      </c>
      <c r="H113" s="187">
        <v>902</v>
      </c>
      <c r="I113" s="214" t="str">
        <f t="shared" si="1"/>
        <v>036-902</v>
      </c>
    </row>
    <row r="114" spans="1:9" ht="13.5" customHeight="1">
      <c r="A114" s="216" t="s">
        <v>901</v>
      </c>
      <c r="B114" s="216" t="s">
        <v>4863</v>
      </c>
      <c r="C114" s="645">
        <v>111768</v>
      </c>
      <c r="D114" s="645">
        <v>114473</v>
      </c>
      <c r="F114" s="636" t="s">
        <v>3508</v>
      </c>
      <c r="G114" s="187">
        <v>37</v>
      </c>
      <c r="H114" s="187">
        <v>901</v>
      </c>
      <c r="I114" s="214" t="str">
        <f t="shared" si="1"/>
        <v>037-901</v>
      </c>
    </row>
    <row r="115" spans="1:9" ht="13.5" customHeight="1">
      <c r="A115" s="216" t="s">
        <v>6023</v>
      </c>
      <c r="B115" s="216" t="s">
        <v>4864</v>
      </c>
      <c r="C115" s="645">
        <v>1393648</v>
      </c>
      <c r="D115" s="645">
        <v>1393900</v>
      </c>
      <c r="F115" s="636" t="s">
        <v>3508</v>
      </c>
      <c r="G115" s="187">
        <v>37</v>
      </c>
      <c r="H115" s="187">
        <v>904</v>
      </c>
      <c r="I115" s="214" t="str">
        <f t="shared" si="1"/>
        <v>037-904</v>
      </c>
    </row>
    <row r="116" spans="1:9" ht="13.5" customHeight="1">
      <c r="A116" s="216" t="s">
        <v>2383</v>
      </c>
      <c r="B116" s="216" t="s">
        <v>4865</v>
      </c>
      <c r="C116" s="645">
        <v>835976</v>
      </c>
      <c r="D116" s="645">
        <v>841394</v>
      </c>
      <c r="F116" s="636" t="s">
        <v>3508</v>
      </c>
      <c r="G116" s="187">
        <v>37</v>
      </c>
      <c r="H116" s="187">
        <v>907</v>
      </c>
      <c r="I116" s="214" t="str">
        <f t="shared" si="1"/>
        <v>037-907</v>
      </c>
    </row>
    <row r="117" spans="1:9" ht="13.5" customHeight="1">
      <c r="A117" s="216" t="s">
        <v>6180</v>
      </c>
      <c r="B117" s="216" t="s">
        <v>4866</v>
      </c>
      <c r="C117" s="645" t="s">
        <v>6153</v>
      </c>
      <c r="D117" s="645" t="s">
        <v>6153</v>
      </c>
      <c r="F117" s="636" t="s">
        <v>3508</v>
      </c>
      <c r="G117" s="187">
        <v>37</v>
      </c>
      <c r="H117" s="187">
        <v>908</v>
      </c>
      <c r="I117" s="214" t="str">
        <f t="shared" si="1"/>
        <v>037-908</v>
      </c>
    </row>
    <row r="118" spans="1:9" ht="13.5" customHeight="1">
      <c r="A118" s="216" t="s">
        <v>736</v>
      </c>
      <c r="B118" s="216" t="s">
        <v>4867</v>
      </c>
      <c r="C118" s="645">
        <v>340670</v>
      </c>
      <c r="D118" s="645">
        <v>341795</v>
      </c>
      <c r="F118" s="636" t="s">
        <v>3508</v>
      </c>
      <c r="G118" s="187">
        <v>38</v>
      </c>
      <c r="H118" s="187">
        <v>901</v>
      </c>
      <c r="I118" s="214" t="str">
        <f t="shared" si="1"/>
        <v>038-901</v>
      </c>
    </row>
    <row r="119" spans="1:9" ht="13.5" customHeight="1">
      <c r="A119" s="216" t="s">
        <v>5336</v>
      </c>
      <c r="B119" s="216" t="s">
        <v>4868</v>
      </c>
      <c r="C119" s="645">
        <v>0</v>
      </c>
      <c r="D119" s="645">
        <v>0</v>
      </c>
      <c r="F119" s="636" t="s">
        <v>3508</v>
      </c>
      <c r="G119" s="187">
        <v>39</v>
      </c>
      <c r="H119" s="187">
        <v>901</v>
      </c>
      <c r="I119" s="214" t="str">
        <f t="shared" si="1"/>
        <v>039-901</v>
      </c>
    </row>
    <row r="120" spans="1:9" ht="13.5" customHeight="1">
      <c r="A120" s="216" t="s">
        <v>2117</v>
      </c>
      <c r="B120" s="216" t="s">
        <v>4869</v>
      </c>
      <c r="C120" s="645">
        <v>265000</v>
      </c>
      <c r="D120" s="645">
        <v>265000</v>
      </c>
      <c r="F120" s="636" t="s">
        <v>3508</v>
      </c>
      <c r="G120" s="187">
        <v>39</v>
      </c>
      <c r="H120" s="187">
        <v>902</v>
      </c>
      <c r="I120" s="214" t="str">
        <f t="shared" si="1"/>
        <v>039-902</v>
      </c>
    </row>
    <row r="121" spans="1:9" ht="13.5" customHeight="1">
      <c r="A121" s="216" t="s">
        <v>3089</v>
      </c>
      <c r="B121" s="216" t="s">
        <v>4870</v>
      </c>
      <c r="C121" s="645">
        <v>346949</v>
      </c>
      <c r="D121" s="645">
        <v>329964</v>
      </c>
      <c r="F121" s="636" t="s">
        <v>3508</v>
      </c>
      <c r="G121" s="187">
        <v>39</v>
      </c>
      <c r="H121" s="187">
        <v>903</v>
      </c>
      <c r="I121" s="214" t="str">
        <f t="shared" si="1"/>
        <v>039-903</v>
      </c>
    </row>
    <row r="122" spans="1:9" ht="13.5" customHeight="1">
      <c r="A122" s="216" t="s">
        <v>742</v>
      </c>
      <c r="B122" s="216" t="s">
        <v>4871</v>
      </c>
      <c r="C122" s="645">
        <v>675240</v>
      </c>
      <c r="D122" s="645">
        <v>682009</v>
      </c>
      <c r="F122" s="636" t="s">
        <v>3508</v>
      </c>
      <c r="G122" s="187">
        <v>42</v>
      </c>
      <c r="H122" s="187">
        <v>901</v>
      </c>
      <c r="I122" s="214" t="str">
        <f t="shared" si="1"/>
        <v>042-901</v>
      </c>
    </row>
    <row r="123" spans="1:9" ht="13.5" customHeight="1">
      <c r="A123" s="216" t="s">
        <v>440</v>
      </c>
      <c r="B123" s="216" t="s">
        <v>4872</v>
      </c>
      <c r="C123" s="645">
        <v>102985</v>
      </c>
      <c r="D123" s="645">
        <v>101335</v>
      </c>
      <c r="F123" s="636" t="s">
        <v>3508</v>
      </c>
      <c r="G123" s="187">
        <v>42</v>
      </c>
      <c r="H123" s="187">
        <v>903</v>
      </c>
      <c r="I123" s="214" t="str">
        <f t="shared" si="1"/>
        <v>042-903</v>
      </c>
    </row>
    <row r="124" spans="1:9" ht="13.5" customHeight="1">
      <c r="A124" s="216" t="s">
        <v>818</v>
      </c>
      <c r="B124" s="216" t="s">
        <v>4873</v>
      </c>
      <c r="C124" s="645">
        <v>21445555</v>
      </c>
      <c r="D124" s="645">
        <v>21718665</v>
      </c>
      <c r="F124" s="636" t="s">
        <v>3508</v>
      </c>
      <c r="G124" s="187">
        <v>43</v>
      </c>
      <c r="H124" s="187">
        <v>901</v>
      </c>
      <c r="I124" s="214" t="str">
        <f t="shared" si="1"/>
        <v>043-901</v>
      </c>
    </row>
    <row r="125" spans="1:9" ht="13.5" customHeight="1">
      <c r="A125" s="216" t="s">
        <v>266</v>
      </c>
      <c r="B125" s="216" t="s">
        <v>4874</v>
      </c>
      <c r="C125" s="645">
        <v>1196600</v>
      </c>
      <c r="D125" s="645">
        <v>1196350</v>
      </c>
      <c r="F125" s="636" t="s">
        <v>3508</v>
      </c>
      <c r="G125" s="187">
        <v>43</v>
      </c>
      <c r="H125" s="187">
        <v>902</v>
      </c>
      <c r="I125" s="214" t="str">
        <f t="shared" si="1"/>
        <v>043-902</v>
      </c>
    </row>
    <row r="126" spans="1:9" ht="13.5" customHeight="1">
      <c r="A126" s="216" t="s">
        <v>441</v>
      </c>
      <c r="B126" s="216" t="s">
        <v>4875</v>
      </c>
      <c r="C126" s="645">
        <v>1473562</v>
      </c>
      <c r="D126" s="645">
        <v>1472837</v>
      </c>
      <c r="F126" s="636" t="s">
        <v>3508</v>
      </c>
      <c r="G126" s="187">
        <v>43</v>
      </c>
      <c r="H126" s="187">
        <v>903</v>
      </c>
      <c r="I126" s="214" t="str">
        <f t="shared" si="1"/>
        <v>043-903</v>
      </c>
    </row>
    <row r="127" spans="1:9" ht="13.5" customHeight="1">
      <c r="A127" s="216" t="s">
        <v>1526</v>
      </c>
      <c r="B127" s="216" t="s">
        <v>4876</v>
      </c>
      <c r="C127" s="645">
        <v>1034420</v>
      </c>
      <c r="D127" s="645">
        <v>1161180</v>
      </c>
      <c r="F127" s="636" t="s">
        <v>3508</v>
      </c>
      <c r="G127" s="187">
        <v>43</v>
      </c>
      <c r="H127" s="187">
        <v>904</v>
      </c>
      <c r="I127" s="214" t="str">
        <f t="shared" si="1"/>
        <v>043-904</v>
      </c>
    </row>
    <row r="128" spans="1:9" ht="13.5" customHeight="1">
      <c r="A128" s="216" t="s">
        <v>1312</v>
      </c>
      <c r="B128" s="216" t="s">
        <v>4877</v>
      </c>
      <c r="C128" s="645">
        <v>30093982</v>
      </c>
      <c r="D128" s="645">
        <v>30591535</v>
      </c>
      <c r="F128" s="636" t="s">
        <v>3508</v>
      </c>
      <c r="G128" s="187">
        <v>43</v>
      </c>
      <c r="H128" s="187">
        <v>905</v>
      </c>
      <c r="I128" s="214" t="str">
        <f t="shared" si="1"/>
        <v>043-905</v>
      </c>
    </row>
    <row r="129" spans="1:9" ht="13.5" customHeight="1">
      <c r="A129" s="216" t="s">
        <v>6168</v>
      </c>
      <c r="B129" s="216" t="s">
        <v>4878</v>
      </c>
      <c r="C129" s="645">
        <v>31027581</v>
      </c>
      <c r="D129" s="645">
        <v>30912594</v>
      </c>
      <c r="F129" s="636" t="s">
        <v>3508</v>
      </c>
      <c r="G129" s="187">
        <v>43</v>
      </c>
      <c r="H129" s="187">
        <v>907</v>
      </c>
      <c r="I129" s="214" t="str">
        <f t="shared" si="1"/>
        <v>043-907</v>
      </c>
    </row>
    <row r="130" spans="1:9" ht="13.5" customHeight="1">
      <c r="A130" s="216" t="s">
        <v>5913</v>
      </c>
      <c r="B130" s="216" t="s">
        <v>4879</v>
      </c>
      <c r="C130" s="645">
        <v>1087635</v>
      </c>
      <c r="D130" s="645">
        <v>1086059</v>
      </c>
      <c r="F130" s="636" t="s">
        <v>3508</v>
      </c>
      <c r="G130" s="187">
        <v>43</v>
      </c>
      <c r="H130" s="187">
        <v>908</v>
      </c>
      <c r="I130" s="214" t="str">
        <f t="shared" si="1"/>
        <v>043-908</v>
      </c>
    </row>
    <row r="131" spans="1:9" ht="13.5" customHeight="1">
      <c r="A131" s="216" t="s">
        <v>3546</v>
      </c>
      <c r="B131" s="216" t="s">
        <v>4880</v>
      </c>
      <c r="C131" s="645">
        <v>74197027</v>
      </c>
      <c r="D131" s="645">
        <v>74882985</v>
      </c>
      <c r="F131" s="636" t="s">
        <v>3508</v>
      </c>
      <c r="G131" s="187">
        <v>43</v>
      </c>
      <c r="H131" s="187">
        <v>910</v>
      </c>
      <c r="I131" s="214" t="str">
        <f t="shared" si="1"/>
        <v>043-910</v>
      </c>
    </row>
    <row r="132" spans="1:9" ht="13.5" customHeight="1">
      <c r="A132" s="216" t="s">
        <v>5132</v>
      </c>
      <c r="B132" s="216" t="s">
        <v>4881</v>
      </c>
      <c r="C132" s="645">
        <v>3041067</v>
      </c>
      <c r="D132" s="645">
        <v>2655999</v>
      </c>
      <c r="F132" s="636" t="s">
        <v>3508</v>
      </c>
      <c r="G132" s="187">
        <v>43</v>
      </c>
      <c r="H132" s="187">
        <v>911</v>
      </c>
      <c r="I132" s="214" t="str">
        <f t="shared" ref="I132:I195" si="2">F132&amp;G132&amp;"-"&amp;H132</f>
        <v>043-911</v>
      </c>
    </row>
    <row r="133" spans="1:9" ht="13.5" customHeight="1">
      <c r="A133" s="216" t="s">
        <v>649</v>
      </c>
      <c r="B133" s="216" t="s">
        <v>4882</v>
      </c>
      <c r="C133" s="645">
        <v>2867169</v>
      </c>
      <c r="D133" s="645">
        <v>2909969</v>
      </c>
      <c r="F133" s="636" t="s">
        <v>3508</v>
      </c>
      <c r="G133" s="187">
        <v>43</v>
      </c>
      <c r="H133" s="187">
        <v>912</v>
      </c>
      <c r="I133" s="214" t="str">
        <f t="shared" si="2"/>
        <v>043-912</v>
      </c>
    </row>
    <row r="134" spans="1:9" ht="13.5" customHeight="1">
      <c r="A134" s="216" t="s">
        <v>861</v>
      </c>
      <c r="B134" s="216" t="s">
        <v>4883</v>
      </c>
      <c r="C134" s="645">
        <v>9940967</v>
      </c>
      <c r="D134" s="645">
        <v>10922697</v>
      </c>
      <c r="F134" s="636" t="s">
        <v>3508</v>
      </c>
      <c r="G134" s="187">
        <v>43</v>
      </c>
      <c r="H134" s="187">
        <v>914</v>
      </c>
      <c r="I134" s="214" t="str">
        <f t="shared" si="2"/>
        <v>043-914</v>
      </c>
    </row>
    <row r="135" spans="1:9" ht="13.5" customHeight="1">
      <c r="A135" s="216" t="s">
        <v>956</v>
      </c>
      <c r="B135" s="216" t="s">
        <v>4884</v>
      </c>
      <c r="C135" s="645">
        <v>544295</v>
      </c>
      <c r="D135" s="645">
        <v>525818</v>
      </c>
      <c r="F135" s="636" t="s">
        <v>3508</v>
      </c>
      <c r="G135" s="187">
        <v>43</v>
      </c>
      <c r="H135" s="187">
        <v>917</v>
      </c>
      <c r="I135" s="214" t="str">
        <f t="shared" si="2"/>
        <v>043-917</v>
      </c>
    </row>
    <row r="136" spans="1:9" ht="13.5" customHeight="1">
      <c r="A136" s="216" t="s">
        <v>236</v>
      </c>
      <c r="B136" s="216" t="s">
        <v>4885</v>
      </c>
      <c r="C136" s="645">
        <v>977009</v>
      </c>
      <c r="D136" s="645">
        <v>1055716</v>
      </c>
      <c r="F136" s="636" t="s">
        <v>3508</v>
      </c>
      <c r="G136" s="187">
        <v>43</v>
      </c>
      <c r="H136" s="187">
        <v>918</v>
      </c>
      <c r="I136" s="214" t="str">
        <f t="shared" si="2"/>
        <v>043-918</v>
      </c>
    </row>
    <row r="137" spans="1:9" ht="13.5" customHeight="1">
      <c r="A137" s="216" t="s">
        <v>3548</v>
      </c>
      <c r="B137" s="216" t="s">
        <v>4886</v>
      </c>
      <c r="C137" s="645">
        <v>3185303</v>
      </c>
      <c r="D137" s="645">
        <v>3180087</v>
      </c>
      <c r="F137" s="636" t="s">
        <v>3508</v>
      </c>
      <c r="G137" s="187">
        <v>43</v>
      </c>
      <c r="H137" s="187">
        <v>919</v>
      </c>
      <c r="I137" s="214" t="str">
        <f t="shared" si="2"/>
        <v>043-919</v>
      </c>
    </row>
    <row r="138" spans="1:9" ht="13.5" customHeight="1">
      <c r="A138" s="216" t="s">
        <v>234</v>
      </c>
      <c r="B138" s="216" t="s">
        <v>4887</v>
      </c>
      <c r="C138" s="645">
        <v>1198554</v>
      </c>
      <c r="D138" s="645">
        <v>1177481</v>
      </c>
      <c r="F138" s="636" t="s">
        <v>3508</v>
      </c>
      <c r="G138" s="187">
        <v>45</v>
      </c>
      <c r="H138" s="187">
        <v>902</v>
      </c>
      <c r="I138" s="214" t="str">
        <f t="shared" si="2"/>
        <v>045-902</v>
      </c>
    </row>
    <row r="139" spans="1:9" ht="13.5" customHeight="1">
      <c r="A139" s="216" t="s">
        <v>208</v>
      </c>
      <c r="B139" s="216" t="s">
        <v>4888</v>
      </c>
      <c r="C139" s="645">
        <v>370650</v>
      </c>
      <c r="D139" s="645">
        <v>377125</v>
      </c>
      <c r="F139" s="636" t="s">
        <v>3508</v>
      </c>
      <c r="G139" s="187">
        <v>45</v>
      </c>
      <c r="H139" s="187">
        <v>903</v>
      </c>
      <c r="I139" s="214" t="str">
        <f t="shared" si="2"/>
        <v>045-903</v>
      </c>
    </row>
    <row r="140" spans="1:9" ht="13.5" customHeight="1">
      <c r="A140" s="216" t="s">
        <v>210</v>
      </c>
      <c r="B140" s="216" t="s">
        <v>4889</v>
      </c>
      <c r="C140" s="645">
        <v>461388</v>
      </c>
      <c r="D140" s="645">
        <v>465251</v>
      </c>
      <c r="F140" s="636" t="s">
        <v>3508</v>
      </c>
      <c r="G140" s="187">
        <v>45</v>
      </c>
      <c r="H140" s="187">
        <v>905</v>
      </c>
      <c r="I140" s="214" t="str">
        <f t="shared" si="2"/>
        <v>045-905</v>
      </c>
    </row>
    <row r="141" spans="1:9" ht="13.5" customHeight="1">
      <c r="A141" s="216" t="s">
        <v>212</v>
      </c>
      <c r="B141" s="216" t="s">
        <v>4890</v>
      </c>
      <c r="C141" s="645">
        <v>7735513</v>
      </c>
      <c r="D141" s="645">
        <v>7744506</v>
      </c>
      <c r="F141" s="636" t="s">
        <v>3508</v>
      </c>
      <c r="G141" s="187">
        <v>46</v>
      </c>
      <c r="H141" s="187">
        <v>901</v>
      </c>
      <c r="I141" s="214" t="str">
        <f t="shared" si="2"/>
        <v>046-901</v>
      </c>
    </row>
    <row r="142" spans="1:9" ht="13.5" customHeight="1">
      <c r="A142" s="216" t="s">
        <v>214</v>
      </c>
      <c r="B142" s="216" t="s">
        <v>4891</v>
      </c>
      <c r="C142" s="645">
        <v>13949988</v>
      </c>
      <c r="D142" s="645">
        <v>13171860</v>
      </c>
      <c r="F142" s="636" t="s">
        <v>3508</v>
      </c>
      <c r="G142" s="187">
        <v>46</v>
      </c>
      <c r="H142" s="187">
        <v>902</v>
      </c>
      <c r="I142" s="214" t="str">
        <f t="shared" si="2"/>
        <v>046-902</v>
      </c>
    </row>
    <row r="143" spans="1:9" ht="13.5" customHeight="1">
      <c r="A143" s="216" t="s">
        <v>250</v>
      </c>
      <c r="B143" s="216" t="s">
        <v>4892</v>
      </c>
      <c r="C143" s="645">
        <v>62055</v>
      </c>
      <c r="D143" s="645">
        <v>59775</v>
      </c>
      <c r="F143" s="636" t="s">
        <v>3508</v>
      </c>
      <c r="G143" s="187">
        <v>47</v>
      </c>
      <c r="H143" s="187">
        <v>902</v>
      </c>
      <c r="I143" s="214" t="str">
        <f t="shared" si="2"/>
        <v>047-902</v>
      </c>
    </row>
    <row r="144" spans="1:9" ht="13.5" customHeight="1">
      <c r="A144" s="216" t="s">
        <v>2162</v>
      </c>
      <c r="B144" s="216" t="s">
        <v>4893</v>
      </c>
      <c r="C144" s="645">
        <v>106775</v>
      </c>
      <c r="D144" s="645">
        <v>104525</v>
      </c>
      <c r="F144" s="636" t="s">
        <v>3508</v>
      </c>
      <c r="G144" s="187">
        <v>47</v>
      </c>
      <c r="H144" s="187">
        <v>903</v>
      </c>
      <c r="I144" s="214" t="str">
        <f t="shared" si="2"/>
        <v>047-903</v>
      </c>
    </row>
    <row r="145" spans="1:9" ht="13.5" customHeight="1">
      <c r="A145" s="216" t="s">
        <v>1314</v>
      </c>
      <c r="B145" s="216" t="s">
        <v>4894</v>
      </c>
      <c r="C145" s="645">
        <v>644823</v>
      </c>
      <c r="D145" s="645">
        <v>642434</v>
      </c>
      <c r="F145" s="636" t="s">
        <v>3508</v>
      </c>
      <c r="G145" s="187">
        <v>49</v>
      </c>
      <c r="H145" s="187">
        <v>901</v>
      </c>
      <c r="I145" s="214" t="str">
        <f t="shared" si="2"/>
        <v>049-901</v>
      </c>
    </row>
    <row r="146" spans="1:9" ht="13.5" customHeight="1">
      <c r="A146" s="216" t="s">
        <v>2722</v>
      </c>
      <c r="B146" s="216" t="s">
        <v>4895</v>
      </c>
      <c r="C146" s="645">
        <v>255513</v>
      </c>
      <c r="D146" s="645">
        <v>253513</v>
      </c>
      <c r="F146" s="636" t="s">
        <v>3508</v>
      </c>
      <c r="G146" s="187">
        <v>49</v>
      </c>
      <c r="H146" s="187">
        <v>902</v>
      </c>
      <c r="I146" s="214" t="str">
        <f t="shared" si="2"/>
        <v>049-902</v>
      </c>
    </row>
    <row r="147" spans="1:9" ht="13.5" customHeight="1">
      <c r="A147" s="216" t="s">
        <v>442</v>
      </c>
      <c r="B147" s="216" t="s">
        <v>4896</v>
      </c>
      <c r="C147" s="645">
        <v>173868</v>
      </c>
      <c r="D147" s="645">
        <v>175643</v>
      </c>
      <c r="F147" s="636" t="s">
        <v>3508</v>
      </c>
      <c r="G147" s="187">
        <v>49</v>
      </c>
      <c r="H147" s="187">
        <v>903</v>
      </c>
      <c r="I147" s="214" t="str">
        <f t="shared" si="2"/>
        <v>049-903</v>
      </c>
    </row>
    <row r="148" spans="1:9" ht="13.5" customHeight="1">
      <c r="A148" s="216" t="s">
        <v>2724</v>
      </c>
      <c r="B148" s="216" t="s">
        <v>4897</v>
      </c>
      <c r="C148" s="645">
        <v>276780</v>
      </c>
      <c r="D148" s="645">
        <v>273343</v>
      </c>
      <c r="F148" s="636" t="s">
        <v>3508</v>
      </c>
      <c r="G148" s="187">
        <v>49</v>
      </c>
      <c r="H148" s="187">
        <v>905</v>
      </c>
      <c r="I148" s="214" t="str">
        <f t="shared" si="2"/>
        <v>049-905</v>
      </c>
    </row>
    <row r="149" spans="1:9" ht="13.5" customHeight="1">
      <c r="A149" s="216" t="s">
        <v>5321</v>
      </c>
      <c r="B149" s="216" t="s">
        <v>7592</v>
      </c>
      <c r="C149" s="645">
        <v>108098</v>
      </c>
      <c r="D149" s="645">
        <v>111100</v>
      </c>
      <c r="F149" s="636" t="s">
        <v>3508</v>
      </c>
      <c r="G149" s="187">
        <v>49</v>
      </c>
      <c r="H149" s="187">
        <v>906</v>
      </c>
      <c r="I149" s="214" t="str">
        <f t="shared" si="2"/>
        <v>049-906</v>
      </c>
    </row>
    <row r="150" spans="1:9" ht="13.5" customHeight="1">
      <c r="A150" s="216" t="s">
        <v>5323</v>
      </c>
      <c r="B150" s="216" t="s">
        <v>7593</v>
      </c>
      <c r="C150" s="645">
        <v>112465</v>
      </c>
      <c r="D150" s="645">
        <v>110465</v>
      </c>
      <c r="F150" s="636" t="s">
        <v>3508</v>
      </c>
      <c r="G150" s="187">
        <v>49</v>
      </c>
      <c r="H150" s="187">
        <v>907</v>
      </c>
      <c r="I150" s="214" t="str">
        <f t="shared" si="2"/>
        <v>049-907</v>
      </c>
    </row>
    <row r="151" spans="1:9" ht="13.5" customHeight="1">
      <c r="A151" s="216" t="s">
        <v>5331</v>
      </c>
      <c r="B151" s="216" t="s">
        <v>7594</v>
      </c>
      <c r="C151" s="645">
        <v>888779</v>
      </c>
      <c r="D151" s="645">
        <v>891185</v>
      </c>
      <c r="F151" s="636" t="s">
        <v>3508</v>
      </c>
      <c r="G151" s="187">
        <v>50</v>
      </c>
      <c r="H151" s="187">
        <v>902</v>
      </c>
      <c r="I151" s="214" t="str">
        <f t="shared" si="2"/>
        <v>050-902</v>
      </c>
    </row>
    <row r="152" spans="1:9" ht="13.5" customHeight="1">
      <c r="A152" s="216" t="s">
        <v>585</v>
      </c>
      <c r="B152" s="216" t="s">
        <v>7595</v>
      </c>
      <c r="C152" s="645">
        <v>142044</v>
      </c>
      <c r="D152" s="645">
        <v>92963</v>
      </c>
      <c r="F152" s="636" t="s">
        <v>3508</v>
      </c>
      <c r="G152" s="187">
        <v>50</v>
      </c>
      <c r="H152" s="187">
        <v>904</v>
      </c>
      <c r="I152" s="214" t="str">
        <f t="shared" si="2"/>
        <v>050-904</v>
      </c>
    </row>
    <row r="153" spans="1:9" ht="13.5" customHeight="1">
      <c r="A153" s="216" t="s">
        <v>239</v>
      </c>
      <c r="B153" s="216" t="s">
        <v>7596</v>
      </c>
      <c r="C153" s="645">
        <v>3310055</v>
      </c>
      <c r="D153" s="645">
        <v>3828463</v>
      </c>
      <c r="F153" s="636" t="s">
        <v>3508</v>
      </c>
      <c r="G153" s="187">
        <v>50</v>
      </c>
      <c r="H153" s="187">
        <v>910</v>
      </c>
      <c r="I153" s="214" t="str">
        <f t="shared" si="2"/>
        <v>050-910</v>
      </c>
    </row>
    <row r="154" spans="1:9" ht="13.5" customHeight="1">
      <c r="A154" s="216" t="s">
        <v>5335</v>
      </c>
      <c r="B154" s="216" t="s">
        <v>7597</v>
      </c>
      <c r="C154" s="645" t="s">
        <v>6153</v>
      </c>
      <c r="D154" s="645" t="s">
        <v>6153</v>
      </c>
      <c r="F154" s="636" t="s">
        <v>3508</v>
      </c>
      <c r="G154" s="187">
        <v>51</v>
      </c>
      <c r="H154" s="187">
        <v>901</v>
      </c>
      <c r="I154" s="214" t="str">
        <f t="shared" si="2"/>
        <v>051-901</v>
      </c>
    </row>
    <row r="155" spans="1:9" ht="13.5" customHeight="1">
      <c r="A155" s="216" t="s">
        <v>2460</v>
      </c>
      <c r="B155" s="216" t="s">
        <v>7598</v>
      </c>
      <c r="C155" s="645">
        <v>136409</v>
      </c>
      <c r="D155" s="645">
        <v>138784</v>
      </c>
      <c r="F155" s="636" t="s">
        <v>3508</v>
      </c>
      <c r="G155" s="187">
        <v>55</v>
      </c>
      <c r="H155" s="187">
        <v>901</v>
      </c>
      <c r="I155" s="214" t="str">
        <f t="shared" si="2"/>
        <v>055-901</v>
      </c>
    </row>
    <row r="156" spans="1:9" ht="13.5" customHeight="1">
      <c r="A156" s="216" t="s">
        <v>2462</v>
      </c>
      <c r="B156" s="216" t="s">
        <v>7599</v>
      </c>
      <c r="C156" s="645">
        <v>0</v>
      </c>
      <c r="D156" s="645">
        <v>308096</v>
      </c>
      <c r="F156" s="636" t="s">
        <v>3508</v>
      </c>
      <c r="G156" s="187">
        <v>56</v>
      </c>
      <c r="H156" s="187">
        <v>901</v>
      </c>
      <c r="I156" s="214" t="str">
        <f t="shared" si="2"/>
        <v>056-901</v>
      </c>
    </row>
    <row r="157" spans="1:9" ht="13.5" customHeight="1">
      <c r="A157" s="216" t="s">
        <v>2104</v>
      </c>
      <c r="B157" s="216" t="s">
        <v>7600</v>
      </c>
      <c r="C157" s="645">
        <v>35940054</v>
      </c>
      <c r="D157" s="645">
        <v>34424542</v>
      </c>
      <c r="F157" s="636" t="s">
        <v>3508</v>
      </c>
      <c r="G157" s="187">
        <v>57</v>
      </c>
      <c r="H157" s="187">
        <v>903</v>
      </c>
      <c r="I157" s="214" t="str">
        <f t="shared" si="2"/>
        <v>057-903</v>
      </c>
    </row>
    <row r="158" spans="1:9" ht="13.5" customHeight="1">
      <c r="A158" s="216" t="s">
        <v>2106</v>
      </c>
      <c r="B158" s="216" t="s">
        <v>7601</v>
      </c>
      <c r="C158" s="645">
        <v>8452129</v>
      </c>
      <c r="D158" s="645">
        <v>9898179</v>
      </c>
      <c r="F158" s="636" t="s">
        <v>3508</v>
      </c>
      <c r="G158" s="187">
        <v>57</v>
      </c>
      <c r="H158" s="187">
        <v>904</v>
      </c>
      <c r="I158" s="214" t="str">
        <f t="shared" si="2"/>
        <v>057-904</v>
      </c>
    </row>
    <row r="159" spans="1:9" ht="13.5" customHeight="1">
      <c r="A159" s="216" t="s">
        <v>2108</v>
      </c>
      <c r="B159" s="216" t="s">
        <v>7602</v>
      </c>
      <c r="C159" s="645">
        <v>109860079</v>
      </c>
      <c r="D159" s="645">
        <v>104525768</v>
      </c>
      <c r="F159" s="636" t="s">
        <v>3508</v>
      </c>
      <c r="G159" s="187">
        <v>57</v>
      </c>
      <c r="H159" s="187">
        <v>905</v>
      </c>
      <c r="I159" s="214" t="str">
        <f t="shared" si="2"/>
        <v>057-905</v>
      </c>
    </row>
    <row r="160" spans="1:9" ht="13.5" customHeight="1">
      <c r="A160" s="216" t="s">
        <v>2110</v>
      </c>
      <c r="B160" s="216" t="s">
        <v>7603</v>
      </c>
      <c r="C160" s="645">
        <v>6055142</v>
      </c>
      <c r="D160" s="645">
        <v>7057913</v>
      </c>
      <c r="F160" s="636" t="s">
        <v>3508</v>
      </c>
      <c r="G160" s="187">
        <v>57</v>
      </c>
      <c r="H160" s="187">
        <v>906</v>
      </c>
      <c r="I160" s="214" t="str">
        <f t="shared" si="2"/>
        <v>057-906</v>
      </c>
    </row>
    <row r="161" spans="1:9" ht="13.5" customHeight="1">
      <c r="A161" s="216" t="s">
        <v>2112</v>
      </c>
      <c r="B161" s="216" t="s">
        <v>7604</v>
      </c>
      <c r="C161" s="645">
        <v>15266395</v>
      </c>
      <c r="D161" s="645">
        <v>14706144</v>
      </c>
      <c r="F161" s="636" t="s">
        <v>3508</v>
      </c>
      <c r="G161" s="187">
        <v>57</v>
      </c>
      <c r="H161" s="187">
        <v>907</v>
      </c>
      <c r="I161" s="214" t="str">
        <f t="shared" si="2"/>
        <v>057-907</v>
      </c>
    </row>
    <row r="162" spans="1:9" ht="13.5" customHeight="1">
      <c r="A162" s="216" t="s">
        <v>1317</v>
      </c>
      <c r="B162" s="216" t="s">
        <v>7605</v>
      </c>
      <c r="C162" s="645">
        <v>42585311</v>
      </c>
      <c r="D162" s="645">
        <v>42348246</v>
      </c>
      <c r="F162" s="636" t="s">
        <v>3508</v>
      </c>
      <c r="G162" s="187">
        <v>57</v>
      </c>
      <c r="H162" s="187">
        <v>909</v>
      </c>
      <c r="I162" s="214" t="str">
        <f t="shared" si="2"/>
        <v>057-909</v>
      </c>
    </row>
    <row r="163" spans="1:9" ht="13.5" customHeight="1">
      <c r="A163" s="216" t="s">
        <v>587</v>
      </c>
      <c r="B163" s="216" t="s">
        <v>7606</v>
      </c>
      <c r="C163" s="645">
        <v>19594775</v>
      </c>
      <c r="D163" s="645">
        <v>19969677</v>
      </c>
      <c r="F163" s="636" t="s">
        <v>3508</v>
      </c>
      <c r="G163" s="187">
        <v>57</v>
      </c>
      <c r="H163" s="187">
        <v>910</v>
      </c>
      <c r="I163" s="214" t="str">
        <f t="shared" si="2"/>
        <v>057-910</v>
      </c>
    </row>
    <row r="164" spans="1:9" ht="13.5" customHeight="1">
      <c r="A164" s="216" t="s">
        <v>4569</v>
      </c>
      <c r="B164" s="216" t="s">
        <v>7607</v>
      </c>
      <c r="C164" s="645">
        <v>6304731</v>
      </c>
      <c r="D164" s="645">
        <v>6008979</v>
      </c>
      <c r="F164" s="636" t="s">
        <v>3508</v>
      </c>
      <c r="G164" s="187">
        <v>57</v>
      </c>
      <c r="H164" s="187">
        <v>911</v>
      </c>
      <c r="I164" s="214" t="str">
        <f t="shared" si="2"/>
        <v>057-911</v>
      </c>
    </row>
    <row r="165" spans="1:9" ht="13.5" customHeight="1">
      <c r="A165" s="216" t="s">
        <v>6021</v>
      </c>
      <c r="B165" s="216" t="s">
        <v>7608</v>
      </c>
      <c r="C165" s="645">
        <v>32100609</v>
      </c>
      <c r="D165" s="645">
        <v>32355966</v>
      </c>
      <c r="F165" s="636" t="s">
        <v>3508</v>
      </c>
      <c r="G165" s="187">
        <v>57</v>
      </c>
      <c r="H165" s="187">
        <v>912</v>
      </c>
      <c r="I165" s="214" t="str">
        <f t="shared" si="2"/>
        <v>057-912</v>
      </c>
    </row>
    <row r="166" spans="1:9" ht="13.5" customHeight="1">
      <c r="A166" s="216" t="s">
        <v>4571</v>
      </c>
      <c r="B166" s="216" t="s">
        <v>7609</v>
      </c>
      <c r="C166" s="645">
        <v>5966114</v>
      </c>
      <c r="D166" s="645">
        <v>5771325</v>
      </c>
      <c r="F166" s="636" t="s">
        <v>3508</v>
      </c>
      <c r="G166" s="187">
        <v>57</v>
      </c>
      <c r="H166" s="187">
        <v>913</v>
      </c>
      <c r="I166" s="214" t="str">
        <f t="shared" si="2"/>
        <v>057-913</v>
      </c>
    </row>
    <row r="167" spans="1:9" ht="13.5" customHeight="1">
      <c r="A167" s="216" t="s">
        <v>6171</v>
      </c>
      <c r="B167" s="216" t="s">
        <v>7610</v>
      </c>
      <c r="C167" s="645">
        <v>37685588</v>
      </c>
      <c r="D167" s="645">
        <v>38838263</v>
      </c>
      <c r="F167" s="636" t="s">
        <v>3508</v>
      </c>
      <c r="G167" s="187">
        <v>57</v>
      </c>
      <c r="H167" s="187">
        <v>914</v>
      </c>
      <c r="I167" s="214" t="str">
        <f t="shared" si="2"/>
        <v>057-914</v>
      </c>
    </row>
    <row r="168" spans="1:9" ht="13.5" customHeight="1">
      <c r="A168" s="216" t="s">
        <v>4573</v>
      </c>
      <c r="B168" s="216" t="s">
        <v>7611</v>
      </c>
      <c r="C168" s="645">
        <v>46236300</v>
      </c>
      <c r="D168" s="645">
        <v>37170948</v>
      </c>
      <c r="F168" s="636" t="s">
        <v>3508</v>
      </c>
      <c r="G168" s="187">
        <v>57</v>
      </c>
      <c r="H168" s="187">
        <v>916</v>
      </c>
      <c r="I168" s="214" t="str">
        <f t="shared" si="2"/>
        <v>057-916</v>
      </c>
    </row>
    <row r="169" spans="1:9" ht="13.5" customHeight="1">
      <c r="A169" s="216" t="s">
        <v>4575</v>
      </c>
      <c r="B169" s="216" t="s">
        <v>7612</v>
      </c>
      <c r="C169" s="645">
        <v>945675</v>
      </c>
      <c r="D169" s="645">
        <v>945675</v>
      </c>
      <c r="F169" s="636" t="s">
        <v>3508</v>
      </c>
      <c r="G169" s="187">
        <v>57</v>
      </c>
      <c r="H169" s="187">
        <v>919</v>
      </c>
      <c r="I169" s="214" t="str">
        <f t="shared" si="2"/>
        <v>057-919</v>
      </c>
    </row>
    <row r="170" spans="1:9" ht="13.5" customHeight="1">
      <c r="A170" s="216" t="s">
        <v>4577</v>
      </c>
      <c r="B170" s="216" t="s">
        <v>7613</v>
      </c>
      <c r="C170" s="645">
        <v>946390</v>
      </c>
      <c r="D170" s="645">
        <v>0</v>
      </c>
      <c r="F170" s="636" t="s">
        <v>3508</v>
      </c>
      <c r="G170" s="187">
        <v>57</v>
      </c>
      <c r="H170" s="187">
        <v>920</v>
      </c>
      <c r="I170" s="214" t="str">
        <f t="shared" si="2"/>
        <v>057-920</v>
      </c>
    </row>
    <row r="171" spans="1:9" ht="13.5" customHeight="1">
      <c r="A171" s="216" t="s">
        <v>4579</v>
      </c>
      <c r="B171" s="216" t="s">
        <v>7614</v>
      </c>
      <c r="C171" s="645">
        <v>13735260</v>
      </c>
      <c r="D171" s="645">
        <v>13721435</v>
      </c>
      <c r="F171" s="636" t="s">
        <v>3508</v>
      </c>
      <c r="G171" s="187">
        <v>57</v>
      </c>
      <c r="H171" s="187">
        <v>922</v>
      </c>
      <c r="I171" s="214" t="str">
        <f t="shared" si="2"/>
        <v>057-922</v>
      </c>
    </row>
    <row r="172" spans="1:9" ht="13.5" customHeight="1">
      <c r="A172" s="216" t="s">
        <v>4581</v>
      </c>
      <c r="B172" s="216" t="s">
        <v>7615</v>
      </c>
      <c r="C172" s="645">
        <v>167970</v>
      </c>
      <c r="D172" s="645" t="s">
        <v>6153</v>
      </c>
      <c r="F172" s="636" t="s">
        <v>3508</v>
      </c>
      <c r="G172" s="187">
        <v>58</v>
      </c>
      <c r="H172" s="187">
        <v>902</v>
      </c>
      <c r="I172" s="214" t="str">
        <f t="shared" si="2"/>
        <v>058-902</v>
      </c>
    </row>
    <row r="173" spans="1:9" ht="13.5" customHeight="1">
      <c r="A173" s="216" t="s">
        <v>5020</v>
      </c>
      <c r="B173" s="216" t="s">
        <v>7616</v>
      </c>
      <c r="C173" s="645">
        <v>532900</v>
      </c>
      <c r="D173" s="645">
        <v>527188</v>
      </c>
      <c r="F173" s="636" t="s">
        <v>3508</v>
      </c>
      <c r="G173" s="187">
        <v>60</v>
      </c>
      <c r="H173" s="187">
        <v>902</v>
      </c>
      <c r="I173" s="214" t="str">
        <f t="shared" si="2"/>
        <v>060-902</v>
      </c>
    </row>
    <row r="174" spans="1:9" ht="13.5" customHeight="1">
      <c r="A174" s="216" t="s">
        <v>589</v>
      </c>
      <c r="B174" s="216" t="s">
        <v>5443</v>
      </c>
      <c r="C174" s="645">
        <v>177511</v>
      </c>
      <c r="D174" s="645">
        <v>177920</v>
      </c>
      <c r="F174" s="636" t="s">
        <v>3508</v>
      </c>
      <c r="G174" s="187">
        <v>60</v>
      </c>
      <c r="H174" s="187">
        <v>914</v>
      </c>
      <c r="I174" s="214" t="str">
        <f t="shared" si="2"/>
        <v>060-914</v>
      </c>
    </row>
    <row r="175" spans="1:9" ht="13.5" customHeight="1">
      <c r="A175" s="216" t="s">
        <v>5022</v>
      </c>
      <c r="B175" s="216" t="s">
        <v>5444</v>
      </c>
      <c r="C175" s="645">
        <v>25513738</v>
      </c>
      <c r="D175" s="645">
        <v>27775142</v>
      </c>
      <c r="F175" s="636" t="s">
        <v>3508</v>
      </c>
      <c r="G175" s="187">
        <v>61</v>
      </c>
      <c r="H175" s="187">
        <v>901</v>
      </c>
      <c r="I175" s="214" t="str">
        <f t="shared" si="2"/>
        <v>061-901</v>
      </c>
    </row>
    <row r="176" spans="1:9" ht="13.5" customHeight="1">
      <c r="A176" s="216" t="s">
        <v>2989</v>
      </c>
      <c r="B176" s="216" t="s">
        <v>5445</v>
      </c>
      <c r="C176" s="645">
        <v>44971417</v>
      </c>
      <c r="D176" s="645">
        <v>53556049</v>
      </c>
      <c r="F176" s="636" t="s">
        <v>3508</v>
      </c>
      <c r="G176" s="187">
        <v>61</v>
      </c>
      <c r="H176" s="187">
        <v>902</v>
      </c>
      <c r="I176" s="214" t="str">
        <f t="shared" si="2"/>
        <v>061-902</v>
      </c>
    </row>
    <row r="177" spans="1:9" ht="13.5" customHeight="1">
      <c r="A177" s="216" t="s">
        <v>5126</v>
      </c>
      <c r="B177" s="216" t="s">
        <v>5446</v>
      </c>
      <c r="C177" s="645">
        <v>1279959</v>
      </c>
      <c r="D177" s="645">
        <v>1396579</v>
      </c>
      <c r="F177" s="636" t="s">
        <v>3508</v>
      </c>
      <c r="G177" s="187">
        <v>61</v>
      </c>
      <c r="H177" s="187">
        <v>903</v>
      </c>
      <c r="I177" s="214" t="str">
        <f t="shared" si="2"/>
        <v>061-903</v>
      </c>
    </row>
    <row r="178" spans="1:9" ht="13.5" customHeight="1">
      <c r="A178" s="216" t="s">
        <v>3090</v>
      </c>
      <c r="B178" s="216" t="s">
        <v>5447</v>
      </c>
      <c r="C178" s="645">
        <v>1238828</v>
      </c>
      <c r="D178" s="645">
        <v>1525778</v>
      </c>
      <c r="F178" s="636" t="s">
        <v>3508</v>
      </c>
      <c r="G178" s="187">
        <v>61</v>
      </c>
      <c r="H178" s="187">
        <v>905</v>
      </c>
      <c r="I178" s="214" t="str">
        <f t="shared" si="2"/>
        <v>061-905</v>
      </c>
    </row>
    <row r="179" spans="1:9" ht="13.5" customHeight="1">
      <c r="A179" s="216" t="s">
        <v>5128</v>
      </c>
      <c r="B179" s="216" t="s">
        <v>5448</v>
      </c>
      <c r="C179" s="645">
        <v>1400186</v>
      </c>
      <c r="D179" s="645">
        <v>1462586</v>
      </c>
      <c r="F179" s="636" t="s">
        <v>3508</v>
      </c>
      <c r="G179" s="187">
        <v>61</v>
      </c>
      <c r="H179" s="187">
        <v>906</v>
      </c>
      <c r="I179" s="214" t="str">
        <f t="shared" si="2"/>
        <v>061-906</v>
      </c>
    </row>
    <row r="180" spans="1:9" ht="13.5" customHeight="1">
      <c r="A180" s="216" t="s">
        <v>270</v>
      </c>
      <c r="B180" s="216" t="s">
        <v>5449</v>
      </c>
      <c r="C180" s="645">
        <v>1598925</v>
      </c>
      <c r="D180" s="645">
        <v>1678975</v>
      </c>
      <c r="F180" s="636" t="s">
        <v>3508</v>
      </c>
      <c r="G180" s="187">
        <v>61</v>
      </c>
      <c r="H180" s="187">
        <v>907</v>
      </c>
      <c r="I180" s="214" t="str">
        <f t="shared" si="2"/>
        <v>061-907</v>
      </c>
    </row>
    <row r="181" spans="1:9" ht="13.5" customHeight="1">
      <c r="A181" s="216" t="s">
        <v>2391</v>
      </c>
      <c r="B181" s="216" t="s">
        <v>5450</v>
      </c>
      <c r="C181" s="645">
        <v>2249130</v>
      </c>
      <c r="D181" s="645">
        <v>2245063</v>
      </c>
      <c r="F181" s="636" t="s">
        <v>3508</v>
      </c>
      <c r="G181" s="187">
        <v>61</v>
      </c>
      <c r="H181" s="187">
        <v>908</v>
      </c>
      <c r="I181" s="214" t="str">
        <f t="shared" si="2"/>
        <v>061-908</v>
      </c>
    </row>
    <row r="182" spans="1:9" ht="13.5" customHeight="1">
      <c r="A182" s="216" t="s">
        <v>2746</v>
      </c>
      <c r="B182" s="216" t="s">
        <v>5451</v>
      </c>
      <c r="C182" s="645">
        <v>2454210</v>
      </c>
      <c r="D182" s="645">
        <v>2723742</v>
      </c>
      <c r="F182" s="636" t="s">
        <v>3508</v>
      </c>
      <c r="G182" s="187">
        <v>61</v>
      </c>
      <c r="H182" s="187">
        <v>910</v>
      </c>
      <c r="I182" s="214" t="str">
        <f t="shared" si="2"/>
        <v>061-910</v>
      </c>
    </row>
    <row r="183" spans="1:9" ht="13.5" customHeight="1">
      <c r="A183" s="216" t="s">
        <v>6186</v>
      </c>
      <c r="B183" s="216" t="s">
        <v>5452</v>
      </c>
      <c r="C183" s="645">
        <v>17290750</v>
      </c>
      <c r="D183" s="645">
        <v>17282500</v>
      </c>
      <c r="F183" s="636" t="s">
        <v>3508</v>
      </c>
      <c r="G183" s="187">
        <v>61</v>
      </c>
      <c r="H183" s="187">
        <v>911</v>
      </c>
      <c r="I183" s="214" t="str">
        <f t="shared" si="2"/>
        <v>061-911</v>
      </c>
    </row>
    <row r="184" spans="1:9" ht="13.5" customHeight="1">
      <c r="A184" s="216" t="s">
        <v>6041</v>
      </c>
      <c r="B184" s="216" t="s">
        <v>5453</v>
      </c>
      <c r="C184" s="645">
        <v>4790657</v>
      </c>
      <c r="D184" s="645">
        <v>5494642</v>
      </c>
      <c r="F184" s="636" t="s">
        <v>3508</v>
      </c>
      <c r="G184" s="187">
        <v>61</v>
      </c>
      <c r="H184" s="187">
        <v>912</v>
      </c>
      <c r="I184" s="214" t="str">
        <f t="shared" si="2"/>
        <v>061-912</v>
      </c>
    </row>
    <row r="185" spans="1:9" ht="13.5" customHeight="1">
      <c r="A185" s="216" t="s">
        <v>591</v>
      </c>
      <c r="B185" s="216" t="s">
        <v>5454</v>
      </c>
      <c r="C185" s="645">
        <v>6160815</v>
      </c>
      <c r="D185" s="645">
        <v>7032360</v>
      </c>
      <c r="F185" s="636" t="s">
        <v>3508</v>
      </c>
      <c r="G185" s="187">
        <v>61</v>
      </c>
      <c r="H185" s="187">
        <v>914</v>
      </c>
      <c r="I185" s="214" t="str">
        <f t="shared" si="2"/>
        <v>061-914</v>
      </c>
    </row>
    <row r="186" spans="1:9" ht="13.5" customHeight="1">
      <c r="A186" s="216" t="s">
        <v>443</v>
      </c>
      <c r="B186" s="216" t="s">
        <v>5455</v>
      </c>
      <c r="C186" s="645">
        <v>994572</v>
      </c>
      <c r="D186" s="645">
        <v>1013172</v>
      </c>
      <c r="F186" s="636" t="s">
        <v>3508</v>
      </c>
      <c r="G186" s="187">
        <v>62</v>
      </c>
      <c r="H186" s="187">
        <v>901</v>
      </c>
      <c r="I186" s="214" t="str">
        <f t="shared" si="2"/>
        <v>062-901</v>
      </c>
    </row>
    <row r="187" spans="1:9" ht="13.5" customHeight="1">
      <c r="A187" s="216" t="s">
        <v>2748</v>
      </c>
      <c r="B187" s="216" t="s">
        <v>5456</v>
      </c>
      <c r="C187" s="645">
        <v>84335</v>
      </c>
      <c r="D187" s="645">
        <v>82535</v>
      </c>
      <c r="F187" s="636" t="s">
        <v>3508</v>
      </c>
      <c r="G187" s="187">
        <v>62</v>
      </c>
      <c r="H187" s="187">
        <v>902</v>
      </c>
      <c r="I187" s="214" t="str">
        <f t="shared" si="2"/>
        <v>062-902</v>
      </c>
    </row>
    <row r="188" spans="1:9" ht="13.5" customHeight="1">
      <c r="A188" s="216" t="s">
        <v>862</v>
      </c>
      <c r="B188" s="216" t="s">
        <v>5457</v>
      </c>
      <c r="C188" s="645">
        <v>815252</v>
      </c>
      <c r="D188" s="645">
        <v>824559</v>
      </c>
      <c r="F188" s="636" t="s">
        <v>3508</v>
      </c>
      <c r="G188" s="187">
        <v>62</v>
      </c>
      <c r="H188" s="187">
        <v>903</v>
      </c>
      <c r="I188" s="214" t="str">
        <f t="shared" si="2"/>
        <v>062-903</v>
      </c>
    </row>
    <row r="189" spans="1:9" ht="13.5" customHeight="1">
      <c r="A189" s="216" t="s">
        <v>3899</v>
      </c>
      <c r="B189" s="216" t="s">
        <v>5458</v>
      </c>
      <c r="C189" s="645">
        <v>26713</v>
      </c>
      <c r="D189" s="645">
        <v>25575</v>
      </c>
      <c r="F189" s="636" t="s">
        <v>3508</v>
      </c>
      <c r="G189" s="187">
        <v>62</v>
      </c>
      <c r="H189" s="187">
        <v>905</v>
      </c>
      <c r="I189" s="214" t="str">
        <f t="shared" si="2"/>
        <v>062-905</v>
      </c>
    </row>
    <row r="190" spans="1:9" ht="13.5" customHeight="1">
      <c r="A190" s="216" t="s">
        <v>3166</v>
      </c>
      <c r="B190" s="216" t="s">
        <v>5459</v>
      </c>
      <c r="C190" s="645">
        <v>0</v>
      </c>
      <c r="D190" s="645">
        <v>0</v>
      </c>
      <c r="F190" s="636" t="s">
        <v>3508</v>
      </c>
      <c r="G190" s="187">
        <v>63</v>
      </c>
      <c r="H190" s="187">
        <v>903</v>
      </c>
      <c r="I190" s="214" t="str">
        <f t="shared" si="2"/>
        <v>063-903</v>
      </c>
    </row>
    <row r="191" spans="1:9" ht="13.5" customHeight="1">
      <c r="A191" s="216" t="s">
        <v>3091</v>
      </c>
      <c r="B191" s="216" t="s">
        <v>5460</v>
      </c>
      <c r="C191" s="645">
        <v>573651</v>
      </c>
      <c r="D191" s="645">
        <v>576025</v>
      </c>
      <c r="F191" s="636" t="s">
        <v>3508</v>
      </c>
      <c r="G191" s="187">
        <v>64</v>
      </c>
      <c r="H191" s="187">
        <v>903</v>
      </c>
      <c r="I191" s="214" t="str">
        <f t="shared" si="2"/>
        <v>064-903</v>
      </c>
    </row>
    <row r="192" spans="1:9" ht="13.5" customHeight="1">
      <c r="A192" s="216" t="s">
        <v>593</v>
      </c>
      <c r="B192" s="216" t="s">
        <v>5461</v>
      </c>
      <c r="C192" s="645">
        <v>89335</v>
      </c>
      <c r="D192" s="645">
        <v>91860</v>
      </c>
      <c r="F192" s="636" t="s">
        <v>3508</v>
      </c>
      <c r="G192" s="187">
        <v>65</v>
      </c>
      <c r="H192" s="187">
        <v>902</v>
      </c>
      <c r="I192" s="214" t="str">
        <f t="shared" si="2"/>
        <v>065-902</v>
      </c>
    </row>
    <row r="193" spans="1:9" ht="13.5" customHeight="1">
      <c r="A193" s="216" t="s">
        <v>3175</v>
      </c>
      <c r="B193" s="216" t="s">
        <v>5462</v>
      </c>
      <c r="C193" s="645">
        <v>0</v>
      </c>
      <c r="D193" s="645">
        <v>0</v>
      </c>
      <c r="F193" s="636" t="s">
        <v>3508</v>
      </c>
      <c r="G193" s="187">
        <v>66</v>
      </c>
      <c r="H193" s="187">
        <v>901</v>
      </c>
      <c r="I193" s="214" t="str">
        <f t="shared" si="2"/>
        <v>066-901</v>
      </c>
    </row>
    <row r="194" spans="1:9" ht="13.5" customHeight="1">
      <c r="A194" s="216" t="s">
        <v>3092</v>
      </c>
      <c r="B194" s="216" t="s">
        <v>5463</v>
      </c>
      <c r="C194" s="645">
        <v>507780</v>
      </c>
      <c r="D194" s="645">
        <v>585440</v>
      </c>
      <c r="F194" s="636" t="s">
        <v>3508</v>
      </c>
      <c r="G194" s="187">
        <v>66</v>
      </c>
      <c r="H194" s="187">
        <v>902</v>
      </c>
      <c r="I194" s="214" t="str">
        <f t="shared" si="2"/>
        <v>066-902</v>
      </c>
    </row>
    <row r="195" spans="1:9" ht="13.5" customHeight="1">
      <c r="A195" s="216" t="s">
        <v>1994</v>
      </c>
      <c r="B195" s="216" t="s">
        <v>5464</v>
      </c>
      <c r="C195" s="645">
        <v>6557937</v>
      </c>
      <c r="D195" s="645">
        <v>7380393</v>
      </c>
      <c r="F195" s="636" t="s">
        <v>3508</v>
      </c>
      <c r="G195" s="187">
        <v>68</v>
      </c>
      <c r="H195" s="187">
        <v>901</v>
      </c>
      <c r="I195" s="214" t="str">
        <f t="shared" si="2"/>
        <v>068-901</v>
      </c>
    </row>
    <row r="196" spans="1:9" ht="13.5" customHeight="1">
      <c r="A196" s="216" t="s">
        <v>2737</v>
      </c>
      <c r="B196" s="216" t="s">
        <v>5465</v>
      </c>
      <c r="C196" s="645">
        <v>10000</v>
      </c>
      <c r="D196" s="645" t="s">
        <v>6153</v>
      </c>
      <c r="F196" s="636" t="s">
        <v>3508</v>
      </c>
      <c r="G196" s="187">
        <v>69</v>
      </c>
      <c r="H196" s="187">
        <v>902</v>
      </c>
      <c r="I196" s="214" t="str">
        <f t="shared" ref="I196:I259" si="3">F196&amp;G196&amp;"-"&amp;H196</f>
        <v>069-902</v>
      </c>
    </row>
    <row r="197" spans="1:9" ht="13.5" customHeight="1">
      <c r="A197" s="216" t="s">
        <v>1976</v>
      </c>
      <c r="B197" s="216" t="s">
        <v>5466</v>
      </c>
      <c r="C197" s="645">
        <v>100915</v>
      </c>
      <c r="D197" s="645">
        <v>99115</v>
      </c>
      <c r="F197" s="636" t="s">
        <v>3508</v>
      </c>
      <c r="G197" s="187">
        <v>70</v>
      </c>
      <c r="H197" s="187">
        <v>901</v>
      </c>
      <c r="I197" s="214" t="str">
        <f t="shared" si="3"/>
        <v>070-901</v>
      </c>
    </row>
    <row r="198" spans="1:9" ht="13.5" customHeight="1">
      <c r="A198" s="216" t="s">
        <v>3648</v>
      </c>
      <c r="B198" s="216" t="s">
        <v>5467</v>
      </c>
      <c r="C198" s="645">
        <v>3896777</v>
      </c>
      <c r="D198" s="645">
        <v>3983477</v>
      </c>
      <c r="F198" s="636" t="s">
        <v>3508</v>
      </c>
      <c r="G198" s="187">
        <v>70</v>
      </c>
      <c r="H198" s="187">
        <v>903</v>
      </c>
      <c r="I198" s="214" t="str">
        <f t="shared" si="3"/>
        <v>070-903</v>
      </c>
    </row>
    <row r="199" spans="1:9" ht="13.5" customHeight="1">
      <c r="A199" s="216" t="s">
        <v>3650</v>
      </c>
      <c r="B199" s="216" t="s">
        <v>5468</v>
      </c>
      <c r="C199" s="645">
        <v>1331928</v>
      </c>
      <c r="D199" s="645">
        <v>1331534</v>
      </c>
      <c r="F199" s="636" t="s">
        <v>3508</v>
      </c>
      <c r="G199" s="187">
        <v>70</v>
      </c>
      <c r="H199" s="187">
        <v>905</v>
      </c>
      <c r="I199" s="214" t="str">
        <f t="shared" si="3"/>
        <v>070-905</v>
      </c>
    </row>
    <row r="200" spans="1:9" ht="13.5" customHeight="1">
      <c r="A200" s="216" t="s">
        <v>3093</v>
      </c>
      <c r="B200" s="216" t="s">
        <v>5469</v>
      </c>
      <c r="C200" s="645">
        <v>149213</v>
      </c>
      <c r="D200" s="645">
        <v>145713</v>
      </c>
      <c r="F200" s="636" t="s">
        <v>3508</v>
      </c>
      <c r="G200" s="187">
        <v>70</v>
      </c>
      <c r="H200" s="187">
        <v>907</v>
      </c>
      <c r="I200" s="214" t="str">
        <f t="shared" si="3"/>
        <v>070-907</v>
      </c>
    </row>
    <row r="201" spans="1:9" ht="13.5" customHeight="1">
      <c r="A201" s="216" t="s">
        <v>7734</v>
      </c>
      <c r="B201" s="216" t="s">
        <v>5470</v>
      </c>
      <c r="C201" s="645">
        <v>7225617</v>
      </c>
      <c r="D201" s="645">
        <v>8534644</v>
      </c>
      <c r="F201" s="636" t="s">
        <v>3508</v>
      </c>
      <c r="G201" s="187">
        <v>70</v>
      </c>
      <c r="H201" s="187">
        <v>908</v>
      </c>
      <c r="I201" s="214" t="str">
        <f t="shared" si="3"/>
        <v>070-908</v>
      </c>
    </row>
    <row r="202" spans="1:9" ht="13.5" customHeight="1">
      <c r="A202" s="216" t="s">
        <v>915</v>
      </c>
      <c r="B202" s="216" t="s">
        <v>5471</v>
      </c>
      <c r="C202" s="645">
        <v>104040</v>
      </c>
      <c r="D202" s="645">
        <v>99040</v>
      </c>
      <c r="F202" s="636" t="s">
        <v>3508</v>
      </c>
      <c r="G202" s="187">
        <v>70</v>
      </c>
      <c r="H202" s="187">
        <v>909</v>
      </c>
      <c r="I202" s="214" t="str">
        <f t="shared" si="3"/>
        <v>070-909</v>
      </c>
    </row>
    <row r="203" spans="1:9" ht="13.5" customHeight="1">
      <c r="A203" s="216" t="s">
        <v>1978</v>
      </c>
      <c r="B203" s="216" t="s">
        <v>5472</v>
      </c>
      <c r="C203" s="645">
        <v>443320</v>
      </c>
      <c r="D203" s="645">
        <v>442471</v>
      </c>
      <c r="F203" s="636" t="s">
        <v>3508</v>
      </c>
      <c r="G203" s="187">
        <v>70</v>
      </c>
      <c r="H203" s="187">
        <v>910</v>
      </c>
      <c r="I203" s="214" t="str">
        <f t="shared" si="3"/>
        <v>070-910</v>
      </c>
    </row>
    <row r="204" spans="1:9" ht="13.5" customHeight="1">
      <c r="A204" s="216" t="s">
        <v>2767</v>
      </c>
      <c r="B204" s="216" t="s">
        <v>5473</v>
      </c>
      <c r="C204" s="645">
        <v>2485615</v>
      </c>
      <c r="D204" s="645">
        <v>2475415</v>
      </c>
      <c r="F204" s="636" t="s">
        <v>3508</v>
      </c>
      <c r="G204" s="187">
        <v>70</v>
      </c>
      <c r="H204" s="187">
        <v>911</v>
      </c>
      <c r="I204" s="214" t="str">
        <f t="shared" si="3"/>
        <v>070-911</v>
      </c>
    </row>
    <row r="205" spans="1:9" ht="13.5" customHeight="1">
      <c r="A205" s="216" t="s">
        <v>3555</v>
      </c>
      <c r="B205" s="216" t="s">
        <v>5474</v>
      </c>
      <c r="C205" s="645">
        <v>5455285</v>
      </c>
      <c r="D205" s="645">
        <v>5540542</v>
      </c>
      <c r="F205" s="636" t="s">
        <v>3508</v>
      </c>
      <c r="G205" s="187">
        <v>70</v>
      </c>
      <c r="H205" s="187">
        <v>912</v>
      </c>
      <c r="I205" s="214" t="str">
        <f t="shared" si="3"/>
        <v>070-912</v>
      </c>
    </row>
    <row r="206" spans="1:9" ht="13.5" customHeight="1">
      <c r="A206" s="216" t="s">
        <v>3094</v>
      </c>
      <c r="B206" s="216" t="s">
        <v>5475</v>
      </c>
      <c r="C206" s="645">
        <v>1079528</v>
      </c>
      <c r="D206" s="645">
        <v>1062029</v>
      </c>
      <c r="F206" s="636" t="s">
        <v>3508</v>
      </c>
      <c r="G206" s="187">
        <v>70</v>
      </c>
      <c r="H206" s="187">
        <v>915</v>
      </c>
      <c r="I206" s="214" t="str">
        <f t="shared" si="3"/>
        <v>070-915</v>
      </c>
    </row>
    <row r="207" spans="1:9" ht="13.5" customHeight="1">
      <c r="A207" s="216" t="s">
        <v>741</v>
      </c>
      <c r="B207" s="216" t="s">
        <v>5476</v>
      </c>
      <c r="C207" s="645">
        <v>6631847</v>
      </c>
      <c r="D207" s="645">
        <v>6635242</v>
      </c>
      <c r="F207" s="636" t="s">
        <v>3508</v>
      </c>
      <c r="G207" s="187">
        <v>71</v>
      </c>
      <c r="H207" s="187">
        <v>901</v>
      </c>
      <c r="I207" s="214" t="str">
        <f t="shared" si="3"/>
        <v>071-901</v>
      </c>
    </row>
    <row r="208" spans="1:9" ht="13.5" customHeight="1">
      <c r="A208" s="216" t="s">
        <v>4035</v>
      </c>
      <c r="B208" s="216" t="s">
        <v>5477</v>
      </c>
      <c r="C208" s="645">
        <v>23521850</v>
      </c>
      <c r="D208" s="645">
        <v>27828725</v>
      </c>
      <c r="F208" s="636" t="s">
        <v>3508</v>
      </c>
      <c r="G208" s="187">
        <v>71</v>
      </c>
      <c r="H208" s="187">
        <v>902</v>
      </c>
      <c r="I208" s="214" t="str">
        <f t="shared" si="3"/>
        <v>071-902</v>
      </c>
    </row>
    <row r="209" spans="1:9" ht="13.5" customHeight="1">
      <c r="A209" s="216" t="s">
        <v>1524</v>
      </c>
      <c r="B209" s="216" t="s">
        <v>5478</v>
      </c>
      <c r="C209" s="645">
        <v>680775</v>
      </c>
      <c r="D209" s="645">
        <v>675375</v>
      </c>
      <c r="F209" s="636" t="s">
        <v>3508</v>
      </c>
      <c r="G209" s="187">
        <v>71</v>
      </c>
      <c r="H209" s="187">
        <v>903</v>
      </c>
      <c r="I209" s="214" t="str">
        <f t="shared" si="3"/>
        <v>071-903</v>
      </c>
    </row>
    <row r="210" spans="1:9" ht="13.5" customHeight="1">
      <c r="A210" s="216" t="s">
        <v>2388</v>
      </c>
      <c r="B210" s="216" t="s">
        <v>5479</v>
      </c>
      <c r="C210" s="645">
        <v>996630</v>
      </c>
      <c r="D210" s="645">
        <v>1001387</v>
      </c>
      <c r="F210" s="636" t="s">
        <v>3508</v>
      </c>
      <c r="G210" s="187">
        <v>71</v>
      </c>
      <c r="H210" s="187">
        <v>904</v>
      </c>
      <c r="I210" s="214" t="str">
        <f t="shared" si="3"/>
        <v>071-904</v>
      </c>
    </row>
    <row r="211" spans="1:9" ht="13.5" customHeight="1">
      <c r="A211" s="216" t="s">
        <v>863</v>
      </c>
      <c r="B211" s="216" t="s">
        <v>5480</v>
      </c>
      <c r="C211" s="645">
        <v>13746188</v>
      </c>
      <c r="D211" s="645">
        <v>13250188</v>
      </c>
      <c r="F211" s="636" t="s">
        <v>3508</v>
      </c>
      <c r="G211" s="187">
        <v>71</v>
      </c>
      <c r="H211" s="187">
        <v>905</v>
      </c>
      <c r="I211" s="214" t="str">
        <f t="shared" si="3"/>
        <v>071-905</v>
      </c>
    </row>
    <row r="212" spans="1:9" ht="13.5" customHeight="1">
      <c r="A212" s="216" t="s">
        <v>268</v>
      </c>
      <c r="B212" s="216" t="s">
        <v>5481</v>
      </c>
      <c r="C212" s="645">
        <v>387067</v>
      </c>
      <c r="D212" s="645">
        <v>393230</v>
      </c>
      <c r="F212" s="636" t="s">
        <v>3508</v>
      </c>
      <c r="G212" s="187">
        <v>71</v>
      </c>
      <c r="H212" s="187">
        <v>906</v>
      </c>
      <c r="I212" s="214" t="str">
        <f t="shared" si="3"/>
        <v>071-906</v>
      </c>
    </row>
    <row r="213" spans="1:9" ht="13.5" customHeight="1">
      <c r="A213" s="216" t="s">
        <v>981</v>
      </c>
      <c r="B213" s="216" t="s">
        <v>5482</v>
      </c>
      <c r="C213" s="645">
        <v>3833461</v>
      </c>
      <c r="D213" s="645">
        <v>4349493</v>
      </c>
      <c r="F213" s="636" t="s">
        <v>3508</v>
      </c>
      <c r="G213" s="187">
        <v>71</v>
      </c>
      <c r="H213" s="187">
        <v>907</v>
      </c>
      <c r="I213" s="214" t="str">
        <f t="shared" si="3"/>
        <v>071-907</v>
      </c>
    </row>
    <row r="214" spans="1:9" ht="13.5" customHeight="1">
      <c r="A214" s="216" t="s">
        <v>2414</v>
      </c>
      <c r="B214" s="216" t="s">
        <v>5483</v>
      </c>
      <c r="C214" s="645">
        <v>762848</v>
      </c>
      <c r="D214" s="645">
        <v>740041</v>
      </c>
      <c r="F214" s="636" t="s">
        <v>3508</v>
      </c>
      <c r="G214" s="187">
        <v>71</v>
      </c>
      <c r="H214" s="187">
        <v>908</v>
      </c>
      <c r="I214" s="214" t="str">
        <f t="shared" si="3"/>
        <v>071-908</v>
      </c>
    </row>
    <row r="215" spans="1:9" ht="13.5" customHeight="1">
      <c r="A215" s="216" t="s">
        <v>2401</v>
      </c>
      <c r="B215" s="216" t="s">
        <v>5484</v>
      </c>
      <c r="C215" s="645">
        <v>23790025</v>
      </c>
      <c r="D215" s="645">
        <v>23759488</v>
      </c>
      <c r="F215" s="636" t="s">
        <v>3508</v>
      </c>
      <c r="G215" s="187">
        <v>71</v>
      </c>
      <c r="H215" s="187">
        <v>909</v>
      </c>
      <c r="I215" s="214" t="str">
        <f t="shared" si="3"/>
        <v>071-909</v>
      </c>
    </row>
    <row r="216" spans="1:9" ht="13.5" customHeight="1">
      <c r="A216" s="216" t="s">
        <v>2140</v>
      </c>
      <c r="B216" s="216" t="s">
        <v>5485</v>
      </c>
      <c r="C216" s="645">
        <v>454903</v>
      </c>
      <c r="D216" s="645">
        <v>458508</v>
      </c>
      <c r="F216" s="636" t="s">
        <v>3508</v>
      </c>
      <c r="G216" s="187">
        <v>72</v>
      </c>
      <c r="H216" s="187">
        <v>902</v>
      </c>
      <c r="I216" s="214" t="str">
        <f t="shared" si="3"/>
        <v>072-902</v>
      </c>
    </row>
    <row r="217" spans="1:9" ht="13.5" customHeight="1">
      <c r="A217" s="216" t="s">
        <v>2408</v>
      </c>
      <c r="B217" s="216" t="s">
        <v>5486</v>
      </c>
      <c r="C217" s="645">
        <v>1803775</v>
      </c>
      <c r="D217" s="645">
        <v>1802080</v>
      </c>
      <c r="F217" s="636" t="s">
        <v>3508</v>
      </c>
      <c r="G217" s="187">
        <v>72</v>
      </c>
      <c r="H217" s="187">
        <v>903</v>
      </c>
      <c r="I217" s="214" t="str">
        <f t="shared" si="3"/>
        <v>072-903</v>
      </c>
    </row>
    <row r="218" spans="1:9" ht="13.5" customHeight="1">
      <c r="A218" s="216" t="s">
        <v>2700</v>
      </c>
      <c r="B218" s="216" t="s">
        <v>5487</v>
      </c>
      <c r="C218" s="645">
        <v>62175</v>
      </c>
      <c r="D218" s="645">
        <v>60618</v>
      </c>
      <c r="F218" s="636" t="s">
        <v>3508</v>
      </c>
      <c r="G218" s="187">
        <v>72</v>
      </c>
      <c r="H218" s="187">
        <v>904</v>
      </c>
      <c r="I218" s="214" t="str">
        <f t="shared" si="3"/>
        <v>072-904</v>
      </c>
    </row>
    <row r="219" spans="1:9" ht="13.5" customHeight="1">
      <c r="A219" s="216" t="s">
        <v>2828</v>
      </c>
      <c r="B219" s="216" t="s">
        <v>5488</v>
      </c>
      <c r="C219" s="645">
        <v>95273</v>
      </c>
      <c r="D219" s="645">
        <v>98648</v>
      </c>
      <c r="F219" s="636" t="s">
        <v>3508</v>
      </c>
      <c r="G219" s="187">
        <v>72</v>
      </c>
      <c r="H219" s="187">
        <v>909</v>
      </c>
      <c r="I219" s="214" t="str">
        <f t="shared" si="3"/>
        <v>072-909</v>
      </c>
    </row>
    <row r="220" spans="1:9" ht="13.5" customHeight="1">
      <c r="A220" s="216" t="s">
        <v>2706</v>
      </c>
      <c r="B220" s="216" t="s">
        <v>5489</v>
      </c>
      <c r="C220" s="645">
        <v>134933</v>
      </c>
      <c r="D220" s="645">
        <v>362891</v>
      </c>
      <c r="F220" s="636" t="s">
        <v>3508</v>
      </c>
      <c r="G220" s="187">
        <v>73</v>
      </c>
      <c r="H220" s="187">
        <v>901</v>
      </c>
      <c r="I220" s="214" t="str">
        <f t="shared" si="3"/>
        <v>073-901</v>
      </c>
    </row>
    <row r="221" spans="1:9" ht="13.5" customHeight="1">
      <c r="A221" s="216" t="s">
        <v>6162</v>
      </c>
      <c r="B221" s="216" t="s">
        <v>5490</v>
      </c>
      <c r="C221" s="645">
        <v>326565</v>
      </c>
      <c r="D221" s="645">
        <v>373708</v>
      </c>
      <c r="F221" s="636" t="s">
        <v>3508</v>
      </c>
      <c r="G221" s="187">
        <v>73</v>
      </c>
      <c r="H221" s="187">
        <v>903</v>
      </c>
      <c r="I221" s="214" t="str">
        <f t="shared" si="3"/>
        <v>073-903</v>
      </c>
    </row>
    <row r="222" spans="1:9" ht="13.5" customHeight="1">
      <c r="A222" s="216" t="s">
        <v>2710</v>
      </c>
      <c r="B222" s="216" t="s">
        <v>5491</v>
      </c>
      <c r="C222" s="645">
        <v>571810</v>
      </c>
      <c r="D222" s="645">
        <v>573940</v>
      </c>
      <c r="F222" s="636" t="s">
        <v>3508</v>
      </c>
      <c r="G222" s="187">
        <v>74</v>
      </c>
      <c r="H222" s="187">
        <v>903</v>
      </c>
      <c r="I222" s="214" t="str">
        <f t="shared" si="3"/>
        <v>074-903</v>
      </c>
    </row>
    <row r="223" spans="1:9" ht="13.5" customHeight="1">
      <c r="A223" s="216" t="s">
        <v>2830</v>
      </c>
      <c r="B223" s="216" t="s">
        <v>5492</v>
      </c>
      <c r="C223" s="645">
        <v>101388</v>
      </c>
      <c r="D223" s="645">
        <v>99888</v>
      </c>
      <c r="F223" s="636" t="s">
        <v>3508</v>
      </c>
      <c r="G223" s="187">
        <v>74</v>
      </c>
      <c r="H223" s="187">
        <v>904</v>
      </c>
      <c r="I223" s="214" t="str">
        <f t="shared" si="3"/>
        <v>074-904</v>
      </c>
    </row>
    <row r="224" spans="1:9" ht="13.5" customHeight="1">
      <c r="A224" s="216" t="s">
        <v>3095</v>
      </c>
      <c r="B224" s="216" t="s">
        <v>5493</v>
      </c>
      <c r="C224" s="645">
        <v>190348</v>
      </c>
      <c r="D224" s="645">
        <v>192098</v>
      </c>
      <c r="F224" s="636" t="s">
        <v>3508</v>
      </c>
      <c r="G224" s="187">
        <v>74</v>
      </c>
      <c r="H224" s="187">
        <v>905</v>
      </c>
      <c r="I224" s="214" t="str">
        <f t="shared" si="3"/>
        <v>074-905</v>
      </c>
    </row>
    <row r="225" spans="1:9" ht="13.5" customHeight="1">
      <c r="A225" s="216" t="s">
        <v>2712</v>
      </c>
      <c r="B225" s="216" t="s">
        <v>5494</v>
      </c>
      <c r="C225" s="645">
        <v>229665</v>
      </c>
      <c r="D225" s="645">
        <v>234735</v>
      </c>
      <c r="F225" s="636" t="s">
        <v>3508</v>
      </c>
      <c r="G225" s="187">
        <v>74</v>
      </c>
      <c r="H225" s="187">
        <v>907</v>
      </c>
      <c r="I225" s="214" t="str">
        <f t="shared" si="3"/>
        <v>074-907</v>
      </c>
    </row>
    <row r="226" spans="1:9" ht="13.5" customHeight="1">
      <c r="A226" s="216" t="s">
        <v>2424</v>
      </c>
      <c r="B226" s="216" t="s">
        <v>5495</v>
      </c>
      <c r="C226" s="645">
        <v>288919</v>
      </c>
      <c r="D226" s="645">
        <v>288919</v>
      </c>
      <c r="F226" s="636" t="s">
        <v>3508</v>
      </c>
      <c r="G226" s="187">
        <v>74</v>
      </c>
      <c r="H226" s="187">
        <v>909</v>
      </c>
      <c r="I226" s="214" t="str">
        <f t="shared" si="3"/>
        <v>074-909</v>
      </c>
    </row>
    <row r="227" spans="1:9" ht="13.5" customHeight="1">
      <c r="A227" s="216" t="s">
        <v>2426</v>
      </c>
      <c r="B227" s="216" t="s">
        <v>5496</v>
      </c>
      <c r="C227" s="645">
        <v>260327</v>
      </c>
      <c r="D227" s="645">
        <v>258944</v>
      </c>
      <c r="F227" s="636" t="s">
        <v>3508</v>
      </c>
      <c r="G227" s="187">
        <v>74</v>
      </c>
      <c r="H227" s="187">
        <v>911</v>
      </c>
      <c r="I227" s="214" t="str">
        <f t="shared" si="3"/>
        <v>074-911</v>
      </c>
    </row>
    <row r="228" spans="1:9" ht="13.5" customHeight="1">
      <c r="A228" s="216" t="s">
        <v>2428</v>
      </c>
      <c r="B228" s="216" t="s">
        <v>5497</v>
      </c>
      <c r="C228" s="645">
        <v>338447</v>
      </c>
      <c r="D228" s="645">
        <v>287394</v>
      </c>
      <c r="F228" s="636" t="s">
        <v>3508</v>
      </c>
      <c r="G228" s="187">
        <v>74</v>
      </c>
      <c r="H228" s="187">
        <v>912</v>
      </c>
      <c r="I228" s="214" t="str">
        <f t="shared" si="3"/>
        <v>074-912</v>
      </c>
    </row>
    <row r="229" spans="1:9" ht="13.5" customHeight="1">
      <c r="A229" s="216" t="s">
        <v>2832</v>
      </c>
      <c r="B229" s="216" t="s">
        <v>5498</v>
      </c>
      <c r="C229" s="645">
        <v>128210</v>
      </c>
      <c r="D229" s="645">
        <v>123223</v>
      </c>
      <c r="F229" s="636" t="s">
        <v>3508</v>
      </c>
      <c r="G229" s="187">
        <v>74</v>
      </c>
      <c r="H229" s="187">
        <v>917</v>
      </c>
      <c r="I229" s="214" t="str">
        <f t="shared" si="3"/>
        <v>074-917</v>
      </c>
    </row>
    <row r="230" spans="1:9" ht="13.5" customHeight="1">
      <c r="A230" s="216" t="s">
        <v>4923</v>
      </c>
      <c r="B230" s="216" t="s">
        <v>5499</v>
      </c>
      <c r="C230" s="645">
        <v>171785</v>
      </c>
      <c r="D230" s="645">
        <v>173810</v>
      </c>
      <c r="F230" s="636" t="s">
        <v>3508</v>
      </c>
      <c r="G230" s="187">
        <v>75</v>
      </c>
      <c r="H230" s="187">
        <v>901</v>
      </c>
      <c r="I230" s="214" t="str">
        <f t="shared" si="3"/>
        <v>075-901</v>
      </c>
    </row>
    <row r="231" spans="1:9" ht="13.5" customHeight="1">
      <c r="A231" s="216" t="s">
        <v>4925</v>
      </c>
      <c r="B231" s="216" t="s">
        <v>5500</v>
      </c>
      <c r="C231" s="645">
        <v>535600</v>
      </c>
      <c r="D231" s="645">
        <v>528700</v>
      </c>
      <c r="F231" s="636" t="s">
        <v>3508</v>
      </c>
      <c r="G231" s="187">
        <v>75</v>
      </c>
      <c r="H231" s="187">
        <v>902</v>
      </c>
      <c r="I231" s="214" t="str">
        <f t="shared" si="3"/>
        <v>075-902</v>
      </c>
    </row>
    <row r="232" spans="1:9" ht="13.5" customHeight="1">
      <c r="A232" s="216" t="s">
        <v>4927</v>
      </c>
      <c r="B232" s="216" t="s">
        <v>5501</v>
      </c>
      <c r="C232" s="645">
        <v>487345</v>
      </c>
      <c r="D232" s="645">
        <v>486363</v>
      </c>
      <c r="F232" s="636" t="s">
        <v>3508</v>
      </c>
      <c r="G232" s="187">
        <v>75</v>
      </c>
      <c r="H232" s="187">
        <v>903</v>
      </c>
      <c r="I232" s="214" t="str">
        <f t="shared" si="3"/>
        <v>075-903</v>
      </c>
    </row>
    <row r="233" spans="1:9" ht="13.5" customHeight="1">
      <c r="A233" s="216" t="s">
        <v>4931</v>
      </c>
      <c r="B233" s="216" t="s">
        <v>5502</v>
      </c>
      <c r="C233" s="645">
        <v>171148</v>
      </c>
      <c r="D233" s="645">
        <v>169933</v>
      </c>
      <c r="F233" s="636" t="s">
        <v>3508</v>
      </c>
      <c r="G233" s="187">
        <v>75</v>
      </c>
      <c r="H233" s="187">
        <v>908</v>
      </c>
      <c r="I233" s="214" t="str">
        <f t="shared" si="3"/>
        <v>075-908</v>
      </c>
    </row>
    <row r="234" spans="1:9" ht="13.5" customHeight="1">
      <c r="A234" s="216" t="s">
        <v>4933</v>
      </c>
      <c r="B234" s="216" t="s">
        <v>5503</v>
      </c>
      <c r="C234" s="645">
        <v>79663</v>
      </c>
      <c r="D234" s="645">
        <v>77053</v>
      </c>
      <c r="F234" s="636" t="s">
        <v>3508</v>
      </c>
      <c r="G234" s="187">
        <v>76</v>
      </c>
      <c r="H234" s="187">
        <v>903</v>
      </c>
      <c r="I234" s="214" t="str">
        <f t="shared" si="3"/>
        <v>076-903</v>
      </c>
    </row>
    <row r="235" spans="1:9" ht="13.5" customHeight="1">
      <c r="A235" s="216" t="s">
        <v>444</v>
      </c>
      <c r="B235" s="216" t="s">
        <v>5504</v>
      </c>
      <c r="C235" s="645">
        <v>57618</v>
      </c>
      <c r="D235" s="645">
        <v>61165</v>
      </c>
      <c r="F235" s="636" t="s">
        <v>3508</v>
      </c>
      <c r="G235" s="187">
        <v>76</v>
      </c>
      <c r="H235" s="187">
        <v>904</v>
      </c>
      <c r="I235" s="214" t="str">
        <f t="shared" si="3"/>
        <v>076-904</v>
      </c>
    </row>
    <row r="236" spans="1:9" ht="13.5" customHeight="1">
      <c r="A236" s="216" t="s">
        <v>3564</v>
      </c>
      <c r="B236" s="216" t="s">
        <v>5505</v>
      </c>
      <c r="C236" s="645">
        <v>14669554</v>
      </c>
      <c r="D236" s="645">
        <v>16943088</v>
      </c>
      <c r="F236" s="636" t="s">
        <v>3508</v>
      </c>
      <c r="G236" s="187">
        <v>79</v>
      </c>
      <c r="H236" s="187">
        <v>901</v>
      </c>
      <c r="I236" s="214" t="str">
        <f t="shared" si="3"/>
        <v>079-901</v>
      </c>
    </row>
    <row r="237" spans="1:9" ht="13.5" customHeight="1">
      <c r="A237" s="216" t="s">
        <v>6179</v>
      </c>
      <c r="B237" s="216" t="s">
        <v>5506</v>
      </c>
      <c r="C237" s="645">
        <v>1353321</v>
      </c>
      <c r="D237" s="645">
        <v>1348882</v>
      </c>
      <c r="F237" s="636" t="s">
        <v>3508</v>
      </c>
      <c r="G237" s="187">
        <v>79</v>
      </c>
      <c r="H237" s="187">
        <v>906</v>
      </c>
      <c r="I237" s="214" t="str">
        <f t="shared" si="3"/>
        <v>079-906</v>
      </c>
    </row>
    <row r="238" spans="1:9" ht="13.5" customHeight="1">
      <c r="A238" s="216" t="s">
        <v>1309</v>
      </c>
      <c r="B238" s="216" t="s">
        <v>5507</v>
      </c>
      <c r="C238" s="645">
        <v>47448075</v>
      </c>
      <c r="D238" s="645">
        <v>47158710</v>
      </c>
      <c r="F238" s="636" t="s">
        <v>3508</v>
      </c>
      <c r="G238" s="187">
        <v>79</v>
      </c>
      <c r="H238" s="187">
        <v>907</v>
      </c>
      <c r="I238" s="214" t="str">
        <f t="shared" si="3"/>
        <v>079-907</v>
      </c>
    </row>
    <row r="239" spans="1:9" ht="13.5" customHeight="1">
      <c r="A239" s="216" t="s">
        <v>3566</v>
      </c>
      <c r="B239" s="216" t="s">
        <v>5508</v>
      </c>
      <c r="C239" s="645">
        <v>78938</v>
      </c>
      <c r="D239" s="645">
        <v>77843</v>
      </c>
      <c r="F239" s="636" t="s">
        <v>3508</v>
      </c>
      <c r="G239" s="187">
        <v>79</v>
      </c>
      <c r="H239" s="187">
        <v>908</v>
      </c>
      <c r="I239" s="214" t="str">
        <f t="shared" si="3"/>
        <v>079-908</v>
      </c>
    </row>
    <row r="240" spans="1:9" ht="13.5" customHeight="1">
      <c r="A240" s="216" t="s">
        <v>3568</v>
      </c>
      <c r="B240" s="216" t="s">
        <v>5509</v>
      </c>
      <c r="C240" s="645">
        <v>2991150</v>
      </c>
      <c r="D240" s="645">
        <v>3009200</v>
      </c>
      <c r="F240" s="636" t="s">
        <v>3508</v>
      </c>
      <c r="G240" s="187">
        <v>79</v>
      </c>
      <c r="H240" s="187">
        <v>910</v>
      </c>
      <c r="I240" s="214" t="str">
        <f t="shared" si="3"/>
        <v>079-910</v>
      </c>
    </row>
    <row r="241" spans="1:9" ht="13.5" customHeight="1">
      <c r="A241" s="216" t="s">
        <v>2482</v>
      </c>
      <c r="B241" s="216" t="s">
        <v>5510</v>
      </c>
      <c r="C241" s="645">
        <v>2265132</v>
      </c>
      <c r="D241" s="645">
        <v>2263669</v>
      </c>
      <c r="F241" s="636" t="s">
        <v>3508</v>
      </c>
      <c r="G241" s="187">
        <v>81</v>
      </c>
      <c r="H241" s="187">
        <v>902</v>
      </c>
      <c r="I241" s="214" t="str">
        <f t="shared" si="3"/>
        <v>081-902</v>
      </c>
    </row>
    <row r="242" spans="1:9" ht="13.5" customHeight="1">
      <c r="A242" s="216" t="s">
        <v>2484</v>
      </c>
      <c r="B242" s="216" t="s">
        <v>5511</v>
      </c>
      <c r="C242" s="645">
        <v>568305</v>
      </c>
      <c r="D242" s="645">
        <v>564065</v>
      </c>
      <c r="F242" s="636" t="s">
        <v>3508</v>
      </c>
      <c r="G242" s="187">
        <v>81</v>
      </c>
      <c r="H242" s="187">
        <v>904</v>
      </c>
      <c r="I242" s="214" t="str">
        <f t="shared" si="3"/>
        <v>081-904</v>
      </c>
    </row>
    <row r="243" spans="1:9" ht="13.5" customHeight="1">
      <c r="A243" s="216" t="s">
        <v>2486</v>
      </c>
      <c r="B243" s="216" t="s">
        <v>5512</v>
      </c>
      <c r="C243" s="645">
        <v>105879</v>
      </c>
      <c r="D243" s="645">
        <v>107544</v>
      </c>
      <c r="F243" s="636" t="s">
        <v>3508</v>
      </c>
      <c r="G243" s="187">
        <v>81</v>
      </c>
      <c r="H243" s="187">
        <v>905</v>
      </c>
      <c r="I243" s="214" t="str">
        <f t="shared" si="3"/>
        <v>081-905</v>
      </c>
    </row>
    <row r="244" spans="1:9" ht="13.5" customHeight="1">
      <c r="A244" s="216" t="s">
        <v>2834</v>
      </c>
      <c r="B244" s="216" t="s">
        <v>5513</v>
      </c>
      <c r="C244" s="645">
        <v>191138</v>
      </c>
      <c r="D244" s="645">
        <v>192813</v>
      </c>
      <c r="F244" s="636" t="s">
        <v>3508</v>
      </c>
      <c r="G244" s="187">
        <v>82</v>
      </c>
      <c r="H244" s="187">
        <v>902</v>
      </c>
      <c r="I244" s="214" t="str">
        <f t="shared" si="3"/>
        <v>082-902</v>
      </c>
    </row>
    <row r="245" spans="1:9" ht="13.5" customHeight="1">
      <c r="A245" s="216" t="s">
        <v>445</v>
      </c>
      <c r="B245" s="216" t="s">
        <v>5514</v>
      </c>
      <c r="C245" s="645">
        <v>1251048</v>
      </c>
      <c r="D245" s="645">
        <v>1250473</v>
      </c>
      <c r="F245" s="636" t="s">
        <v>3508</v>
      </c>
      <c r="G245" s="187">
        <v>82</v>
      </c>
      <c r="H245" s="187">
        <v>903</v>
      </c>
      <c r="I245" s="214" t="str">
        <f t="shared" si="3"/>
        <v>082-903</v>
      </c>
    </row>
    <row r="246" spans="1:9" ht="13.5" customHeight="1">
      <c r="A246" s="216" t="s">
        <v>2492</v>
      </c>
      <c r="B246" s="216" t="s">
        <v>5515</v>
      </c>
      <c r="C246" s="645">
        <v>347340</v>
      </c>
      <c r="D246" s="645">
        <v>350003</v>
      </c>
      <c r="F246" s="636" t="s">
        <v>3508</v>
      </c>
      <c r="G246" s="187">
        <v>83</v>
      </c>
      <c r="H246" s="187">
        <v>902</v>
      </c>
      <c r="I246" s="214" t="str">
        <f t="shared" si="3"/>
        <v>083-902</v>
      </c>
    </row>
    <row r="247" spans="1:9" ht="13.5" customHeight="1">
      <c r="A247" s="216" t="s">
        <v>2494</v>
      </c>
      <c r="B247" s="216" t="s">
        <v>5516</v>
      </c>
      <c r="C247" s="645">
        <v>1231333</v>
      </c>
      <c r="D247" s="645">
        <v>1241675</v>
      </c>
      <c r="F247" s="636" t="s">
        <v>3508</v>
      </c>
      <c r="G247" s="187">
        <v>83</v>
      </c>
      <c r="H247" s="187">
        <v>903</v>
      </c>
      <c r="I247" s="214" t="str">
        <f t="shared" si="3"/>
        <v>083-903</v>
      </c>
    </row>
    <row r="248" spans="1:9" ht="13.5" customHeight="1">
      <c r="A248" s="216" t="s">
        <v>2498</v>
      </c>
      <c r="B248" s="216" t="s">
        <v>5517</v>
      </c>
      <c r="C248" s="645">
        <v>5244228</v>
      </c>
      <c r="D248" s="645">
        <v>6266050</v>
      </c>
      <c r="F248" s="636" t="s">
        <v>3508</v>
      </c>
      <c r="G248" s="187">
        <v>84</v>
      </c>
      <c r="H248" s="187">
        <v>901</v>
      </c>
      <c r="I248" s="214" t="str">
        <f t="shared" si="3"/>
        <v>084-901</v>
      </c>
    </row>
    <row r="249" spans="1:9" ht="13.5" customHeight="1">
      <c r="A249" s="216" t="s">
        <v>1670</v>
      </c>
      <c r="B249" s="216" t="s">
        <v>5518</v>
      </c>
      <c r="C249" s="645">
        <v>6224654</v>
      </c>
      <c r="D249" s="645">
        <v>6225231</v>
      </c>
      <c r="F249" s="636" t="s">
        <v>3508</v>
      </c>
      <c r="G249" s="187">
        <v>84</v>
      </c>
      <c r="H249" s="187">
        <v>902</v>
      </c>
      <c r="I249" s="214" t="str">
        <f t="shared" si="3"/>
        <v>084-902</v>
      </c>
    </row>
    <row r="250" spans="1:9" ht="13.5" customHeight="1">
      <c r="A250" s="216" t="s">
        <v>1867</v>
      </c>
      <c r="B250" s="216" t="s">
        <v>5519</v>
      </c>
      <c r="C250" s="645">
        <v>171045</v>
      </c>
      <c r="D250" s="645">
        <v>169920</v>
      </c>
      <c r="F250" s="636" t="s">
        <v>3508</v>
      </c>
      <c r="G250" s="187">
        <v>84</v>
      </c>
      <c r="H250" s="187">
        <v>903</v>
      </c>
      <c r="I250" s="214" t="str">
        <f t="shared" si="3"/>
        <v>084-903</v>
      </c>
    </row>
    <row r="251" spans="1:9" ht="13.5" customHeight="1">
      <c r="A251" s="216" t="s">
        <v>1672</v>
      </c>
      <c r="B251" s="216" t="s">
        <v>5520</v>
      </c>
      <c r="C251" s="645">
        <v>2798302</v>
      </c>
      <c r="D251" s="645">
        <v>2791622</v>
      </c>
      <c r="F251" s="636" t="s">
        <v>3508</v>
      </c>
      <c r="G251" s="187">
        <v>84</v>
      </c>
      <c r="H251" s="187">
        <v>904</v>
      </c>
      <c r="I251" s="214" t="str">
        <f t="shared" si="3"/>
        <v>084-904</v>
      </c>
    </row>
    <row r="252" spans="1:9" ht="13.5" customHeight="1">
      <c r="A252" s="216" t="s">
        <v>1674</v>
      </c>
      <c r="B252" s="216" t="s">
        <v>5521</v>
      </c>
      <c r="C252" s="645">
        <v>2734159</v>
      </c>
      <c r="D252" s="645">
        <v>2731589</v>
      </c>
      <c r="F252" s="636" t="s">
        <v>3508</v>
      </c>
      <c r="G252" s="187">
        <v>84</v>
      </c>
      <c r="H252" s="187">
        <v>906</v>
      </c>
      <c r="I252" s="214" t="str">
        <f t="shared" si="3"/>
        <v>084-906</v>
      </c>
    </row>
    <row r="253" spans="1:9" ht="13.5" customHeight="1">
      <c r="A253" s="216" t="s">
        <v>5048</v>
      </c>
      <c r="B253" s="216" t="s">
        <v>5522</v>
      </c>
      <c r="C253" s="645">
        <v>895831</v>
      </c>
      <c r="D253" s="645">
        <v>902918</v>
      </c>
      <c r="F253" s="636" t="s">
        <v>3508</v>
      </c>
      <c r="G253" s="187">
        <v>84</v>
      </c>
      <c r="H253" s="187">
        <v>908</v>
      </c>
      <c r="I253" s="214" t="str">
        <f t="shared" si="3"/>
        <v>084-908</v>
      </c>
    </row>
    <row r="254" spans="1:9" ht="13.5" customHeight="1">
      <c r="A254" s="216" t="s">
        <v>2392</v>
      </c>
      <c r="B254" s="216" t="s">
        <v>5523</v>
      </c>
      <c r="C254" s="645">
        <v>2011680</v>
      </c>
      <c r="D254" s="645">
        <v>1972723</v>
      </c>
      <c r="F254" s="636" t="s">
        <v>3508</v>
      </c>
      <c r="G254" s="187">
        <v>84</v>
      </c>
      <c r="H254" s="187">
        <v>909</v>
      </c>
      <c r="I254" s="214" t="str">
        <f t="shared" si="3"/>
        <v>084-909</v>
      </c>
    </row>
    <row r="255" spans="1:9" ht="13.5" customHeight="1">
      <c r="A255" s="216" t="s">
        <v>5050</v>
      </c>
      <c r="B255" s="216" t="s">
        <v>5524</v>
      </c>
      <c r="C255" s="645">
        <v>30748019</v>
      </c>
      <c r="D255" s="645">
        <v>32710819</v>
      </c>
      <c r="F255" s="636" t="s">
        <v>3508</v>
      </c>
      <c r="G255" s="187">
        <v>84</v>
      </c>
      <c r="H255" s="187">
        <v>910</v>
      </c>
      <c r="I255" s="214" t="str">
        <f t="shared" si="3"/>
        <v>084-910</v>
      </c>
    </row>
    <row r="256" spans="1:9" ht="13.5" customHeight="1">
      <c r="A256" s="216" t="s">
        <v>1311</v>
      </c>
      <c r="B256" s="216" t="s">
        <v>5525</v>
      </c>
      <c r="C256" s="645">
        <v>2489530</v>
      </c>
      <c r="D256" s="645">
        <v>2816587</v>
      </c>
      <c r="F256" s="636" t="s">
        <v>3508</v>
      </c>
      <c r="G256" s="187">
        <v>84</v>
      </c>
      <c r="H256" s="187">
        <v>911</v>
      </c>
      <c r="I256" s="214" t="str">
        <f t="shared" si="3"/>
        <v>084-911</v>
      </c>
    </row>
    <row r="257" spans="1:9" ht="13.5" customHeight="1">
      <c r="A257" s="216" t="s">
        <v>3228</v>
      </c>
      <c r="B257" s="216" t="s">
        <v>5526</v>
      </c>
      <c r="C257" s="645">
        <v>2086992</v>
      </c>
      <c r="D257" s="645">
        <v>2080254</v>
      </c>
      <c r="F257" s="636" t="s">
        <v>3508</v>
      </c>
      <c r="G257" s="187">
        <v>86</v>
      </c>
      <c r="H257" s="187">
        <v>901</v>
      </c>
      <c r="I257" s="214" t="str">
        <f t="shared" si="3"/>
        <v>086-901</v>
      </c>
    </row>
    <row r="258" spans="1:9" ht="13.5" customHeight="1">
      <c r="A258" s="216" t="s">
        <v>1899</v>
      </c>
      <c r="B258" s="216" t="s">
        <v>5527</v>
      </c>
      <c r="C258" s="645">
        <v>353188</v>
      </c>
      <c r="D258" s="645">
        <v>359625</v>
      </c>
      <c r="F258" s="636" t="s">
        <v>3508</v>
      </c>
      <c r="G258" s="187">
        <v>88</v>
      </c>
      <c r="H258" s="187">
        <v>902</v>
      </c>
      <c r="I258" s="214" t="str">
        <f t="shared" si="3"/>
        <v>088-902</v>
      </c>
    </row>
    <row r="259" spans="1:9" ht="13.5" customHeight="1">
      <c r="A259" s="216" t="s">
        <v>1853</v>
      </c>
      <c r="B259" s="216" t="s">
        <v>5528</v>
      </c>
      <c r="C259" s="645">
        <v>557757</v>
      </c>
      <c r="D259" s="645">
        <v>555464</v>
      </c>
      <c r="F259" s="636" t="s">
        <v>3508</v>
      </c>
      <c r="G259" s="187">
        <v>89</v>
      </c>
      <c r="H259" s="187">
        <v>901</v>
      </c>
      <c r="I259" s="214" t="str">
        <f t="shared" si="3"/>
        <v>089-901</v>
      </c>
    </row>
    <row r="260" spans="1:9" ht="13.5" customHeight="1">
      <c r="A260" s="216" t="s">
        <v>1901</v>
      </c>
      <c r="B260" s="216" t="s">
        <v>5529</v>
      </c>
      <c r="C260" s="645">
        <v>114954</v>
      </c>
      <c r="D260" s="645">
        <v>112823</v>
      </c>
      <c r="F260" s="636" t="s">
        <v>3508</v>
      </c>
      <c r="G260" s="187">
        <v>89</v>
      </c>
      <c r="H260" s="187">
        <v>903</v>
      </c>
      <c r="I260" s="214" t="str">
        <f t="shared" ref="I260:I323" si="4">F260&amp;G260&amp;"-"&amp;H260</f>
        <v>089-903</v>
      </c>
    </row>
    <row r="261" spans="1:9" ht="13.5" customHeight="1">
      <c r="A261" s="216" t="s">
        <v>52</v>
      </c>
      <c r="B261" s="216" t="s">
        <v>5530</v>
      </c>
      <c r="C261" s="645">
        <v>81760</v>
      </c>
      <c r="D261" s="645" t="s">
        <v>6153</v>
      </c>
      <c r="F261" s="636" t="s">
        <v>3508</v>
      </c>
      <c r="G261" s="187">
        <v>90</v>
      </c>
      <c r="H261" s="187">
        <v>902</v>
      </c>
      <c r="I261" s="214" t="str">
        <f t="shared" si="4"/>
        <v>090-902</v>
      </c>
    </row>
    <row r="262" spans="1:9" ht="13.5" customHeight="1">
      <c r="A262" s="216" t="s">
        <v>6191</v>
      </c>
      <c r="B262" s="216" t="s">
        <v>5531</v>
      </c>
      <c r="C262" s="645">
        <v>577998</v>
      </c>
      <c r="D262" s="645">
        <v>577823</v>
      </c>
      <c r="F262" s="636" t="s">
        <v>3508</v>
      </c>
      <c r="G262" s="187">
        <v>90</v>
      </c>
      <c r="H262" s="187">
        <v>904</v>
      </c>
      <c r="I262" s="214" t="str">
        <f t="shared" si="4"/>
        <v>090-904</v>
      </c>
    </row>
    <row r="263" spans="1:9" ht="13.5" customHeight="1">
      <c r="A263" s="216" t="s">
        <v>732</v>
      </c>
      <c r="B263" s="216" t="s">
        <v>5532</v>
      </c>
      <c r="C263" s="645" t="s">
        <v>6153</v>
      </c>
      <c r="D263" s="645" t="s">
        <v>6153</v>
      </c>
      <c r="F263" s="636" t="s">
        <v>3508</v>
      </c>
      <c r="G263" s="187">
        <v>90</v>
      </c>
      <c r="H263" s="187">
        <v>905</v>
      </c>
      <c r="I263" s="214" t="str">
        <f t="shared" si="4"/>
        <v>090-905</v>
      </c>
    </row>
    <row r="264" spans="1:9" ht="13.5" customHeight="1">
      <c r="A264" s="216" t="s">
        <v>949</v>
      </c>
      <c r="B264" s="216" t="s">
        <v>7735</v>
      </c>
      <c r="C264" s="645">
        <v>315111</v>
      </c>
      <c r="D264" s="645">
        <v>313581</v>
      </c>
      <c r="F264" s="636" t="s">
        <v>3508</v>
      </c>
      <c r="G264" s="187">
        <v>91</v>
      </c>
      <c r="H264" s="187">
        <v>901</v>
      </c>
      <c r="I264" s="214" t="str">
        <f t="shared" si="4"/>
        <v>091-901</v>
      </c>
    </row>
    <row r="265" spans="1:9" ht="13.5" customHeight="1">
      <c r="A265" s="216" t="s">
        <v>3980</v>
      </c>
      <c r="B265" s="216" t="s">
        <v>7736</v>
      </c>
      <c r="C265" s="645">
        <v>155863</v>
      </c>
      <c r="D265" s="645">
        <v>157473</v>
      </c>
      <c r="F265" s="636" t="s">
        <v>3508</v>
      </c>
      <c r="G265" s="187">
        <v>91</v>
      </c>
      <c r="H265" s="187">
        <v>902</v>
      </c>
      <c r="I265" s="214" t="str">
        <f t="shared" si="4"/>
        <v>091-902</v>
      </c>
    </row>
    <row r="266" spans="1:9" ht="13.5" customHeight="1">
      <c r="A266" s="216" t="s">
        <v>3982</v>
      </c>
      <c r="B266" s="216" t="s">
        <v>7737</v>
      </c>
      <c r="C266" s="645">
        <v>1630000</v>
      </c>
      <c r="D266" s="645">
        <v>1630000</v>
      </c>
      <c r="F266" s="636" t="s">
        <v>3508</v>
      </c>
      <c r="G266" s="187">
        <v>91</v>
      </c>
      <c r="H266" s="187">
        <v>903</v>
      </c>
      <c r="I266" s="214" t="str">
        <f t="shared" si="4"/>
        <v>091-903</v>
      </c>
    </row>
    <row r="267" spans="1:9" ht="13.5" customHeight="1">
      <c r="A267" s="216" t="s">
        <v>1871</v>
      </c>
      <c r="B267" s="216" t="s">
        <v>7738</v>
      </c>
      <c r="C267" s="645">
        <v>986827</v>
      </c>
      <c r="D267" s="645">
        <v>989858</v>
      </c>
      <c r="F267" s="636" t="s">
        <v>3508</v>
      </c>
      <c r="G267" s="187">
        <v>91</v>
      </c>
      <c r="H267" s="187">
        <v>905</v>
      </c>
      <c r="I267" s="214" t="str">
        <f t="shared" si="4"/>
        <v>091-905</v>
      </c>
    </row>
    <row r="268" spans="1:9" ht="13.5" customHeight="1">
      <c r="A268" s="216" t="s">
        <v>3116</v>
      </c>
      <c r="B268" s="216" t="s">
        <v>7739</v>
      </c>
      <c r="C268" s="645">
        <v>2713730</v>
      </c>
      <c r="D268" s="645">
        <v>2864048</v>
      </c>
      <c r="F268" s="636" t="s">
        <v>3508</v>
      </c>
      <c r="G268" s="187">
        <v>91</v>
      </c>
      <c r="H268" s="187">
        <v>906</v>
      </c>
      <c r="I268" s="214" t="str">
        <f t="shared" si="4"/>
        <v>091-906</v>
      </c>
    </row>
    <row r="269" spans="1:9" ht="13.5" customHeight="1">
      <c r="A269" s="216" t="s">
        <v>3118</v>
      </c>
      <c r="B269" s="216" t="s">
        <v>7740</v>
      </c>
      <c r="C269" s="645">
        <v>58755</v>
      </c>
      <c r="D269" s="645">
        <v>55545</v>
      </c>
      <c r="F269" s="636" t="s">
        <v>3508</v>
      </c>
      <c r="G269" s="187">
        <v>91</v>
      </c>
      <c r="H269" s="187">
        <v>907</v>
      </c>
      <c r="I269" s="214" t="str">
        <f t="shared" si="4"/>
        <v>091-907</v>
      </c>
    </row>
    <row r="270" spans="1:9" ht="13.5" customHeight="1">
      <c r="A270" s="216" t="s">
        <v>2836</v>
      </c>
      <c r="B270" s="216" t="s">
        <v>7741</v>
      </c>
      <c r="C270" s="645">
        <v>1573500</v>
      </c>
      <c r="D270" s="645">
        <v>1572280</v>
      </c>
      <c r="F270" s="636" t="s">
        <v>3508</v>
      </c>
      <c r="G270" s="187">
        <v>91</v>
      </c>
      <c r="H270" s="187">
        <v>908</v>
      </c>
      <c r="I270" s="214" t="str">
        <f t="shared" si="4"/>
        <v>091-908</v>
      </c>
    </row>
    <row r="271" spans="1:9" ht="13.5" customHeight="1">
      <c r="A271" s="216" t="s">
        <v>2838</v>
      </c>
      <c r="B271" s="216" t="s">
        <v>7742</v>
      </c>
      <c r="C271" s="645">
        <v>1256384</v>
      </c>
      <c r="D271" s="645">
        <v>1255072</v>
      </c>
      <c r="F271" s="636" t="s">
        <v>3508</v>
      </c>
      <c r="G271" s="187">
        <v>91</v>
      </c>
      <c r="H271" s="187">
        <v>909</v>
      </c>
      <c r="I271" s="214" t="str">
        <f t="shared" si="4"/>
        <v>091-909</v>
      </c>
    </row>
    <row r="272" spans="1:9" ht="13.5" customHeight="1">
      <c r="A272" s="216" t="s">
        <v>5220</v>
      </c>
      <c r="B272" s="216" t="s">
        <v>7743</v>
      </c>
      <c r="C272" s="645">
        <v>616346</v>
      </c>
      <c r="D272" s="645">
        <v>618494</v>
      </c>
      <c r="F272" s="636" t="s">
        <v>3508</v>
      </c>
      <c r="G272" s="187">
        <v>91</v>
      </c>
      <c r="H272" s="187">
        <v>910</v>
      </c>
      <c r="I272" s="214" t="str">
        <f t="shared" si="4"/>
        <v>091-910</v>
      </c>
    </row>
    <row r="273" spans="1:9" ht="13.5" customHeight="1">
      <c r="A273" s="216" t="s">
        <v>5129</v>
      </c>
      <c r="B273" s="216" t="s">
        <v>7744</v>
      </c>
      <c r="C273" s="645">
        <v>1135108</v>
      </c>
      <c r="D273" s="645">
        <v>1133228</v>
      </c>
      <c r="F273" s="636" t="s">
        <v>3508</v>
      </c>
      <c r="G273" s="187">
        <v>91</v>
      </c>
      <c r="H273" s="187">
        <v>913</v>
      </c>
      <c r="I273" s="214" t="str">
        <f t="shared" si="4"/>
        <v>091-913</v>
      </c>
    </row>
    <row r="274" spans="1:9" ht="13.5" customHeight="1">
      <c r="A274" s="216" t="s">
        <v>5222</v>
      </c>
      <c r="B274" s="216" t="s">
        <v>7745</v>
      </c>
      <c r="C274" s="645">
        <v>614075</v>
      </c>
      <c r="D274" s="645">
        <v>614075</v>
      </c>
      <c r="F274" s="636" t="s">
        <v>3508</v>
      </c>
      <c r="G274" s="187">
        <v>91</v>
      </c>
      <c r="H274" s="187">
        <v>914</v>
      </c>
      <c r="I274" s="214" t="str">
        <f t="shared" si="4"/>
        <v>091-914</v>
      </c>
    </row>
    <row r="275" spans="1:9" ht="13.5" customHeight="1">
      <c r="A275" s="216" t="s">
        <v>1858</v>
      </c>
      <c r="B275" s="216" t="s">
        <v>7746</v>
      </c>
      <c r="C275" s="645">
        <v>295268</v>
      </c>
      <c r="D275" s="645">
        <v>301918</v>
      </c>
      <c r="F275" s="636" t="s">
        <v>3508</v>
      </c>
      <c r="G275" s="187">
        <v>91</v>
      </c>
      <c r="H275" s="187">
        <v>917</v>
      </c>
      <c r="I275" s="214" t="str">
        <f t="shared" si="4"/>
        <v>091-917</v>
      </c>
    </row>
    <row r="276" spans="1:9" ht="13.5" customHeight="1">
      <c r="A276" s="216" t="s">
        <v>5224</v>
      </c>
      <c r="B276" s="216" t="s">
        <v>7747</v>
      </c>
      <c r="C276" s="645">
        <v>352463</v>
      </c>
      <c r="D276" s="645">
        <v>366338</v>
      </c>
      <c r="F276" s="636" t="s">
        <v>3508</v>
      </c>
      <c r="G276" s="187">
        <v>91</v>
      </c>
      <c r="H276" s="187">
        <v>918</v>
      </c>
      <c r="I276" s="214" t="str">
        <f t="shared" si="4"/>
        <v>091-918</v>
      </c>
    </row>
    <row r="277" spans="1:9" ht="13.5" customHeight="1">
      <c r="A277" s="216" t="s">
        <v>5228</v>
      </c>
      <c r="B277" s="216" t="s">
        <v>7748</v>
      </c>
      <c r="C277" s="645">
        <v>409553</v>
      </c>
      <c r="D277" s="645">
        <v>416803</v>
      </c>
      <c r="F277" s="636" t="s">
        <v>3508</v>
      </c>
      <c r="G277" s="187">
        <v>92</v>
      </c>
      <c r="H277" s="187">
        <v>901</v>
      </c>
      <c r="I277" s="214" t="str">
        <f t="shared" si="4"/>
        <v>092-901</v>
      </c>
    </row>
    <row r="278" spans="1:9" ht="13.5" customHeight="1">
      <c r="A278" s="216" t="s">
        <v>5230</v>
      </c>
      <c r="B278" s="216" t="s">
        <v>7749</v>
      </c>
      <c r="C278" s="645">
        <v>1345922</v>
      </c>
      <c r="D278" s="645">
        <v>1341235</v>
      </c>
      <c r="F278" s="636" t="s">
        <v>3508</v>
      </c>
      <c r="G278" s="187">
        <v>92</v>
      </c>
      <c r="H278" s="187">
        <v>902</v>
      </c>
      <c r="I278" s="214" t="str">
        <f t="shared" si="4"/>
        <v>092-902</v>
      </c>
    </row>
    <row r="279" spans="1:9" ht="13.5" customHeight="1">
      <c r="A279" s="216" t="s">
        <v>2994</v>
      </c>
      <c r="B279" s="216" t="s">
        <v>7750</v>
      </c>
      <c r="C279" s="645">
        <v>3023978</v>
      </c>
      <c r="D279" s="645">
        <v>3028550</v>
      </c>
      <c r="F279" s="636" t="s">
        <v>3508</v>
      </c>
      <c r="G279" s="187">
        <v>92</v>
      </c>
      <c r="H279" s="187">
        <v>903</v>
      </c>
      <c r="I279" s="214" t="str">
        <f t="shared" si="4"/>
        <v>092-903</v>
      </c>
    </row>
    <row r="280" spans="1:9" ht="13.5" customHeight="1">
      <c r="A280" s="216" t="s">
        <v>7723</v>
      </c>
      <c r="B280" s="216" t="s">
        <v>7751</v>
      </c>
      <c r="C280" s="645">
        <v>2702786</v>
      </c>
      <c r="D280" s="645">
        <v>2699555</v>
      </c>
      <c r="F280" s="636" t="s">
        <v>3508</v>
      </c>
      <c r="G280" s="187">
        <v>92</v>
      </c>
      <c r="H280" s="187">
        <v>904</v>
      </c>
      <c r="I280" s="214" t="str">
        <f t="shared" si="4"/>
        <v>092-904</v>
      </c>
    </row>
    <row r="281" spans="1:9" ht="13.5" customHeight="1">
      <c r="A281" s="216" t="s">
        <v>2406</v>
      </c>
      <c r="B281" s="216" t="s">
        <v>7752</v>
      </c>
      <c r="C281" s="645">
        <v>764946</v>
      </c>
      <c r="D281" s="645">
        <v>762413</v>
      </c>
      <c r="F281" s="636" t="s">
        <v>3508</v>
      </c>
      <c r="G281" s="187">
        <v>92</v>
      </c>
      <c r="H281" s="187">
        <v>907</v>
      </c>
      <c r="I281" s="214" t="str">
        <f t="shared" si="4"/>
        <v>092-907</v>
      </c>
    </row>
    <row r="282" spans="1:9" ht="13.5" customHeight="1">
      <c r="A282" s="216" t="s">
        <v>223</v>
      </c>
      <c r="B282" s="216" t="s">
        <v>7753</v>
      </c>
      <c r="C282" s="645">
        <v>363676</v>
      </c>
      <c r="D282" s="645">
        <v>359395</v>
      </c>
      <c r="F282" s="636" t="s">
        <v>3508</v>
      </c>
      <c r="G282" s="187">
        <v>92</v>
      </c>
      <c r="H282" s="187">
        <v>908</v>
      </c>
      <c r="I282" s="214" t="str">
        <f t="shared" si="4"/>
        <v>092-908</v>
      </c>
    </row>
    <row r="283" spans="1:9" ht="13.5" customHeight="1">
      <c r="A283" s="216" t="s">
        <v>225</v>
      </c>
      <c r="B283" s="216" t="s">
        <v>7754</v>
      </c>
      <c r="C283" s="645">
        <v>274320</v>
      </c>
      <c r="D283" s="645">
        <v>276670</v>
      </c>
      <c r="F283" s="636" t="s">
        <v>3508</v>
      </c>
      <c r="G283" s="187">
        <v>93</v>
      </c>
      <c r="H283" s="187">
        <v>901</v>
      </c>
      <c r="I283" s="214" t="str">
        <f t="shared" si="4"/>
        <v>093-901</v>
      </c>
    </row>
    <row r="284" spans="1:9" ht="13.5" customHeight="1">
      <c r="A284" s="216" t="s">
        <v>229</v>
      </c>
      <c r="B284" s="216" t="s">
        <v>7755</v>
      </c>
      <c r="C284" s="645">
        <v>1672144</v>
      </c>
      <c r="D284" s="645">
        <v>1847044</v>
      </c>
      <c r="F284" s="636" t="s">
        <v>3508</v>
      </c>
      <c r="G284" s="187">
        <v>93</v>
      </c>
      <c r="H284" s="187">
        <v>904</v>
      </c>
      <c r="I284" s="214" t="str">
        <f t="shared" si="4"/>
        <v>093-904</v>
      </c>
    </row>
    <row r="285" spans="1:9" ht="13.5" customHeight="1">
      <c r="A285" s="216" t="s">
        <v>2396</v>
      </c>
      <c r="B285" s="216" t="s">
        <v>7756</v>
      </c>
      <c r="C285" s="645">
        <v>4773573</v>
      </c>
      <c r="D285" s="645">
        <v>4623589</v>
      </c>
      <c r="F285" s="636" t="s">
        <v>3508</v>
      </c>
      <c r="G285" s="187">
        <v>94</v>
      </c>
      <c r="H285" s="187">
        <v>901</v>
      </c>
      <c r="I285" s="214" t="str">
        <f t="shared" si="4"/>
        <v>094-901</v>
      </c>
    </row>
    <row r="286" spans="1:9" ht="13.5" customHeight="1">
      <c r="A286" s="216" t="s">
        <v>2394</v>
      </c>
      <c r="B286" s="216" t="s">
        <v>7757</v>
      </c>
      <c r="C286" s="645">
        <v>6906161</v>
      </c>
      <c r="D286" s="645">
        <v>6820805</v>
      </c>
      <c r="F286" s="636" t="s">
        <v>3508</v>
      </c>
      <c r="G286" s="187">
        <v>94</v>
      </c>
      <c r="H286" s="187">
        <v>902</v>
      </c>
      <c r="I286" s="214" t="str">
        <f t="shared" si="4"/>
        <v>094-902</v>
      </c>
    </row>
    <row r="287" spans="1:9" ht="13.5" customHeight="1">
      <c r="A287" s="216" t="s">
        <v>4042</v>
      </c>
      <c r="B287" s="216" t="s">
        <v>7758</v>
      </c>
      <c r="C287" s="645">
        <v>1698761</v>
      </c>
      <c r="D287" s="645">
        <v>1676811</v>
      </c>
      <c r="F287" s="636" t="s">
        <v>3508</v>
      </c>
      <c r="G287" s="187">
        <v>94</v>
      </c>
      <c r="H287" s="187">
        <v>903</v>
      </c>
      <c r="I287" s="214" t="str">
        <f t="shared" si="4"/>
        <v>094-903</v>
      </c>
    </row>
    <row r="288" spans="1:9" ht="13.5" customHeight="1">
      <c r="A288" s="216" t="s">
        <v>3004</v>
      </c>
      <c r="B288" s="216" t="s">
        <v>7759</v>
      </c>
      <c r="C288" s="645">
        <v>817332</v>
      </c>
      <c r="D288" s="645">
        <v>799079</v>
      </c>
      <c r="F288" s="636" t="s">
        <v>3508</v>
      </c>
      <c r="G288" s="187">
        <v>94</v>
      </c>
      <c r="H288" s="187">
        <v>904</v>
      </c>
      <c r="I288" s="214" t="str">
        <f t="shared" si="4"/>
        <v>094-904</v>
      </c>
    </row>
    <row r="289" spans="1:9" ht="13.5" customHeight="1">
      <c r="A289" s="216" t="s">
        <v>5404</v>
      </c>
      <c r="B289" s="216" t="s">
        <v>7760</v>
      </c>
      <c r="C289" s="645">
        <v>62215</v>
      </c>
      <c r="D289" s="645">
        <v>64898</v>
      </c>
      <c r="F289" s="636" t="s">
        <v>3508</v>
      </c>
      <c r="G289" s="187">
        <v>95</v>
      </c>
      <c r="H289" s="187">
        <v>904</v>
      </c>
      <c r="I289" s="214" t="str">
        <f t="shared" si="4"/>
        <v>095-904</v>
      </c>
    </row>
    <row r="290" spans="1:9" ht="13.5" customHeight="1">
      <c r="A290" s="216" t="s">
        <v>429</v>
      </c>
      <c r="B290" s="216" t="s">
        <v>7761</v>
      </c>
      <c r="C290" s="645">
        <v>440819</v>
      </c>
      <c r="D290" s="645">
        <v>435200</v>
      </c>
      <c r="F290" s="636" t="s">
        <v>3508</v>
      </c>
      <c r="G290" s="187">
        <v>97</v>
      </c>
      <c r="H290" s="187">
        <v>902</v>
      </c>
      <c r="I290" s="214" t="str">
        <f t="shared" si="4"/>
        <v>097-902</v>
      </c>
    </row>
    <row r="291" spans="1:9" ht="13.5" customHeight="1">
      <c r="A291" s="216" t="s">
        <v>446</v>
      </c>
      <c r="B291" s="216" t="s">
        <v>7762</v>
      </c>
      <c r="C291" s="645">
        <v>270834</v>
      </c>
      <c r="D291" s="645">
        <v>272290</v>
      </c>
      <c r="F291" s="636" t="s">
        <v>3508</v>
      </c>
      <c r="G291" s="187">
        <v>97</v>
      </c>
      <c r="H291" s="187">
        <v>903</v>
      </c>
      <c r="I291" s="214" t="str">
        <f t="shared" si="4"/>
        <v>097-903</v>
      </c>
    </row>
    <row r="292" spans="1:9" ht="13.5" customHeight="1">
      <c r="A292" s="216" t="s">
        <v>4947</v>
      </c>
      <c r="B292" s="216" t="s">
        <v>7763</v>
      </c>
      <c r="C292" s="645">
        <v>0</v>
      </c>
      <c r="D292" s="645">
        <v>0</v>
      </c>
      <c r="F292" s="636" t="s">
        <v>3508</v>
      </c>
      <c r="G292" s="187">
        <v>98</v>
      </c>
      <c r="H292" s="187">
        <v>904</v>
      </c>
      <c r="I292" s="214" t="str">
        <f t="shared" si="4"/>
        <v>098-904</v>
      </c>
    </row>
    <row r="293" spans="1:9" ht="13.5" customHeight="1">
      <c r="A293" s="216" t="s">
        <v>4951</v>
      </c>
      <c r="B293" s="216" t="s">
        <v>7764</v>
      </c>
      <c r="C293" s="645">
        <v>78000</v>
      </c>
      <c r="D293" s="645" t="s">
        <v>6153</v>
      </c>
      <c r="F293" s="636" t="s">
        <v>3508</v>
      </c>
      <c r="G293" s="187">
        <v>99</v>
      </c>
      <c r="H293" s="187">
        <v>903</v>
      </c>
      <c r="I293" s="214" t="str">
        <f t="shared" si="4"/>
        <v>099-903</v>
      </c>
    </row>
    <row r="294" spans="1:9" ht="13.5" customHeight="1">
      <c r="A294" s="216" t="s">
        <v>1560</v>
      </c>
      <c r="B294" s="216" t="s">
        <v>7765</v>
      </c>
      <c r="C294" s="645">
        <v>387020</v>
      </c>
      <c r="D294" s="645">
        <v>0</v>
      </c>
      <c r="G294" s="187">
        <v>100</v>
      </c>
      <c r="H294" s="187">
        <v>903</v>
      </c>
      <c r="I294" s="214" t="str">
        <f t="shared" si="4"/>
        <v>100-903</v>
      </c>
    </row>
    <row r="295" spans="1:9" ht="13.5" customHeight="1">
      <c r="A295" s="216" t="s">
        <v>2398</v>
      </c>
      <c r="B295" s="216" t="s">
        <v>7766</v>
      </c>
      <c r="C295" s="645">
        <v>1645590</v>
      </c>
      <c r="D295" s="645">
        <v>1649028</v>
      </c>
      <c r="G295" s="187">
        <v>100</v>
      </c>
      <c r="H295" s="187">
        <v>904</v>
      </c>
      <c r="I295" s="214" t="str">
        <f t="shared" si="4"/>
        <v>100-904</v>
      </c>
    </row>
    <row r="296" spans="1:9" ht="13.5" customHeight="1">
      <c r="A296" s="216" t="s">
        <v>1562</v>
      </c>
      <c r="B296" s="216" t="s">
        <v>7767</v>
      </c>
      <c r="C296" s="645">
        <v>524396</v>
      </c>
      <c r="D296" s="645">
        <v>520883</v>
      </c>
      <c r="G296" s="187">
        <v>100</v>
      </c>
      <c r="H296" s="187">
        <v>905</v>
      </c>
      <c r="I296" s="214" t="str">
        <f t="shared" si="4"/>
        <v>100-905</v>
      </c>
    </row>
    <row r="297" spans="1:9" ht="13.5" customHeight="1">
      <c r="A297" s="216" t="s">
        <v>2997</v>
      </c>
      <c r="B297" s="216" t="s">
        <v>7768</v>
      </c>
      <c r="C297" s="645">
        <v>1370203</v>
      </c>
      <c r="D297" s="645">
        <v>1544771</v>
      </c>
      <c r="G297" s="187">
        <v>100</v>
      </c>
      <c r="H297" s="187">
        <v>907</v>
      </c>
      <c r="I297" s="214" t="str">
        <f t="shared" si="4"/>
        <v>100-907</v>
      </c>
    </row>
    <row r="298" spans="1:9" ht="13.5" customHeight="1">
      <c r="A298" s="216" t="s">
        <v>856</v>
      </c>
      <c r="B298" s="216" t="s">
        <v>7769</v>
      </c>
      <c r="C298" s="645">
        <v>263550</v>
      </c>
      <c r="D298" s="645">
        <v>263900</v>
      </c>
      <c r="G298" s="187">
        <v>100</v>
      </c>
      <c r="H298" s="187">
        <v>908</v>
      </c>
      <c r="I298" s="214" t="str">
        <f t="shared" si="4"/>
        <v>100-908</v>
      </c>
    </row>
    <row r="299" spans="1:9" ht="13.5" customHeight="1">
      <c r="A299" s="216" t="s">
        <v>819</v>
      </c>
      <c r="B299" s="216" t="s">
        <v>7770</v>
      </c>
      <c r="C299" s="645">
        <v>22061414</v>
      </c>
      <c r="D299" s="645">
        <v>21820896</v>
      </c>
      <c r="G299" s="187">
        <v>101</v>
      </c>
      <c r="H299" s="187">
        <v>902</v>
      </c>
      <c r="I299" s="214" t="str">
        <f t="shared" si="4"/>
        <v>101-902</v>
      </c>
    </row>
    <row r="300" spans="1:9" ht="13.5" customHeight="1">
      <c r="A300" s="216" t="s">
        <v>3887</v>
      </c>
      <c r="B300" s="216" t="s">
        <v>7771</v>
      </c>
      <c r="C300" s="645">
        <v>34005282</v>
      </c>
      <c r="D300" s="645">
        <v>31813489</v>
      </c>
      <c r="G300" s="187">
        <v>101</v>
      </c>
      <c r="H300" s="187">
        <v>903</v>
      </c>
      <c r="I300" s="214" t="str">
        <f t="shared" si="4"/>
        <v>101-903</v>
      </c>
    </row>
    <row r="301" spans="1:9" ht="13.5" customHeight="1">
      <c r="A301" s="216" t="s">
        <v>1988</v>
      </c>
      <c r="B301" s="216" t="s">
        <v>7772</v>
      </c>
      <c r="C301" s="645">
        <v>5067930</v>
      </c>
      <c r="D301" s="645">
        <v>5077730</v>
      </c>
      <c r="G301" s="187">
        <v>101</v>
      </c>
      <c r="H301" s="187">
        <v>905</v>
      </c>
      <c r="I301" s="214" t="str">
        <f t="shared" si="4"/>
        <v>101-905</v>
      </c>
    </row>
    <row r="302" spans="1:9" ht="13.5" customHeight="1">
      <c r="A302" s="216" t="s">
        <v>245</v>
      </c>
      <c r="B302" s="216" t="s">
        <v>7773</v>
      </c>
      <c r="C302" s="645">
        <v>5061290</v>
      </c>
      <c r="D302" s="645">
        <v>5108686</v>
      </c>
      <c r="G302" s="187">
        <v>101</v>
      </c>
      <c r="H302" s="187">
        <v>906</v>
      </c>
      <c r="I302" s="214" t="str">
        <f t="shared" si="4"/>
        <v>101-906</v>
      </c>
    </row>
    <row r="303" spans="1:9" ht="13.5" customHeight="1">
      <c r="A303" s="216" t="s">
        <v>1990</v>
      </c>
      <c r="B303" s="216" t="s">
        <v>7774</v>
      </c>
      <c r="C303" s="645">
        <v>64549102</v>
      </c>
      <c r="D303" s="645">
        <v>68444366</v>
      </c>
      <c r="G303" s="187">
        <v>101</v>
      </c>
      <c r="H303" s="187">
        <v>907</v>
      </c>
      <c r="I303" s="214" t="str">
        <f t="shared" si="4"/>
        <v>101-907</v>
      </c>
    </row>
    <row r="304" spans="1:9" ht="13.5" customHeight="1">
      <c r="A304" s="216" t="s">
        <v>2115</v>
      </c>
      <c r="B304" s="216" t="s">
        <v>7775</v>
      </c>
      <c r="C304" s="645">
        <v>13227133</v>
      </c>
      <c r="D304" s="645">
        <v>13105513</v>
      </c>
      <c r="G304" s="187">
        <v>101</v>
      </c>
      <c r="H304" s="187">
        <v>908</v>
      </c>
      <c r="I304" s="214" t="str">
        <f t="shared" si="4"/>
        <v>101-908</v>
      </c>
    </row>
    <row r="305" spans="1:9" ht="13.5" customHeight="1">
      <c r="A305" s="216" t="s">
        <v>6184</v>
      </c>
      <c r="B305" s="216" t="s">
        <v>7776</v>
      </c>
      <c r="C305" s="645">
        <v>6197094</v>
      </c>
      <c r="D305" s="645">
        <v>6436730</v>
      </c>
      <c r="G305" s="187">
        <v>101</v>
      </c>
      <c r="H305" s="187">
        <v>909</v>
      </c>
      <c r="I305" s="214" t="str">
        <f t="shared" si="4"/>
        <v>101-909</v>
      </c>
    </row>
    <row r="306" spans="1:9" ht="13.5" customHeight="1">
      <c r="A306" s="216" t="s">
        <v>1315</v>
      </c>
      <c r="B306" s="216" t="s">
        <v>7777</v>
      </c>
      <c r="C306" s="645">
        <v>14468537</v>
      </c>
      <c r="D306" s="645">
        <v>15459638</v>
      </c>
      <c r="G306" s="187">
        <v>101</v>
      </c>
      <c r="H306" s="187">
        <v>910</v>
      </c>
      <c r="I306" s="214" t="str">
        <f t="shared" si="4"/>
        <v>101-910</v>
      </c>
    </row>
    <row r="307" spans="1:9" ht="13.5" customHeight="1">
      <c r="A307" s="216" t="s">
        <v>5622</v>
      </c>
      <c r="B307" s="216" t="s">
        <v>7778</v>
      </c>
      <c r="C307" s="645">
        <v>12261639</v>
      </c>
      <c r="D307" s="645">
        <v>12594727</v>
      </c>
      <c r="G307" s="187">
        <v>101</v>
      </c>
      <c r="H307" s="187">
        <v>911</v>
      </c>
      <c r="I307" s="214" t="str">
        <f t="shared" si="4"/>
        <v>101-911</v>
      </c>
    </row>
    <row r="308" spans="1:9" ht="13.5" customHeight="1">
      <c r="A308" s="216" t="s">
        <v>5624</v>
      </c>
      <c r="B308" s="216" t="s">
        <v>7779</v>
      </c>
      <c r="C308" s="645">
        <v>85814604</v>
      </c>
      <c r="D308" s="645">
        <v>99616889</v>
      </c>
      <c r="G308" s="187">
        <v>101</v>
      </c>
      <c r="H308" s="187">
        <v>912</v>
      </c>
      <c r="I308" s="214" t="str">
        <f t="shared" si="4"/>
        <v>101-912</v>
      </c>
    </row>
    <row r="309" spans="1:9" ht="13.5" customHeight="1">
      <c r="A309" s="216" t="s">
        <v>1873</v>
      </c>
      <c r="B309" s="216" t="s">
        <v>7780</v>
      </c>
      <c r="C309" s="645">
        <v>28756531</v>
      </c>
      <c r="D309" s="645">
        <v>30293482</v>
      </c>
      <c r="G309" s="187">
        <v>101</v>
      </c>
      <c r="H309" s="187">
        <v>913</v>
      </c>
      <c r="I309" s="214" t="str">
        <f t="shared" si="4"/>
        <v>101-913</v>
      </c>
    </row>
    <row r="310" spans="1:9" ht="13.5" customHeight="1">
      <c r="A310" s="216" t="s">
        <v>6028</v>
      </c>
      <c r="B310" s="216" t="s">
        <v>5146</v>
      </c>
      <c r="C310" s="645">
        <v>67441587</v>
      </c>
      <c r="D310" s="645">
        <v>66782506</v>
      </c>
      <c r="G310" s="187">
        <v>101</v>
      </c>
      <c r="H310" s="187">
        <v>914</v>
      </c>
      <c r="I310" s="214" t="str">
        <f t="shared" si="4"/>
        <v>101-914</v>
      </c>
    </row>
    <row r="311" spans="1:9" ht="13.5" customHeight="1">
      <c r="A311" s="216" t="s">
        <v>6035</v>
      </c>
      <c r="B311" s="216" t="s">
        <v>5147</v>
      </c>
      <c r="C311" s="645">
        <v>28514275</v>
      </c>
      <c r="D311" s="645">
        <v>27292890</v>
      </c>
      <c r="G311" s="187">
        <v>101</v>
      </c>
      <c r="H311" s="187">
        <v>915</v>
      </c>
      <c r="I311" s="214" t="str">
        <f t="shared" si="4"/>
        <v>101-915</v>
      </c>
    </row>
    <row r="312" spans="1:9" ht="13.5" customHeight="1">
      <c r="A312" s="216" t="s">
        <v>5626</v>
      </c>
      <c r="B312" s="216" t="s">
        <v>5148</v>
      </c>
      <c r="C312" s="645">
        <v>9635942</v>
      </c>
      <c r="D312" s="645">
        <v>8967088</v>
      </c>
      <c r="G312" s="187">
        <v>101</v>
      </c>
      <c r="H312" s="187">
        <v>916</v>
      </c>
      <c r="I312" s="214" t="str">
        <f t="shared" si="4"/>
        <v>101-916</v>
      </c>
    </row>
    <row r="313" spans="1:9" ht="13.5" customHeight="1">
      <c r="A313" s="216" t="s">
        <v>6194</v>
      </c>
      <c r="B313" s="216" t="s">
        <v>5149</v>
      </c>
      <c r="C313" s="645">
        <v>24536047</v>
      </c>
      <c r="D313" s="645">
        <v>25813452</v>
      </c>
      <c r="G313" s="187">
        <v>101</v>
      </c>
      <c r="H313" s="187">
        <v>917</v>
      </c>
      <c r="I313" s="214" t="str">
        <f t="shared" si="4"/>
        <v>101-917</v>
      </c>
    </row>
    <row r="314" spans="1:9" ht="13.5" customHeight="1">
      <c r="A314" s="216" t="s">
        <v>1539</v>
      </c>
      <c r="B314" s="216" t="s">
        <v>5150</v>
      </c>
      <c r="C314" s="645">
        <v>35193349</v>
      </c>
      <c r="D314" s="645">
        <v>35665143</v>
      </c>
      <c r="G314" s="187">
        <v>101</v>
      </c>
      <c r="H314" s="187">
        <v>919</v>
      </c>
      <c r="I314" s="214" t="str">
        <f t="shared" si="4"/>
        <v>101-919</v>
      </c>
    </row>
    <row r="315" spans="1:9" ht="13.5" customHeight="1">
      <c r="A315" s="216" t="s">
        <v>911</v>
      </c>
      <c r="B315" s="216" t="s">
        <v>5151</v>
      </c>
      <c r="C315" s="645">
        <v>31844200</v>
      </c>
      <c r="D315" s="645">
        <v>32636401</v>
      </c>
      <c r="G315" s="187">
        <v>101</v>
      </c>
      <c r="H315" s="187">
        <v>920</v>
      </c>
      <c r="I315" s="214" t="str">
        <f t="shared" si="4"/>
        <v>101-920</v>
      </c>
    </row>
    <row r="316" spans="1:9" ht="13.5" customHeight="1">
      <c r="A316" s="216" t="s">
        <v>1428</v>
      </c>
      <c r="B316" s="216" t="s">
        <v>5152</v>
      </c>
      <c r="C316" s="645">
        <v>10139545</v>
      </c>
      <c r="D316" s="645">
        <v>10654845</v>
      </c>
      <c r="G316" s="187">
        <v>101</v>
      </c>
      <c r="H316" s="187">
        <v>921</v>
      </c>
      <c r="I316" s="214" t="str">
        <f t="shared" si="4"/>
        <v>101-921</v>
      </c>
    </row>
    <row r="317" spans="1:9" ht="13.5" customHeight="1">
      <c r="A317" s="216" t="s">
        <v>1430</v>
      </c>
      <c r="B317" s="216" t="s">
        <v>5153</v>
      </c>
      <c r="C317" s="645">
        <v>4183395</v>
      </c>
      <c r="D317" s="645">
        <v>4205911</v>
      </c>
      <c r="G317" s="187">
        <v>101</v>
      </c>
      <c r="H317" s="187">
        <v>924</v>
      </c>
      <c r="I317" s="214" t="str">
        <f t="shared" si="4"/>
        <v>101-924</v>
      </c>
    </row>
    <row r="318" spans="1:9" ht="13.5" customHeight="1">
      <c r="A318" s="216" t="s">
        <v>4971</v>
      </c>
      <c r="B318" s="216" t="s">
        <v>5154</v>
      </c>
      <c r="C318" s="645">
        <v>2596237</v>
      </c>
      <c r="D318" s="645">
        <v>2699669</v>
      </c>
      <c r="G318" s="187">
        <v>101</v>
      </c>
      <c r="H318" s="187">
        <v>925</v>
      </c>
      <c r="I318" s="214" t="str">
        <f t="shared" si="4"/>
        <v>101-925</v>
      </c>
    </row>
    <row r="319" spans="1:9" ht="13.5" customHeight="1">
      <c r="A319" s="216" t="s">
        <v>1434</v>
      </c>
      <c r="B319" s="216" t="s">
        <v>5155</v>
      </c>
      <c r="C319" s="645" t="s">
        <v>6153</v>
      </c>
      <c r="D319" s="645" t="s">
        <v>6153</v>
      </c>
      <c r="G319" s="187">
        <v>102</v>
      </c>
      <c r="H319" s="187">
        <v>902</v>
      </c>
      <c r="I319" s="214" t="str">
        <f t="shared" si="4"/>
        <v>102-902</v>
      </c>
    </row>
    <row r="320" spans="1:9" ht="13.5" customHeight="1">
      <c r="A320" s="216" t="s">
        <v>1436</v>
      </c>
      <c r="B320" s="216" t="s">
        <v>5156</v>
      </c>
      <c r="C320" s="645">
        <v>576175</v>
      </c>
      <c r="D320" s="645">
        <v>574988</v>
      </c>
      <c r="G320" s="187">
        <v>102</v>
      </c>
      <c r="H320" s="187">
        <v>903</v>
      </c>
      <c r="I320" s="214" t="str">
        <f t="shared" si="4"/>
        <v>102-903</v>
      </c>
    </row>
    <row r="321" spans="1:9" ht="13.5" customHeight="1">
      <c r="A321" s="216" t="s">
        <v>1438</v>
      </c>
      <c r="B321" s="216" t="s">
        <v>5157</v>
      </c>
      <c r="C321" s="645">
        <v>1996704</v>
      </c>
      <c r="D321" s="645">
        <v>2003029</v>
      </c>
      <c r="G321" s="187">
        <v>102</v>
      </c>
      <c r="H321" s="187">
        <v>904</v>
      </c>
      <c r="I321" s="214" t="str">
        <f t="shared" si="4"/>
        <v>102-904</v>
      </c>
    </row>
    <row r="322" spans="1:9" ht="13.5" customHeight="1">
      <c r="A322" s="216" t="s">
        <v>2580</v>
      </c>
      <c r="B322" s="216" t="s">
        <v>5158</v>
      </c>
      <c r="C322" s="645">
        <v>168438</v>
      </c>
      <c r="D322" s="645">
        <v>164000</v>
      </c>
      <c r="G322" s="187">
        <v>102</v>
      </c>
      <c r="H322" s="187">
        <v>905</v>
      </c>
      <c r="I322" s="214" t="str">
        <f t="shared" si="4"/>
        <v>102-905</v>
      </c>
    </row>
    <row r="323" spans="1:9" ht="13.5" customHeight="1">
      <c r="A323" s="216" t="s">
        <v>2582</v>
      </c>
      <c r="B323" s="216" t="s">
        <v>5159</v>
      </c>
      <c r="C323" s="645">
        <v>302250</v>
      </c>
      <c r="D323" s="645">
        <v>315375</v>
      </c>
      <c r="G323" s="187">
        <v>102</v>
      </c>
      <c r="H323" s="187">
        <v>906</v>
      </c>
      <c r="I323" s="214" t="str">
        <f t="shared" si="4"/>
        <v>102-906</v>
      </c>
    </row>
    <row r="324" spans="1:9" ht="13.5" customHeight="1">
      <c r="A324" s="216" t="s">
        <v>1578</v>
      </c>
      <c r="B324" s="216" t="s">
        <v>5160</v>
      </c>
      <c r="C324" s="645">
        <v>70200</v>
      </c>
      <c r="D324" s="645">
        <v>72725</v>
      </c>
      <c r="G324" s="187">
        <v>103</v>
      </c>
      <c r="H324" s="187">
        <v>902</v>
      </c>
      <c r="I324" s="214" t="str">
        <f t="shared" ref="I324:I387" si="5">F324&amp;G324&amp;"-"&amp;H324</f>
        <v>103-902</v>
      </c>
    </row>
    <row r="325" spans="1:9" ht="13.5" customHeight="1">
      <c r="A325" s="216" t="s">
        <v>1580</v>
      </c>
      <c r="B325" s="216" t="s">
        <v>5161</v>
      </c>
      <c r="C325" s="645">
        <v>89478</v>
      </c>
      <c r="D325" s="645">
        <v>87813</v>
      </c>
      <c r="G325" s="187">
        <v>104</v>
      </c>
      <c r="H325" s="187">
        <v>901</v>
      </c>
      <c r="I325" s="214" t="str">
        <f t="shared" si="5"/>
        <v>104-901</v>
      </c>
    </row>
    <row r="326" spans="1:9" ht="13.5" customHeight="1">
      <c r="A326" s="216" t="s">
        <v>1588</v>
      </c>
      <c r="B326" s="216" t="s">
        <v>5162</v>
      </c>
      <c r="C326" s="645">
        <v>8698412</v>
      </c>
      <c r="D326" s="645">
        <v>8681100</v>
      </c>
      <c r="G326" s="187">
        <v>105</v>
      </c>
      <c r="H326" s="187">
        <v>902</v>
      </c>
      <c r="I326" s="214" t="str">
        <f t="shared" si="5"/>
        <v>105-902</v>
      </c>
    </row>
    <row r="327" spans="1:9" ht="13.5" customHeight="1">
      <c r="A327" s="216" t="s">
        <v>1292</v>
      </c>
      <c r="B327" s="216" t="s">
        <v>5163</v>
      </c>
      <c r="C327" s="645">
        <v>2601083</v>
      </c>
      <c r="D327" s="645">
        <v>2724583</v>
      </c>
      <c r="G327" s="187">
        <v>105</v>
      </c>
      <c r="H327" s="187">
        <v>904</v>
      </c>
      <c r="I327" s="214" t="str">
        <f t="shared" si="5"/>
        <v>105-904</v>
      </c>
    </row>
    <row r="328" spans="1:9" ht="13.5" customHeight="1">
      <c r="A328" s="216" t="s">
        <v>1590</v>
      </c>
      <c r="B328" s="216" t="s">
        <v>5164</v>
      </c>
      <c r="C328" s="645">
        <v>1478244</v>
      </c>
      <c r="D328" s="645">
        <v>878244</v>
      </c>
      <c r="G328" s="187">
        <v>105</v>
      </c>
      <c r="H328" s="187">
        <v>905</v>
      </c>
      <c r="I328" s="214" t="str">
        <f t="shared" si="5"/>
        <v>105-905</v>
      </c>
    </row>
    <row r="329" spans="1:9" ht="13.5" customHeight="1">
      <c r="A329" s="216" t="s">
        <v>1864</v>
      </c>
      <c r="B329" s="216" t="s">
        <v>5165</v>
      </c>
      <c r="C329" s="645">
        <v>14985241</v>
      </c>
      <c r="D329" s="645">
        <v>17022479</v>
      </c>
      <c r="G329" s="187">
        <v>105</v>
      </c>
      <c r="H329" s="187">
        <v>906</v>
      </c>
      <c r="I329" s="214" t="str">
        <f t="shared" si="5"/>
        <v>105-906</v>
      </c>
    </row>
    <row r="330" spans="1:9" ht="13.5" customHeight="1">
      <c r="A330" s="216" t="s">
        <v>1592</v>
      </c>
      <c r="B330" s="216" t="s">
        <v>5166</v>
      </c>
      <c r="C330" s="645">
        <v>1306303</v>
      </c>
      <c r="D330" s="645">
        <v>948864</v>
      </c>
      <c r="G330" s="187">
        <v>106</v>
      </c>
      <c r="H330" s="187">
        <v>901</v>
      </c>
      <c r="I330" s="214" t="str">
        <f t="shared" si="5"/>
        <v>106-901</v>
      </c>
    </row>
    <row r="331" spans="1:9" ht="13.5" customHeight="1">
      <c r="A331" s="216" t="s">
        <v>1594</v>
      </c>
      <c r="B331" s="216" t="s">
        <v>5167</v>
      </c>
      <c r="C331" s="645">
        <v>1378368</v>
      </c>
      <c r="D331" s="645">
        <v>1384593</v>
      </c>
      <c r="G331" s="187">
        <v>107</v>
      </c>
      <c r="H331" s="187">
        <v>901</v>
      </c>
      <c r="I331" s="214" t="str">
        <f t="shared" si="5"/>
        <v>107-901</v>
      </c>
    </row>
    <row r="332" spans="1:9" ht="13.5" customHeight="1">
      <c r="A332" s="216" t="s">
        <v>1596</v>
      </c>
      <c r="B332" s="216" t="s">
        <v>5168</v>
      </c>
      <c r="C332" s="645">
        <v>929816</v>
      </c>
      <c r="D332" s="645">
        <v>935816</v>
      </c>
      <c r="G332" s="187">
        <v>107</v>
      </c>
      <c r="H332" s="187">
        <v>902</v>
      </c>
      <c r="I332" s="214" t="str">
        <f t="shared" si="5"/>
        <v>107-902</v>
      </c>
    </row>
    <row r="333" spans="1:9" ht="13.5" customHeight="1">
      <c r="A333" s="216" t="s">
        <v>1598</v>
      </c>
      <c r="B333" s="216" t="s">
        <v>5169</v>
      </c>
      <c r="C333" s="645">
        <v>378013</v>
      </c>
      <c r="D333" s="645">
        <v>373713</v>
      </c>
      <c r="G333" s="187">
        <v>107</v>
      </c>
      <c r="H333" s="187">
        <v>904</v>
      </c>
      <c r="I333" s="214" t="str">
        <f t="shared" si="5"/>
        <v>107-904</v>
      </c>
    </row>
    <row r="334" spans="1:9" ht="13.5" customHeight="1">
      <c r="A334" s="216" t="s">
        <v>1600</v>
      </c>
      <c r="B334" s="216" t="s">
        <v>5170</v>
      </c>
      <c r="C334" s="645">
        <v>769983</v>
      </c>
      <c r="D334" s="645">
        <v>785908</v>
      </c>
      <c r="G334" s="187">
        <v>107</v>
      </c>
      <c r="H334" s="187">
        <v>905</v>
      </c>
      <c r="I334" s="214" t="str">
        <f t="shared" si="5"/>
        <v>107-905</v>
      </c>
    </row>
    <row r="335" spans="1:9" ht="13.5" customHeight="1">
      <c r="A335" s="216" t="s">
        <v>5260</v>
      </c>
      <c r="B335" s="216" t="s">
        <v>5171</v>
      </c>
      <c r="C335" s="645">
        <v>431783</v>
      </c>
      <c r="D335" s="645">
        <v>425073</v>
      </c>
      <c r="G335" s="187">
        <v>107</v>
      </c>
      <c r="H335" s="187">
        <v>906</v>
      </c>
      <c r="I335" s="214" t="str">
        <f t="shared" si="5"/>
        <v>107-906</v>
      </c>
    </row>
    <row r="336" spans="1:9" ht="13.5" customHeight="1">
      <c r="A336" s="216" t="s">
        <v>2415</v>
      </c>
      <c r="B336" s="216" t="s">
        <v>5172</v>
      </c>
      <c r="C336" s="645">
        <v>160670</v>
      </c>
      <c r="D336" s="645">
        <v>162189</v>
      </c>
      <c r="G336" s="187">
        <v>107</v>
      </c>
      <c r="H336" s="187">
        <v>907</v>
      </c>
      <c r="I336" s="214" t="str">
        <f t="shared" si="5"/>
        <v>107-907</v>
      </c>
    </row>
    <row r="337" spans="1:9" ht="13.5" customHeight="1">
      <c r="A337" s="216" t="s">
        <v>5262</v>
      </c>
      <c r="B337" s="216" t="s">
        <v>5173</v>
      </c>
      <c r="C337" s="645">
        <v>185033</v>
      </c>
      <c r="D337" s="645">
        <v>185840</v>
      </c>
      <c r="G337" s="187">
        <v>107</v>
      </c>
      <c r="H337" s="187">
        <v>910</v>
      </c>
      <c r="I337" s="214" t="str">
        <f t="shared" si="5"/>
        <v>107-910</v>
      </c>
    </row>
    <row r="338" spans="1:9" ht="13.5" customHeight="1">
      <c r="A338" s="216" t="s">
        <v>2054</v>
      </c>
      <c r="B338" s="216" t="s">
        <v>5174</v>
      </c>
      <c r="C338" s="645">
        <v>6364046</v>
      </c>
      <c r="D338" s="645">
        <v>6352115</v>
      </c>
      <c r="G338" s="187">
        <v>108</v>
      </c>
      <c r="H338" s="187">
        <v>902</v>
      </c>
      <c r="I338" s="214" t="str">
        <f t="shared" si="5"/>
        <v>108-902</v>
      </c>
    </row>
    <row r="339" spans="1:9" ht="13.5" customHeight="1">
      <c r="A339" s="216" t="s">
        <v>1519</v>
      </c>
      <c r="B339" s="216" t="s">
        <v>5175</v>
      </c>
      <c r="C339" s="645">
        <v>2339648</v>
      </c>
      <c r="D339" s="645">
        <v>2330051</v>
      </c>
      <c r="G339" s="187">
        <v>108</v>
      </c>
      <c r="H339" s="187">
        <v>903</v>
      </c>
      <c r="I339" s="214" t="str">
        <f t="shared" si="5"/>
        <v>108-903</v>
      </c>
    </row>
    <row r="340" spans="1:9" ht="13.5" customHeight="1">
      <c r="A340" s="216" t="s">
        <v>1521</v>
      </c>
      <c r="B340" s="216" t="s">
        <v>5176</v>
      </c>
      <c r="C340" s="645">
        <v>8195191</v>
      </c>
      <c r="D340" s="645">
        <v>8190468</v>
      </c>
      <c r="G340" s="187">
        <v>108</v>
      </c>
      <c r="H340" s="187">
        <v>904</v>
      </c>
      <c r="I340" s="214" t="str">
        <f t="shared" si="5"/>
        <v>108-904</v>
      </c>
    </row>
    <row r="341" spans="1:9" ht="13.5" customHeight="1">
      <c r="A341" s="216" t="s">
        <v>1866</v>
      </c>
      <c r="B341" s="216" t="s">
        <v>5177</v>
      </c>
      <c r="C341" s="645">
        <v>2334963</v>
      </c>
      <c r="D341" s="645">
        <v>2279817</v>
      </c>
      <c r="G341" s="187">
        <v>108</v>
      </c>
      <c r="H341" s="187">
        <v>905</v>
      </c>
      <c r="I341" s="214" t="str">
        <f t="shared" si="5"/>
        <v>108-905</v>
      </c>
    </row>
    <row r="342" spans="1:9" ht="13.5" customHeight="1">
      <c r="A342" s="216" t="s">
        <v>6167</v>
      </c>
      <c r="B342" s="216" t="s">
        <v>5178</v>
      </c>
      <c r="C342" s="645">
        <v>6690176</v>
      </c>
      <c r="D342" s="645">
        <v>6880831</v>
      </c>
      <c r="G342" s="187">
        <v>108</v>
      </c>
      <c r="H342" s="187">
        <v>906</v>
      </c>
      <c r="I342" s="214" t="str">
        <f t="shared" si="5"/>
        <v>108-906</v>
      </c>
    </row>
    <row r="343" spans="1:9" ht="13.5" customHeight="1">
      <c r="A343" s="216" t="s">
        <v>6170</v>
      </c>
      <c r="B343" s="216" t="s">
        <v>5179</v>
      </c>
      <c r="C343" s="645">
        <v>3528218</v>
      </c>
      <c r="D343" s="645">
        <v>3518143</v>
      </c>
      <c r="G343" s="187">
        <v>108</v>
      </c>
      <c r="H343" s="187">
        <v>907</v>
      </c>
      <c r="I343" s="214" t="str">
        <f t="shared" si="5"/>
        <v>108-907</v>
      </c>
    </row>
    <row r="344" spans="1:9" ht="13.5" customHeight="1">
      <c r="A344" s="216" t="s">
        <v>6176</v>
      </c>
      <c r="B344" s="216" t="s">
        <v>5180</v>
      </c>
      <c r="C344" s="645">
        <v>5360528</v>
      </c>
      <c r="D344" s="645">
        <v>5060078</v>
      </c>
      <c r="G344" s="187">
        <v>108</v>
      </c>
      <c r="H344" s="187">
        <v>908</v>
      </c>
      <c r="I344" s="214" t="str">
        <f t="shared" si="5"/>
        <v>108-908</v>
      </c>
    </row>
    <row r="345" spans="1:9" ht="13.5" customHeight="1">
      <c r="A345" s="216" t="s">
        <v>5125</v>
      </c>
      <c r="B345" s="216" t="s">
        <v>5181</v>
      </c>
      <c r="C345" s="645">
        <v>10186393</v>
      </c>
      <c r="D345" s="645">
        <v>8835209</v>
      </c>
      <c r="G345" s="187">
        <v>108</v>
      </c>
      <c r="H345" s="187">
        <v>909</v>
      </c>
      <c r="I345" s="214" t="str">
        <f t="shared" si="5"/>
        <v>108-909</v>
      </c>
    </row>
    <row r="346" spans="1:9" ht="13.5" customHeight="1">
      <c r="A346" s="216" t="s">
        <v>648</v>
      </c>
      <c r="B346" s="216" t="s">
        <v>5182</v>
      </c>
      <c r="C346" s="645">
        <v>1341652</v>
      </c>
      <c r="D346" s="645">
        <v>1344264</v>
      </c>
      <c r="G346" s="187">
        <v>108</v>
      </c>
      <c r="H346" s="187">
        <v>910</v>
      </c>
      <c r="I346" s="214" t="str">
        <f t="shared" si="5"/>
        <v>108-910</v>
      </c>
    </row>
    <row r="347" spans="1:9" ht="13.5" customHeight="1">
      <c r="A347" s="216" t="s">
        <v>780</v>
      </c>
      <c r="B347" s="216" t="s">
        <v>5183</v>
      </c>
      <c r="C347" s="645">
        <v>2523989</v>
      </c>
      <c r="D347" s="645">
        <v>2471798</v>
      </c>
      <c r="G347" s="187">
        <v>108</v>
      </c>
      <c r="H347" s="187">
        <v>911</v>
      </c>
      <c r="I347" s="214" t="str">
        <f t="shared" si="5"/>
        <v>108-911</v>
      </c>
    </row>
    <row r="348" spans="1:9" ht="13.5" customHeight="1">
      <c r="A348" s="216" t="s">
        <v>6038</v>
      </c>
      <c r="B348" s="216" t="s">
        <v>5184</v>
      </c>
      <c r="C348" s="645">
        <v>11761801</v>
      </c>
      <c r="D348" s="645">
        <v>11742049</v>
      </c>
      <c r="G348" s="187">
        <v>108</v>
      </c>
      <c r="H348" s="187">
        <v>912</v>
      </c>
      <c r="I348" s="214" t="str">
        <f t="shared" si="5"/>
        <v>108-912</v>
      </c>
    </row>
    <row r="349" spans="1:9" ht="13.5" customHeight="1">
      <c r="A349" s="216" t="s">
        <v>3096</v>
      </c>
      <c r="B349" s="216" t="s">
        <v>5185</v>
      </c>
      <c r="C349" s="645">
        <v>5668829</v>
      </c>
      <c r="D349" s="645">
        <v>4738076</v>
      </c>
      <c r="G349" s="187">
        <v>108</v>
      </c>
      <c r="H349" s="187">
        <v>913</v>
      </c>
      <c r="I349" s="214" t="str">
        <f t="shared" si="5"/>
        <v>108-913</v>
      </c>
    </row>
    <row r="350" spans="1:9" ht="13.5" customHeight="1">
      <c r="A350" s="216" t="s">
        <v>6040</v>
      </c>
      <c r="B350" s="216" t="s">
        <v>5186</v>
      </c>
      <c r="C350" s="645">
        <v>340060</v>
      </c>
      <c r="D350" s="645">
        <v>337360</v>
      </c>
      <c r="G350" s="187">
        <v>108</v>
      </c>
      <c r="H350" s="187">
        <v>914</v>
      </c>
      <c r="I350" s="214" t="str">
        <f t="shared" si="5"/>
        <v>108-914</v>
      </c>
    </row>
    <row r="351" spans="1:9" ht="13.5" customHeight="1">
      <c r="A351" s="216" t="s">
        <v>3097</v>
      </c>
      <c r="B351" s="216" t="s">
        <v>5187</v>
      </c>
      <c r="C351" s="645">
        <v>279392</v>
      </c>
      <c r="D351" s="645">
        <v>286287</v>
      </c>
      <c r="G351" s="187">
        <v>108</v>
      </c>
      <c r="H351" s="187">
        <v>915</v>
      </c>
      <c r="I351" s="214" t="str">
        <f t="shared" si="5"/>
        <v>108-915</v>
      </c>
    </row>
    <row r="352" spans="1:9" ht="13.5" customHeight="1">
      <c r="A352" s="216" t="s">
        <v>2419</v>
      </c>
      <c r="B352" s="216" t="s">
        <v>4896</v>
      </c>
      <c r="C352" s="645">
        <v>1807171</v>
      </c>
      <c r="D352" s="645">
        <v>1798143</v>
      </c>
      <c r="G352" s="187">
        <v>108</v>
      </c>
      <c r="H352" s="187">
        <v>916</v>
      </c>
      <c r="I352" s="214" t="str">
        <f t="shared" si="5"/>
        <v>108-916</v>
      </c>
    </row>
    <row r="353" spans="1:9" ht="13.5" customHeight="1">
      <c r="A353" s="216" t="s">
        <v>448</v>
      </c>
      <c r="B353" s="216" t="s">
        <v>5188</v>
      </c>
      <c r="C353" s="645">
        <v>96925</v>
      </c>
      <c r="D353" s="645">
        <v>95088</v>
      </c>
      <c r="G353" s="187">
        <v>109</v>
      </c>
      <c r="H353" s="187">
        <v>902</v>
      </c>
      <c r="I353" s="214" t="str">
        <f t="shared" si="5"/>
        <v>109-902</v>
      </c>
    </row>
    <row r="354" spans="1:9" ht="13.5" customHeight="1">
      <c r="A354" s="216" t="s">
        <v>243</v>
      </c>
      <c r="B354" s="216" t="s">
        <v>5189</v>
      </c>
      <c r="C354" s="645">
        <v>276153</v>
      </c>
      <c r="D354" s="645">
        <v>274537</v>
      </c>
      <c r="G354" s="187">
        <v>109</v>
      </c>
      <c r="H354" s="187">
        <v>903</v>
      </c>
      <c r="I354" s="214" t="str">
        <f t="shared" si="5"/>
        <v>109-903</v>
      </c>
    </row>
    <row r="355" spans="1:9" ht="13.5" customHeight="1">
      <c r="A355" s="216" t="s">
        <v>1868</v>
      </c>
      <c r="B355" s="216" t="s">
        <v>5190</v>
      </c>
      <c r="C355" s="645">
        <v>1598803</v>
      </c>
      <c r="D355" s="645">
        <v>1692166</v>
      </c>
      <c r="G355" s="187">
        <v>109</v>
      </c>
      <c r="H355" s="187">
        <v>904</v>
      </c>
      <c r="I355" s="214" t="str">
        <f t="shared" si="5"/>
        <v>109-904</v>
      </c>
    </row>
    <row r="356" spans="1:9" ht="13.5" customHeight="1">
      <c r="A356" s="216" t="s">
        <v>3098</v>
      </c>
      <c r="B356" s="216" t="s">
        <v>5191</v>
      </c>
      <c r="C356" s="645">
        <v>277323</v>
      </c>
      <c r="D356" s="645">
        <v>274058</v>
      </c>
      <c r="G356" s="187">
        <v>109</v>
      </c>
      <c r="H356" s="187">
        <v>905</v>
      </c>
      <c r="I356" s="214" t="str">
        <f t="shared" si="5"/>
        <v>109-905</v>
      </c>
    </row>
    <row r="357" spans="1:9" ht="13.5" customHeight="1">
      <c r="A357" s="216" t="s">
        <v>6022</v>
      </c>
      <c r="B357" s="216" t="s">
        <v>5192</v>
      </c>
      <c r="C357" s="645">
        <v>255416</v>
      </c>
      <c r="D357" s="645">
        <v>258816</v>
      </c>
      <c r="G357" s="187">
        <v>109</v>
      </c>
      <c r="H357" s="187">
        <v>907</v>
      </c>
      <c r="I357" s="214" t="str">
        <f t="shared" si="5"/>
        <v>109-907</v>
      </c>
    </row>
    <row r="358" spans="1:9" ht="13.5" customHeight="1">
      <c r="A358" s="216" t="s">
        <v>782</v>
      </c>
      <c r="B358" s="216" t="s">
        <v>5193</v>
      </c>
      <c r="C358" s="645">
        <v>704688</v>
      </c>
      <c r="D358" s="645">
        <v>707938</v>
      </c>
      <c r="G358" s="187">
        <v>109</v>
      </c>
      <c r="H358" s="187">
        <v>911</v>
      </c>
      <c r="I358" s="214" t="str">
        <f t="shared" si="5"/>
        <v>109-911</v>
      </c>
    </row>
    <row r="359" spans="1:9" ht="13.5" customHeight="1">
      <c r="A359" s="216" t="s">
        <v>2614</v>
      </c>
      <c r="B359" s="216" t="s">
        <v>5194</v>
      </c>
      <c r="C359" s="645">
        <v>87055</v>
      </c>
      <c r="D359" s="645">
        <v>90086</v>
      </c>
      <c r="G359" s="187">
        <v>109</v>
      </c>
      <c r="H359" s="187">
        <v>912</v>
      </c>
      <c r="I359" s="214" t="str">
        <f t="shared" si="5"/>
        <v>109-912</v>
      </c>
    </row>
    <row r="360" spans="1:9" ht="13.5" customHeight="1">
      <c r="A360" s="216" t="s">
        <v>2468</v>
      </c>
      <c r="B360" s="216" t="s">
        <v>5195</v>
      </c>
      <c r="C360" s="645">
        <v>215756</v>
      </c>
      <c r="D360" s="645">
        <v>220781</v>
      </c>
      <c r="G360" s="187">
        <v>109</v>
      </c>
      <c r="H360" s="187">
        <v>913</v>
      </c>
      <c r="I360" s="214" t="str">
        <f t="shared" si="5"/>
        <v>109-913</v>
      </c>
    </row>
    <row r="361" spans="1:9" ht="13.5" customHeight="1">
      <c r="A361" s="216" t="s">
        <v>786</v>
      </c>
      <c r="B361" s="216" t="s">
        <v>5196</v>
      </c>
      <c r="C361" s="645">
        <v>1377331</v>
      </c>
      <c r="D361" s="645">
        <v>1388281</v>
      </c>
      <c r="G361" s="187">
        <v>110</v>
      </c>
      <c r="H361" s="187">
        <v>902</v>
      </c>
      <c r="I361" s="214" t="str">
        <f t="shared" si="5"/>
        <v>110-902</v>
      </c>
    </row>
    <row r="362" spans="1:9" ht="13.5" customHeight="1">
      <c r="A362" s="216" t="s">
        <v>794</v>
      </c>
      <c r="B362" s="216" t="s">
        <v>5197</v>
      </c>
      <c r="C362" s="645">
        <v>4154460</v>
      </c>
      <c r="D362" s="645">
        <v>4154510</v>
      </c>
      <c r="G362" s="187">
        <v>111</v>
      </c>
      <c r="H362" s="187">
        <v>901</v>
      </c>
      <c r="I362" s="214" t="str">
        <f t="shared" si="5"/>
        <v>111-901</v>
      </c>
    </row>
    <row r="363" spans="1:9" ht="13.5" customHeight="1">
      <c r="A363" s="216" t="s">
        <v>2991</v>
      </c>
      <c r="B363" s="216" t="s">
        <v>5198</v>
      </c>
      <c r="C363" s="645">
        <v>355269</v>
      </c>
      <c r="D363" s="645">
        <v>281710</v>
      </c>
      <c r="G363" s="187">
        <v>111</v>
      </c>
      <c r="H363" s="187">
        <v>902</v>
      </c>
      <c r="I363" s="214" t="str">
        <f t="shared" si="5"/>
        <v>111-902</v>
      </c>
    </row>
    <row r="364" spans="1:9" ht="13.5" customHeight="1">
      <c r="A364" s="216" t="s">
        <v>2413</v>
      </c>
      <c r="B364" s="216" t="s">
        <v>5199</v>
      </c>
      <c r="C364" s="645">
        <v>469373</v>
      </c>
      <c r="D364" s="645">
        <v>475715</v>
      </c>
      <c r="G364" s="187">
        <v>111</v>
      </c>
      <c r="H364" s="187">
        <v>903</v>
      </c>
      <c r="I364" s="214" t="str">
        <f t="shared" si="5"/>
        <v>111-903</v>
      </c>
    </row>
    <row r="365" spans="1:9" ht="13.5" customHeight="1">
      <c r="A365" s="216" t="s">
        <v>796</v>
      </c>
      <c r="B365" s="216" t="s">
        <v>5200</v>
      </c>
      <c r="C365" s="645">
        <v>790450</v>
      </c>
      <c r="D365" s="645">
        <v>784875</v>
      </c>
      <c r="G365" s="187">
        <v>112</v>
      </c>
      <c r="H365" s="187">
        <v>901</v>
      </c>
      <c r="I365" s="214" t="str">
        <f t="shared" si="5"/>
        <v>112-901</v>
      </c>
    </row>
    <row r="366" spans="1:9" ht="13.5" customHeight="1">
      <c r="A366" s="216" t="s">
        <v>2044</v>
      </c>
      <c r="B366" s="216" t="s">
        <v>5201</v>
      </c>
      <c r="C366" s="645">
        <v>136766</v>
      </c>
      <c r="D366" s="645">
        <v>135266</v>
      </c>
      <c r="G366" s="187">
        <v>112</v>
      </c>
      <c r="H366" s="187">
        <v>905</v>
      </c>
      <c r="I366" s="214" t="str">
        <f t="shared" si="5"/>
        <v>112-905</v>
      </c>
    </row>
    <row r="367" spans="1:9" ht="13.5" customHeight="1">
      <c r="A367" s="216" t="s">
        <v>798</v>
      </c>
      <c r="B367" s="216" t="s">
        <v>5202</v>
      </c>
      <c r="C367" s="645">
        <v>116515</v>
      </c>
      <c r="D367" s="645">
        <v>119915</v>
      </c>
      <c r="G367" s="187">
        <v>112</v>
      </c>
      <c r="H367" s="187">
        <v>906</v>
      </c>
      <c r="I367" s="214" t="str">
        <f t="shared" si="5"/>
        <v>112-906</v>
      </c>
    </row>
    <row r="368" spans="1:9" ht="13.5" customHeight="1">
      <c r="A368" s="216" t="s">
        <v>2358</v>
      </c>
      <c r="B368" s="216" t="s">
        <v>5203</v>
      </c>
      <c r="C368" s="645">
        <v>185123</v>
      </c>
      <c r="D368" s="645">
        <v>186473</v>
      </c>
      <c r="G368" s="187">
        <v>112</v>
      </c>
      <c r="H368" s="187">
        <v>907</v>
      </c>
      <c r="I368" s="214" t="str">
        <f t="shared" si="5"/>
        <v>112-907</v>
      </c>
    </row>
    <row r="369" spans="1:9" ht="13.5" customHeight="1">
      <c r="A369" s="216" t="s">
        <v>2046</v>
      </c>
      <c r="B369" s="216" t="s">
        <v>5204</v>
      </c>
      <c r="C369" s="645">
        <v>190683</v>
      </c>
      <c r="D369" s="645">
        <v>185081</v>
      </c>
      <c r="G369" s="187">
        <v>112</v>
      </c>
      <c r="H369" s="187">
        <v>910</v>
      </c>
      <c r="I369" s="214" t="str">
        <f t="shared" si="5"/>
        <v>112-910</v>
      </c>
    </row>
    <row r="370" spans="1:9" ht="13.5" customHeight="1">
      <c r="A370" s="216" t="s">
        <v>804</v>
      </c>
      <c r="B370" s="216" t="s">
        <v>5205</v>
      </c>
      <c r="C370" s="645">
        <v>835663</v>
      </c>
      <c r="D370" s="645">
        <v>829538</v>
      </c>
      <c r="G370" s="187">
        <v>113</v>
      </c>
      <c r="H370" s="187">
        <v>901</v>
      </c>
      <c r="I370" s="214" t="str">
        <f t="shared" si="5"/>
        <v>113-901</v>
      </c>
    </row>
    <row r="371" spans="1:9" ht="13.5" customHeight="1">
      <c r="A371" s="216" t="s">
        <v>806</v>
      </c>
      <c r="B371" s="216" t="s">
        <v>5206</v>
      </c>
      <c r="C371" s="645">
        <v>0</v>
      </c>
      <c r="D371" s="645">
        <v>0</v>
      </c>
      <c r="G371" s="187">
        <v>113</v>
      </c>
      <c r="H371" s="187">
        <v>902</v>
      </c>
      <c r="I371" s="214" t="str">
        <f t="shared" si="5"/>
        <v>113-902</v>
      </c>
    </row>
    <row r="372" spans="1:9" ht="13.5" customHeight="1">
      <c r="A372" s="216" t="s">
        <v>810</v>
      </c>
      <c r="B372" s="216" t="s">
        <v>5207</v>
      </c>
      <c r="C372" s="645">
        <v>265306</v>
      </c>
      <c r="D372" s="645">
        <v>260506</v>
      </c>
      <c r="G372" s="187">
        <v>113</v>
      </c>
      <c r="H372" s="187">
        <v>905</v>
      </c>
      <c r="I372" s="214" t="str">
        <f t="shared" si="5"/>
        <v>113-905</v>
      </c>
    </row>
    <row r="373" spans="1:9" ht="13.5" customHeight="1">
      <c r="A373" s="216" t="s">
        <v>667</v>
      </c>
      <c r="B373" s="216" t="s">
        <v>5208</v>
      </c>
      <c r="C373" s="645">
        <v>66710</v>
      </c>
      <c r="D373" s="645">
        <v>63830</v>
      </c>
      <c r="G373" s="187">
        <v>113</v>
      </c>
      <c r="H373" s="187">
        <v>906</v>
      </c>
      <c r="I373" s="214" t="str">
        <f t="shared" si="5"/>
        <v>113-906</v>
      </c>
    </row>
    <row r="374" spans="1:9" ht="13.5" customHeight="1">
      <c r="A374" s="216" t="s">
        <v>1707</v>
      </c>
      <c r="B374" s="216" t="s">
        <v>5209</v>
      </c>
      <c r="C374" s="645">
        <v>892366</v>
      </c>
      <c r="D374" s="645">
        <v>877903</v>
      </c>
      <c r="G374" s="187">
        <v>114</v>
      </c>
      <c r="H374" s="187">
        <v>901</v>
      </c>
      <c r="I374" s="214" t="str">
        <f t="shared" si="5"/>
        <v>114-901</v>
      </c>
    </row>
    <row r="375" spans="1:9" ht="13.5" customHeight="1">
      <c r="A375" s="216" t="s">
        <v>1711</v>
      </c>
      <c r="B375" s="216" t="s">
        <v>5210</v>
      </c>
      <c r="C375" s="645">
        <v>0</v>
      </c>
      <c r="D375" s="645">
        <v>0</v>
      </c>
      <c r="G375" s="187">
        <v>114</v>
      </c>
      <c r="H375" s="187">
        <v>904</v>
      </c>
      <c r="I375" s="214" t="str">
        <f t="shared" si="5"/>
        <v>114-904</v>
      </c>
    </row>
    <row r="376" spans="1:9" ht="13.5" customHeight="1">
      <c r="A376" s="216" t="s">
        <v>1713</v>
      </c>
      <c r="B376" s="216" t="s">
        <v>5555</v>
      </c>
      <c r="C376" s="645">
        <v>127631</v>
      </c>
      <c r="D376" s="645">
        <v>125831</v>
      </c>
      <c r="G376" s="187">
        <v>115</v>
      </c>
      <c r="H376" s="187">
        <v>901</v>
      </c>
      <c r="I376" s="214" t="str">
        <f t="shared" si="5"/>
        <v>115-901</v>
      </c>
    </row>
    <row r="377" spans="1:9" ht="13.5" customHeight="1">
      <c r="A377" s="216" t="s">
        <v>979</v>
      </c>
      <c r="B377" s="216" t="s">
        <v>5556</v>
      </c>
      <c r="C377" s="645">
        <v>1269394</v>
      </c>
      <c r="D377" s="645">
        <v>1311894</v>
      </c>
      <c r="G377" s="187">
        <v>116</v>
      </c>
      <c r="H377" s="187">
        <v>901</v>
      </c>
      <c r="I377" s="214" t="str">
        <f t="shared" si="5"/>
        <v>116-901</v>
      </c>
    </row>
    <row r="378" spans="1:9" ht="13.5" customHeight="1">
      <c r="A378" s="216" t="s">
        <v>1334</v>
      </c>
      <c r="B378" s="216" t="s">
        <v>5557</v>
      </c>
      <c r="C378" s="645">
        <v>110000</v>
      </c>
      <c r="D378" s="645">
        <v>105000</v>
      </c>
      <c r="G378" s="187">
        <v>116</v>
      </c>
      <c r="H378" s="187">
        <v>902</v>
      </c>
      <c r="I378" s="214" t="str">
        <f t="shared" si="5"/>
        <v>116-902</v>
      </c>
    </row>
    <row r="379" spans="1:9" ht="13.5" customHeight="1">
      <c r="A379" s="216" t="s">
        <v>235</v>
      </c>
      <c r="B379" s="216" t="s">
        <v>5558</v>
      </c>
      <c r="C379" s="645">
        <v>1252379</v>
      </c>
      <c r="D379" s="645">
        <v>1252379</v>
      </c>
      <c r="G379" s="187">
        <v>116</v>
      </c>
      <c r="H379" s="187">
        <v>903</v>
      </c>
      <c r="I379" s="214" t="str">
        <f t="shared" si="5"/>
        <v>116-903</v>
      </c>
    </row>
    <row r="380" spans="1:9" ht="13.5" customHeight="1">
      <c r="A380" s="216" t="s">
        <v>3961</v>
      </c>
      <c r="B380" s="216" t="s">
        <v>5559</v>
      </c>
      <c r="C380" s="645">
        <v>2444189</v>
      </c>
      <c r="D380" s="645">
        <v>2446989</v>
      </c>
      <c r="G380" s="187">
        <v>116</v>
      </c>
      <c r="H380" s="187">
        <v>905</v>
      </c>
      <c r="I380" s="214" t="str">
        <f t="shared" si="5"/>
        <v>116-905</v>
      </c>
    </row>
    <row r="381" spans="1:9" ht="13.5" customHeight="1">
      <c r="A381" s="216" t="s">
        <v>2359</v>
      </c>
      <c r="B381" s="216" t="s">
        <v>5560</v>
      </c>
      <c r="C381" s="645">
        <v>312018</v>
      </c>
      <c r="D381" s="645">
        <v>306580</v>
      </c>
      <c r="G381" s="187">
        <v>116</v>
      </c>
      <c r="H381" s="187">
        <v>906</v>
      </c>
      <c r="I381" s="214" t="str">
        <f t="shared" si="5"/>
        <v>116-906</v>
      </c>
    </row>
    <row r="382" spans="1:9" ht="13.5" customHeight="1">
      <c r="A382" s="216" t="s">
        <v>650</v>
      </c>
      <c r="B382" s="216" t="s">
        <v>5561</v>
      </c>
      <c r="C382" s="645">
        <v>1835393</v>
      </c>
      <c r="D382" s="645">
        <v>1831206</v>
      </c>
      <c r="G382" s="187">
        <v>116</v>
      </c>
      <c r="H382" s="187">
        <v>908</v>
      </c>
      <c r="I382" s="214" t="str">
        <f t="shared" si="5"/>
        <v>116-908</v>
      </c>
    </row>
    <row r="383" spans="1:9" ht="13.5" customHeight="1">
      <c r="A383" s="216" t="s">
        <v>2127</v>
      </c>
      <c r="B383" s="216" t="s">
        <v>5562</v>
      </c>
      <c r="C383" s="645">
        <v>427578</v>
      </c>
      <c r="D383" s="645">
        <v>420178</v>
      </c>
      <c r="G383" s="187">
        <v>116</v>
      </c>
      <c r="H383" s="187">
        <v>909</v>
      </c>
      <c r="I383" s="214" t="str">
        <f t="shared" si="5"/>
        <v>116-909</v>
      </c>
    </row>
    <row r="384" spans="1:9" ht="13.5" customHeight="1">
      <c r="A384" s="216" t="s">
        <v>3963</v>
      </c>
      <c r="B384" s="216" t="s">
        <v>5563</v>
      </c>
      <c r="C384" s="645">
        <v>105132</v>
      </c>
      <c r="D384" s="645">
        <v>100052</v>
      </c>
      <c r="G384" s="187">
        <v>116</v>
      </c>
      <c r="H384" s="187">
        <v>910</v>
      </c>
      <c r="I384" s="214" t="str">
        <f t="shared" si="5"/>
        <v>116-910</v>
      </c>
    </row>
    <row r="385" spans="1:9" ht="13.5" customHeight="1">
      <c r="A385" s="216" t="s">
        <v>953</v>
      </c>
      <c r="B385" s="216" t="s">
        <v>5564</v>
      </c>
      <c r="C385" s="645">
        <v>88750</v>
      </c>
      <c r="D385" s="645">
        <v>90250</v>
      </c>
      <c r="G385" s="187">
        <v>116</v>
      </c>
      <c r="H385" s="187">
        <v>915</v>
      </c>
      <c r="I385" s="214" t="str">
        <f t="shared" si="5"/>
        <v>116-915</v>
      </c>
    </row>
    <row r="386" spans="1:9" ht="13.5" customHeight="1">
      <c r="A386" s="216" t="s">
        <v>971</v>
      </c>
      <c r="B386" s="216" t="s">
        <v>5565</v>
      </c>
      <c r="C386" s="645">
        <v>345386</v>
      </c>
      <c r="D386" s="645">
        <v>517676</v>
      </c>
      <c r="G386" s="187">
        <v>116</v>
      </c>
      <c r="H386" s="187">
        <v>916</v>
      </c>
      <c r="I386" s="214" t="str">
        <f t="shared" si="5"/>
        <v>116-916</v>
      </c>
    </row>
    <row r="387" spans="1:9" ht="13.5" customHeight="1">
      <c r="A387" s="216" t="s">
        <v>3967</v>
      </c>
      <c r="B387" s="216" t="s">
        <v>5566</v>
      </c>
      <c r="C387" s="645">
        <v>398436</v>
      </c>
      <c r="D387" s="645">
        <v>396580</v>
      </c>
      <c r="G387" s="187">
        <v>117</v>
      </c>
      <c r="H387" s="187">
        <v>903</v>
      </c>
      <c r="I387" s="214" t="str">
        <f t="shared" si="5"/>
        <v>117-903</v>
      </c>
    </row>
    <row r="388" spans="1:9" ht="13.5" customHeight="1">
      <c r="A388" s="216" t="s">
        <v>3969</v>
      </c>
      <c r="B388" s="216" t="s">
        <v>5567</v>
      </c>
      <c r="C388" s="645">
        <v>893658</v>
      </c>
      <c r="D388" s="645">
        <v>886058</v>
      </c>
      <c r="G388" s="187">
        <v>117</v>
      </c>
      <c r="H388" s="187">
        <v>904</v>
      </c>
      <c r="I388" s="214" t="str">
        <f t="shared" ref="I388:I451" si="6">F388&amp;G388&amp;"-"&amp;H388</f>
        <v>117-904</v>
      </c>
    </row>
    <row r="389" spans="1:9" ht="13.5" customHeight="1">
      <c r="A389" s="216" t="s">
        <v>69</v>
      </c>
      <c r="B389" s="216" t="s">
        <v>5568</v>
      </c>
      <c r="C389" s="645">
        <v>57170</v>
      </c>
      <c r="D389" s="645">
        <v>60170</v>
      </c>
      <c r="G389" s="187">
        <v>119</v>
      </c>
      <c r="H389" s="187">
        <v>901</v>
      </c>
      <c r="I389" s="214" t="str">
        <f t="shared" si="6"/>
        <v>119-901</v>
      </c>
    </row>
    <row r="390" spans="1:9" ht="13.5" customHeight="1">
      <c r="A390" s="216" t="s">
        <v>71</v>
      </c>
      <c r="B390" s="216" t="s">
        <v>5569</v>
      </c>
      <c r="C390" s="645">
        <v>0</v>
      </c>
      <c r="D390" s="645">
        <v>0</v>
      </c>
      <c r="G390" s="187">
        <v>119</v>
      </c>
      <c r="H390" s="187">
        <v>902</v>
      </c>
      <c r="I390" s="214" t="str">
        <f t="shared" si="6"/>
        <v>119-902</v>
      </c>
    </row>
    <row r="391" spans="1:9" ht="13.5" customHeight="1">
      <c r="A391" s="216" t="s">
        <v>73</v>
      </c>
      <c r="B391" s="216" t="s">
        <v>5570</v>
      </c>
      <c r="C391" s="645">
        <v>81100</v>
      </c>
      <c r="D391" s="645">
        <v>77800</v>
      </c>
      <c r="G391" s="187">
        <v>119</v>
      </c>
      <c r="H391" s="187">
        <v>903</v>
      </c>
      <c r="I391" s="214" t="str">
        <f t="shared" si="6"/>
        <v>119-903</v>
      </c>
    </row>
    <row r="392" spans="1:9" ht="13.5" customHeight="1">
      <c r="A392" s="216" t="s">
        <v>75</v>
      </c>
      <c r="B392" s="216" t="s">
        <v>5571</v>
      </c>
      <c r="C392" s="645">
        <v>307500</v>
      </c>
      <c r="D392" s="645">
        <v>315000</v>
      </c>
      <c r="G392" s="187">
        <v>120</v>
      </c>
      <c r="H392" s="187">
        <v>901</v>
      </c>
      <c r="I392" s="214" t="str">
        <f t="shared" si="6"/>
        <v>120-901</v>
      </c>
    </row>
    <row r="393" spans="1:9" ht="13.5" customHeight="1">
      <c r="A393" s="216" t="s">
        <v>1316</v>
      </c>
      <c r="B393" s="216" t="s">
        <v>5572</v>
      </c>
      <c r="C393" s="645">
        <v>135600</v>
      </c>
      <c r="D393" s="645">
        <v>136138</v>
      </c>
      <c r="G393" s="187">
        <v>120</v>
      </c>
      <c r="H393" s="187">
        <v>902</v>
      </c>
      <c r="I393" s="214" t="str">
        <f t="shared" si="6"/>
        <v>120-902</v>
      </c>
    </row>
    <row r="394" spans="1:9" ht="13.5" customHeight="1">
      <c r="A394" s="216" t="s">
        <v>2600</v>
      </c>
      <c r="B394" s="216" t="s">
        <v>5573</v>
      </c>
      <c r="C394" s="645">
        <v>1128294</v>
      </c>
      <c r="D394" s="645">
        <v>1128294</v>
      </c>
      <c r="G394" s="187">
        <v>120</v>
      </c>
      <c r="H394" s="187">
        <v>905</v>
      </c>
      <c r="I394" s="214" t="str">
        <f t="shared" si="6"/>
        <v>120-905</v>
      </c>
    </row>
    <row r="395" spans="1:9" ht="13.5" customHeight="1">
      <c r="A395" s="216" t="s">
        <v>961</v>
      </c>
      <c r="B395" s="216" t="s">
        <v>5574</v>
      </c>
      <c r="C395" s="645">
        <v>957556</v>
      </c>
      <c r="D395" s="645">
        <v>957206</v>
      </c>
      <c r="G395" s="187">
        <v>121</v>
      </c>
      <c r="H395" s="187">
        <v>903</v>
      </c>
      <c r="I395" s="214" t="str">
        <f t="shared" si="6"/>
        <v>121-903</v>
      </c>
    </row>
    <row r="396" spans="1:9" ht="13.5" customHeight="1">
      <c r="A396" s="216" t="s">
        <v>6024</v>
      </c>
      <c r="B396" s="216" t="s">
        <v>5575</v>
      </c>
      <c r="C396" s="645">
        <v>1474310</v>
      </c>
      <c r="D396" s="645">
        <v>1470992</v>
      </c>
      <c r="G396" s="187">
        <v>121</v>
      </c>
      <c r="H396" s="187">
        <v>904</v>
      </c>
      <c r="I396" s="214" t="str">
        <f t="shared" si="6"/>
        <v>121-904</v>
      </c>
    </row>
    <row r="397" spans="1:9" ht="13.5" customHeight="1">
      <c r="A397" s="216" t="s">
        <v>6034</v>
      </c>
      <c r="B397" s="216" t="s">
        <v>5576</v>
      </c>
      <c r="C397" s="645">
        <v>481092</v>
      </c>
      <c r="D397" s="645">
        <v>481855</v>
      </c>
      <c r="G397" s="187">
        <v>121</v>
      </c>
      <c r="H397" s="187">
        <v>905</v>
      </c>
      <c r="I397" s="214" t="str">
        <f t="shared" si="6"/>
        <v>121-905</v>
      </c>
    </row>
    <row r="398" spans="1:9" ht="13.5" customHeight="1">
      <c r="A398" s="216" t="s">
        <v>7135</v>
      </c>
      <c r="B398" s="216" t="s">
        <v>5577</v>
      </c>
      <c r="C398" s="645">
        <v>533750</v>
      </c>
      <c r="D398" s="645">
        <v>511250</v>
      </c>
      <c r="G398" s="187">
        <v>121</v>
      </c>
      <c r="H398" s="187">
        <v>906</v>
      </c>
      <c r="I398" s="214" t="str">
        <f t="shared" si="6"/>
        <v>121-906</v>
      </c>
    </row>
    <row r="399" spans="1:9" ht="13.5" customHeight="1">
      <c r="A399" s="216" t="s">
        <v>6178</v>
      </c>
      <c r="B399" s="216" t="s">
        <v>5578</v>
      </c>
      <c r="C399" s="645">
        <v>1447498</v>
      </c>
      <c r="D399" s="645">
        <v>1473798</v>
      </c>
      <c r="G399" s="187">
        <v>123</v>
      </c>
      <c r="H399" s="187">
        <v>905</v>
      </c>
      <c r="I399" s="214" t="str">
        <f t="shared" si="6"/>
        <v>123-905</v>
      </c>
    </row>
    <row r="400" spans="1:9" ht="13.5" customHeight="1">
      <c r="A400" s="216" t="s">
        <v>7145</v>
      </c>
      <c r="B400" s="216" t="s">
        <v>5579</v>
      </c>
      <c r="C400" s="645">
        <v>2143825</v>
      </c>
      <c r="D400" s="645">
        <v>2492913</v>
      </c>
      <c r="G400" s="187">
        <v>123</v>
      </c>
      <c r="H400" s="187">
        <v>907</v>
      </c>
      <c r="I400" s="214" t="str">
        <f t="shared" si="6"/>
        <v>123-907</v>
      </c>
    </row>
    <row r="401" spans="1:9" ht="13.5" customHeight="1">
      <c r="A401" s="216" t="s">
        <v>7147</v>
      </c>
      <c r="B401" s="216" t="s">
        <v>5580</v>
      </c>
      <c r="C401" s="645">
        <v>3176663</v>
      </c>
      <c r="D401" s="645">
        <v>3060288</v>
      </c>
      <c r="G401" s="187">
        <v>123</v>
      </c>
      <c r="H401" s="187">
        <v>908</v>
      </c>
      <c r="I401" s="214" t="str">
        <f t="shared" si="6"/>
        <v>123-908</v>
      </c>
    </row>
    <row r="402" spans="1:9" ht="13.5" customHeight="1">
      <c r="A402" s="216" t="s">
        <v>2808</v>
      </c>
      <c r="B402" s="216" t="s">
        <v>5581</v>
      </c>
      <c r="C402" s="645">
        <v>4692913</v>
      </c>
      <c r="D402" s="645">
        <v>4762785</v>
      </c>
      <c r="G402" s="187">
        <v>123</v>
      </c>
      <c r="H402" s="187">
        <v>910</v>
      </c>
      <c r="I402" s="214" t="str">
        <f t="shared" si="6"/>
        <v>123-910</v>
      </c>
    </row>
    <row r="403" spans="1:9" ht="13.5" customHeight="1">
      <c r="A403" s="216" t="s">
        <v>2810</v>
      </c>
      <c r="B403" s="216" t="s">
        <v>5582</v>
      </c>
      <c r="C403" s="645">
        <v>730863</v>
      </c>
      <c r="D403" s="645">
        <v>733179</v>
      </c>
      <c r="G403" s="187">
        <v>123</v>
      </c>
      <c r="H403" s="187">
        <v>913</v>
      </c>
      <c r="I403" s="214" t="str">
        <f t="shared" si="6"/>
        <v>123-913</v>
      </c>
    </row>
    <row r="404" spans="1:9" ht="13.5" customHeight="1">
      <c r="A404" s="216" t="s">
        <v>1859</v>
      </c>
      <c r="B404" s="216" t="s">
        <v>5583</v>
      </c>
      <c r="C404" s="645">
        <v>1233794</v>
      </c>
      <c r="D404" s="645">
        <v>1220776</v>
      </c>
      <c r="G404" s="187">
        <v>123</v>
      </c>
      <c r="H404" s="187">
        <v>914</v>
      </c>
      <c r="I404" s="214" t="str">
        <f t="shared" si="6"/>
        <v>123-914</v>
      </c>
    </row>
    <row r="405" spans="1:9" ht="13.5" customHeight="1">
      <c r="A405" s="216" t="s">
        <v>2812</v>
      </c>
      <c r="B405" s="216" t="s">
        <v>5584</v>
      </c>
      <c r="C405" s="645">
        <v>460788</v>
      </c>
      <c r="D405" s="645">
        <v>461569</v>
      </c>
      <c r="G405" s="187">
        <v>124</v>
      </c>
      <c r="H405" s="187">
        <v>901</v>
      </c>
      <c r="I405" s="214" t="str">
        <f t="shared" si="6"/>
        <v>124-901</v>
      </c>
    </row>
    <row r="406" spans="1:9" ht="13.5" customHeight="1">
      <c r="A406" s="216" t="s">
        <v>820</v>
      </c>
      <c r="B406" s="216" t="s">
        <v>5585</v>
      </c>
      <c r="C406" s="645">
        <v>3170663</v>
      </c>
      <c r="D406" s="645">
        <v>3160108</v>
      </c>
      <c r="G406" s="187">
        <v>125</v>
      </c>
      <c r="H406" s="187">
        <v>901</v>
      </c>
      <c r="I406" s="214" t="str">
        <f t="shared" si="6"/>
        <v>125-901</v>
      </c>
    </row>
    <row r="407" spans="1:9" ht="13.5" customHeight="1">
      <c r="A407" s="216" t="s">
        <v>127</v>
      </c>
      <c r="B407" s="216" t="s">
        <v>5586</v>
      </c>
      <c r="C407" s="645">
        <v>262733</v>
      </c>
      <c r="D407" s="645">
        <v>273652</v>
      </c>
      <c r="G407" s="187">
        <v>125</v>
      </c>
      <c r="H407" s="187">
        <v>902</v>
      </c>
      <c r="I407" s="214" t="str">
        <f t="shared" si="6"/>
        <v>125-902</v>
      </c>
    </row>
    <row r="408" spans="1:9" ht="13.5" customHeight="1">
      <c r="A408" s="216" t="s">
        <v>6189</v>
      </c>
      <c r="B408" s="216" t="s">
        <v>5587</v>
      </c>
      <c r="C408" s="645">
        <v>890375</v>
      </c>
      <c r="D408" s="645">
        <v>887625</v>
      </c>
      <c r="G408" s="187">
        <v>125</v>
      </c>
      <c r="H408" s="187">
        <v>903</v>
      </c>
      <c r="I408" s="214" t="str">
        <f t="shared" si="6"/>
        <v>125-903</v>
      </c>
    </row>
    <row r="409" spans="1:9" ht="13.5" customHeight="1">
      <c r="A409" s="216" t="s">
        <v>5130</v>
      </c>
      <c r="B409" s="216" t="s">
        <v>5588</v>
      </c>
      <c r="C409" s="645">
        <v>239970</v>
      </c>
      <c r="D409" s="645">
        <v>230776</v>
      </c>
      <c r="G409" s="187">
        <v>125</v>
      </c>
      <c r="H409" s="187">
        <v>905</v>
      </c>
      <c r="I409" s="214" t="str">
        <f t="shared" si="6"/>
        <v>125-905</v>
      </c>
    </row>
    <row r="410" spans="1:9" ht="13.5" customHeight="1">
      <c r="A410" s="216" t="s">
        <v>3888</v>
      </c>
      <c r="B410" s="216" t="s">
        <v>5589</v>
      </c>
      <c r="C410" s="645">
        <v>3070493</v>
      </c>
      <c r="D410" s="645">
        <v>3071389</v>
      </c>
      <c r="G410" s="187">
        <v>126</v>
      </c>
      <c r="H410" s="187">
        <v>901</v>
      </c>
      <c r="I410" s="214" t="str">
        <f t="shared" si="6"/>
        <v>126-901</v>
      </c>
    </row>
    <row r="411" spans="1:9" ht="13.5" customHeight="1">
      <c r="A411" s="216" t="s">
        <v>977</v>
      </c>
      <c r="B411" s="216" t="s">
        <v>5590</v>
      </c>
      <c r="C411" s="645">
        <v>6473570</v>
      </c>
      <c r="D411" s="645">
        <v>6473507</v>
      </c>
      <c r="G411" s="187">
        <v>126</v>
      </c>
      <c r="H411" s="187">
        <v>902</v>
      </c>
      <c r="I411" s="214" t="str">
        <f t="shared" si="6"/>
        <v>126-902</v>
      </c>
    </row>
    <row r="412" spans="1:9" ht="13.5" customHeight="1">
      <c r="A412" s="216" t="s">
        <v>739</v>
      </c>
      <c r="B412" s="216" t="s">
        <v>5591</v>
      </c>
      <c r="C412" s="645">
        <v>4022850</v>
      </c>
      <c r="D412" s="645">
        <v>2358782</v>
      </c>
      <c r="G412" s="187">
        <v>126</v>
      </c>
      <c r="H412" s="187">
        <v>903</v>
      </c>
      <c r="I412" s="214" t="str">
        <f t="shared" si="6"/>
        <v>126-903</v>
      </c>
    </row>
    <row r="413" spans="1:9" ht="13.5" customHeight="1">
      <c r="A413" s="216" t="s">
        <v>1855</v>
      </c>
      <c r="B413" s="216" t="s">
        <v>5592</v>
      </c>
      <c r="C413" s="645">
        <v>346968</v>
      </c>
      <c r="D413" s="645">
        <v>345280</v>
      </c>
      <c r="G413" s="187">
        <v>126</v>
      </c>
      <c r="H413" s="187">
        <v>904</v>
      </c>
      <c r="I413" s="214" t="str">
        <f t="shared" si="6"/>
        <v>126-904</v>
      </c>
    </row>
    <row r="414" spans="1:9" ht="13.5" customHeight="1">
      <c r="A414" s="216" t="s">
        <v>6025</v>
      </c>
      <c r="B414" s="216" t="s">
        <v>5593</v>
      </c>
      <c r="C414" s="645">
        <v>2746136</v>
      </c>
      <c r="D414" s="645">
        <v>2748342</v>
      </c>
      <c r="G414" s="187">
        <v>126</v>
      </c>
      <c r="H414" s="187">
        <v>905</v>
      </c>
      <c r="I414" s="214" t="str">
        <f t="shared" si="6"/>
        <v>126-905</v>
      </c>
    </row>
    <row r="415" spans="1:9" ht="13.5" customHeight="1">
      <c r="A415" s="216" t="s">
        <v>128</v>
      </c>
      <c r="B415" s="216" t="s">
        <v>5594</v>
      </c>
      <c r="C415" s="645">
        <v>435925</v>
      </c>
      <c r="D415" s="645">
        <v>438643</v>
      </c>
      <c r="G415" s="187">
        <v>126</v>
      </c>
      <c r="H415" s="187">
        <v>907</v>
      </c>
      <c r="I415" s="214" t="str">
        <f t="shared" si="6"/>
        <v>126-907</v>
      </c>
    </row>
    <row r="416" spans="1:9" ht="13.5" customHeight="1">
      <c r="A416" s="216" t="s">
        <v>3551</v>
      </c>
      <c r="B416" s="216" t="s">
        <v>5595</v>
      </c>
      <c r="C416" s="645">
        <v>822707</v>
      </c>
      <c r="D416" s="645">
        <v>820936</v>
      </c>
      <c r="G416" s="187">
        <v>126</v>
      </c>
      <c r="H416" s="187">
        <v>908</v>
      </c>
      <c r="I416" s="214" t="str">
        <f t="shared" si="6"/>
        <v>126-908</v>
      </c>
    </row>
    <row r="417" spans="1:9" ht="13.5" customHeight="1">
      <c r="A417" s="216" t="s">
        <v>1851</v>
      </c>
      <c r="B417" s="216" t="s">
        <v>5596</v>
      </c>
      <c r="C417" s="645">
        <v>758102</v>
      </c>
      <c r="D417" s="645">
        <v>758512</v>
      </c>
      <c r="G417" s="187">
        <v>126</v>
      </c>
      <c r="H417" s="187">
        <v>911</v>
      </c>
      <c r="I417" s="214" t="str">
        <f t="shared" si="6"/>
        <v>126-911</v>
      </c>
    </row>
    <row r="418" spans="1:9" ht="13.5" customHeight="1">
      <c r="A418" s="216" t="s">
        <v>2819</v>
      </c>
      <c r="B418" s="216" t="s">
        <v>5597</v>
      </c>
      <c r="C418" s="645">
        <v>182341</v>
      </c>
      <c r="D418" s="645">
        <v>183216</v>
      </c>
      <c r="G418" s="187">
        <v>127</v>
      </c>
      <c r="H418" s="187">
        <v>903</v>
      </c>
      <c r="I418" s="214" t="str">
        <f t="shared" si="6"/>
        <v>127-903</v>
      </c>
    </row>
    <row r="419" spans="1:9" ht="13.5" customHeight="1">
      <c r="A419" s="216" t="s">
        <v>449</v>
      </c>
      <c r="B419" s="216" t="s">
        <v>5598</v>
      </c>
      <c r="C419" s="645">
        <v>102985</v>
      </c>
      <c r="D419" s="645">
        <v>101335</v>
      </c>
      <c r="G419" s="187">
        <v>127</v>
      </c>
      <c r="H419" s="187">
        <v>905</v>
      </c>
      <c r="I419" s="214" t="str">
        <f t="shared" si="6"/>
        <v>127-905</v>
      </c>
    </row>
    <row r="420" spans="1:9" ht="13.5" customHeight="1">
      <c r="A420" s="216" t="s">
        <v>5138</v>
      </c>
      <c r="B420" s="216" t="s">
        <v>5599</v>
      </c>
      <c r="C420" s="645">
        <v>187320</v>
      </c>
      <c r="D420" s="645">
        <v>184639</v>
      </c>
      <c r="G420" s="187">
        <v>127</v>
      </c>
      <c r="H420" s="187">
        <v>906</v>
      </c>
      <c r="I420" s="214" t="str">
        <f t="shared" si="6"/>
        <v>127-906</v>
      </c>
    </row>
    <row r="421" spans="1:9" ht="13.5" customHeight="1">
      <c r="A421" s="216" t="s">
        <v>6027</v>
      </c>
      <c r="B421" s="216" t="s">
        <v>5600</v>
      </c>
      <c r="C421" s="645">
        <v>94164</v>
      </c>
      <c r="D421" s="645">
        <v>96271</v>
      </c>
      <c r="G421" s="187">
        <v>128</v>
      </c>
      <c r="H421" s="187">
        <v>901</v>
      </c>
      <c r="I421" s="214" t="str">
        <f t="shared" si="6"/>
        <v>128-901</v>
      </c>
    </row>
    <row r="422" spans="1:9" ht="13.5" customHeight="1">
      <c r="A422" s="216" t="s">
        <v>450</v>
      </c>
      <c r="B422" s="216" t="s">
        <v>5601</v>
      </c>
      <c r="C422" s="645">
        <v>196650</v>
      </c>
      <c r="D422" s="645">
        <v>198150</v>
      </c>
      <c r="G422" s="187">
        <v>128</v>
      </c>
      <c r="H422" s="187">
        <v>902</v>
      </c>
      <c r="I422" s="214" t="str">
        <f t="shared" si="6"/>
        <v>128-902</v>
      </c>
    </row>
    <row r="423" spans="1:9" ht="13.5" customHeight="1">
      <c r="A423" s="216" t="s">
        <v>1525</v>
      </c>
      <c r="B423" s="216" t="s">
        <v>5602</v>
      </c>
      <c r="C423" s="645">
        <v>221840</v>
      </c>
      <c r="D423" s="645">
        <v>222465</v>
      </c>
      <c r="G423" s="187">
        <v>128</v>
      </c>
      <c r="H423" s="187">
        <v>904</v>
      </c>
      <c r="I423" s="214" t="str">
        <f t="shared" si="6"/>
        <v>128-904</v>
      </c>
    </row>
    <row r="424" spans="1:9" ht="13.5" customHeight="1">
      <c r="A424" s="216" t="s">
        <v>244</v>
      </c>
      <c r="B424" s="216" t="s">
        <v>5603</v>
      </c>
      <c r="C424" s="645">
        <v>1910111</v>
      </c>
      <c r="D424" s="645">
        <v>2142336</v>
      </c>
      <c r="G424" s="187">
        <v>129</v>
      </c>
      <c r="H424" s="187">
        <v>901</v>
      </c>
      <c r="I424" s="214" t="str">
        <f t="shared" si="6"/>
        <v>129-901</v>
      </c>
    </row>
    <row r="425" spans="1:9" ht="13.5" customHeight="1">
      <c r="A425" s="216" t="s">
        <v>1308</v>
      </c>
      <c r="B425" s="216" t="s">
        <v>5604</v>
      </c>
      <c r="C425" s="645">
        <v>5078927</v>
      </c>
      <c r="D425" s="645">
        <v>4797402</v>
      </c>
      <c r="G425" s="187">
        <v>129</v>
      </c>
      <c r="H425" s="187">
        <v>902</v>
      </c>
      <c r="I425" s="214" t="str">
        <f t="shared" si="6"/>
        <v>129-902</v>
      </c>
    </row>
    <row r="426" spans="1:9" ht="13.5" customHeight="1">
      <c r="A426" s="216" t="s">
        <v>6029</v>
      </c>
      <c r="B426" s="216" t="s">
        <v>5605</v>
      </c>
      <c r="C426" s="645">
        <v>2844866</v>
      </c>
      <c r="D426" s="645">
        <v>2969466</v>
      </c>
      <c r="G426" s="187">
        <v>129</v>
      </c>
      <c r="H426" s="187">
        <v>903</v>
      </c>
      <c r="I426" s="214" t="str">
        <f t="shared" si="6"/>
        <v>129-903</v>
      </c>
    </row>
    <row r="427" spans="1:9" ht="13.5" customHeight="1">
      <c r="A427" s="216" t="s">
        <v>6031</v>
      </c>
      <c r="B427" s="216" t="s">
        <v>5606</v>
      </c>
      <c r="C427" s="645">
        <v>779436</v>
      </c>
      <c r="D427" s="645">
        <v>780414</v>
      </c>
      <c r="G427" s="187">
        <v>129</v>
      </c>
      <c r="H427" s="187">
        <v>904</v>
      </c>
      <c r="I427" s="214" t="str">
        <f t="shared" si="6"/>
        <v>129-904</v>
      </c>
    </row>
    <row r="428" spans="1:9" ht="13.5" customHeight="1">
      <c r="A428" s="216" t="s">
        <v>5628</v>
      </c>
      <c r="B428" s="216" t="s">
        <v>5607</v>
      </c>
      <c r="C428" s="645">
        <v>2491161</v>
      </c>
      <c r="D428" s="645">
        <v>2688361</v>
      </c>
      <c r="G428" s="187">
        <v>129</v>
      </c>
      <c r="H428" s="187">
        <v>905</v>
      </c>
      <c r="I428" s="214" t="str">
        <f t="shared" si="6"/>
        <v>129-905</v>
      </c>
    </row>
    <row r="429" spans="1:9" ht="13.5" customHeight="1">
      <c r="A429" s="216" t="s">
        <v>5630</v>
      </c>
      <c r="B429" s="216" t="s">
        <v>5608</v>
      </c>
      <c r="C429" s="645">
        <v>3967844</v>
      </c>
      <c r="D429" s="645">
        <v>3961819</v>
      </c>
      <c r="G429" s="187">
        <v>129</v>
      </c>
      <c r="H429" s="187">
        <v>906</v>
      </c>
      <c r="I429" s="214" t="str">
        <f t="shared" si="6"/>
        <v>129-906</v>
      </c>
    </row>
    <row r="430" spans="1:9" ht="13.5" customHeight="1">
      <c r="A430" s="216" t="s">
        <v>2395</v>
      </c>
      <c r="B430" s="216" t="s">
        <v>5609</v>
      </c>
      <c r="C430" s="645">
        <v>683123</v>
      </c>
      <c r="D430" s="645">
        <v>647423</v>
      </c>
      <c r="G430" s="187">
        <v>129</v>
      </c>
      <c r="H430" s="187">
        <v>910</v>
      </c>
      <c r="I430" s="214" t="str">
        <f t="shared" si="6"/>
        <v>129-910</v>
      </c>
    </row>
    <row r="431" spans="1:9" ht="13.5" customHeight="1">
      <c r="A431" s="216" t="s">
        <v>5632</v>
      </c>
      <c r="B431" s="216" t="s">
        <v>5610</v>
      </c>
      <c r="C431" s="645">
        <v>8490229</v>
      </c>
      <c r="D431" s="645">
        <v>8476042</v>
      </c>
      <c r="G431" s="187">
        <v>130</v>
      </c>
      <c r="H431" s="187">
        <v>901</v>
      </c>
      <c r="I431" s="214" t="str">
        <f t="shared" si="6"/>
        <v>130-901</v>
      </c>
    </row>
    <row r="432" spans="1:9" ht="13.5" customHeight="1">
      <c r="A432" s="216" t="s">
        <v>6147</v>
      </c>
      <c r="B432" s="216" t="s">
        <v>5611</v>
      </c>
      <c r="C432" s="645">
        <v>621297</v>
      </c>
      <c r="D432" s="645">
        <v>639632</v>
      </c>
      <c r="G432" s="187">
        <v>130</v>
      </c>
      <c r="H432" s="187">
        <v>902</v>
      </c>
      <c r="I432" s="214" t="str">
        <f t="shared" si="6"/>
        <v>130-902</v>
      </c>
    </row>
    <row r="433" spans="1:9" ht="13.5" customHeight="1">
      <c r="A433" s="216" t="s">
        <v>5612</v>
      </c>
      <c r="B433" s="216" t="s">
        <v>5613</v>
      </c>
      <c r="C433" s="645">
        <v>0</v>
      </c>
      <c r="D433" s="645">
        <v>0</v>
      </c>
      <c r="G433" s="187">
        <v>131</v>
      </c>
      <c r="H433" s="187">
        <v>1</v>
      </c>
      <c r="I433" s="214" t="str">
        <f t="shared" si="6"/>
        <v>131-1</v>
      </c>
    </row>
    <row r="434" spans="1:9" ht="13.5" customHeight="1">
      <c r="A434" s="216" t="s">
        <v>1419</v>
      </c>
      <c r="B434" s="216" t="s">
        <v>5614</v>
      </c>
      <c r="C434" s="645">
        <v>377640</v>
      </c>
      <c r="D434" s="645">
        <v>378304</v>
      </c>
      <c r="G434" s="187">
        <v>132</v>
      </c>
      <c r="H434" s="187">
        <v>902</v>
      </c>
      <c r="I434" s="214" t="str">
        <f t="shared" si="6"/>
        <v>132-902</v>
      </c>
    </row>
    <row r="435" spans="1:9" ht="13.5" customHeight="1">
      <c r="A435" s="216" t="s">
        <v>2469</v>
      </c>
      <c r="B435" s="216" t="s">
        <v>4824</v>
      </c>
      <c r="C435" s="645">
        <v>138180</v>
      </c>
      <c r="D435" s="645">
        <v>140705</v>
      </c>
      <c r="G435" s="187">
        <v>133</v>
      </c>
      <c r="H435" s="187">
        <v>901</v>
      </c>
      <c r="I435" s="214" t="str">
        <f t="shared" si="6"/>
        <v>133-901</v>
      </c>
    </row>
    <row r="436" spans="1:9" ht="13.5" customHeight="1">
      <c r="A436" s="216" t="s">
        <v>1423</v>
      </c>
      <c r="B436" s="216" t="s">
        <v>4825</v>
      </c>
      <c r="C436" s="645">
        <v>3365594</v>
      </c>
      <c r="D436" s="645">
        <v>3365088</v>
      </c>
      <c r="G436" s="187">
        <v>133</v>
      </c>
      <c r="H436" s="187">
        <v>903</v>
      </c>
      <c r="I436" s="214" t="str">
        <f t="shared" si="6"/>
        <v>133-903</v>
      </c>
    </row>
    <row r="437" spans="1:9" ht="13.5" customHeight="1">
      <c r="A437" s="216" t="s">
        <v>1425</v>
      </c>
      <c r="B437" s="216" t="s">
        <v>4826</v>
      </c>
      <c r="C437" s="645">
        <v>386920</v>
      </c>
      <c r="D437" s="645">
        <v>382720</v>
      </c>
      <c r="G437" s="187">
        <v>133</v>
      </c>
      <c r="H437" s="187">
        <v>904</v>
      </c>
      <c r="I437" s="214" t="str">
        <f t="shared" si="6"/>
        <v>133-904</v>
      </c>
    </row>
    <row r="438" spans="1:9" ht="13.5" customHeight="1">
      <c r="A438" s="216" t="s">
        <v>510</v>
      </c>
      <c r="B438" s="216" t="s">
        <v>4827</v>
      </c>
      <c r="C438" s="645">
        <v>1277229</v>
      </c>
      <c r="D438" s="645">
        <v>1276298</v>
      </c>
      <c r="G438" s="187">
        <v>137</v>
      </c>
      <c r="H438" s="187">
        <v>901</v>
      </c>
      <c r="I438" s="214" t="str">
        <f t="shared" si="6"/>
        <v>137-901</v>
      </c>
    </row>
    <row r="439" spans="1:9" ht="13.5" customHeight="1">
      <c r="A439" s="216" t="s">
        <v>511</v>
      </c>
      <c r="B439" s="216" t="s">
        <v>4828</v>
      </c>
      <c r="C439" s="645">
        <v>87963</v>
      </c>
      <c r="D439" s="645">
        <v>85928</v>
      </c>
      <c r="G439" s="187">
        <v>138</v>
      </c>
      <c r="H439" s="187">
        <v>902</v>
      </c>
      <c r="I439" s="214" t="str">
        <f t="shared" si="6"/>
        <v>138-902</v>
      </c>
    </row>
    <row r="440" spans="1:9" ht="13.5" customHeight="1">
      <c r="A440" s="216" t="s">
        <v>3543</v>
      </c>
      <c r="B440" s="216" t="s">
        <v>4829</v>
      </c>
      <c r="C440" s="645">
        <v>829409</v>
      </c>
      <c r="D440" s="645">
        <v>827138</v>
      </c>
      <c r="G440" s="187">
        <v>139</v>
      </c>
      <c r="H440" s="187">
        <v>905</v>
      </c>
      <c r="I440" s="214" t="str">
        <f t="shared" si="6"/>
        <v>139-905</v>
      </c>
    </row>
    <row r="441" spans="1:9" ht="13.5" customHeight="1">
      <c r="A441" s="216" t="s">
        <v>129</v>
      </c>
      <c r="B441" s="216" t="s">
        <v>4830</v>
      </c>
      <c r="C441" s="645">
        <v>122806</v>
      </c>
      <c r="D441" s="645">
        <v>134888</v>
      </c>
      <c r="G441" s="187">
        <v>139</v>
      </c>
      <c r="H441" s="187">
        <v>908</v>
      </c>
      <c r="I441" s="214" t="str">
        <f t="shared" si="6"/>
        <v>139-908</v>
      </c>
    </row>
    <row r="442" spans="1:9" ht="13.5" customHeight="1">
      <c r="A442" s="216" t="s">
        <v>6193</v>
      </c>
      <c r="B442" s="216" t="s">
        <v>4831</v>
      </c>
      <c r="C442" s="645">
        <v>1104826</v>
      </c>
      <c r="D442" s="645">
        <v>1150296</v>
      </c>
      <c r="G442" s="187">
        <v>139</v>
      </c>
      <c r="H442" s="187">
        <v>909</v>
      </c>
      <c r="I442" s="214" t="str">
        <f t="shared" si="6"/>
        <v>139-909</v>
      </c>
    </row>
    <row r="443" spans="1:9" ht="13.5" customHeight="1">
      <c r="A443" s="216" t="s">
        <v>2674</v>
      </c>
      <c r="B443" s="216" t="s">
        <v>4832</v>
      </c>
      <c r="C443" s="645">
        <v>1315741</v>
      </c>
      <c r="D443" s="645">
        <v>1321116</v>
      </c>
      <c r="G443" s="187">
        <v>139</v>
      </c>
      <c r="H443" s="187">
        <v>911</v>
      </c>
      <c r="I443" s="214" t="str">
        <f t="shared" si="6"/>
        <v>139-911</v>
      </c>
    </row>
    <row r="444" spans="1:9" ht="13.5" customHeight="1">
      <c r="A444" s="216" t="s">
        <v>512</v>
      </c>
      <c r="B444" s="216" t="s">
        <v>4833</v>
      </c>
      <c r="C444" s="645">
        <v>587273</v>
      </c>
      <c r="D444" s="645">
        <v>584723</v>
      </c>
      <c r="G444" s="187">
        <v>139</v>
      </c>
      <c r="H444" s="187">
        <v>912</v>
      </c>
      <c r="I444" s="214" t="str">
        <f t="shared" si="6"/>
        <v>139-912</v>
      </c>
    </row>
    <row r="445" spans="1:9" ht="13.5" customHeight="1">
      <c r="A445" s="216" t="s">
        <v>6188</v>
      </c>
      <c r="B445" s="216" t="s">
        <v>4834</v>
      </c>
      <c r="C445" s="645">
        <v>181150</v>
      </c>
      <c r="D445" s="645">
        <v>181163</v>
      </c>
      <c r="G445" s="187">
        <v>140</v>
      </c>
      <c r="H445" s="187">
        <v>905</v>
      </c>
      <c r="I445" s="214" t="str">
        <f t="shared" si="6"/>
        <v>140-905</v>
      </c>
    </row>
    <row r="446" spans="1:9" ht="13.5" customHeight="1">
      <c r="A446" s="216" t="s">
        <v>2020</v>
      </c>
      <c r="B446" s="216" t="s">
        <v>4835</v>
      </c>
      <c r="C446" s="645">
        <v>0</v>
      </c>
      <c r="D446" s="645">
        <v>0</v>
      </c>
      <c r="G446" s="187">
        <v>140</v>
      </c>
      <c r="H446" s="187">
        <v>908</v>
      </c>
      <c r="I446" s="214" t="str">
        <f t="shared" si="6"/>
        <v>140-908</v>
      </c>
    </row>
    <row r="447" spans="1:9" ht="13.5" customHeight="1">
      <c r="A447" s="216" t="s">
        <v>2024</v>
      </c>
      <c r="B447" s="216" t="s">
        <v>4836</v>
      </c>
      <c r="C447" s="645">
        <v>588538</v>
      </c>
      <c r="D447" s="645">
        <v>590338</v>
      </c>
      <c r="G447" s="187">
        <v>141</v>
      </c>
      <c r="H447" s="187">
        <v>901</v>
      </c>
      <c r="I447" s="214" t="str">
        <f t="shared" si="6"/>
        <v>141-901</v>
      </c>
    </row>
    <row r="448" spans="1:9" ht="13.5" customHeight="1">
      <c r="A448" s="216" t="s">
        <v>242</v>
      </c>
      <c r="B448" s="216" t="s">
        <v>4837</v>
      </c>
      <c r="C448" s="645">
        <v>250724</v>
      </c>
      <c r="D448" s="645">
        <v>248899</v>
      </c>
      <c r="G448" s="187">
        <v>142</v>
      </c>
      <c r="H448" s="187">
        <v>901</v>
      </c>
      <c r="I448" s="214" t="str">
        <f t="shared" si="6"/>
        <v>142-901</v>
      </c>
    </row>
    <row r="449" spans="1:9" ht="13.5" customHeight="1">
      <c r="A449" s="216" t="s">
        <v>2030</v>
      </c>
      <c r="B449" s="216" t="s">
        <v>4838</v>
      </c>
      <c r="C449" s="645">
        <v>43613</v>
      </c>
      <c r="D449" s="645">
        <v>42238</v>
      </c>
      <c r="G449" s="187">
        <v>143</v>
      </c>
      <c r="H449" s="187">
        <v>902</v>
      </c>
      <c r="I449" s="214" t="str">
        <f t="shared" si="6"/>
        <v>143-902</v>
      </c>
    </row>
    <row r="450" spans="1:9" ht="13.5" customHeight="1">
      <c r="A450" s="216" t="s">
        <v>310</v>
      </c>
      <c r="B450" s="216" t="s">
        <v>4839</v>
      </c>
      <c r="C450" s="645">
        <v>750905</v>
      </c>
      <c r="D450" s="645">
        <v>761525</v>
      </c>
      <c r="G450" s="187">
        <v>144</v>
      </c>
      <c r="H450" s="187">
        <v>901</v>
      </c>
      <c r="I450" s="214" t="str">
        <f t="shared" si="6"/>
        <v>144-901</v>
      </c>
    </row>
    <row r="451" spans="1:9" ht="13.5" customHeight="1">
      <c r="A451" s="216" t="s">
        <v>312</v>
      </c>
      <c r="B451" s="216" t="s">
        <v>4840</v>
      </c>
      <c r="C451" s="645">
        <v>232293</v>
      </c>
      <c r="D451" s="645">
        <v>237188</v>
      </c>
      <c r="G451" s="187">
        <v>144</v>
      </c>
      <c r="H451" s="187">
        <v>902</v>
      </c>
      <c r="I451" s="214" t="str">
        <f t="shared" si="6"/>
        <v>144-902</v>
      </c>
    </row>
    <row r="452" spans="1:9" ht="13.5" customHeight="1">
      <c r="A452" s="216" t="s">
        <v>316</v>
      </c>
      <c r="B452" s="216" t="s">
        <v>4841</v>
      </c>
      <c r="C452" s="645">
        <v>245835</v>
      </c>
      <c r="D452" s="645">
        <v>244591</v>
      </c>
      <c r="G452" s="187">
        <v>145</v>
      </c>
      <c r="H452" s="187">
        <v>901</v>
      </c>
      <c r="I452" s="214" t="str">
        <f t="shared" ref="I452:I515" si="7">F452&amp;G452&amp;"-"&amp;H452</f>
        <v>145-901</v>
      </c>
    </row>
    <row r="453" spans="1:9" ht="13.5" customHeight="1">
      <c r="A453" s="216" t="s">
        <v>318</v>
      </c>
      <c r="B453" s="216" t="s">
        <v>7338</v>
      </c>
      <c r="C453" s="645">
        <v>201820</v>
      </c>
      <c r="D453" s="645">
        <v>193000</v>
      </c>
      <c r="G453" s="187">
        <v>145</v>
      </c>
      <c r="H453" s="187">
        <v>902</v>
      </c>
      <c r="I453" s="214" t="str">
        <f t="shared" si="7"/>
        <v>145-902</v>
      </c>
    </row>
    <row r="454" spans="1:9" ht="13.5" customHeight="1">
      <c r="A454" s="216" t="s">
        <v>320</v>
      </c>
      <c r="B454" s="216" t="s">
        <v>7339</v>
      </c>
      <c r="C454" s="645">
        <v>320885</v>
      </c>
      <c r="D454" s="645">
        <v>319136</v>
      </c>
      <c r="G454" s="187">
        <v>145</v>
      </c>
      <c r="H454" s="187">
        <v>906</v>
      </c>
      <c r="I454" s="214" t="str">
        <f t="shared" si="7"/>
        <v>145-906</v>
      </c>
    </row>
    <row r="455" spans="1:9" ht="13.5" customHeight="1">
      <c r="A455" s="216" t="s">
        <v>2321</v>
      </c>
      <c r="B455" s="216" t="s">
        <v>7340</v>
      </c>
      <c r="C455" s="645">
        <v>330238</v>
      </c>
      <c r="D455" s="645">
        <v>312758</v>
      </c>
      <c r="G455" s="187">
        <v>145</v>
      </c>
      <c r="H455" s="187">
        <v>911</v>
      </c>
      <c r="I455" s="214" t="str">
        <f t="shared" si="7"/>
        <v>145-911</v>
      </c>
    </row>
    <row r="456" spans="1:9" ht="13.5" customHeight="1">
      <c r="A456" s="216" t="s">
        <v>3178</v>
      </c>
      <c r="B456" s="216" t="s">
        <v>7341</v>
      </c>
      <c r="C456" s="645">
        <v>2830980</v>
      </c>
      <c r="D456" s="645">
        <v>2884237</v>
      </c>
      <c r="G456" s="187">
        <v>146</v>
      </c>
      <c r="H456" s="187">
        <v>901</v>
      </c>
      <c r="I456" s="214" t="str">
        <f t="shared" si="7"/>
        <v>146-901</v>
      </c>
    </row>
    <row r="457" spans="1:9" ht="13.5" customHeight="1">
      <c r="A457" s="216" t="s">
        <v>249</v>
      </c>
      <c r="B457" s="216" t="s">
        <v>7342</v>
      </c>
      <c r="C457" s="645">
        <v>2870913</v>
      </c>
      <c r="D457" s="645">
        <v>2942722</v>
      </c>
      <c r="G457" s="187">
        <v>146</v>
      </c>
      <c r="H457" s="187">
        <v>902</v>
      </c>
      <c r="I457" s="214" t="str">
        <f t="shared" si="7"/>
        <v>146-902</v>
      </c>
    </row>
    <row r="458" spans="1:9" ht="13.5" customHeight="1">
      <c r="A458" s="216" t="s">
        <v>2323</v>
      </c>
      <c r="B458" s="216" t="s">
        <v>7343</v>
      </c>
      <c r="C458" s="645">
        <v>159764</v>
      </c>
      <c r="D458" s="645">
        <v>155639</v>
      </c>
      <c r="G458" s="187">
        <v>146</v>
      </c>
      <c r="H458" s="187">
        <v>903</v>
      </c>
      <c r="I458" s="214" t="str">
        <f t="shared" si="7"/>
        <v>146-903</v>
      </c>
    </row>
    <row r="459" spans="1:9" ht="13.5" customHeight="1">
      <c r="A459" s="216" t="s">
        <v>1872</v>
      </c>
      <c r="B459" s="216" t="s">
        <v>7344</v>
      </c>
      <c r="C459" s="645">
        <v>155189</v>
      </c>
      <c r="D459" s="645">
        <v>154950</v>
      </c>
      <c r="G459" s="187">
        <v>146</v>
      </c>
      <c r="H459" s="187">
        <v>905</v>
      </c>
      <c r="I459" s="214" t="str">
        <f t="shared" si="7"/>
        <v>146-905</v>
      </c>
    </row>
    <row r="460" spans="1:9" ht="13.5" customHeight="1">
      <c r="A460" s="216" t="s">
        <v>2325</v>
      </c>
      <c r="B460" s="216" t="s">
        <v>7345</v>
      </c>
      <c r="C460" s="645">
        <v>1205219</v>
      </c>
      <c r="D460" s="645">
        <v>1198716</v>
      </c>
      <c r="G460" s="187">
        <v>146</v>
      </c>
      <c r="H460" s="187">
        <v>906</v>
      </c>
      <c r="I460" s="214" t="str">
        <f t="shared" si="7"/>
        <v>146-906</v>
      </c>
    </row>
    <row r="461" spans="1:9" ht="13.5" customHeight="1">
      <c r="A461" s="216" t="s">
        <v>2327</v>
      </c>
      <c r="B461" s="216" t="s">
        <v>7346</v>
      </c>
      <c r="C461" s="645">
        <v>801141</v>
      </c>
      <c r="D461" s="645">
        <v>833766</v>
      </c>
      <c r="G461" s="187">
        <v>146</v>
      </c>
      <c r="H461" s="187">
        <v>907</v>
      </c>
      <c r="I461" s="214" t="str">
        <f t="shared" si="7"/>
        <v>146-907</v>
      </c>
    </row>
    <row r="462" spans="1:9" ht="13.5" customHeight="1">
      <c r="A462" s="216" t="s">
        <v>5236</v>
      </c>
      <c r="B462" s="216" t="s">
        <v>7290</v>
      </c>
      <c r="C462" s="645">
        <v>187414</v>
      </c>
      <c r="D462" s="645">
        <v>189339</v>
      </c>
      <c r="G462" s="187">
        <v>147</v>
      </c>
      <c r="H462" s="187">
        <v>901</v>
      </c>
      <c r="I462" s="214" t="str">
        <f t="shared" si="7"/>
        <v>147-901</v>
      </c>
    </row>
    <row r="463" spans="1:9" ht="13.5" customHeight="1">
      <c r="A463" s="216" t="s">
        <v>7702</v>
      </c>
      <c r="B463" s="216" t="s">
        <v>7291</v>
      </c>
      <c r="C463" s="645">
        <v>457306</v>
      </c>
      <c r="D463" s="645">
        <v>456668</v>
      </c>
      <c r="G463" s="187">
        <v>147</v>
      </c>
      <c r="H463" s="187">
        <v>903</v>
      </c>
      <c r="I463" s="214" t="str">
        <f t="shared" si="7"/>
        <v>147-903</v>
      </c>
    </row>
    <row r="464" spans="1:9" ht="13.5" customHeight="1">
      <c r="A464" s="216" t="s">
        <v>7704</v>
      </c>
      <c r="B464" s="216" t="s">
        <v>7292</v>
      </c>
      <c r="C464" s="645">
        <v>71108</v>
      </c>
      <c r="D464" s="645">
        <v>73983</v>
      </c>
      <c r="G464" s="187">
        <v>148</v>
      </c>
      <c r="H464" s="187">
        <v>901</v>
      </c>
      <c r="I464" s="214" t="str">
        <f t="shared" si="7"/>
        <v>148-901</v>
      </c>
    </row>
    <row r="465" spans="1:9" ht="13.5" customHeight="1">
      <c r="A465" s="216" t="s">
        <v>5634</v>
      </c>
      <c r="B465" s="216" t="s">
        <v>7293</v>
      </c>
      <c r="C465" s="645">
        <v>0</v>
      </c>
      <c r="D465" s="645">
        <v>0</v>
      </c>
      <c r="G465" s="187">
        <v>148</v>
      </c>
      <c r="H465" s="187">
        <v>902</v>
      </c>
      <c r="I465" s="214" t="str">
        <f t="shared" si="7"/>
        <v>148-902</v>
      </c>
    </row>
    <row r="466" spans="1:9" ht="13.5" customHeight="1">
      <c r="A466" s="216" t="s">
        <v>4016</v>
      </c>
      <c r="B466" s="216" t="s">
        <v>7294</v>
      </c>
      <c r="C466" s="645">
        <v>0</v>
      </c>
      <c r="D466" s="645">
        <v>0</v>
      </c>
      <c r="G466" s="187">
        <v>148</v>
      </c>
      <c r="H466" s="187">
        <v>905</v>
      </c>
      <c r="I466" s="214" t="str">
        <f t="shared" si="7"/>
        <v>148-905</v>
      </c>
    </row>
    <row r="467" spans="1:9" ht="13.5" customHeight="1">
      <c r="A467" s="216" t="s">
        <v>4020</v>
      </c>
      <c r="B467" s="216" t="s">
        <v>7295</v>
      </c>
      <c r="C467" s="645">
        <v>197084</v>
      </c>
      <c r="D467" s="645">
        <v>219123</v>
      </c>
      <c r="G467" s="187">
        <v>149</v>
      </c>
      <c r="H467" s="187">
        <v>902</v>
      </c>
      <c r="I467" s="214" t="str">
        <f t="shared" si="7"/>
        <v>149-902</v>
      </c>
    </row>
    <row r="468" spans="1:9" ht="13.5" customHeight="1">
      <c r="A468" s="216" t="s">
        <v>4022</v>
      </c>
      <c r="B468" s="216" t="s">
        <v>7296</v>
      </c>
      <c r="C468" s="645">
        <v>1953196</v>
      </c>
      <c r="D468" s="645">
        <v>1958277</v>
      </c>
      <c r="G468" s="187">
        <v>150</v>
      </c>
      <c r="H468" s="187">
        <v>901</v>
      </c>
      <c r="I468" s="214" t="str">
        <f t="shared" si="7"/>
        <v>150-901</v>
      </c>
    </row>
    <row r="469" spans="1:9" ht="13.5" customHeight="1">
      <c r="A469" s="216" t="s">
        <v>2996</v>
      </c>
      <c r="B469" s="216" t="s">
        <v>7297</v>
      </c>
      <c r="C469" s="645">
        <v>10703869</v>
      </c>
      <c r="D469" s="645">
        <v>10637145</v>
      </c>
      <c r="G469" s="187">
        <v>152</v>
      </c>
      <c r="H469" s="187">
        <v>901</v>
      </c>
      <c r="I469" s="214" t="str">
        <f t="shared" si="7"/>
        <v>152-901</v>
      </c>
    </row>
    <row r="470" spans="1:9" ht="13.5" customHeight="1">
      <c r="A470" s="216" t="s">
        <v>4030</v>
      </c>
      <c r="B470" s="216" t="s">
        <v>7298</v>
      </c>
      <c r="C470" s="645">
        <v>440073</v>
      </c>
      <c r="D470" s="645">
        <v>440129</v>
      </c>
      <c r="G470" s="187">
        <v>152</v>
      </c>
      <c r="H470" s="187">
        <v>903</v>
      </c>
      <c r="I470" s="214" t="str">
        <f t="shared" si="7"/>
        <v>152-903</v>
      </c>
    </row>
    <row r="471" spans="1:9" ht="13.5" customHeight="1">
      <c r="A471" s="216" t="s">
        <v>2903</v>
      </c>
      <c r="B471" s="216" t="s">
        <v>7299</v>
      </c>
      <c r="C471" s="645">
        <v>1294818</v>
      </c>
      <c r="D471" s="645">
        <v>1144912</v>
      </c>
      <c r="G471" s="187">
        <v>152</v>
      </c>
      <c r="H471" s="187">
        <v>906</v>
      </c>
      <c r="I471" s="214" t="str">
        <f t="shared" si="7"/>
        <v>152-906</v>
      </c>
    </row>
    <row r="472" spans="1:9" ht="13.5" customHeight="1">
      <c r="A472" s="216" t="s">
        <v>1310</v>
      </c>
      <c r="B472" s="216" t="s">
        <v>7300</v>
      </c>
      <c r="C472" s="645">
        <v>6160607</v>
      </c>
      <c r="D472" s="645">
        <v>6160724</v>
      </c>
      <c r="G472" s="187">
        <v>152</v>
      </c>
      <c r="H472" s="187">
        <v>907</v>
      </c>
      <c r="I472" s="214" t="str">
        <f t="shared" si="7"/>
        <v>152-907</v>
      </c>
    </row>
    <row r="473" spans="1:9" ht="13.5" customHeight="1">
      <c r="A473" s="216" t="s">
        <v>2397</v>
      </c>
      <c r="B473" s="216" t="s">
        <v>7301</v>
      </c>
      <c r="C473" s="645">
        <v>1186021</v>
      </c>
      <c r="D473" s="645">
        <v>1182409</v>
      </c>
      <c r="G473" s="187">
        <v>152</v>
      </c>
      <c r="H473" s="187">
        <v>909</v>
      </c>
      <c r="I473" s="214" t="str">
        <f t="shared" si="7"/>
        <v>152-909</v>
      </c>
    </row>
    <row r="474" spans="1:9" ht="13.5" customHeight="1">
      <c r="A474" s="216" t="s">
        <v>669</v>
      </c>
      <c r="B474" s="216" t="s">
        <v>7302</v>
      </c>
      <c r="C474" s="645">
        <v>275025</v>
      </c>
      <c r="D474" s="645">
        <v>277225</v>
      </c>
      <c r="G474" s="187">
        <v>152</v>
      </c>
      <c r="H474" s="187">
        <v>910</v>
      </c>
      <c r="I474" s="214" t="str">
        <f t="shared" si="7"/>
        <v>152-910</v>
      </c>
    </row>
    <row r="475" spans="1:9" ht="13.5" customHeight="1">
      <c r="A475" s="216" t="s">
        <v>4151</v>
      </c>
      <c r="B475" s="216" t="s">
        <v>7303</v>
      </c>
      <c r="C475" s="645">
        <v>127500</v>
      </c>
      <c r="D475" s="645">
        <v>127750</v>
      </c>
      <c r="G475" s="187">
        <v>153</v>
      </c>
      <c r="H475" s="187">
        <v>903</v>
      </c>
      <c r="I475" s="214" t="str">
        <f t="shared" si="7"/>
        <v>153-903</v>
      </c>
    </row>
    <row r="476" spans="1:9" ht="13.5" customHeight="1">
      <c r="A476" s="216" t="s">
        <v>4155</v>
      </c>
      <c r="B476" s="216" t="s">
        <v>7304</v>
      </c>
      <c r="C476" s="645">
        <v>51710</v>
      </c>
      <c r="D476" s="645">
        <v>55698</v>
      </c>
      <c r="G476" s="187">
        <v>153</v>
      </c>
      <c r="H476" s="187">
        <v>905</v>
      </c>
      <c r="I476" s="214" t="str">
        <f t="shared" si="7"/>
        <v>153-905</v>
      </c>
    </row>
    <row r="477" spans="1:9" ht="13.5" customHeight="1">
      <c r="A477" s="216" t="s">
        <v>4157</v>
      </c>
      <c r="B477" s="216" t="s">
        <v>7305</v>
      </c>
      <c r="C477" s="645">
        <v>45240</v>
      </c>
      <c r="D477" s="645">
        <v>43365</v>
      </c>
      <c r="G477" s="187">
        <v>153</v>
      </c>
      <c r="H477" s="187">
        <v>907</v>
      </c>
      <c r="I477" s="214" t="str">
        <f t="shared" si="7"/>
        <v>153-907</v>
      </c>
    </row>
    <row r="478" spans="1:9" ht="13.5" customHeight="1">
      <c r="A478" s="216" t="s">
        <v>3000</v>
      </c>
      <c r="B478" s="216" t="s">
        <v>7306</v>
      </c>
      <c r="C478" s="645">
        <v>1416600</v>
      </c>
      <c r="D478" s="645">
        <v>1414126</v>
      </c>
      <c r="G478" s="187">
        <v>154</v>
      </c>
      <c r="H478" s="187">
        <v>901</v>
      </c>
      <c r="I478" s="214" t="str">
        <f t="shared" si="7"/>
        <v>154-901</v>
      </c>
    </row>
    <row r="479" spans="1:9" ht="13.5" customHeight="1">
      <c r="A479" s="216" t="s">
        <v>4159</v>
      </c>
      <c r="B479" s="216" t="s">
        <v>7307</v>
      </c>
      <c r="C479" s="645">
        <v>0</v>
      </c>
      <c r="D479" s="645">
        <v>0</v>
      </c>
      <c r="G479" s="187">
        <v>154</v>
      </c>
      <c r="H479" s="187">
        <v>903</v>
      </c>
      <c r="I479" s="214" t="str">
        <f t="shared" si="7"/>
        <v>154-903</v>
      </c>
    </row>
    <row r="480" spans="1:9" ht="13.5" customHeight="1">
      <c r="A480" s="216" t="s">
        <v>4161</v>
      </c>
      <c r="B480" s="216" t="s">
        <v>7308</v>
      </c>
      <c r="C480" s="645">
        <v>607505</v>
      </c>
      <c r="D480" s="645">
        <v>607505</v>
      </c>
      <c r="G480" s="187">
        <v>155</v>
      </c>
      <c r="H480" s="187">
        <v>901</v>
      </c>
      <c r="I480" s="214" t="str">
        <f t="shared" si="7"/>
        <v>155-901</v>
      </c>
    </row>
    <row r="481" spans="1:9" ht="13.5" customHeight="1">
      <c r="A481" s="216" t="s">
        <v>4167</v>
      </c>
      <c r="B481" s="216" t="s">
        <v>7309</v>
      </c>
      <c r="C481" s="645">
        <v>218640</v>
      </c>
      <c r="D481" s="645">
        <v>220884</v>
      </c>
      <c r="G481" s="187">
        <v>157</v>
      </c>
      <c r="H481" s="187">
        <v>901</v>
      </c>
      <c r="I481" s="214" t="str">
        <f t="shared" si="7"/>
        <v>157-901</v>
      </c>
    </row>
    <row r="482" spans="1:9" ht="13.5" customHeight="1">
      <c r="A482" s="216" t="s">
        <v>4169</v>
      </c>
      <c r="B482" s="216" t="s">
        <v>7310</v>
      </c>
      <c r="C482" s="645">
        <v>2086910</v>
      </c>
      <c r="D482" s="645">
        <v>2106989</v>
      </c>
      <c r="G482" s="187">
        <v>158</v>
      </c>
      <c r="H482" s="187">
        <v>901</v>
      </c>
      <c r="I482" s="214" t="str">
        <f t="shared" si="7"/>
        <v>158-901</v>
      </c>
    </row>
    <row r="483" spans="1:9" ht="13.5" customHeight="1">
      <c r="A483" s="216" t="s">
        <v>2057</v>
      </c>
      <c r="B483" s="216" t="s">
        <v>7311</v>
      </c>
      <c r="C483" s="645">
        <v>541013</v>
      </c>
      <c r="D483" s="645">
        <v>530381</v>
      </c>
      <c r="G483" s="187">
        <v>158</v>
      </c>
      <c r="H483" s="187">
        <v>905</v>
      </c>
      <c r="I483" s="214" t="str">
        <f t="shared" si="7"/>
        <v>158-905</v>
      </c>
    </row>
    <row r="484" spans="1:9" ht="13.5" customHeight="1">
      <c r="A484" s="216" t="s">
        <v>1814</v>
      </c>
      <c r="B484" s="216" t="s">
        <v>7312</v>
      </c>
      <c r="C484" s="645">
        <v>3563413</v>
      </c>
      <c r="D484" s="645">
        <v>3558343</v>
      </c>
      <c r="G484" s="187">
        <v>159</v>
      </c>
      <c r="H484" s="187">
        <v>901</v>
      </c>
      <c r="I484" s="214" t="str">
        <f t="shared" si="7"/>
        <v>159-901</v>
      </c>
    </row>
    <row r="485" spans="1:9" ht="13.5" customHeight="1">
      <c r="A485" s="216" t="s">
        <v>958</v>
      </c>
      <c r="B485" s="216" t="s">
        <v>7313</v>
      </c>
      <c r="C485" s="645">
        <v>662731</v>
      </c>
      <c r="D485" s="645">
        <v>722234</v>
      </c>
      <c r="G485" s="187">
        <v>160</v>
      </c>
      <c r="H485" s="187">
        <v>901</v>
      </c>
      <c r="I485" s="214" t="str">
        <f t="shared" si="7"/>
        <v>160-901</v>
      </c>
    </row>
    <row r="486" spans="1:9" ht="13.5" customHeight="1">
      <c r="A486" s="216" t="s">
        <v>1845</v>
      </c>
      <c r="B486" s="216" t="s">
        <v>7314</v>
      </c>
      <c r="C486" s="645">
        <v>92323</v>
      </c>
      <c r="D486" s="645">
        <v>96010</v>
      </c>
      <c r="G486" s="187">
        <v>160</v>
      </c>
      <c r="H486" s="187">
        <v>905</v>
      </c>
      <c r="I486" s="214" t="str">
        <f t="shared" si="7"/>
        <v>160-905</v>
      </c>
    </row>
    <row r="487" spans="1:9" ht="13.5" customHeight="1">
      <c r="A487" s="216" t="s">
        <v>5237</v>
      </c>
      <c r="B487" s="216" t="s">
        <v>7315</v>
      </c>
      <c r="C487" s="645">
        <v>245291</v>
      </c>
      <c r="D487" s="645">
        <v>244818</v>
      </c>
      <c r="G487" s="187">
        <v>161</v>
      </c>
      <c r="H487" s="187">
        <v>901</v>
      </c>
      <c r="I487" s="214" t="str">
        <f t="shared" si="7"/>
        <v>161-901</v>
      </c>
    </row>
    <row r="488" spans="1:9" ht="13.5" customHeight="1">
      <c r="A488" s="216" t="s">
        <v>2065</v>
      </c>
      <c r="B488" s="216" t="s">
        <v>7316</v>
      </c>
      <c r="C488" s="645">
        <v>6346001</v>
      </c>
      <c r="D488" s="645">
        <v>7351751</v>
      </c>
      <c r="G488" s="187">
        <v>161</v>
      </c>
      <c r="H488" s="187">
        <v>903</v>
      </c>
      <c r="I488" s="214" t="str">
        <f t="shared" si="7"/>
        <v>161-903</v>
      </c>
    </row>
    <row r="489" spans="1:9" ht="13.5" customHeight="1">
      <c r="A489" s="216" t="s">
        <v>2905</v>
      </c>
      <c r="B489" s="216" t="s">
        <v>7317</v>
      </c>
      <c r="C489" s="645">
        <v>1536370</v>
      </c>
      <c r="D489" s="645">
        <v>1539733</v>
      </c>
      <c r="G489" s="187">
        <v>161</v>
      </c>
      <c r="H489" s="187">
        <v>906</v>
      </c>
      <c r="I489" s="214" t="str">
        <f t="shared" si="7"/>
        <v>161-906</v>
      </c>
    </row>
    <row r="490" spans="1:9" ht="13.5" customHeight="1">
      <c r="A490" s="216" t="s">
        <v>5238</v>
      </c>
      <c r="B490" s="216" t="s">
        <v>7318</v>
      </c>
      <c r="C490" s="645">
        <v>1118617</v>
      </c>
      <c r="D490" s="645">
        <v>1118992</v>
      </c>
      <c r="G490" s="187">
        <v>161</v>
      </c>
      <c r="H490" s="187">
        <v>907</v>
      </c>
      <c r="I490" s="214" t="str">
        <f t="shared" si="7"/>
        <v>161-907</v>
      </c>
    </row>
    <row r="491" spans="1:9" ht="13.5" customHeight="1">
      <c r="A491" s="216" t="s">
        <v>6163</v>
      </c>
      <c r="B491" s="216" t="s">
        <v>7319</v>
      </c>
      <c r="C491" s="645">
        <v>318268</v>
      </c>
      <c r="D491" s="645">
        <v>319493</v>
      </c>
      <c r="G491" s="187">
        <v>161</v>
      </c>
      <c r="H491" s="187">
        <v>908</v>
      </c>
      <c r="I491" s="214" t="str">
        <f t="shared" si="7"/>
        <v>161-908</v>
      </c>
    </row>
    <row r="492" spans="1:9" ht="13.5" customHeight="1">
      <c r="A492" s="216" t="s">
        <v>2470</v>
      </c>
      <c r="B492" s="216" t="s">
        <v>7320</v>
      </c>
      <c r="C492" s="645">
        <v>641790</v>
      </c>
      <c r="D492" s="645">
        <v>661790</v>
      </c>
      <c r="G492" s="187">
        <v>161</v>
      </c>
      <c r="H492" s="187">
        <v>909</v>
      </c>
      <c r="I492" s="214" t="str">
        <f t="shared" si="7"/>
        <v>161-909</v>
      </c>
    </row>
    <row r="493" spans="1:9" ht="13.5" customHeight="1">
      <c r="A493" s="216" t="s">
        <v>2769</v>
      </c>
      <c r="B493" s="216" t="s">
        <v>7321</v>
      </c>
      <c r="C493" s="645">
        <v>259767</v>
      </c>
      <c r="D493" s="645">
        <v>258212</v>
      </c>
      <c r="G493" s="187">
        <v>161</v>
      </c>
      <c r="H493" s="187">
        <v>912</v>
      </c>
      <c r="I493" s="214" t="str">
        <f t="shared" si="7"/>
        <v>161-912</v>
      </c>
    </row>
    <row r="494" spans="1:9" ht="13.5" customHeight="1">
      <c r="A494" s="216" t="s">
        <v>3553</v>
      </c>
      <c r="B494" s="216" t="s">
        <v>7322</v>
      </c>
      <c r="C494" s="645">
        <v>6456817</v>
      </c>
      <c r="D494" s="645">
        <v>6537261</v>
      </c>
      <c r="G494" s="187">
        <v>161</v>
      </c>
      <c r="H494" s="187">
        <v>914</v>
      </c>
      <c r="I494" s="214" t="str">
        <f t="shared" si="7"/>
        <v>161-914</v>
      </c>
    </row>
    <row r="495" spans="1:9" ht="13.5" customHeight="1">
      <c r="A495" s="216" t="s">
        <v>3556</v>
      </c>
      <c r="B495" s="216" t="s">
        <v>7323</v>
      </c>
      <c r="C495" s="645">
        <v>962418</v>
      </c>
      <c r="D495" s="645">
        <v>966143</v>
      </c>
      <c r="G495" s="187">
        <v>161</v>
      </c>
      <c r="H495" s="187">
        <v>916</v>
      </c>
      <c r="I495" s="214" t="str">
        <f t="shared" si="7"/>
        <v>161-916</v>
      </c>
    </row>
    <row r="496" spans="1:9" ht="13.5" customHeight="1">
      <c r="A496" s="216" t="s">
        <v>737</v>
      </c>
      <c r="B496" s="216" t="s">
        <v>7324</v>
      </c>
      <c r="C496" s="645">
        <v>1311534</v>
      </c>
      <c r="D496" s="645">
        <v>1309732</v>
      </c>
      <c r="G496" s="187">
        <v>161</v>
      </c>
      <c r="H496" s="187">
        <v>920</v>
      </c>
      <c r="I496" s="214" t="str">
        <f t="shared" si="7"/>
        <v>161-920</v>
      </c>
    </row>
    <row r="497" spans="1:9" ht="13.5" customHeight="1">
      <c r="A497" s="216" t="s">
        <v>237</v>
      </c>
      <c r="B497" s="216" t="s">
        <v>7325</v>
      </c>
      <c r="C497" s="645">
        <v>1344064</v>
      </c>
      <c r="D497" s="645">
        <v>1344339</v>
      </c>
      <c r="G497" s="187">
        <v>161</v>
      </c>
      <c r="H497" s="187">
        <v>921</v>
      </c>
      <c r="I497" s="214" t="str">
        <f t="shared" si="7"/>
        <v>161-921</v>
      </c>
    </row>
    <row r="498" spans="1:9" ht="13.5" customHeight="1">
      <c r="A498" s="216" t="s">
        <v>2307</v>
      </c>
      <c r="B498" s="216" t="s">
        <v>7326</v>
      </c>
      <c r="C498" s="645">
        <v>1044836</v>
      </c>
      <c r="D498" s="645">
        <v>1051525</v>
      </c>
      <c r="G498" s="187">
        <v>161</v>
      </c>
      <c r="H498" s="187">
        <v>922</v>
      </c>
      <c r="I498" s="214" t="str">
        <f t="shared" si="7"/>
        <v>161-922</v>
      </c>
    </row>
    <row r="499" spans="1:9" ht="13.5" customHeight="1">
      <c r="A499" s="216" t="s">
        <v>957</v>
      </c>
      <c r="B499" s="216" t="s">
        <v>7327</v>
      </c>
      <c r="C499" s="645">
        <v>142010</v>
      </c>
      <c r="D499" s="645">
        <v>147473</v>
      </c>
      <c r="G499" s="187">
        <v>161</v>
      </c>
      <c r="H499" s="187">
        <v>923</v>
      </c>
      <c r="I499" s="214" t="str">
        <f t="shared" si="7"/>
        <v>161-923</v>
      </c>
    </row>
    <row r="500" spans="1:9" ht="13.5" customHeight="1">
      <c r="A500" s="216" t="s">
        <v>4568</v>
      </c>
      <c r="B500" s="216" t="s">
        <v>7328</v>
      </c>
      <c r="C500" s="645">
        <v>374353</v>
      </c>
      <c r="D500" s="645">
        <v>372683</v>
      </c>
      <c r="G500" s="187">
        <v>162</v>
      </c>
      <c r="H500" s="187">
        <v>904</v>
      </c>
      <c r="I500" s="214" t="str">
        <f t="shared" si="7"/>
        <v>162-904</v>
      </c>
    </row>
    <row r="501" spans="1:9" ht="13.5" customHeight="1">
      <c r="A501" s="216" t="s">
        <v>2053</v>
      </c>
      <c r="B501" s="216" t="s">
        <v>7329</v>
      </c>
      <c r="C501" s="645">
        <v>404650</v>
      </c>
      <c r="D501" s="645">
        <v>404863</v>
      </c>
      <c r="G501" s="187">
        <v>163</v>
      </c>
      <c r="H501" s="187">
        <v>901</v>
      </c>
      <c r="I501" s="214" t="str">
        <f t="shared" si="7"/>
        <v>163-901</v>
      </c>
    </row>
    <row r="502" spans="1:9" ht="13.5" customHeight="1">
      <c r="A502" s="216" t="s">
        <v>1846</v>
      </c>
      <c r="B502" s="216" t="s">
        <v>7330</v>
      </c>
      <c r="C502" s="645">
        <v>98434</v>
      </c>
      <c r="D502" s="645">
        <v>96859</v>
      </c>
      <c r="G502" s="187">
        <v>163</v>
      </c>
      <c r="H502" s="187">
        <v>902</v>
      </c>
      <c r="I502" s="214" t="str">
        <f t="shared" si="7"/>
        <v>163-902</v>
      </c>
    </row>
    <row r="503" spans="1:9" ht="13.5" customHeight="1">
      <c r="A503" s="216" t="s">
        <v>5239</v>
      </c>
      <c r="B503" s="216" t="s">
        <v>7331</v>
      </c>
      <c r="C503" s="645">
        <v>562925</v>
      </c>
      <c r="D503" s="645">
        <v>567420</v>
      </c>
      <c r="G503" s="187">
        <v>163</v>
      </c>
      <c r="H503" s="187">
        <v>903</v>
      </c>
      <c r="I503" s="214" t="str">
        <f t="shared" si="7"/>
        <v>163-903</v>
      </c>
    </row>
    <row r="504" spans="1:9" ht="13.5" customHeight="1">
      <c r="A504" s="216" t="s">
        <v>1870</v>
      </c>
      <c r="B504" s="216" t="s">
        <v>7332</v>
      </c>
      <c r="C504" s="645">
        <v>800896</v>
      </c>
      <c r="D504" s="645">
        <v>782775</v>
      </c>
      <c r="G504" s="187">
        <v>163</v>
      </c>
      <c r="H504" s="187">
        <v>904</v>
      </c>
      <c r="I504" s="214" t="str">
        <f t="shared" si="7"/>
        <v>163-904</v>
      </c>
    </row>
    <row r="505" spans="1:9" ht="13.5" customHeight="1">
      <c r="A505" s="216" t="s">
        <v>6169</v>
      </c>
      <c r="B505" s="216" t="s">
        <v>7333</v>
      </c>
      <c r="C505" s="645">
        <v>1416456</v>
      </c>
      <c r="D505" s="645">
        <v>1465124</v>
      </c>
      <c r="G505" s="187">
        <v>163</v>
      </c>
      <c r="H505" s="187">
        <v>908</v>
      </c>
      <c r="I505" s="214" t="str">
        <f t="shared" si="7"/>
        <v>163-908</v>
      </c>
    </row>
    <row r="506" spans="1:9" ht="13.5" customHeight="1">
      <c r="A506" s="216" t="s">
        <v>6172</v>
      </c>
      <c r="B506" s="216" t="s">
        <v>7334</v>
      </c>
      <c r="C506" s="645">
        <v>9342231</v>
      </c>
      <c r="D506" s="645">
        <v>9443575</v>
      </c>
      <c r="G506" s="187">
        <v>165</v>
      </c>
      <c r="H506" s="187">
        <v>901</v>
      </c>
      <c r="I506" s="214" t="str">
        <f t="shared" si="7"/>
        <v>165-901</v>
      </c>
    </row>
    <row r="507" spans="1:9" ht="13.5" customHeight="1">
      <c r="A507" s="216" t="s">
        <v>578</v>
      </c>
      <c r="B507" s="216" t="s">
        <v>7335</v>
      </c>
      <c r="C507" s="645">
        <v>717658</v>
      </c>
      <c r="D507" s="645">
        <v>718595</v>
      </c>
      <c r="G507" s="187">
        <v>165</v>
      </c>
      <c r="H507" s="187">
        <v>902</v>
      </c>
      <c r="I507" s="214" t="str">
        <f t="shared" si="7"/>
        <v>165-902</v>
      </c>
    </row>
    <row r="508" spans="1:9" ht="13.5" customHeight="1">
      <c r="A508" s="216" t="s">
        <v>980</v>
      </c>
      <c r="B508" s="216" t="s">
        <v>4187</v>
      </c>
      <c r="C508" s="645">
        <v>1595747</v>
      </c>
      <c r="D508" s="645">
        <v>1596529</v>
      </c>
      <c r="G508" s="187">
        <v>166</v>
      </c>
      <c r="H508" s="187">
        <v>901</v>
      </c>
      <c r="I508" s="214" t="str">
        <f t="shared" si="7"/>
        <v>166-901</v>
      </c>
    </row>
    <row r="509" spans="1:9" ht="13.5" customHeight="1">
      <c r="A509" s="216" t="s">
        <v>6173</v>
      </c>
      <c r="B509" s="216" t="s">
        <v>4188</v>
      </c>
      <c r="C509" s="645">
        <v>0</v>
      </c>
      <c r="D509" s="645">
        <v>0</v>
      </c>
      <c r="G509" s="187">
        <v>166</v>
      </c>
      <c r="H509" s="187">
        <v>903</v>
      </c>
      <c r="I509" s="214" t="str">
        <f t="shared" si="7"/>
        <v>166-903</v>
      </c>
    </row>
    <row r="510" spans="1:9" ht="13.5" customHeight="1">
      <c r="A510" s="216" t="s">
        <v>814</v>
      </c>
      <c r="B510" s="216" t="s">
        <v>4189</v>
      </c>
      <c r="C510" s="645">
        <v>289038</v>
      </c>
      <c r="D510" s="645">
        <v>282950</v>
      </c>
      <c r="G510" s="187">
        <v>166</v>
      </c>
      <c r="H510" s="187">
        <v>905</v>
      </c>
      <c r="I510" s="214" t="str">
        <f t="shared" si="7"/>
        <v>166-905</v>
      </c>
    </row>
    <row r="511" spans="1:9" ht="13.5" customHeight="1">
      <c r="A511" s="216" t="s">
        <v>4587</v>
      </c>
      <c r="B511" s="216" t="s">
        <v>4190</v>
      </c>
      <c r="C511" s="645">
        <v>92735</v>
      </c>
      <c r="D511" s="645">
        <v>95460</v>
      </c>
      <c r="G511" s="187">
        <v>166</v>
      </c>
      <c r="H511" s="187">
        <v>907</v>
      </c>
      <c r="I511" s="214" t="str">
        <f t="shared" si="7"/>
        <v>166-907</v>
      </c>
    </row>
    <row r="512" spans="1:9" ht="13.5" customHeight="1">
      <c r="A512" s="216" t="s">
        <v>1852</v>
      </c>
      <c r="B512" s="216" t="s">
        <v>4191</v>
      </c>
      <c r="C512" s="645">
        <v>148673</v>
      </c>
      <c r="D512" s="645">
        <v>149713</v>
      </c>
      <c r="G512" s="187">
        <v>167</v>
      </c>
      <c r="H512" s="187">
        <v>901</v>
      </c>
      <c r="I512" s="214" t="str">
        <f t="shared" si="7"/>
        <v>167-901</v>
      </c>
    </row>
    <row r="513" spans="1:9" ht="13.5" customHeight="1">
      <c r="A513" s="216" t="s">
        <v>1847</v>
      </c>
      <c r="B513" s="216" t="s">
        <v>4192</v>
      </c>
      <c r="C513" s="645">
        <v>70735</v>
      </c>
      <c r="D513" s="645">
        <v>69250</v>
      </c>
      <c r="G513" s="187">
        <v>167</v>
      </c>
      <c r="H513" s="187">
        <v>904</v>
      </c>
      <c r="I513" s="214" t="str">
        <f t="shared" si="7"/>
        <v>167-904</v>
      </c>
    </row>
    <row r="514" spans="1:9" ht="13.5" customHeight="1">
      <c r="A514" s="216" t="s">
        <v>1960</v>
      </c>
      <c r="B514" s="216" t="s">
        <v>4193</v>
      </c>
      <c r="C514" s="645">
        <v>100140</v>
      </c>
      <c r="D514" s="645">
        <v>96990</v>
      </c>
      <c r="G514" s="187">
        <v>169</v>
      </c>
      <c r="H514" s="187">
        <v>906</v>
      </c>
      <c r="I514" s="214" t="str">
        <f t="shared" si="7"/>
        <v>169-906</v>
      </c>
    </row>
    <row r="515" spans="1:9" ht="13.5" customHeight="1">
      <c r="A515" s="216" t="s">
        <v>1825</v>
      </c>
      <c r="B515" s="216" t="s">
        <v>4194</v>
      </c>
      <c r="C515" s="645">
        <v>52715</v>
      </c>
      <c r="D515" s="645">
        <v>51305</v>
      </c>
      <c r="G515" s="187">
        <v>169</v>
      </c>
      <c r="H515" s="187">
        <v>910</v>
      </c>
      <c r="I515" s="214" t="str">
        <f t="shared" si="7"/>
        <v>169-910</v>
      </c>
    </row>
    <row r="516" spans="1:9" ht="13.5" customHeight="1">
      <c r="A516" s="216" t="s">
        <v>1827</v>
      </c>
      <c r="B516" s="216" t="s">
        <v>4195</v>
      </c>
      <c r="C516" s="645">
        <v>163275</v>
      </c>
      <c r="D516" s="645">
        <v>158275</v>
      </c>
      <c r="G516" s="187">
        <v>169</v>
      </c>
      <c r="H516" s="187">
        <v>911</v>
      </c>
      <c r="I516" s="214" t="str">
        <f t="shared" ref="I516:I579" si="8">F516&amp;G516&amp;"-"&amp;H516</f>
        <v>169-911</v>
      </c>
    </row>
    <row r="517" spans="1:9" ht="13.5" customHeight="1">
      <c r="A517" s="216" t="s">
        <v>238</v>
      </c>
      <c r="B517" s="216" t="s">
        <v>4196</v>
      </c>
      <c r="C517" s="645">
        <v>33540294</v>
      </c>
      <c r="D517" s="645">
        <v>35448941</v>
      </c>
      <c r="G517" s="187">
        <v>170</v>
      </c>
      <c r="H517" s="187">
        <v>902</v>
      </c>
      <c r="I517" s="214" t="str">
        <f t="shared" si="8"/>
        <v>170-902</v>
      </c>
    </row>
    <row r="518" spans="1:9" ht="13.5" customHeight="1">
      <c r="A518" s="216" t="s">
        <v>1829</v>
      </c>
      <c r="B518" s="216" t="s">
        <v>2171</v>
      </c>
      <c r="C518" s="645">
        <v>3829881</v>
      </c>
      <c r="D518" s="645">
        <v>4035287</v>
      </c>
      <c r="G518" s="187">
        <v>170</v>
      </c>
      <c r="H518" s="187">
        <v>903</v>
      </c>
      <c r="I518" s="214" t="str">
        <f t="shared" si="8"/>
        <v>170-903</v>
      </c>
    </row>
    <row r="519" spans="1:9" ht="13.5" customHeight="1">
      <c r="A519" s="216" t="s">
        <v>859</v>
      </c>
      <c r="B519" s="216" t="s">
        <v>2172</v>
      </c>
      <c r="C519" s="645">
        <v>4954555</v>
      </c>
      <c r="D519" s="645">
        <v>5041208</v>
      </c>
      <c r="G519" s="187">
        <v>170</v>
      </c>
      <c r="H519" s="187">
        <v>904</v>
      </c>
      <c r="I519" s="214" t="str">
        <f t="shared" si="8"/>
        <v>170-904</v>
      </c>
    </row>
    <row r="520" spans="1:9" ht="13.5" customHeight="1">
      <c r="A520" s="216" t="s">
        <v>3001</v>
      </c>
      <c r="B520" s="216" t="s">
        <v>2173</v>
      </c>
      <c r="C520" s="645">
        <v>12574543</v>
      </c>
      <c r="D520" s="645">
        <v>12905473</v>
      </c>
      <c r="G520" s="187">
        <v>170</v>
      </c>
      <c r="H520" s="187">
        <v>906</v>
      </c>
      <c r="I520" s="214" t="str">
        <f t="shared" si="8"/>
        <v>170-906</v>
      </c>
    </row>
    <row r="521" spans="1:9" ht="13.5" customHeight="1">
      <c r="A521" s="216" t="s">
        <v>2405</v>
      </c>
      <c r="B521" s="216" t="s">
        <v>2174</v>
      </c>
      <c r="C521" s="645">
        <v>1842129</v>
      </c>
      <c r="D521" s="645">
        <v>1839041</v>
      </c>
      <c r="G521" s="187">
        <v>170</v>
      </c>
      <c r="H521" s="187">
        <v>907</v>
      </c>
      <c r="I521" s="214" t="str">
        <f t="shared" si="8"/>
        <v>170-907</v>
      </c>
    </row>
    <row r="522" spans="1:9" ht="13.5" customHeight="1">
      <c r="A522" s="216" t="s">
        <v>2907</v>
      </c>
      <c r="B522" s="216" t="s">
        <v>2175</v>
      </c>
      <c r="C522" s="645">
        <v>7500209</v>
      </c>
      <c r="D522" s="645">
        <v>7399542</v>
      </c>
      <c r="G522" s="187">
        <v>170</v>
      </c>
      <c r="H522" s="187">
        <v>908</v>
      </c>
      <c r="I522" s="214" t="str">
        <f t="shared" si="8"/>
        <v>170-908</v>
      </c>
    </row>
    <row r="523" spans="1:9" ht="13.5" customHeight="1">
      <c r="A523" s="216" t="s">
        <v>1222</v>
      </c>
      <c r="B523" s="216" t="s">
        <v>2176</v>
      </c>
      <c r="C523" s="645">
        <v>634736</v>
      </c>
      <c r="D523" s="645">
        <v>630959</v>
      </c>
      <c r="G523" s="187">
        <v>171</v>
      </c>
      <c r="H523" s="187">
        <v>901</v>
      </c>
      <c r="I523" s="214" t="str">
        <f t="shared" si="8"/>
        <v>171-901</v>
      </c>
    </row>
    <row r="524" spans="1:9" ht="13.5" customHeight="1">
      <c r="A524" s="216" t="s">
        <v>1224</v>
      </c>
      <c r="B524" s="216" t="s">
        <v>2177</v>
      </c>
      <c r="C524" s="645">
        <v>245192</v>
      </c>
      <c r="D524" s="645">
        <v>244749</v>
      </c>
      <c r="G524" s="187">
        <v>171</v>
      </c>
      <c r="H524" s="187">
        <v>902</v>
      </c>
      <c r="I524" s="214" t="str">
        <f t="shared" si="8"/>
        <v>171-902</v>
      </c>
    </row>
    <row r="525" spans="1:9" ht="13.5" customHeight="1">
      <c r="A525" s="216" t="s">
        <v>5375</v>
      </c>
      <c r="B525" s="216" t="s">
        <v>2178</v>
      </c>
      <c r="C525" s="645">
        <v>795458</v>
      </c>
      <c r="D525" s="645">
        <v>794833</v>
      </c>
      <c r="G525" s="187">
        <v>172</v>
      </c>
      <c r="H525" s="187">
        <v>902</v>
      </c>
      <c r="I525" s="214" t="str">
        <f t="shared" si="8"/>
        <v>172-902</v>
      </c>
    </row>
    <row r="526" spans="1:9" ht="13.5" customHeight="1">
      <c r="A526" s="216" t="s">
        <v>5377</v>
      </c>
      <c r="B526" s="216" t="s">
        <v>2179</v>
      </c>
      <c r="C526" s="645">
        <v>0</v>
      </c>
      <c r="D526" s="645">
        <v>0</v>
      </c>
      <c r="G526" s="187">
        <v>172</v>
      </c>
      <c r="H526" s="187">
        <v>905</v>
      </c>
      <c r="I526" s="214" t="str">
        <f t="shared" si="8"/>
        <v>172-905</v>
      </c>
    </row>
    <row r="527" spans="1:9" ht="13.5" customHeight="1">
      <c r="A527" s="216" t="s">
        <v>642</v>
      </c>
      <c r="B527" s="216" t="s">
        <v>2180</v>
      </c>
      <c r="C527" s="645">
        <v>91743</v>
      </c>
      <c r="D527" s="645">
        <v>90243</v>
      </c>
      <c r="G527" s="187">
        <v>174</v>
      </c>
      <c r="H527" s="187">
        <v>901</v>
      </c>
      <c r="I527" s="214" t="str">
        <f t="shared" si="8"/>
        <v>174-901</v>
      </c>
    </row>
    <row r="528" spans="1:9" ht="13.5" customHeight="1">
      <c r="A528" s="216" t="s">
        <v>644</v>
      </c>
      <c r="B528" s="216" t="s">
        <v>2181</v>
      </c>
      <c r="C528" s="645">
        <v>150158</v>
      </c>
      <c r="D528" s="645">
        <v>147458</v>
      </c>
      <c r="G528" s="187">
        <v>174</v>
      </c>
      <c r="H528" s="187">
        <v>903</v>
      </c>
      <c r="I528" s="214" t="str">
        <f t="shared" si="8"/>
        <v>174-903</v>
      </c>
    </row>
    <row r="529" spans="1:9" ht="13.5" customHeight="1">
      <c r="A529" s="216" t="s">
        <v>2620</v>
      </c>
      <c r="B529" s="216" t="s">
        <v>2182</v>
      </c>
      <c r="C529" s="645">
        <v>4418025</v>
      </c>
      <c r="D529" s="645">
        <v>4435320</v>
      </c>
      <c r="G529" s="187">
        <v>174</v>
      </c>
      <c r="H529" s="187">
        <v>904</v>
      </c>
      <c r="I529" s="214" t="str">
        <f t="shared" si="8"/>
        <v>174-904</v>
      </c>
    </row>
    <row r="530" spans="1:9" ht="13.5" customHeight="1">
      <c r="A530" s="216" t="s">
        <v>4588</v>
      </c>
      <c r="B530" s="216" t="s">
        <v>2183</v>
      </c>
      <c r="C530" s="645">
        <v>184863</v>
      </c>
      <c r="D530" s="645">
        <v>185409</v>
      </c>
      <c r="G530" s="187">
        <v>174</v>
      </c>
      <c r="H530" s="187">
        <v>906</v>
      </c>
      <c r="I530" s="214" t="str">
        <f t="shared" si="8"/>
        <v>174-906</v>
      </c>
    </row>
    <row r="531" spans="1:9" ht="13.5" customHeight="1">
      <c r="A531" s="216" t="s">
        <v>2622</v>
      </c>
      <c r="B531" s="216" t="s">
        <v>2184</v>
      </c>
      <c r="C531" s="645" t="s">
        <v>6153</v>
      </c>
      <c r="D531" s="645" t="s">
        <v>6153</v>
      </c>
      <c r="G531" s="187">
        <v>174</v>
      </c>
      <c r="H531" s="187">
        <v>908</v>
      </c>
      <c r="I531" s="214" t="str">
        <f t="shared" si="8"/>
        <v>174-908</v>
      </c>
    </row>
    <row r="532" spans="1:9" ht="13.5" customHeight="1">
      <c r="A532" s="216" t="s">
        <v>2624</v>
      </c>
      <c r="B532" s="216" t="s">
        <v>2185</v>
      </c>
      <c r="C532" s="645">
        <v>130821</v>
      </c>
      <c r="D532" s="645">
        <v>123505</v>
      </c>
      <c r="G532" s="187">
        <v>174</v>
      </c>
      <c r="H532" s="187">
        <v>909</v>
      </c>
      <c r="I532" s="214" t="str">
        <f t="shared" si="8"/>
        <v>174-909</v>
      </c>
    </row>
    <row r="533" spans="1:9" ht="13.5" customHeight="1">
      <c r="A533" s="216" t="s">
        <v>2628</v>
      </c>
      <c r="B533" s="216" t="s">
        <v>2186</v>
      </c>
      <c r="C533" s="645">
        <v>240929</v>
      </c>
      <c r="D533" s="645">
        <v>245005</v>
      </c>
      <c r="G533" s="187">
        <v>175</v>
      </c>
      <c r="H533" s="187">
        <v>902</v>
      </c>
      <c r="I533" s="214" t="str">
        <f t="shared" si="8"/>
        <v>175-902</v>
      </c>
    </row>
    <row r="534" spans="1:9" ht="13.5" customHeight="1">
      <c r="A534" s="216" t="s">
        <v>241</v>
      </c>
      <c r="B534" s="216" t="s">
        <v>2187</v>
      </c>
      <c r="C534" s="645">
        <v>4587012</v>
      </c>
      <c r="D534" s="645">
        <v>4644688</v>
      </c>
      <c r="G534" s="187">
        <v>175</v>
      </c>
      <c r="H534" s="187">
        <v>903</v>
      </c>
      <c r="I534" s="214" t="str">
        <f t="shared" si="8"/>
        <v>175-903</v>
      </c>
    </row>
    <row r="535" spans="1:9" ht="13.5" customHeight="1">
      <c r="A535" s="216" t="s">
        <v>5084</v>
      </c>
      <c r="B535" s="216" t="s">
        <v>2188</v>
      </c>
      <c r="C535" s="645">
        <v>132350</v>
      </c>
      <c r="D535" s="645">
        <v>132080</v>
      </c>
      <c r="G535" s="187">
        <v>175</v>
      </c>
      <c r="H535" s="187">
        <v>905</v>
      </c>
      <c r="I535" s="214" t="str">
        <f t="shared" si="8"/>
        <v>175-905</v>
      </c>
    </row>
    <row r="536" spans="1:9" ht="13.5" customHeight="1">
      <c r="A536" s="216" t="s">
        <v>2534</v>
      </c>
      <c r="B536" s="216" t="s">
        <v>2189</v>
      </c>
      <c r="C536" s="645">
        <v>168475</v>
      </c>
      <c r="D536" s="645">
        <v>170550</v>
      </c>
      <c r="G536" s="187">
        <v>175</v>
      </c>
      <c r="H536" s="187">
        <v>907</v>
      </c>
      <c r="I536" s="214" t="str">
        <f t="shared" si="8"/>
        <v>175-907</v>
      </c>
    </row>
    <row r="537" spans="1:9" ht="13.5" customHeight="1">
      <c r="A537" s="216" t="s">
        <v>5086</v>
      </c>
      <c r="B537" s="216" t="s">
        <v>2190</v>
      </c>
      <c r="C537" s="645">
        <v>271005</v>
      </c>
      <c r="D537" s="645">
        <v>276680</v>
      </c>
      <c r="G537" s="187">
        <v>175</v>
      </c>
      <c r="H537" s="187">
        <v>910</v>
      </c>
      <c r="I537" s="214" t="str">
        <f t="shared" si="8"/>
        <v>175-910</v>
      </c>
    </row>
    <row r="538" spans="1:9" ht="13.5" customHeight="1">
      <c r="A538" s="216" t="s">
        <v>2768</v>
      </c>
      <c r="B538" s="216" t="s">
        <v>2191</v>
      </c>
      <c r="C538" s="645">
        <v>348692</v>
      </c>
      <c r="D538" s="645">
        <v>365856</v>
      </c>
      <c r="G538" s="187">
        <v>175</v>
      </c>
      <c r="H538" s="187">
        <v>911</v>
      </c>
      <c r="I538" s="214" t="str">
        <f t="shared" si="8"/>
        <v>175-911</v>
      </c>
    </row>
    <row r="539" spans="1:9" ht="13.5" customHeight="1">
      <c r="A539" s="216" t="s">
        <v>5088</v>
      </c>
      <c r="B539" s="216" t="s">
        <v>2192</v>
      </c>
      <c r="C539" s="645">
        <v>236684</v>
      </c>
      <c r="D539" s="645">
        <v>235703</v>
      </c>
      <c r="G539" s="187">
        <v>176</v>
      </c>
      <c r="H539" s="187">
        <v>901</v>
      </c>
      <c r="I539" s="214" t="str">
        <f t="shared" si="8"/>
        <v>176-901</v>
      </c>
    </row>
    <row r="540" spans="1:9" ht="13.5" customHeight="1">
      <c r="A540" s="216" t="s">
        <v>6181</v>
      </c>
      <c r="B540" s="216" t="s">
        <v>2193</v>
      </c>
      <c r="C540" s="645">
        <v>825209</v>
      </c>
      <c r="D540" s="645">
        <v>785934</v>
      </c>
      <c r="G540" s="187">
        <v>176</v>
      </c>
      <c r="H540" s="187">
        <v>902</v>
      </c>
      <c r="I540" s="214" t="str">
        <f t="shared" si="8"/>
        <v>176-902</v>
      </c>
    </row>
    <row r="541" spans="1:9" ht="13.5" customHeight="1">
      <c r="A541" s="216" t="s">
        <v>1848</v>
      </c>
      <c r="B541" s="216" t="s">
        <v>2194</v>
      </c>
      <c r="C541" s="645">
        <v>975795</v>
      </c>
      <c r="D541" s="645">
        <v>976045</v>
      </c>
      <c r="G541" s="187">
        <v>176</v>
      </c>
      <c r="H541" s="187">
        <v>903</v>
      </c>
      <c r="I541" s="214" t="str">
        <f t="shared" si="8"/>
        <v>176-903</v>
      </c>
    </row>
    <row r="542" spans="1:9" ht="13.5" customHeight="1">
      <c r="A542" s="216" t="s">
        <v>2471</v>
      </c>
      <c r="B542" s="216" t="s">
        <v>2195</v>
      </c>
      <c r="C542" s="645">
        <v>106180</v>
      </c>
      <c r="D542" s="645">
        <v>104493</v>
      </c>
      <c r="G542" s="187">
        <v>177</v>
      </c>
      <c r="H542" s="187">
        <v>901</v>
      </c>
      <c r="I542" s="214" t="str">
        <f t="shared" si="8"/>
        <v>177-901</v>
      </c>
    </row>
    <row r="543" spans="1:9" ht="13.5" customHeight="1">
      <c r="A543" s="216" t="s">
        <v>6044</v>
      </c>
      <c r="B543" s="216" t="s">
        <v>2196</v>
      </c>
      <c r="C543" s="645">
        <v>635934</v>
      </c>
      <c r="D543" s="645">
        <v>632641</v>
      </c>
      <c r="G543" s="187">
        <v>177</v>
      </c>
      <c r="H543" s="187">
        <v>902</v>
      </c>
      <c r="I543" s="214" t="str">
        <f t="shared" si="8"/>
        <v>177-902</v>
      </c>
    </row>
    <row r="544" spans="1:9" ht="13.5" customHeight="1">
      <c r="A544" s="216" t="s">
        <v>4185</v>
      </c>
      <c r="B544" s="216" t="s">
        <v>2197</v>
      </c>
      <c r="C544" s="645">
        <v>92106</v>
      </c>
      <c r="D544" s="645">
        <v>93675</v>
      </c>
      <c r="G544" s="187">
        <v>177</v>
      </c>
      <c r="H544" s="187">
        <v>905</v>
      </c>
      <c r="I544" s="214" t="str">
        <f t="shared" si="8"/>
        <v>177-905</v>
      </c>
    </row>
    <row r="545" spans="1:9" ht="13.5" customHeight="1">
      <c r="A545" s="216" t="s">
        <v>6689</v>
      </c>
      <c r="B545" s="216" t="s">
        <v>2198</v>
      </c>
      <c r="C545" s="645">
        <v>282093</v>
      </c>
      <c r="D545" s="645">
        <v>282093</v>
      </c>
      <c r="G545" s="187">
        <v>178</v>
      </c>
      <c r="H545" s="187">
        <v>901</v>
      </c>
      <c r="I545" s="214" t="str">
        <f t="shared" si="8"/>
        <v>178-901</v>
      </c>
    </row>
    <row r="546" spans="1:9" ht="13.5" customHeight="1">
      <c r="A546" s="216" t="s">
        <v>6691</v>
      </c>
      <c r="B546" s="216" t="s">
        <v>2199</v>
      </c>
      <c r="C546" s="645">
        <v>735283</v>
      </c>
      <c r="D546" s="645">
        <v>736426</v>
      </c>
      <c r="G546" s="187">
        <v>178</v>
      </c>
      <c r="H546" s="187">
        <v>902</v>
      </c>
      <c r="I546" s="214" t="str">
        <f t="shared" si="8"/>
        <v>178-902</v>
      </c>
    </row>
    <row r="547" spans="1:9" ht="13.5" customHeight="1">
      <c r="A547" s="216" t="s">
        <v>6693</v>
      </c>
      <c r="B547" s="216" t="s">
        <v>2200</v>
      </c>
      <c r="C547" s="645">
        <v>1277315</v>
      </c>
      <c r="D547" s="645">
        <v>829200</v>
      </c>
      <c r="G547" s="187">
        <v>178</v>
      </c>
      <c r="H547" s="187">
        <v>903</v>
      </c>
      <c r="I547" s="214" t="str">
        <f t="shared" si="8"/>
        <v>178-903</v>
      </c>
    </row>
    <row r="548" spans="1:9" ht="13.5" customHeight="1">
      <c r="A548" s="216" t="s">
        <v>240</v>
      </c>
      <c r="B548" s="216" t="s">
        <v>2201</v>
      </c>
      <c r="C548" s="645">
        <v>15802718</v>
      </c>
      <c r="D548" s="645">
        <v>15907000</v>
      </c>
      <c r="G548" s="187">
        <v>178</v>
      </c>
      <c r="H548" s="187">
        <v>904</v>
      </c>
      <c r="I548" s="214" t="str">
        <f t="shared" si="8"/>
        <v>178-904</v>
      </c>
    </row>
    <row r="549" spans="1:9" ht="13.5" customHeight="1">
      <c r="A549" s="216" t="s">
        <v>6695</v>
      </c>
      <c r="B549" s="216" t="s">
        <v>2202</v>
      </c>
      <c r="C549" s="645">
        <v>267856</v>
      </c>
      <c r="D549" s="645">
        <v>299700</v>
      </c>
      <c r="G549" s="187">
        <v>178</v>
      </c>
      <c r="H549" s="187">
        <v>905</v>
      </c>
      <c r="I549" s="214" t="str">
        <f t="shared" si="8"/>
        <v>178-905</v>
      </c>
    </row>
    <row r="550" spans="1:9" ht="13.5" customHeight="1">
      <c r="A550" s="216" t="s">
        <v>745</v>
      </c>
      <c r="B550" s="216" t="s">
        <v>2203</v>
      </c>
      <c r="C550" s="645">
        <v>207110</v>
      </c>
      <c r="D550" s="645">
        <v>221310</v>
      </c>
      <c r="G550" s="187">
        <v>178</v>
      </c>
      <c r="H550" s="187">
        <v>906</v>
      </c>
      <c r="I550" s="214" t="str">
        <f t="shared" si="8"/>
        <v>178-906</v>
      </c>
    </row>
    <row r="551" spans="1:9" ht="13.5" customHeight="1">
      <c r="A551" s="216" t="s">
        <v>747</v>
      </c>
      <c r="B551" s="216" t="s">
        <v>7562</v>
      </c>
      <c r="C551" s="645">
        <v>763346</v>
      </c>
      <c r="D551" s="645">
        <v>785047</v>
      </c>
      <c r="G551" s="187">
        <v>178</v>
      </c>
      <c r="H551" s="187">
        <v>908</v>
      </c>
      <c r="I551" s="214" t="str">
        <f t="shared" si="8"/>
        <v>178-908</v>
      </c>
    </row>
    <row r="552" spans="1:9" ht="13.5" customHeight="1">
      <c r="A552" s="216" t="s">
        <v>2308</v>
      </c>
      <c r="B552" s="216" t="s">
        <v>7563</v>
      </c>
      <c r="C552" s="645">
        <v>2753676</v>
      </c>
      <c r="D552" s="645">
        <v>2820244</v>
      </c>
      <c r="G552" s="187">
        <v>178</v>
      </c>
      <c r="H552" s="187">
        <v>909</v>
      </c>
      <c r="I552" s="214" t="str">
        <f t="shared" si="8"/>
        <v>178-909</v>
      </c>
    </row>
    <row r="553" spans="1:9" ht="13.5" customHeight="1">
      <c r="A553" s="216" t="s">
        <v>749</v>
      </c>
      <c r="B553" s="216" t="s">
        <v>7564</v>
      </c>
      <c r="C553" s="645">
        <v>2852589</v>
      </c>
      <c r="D553" s="645">
        <v>2680331</v>
      </c>
      <c r="G553" s="187">
        <v>178</v>
      </c>
      <c r="H553" s="187">
        <v>912</v>
      </c>
      <c r="I553" s="214" t="str">
        <f t="shared" si="8"/>
        <v>178-912</v>
      </c>
    </row>
    <row r="554" spans="1:9" ht="13.5" customHeight="1">
      <c r="A554" s="216" t="s">
        <v>2953</v>
      </c>
      <c r="B554" s="216" t="s">
        <v>7565</v>
      </c>
      <c r="C554" s="645">
        <v>460000</v>
      </c>
      <c r="D554" s="645">
        <v>460000</v>
      </c>
      <c r="G554" s="187">
        <v>178</v>
      </c>
      <c r="H554" s="187">
        <v>913</v>
      </c>
      <c r="I554" s="214" t="str">
        <f t="shared" si="8"/>
        <v>178-913</v>
      </c>
    </row>
    <row r="555" spans="1:9" ht="13.5" customHeight="1">
      <c r="A555" s="216" t="s">
        <v>2955</v>
      </c>
      <c r="B555" s="216" t="s">
        <v>7566</v>
      </c>
      <c r="C555" s="645">
        <v>660119</v>
      </c>
      <c r="D555" s="645">
        <v>659494</v>
      </c>
      <c r="G555" s="187">
        <v>178</v>
      </c>
      <c r="H555" s="187">
        <v>914</v>
      </c>
      <c r="I555" s="214" t="str">
        <f t="shared" si="8"/>
        <v>178-914</v>
      </c>
    </row>
    <row r="556" spans="1:9" ht="13.5" customHeight="1">
      <c r="A556" s="216" t="s">
        <v>2957</v>
      </c>
      <c r="B556" s="216" t="s">
        <v>7567</v>
      </c>
      <c r="C556" s="645">
        <v>1745566</v>
      </c>
      <c r="D556" s="645">
        <v>1733078</v>
      </c>
      <c r="G556" s="187">
        <v>178</v>
      </c>
      <c r="H556" s="187">
        <v>915</v>
      </c>
      <c r="I556" s="214" t="str">
        <f t="shared" si="8"/>
        <v>178-915</v>
      </c>
    </row>
    <row r="557" spans="1:9" ht="13.5" customHeight="1">
      <c r="A557" s="216" t="s">
        <v>5123</v>
      </c>
      <c r="B557" s="216" t="s">
        <v>7568</v>
      </c>
      <c r="C557" s="645">
        <v>600238</v>
      </c>
      <c r="D557" s="645">
        <v>602638</v>
      </c>
      <c r="G557" s="187">
        <v>179</v>
      </c>
      <c r="H557" s="187">
        <v>901</v>
      </c>
      <c r="I557" s="214" t="str">
        <f t="shared" si="8"/>
        <v>179-901</v>
      </c>
    </row>
    <row r="558" spans="1:9" ht="13.5" customHeight="1">
      <c r="A558" s="216" t="s">
        <v>5032</v>
      </c>
      <c r="B558" s="216" t="s">
        <v>7569</v>
      </c>
      <c r="C558" s="645">
        <v>1622221</v>
      </c>
      <c r="D558" s="645">
        <v>1611524</v>
      </c>
      <c r="G558" s="187">
        <v>181</v>
      </c>
      <c r="H558" s="187">
        <v>901</v>
      </c>
      <c r="I558" s="214" t="str">
        <f t="shared" si="8"/>
        <v>181-901</v>
      </c>
    </row>
    <row r="559" spans="1:9" ht="13.5" customHeight="1">
      <c r="A559" s="216" t="s">
        <v>4125</v>
      </c>
      <c r="B559" s="216" t="s">
        <v>7570</v>
      </c>
      <c r="C559" s="645">
        <v>696261</v>
      </c>
      <c r="D559" s="645">
        <v>721985</v>
      </c>
      <c r="G559" s="187">
        <v>181</v>
      </c>
      <c r="H559" s="187">
        <v>905</v>
      </c>
      <c r="I559" s="214" t="str">
        <f t="shared" si="8"/>
        <v>181-905</v>
      </c>
    </row>
    <row r="560" spans="1:9" ht="13.5" customHeight="1">
      <c r="A560" s="216" t="s">
        <v>4127</v>
      </c>
      <c r="B560" s="216" t="s">
        <v>7571</v>
      </c>
      <c r="C560" s="645">
        <v>1065617</v>
      </c>
      <c r="D560" s="645">
        <v>1175850</v>
      </c>
      <c r="G560" s="187">
        <v>181</v>
      </c>
      <c r="H560" s="187">
        <v>906</v>
      </c>
      <c r="I560" s="214" t="str">
        <f t="shared" si="8"/>
        <v>181-906</v>
      </c>
    </row>
    <row r="561" spans="1:9" ht="13.5" customHeight="1">
      <c r="A561" s="216" t="s">
        <v>5033</v>
      </c>
      <c r="B561" s="216" t="s">
        <v>7572</v>
      </c>
      <c r="C561" s="645">
        <v>1584474</v>
      </c>
      <c r="D561" s="645">
        <v>1573296</v>
      </c>
      <c r="G561" s="187">
        <v>181</v>
      </c>
      <c r="H561" s="187">
        <v>907</v>
      </c>
      <c r="I561" s="214" t="str">
        <f t="shared" si="8"/>
        <v>181-907</v>
      </c>
    </row>
    <row r="562" spans="1:9" ht="13.5" customHeight="1">
      <c r="A562" s="216" t="s">
        <v>4129</v>
      </c>
      <c r="B562" s="216" t="s">
        <v>7573</v>
      </c>
      <c r="C562" s="645">
        <v>1271706</v>
      </c>
      <c r="D562" s="645">
        <v>1274343</v>
      </c>
      <c r="G562" s="187">
        <v>181</v>
      </c>
      <c r="H562" s="187">
        <v>908</v>
      </c>
      <c r="I562" s="214" t="str">
        <f t="shared" si="8"/>
        <v>181-908</v>
      </c>
    </row>
    <row r="563" spans="1:9" ht="13.5" customHeight="1">
      <c r="A563" s="216" t="s">
        <v>4131</v>
      </c>
      <c r="B563" s="216" t="s">
        <v>7574</v>
      </c>
      <c r="C563" s="645">
        <v>73465</v>
      </c>
      <c r="D563" s="645">
        <v>71365</v>
      </c>
      <c r="G563" s="187">
        <v>182</v>
      </c>
      <c r="H563" s="187">
        <v>901</v>
      </c>
      <c r="I563" s="214" t="str">
        <f t="shared" si="8"/>
        <v>182-901</v>
      </c>
    </row>
    <row r="564" spans="1:9" ht="13.5" customHeight="1">
      <c r="A564" s="216" t="s">
        <v>4133</v>
      </c>
      <c r="B564" s="216" t="s">
        <v>7575</v>
      </c>
      <c r="C564" s="645">
        <v>259590</v>
      </c>
      <c r="D564" s="645">
        <v>255740</v>
      </c>
      <c r="G564" s="187">
        <v>182</v>
      </c>
      <c r="H564" s="187">
        <v>902</v>
      </c>
      <c r="I564" s="214" t="str">
        <f t="shared" si="8"/>
        <v>182-902</v>
      </c>
    </row>
    <row r="565" spans="1:9" ht="13.5" customHeight="1">
      <c r="A565" s="216" t="s">
        <v>6175</v>
      </c>
      <c r="B565" s="216" t="s">
        <v>7576</v>
      </c>
      <c r="C565" s="645">
        <v>1978883</v>
      </c>
      <c r="D565" s="645">
        <v>1979673</v>
      </c>
      <c r="G565" s="187">
        <v>182</v>
      </c>
      <c r="H565" s="187">
        <v>903</v>
      </c>
      <c r="I565" s="214" t="str">
        <f t="shared" si="8"/>
        <v>182-903</v>
      </c>
    </row>
    <row r="566" spans="1:9" ht="13.5" customHeight="1">
      <c r="A566" s="216" t="s">
        <v>4135</v>
      </c>
      <c r="B566" s="216" t="s">
        <v>7577</v>
      </c>
      <c r="C566" s="645">
        <v>340548</v>
      </c>
      <c r="D566" s="645">
        <v>340548</v>
      </c>
      <c r="G566" s="187">
        <v>182</v>
      </c>
      <c r="H566" s="187">
        <v>904</v>
      </c>
      <c r="I566" s="214" t="str">
        <f t="shared" si="8"/>
        <v>182-904</v>
      </c>
    </row>
    <row r="567" spans="1:9" ht="13.5" customHeight="1">
      <c r="A567" s="216" t="s">
        <v>4139</v>
      </c>
      <c r="B567" s="216" t="s">
        <v>7578</v>
      </c>
      <c r="C567" s="645">
        <v>84173</v>
      </c>
      <c r="D567" s="645">
        <v>87070</v>
      </c>
      <c r="G567" s="187">
        <v>182</v>
      </c>
      <c r="H567" s="187">
        <v>906</v>
      </c>
      <c r="I567" s="214" t="str">
        <f t="shared" si="8"/>
        <v>182-906</v>
      </c>
    </row>
    <row r="568" spans="1:9" ht="13.5" customHeight="1">
      <c r="A568" s="216" t="s">
        <v>4141</v>
      </c>
      <c r="B568" s="216" t="s">
        <v>7579</v>
      </c>
      <c r="C568" s="645">
        <v>563155</v>
      </c>
      <c r="D568" s="645">
        <v>546405</v>
      </c>
      <c r="G568" s="187">
        <v>183</v>
      </c>
      <c r="H568" s="187">
        <v>901</v>
      </c>
      <c r="I568" s="214" t="str">
        <f t="shared" si="8"/>
        <v>183-901</v>
      </c>
    </row>
    <row r="569" spans="1:9" ht="13.5" customHeight="1">
      <c r="A569" s="216" t="s">
        <v>4143</v>
      </c>
      <c r="B569" s="216" t="s">
        <v>7580</v>
      </c>
      <c r="C569" s="645">
        <v>886479</v>
      </c>
      <c r="D569" s="645">
        <v>891479</v>
      </c>
      <c r="G569" s="187">
        <v>183</v>
      </c>
      <c r="H569" s="187">
        <v>902</v>
      </c>
      <c r="I569" s="214" t="str">
        <f t="shared" si="8"/>
        <v>183-902</v>
      </c>
    </row>
    <row r="570" spans="1:9" ht="13.5" customHeight="1">
      <c r="A570" s="216" t="s">
        <v>1318</v>
      </c>
      <c r="B570" s="216" t="s">
        <v>7581</v>
      </c>
      <c r="C570" s="645">
        <v>145125</v>
      </c>
      <c r="D570" s="645">
        <v>145475</v>
      </c>
      <c r="G570" s="187">
        <v>183</v>
      </c>
      <c r="H570" s="187">
        <v>904</v>
      </c>
      <c r="I570" s="214" t="str">
        <f t="shared" si="8"/>
        <v>183-904</v>
      </c>
    </row>
    <row r="571" spans="1:9" ht="13.5" customHeight="1">
      <c r="A571" s="216" t="s">
        <v>2536</v>
      </c>
      <c r="B571" s="216" t="s">
        <v>7582</v>
      </c>
      <c r="C571" s="645">
        <v>388794</v>
      </c>
      <c r="D571" s="645">
        <v>392347</v>
      </c>
      <c r="G571" s="187">
        <v>184</v>
      </c>
      <c r="H571" s="187">
        <v>901</v>
      </c>
      <c r="I571" s="214" t="str">
        <f t="shared" si="8"/>
        <v>184-901</v>
      </c>
    </row>
    <row r="572" spans="1:9" ht="13.5" customHeight="1">
      <c r="A572" s="216" t="s">
        <v>2407</v>
      </c>
      <c r="B572" s="216" t="s">
        <v>7583</v>
      </c>
      <c r="C572" s="645">
        <v>1821526</v>
      </c>
      <c r="D572" s="645">
        <v>1943126</v>
      </c>
      <c r="G572" s="187">
        <v>184</v>
      </c>
      <c r="H572" s="187">
        <v>902</v>
      </c>
      <c r="I572" s="214" t="str">
        <f t="shared" si="8"/>
        <v>184-902</v>
      </c>
    </row>
    <row r="573" spans="1:9" ht="13.5" customHeight="1">
      <c r="A573" s="216" t="s">
        <v>5034</v>
      </c>
      <c r="B573" s="216" t="s">
        <v>7584</v>
      </c>
      <c r="C573" s="645">
        <v>7379566</v>
      </c>
      <c r="D573" s="645">
        <v>8514355</v>
      </c>
      <c r="G573" s="187">
        <v>184</v>
      </c>
      <c r="H573" s="187">
        <v>903</v>
      </c>
      <c r="I573" s="214" t="str">
        <f t="shared" si="8"/>
        <v>184-903</v>
      </c>
    </row>
    <row r="574" spans="1:9" ht="13.5" customHeight="1">
      <c r="A574" s="216" t="s">
        <v>6174</v>
      </c>
      <c r="B574" s="216" t="s">
        <v>7585</v>
      </c>
      <c r="C574" s="645">
        <v>652753</v>
      </c>
      <c r="D574" s="645">
        <v>656472</v>
      </c>
      <c r="G574" s="187">
        <v>184</v>
      </c>
      <c r="H574" s="187">
        <v>904</v>
      </c>
      <c r="I574" s="214" t="str">
        <f t="shared" si="8"/>
        <v>184-904</v>
      </c>
    </row>
    <row r="575" spans="1:9" ht="13.5" customHeight="1">
      <c r="A575" s="216" t="s">
        <v>4145</v>
      </c>
      <c r="B575" s="216" t="s">
        <v>7586</v>
      </c>
      <c r="C575" s="645">
        <v>3764267</v>
      </c>
      <c r="D575" s="645">
        <v>3616866</v>
      </c>
      <c r="G575" s="187">
        <v>184</v>
      </c>
      <c r="H575" s="187">
        <v>907</v>
      </c>
      <c r="I575" s="214" t="str">
        <f t="shared" si="8"/>
        <v>184-907</v>
      </c>
    </row>
    <row r="576" spans="1:9" ht="13.5" customHeight="1">
      <c r="A576" s="216" t="s">
        <v>6196</v>
      </c>
      <c r="B576" s="216" t="s">
        <v>7587</v>
      </c>
      <c r="C576" s="645">
        <v>773501</v>
      </c>
      <c r="D576" s="645">
        <v>826681</v>
      </c>
      <c r="G576" s="187">
        <v>184</v>
      </c>
      <c r="H576" s="187">
        <v>908</v>
      </c>
      <c r="I576" s="214" t="str">
        <f t="shared" si="8"/>
        <v>184-908</v>
      </c>
    </row>
    <row r="577" spans="1:9" ht="13.5" customHeight="1">
      <c r="A577" s="216" t="s">
        <v>6131</v>
      </c>
      <c r="B577" s="216" t="s">
        <v>7588</v>
      </c>
      <c r="C577" s="645">
        <v>439568</v>
      </c>
      <c r="D577" s="645">
        <v>440013</v>
      </c>
      <c r="G577" s="187">
        <v>184</v>
      </c>
      <c r="H577" s="187">
        <v>909</v>
      </c>
      <c r="I577" s="214" t="str">
        <f t="shared" si="8"/>
        <v>184-909</v>
      </c>
    </row>
    <row r="578" spans="1:9" ht="13.5" customHeight="1">
      <c r="A578" s="216" t="s">
        <v>254</v>
      </c>
      <c r="B578" s="216" t="s">
        <v>7589</v>
      </c>
      <c r="C578" s="645">
        <v>99417</v>
      </c>
      <c r="D578" s="645">
        <v>99043</v>
      </c>
      <c r="G578" s="187">
        <v>184</v>
      </c>
      <c r="H578" s="187">
        <v>911</v>
      </c>
      <c r="I578" s="214" t="str">
        <f t="shared" si="8"/>
        <v>184-911</v>
      </c>
    </row>
    <row r="579" spans="1:9" ht="13.5" customHeight="1">
      <c r="A579" s="216" t="s">
        <v>258</v>
      </c>
      <c r="B579" s="216" t="s">
        <v>5417</v>
      </c>
      <c r="C579" s="645">
        <v>115276</v>
      </c>
      <c r="D579" s="645">
        <v>116876</v>
      </c>
      <c r="G579" s="187">
        <v>185</v>
      </c>
      <c r="H579" s="187">
        <v>902</v>
      </c>
      <c r="I579" s="214" t="str">
        <f t="shared" si="8"/>
        <v>185-902</v>
      </c>
    </row>
    <row r="580" spans="1:9" ht="13.5" customHeight="1">
      <c r="A580" s="216" t="s">
        <v>874</v>
      </c>
      <c r="B580" s="216" t="s">
        <v>5418</v>
      </c>
      <c r="C580" s="645">
        <v>1316003</v>
      </c>
      <c r="D580" s="645">
        <v>1313861</v>
      </c>
      <c r="G580" s="187">
        <v>186</v>
      </c>
      <c r="H580" s="187">
        <v>902</v>
      </c>
      <c r="I580" s="214" t="str">
        <f t="shared" ref="I580:I643" si="9">F580&amp;G580&amp;"-"&amp;H580</f>
        <v>186-902</v>
      </c>
    </row>
    <row r="581" spans="1:9" ht="13.5" customHeight="1">
      <c r="A581" s="216" t="s">
        <v>3040</v>
      </c>
      <c r="B581" s="216" t="s">
        <v>5419</v>
      </c>
      <c r="C581" s="645">
        <v>241888</v>
      </c>
      <c r="D581" s="645">
        <v>231763</v>
      </c>
      <c r="G581" s="187">
        <v>187</v>
      </c>
      <c r="H581" s="187">
        <v>901</v>
      </c>
      <c r="I581" s="214" t="str">
        <f t="shared" si="9"/>
        <v>187-901</v>
      </c>
    </row>
    <row r="582" spans="1:9" ht="13.5" customHeight="1">
      <c r="A582" s="216" t="s">
        <v>709</v>
      </c>
      <c r="B582" s="216" t="s">
        <v>5420</v>
      </c>
      <c r="C582" s="645">
        <v>497868</v>
      </c>
      <c r="D582" s="645">
        <v>497180</v>
      </c>
      <c r="G582" s="187">
        <v>187</v>
      </c>
      <c r="H582" s="187">
        <v>904</v>
      </c>
      <c r="I582" s="214" t="str">
        <f t="shared" si="9"/>
        <v>187-904</v>
      </c>
    </row>
    <row r="583" spans="1:9" ht="13.5" customHeight="1">
      <c r="A583" s="216" t="s">
        <v>2992</v>
      </c>
      <c r="B583" s="216" t="s">
        <v>5421</v>
      </c>
      <c r="C583" s="645">
        <v>939070</v>
      </c>
      <c r="D583" s="645">
        <v>942863</v>
      </c>
      <c r="G583" s="187">
        <v>187</v>
      </c>
      <c r="H583" s="187">
        <v>907</v>
      </c>
      <c r="I583" s="214" t="str">
        <f t="shared" si="9"/>
        <v>187-907</v>
      </c>
    </row>
    <row r="584" spans="1:9" ht="13.5" customHeight="1">
      <c r="A584" s="216" t="s">
        <v>3046</v>
      </c>
      <c r="B584" s="216" t="s">
        <v>5422</v>
      </c>
      <c r="C584" s="645">
        <v>492953</v>
      </c>
      <c r="D584" s="645">
        <v>487650</v>
      </c>
      <c r="G584" s="187">
        <v>187</v>
      </c>
      <c r="H584" s="187">
        <v>910</v>
      </c>
      <c r="I584" s="214" t="str">
        <f t="shared" si="9"/>
        <v>187-910</v>
      </c>
    </row>
    <row r="585" spans="1:9" ht="13.5" customHeight="1">
      <c r="A585" s="216" t="s">
        <v>264</v>
      </c>
      <c r="B585" s="216" t="s">
        <v>5423</v>
      </c>
      <c r="C585" s="645">
        <v>13513714</v>
      </c>
      <c r="D585" s="645">
        <v>13544636</v>
      </c>
      <c r="G585" s="187">
        <v>188</v>
      </c>
      <c r="H585" s="187">
        <v>901</v>
      </c>
      <c r="I585" s="214" t="str">
        <f t="shared" si="9"/>
        <v>188-901</v>
      </c>
    </row>
    <row r="586" spans="1:9" ht="13.5" customHeight="1">
      <c r="A586" s="216" t="s">
        <v>2306</v>
      </c>
      <c r="B586" s="216" t="s">
        <v>5424</v>
      </c>
      <c r="C586" s="645">
        <v>331490</v>
      </c>
      <c r="D586" s="645">
        <v>328540</v>
      </c>
      <c r="G586" s="187">
        <v>188</v>
      </c>
      <c r="H586" s="187">
        <v>902</v>
      </c>
      <c r="I586" s="214" t="str">
        <f t="shared" si="9"/>
        <v>188-902</v>
      </c>
    </row>
    <row r="587" spans="1:9" ht="13.5" customHeight="1">
      <c r="A587" s="216" t="s">
        <v>3048</v>
      </c>
      <c r="B587" s="216" t="s">
        <v>7607</v>
      </c>
      <c r="C587" s="645">
        <v>1265223</v>
      </c>
      <c r="D587" s="645">
        <v>1262198</v>
      </c>
      <c r="G587" s="187">
        <v>188</v>
      </c>
      <c r="H587" s="187">
        <v>903</v>
      </c>
      <c r="I587" s="214" t="str">
        <f t="shared" si="9"/>
        <v>188-903</v>
      </c>
    </row>
    <row r="588" spans="1:9" ht="13.5" customHeight="1">
      <c r="A588" s="216" t="s">
        <v>3049</v>
      </c>
      <c r="B588" s="216" t="s">
        <v>5425</v>
      </c>
      <c r="C588" s="645">
        <v>989399</v>
      </c>
      <c r="D588" s="645">
        <v>1091230</v>
      </c>
      <c r="G588" s="187">
        <v>188</v>
      </c>
      <c r="H588" s="187">
        <v>904</v>
      </c>
      <c r="I588" s="214" t="str">
        <f t="shared" si="9"/>
        <v>188-904</v>
      </c>
    </row>
    <row r="589" spans="1:9" ht="13.5" customHeight="1">
      <c r="A589" s="216" t="s">
        <v>5035</v>
      </c>
      <c r="B589" s="216" t="s">
        <v>5426</v>
      </c>
      <c r="C589" s="645">
        <v>321401</v>
      </c>
      <c r="D589" s="645">
        <v>317056</v>
      </c>
      <c r="G589" s="187">
        <v>189</v>
      </c>
      <c r="H589" s="187">
        <v>901</v>
      </c>
      <c r="I589" s="214" t="str">
        <f t="shared" si="9"/>
        <v>189-901</v>
      </c>
    </row>
    <row r="590" spans="1:9" ht="13.5" customHeight="1">
      <c r="A590" s="216" t="s">
        <v>5131</v>
      </c>
      <c r="B590" s="216" t="s">
        <v>5427</v>
      </c>
      <c r="C590" s="645">
        <v>877379</v>
      </c>
      <c r="D590" s="645">
        <v>839236</v>
      </c>
      <c r="G590" s="187">
        <v>189</v>
      </c>
      <c r="H590" s="187">
        <v>902</v>
      </c>
      <c r="I590" s="214" t="str">
        <f t="shared" si="9"/>
        <v>189-902</v>
      </c>
    </row>
    <row r="591" spans="1:9" ht="13.5" customHeight="1">
      <c r="A591" s="216" t="s">
        <v>5231</v>
      </c>
      <c r="B591" s="216" t="s">
        <v>5428</v>
      </c>
      <c r="C591" s="645">
        <v>358860</v>
      </c>
      <c r="D591" s="645">
        <v>355285</v>
      </c>
      <c r="G591" s="187">
        <v>190</v>
      </c>
      <c r="H591" s="187">
        <v>903</v>
      </c>
      <c r="I591" s="214" t="str">
        <f t="shared" si="9"/>
        <v>190-903</v>
      </c>
    </row>
    <row r="592" spans="1:9" ht="13.5" customHeight="1">
      <c r="A592" s="216" t="s">
        <v>3109</v>
      </c>
      <c r="B592" s="216" t="s">
        <v>5429</v>
      </c>
      <c r="C592" s="645">
        <v>5560838</v>
      </c>
      <c r="D592" s="645">
        <v>5560463</v>
      </c>
      <c r="G592" s="187">
        <v>191</v>
      </c>
      <c r="H592" s="187">
        <v>901</v>
      </c>
      <c r="I592" s="214" t="str">
        <f t="shared" si="9"/>
        <v>191-901</v>
      </c>
    </row>
    <row r="593" spans="1:9" ht="13.5" customHeight="1">
      <c r="A593" s="216" t="s">
        <v>3111</v>
      </c>
      <c r="B593" s="216" t="s">
        <v>5430</v>
      </c>
      <c r="C593" s="645">
        <v>0</v>
      </c>
      <c r="D593" s="645">
        <v>0</v>
      </c>
      <c r="G593" s="187">
        <v>192</v>
      </c>
      <c r="H593" s="187">
        <v>901</v>
      </c>
      <c r="I593" s="214" t="str">
        <f t="shared" si="9"/>
        <v>192-901</v>
      </c>
    </row>
    <row r="594" spans="1:9" ht="13.5" customHeight="1">
      <c r="A594" s="216" t="s">
        <v>2771</v>
      </c>
      <c r="B594" s="216" t="s">
        <v>5431</v>
      </c>
      <c r="C594" s="645">
        <v>589663</v>
      </c>
      <c r="D594" s="645">
        <v>565078</v>
      </c>
      <c r="G594" s="187">
        <v>194</v>
      </c>
      <c r="H594" s="187">
        <v>903</v>
      </c>
      <c r="I594" s="214" t="str">
        <f t="shared" si="9"/>
        <v>194-903</v>
      </c>
    </row>
    <row r="595" spans="1:9" ht="13.5" customHeight="1">
      <c r="A595" s="216" t="s">
        <v>4589</v>
      </c>
      <c r="B595" s="216" t="s">
        <v>5432</v>
      </c>
      <c r="C595" s="645">
        <v>102158</v>
      </c>
      <c r="D595" s="645">
        <v>100283</v>
      </c>
      <c r="G595" s="187">
        <v>194</v>
      </c>
      <c r="H595" s="187">
        <v>905</v>
      </c>
      <c r="I595" s="214" t="str">
        <f t="shared" si="9"/>
        <v>194-905</v>
      </c>
    </row>
    <row r="596" spans="1:9" ht="13.5" customHeight="1">
      <c r="A596" s="216" t="s">
        <v>1507</v>
      </c>
      <c r="B596" s="216" t="s">
        <v>5433</v>
      </c>
      <c r="C596" s="645">
        <v>102205</v>
      </c>
      <c r="D596" s="645">
        <v>101005</v>
      </c>
      <c r="G596" s="187">
        <v>195</v>
      </c>
      <c r="H596" s="187">
        <v>902</v>
      </c>
      <c r="I596" s="214" t="str">
        <f t="shared" si="9"/>
        <v>195-902</v>
      </c>
    </row>
    <row r="597" spans="1:9" ht="13.5" customHeight="1">
      <c r="A597" s="216" t="s">
        <v>2574</v>
      </c>
      <c r="B597" s="216" t="s">
        <v>5434</v>
      </c>
      <c r="C597" s="645">
        <v>107028</v>
      </c>
      <c r="D597" s="645">
        <v>104003</v>
      </c>
      <c r="G597" s="187">
        <v>196</v>
      </c>
      <c r="H597" s="187">
        <v>901</v>
      </c>
      <c r="I597" s="214" t="str">
        <f t="shared" si="9"/>
        <v>196-901</v>
      </c>
    </row>
    <row r="598" spans="1:9" ht="13.5" customHeight="1">
      <c r="A598" s="216" t="s">
        <v>2576</v>
      </c>
      <c r="B598" s="216" t="s">
        <v>5435</v>
      </c>
      <c r="C598" s="645">
        <v>0</v>
      </c>
      <c r="D598" s="645">
        <v>0</v>
      </c>
      <c r="G598" s="187">
        <v>196</v>
      </c>
      <c r="H598" s="187">
        <v>902</v>
      </c>
      <c r="I598" s="214" t="str">
        <f t="shared" si="9"/>
        <v>196-902</v>
      </c>
    </row>
    <row r="599" spans="1:9" ht="13.5" customHeight="1">
      <c r="A599" s="216" t="s">
        <v>2578</v>
      </c>
      <c r="B599" s="216" t="s">
        <v>5436</v>
      </c>
      <c r="C599" s="645">
        <v>0</v>
      </c>
      <c r="D599" s="645">
        <v>0</v>
      </c>
      <c r="G599" s="187">
        <v>196</v>
      </c>
      <c r="H599" s="187">
        <v>903</v>
      </c>
      <c r="I599" s="214" t="str">
        <f t="shared" si="9"/>
        <v>196-903</v>
      </c>
    </row>
    <row r="600" spans="1:9" ht="13.5" customHeight="1">
      <c r="A600" s="216" t="s">
        <v>158</v>
      </c>
      <c r="B600" s="216" t="s">
        <v>5437</v>
      </c>
      <c r="C600" s="645">
        <v>111589</v>
      </c>
      <c r="D600" s="645" t="s">
        <v>6153</v>
      </c>
      <c r="G600" s="187">
        <v>197</v>
      </c>
      <c r="H600" s="187">
        <v>902</v>
      </c>
      <c r="I600" s="214" t="str">
        <f t="shared" si="9"/>
        <v>197-902</v>
      </c>
    </row>
    <row r="601" spans="1:9" ht="13.5" customHeight="1">
      <c r="A601" s="216" t="s">
        <v>5211</v>
      </c>
      <c r="B601" s="216" t="s">
        <v>5438</v>
      </c>
      <c r="C601" s="645">
        <v>634356</v>
      </c>
      <c r="D601" s="645">
        <v>636006</v>
      </c>
      <c r="G601" s="187">
        <v>198</v>
      </c>
      <c r="H601" s="187">
        <v>901</v>
      </c>
      <c r="I601" s="214" t="str">
        <f t="shared" si="9"/>
        <v>198-901</v>
      </c>
    </row>
    <row r="602" spans="1:9" ht="13.5" customHeight="1">
      <c r="A602" s="216" t="s">
        <v>5215</v>
      </c>
      <c r="B602" s="216" t="s">
        <v>5439</v>
      </c>
      <c r="C602" s="645">
        <v>610000</v>
      </c>
      <c r="D602" s="645">
        <v>610000</v>
      </c>
      <c r="G602" s="187">
        <v>198</v>
      </c>
      <c r="H602" s="187">
        <v>903</v>
      </c>
      <c r="I602" s="214" t="str">
        <f t="shared" si="9"/>
        <v>198-903</v>
      </c>
    </row>
    <row r="603" spans="1:9" ht="13.5" customHeight="1">
      <c r="A603" s="216" t="s">
        <v>5217</v>
      </c>
      <c r="B603" s="216" t="s">
        <v>5440</v>
      </c>
      <c r="C603" s="645">
        <v>0</v>
      </c>
      <c r="D603" s="645">
        <v>0</v>
      </c>
      <c r="G603" s="187">
        <v>198</v>
      </c>
      <c r="H603" s="187">
        <v>905</v>
      </c>
      <c r="I603" s="214" t="str">
        <f t="shared" si="9"/>
        <v>198-905</v>
      </c>
    </row>
    <row r="604" spans="1:9" ht="13.5" customHeight="1">
      <c r="A604" s="216" t="s">
        <v>2125</v>
      </c>
      <c r="B604" s="216" t="s">
        <v>5441</v>
      </c>
      <c r="C604" s="645">
        <v>15894500</v>
      </c>
      <c r="D604" s="645">
        <v>16785383</v>
      </c>
      <c r="G604" s="187">
        <v>199</v>
      </c>
      <c r="H604" s="187">
        <v>901</v>
      </c>
      <c r="I604" s="214" t="str">
        <f t="shared" si="9"/>
        <v>199-901</v>
      </c>
    </row>
    <row r="605" spans="1:9" ht="13.5" customHeight="1">
      <c r="A605" s="216" t="s">
        <v>870</v>
      </c>
      <c r="B605" s="216" t="s">
        <v>5442</v>
      </c>
      <c r="C605" s="645">
        <v>3445606</v>
      </c>
      <c r="D605" s="645">
        <v>3705704</v>
      </c>
      <c r="G605" s="187">
        <v>199</v>
      </c>
      <c r="H605" s="187">
        <v>902</v>
      </c>
      <c r="I605" s="214" t="str">
        <f t="shared" si="9"/>
        <v>199-902</v>
      </c>
    </row>
    <row r="606" spans="1:9" ht="13.5" customHeight="1">
      <c r="A606" s="216" t="s">
        <v>5615</v>
      </c>
      <c r="B606" s="216" t="s">
        <v>2211</v>
      </c>
      <c r="C606" s="645">
        <v>246330</v>
      </c>
      <c r="D606" s="645" t="s">
        <v>6153</v>
      </c>
      <c r="G606" s="187">
        <v>200</v>
      </c>
      <c r="H606" s="187">
        <v>901</v>
      </c>
      <c r="I606" s="214" t="str">
        <f t="shared" si="9"/>
        <v>200-901</v>
      </c>
    </row>
    <row r="607" spans="1:9" ht="13.5" customHeight="1">
      <c r="A607" s="216" t="s">
        <v>4590</v>
      </c>
      <c r="B607" s="216" t="s">
        <v>2212</v>
      </c>
      <c r="C607" s="645">
        <v>108019</v>
      </c>
      <c r="D607" s="645">
        <v>110488</v>
      </c>
      <c r="G607" s="187">
        <v>200</v>
      </c>
      <c r="H607" s="187">
        <v>902</v>
      </c>
      <c r="I607" s="214" t="str">
        <f t="shared" si="9"/>
        <v>200-902</v>
      </c>
    </row>
    <row r="608" spans="1:9" ht="13.5" customHeight="1">
      <c r="A608" s="216" t="s">
        <v>860</v>
      </c>
      <c r="B608" s="216" t="s">
        <v>2213</v>
      </c>
      <c r="C608" s="645">
        <v>195938</v>
      </c>
      <c r="D608" s="645" t="s">
        <v>6153</v>
      </c>
      <c r="G608" s="187">
        <v>200</v>
      </c>
      <c r="H608" s="187">
        <v>904</v>
      </c>
      <c r="I608" s="214" t="str">
        <f t="shared" si="9"/>
        <v>200-904</v>
      </c>
    </row>
    <row r="609" spans="1:9" ht="13.5" customHeight="1">
      <c r="A609" s="216" t="s">
        <v>4591</v>
      </c>
      <c r="B609" s="216" t="s">
        <v>2214</v>
      </c>
      <c r="C609" s="645">
        <v>97756</v>
      </c>
      <c r="D609" s="645">
        <v>96006</v>
      </c>
      <c r="G609" s="187">
        <v>200</v>
      </c>
      <c r="H609" s="187">
        <v>906</v>
      </c>
      <c r="I609" s="214" t="str">
        <f t="shared" si="9"/>
        <v>200-906</v>
      </c>
    </row>
    <row r="610" spans="1:9" ht="13.5" customHeight="1">
      <c r="A610" s="216" t="s">
        <v>5617</v>
      </c>
      <c r="B610" s="216" t="s">
        <v>2215</v>
      </c>
      <c r="C610" s="645">
        <v>870891</v>
      </c>
      <c r="D610" s="645">
        <v>1101738</v>
      </c>
      <c r="G610" s="187">
        <v>201</v>
      </c>
      <c r="H610" s="187">
        <v>902</v>
      </c>
      <c r="I610" s="214" t="str">
        <f t="shared" si="9"/>
        <v>201-902</v>
      </c>
    </row>
    <row r="611" spans="1:9" ht="13.5" customHeight="1">
      <c r="A611" s="216" t="s">
        <v>1951</v>
      </c>
      <c r="B611" s="216" t="s">
        <v>2216</v>
      </c>
      <c r="C611" s="645">
        <v>125015</v>
      </c>
      <c r="D611" s="645">
        <v>121415</v>
      </c>
      <c r="G611" s="187">
        <v>201</v>
      </c>
      <c r="H611" s="187">
        <v>908</v>
      </c>
      <c r="I611" s="214" t="str">
        <f t="shared" si="9"/>
        <v>201-908</v>
      </c>
    </row>
    <row r="612" spans="1:9" ht="13.5" customHeight="1">
      <c r="A612" s="216" t="s">
        <v>3154</v>
      </c>
      <c r="B612" s="216" t="s">
        <v>2217</v>
      </c>
      <c r="C612" s="645">
        <v>1253123</v>
      </c>
      <c r="D612" s="645">
        <v>1253205</v>
      </c>
      <c r="G612" s="187">
        <v>201</v>
      </c>
      <c r="H612" s="187">
        <v>910</v>
      </c>
      <c r="I612" s="214" t="str">
        <f t="shared" si="9"/>
        <v>201-910</v>
      </c>
    </row>
    <row r="613" spans="1:9" ht="13.5" customHeight="1">
      <c r="A613" s="216" t="s">
        <v>3883</v>
      </c>
      <c r="B613" s="216" t="s">
        <v>2218</v>
      </c>
      <c r="C613" s="645">
        <v>106195</v>
      </c>
      <c r="D613" s="645">
        <v>104445</v>
      </c>
      <c r="G613" s="187">
        <v>201</v>
      </c>
      <c r="H613" s="187">
        <v>913</v>
      </c>
      <c r="I613" s="214" t="str">
        <f t="shared" si="9"/>
        <v>201-913</v>
      </c>
    </row>
    <row r="614" spans="1:9" ht="13.5" customHeight="1">
      <c r="A614" s="216" t="s">
        <v>3156</v>
      </c>
      <c r="B614" s="216" t="s">
        <v>2219</v>
      </c>
      <c r="C614" s="645">
        <v>448663</v>
      </c>
      <c r="D614" s="645">
        <v>446538</v>
      </c>
      <c r="G614" s="187">
        <v>201</v>
      </c>
      <c r="H614" s="187">
        <v>914</v>
      </c>
      <c r="I614" s="214" t="str">
        <f t="shared" si="9"/>
        <v>201-914</v>
      </c>
    </row>
    <row r="615" spans="1:9" ht="13.5" customHeight="1">
      <c r="A615" s="216" t="s">
        <v>571</v>
      </c>
      <c r="B615" s="216" t="s">
        <v>2220</v>
      </c>
      <c r="C615" s="645">
        <v>528744</v>
      </c>
      <c r="D615" s="645">
        <v>522313</v>
      </c>
      <c r="G615" s="187">
        <v>204</v>
      </c>
      <c r="H615" s="187">
        <v>901</v>
      </c>
      <c r="I615" s="214" t="str">
        <f t="shared" si="9"/>
        <v>204-901</v>
      </c>
    </row>
    <row r="616" spans="1:9" ht="13.5" customHeight="1">
      <c r="A616" s="216" t="s">
        <v>3181</v>
      </c>
      <c r="B616" s="216" t="s">
        <v>2221</v>
      </c>
      <c r="C616" s="645">
        <v>483759</v>
      </c>
      <c r="D616" s="645">
        <v>479708</v>
      </c>
      <c r="G616" s="187">
        <v>204</v>
      </c>
      <c r="H616" s="187">
        <v>904</v>
      </c>
      <c r="I616" s="214" t="str">
        <f t="shared" si="9"/>
        <v>204-904</v>
      </c>
    </row>
    <row r="617" spans="1:9" ht="13.5" customHeight="1">
      <c r="A617" s="216" t="s">
        <v>2071</v>
      </c>
      <c r="B617" s="216" t="s">
        <v>2222</v>
      </c>
      <c r="C617" s="645">
        <v>698368</v>
      </c>
      <c r="D617" s="645">
        <v>703805</v>
      </c>
      <c r="G617" s="187">
        <v>205</v>
      </c>
      <c r="H617" s="187">
        <v>901</v>
      </c>
      <c r="I617" s="214" t="str">
        <f t="shared" si="9"/>
        <v>205-901</v>
      </c>
    </row>
    <row r="618" spans="1:9" ht="13.5" customHeight="1">
      <c r="A618" s="216" t="s">
        <v>3183</v>
      </c>
      <c r="B618" s="216" t="s">
        <v>2223</v>
      </c>
      <c r="C618" s="645">
        <v>3427531</v>
      </c>
      <c r="D618" s="645">
        <v>3408237</v>
      </c>
      <c r="G618" s="187">
        <v>205</v>
      </c>
      <c r="H618" s="187">
        <v>902</v>
      </c>
      <c r="I618" s="214" t="str">
        <f t="shared" si="9"/>
        <v>205-902</v>
      </c>
    </row>
    <row r="619" spans="1:9" ht="13.5" customHeight="1">
      <c r="A619" s="216" t="s">
        <v>924</v>
      </c>
      <c r="B619" s="216" t="s">
        <v>2224</v>
      </c>
      <c r="C619" s="645">
        <v>1150553</v>
      </c>
      <c r="D619" s="645">
        <v>1148183</v>
      </c>
      <c r="G619" s="187">
        <v>205</v>
      </c>
      <c r="H619" s="187">
        <v>903</v>
      </c>
      <c r="I619" s="214" t="str">
        <f t="shared" si="9"/>
        <v>205-903</v>
      </c>
    </row>
    <row r="620" spans="1:9" ht="13.5" customHeight="1">
      <c r="A620" s="216" t="s">
        <v>6165</v>
      </c>
      <c r="B620" s="216" t="s">
        <v>2225</v>
      </c>
      <c r="C620" s="645">
        <v>527855</v>
      </c>
      <c r="D620" s="645">
        <v>532055</v>
      </c>
      <c r="G620" s="187">
        <v>205</v>
      </c>
      <c r="H620" s="187">
        <v>904</v>
      </c>
      <c r="I620" s="214" t="str">
        <f t="shared" si="9"/>
        <v>205-904</v>
      </c>
    </row>
    <row r="621" spans="1:9" ht="13.5" customHeight="1">
      <c r="A621" s="216" t="s">
        <v>6187</v>
      </c>
      <c r="B621" s="216" t="s">
        <v>2226</v>
      </c>
      <c r="C621" s="645">
        <v>535869</v>
      </c>
      <c r="D621" s="645">
        <v>534564</v>
      </c>
      <c r="G621" s="187">
        <v>205</v>
      </c>
      <c r="H621" s="187">
        <v>905</v>
      </c>
      <c r="I621" s="214" t="str">
        <f t="shared" si="9"/>
        <v>205-905</v>
      </c>
    </row>
    <row r="622" spans="1:9" ht="13.5" customHeight="1">
      <c r="A622" s="216" t="s">
        <v>1837</v>
      </c>
      <c r="B622" s="216" t="s">
        <v>2227</v>
      </c>
      <c r="C622" s="645">
        <v>460571</v>
      </c>
      <c r="D622" s="645">
        <v>461646</v>
      </c>
      <c r="G622" s="187">
        <v>205</v>
      </c>
      <c r="H622" s="187">
        <v>906</v>
      </c>
      <c r="I622" s="214" t="str">
        <f t="shared" si="9"/>
        <v>205-906</v>
      </c>
    </row>
    <row r="623" spans="1:9" ht="13.5" customHeight="1">
      <c r="A623" s="216" t="s">
        <v>3884</v>
      </c>
      <c r="B623" s="216" t="s">
        <v>2228</v>
      </c>
      <c r="C623" s="645">
        <v>312460</v>
      </c>
      <c r="D623" s="645">
        <v>195180</v>
      </c>
      <c r="G623" s="187">
        <v>205</v>
      </c>
      <c r="H623" s="187">
        <v>907</v>
      </c>
      <c r="I623" s="214" t="str">
        <f t="shared" si="9"/>
        <v>205-907</v>
      </c>
    </row>
    <row r="624" spans="1:9" ht="13.5" customHeight="1">
      <c r="A624" s="216" t="s">
        <v>2390</v>
      </c>
      <c r="B624" s="216" t="s">
        <v>2229</v>
      </c>
      <c r="C624" s="645">
        <v>183201</v>
      </c>
      <c r="D624" s="645">
        <v>184658</v>
      </c>
      <c r="G624" s="187">
        <v>206</v>
      </c>
      <c r="H624" s="187">
        <v>901</v>
      </c>
      <c r="I624" s="214" t="str">
        <f t="shared" si="9"/>
        <v>206-901</v>
      </c>
    </row>
    <row r="625" spans="1:9" ht="13.5" customHeight="1">
      <c r="A625" s="216" t="s">
        <v>934</v>
      </c>
      <c r="B625" s="216" t="s">
        <v>2230</v>
      </c>
      <c r="C625" s="645">
        <v>1708463</v>
      </c>
      <c r="D625" s="645">
        <v>1706588</v>
      </c>
      <c r="G625" s="187">
        <v>208</v>
      </c>
      <c r="H625" s="187">
        <v>902</v>
      </c>
      <c r="I625" s="214" t="str">
        <f t="shared" si="9"/>
        <v>208-902</v>
      </c>
    </row>
    <row r="626" spans="1:9" ht="13.5" customHeight="1">
      <c r="A626" s="216" t="s">
        <v>5145</v>
      </c>
      <c r="B626" s="216" t="s">
        <v>2231</v>
      </c>
      <c r="C626" s="645">
        <v>230425</v>
      </c>
      <c r="D626" s="645">
        <v>232800</v>
      </c>
      <c r="G626" s="187">
        <v>209</v>
      </c>
      <c r="H626" s="187">
        <v>901</v>
      </c>
      <c r="I626" s="214" t="str">
        <f t="shared" si="9"/>
        <v>209-901</v>
      </c>
    </row>
    <row r="627" spans="1:9" ht="13.5" customHeight="1">
      <c r="A627" s="216" t="s">
        <v>2952</v>
      </c>
      <c r="B627" s="216" t="s">
        <v>2232</v>
      </c>
      <c r="C627" s="645">
        <v>1133713</v>
      </c>
      <c r="D627" s="645">
        <v>1134313</v>
      </c>
      <c r="G627" s="187">
        <v>210</v>
      </c>
      <c r="H627" s="187">
        <v>901</v>
      </c>
      <c r="I627" s="214" t="str">
        <f t="shared" si="9"/>
        <v>210-901</v>
      </c>
    </row>
    <row r="628" spans="1:9" ht="13.5" customHeight="1">
      <c r="A628" s="216" t="s">
        <v>2526</v>
      </c>
      <c r="B628" s="216" t="s">
        <v>2233</v>
      </c>
      <c r="C628" s="645">
        <v>200028</v>
      </c>
      <c r="D628" s="645">
        <v>201278</v>
      </c>
      <c r="G628" s="187">
        <v>210</v>
      </c>
      <c r="H628" s="187">
        <v>902</v>
      </c>
      <c r="I628" s="214" t="str">
        <f t="shared" si="9"/>
        <v>210-902</v>
      </c>
    </row>
    <row r="629" spans="1:9" ht="13.5" customHeight="1">
      <c r="A629" s="216" t="s">
        <v>3885</v>
      </c>
      <c r="B629" s="216" t="s">
        <v>2234</v>
      </c>
      <c r="C629" s="645">
        <v>255428</v>
      </c>
      <c r="D629" s="645">
        <v>245383</v>
      </c>
      <c r="G629" s="187">
        <v>210</v>
      </c>
      <c r="H629" s="187">
        <v>903</v>
      </c>
      <c r="I629" s="214" t="str">
        <f t="shared" si="9"/>
        <v>210-903</v>
      </c>
    </row>
    <row r="630" spans="1:9" ht="13.5" customHeight="1">
      <c r="A630" s="216" t="s">
        <v>2530</v>
      </c>
      <c r="B630" s="216" t="s">
        <v>2235</v>
      </c>
      <c r="C630" s="645">
        <v>179303</v>
      </c>
      <c r="D630" s="645">
        <v>179846</v>
      </c>
      <c r="G630" s="187">
        <v>210</v>
      </c>
      <c r="H630" s="187">
        <v>905</v>
      </c>
      <c r="I630" s="214" t="str">
        <f t="shared" si="9"/>
        <v>210-905</v>
      </c>
    </row>
    <row r="631" spans="1:9" ht="13.5" customHeight="1">
      <c r="A631" s="216" t="s">
        <v>5105</v>
      </c>
      <c r="B631" s="216" t="s">
        <v>2236</v>
      </c>
      <c r="C631" s="645">
        <v>234578</v>
      </c>
      <c r="D631" s="645">
        <v>237578</v>
      </c>
      <c r="G631" s="187">
        <v>211</v>
      </c>
      <c r="H631" s="187">
        <v>902</v>
      </c>
      <c r="I631" s="214" t="str">
        <f t="shared" si="9"/>
        <v>211-902</v>
      </c>
    </row>
    <row r="632" spans="1:9" ht="13.5" customHeight="1">
      <c r="A632" s="216" t="s">
        <v>5036</v>
      </c>
      <c r="B632" s="216" t="s">
        <v>2237</v>
      </c>
      <c r="C632" s="645">
        <v>755076</v>
      </c>
      <c r="D632" s="645">
        <v>785164</v>
      </c>
      <c r="G632" s="187">
        <v>212</v>
      </c>
      <c r="H632" s="187">
        <v>901</v>
      </c>
      <c r="I632" s="214" t="str">
        <f t="shared" si="9"/>
        <v>212-901</v>
      </c>
    </row>
    <row r="633" spans="1:9" ht="13.5" customHeight="1">
      <c r="A633" s="216" t="s">
        <v>2430</v>
      </c>
      <c r="B633" s="216" t="s">
        <v>2238</v>
      </c>
      <c r="C633" s="645">
        <v>1174556</v>
      </c>
      <c r="D633" s="645">
        <v>1161706</v>
      </c>
      <c r="G633" s="187">
        <v>212</v>
      </c>
      <c r="H633" s="187">
        <v>902</v>
      </c>
      <c r="I633" s="214" t="str">
        <f t="shared" si="9"/>
        <v>212-902</v>
      </c>
    </row>
    <row r="634" spans="1:9" ht="13.5" customHeight="1">
      <c r="A634" s="216" t="s">
        <v>2432</v>
      </c>
      <c r="B634" s="216" t="s">
        <v>2239</v>
      </c>
      <c r="C634" s="645">
        <v>2797992</v>
      </c>
      <c r="D634" s="645">
        <v>2835790</v>
      </c>
      <c r="G634" s="187">
        <v>212</v>
      </c>
      <c r="H634" s="187">
        <v>903</v>
      </c>
      <c r="I634" s="214" t="str">
        <f t="shared" si="9"/>
        <v>212-903</v>
      </c>
    </row>
    <row r="635" spans="1:9" ht="13.5" customHeight="1">
      <c r="A635" s="216" t="s">
        <v>5339</v>
      </c>
      <c r="B635" s="216" t="s">
        <v>2240</v>
      </c>
      <c r="C635" s="645">
        <v>183211</v>
      </c>
      <c r="D635" s="645">
        <v>183211</v>
      </c>
      <c r="G635" s="187">
        <v>212</v>
      </c>
      <c r="H635" s="187">
        <v>904</v>
      </c>
      <c r="I635" s="214" t="str">
        <f t="shared" si="9"/>
        <v>212-904</v>
      </c>
    </row>
    <row r="636" spans="1:9" ht="13.5" customHeight="1">
      <c r="A636" s="216" t="s">
        <v>5341</v>
      </c>
      <c r="B636" s="216" t="s">
        <v>2241</v>
      </c>
      <c r="C636" s="645">
        <v>2499205</v>
      </c>
      <c r="D636" s="645">
        <v>2488119</v>
      </c>
      <c r="G636" s="187">
        <v>212</v>
      </c>
      <c r="H636" s="187">
        <v>905</v>
      </c>
      <c r="I636" s="214" t="str">
        <f t="shared" si="9"/>
        <v>212-905</v>
      </c>
    </row>
    <row r="637" spans="1:9" ht="13.5" customHeight="1">
      <c r="A637" s="216" t="s">
        <v>858</v>
      </c>
      <c r="B637" s="216" t="s">
        <v>2242</v>
      </c>
      <c r="C637" s="645">
        <v>2211880</v>
      </c>
      <c r="D637" s="645">
        <v>2214580</v>
      </c>
      <c r="G637" s="187">
        <v>212</v>
      </c>
      <c r="H637" s="187">
        <v>906</v>
      </c>
      <c r="I637" s="214" t="str">
        <f t="shared" si="9"/>
        <v>212-906</v>
      </c>
    </row>
    <row r="638" spans="1:9" ht="13.5" customHeight="1">
      <c r="A638" s="216" t="s">
        <v>5343</v>
      </c>
      <c r="B638" s="216" t="s">
        <v>2243</v>
      </c>
      <c r="C638" s="645">
        <v>1214023</v>
      </c>
      <c r="D638" s="645">
        <v>1218739</v>
      </c>
      <c r="G638" s="187">
        <v>212</v>
      </c>
      <c r="H638" s="187">
        <v>909</v>
      </c>
      <c r="I638" s="214" t="str">
        <f t="shared" si="9"/>
        <v>212-909</v>
      </c>
    </row>
    <row r="639" spans="1:9" ht="13.5" customHeight="1">
      <c r="A639" s="216" t="s">
        <v>5344</v>
      </c>
      <c r="B639" s="216" t="s">
        <v>2244</v>
      </c>
      <c r="C639" s="645">
        <v>240750</v>
      </c>
      <c r="D639" s="645">
        <v>240750</v>
      </c>
      <c r="G639" s="187">
        <v>212</v>
      </c>
      <c r="H639" s="187">
        <v>910</v>
      </c>
      <c r="I639" s="214" t="str">
        <f t="shared" si="9"/>
        <v>212-910</v>
      </c>
    </row>
    <row r="640" spans="1:9" ht="13.5" customHeight="1">
      <c r="A640" s="216" t="s">
        <v>5346</v>
      </c>
      <c r="B640" s="216" t="s">
        <v>2245</v>
      </c>
      <c r="C640" s="645">
        <v>1073670</v>
      </c>
      <c r="D640" s="645">
        <v>1117380</v>
      </c>
      <c r="G640" s="187">
        <v>213</v>
      </c>
      <c r="H640" s="187">
        <v>901</v>
      </c>
      <c r="I640" s="214" t="str">
        <f t="shared" si="9"/>
        <v>213-901</v>
      </c>
    </row>
    <row r="641" spans="1:9" ht="13.5" customHeight="1">
      <c r="A641" s="216" t="s">
        <v>2770</v>
      </c>
      <c r="B641" s="216" t="s">
        <v>2246</v>
      </c>
      <c r="C641" s="645">
        <v>5170816</v>
      </c>
      <c r="D641" s="645">
        <v>5167841</v>
      </c>
      <c r="G641" s="187">
        <v>214</v>
      </c>
      <c r="H641" s="187">
        <v>901</v>
      </c>
      <c r="I641" s="214" t="str">
        <f t="shared" si="9"/>
        <v>214-901</v>
      </c>
    </row>
    <row r="642" spans="1:9" ht="13.5" customHeight="1">
      <c r="A642" s="216" t="s">
        <v>5348</v>
      </c>
      <c r="B642" s="216" t="s">
        <v>2247</v>
      </c>
      <c r="C642" s="645">
        <v>0</v>
      </c>
      <c r="D642" s="645">
        <v>0</v>
      </c>
      <c r="G642" s="187">
        <v>214</v>
      </c>
      <c r="H642" s="187">
        <v>902</v>
      </c>
      <c r="I642" s="214" t="str">
        <f t="shared" si="9"/>
        <v>214-902</v>
      </c>
    </row>
    <row r="643" spans="1:9" ht="13.5" customHeight="1">
      <c r="A643" s="216" t="s">
        <v>3886</v>
      </c>
      <c r="B643" s="216" t="s">
        <v>2248</v>
      </c>
      <c r="C643" s="645">
        <v>2165745</v>
      </c>
      <c r="D643" s="645">
        <v>2161435</v>
      </c>
      <c r="G643" s="187">
        <v>214</v>
      </c>
      <c r="H643" s="187">
        <v>903</v>
      </c>
      <c r="I643" s="214" t="str">
        <f t="shared" si="9"/>
        <v>214-903</v>
      </c>
    </row>
    <row r="644" spans="1:9" ht="13.5" customHeight="1">
      <c r="A644" s="216" t="s">
        <v>1532</v>
      </c>
      <c r="B644" s="216" t="s">
        <v>2249</v>
      </c>
      <c r="C644" s="645">
        <v>804613</v>
      </c>
      <c r="D644" s="645">
        <v>812081</v>
      </c>
      <c r="G644" s="187">
        <v>218</v>
      </c>
      <c r="H644" s="187">
        <v>901</v>
      </c>
      <c r="I644" s="214" t="str">
        <f t="shared" ref="I644:I707" si="10">F644&amp;G644&amp;"-"&amp;H644</f>
        <v>218-901</v>
      </c>
    </row>
    <row r="645" spans="1:9" ht="13.5" customHeight="1">
      <c r="A645" s="216" t="s">
        <v>269</v>
      </c>
      <c r="B645" s="216" t="s">
        <v>2250</v>
      </c>
      <c r="C645" s="645">
        <v>52246349</v>
      </c>
      <c r="D645" s="645">
        <v>52385411</v>
      </c>
      <c r="G645" s="187">
        <v>220</v>
      </c>
      <c r="H645" s="187">
        <v>901</v>
      </c>
      <c r="I645" s="214" t="str">
        <f t="shared" si="10"/>
        <v>220-901</v>
      </c>
    </row>
    <row r="646" spans="1:9" ht="13.5" customHeight="1">
      <c r="A646" s="216" t="s">
        <v>951</v>
      </c>
      <c r="B646" s="216" t="s">
        <v>2251</v>
      </c>
      <c r="C646" s="645">
        <v>14076815</v>
      </c>
      <c r="D646" s="645">
        <v>16315108</v>
      </c>
      <c r="G646" s="187">
        <v>220</v>
      </c>
      <c r="H646" s="187">
        <v>902</v>
      </c>
      <c r="I646" s="214" t="str">
        <f t="shared" si="10"/>
        <v>220-902</v>
      </c>
    </row>
    <row r="647" spans="1:9" ht="13.5" customHeight="1">
      <c r="A647" s="216" t="s">
        <v>409</v>
      </c>
      <c r="B647" s="216" t="s">
        <v>2252</v>
      </c>
      <c r="C647" s="645">
        <v>1205000</v>
      </c>
      <c r="D647" s="645">
        <v>0</v>
      </c>
      <c r="G647" s="187">
        <v>220</v>
      </c>
      <c r="H647" s="187">
        <v>904</v>
      </c>
      <c r="I647" s="214" t="str">
        <f t="shared" si="10"/>
        <v>220-904</v>
      </c>
    </row>
    <row r="648" spans="1:9" ht="13.5" customHeight="1">
      <c r="A648" s="216" t="s">
        <v>3996</v>
      </c>
      <c r="B648" s="216" t="s">
        <v>2253</v>
      </c>
      <c r="C648" s="645">
        <v>41179565</v>
      </c>
      <c r="D648" s="645">
        <v>40056676</v>
      </c>
      <c r="G648" s="187">
        <v>220</v>
      </c>
      <c r="H648" s="187">
        <v>905</v>
      </c>
      <c r="I648" s="214" t="str">
        <f t="shared" si="10"/>
        <v>220-905</v>
      </c>
    </row>
    <row r="649" spans="1:9" ht="13.5" customHeight="1">
      <c r="A649" s="216" t="s">
        <v>3998</v>
      </c>
      <c r="B649" s="216" t="s">
        <v>2254</v>
      </c>
      <c r="C649" s="645">
        <v>17390866</v>
      </c>
      <c r="D649" s="645">
        <v>19182387</v>
      </c>
      <c r="G649" s="187">
        <v>220</v>
      </c>
      <c r="H649" s="187">
        <v>906</v>
      </c>
      <c r="I649" s="214" t="str">
        <f t="shared" si="10"/>
        <v>220-906</v>
      </c>
    </row>
    <row r="650" spans="1:9" ht="13.5" customHeight="1">
      <c r="A650" s="216" t="s">
        <v>6030</v>
      </c>
      <c r="B650" s="216" t="s">
        <v>2255</v>
      </c>
      <c r="C650" s="645">
        <v>28656039</v>
      </c>
      <c r="D650" s="645">
        <v>32562843</v>
      </c>
      <c r="G650" s="187">
        <v>220</v>
      </c>
      <c r="H650" s="187">
        <v>907</v>
      </c>
      <c r="I650" s="214" t="str">
        <f t="shared" si="10"/>
        <v>220-907</v>
      </c>
    </row>
    <row r="651" spans="1:9" ht="13.5" customHeight="1">
      <c r="A651" s="216" t="s">
        <v>3002</v>
      </c>
      <c r="B651" s="216" t="s">
        <v>2256</v>
      </c>
      <c r="C651" s="645">
        <v>33191973</v>
      </c>
      <c r="D651" s="645">
        <v>32977496</v>
      </c>
      <c r="G651" s="187">
        <v>220</v>
      </c>
      <c r="H651" s="187">
        <v>908</v>
      </c>
      <c r="I651" s="214" t="str">
        <f t="shared" si="10"/>
        <v>220-908</v>
      </c>
    </row>
    <row r="652" spans="1:9" ht="13.5" customHeight="1">
      <c r="A652" s="216" t="s">
        <v>2986</v>
      </c>
      <c r="B652" s="216" t="s">
        <v>2257</v>
      </c>
      <c r="C652" s="645">
        <v>3205553</v>
      </c>
      <c r="D652" s="645">
        <v>3200228</v>
      </c>
      <c r="G652" s="187">
        <v>220</v>
      </c>
      <c r="H652" s="187">
        <v>910</v>
      </c>
      <c r="I652" s="214" t="str">
        <f t="shared" si="10"/>
        <v>220-910</v>
      </c>
    </row>
    <row r="653" spans="1:9" ht="13.5" customHeight="1">
      <c r="A653" s="216" t="s">
        <v>246</v>
      </c>
      <c r="B653" s="216" t="s">
        <v>2258</v>
      </c>
      <c r="C653" s="645">
        <v>12495881</v>
      </c>
      <c r="D653" s="645">
        <v>12953933</v>
      </c>
      <c r="G653" s="187">
        <v>220</v>
      </c>
      <c r="H653" s="187">
        <v>912</v>
      </c>
      <c r="I653" s="214" t="str">
        <f t="shared" si="10"/>
        <v>220-912</v>
      </c>
    </row>
    <row r="654" spans="1:9" ht="13.5" customHeight="1">
      <c r="A654" s="216" t="s">
        <v>6032</v>
      </c>
      <c r="B654" s="216" t="s">
        <v>2259</v>
      </c>
      <c r="C654" s="645">
        <v>3253807</v>
      </c>
      <c r="D654" s="645">
        <v>3254362</v>
      </c>
      <c r="G654" s="187">
        <v>220</v>
      </c>
      <c r="H654" s="187">
        <v>914</v>
      </c>
      <c r="I654" s="214" t="str">
        <f t="shared" si="10"/>
        <v>220-914</v>
      </c>
    </row>
    <row r="655" spans="1:9" ht="13.5" customHeight="1">
      <c r="A655" s="216" t="s">
        <v>946</v>
      </c>
      <c r="B655" s="216" t="s">
        <v>2260</v>
      </c>
      <c r="C655" s="645">
        <v>3187158</v>
      </c>
      <c r="D655" s="645">
        <v>3163238</v>
      </c>
      <c r="G655" s="187">
        <v>220</v>
      </c>
      <c r="H655" s="187">
        <v>915</v>
      </c>
      <c r="I655" s="214" t="str">
        <f t="shared" si="10"/>
        <v>220-915</v>
      </c>
    </row>
    <row r="656" spans="1:9" ht="13.5" customHeight="1">
      <c r="A656" s="216" t="s">
        <v>1875</v>
      </c>
      <c r="B656" s="216" t="s">
        <v>2261</v>
      </c>
      <c r="C656" s="645">
        <v>18094475</v>
      </c>
      <c r="D656" s="645">
        <v>19817541</v>
      </c>
      <c r="G656" s="187">
        <v>220</v>
      </c>
      <c r="H656" s="187">
        <v>916</v>
      </c>
      <c r="I656" s="214" t="str">
        <f t="shared" si="10"/>
        <v>220-916</v>
      </c>
    </row>
    <row r="657" spans="1:9" ht="13.5" customHeight="1">
      <c r="A657" s="216" t="s">
        <v>6682</v>
      </c>
      <c r="B657" s="216" t="s">
        <v>2262</v>
      </c>
      <c r="C657" s="645">
        <v>1824243</v>
      </c>
      <c r="D657" s="645">
        <v>1793361</v>
      </c>
      <c r="G657" s="187">
        <v>220</v>
      </c>
      <c r="H657" s="187">
        <v>917</v>
      </c>
      <c r="I657" s="214" t="str">
        <f t="shared" si="10"/>
        <v>220-917</v>
      </c>
    </row>
    <row r="658" spans="1:9" ht="13.5" customHeight="1">
      <c r="A658" s="216" t="s">
        <v>4002</v>
      </c>
      <c r="B658" s="216" t="s">
        <v>2263</v>
      </c>
      <c r="C658" s="645">
        <v>12686646</v>
      </c>
      <c r="D658" s="645">
        <v>9952394</v>
      </c>
      <c r="G658" s="187">
        <v>220</v>
      </c>
      <c r="H658" s="187">
        <v>918</v>
      </c>
      <c r="I658" s="214" t="str">
        <f t="shared" si="10"/>
        <v>220-918</v>
      </c>
    </row>
    <row r="659" spans="1:9" ht="13.5" customHeight="1">
      <c r="A659" s="216" t="s">
        <v>6681</v>
      </c>
      <c r="B659" s="216" t="s">
        <v>2264</v>
      </c>
      <c r="C659" s="645">
        <v>13710417</v>
      </c>
      <c r="D659" s="645">
        <v>12774859</v>
      </c>
      <c r="G659" s="187">
        <v>220</v>
      </c>
      <c r="H659" s="187">
        <v>919</v>
      </c>
      <c r="I659" s="214" t="str">
        <f t="shared" si="10"/>
        <v>220-919</v>
      </c>
    </row>
    <row r="660" spans="1:9" ht="13.5" customHeight="1">
      <c r="A660" s="216" t="s">
        <v>857</v>
      </c>
      <c r="B660" s="216" t="s">
        <v>2265</v>
      </c>
      <c r="C660" s="645">
        <v>4012804</v>
      </c>
      <c r="D660" s="645">
        <v>4277077</v>
      </c>
      <c r="G660" s="187">
        <v>220</v>
      </c>
      <c r="H660" s="187">
        <v>920</v>
      </c>
      <c r="I660" s="214" t="str">
        <f t="shared" si="10"/>
        <v>220-920</v>
      </c>
    </row>
    <row r="661" spans="1:9" ht="13.5" customHeight="1">
      <c r="A661" s="216" t="s">
        <v>4006</v>
      </c>
      <c r="B661" s="216" t="s">
        <v>2266</v>
      </c>
      <c r="C661" s="645">
        <v>6371831</v>
      </c>
      <c r="D661" s="645">
        <v>6375905</v>
      </c>
      <c r="G661" s="187">
        <v>221</v>
      </c>
      <c r="H661" s="187">
        <v>901</v>
      </c>
      <c r="I661" s="214" t="str">
        <f t="shared" si="10"/>
        <v>221-901</v>
      </c>
    </row>
    <row r="662" spans="1:9" ht="13.5" customHeight="1">
      <c r="A662" s="216" t="s">
        <v>4008</v>
      </c>
      <c r="B662" s="216" t="s">
        <v>2267</v>
      </c>
      <c r="C662" s="645">
        <v>100877</v>
      </c>
      <c r="D662" s="645">
        <v>90738</v>
      </c>
      <c r="G662" s="187">
        <v>221</v>
      </c>
      <c r="H662" s="187">
        <v>904</v>
      </c>
      <c r="I662" s="214" t="str">
        <f t="shared" si="10"/>
        <v>221-904</v>
      </c>
    </row>
    <row r="663" spans="1:9" ht="13.5" customHeight="1">
      <c r="A663" s="216" t="s">
        <v>4010</v>
      </c>
      <c r="B663" s="216" t="s">
        <v>2268</v>
      </c>
      <c r="C663" s="645">
        <v>391343</v>
      </c>
      <c r="D663" s="645">
        <v>392883</v>
      </c>
      <c r="G663" s="187">
        <v>221</v>
      </c>
      <c r="H663" s="187">
        <v>905</v>
      </c>
      <c r="I663" s="214" t="str">
        <f t="shared" si="10"/>
        <v>221-905</v>
      </c>
    </row>
    <row r="664" spans="1:9" ht="13.5" customHeight="1">
      <c r="A664" s="216" t="s">
        <v>4012</v>
      </c>
      <c r="B664" s="216" t="s">
        <v>2269</v>
      </c>
      <c r="C664" s="645">
        <v>320880</v>
      </c>
      <c r="D664" s="645">
        <v>318830</v>
      </c>
      <c r="G664" s="187">
        <v>221</v>
      </c>
      <c r="H664" s="187">
        <v>911</v>
      </c>
      <c r="I664" s="214" t="str">
        <f t="shared" si="10"/>
        <v>221-911</v>
      </c>
    </row>
    <row r="665" spans="1:9" ht="13.5" customHeight="1">
      <c r="A665" s="216" t="s">
        <v>4014</v>
      </c>
      <c r="B665" s="216" t="s">
        <v>4883</v>
      </c>
      <c r="C665" s="645">
        <v>1483896</v>
      </c>
      <c r="D665" s="645">
        <v>1483506</v>
      </c>
      <c r="G665" s="187">
        <v>221</v>
      </c>
      <c r="H665" s="187">
        <v>912</v>
      </c>
      <c r="I665" s="214" t="str">
        <f t="shared" si="10"/>
        <v>221-912</v>
      </c>
    </row>
    <row r="666" spans="1:9" ht="13.5" customHeight="1">
      <c r="A666" s="216" t="s">
        <v>4015</v>
      </c>
      <c r="B666" s="216" t="s">
        <v>2270</v>
      </c>
      <c r="C666" s="645">
        <v>342363</v>
      </c>
      <c r="D666" s="645">
        <v>346425</v>
      </c>
      <c r="G666" s="187">
        <v>222</v>
      </c>
      <c r="H666" s="187">
        <v>901</v>
      </c>
      <c r="I666" s="214" t="str">
        <f t="shared" si="10"/>
        <v>222-901</v>
      </c>
    </row>
    <row r="667" spans="1:9" ht="13.5" customHeight="1">
      <c r="A667" s="216" t="s">
        <v>6120</v>
      </c>
      <c r="B667" s="216" t="s">
        <v>2271</v>
      </c>
      <c r="C667" s="645">
        <v>578365</v>
      </c>
      <c r="D667" s="645">
        <v>574596</v>
      </c>
      <c r="G667" s="187">
        <v>223</v>
      </c>
      <c r="H667" s="187">
        <v>901</v>
      </c>
      <c r="I667" s="214" t="str">
        <f t="shared" si="10"/>
        <v>223-901</v>
      </c>
    </row>
    <row r="668" spans="1:9" ht="13.5" customHeight="1">
      <c r="A668" s="216" t="s">
        <v>6679</v>
      </c>
      <c r="B668" s="216" t="s">
        <v>2272</v>
      </c>
      <c r="C668" s="645">
        <v>100593</v>
      </c>
      <c r="D668" s="645">
        <v>98643</v>
      </c>
      <c r="G668" s="187">
        <v>223</v>
      </c>
      <c r="H668" s="187">
        <v>902</v>
      </c>
      <c r="I668" s="214" t="str">
        <f t="shared" si="10"/>
        <v>223-902</v>
      </c>
    </row>
    <row r="669" spans="1:9" ht="13.5" customHeight="1">
      <c r="A669" s="216" t="s">
        <v>1805</v>
      </c>
      <c r="B669" s="216" t="s">
        <v>2273</v>
      </c>
      <c r="C669" s="645">
        <v>2543957</v>
      </c>
      <c r="D669" s="645">
        <v>2546245</v>
      </c>
      <c r="G669" s="187">
        <v>225</v>
      </c>
      <c r="H669" s="187">
        <v>902</v>
      </c>
      <c r="I669" s="214" t="str">
        <f t="shared" si="10"/>
        <v>225-902</v>
      </c>
    </row>
    <row r="670" spans="1:9" ht="13.5" customHeight="1">
      <c r="A670" s="216" t="s">
        <v>5037</v>
      </c>
      <c r="B670" s="216" t="s">
        <v>2243</v>
      </c>
      <c r="C670" s="645">
        <v>180453</v>
      </c>
      <c r="D670" s="645">
        <v>177453</v>
      </c>
      <c r="G670" s="187">
        <v>225</v>
      </c>
      <c r="H670" s="187">
        <v>906</v>
      </c>
      <c r="I670" s="214" t="str">
        <f t="shared" si="10"/>
        <v>225-906</v>
      </c>
    </row>
    <row r="671" spans="1:9" ht="13.5" customHeight="1">
      <c r="A671" s="216" t="s">
        <v>1697</v>
      </c>
      <c r="B671" s="216" t="s">
        <v>2274</v>
      </c>
      <c r="C671" s="645">
        <v>110869</v>
      </c>
      <c r="D671" s="645">
        <v>114000</v>
      </c>
      <c r="G671" s="187">
        <v>226</v>
      </c>
      <c r="H671" s="187">
        <v>901</v>
      </c>
      <c r="I671" s="214" t="str">
        <f t="shared" si="10"/>
        <v>226-901</v>
      </c>
    </row>
    <row r="672" spans="1:9" ht="13.5" customHeight="1">
      <c r="A672" s="216" t="s">
        <v>2385</v>
      </c>
      <c r="B672" s="216" t="s">
        <v>2275</v>
      </c>
      <c r="C672" s="645">
        <v>3205891</v>
      </c>
      <c r="D672" s="645">
        <v>3218334</v>
      </c>
      <c r="G672" s="187">
        <v>226</v>
      </c>
      <c r="H672" s="187">
        <v>903</v>
      </c>
      <c r="I672" s="214" t="str">
        <f t="shared" si="10"/>
        <v>226-903</v>
      </c>
    </row>
    <row r="673" spans="1:9" ht="13.5" customHeight="1">
      <c r="A673" s="216" t="s">
        <v>1699</v>
      </c>
      <c r="B673" s="216" t="s">
        <v>2276</v>
      </c>
      <c r="C673" s="645">
        <v>245815</v>
      </c>
      <c r="D673" s="645">
        <v>244715</v>
      </c>
      <c r="G673" s="187">
        <v>226</v>
      </c>
      <c r="H673" s="187">
        <v>905</v>
      </c>
      <c r="I673" s="214" t="str">
        <f t="shared" si="10"/>
        <v>226-905</v>
      </c>
    </row>
    <row r="674" spans="1:9" ht="13.5" customHeight="1">
      <c r="A674" s="216" t="s">
        <v>3554</v>
      </c>
      <c r="B674" s="216" t="s">
        <v>2277</v>
      </c>
      <c r="C674" s="645">
        <v>205488</v>
      </c>
      <c r="D674" s="645">
        <v>210175</v>
      </c>
      <c r="G674" s="187">
        <v>226</v>
      </c>
      <c r="H674" s="187">
        <v>906</v>
      </c>
      <c r="I674" s="214" t="str">
        <f t="shared" si="10"/>
        <v>226-906</v>
      </c>
    </row>
    <row r="675" spans="1:9" ht="13.5" customHeight="1">
      <c r="A675" s="216" t="s">
        <v>1857</v>
      </c>
      <c r="B675" s="216" t="s">
        <v>2278</v>
      </c>
      <c r="C675" s="645">
        <v>719416</v>
      </c>
      <c r="D675" s="645">
        <v>718623</v>
      </c>
      <c r="G675" s="187">
        <v>226</v>
      </c>
      <c r="H675" s="187">
        <v>907</v>
      </c>
      <c r="I675" s="214" t="str">
        <f t="shared" si="10"/>
        <v>226-907</v>
      </c>
    </row>
    <row r="676" spans="1:9" ht="13.5" customHeight="1">
      <c r="A676" s="216" t="s">
        <v>7288</v>
      </c>
      <c r="B676" s="216" t="s">
        <v>2279</v>
      </c>
      <c r="C676" s="645">
        <v>119040</v>
      </c>
      <c r="D676" s="645">
        <v>121715</v>
      </c>
      <c r="G676" s="187">
        <v>226</v>
      </c>
      <c r="H676" s="187">
        <v>908</v>
      </c>
      <c r="I676" s="214" t="str">
        <f t="shared" si="10"/>
        <v>226-908</v>
      </c>
    </row>
    <row r="677" spans="1:9" ht="13.5" customHeight="1">
      <c r="A677" s="216" t="s">
        <v>2791</v>
      </c>
      <c r="B677" s="216" t="s">
        <v>2280</v>
      </c>
      <c r="C677" s="645">
        <v>44025508</v>
      </c>
      <c r="D677" s="645">
        <v>41558947</v>
      </c>
      <c r="G677" s="187">
        <v>227</v>
      </c>
      <c r="H677" s="187">
        <v>901</v>
      </c>
      <c r="I677" s="214" t="str">
        <f t="shared" si="10"/>
        <v>227-901</v>
      </c>
    </row>
    <row r="678" spans="1:9" ht="13.5" customHeight="1">
      <c r="A678" s="216" t="s">
        <v>5124</v>
      </c>
      <c r="B678" s="216" t="s">
        <v>2281</v>
      </c>
      <c r="C678" s="645">
        <v>20933971</v>
      </c>
      <c r="D678" s="645">
        <v>21259286</v>
      </c>
      <c r="G678" s="187">
        <v>227</v>
      </c>
      <c r="H678" s="187">
        <v>904</v>
      </c>
      <c r="I678" s="214" t="str">
        <f t="shared" si="10"/>
        <v>227-904</v>
      </c>
    </row>
    <row r="679" spans="1:9" ht="13.5" customHeight="1">
      <c r="A679" s="216" t="s">
        <v>2793</v>
      </c>
      <c r="B679" s="216" t="s">
        <v>4416</v>
      </c>
      <c r="C679" s="645">
        <v>5238791</v>
      </c>
      <c r="D679" s="645">
        <v>4815403</v>
      </c>
      <c r="G679" s="187">
        <v>227</v>
      </c>
      <c r="H679" s="187">
        <v>907</v>
      </c>
      <c r="I679" s="214" t="str">
        <f t="shared" si="10"/>
        <v>227-907</v>
      </c>
    </row>
    <row r="680" spans="1:9" ht="13.5" customHeight="1">
      <c r="A680" s="216" t="s">
        <v>2795</v>
      </c>
      <c r="B680" s="216" t="s">
        <v>4417</v>
      </c>
      <c r="C680" s="645">
        <v>10228240</v>
      </c>
      <c r="D680" s="645">
        <v>9950490</v>
      </c>
      <c r="G680" s="187">
        <v>227</v>
      </c>
      <c r="H680" s="187">
        <v>909</v>
      </c>
      <c r="I680" s="214" t="str">
        <f t="shared" si="10"/>
        <v>227-909</v>
      </c>
    </row>
    <row r="681" spans="1:9" ht="13.5" customHeight="1">
      <c r="A681" s="216" t="s">
        <v>2052</v>
      </c>
      <c r="B681" s="216" t="s">
        <v>4418</v>
      </c>
      <c r="C681" s="645">
        <v>7933003</v>
      </c>
      <c r="D681" s="645">
        <v>7935043</v>
      </c>
      <c r="G681" s="187">
        <v>227</v>
      </c>
      <c r="H681" s="187">
        <v>910</v>
      </c>
      <c r="I681" s="214" t="str">
        <f t="shared" si="10"/>
        <v>227-910</v>
      </c>
    </row>
    <row r="682" spans="1:9" ht="13.5" customHeight="1">
      <c r="A682" s="216" t="s">
        <v>2797</v>
      </c>
      <c r="B682" s="216" t="s">
        <v>4419</v>
      </c>
      <c r="C682" s="645">
        <v>1569158</v>
      </c>
      <c r="D682" s="645">
        <v>1636791</v>
      </c>
      <c r="G682" s="187">
        <v>227</v>
      </c>
      <c r="H682" s="187">
        <v>912</v>
      </c>
      <c r="I682" s="214" t="str">
        <f t="shared" si="10"/>
        <v>227-912</v>
      </c>
    </row>
    <row r="683" spans="1:9" ht="13.5" customHeight="1">
      <c r="A683" s="216" t="s">
        <v>2799</v>
      </c>
      <c r="B683" s="216" t="s">
        <v>4420</v>
      </c>
      <c r="C683" s="645">
        <v>9789799</v>
      </c>
      <c r="D683" s="645">
        <v>9352292</v>
      </c>
      <c r="G683" s="187">
        <v>227</v>
      </c>
      <c r="H683" s="187">
        <v>913</v>
      </c>
      <c r="I683" s="214" t="str">
        <f t="shared" si="10"/>
        <v>227-913</v>
      </c>
    </row>
    <row r="684" spans="1:9" ht="13.5" customHeight="1">
      <c r="A684" s="216" t="s">
        <v>2803</v>
      </c>
      <c r="B684" s="216" t="s">
        <v>4421</v>
      </c>
      <c r="C684" s="645">
        <v>393655</v>
      </c>
      <c r="D684" s="645">
        <v>397455</v>
      </c>
      <c r="G684" s="187">
        <v>228</v>
      </c>
      <c r="H684" s="187">
        <v>903</v>
      </c>
      <c r="I684" s="214" t="str">
        <f t="shared" si="10"/>
        <v>228-903</v>
      </c>
    </row>
    <row r="685" spans="1:9" ht="13.5" customHeight="1">
      <c r="A685" s="216" t="s">
        <v>3572</v>
      </c>
      <c r="B685" s="216" t="s">
        <v>4422</v>
      </c>
      <c r="C685" s="645">
        <v>666183</v>
      </c>
      <c r="D685" s="645">
        <v>667073</v>
      </c>
      <c r="G685" s="187">
        <v>229</v>
      </c>
      <c r="H685" s="187">
        <v>903</v>
      </c>
      <c r="I685" s="214" t="str">
        <f t="shared" si="10"/>
        <v>229-903</v>
      </c>
    </row>
    <row r="686" spans="1:9" ht="13.5" customHeight="1">
      <c r="A686" s="216" t="s">
        <v>4072</v>
      </c>
      <c r="B686" s="216" t="s">
        <v>4423</v>
      </c>
      <c r="C686" s="645">
        <v>220749</v>
      </c>
      <c r="D686" s="645">
        <v>222084</v>
      </c>
      <c r="G686" s="187">
        <v>229</v>
      </c>
      <c r="H686" s="187">
        <v>905</v>
      </c>
      <c r="I686" s="214" t="str">
        <f t="shared" si="10"/>
        <v>229-905</v>
      </c>
    </row>
    <row r="687" spans="1:9" ht="13.5" customHeight="1">
      <c r="A687" s="216" t="s">
        <v>735</v>
      </c>
      <c r="B687" s="216" t="s">
        <v>4424</v>
      </c>
      <c r="C687" s="645">
        <v>65304</v>
      </c>
      <c r="D687" s="645">
        <v>63711</v>
      </c>
      <c r="G687" s="187">
        <v>229</v>
      </c>
      <c r="H687" s="187">
        <v>906</v>
      </c>
      <c r="I687" s="214" t="str">
        <f t="shared" si="10"/>
        <v>229-906</v>
      </c>
    </row>
    <row r="688" spans="1:9" ht="13.5" customHeight="1">
      <c r="A688" s="216" t="s">
        <v>3576</v>
      </c>
      <c r="B688" s="216" t="s">
        <v>5419</v>
      </c>
      <c r="C688" s="645">
        <v>154380</v>
      </c>
      <c r="D688" s="645">
        <v>156336</v>
      </c>
      <c r="G688" s="187">
        <v>230</v>
      </c>
      <c r="H688" s="187">
        <v>901</v>
      </c>
      <c r="I688" s="214" t="str">
        <f t="shared" si="10"/>
        <v>230-901</v>
      </c>
    </row>
    <row r="689" spans="1:9" ht="13.5" customHeight="1">
      <c r="A689" s="216" t="s">
        <v>3577</v>
      </c>
      <c r="B689" s="216" t="s">
        <v>4425</v>
      </c>
      <c r="C689" s="645">
        <v>1354537</v>
      </c>
      <c r="D689" s="645">
        <v>1357987</v>
      </c>
      <c r="G689" s="187">
        <v>230</v>
      </c>
      <c r="H689" s="187">
        <v>902</v>
      </c>
      <c r="I689" s="214" t="str">
        <f t="shared" si="10"/>
        <v>230-902</v>
      </c>
    </row>
    <row r="690" spans="1:9" ht="13.5" customHeight="1">
      <c r="A690" s="216" t="s">
        <v>6190</v>
      </c>
      <c r="B690" s="216" t="s">
        <v>4426</v>
      </c>
      <c r="C690" s="645">
        <v>198611</v>
      </c>
      <c r="D690" s="645">
        <v>198511</v>
      </c>
      <c r="G690" s="187">
        <v>230</v>
      </c>
      <c r="H690" s="187">
        <v>903</v>
      </c>
      <c r="I690" s="214" t="str">
        <f t="shared" si="10"/>
        <v>230-903</v>
      </c>
    </row>
    <row r="691" spans="1:9" ht="13.5" customHeight="1">
      <c r="A691" s="216" t="s">
        <v>1862</v>
      </c>
      <c r="B691" s="216" t="s">
        <v>4427</v>
      </c>
      <c r="C691" s="645">
        <v>259183</v>
      </c>
      <c r="D691" s="645">
        <v>257986</v>
      </c>
      <c r="G691" s="187">
        <v>230</v>
      </c>
      <c r="H691" s="187">
        <v>905</v>
      </c>
      <c r="I691" s="214" t="str">
        <f t="shared" si="10"/>
        <v>230-905</v>
      </c>
    </row>
    <row r="692" spans="1:9" ht="13.5" customHeight="1">
      <c r="A692" s="216" t="s">
        <v>3584</v>
      </c>
      <c r="B692" s="216" t="s">
        <v>4428</v>
      </c>
      <c r="C692" s="645">
        <v>240000</v>
      </c>
      <c r="D692" s="645">
        <v>255000</v>
      </c>
      <c r="G692" s="187">
        <v>230</v>
      </c>
      <c r="H692" s="187">
        <v>908</v>
      </c>
      <c r="I692" s="214" t="str">
        <f t="shared" si="10"/>
        <v>230-908</v>
      </c>
    </row>
    <row r="693" spans="1:9" ht="13.5" customHeight="1">
      <c r="A693" s="216" t="s">
        <v>3586</v>
      </c>
      <c r="B693" s="216" t="s">
        <v>4429</v>
      </c>
      <c r="C693" s="645">
        <v>421148</v>
      </c>
      <c r="D693" s="645">
        <v>423780</v>
      </c>
      <c r="G693" s="187">
        <v>231</v>
      </c>
      <c r="H693" s="187">
        <v>901</v>
      </c>
      <c r="I693" s="214" t="str">
        <f t="shared" si="10"/>
        <v>231-901</v>
      </c>
    </row>
    <row r="694" spans="1:9" ht="13.5" customHeight="1">
      <c r="A694" s="216" t="s">
        <v>3588</v>
      </c>
      <c r="B694" s="216" t="s">
        <v>4430</v>
      </c>
      <c r="C694" s="645">
        <v>567183</v>
      </c>
      <c r="D694" s="645">
        <v>570933</v>
      </c>
      <c r="G694" s="187">
        <v>231</v>
      </c>
      <c r="H694" s="187">
        <v>902</v>
      </c>
      <c r="I694" s="214" t="str">
        <f t="shared" si="10"/>
        <v>231-902</v>
      </c>
    </row>
    <row r="695" spans="1:9" ht="13.5" customHeight="1">
      <c r="A695" s="216" t="s">
        <v>6036</v>
      </c>
      <c r="B695" s="216" t="s">
        <v>4431</v>
      </c>
      <c r="C695" s="645">
        <v>89830</v>
      </c>
      <c r="D695" s="645">
        <v>92430</v>
      </c>
      <c r="G695" s="187">
        <v>232</v>
      </c>
      <c r="H695" s="187">
        <v>901</v>
      </c>
      <c r="I695" s="214" t="str">
        <f t="shared" si="10"/>
        <v>232-901</v>
      </c>
    </row>
    <row r="696" spans="1:9" ht="13.5" customHeight="1">
      <c r="A696" s="216" t="s">
        <v>2472</v>
      </c>
      <c r="B696" s="216" t="s">
        <v>4432</v>
      </c>
      <c r="C696" s="645">
        <v>128440</v>
      </c>
      <c r="D696" s="645">
        <v>125684</v>
      </c>
      <c r="G696" s="187">
        <v>232</v>
      </c>
      <c r="H696" s="187">
        <v>902</v>
      </c>
      <c r="I696" s="214" t="str">
        <f t="shared" si="10"/>
        <v>232-902</v>
      </c>
    </row>
    <row r="697" spans="1:9" ht="13.5" customHeight="1">
      <c r="A697" s="216" t="s">
        <v>2418</v>
      </c>
      <c r="B697" s="216" t="s">
        <v>4433</v>
      </c>
      <c r="C697" s="645">
        <v>2903069</v>
      </c>
      <c r="D697" s="645">
        <v>2903969</v>
      </c>
      <c r="G697" s="187">
        <v>232</v>
      </c>
      <c r="H697" s="187">
        <v>903</v>
      </c>
      <c r="I697" s="214" t="str">
        <f t="shared" si="10"/>
        <v>232-903</v>
      </c>
    </row>
    <row r="698" spans="1:9" ht="13.5" customHeight="1">
      <c r="A698" s="216" t="s">
        <v>2389</v>
      </c>
      <c r="B698" s="216" t="s">
        <v>4434</v>
      </c>
      <c r="C698" s="645">
        <v>2070730</v>
      </c>
      <c r="D698" s="645">
        <v>2076856</v>
      </c>
      <c r="G698" s="187">
        <v>233</v>
      </c>
      <c r="H698" s="187">
        <v>901</v>
      </c>
      <c r="I698" s="214" t="str">
        <f t="shared" si="10"/>
        <v>233-901</v>
      </c>
    </row>
    <row r="699" spans="1:9" ht="13.5" customHeight="1">
      <c r="A699" s="216" t="s">
        <v>3594</v>
      </c>
      <c r="B699" s="216" t="s">
        <v>4435</v>
      </c>
      <c r="C699" s="645">
        <v>277005</v>
      </c>
      <c r="D699" s="645">
        <v>275643</v>
      </c>
      <c r="G699" s="187">
        <v>233</v>
      </c>
      <c r="H699" s="187">
        <v>903</v>
      </c>
      <c r="I699" s="214" t="str">
        <f t="shared" si="10"/>
        <v>233-903</v>
      </c>
    </row>
    <row r="700" spans="1:9" ht="13.5" customHeight="1">
      <c r="A700" s="216" t="s">
        <v>6241</v>
      </c>
      <c r="B700" s="216" t="s">
        <v>4436</v>
      </c>
      <c r="C700" s="645">
        <v>1523226</v>
      </c>
      <c r="D700" s="645">
        <v>1569266</v>
      </c>
      <c r="G700" s="187">
        <v>234</v>
      </c>
      <c r="H700" s="187">
        <v>902</v>
      </c>
      <c r="I700" s="214" t="str">
        <f t="shared" si="10"/>
        <v>234-902</v>
      </c>
    </row>
    <row r="701" spans="1:9" ht="13.5" customHeight="1">
      <c r="A701" s="216" t="s">
        <v>6243</v>
      </c>
      <c r="B701" s="216" t="s">
        <v>5920</v>
      </c>
      <c r="C701" s="645">
        <v>559667</v>
      </c>
      <c r="D701" s="645">
        <v>556183</v>
      </c>
      <c r="G701" s="187">
        <v>234</v>
      </c>
      <c r="H701" s="187">
        <v>903</v>
      </c>
      <c r="I701" s="214" t="str">
        <f t="shared" si="10"/>
        <v>234-903</v>
      </c>
    </row>
    <row r="702" spans="1:9" ht="13.5" customHeight="1">
      <c r="A702" s="216" t="s">
        <v>1832</v>
      </c>
      <c r="B702" s="216" t="s">
        <v>4437</v>
      </c>
      <c r="C702" s="645">
        <v>583949</v>
      </c>
      <c r="D702" s="645">
        <v>585730</v>
      </c>
      <c r="G702" s="187">
        <v>234</v>
      </c>
      <c r="H702" s="187">
        <v>904</v>
      </c>
      <c r="I702" s="214" t="str">
        <f t="shared" si="10"/>
        <v>234-904</v>
      </c>
    </row>
    <row r="703" spans="1:9" ht="13.5" customHeight="1">
      <c r="A703" s="216" t="s">
        <v>6164</v>
      </c>
      <c r="B703" s="216" t="s">
        <v>4438</v>
      </c>
      <c r="C703" s="645">
        <v>163219</v>
      </c>
      <c r="D703" s="645">
        <v>166119</v>
      </c>
      <c r="G703" s="187">
        <v>234</v>
      </c>
      <c r="H703" s="187">
        <v>905</v>
      </c>
      <c r="I703" s="214" t="str">
        <f t="shared" si="10"/>
        <v>234-905</v>
      </c>
    </row>
    <row r="704" spans="1:9" ht="13.5" customHeight="1">
      <c r="A704" s="216" t="s">
        <v>6244</v>
      </c>
      <c r="B704" s="216" t="s">
        <v>4439</v>
      </c>
      <c r="C704" s="645">
        <v>390135</v>
      </c>
      <c r="D704" s="645">
        <v>373335</v>
      </c>
      <c r="G704" s="187">
        <v>234</v>
      </c>
      <c r="H704" s="187">
        <v>906</v>
      </c>
      <c r="I704" s="214" t="str">
        <f t="shared" si="10"/>
        <v>234-906</v>
      </c>
    </row>
    <row r="705" spans="1:9" ht="13.5" customHeight="1">
      <c r="A705" s="216" t="s">
        <v>6246</v>
      </c>
      <c r="B705" s="216" t="s">
        <v>4440</v>
      </c>
      <c r="C705" s="645">
        <v>761448</v>
      </c>
      <c r="D705" s="645">
        <v>754323</v>
      </c>
      <c r="G705" s="187">
        <v>234</v>
      </c>
      <c r="H705" s="187">
        <v>907</v>
      </c>
      <c r="I705" s="214" t="str">
        <f t="shared" si="10"/>
        <v>234-907</v>
      </c>
    </row>
    <row r="706" spans="1:9" ht="13.5" customHeight="1">
      <c r="A706" s="216" t="s">
        <v>1313</v>
      </c>
      <c r="B706" s="216" t="s">
        <v>4441</v>
      </c>
      <c r="C706" s="645">
        <v>95983</v>
      </c>
      <c r="D706" s="645">
        <v>94233</v>
      </c>
      <c r="G706" s="187">
        <v>234</v>
      </c>
      <c r="H706" s="187">
        <v>909</v>
      </c>
      <c r="I706" s="214" t="str">
        <f t="shared" si="10"/>
        <v>234-909</v>
      </c>
    </row>
    <row r="707" spans="1:9" ht="13.5" customHeight="1">
      <c r="A707" s="216" t="s">
        <v>955</v>
      </c>
      <c r="B707" s="216" t="s">
        <v>4442</v>
      </c>
      <c r="C707" s="645">
        <v>458123</v>
      </c>
      <c r="D707" s="645">
        <v>457173</v>
      </c>
      <c r="G707" s="187">
        <v>235</v>
      </c>
      <c r="H707" s="187">
        <v>901</v>
      </c>
      <c r="I707" s="214" t="str">
        <f t="shared" si="10"/>
        <v>235-901</v>
      </c>
    </row>
    <row r="708" spans="1:9" ht="13.5" customHeight="1">
      <c r="A708" s="216" t="s">
        <v>3552</v>
      </c>
      <c r="B708" s="216" t="s">
        <v>4443</v>
      </c>
      <c r="C708" s="645">
        <v>4584201</v>
      </c>
      <c r="D708" s="645">
        <v>4578271</v>
      </c>
      <c r="G708" s="187">
        <v>235</v>
      </c>
      <c r="H708" s="187">
        <v>902</v>
      </c>
      <c r="I708" s="214" t="str">
        <f t="shared" ref="I708:I767" si="11">F708&amp;G708&amp;"-"&amp;H708</f>
        <v>235-902</v>
      </c>
    </row>
    <row r="709" spans="1:9" ht="13.5" customHeight="1">
      <c r="A709" s="216" t="s">
        <v>6182</v>
      </c>
      <c r="B709" s="216" t="s">
        <v>4444</v>
      </c>
      <c r="C709" s="645">
        <v>706733</v>
      </c>
      <c r="D709" s="645">
        <v>707852</v>
      </c>
      <c r="G709" s="187">
        <v>236</v>
      </c>
      <c r="H709" s="187">
        <v>901</v>
      </c>
      <c r="I709" s="214" t="str">
        <f t="shared" si="11"/>
        <v>236-901</v>
      </c>
    </row>
    <row r="710" spans="1:9" ht="13.5" customHeight="1">
      <c r="A710" s="216" t="s">
        <v>6250</v>
      </c>
      <c r="B710" s="216" t="s">
        <v>4445</v>
      </c>
      <c r="C710" s="645">
        <v>4133347</v>
      </c>
      <c r="D710" s="645">
        <v>3920400</v>
      </c>
      <c r="G710" s="187">
        <v>236</v>
      </c>
      <c r="H710" s="187">
        <v>902</v>
      </c>
      <c r="I710" s="214" t="str">
        <f t="shared" si="11"/>
        <v>236-902</v>
      </c>
    </row>
    <row r="711" spans="1:9" ht="13.5" customHeight="1">
      <c r="A711" s="216" t="s">
        <v>5038</v>
      </c>
      <c r="B711" s="216" t="s">
        <v>4446</v>
      </c>
      <c r="C711" s="645">
        <v>1062029</v>
      </c>
      <c r="D711" s="645">
        <v>1064193</v>
      </c>
      <c r="G711" s="187">
        <v>237</v>
      </c>
      <c r="H711" s="187">
        <v>902</v>
      </c>
      <c r="I711" s="214" t="str">
        <f t="shared" si="11"/>
        <v>237-902</v>
      </c>
    </row>
    <row r="712" spans="1:9" ht="13.5" customHeight="1">
      <c r="A712" s="216" t="s">
        <v>5039</v>
      </c>
      <c r="B712" s="216" t="s">
        <v>4447</v>
      </c>
      <c r="C712" s="645">
        <v>5204364</v>
      </c>
      <c r="D712" s="645">
        <v>5750824</v>
      </c>
      <c r="G712" s="187">
        <v>237</v>
      </c>
      <c r="H712" s="187">
        <v>904</v>
      </c>
      <c r="I712" s="214" t="str">
        <f t="shared" si="11"/>
        <v>237-904</v>
      </c>
    </row>
    <row r="713" spans="1:9" ht="13.5" customHeight="1">
      <c r="A713" s="216" t="s">
        <v>2082</v>
      </c>
      <c r="B713" s="216" t="s">
        <v>4448</v>
      </c>
      <c r="C713" s="645">
        <v>972281</v>
      </c>
      <c r="D713" s="645">
        <v>950935</v>
      </c>
      <c r="G713" s="187">
        <v>237</v>
      </c>
      <c r="H713" s="187">
        <v>905</v>
      </c>
      <c r="I713" s="214" t="str">
        <f t="shared" si="11"/>
        <v>237-905</v>
      </c>
    </row>
    <row r="714" spans="1:9" ht="13.5" customHeight="1">
      <c r="A714" s="216" t="s">
        <v>2084</v>
      </c>
      <c r="B714" s="216" t="s">
        <v>4449</v>
      </c>
      <c r="C714" s="645">
        <v>0</v>
      </c>
      <c r="D714" s="645">
        <v>0</v>
      </c>
      <c r="G714" s="187">
        <v>238</v>
      </c>
      <c r="H714" s="187">
        <v>902</v>
      </c>
      <c r="I714" s="214" t="str">
        <f t="shared" si="11"/>
        <v>238-902</v>
      </c>
    </row>
    <row r="715" spans="1:9" ht="13.5" customHeight="1">
      <c r="A715" s="216" t="s">
        <v>2086</v>
      </c>
      <c r="B715" s="216" t="s">
        <v>4450</v>
      </c>
      <c r="C715" s="645">
        <v>86971</v>
      </c>
      <c r="D715" s="645">
        <v>83575</v>
      </c>
      <c r="G715" s="187">
        <v>238</v>
      </c>
      <c r="H715" s="187">
        <v>904</v>
      </c>
      <c r="I715" s="214" t="str">
        <f t="shared" si="11"/>
        <v>238-904</v>
      </c>
    </row>
    <row r="716" spans="1:9" ht="13.5" customHeight="1">
      <c r="A716" s="216" t="s">
        <v>2088</v>
      </c>
      <c r="B716" s="216" t="s">
        <v>4451</v>
      </c>
      <c r="C716" s="645">
        <v>2083088</v>
      </c>
      <c r="D716" s="645">
        <v>2089356</v>
      </c>
      <c r="G716" s="187">
        <v>239</v>
      </c>
      <c r="H716" s="187">
        <v>901</v>
      </c>
      <c r="I716" s="214" t="str">
        <f t="shared" si="11"/>
        <v>239-901</v>
      </c>
    </row>
    <row r="717" spans="1:9" ht="13.5" customHeight="1">
      <c r="A717" s="216" t="s">
        <v>2090</v>
      </c>
      <c r="B717" s="216" t="s">
        <v>4452</v>
      </c>
      <c r="C717" s="645">
        <v>77884</v>
      </c>
      <c r="D717" s="645">
        <v>75484</v>
      </c>
      <c r="G717" s="187">
        <v>239</v>
      </c>
      <c r="H717" s="187">
        <v>903</v>
      </c>
      <c r="I717" s="214" t="str">
        <f t="shared" si="11"/>
        <v>239-903</v>
      </c>
    </row>
    <row r="718" spans="1:9" ht="13.5" customHeight="1">
      <c r="A718" s="216" t="s">
        <v>2987</v>
      </c>
      <c r="B718" s="216" t="s">
        <v>4453</v>
      </c>
      <c r="C718" s="645">
        <v>12945492</v>
      </c>
      <c r="D718" s="645">
        <v>11571992</v>
      </c>
      <c r="G718" s="187">
        <v>240</v>
      </c>
      <c r="H718" s="187">
        <v>901</v>
      </c>
      <c r="I718" s="214" t="str">
        <f t="shared" si="11"/>
        <v>240-901</v>
      </c>
    </row>
    <row r="719" spans="1:9" ht="13.5" customHeight="1">
      <c r="A719" s="216" t="s">
        <v>2417</v>
      </c>
      <c r="B719" s="216" t="s">
        <v>4454</v>
      </c>
      <c r="C719" s="645">
        <v>20837921</v>
      </c>
      <c r="D719" s="645">
        <v>21993546</v>
      </c>
      <c r="G719" s="187">
        <v>240</v>
      </c>
      <c r="H719" s="187">
        <v>903</v>
      </c>
      <c r="I719" s="214" t="str">
        <f t="shared" si="11"/>
        <v>240-903</v>
      </c>
    </row>
    <row r="720" spans="1:9" ht="13.5" customHeight="1">
      <c r="A720" s="216" t="s">
        <v>78</v>
      </c>
      <c r="B720" s="216" t="s">
        <v>4455</v>
      </c>
      <c r="C720" s="645">
        <v>0</v>
      </c>
      <c r="D720" s="645">
        <v>0</v>
      </c>
      <c r="G720" s="187">
        <v>240</v>
      </c>
      <c r="H720" s="187">
        <v>904</v>
      </c>
      <c r="I720" s="214" t="str">
        <f t="shared" si="11"/>
        <v>240-904</v>
      </c>
    </row>
    <row r="721" spans="1:9" ht="13.5" customHeight="1">
      <c r="A721" s="216" t="s">
        <v>82</v>
      </c>
      <c r="B721" s="216" t="s">
        <v>4456</v>
      </c>
      <c r="C721" s="645">
        <v>369608</v>
      </c>
      <c r="D721" s="645">
        <v>363658</v>
      </c>
      <c r="G721" s="187">
        <v>241</v>
      </c>
      <c r="H721" s="187">
        <v>902</v>
      </c>
      <c r="I721" s="214" t="str">
        <f t="shared" si="11"/>
        <v>241-902</v>
      </c>
    </row>
    <row r="722" spans="1:9" ht="13.5" customHeight="1">
      <c r="A722" s="216" t="s">
        <v>84</v>
      </c>
      <c r="B722" s="216" t="s">
        <v>4457</v>
      </c>
      <c r="C722" s="645">
        <v>674423</v>
      </c>
      <c r="D722" s="645">
        <v>662070</v>
      </c>
      <c r="G722" s="187">
        <v>241</v>
      </c>
      <c r="H722" s="187">
        <v>903</v>
      </c>
      <c r="I722" s="214" t="str">
        <f t="shared" si="11"/>
        <v>241-903</v>
      </c>
    </row>
    <row r="723" spans="1:9" ht="13.5" customHeight="1">
      <c r="A723" s="216" t="s">
        <v>86</v>
      </c>
      <c r="B723" s="216" t="s">
        <v>4458</v>
      </c>
      <c r="C723" s="645">
        <v>0</v>
      </c>
      <c r="D723" s="645">
        <v>0</v>
      </c>
      <c r="G723" s="187">
        <v>241</v>
      </c>
      <c r="H723" s="187">
        <v>904</v>
      </c>
      <c r="I723" s="214" t="str">
        <f t="shared" si="11"/>
        <v>241-904</v>
      </c>
    </row>
    <row r="724" spans="1:9" ht="13.5" customHeight="1">
      <c r="A724" s="216" t="s">
        <v>88</v>
      </c>
      <c r="B724" s="216" t="s">
        <v>4459</v>
      </c>
      <c r="C724" s="645">
        <v>265994</v>
      </c>
      <c r="D724" s="645">
        <v>268081</v>
      </c>
      <c r="G724" s="187">
        <v>241</v>
      </c>
      <c r="H724" s="187">
        <v>906</v>
      </c>
      <c r="I724" s="214" t="str">
        <f t="shared" si="11"/>
        <v>241-906</v>
      </c>
    </row>
    <row r="725" spans="1:9" ht="13.5" customHeight="1">
      <c r="A725" s="216" t="s">
        <v>2334</v>
      </c>
      <c r="B725" s="216" t="s">
        <v>4460</v>
      </c>
      <c r="C725" s="645">
        <v>350125</v>
      </c>
      <c r="D725" s="645">
        <v>214625</v>
      </c>
      <c r="G725" s="187">
        <v>242</v>
      </c>
      <c r="H725" s="187">
        <v>906</v>
      </c>
      <c r="I725" s="214" t="str">
        <f t="shared" si="11"/>
        <v>242-906</v>
      </c>
    </row>
    <row r="726" spans="1:9" ht="13.5" customHeight="1">
      <c r="A726" s="216" t="s">
        <v>962</v>
      </c>
      <c r="B726" s="216" t="s">
        <v>4461</v>
      </c>
      <c r="C726" s="645">
        <v>1561337</v>
      </c>
      <c r="D726" s="645">
        <v>1564146</v>
      </c>
      <c r="G726" s="187">
        <v>243</v>
      </c>
      <c r="H726" s="187">
        <v>901</v>
      </c>
      <c r="I726" s="214" t="str">
        <f t="shared" si="11"/>
        <v>243-901</v>
      </c>
    </row>
    <row r="727" spans="1:9" ht="13.5" customHeight="1">
      <c r="A727" s="216" t="s">
        <v>2336</v>
      </c>
      <c r="B727" s="216" t="s">
        <v>4462</v>
      </c>
      <c r="C727" s="645">
        <v>197550</v>
      </c>
      <c r="D727" s="645">
        <v>195675</v>
      </c>
      <c r="G727" s="187">
        <v>243</v>
      </c>
      <c r="H727" s="187">
        <v>902</v>
      </c>
      <c r="I727" s="214" t="str">
        <f t="shared" si="11"/>
        <v>243-902</v>
      </c>
    </row>
    <row r="728" spans="1:9" ht="13.5" customHeight="1">
      <c r="A728" s="216" t="s">
        <v>2338</v>
      </c>
      <c r="B728" s="216" t="s">
        <v>4463</v>
      </c>
      <c r="C728" s="645">
        <v>541934</v>
      </c>
      <c r="D728" s="645">
        <v>570432</v>
      </c>
      <c r="G728" s="187">
        <v>243</v>
      </c>
      <c r="H728" s="187">
        <v>903</v>
      </c>
      <c r="I728" s="214" t="str">
        <f t="shared" si="11"/>
        <v>243-903</v>
      </c>
    </row>
    <row r="729" spans="1:9" ht="13.5" customHeight="1">
      <c r="A729" s="216" t="s">
        <v>2340</v>
      </c>
      <c r="B729" s="216" t="s">
        <v>4464</v>
      </c>
      <c r="C729" s="645">
        <v>3170366</v>
      </c>
      <c r="D729" s="645">
        <v>3169109</v>
      </c>
      <c r="G729" s="187">
        <v>243</v>
      </c>
      <c r="H729" s="187">
        <v>905</v>
      </c>
      <c r="I729" s="214" t="str">
        <f t="shared" si="11"/>
        <v>243-905</v>
      </c>
    </row>
    <row r="730" spans="1:9" ht="13.5" customHeight="1">
      <c r="A730" s="216" t="s">
        <v>738</v>
      </c>
      <c r="B730" s="216" t="s">
        <v>4465</v>
      </c>
      <c r="C730" s="645">
        <v>720000</v>
      </c>
      <c r="D730" s="645">
        <v>720000</v>
      </c>
      <c r="G730" s="187">
        <v>243</v>
      </c>
      <c r="H730" s="187">
        <v>906</v>
      </c>
      <c r="I730" s="214" t="str">
        <f t="shared" si="11"/>
        <v>243-906</v>
      </c>
    </row>
    <row r="731" spans="1:9" ht="13.5" customHeight="1">
      <c r="A731" s="216" t="s">
        <v>608</v>
      </c>
      <c r="B731" s="216" t="s">
        <v>4466</v>
      </c>
      <c r="C731" s="645">
        <v>788233</v>
      </c>
      <c r="D731" s="645">
        <v>820000</v>
      </c>
      <c r="G731" s="187">
        <v>244</v>
      </c>
      <c r="H731" s="187">
        <v>903</v>
      </c>
      <c r="I731" s="214" t="str">
        <f t="shared" si="11"/>
        <v>244-903</v>
      </c>
    </row>
    <row r="732" spans="1:9" ht="13.5" customHeight="1">
      <c r="A732" s="216" t="s">
        <v>6145</v>
      </c>
      <c r="B732" s="216" t="s">
        <v>4467</v>
      </c>
      <c r="C732" s="645">
        <v>211936</v>
      </c>
      <c r="D732" s="645">
        <v>217555</v>
      </c>
      <c r="G732" s="187">
        <v>245</v>
      </c>
      <c r="H732" s="187">
        <v>901</v>
      </c>
      <c r="I732" s="214" t="str">
        <f t="shared" si="11"/>
        <v>245-901</v>
      </c>
    </row>
    <row r="733" spans="1:9" ht="13.5" customHeight="1">
      <c r="A733" s="216" t="s">
        <v>2998</v>
      </c>
      <c r="B733" s="216" t="s">
        <v>4468</v>
      </c>
      <c r="C733" s="645">
        <v>769168</v>
      </c>
      <c r="D733" s="645">
        <v>881109</v>
      </c>
      <c r="G733" s="187">
        <v>245</v>
      </c>
      <c r="H733" s="187">
        <v>902</v>
      </c>
      <c r="I733" s="214" t="str">
        <f t="shared" si="11"/>
        <v>245-902</v>
      </c>
    </row>
    <row r="734" spans="1:9" ht="13.5" customHeight="1">
      <c r="A734" s="216" t="s">
        <v>2766</v>
      </c>
      <c r="B734" s="216" t="s">
        <v>4469</v>
      </c>
      <c r="C734" s="645">
        <v>1266621</v>
      </c>
      <c r="D734" s="645">
        <v>1258585</v>
      </c>
      <c r="G734" s="187">
        <v>245</v>
      </c>
      <c r="H734" s="187">
        <v>903</v>
      </c>
      <c r="I734" s="214" t="str">
        <f t="shared" si="11"/>
        <v>245-903</v>
      </c>
    </row>
    <row r="735" spans="1:9" ht="13.5" customHeight="1">
      <c r="A735" s="216" t="s">
        <v>5040</v>
      </c>
      <c r="B735" s="216" t="s">
        <v>4470</v>
      </c>
      <c r="C735" s="645">
        <v>96758</v>
      </c>
      <c r="D735" s="645">
        <v>95633</v>
      </c>
      <c r="G735" s="187">
        <v>245</v>
      </c>
      <c r="H735" s="187">
        <v>904</v>
      </c>
      <c r="I735" s="214" t="str">
        <f t="shared" si="11"/>
        <v>245-904</v>
      </c>
    </row>
    <row r="736" spans="1:9" ht="13.5" customHeight="1">
      <c r="A736" s="216" t="s">
        <v>1307</v>
      </c>
      <c r="B736" s="216" t="s">
        <v>4471</v>
      </c>
      <c r="C736" s="645">
        <v>932871</v>
      </c>
      <c r="D736" s="645">
        <v>906551</v>
      </c>
      <c r="G736" s="187">
        <v>246</v>
      </c>
      <c r="H736" s="187">
        <v>902</v>
      </c>
      <c r="I736" s="214" t="str">
        <f t="shared" si="11"/>
        <v>246-902</v>
      </c>
    </row>
    <row r="737" spans="1:9" ht="13.5" customHeight="1">
      <c r="A737" s="216" t="s">
        <v>1319</v>
      </c>
      <c r="B737" s="216" t="s">
        <v>4472</v>
      </c>
      <c r="C737" s="645">
        <v>7071386</v>
      </c>
      <c r="D737" s="645">
        <v>7341161</v>
      </c>
      <c r="G737" s="187">
        <v>246</v>
      </c>
      <c r="H737" s="187">
        <v>904</v>
      </c>
      <c r="I737" s="214" t="str">
        <f t="shared" si="11"/>
        <v>246-904</v>
      </c>
    </row>
    <row r="738" spans="1:9" ht="13.5" customHeight="1">
      <c r="A738" s="216" t="s">
        <v>1856</v>
      </c>
      <c r="B738" s="216" t="s">
        <v>4473</v>
      </c>
      <c r="C738" s="645">
        <v>106253</v>
      </c>
      <c r="D738" s="645">
        <v>104205</v>
      </c>
      <c r="G738" s="187">
        <v>246</v>
      </c>
      <c r="H738" s="187">
        <v>905</v>
      </c>
      <c r="I738" s="214" t="str">
        <f t="shared" si="11"/>
        <v>246-905</v>
      </c>
    </row>
    <row r="739" spans="1:9" ht="13.5" customHeight="1">
      <c r="A739" s="216" t="s">
        <v>6020</v>
      </c>
      <c r="B739" s="216" t="s">
        <v>4474</v>
      </c>
      <c r="C739" s="645">
        <v>3626777</v>
      </c>
      <c r="D739" s="645">
        <v>3163791</v>
      </c>
      <c r="G739" s="187">
        <v>246</v>
      </c>
      <c r="H739" s="187">
        <v>906</v>
      </c>
      <c r="I739" s="214" t="str">
        <f t="shared" si="11"/>
        <v>246-906</v>
      </c>
    </row>
    <row r="740" spans="1:9" ht="13.5" customHeight="1">
      <c r="A740" s="216" t="s">
        <v>611</v>
      </c>
      <c r="B740" s="216" t="s">
        <v>4475</v>
      </c>
      <c r="C740" s="645">
        <v>214475</v>
      </c>
      <c r="D740" s="645">
        <v>207975</v>
      </c>
      <c r="G740" s="187">
        <v>246</v>
      </c>
      <c r="H740" s="187">
        <v>907</v>
      </c>
      <c r="I740" s="214" t="str">
        <f t="shared" si="11"/>
        <v>246-907</v>
      </c>
    </row>
    <row r="741" spans="1:9" ht="13.5" customHeight="1">
      <c r="A741" s="216" t="s">
        <v>2990</v>
      </c>
      <c r="B741" s="216" t="s">
        <v>4476</v>
      </c>
      <c r="C741" s="645">
        <v>1065748</v>
      </c>
      <c r="D741" s="645">
        <v>1007947</v>
      </c>
      <c r="G741" s="187">
        <v>246</v>
      </c>
      <c r="H741" s="187">
        <v>908</v>
      </c>
      <c r="I741" s="214" t="str">
        <f t="shared" si="11"/>
        <v>246-908</v>
      </c>
    </row>
    <row r="742" spans="1:9" ht="13.5" customHeight="1">
      <c r="A742" s="216" t="s">
        <v>2382</v>
      </c>
      <c r="B742" s="216" t="s">
        <v>4477</v>
      </c>
      <c r="C742" s="645">
        <v>46778386</v>
      </c>
      <c r="D742" s="645">
        <v>47382571</v>
      </c>
      <c r="G742" s="187">
        <v>246</v>
      </c>
      <c r="H742" s="187">
        <v>909</v>
      </c>
      <c r="I742" s="214" t="str">
        <f t="shared" si="11"/>
        <v>246-909</v>
      </c>
    </row>
    <row r="743" spans="1:9" ht="13.5" customHeight="1">
      <c r="A743" s="216" t="s">
        <v>2473</v>
      </c>
      <c r="B743" s="216" t="s">
        <v>4478</v>
      </c>
      <c r="C743" s="645">
        <v>1695306</v>
      </c>
      <c r="D743" s="645">
        <v>1674356</v>
      </c>
      <c r="G743" s="187">
        <v>246</v>
      </c>
      <c r="H743" s="187">
        <v>911</v>
      </c>
      <c r="I743" s="214" t="str">
        <f t="shared" si="11"/>
        <v>246-911</v>
      </c>
    </row>
    <row r="744" spans="1:9" ht="13.5" customHeight="1">
      <c r="A744" s="216" t="s">
        <v>2412</v>
      </c>
      <c r="B744" s="216" t="s">
        <v>4479</v>
      </c>
      <c r="C744" s="645">
        <v>263909</v>
      </c>
      <c r="D744" s="645">
        <v>261918</v>
      </c>
      <c r="G744" s="187">
        <v>246</v>
      </c>
      <c r="H744" s="187">
        <v>912</v>
      </c>
      <c r="I744" s="214" t="str">
        <f t="shared" si="11"/>
        <v>246-912</v>
      </c>
    </row>
    <row r="745" spans="1:9" ht="13.5" customHeight="1">
      <c r="A745" s="216" t="s">
        <v>2988</v>
      </c>
      <c r="B745" s="216" t="s">
        <v>4480</v>
      </c>
      <c r="C745" s="645">
        <v>23236101</v>
      </c>
      <c r="D745" s="645">
        <v>29745654</v>
      </c>
      <c r="G745" s="187">
        <v>246</v>
      </c>
      <c r="H745" s="187">
        <v>913</v>
      </c>
      <c r="I745" s="214" t="str">
        <f t="shared" si="11"/>
        <v>246-913</v>
      </c>
    </row>
    <row r="746" spans="1:9" ht="13.5" customHeight="1">
      <c r="A746" s="216" t="s">
        <v>5041</v>
      </c>
      <c r="B746" s="216" t="s">
        <v>4481</v>
      </c>
      <c r="C746" s="645">
        <v>1632436</v>
      </c>
      <c r="D746" s="645">
        <v>1627162</v>
      </c>
      <c r="G746" s="187">
        <v>247</v>
      </c>
      <c r="H746" s="187">
        <v>901</v>
      </c>
      <c r="I746" s="214" t="str">
        <f t="shared" si="11"/>
        <v>247-901</v>
      </c>
    </row>
    <row r="747" spans="1:9" ht="13.5" customHeight="1">
      <c r="A747" s="216" t="s">
        <v>6039</v>
      </c>
      <c r="B747" s="216" t="s">
        <v>4482</v>
      </c>
      <c r="C747" s="645">
        <v>1390664</v>
      </c>
      <c r="D747" s="645">
        <v>1379864</v>
      </c>
      <c r="G747" s="187">
        <v>247</v>
      </c>
      <c r="H747" s="187">
        <v>903</v>
      </c>
      <c r="I747" s="214" t="str">
        <f t="shared" si="11"/>
        <v>247-903</v>
      </c>
    </row>
    <row r="748" spans="1:9" ht="13.5" customHeight="1">
      <c r="A748" s="216" t="s">
        <v>5043</v>
      </c>
      <c r="B748" s="216" t="s">
        <v>4483</v>
      </c>
      <c r="C748" s="645">
        <v>152125</v>
      </c>
      <c r="D748" s="645">
        <v>154375</v>
      </c>
      <c r="G748" s="187">
        <v>247</v>
      </c>
      <c r="H748" s="187">
        <v>904</v>
      </c>
      <c r="I748" s="214" t="str">
        <f t="shared" si="11"/>
        <v>247-904</v>
      </c>
    </row>
    <row r="749" spans="1:9" ht="13.5" customHeight="1">
      <c r="A749" s="216" t="s">
        <v>2409</v>
      </c>
      <c r="B749" s="216" t="s">
        <v>4484</v>
      </c>
      <c r="C749" s="645">
        <v>165382</v>
      </c>
      <c r="D749" s="645">
        <v>159284</v>
      </c>
      <c r="G749" s="187">
        <v>247</v>
      </c>
      <c r="H749" s="187">
        <v>906</v>
      </c>
      <c r="I749" s="214" t="str">
        <f t="shared" si="11"/>
        <v>247-906</v>
      </c>
    </row>
    <row r="750" spans="1:9" ht="13.5" customHeight="1">
      <c r="A750" s="216" t="s">
        <v>3889</v>
      </c>
      <c r="B750" s="216" t="s">
        <v>4485</v>
      </c>
      <c r="C750" s="645">
        <v>374589</v>
      </c>
      <c r="D750" s="645">
        <v>376359</v>
      </c>
      <c r="G750" s="187">
        <v>249</v>
      </c>
      <c r="H750" s="187">
        <v>901</v>
      </c>
      <c r="I750" s="214" t="str">
        <f t="shared" si="11"/>
        <v>249-901</v>
      </c>
    </row>
    <row r="751" spans="1:9" ht="13.5" customHeight="1">
      <c r="A751" s="216" t="s">
        <v>619</v>
      </c>
      <c r="B751" s="216" t="s">
        <v>4486</v>
      </c>
      <c r="C751" s="645">
        <v>554610</v>
      </c>
      <c r="D751" s="645">
        <v>554200</v>
      </c>
      <c r="G751" s="187">
        <v>249</v>
      </c>
      <c r="H751" s="187">
        <v>902</v>
      </c>
      <c r="I751" s="214" t="str">
        <f t="shared" si="11"/>
        <v>249-902</v>
      </c>
    </row>
    <row r="752" spans="1:9" ht="13.5" customHeight="1">
      <c r="A752" s="216" t="s">
        <v>1328</v>
      </c>
      <c r="B752" s="216" t="s">
        <v>4487</v>
      </c>
      <c r="C752" s="645">
        <v>2505383</v>
      </c>
      <c r="D752" s="645">
        <v>1847883</v>
      </c>
      <c r="G752" s="187">
        <v>249</v>
      </c>
      <c r="H752" s="187">
        <v>903</v>
      </c>
      <c r="I752" s="214" t="str">
        <f t="shared" si="11"/>
        <v>249-903</v>
      </c>
    </row>
    <row r="753" spans="1:9" ht="13.5" customHeight="1">
      <c r="A753" s="216" t="s">
        <v>6708</v>
      </c>
      <c r="B753" s="216" t="s">
        <v>4488</v>
      </c>
      <c r="C753" s="645">
        <v>278295</v>
      </c>
      <c r="D753" s="645">
        <v>278295</v>
      </c>
      <c r="G753" s="187">
        <v>249</v>
      </c>
      <c r="H753" s="187">
        <v>904</v>
      </c>
      <c r="I753" s="214" t="str">
        <f t="shared" si="11"/>
        <v>249-904</v>
      </c>
    </row>
    <row r="754" spans="1:9" ht="13.5" customHeight="1">
      <c r="A754" s="216" t="s">
        <v>6710</v>
      </c>
      <c r="B754" s="216" t="s">
        <v>4489</v>
      </c>
      <c r="C754" s="645">
        <v>3469899</v>
      </c>
      <c r="D754" s="645">
        <v>3608537</v>
      </c>
      <c r="G754" s="187">
        <v>249</v>
      </c>
      <c r="H754" s="187">
        <v>905</v>
      </c>
      <c r="I754" s="214" t="str">
        <f t="shared" si="11"/>
        <v>249-905</v>
      </c>
    </row>
    <row r="755" spans="1:9" ht="13.5" customHeight="1">
      <c r="A755" s="216" t="s">
        <v>6192</v>
      </c>
      <c r="B755" s="216" t="s">
        <v>4490</v>
      </c>
      <c r="C755" s="645">
        <v>795846</v>
      </c>
      <c r="D755" s="645">
        <v>794291</v>
      </c>
      <c r="G755" s="187">
        <v>249</v>
      </c>
      <c r="H755" s="187">
        <v>906</v>
      </c>
      <c r="I755" s="214" t="str">
        <f t="shared" si="11"/>
        <v>249-906</v>
      </c>
    </row>
    <row r="756" spans="1:9" ht="13.5" customHeight="1">
      <c r="A756" s="216" t="s">
        <v>2400</v>
      </c>
      <c r="B756" s="216" t="s">
        <v>4491</v>
      </c>
      <c r="C756" s="645">
        <v>225139</v>
      </c>
      <c r="D756" s="645">
        <v>224147</v>
      </c>
      <c r="G756" s="187">
        <v>249</v>
      </c>
      <c r="H756" s="187">
        <v>908</v>
      </c>
      <c r="I756" s="214" t="str">
        <f t="shared" si="11"/>
        <v>249-908</v>
      </c>
    </row>
    <row r="757" spans="1:9" ht="13.5" customHeight="1">
      <c r="A757" s="216" t="s">
        <v>6712</v>
      </c>
      <c r="B757" s="216" t="s">
        <v>4492</v>
      </c>
      <c r="C757" s="645">
        <v>0</v>
      </c>
      <c r="D757" s="645">
        <v>0</v>
      </c>
      <c r="G757" s="187">
        <v>250</v>
      </c>
      <c r="H757" s="187">
        <v>902</v>
      </c>
      <c r="I757" s="214" t="str">
        <f t="shared" si="11"/>
        <v>250-902</v>
      </c>
    </row>
    <row r="758" spans="1:9" ht="13.5" customHeight="1">
      <c r="A758" s="216" t="s">
        <v>6716</v>
      </c>
      <c r="B758" s="216" t="s">
        <v>4493</v>
      </c>
      <c r="C758" s="645">
        <v>341718</v>
      </c>
      <c r="D758" s="645">
        <v>337493</v>
      </c>
      <c r="G758" s="187">
        <v>250</v>
      </c>
      <c r="H758" s="187">
        <v>904</v>
      </c>
      <c r="I758" s="214" t="str">
        <f t="shared" si="11"/>
        <v>250-904</v>
      </c>
    </row>
    <row r="759" spans="1:9" ht="13.5" customHeight="1">
      <c r="A759" s="216" t="s">
        <v>6718</v>
      </c>
      <c r="B759" s="216" t="s">
        <v>4494</v>
      </c>
      <c r="C759" s="645">
        <v>176831</v>
      </c>
      <c r="D759" s="645">
        <v>173644</v>
      </c>
      <c r="G759" s="187">
        <v>250</v>
      </c>
      <c r="H759" s="187">
        <v>905</v>
      </c>
      <c r="I759" s="214" t="str">
        <f t="shared" si="11"/>
        <v>250-905</v>
      </c>
    </row>
    <row r="760" spans="1:9" ht="13.5" customHeight="1">
      <c r="A760" s="216" t="s">
        <v>2443</v>
      </c>
      <c r="B760" s="216" t="s">
        <v>4495</v>
      </c>
      <c r="C760" s="645">
        <v>152155</v>
      </c>
      <c r="D760" s="645">
        <v>149855</v>
      </c>
      <c r="G760" s="187">
        <v>250</v>
      </c>
      <c r="H760" s="187">
        <v>906</v>
      </c>
      <c r="I760" s="214" t="str">
        <f t="shared" si="11"/>
        <v>250-906</v>
      </c>
    </row>
    <row r="761" spans="1:9" ht="13.5" customHeight="1">
      <c r="A761" s="216" t="s">
        <v>2447</v>
      </c>
      <c r="B761" s="216" t="s">
        <v>4496</v>
      </c>
      <c r="C761" s="645">
        <v>1738950</v>
      </c>
      <c r="D761" s="645">
        <v>1760445</v>
      </c>
      <c r="G761" s="187">
        <v>251</v>
      </c>
      <c r="H761" s="187">
        <v>901</v>
      </c>
      <c r="I761" s="214" t="str">
        <f t="shared" si="11"/>
        <v>251-901</v>
      </c>
    </row>
    <row r="762" spans="1:9" ht="13.5" customHeight="1">
      <c r="A762" s="216" t="s">
        <v>905</v>
      </c>
      <c r="B762" s="216" t="s">
        <v>4497</v>
      </c>
      <c r="C762" s="645">
        <v>716213</v>
      </c>
      <c r="D762" s="645" t="s">
        <v>6153</v>
      </c>
      <c r="G762" s="187">
        <v>251</v>
      </c>
      <c r="H762" s="187">
        <v>902</v>
      </c>
      <c r="I762" s="214" t="str">
        <f t="shared" si="11"/>
        <v>251-902</v>
      </c>
    </row>
    <row r="763" spans="1:9" ht="13.5" customHeight="1">
      <c r="A763" s="216" t="s">
        <v>1854</v>
      </c>
      <c r="B763" s="216" t="s">
        <v>4498</v>
      </c>
      <c r="C763" s="645">
        <v>573060</v>
      </c>
      <c r="D763" s="645">
        <v>572825</v>
      </c>
      <c r="G763" s="187">
        <v>252</v>
      </c>
      <c r="H763" s="187">
        <v>901</v>
      </c>
      <c r="I763" s="214" t="str">
        <f t="shared" si="11"/>
        <v>252-901</v>
      </c>
    </row>
    <row r="764" spans="1:9" ht="13.5" customHeight="1">
      <c r="A764" s="216" t="s">
        <v>6146</v>
      </c>
      <c r="B764" s="216" t="s">
        <v>4499</v>
      </c>
      <c r="C764" s="645">
        <v>425346</v>
      </c>
      <c r="D764" s="645">
        <v>427518</v>
      </c>
      <c r="G764" s="187">
        <v>252</v>
      </c>
      <c r="H764" s="187">
        <v>903</v>
      </c>
      <c r="I764" s="214" t="str">
        <f t="shared" si="11"/>
        <v>252-903</v>
      </c>
    </row>
    <row r="765" spans="1:9" ht="13.5" customHeight="1">
      <c r="A765" s="216" t="s">
        <v>909</v>
      </c>
      <c r="B765" s="216" t="s">
        <v>4500</v>
      </c>
      <c r="C765" s="645">
        <v>3697982</v>
      </c>
      <c r="D765" s="645">
        <v>3695682</v>
      </c>
      <c r="G765" s="187">
        <v>253</v>
      </c>
      <c r="H765" s="187">
        <v>901</v>
      </c>
      <c r="I765" s="214" t="str">
        <f t="shared" si="11"/>
        <v>253-901</v>
      </c>
    </row>
    <row r="766" spans="1:9" ht="13.5" customHeight="1">
      <c r="A766" s="216" t="s">
        <v>247</v>
      </c>
      <c r="B766" s="216" t="s">
        <v>4501</v>
      </c>
      <c r="C766" s="645">
        <v>941453</v>
      </c>
      <c r="D766" s="645">
        <v>1041806</v>
      </c>
      <c r="G766" s="187">
        <v>254</v>
      </c>
      <c r="H766" s="187">
        <v>901</v>
      </c>
      <c r="I766" s="214" t="str">
        <f t="shared" si="11"/>
        <v>254-901</v>
      </c>
    </row>
    <row r="767" spans="1:9" ht="13.5" customHeight="1">
      <c r="A767" s="216" t="s">
        <v>1527</v>
      </c>
      <c r="B767" s="216" t="s">
        <v>4502</v>
      </c>
      <c r="C767" s="645">
        <v>175838</v>
      </c>
      <c r="D767" s="645">
        <v>96775</v>
      </c>
      <c r="G767" s="187">
        <v>254</v>
      </c>
      <c r="H767" s="187">
        <v>902</v>
      </c>
      <c r="I767" s="214" t="str">
        <f t="shared" si="11"/>
        <v>254-902</v>
      </c>
    </row>
    <row r="768" spans="1:9" ht="13.5" customHeight="1">
      <c r="A768" s="634" t="s">
        <v>3471</v>
      </c>
      <c r="B768" s="634" t="s">
        <v>3485</v>
      </c>
      <c r="C768" s="635" t="s">
        <v>3486</v>
      </c>
      <c r="D768" s="635" t="s">
        <v>3487</v>
      </c>
      <c r="G768" s="637" t="s">
        <v>3471</v>
      </c>
    </row>
  </sheetData>
  <phoneticPr fontId="33" type="noConversion"/>
  <pageMargins left="0.75" right="0.75" top="1" bottom="1" header="0.5" footer="0.5"/>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dimension ref="A1:T65536"/>
  <sheetViews>
    <sheetView workbookViewId="0">
      <selection activeCell="E45" sqref="E45"/>
    </sheetView>
  </sheetViews>
  <sheetFormatPr defaultColWidth="9.21875" defaultRowHeight="13.2"/>
  <cols>
    <col min="1" max="1" width="10.77734375" style="788" customWidth="1"/>
    <col min="2" max="2" width="27.5546875" style="187" customWidth="1"/>
    <col min="3" max="3" width="17.21875" style="215" customWidth="1"/>
    <col min="4" max="4" width="18.44140625" style="215" customWidth="1"/>
    <col min="5" max="5" width="15.77734375" style="215" customWidth="1"/>
    <col min="6" max="6" width="18.44140625" style="215" customWidth="1"/>
    <col min="7" max="7" width="26.21875" style="215" bestFit="1" customWidth="1"/>
    <col min="8" max="8" width="17.77734375" style="187" customWidth="1"/>
    <col min="9" max="9" width="9.77734375" style="682" hidden="1" customWidth="1"/>
    <col min="10" max="18" width="0" style="187" hidden="1" customWidth="1"/>
    <col min="19" max="19" width="0" style="423" hidden="1" customWidth="1"/>
    <col min="20" max="20" width="0" style="187" hidden="1" customWidth="1"/>
    <col min="21" max="16384" width="9.21875" style="187"/>
  </cols>
  <sheetData>
    <row r="1" spans="1:20" s="471" customFormat="1">
      <c r="A1" s="477" t="s">
        <v>3471</v>
      </c>
      <c r="B1" s="471" t="s">
        <v>1759</v>
      </c>
      <c r="C1" s="472" t="s">
        <v>6849</v>
      </c>
      <c r="D1" s="472" t="s">
        <v>6850</v>
      </c>
      <c r="E1" s="670" t="s">
        <v>6851</v>
      </c>
      <c r="F1" s="670" t="s">
        <v>6852</v>
      </c>
      <c r="G1" s="670" t="s">
        <v>6833</v>
      </c>
      <c r="I1" s="671"/>
      <c r="S1" s="672"/>
    </row>
    <row r="2" spans="1:20" s="676" customFormat="1">
      <c r="A2" s="673" t="str">
        <f>'Data Entry - SOF'!B2</f>
        <v>000-000</v>
      </c>
      <c r="B2" s="674" t="e">
        <f>VLOOKUP($A2,$A3:$G1298,2,FALSE)</f>
        <v>#N/A</v>
      </c>
      <c r="C2" s="675" t="e">
        <f>VLOOKUP($A2,$A3:$G1298,3,FALSE)</f>
        <v>#N/A</v>
      </c>
      <c r="D2" s="675" t="e">
        <f>VLOOKUP($A2,$A3:$G1298,4,FALSE)</f>
        <v>#N/A</v>
      </c>
      <c r="E2" s="675" t="e">
        <f>VLOOKUP($A2,$A3:$G1298,5,FALSE)</f>
        <v>#N/A</v>
      </c>
      <c r="F2" s="675" t="e">
        <f>D2+E2</f>
        <v>#N/A</v>
      </c>
      <c r="G2" s="675" t="e">
        <f>VLOOKUP($A2,$A3:$G1298,7,FALSE)</f>
        <v>#N/A</v>
      </c>
      <c r="I2" s="677"/>
      <c r="S2" s="678"/>
    </row>
    <row r="3" spans="1:20">
      <c r="A3" s="788" t="s">
        <v>3890</v>
      </c>
      <c r="B3" s="187" t="s">
        <v>1763</v>
      </c>
      <c r="C3" s="215">
        <v>0</v>
      </c>
      <c r="D3" s="215">
        <v>3720963</v>
      </c>
      <c r="F3" s="215">
        <f>D3+E3</f>
        <v>3720963</v>
      </c>
      <c r="G3" s="215">
        <f>F3+C3</f>
        <v>3720963</v>
      </c>
      <c r="H3" s="680" t="s">
        <v>6153</v>
      </c>
      <c r="I3" s="681" t="s">
        <v>3472</v>
      </c>
      <c r="J3" s="187" t="str">
        <f>+A3</f>
        <v>001-902</v>
      </c>
      <c r="K3" s="187">
        <v>1</v>
      </c>
      <c r="L3" s="187">
        <v>902</v>
      </c>
      <c r="M3" s="187" t="str">
        <f>+I3&amp;K3</f>
        <v>001</v>
      </c>
      <c r="N3" s="187">
        <f>+L3</f>
        <v>902</v>
      </c>
      <c r="O3" s="187" t="str">
        <f>+M3&amp;"-"&amp;N3</f>
        <v>001-902</v>
      </c>
      <c r="Q3" s="679">
        <v>1902</v>
      </c>
      <c r="S3" s="423" t="s">
        <v>3476</v>
      </c>
      <c r="T3" s="187" t="str">
        <f>+S3&amp;"-"&amp;N3</f>
        <v>001-902</v>
      </c>
    </row>
    <row r="4" spans="1:20">
      <c r="A4" s="788" t="s">
        <v>694</v>
      </c>
      <c r="B4" s="187" t="s">
        <v>1764</v>
      </c>
      <c r="C4" s="215">
        <v>0</v>
      </c>
      <c r="D4" s="215">
        <v>2113294</v>
      </c>
      <c r="F4" s="215">
        <f t="shared" ref="F4:F67" si="0">D4+E4</f>
        <v>2113294</v>
      </c>
      <c r="G4" s="215">
        <f t="shared" ref="G4:G67" si="1">F4+C4</f>
        <v>2113294</v>
      </c>
      <c r="H4" s="680" t="s">
        <v>6153</v>
      </c>
      <c r="I4" s="681" t="s">
        <v>3472</v>
      </c>
      <c r="J4" s="187" t="str">
        <f t="shared" ref="J4:J32" si="2">+A4</f>
        <v>001-903</v>
      </c>
      <c r="K4" s="187">
        <v>1</v>
      </c>
      <c r="L4" s="187">
        <v>903</v>
      </c>
      <c r="M4" s="187" t="str">
        <f t="shared" ref="M4:M67" si="3">+I4&amp;K4</f>
        <v>001</v>
      </c>
      <c r="N4" s="187">
        <f t="shared" ref="N4:N67" si="4">+L4</f>
        <v>903</v>
      </c>
      <c r="O4" s="187" t="str">
        <f t="shared" ref="O4:O67" si="5">+M4&amp;"-"&amp;N4</f>
        <v>001-903</v>
      </c>
      <c r="Q4" s="679" t="s">
        <v>6853</v>
      </c>
      <c r="S4" s="423" t="s">
        <v>3476</v>
      </c>
      <c r="T4" s="187" t="str">
        <f t="shared" ref="T4:T22" si="6">+S4&amp;"-"&amp;N4</f>
        <v>001-903</v>
      </c>
    </row>
    <row r="5" spans="1:20">
      <c r="A5" s="788" t="s">
        <v>696</v>
      </c>
      <c r="B5" s="187" t="s">
        <v>1765</v>
      </c>
      <c r="C5" s="215">
        <v>170449</v>
      </c>
      <c r="D5" s="215">
        <v>2774289</v>
      </c>
      <c r="F5" s="215">
        <f t="shared" si="0"/>
        <v>2774289</v>
      </c>
      <c r="G5" s="215">
        <f t="shared" si="1"/>
        <v>2944738</v>
      </c>
      <c r="H5" s="680" t="s">
        <v>6153</v>
      </c>
      <c r="I5" s="681" t="s">
        <v>3472</v>
      </c>
      <c r="J5" s="187" t="str">
        <f t="shared" si="2"/>
        <v>001-904</v>
      </c>
      <c r="K5" s="187">
        <v>1</v>
      </c>
      <c r="L5" s="187">
        <v>904</v>
      </c>
      <c r="M5" s="187" t="str">
        <f t="shared" si="3"/>
        <v>001</v>
      </c>
      <c r="N5" s="187">
        <f t="shared" si="4"/>
        <v>904</v>
      </c>
      <c r="O5" s="187" t="str">
        <f t="shared" si="5"/>
        <v>001-904</v>
      </c>
      <c r="Q5" s="679" t="s">
        <v>6854</v>
      </c>
      <c r="S5" s="423" t="s">
        <v>3476</v>
      </c>
      <c r="T5" s="187" t="str">
        <f t="shared" si="6"/>
        <v>001-904</v>
      </c>
    </row>
    <row r="6" spans="1:20">
      <c r="A6" s="788" t="s">
        <v>698</v>
      </c>
      <c r="B6" s="187" t="s">
        <v>1766</v>
      </c>
      <c r="C6" s="215">
        <v>0</v>
      </c>
      <c r="D6" s="215">
        <v>899485</v>
      </c>
      <c r="F6" s="215">
        <f t="shared" si="0"/>
        <v>899485</v>
      </c>
      <c r="G6" s="215">
        <f t="shared" si="1"/>
        <v>899485</v>
      </c>
      <c r="H6" s="680" t="s">
        <v>6153</v>
      </c>
      <c r="I6" s="681" t="s">
        <v>3472</v>
      </c>
      <c r="J6" s="187" t="str">
        <f t="shared" si="2"/>
        <v>001-906</v>
      </c>
      <c r="K6" s="187">
        <v>1</v>
      </c>
      <c r="L6" s="187">
        <v>906</v>
      </c>
      <c r="M6" s="187" t="str">
        <f t="shared" si="3"/>
        <v>001</v>
      </c>
      <c r="N6" s="187">
        <f t="shared" si="4"/>
        <v>906</v>
      </c>
      <c r="O6" s="187" t="str">
        <f t="shared" si="5"/>
        <v>001-906</v>
      </c>
      <c r="Q6" s="679" t="s">
        <v>6855</v>
      </c>
      <c r="S6" s="423" t="s">
        <v>3476</v>
      </c>
      <c r="T6" s="187" t="str">
        <f t="shared" si="6"/>
        <v>001-906</v>
      </c>
    </row>
    <row r="7" spans="1:20">
      <c r="A7" s="788" t="s">
        <v>700</v>
      </c>
      <c r="B7" s="187" t="s">
        <v>1767</v>
      </c>
      <c r="C7" s="215">
        <v>836327</v>
      </c>
      <c r="D7" s="215">
        <v>10431791</v>
      </c>
      <c r="F7" s="215">
        <f t="shared" si="0"/>
        <v>10431791</v>
      </c>
      <c r="G7" s="215">
        <f t="shared" si="1"/>
        <v>11268118</v>
      </c>
      <c r="H7" s="680" t="s">
        <v>6153</v>
      </c>
      <c r="I7" s="681" t="s">
        <v>3472</v>
      </c>
      <c r="J7" s="187" t="str">
        <f t="shared" si="2"/>
        <v>001-907</v>
      </c>
      <c r="K7" s="187">
        <v>1</v>
      </c>
      <c r="L7" s="187">
        <v>907</v>
      </c>
      <c r="M7" s="187" t="str">
        <f t="shared" si="3"/>
        <v>001</v>
      </c>
      <c r="N7" s="187">
        <f t="shared" si="4"/>
        <v>907</v>
      </c>
      <c r="O7" s="187" t="str">
        <f t="shared" si="5"/>
        <v>001-907</v>
      </c>
      <c r="Q7" s="679" t="s">
        <v>6856</v>
      </c>
      <c r="S7" s="423" t="s">
        <v>3476</v>
      </c>
      <c r="T7" s="187" t="str">
        <f t="shared" si="6"/>
        <v>001-907</v>
      </c>
    </row>
    <row r="8" spans="1:20">
      <c r="A8" s="788" t="s">
        <v>1491</v>
      </c>
      <c r="B8" s="187" t="s">
        <v>1768</v>
      </c>
      <c r="C8" s="215">
        <v>398</v>
      </c>
      <c r="D8" s="215">
        <v>4578983</v>
      </c>
      <c r="F8" s="215">
        <f t="shared" si="0"/>
        <v>4578983</v>
      </c>
      <c r="G8" s="215">
        <f t="shared" si="1"/>
        <v>4579381</v>
      </c>
      <c r="H8" s="680" t="s">
        <v>6153</v>
      </c>
      <c r="I8" s="681" t="s">
        <v>3472</v>
      </c>
      <c r="J8" s="187" t="str">
        <f t="shared" si="2"/>
        <v>001-908</v>
      </c>
      <c r="K8" s="187">
        <v>1</v>
      </c>
      <c r="L8" s="187">
        <v>908</v>
      </c>
      <c r="M8" s="187" t="str">
        <f t="shared" si="3"/>
        <v>001</v>
      </c>
      <c r="N8" s="187">
        <f t="shared" si="4"/>
        <v>908</v>
      </c>
      <c r="O8" s="187" t="str">
        <f t="shared" si="5"/>
        <v>001-908</v>
      </c>
      <c r="Q8" s="679" t="s">
        <v>6857</v>
      </c>
      <c r="S8" s="423" t="s">
        <v>3476</v>
      </c>
      <c r="T8" s="187" t="str">
        <f t="shared" si="6"/>
        <v>001-908</v>
      </c>
    </row>
    <row r="9" spans="1:20">
      <c r="A9" s="788" t="s">
        <v>6212</v>
      </c>
      <c r="B9" s="187" t="s">
        <v>1769</v>
      </c>
      <c r="C9" s="215">
        <v>0</v>
      </c>
      <c r="D9" s="215">
        <v>868067</v>
      </c>
      <c r="F9" s="215">
        <f t="shared" si="0"/>
        <v>868067</v>
      </c>
      <c r="G9" s="215">
        <f t="shared" si="1"/>
        <v>868067</v>
      </c>
      <c r="H9" s="680" t="s">
        <v>6153</v>
      </c>
      <c r="I9" s="681" t="s">
        <v>3472</v>
      </c>
      <c r="J9" s="187" t="str">
        <f t="shared" si="2"/>
        <v>001-909</v>
      </c>
      <c r="K9" s="187">
        <v>1</v>
      </c>
      <c r="L9" s="187">
        <v>909</v>
      </c>
      <c r="M9" s="187" t="str">
        <f t="shared" si="3"/>
        <v>001</v>
      </c>
      <c r="N9" s="187">
        <f t="shared" si="4"/>
        <v>909</v>
      </c>
      <c r="O9" s="187" t="str">
        <f t="shared" si="5"/>
        <v>001-909</v>
      </c>
      <c r="Q9" s="679" t="s">
        <v>6858</v>
      </c>
      <c r="S9" s="423" t="s">
        <v>3476</v>
      </c>
      <c r="T9" s="187" t="str">
        <f t="shared" si="6"/>
        <v>001-909</v>
      </c>
    </row>
    <row r="10" spans="1:20">
      <c r="A10" s="788" t="s">
        <v>2753</v>
      </c>
      <c r="B10" s="187" t="s">
        <v>5003</v>
      </c>
      <c r="C10" s="215">
        <v>3605212</v>
      </c>
      <c r="D10" s="215">
        <v>28079531</v>
      </c>
      <c r="F10" s="215">
        <f t="shared" si="0"/>
        <v>28079531</v>
      </c>
      <c r="G10" s="215">
        <f t="shared" si="1"/>
        <v>31684743</v>
      </c>
      <c r="H10" s="680" t="s">
        <v>6153</v>
      </c>
      <c r="I10" s="681" t="s">
        <v>3472</v>
      </c>
      <c r="J10" s="187" t="str">
        <f t="shared" si="2"/>
        <v>002-901</v>
      </c>
      <c r="K10" s="187">
        <v>2</v>
      </c>
      <c r="L10" s="187">
        <v>901</v>
      </c>
      <c r="M10" s="187" t="str">
        <f t="shared" si="3"/>
        <v>002</v>
      </c>
      <c r="N10" s="187">
        <f t="shared" si="4"/>
        <v>901</v>
      </c>
      <c r="O10" s="187" t="str">
        <f t="shared" si="5"/>
        <v>002-901</v>
      </c>
      <c r="Q10" s="679" t="s">
        <v>6859</v>
      </c>
      <c r="S10" s="423" t="s">
        <v>6860</v>
      </c>
      <c r="T10" s="187" t="str">
        <f t="shared" si="6"/>
        <v>002-901</v>
      </c>
    </row>
    <row r="11" spans="1:20">
      <c r="A11" s="788" t="s">
        <v>2840</v>
      </c>
      <c r="B11" s="187" t="s">
        <v>7181</v>
      </c>
      <c r="C11" s="215">
        <v>0</v>
      </c>
      <c r="D11" s="215">
        <v>0</v>
      </c>
      <c r="F11" s="215">
        <f t="shared" si="0"/>
        <v>0</v>
      </c>
      <c r="G11" s="215">
        <f t="shared" si="1"/>
        <v>0</v>
      </c>
      <c r="H11" s="680" t="s">
        <v>6153</v>
      </c>
      <c r="I11" s="681" t="s">
        <v>3472</v>
      </c>
      <c r="J11" s="187" t="str">
        <f t="shared" si="2"/>
        <v>003-801</v>
      </c>
      <c r="K11" s="187">
        <v>3</v>
      </c>
      <c r="L11" s="187">
        <v>801</v>
      </c>
      <c r="M11" s="187" t="str">
        <f t="shared" si="3"/>
        <v>003</v>
      </c>
      <c r="N11" s="187">
        <f t="shared" si="4"/>
        <v>801</v>
      </c>
      <c r="O11" s="187" t="str">
        <f t="shared" si="5"/>
        <v>003-801</v>
      </c>
      <c r="Q11" s="679" t="s">
        <v>6861</v>
      </c>
      <c r="S11" s="423" t="s">
        <v>6862</v>
      </c>
      <c r="T11" s="187" t="str">
        <f t="shared" si="6"/>
        <v>003-801</v>
      </c>
    </row>
    <row r="12" spans="1:20">
      <c r="A12" s="788" t="s">
        <v>3080</v>
      </c>
      <c r="B12" s="187" t="s">
        <v>3853</v>
      </c>
      <c r="C12" s="215">
        <v>168073</v>
      </c>
      <c r="D12" s="215">
        <v>3015129</v>
      </c>
      <c r="F12" s="215">
        <f t="shared" si="0"/>
        <v>3015129</v>
      </c>
      <c r="G12" s="215">
        <f t="shared" si="1"/>
        <v>3183202</v>
      </c>
      <c r="H12" s="680" t="s">
        <v>6153</v>
      </c>
      <c r="I12" s="681" t="s">
        <v>3472</v>
      </c>
      <c r="J12" s="187" t="str">
        <f t="shared" si="2"/>
        <v>003-902</v>
      </c>
      <c r="K12" s="187">
        <v>3</v>
      </c>
      <c r="L12" s="187">
        <v>902</v>
      </c>
      <c r="M12" s="187" t="str">
        <f t="shared" si="3"/>
        <v>003</v>
      </c>
      <c r="N12" s="187">
        <f t="shared" si="4"/>
        <v>902</v>
      </c>
      <c r="O12" s="187" t="str">
        <f t="shared" si="5"/>
        <v>003-902</v>
      </c>
      <c r="Q12" s="679" t="s">
        <v>6863</v>
      </c>
      <c r="S12" s="423" t="s">
        <v>6862</v>
      </c>
      <c r="T12" s="187" t="str">
        <f t="shared" si="6"/>
        <v>003-902</v>
      </c>
    </row>
    <row r="13" spans="1:20">
      <c r="A13" s="788" t="s">
        <v>2842</v>
      </c>
      <c r="B13" s="187" t="s">
        <v>5004</v>
      </c>
      <c r="C13" s="215">
        <v>1378611</v>
      </c>
      <c r="D13" s="215">
        <v>25677515</v>
      </c>
      <c r="F13" s="215">
        <f t="shared" si="0"/>
        <v>25677515</v>
      </c>
      <c r="G13" s="215">
        <f t="shared" si="1"/>
        <v>27056126</v>
      </c>
      <c r="H13" s="680" t="s">
        <v>6153</v>
      </c>
      <c r="I13" s="681" t="s">
        <v>3472</v>
      </c>
      <c r="J13" s="187" t="str">
        <f t="shared" si="2"/>
        <v>003-903</v>
      </c>
      <c r="K13" s="187">
        <v>3</v>
      </c>
      <c r="L13" s="187">
        <v>903</v>
      </c>
      <c r="M13" s="187" t="str">
        <f t="shared" si="3"/>
        <v>003</v>
      </c>
      <c r="N13" s="187">
        <f t="shared" si="4"/>
        <v>903</v>
      </c>
      <c r="O13" s="187" t="str">
        <f t="shared" si="5"/>
        <v>003-903</v>
      </c>
      <c r="Q13" s="679" t="s">
        <v>6864</v>
      </c>
      <c r="S13" s="423" t="s">
        <v>6862</v>
      </c>
      <c r="T13" s="187" t="str">
        <f t="shared" si="6"/>
        <v>003-903</v>
      </c>
    </row>
    <row r="14" spans="1:20">
      <c r="A14" s="788" t="s">
        <v>1874</v>
      </c>
      <c r="B14" s="187" t="s">
        <v>3857</v>
      </c>
      <c r="C14" s="215">
        <v>187062</v>
      </c>
      <c r="D14" s="215">
        <v>1943799</v>
      </c>
      <c r="F14" s="215">
        <f t="shared" si="0"/>
        <v>1943799</v>
      </c>
      <c r="G14" s="215">
        <f t="shared" si="1"/>
        <v>2130861</v>
      </c>
      <c r="H14" s="680" t="s">
        <v>6153</v>
      </c>
      <c r="I14" s="681" t="s">
        <v>3472</v>
      </c>
      <c r="J14" s="187" t="str">
        <f t="shared" si="2"/>
        <v>003-904</v>
      </c>
      <c r="K14" s="187">
        <v>3</v>
      </c>
      <c r="L14" s="187">
        <v>904</v>
      </c>
      <c r="M14" s="187" t="str">
        <f t="shared" si="3"/>
        <v>003</v>
      </c>
      <c r="N14" s="187">
        <f t="shared" si="4"/>
        <v>904</v>
      </c>
      <c r="O14" s="187" t="str">
        <f t="shared" si="5"/>
        <v>003-904</v>
      </c>
      <c r="Q14" s="679" t="s">
        <v>6865</v>
      </c>
      <c r="S14" s="423" t="s">
        <v>6862</v>
      </c>
      <c r="T14" s="187" t="str">
        <f t="shared" si="6"/>
        <v>003-904</v>
      </c>
    </row>
    <row r="15" spans="1:20">
      <c r="A15" s="788" t="s">
        <v>2844</v>
      </c>
      <c r="B15" s="187" t="s">
        <v>5005</v>
      </c>
      <c r="C15" s="215">
        <v>3912</v>
      </c>
      <c r="D15" s="215">
        <v>3681168</v>
      </c>
      <c r="F15" s="215">
        <f t="shared" si="0"/>
        <v>3681168</v>
      </c>
      <c r="G15" s="215">
        <f t="shared" si="1"/>
        <v>3685080</v>
      </c>
      <c r="H15" s="680" t="s">
        <v>6153</v>
      </c>
      <c r="I15" s="681" t="s">
        <v>3472</v>
      </c>
      <c r="J15" s="187" t="str">
        <f t="shared" si="2"/>
        <v>003-905</v>
      </c>
      <c r="K15" s="187">
        <v>3</v>
      </c>
      <c r="L15" s="187">
        <v>905</v>
      </c>
      <c r="M15" s="187" t="str">
        <f t="shared" si="3"/>
        <v>003</v>
      </c>
      <c r="N15" s="187">
        <f t="shared" si="4"/>
        <v>905</v>
      </c>
      <c r="O15" s="187" t="str">
        <f t="shared" si="5"/>
        <v>003-905</v>
      </c>
      <c r="Q15" s="679" t="s">
        <v>6866</v>
      </c>
      <c r="S15" s="423" t="s">
        <v>6862</v>
      </c>
      <c r="T15" s="187" t="str">
        <f t="shared" si="6"/>
        <v>003-905</v>
      </c>
    </row>
    <row r="16" spans="1:20">
      <c r="A16" s="788" t="s">
        <v>2846</v>
      </c>
      <c r="B16" s="187" t="s">
        <v>5006</v>
      </c>
      <c r="C16" s="215">
        <v>41069</v>
      </c>
      <c r="D16" s="215">
        <v>828625</v>
      </c>
      <c r="F16" s="215">
        <f t="shared" si="0"/>
        <v>828625</v>
      </c>
      <c r="G16" s="215">
        <f t="shared" si="1"/>
        <v>869694</v>
      </c>
      <c r="H16" s="680" t="s">
        <v>6153</v>
      </c>
      <c r="I16" s="681" t="s">
        <v>3472</v>
      </c>
      <c r="J16" s="187" t="str">
        <f t="shared" si="2"/>
        <v>003-906</v>
      </c>
      <c r="K16" s="187">
        <v>3</v>
      </c>
      <c r="L16" s="187">
        <v>906</v>
      </c>
      <c r="M16" s="187" t="str">
        <f t="shared" si="3"/>
        <v>003</v>
      </c>
      <c r="N16" s="187">
        <f t="shared" si="4"/>
        <v>906</v>
      </c>
      <c r="O16" s="187" t="str">
        <f t="shared" si="5"/>
        <v>003-906</v>
      </c>
      <c r="Q16" s="679" t="s">
        <v>6867</v>
      </c>
      <c r="S16" s="423" t="s">
        <v>6862</v>
      </c>
      <c r="T16" s="187" t="str">
        <f t="shared" si="6"/>
        <v>003-906</v>
      </c>
    </row>
    <row r="17" spans="1:20">
      <c r="A17" s="788" t="s">
        <v>2848</v>
      </c>
      <c r="B17" s="187" t="s">
        <v>5007</v>
      </c>
      <c r="C17" s="215">
        <v>0</v>
      </c>
      <c r="D17" s="215">
        <v>2306761</v>
      </c>
      <c r="F17" s="215">
        <f t="shared" si="0"/>
        <v>2306761</v>
      </c>
      <c r="G17" s="215">
        <f t="shared" si="1"/>
        <v>2306761</v>
      </c>
      <c r="H17" s="680" t="s">
        <v>6153</v>
      </c>
      <c r="I17" s="681" t="s">
        <v>3472</v>
      </c>
      <c r="J17" s="187" t="str">
        <f t="shared" si="2"/>
        <v>003-907</v>
      </c>
      <c r="K17" s="187">
        <v>3</v>
      </c>
      <c r="L17" s="187">
        <v>907</v>
      </c>
      <c r="M17" s="187" t="str">
        <f t="shared" si="3"/>
        <v>003</v>
      </c>
      <c r="N17" s="187">
        <f t="shared" si="4"/>
        <v>907</v>
      </c>
      <c r="O17" s="187" t="str">
        <f t="shared" si="5"/>
        <v>003-907</v>
      </c>
      <c r="Q17" s="679" t="s">
        <v>6868</v>
      </c>
      <c r="S17" s="423" t="s">
        <v>6862</v>
      </c>
      <c r="T17" s="187" t="str">
        <f t="shared" si="6"/>
        <v>003-907</v>
      </c>
    </row>
    <row r="18" spans="1:20">
      <c r="A18" s="788" t="s">
        <v>1225</v>
      </c>
      <c r="B18" s="187" t="s">
        <v>5008</v>
      </c>
      <c r="C18" s="215">
        <v>1062815</v>
      </c>
      <c r="D18" s="215">
        <v>21554296</v>
      </c>
      <c r="F18" s="215">
        <f t="shared" si="0"/>
        <v>21554296</v>
      </c>
      <c r="G18" s="215">
        <f t="shared" si="1"/>
        <v>22617111</v>
      </c>
      <c r="H18" s="680" t="s">
        <v>6153</v>
      </c>
      <c r="I18" s="681" t="s">
        <v>3472</v>
      </c>
      <c r="J18" s="187" t="str">
        <f t="shared" si="2"/>
        <v>004-901</v>
      </c>
      <c r="K18" s="187">
        <v>4</v>
      </c>
      <c r="L18" s="187">
        <v>901</v>
      </c>
      <c r="M18" s="187" t="str">
        <f t="shared" si="3"/>
        <v>004</v>
      </c>
      <c r="N18" s="187">
        <f t="shared" si="4"/>
        <v>901</v>
      </c>
      <c r="O18" s="187" t="str">
        <f t="shared" si="5"/>
        <v>004-901</v>
      </c>
      <c r="Q18" s="679" t="s">
        <v>6869</v>
      </c>
      <c r="S18" s="423" t="s">
        <v>6870</v>
      </c>
      <c r="T18" s="187" t="str">
        <f t="shared" si="6"/>
        <v>004-901</v>
      </c>
    </row>
    <row r="19" spans="1:20">
      <c r="A19" s="788" t="s">
        <v>1227</v>
      </c>
      <c r="B19" s="187" t="s">
        <v>4094</v>
      </c>
      <c r="C19" s="215">
        <v>95813</v>
      </c>
      <c r="D19" s="215">
        <v>1613517</v>
      </c>
      <c r="F19" s="215">
        <f t="shared" si="0"/>
        <v>1613517</v>
      </c>
      <c r="G19" s="215">
        <f t="shared" si="1"/>
        <v>1709330</v>
      </c>
      <c r="H19" s="680" t="s">
        <v>6153</v>
      </c>
      <c r="I19" s="681" t="s">
        <v>3472</v>
      </c>
      <c r="J19" s="187" t="str">
        <f t="shared" si="2"/>
        <v>005-901</v>
      </c>
      <c r="K19" s="187">
        <v>5</v>
      </c>
      <c r="L19" s="187">
        <v>901</v>
      </c>
      <c r="M19" s="187" t="str">
        <f t="shared" si="3"/>
        <v>005</v>
      </c>
      <c r="N19" s="187">
        <f t="shared" si="4"/>
        <v>901</v>
      </c>
      <c r="O19" s="187" t="str">
        <f t="shared" si="5"/>
        <v>005-901</v>
      </c>
      <c r="Q19" s="679" t="s">
        <v>6871</v>
      </c>
      <c r="S19" s="423" t="s">
        <v>3479</v>
      </c>
      <c r="T19" s="187" t="str">
        <f t="shared" si="6"/>
        <v>005-901</v>
      </c>
    </row>
    <row r="20" spans="1:20">
      <c r="A20" s="788" t="s">
        <v>1229</v>
      </c>
      <c r="B20" s="187" t="s">
        <v>4095</v>
      </c>
      <c r="C20" s="215">
        <v>0</v>
      </c>
      <c r="D20" s="215">
        <v>2304755</v>
      </c>
      <c r="F20" s="215">
        <f t="shared" si="0"/>
        <v>2304755</v>
      </c>
      <c r="G20" s="215">
        <f t="shared" si="1"/>
        <v>2304755</v>
      </c>
      <c r="H20" s="680" t="s">
        <v>6153</v>
      </c>
      <c r="I20" s="681" t="s">
        <v>3472</v>
      </c>
      <c r="J20" s="187" t="str">
        <f t="shared" si="2"/>
        <v>005-902</v>
      </c>
      <c r="K20" s="187">
        <v>5</v>
      </c>
      <c r="L20" s="187">
        <v>902</v>
      </c>
      <c r="M20" s="187" t="str">
        <f t="shared" si="3"/>
        <v>005</v>
      </c>
      <c r="N20" s="187">
        <f t="shared" si="4"/>
        <v>902</v>
      </c>
      <c r="O20" s="187" t="str">
        <f t="shared" si="5"/>
        <v>005-902</v>
      </c>
      <c r="Q20" s="679" t="s">
        <v>6872</v>
      </c>
      <c r="S20" s="423" t="s">
        <v>3479</v>
      </c>
      <c r="T20" s="187" t="str">
        <f t="shared" si="6"/>
        <v>005-902</v>
      </c>
    </row>
    <row r="21" spans="1:20">
      <c r="A21" s="788" t="s">
        <v>1231</v>
      </c>
      <c r="B21" s="187" t="s">
        <v>4096</v>
      </c>
      <c r="C21" s="215">
        <v>0</v>
      </c>
      <c r="D21" s="215">
        <v>303542</v>
      </c>
      <c r="F21" s="215">
        <f t="shared" si="0"/>
        <v>303542</v>
      </c>
      <c r="G21" s="215">
        <f t="shared" si="1"/>
        <v>303542</v>
      </c>
      <c r="H21" s="680" t="s">
        <v>6153</v>
      </c>
      <c r="I21" s="681" t="s">
        <v>3472</v>
      </c>
      <c r="J21" s="187" t="str">
        <f t="shared" si="2"/>
        <v>005-903</v>
      </c>
      <c r="K21" s="187">
        <v>5</v>
      </c>
      <c r="L21" s="187">
        <v>903</v>
      </c>
      <c r="M21" s="187" t="str">
        <f t="shared" si="3"/>
        <v>005</v>
      </c>
      <c r="N21" s="187">
        <f t="shared" si="4"/>
        <v>903</v>
      </c>
      <c r="O21" s="187" t="str">
        <f t="shared" si="5"/>
        <v>005-903</v>
      </c>
      <c r="Q21" s="679" t="s">
        <v>6873</v>
      </c>
      <c r="S21" s="423" t="s">
        <v>3479</v>
      </c>
      <c r="T21" s="187" t="str">
        <f t="shared" si="6"/>
        <v>005-903</v>
      </c>
    </row>
    <row r="22" spans="1:20">
      <c r="A22" s="788" t="s">
        <v>2360</v>
      </c>
      <c r="B22" s="187" t="s">
        <v>2004</v>
      </c>
      <c r="C22" s="215">
        <v>52727</v>
      </c>
      <c r="D22" s="215">
        <v>706045</v>
      </c>
      <c r="F22" s="215">
        <f t="shared" si="0"/>
        <v>706045</v>
      </c>
      <c r="G22" s="215">
        <f t="shared" si="1"/>
        <v>758772</v>
      </c>
      <c r="H22" s="680" t="s">
        <v>6153</v>
      </c>
      <c r="I22" s="681" t="s">
        <v>3472</v>
      </c>
      <c r="J22" s="187" t="str">
        <f t="shared" si="2"/>
        <v>005-904</v>
      </c>
      <c r="K22" s="187">
        <v>5</v>
      </c>
      <c r="L22" s="187">
        <v>904</v>
      </c>
      <c r="M22" s="187" t="str">
        <f t="shared" si="3"/>
        <v>005</v>
      </c>
      <c r="N22" s="187">
        <f t="shared" si="4"/>
        <v>904</v>
      </c>
      <c r="O22" s="187" t="str">
        <f t="shared" si="5"/>
        <v>005-904</v>
      </c>
      <c r="Q22" s="679" t="s">
        <v>6874</v>
      </c>
      <c r="S22" s="423" t="s">
        <v>3479</v>
      </c>
      <c r="T22" s="187" t="str">
        <f t="shared" si="6"/>
        <v>005-904</v>
      </c>
    </row>
    <row r="23" spans="1:20">
      <c r="A23" s="788" t="s">
        <v>1233</v>
      </c>
      <c r="B23" s="187" t="s">
        <v>4097</v>
      </c>
      <c r="C23" s="215">
        <v>0</v>
      </c>
      <c r="D23" s="215">
        <v>1254373</v>
      </c>
      <c r="F23" s="215">
        <f t="shared" si="0"/>
        <v>1254373</v>
      </c>
      <c r="G23" s="215">
        <f t="shared" si="1"/>
        <v>1254373</v>
      </c>
      <c r="H23" s="680" t="s">
        <v>6153</v>
      </c>
      <c r="I23" s="681" t="s">
        <v>3472</v>
      </c>
      <c r="J23" s="187" t="str">
        <f t="shared" si="2"/>
        <v>006-902</v>
      </c>
      <c r="K23" s="187">
        <v>6</v>
      </c>
      <c r="L23" s="187">
        <v>902</v>
      </c>
      <c r="M23" s="187" t="str">
        <f t="shared" si="3"/>
        <v>006</v>
      </c>
      <c r="N23" s="187">
        <f t="shared" si="4"/>
        <v>902</v>
      </c>
      <c r="O23" s="187" t="str">
        <f t="shared" si="5"/>
        <v>006-902</v>
      </c>
      <c r="Q23" s="679" t="s">
        <v>6875</v>
      </c>
    </row>
    <row r="24" spans="1:20">
      <c r="A24" s="788" t="s">
        <v>3081</v>
      </c>
      <c r="B24" s="187" t="s">
        <v>6107</v>
      </c>
      <c r="C24" s="215">
        <v>77336</v>
      </c>
      <c r="D24" s="215">
        <v>767945</v>
      </c>
      <c r="F24" s="215">
        <f t="shared" si="0"/>
        <v>767945</v>
      </c>
      <c r="G24" s="215">
        <f t="shared" si="1"/>
        <v>845281</v>
      </c>
      <c r="H24" s="680" t="s">
        <v>6153</v>
      </c>
      <c r="I24" s="681" t="s">
        <v>3472</v>
      </c>
      <c r="J24" s="187" t="str">
        <f t="shared" si="2"/>
        <v>007-901</v>
      </c>
      <c r="K24" s="187">
        <v>7</v>
      </c>
      <c r="L24" s="187">
        <v>901</v>
      </c>
      <c r="M24" s="187" t="str">
        <f t="shared" si="3"/>
        <v>007</v>
      </c>
      <c r="N24" s="187">
        <f t="shared" si="4"/>
        <v>901</v>
      </c>
      <c r="O24" s="187" t="str">
        <f t="shared" si="5"/>
        <v>007-901</v>
      </c>
      <c r="Q24" s="679" t="s">
        <v>6876</v>
      </c>
    </row>
    <row r="25" spans="1:20">
      <c r="A25" s="788" t="s">
        <v>1235</v>
      </c>
      <c r="B25" s="187" t="s">
        <v>4098</v>
      </c>
      <c r="C25" s="215">
        <v>0</v>
      </c>
      <c r="D25" s="215">
        <v>4450074</v>
      </c>
      <c r="F25" s="215">
        <f t="shared" si="0"/>
        <v>4450074</v>
      </c>
      <c r="G25" s="215">
        <f t="shared" si="1"/>
        <v>4450074</v>
      </c>
      <c r="H25" s="680" t="s">
        <v>6153</v>
      </c>
      <c r="I25" s="681" t="s">
        <v>3472</v>
      </c>
      <c r="J25" s="187" t="str">
        <f t="shared" si="2"/>
        <v>007-902</v>
      </c>
      <c r="K25" s="187">
        <v>7</v>
      </c>
      <c r="L25" s="187">
        <v>902</v>
      </c>
      <c r="M25" s="187" t="str">
        <f t="shared" si="3"/>
        <v>007</v>
      </c>
      <c r="N25" s="187">
        <f t="shared" si="4"/>
        <v>902</v>
      </c>
      <c r="O25" s="187" t="str">
        <f t="shared" si="5"/>
        <v>007-902</v>
      </c>
      <c r="Q25" s="679" t="s">
        <v>6877</v>
      </c>
    </row>
    <row r="26" spans="1:20">
      <c r="A26" s="788" t="s">
        <v>2999</v>
      </c>
      <c r="B26" s="187" t="s">
        <v>4099</v>
      </c>
      <c r="C26" s="215">
        <v>434077</v>
      </c>
      <c r="D26" s="215">
        <v>1806086</v>
      </c>
      <c r="F26" s="215">
        <f t="shared" si="0"/>
        <v>1806086</v>
      </c>
      <c r="G26" s="215">
        <f t="shared" si="1"/>
        <v>2240163</v>
      </c>
      <c r="H26" s="680" t="s">
        <v>6153</v>
      </c>
      <c r="I26" s="681" t="s">
        <v>3472</v>
      </c>
      <c r="J26" s="187" t="str">
        <f t="shared" si="2"/>
        <v>007-904</v>
      </c>
      <c r="K26" s="187">
        <v>7</v>
      </c>
      <c r="L26" s="187">
        <v>904</v>
      </c>
      <c r="M26" s="187" t="str">
        <f t="shared" si="3"/>
        <v>007</v>
      </c>
      <c r="N26" s="187">
        <f t="shared" si="4"/>
        <v>904</v>
      </c>
      <c r="O26" s="187" t="str">
        <f t="shared" si="5"/>
        <v>007-904</v>
      </c>
      <c r="Q26" s="679" t="s">
        <v>6878</v>
      </c>
    </row>
    <row r="27" spans="1:20">
      <c r="A27" s="788" t="s">
        <v>5127</v>
      </c>
      <c r="B27" s="187" t="s">
        <v>342</v>
      </c>
      <c r="C27" s="215">
        <v>253184</v>
      </c>
      <c r="D27" s="215">
        <v>6322224</v>
      </c>
      <c r="F27" s="215">
        <f t="shared" si="0"/>
        <v>6322224</v>
      </c>
      <c r="G27" s="215">
        <f t="shared" si="1"/>
        <v>6575408</v>
      </c>
      <c r="H27" s="680" t="s">
        <v>6153</v>
      </c>
      <c r="I27" s="681" t="s">
        <v>3472</v>
      </c>
      <c r="J27" s="187" t="str">
        <f t="shared" si="2"/>
        <v>007-905</v>
      </c>
      <c r="K27" s="187">
        <v>7</v>
      </c>
      <c r="L27" s="187">
        <v>905</v>
      </c>
      <c r="M27" s="187" t="str">
        <f t="shared" si="3"/>
        <v>007</v>
      </c>
      <c r="N27" s="187">
        <f t="shared" si="4"/>
        <v>905</v>
      </c>
      <c r="O27" s="187" t="str">
        <f t="shared" si="5"/>
        <v>007-905</v>
      </c>
      <c r="Q27" s="679" t="s">
        <v>6879</v>
      </c>
    </row>
    <row r="28" spans="1:20">
      <c r="A28" s="788" t="s">
        <v>2563</v>
      </c>
      <c r="B28" s="187" t="s">
        <v>345</v>
      </c>
      <c r="C28" s="215">
        <v>71221</v>
      </c>
      <c r="D28" s="215">
        <v>1572822</v>
      </c>
      <c r="F28" s="215">
        <f t="shared" si="0"/>
        <v>1572822</v>
      </c>
      <c r="G28" s="215">
        <f t="shared" si="1"/>
        <v>1644043</v>
      </c>
      <c r="H28" s="680" t="s">
        <v>6153</v>
      </c>
      <c r="I28" s="681" t="s">
        <v>3472</v>
      </c>
      <c r="J28" s="187" t="str">
        <f t="shared" si="2"/>
        <v>007-906</v>
      </c>
      <c r="K28" s="187">
        <v>7</v>
      </c>
      <c r="L28" s="187">
        <v>906</v>
      </c>
      <c r="M28" s="187" t="str">
        <f t="shared" si="3"/>
        <v>007</v>
      </c>
      <c r="N28" s="187">
        <f t="shared" si="4"/>
        <v>906</v>
      </c>
      <c r="O28" s="187" t="str">
        <f t="shared" si="5"/>
        <v>007-906</v>
      </c>
      <c r="Q28" s="679" t="s">
        <v>6880</v>
      </c>
    </row>
    <row r="29" spans="1:20">
      <c r="A29" s="788" t="s">
        <v>1237</v>
      </c>
      <c r="B29" s="187" t="s">
        <v>4100</v>
      </c>
      <c r="C29" s="215">
        <v>463452</v>
      </c>
      <c r="D29" s="215">
        <v>8048042</v>
      </c>
      <c r="F29" s="215">
        <f t="shared" si="0"/>
        <v>8048042</v>
      </c>
      <c r="G29" s="215">
        <f t="shared" si="1"/>
        <v>8511494</v>
      </c>
      <c r="H29" s="680" t="s">
        <v>6153</v>
      </c>
      <c r="I29" s="681" t="s">
        <v>3472</v>
      </c>
      <c r="J29" s="187" t="str">
        <f t="shared" si="2"/>
        <v>008-901</v>
      </c>
      <c r="K29" s="187">
        <v>8</v>
      </c>
      <c r="L29" s="187">
        <v>901</v>
      </c>
      <c r="M29" s="187" t="str">
        <f t="shared" si="3"/>
        <v>008</v>
      </c>
      <c r="N29" s="187">
        <f t="shared" si="4"/>
        <v>901</v>
      </c>
      <c r="O29" s="187" t="str">
        <f t="shared" si="5"/>
        <v>008-901</v>
      </c>
      <c r="Q29" s="679" t="s">
        <v>6881</v>
      </c>
    </row>
    <row r="30" spans="1:20">
      <c r="A30" s="788" t="s">
        <v>1239</v>
      </c>
      <c r="B30" s="187" t="s">
        <v>4101</v>
      </c>
      <c r="C30" s="215">
        <v>1074611</v>
      </c>
      <c r="D30" s="215">
        <v>7165565</v>
      </c>
      <c r="F30" s="215">
        <f t="shared" si="0"/>
        <v>7165565</v>
      </c>
      <c r="G30" s="215">
        <f t="shared" si="1"/>
        <v>8240176</v>
      </c>
      <c r="H30" s="680" t="s">
        <v>6153</v>
      </c>
      <c r="I30" s="681" t="s">
        <v>3472</v>
      </c>
      <c r="J30" s="187" t="str">
        <f t="shared" si="2"/>
        <v>008-902</v>
      </c>
      <c r="K30" s="187">
        <v>8</v>
      </c>
      <c r="L30" s="187">
        <v>902</v>
      </c>
      <c r="M30" s="187" t="str">
        <f t="shared" si="3"/>
        <v>008</v>
      </c>
      <c r="N30" s="187">
        <f t="shared" si="4"/>
        <v>902</v>
      </c>
      <c r="O30" s="187" t="str">
        <f t="shared" si="5"/>
        <v>008-902</v>
      </c>
      <c r="Q30" s="679" t="s">
        <v>6882</v>
      </c>
    </row>
    <row r="31" spans="1:20">
      <c r="A31" s="788" t="s">
        <v>1241</v>
      </c>
      <c r="B31" s="187" t="s">
        <v>4102</v>
      </c>
      <c r="C31" s="215">
        <v>846765</v>
      </c>
      <c r="D31" s="215">
        <v>5086157</v>
      </c>
      <c r="F31" s="215">
        <f t="shared" si="0"/>
        <v>5086157</v>
      </c>
      <c r="G31" s="215">
        <f t="shared" si="1"/>
        <v>5932922</v>
      </c>
      <c r="H31" s="680" t="s">
        <v>6153</v>
      </c>
      <c r="I31" s="681" t="s">
        <v>3472</v>
      </c>
      <c r="J31" s="187" t="str">
        <f t="shared" si="2"/>
        <v>008-903</v>
      </c>
      <c r="K31" s="187">
        <v>8</v>
      </c>
      <c r="L31" s="187">
        <v>903</v>
      </c>
      <c r="M31" s="187" t="str">
        <f t="shared" si="3"/>
        <v>008</v>
      </c>
      <c r="N31" s="187">
        <f t="shared" si="4"/>
        <v>903</v>
      </c>
      <c r="O31" s="187" t="str">
        <f t="shared" si="5"/>
        <v>008-903</v>
      </c>
      <c r="Q31" s="679" t="s">
        <v>6883</v>
      </c>
    </row>
    <row r="32" spans="1:20">
      <c r="A32" s="788" t="s">
        <v>1243</v>
      </c>
      <c r="B32" s="187" t="s">
        <v>4103</v>
      </c>
      <c r="C32" s="215">
        <v>0</v>
      </c>
      <c r="D32" s="215">
        <v>2747849</v>
      </c>
      <c r="F32" s="215">
        <f t="shared" si="0"/>
        <v>2747849</v>
      </c>
      <c r="G32" s="215">
        <f t="shared" si="1"/>
        <v>2747849</v>
      </c>
      <c r="H32" s="680" t="s">
        <v>6153</v>
      </c>
      <c r="I32" s="681" t="s">
        <v>3472</v>
      </c>
      <c r="J32" s="187" t="str">
        <f t="shared" si="2"/>
        <v>009-901</v>
      </c>
      <c r="K32" s="187">
        <v>9</v>
      </c>
      <c r="L32" s="187">
        <v>901</v>
      </c>
      <c r="M32" s="187" t="str">
        <f t="shared" si="3"/>
        <v>009</v>
      </c>
      <c r="N32" s="187">
        <f t="shared" si="4"/>
        <v>901</v>
      </c>
      <c r="O32" s="187" t="str">
        <f t="shared" si="5"/>
        <v>009-901</v>
      </c>
      <c r="Q32" s="679" t="s">
        <v>6884</v>
      </c>
    </row>
    <row r="33" spans="1:17">
      <c r="A33" s="788" t="s">
        <v>1245</v>
      </c>
      <c r="B33" s="187" t="s">
        <v>4104</v>
      </c>
      <c r="C33" s="215">
        <v>0</v>
      </c>
      <c r="D33" s="215">
        <v>1485590</v>
      </c>
      <c r="F33" s="215">
        <f t="shared" si="0"/>
        <v>1485590</v>
      </c>
      <c r="G33" s="215">
        <f t="shared" si="1"/>
        <v>1485590</v>
      </c>
      <c r="H33" s="680" t="s">
        <v>6153</v>
      </c>
      <c r="I33" s="681" t="s">
        <v>3508</v>
      </c>
      <c r="J33" s="187" t="str">
        <f>+A33</f>
        <v>010-901</v>
      </c>
      <c r="K33" s="187">
        <v>10</v>
      </c>
      <c r="L33" s="187">
        <v>901</v>
      </c>
      <c r="M33" s="187" t="str">
        <f t="shared" si="3"/>
        <v>010</v>
      </c>
      <c r="N33" s="187">
        <f t="shared" si="4"/>
        <v>901</v>
      </c>
      <c r="O33" s="187" t="str">
        <f t="shared" si="5"/>
        <v>010-901</v>
      </c>
      <c r="Q33" s="679" t="s">
        <v>6885</v>
      </c>
    </row>
    <row r="34" spans="1:17">
      <c r="A34" s="788" t="s">
        <v>2361</v>
      </c>
      <c r="B34" s="187" t="s">
        <v>7695</v>
      </c>
      <c r="C34" s="215">
        <v>1334311</v>
      </c>
      <c r="D34" s="215">
        <v>9610779</v>
      </c>
      <c r="F34" s="215">
        <f t="shared" si="0"/>
        <v>9610779</v>
      </c>
      <c r="G34" s="215">
        <f t="shared" si="1"/>
        <v>10945090</v>
      </c>
      <c r="H34" s="680" t="s">
        <v>6153</v>
      </c>
      <c r="I34" s="681" t="s">
        <v>3508</v>
      </c>
      <c r="J34" s="187" t="str">
        <f t="shared" ref="J34:J97" si="7">+A34</f>
        <v>010-902</v>
      </c>
      <c r="K34" s="187">
        <v>10</v>
      </c>
      <c r="L34" s="187">
        <v>902</v>
      </c>
      <c r="M34" s="187" t="str">
        <f t="shared" si="3"/>
        <v>010</v>
      </c>
      <c r="N34" s="187">
        <f t="shared" si="4"/>
        <v>902</v>
      </c>
      <c r="O34" s="187" t="str">
        <f t="shared" si="5"/>
        <v>010-902</v>
      </c>
      <c r="Q34" s="679" t="s">
        <v>6886</v>
      </c>
    </row>
    <row r="35" spans="1:17">
      <c r="A35" s="788" t="s">
        <v>948</v>
      </c>
      <c r="B35" s="187" t="s">
        <v>7697</v>
      </c>
      <c r="C35" s="215">
        <v>4464856</v>
      </c>
      <c r="D35" s="215">
        <v>28418723</v>
      </c>
      <c r="F35" s="215">
        <f t="shared" si="0"/>
        <v>28418723</v>
      </c>
      <c r="G35" s="215">
        <f t="shared" si="1"/>
        <v>32883579</v>
      </c>
      <c r="H35" s="680" t="s">
        <v>6153</v>
      </c>
      <c r="I35" s="681" t="s">
        <v>3508</v>
      </c>
      <c r="J35" s="187" t="str">
        <f t="shared" si="7"/>
        <v>011-901</v>
      </c>
      <c r="K35" s="187">
        <v>11</v>
      </c>
      <c r="L35" s="187">
        <v>901</v>
      </c>
      <c r="M35" s="187" t="str">
        <f t="shared" si="3"/>
        <v>011</v>
      </c>
      <c r="N35" s="187">
        <f t="shared" si="4"/>
        <v>901</v>
      </c>
      <c r="O35" s="187" t="str">
        <f t="shared" si="5"/>
        <v>011-901</v>
      </c>
      <c r="Q35" s="679" t="s">
        <v>6887</v>
      </c>
    </row>
    <row r="36" spans="1:17">
      <c r="A36" s="788" t="s">
        <v>1522</v>
      </c>
      <c r="B36" s="187" t="s">
        <v>1928</v>
      </c>
      <c r="C36" s="215">
        <v>1904819</v>
      </c>
      <c r="D36" s="215">
        <v>9126904</v>
      </c>
      <c r="F36" s="215">
        <f t="shared" si="0"/>
        <v>9126904</v>
      </c>
      <c r="G36" s="215">
        <f t="shared" si="1"/>
        <v>11031723</v>
      </c>
      <c r="H36" s="680" t="s">
        <v>6153</v>
      </c>
      <c r="I36" s="681" t="s">
        <v>3508</v>
      </c>
      <c r="J36" s="187" t="str">
        <f t="shared" si="7"/>
        <v>011-902</v>
      </c>
      <c r="K36" s="187">
        <v>11</v>
      </c>
      <c r="L36" s="187">
        <v>902</v>
      </c>
      <c r="M36" s="187" t="str">
        <f t="shared" si="3"/>
        <v>011</v>
      </c>
      <c r="N36" s="187">
        <f t="shared" si="4"/>
        <v>902</v>
      </c>
      <c r="O36" s="187" t="str">
        <f t="shared" si="5"/>
        <v>011-902</v>
      </c>
      <c r="Q36" s="679" t="s">
        <v>6888</v>
      </c>
    </row>
    <row r="37" spans="1:17">
      <c r="A37" s="788" t="s">
        <v>438</v>
      </c>
      <c r="B37" s="187" t="s">
        <v>2343</v>
      </c>
      <c r="C37" s="215">
        <v>1074345</v>
      </c>
      <c r="D37" s="215">
        <v>6009053</v>
      </c>
      <c r="F37" s="215">
        <f t="shared" si="0"/>
        <v>6009053</v>
      </c>
      <c r="G37" s="215">
        <f t="shared" si="1"/>
        <v>7083398</v>
      </c>
      <c r="H37" s="680" t="s">
        <v>6153</v>
      </c>
      <c r="I37" s="681" t="s">
        <v>3508</v>
      </c>
      <c r="J37" s="187" t="str">
        <f t="shared" si="7"/>
        <v>011-904</v>
      </c>
      <c r="K37" s="187">
        <v>11</v>
      </c>
      <c r="L37" s="187">
        <v>904</v>
      </c>
      <c r="M37" s="187" t="str">
        <f t="shared" si="3"/>
        <v>011</v>
      </c>
      <c r="N37" s="187">
        <f t="shared" si="4"/>
        <v>904</v>
      </c>
      <c r="O37" s="187" t="str">
        <f t="shared" si="5"/>
        <v>011-904</v>
      </c>
      <c r="Q37" s="679" t="s">
        <v>6889</v>
      </c>
    </row>
    <row r="38" spans="1:17">
      <c r="A38" s="788" t="s">
        <v>2565</v>
      </c>
      <c r="B38" s="187" t="s">
        <v>6074</v>
      </c>
      <c r="C38" s="215">
        <v>35114</v>
      </c>
      <c r="D38" s="215">
        <v>740758</v>
      </c>
      <c r="F38" s="215">
        <f t="shared" si="0"/>
        <v>740758</v>
      </c>
      <c r="G38" s="215">
        <f t="shared" si="1"/>
        <v>775872</v>
      </c>
      <c r="H38" s="680" t="s">
        <v>6153</v>
      </c>
      <c r="I38" s="681" t="s">
        <v>3508</v>
      </c>
      <c r="J38" s="187" t="str">
        <f t="shared" si="7"/>
        <v>011-905</v>
      </c>
      <c r="K38" s="187">
        <v>11</v>
      </c>
      <c r="L38" s="187">
        <v>905</v>
      </c>
      <c r="M38" s="187" t="str">
        <f t="shared" si="3"/>
        <v>011</v>
      </c>
      <c r="N38" s="187">
        <f t="shared" si="4"/>
        <v>905</v>
      </c>
      <c r="O38" s="187" t="str">
        <f t="shared" si="5"/>
        <v>011-905</v>
      </c>
      <c r="Q38" s="679" t="s">
        <v>6890</v>
      </c>
    </row>
    <row r="39" spans="1:17">
      <c r="A39" s="788" t="s">
        <v>1248</v>
      </c>
      <c r="B39" s="187" t="s">
        <v>4105</v>
      </c>
      <c r="C39" s="215">
        <v>191349</v>
      </c>
      <c r="D39" s="215">
        <v>1843562</v>
      </c>
      <c r="F39" s="215">
        <f t="shared" si="0"/>
        <v>1843562</v>
      </c>
      <c r="G39" s="215">
        <f t="shared" si="1"/>
        <v>2034911</v>
      </c>
      <c r="H39" s="680" t="s">
        <v>6153</v>
      </c>
      <c r="I39" s="681" t="s">
        <v>3508</v>
      </c>
      <c r="J39" s="187" t="str">
        <f t="shared" si="7"/>
        <v>012-901</v>
      </c>
      <c r="K39" s="187">
        <v>12</v>
      </c>
      <c r="L39" s="187">
        <v>901</v>
      </c>
      <c r="M39" s="187" t="str">
        <f t="shared" si="3"/>
        <v>012</v>
      </c>
      <c r="N39" s="187">
        <f t="shared" si="4"/>
        <v>901</v>
      </c>
      <c r="O39" s="187" t="str">
        <f t="shared" si="5"/>
        <v>012-901</v>
      </c>
      <c r="Q39" s="679" t="s">
        <v>6891</v>
      </c>
    </row>
    <row r="40" spans="1:17">
      <c r="A40" s="788" t="s">
        <v>7182</v>
      </c>
      <c r="B40" s="187" t="s">
        <v>7183</v>
      </c>
      <c r="C40" s="215">
        <v>0</v>
      </c>
      <c r="D40" s="215">
        <v>0</v>
      </c>
      <c r="F40" s="215">
        <f t="shared" si="0"/>
        <v>0</v>
      </c>
      <c r="G40" s="215">
        <f t="shared" si="1"/>
        <v>0</v>
      </c>
      <c r="H40" s="680" t="s">
        <v>6153</v>
      </c>
      <c r="I40" s="681" t="s">
        <v>3508</v>
      </c>
      <c r="J40" s="187" t="str">
        <f t="shared" si="7"/>
        <v>013-801</v>
      </c>
      <c r="K40" s="187">
        <v>13</v>
      </c>
      <c r="L40" s="187">
        <v>801</v>
      </c>
      <c r="M40" s="187" t="str">
        <f t="shared" si="3"/>
        <v>013</v>
      </c>
      <c r="N40" s="187">
        <f t="shared" si="4"/>
        <v>801</v>
      </c>
      <c r="O40" s="187" t="str">
        <f t="shared" si="5"/>
        <v>013-801</v>
      </c>
      <c r="Q40" s="679" t="s">
        <v>6892</v>
      </c>
    </row>
    <row r="41" spans="1:17">
      <c r="A41" s="788" t="s">
        <v>439</v>
      </c>
      <c r="B41" s="187" t="s">
        <v>7698</v>
      </c>
      <c r="C41" s="215">
        <v>483951</v>
      </c>
      <c r="D41" s="215">
        <v>5637134</v>
      </c>
      <c r="F41" s="215">
        <f t="shared" si="0"/>
        <v>5637134</v>
      </c>
      <c r="G41" s="215">
        <f t="shared" si="1"/>
        <v>6121085</v>
      </c>
      <c r="H41" s="680" t="s">
        <v>6153</v>
      </c>
      <c r="I41" s="681" t="s">
        <v>3508</v>
      </c>
      <c r="J41" s="187" t="str">
        <f t="shared" si="7"/>
        <v>013-901</v>
      </c>
      <c r="K41" s="187">
        <v>13</v>
      </c>
      <c r="L41" s="187">
        <v>901</v>
      </c>
      <c r="M41" s="187" t="str">
        <f t="shared" si="3"/>
        <v>013</v>
      </c>
      <c r="N41" s="187">
        <f t="shared" si="4"/>
        <v>901</v>
      </c>
      <c r="O41" s="187" t="str">
        <f t="shared" si="5"/>
        <v>013-901</v>
      </c>
      <c r="Q41" s="679" t="s">
        <v>6893</v>
      </c>
    </row>
    <row r="42" spans="1:17">
      <c r="A42" s="788" t="s">
        <v>1250</v>
      </c>
      <c r="B42" s="187" t="s">
        <v>4106</v>
      </c>
      <c r="C42" s="215">
        <v>0</v>
      </c>
      <c r="D42" s="215">
        <v>1545003</v>
      </c>
      <c r="F42" s="215">
        <f t="shared" si="0"/>
        <v>1545003</v>
      </c>
      <c r="G42" s="215">
        <f t="shared" si="1"/>
        <v>1545003</v>
      </c>
      <c r="H42" s="680" t="s">
        <v>6153</v>
      </c>
      <c r="I42" s="681" t="s">
        <v>3508</v>
      </c>
      <c r="J42" s="187" t="str">
        <f t="shared" si="7"/>
        <v>013-902</v>
      </c>
      <c r="K42" s="187">
        <v>13</v>
      </c>
      <c r="L42" s="187">
        <v>902</v>
      </c>
      <c r="M42" s="187" t="str">
        <f t="shared" si="3"/>
        <v>013</v>
      </c>
      <c r="N42" s="187">
        <f t="shared" si="4"/>
        <v>902</v>
      </c>
      <c r="O42" s="187" t="str">
        <f t="shared" si="5"/>
        <v>013-902</v>
      </c>
      <c r="Q42" s="679" t="s">
        <v>6894</v>
      </c>
    </row>
    <row r="43" spans="1:17">
      <c r="A43" s="788" t="s">
        <v>1252</v>
      </c>
      <c r="B43" s="187" t="s">
        <v>4107</v>
      </c>
      <c r="C43" s="215">
        <v>0</v>
      </c>
      <c r="D43" s="215">
        <v>1742924</v>
      </c>
      <c r="F43" s="215">
        <f t="shared" si="0"/>
        <v>1742924</v>
      </c>
      <c r="G43" s="215">
        <f t="shared" si="1"/>
        <v>1742924</v>
      </c>
      <c r="H43" s="680" t="s">
        <v>6153</v>
      </c>
      <c r="I43" s="681" t="s">
        <v>3508</v>
      </c>
      <c r="J43" s="187" t="str">
        <f t="shared" si="7"/>
        <v>013-903</v>
      </c>
      <c r="K43" s="187">
        <v>13</v>
      </c>
      <c r="L43" s="187">
        <v>903</v>
      </c>
      <c r="M43" s="187" t="str">
        <f t="shared" si="3"/>
        <v>013</v>
      </c>
      <c r="N43" s="187">
        <f t="shared" si="4"/>
        <v>903</v>
      </c>
      <c r="O43" s="187" t="str">
        <f t="shared" si="5"/>
        <v>013-903</v>
      </c>
      <c r="Q43" s="679" t="s">
        <v>6895</v>
      </c>
    </row>
    <row r="44" spans="1:17">
      <c r="A44" s="788" t="s">
        <v>2399</v>
      </c>
      <c r="B44" s="187" t="s">
        <v>2341</v>
      </c>
      <c r="C44" s="215">
        <v>66133</v>
      </c>
      <c r="D44" s="215">
        <v>1174156</v>
      </c>
      <c r="F44" s="215">
        <f t="shared" si="0"/>
        <v>1174156</v>
      </c>
      <c r="G44" s="215">
        <f t="shared" si="1"/>
        <v>1240289</v>
      </c>
      <c r="H44" s="680" t="s">
        <v>6153</v>
      </c>
      <c r="I44" s="681" t="s">
        <v>3508</v>
      </c>
      <c r="J44" s="187" t="str">
        <f t="shared" si="7"/>
        <v>013-905</v>
      </c>
      <c r="K44" s="187">
        <v>13</v>
      </c>
      <c r="L44" s="187">
        <v>905</v>
      </c>
      <c r="M44" s="187" t="str">
        <f t="shared" si="3"/>
        <v>013</v>
      </c>
      <c r="N44" s="187">
        <f t="shared" si="4"/>
        <v>905</v>
      </c>
      <c r="O44" s="187" t="str">
        <f t="shared" si="5"/>
        <v>013-905</v>
      </c>
      <c r="Q44" s="679" t="s">
        <v>6896</v>
      </c>
    </row>
    <row r="45" spans="1:17">
      <c r="A45" s="788" t="s">
        <v>7184</v>
      </c>
      <c r="B45" s="187" t="s">
        <v>7185</v>
      </c>
      <c r="C45" s="215">
        <v>0</v>
      </c>
      <c r="D45" s="215">
        <v>0</v>
      </c>
      <c r="F45" s="215">
        <f t="shared" si="0"/>
        <v>0</v>
      </c>
      <c r="G45" s="215">
        <f t="shared" si="1"/>
        <v>0</v>
      </c>
      <c r="H45" s="680" t="s">
        <v>6153</v>
      </c>
      <c r="I45" s="681" t="s">
        <v>3508</v>
      </c>
      <c r="J45" s="187" t="str">
        <f t="shared" si="7"/>
        <v>014-801</v>
      </c>
      <c r="K45" s="187">
        <v>14</v>
      </c>
      <c r="L45" s="187">
        <v>801</v>
      </c>
      <c r="M45" s="187" t="str">
        <f t="shared" si="3"/>
        <v>014</v>
      </c>
      <c r="N45" s="187">
        <f t="shared" si="4"/>
        <v>801</v>
      </c>
      <c r="O45" s="187" t="str">
        <f t="shared" si="5"/>
        <v>014-801</v>
      </c>
      <c r="Q45" s="679" t="s">
        <v>6897</v>
      </c>
    </row>
    <row r="46" spans="1:17">
      <c r="A46" s="788" t="s">
        <v>7186</v>
      </c>
      <c r="B46" s="187" t="s">
        <v>7187</v>
      </c>
      <c r="C46" s="215">
        <v>0</v>
      </c>
      <c r="D46" s="215">
        <v>0</v>
      </c>
      <c r="F46" s="215">
        <f t="shared" si="0"/>
        <v>0</v>
      </c>
      <c r="G46" s="215">
        <f t="shared" si="1"/>
        <v>0</v>
      </c>
      <c r="H46" s="680" t="s">
        <v>6153</v>
      </c>
      <c r="I46" s="681" t="s">
        <v>3508</v>
      </c>
      <c r="J46" s="187" t="str">
        <f t="shared" si="7"/>
        <v>014-802</v>
      </c>
      <c r="K46" s="187">
        <v>14</v>
      </c>
      <c r="L46" s="187">
        <v>802</v>
      </c>
      <c r="M46" s="187" t="str">
        <f t="shared" si="3"/>
        <v>014</v>
      </c>
      <c r="N46" s="187">
        <f t="shared" si="4"/>
        <v>802</v>
      </c>
      <c r="O46" s="187" t="str">
        <f t="shared" si="5"/>
        <v>014-802</v>
      </c>
      <c r="Q46" s="679" t="s">
        <v>6898</v>
      </c>
    </row>
    <row r="47" spans="1:17">
      <c r="A47" s="788" t="s">
        <v>7188</v>
      </c>
      <c r="B47" s="187" t="s">
        <v>7189</v>
      </c>
      <c r="C47" s="215">
        <v>0</v>
      </c>
      <c r="D47" s="215">
        <v>0</v>
      </c>
      <c r="F47" s="215">
        <f t="shared" si="0"/>
        <v>0</v>
      </c>
      <c r="G47" s="215">
        <f t="shared" si="1"/>
        <v>0</v>
      </c>
      <c r="H47" s="680" t="s">
        <v>6153</v>
      </c>
      <c r="I47" s="681" t="s">
        <v>3508</v>
      </c>
      <c r="J47" s="187" t="str">
        <f t="shared" si="7"/>
        <v>014-803</v>
      </c>
      <c r="K47" s="187">
        <v>14</v>
      </c>
      <c r="L47" s="187">
        <v>803</v>
      </c>
      <c r="M47" s="187" t="str">
        <f t="shared" si="3"/>
        <v>014</v>
      </c>
      <c r="N47" s="187">
        <f t="shared" si="4"/>
        <v>803</v>
      </c>
      <c r="O47" s="187" t="str">
        <f t="shared" si="5"/>
        <v>014-803</v>
      </c>
      <c r="Q47" s="679" t="s">
        <v>6899</v>
      </c>
    </row>
    <row r="48" spans="1:17">
      <c r="A48" s="788" t="s">
        <v>7190</v>
      </c>
      <c r="B48" s="187" t="s">
        <v>7191</v>
      </c>
      <c r="C48" s="215">
        <v>0</v>
      </c>
      <c r="D48" s="215">
        <v>0</v>
      </c>
      <c r="F48" s="215">
        <f t="shared" si="0"/>
        <v>0</v>
      </c>
      <c r="G48" s="215">
        <f t="shared" si="1"/>
        <v>0</v>
      </c>
      <c r="H48" s="680" t="s">
        <v>6153</v>
      </c>
      <c r="I48" s="681" t="s">
        <v>3508</v>
      </c>
      <c r="J48" s="187" t="str">
        <f t="shared" si="7"/>
        <v>014-804</v>
      </c>
      <c r="K48" s="187">
        <v>14</v>
      </c>
      <c r="L48" s="187">
        <v>804</v>
      </c>
      <c r="M48" s="187" t="str">
        <f t="shared" si="3"/>
        <v>014</v>
      </c>
      <c r="N48" s="187">
        <f t="shared" si="4"/>
        <v>804</v>
      </c>
      <c r="O48" s="187" t="str">
        <f t="shared" si="5"/>
        <v>014-804</v>
      </c>
      <c r="Q48" s="679" t="s">
        <v>6900</v>
      </c>
    </row>
    <row r="49" spans="1:17">
      <c r="A49" s="788" t="s">
        <v>2566</v>
      </c>
      <c r="B49" s="187" t="s">
        <v>4108</v>
      </c>
      <c r="C49" s="215">
        <v>369620</v>
      </c>
      <c r="D49" s="215">
        <v>1860335</v>
      </c>
      <c r="F49" s="215">
        <f t="shared" si="0"/>
        <v>1860335</v>
      </c>
      <c r="G49" s="215">
        <f t="shared" si="1"/>
        <v>2229955</v>
      </c>
      <c r="H49" s="680" t="s">
        <v>6153</v>
      </c>
      <c r="I49" s="681" t="s">
        <v>3508</v>
      </c>
      <c r="J49" s="187" t="str">
        <f t="shared" si="7"/>
        <v>014-901</v>
      </c>
      <c r="K49" s="187">
        <v>14</v>
      </c>
      <c r="L49" s="187">
        <v>901</v>
      </c>
      <c r="M49" s="187" t="str">
        <f t="shared" si="3"/>
        <v>014</v>
      </c>
      <c r="N49" s="187">
        <f t="shared" si="4"/>
        <v>901</v>
      </c>
      <c r="O49" s="187" t="str">
        <f t="shared" si="5"/>
        <v>014-901</v>
      </c>
      <c r="Q49" s="679" t="s">
        <v>6901</v>
      </c>
    </row>
    <row r="50" spans="1:17">
      <c r="A50" s="788" t="s">
        <v>947</v>
      </c>
      <c r="B50" s="187" t="s">
        <v>7696</v>
      </c>
      <c r="C50" s="215">
        <v>81679</v>
      </c>
      <c r="D50" s="215">
        <v>897755</v>
      </c>
      <c r="F50" s="215">
        <f t="shared" si="0"/>
        <v>897755</v>
      </c>
      <c r="G50" s="215">
        <f t="shared" si="1"/>
        <v>979434</v>
      </c>
      <c r="H50" s="680" t="s">
        <v>6153</v>
      </c>
      <c r="I50" s="681" t="s">
        <v>3508</v>
      </c>
      <c r="J50" s="187" t="str">
        <f t="shared" si="7"/>
        <v>014-902</v>
      </c>
      <c r="K50" s="187">
        <v>14</v>
      </c>
      <c r="L50" s="187">
        <v>902</v>
      </c>
      <c r="M50" s="187" t="str">
        <f t="shared" si="3"/>
        <v>014</v>
      </c>
      <c r="N50" s="187">
        <f t="shared" si="4"/>
        <v>902</v>
      </c>
      <c r="O50" s="187" t="str">
        <f t="shared" si="5"/>
        <v>014-902</v>
      </c>
      <c r="Q50" s="679" t="s">
        <v>6902</v>
      </c>
    </row>
    <row r="51" spans="1:17">
      <c r="A51" s="788" t="s">
        <v>950</v>
      </c>
      <c r="B51" s="187" t="s">
        <v>7654</v>
      </c>
      <c r="C51" s="215">
        <v>2556784</v>
      </c>
      <c r="D51" s="215">
        <v>16044247</v>
      </c>
      <c r="F51" s="215">
        <f t="shared" si="0"/>
        <v>16044247</v>
      </c>
      <c r="G51" s="215">
        <f t="shared" si="1"/>
        <v>18601031</v>
      </c>
      <c r="H51" s="680" t="s">
        <v>6153</v>
      </c>
      <c r="I51" s="681" t="s">
        <v>3508</v>
      </c>
      <c r="J51" s="187" t="str">
        <f t="shared" si="7"/>
        <v>014-903</v>
      </c>
      <c r="K51" s="187">
        <v>14</v>
      </c>
      <c r="L51" s="187">
        <v>903</v>
      </c>
      <c r="M51" s="187" t="str">
        <f t="shared" si="3"/>
        <v>014</v>
      </c>
      <c r="N51" s="187">
        <f t="shared" si="4"/>
        <v>903</v>
      </c>
      <c r="O51" s="187" t="str">
        <f t="shared" si="5"/>
        <v>014-903</v>
      </c>
      <c r="Q51" s="679" t="s">
        <v>6903</v>
      </c>
    </row>
    <row r="52" spans="1:17">
      <c r="A52" s="788" t="s">
        <v>1869</v>
      </c>
      <c r="B52" s="187" t="s">
        <v>3848</v>
      </c>
      <c r="C52" s="215">
        <v>76087</v>
      </c>
      <c r="D52" s="215">
        <v>862733</v>
      </c>
      <c r="F52" s="215">
        <f t="shared" si="0"/>
        <v>862733</v>
      </c>
      <c r="G52" s="215">
        <f t="shared" si="1"/>
        <v>938820</v>
      </c>
      <c r="H52" s="680" t="s">
        <v>6153</v>
      </c>
      <c r="I52" s="681" t="s">
        <v>3508</v>
      </c>
      <c r="J52" s="187" t="str">
        <f t="shared" si="7"/>
        <v>014-905</v>
      </c>
      <c r="K52" s="187">
        <v>14</v>
      </c>
      <c r="L52" s="187">
        <v>905</v>
      </c>
      <c r="M52" s="187" t="str">
        <f t="shared" si="3"/>
        <v>014</v>
      </c>
      <c r="N52" s="187">
        <f t="shared" si="4"/>
        <v>905</v>
      </c>
      <c r="O52" s="187" t="str">
        <f t="shared" si="5"/>
        <v>014-905</v>
      </c>
      <c r="Q52" s="679" t="s">
        <v>6904</v>
      </c>
    </row>
    <row r="53" spans="1:17">
      <c r="A53" s="788" t="s">
        <v>6033</v>
      </c>
      <c r="B53" s="187" t="s">
        <v>1920</v>
      </c>
      <c r="C53" s="215">
        <v>4560899</v>
      </c>
      <c r="D53" s="215">
        <v>47150397</v>
      </c>
      <c r="F53" s="215">
        <f t="shared" si="0"/>
        <v>47150397</v>
      </c>
      <c r="G53" s="215">
        <f t="shared" si="1"/>
        <v>51711296</v>
      </c>
      <c r="H53" s="680" t="s">
        <v>6153</v>
      </c>
      <c r="I53" s="681" t="s">
        <v>3508</v>
      </c>
      <c r="J53" s="187" t="str">
        <f t="shared" si="7"/>
        <v>014-906</v>
      </c>
      <c r="K53" s="187">
        <v>14</v>
      </c>
      <c r="L53" s="187">
        <v>906</v>
      </c>
      <c r="M53" s="187" t="str">
        <f t="shared" si="3"/>
        <v>014</v>
      </c>
      <c r="N53" s="187">
        <f t="shared" si="4"/>
        <v>906</v>
      </c>
      <c r="O53" s="187" t="str">
        <f t="shared" si="5"/>
        <v>014-906</v>
      </c>
      <c r="Q53" s="679" t="s">
        <v>6905</v>
      </c>
    </row>
    <row r="54" spans="1:17">
      <c r="A54" s="788" t="s">
        <v>2309</v>
      </c>
      <c r="B54" s="187" t="s">
        <v>367</v>
      </c>
      <c r="C54" s="215">
        <v>79443</v>
      </c>
      <c r="D54" s="215">
        <v>1472632</v>
      </c>
      <c r="F54" s="215">
        <f t="shared" si="0"/>
        <v>1472632</v>
      </c>
      <c r="G54" s="215">
        <f t="shared" si="1"/>
        <v>1552075</v>
      </c>
      <c r="H54" s="680" t="s">
        <v>6153</v>
      </c>
      <c r="I54" s="681" t="s">
        <v>3508</v>
      </c>
      <c r="J54" s="187" t="str">
        <f t="shared" si="7"/>
        <v>014-907</v>
      </c>
      <c r="K54" s="187">
        <v>14</v>
      </c>
      <c r="L54" s="187">
        <v>907</v>
      </c>
      <c r="M54" s="187" t="str">
        <f t="shared" si="3"/>
        <v>014</v>
      </c>
      <c r="N54" s="187">
        <f t="shared" si="4"/>
        <v>907</v>
      </c>
      <c r="O54" s="187" t="str">
        <f t="shared" si="5"/>
        <v>014-907</v>
      </c>
      <c r="Q54" s="679" t="s">
        <v>6906</v>
      </c>
    </row>
    <row r="55" spans="1:17">
      <c r="A55" s="788" t="s">
        <v>2384</v>
      </c>
      <c r="B55" s="187" t="s">
        <v>376</v>
      </c>
      <c r="C55" s="215">
        <v>663327</v>
      </c>
      <c r="D55" s="215">
        <v>5563070</v>
      </c>
      <c r="F55" s="215">
        <f t="shared" si="0"/>
        <v>5563070</v>
      </c>
      <c r="G55" s="215">
        <f t="shared" si="1"/>
        <v>6226397</v>
      </c>
      <c r="H55" s="680" t="s">
        <v>6153</v>
      </c>
      <c r="I55" s="681" t="s">
        <v>3508</v>
      </c>
      <c r="J55" s="187" t="str">
        <f t="shared" si="7"/>
        <v>014-908</v>
      </c>
      <c r="K55" s="187">
        <v>14</v>
      </c>
      <c r="L55" s="187">
        <v>908</v>
      </c>
      <c r="M55" s="187" t="str">
        <f t="shared" si="3"/>
        <v>014</v>
      </c>
      <c r="N55" s="187">
        <f t="shared" si="4"/>
        <v>908</v>
      </c>
      <c r="O55" s="187" t="str">
        <f t="shared" si="5"/>
        <v>014-908</v>
      </c>
      <c r="Q55" s="679" t="s">
        <v>6907</v>
      </c>
    </row>
    <row r="56" spans="1:17">
      <c r="A56" s="788" t="s">
        <v>2411</v>
      </c>
      <c r="B56" s="187" t="s">
        <v>5364</v>
      </c>
      <c r="C56" s="215">
        <v>2986373</v>
      </c>
      <c r="D56" s="215">
        <v>33947254</v>
      </c>
      <c r="F56" s="215">
        <f t="shared" si="0"/>
        <v>33947254</v>
      </c>
      <c r="G56" s="215">
        <f t="shared" si="1"/>
        <v>36933627</v>
      </c>
      <c r="H56" s="680" t="s">
        <v>6153</v>
      </c>
      <c r="I56" s="681" t="s">
        <v>3508</v>
      </c>
      <c r="J56" s="187" t="str">
        <f t="shared" si="7"/>
        <v>014-909</v>
      </c>
      <c r="K56" s="187">
        <v>14</v>
      </c>
      <c r="L56" s="187">
        <v>909</v>
      </c>
      <c r="M56" s="187" t="str">
        <f t="shared" si="3"/>
        <v>014</v>
      </c>
      <c r="N56" s="187">
        <f t="shared" si="4"/>
        <v>909</v>
      </c>
      <c r="O56" s="187" t="str">
        <f t="shared" si="5"/>
        <v>014-909</v>
      </c>
      <c r="Q56" s="679" t="s">
        <v>6908</v>
      </c>
    </row>
    <row r="57" spans="1:17">
      <c r="A57" s="788" t="s">
        <v>2416</v>
      </c>
      <c r="B57" s="187" t="s">
        <v>5369</v>
      </c>
      <c r="C57" s="215">
        <v>329835</v>
      </c>
      <c r="D57" s="215">
        <v>2455641</v>
      </c>
      <c r="F57" s="215">
        <f t="shared" si="0"/>
        <v>2455641</v>
      </c>
      <c r="G57" s="215">
        <f t="shared" si="1"/>
        <v>2785476</v>
      </c>
      <c r="H57" s="680" t="s">
        <v>6153</v>
      </c>
      <c r="I57" s="681" t="s">
        <v>3508</v>
      </c>
      <c r="J57" s="187" t="str">
        <f t="shared" si="7"/>
        <v>014-910</v>
      </c>
      <c r="K57" s="187">
        <v>14</v>
      </c>
      <c r="L57" s="187">
        <v>910</v>
      </c>
      <c r="M57" s="187" t="str">
        <f t="shared" si="3"/>
        <v>014</v>
      </c>
      <c r="N57" s="187">
        <f t="shared" si="4"/>
        <v>910</v>
      </c>
      <c r="O57" s="187" t="str">
        <f t="shared" si="5"/>
        <v>014-910</v>
      </c>
      <c r="Q57" s="679" t="s">
        <v>6909</v>
      </c>
    </row>
    <row r="58" spans="1:17">
      <c r="A58" s="788" t="s">
        <v>1254</v>
      </c>
      <c r="B58" s="187" t="s">
        <v>7192</v>
      </c>
      <c r="C58" s="215">
        <v>0</v>
      </c>
      <c r="D58" s="215">
        <v>0</v>
      </c>
      <c r="F58" s="215">
        <f t="shared" si="0"/>
        <v>0</v>
      </c>
      <c r="G58" s="215">
        <f t="shared" si="1"/>
        <v>0</v>
      </c>
      <c r="H58" s="680" t="s">
        <v>6153</v>
      </c>
      <c r="I58" s="681" t="s">
        <v>3508</v>
      </c>
      <c r="J58" s="187" t="str">
        <f t="shared" si="7"/>
        <v>015-801</v>
      </c>
      <c r="K58" s="187">
        <v>15</v>
      </c>
      <c r="L58" s="187">
        <v>801</v>
      </c>
      <c r="M58" s="187" t="str">
        <f t="shared" si="3"/>
        <v>015</v>
      </c>
      <c r="N58" s="187">
        <f t="shared" si="4"/>
        <v>801</v>
      </c>
      <c r="O58" s="187" t="str">
        <f t="shared" si="5"/>
        <v>015-801</v>
      </c>
      <c r="Q58" s="679" t="s">
        <v>6910</v>
      </c>
    </row>
    <row r="59" spans="1:17">
      <c r="A59" s="788" t="s">
        <v>7193</v>
      </c>
      <c r="B59" s="187" t="s">
        <v>7194</v>
      </c>
      <c r="C59" s="215">
        <v>0</v>
      </c>
      <c r="D59" s="215">
        <v>0</v>
      </c>
      <c r="F59" s="215">
        <f t="shared" si="0"/>
        <v>0</v>
      </c>
      <c r="G59" s="215">
        <f t="shared" si="1"/>
        <v>0</v>
      </c>
      <c r="H59" s="680" t="s">
        <v>6153</v>
      </c>
      <c r="I59" s="681" t="s">
        <v>3508</v>
      </c>
      <c r="J59" s="187" t="str">
        <f t="shared" si="7"/>
        <v>015-802</v>
      </c>
      <c r="K59" s="187">
        <v>15</v>
      </c>
      <c r="L59" s="187">
        <v>802</v>
      </c>
      <c r="M59" s="187" t="str">
        <f t="shared" si="3"/>
        <v>015</v>
      </c>
      <c r="N59" s="187">
        <f t="shared" si="4"/>
        <v>802</v>
      </c>
      <c r="O59" s="187" t="str">
        <f t="shared" si="5"/>
        <v>015-802</v>
      </c>
      <c r="Q59" s="679" t="s">
        <v>6911</v>
      </c>
    </row>
    <row r="60" spans="1:17">
      <c r="A60" s="788" t="s">
        <v>7195</v>
      </c>
      <c r="B60" s="187" t="s">
        <v>7196</v>
      </c>
      <c r="C60" s="215">
        <v>0</v>
      </c>
      <c r="D60" s="215">
        <v>0</v>
      </c>
      <c r="F60" s="215">
        <f t="shared" si="0"/>
        <v>0</v>
      </c>
      <c r="G60" s="215">
        <f t="shared" si="1"/>
        <v>0</v>
      </c>
      <c r="H60" s="680" t="s">
        <v>6153</v>
      </c>
      <c r="I60" s="681" t="s">
        <v>3508</v>
      </c>
      <c r="J60" s="187" t="str">
        <f t="shared" si="7"/>
        <v>015-803</v>
      </c>
      <c r="K60" s="187">
        <v>15</v>
      </c>
      <c r="L60" s="187">
        <v>803</v>
      </c>
      <c r="M60" s="187" t="str">
        <f t="shared" si="3"/>
        <v>015</v>
      </c>
      <c r="N60" s="187">
        <f t="shared" si="4"/>
        <v>803</v>
      </c>
      <c r="O60" s="187" t="str">
        <f t="shared" si="5"/>
        <v>015-803</v>
      </c>
      <c r="Q60" s="679" t="s">
        <v>6912</v>
      </c>
    </row>
    <row r="61" spans="1:17">
      <c r="A61" s="788" t="s">
        <v>7197</v>
      </c>
      <c r="B61" s="187" t="s">
        <v>7198</v>
      </c>
      <c r="C61" s="215">
        <v>0</v>
      </c>
      <c r="D61" s="215">
        <v>0</v>
      </c>
      <c r="F61" s="215">
        <f t="shared" si="0"/>
        <v>0</v>
      </c>
      <c r="G61" s="215">
        <f t="shared" si="1"/>
        <v>0</v>
      </c>
      <c r="H61" s="680" t="s">
        <v>6153</v>
      </c>
      <c r="I61" s="681" t="s">
        <v>3508</v>
      </c>
      <c r="J61" s="187" t="str">
        <f t="shared" si="7"/>
        <v>015-805</v>
      </c>
      <c r="K61" s="187">
        <v>15</v>
      </c>
      <c r="L61" s="187">
        <v>805</v>
      </c>
      <c r="M61" s="187" t="str">
        <f t="shared" si="3"/>
        <v>015</v>
      </c>
      <c r="N61" s="187">
        <f t="shared" si="4"/>
        <v>805</v>
      </c>
      <c r="O61" s="187" t="str">
        <f t="shared" si="5"/>
        <v>015-805</v>
      </c>
      <c r="Q61" s="679" t="s">
        <v>6913</v>
      </c>
    </row>
    <row r="62" spans="1:17">
      <c r="A62" s="788" t="s">
        <v>1256</v>
      </c>
      <c r="B62" s="187" t="s">
        <v>7199</v>
      </c>
      <c r="C62" s="215">
        <v>0</v>
      </c>
      <c r="D62" s="215">
        <v>0</v>
      </c>
      <c r="F62" s="215">
        <f t="shared" si="0"/>
        <v>0</v>
      </c>
      <c r="G62" s="215">
        <f t="shared" si="1"/>
        <v>0</v>
      </c>
      <c r="H62" s="680" t="s">
        <v>6153</v>
      </c>
      <c r="I62" s="681" t="s">
        <v>3508</v>
      </c>
      <c r="J62" s="187" t="str">
        <f t="shared" si="7"/>
        <v>015-806</v>
      </c>
      <c r="K62" s="187">
        <v>15</v>
      </c>
      <c r="L62" s="187">
        <v>806</v>
      </c>
      <c r="M62" s="187" t="str">
        <f t="shared" si="3"/>
        <v>015</v>
      </c>
      <c r="N62" s="187">
        <f t="shared" si="4"/>
        <v>806</v>
      </c>
      <c r="O62" s="187" t="str">
        <f t="shared" si="5"/>
        <v>015-806</v>
      </c>
      <c r="Q62" s="679" t="s">
        <v>6914</v>
      </c>
    </row>
    <row r="63" spans="1:17">
      <c r="A63" s="788" t="s">
        <v>7200</v>
      </c>
      <c r="B63" s="187" t="s">
        <v>7201</v>
      </c>
      <c r="C63" s="215">
        <v>0</v>
      </c>
      <c r="D63" s="215">
        <v>0</v>
      </c>
      <c r="F63" s="215">
        <f t="shared" si="0"/>
        <v>0</v>
      </c>
      <c r="G63" s="215">
        <f t="shared" si="1"/>
        <v>0</v>
      </c>
      <c r="H63" s="680" t="s">
        <v>6153</v>
      </c>
      <c r="I63" s="681" t="s">
        <v>3508</v>
      </c>
      <c r="J63" s="187" t="str">
        <f t="shared" si="7"/>
        <v>015-807</v>
      </c>
      <c r="K63" s="187">
        <v>15</v>
      </c>
      <c r="L63" s="187">
        <v>807</v>
      </c>
      <c r="M63" s="187" t="str">
        <f t="shared" si="3"/>
        <v>015</v>
      </c>
      <c r="N63" s="187">
        <f t="shared" si="4"/>
        <v>807</v>
      </c>
      <c r="O63" s="187" t="str">
        <f t="shared" si="5"/>
        <v>015-807</v>
      </c>
      <c r="Q63" s="679" t="s">
        <v>6915</v>
      </c>
    </row>
    <row r="64" spans="1:17">
      <c r="A64" s="788" t="s">
        <v>7202</v>
      </c>
      <c r="B64" s="187" t="s">
        <v>7203</v>
      </c>
      <c r="C64" s="215">
        <v>0</v>
      </c>
      <c r="D64" s="215">
        <v>0</v>
      </c>
      <c r="F64" s="215">
        <f t="shared" si="0"/>
        <v>0</v>
      </c>
      <c r="G64" s="215">
        <f t="shared" si="1"/>
        <v>0</v>
      </c>
      <c r="H64" s="680" t="s">
        <v>6153</v>
      </c>
      <c r="I64" s="681" t="s">
        <v>3508</v>
      </c>
      <c r="J64" s="187" t="str">
        <f t="shared" si="7"/>
        <v>015-808</v>
      </c>
      <c r="K64" s="187">
        <v>15</v>
      </c>
      <c r="L64" s="187">
        <v>808</v>
      </c>
      <c r="M64" s="187" t="str">
        <f t="shared" si="3"/>
        <v>015</v>
      </c>
      <c r="N64" s="187">
        <f t="shared" si="4"/>
        <v>808</v>
      </c>
      <c r="O64" s="187" t="str">
        <f t="shared" si="5"/>
        <v>015-808</v>
      </c>
      <c r="Q64" s="679" t="s">
        <v>6916</v>
      </c>
    </row>
    <row r="65" spans="1:17">
      <c r="A65" s="788" t="s">
        <v>7204</v>
      </c>
      <c r="B65" s="187" t="s">
        <v>7205</v>
      </c>
      <c r="C65" s="215">
        <v>0</v>
      </c>
      <c r="D65" s="215">
        <v>0</v>
      </c>
      <c r="F65" s="215">
        <f t="shared" si="0"/>
        <v>0</v>
      </c>
      <c r="G65" s="215">
        <f t="shared" si="1"/>
        <v>0</v>
      </c>
      <c r="H65" s="680" t="s">
        <v>6153</v>
      </c>
      <c r="I65" s="681" t="s">
        <v>3508</v>
      </c>
      <c r="J65" s="187" t="str">
        <f t="shared" si="7"/>
        <v>015-809</v>
      </c>
      <c r="K65" s="187">
        <v>15</v>
      </c>
      <c r="L65" s="187">
        <v>809</v>
      </c>
      <c r="M65" s="187" t="str">
        <f t="shared" si="3"/>
        <v>015</v>
      </c>
      <c r="N65" s="187">
        <f t="shared" si="4"/>
        <v>809</v>
      </c>
      <c r="O65" s="187" t="str">
        <f t="shared" si="5"/>
        <v>015-809</v>
      </c>
      <c r="Q65" s="679" t="s">
        <v>6917</v>
      </c>
    </row>
    <row r="66" spans="1:17">
      <c r="A66" s="788" t="s">
        <v>7206</v>
      </c>
      <c r="B66" s="187" t="s">
        <v>7207</v>
      </c>
      <c r="C66" s="215">
        <v>0</v>
      </c>
      <c r="D66" s="215">
        <v>0</v>
      </c>
      <c r="F66" s="215">
        <f t="shared" si="0"/>
        <v>0</v>
      </c>
      <c r="G66" s="215">
        <f t="shared" si="1"/>
        <v>0</v>
      </c>
      <c r="H66" s="680" t="s">
        <v>6153</v>
      </c>
      <c r="I66" s="681" t="s">
        <v>3508</v>
      </c>
      <c r="J66" s="187" t="str">
        <f t="shared" si="7"/>
        <v>015-810</v>
      </c>
      <c r="K66" s="187">
        <v>15</v>
      </c>
      <c r="L66" s="187">
        <v>810</v>
      </c>
      <c r="M66" s="187" t="str">
        <f t="shared" si="3"/>
        <v>015</v>
      </c>
      <c r="N66" s="187">
        <f t="shared" si="4"/>
        <v>810</v>
      </c>
      <c r="O66" s="187" t="str">
        <f t="shared" si="5"/>
        <v>015-810</v>
      </c>
      <c r="Q66" s="679" t="s">
        <v>6918</v>
      </c>
    </row>
    <row r="67" spans="1:17">
      <c r="A67" s="788" t="s">
        <v>7208</v>
      </c>
      <c r="B67" s="187" t="s">
        <v>7209</v>
      </c>
      <c r="C67" s="215">
        <v>0</v>
      </c>
      <c r="D67" s="215">
        <v>0</v>
      </c>
      <c r="F67" s="215">
        <f t="shared" si="0"/>
        <v>0</v>
      </c>
      <c r="G67" s="215">
        <f t="shared" si="1"/>
        <v>0</v>
      </c>
      <c r="H67" s="680" t="s">
        <v>6153</v>
      </c>
      <c r="I67" s="681" t="s">
        <v>3508</v>
      </c>
      <c r="J67" s="187" t="str">
        <f t="shared" si="7"/>
        <v>015-811</v>
      </c>
      <c r="K67" s="187">
        <v>15</v>
      </c>
      <c r="L67" s="187">
        <v>811</v>
      </c>
      <c r="M67" s="187" t="str">
        <f t="shared" si="3"/>
        <v>015</v>
      </c>
      <c r="N67" s="187">
        <f t="shared" si="4"/>
        <v>811</v>
      </c>
      <c r="O67" s="187" t="str">
        <f t="shared" si="5"/>
        <v>015-811</v>
      </c>
      <c r="Q67" s="679" t="s">
        <v>6919</v>
      </c>
    </row>
    <row r="68" spans="1:17">
      <c r="A68" s="788" t="s">
        <v>7210</v>
      </c>
      <c r="B68" s="187" t="s">
        <v>7211</v>
      </c>
      <c r="C68" s="215">
        <v>0</v>
      </c>
      <c r="D68" s="215">
        <v>0</v>
      </c>
      <c r="F68" s="215">
        <f t="shared" ref="F68:F131" si="8">D68+E68</f>
        <v>0</v>
      </c>
      <c r="G68" s="215">
        <f t="shared" ref="G68:G131" si="9">F68+C68</f>
        <v>0</v>
      </c>
      <c r="H68" s="680" t="s">
        <v>6153</v>
      </c>
      <c r="I68" s="681" t="s">
        <v>3508</v>
      </c>
      <c r="J68" s="187" t="str">
        <f t="shared" si="7"/>
        <v>015-812</v>
      </c>
      <c r="K68" s="187">
        <v>15</v>
      </c>
      <c r="L68" s="187">
        <v>812</v>
      </c>
      <c r="M68" s="187" t="str">
        <f t="shared" ref="M68:M131" si="10">+I68&amp;K68</f>
        <v>015</v>
      </c>
      <c r="N68" s="187">
        <f t="shared" ref="N68:N131" si="11">+L68</f>
        <v>812</v>
      </c>
      <c r="O68" s="187" t="str">
        <f t="shared" ref="O68:O131" si="12">+M68&amp;"-"&amp;N68</f>
        <v>015-812</v>
      </c>
      <c r="Q68" s="679" t="s">
        <v>6920</v>
      </c>
    </row>
    <row r="69" spans="1:17">
      <c r="A69" s="788" t="s">
        <v>7212</v>
      </c>
      <c r="B69" s="187" t="s">
        <v>7213</v>
      </c>
      <c r="C69" s="215">
        <v>0</v>
      </c>
      <c r="D69" s="215">
        <v>0</v>
      </c>
      <c r="F69" s="215">
        <f t="shared" si="8"/>
        <v>0</v>
      </c>
      <c r="G69" s="215">
        <f t="shared" si="9"/>
        <v>0</v>
      </c>
      <c r="H69" s="680" t="s">
        <v>6153</v>
      </c>
      <c r="I69" s="681" t="s">
        <v>3508</v>
      </c>
      <c r="J69" s="187" t="str">
        <f t="shared" si="7"/>
        <v>015-813</v>
      </c>
      <c r="K69" s="187">
        <v>15</v>
      </c>
      <c r="L69" s="187">
        <v>813</v>
      </c>
      <c r="M69" s="187" t="str">
        <f t="shared" si="10"/>
        <v>015</v>
      </c>
      <c r="N69" s="187">
        <f t="shared" si="11"/>
        <v>813</v>
      </c>
      <c r="O69" s="187" t="str">
        <f t="shared" si="12"/>
        <v>015-813</v>
      </c>
      <c r="Q69" s="679" t="s">
        <v>6921</v>
      </c>
    </row>
    <row r="70" spans="1:17">
      <c r="A70" s="788" t="s">
        <v>7214</v>
      </c>
      <c r="B70" s="187" t="s">
        <v>7215</v>
      </c>
      <c r="C70" s="215">
        <v>0</v>
      </c>
      <c r="D70" s="215">
        <v>0</v>
      </c>
      <c r="F70" s="215">
        <f t="shared" si="8"/>
        <v>0</v>
      </c>
      <c r="G70" s="215">
        <f t="shared" si="9"/>
        <v>0</v>
      </c>
      <c r="H70" s="680" t="s">
        <v>6153</v>
      </c>
      <c r="I70" s="681" t="s">
        <v>3508</v>
      </c>
      <c r="J70" s="187" t="str">
        <f t="shared" si="7"/>
        <v>015-814</v>
      </c>
      <c r="K70" s="187">
        <v>15</v>
      </c>
      <c r="L70" s="187">
        <v>814</v>
      </c>
      <c r="M70" s="187" t="str">
        <f t="shared" si="10"/>
        <v>015</v>
      </c>
      <c r="N70" s="187">
        <f t="shared" si="11"/>
        <v>814</v>
      </c>
      <c r="O70" s="187" t="str">
        <f t="shared" si="12"/>
        <v>015-814</v>
      </c>
      <c r="Q70" s="679" t="s">
        <v>6922</v>
      </c>
    </row>
    <row r="71" spans="1:17">
      <c r="A71" s="788" t="s">
        <v>7216</v>
      </c>
      <c r="B71" s="187" t="s">
        <v>7217</v>
      </c>
      <c r="C71" s="215">
        <v>0</v>
      </c>
      <c r="D71" s="215">
        <v>0</v>
      </c>
      <c r="F71" s="215">
        <f t="shared" si="8"/>
        <v>0</v>
      </c>
      <c r="G71" s="215">
        <f t="shared" si="9"/>
        <v>0</v>
      </c>
      <c r="H71" s="680" t="s">
        <v>6153</v>
      </c>
      <c r="I71" s="681" t="s">
        <v>3508</v>
      </c>
      <c r="J71" s="187" t="str">
        <f t="shared" si="7"/>
        <v>015-815</v>
      </c>
      <c r="K71" s="187">
        <v>15</v>
      </c>
      <c r="L71" s="187">
        <v>815</v>
      </c>
      <c r="M71" s="187" t="str">
        <f t="shared" si="10"/>
        <v>015</v>
      </c>
      <c r="N71" s="187">
        <f t="shared" si="11"/>
        <v>815</v>
      </c>
      <c r="O71" s="187" t="str">
        <f t="shared" si="12"/>
        <v>015-815</v>
      </c>
      <c r="Q71" s="679" t="s">
        <v>6923</v>
      </c>
    </row>
    <row r="72" spans="1:17">
      <c r="A72" s="788" t="s">
        <v>7218</v>
      </c>
      <c r="B72" s="187" t="s">
        <v>7219</v>
      </c>
      <c r="C72" s="215">
        <v>0</v>
      </c>
      <c r="D72" s="215">
        <v>0</v>
      </c>
      <c r="F72" s="215">
        <f t="shared" si="8"/>
        <v>0</v>
      </c>
      <c r="G72" s="215">
        <f t="shared" si="9"/>
        <v>0</v>
      </c>
      <c r="H72" s="680" t="s">
        <v>6153</v>
      </c>
      <c r="I72" s="681" t="s">
        <v>3508</v>
      </c>
      <c r="J72" s="187" t="str">
        <f t="shared" si="7"/>
        <v>015-816</v>
      </c>
      <c r="K72" s="187">
        <v>15</v>
      </c>
      <c r="L72" s="187">
        <v>816</v>
      </c>
      <c r="M72" s="187" t="str">
        <f t="shared" si="10"/>
        <v>015</v>
      </c>
      <c r="N72" s="187">
        <f t="shared" si="11"/>
        <v>816</v>
      </c>
      <c r="O72" s="187" t="str">
        <f t="shared" si="12"/>
        <v>015-816</v>
      </c>
      <c r="Q72" s="679" t="s">
        <v>6924</v>
      </c>
    </row>
    <row r="73" spans="1:17">
      <c r="A73" s="788" t="s">
        <v>7220</v>
      </c>
      <c r="B73" s="187" t="s">
        <v>7221</v>
      </c>
      <c r="C73" s="215">
        <v>0</v>
      </c>
      <c r="D73" s="215">
        <v>0</v>
      </c>
      <c r="F73" s="215">
        <f t="shared" si="8"/>
        <v>0</v>
      </c>
      <c r="G73" s="215">
        <f t="shared" si="9"/>
        <v>0</v>
      </c>
      <c r="H73" s="680" t="s">
        <v>6153</v>
      </c>
      <c r="I73" s="681" t="s">
        <v>3508</v>
      </c>
      <c r="J73" s="187" t="str">
        <f t="shared" si="7"/>
        <v>015-817</v>
      </c>
      <c r="K73" s="187">
        <v>15</v>
      </c>
      <c r="L73" s="187">
        <v>817</v>
      </c>
      <c r="M73" s="187" t="str">
        <f t="shared" si="10"/>
        <v>015</v>
      </c>
      <c r="N73" s="187">
        <f t="shared" si="11"/>
        <v>817</v>
      </c>
      <c r="O73" s="187" t="str">
        <f t="shared" si="12"/>
        <v>015-817</v>
      </c>
      <c r="Q73" s="679" t="s">
        <v>6925</v>
      </c>
    </row>
    <row r="74" spans="1:17">
      <c r="A74" s="788" t="s">
        <v>1258</v>
      </c>
      <c r="B74" s="187" t="s">
        <v>7222</v>
      </c>
      <c r="C74" s="215">
        <v>0</v>
      </c>
      <c r="D74" s="215">
        <v>0</v>
      </c>
      <c r="F74" s="215">
        <f t="shared" si="8"/>
        <v>0</v>
      </c>
      <c r="G74" s="215">
        <f t="shared" si="9"/>
        <v>0</v>
      </c>
      <c r="H74" s="680" t="s">
        <v>6153</v>
      </c>
      <c r="I74" s="681" t="s">
        <v>3508</v>
      </c>
      <c r="J74" s="187" t="str">
        <f t="shared" si="7"/>
        <v>015-818</v>
      </c>
      <c r="K74" s="187">
        <v>15</v>
      </c>
      <c r="L74" s="187">
        <v>818</v>
      </c>
      <c r="M74" s="187" t="str">
        <f t="shared" si="10"/>
        <v>015</v>
      </c>
      <c r="N74" s="187">
        <f t="shared" si="11"/>
        <v>818</v>
      </c>
      <c r="O74" s="187" t="str">
        <f t="shared" si="12"/>
        <v>015-818</v>
      </c>
      <c r="Q74" s="679" t="s">
        <v>6926</v>
      </c>
    </row>
    <row r="75" spans="1:17">
      <c r="A75" s="788" t="s">
        <v>7223</v>
      </c>
      <c r="B75" s="187" t="s">
        <v>7224</v>
      </c>
      <c r="C75" s="215">
        <v>0</v>
      </c>
      <c r="D75" s="215">
        <v>0</v>
      </c>
      <c r="F75" s="215">
        <f t="shared" si="8"/>
        <v>0</v>
      </c>
      <c r="G75" s="215">
        <f t="shared" si="9"/>
        <v>0</v>
      </c>
      <c r="H75" s="680" t="s">
        <v>6153</v>
      </c>
      <c r="I75" s="681" t="s">
        <v>3508</v>
      </c>
      <c r="J75" s="187" t="str">
        <f t="shared" si="7"/>
        <v>015-819</v>
      </c>
      <c r="K75" s="187">
        <v>15</v>
      </c>
      <c r="L75" s="187">
        <v>819</v>
      </c>
      <c r="M75" s="187" t="str">
        <f t="shared" si="10"/>
        <v>015</v>
      </c>
      <c r="N75" s="187">
        <f t="shared" si="11"/>
        <v>819</v>
      </c>
      <c r="O75" s="187" t="str">
        <f t="shared" si="12"/>
        <v>015-819</v>
      </c>
      <c r="Q75" s="679" t="s">
        <v>6927</v>
      </c>
    </row>
    <row r="76" spans="1:17">
      <c r="A76" s="788" t="s">
        <v>7225</v>
      </c>
      <c r="B76" s="187" t="s">
        <v>7226</v>
      </c>
      <c r="C76" s="215">
        <v>0</v>
      </c>
      <c r="D76" s="215">
        <v>0</v>
      </c>
      <c r="F76" s="215">
        <f t="shared" si="8"/>
        <v>0</v>
      </c>
      <c r="G76" s="215">
        <f t="shared" si="9"/>
        <v>0</v>
      </c>
      <c r="H76" s="680" t="s">
        <v>6153</v>
      </c>
      <c r="I76" s="681" t="s">
        <v>3508</v>
      </c>
      <c r="J76" s="187" t="str">
        <f t="shared" si="7"/>
        <v>015-820</v>
      </c>
      <c r="K76" s="187">
        <v>15</v>
      </c>
      <c r="L76" s="187">
        <v>820</v>
      </c>
      <c r="M76" s="187" t="str">
        <f t="shared" si="10"/>
        <v>015</v>
      </c>
      <c r="N76" s="187">
        <f t="shared" si="11"/>
        <v>820</v>
      </c>
      <c r="O76" s="187" t="str">
        <f t="shared" si="12"/>
        <v>015-820</v>
      </c>
      <c r="Q76" s="679" t="s">
        <v>6928</v>
      </c>
    </row>
    <row r="77" spans="1:17">
      <c r="A77" s="788" t="s">
        <v>7227</v>
      </c>
      <c r="B77" s="187" t="s">
        <v>7228</v>
      </c>
      <c r="C77" s="215">
        <v>0</v>
      </c>
      <c r="D77" s="215">
        <v>0</v>
      </c>
      <c r="F77" s="215">
        <f t="shared" si="8"/>
        <v>0</v>
      </c>
      <c r="G77" s="215">
        <f t="shared" si="9"/>
        <v>0</v>
      </c>
      <c r="H77" s="680" t="s">
        <v>6153</v>
      </c>
      <c r="I77" s="681" t="s">
        <v>3508</v>
      </c>
      <c r="J77" s="187" t="str">
        <f t="shared" si="7"/>
        <v>015-822</v>
      </c>
      <c r="K77" s="187">
        <v>15</v>
      </c>
      <c r="L77" s="187">
        <v>822</v>
      </c>
      <c r="M77" s="187" t="str">
        <f t="shared" si="10"/>
        <v>015</v>
      </c>
      <c r="N77" s="187">
        <f t="shared" si="11"/>
        <v>822</v>
      </c>
      <c r="O77" s="187" t="str">
        <f t="shared" si="12"/>
        <v>015-822</v>
      </c>
      <c r="Q77" s="679" t="s">
        <v>6929</v>
      </c>
    </row>
    <row r="78" spans="1:17">
      <c r="A78" s="788" t="s">
        <v>7229</v>
      </c>
      <c r="B78" s="187" t="s">
        <v>7230</v>
      </c>
      <c r="C78" s="215">
        <v>0</v>
      </c>
      <c r="D78" s="215">
        <v>0</v>
      </c>
      <c r="F78" s="215">
        <f t="shared" si="8"/>
        <v>0</v>
      </c>
      <c r="G78" s="215">
        <f t="shared" si="9"/>
        <v>0</v>
      </c>
      <c r="H78" s="680" t="s">
        <v>6153</v>
      </c>
      <c r="I78" s="681" t="s">
        <v>3508</v>
      </c>
      <c r="J78" s="187" t="str">
        <f t="shared" si="7"/>
        <v>015-823</v>
      </c>
      <c r="K78" s="187">
        <v>15</v>
      </c>
      <c r="L78" s="187">
        <v>823</v>
      </c>
      <c r="M78" s="187" t="str">
        <f t="shared" si="10"/>
        <v>015</v>
      </c>
      <c r="N78" s="187">
        <f t="shared" si="11"/>
        <v>823</v>
      </c>
      <c r="O78" s="187" t="str">
        <f t="shared" si="12"/>
        <v>015-823</v>
      </c>
      <c r="Q78" s="679" t="s">
        <v>6930</v>
      </c>
    </row>
    <row r="79" spans="1:17">
      <c r="A79" s="788" t="s">
        <v>7231</v>
      </c>
      <c r="B79" s="187" t="s">
        <v>7232</v>
      </c>
      <c r="C79" s="215">
        <v>0</v>
      </c>
      <c r="D79" s="215">
        <v>0</v>
      </c>
      <c r="F79" s="215">
        <f t="shared" si="8"/>
        <v>0</v>
      </c>
      <c r="G79" s="215">
        <f t="shared" si="9"/>
        <v>0</v>
      </c>
      <c r="H79" s="680" t="s">
        <v>6153</v>
      </c>
      <c r="I79" s="681" t="s">
        <v>3508</v>
      </c>
      <c r="J79" s="187" t="str">
        <f t="shared" si="7"/>
        <v>015-824</v>
      </c>
      <c r="K79" s="187">
        <v>15</v>
      </c>
      <c r="L79" s="187">
        <v>824</v>
      </c>
      <c r="M79" s="187" t="str">
        <f t="shared" si="10"/>
        <v>015</v>
      </c>
      <c r="N79" s="187">
        <f t="shared" si="11"/>
        <v>824</v>
      </c>
      <c r="O79" s="187" t="str">
        <f t="shared" si="12"/>
        <v>015-824</v>
      </c>
      <c r="Q79" s="679" t="s">
        <v>6931</v>
      </c>
    </row>
    <row r="80" spans="1:17">
      <c r="A80" s="788" t="s">
        <v>7233</v>
      </c>
      <c r="B80" s="187" t="s">
        <v>7234</v>
      </c>
      <c r="C80" s="215">
        <v>0</v>
      </c>
      <c r="D80" s="215">
        <v>0</v>
      </c>
      <c r="F80" s="215">
        <f t="shared" si="8"/>
        <v>0</v>
      </c>
      <c r="G80" s="215">
        <f t="shared" si="9"/>
        <v>0</v>
      </c>
      <c r="H80" s="680" t="s">
        <v>6153</v>
      </c>
      <c r="I80" s="681" t="s">
        <v>3508</v>
      </c>
      <c r="J80" s="187" t="str">
        <f t="shared" si="7"/>
        <v>015-825</v>
      </c>
      <c r="K80" s="187">
        <v>15</v>
      </c>
      <c r="L80" s="187">
        <v>825</v>
      </c>
      <c r="M80" s="187" t="str">
        <f t="shared" si="10"/>
        <v>015</v>
      </c>
      <c r="N80" s="187">
        <f t="shared" si="11"/>
        <v>825</v>
      </c>
      <c r="O80" s="187" t="str">
        <f t="shared" si="12"/>
        <v>015-825</v>
      </c>
      <c r="Q80" s="679" t="s">
        <v>6932</v>
      </c>
    </row>
    <row r="81" spans="1:17">
      <c r="A81" s="788" t="s">
        <v>7235</v>
      </c>
      <c r="B81" s="187" t="s">
        <v>7236</v>
      </c>
      <c r="C81" s="215">
        <v>0</v>
      </c>
      <c r="D81" s="215">
        <v>0</v>
      </c>
      <c r="F81" s="215">
        <f t="shared" si="8"/>
        <v>0</v>
      </c>
      <c r="G81" s="215">
        <f t="shared" si="9"/>
        <v>0</v>
      </c>
      <c r="H81" s="680" t="s">
        <v>6153</v>
      </c>
      <c r="I81" s="681" t="s">
        <v>3508</v>
      </c>
      <c r="J81" s="187" t="str">
        <f t="shared" si="7"/>
        <v>015-826</v>
      </c>
      <c r="K81" s="187">
        <v>15</v>
      </c>
      <c r="L81" s="187">
        <v>826</v>
      </c>
      <c r="M81" s="187" t="str">
        <f t="shared" si="10"/>
        <v>015</v>
      </c>
      <c r="N81" s="187">
        <f t="shared" si="11"/>
        <v>826</v>
      </c>
      <c r="O81" s="187" t="str">
        <f t="shared" si="12"/>
        <v>015-826</v>
      </c>
      <c r="Q81" s="679" t="s">
        <v>6933</v>
      </c>
    </row>
    <row r="82" spans="1:17">
      <c r="A82" s="788" t="s">
        <v>37</v>
      </c>
      <c r="B82" s="187" t="s">
        <v>4109</v>
      </c>
      <c r="C82" s="215">
        <v>4129313</v>
      </c>
      <c r="D82" s="215">
        <v>47794704</v>
      </c>
      <c r="F82" s="215">
        <f t="shared" si="8"/>
        <v>47794704</v>
      </c>
      <c r="G82" s="215">
        <f t="shared" si="9"/>
        <v>51924017</v>
      </c>
      <c r="H82" s="680" t="s">
        <v>6153</v>
      </c>
      <c r="I82" s="681" t="s">
        <v>3508</v>
      </c>
      <c r="J82" s="187" t="str">
        <f t="shared" si="7"/>
        <v>015-901</v>
      </c>
      <c r="K82" s="187">
        <v>15</v>
      </c>
      <c r="L82" s="187">
        <v>901</v>
      </c>
      <c r="M82" s="187" t="str">
        <f t="shared" si="10"/>
        <v>015</v>
      </c>
      <c r="N82" s="187">
        <f t="shared" si="11"/>
        <v>901</v>
      </c>
      <c r="O82" s="187" t="str">
        <f t="shared" si="12"/>
        <v>015-901</v>
      </c>
      <c r="Q82" s="679" t="s">
        <v>6934</v>
      </c>
    </row>
    <row r="83" spans="1:17">
      <c r="A83" s="788" t="s">
        <v>1860</v>
      </c>
      <c r="B83" s="187" t="s">
        <v>3918</v>
      </c>
      <c r="C83" s="215">
        <v>2408247</v>
      </c>
      <c r="D83" s="215">
        <v>13629501</v>
      </c>
      <c r="F83" s="215">
        <f t="shared" si="8"/>
        <v>13629501</v>
      </c>
      <c r="G83" s="215">
        <f t="shared" si="9"/>
        <v>16037748</v>
      </c>
      <c r="H83" s="680" t="s">
        <v>6153</v>
      </c>
      <c r="I83" s="681" t="s">
        <v>3508</v>
      </c>
      <c r="J83" s="187" t="str">
        <f t="shared" si="7"/>
        <v>015-904</v>
      </c>
      <c r="K83" s="187">
        <v>15</v>
      </c>
      <c r="L83" s="187">
        <v>904</v>
      </c>
      <c r="M83" s="187" t="str">
        <f t="shared" si="10"/>
        <v>015</v>
      </c>
      <c r="N83" s="187">
        <f t="shared" si="11"/>
        <v>904</v>
      </c>
      <c r="O83" s="187" t="str">
        <f t="shared" si="12"/>
        <v>015-904</v>
      </c>
      <c r="Q83" s="679" t="s">
        <v>6935</v>
      </c>
    </row>
    <row r="84" spans="1:17">
      <c r="A84" s="788" t="s">
        <v>1520</v>
      </c>
      <c r="B84" s="187" t="s">
        <v>1926</v>
      </c>
      <c r="C84" s="215">
        <v>1538584</v>
      </c>
      <c r="D84" s="215">
        <v>10123109</v>
      </c>
      <c r="F84" s="215">
        <f t="shared" si="8"/>
        <v>10123109</v>
      </c>
      <c r="G84" s="215">
        <f t="shared" si="9"/>
        <v>11661693</v>
      </c>
      <c r="H84" s="680" t="s">
        <v>6153</v>
      </c>
      <c r="I84" s="681" t="s">
        <v>3508</v>
      </c>
      <c r="J84" s="187" t="str">
        <f t="shared" si="7"/>
        <v>015-905</v>
      </c>
      <c r="K84" s="187">
        <v>15</v>
      </c>
      <c r="L84" s="187">
        <v>905</v>
      </c>
      <c r="M84" s="187" t="str">
        <f t="shared" si="10"/>
        <v>015</v>
      </c>
      <c r="N84" s="187">
        <f t="shared" si="11"/>
        <v>905</v>
      </c>
      <c r="O84" s="187" t="str">
        <f t="shared" si="12"/>
        <v>015-905</v>
      </c>
      <c r="Q84" s="679" t="s">
        <v>6936</v>
      </c>
    </row>
    <row r="85" spans="1:17">
      <c r="A85" s="788" t="s">
        <v>39</v>
      </c>
      <c r="B85" s="187" t="s">
        <v>4110</v>
      </c>
      <c r="C85" s="215">
        <v>0</v>
      </c>
      <c r="D85" s="215">
        <v>0</v>
      </c>
      <c r="F85" s="215">
        <f t="shared" si="8"/>
        <v>0</v>
      </c>
      <c r="G85" s="215">
        <f t="shared" si="9"/>
        <v>0</v>
      </c>
      <c r="H85" s="680" t="s">
        <v>6153</v>
      </c>
      <c r="I85" s="681" t="s">
        <v>3508</v>
      </c>
      <c r="J85" s="187" t="str">
        <f t="shared" si="7"/>
        <v>015-906</v>
      </c>
      <c r="K85" s="187">
        <v>15</v>
      </c>
      <c r="L85" s="187">
        <v>906</v>
      </c>
      <c r="M85" s="187" t="str">
        <f t="shared" si="10"/>
        <v>015</v>
      </c>
      <c r="N85" s="187">
        <f t="shared" si="11"/>
        <v>906</v>
      </c>
      <c r="O85" s="187" t="str">
        <f t="shared" si="12"/>
        <v>015-906</v>
      </c>
      <c r="Q85" s="679" t="s">
        <v>6937</v>
      </c>
    </row>
    <row r="86" spans="1:17">
      <c r="A86" s="788" t="s">
        <v>2386</v>
      </c>
      <c r="B86" s="187" t="s">
        <v>379</v>
      </c>
      <c r="C86" s="215">
        <v>18137727</v>
      </c>
      <c r="D86" s="215">
        <v>122577054</v>
      </c>
      <c r="F86" s="215">
        <f t="shared" si="8"/>
        <v>122577054</v>
      </c>
      <c r="G86" s="215">
        <f t="shared" si="9"/>
        <v>140714781</v>
      </c>
      <c r="H86" s="680" t="s">
        <v>6153</v>
      </c>
      <c r="I86" s="681" t="s">
        <v>3508</v>
      </c>
      <c r="J86" s="187" t="str">
        <f t="shared" si="7"/>
        <v>015-907</v>
      </c>
      <c r="K86" s="187">
        <v>15</v>
      </c>
      <c r="L86" s="187">
        <v>907</v>
      </c>
      <c r="M86" s="187" t="str">
        <f t="shared" si="10"/>
        <v>015</v>
      </c>
      <c r="N86" s="187">
        <f t="shared" si="11"/>
        <v>907</v>
      </c>
      <c r="O86" s="187" t="str">
        <f t="shared" si="12"/>
        <v>015-907</v>
      </c>
      <c r="Q86" s="679" t="s">
        <v>6938</v>
      </c>
    </row>
    <row r="87" spans="1:17">
      <c r="A87" s="788" t="s">
        <v>2403</v>
      </c>
      <c r="B87" s="187" t="s">
        <v>2347</v>
      </c>
      <c r="C87" s="215">
        <v>1818676</v>
      </c>
      <c r="D87" s="215">
        <v>11871536</v>
      </c>
      <c r="F87" s="215">
        <f t="shared" si="8"/>
        <v>11871536</v>
      </c>
      <c r="G87" s="215">
        <f t="shared" si="9"/>
        <v>13690212</v>
      </c>
      <c r="H87" s="680" t="s">
        <v>6153</v>
      </c>
      <c r="I87" s="681" t="s">
        <v>3508</v>
      </c>
      <c r="J87" s="187" t="str">
        <f t="shared" si="7"/>
        <v>015-908</v>
      </c>
      <c r="K87" s="187">
        <v>15</v>
      </c>
      <c r="L87" s="187">
        <v>908</v>
      </c>
      <c r="M87" s="187" t="str">
        <f t="shared" si="10"/>
        <v>015</v>
      </c>
      <c r="N87" s="187">
        <f t="shared" si="11"/>
        <v>908</v>
      </c>
      <c r="O87" s="187" t="str">
        <f t="shared" si="12"/>
        <v>015-908</v>
      </c>
      <c r="Q87" s="679" t="s">
        <v>6939</v>
      </c>
    </row>
    <row r="88" spans="1:17">
      <c r="A88" s="788" t="s">
        <v>2402</v>
      </c>
      <c r="B88" s="187" t="s">
        <v>2346</v>
      </c>
      <c r="C88" s="215">
        <v>405495</v>
      </c>
      <c r="D88" s="215">
        <v>3012743</v>
      </c>
      <c r="E88" s="215">
        <v>103956</v>
      </c>
      <c r="F88" s="215">
        <f t="shared" si="8"/>
        <v>3116699</v>
      </c>
      <c r="G88" s="215">
        <f t="shared" si="9"/>
        <v>3522194</v>
      </c>
      <c r="H88" s="680" t="s">
        <v>6153</v>
      </c>
      <c r="I88" s="681" t="s">
        <v>3508</v>
      </c>
      <c r="J88" s="187" t="str">
        <f t="shared" si="7"/>
        <v>015-909</v>
      </c>
      <c r="K88" s="187">
        <v>15</v>
      </c>
      <c r="L88" s="187">
        <v>909</v>
      </c>
      <c r="M88" s="187" t="str">
        <f t="shared" si="10"/>
        <v>015</v>
      </c>
      <c r="N88" s="187">
        <f t="shared" si="11"/>
        <v>909</v>
      </c>
      <c r="O88" s="187" t="str">
        <f t="shared" si="12"/>
        <v>015-909</v>
      </c>
      <c r="Q88" s="679" t="s">
        <v>6940</v>
      </c>
    </row>
    <row r="89" spans="1:17">
      <c r="A89" s="788" t="s">
        <v>6183</v>
      </c>
      <c r="B89" s="187" t="s">
        <v>1937</v>
      </c>
      <c r="C89" s="215">
        <v>51041077</v>
      </c>
      <c r="D89" s="215">
        <v>271362114</v>
      </c>
      <c r="F89" s="215">
        <f t="shared" si="8"/>
        <v>271362114</v>
      </c>
      <c r="G89" s="215">
        <f t="shared" si="9"/>
        <v>322403191</v>
      </c>
      <c r="H89" s="680" t="s">
        <v>6153</v>
      </c>
      <c r="I89" s="681" t="s">
        <v>3508</v>
      </c>
      <c r="J89" s="187" t="str">
        <f t="shared" si="7"/>
        <v>015-910</v>
      </c>
      <c r="K89" s="187">
        <v>15</v>
      </c>
      <c r="L89" s="187">
        <v>910</v>
      </c>
      <c r="M89" s="187" t="str">
        <f t="shared" si="10"/>
        <v>015</v>
      </c>
      <c r="N89" s="187">
        <f t="shared" si="11"/>
        <v>910</v>
      </c>
      <c r="O89" s="187" t="str">
        <f t="shared" si="12"/>
        <v>015-910</v>
      </c>
      <c r="Q89" s="679" t="s">
        <v>6941</v>
      </c>
    </row>
    <row r="90" spans="1:17">
      <c r="A90" s="788" t="s">
        <v>1517</v>
      </c>
      <c r="B90" s="187" t="s">
        <v>3013</v>
      </c>
      <c r="C90" s="215">
        <v>2069652</v>
      </c>
      <c r="D90" s="215">
        <v>17132948</v>
      </c>
      <c r="F90" s="215">
        <f t="shared" si="8"/>
        <v>17132948</v>
      </c>
      <c r="G90" s="215">
        <f t="shared" si="9"/>
        <v>19202600</v>
      </c>
      <c r="H90" s="680" t="s">
        <v>6153</v>
      </c>
      <c r="I90" s="681" t="s">
        <v>3508</v>
      </c>
      <c r="J90" s="187" t="str">
        <f t="shared" si="7"/>
        <v>015-911</v>
      </c>
      <c r="K90" s="187">
        <v>15</v>
      </c>
      <c r="L90" s="187">
        <v>911</v>
      </c>
      <c r="M90" s="187" t="str">
        <f t="shared" si="10"/>
        <v>015</v>
      </c>
      <c r="N90" s="187">
        <f t="shared" si="11"/>
        <v>911</v>
      </c>
      <c r="O90" s="187" t="str">
        <f t="shared" si="12"/>
        <v>015-911</v>
      </c>
      <c r="Q90" s="679" t="s">
        <v>6942</v>
      </c>
    </row>
    <row r="91" spans="1:17">
      <c r="A91" s="788" t="s">
        <v>3082</v>
      </c>
      <c r="B91" s="187" t="s">
        <v>2349</v>
      </c>
      <c r="C91" s="215">
        <v>945248</v>
      </c>
      <c r="D91" s="215">
        <v>9570366</v>
      </c>
      <c r="F91" s="215">
        <f t="shared" si="8"/>
        <v>9570366</v>
      </c>
      <c r="G91" s="215">
        <f t="shared" si="9"/>
        <v>10515614</v>
      </c>
      <c r="H91" s="680" t="s">
        <v>6153</v>
      </c>
      <c r="I91" s="681" t="s">
        <v>3508</v>
      </c>
      <c r="J91" s="187" t="str">
        <f t="shared" si="7"/>
        <v>015-912</v>
      </c>
      <c r="K91" s="187">
        <v>15</v>
      </c>
      <c r="L91" s="187">
        <v>912</v>
      </c>
      <c r="M91" s="187" t="str">
        <f t="shared" si="10"/>
        <v>015</v>
      </c>
      <c r="N91" s="187">
        <f t="shared" si="11"/>
        <v>912</v>
      </c>
      <c r="O91" s="187" t="str">
        <f t="shared" si="12"/>
        <v>015-912</v>
      </c>
      <c r="Q91" s="679" t="s">
        <v>6943</v>
      </c>
    </row>
    <row r="92" spans="1:17">
      <c r="A92" s="788" t="s">
        <v>41</v>
      </c>
      <c r="B92" s="187" t="s">
        <v>4111</v>
      </c>
      <c r="C92" s="215">
        <v>0</v>
      </c>
      <c r="D92" s="215">
        <v>0</v>
      </c>
      <c r="F92" s="215">
        <f t="shared" si="8"/>
        <v>0</v>
      </c>
      <c r="G92" s="215">
        <f t="shared" si="9"/>
        <v>0</v>
      </c>
      <c r="H92" s="680" t="s">
        <v>6153</v>
      </c>
      <c r="I92" s="681" t="s">
        <v>3508</v>
      </c>
      <c r="J92" s="187" t="str">
        <f t="shared" si="7"/>
        <v>015-913</v>
      </c>
      <c r="K92" s="187">
        <v>15</v>
      </c>
      <c r="L92" s="187">
        <v>913</v>
      </c>
      <c r="M92" s="187" t="str">
        <f t="shared" si="10"/>
        <v>015</v>
      </c>
      <c r="N92" s="187">
        <f t="shared" si="11"/>
        <v>913</v>
      </c>
      <c r="O92" s="187" t="str">
        <f t="shared" si="12"/>
        <v>015-913</v>
      </c>
      <c r="Q92" s="679" t="s">
        <v>6944</v>
      </c>
    </row>
    <row r="93" spans="1:17">
      <c r="A93" s="788" t="s">
        <v>43</v>
      </c>
      <c r="B93" s="187" t="s">
        <v>4112</v>
      </c>
      <c r="C93" s="215">
        <v>0</v>
      </c>
      <c r="D93" s="215">
        <v>0</v>
      </c>
      <c r="F93" s="215">
        <f t="shared" si="8"/>
        <v>0</v>
      </c>
      <c r="G93" s="215">
        <f t="shared" si="9"/>
        <v>0</v>
      </c>
      <c r="H93" s="680" t="s">
        <v>6153</v>
      </c>
      <c r="I93" s="681" t="s">
        <v>3508</v>
      </c>
      <c r="J93" s="187" t="str">
        <f t="shared" si="7"/>
        <v>015-914</v>
      </c>
      <c r="K93" s="187">
        <v>15</v>
      </c>
      <c r="L93" s="187">
        <v>914</v>
      </c>
      <c r="M93" s="187" t="str">
        <f t="shared" si="10"/>
        <v>015</v>
      </c>
      <c r="N93" s="187">
        <f t="shared" si="11"/>
        <v>914</v>
      </c>
      <c r="O93" s="187" t="str">
        <f t="shared" si="12"/>
        <v>015-914</v>
      </c>
      <c r="Q93" s="679" t="s">
        <v>6945</v>
      </c>
    </row>
    <row r="94" spans="1:17">
      <c r="A94" s="788" t="s">
        <v>6185</v>
      </c>
      <c r="B94" s="187" t="s">
        <v>1939</v>
      </c>
      <c r="C94" s="215">
        <v>45572425</v>
      </c>
      <c r="D94" s="215">
        <v>260369855</v>
      </c>
      <c r="F94" s="215">
        <f t="shared" si="8"/>
        <v>260369855</v>
      </c>
      <c r="G94" s="215">
        <f t="shared" si="9"/>
        <v>305942280</v>
      </c>
      <c r="H94" s="680" t="s">
        <v>6153</v>
      </c>
      <c r="I94" s="681" t="s">
        <v>3508</v>
      </c>
      <c r="J94" s="187" t="str">
        <f t="shared" si="7"/>
        <v>015-915</v>
      </c>
      <c r="K94" s="187">
        <v>15</v>
      </c>
      <c r="L94" s="187">
        <v>915</v>
      </c>
      <c r="M94" s="187" t="str">
        <f t="shared" si="10"/>
        <v>015</v>
      </c>
      <c r="N94" s="187">
        <f t="shared" si="11"/>
        <v>915</v>
      </c>
      <c r="O94" s="187" t="str">
        <f t="shared" si="12"/>
        <v>015-915</v>
      </c>
      <c r="Q94" s="679" t="s">
        <v>6946</v>
      </c>
    </row>
    <row r="95" spans="1:17">
      <c r="A95" s="788" t="s">
        <v>6026</v>
      </c>
      <c r="B95" s="187" t="s">
        <v>1911</v>
      </c>
      <c r="C95" s="215">
        <v>10020649</v>
      </c>
      <c r="D95" s="215">
        <v>54517853</v>
      </c>
      <c r="F95" s="215">
        <f t="shared" si="8"/>
        <v>54517853</v>
      </c>
      <c r="G95" s="215">
        <f t="shared" si="9"/>
        <v>64538502</v>
      </c>
      <c r="H95" s="680" t="s">
        <v>6153</v>
      </c>
      <c r="I95" s="681" t="s">
        <v>3508</v>
      </c>
      <c r="J95" s="187" t="str">
        <f t="shared" si="7"/>
        <v>015-916</v>
      </c>
      <c r="K95" s="187">
        <v>15</v>
      </c>
      <c r="L95" s="187">
        <v>916</v>
      </c>
      <c r="M95" s="187" t="str">
        <f t="shared" si="10"/>
        <v>015</v>
      </c>
      <c r="N95" s="187">
        <f t="shared" si="11"/>
        <v>916</v>
      </c>
      <c r="O95" s="187" t="str">
        <f t="shared" si="12"/>
        <v>015-916</v>
      </c>
      <c r="Q95" s="679" t="s">
        <v>6947</v>
      </c>
    </row>
    <row r="96" spans="1:17">
      <c r="A96" s="788" t="s">
        <v>2404</v>
      </c>
      <c r="B96" s="187" t="s">
        <v>2348</v>
      </c>
      <c r="C96" s="215">
        <v>702075</v>
      </c>
      <c r="D96" s="215">
        <v>4525596</v>
      </c>
      <c r="E96" s="215">
        <v>154420</v>
      </c>
      <c r="F96" s="215">
        <f t="shared" si="8"/>
        <v>4680016</v>
      </c>
      <c r="G96" s="215">
        <f t="shared" si="9"/>
        <v>5382091</v>
      </c>
      <c r="H96" s="680" t="s">
        <v>6153</v>
      </c>
      <c r="I96" s="681" t="s">
        <v>3508</v>
      </c>
      <c r="J96" s="187" t="str">
        <f t="shared" si="7"/>
        <v>015-917</v>
      </c>
      <c r="K96" s="187">
        <v>15</v>
      </c>
      <c r="L96" s="187">
        <v>917</v>
      </c>
      <c r="M96" s="187" t="str">
        <f t="shared" si="10"/>
        <v>015</v>
      </c>
      <c r="N96" s="187">
        <f t="shared" si="11"/>
        <v>917</v>
      </c>
      <c r="O96" s="187" t="str">
        <f t="shared" si="12"/>
        <v>015-917</v>
      </c>
      <c r="Q96" s="679" t="s">
        <v>6948</v>
      </c>
    </row>
    <row r="97" spans="1:17">
      <c r="A97" s="788" t="s">
        <v>7238</v>
      </c>
      <c r="B97" s="187" t="s">
        <v>7239</v>
      </c>
      <c r="C97" s="215">
        <v>0</v>
      </c>
      <c r="D97" s="215">
        <v>0</v>
      </c>
      <c r="F97" s="215">
        <f t="shared" si="8"/>
        <v>0</v>
      </c>
      <c r="G97" s="215">
        <f t="shared" si="9"/>
        <v>0</v>
      </c>
      <c r="H97" s="680" t="s">
        <v>6153</v>
      </c>
      <c r="I97" s="681" t="s">
        <v>3508</v>
      </c>
      <c r="J97" s="187" t="str">
        <f t="shared" si="7"/>
        <v>015-950</v>
      </c>
      <c r="K97" s="187">
        <v>15</v>
      </c>
      <c r="L97" s="187">
        <v>950</v>
      </c>
      <c r="M97" s="187" t="str">
        <f t="shared" si="10"/>
        <v>015</v>
      </c>
      <c r="N97" s="187">
        <f t="shared" si="11"/>
        <v>950</v>
      </c>
      <c r="O97" s="187" t="str">
        <f t="shared" si="12"/>
        <v>015-950</v>
      </c>
      <c r="Q97" s="679" t="s">
        <v>6949</v>
      </c>
    </row>
    <row r="98" spans="1:17">
      <c r="A98" s="788" t="s">
        <v>45</v>
      </c>
      <c r="B98" s="187" t="s">
        <v>4113</v>
      </c>
      <c r="C98" s="215">
        <v>785742</v>
      </c>
      <c r="D98" s="215">
        <v>4182615</v>
      </c>
      <c r="F98" s="215">
        <f t="shared" si="8"/>
        <v>4182615</v>
      </c>
      <c r="G98" s="215">
        <f t="shared" si="9"/>
        <v>4968357</v>
      </c>
      <c r="H98" s="680" t="s">
        <v>6153</v>
      </c>
      <c r="I98" s="681" t="s">
        <v>3508</v>
      </c>
      <c r="J98" s="187" t="str">
        <f t="shared" ref="J98:J161" si="13">+A98</f>
        <v>016-901</v>
      </c>
      <c r="K98" s="187">
        <v>16</v>
      </c>
      <c r="L98" s="187">
        <v>901</v>
      </c>
      <c r="M98" s="187" t="str">
        <f t="shared" si="10"/>
        <v>016</v>
      </c>
      <c r="N98" s="187">
        <f t="shared" si="11"/>
        <v>901</v>
      </c>
      <c r="O98" s="187" t="str">
        <f t="shared" si="12"/>
        <v>016-901</v>
      </c>
      <c r="Q98" s="679" t="s">
        <v>6950</v>
      </c>
    </row>
    <row r="99" spans="1:17">
      <c r="A99" s="788" t="s">
        <v>952</v>
      </c>
      <c r="B99" s="187" t="s">
        <v>7657</v>
      </c>
      <c r="C99" s="215">
        <v>718267</v>
      </c>
      <c r="D99" s="215">
        <v>4261276</v>
      </c>
      <c r="F99" s="215">
        <f t="shared" si="8"/>
        <v>4261276</v>
      </c>
      <c r="G99" s="215">
        <f t="shared" si="9"/>
        <v>4979543</v>
      </c>
      <c r="H99" s="680" t="s">
        <v>6153</v>
      </c>
      <c r="I99" s="681" t="s">
        <v>3508</v>
      </c>
      <c r="J99" s="187" t="str">
        <f t="shared" si="13"/>
        <v>016-902</v>
      </c>
      <c r="K99" s="187">
        <v>16</v>
      </c>
      <c r="L99" s="187">
        <v>902</v>
      </c>
      <c r="M99" s="187" t="str">
        <f t="shared" si="10"/>
        <v>016</v>
      </c>
      <c r="N99" s="187">
        <f t="shared" si="11"/>
        <v>902</v>
      </c>
      <c r="O99" s="187" t="str">
        <f t="shared" si="12"/>
        <v>016-902</v>
      </c>
      <c r="Q99" s="679" t="s">
        <v>6951</v>
      </c>
    </row>
    <row r="100" spans="1:17">
      <c r="A100" s="788" t="s">
        <v>47</v>
      </c>
      <c r="B100" s="187" t="s">
        <v>4114</v>
      </c>
      <c r="C100" s="215">
        <v>0</v>
      </c>
      <c r="D100" s="215">
        <v>5170261</v>
      </c>
      <c r="F100" s="215">
        <f t="shared" si="8"/>
        <v>5170261</v>
      </c>
      <c r="G100" s="215">
        <f t="shared" si="9"/>
        <v>5170261</v>
      </c>
      <c r="H100" s="680" t="s">
        <v>6153</v>
      </c>
      <c r="I100" s="681" t="s">
        <v>3508</v>
      </c>
      <c r="J100" s="187" t="str">
        <f t="shared" si="13"/>
        <v>017-901</v>
      </c>
      <c r="K100" s="187">
        <v>17</v>
      </c>
      <c r="L100" s="187">
        <v>901</v>
      </c>
      <c r="M100" s="187" t="str">
        <f t="shared" si="10"/>
        <v>017</v>
      </c>
      <c r="N100" s="187">
        <f t="shared" si="11"/>
        <v>901</v>
      </c>
      <c r="O100" s="187" t="str">
        <f t="shared" si="12"/>
        <v>017-901</v>
      </c>
      <c r="Q100" s="679" t="s">
        <v>6952</v>
      </c>
    </row>
    <row r="101" spans="1:17">
      <c r="A101" s="788" t="s">
        <v>740</v>
      </c>
      <c r="B101" s="187" t="s">
        <v>6115</v>
      </c>
      <c r="C101" s="215">
        <v>495379</v>
      </c>
      <c r="D101" s="215">
        <v>5049929</v>
      </c>
      <c r="F101" s="215">
        <f t="shared" si="8"/>
        <v>5049929</v>
      </c>
      <c r="G101" s="215">
        <f t="shared" si="9"/>
        <v>5545308</v>
      </c>
      <c r="H101" s="680" t="s">
        <v>6153</v>
      </c>
      <c r="I101" s="681" t="s">
        <v>3508</v>
      </c>
      <c r="J101" s="187" t="str">
        <f t="shared" si="13"/>
        <v>018-901</v>
      </c>
      <c r="K101" s="187">
        <v>18</v>
      </c>
      <c r="L101" s="187">
        <v>901</v>
      </c>
      <c r="M101" s="187" t="str">
        <f t="shared" si="10"/>
        <v>018</v>
      </c>
      <c r="N101" s="187">
        <f t="shared" si="11"/>
        <v>901</v>
      </c>
      <c r="O101" s="187" t="str">
        <f t="shared" si="12"/>
        <v>018-901</v>
      </c>
      <c r="Q101" s="679" t="s">
        <v>6953</v>
      </c>
    </row>
    <row r="102" spans="1:17">
      <c r="A102" s="788" t="s">
        <v>49</v>
      </c>
      <c r="B102" s="187" t="s">
        <v>4115</v>
      </c>
      <c r="C102" s="215">
        <v>106693</v>
      </c>
      <c r="D102" s="215">
        <v>1308134</v>
      </c>
      <c r="F102" s="215">
        <f t="shared" si="8"/>
        <v>1308134</v>
      </c>
      <c r="G102" s="215">
        <f t="shared" si="9"/>
        <v>1414827</v>
      </c>
      <c r="H102" s="680" t="s">
        <v>6153</v>
      </c>
      <c r="I102" s="681" t="s">
        <v>3508</v>
      </c>
      <c r="J102" s="187" t="str">
        <f t="shared" si="13"/>
        <v>018-902</v>
      </c>
      <c r="K102" s="187">
        <v>18</v>
      </c>
      <c r="L102" s="187">
        <v>902</v>
      </c>
      <c r="M102" s="187" t="str">
        <f t="shared" si="10"/>
        <v>018</v>
      </c>
      <c r="N102" s="187">
        <f t="shared" si="11"/>
        <v>902</v>
      </c>
      <c r="O102" s="187" t="str">
        <f t="shared" si="12"/>
        <v>018-902</v>
      </c>
      <c r="Q102" s="679" t="s">
        <v>6954</v>
      </c>
    </row>
    <row r="103" spans="1:17">
      <c r="A103" s="788" t="s">
        <v>1337</v>
      </c>
      <c r="B103" s="187" t="s">
        <v>4116</v>
      </c>
      <c r="C103" s="215">
        <v>0</v>
      </c>
      <c r="D103" s="215">
        <v>584955</v>
      </c>
      <c r="F103" s="215">
        <f t="shared" si="8"/>
        <v>584955</v>
      </c>
      <c r="G103" s="215">
        <f t="shared" si="9"/>
        <v>584955</v>
      </c>
      <c r="H103" s="680" t="s">
        <v>6153</v>
      </c>
      <c r="I103" s="681" t="s">
        <v>3508</v>
      </c>
      <c r="J103" s="187" t="str">
        <f t="shared" si="13"/>
        <v>018-903</v>
      </c>
      <c r="K103" s="187">
        <v>18</v>
      </c>
      <c r="L103" s="187">
        <v>903</v>
      </c>
      <c r="M103" s="187" t="str">
        <f t="shared" si="10"/>
        <v>018</v>
      </c>
      <c r="N103" s="187">
        <f t="shared" si="11"/>
        <v>903</v>
      </c>
      <c r="O103" s="187" t="str">
        <f t="shared" si="12"/>
        <v>018-903</v>
      </c>
      <c r="Q103" s="679" t="s">
        <v>6955</v>
      </c>
    </row>
    <row r="104" spans="1:17">
      <c r="A104" s="788" t="s">
        <v>1339</v>
      </c>
      <c r="B104" s="187" t="s">
        <v>4117</v>
      </c>
      <c r="C104" s="215">
        <v>225259</v>
      </c>
      <c r="D104" s="215">
        <v>1917124</v>
      </c>
      <c r="F104" s="215">
        <f t="shared" si="8"/>
        <v>1917124</v>
      </c>
      <c r="G104" s="215">
        <f t="shared" si="9"/>
        <v>2142383</v>
      </c>
      <c r="H104" s="680" t="s">
        <v>6153</v>
      </c>
      <c r="I104" s="681" t="s">
        <v>3508</v>
      </c>
      <c r="J104" s="187" t="str">
        <f t="shared" si="13"/>
        <v>018-904</v>
      </c>
      <c r="K104" s="187">
        <v>18</v>
      </c>
      <c r="L104" s="187">
        <v>904</v>
      </c>
      <c r="M104" s="187" t="str">
        <f t="shared" si="10"/>
        <v>018</v>
      </c>
      <c r="N104" s="187">
        <f t="shared" si="11"/>
        <v>904</v>
      </c>
      <c r="O104" s="187" t="str">
        <f t="shared" si="12"/>
        <v>018-904</v>
      </c>
      <c r="Q104" s="679" t="s">
        <v>6956</v>
      </c>
    </row>
    <row r="105" spans="1:17">
      <c r="A105" s="788" t="s">
        <v>2474</v>
      </c>
      <c r="B105" s="187" t="s">
        <v>329</v>
      </c>
      <c r="C105" s="215">
        <v>0</v>
      </c>
      <c r="D105" s="215">
        <v>441245</v>
      </c>
      <c r="E105" s="215">
        <v>26349</v>
      </c>
      <c r="F105" s="215">
        <f t="shared" si="8"/>
        <v>467594</v>
      </c>
      <c r="G105" s="215">
        <f t="shared" si="9"/>
        <v>467594</v>
      </c>
      <c r="H105" s="680" t="s">
        <v>6153</v>
      </c>
      <c r="I105" s="681" t="s">
        <v>3508</v>
      </c>
      <c r="J105" s="187" t="str">
        <f t="shared" si="13"/>
        <v>018-905</v>
      </c>
      <c r="K105" s="187">
        <v>18</v>
      </c>
      <c r="L105" s="187">
        <v>905</v>
      </c>
      <c r="M105" s="187" t="str">
        <f t="shared" si="10"/>
        <v>018</v>
      </c>
      <c r="N105" s="187">
        <f t="shared" si="11"/>
        <v>905</v>
      </c>
      <c r="O105" s="187" t="str">
        <f t="shared" si="12"/>
        <v>018-905</v>
      </c>
      <c r="Q105" s="679" t="s">
        <v>6957</v>
      </c>
    </row>
    <row r="106" spans="1:17">
      <c r="A106" s="788" t="s">
        <v>1341</v>
      </c>
      <c r="B106" s="187" t="s">
        <v>1663</v>
      </c>
      <c r="C106" s="215">
        <v>64905</v>
      </c>
      <c r="D106" s="215">
        <v>617300</v>
      </c>
      <c r="F106" s="215">
        <f t="shared" si="8"/>
        <v>617300</v>
      </c>
      <c r="G106" s="215">
        <f t="shared" si="9"/>
        <v>682205</v>
      </c>
      <c r="H106" s="680" t="s">
        <v>6153</v>
      </c>
      <c r="I106" s="681" t="s">
        <v>3508</v>
      </c>
      <c r="J106" s="187" t="str">
        <f t="shared" si="13"/>
        <v>018-906</v>
      </c>
      <c r="K106" s="187">
        <v>18</v>
      </c>
      <c r="L106" s="187">
        <v>906</v>
      </c>
      <c r="M106" s="187" t="str">
        <f t="shared" si="10"/>
        <v>018</v>
      </c>
      <c r="N106" s="187">
        <f t="shared" si="11"/>
        <v>906</v>
      </c>
      <c r="O106" s="187" t="str">
        <f t="shared" si="12"/>
        <v>018-906</v>
      </c>
      <c r="Q106" s="679" t="s">
        <v>6958</v>
      </c>
    </row>
    <row r="107" spans="1:17">
      <c r="A107" s="788" t="s">
        <v>1343</v>
      </c>
      <c r="B107" s="187" t="s">
        <v>1664</v>
      </c>
      <c r="C107" s="215">
        <v>20849</v>
      </c>
      <c r="D107" s="215">
        <v>1034429</v>
      </c>
      <c r="F107" s="215">
        <f t="shared" si="8"/>
        <v>1034429</v>
      </c>
      <c r="G107" s="215">
        <f t="shared" si="9"/>
        <v>1055278</v>
      </c>
      <c r="H107" s="680" t="s">
        <v>6153</v>
      </c>
      <c r="I107" s="681" t="s">
        <v>3508</v>
      </c>
      <c r="J107" s="187" t="str">
        <f t="shared" si="13"/>
        <v>018-907</v>
      </c>
      <c r="K107" s="187">
        <v>18</v>
      </c>
      <c r="L107" s="187">
        <v>907</v>
      </c>
      <c r="M107" s="187" t="str">
        <f t="shared" si="10"/>
        <v>018</v>
      </c>
      <c r="N107" s="187">
        <f t="shared" si="11"/>
        <v>907</v>
      </c>
      <c r="O107" s="187" t="str">
        <f t="shared" si="12"/>
        <v>018-907</v>
      </c>
      <c r="Q107" s="679" t="s">
        <v>6959</v>
      </c>
    </row>
    <row r="108" spans="1:17">
      <c r="A108" s="788" t="s">
        <v>1345</v>
      </c>
      <c r="B108" s="187" t="s">
        <v>885</v>
      </c>
      <c r="C108" s="215">
        <v>0</v>
      </c>
      <c r="D108" s="215">
        <v>652976</v>
      </c>
      <c r="F108" s="215">
        <f t="shared" si="8"/>
        <v>652976</v>
      </c>
      <c r="G108" s="215">
        <f t="shared" si="9"/>
        <v>652976</v>
      </c>
      <c r="H108" s="680" t="s">
        <v>6153</v>
      </c>
      <c r="I108" s="681" t="s">
        <v>3508</v>
      </c>
      <c r="J108" s="187" t="str">
        <f t="shared" si="13"/>
        <v>018-908</v>
      </c>
      <c r="K108" s="187">
        <v>18</v>
      </c>
      <c r="L108" s="187">
        <v>908</v>
      </c>
      <c r="M108" s="187" t="str">
        <f t="shared" si="10"/>
        <v>018</v>
      </c>
      <c r="N108" s="187">
        <f t="shared" si="11"/>
        <v>908</v>
      </c>
      <c r="O108" s="187" t="str">
        <f t="shared" si="12"/>
        <v>018-908</v>
      </c>
      <c r="Q108" s="679" t="s">
        <v>6960</v>
      </c>
    </row>
    <row r="109" spans="1:17">
      <c r="A109" s="788" t="s">
        <v>6961</v>
      </c>
      <c r="B109" s="187" t="s">
        <v>7241</v>
      </c>
      <c r="C109" s="215">
        <v>0</v>
      </c>
      <c r="D109" s="215">
        <v>0</v>
      </c>
      <c r="F109" s="215">
        <f t="shared" si="8"/>
        <v>0</v>
      </c>
      <c r="G109" s="215">
        <f t="shared" si="9"/>
        <v>0</v>
      </c>
      <c r="H109" s="680" t="s">
        <v>6153</v>
      </c>
      <c r="I109" s="681" t="s">
        <v>3508</v>
      </c>
      <c r="J109" s="187" t="str">
        <f t="shared" si="13"/>
        <v>019-0</v>
      </c>
      <c r="K109" s="187">
        <v>19</v>
      </c>
      <c r="L109" s="187">
        <v>0</v>
      </c>
      <c r="M109" s="187" t="str">
        <f t="shared" si="10"/>
        <v>019</v>
      </c>
      <c r="N109" s="187">
        <f t="shared" si="11"/>
        <v>0</v>
      </c>
      <c r="O109" s="187" t="str">
        <f t="shared" si="12"/>
        <v>019-0</v>
      </c>
      <c r="Q109" s="679" t="s">
        <v>6962</v>
      </c>
    </row>
    <row r="110" spans="1:17">
      <c r="A110" s="788" t="s">
        <v>1347</v>
      </c>
      <c r="B110" s="187" t="s">
        <v>6963</v>
      </c>
      <c r="C110" s="215">
        <v>0</v>
      </c>
      <c r="D110" s="215">
        <v>0</v>
      </c>
      <c r="F110" s="215">
        <f t="shared" si="8"/>
        <v>0</v>
      </c>
      <c r="G110" s="215">
        <f t="shared" si="9"/>
        <v>0</v>
      </c>
      <c r="H110" s="680" t="s">
        <v>6153</v>
      </c>
      <c r="I110" s="681" t="s">
        <v>3508</v>
      </c>
      <c r="J110" s="187" t="str">
        <f t="shared" si="13"/>
        <v>019-802</v>
      </c>
      <c r="K110" s="187">
        <v>19</v>
      </c>
      <c r="L110" s="187">
        <v>802</v>
      </c>
      <c r="M110" s="187" t="str">
        <f t="shared" si="10"/>
        <v>019</v>
      </c>
      <c r="N110" s="187">
        <f t="shared" si="11"/>
        <v>802</v>
      </c>
      <c r="O110" s="187" t="str">
        <f t="shared" si="12"/>
        <v>019-802</v>
      </c>
      <c r="Q110" s="679" t="s">
        <v>6964</v>
      </c>
    </row>
    <row r="111" spans="1:17">
      <c r="A111" s="788" t="s">
        <v>963</v>
      </c>
      <c r="B111" s="187" t="s">
        <v>996</v>
      </c>
      <c r="C111" s="215">
        <v>23587</v>
      </c>
      <c r="D111" s="215">
        <v>1484526</v>
      </c>
      <c r="E111" s="215">
        <v>80211</v>
      </c>
      <c r="F111" s="215">
        <f t="shared" si="8"/>
        <v>1564737</v>
      </c>
      <c r="G111" s="215">
        <f t="shared" si="9"/>
        <v>1588324</v>
      </c>
      <c r="H111" s="680" t="s">
        <v>6153</v>
      </c>
      <c r="I111" s="681" t="s">
        <v>3508</v>
      </c>
      <c r="J111" s="187" t="str">
        <f t="shared" si="13"/>
        <v>019-901</v>
      </c>
      <c r="K111" s="187">
        <v>19</v>
      </c>
      <c r="L111" s="187">
        <v>901</v>
      </c>
      <c r="M111" s="187" t="str">
        <f t="shared" si="10"/>
        <v>019</v>
      </c>
      <c r="N111" s="187">
        <f t="shared" si="11"/>
        <v>901</v>
      </c>
      <c r="O111" s="187" t="str">
        <f t="shared" si="12"/>
        <v>019-901</v>
      </c>
      <c r="Q111" s="679" t="s">
        <v>6965</v>
      </c>
    </row>
    <row r="112" spans="1:17">
      <c r="A112" s="788" t="s">
        <v>3083</v>
      </c>
      <c r="B112" s="187" t="s">
        <v>3850</v>
      </c>
      <c r="C112" s="215">
        <v>160068</v>
      </c>
      <c r="D112" s="215">
        <v>1360799</v>
      </c>
      <c r="F112" s="215">
        <f t="shared" si="8"/>
        <v>1360799</v>
      </c>
      <c r="G112" s="215">
        <f t="shared" si="9"/>
        <v>1520867</v>
      </c>
      <c r="H112" s="680" t="s">
        <v>6153</v>
      </c>
      <c r="I112" s="681" t="s">
        <v>3508</v>
      </c>
      <c r="J112" s="187" t="str">
        <f t="shared" si="13"/>
        <v>019-902</v>
      </c>
      <c r="K112" s="187">
        <v>19</v>
      </c>
      <c r="L112" s="187">
        <v>902</v>
      </c>
      <c r="M112" s="187" t="str">
        <f t="shared" si="10"/>
        <v>019</v>
      </c>
      <c r="N112" s="187">
        <f t="shared" si="11"/>
        <v>902</v>
      </c>
      <c r="O112" s="187" t="str">
        <f t="shared" si="12"/>
        <v>019-902</v>
      </c>
      <c r="Q112" s="679" t="s">
        <v>6966</v>
      </c>
    </row>
    <row r="113" spans="1:17">
      <c r="A113" s="788" t="s">
        <v>2568</v>
      </c>
      <c r="B113" s="187" t="s">
        <v>6070</v>
      </c>
      <c r="C113" s="215">
        <v>15913</v>
      </c>
      <c r="D113" s="215">
        <v>506226</v>
      </c>
      <c r="F113" s="215">
        <f t="shared" si="8"/>
        <v>506226</v>
      </c>
      <c r="G113" s="215">
        <f t="shared" si="9"/>
        <v>522139</v>
      </c>
      <c r="H113" s="680" t="s">
        <v>6153</v>
      </c>
      <c r="I113" s="681" t="s">
        <v>3508</v>
      </c>
      <c r="J113" s="187" t="str">
        <f t="shared" si="13"/>
        <v>019-903</v>
      </c>
      <c r="K113" s="187">
        <v>19</v>
      </c>
      <c r="L113" s="187">
        <v>903</v>
      </c>
      <c r="M113" s="187" t="str">
        <f t="shared" si="10"/>
        <v>019</v>
      </c>
      <c r="N113" s="187">
        <f t="shared" si="11"/>
        <v>903</v>
      </c>
      <c r="O113" s="187" t="str">
        <f t="shared" si="12"/>
        <v>019-903</v>
      </c>
      <c r="Q113" s="679" t="s">
        <v>6967</v>
      </c>
    </row>
    <row r="114" spans="1:17">
      <c r="A114" s="788" t="s">
        <v>1349</v>
      </c>
      <c r="B114" s="187" t="s">
        <v>886</v>
      </c>
      <c r="C114" s="215">
        <v>160133</v>
      </c>
      <c r="D114" s="215">
        <v>3114794</v>
      </c>
      <c r="F114" s="215">
        <f t="shared" si="8"/>
        <v>3114794</v>
      </c>
      <c r="G114" s="215">
        <f t="shared" si="9"/>
        <v>3274927</v>
      </c>
      <c r="H114" s="680" t="s">
        <v>6153</v>
      </c>
      <c r="I114" s="681" t="s">
        <v>3508</v>
      </c>
      <c r="J114" s="187" t="str">
        <f t="shared" si="13"/>
        <v>019-905</v>
      </c>
      <c r="K114" s="187">
        <v>19</v>
      </c>
      <c r="L114" s="187">
        <v>905</v>
      </c>
      <c r="M114" s="187" t="str">
        <f t="shared" si="10"/>
        <v>019</v>
      </c>
      <c r="N114" s="187">
        <f t="shared" si="11"/>
        <v>905</v>
      </c>
      <c r="O114" s="187" t="str">
        <f t="shared" si="12"/>
        <v>019-905</v>
      </c>
      <c r="Q114" s="679" t="s">
        <v>6968</v>
      </c>
    </row>
    <row r="115" spans="1:17">
      <c r="A115" s="788" t="s">
        <v>6083</v>
      </c>
      <c r="B115" s="187" t="s">
        <v>887</v>
      </c>
      <c r="C115" s="215">
        <v>143756</v>
      </c>
      <c r="D115" s="215">
        <v>1709110</v>
      </c>
      <c r="F115" s="215">
        <f t="shared" si="8"/>
        <v>1709110</v>
      </c>
      <c r="G115" s="215">
        <f t="shared" si="9"/>
        <v>1852866</v>
      </c>
      <c r="H115" s="680" t="s">
        <v>6153</v>
      </c>
      <c r="I115" s="681" t="s">
        <v>3508</v>
      </c>
      <c r="J115" s="187" t="str">
        <f t="shared" si="13"/>
        <v>019-906</v>
      </c>
      <c r="K115" s="187">
        <v>19</v>
      </c>
      <c r="L115" s="187">
        <v>906</v>
      </c>
      <c r="M115" s="187" t="str">
        <f t="shared" si="10"/>
        <v>019</v>
      </c>
      <c r="N115" s="187">
        <f t="shared" si="11"/>
        <v>906</v>
      </c>
      <c r="O115" s="187" t="str">
        <f t="shared" si="12"/>
        <v>019-906</v>
      </c>
      <c r="Q115" s="679" t="s">
        <v>6969</v>
      </c>
    </row>
    <row r="116" spans="1:17">
      <c r="A116" s="788" t="s">
        <v>6085</v>
      </c>
      <c r="B116" s="187" t="s">
        <v>888</v>
      </c>
      <c r="C116" s="215">
        <v>2744078</v>
      </c>
      <c r="D116" s="215">
        <v>18158962</v>
      </c>
      <c r="F116" s="215">
        <f t="shared" si="8"/>
        <v>18158962</v>
      </c>
      <c r="G116" s="215">
        <f t="shared" si="9"/>
        <v>20903040</v>
      </c>
      <c r="H116" s="680" t="s">
        <v>6153</v>
      </c>
      <c r="I116" s="681" t="s">
        <v>3508</v>
      </c>
      <c r="J116" s="187" t="str">
        <f t="shared" si="13"/>
        <v>019-907</v>
      </c>
      <c r="K116" s="187">
        <v>19</v>
      </c>
      <c r="L116" s="187">
        <v>907</v>
      </c>
      <c r="M116" s="187" t="str">
        <f t="shared" si="10"/>
        <v>019</v>
      </c>
      <c r="N116" s="187">
        <f t="shared" si="11"/>
        <v>907</v>
      </c>
      <c r="O116" s="187" t="str">
        <f t="shared" si="12"/>
        <v>019-907</v>
      </c>
      <c r="Q116" s="679" t="s">
        <v>6970</v>
      </c>
    </row>
    <row r="117" spans="1:17">
      <c r="A117" s="788" t="s">
        <v>1998</v>
      </c>
      <c r="B117" s="187" t="s">
        <v>889</v>
      </c>
      <c r="C117" s="215">
        <v>490644</v>
      </c>
      <c r="D117" s="215">
        <v>5021308</v>
      </c>
      <c r="F117" s="215">
        <f t="shared" si="8"/>
        <v>5021308</v>
      </c>
      <c r="G117" s="215">
        <f t="shared" si="9"/>
        <v>5511952</v>
      </c>
      <c r="H117" s="680" t="s">
        <v>6153</v>
      </c>
      <c r="I117" s="681" t="s">
        <v>3508</v>
      </c>
      <c r="J117" s="187" t="str">
        <f t="shared" si="13"/>
        <v>019-908</v>
      </c>
      <c r="K117" s="187">
        <v>19</v>
      </c>
      <c r="L117" s="187">
        <v>908</v>
      </c>
      <c r="M117" s="187" t="str">
        <f t="shared" si="10"/>
        <v>019</v>
      </c>
      <c r="N117" s="187">
        <f t="shared" si="11"/>
        <v>908</v>
      </c>
      <c r="O117" s="187" t="str">
        <f t="shared" si="12"/>
        <v>019-908</v>
      </c>
      <c r="Q117" s="679" t="s">
        <v>6971</v>
      </c>
    </row>
    <row r="118" spans="1:17">
      <c r="A118" s="788" t="s">
        <v>2570</v>
      </c>
      <c r="B118" s="187" t="s">
        <v>1467</v>
      </c>
      <c r="C118" s="215">
        <v>32637</v>
      </c>
      <c r="D118" s="215">
        <v>777109</v>
      </c>
      <c r="F118" s="215">
        <f t="shared" si="8"/>
        <v>777109</v>
      </c>
      <c r="G118" s="215">
        <f t="shared" si="9"/>
        <v>809746</v>
      </c>
      <c r="H118" s="680" t="s">
        <v>6153</v>
      </c>
      <c r="I118" s="681" t="s">
        <v>3508</v>
      </c>
      <c r="J118" s="187" t="str">
        <f t="shared" si="13"/>
        <v>019-909</v>
      </c>
      <c r="K118" s="187">
        <v>19</v>
      </c>
      <c r="L118" s="187">
        <v>909</v>
      </c>
      <c r="M118" s="187" t="str">
        <f t="shared" si="10"/>
        <v>019</v>
      </c>
      <c r="N118" s="187">
        <f t="shared" si="11"/>
        <v>909</v>
      </c>
      <c r="O118" s="187" t="str">
        <f t="shared" si="12"/>
        <v>019-909</v>
      </c>
      <c r="Q118" s="679" t="s">
        <v>6972</v>
      </c>
    </row>
    <row r="119" spans="1:17">
      <c r="A119" s="788" t="s">
        <v>4076</v>
      </c>
      <c r="B119" s="187" t="s">
        <v>6061</v>
      </c>
      <c r="C119" s="215">
        <v>5746</v>
      </c>
      <c r="D119" s="215">
        <v>138794</v>
      </c>
      <c r="F119" s="215">
        <f t="shared" si="8"/>
        <v>138794</v>
      </c>
      <c r="G119" s="215">
        <f t="shared" si="9"/>
        <v>144540</v>
      </c>
      <c r="H119" s="680" t="s">
        <v>6153</v>
      </c>
      <c r="I119" s="681" t="s">
        <v>3508</v>
      </c>
      <c r="J119" s="187" t="str">
        <f t="shared" si="13"/>
        <v>019-910</v>
      </c>
      <c r="K119" s="187">
        <v>19</v>
      </c>
      <c r="L119" s="187">
        <v>910</v>
      </c>
      <c r="M119" s="187" t="str">
        <f t="shared" si="10"/>
        <v>019</v>
      </c>
      <c r="N119" s="187">
        <f t="shared" si="11"/>
        <v>910</v>
      </c>
      <c r="O119" s="187" t="str">
        <f t="shared" si="12"/>
        <v>019-910</v>
      </c>
      <c r="Q119" s="679" t="s">
        <v>6973</v>
      </c>
    </row>
    <row r="120" spans="1:17">
      <c r="A120" s="788" t="s">
        <v>1963</v>
      </c>
      <c r="B120" s="187" t="s">
        <v>890</v>
      </c>
      <c r="C120" s="215">
        <v>0</v>
      </c>
      <c r="D120" s="215">
        <v>1030000</v>
      </c>
      <c r="F120" s="215">
        <f t="shared" si="8"/>
        <v>1030000</v>
      </c>
      <c r="G120" s="215">
        <f t="shared" si="9"/>
        <v>1030000</v>
      </c>
      <c r="H120" s="680" t="s">
        <v>6153</v>
      </c>
      <c r="I120" s="681" t="s">
        <v>3508</v>
      </c>
      <c r="J120" s="187" t="str">
        <f t="shared" si="13"/>
        <v>019-911</v>
      </c>
      <c r="K120" s="187">
        <v>19</v>
      </c>
      <c r="L120" s="187">
        <v>911</v>
      </c>
      <c r="M120" s="187" t="str">
        <f t="shared" si="10"/>
        <v>019</v>
      </c>
      <c r="N120" s="187">
        <f t="shared" si="11"/>
        <v>911</v>
      </c>
      <c r="O120" s="187" t="str">
        <f t="shared" si="12"/>
        <v>019-911</v>
      </c>
      <c r="Q120" s="679" t="s">
        <v>6974</v>
      </c>
    </row>
    <row r="121" spans="1:17">
      <c r="A121" s="788" t="s">
        <v>2000</v>
      </c>
      <c r="B121" s="187" t="s">
        <v>891</v>
      </c>
      <c r="C121" s="215">
        <v>1261644</v>
      </c>
      <c r="D121" s="215">
        <v>8053650</v>
      </c>
      <c r="F121" s="215">
        <f t="shared" si="8"/>
        <v>8053650</v>
      </c>
      <c r="G121" s="215">
        <f t="shared" si="9"/>
        <v>9315294</v>
      </c>
      <c r="H121" s="680" t="s">
        <v>6153</v>
      </c>
      <c r="I121" s="681" t="s">
        <v>3508</v>
      </c>
      <c r="J121" s="187" t="str">
        <f t="shared" si="13"/>
        <v>019-912</v>
      </c>
      <c r="K121" s="187">
        <v>19</v>
      </c>
      <c r="L121" s="187">
        <v>912</v>
      </c>
      <c r="M121" s="187" t="str">
        <f t="shared" si="10"/>
        <v>019</v>
      </c>
      <c r="N121" s="187">
        <f t="shared" si="11"/>
        <v>912</v>
      </c>
      <c r="O121" s="187" t="str">
        <f t="shared" si="12"/>
        <v>019-912</v>
      </c>
      <c r="Q121" s="679" t="s">
        <v>6975</v>
      </c>
    </row>
    <row r="122" spans="1:17">
      <c r="A122" s="788" t="s">
        <v>2002</v>
      </c>
      <c r="B122" s="187" t="s">
        <v>3852</v>
      </c>
      <c r="C122" s="215">
        <v>0</v>
      </c>
      <c r="D122" s="215">
        <v>171096</v>
      </c>
      <c r="F122" s="215">
        <f t="shared" si="8"/>
        <v>171096</v>
      </c>
      <c r="G122" s="215">
        <f t="shared" si="9"/>
        <v>171096</v>
      </c>
      <c r="H122" s="680" t="s">
        <v>6153</v>
      </c>
      <c r="I122" s="681" t="s">
        <v>3508</v>
      </c>
      <c r="J122" s="187" t="str">
        <f t="shared" si="13"/>
        <v>019-913</v>
      </c>
      <c r="K122" s="187">
        <v>19</v>
      </c>
      <c r="L122" s="187">
        <v>913</v>
      </c>
      <c r="M122" s="187" t="str">
        <f t="shared" si="10"/>
        <v>019</v>
      </c>
      <c r="N122" s="187">
        <f t="shared" si="11"/>
        <v>913</v>
      </c>
      <c r="O122" s="187" t="str">
        <f t="shared" si="12"/>
        <v>019-913</v>
      </c>
      <c r="Q122" s="679" t="s">
        <v>6976</v>
      </c>
    </row>
    <row r="123" spans="1:17">
      <c r="A123" s="788" t="s">
        <v>1964</v>
      </c>
      <c r="B123" s="187" t="s">
        <v>892</v>
      </c>
      <c r="C123" s="215">
        <v>0</v>
      </c>
      <c r="D123" s="215">
        <v>278080</v>
      </c>
      <c r="F123" s="215">
        <f t="shared" si="8"/>
        <v>278080</v>
      </c>
      <c r="G123" s="215">
        <f t="shared" si="9"/>
        <v>278080</v>
      </c>
      <c r="H123" s="680" t="s">
        <v>6153</v>
      </c>
      <c r="I123" s="681" t="s">
        <v>3508</v>
      </c>
      <c r="J123" s="187" t="str">
        <f t="shared" si="13"/>
        <v>019-914</v>
      </c>
      <c r="K123" s="187">
        <v>19</v>
      </c>
      <c r="L123" s="187">
        <v>914</v>
      </c>
      <c r="M123" s="187" t="str">
        <f t="shared" si="10"/>
        <v>019</v>
      </c>
      <c r="N123" s="187">
        <f t="shared" si="11"/>
        <v>914</v>
      </c>
      <c r="O123" s="187" t="str">
        <f t="shared" si="12"/>
        <v>019-914</v>
      </c>
      <c r="Q123" s="679" t="s">
        <v>6977</v>
      </c>
    </row>
    <row r="124" spans="1:17">
      <c r="A124" s="788" t="s">
        <v>2136</v>
      </c>
      <c r="B124" s="187" t="s">
        <v>7679</v>
      </c>
      <c r="C124" s="215">
        <v>4960273</v>
      </c>
      <c r="D124" s="215">
        <v>30788172</v>
      </c>
      <c r="F124" s="215">
        <f t="shared" si="8"/>
        <v>30788172</v>
      </c>
      <c r="G124" s="215">
        <f t="shared" si="9"/>
        <v>35748445</v>
      </c>
      <c r="H124" s="680" t="s">
        <v>6153</v>
      </c>
      <c r="I124" s="681" t="s">
        <v>3508</v>
      </c>
      <c r="J124" s="187" t="str">
        <f t="shared" si="13"/>
        <v>020-901</v>
      </c>
      <c r="K124" s="187">
        <v>20</v>
      </c>
      <c r="L124" s="187">
        <v>901</v>
      </c>
      <c r="M124" s="187" t="str">
        <f t="shared" si="10"/>
        <v>020</v>
      </c>
      <c r="N124" s="187">
        <f t="shared" si="11"/>
        <v>901</v>
      </c>
      <c r="O124" s="187" t="str">
        <f t="shared" si="12"/>
        <v>020-901</v>
      </c>
      <c r="Q124" s="679" t="s">
        <v>6978</v>
      </c>
    </row>
    <row r="125" spans="1:17">
      <c r="A125" s="788" t="s">
        <v>2966</v>
      </c>
      <c r="B125" s="187" t="s">
        <v>893</v>
      </c>
      <c r="C125" s="215">
        <v>3437254</v>
      </c>
      <c r="D125" s="215">
        <v>24956505</v>
      </c>
      <c r="F125" s="215">
        <f t="shared" si="8"/>
        <v>24956505</v>
      </c>
      <c r="G125" s="215">
        <f t="shared" si="9"/>
        <v>28393759</v>
      </c>
      <c r="H125" s="680" t="s">
        <v>6153</v>
      </c>
      <c r="I125" s="681" t="s">
        <v>3508</v>
      </c>
      <c r="J125" s="187" t="str">
        <f t="shared" si="13"/>
        <v>020-902</v>
      </c>
      <c r="K125" s="187">
        <v>20</v>
      </c>
      <c r="L125" s="187">
        <v>902</v>
      </c>
      <c r="M125" s="187" t="str">
        <f t="shared" si="10"/>
        <v>020</v>
      </c>
      <c r="N125" s="187">
        <f t="shared" si="11"/>
        <v>902</v>
      </c>
      <c r="O125" s="187" t="str">
        <f t="shared" si="12"/>
        <v>020-902</v>
      </c>
      <c r="Q125" s="679" t="s">
        <v>6979</v>
      </c>
    </row>
    <row r="126" spans="1:17">
      <c r="A126" s="788" t="s">
        <v>3084</v>
      </c>
      <c r="B126" s="187" t="s">
        <v>992</v>
      </c>
      <c r="C126" s="215">
        <v>116951</v>
      </c>
      <c r="D126" s="215">
        <v>1658980</v>
      </c>
      <c r="F126" s="215">
        <f t="shared" si="8"/>
        <v>1658980</v>
      </c>
      <c r="G126" s="215">
        <f t="shared" si="9"/>
        <v>1775931</v>
      </c>
      <c r="H126" s="680" t="s">
        <v>6153</v>
      </c>
      <c r="I126" s="681" t="s">
        <v>3508</v>
      </c>
      <c r="J126" s="187" t="str">
        <f t="shared" si="13"/>
        <v>020-904</v>
      </c>
      <c r="K126" s="187">
        <v>20</v>
      </c>
      <c r="L126" s="187">
        <v>904</v>
      </c>
      <c r="M126" s="187" t="str">
        <f t="shared" si="10"/>
        <v>020</v>
      </c>
      <c r="N126" s="187">
        <f t="shared" si="11"/>
        <v>904</v>
      </c>
      <c r="O126" s="187" t="str">
        <f t="shared" si="12"/>
        <v>020-904</v>
      </c>
      <c r="Q126" s="679" t="s">
        <v>6980</v>
      </c>
    </row>
    <row r="127" spans="1:17">
      <c r="A127" s="788" t="s">
        <v>6252</v>
      </c>
      <c r="B127" s="187" t="s">
        <v>1571</v>
      </c>
      <c r="C127" s="215">
        <v>9387644</v>
      </c>
      <c r="D127" s="215">
        <v>80068882</v>
      </c>
      <c r="F127" s="215">
        <f t="shared" si="8"/>
        <v>80068882</v>
      </c>
      <c r="G127" s="215">
        <f t="shared" si="9"/>
        <v>89456526</v>
      </c>
      <c r="H127" s="680" t="s">
        <v>6153</v>
      </c>
      <c r="I127" s="681" t="s">
        <v>3508</v>
      </c>
      <c r="J127" s="187" t="str">
        <f t="shared" si="13"/>
        <v>020-905</v>
      </c>
      <c r="K127" s="187">
        <v>20</v>
      </c>
      <c r="L127" s="187">
        <v>905</v>
      </c>
      <c r="M127" s="187" t="str">
        <f t="shared" si="10"/>
        <v>020</v>
      </c>
      <c r="N127" s="187">
        <f t="shared" si="11"/>
        <v>905</v>
      </c>
      <c r="O127" s="187" t="str">
        <f t="shared" si="12"/>
        <v>020-905</v>
      </c>
      <c r="Q127" s="679" t="s">
        <v>6981</v>
      </c>
    </row>
    <row r="128" spans="1:17">
      <c r="A128" s="788" t="s">
        <v>6254</v>
      </c>
      <c r="B128" s="187" t="s">
        <v>1572</v>
      </c>
      <c r="C128" s="215">
        <v>2633944</v>
      </c>
      <c r="D128" s="215">
        <v>20594695</v>
      </c>
      <c r="F128" s="215">
        <f t="shared" si="8"/>
        <v>20594695</v>
      </c>
      <c r="G128" s="215">
        <f t="shared" si="9"/>
        <v>23228639</v>
      </c>
      <c r="H128" s="680" t="s">
        <v>6153</v>
      </c>
      <c r="I128" s="681" t="s">
        <v>3508</v>
      </c>
      <c r="J128" s="187" t="str">
        <f t="shared" si="13"/>
        <v>020-906</v>
      </c>
      <c r="K128" s="187">
        <v>20</v>
      </c>
      <c r="L128" s="187">
        <v>906</v>
      </c>
      <c r="M128" s="187" t="str">
        <f t="shared" si="10"/>
        <v>020</v>
      </c>
      <c r="N128" s="187">
        <f t="shared" si="11"/>
        <v>906</v>
      </c>
      <c r="O128" s="187" t="str">
        <f t="shared" si="12"/>
        <v>020-906</v>
      </c>
      <c r="Q128" s="679" t="s">
        <v>6982</v>
      </c>
    </row>
    <row r="129" spans="1:17">
      <c r="A129" s="788" t="s">
        <v>233</v>
      </c>
      <c r="B129" s="187" t="s">
        <v>2640</v>
      </c>
      <c r="C129" s="215">
        <v>2096107</v>
      </c>
      <c r="D129" s="215">
        <v>8180846</v>
      </c>
      <c r="F129" s="215">
        <f t="shared" si="8"/>
        <v>8180846</v>
      </c>
      <c r="G129" s="215">
        <f t="shared" si="9"/>
        <v>10276953</v>
      </c>
      <c r="H129" s="680" t="s">
        <v>6153</v>
      </c>
      <c r="I129" s="681" t="s">
        <v>3508</v>
      </c>
      <c r="J129" s="187" t="str">
        <f t="shared" si="13"/>
        <v>020-907</v>
      </c>
      <c r="K129" s="187">
        <v>20</v>
      </c>
      <c r="L129" s="187">
        <v>907</v>
      </c>
      <c r="M129" s="187" t="str">
        <f t="shared" si="10"/>
        <v>020</v>
      </c>
      <c r="N129" s="187">
        <f t="shared" si="11"/>
        <v>907</v>
      </c>
      <c r="O129" s="187" t="str">
        <f t="shared" si="12"/>
        <v>020-907</v>
      </c>
      <c r="Q129" s="679" t="s">
        <v>6983</v>
      </c>
    </row>
    <row r="130" spans="1:17">
      <c r="A130" s="788" t="s">
        <v>6195</v>
      </c>
      <c r="B130" s="187" t="s">
        <v>5293</v>
      </c>
      <c r="C130" s="215">
        <v>11839619</v>
      </c>
      <c r="D130" s="215">
        <v>60710576</v>
      </c>
      <c r="F130" s="215">
        <f t="shared" si="8"/>
        <v>60710576</v>
      </c>
      <c r="G130" s="215">
        <f t="shared" si="9"/>
        <v>72550195</v>
      </c>
      <c r="H130" s="680" t="s">
        <v>6153</v>
      </c>
      <c r="I130" s="681" t="s">
        <v>3508</v>
      </c>
      <c r="J130" s="187" t="str">
        <f t="shared" si="13"/>
        <v>020-908</v>
      </c>
      <c r="K130" s="187">
        <v>20</v>
      </c>
      <c r="L130" s="187">
        <v>908</v>
      </c>
      <c r="M130" s="187" t="str">
        <f t="shared" si="10"/>
        <v>020</v>
      </c>
      <c r="N130" s="187">
        <f t="shared" si="11"/>
        <v>908</v>
      </c>
      <c r="O130" s="187" t="str">
        <f t="shared" si="12"/>
        <v>020-908</v>
      </c>
      <c r="Q130" s="679" t="s">
        <v>6984</v>
      </c>
    </row>
    <row r="131" spans="1:17">
      <c r="A131" s="788" t="s">
        <v>6256</v>
      </c>
      <c r="B131" s="187" t="s">
        <v>1573</v>
      </c>
      <c r="C131" s="215">
        <v>0</v>
      </c>
      <c r="D131" s="215">
        <v>448640</v>
      </c>
      <c r="F131" s="215">
        <f t="shared" si="8"/>
        <v>448640</v>
      </c>
      <c r="G131" s="215">
        <f t="shared" si="9"/>
        <v>448640</v>
      </c>
      <c r="H131" s="680" t="s">
        <v>6153</v>
      </c>
      <c r="I131" s="681" t="s">
        <v>3508</v>
      </c>
      <c r="J131" s="187" t="str">
        <f t="shared" si="13"/>
        <v>020-910</v>
      </c>
      <c r="K131" s="187">
        <v>20</v>
      </c>
      <c r="L131" s="187">
        <v>910</v>
      </c>
      <c r="M131" s="187" t="str">
        <f t="shared" si="10"/>
        <v>020</v>
      </c>
      <c r="N131" s="187">
        <f t="shared" si="11"/>
        <v>910</v>
      </c>
      <c r="O131" s="187" t="str">
        <f t="shared" si="12"/>
        <v>020-910</v>
      </c>
      <c r="Q131" s="679" t="s">
        <v>6985</v>
      </c>
    </row>
    <row r="132" spans="1:17">
      <c r="A132" s="788" t="s">
        <v>6258</v>
      </c>
      <c r="B132" s="187" t="s">
        <v>7242</v>
      </c>
      <c r="C132" s="215">
        <v>0</v>
      </c>
      <c r="D132" s="215">
        <v>0</v>
      </c>
      <c r="F132" s="215">
        <f t="shared" ref="F132:F195" si="14">D132+E132</f>
        <v>0</v>
      </c>
      <c r="G132" s="215">
        <f t="shared" ref="G132:G195" si="15">F132+C132</f>
        <v>0</v>
      </c>
      <c r="H132" s="680" t="s">
        <v>6153</v>
      </c>
      <c r="I132" s="681" t="s">
        <v>3508</v>
      </c>
      <c r="J132" s="187" t="str">
        <f t="shared" si="13"/>
        <v>021-802</v>
      </c>
      <c r="K132" s="187">
        <v>21</v>
      </c>
      <c r="L132" s="187">
        <v>802</v>
      </c>
      <c r="M132" s="187" t="str">
        <f t="shared" ref="M132:M195" si="16">+I132&amp;K132</f>
        <v>021</v>
      </c>
      <c r="N132" s="187">
        <f t="shared" ref="N132:N195" si="17">+L132</f>
        <v>802</v>
      </c>
      <c r="O132" s="187" t="str">
        <f t="shared" ref="O132:O195" si="18">+M132&amp;"-"&amp;N132</f>
        <v>021-802</v>
      </c>
      <c r="Q132" s="679" t="s">
        <v>6986</v>
      </c>
    </row>
    <row r="133" spans="1:17">
      <c r="A133" s="788" t="s">
        <v>7243</v>
      </c>
      <c r="B133" s="187" t="s">
        <v>7244</v>
      </c>
      <c r="C133" s="215">
        <v>0</v>
      </c>
      <c r="D133" s="215">
        <v>0</v>
      </c>
      <c r="F133" s="215">
        <f t="shared" si="14"/>
        <v>0</v>
      </c>
      <c r="G133" s="215">
        <f t="shared" si="15"/>
        <v>0</v>
      </c>
      <c r="H133" s="680" t="s">
        <v>6153</v>
      </c>
      <c r="I133" s="681" t="s">
        <v>3508</v>
      </c>
      <c r="J133" s="187" t="str">
        <f t="shared" si="13"/>
        <v>021-803</v>
      </c>
      <c r="K133" s="187">
        <v>21</v>
      </c>
      <c r="L133" s="187">
        <v>803</v>
      </c>
      <c r="M133" s="187" t="str">
        <f t="shared" si="16"/>
        <v>021</v>
      </c>
      <c r="N133" s="187">
        <f t="shared" si="17"/>
        <v>803</v>
      </c>
      <c r="O133" s="187" t="str">
        <f t="shared" si="18"/>
        <v>021-803</v>
      </c>
      <c r="Q133" s="679" t="s">
        <v>6987</v>
      </c>
    </row>
    <row r="134" spans="1:17">
      <c r="A134" s="788" t="s">
        <v>743</v>
      </c>
      <c r="B134" s="187" t="s">
        <v>6119</v>
      </c>
      <c r="C134" s="215">
        <v>9598911</v>
      </c>
      <c r="D134" s="215">
        <v>53195129</v>
      </c>
      <c r="F134" s="215">
        <f t="shared" si="14"/>
        <v>53195129</v>
      </c>
      <c r="G134" s="215">
        <f t="shared" si="15"/>
        <v>62794040</v>
      </c>
      <c r="H134" s="680" t="s">
        <v>6153</v>
      </c>
      <c r="I134" s="681" t="s">
        <v>3508</v>
      </c>
      <c r="J134" s="187" t="str">
        <f t="shared" si="13"/>
        <v>021-901</v>
      </c>
      <c r="K134" s="187">
        <v>21</v>
      </c>
      <c r="L134" s="187">
        <v>901</v>
      </c>
      <c r="M134" s="187" t="str">
        <f t="shared" si="16"/>
        <v>021</v>
      </c>
      <c r="N134" s="187">
        <f t="shared" si="17"/>
        <v>901</v>
      </c>
      <c r="O134" s="187" t="str">
        <f t="shared" si="18"/>
        <v>021-901</v>
      </c>
      <c r="Q134" s="679" t="s">
        <v>6988</v>
      </c>
    </row>
    <row r="135" spans="1:17">
      <c r="A135" s="788" t="s">
        <v>960</v>
      </c>
      <c r="B135" s="187" t="s">
        <v>2143</v>
      </c>
      <c r="C135" s="215">
        <v>5127856</v>
      </c>
      <c r="D135" s="215">
        <v>44258029</v>
      </c>
      <c r="E135" s="215">
        <v>923545</v>
      </c>
      <c r="F135" s="215">
        <f t="shared" si="14"/>
        <v>45181574</v>
      </c>
      <c r="G135" s="215">
        <f t="shared" si="15"/>
        <v>50309430</v>
      </c>
      <c r="H135" s="680" t="s">
        <v>6153</v>
      </c>
      <c r="I135" s="681" t="s">
        <v>3508</v>
      </c>
      <c r="J135" s="187" t="str">
        <f t="shared" si="13"/>
        <v>021-902</v>
      </c>
      <c r="K135" s="187">
        <v>21</v>
      </c>
      <c r="L135" s="187">
        <v>902</v>
      </c>
      <c r="M135" s="187" t="str">
        <f t="shared" si="16"/>
        <v>021</v>
      </c>
      <c r="N135" s="187">
        <f t="shared" si="17"/>
        <v>902</v>
      </c>
      <c r="O135" s="187" t="str">
        <f t="shared" si="18"/>
        <v>021-902</v>
      </c>
      <c r="Q135" s="679" t="s">
        <v>6989</v>
      </c>
    </row>
    <row r="136" spans="1:17">
      <c r="A136" s="788" t="s">
        <v>7245</v>
      </c>
      <c r="B136" s="187" t="s">
        <v>7246</v>
      </c>
      <c r="C136" s="215">
        <v>0</v>
      </c>
      <c r="D136" s="215">
        <v>0</v>
      </c>
      <c r="F136" s="215">
        <f t="shared" si="14"/>
        <v>0</v>
      </c>
      <c r="G136" s="215">
        <f t="shared" si="15"/>
        <v>0</v>
      </c>
      <c r="H136" s="680" t="s">
        <v>6153</v>
      </c>
      <c r="I136" s="681" t="s">
        <v>3508</v>
      </c>
      <c r="J136" s="187" t="str">
        <f t="shared" si="13"/>
        <v>021-903</v>
      </c>
      <c r="K136" s="187">
        <v>21</v>
      </c>
      <c r="L136" s="187">
        <v>903</v>
      </c>
      <c r="M136" s="187" t="str">
        <f t="shared" si="16"/>
        <v>021</v>
      </c>
      <c r="N136" s="187">
        <f t="shared" si="17"/>
        <v>903</v>
      </c>
      <c r="O136" s="187" t="str">
        <f t="shared" si="18"/>
        <v>021-903</v>
      </c>
      <c r="Q136" s="679" t="s">
        <v>6990</v>
      </c>
    </row>
    <row r="137" spans="1:17">
      <c r="A137" s="788" t="s">
        <v>6991</v>
      </c>
      <c r="B137" s="187" t="s">
        <v>107</v>
      </c>
      <c r="C137" s="215">
        <v>2420</v>
      </c>
      <c r="D137" s="215">
        <v>628588</v>
      </c>
      <c r="F137" s="215">
        <f t="shared" si="14"/>
        <v>628588</v>
      </c>
      <c r="G137" s="215">
        <f t="shared" si="15"/>
        <v>631008</v>
      </c>
      <c r="H137" s="680" t="s">
        <v>6153</v>
      </c>
      <c r="I137" s="681" t="s">
        <v>3508</v>
      </c>
      <c r="J137" s="187" t="str">
        <f t="shared" si="13"/>
        <v>022-4</v>
      </c>
      <c r="K137" s="187">
        <v>22</v>
      </c>
      <c r="L137" s="187">
        <v>4</v>
      </c>
      <c r="M137" s="187" t="str">
        <f t="shared" si="16"/>
        <v>022</v>
      </c>
      <c r="N137" s="187">
        <f t="shared" si="17"/>
        <v>4</v>
      </c>
      <c r="O137" s="187" t="str">
        <f t="shared" si="18"/>
        <v>022-4</v>
      </c>
      <c r="Q137" s="679" t="s">
        <v>6992</v>
      </c>
    </row>
    <row r="138" spans="1:17">
      <c r="A138" s="788" t="s">
        <v>6262</v>
      </c>
      <c r="B138" s="187" t="s">
        <v>108</v>
      </c>
      <c r="C138" s="215">
        <v>254562</v>
      </c>
      <c r="D138" s="215">
        <v>3783070</v>
      </c>
      <c r="F138" s="215">
        <f t="shared" si="14"/>
        <v>3783070</v>
      </c>
      <c r="G138" s="215">
        <f t="shared" si="15"/>
        <v>4037632</v>
      </c>
      <c r="H138" s="680" t="s">
        <v>6153</v>
      </c>
      <c r="I138" s="681" t="s">
        <v>3508</v>
      </c>
      <c r="J138" s="187" t="str">
        <f t="shared" si="13"/>
        <v>022-901</v>
      </c>
      <c r="K138" s="187">
        <v>22</v>
      </c>
      <c r="L138" s="187">
        <v>901</v>
      </c>
      <c r="M138" s="187" t="str">
        <f t="shared" si="16"/>
        <v>022</v>
      </c>
      <c r="N138" s="187">
        <f t="shared" si="17"/>
        <v>901</v>
      </c>
      <c r="O138" s="187" t="str">
        <f t="shared" si="18"/>
        <v>022-901</v>
      </c>
      <c r="Q138" s="679" t="s">
        <v>6993</v>
      </c>
    </row>
    <row r="139" spans="1:17">
      <c r="A139" s="788" t="s">
        <v>6264</v>
      </c>
      <c r="B139" s="187" t="s">
        <v>3792</v>
      </c>
      <c r="C139" s="215">
        <v>0</v>
      </c>
      <c r="D139" s="215">
        <v>719711</v>
      </c>
      <c r="F139" s="215">
        <f t="shared" si="14"/>
        <v>719711</v>
      </c>
      <c r="G139" s="215">
        <f t="shared" si="15"/>
        <v>719711</v>
      </c>
      <c r="H139" s="680" t="s">
        <v>6153</v>
      </c>
      <c r="I139" s="681" t="s">
        <v>3508</v>
      </c>
      <c r="J139" s="187" t="str">
        <f t="shared" si="13"/>
        <v>022-902</v>
      </c>
      <c r="K139" s="187">
        <v>22</v>
      </c>
      <c r="L139" s="187">
        <v>902</v>
      </c>
      <c r="M139" s="187" t="str">
        <f t="shared" si="16"/>
        <v>022</v>
      </c>
      <c r="N139" s="187">
        <f t="shared" si="17"/>
        <v>902</v>
      </c>
      <c r="O139" s="187" t="str">
        <f t="shared" si="18"/>
        <v>022-902</v>
      </c>
      <c r="Q139" s="679" t="s">
        <v>6994</v>
      </c>
    </row>
    <row r="140" spans="1:17">
      <c r="A140" s="788" t="s">
        <v>6266</v>
      </c>
      <c r="B140" s="187" t="s">
        <v>3793</v>
      </c>
      <c r="C140" s="215">
        <v>0</v>
      </c>
      <c r="D140" s="215">
        <v>72411</v>
      </c>
      <c r="F140" s="215">
        <f t="shared" si="14"/>
        <v>72411</v>
      </c>
      <c r="G140" s="215">
        <f t="shared" si="15"/>
        <v>72411</v>
      </c>
      <c r="H140" s="680" t="s">
        <v>6153</v>
      </c>
      <c r="I140" s="681" t="s">
        <v>3508</v>
      </c>
      <c r="J140" s="187" t="str">
        <f t="shared" si="13"/>
        <v>022-903</v>
      </c>
      <c r="K140" s="187">
        <v>22</v>
      </c>
      <c r="L140" s="187">
        <v>903</v>
      </c>
      <c r="M140" s="187" t="str">
        <f t="shared" si="16"/>
        <v>022</v>
      </c>
      <c r="N140" s="187">
        <f t="shared" si="17"/>
        <v>903</v>
      </c>
      <c r="O140" s="187" t="str">
        <f t="shared" si="18"/>
        <v>022-903</v>
      </c>
      <c r="Q140" s="679" t="s">
        <v>6995</v>
      </c>
    </row>
    <row r="141" spans="1:17">
      <c r="A141" s="788" t="s">
        <v>6268</v>
      </c>
      <c r="B141" s="187" t="s">
        <v>3794</v>
      </c>
      <c r="C141" s="215">
        <v>0</v>
      </c>
      <c r="D141" s="215">
        <v>667428</v>
      </c>
      <c r="F141" s="215">
        <f t="shared" si="14"/>
        <v>667428</v>
      </c>
      <c r="G141" s="215">
        <f t="shared" si="15"/>
        <v>667428</v>
      </c>
      <c r="H141" s="680" t="s">
        <v>6153</v>
      </c>
      <c r="I141" s="681" t="s">
        <v>3508</v>
      </c>
      <c r="J141" s="187" t="str">
        <f t="shared" si="13"/>
        <v>023-902</v>
      </c>
      <c r="K141" s="187">
        <v>23</v>
      </c>
      <c r="L141" s="187">
        <v>902</v>
      </c>
      <c r="M141" s="187" t="str">
        <f t="shared" si="16"/>
        <v>023</v>
      </c>
      <c r="N141" s="187">
        <f t="shared" si="17"/>
        <v>902</v>
      </c>
      <c r="O141" s="187" t="str">
        <f t="shared" si="18"/>
        <v>023-902</v>
      </c>
      <c r="Q141" s="679" t="s">
        <v>6996</v>
      </c>
    </row>
    <row r="142" spans="1:17">
      <c r="A142" s="788" t="s">
        <v>7247</v>
      </c>
      <c r="B142" s="187" t="s">
        <v>7248</v>
      </c>
      <c r="C142" s="215">
        <v>0</v>
      </c>
      <c r="D142" s="215">
        <v>0</v>
      </c>
      <c r="F142" s="215">
        <f t="shared" si="14"/>
        <v>0</v>
      </c>
      <c r="G142" s="215">
        <f t="shared" si="15"/>
        <v>0</v>
      </c>
      <c r="H142" s="680" t="s">
        <v>6153</v>
      </c>
      <c r="I142" s="681" t="s">
        <v>3508</v>
      </c>
      <c r="J142" s="187" t="str">
        <f t="shared" si="13"/>
        <v>024-801</v>
      </c>
      <c r="K142" s="187">
        <v>24</v>
      </c>
      <c r="L142" s="187">
        <v>801</v>
      </c>
      <c r="M142" s="187" t="str">
        <f t="shared" si="16"/>
        <v>024</v>
      </c>
      <c r="N142" s="187">
        <f t="shared" si="17"/>
        <v>801</v>
      </c>
      <c r="O142" s="187" t="str">
        <f t="shared" si="18"/>
        <v>024-801</v>
      </c>
      <c r="Q142" s="679" t="s">
        <v>6997</v>
      </c>
    </row>
    <row r="143" spans="1:17">
      <c r="A143" s="788" t="s">
        <v>6270</v>
      </c>
      <c r="B143" s="187" t="s">
        <v>3795</v>
      </c>
      <c r="C143" s="215">
        <v>255339</v>
      </c>
      <c r="D143" s="215">
        <v>8716747</v>
      </c>
      <c r="F143" s="215">
        <f t="shared" si="14"/>
        <v>8716747</v>
      </c>
      <c r="G143" s="215">
        <f t="shared" si="15"/>
        <v>8972086</v>
      </c>
      <c r="H143" s="680" t="s">
        <v>6153</v>
      </c>
      <c r="I143" s="681" t="s">
        <v>3508</v>
      </c>
      <c r="J143" s="187" t="str">
        <f t="shared" si="13"/>
        <v>024-901</v>
      </c>
      <c r="K143" s="187">
        <v>24</v>
      </c>
      <c r="L143" s="187">
        <v>901</v>
      </c>
      <c r="M143" s="187" t="str">
        <f t="shared" si="16"/>
        <v>024</v>
      </c>
      <c r="N143" s="187">
        <f t="shared" si="17"/>
        <v>901</v>
      </c>
      <c r="O143" s="187" t="str">
        <f t="shared" si="18"/>
        <v>024-901</v>
      </c>
      <c r="Q143" s="679" t="s">
        <v>6998</v>
      </c>
    </row>
    <row r="144" spans="1:17">
      <c r="A144" s="788" t="s">
        <v>6272</v>
      </c>
      <c r="B144" s="187" t="s">
        <v>3796</v>
      </c>
      <c r="C144" s="215">
        <v>0</v>
      </c>
      <c r="D144" s="215">
        <v>1976257</v>
      </c>
      <c r="F144" s="215">
        <f t="shared" si="14"/>
        <v>1976257</v>
      </c>
      <c r="G144" s="215">
        <f t="shared" si="15"/>
        <v>1976257</v>
      </c>
      <c r="H144" s="680" t="s">
        <v>6153</v>
      </c>
      <c r="I144" s="681" t="s">
        <v>3508</v>
      </c>
      <c r="J144" s="187" t="str">
        <f t="shared" si="13"/>
        <v>025-901</v>
      </c>
      <c r="K144" s="187">
        <v>25</v>
      </c>
      <c r="L144" s="187">
        <v>901</v>
      </c>
      <c r="M144" s="187" t="str">
        <f t="shared" si="16"/>
        <v>025</v>
      </c>
      <c r="N144" s="187">
        <f t="shared" si="17"/>
        <v>901</v>
      </c>
      <c r="O144" s="187" t="str">
        <f t="shared" si="18"/>
        <v>025-901</v>
      </c>
      <c r="Q144" s="679" t="s">
        <v>6999</v>
      </c>
    </row>
    <row r="145" spans="1:17">
      <c r="A145" s="788" t="s">
        <v>2291</v>
      </c>
      <c r="B145" s="187" t="s">
        <v>3797</v>
      </c>
      <c r="C145" s="215">
        <v>885704</v>
      </c>
      <c r="D145" s="215">
        <v>11494241</v>
      </c>
      <c r="F145" s="215">
        <f t="shared" si="14"/>
        <v>11494241</v>
      </c>
      <c r="G145" s="215">
        <f t="shared" si="15"/>
        <v>12379945</v>
      </c>
      <c r="H145" s="680" t="s">
        <v>6153</v>
      </c>
      <c r="I145" s="681" t="s">
        <v>3508</v>
      </c>
      <c r="J145" s="187" t="str">
        <f t="shared" si="13"/>
        <v>025-902</v>
      </c>
      <c r="K145" s="187">
        <v>25</v>
      </c>
      <c r="L145" s="187">
        <v>902</v>
      </c>
      <c r="M145" s="187" t="str">
        <f t="shared" si="16"/>
        <v>025</v>
      </c>
      <c r="N145" s="187">
        <f t="shared" si="17"/>
        <v>902</v>
      </c>
      <c r="O145" s="187" t="str">
        <f t="shared" si="18"/>
        <v>025-902</v>
      </c>
      <c r="Q145" s="679" t="s">
        <v>7000</v>
      </c>
    </row>
    <row r="146" spans="1:17">
      <c r="A146" s="788" t="s">
        <v>954</v>
      </c>
      <c r="B146" s="187" t="s">
        <v>7659</v>
      </c>
      <c r="C146" s="215">
        <v>19800</v>
      </c>
      <c r="D146" s="215">
        <v>383913</v>
      </c>
      <c r="E146" s="215">
        <v>18259</v>
      </c>
      <c r="F146" s="215">
        <f t="shared" si="14"/>
        <v>402172</v>
      </c>
      <c r="G146" s="215">
        <f t="shared" si="15"/>
        <v>421972</v>
      </c>
      <c r="H146" s="680" t="s">
        <v>6153</v>
      </c>
      <c r="I146" s="681" t="s">
        <v>3508</v>
      </c>
      <c r="J146" s="187" t="str">
        <f t="shared" si="13"/>
        <v>025-904</v>
      </c>
      <c r="K146" s="187">
        <v>25</v>
      </c>
      <c r="L146" s="187">
        <v>904</v>
      </c>
      <c r="M146" s="187" t="str">
        <f t="shared" si="16"/>
        <v>025</v>
      </c>
      <c r="N146" s="187">
        <f t="shared" si="17"/>
        <v>904</v>
      </c>
      <c r="O146" s="187" t="str">
        <f t="shared" si="18"/>
        <v>025-904</v>
      </c>
      <c r="Q146" s="679" t="s">
        <v>7001</v>
      </c>
    </row>
    <row r="147" spans="1:17">
      <c r="A147" s="788" t="s">
        <v>6166</v>
      </c>
      <c r="B147" s="187" t="s">
        <v>6071</v>
      </c>
      <c r="C147" s="215">
        <v>93818</v>
      </c>
      <c r="D147" s="215">
        <v>952706</v>
      </c>
      <c r="F147" s="215">
        <f t="shared" si="14"/>
        <v>952706</v>
      </c>
      <c r="G147" s="215">
        <f t="shared" si="15"/>
        <v>1046524</v>
      </c>
      <c r="H147" s="680" t="s">
        <v>6153</v>
      </c>
      <c r="I147" s="681" t="s">
        <v>3508</v>
      </c>
      <c r="J147" s="187" t="str">
        <f t="shared" si="13"/>
        <v>025-905</v>
      </c>
      <c r="K147" s="187">
        <v>25</v>
      </c>
      <c r="L147" s="187">
        <v>905</v>
      </c>
      <c r="M147" s="187" t="str">
        <f t="shared" si="16"/>
        <v>025</v>
      </c>
      <c r="N147" s="187">
        <f t="shared" si="17"/>
        <v>905</v>
      </c>
      <c r="O147" s="187" t="str">
        <f t="shared" si="18"/>
        <v>025-905</v>
      </c>
      <c r="Q147" s="679" t="s">
        <v>7002</v>
      </c>
    </row>
    <row r="148" spans="1:17">
      <c r="A148" s="788" t="s">
        <v>864</v>
      </c>
      <c r="B148" s="187" t="s">
        <v>2011</v>
      </c>
      <c r="C148" s="215">
        <v>8121</v>
      </c>
      <c r="D148" s="215">
        <v>317025</v>
      </c>
      <c r="F148" s="215">
        <f t="shared" si="14"/>
        <v>317025</v>
      </c>
      <c r="G148" s="215">
        <f t="shared" si="15"/>
        <v>325146</v>
      </c>
      <c r="H148" s="680" t="s">
        <v>6153</v>
      </c>
      <c r="I148" s="681" t="s">
        <v>3508</v>
      </c>
      <c r="J148" s="187" t="str">
        <f t="shared" si="13"/>
        <v>025-906</v>
      </c>
      <c r="K148" s="187">
        <v>25</v>
      </c>
      <c r="L148" s="187">
        <v>906</v>
      </c>
      <c r="M148" s="187" t="str">
        <f t="shared" si="16"/>
        <v>025</v>
      </c>
      <c r="N148" s="187">
        <f t="shared" si="17"/>
        <v>906</v>
      </c>
      <c r="O148" s="187" t="str">
        <f t="shared" si="18"/>
        <v>025-906</v>
      </c>
      <c r="Q148" s="679" t="s">
        <v>7003</v>
      </c>
    </row>
    <row r="149" spans="1:17">
      <c r="A149" s="788" t="s">
        <v>3085</v>
      </c>
      <c r="B149" s="187" t="s">
        <v>2141</v>
      </c>
      <c r="C149" s="215">
        <v>40577</v>
      </c>
      <c r="D149" s="215">
        <v>492745</v>
      </c>
      <c r="F149" s="215">
        <f t="shared" si="14"/>
        <v>492745</v>
      </c>
      <c r="G149" s="215">
        <f t="shared" si="15"/>
        <v>533322</v>
      </c>
      <c r="H149" s="680" t="s">
        <v>6153</v>
      </c>
      <c r="I149" s="681" t="s">
        <v>3508</v>
      </c>
      <c r="J149" s="187" t="str">
        <f t="shared" si="13"/>
        <v>025-908</v>
      </c>
      <c r="K149" s="187">
        <v>25</v>
      </c>
      <c r="L149" s="187">
        <v>908</v>
      </c>
      <c r="M149" s="187" t="str">
        <f t="shared" si="16"/>
        <v>025</v>
      </c>
      <c r="N149" s="187">
        <f t="shared" si="17"/>
        <v>908</v>
      </c>
      <c r="O149" s="187" t="str">
        <f t="shared" si="18"/>
        <v>025-908</v>
      </c>
      <c r="Q149" s="679" t="s">
        <v>7004</v>
      </c>
    </row>
    <row r="150" spans="1:17">
      <c r="A150" s="788" t="s">
        <v>1518</v>
      </c>
      <c r="B150" s="187" t="s">
        <v>3012</v>
      </c>
      <c r="C150" s="215">
        <v>105680</v>
      </c>
      <c r="D150" s="215">
        <v>2002416</v>
      </c>
      <c r="F150" s="215">
        <f t="shared" si="14"/>
        <v>2002416</v>
      </c>
      <c r="G150" s="215">
        <f t="shared" si="15"/>
        <v>2108096</v>
      </c>
      <c r="H150" s="680" t="s">
        <v>6153</v>
      </c>
      <c r="I150" s="681" t="s">
        <v>3508</v>
      </c>
      <c r="J150" s="187" t="str">
        <f t="shared" si="13"/>
        <v>025-909</v>
      </c>
      <c r="K150" s="187">
        <v>25</v>
      </c>
      <c r="L150" s="187">
        <v>909</v>
      </c>
      <c r="M150" s="187" t="str">
        <f t="shared" si="16"/>
        <v>025</v>
      </c>
      <c r="N150" s="187">
        <f t="shared" si="17"/>
        <v>909</v>
      </c>
      <c r="O150" s="187" t="str">
        <f t="shared" si="18"/>
        <v>025-909</v>
      </c>
      <c r="Q150" s="679" t="s">
        <v>7005</v>
      </c>
    </row>
    <row r="151" spans="1:17">
      <c r="A151" s="788" t="s">
        <v>7249</v>
      </c>
      <c r="B151" s="187" t="s">
        <v>7250</v>
      </c>
      <c r="C151" s="215">
        <v>0</v>
      </c>
      <c r="D151" s="215">
        <v>0</v>
      </c>
      <c r="F151" s="215">
        <f t="shared" si="14"/>
        <v>0</v>
      </c>
      <c r="G151" s="215">
        <f t="shared" si="15"/>
        <v>0</v>
      </c>
      <c r="H151" s="680" t="s">
        <v>6153</v>
      </c>
      <c r="I151" s="681" t="s">
        <v>3508</v>
      </c>
      <c r="J151" s="187" t="str">
        <f t="shared" si="13"/>
        <v>025-910</v>
      </c>
      <c r="K151" s="187">
        <v>25</v>
      </c>
      <c r="L151" s="187">
        <v>910</v>
      </c>
      <c r="M151" s="187" t="str">
        <f t="shared" si="16"/>
        <v>025</v>
      </c>
      <c r="N151" s="187">
        <f t="shared" si="17"/>
        <v>910</v>
      </c>
      <c r="O151" s="187" t="str">
        <f t="shared" si="18"/>
        <v>025-910</v>
      </c>
      <c r="Q151" s="679" t="s">
        <v>7006</v>
      </c>
    </row>
    <row r="152" spans="1:17">
      <c r="A152" s="788" t="s">
        <v>7251</v>
      </c>
      <c r="B152" s="187" t="s">
        <v>7250</v>
      </c>
      <c r="C152" s="215">
        <v>0</v>
      </c>
      <c r="D152" s="215">
        <v>0</v>
      </c>
      <c r="F152" s="215">
        <f t="shared" si="14"/>
        <v>0</v>
      </c>
      <c r="G152" s="215">
        <f t="shared" si="15"/>
        <v>0</v>
      </c>
      <c r="H152" s="680" t="s">
        <v>6153</v>
      </c>
      <c r="I152" s="681" t="s">
        <v>3508</v>
      </c>
      <c r="J152" s="187" t="str">
        <f t="shared" si="13"/>
        <v>025-911</v>
      </c>
      <c r="K152" s="187">
        <v>25</v>
      </c>
      <c r="L152" s="187">
        <v>911</v>
      </c>
      <c r="M152" s="187" t="str">
        <f t="shared" si="16"/>
        <v>025</v>
      </c>
      <c r="N152" s="187">
        <f t="shared" si="17"/>
        <v>911</v>
      </c>
      <c r="O152" s="187" t="str">
        <f t="shared" si="18"/>
        <v>025-911</v>
      </c>
      <c r="Q152" s="679" t="s">
        <v>7007</v>
      </c>
    </row>
    <row r="153" spans="1:17">
      <c r="A153" s="788" t="s">
        <v>2293</v>
      </c>
      <c r="B153" s="187" t="s">
        <v>3798</v>
      </c>
      <c r="C153" s="215">
        <v>413907</v>
      </c>
      <c r="D153" s="215">
        <v>5955421</v>
      </c>
      <c r="F153" s="215">
        <f t="shared" si="14"/>
        <v>5955421</v>
      </c>
      <c r="G153" s="215">
        <f t="shared" si="15"/>
        <v>6369328</v>
      </c>
      <c r="H153" s="680" t="s">
        <v>6153</v>
      </c>
      <c r="I153" s="681" t="s">
        <v>3508</v>
      </c>
      <c r="J153" s="187" t="str">
        <f t="shared" si="13"/>
        <v>026-901</v>
      </c>
      <c r="K153" s="187">
        <v>26</v>
      </c>
      <c r="L153" s="187">
        <v>901</v>
      </c>
      <c r="M153" s="187" t="str">
        <f t="shared" si="16"/>
        <v>026</v>
      </c>
      <c r="N153" s="187">
        <f t="shared" si="17"/>
        <v>901</v>
      </c>
      <c r="O153" s="187" t="str">
        <f t="shared" si="18"/>
        <v>026-901</v>
      </c>
      <c r="Q153" s="679" t="s">
        <v>7008</v>
      </c>
    </row>
    <row r="154" spans="1:17">
      <c r="A154" s="788" t="s">
        <v>2295</v>
      </c>
      <c r="B154" s="187" t="s">
        <v>3799</v>
      </c>
      <c r="C154" s="215">
        <v>114821</v>
      </c>
      <c r="D154" s="215">
        <v>2047230</v>
      </c>
      <c r="F154" s="215">
        <f t="shared" si="14"/>
        <v>2047230</v>
      </c>
      <c r="G154" s="215">
        <f t="shared" si="15"/>
        <v>2162051</v>
      </c>
      <c r="H154" s="680" t="s">
        <v>6153</v>
      </c>
      <c r="I154" s="681" t="s">
        <v>3508</v>
      </c>
      <c r="J154" s="187" t="str">
        <f t="shared" si="13"/>
        <v>026-902</v>
      </c>
      <c r="K154" s="187">
        <v>26</v>
      </c>
      <c r="L154" s="187">
        <v>902</v>
      </c>
      <c r="M154" s="187" t="str">
        <f t="shared" si="16"/>
        <v>026</v>
      </c>
      <c r="N154" s="187">
        <f t="shared" si="17"/>
        <v>902</v>
      </c>
      <c r="O154" s="187" t="str">
        <f t="shared" si="18"/>
        <v>026-902</v>
      </c>
      <c r="Q154" s="679" t="s">
        <v>7009</v>
      </c>
    </row>
    <row r="155" spans="1:17">
      <c r="A155" s="788" t="s">
        <v>2297</v>
      </c>
      <c r="B155" s="187" t="s">
        <v>3800</v>
      </c>
      <c r="C155" s="215">
        <v>0</v>
      </c>
      <c r="D155" s="215">
        <v>1589715</v>
      </c>
      <c r="F155" s="215">
        <f t="shared" si="14"/>
        <v>1589715</v>
      </c>
      <c r="G155" s="215">
        <f t="shared" si="15"/>
        <v>1589715</v>
      </c>
      <c r="H155" s="680" t="s">
        <v>6153</v>
      </c>
      <c r="I155" s="681" t="s">
        <v>3508</v>
      </c>
      <c r="J155" s="187" t="str">
        <f t="shared" si="13"/>
        <v>026-903</v>
      </c>
      <c r="K155" s="187">
        <v>26</v>
      </c>
      <c r="L155" s="187">
        <v>903</v>
      </c>
      <c r="M155" s="187" t="str">
        <f t="shared" si="16"/>
        <v>026</v>
      </c>
      <c r="N155" s="187">
        <f t="shared" si="17"/>
        <v>903</v>
      </c>
      <c r="O155" s="187" t="str">
        <f t="shared" si="18"/>
        <v>026-903</v>
      </c>
      <c r="Q155" s="679" t="s">
        <v>7010</v>
      </c>
    </row>
    <row r="156" spans="1:17">
      <c r="A156" s="788" t="s">
        <v>978</v>
      </c>
      <c r="B156" s="187" t="s">
        <v>2148</v>
      </c>
      <c r="C156" s="215">
        <v>2800422</v>
      </c>
      <c r="D156" s="215">
        <v>13950009</v>
      </c>
      <c r="F156" s="215">
        <f t="shared" si="14"/>
        <v>13950009</v>
      </c>
      <c r="G156" s="215">
        <f t="shared" si="15"/>
        <v>16750431</v>
      </c>
      <c r="H156" s="680" t="s">
        <v>6153</v>
      </c>
      <c r="I156" s="681" t="s">
        <v>3508</v>
      </c>
      <c r="J156" s="187" t="str">
        <f t="shared" si="13"/>
        <v>027-903</v>
      </c>
      <c r="K156" s="187">
        <v>27</v>
      </c>
      <c r="L156" s="187">
        <v>903</v>
      </c>
      <c r="M156" s="187" t="str">
        <f t="shared" si="16"/>
        <v>027</v>
      </c>
      <c r="N156" s="187">
        <f t="shared" si="17"/>
        <v>903</v>
      </c>
      <c r="O156" s="187" t="str">
        <f t="shared" si="18"/>
        <v>027-903</v>
      </c>
      <c r="Q156" s="679" t="s">
        <v>7011</v>
      </c>
    </row>
    <row r="157" spans="1:17">
      <c r="A157" s="788" t="s">
        <v>3003</v>
      </c>
      <c r="B157" s="187" t="s">
        <v>6063</v>
      </c>
      <c r="C157" s="215">
        <v>2666595</v>
      </c>
      <c r="D157" s="215">
        <v>24007352</v>
      </c>
      <c r="F157" s="215">
        <f t="shared" si="14"/>
        <v>24007352</v>
      </c>
      <c r="G157" s="215">
        <f t="shared" si="15"/>
        <v>26673947</v>
      </c>
      <c r="H157" s="680" t="s">
        <v>6153</v>
      </c>
      <c r="I157" s="681" t="s">
        <v>3508</v>
      </c>
      <c r="J157" s="187" t="str">
        <f t="shared" si="13"/>
        <v>027-904</v>
      </c>
      <c r="K157" s="187">
        <v>27</v>
      </c>
      <c r="L157" s="187">
        <v>904</v>
      </c>
      <c r="M157" s="187" t="str">
        <f t="shared" si="16"/>
        <v>027</v>
      </c>
      <c r="N157" s="187">
        <f t="shared" si="17"/>
        <v>904</v>
      </c>
      <c r="O157" s="187" t="str">
        <f t="shared" si="18"/>
        <v>027-904</v>
      </c>
      <c r="Q157" s="679" t="s">
        <v>7012</v>
      </c>
    </row>
    <row r="158" spans="1:17">
      <c r="A158" s="788" t="s">
        <v>2993</v>
      </c>
      <c r="B158" s="187" t="s">
        <v>196</v>
      </c>
      <c r="C158" s="215">
        <v>1360045</v>
      </c>
      <c r="D158" s="215">
        <v>9261045</v>
      </c>
      <c r="F158" s="215">
        <f t="shared" si="14"/>
        <v>9261045</v>
      </c>
      <c r="G158" s="215">
        <f t="shared" si="15"/>
        <v>10621090</v>
      </c>
      <c r="H158" s="680" t="s">
        <v>6153</v>
      </c>
      <c r="I158" s="681" t="s">
        <v>3508</v>
      </c>
      <c r="J158" s="187" t="str">
        <f t="shared" si="13"/>
        <v>028-902</v>
      </c>
      <c r="K158" s="187">
        <v>28</v>
      </c>
      <c r="L158" s="187">
        <v>902</v>
      </c>
      <c r="M158" s="187" t="str">
        <f t="shared" si="16"/>
        <v>028</v>
      </c>
      <c r="N158" s="187">
        <f t="shared" si="17"/>
        <v>902</v>
      </c>
      <c r="O158" s="187" t="str">
        <f t="shared" si="18"/>
        <v>028-902</v>
      </c>
      <c r="Q158" s="679" t="s">
        <v>7013</v>
      </c>
    </row>
    <row r="159" spans="1:17">
      <c r="A159" s="788" t="s">
        <v>518</v>
      </c>
      <c r="B159" s="187" t="s">
        <v>6056</v>
      </c>
      <c r="C159" s="215">
        <v>106936</v>
      </c>
      <c r="D159" s="215">
        <v>2581634</v>
      </c>
      <c r="F159" s="215">
        <f t="shared" si="14"/>
        <v>2581634</v>
      </c>
      <c r="G159" s="215">
        <f t="shared" si="15"/>
        <v>2688570</v>
      </c>
      <c r="H159" s="680" t="s">
        <v>6153</v>
      </c>
      <c r="I159" s="681" t="s">
        <v>3508</v>
      </c>
      <c r="J159" s="187" t="str">
        <f t="shared" si="13"/>
        <v>028-903</v>
      </c>
      <c r="K159" s="187">
        <v>28</v>
      </c>
      <c r="L159" s="187">
        <v>903</v>
      </c>
      <c r="M159" s="187" t="str">
        <f t="shared" si="16"/>
        <v>028</v>
      </c>
      <c r="N159" s="187">
        <f t="shared" si="17"/>
        <v>903</v>
      </c>
      <c r="O159" s="187" t="str">
        <f t="shared" si="18"/>
        <v>028-903</v>
      </c>
      <c r="Q159" s="679" t="s">
        <v>7014</v>
      </c>
    </row>
    <row r="160" spans="1:17">
      <c r="A160" s="788" t="s">
        <v>2299</v>
      </c>
      <c r="B160" s="187" t="s">
        <v>3801</v>
      </c>
      <c r="C160" s="215">
        <v>0</v>
      </c>
      <c r="D160" s="215">
        <v>708978</v>
      </c>
      <c r="F160" s="215">
        <f t="shared" si="14"/>
        <v>708978</v>
      </c>
      <c r="G160" s="215">
        <f t="shared" si="15"/>
        <v>708978</v>
      </c>
      <c r="H160" s="680" t="s">
        <v>6153</v>
      </c>
      <c r="I160" s="681" t="s">
        <v>3508</v>
      </c>
      <c r="J160" s="187" t="str">
        <f t="shared" si="13"/>
        <v>028-906</v>
      </c>
      <c r="K160" s="187">
        <v>28</v>
      </c>
      <c r="L160" s="187">
        <v>906</v>
      </c>
      <c r="M160" s="187" t="str">
        <f t="shared" si="16"/>
        <v>028</v>
      </c>
      <c r="N160" s="187">
        <f t="shared" si="17"/>
        <v>906</v>
      </c>
      <c r="O160" s="187" t="str">
        <f t="shared" si="18"/>
        <v>028-906</v>
      </c>
      <c r="Q160" s="679" t="s">
        <v>7015</v>
      </c>
    </row>
    <row r="161" spans="1:17">
      <c r="A161" s="788" t="s">
        <v>3971</v>
      </c>
      <c r="B161" s="187" t="s">
        <v>3802</v>
      </c>
      <c r="C161" s="215">
        <v>1118525</v>
      </c>
      <c r="D161" s="215">
        <v>48273438</v>
      </c>
      <c r="F161" s="215">
        <f t="shared" si="14"/>
        <v>48273438</v>
      </c>
      <c r="G161" s="215">
        <f t="shared" si="15"/>
        <v>49391963</v>
      </c>
      <c r="H161" s="680" t="s">
        <v>6153</v>
      </c>
      <c r="I161" s="681" t="s">
        <v>3508</v>
      </c>
      <c r="J161" s="187" t="str">
        <f t="shared" si="13"/>
        <v>029-901</v>
      </c>
      <c r="K161" s="187">
        <v>29</v>
      </c>
      <c r="L161" s="187">
        <v>901</v>
      </c>
      <c r="M161" s="187" t="str">
        <f t="shared" si="16"/>
        <v>029</v>
      </c>
      <c r="N161" s="187">
        <f t="shared" si="17"/>
        <v>901</v>
      </c>
      <c r="O161" s="187" t="str">
        <f t="shared" si="18"/>
        <v>029-901</v>
      </c>
      <c r="Q161" s="679" t="s">
        <v>7016</v>
      </c>
    </row>
    <row r="162" spans="1:17">
      <c r="A162" s="788" t="s">
        <v>2161</v>
      </c>
      <c r="B162" s="187" t="s">
        <v>3803</v>
      </c>
      <c r="C162" s="215">
        <v>47808</v>
      </c>
      <c r="D162" s="215">
        <v>783652</v>
      </c>
      <c r="F162" s="215">
        <f t="shared" si="14"/>
        <v>783652</v>
      </c>
      <c r="G162" s="215">
        <f t="shared" si="15"/>
        <v>831460</v>
      </c>
      <c r="H162" s="680" t="s">
        <v>6153</v>
      </c>
      <c r="I162" s="681" t="s">
        <v>3508</v>
      </c>
      <c r="J162" s="187" t="str">
        <f t="shared" ref="J162:J225" si="19">+A162</f>
        <v>030-901</v>
      </c>
      <c r="K162" s="187">
        <v>30</v>
      </c>
      <c r="L162" s="187">
        <v>901</v>
      </c>
      <c r="M162" s="187" t="str">
        <f t="shared" si="16"/>
        <v>030</v>
      </c>
      <c r="N162" s="187">
        <f t="shared" si="17"/>
        <v>901</v>
      </c>
      <c r="O162" s="187" t="str">
        <f t="shared" si="18"/>
        <v>030-901</v>
      </c>
      <c r="Q162" s="679" t="s">
        <v>7017</v>
      </c>
    </row>
    <row r="163" spans="1:17">
      <c r="A163" s="788" t="s">
        <v>3086</v>
      </c>
      <c r="B163" s="187" t="s">
        <v>6117</v>
      </c>
      <c r="C163" s="215">
        <v>193627</v>
      </c>
      <c r="D163" s="215">
        <v>2300544</v>
      </c>
      <c r="F163" s="215">
        <f t="shared" si="14"/>
        <v>2300544</v>
      </c>
      <c r="G163" s="215">
        <f t="shared" si="15"/>
        <v>2494171</v>
      </c>
      <c r="H163" s="680" t="s">
        <v>6153</v>
      </c>
      <c r="I163" s="681" t="s">
        <v>3508</v>
      </c>
      <c r="J163" s="187" t="str">
        <f t="shared" si="19"/>
        <v>030-902</v>
      </c>
      <c r="K163" s="187">
        <v>30</v>
      </c>
      <c r="L163" s="187">
        <v>902</v>
      </c>
      <c r="M163" s="187" t="str">
        <f t="shared" si="16"/>
        <v>030</v>
      </c>
      <c r="N163" s="187">
        <f t="shared" si="17"/>
        <v>902</v>
      </c>
      <c r="O163" s="187" t="str">
        <f t="shared" si="18"/>
        <v>030-902</v>
      </c>
      <c r="Q163" s="679" t="s">
        <v>7018</v>
      </c>
    </row>
    <row r="164" spans="1:17">
      <c r="A164" s="788" t="s">
        <v>2605</v>
      </c>
      <c r="B164" s="187" t="s">
        <v>3804</v>
      </c>
      <c r="C164" s="215">
        <v>0</v>
      </c>
      <c r="D164" s="215">
        <v>965836</v>
      </c>
      <c r="F164" s="215">
        <f t="shared" si="14"/>
        <v>965836</v>
      </c>
      <c r="G164" s="215">
        <f t="shared" si="15"/>
        <v>965836</v>
      </c>
      <c r="H164" s="680" t="s">
        <v>6153</v>
      </c>
      <c r="I164" s="681" t="s">
        <v>3508</v>
      </c>
      <c r="J164" s="187" t="str">
        <f t="shared" si="19"/>
        <v>030-903</v>
      </c>
      <c r="K164" s="187">
        <v>30</v>
      </c>
      <c r="L164" s="187">
        <v>903</v>
      </c>
      <c r="M164" s="187" t="str">
        <f t="shared" si="16"/>
        <v>030</v>
      </c>
      <c r="N164" s="187">
        <f t="shared" si="17"/>
        <v>903</v>
      </c>
      <c r="O164" s="187" t="str">
        <f t="shared" si="18"/>
        <v>030-903</v>
      </c>
      <c r="Q164" s="679" t="s">
        <v>7019</v>
      </c>
    </row>
    <row r="165" spans="1:17">
      <c r="A165" s="788" t="s">
        <v>4181</v>
      </c>
      <c r="B165" s="187" t="s">
        <v>3805</v>
      </c>
      <c r="C165" s="215">
        <v>0</v>
      </c>
      <c r="D165" s="215">
        <v>1868457</v>
      </c>
      <c r="F165" s="215">
        <f t="shared" si="14"/>
        <v>1868457</v>
      </c>
      <c r="G165" s="215">
        <f t="shared" si="15"/>
        <v>1868457</v>
      </c>
      <c r="H165" s="680" t="s">
        <v>6153</v>
      </c>
      <c r="I165" s="681" t="s">
        <v>3508</v>
      </c>
      <c r="J165" s="187" t="str">
        <f t="shared" si="19"/>
        <v>030-906</v>
      </c>
      <c r="K165" s="187">
        <v>30</v>
      </c>
      <c r="L165" s="187">
        <v>906</v>
      </c>
      <c r="M165" s="187" t="str">
        <f t="shared" si="16"/>
        <v>030</v>
      </c>
      <c r="N165" s="187">
        <f t="shared" si="17"/>
        <v>906</v>
      </c>
      <c r="O165" s="187" t="str">
        <f t="shared" si="18"/>
        <v>030-906</v>
      </c>
      <c r="Q165" s="679" t="s">
        <v>7020</v>
      </c>
    </row>
    <row r="166" spans="1:17">
      <c r="A166" s="788" t="s">
        <v>7021</v>
      </c>
      <c r="B166" s="187" t="s">
        <v>7022</v>
      </c>
      <c r="C166" s="215">
        <v>0</v>
      </c>
      <c r="D166" s="215">
        <v>0</v>
      </c>
      <c r="F166" s="215">
        <f t="shared" si="14"/>
        <v>0</v>
      </c>
      <c r="G166" s="215">
        <f t="shared" si="15"/>
        <v>0</v>
      </c>
      <c r="H166" s="680" t="s">
        <v>6153</v>
      </c>
      <c r="I166" s="681" t="s">
        <v>3508</v>
      </c>
      <c r="J166" s="187" t="str">
        <f t="shared" si="19"/>
        <v>031-801</v>
      </c>
      <c r="K166" s="187">
        <v>31</v>
      </c>
      <c r="L166" s="187">
        <v>801</v>
      </c>
      <c r="M166" s="187" t="str">
        <f t="shared" si="16"/>
        <v>031</v>
      </c>
      <c r="N166" s="187">
        <f t="shared" si="17"/>
        <v>801</v>
      </c>
      <c r="O166" s="187" t="str">
        <f t="shared" si="18"/>
        <v>031-801</v>
      </c>
      <c r="Q166" s="679" t="s">
        <v>7023</v>
      </c>
    </row>
    <row r="167" spans="1:17">
      <c r="A167" s="788" t="s">
        <v>4183</v>
      </c>
      <c r="B167" s="187" t="s">
        <v>7252</v>
      </c>
      <c r="C167" s="215">
        <v>0</v>
      </c>
      <c r="D167" s="215">
        <v>0</v>
      </c>
      <c r="F167" s="215">
        <f t="shared" si="14"/>
        <v>0</v>
      </c>
      <c r="G167" s="215">
        <f t="shared" si="15"/>
        <v>0</v>
      </c>
      <c r="H167" s="680" t="s">
        <v>6153</v>
      </c>
      <c r="I167" s="681" t="s">
        <v>3508</v>
      </c>
      <c r="J167" s="187" t="str">
        <f t="shared" si="19"/>
        <v>031-802</v>
      </c>
      <c r="K167" s="187">
        <v>31</v>
      </c>
      <c r="L167" s="187">
        <v>802</v>
      </c>
      <c r="M167" s="187" t="str">
        <f t="shared" si="16"/>
        <v>031</v>
      </c>
      <c r="N167" s="187">
        <f t="shared" si="17"/>
        <v>802</v>
      </c>
      <c r="O167" s="187" t="str">
        <f t="shared" si="18"/>
        <v>031-802</v>
      </c>
      <c r="Q167" s="679" t="s">
        <v>7024</v>
      </c>
    </row>
    <row r="168" spans="1:17">
      <c r="A168" s="788" t="s">
        <v>959</v>
      </c>
      <c r="B168" s="187" t="s">
        <v>2142</v>
      </c>
      <c r="C168" s="215">
        <v>548667</v>
      </c>
      <c r="D168" s="215">
        <v>50614825</v>
      </c>
      <c r="F168" s="215">
        <f t="shared" si="14"/>
        <v>50614825</v>
      </c>
      <c r="G168" s="215">
        <f t="shared" si="15"/>
        <v>51163492</v>
      </c>
      <c r="H168" s="680" t="s">
        <v>6153</v>
      </c>
      <c r="I168" s="681" t="s">
        <v>3508</v>
      </c>
      <c r="J168" s="187" t="str">
        <f t="shared" si="19"/>
        <v>031-901</v>
      </c>
      <c r="K168" s="187">
        <v>31</v>
      </c>
      <c r="L168" s="187">
        <v>901</v>
      </c>
      <c r="M168" s="187" t="str">
        <f t="shared" si="16"/>
        <v>031</v>
      </c>
      <c r="N168" s="187">
        <f t="shared" si="17"/>
        <v>901</v>
      </c>
      <c r="O168" s="187" t="str">
        <f t="shared" si="18"/>
        <v>031-901</v>
      </c>
      <c r="Q168" s="679" t="s">
        <v>7025</v>
      </c>
    </row>
    <row r="169" spans="1:17">
      <c r="A169" s="788" t="s">
        <v>1861</v>
      </c>
      <c r="B169" s="187" t="s">
        <v>3919</v>
      </c>
      <c r="C169" s="215">
        <v>2167243</v>
      </c>
      <c r="D169" s="215">
        <v>32958843</v>
      </c>
      <c r="F169" s="215">
        <f t="shared" si="14"/>
        <v>32958843</v>
      </c>
      <c r="G169" s="215">
        <f t="shared" si="15"/>
        <v>35126086</v>
      </c>
      <c r="H169" s="680" t="s">
        <v>6153</v>
      </c>
      <c r="I169" s="681" t="s">
        <v>3508</v>
      </c>
      <c r="J169" s="187" t="str">
        <f t="shared" si="19"/>
        <v>031-903</v>
      </c>
      <c r="K169" s="187">
        <v>31</v>
      </c>
      <c r="L169" s="187">
        <v>903</v>
      </c>
      <c r="M169" s="187" t="str">
        <f t="shared" si="16"/>
        <v>031</v>
      </c>
      <c r="N169" s="187">
        <f t="shared" si="17"/>
        <v>903</v>
      </c>
      <c r="O169" s="187" t="str">
        <f t="shared" si="18"/>
        <v>031-903</v>
      </c>
      <c r="Q169" s="679" t="s">
        <v>7026</v>
      </c>
    </row>
    <row r="170" spans="1:17">
      <c r="A170" s="788" t="s">
        <v>6037</v>
      </c>
      <c r="B170" s="187" t="s">
        <v>2152</v>
      </c>
      <c r="C170" s="215">
        <v>191277</v>
      </c>
      <c r="D170" s="215">
        <v>3006888</v>
      </c>
      <c r="E170" s="215">
        <v>0</v>
      </c>
      <c r="F170" s="215">
        <f t="shared" si="14"/>
        <v>3006888</v>
      </c>
      <c r="G170" s="215">
        <f t="shared" si="15"/>
        <v>3198165</v>
      </c>
      <c r="H170" s="680" t="s">
        <v>6153</v>
      </c>
      <c r="I170" s="681" t="s">
        <v>3508</v>
      </c>
      <c r="J170" s="187" t="str">
        <f t="shared" si="19"/>
        <v>031-905</v>
      </c>
      <c r="K170" s="187">
        <v>31</v>
      </c>
      <c r="L170" s="187">
        <v>905</v>
      </c>
      <c r="M170" s="187" t="str">
        <f t="shared" si="16"/>
        <v>031</v>
      </c>
      <c r="N170" s="187">
        <f t="shared" si="17"/>
        <v>905</v>
      </c>
      <c r="O170" s="187" t="str">
        <f t="shared" si="18"/>
        <v>031-905</v>
      </c>
      <c r="Q170" s="679" t="s">
        <v>7027</v>
      </c>
    </row>
    <row r="171" spans="1:17">
      <c r="A171" s="788" t="s">
        <v>2995</v>
      </c>
      <c r="B171" s="187" t="s">
        <v>201</v>
      </c>
      <c r="C171" s="215">
        <v>821135</v>
      </c>
      <c r="D171" s="215">
        <v>9562969</v>
      </c>
      <c r="F171" s="215">
        <f t="shared" si="14"/>
        <v>9562969</v>
      </c>
      <c r="G171" s="215">
        <f t="shared" si="15"/>
        <v>10384104</v>
      </c>
      <c r="H171" s="680" t="s">
        <v>6153</v>
      </c>
      <c r="I171" s="681" t="s">
        <v>3508</v>
      </c>
      <c r="J171" s="187" t="str">
        <f t="shared" si="19"/>
        <v>031-906</v>
      </c>
      <c r="K171" s="187">
        <v>31</v>
      </c>
      <c r="L171" s="187">
        <v>906</v>
      </c>
      <c r="M171" s="187" t="str">
        <f t="shared" si="16"/>
        <v>031</v>
      </c>
      <c r="N171" s="187">
        <f t="shared" si="17"/>
        <v>906</v>
      </c>
      <c r="O171" s="187" t="str">
        <f t="shared" si="18"/>
        <v>031-906</v>
      </c>
      <c r="Q171" s="679" t="s">
        <v>7028</v>
      </c>
    </row>
    <row r="172" spans="1:17">
      <c r="A172" s="788" t="s">
        <v>7643</v>
      </c>
      <c r="B172" s="187" t="s">
        <v>3806</v>
      </c>
      <c r="C172" s="215">
        <v>1350405</v>
      </c>
      <c r="D172" s="215">
        <v>24990983</v>
      </c>
      <c r="F172" s="215">
        <f t="shared" si="14"/>
        <v>24990983</v>
      </c>
      <c r="G172" s="215">
        <f t="shared" si="15"/>
        <v>26341388</v>
      </c>
      <c r="H172" s="680" t="s">
        <v>6153</v>
      </c>
      <c r="I172" s="681" t="s">
        <v>3508</v>
      </c>
      <c r="J172" s="187" t="str">
        <f t="shared" si="19"/>
        <v>031-909</v>
      </c>
      <c r="K172" s="187">
        <v>31</v>
      </c>
      <c r="L172" s="187">
        <v>909</v>
      </c>
      <c r="M172" s="187" t="str">
        <f t="shared" si="16"/>
        <v>031</v>
      </c>
      <c r="N172" s="187">
        <f t="shared" si="17"/>
        <v>909</v>
      </c>
      <c r="O172" s="187" t="str">
        <f t="shared" si="18"/>
        <v>031-909</v>
      </c>
      <c r="Q172" s="679" t="s">
        <v>7029</v>
      </c>
    </row>
    <row r="173" spans="1:17">
      <c r="A173" s="788" t="s">
        <v>3087</v>
      </c>
      <c r="B173" s="187" t="s">
        <v>361</v>
      </c>
      <c r="C173" s="215">
        <v>333349</v>
      </c>
      <c r="D173" s="215">
        <v>2045127</v>
      </c>
      <c r="F173" s="215">
        <f t="shared" si="14"/>
        <v>2045127</v>
      </c>
      <c r="G173" s="215">
        <f t="shared" si="15"/>
        <v>2378476</v>
      </c>
      <c r="H173" s="680" t="s">
        <v>6153</v>
      </c>
      <c r="I173" s="681" t="s">
        <v>3508</v>
      </c>
      <c r="J173" s="187" t="str">
        <f t="shared" si="19"/>
        <v>031-911</v>
      </c>
      <c r="K173" s="187">
        <v>31</v>
      </c>
      <c r="L173" s="187">
        <v>911</v>
      </c>
      <c r="M173" s="187" t="str">
        <f t="shared" si="16"/>
        <v>031</v>
      </c>
      <c r="N173" s="187">
        <f t="shared" si="17"/>
        <v>911</v>
      </c>
      <c r="O173" s="187" t="str">
        <f t="shared" si="18"/>
        <v>031-911</v>
      </c>
      <c r="Q173" s="679" t="s">
        <v>7030</v>
      </c>
    </row>
    <row r="174" spans="1:17">
      <c r="A174" s="788" t="s">
        <v>2387</v>
      </c>
      <c r="B174" s="187" t="s">
        <v>380</v>
      </c>
      <c r="C174" s="215">
        <v>791352</v>
      </c>
      <c r="D174" s="215">
        <v>7730812</v>
      </c>
      <c r="F174" s="215">
        <f t="shared" si="14"/>
        <v>7730812</v>
      </c>
      <c r="G174" s="215">
        <f t="shared" si="15"/>
        <v>8522164</v>
      </c>
      <c r="H174" s="680" t="s">
        <v>6153</v>
      </c>
      <c r="I174" s="681" t="s">
        <v>3508</v>
      </c>
      <c r="J174" s="187" t="str">
        <f t="shared" si="19"/>
        <v>031-912</v>
      </c>
      <c r="K174" s="187">
        <v>31</v>
      </c>
      <c r="L174" s="187">
        <v>912</v>
      </c>
      <c r="M174" s="187" t="str">
        <f t="shared" si="16"/>
        <v>031</v>
      </c>
      <c r="N174" s="187">
        <f t="shared" si="17"/>
        <v>912</v>
      </c>
      <c r="O174" s="187" t="str">
        <f t="shared" si="18"/>
        <v>031-912</v>
      </c>
      <c r="Q174" s="679" t="s">
        <v>7031</v>
      </c>
    </row>
    <row r="175" spans="1:17">
      <c r="A175" s="788" t="s">
        <v>3088</v>
      </c>
      <c r="B175" s="187" t="s">
        <v>1459</v>
      </c>
      <c r="C175" s="215">
        <v>51201</v>
      </c>
      <c r="D175" s="215">
        <v>395330</v>
      </c>
      <c r="F175" s="215">
        <f t="shared" si="14"/>
        <v>395330</v>
      </c>
      <c r="G175" s="215">
        <f t="shared" si="15"/>
        <v>446531</v>
      </c>
      <c r="H175" s="680" t="s">
        <v>6153</v>
      </c>
      <c r="I175" s="681" t="s">
        <v>3508</v>
      </c>
      <c r="J175" s="187" t="str">
        <f t="shared" si="19"/>
        <v>031-913</v>
      </c>
      <c r="K175" s="187">
        <v>31</v>
      </c>
      <c r="L175" s="187">
        <v>913</v>
      </c>
      <c r="M175" s="187" t="str">
        <f t="shared" si="16"/>
        <v>031</v>
      </c>
      <c r="N175" s="187">
        <f t="shared" si="17"/>
        <v>913</v>
      </c>
      <c r="O175" s="187" t="str">
        <f t="shared" si="18"/>
        <v>031-913</v>
      </c>
      <c r="Q175" s="679" t="s">
        <v>7032</v>
      </c>
    </row>
    <row r="176" spans="1:17">
      <c r="A176" s="788" t="s">
        <v>2393</v>
      </c>
      <c r="B176" s="187" t="s">
        <v>1460</v>
      </c>
      <c r="C176" s="215">
        <v>72207</v>
      </c>
      <c r="D176" s="215">
        <v>663723</v>
      </c>
      <c r="F176" s="215">
        <f t="shared" si="14"/>
        <v>663723</v>
      </c>
      <c r="G176" s="215">
        <f t="shared" si="15"/>
        <v>735930</v>
      </c>
      <c r="H176" s="680" t="s">
        <v>6153</v>
      </c>
      <c r="I176" s="681" t="s">
        <v>3508</v>
      </c>
      <c r="J176" s="187" t="str">
        <f t="shared" si="19"/>
        <v>031-914</v>
      </c>
      <c r="K176" s="187">
        <v>31</v>
      </c>
      <c r="L176" s="187">
        <v>914</v>
      </c>
      <c r="M176" s="187" t="str">
        <f t="shared" si="16"/>
        <v>031</v>
      </c>
      <c r="N176" s="187">
        <f t="shared" si="17"/>
        <v>914</v>
      </c>
      <c r="O176" s="187" t="str">
        <f t="shared" si="18"/>
        <v>031-914</v>
      </c>
      <c r="Q176" s="679" t="s">
        <v>7033</v>
      </c>
    </row>
    <row r="177" spans="1:17">
      <c r="A177" s="788" t="s">
        <v>7645</v>
      </c>
      <c r="B177" s="187" t="s">
        <v>7253</v>
      </c>
      <c r="C177" s="215">
        <v>0</v>
      </c>
      <c r="D177" s="215">
        <v>11672423</v>
      </c>
      <c r="F177" s="215">
        <f t="shared" si="14"/>
        <v>11672423</v>
      </c>
      <c r="G177" s="215">
        <f t="shared" si="15"/>
        <v>11672423</v>
      </c>
      <c r="H177" s="680" t="s">
        <v>6153</v>
      </c>
      <c r="I177" s="681" t="s">
        <v>3508</v>
      </c>
      <c r="J177" s="187" t="str">
        <f t="shared" si="19"/>
        <v>031-916</v>
      </c>
      <c r="K177" s="187">
        <v>31</v>
      </c>
      <c r="L177" s="187">
        <v>916</v>
      </c>
      <c r="M177" s="187" t="str">
        <f t="shared" si="16"/>
        <v>031</v>
      </c>
      <c r="N177" s="187">
        <f t="shared" si="17"/>
        <v>916</v>
      </c>
      <c r="O177" s="187" t="str">
        <f t="shared" si="18"/>
        <v>031-916</v>
      </c>
      <c r="Q177" s="679" t="s">
        <v>7034</v>
      </c>
    </row>
    <row r="178" spans="1:17">
      <c r="A178" s="788" t="s">
        <v>7647</v>
      </c>
      <c r="B178" s="187" t="s">
        <v>3807</v>
      </c>
      <c r="C178" s="215">
        <v>325012</v>
      </c>
      <c r="D178" s="215">
        <v>6237720</v>
      </c>
      <c r="F178" s="215">
        <f t="shared" si="14"/>
        <v>6237720</v>
      </c>
      <c r="G178" s="215">
        <f t="shared" si="15"/>
        <v>6562732</v>
      </c>
      <c r="H178" s="680" t="s">
        <v>6153</v>
      </c>
      <c r="I178" s="681" t="s">
        <v>3508</v>
      </c>
      <c r="J178" s="187" t="str">
        <f t="shared" si="19"/>
        <v>032-902</v>
      </c>
      <c r="K178" s="187">
        <v>32</v>
      </c>
      <c r="L178" s="187">
        <v>902</v>
      </c>
      <c r="M178" s="187" t="str">
        <f t="shared" si="16"/>
        <v>032</v>
      </c>
      <c r="N178" s="187">
        <f t="shared" si="17"/>
        <v>902</v>
      </c>
      <c r="O178" s="187" t="str">
        <f t="shared" si="18"/>
        <v>032-902</v>
      </c>
      <c r="Q178" s="679" t="s">
        <v>7035</v>
      </c>
    </row>
    <row r="179" spans="1:17">
      <c r="A179" s="788" t="s">
        <v>7649</v>
      </c>
      <c r="B179" s="187" t="s">
        <v>3808</v>
      </c>
      <c r="C179" s="215">
        <v>58740</v>
      </c>
      <c r="D179" s="215">
        <v>882703</v>
      </c>
      <c r="F179" s="215">
        <f t="shared" si="14"/>
        <v>882703</v>
      </c>
      <c r="G179" s="215">
        <f t="shared" si="15"/>
        <v>941443</v>
      </c>
      <c r="H179" s="680" t="s">
        <v>6153</v>
      </c>
      <c r="I179" s="681" t="s">
        <v>3508</v>
      </c>
      <c r="J179" s="187" t="str">
        <f t="shared" si="19"/>
        <v>033-901</v>
      </c>
      <c r="K179" s="187">
        <v>33</v>
      </c>
      <c r="L179" s="187">
        <v>901</v>
      </c>
      <c r="M179" s="187" t="str">
        <f t="shared" si="16"/>
        <v>033</v>
      </c>
      <c r="N179" s="187">
        <f t="shared" si="17"/>
        <v>901</v>
      </c>
      <c r="O179" s="187" t="str">
        <f t="shared" si="18"/>
        <v>033-901</v>
      </c>
      <c r="Q179" s="679" t="s">
        <v>7036</v>
      </c>
    </row>
    <row r="180" spans="1:17">
      <c r="A180" s="788" t="s">
        <v>1786</v>
      </c>
      <c r="B180" s="187" t="s">
        <v>3809</v>
      </c>
      <c r="C180" s="215">
        <v>0</v>
      </c>
      <c r="D180" s="215">
        <v>4238367</v>
      </c>
      <c r="F180" s="215">
        <f t="shared" si="14"/>
        <v>4238367</v>
      </c>
      <c r="G180" s="215">
        <f t="shared" si="15"/>
        <v>4238367</v>
      </c>
      <c r="H180" s="680" t="s">
        <v>6153</v>
      </c>
      <c r="I180" s="681" t="s">
        <v>3508</v>
      </c>
      <c r="J180" s="187" t="str">
        <f t="shared" si="19"/>
        <v>033-902</v>
      </c>
      <c r="K180" s="187">
        <v>33</v>
      </c>
      <c r="L180" s="187">
        <v>902</v>
      </c>
      <c r="M180" s="187" t="str">
        <f t="shared" si="16"/>
        <v>033</v>
      </c>
      <c r="N180" s="187">
        <f t="shared" si="17"/>
        <v>902</v>
      </c>
      <c r="O180" s="187" t="str">
        <f t="shared" si="18"/>
        <v>033-902</v>
      </c>
      <c r="Q180" s="679" t="s">
        <v>7037</v>
      </c>
    </row>
    <row r="181" spans="1:17">
      <c r="A181" s="788" t="s">
        <v>1788</v>
      </c>
      <c r="B181" s="187" t="s">
        <v>6208</v>
      </c>
      <c r="C181" s="215">
        <v>1746</v>
      </c>
      <c r="D181" s="215">
        <v>4404704</v>
      </c>
      <c r="F181" s="215">
        <f t="shared" si="14"/>
        <v>4404704</v>
      </c>
      <c r="G181" s="215">
        <f t="shared" si="15"/>
        <v>4406450</v>
      </c>
      <c r="H181" s="680" t="s">
        <v>6153</v>
      </c>
      <c r="I181" s="681" t="s">
        <v>3508</v>
      </c>
      <c r="J181" s="187" t="str">
        <f t="shared" si="19"/>
        <v>033-904</v>
      </c>
      <c r="K181" s="187">
        <v>33</v>
      </c>
      <c r="L181" s="187">
        <v>904</v>
      </c>
      <c r="M181" s="187" t="str">
        <f t="shared" si="16"/>
        <v>033</v>
      </c>
      <c r="N181" s="187">
        <f t="shared" si="17"/>
        <v>904</v>
      </c>
      <c r="O181" s="187" t="str">
        <f t="shared" si="18"/>
        <v>033-904</v>
      </c>
      <c r="Q181" s="679" t="s">
        <v>7038</v>
      </c>
    </row>
    <row r="182" spans="1:17">
      <c r="A182" s="788" t="s">
        <v>1790</v>
      </c>
      <c r="B182" s="187" t="s">
        <v>6209</v>
      </c>
      <c r="C182" s="215">
        <v>159395</v>
      </c>
      <c r="D182" s="215">
        <v>4424568</v>
      </c>
      <c r="F182" s="215">
        <f t="shared" si="14"/>
        <v>4424568</v>
      </c>
      <c r="G182" s="215">
        <f t="shared" si="15"/>
        <v>4583963</v>
      </c>
      <c r="H182" s="680" t="s">
        <v>6153</v>
      </c>
      <c r="I182" s="681" t="s">
        <v>3508</v>
      </c>
      <c r="J182" s="187" t="str">
        <f t="shared" si="19"/>
        <v>034-901</v>
      </c>
      <c r="K182" s="187">
        <v>34</v>
      </c>
      <c r="L182" s="187">
        <v>901</v>
      </c>
      <c r="M182" s="187" t="str">
        <f t="shared" si="16"/>
        <v>034</v>
      </c>
      <c r="N182" s="187">
        <f t="shared" si="17"/>
        <v>901</v>
      </c>
      <c r="O182" s="187" t="str">
        <f t="shared" si="18"/>
        <v>034-901</v>
      </c>
      <c r="Q182" s="679" t="s">
        <v>7039</v>
      </c>
    </row>
    <row r="183" spans="1:17">
      <c r="A183" s="788" t="s">
        <v>1792</v>
      </c>
      <c r="B183" s="187" t="s">
        <v>6210</v>
      </c>
      <c r="C183" s="215">
        <v>511</v>
      </c>
      <c r="D183" s="215">
        <v>489054</v>
      </c>
      <c r="F183" s="215">
        <f t="shared" si="14"/>
        <v>489054</v>
      </c>
      <c r="G183" s="215">
        <f t="shared" si="15"/>
        <v>489565</v>
      </c>
      <c r="H183" s="680" t="s">
        <v>6153</v>
      </c>
      <c r="I183" s="681" t="s">
        <v>3508</v>
      </c>
      <c r="J183" s="187" t="str">
        <f t="shared" si="19"/>
        <v>034-902</v>
      </c>
      <c r="K183" s="187">
        <v>34</v>
      </c>
      <c r="L183" s="187">
        <v>902</v>
      </c>
      <c r="M183" s="187" t="str">
        <f t="shared" si="16"/>
        <v>034</v>
      </c>
      <c r="N183" s="187">
        <f t="shared" si="17"/>
        <v>902</v>
      </c>
      <c r="O183" s="187" t="str">
        <f t="shared" si="18"/>
        <v>034-902</v>
      </c>
      <c r="Q183" s="679" t="s">
        <v>7040</v>
      </c>
    </row>
    <row r="184" spans="1:17">
      <c r="A184" s="788" t="s">
        <v>2982</v>
      </c>
      <c r="B184" s="187" t="s">
        <v>6211</v>
      </c>
      <c r="C184" s="215">
        <v>136360</v>
      </c>
      <c r="D184" s="215">
        <v>2258356</v>
      </c>
      <c r="F184" s="215">
        <f t="shared" si="14"/>
        <v>2258356</v>
      </c>
      <c r="G184" s="215">
        <f t="shared" si="15"/>
        <v>2394716</v>
      </c>
      <c r="H184" s="680" t="s">
        <v>6153</v>
      </c>
      <c r="I184" s="681" t="s">
        <v>3508</v>
      </c>
      <c r="J184" s="187" t="str">
        <f t="shared" si="19"/>
        <v>034-903</v>
      </c>
      <c r="K184" s="187">
        <v>34</v>
      </c>
      <c r="L184" s="187">
        <v>903</v>
      </c>
      <c r="M184" s="187" t="str">
        <f t="shared" si="16"/>
        <v>034</v>
      </c>
      <c r="N184" s="187">
        <f t="shared" si="17"/>
        <v>903</v>
      </c>
      <c r="O184" s="187" t="str">
        <f t="shared" si="18"/>
        <v>034-903</v>
      </c>
      <c r="Q184" s="679" t="s">
        <v>7041</v>
      </c>
    </row>
    <row r="185" spans="1:17">
      <c r="A185" s="788" t="s">
        <v>2984</v>
      </c>
      <c r="B185" s="187" t="s">
        <v>3813</v>
      </c>
      <c r="C185" s="215">
        <v>0</v>
      </c>
      <c r="D185" s="215">
        <v>1832948</v>
      </c>
      <c r="F185" s="215">
        <f t="shared" si="14"/>
        <v>1832948</v>
      </c>
      <c r="G185" s="215">
        <f t="shared" si="15"/>
        <v>1832948</v>
      </c>
      <c r="H185" s="680" t="s">
        <v>6153</v>
      </c>
      <c r="I185" s="681" t="s">
        <v>3508</v>
      </c>
      <c r="J185" s="187" t="str">
        <f t="shared" si="19"/>
        <v>034-905</v>
      </c>
      <c r="K185" s="187">
        <v>34</v>
      </c>
      <c r="L185" s="187">
        <v>905</v>
      </c>
      <c r="M185" s="187" t="str">
        <f t="shared" si="16"/>
        <v>034</v>
      </c>
      <c r="N185" s="187">
        <f t="shared" si="17"/>
        <v>905</v>
      </c>
      <c r="O185" s="187" t="str">
        <f t="shared" si="18"/>
        <v>034-905</v>
      </c>
      <c r="Q185" s="679" t="s">
        <v>7042</v>
      </c>
    </row>
    <row r="186" spans="1:17">
      <c r="A186" s="788" t="s">
        <v>965</v>
      </c>
      <c r="B186" s="187" t="s">
        <v>6077</v>
      </c>
      <c r="C186" s="215">
        <v>0</v>
      </c>
      <c r="D186" s="215">
        <v>238541</v>
      </c>
      <c r="E186" s="215">
        <v>9261</v>
      </c>
      <c r="F186" s="215">
        <f t="shared" si="14"/>
        <v>247802</v>
      </c>
      <c r="G186" s="215">
        <f t="shared" si="15"/>
        <v>247802</v>
      </c>
      <c r="H186" s="680" t="s">
        <v>6153</v>
      </c>
      <c r="I186" s="681" t="s">
        <v>3508</v>
      </c>
      <c r="J186" s="187" t="str">
        <f t="shared" si="19"/>
        <v>034-906</v>
      </c>
      <c r="K186" s="187">
        <v>34</v>
      </c>
      <c r="L186" s="187">
        <v>906</v>
      </c>
      <c r="M186" s="187" t="str">
        <f t="shared" si="16"/>
        <v>034</v>
      </c>
      <c r="N186" s="187">
        <f t="shared" si="17"/>
        <v>906</v>
      </c>
      <c r="O186" s="187" t="str">
        <f t="shared" si="18"/>
        <v>034-906</v>
      </c>
      <c r="Q186" s="679" t="s">
        <v>7043</v>
      </c>
    </row>
    <row r="187" spans="1:17">
      <c r="A187" s="788" t="s">
        <v>6704</v>
      </c>
      <c r="B187" s="187" t="s">
        <v>3814</v>
      </c>
      <c r="C187" s="215">
        <v>312787</v>
      </c>
      <c r="D187" s="215">
        <v>4274655</v>
      </c>
      <c r="F187" s="215">
        <f t="shared" si="14"/>
        <v>4274655</v>
      </c>
      <c r="G187" s="215">
        <f t="shared" si="15"/>
        <v>4587442</v>
      </c>
      <c r="H187" s="680" t="s">
        <v>6153</v>
      </c>
      <c r="I187" s="681" t="s">
        <v>3508</v>
      </c>
      <c r="J187" s="187" t="str">
        <f t="shared" si="19"/>
        <v>034-907</v>
      </c>
      <c r="K187" s="187">
        <v>34</v>
      </c>
      <c r="L187" s="187">
        <v>907</v>
      </c>
      <c r="M187" s="187" t="str">
        <f t="shared" si="16"/>
        <v>034</v>
      </c>
      <c r="N187" s="187">
        <f t="shared" si="17"/>
        <v>907</v>
      </c>
      <c r="O187" s="187" t="str">
        <f t="shared" si="18"/>
        <v>034-907</v>
      </c>
      <c r="Q187" s="679" t="s">
        <v>7044</v>
      </c>
    </row>
    <row r="188" spans="1:17">
      <c r="A188" s="788" t="s">
        <v>6706</v>
      </c>
      <c r="B188" s="187" t="s">
        <v>3815</v>
      </c>
      <c r="C188" s="215">
        <v>0</v>
      </c>
      <c r="D188" s="215">
        <v>164938</v>
      </c>
      <c r="F188" s="215">
        <f t="shared" si="14"/>
        <v>164938</v>
      </c>
      <c r="G188" s="215">
        <f t="shared" si="15"/>
        <v>164938</v>
      </c>
      <c r="H188" s="680" t="s">
        <v>6153</v>
      </c>
      <c r="I188" s="681" t="s">
        <v>3508</v>
      </c>
      <c r="J188" s="187" t="str">
        <f t="shared" si="19"/>
        <v>034-908</v>
      </c>
      <c r="K188" s="187">
        <v>34</v>
      </c>
      <c r="L188" s="187">
        <v>908</v>
      </c>
      <c r="M188" s="187" t="str">
        <f t="shared" si="16"/>
        <v>034</v>
      </c>
      <c r="N188" s="187">
        <f t="shared" si="17"/>
        <v>908</v>
      </c>
      <c r="O188" s="187" t="str">
        <f t="shared" si="18"/>
        <v>034-908</v>
      </c>
      <c r="Q188" s="679" t="s">
        <v>7045</v>
      </c>
    </row>
    <row r="189" spans="1:17">
      <c r="A189" s="788" t="s">
        <v>690</v>
      </c>
      <c r="B189" s="187" t="s">
        <v>3816</v>
      </c>
      <c r="C189" s="215">
        <v>0</v>
      </c>
      <c r="D189" s="215">
        <v>334852</v>
      </c>
      <c r="F189" s="215">
        <f t="shared" si="14"/>
        <v>334852</v>
      </c>
      <c r="G189" s="215">
        <f t="shared" si="15"/>
        <v>334852</v>
      </c>
      <c r="H189" s="680" t="s">
        <v>6153</v>
      </c>
      <c r="I189" s="681" t="s">
        <v>3508</v>
      </c>
      <c r="J189" s="187" t="str">
        <f t="shared" si="19"/>
        <v>034-909</v>
      </c>
      <c r="K189" s="187">
        <v>34</v>
      </c>
      <c r="L189" s="187">
        <v>909</v>
      </c>
      <c r="M189" s="187" t="str">
        <f t="shared" si="16"/>
        <v>034</v>
      </c>
      <c r="N189" s="187">
        <f t="shared" si="17"/>
        <v>909</v>
      </c>
      <c r="O189" s="187" t="str">
        <f t="shared" si="18"/>
        <v>034-909</v>
      </c>
      <c r="Q189" s="679" t="s">
        <v>7046</v>
      </c>
    </row>
    <row r="190" spans="1:17">
      <c r="A190" s="788" t="s">
        <v>692</v>
      </c>
      <c r="B190" s="187" t="s">
        <v>3817</v>
      </c>
      <c r="C190" s="215">
        <v>0</v>
      </c>
      <c r="D190" s="215">
        <v>3298206</v>
      </c>
      <c r="F190" s="215">
        <f t="shared" si="14"/>
        <v>3298206</v>
      </c>
      <c r="G190" s="215">
        <f t="shared" si="15"/>
        <v>3298206</v>
      </c>
      <c r="H190" s="680" t="s">
        <v>6153</v>
      </c>
      <c r="I190" s="681" t="s">
        <v>3508</v>
      </c>
      <c r="J190" s="187" t="str">
        <f t="shared" si="19"/>
        <v>035-901</v>
      </c>
      <c r="K190" s="187">
        <v>35</v>
      </c>
      <c r="L190" s="187">
        <v>901</v>
      </c>
      <c r="M190" s="187" t="str">
        <f t="shared" si="16"/>
        <v>035</v>
      </c>
      <c r="N190" s="187">
        <f t="shared" si="17"/>
        <v>901</v>
      </c>
      <c r="O190" s="187" t="str">
        <f t="shared" si="18"/>
        <v>035-901</v>
      </c>
      <c r="Q190" s="679" t="s">
        <v>7047</v>
      </c>
    </row>
    <row r="191" spans="1:17">
      <c r="A191" s="788" t="s">
        <v>895</v>
      </c>
      <c r="B191" s="187" t="s">
        <v>3818</v>
      </c>
      <c r="C191" s="215">
        <v>0</v>
      </c>
      <c r="D191" s="215">
        <v>784740</v>
      </c>
      <c r="F191" s="215">
        <f t="shared" si="14"/>
        <v>784740</v>
      </c>
      <c r="G191" s="215">
        <f t="shared" si="15"/>
        <v>784740</v>
      </c>
      <c r="H191" s="680" t="s">
        <v>6153</v>
      </c>
      <c r="I191" s="681" t="s">
        <v>3508</v>
      </c>
      <c r="J191" s="187" t="str">
        <f t="shared" si="19"/>
        <v>035-902</v>
      </c>
      <c r="K191" s="187">
        <v>35</v>
      </c>
      <c r="L191" s="187">
        <v>902</v>
      </c>
      <c r="M191" s="187" t="str">
        <f t="shared" si="16"/>
        <v>035</v>
      </c>
      <c r="N191" s="187">
        <f t="shared" si="17"/>
        <v>902</v>
      </c>
      <c r="O191" s="187" t="str">
        <f t="shared" si="18"/>
        <v>035-902</v>
      </c>
      <c r="Q191" s="679" t="s">
        <v>7048</v>
      </c>
    </row>
    <row r="192" spans="1:17">
      <c r="A192" s="788" t="s">
        <v>6177</v>
      </c>
      <c r="B192" s="187" t="s">
        <v>506</v>
      </c>
      <c r="C192" s="215">
        <v>50437</v>
      </c>
      <c r="D192" s="215">
        <v>344833</v>
      </c>
      <c r="F192" s="215">
        <f t="shared" si="14"/>
        <v>344833</v>
      </c>
      <c r="G192" s="215">
        <f t="shared" si="15"/>
        <v>395270</v>
      </c>
      <c r="H192" s="680" t="s">
        <v>6153</v>
      </c>
      <c r="I192" s="681" t="s">
        <v>3508</v>
      </c>
      <c r="J192" s="187" t="str">
        <f t="shared" si="19"/>
        <v>035-903</v>
      </c>
      <c r="K192" s="187">
        <v>35</v>
      </c>
      <c r="L192" s="187">
        <v>903</v>
      </c>
      <c r="M192" s="187" t="str">
        <f t="shared" si="16"/>
        <v>035</v>
      </c>
      <c r="N192" s="187">
        <f t="shared" si="17"/>
        <v>903</v>
      </c>
      <c r="O192" s="187" t="str">
        <f t="shared" si="18"/>
        <v>035-903</v>
      </c>
      <c r="Q192" s="679" t="s">
        <v>7049</v>
      </c>
    </row>
    <row r="193" spans="1:17">
      <c r="A193" s="788" t="s">
        <v>265</v>
      </c>
      <c r="B193" s="187" t="s">
        <v>7682</v>
      </c>
      <c r="C193" s="215">
        <v>272432</v>
      </c>
      <c r="D193" s="215">
        <v>3676985</v>
      </c>
      <c r="F193" s="215">
        <f t="shared" si="14"/>
        <v>3676985</v>
      </c>
      <c r="G193" s="215">
        <f t="shared" si="15"/>
        <v>3949417</v>
      </c>
      <c r="H193" s="680" t="s">
        <v>6153</v>
      </c>
      <c r="I193" s="681" t="s">
        <v>3508</v>
      </c>
      <c r="J193" s="187" t="str">
        <f t="shared" si="19"/>
        <v>036-901</v>
      </c>
      <c r="K193" s="187">
        <v>36</v>
      </c>
      <c r="L193" s="187">
        <v>901</v>
      </c>
      <c r="M193" s="187" t="str">
        <f t="shared" si="16"/>
        <v>036</v>
      </c>
      <c r="N193" s="187">
        <f t="shared" si="17"/>
        <v>901</v>
      </c>
      <c r="O193" s="187" t="str">
        <f t="shared" si="18"/>
        <v>036-901</v>
      </c>
      <c r="Q193" s="679" t="s">
        <v>7050</v>
      </c>
    </row>
    <row r="194" spans="1:17">
      <c r="A194" s="788" t="s">
        <v>897</v>
      </c>
      <c r="B194" s="187" t="s">
        <v>3819</v>
      </c>
      <c r="C194" s="215">
        <v>5577242</v>
      </c>
      <c r="D194" s="215">
        <v>28954605</v>
      </c>
      <c r="F194" s="215">
        <f t="shared" si="14"/>
        <v>28954605</v>
      </c>
      <c r="G194" s="215">
        <f t="shared" si="15"/>
        <v>34531847</v>
      </c>
      <c r="H194" s="680" t="s">
        <v>6153</v>
      </c>
      <c r="I194" s="681" t="s">
        <v>3508</v>
      </c>
      <c r="J194" s="187" t="str">
        <f t="shared" si="19"/>
        <v>036-902</v>
      </c>
      <c r="K194" s="187">
        <v>36</v>
      </c>
      <c r="L194" s="187">
        <v>902</v>
      </c>
      <c r="M194" s="187" t="str">
        <f t="shared" si="16"/>
        <v>036</v>
      </c>
      <c r="N194" s="187">
        <f t="shared" si="17"/>
        <v>902</v>
      </c>
      <c r="O194" s="187" t="str">
        <f t="shared" si="18"/>
        <v>036-902</v>
      </c>
      <c r="Q194" s="679" t="s">
        <v>7051</v>
      </c>
    </row>
    <row r="195" spans="1:17">
      <c r="A195" s="788" t="s">
        <v>899</v>
      </c>
      <c r="B195" s="187" t="s">
        <v>3820</v>
      </c>
      <c r="C195" s="215">
        <v>0</v>
      </c>
      <c r="D195" s="215">
        <v>3543958</v>
      </c>
      <c r="F195" s="215">
        <f t="shared" si="14"/>
        <v>3543958</v>
      </c>
      <c r="G195" s="215">
        <f t="shared" si="15"/>
        <v>3543958</v>
      </c>
      <c r="H195" s="680" t="s">
        <v>6153</v>
      </c>
      <c r="I195" s="681" t="s">
        <v>3508</v>
      </c>
      <c r="J195" s="187" t="str">
        <f t="shared" si="19"/>
        <v>036-903</v>
      </c>
      <c r="K195" s="187">
        <v>36</v>
      </c>
      <c r="L195" s="187">
        <v>903</v>
      </c>
      <c r="M195" s="187" t="str">
        <f t="shared" si="16"/>
        <v>036</v>
      </c>
      <c r="N195" s="187">
        <f t="shared" si="17"/>
        <v>903</v>
      </c>
      <c r="O195" s="187" t="str">
        <f t="shared" si="18"/>
        <v>036-903</v>
      </c>
      <c r="Q195" s="679" t="s">
        <v>7052</v>
      </c>
    </row>
    <row r="196" spans="1:17">
      <c r="A196" s="788" t="s">
        <v>901</v>
      </c>
      <c r="B196" s="187" t="s">
        <v>3821</v>
      </c>
      <c r="C196" s="215">
        <v>27707</v>
      </c>
      <c r="D196" s="215">
        <v>1484662</v>
      </c>
      <c r="F196" s="215">
        <f t="shared" ref="F196:F259" si="20">D196+E196</f>
        <v>1484662</v>
      </c>
      <c r="G196" s="215">
        <f t="shared" ref="G196:G259" si="21">F196+C196</f>
        <v>1512369</v>
      </c>
      <c r="H196" s="680" t="s">
        <v>6153</v>
      </c>
      <c r="I196" s="681" t="s">
        <v>3508</v>
      </c>
      <c r="J196" s="187" t="str">
        <f t="shared" si="19"/>
        <v>037-901</v>
      </c>
      <c r="K196" s="187">
        <v>37</v>
      </c>
      <c r="L196" s="187">
        <v>901</v>
      </c>
      <c r="M196" s="187" t="str">
        <f t="shared" ref="M196:M259" si="22">+I196&amp;K196</f>
        <v>037</v>
      </c>
      <c r="N196" s="187">
        <f t="shared" ref="N196:N259" si="23">+L196</f>
        <v>901</v>
      </c>
      <c r="O196" s="187" t="str">
        <f t="shared" ref="O196:O259" si="24">+M196&amp;"-"&amp;N196</f>
        <v>037-901</v>
      </c>
      <c r="Q196" s="679" t="s">
        <v>7053</v>
      </c>
    </row>
    <row r="197" spans="1:17">
      <c r="A197" s="788" t="s">
        <v>6023</v>
      </c>
      <c r="B197" s="187" t="s">
        <v>1908</v>
      </c>
      <c r="C197" s="215">
        <v>601351</v>
      </c>
      <c r="D197" s="215">
        <v>9662544</v>
      </c>
      <c r="F197" s="215">
        <f t="shared" si="20"/>
        <v>9662544</v>
      </c>
      <c r="G197" s="215">
        <f t="shared" si="21"/>
        <v>10263895</v>
      </c>
      <c r="H197" s="680" t="s">
        <v>6153</v>
      </c>
      <c r="I197" s="681" t="s">
        <v>3508</v>
      </c>
      <c r="J197" s="187" t="str">
        <f t="shared" si="19"/>
        <v>037-904</v>
      </c>
      <c r="K197" s="187">
        <v>37</v>
      </c>
      <c r="L197" s="187">
        <v>904</v>
      </c>
      <c r="M197" s="187" t="str">
        <f t="shared" si="22"/>
        <v>037</v>
      </c>
      <c r="N197" s="187">
        <f t="shared" si="23"/>
        <v>904</v>
      </c>
      <c r="O197" s="187" t="str">
        <f t="shared" si="24"/>
        <v>037-904</v>
      </c>
      <c r="Q197" s="679" t="s">
        <v>7054</v>
      </c>
    </row>
    <row r="198" spans="1:17">
      <c r="A198" s="788" t="s">
        <v>2383</v>
      </c>
      <c r="B198" s="187" t="s">
        <v>374</v>
      </c>
      <c r="C198" s="215">
        <v>266837</v>
      </c>
      <c r="D198" s="215">
        <v>3749938</v>
      </c>
      <c r="F198" s="215">
        <f t="shared" si="20"/>
        <v>3749938</v>
      </c>
      <c r="G198" s="215">
        <f t="shared" si="21"/>
        <v>4016775</v>
      </c>
      <c r="H198" s="680" t="s">
        <v>6153</v>
      </c>
      <c r="I198" s="681" t="s">
        <v>3508</v>
      </c>
      <c r="J198" s="187" t="str">
        <f t="shared" si="19"/>
        <v>037-907</v>
      </c>
      <c r="K198" s="187">
        <v>37</v>
      </c>
      <c r="L198" s="187">
        <v>907</v>
      </c>
      <c r="M198" s="187" t="str">
        <f t="shared" si="22"/>
        <v>037</v>
      </c>
      <c r="N198" s="187">
        <f t="shared" si="23"/>
        <v>907</v>
      </c>
      <c r="O198" s="187" t="str">
        <f t="shared" si="24"/>
        <v>037-907</v>
      </c>
      <c r="Q198" s="679" t="s">
        <v>7055</v>
      </c>
    </row>
    <row r="199" spans="1:17">
      <c r="A199" s="788" t="s">
        <v>6180</v>
      </c>
      <c r="B199" s="187" t="s">
        <v>1934</v>
      </c>
      <c r="C199" s="215">
        <v>0</v>
      </c>
      <c r="D199" s="215">
        <v>404763</v>
      </c>
      <c r="E199" s="215">
        <v>42126</v>
      </c>
      <c r="F199" s="215">
        <f t="shared" si="20"/>
        <v>446889</v>
      </c>
      <c r="G199" s="215">
        <f t="shared" si="21"/>
        <v>446889</v>
      </c>
      <c r="H199" s="680" t="s">
        <v>6153</v>
      </c>
      <c r="I199" s="681" t="s">
        <v>3508</v>
      </c>
      <c r="J199" s="187" t="str">
        <f t="shared" si="19"/>
        <v>037-908</v>
      </c>
      <c r="K199" s="187">
        <v>37</v>
      </c>
      <c r="L199" s="187">
        <v>908</v>
      </c>
      <c r="M199" s="187" t="str">
        <f t="shared" si="22"/>
        <v>037</v>
      </c>
      <c r="N199" s="187">
        <f t="shared" si="23"/>
        <v>908</v>
      </c>
      <c r="O199" s="187" t="str">
        <f t="shared" si="24"/>
        <v>037-908</v>
      </c>
      <c r="Q199" s="679" t="s">
        <v>7056</v>
      </c>
    </row>
    <row r="200" spans="1:17">
      <c r="A200" s="788" t="s">
        <v>903</v>
      </c>
      <c r="B200" s="187" t="s">
        <v>3822</v>
      </c>
      <c r="C200" s="215">
        <v>169</v>
      </c>
      <c r="D200" s="215">
        <v>442803</v>
      </c>
      <c r="F200" s="215">
        <f t="shared" si="20"/>
        <v>442803</v>
      </c>
      <c r="G200" s="215">
        <f t="shared" si="21"/>
        <v>442972</v>
      </c>
      <c r="H200" s="680" t="s">
        <v>6153</v>
      </c>
      <c r="I200" s="681" t="s">
        <v>3508</v>
      </c>
      <c r="J200" s="187" t="str">
        <f t="shared" si="19"/>
        <v>037-909</v>
      </c>
      <c r="K200" s="187">
        <v>37</v>
      </c>
      <c r="L200" s="187">
        <v>909</v>
      </c>
      <c r="M200" s="187" t="str">
        <f t="shared" si="22"/>
        <v>037</v>
      </c>
      <c r="N200" s="187">
        <f t="shared" si="23"/>
        <v>909</v>
      </c>
      <c r="O200" s="187" t="str">
        <f t="shared" si="24"/>
        <v>037-909</v>
      </c>
      <c r="Q200" s="679" t="s">
        <v>7057</v>
      </c>
    </row>
    <row r="201" spans="1:17">
      <c r="A201" s="788" t="s">
        <v>736</v>
      </c>
      <c r="B201" s="187" t="s">
        <v>6109</v>
      </c>
      <c r="C201" s="215">
        <v>129119</v>
      </c>
      <c r="D201" s="215">
        <v>2213136</v>
      </c>
      <c r="F201" s="215">
        <f t="shared" si="20"/>
        <v>2213136</v>
      </c>
      <c r="G201" s="215">
        <f t="shared" si="21"/>
        <v>2342255</v>
      </c>
      <c r="H201" s="680" t="s">
        <v>6153</v>
      </c>
      <c r="I201" s="681" t="s">
        <v>3508</v>
      </c>
      <c r="J201" s="187" t="str">
        <f t="shared" si="19"/>
        <v>038-901</v>
      </c>
      <c r="K201" s="187">
        <v>38</v>
      </c>
      <c r="L201" s="187">
        <v>901</v>
      </c>
      <c r="M201" s="187" t="str">
        <f t="shared" si="22"/>
        <v>038</v>
      </c>
      <c r="N201" s="187">
        <f t="shared" si="23"/>
        <v>901</v>
      </c>
      <c r="O201" s="187" t="str">
        <f t="shared" si="24"/>
        <v>038-901</v>
      </c>
      <c r="Q201" s="679" t="s">
        <v>7058</v>
      </c>
    </row>
    <row r="202" spans="1:17">
      <c r="A202" s="788" t="s">
        <v>5336</v>
      </c>
      <c r="B202" s="187" t="s">
        <v>3823</v>
      </c>
      <c r="C202" s="215">
        <v>0</v>
      </c>
      <c r="D202" s="215">
        <v>253907</v>
      </c>
      <c r="F202" s="215">
        <f t="shared" si="20"/>
        <v>253907</v>
      </c>
      <c r="G202" s="215">
        <f t="shared" si="21"/>
        <v>253907</v>
      </c>
      <c r="H202" s="680" t="s">
        <v>6153</v>
      </c>
      <c r="I202" s="681" t="s">
        <v>3508</v>
      </c>
      <c r="J202" s="187" t="str">
        <f t="shared" si="19"/>
        <v>039-901</v>
      </c>
      <c r="K202" s="187">
        <v>39</v>
      </c>
      <c r="L202" s="187">
        <v>901</v>
      </c>
      <c r="M202" s="187" t="str">
        <f t="shared" si="22"/>
        <v>039</v>
      </c>
      <c r="N202" s="187">
        <f t="shared" si="23"/>
        <v>901</v>
      </c>
      <c r="O202" s="187" t="str">
        <f t="shared" si="24"/>
        <v>039-901</v>
      </c>
      <c r="Q202" s="679" t="s">
        <v>7059</v>
      </c>
    </row>
    <row r="203" spans="1:17">
      <c r="A203" s="788" t="s">
        <v>2117</v>
      </c>
      <c r="B203" s="187" t="s">
        <v>3824</v>
      </c>
      <c r="C203" s="215">
        <v>171312</v>
      </c>
      <c r="D203" s="215">
        <v>3470409</v>
      </c>
      <c r="F203" s="215">
        <f t="shared" si="20"/>
        <v>3470409</v>
      </c>
      <c r="G203" s="215">
        <f t="shared" si="21"/>
        <v>3641721</v>
      </c>
      <c r="H203" s="680" t="s">
        <v>6153</v>
      </c>
      <c r="I203" s="681" t="s">
        <v>3508</v>
      </c>
      <c r="J203" s="187" t="str">
        <f t="shared" si="19"/>
        <v>039-902</v>
      </c>
      <c r="K203" s="187">
        <v>39</v>
      </c>
      <c r="L203" s="187">
        <v>902</v>
      </c>
      <c r="M203" s="187" t="str">
        <f t="shared" si="22"/>
        <v>039</v>
      </c>
      <c r="N203" s="187">
        <f t="shared" si="23"/>
        <v>902</v>
      </c>
      <c r="O203" s="187" t="str">
        <f t="shared" si="24"/>
        <v>039-902</v>
      </c>
      <c r="Q203" s="679" t="s">
        <v>7060</v>
      </c>
    </row>
    <row r="204" spans="1:17">
      <c r="A204" s="788" t="s">
        <v>3089</v>
      </c>
      <c r="B204" s="187" t="s">
        <v>338</v>
      </c>
      <c r="C204" s="215">
        <v>130070</v>
      </c>
      <c r="D204" s="215">
        <v>901061</v>
      </c>
      <c r="F204" s="215">
        <f t="shared" si="20"/>
        <v>901061</v>
      </c>
      <c r="G204" s="215">
        <f t="shared" si="21"/>
        <v>1031131</v>
      </c>
      <c r="H204" s="680" t="s">
        <v>6153</v>
      </c>
      <c r="I204" s="681" t="s">
        <v>3508</v>
      </c>
      <c r="J204" s="187" t="str">
        <f t="shared" si="19"/>
        <v>039-903</v>
      </c>
      <c r="K204" s="187">
        <v>39</v>
      </c>
      <c r="L204" s="187">
        <v>903</v>
      </c>
      <c r="M204" s="187" t="str">
        <f t="shared" si="22"/>
        <v>039</v>
      </c>
      <c r="N204" s="187">
        <f t="shared" si="23"/>
        <v>903</v>
      </c>
      <c r="O204" s="187" t="str">
        <f t="shared" si="24"/>
        <v>039-903</v>
      </c>
      <c r="Q204" s="679" t="s">
        <v>7061</v>
      </c>
    </row>
    <row r="205" spans="1:17">
      <c r="A205" s="788" t="s">
        <v>2119</v>
      </c>
      <c r="B205" s="187" t="s">
        <v>3825</v>
      </c>
      <c r="C205" s="215">
        <v>0</v>
      </c>
      <c r="D205" s="215">
        <v>453343</v>
      </c>
      <c r="F205" s="215">
        <f t="shared" si="20"/>
        <v>453343</v>
      </c>
      <c r="G205" s="215">
        <f t="shared" si="21"/>
        <v>453343</v>
      </c>
      <c r="H205" s="680" t="s">
        <v>6153</v>
      </c>
      <c r="I205" s="681" t="s">
        <v>3508</v>
      </c>
      <c r="J205" s="187" t="str">
        <f t="shared" si="19"/>
        <v>039-904</v>
      </c>
      <c r="K205" s="187">
        <v>39</v>
      </c>
      <c r="L205" s="187">
        <v>904</v>
      </c>
      <c r="M205" s="187" t="str">
        <f t="shared" si="22"/>
        <v>039</v>
      </c>
      <c r="N205" s="187">
        <f t="shared" si="23"/>
        <v>904</v>
      </c>
      <c r="O205" s="187" t="str">
        <f t="shared" si="24"/>
        <v>039-904</v>
      </c>
      <c r="Q205" s="679" t="s">
        <v>7062</v>
      </c>
    </row>
    <row r="206" spans="1:17">
      <c r="A206" s="788" t="s">
        <v>2121</v>
      </c>
      <c r="B206" s="187" t="s">
        <v>2855</v>
      </c>
      <c r="C206" s="215">
        <v>0</v>
      </c>
      <c r="D206" s="215">
        <v>733507</v>
      </c>
      <c r="F206" s="215">
        <f t="shared" si="20"/>
        <v>733507</v>
      </c>
      <c r="G206" s="215">
        <f t="shared" si="21"/>
        <v>733507</v>
      </c>
      <c r="H206" s="680" t="s">
        <v>6153</v>
      </c>
      <c r="I206" s="681" t="s">
        <v>3508</v>
      </c>
      <c r="J206" s="187" t="str">
        <f t="shared" si="19"/>
        <v>039-905</v>
      </c>
      <c r="K206" s="187">
        <v>39</v>
      </c>
      <c r="L206" s="187">
        <v>905</v>
      </c>
      <c r="M206" s="187" t="str">
        <f t="shared" si="22"/>
        <v>039</v>
      </c>
      <c r="N206" s="187">
        <f t="shared" si="23"/>
        <v>905</v>
      </c>
      <c r="O206" s="187" t="str">
        <f t="shared" si="24"/>
        <v>039-905</v>
      </c>
      <c r="Q206" s="679" t="s">
        <v>7063</v>
      </c>
    </row>
    <row r="207" spans="1:17">
      <c r="A207" s="788" t="s">
        <v>2123</v>
      </c>
      <c r="B207" s="187" t="s">
        <v>2856</v>
      </c>
      <c r="C207" s="215">
        <v>0</v>
      </c>
      <c r="D207" s="215">
        <v>1039754</v>
      </c>
      <c r="F207" s="215">
        <f t="shared" si="20"/>
        <v>1039754</v>
      </c>
      <c r="G207" s="215">
        <f t="shared" si="21"/>
        <v>1039754</v>
      </c>
      <c r="H207" s="680" t="s">
        <v>6153</v>
      </c>
      <c r="I207" s="681" t="s">
        <v>3508</v>
      </c>
      <c r="J207" s="187" t="str">
        <f t="shared" si="19"/>
        <v>040-901</v>
      </c>
      <c r="K207" s="187">
        <v>40</v>
      </c>
      <c r="L207" s="187">
        <v>901</v>
      </c>
      <c r="M207" s="187" t="str">
        <f t="shared" si="22"/>
        <v>040</v>
      </c>
      <c r="N207" s="187">
        <f t="shared" si="23"/>
        <v>901</v>
      </c>
      <c r="O207" s="187" t="str">
        <f t="shared" si="24"/>
        <v>040-901</v>
      </c>
      <c r="Q207" s="679" t="s">
        <v>7064</v>
      </c>
    </row>
    <row r="208" spans="1:17">
      <c r="A208" s="788" t="s">
        <v>3130</v>
      </c>
      <c r="B208" s="187" t="s">
        <v>2857</v>
      </c>
      <c r="C208" s="215">
        <v>0</v>
      </c>
      <c r="D208" s="215">
        <v>4892579</v>
      </c>
      <c r="F208" s="215">
        <f t="shared" si="20"/>
        <v>4892579</v>
      </c>
      <c r="G208" s="215">
        <f t="shared" si="21"/>
        <v>4892579</v>
      </c>
      <c r="H208" s="680" t="s">
        <v>6153</v>
      </c>
      <c r="I208" s="681" t="s">
        <v>3508</v>
      </c>
      <c r="J208" s="187" t="str">
        <f t="shared" si="19"/>
        <v>040-902</v>
      </c>
      <c r="K208" s="187">
        <v>40</v>
      </c>
      <c r="L208" s="187">
        <v>902</v>
      </c>
      <c r="M208" s="187" t="str">
        <f t="shared" si="22"/>
        <v>040</v>
      </c>
      <c r="N208" s="187">
        <f t="shared" si="23"/>
        <v>902</v>
      </c>
      <c r="O208" s="187" t="str">
        <f t="shared" si="24"/>
        <v>040-902</v>
      </c>
      <c r="Q208" s="679" t="s">
        <v>7065</v>
      </c>
    </row>
    <row r="209" spans="1:17">
      <c r="A209" s="788" t="s">
        <v>3132</v>
      </c>
      <c r="B209" s="187" t="s">
        <v>2858</v>
      </c>
      <c r="C209" s="215">
        <v>0</v>
      </c>
      <c r="D209" s="215">
        <v>838928</v>
      </c>
      <c r="F209" s="215">
        <f t="shared" si="20"/>
        <v>838928</v>
      </c>
      <c r="G209" s="215">
        <f t="shared" si="21"/>
        <v>838928</v>
      </c>
      <c r="H209" s="680" t="s">
        <v>6153</v>
      </c>
      <c r="I209" s="681" t="s">
        <v>3508</v>
      </c>
      <c r="J209" s="187" t="str">
        <f t="shared" si="19"/>
        <v>041-901</v>
      </c>
      <c r="K209" s="187">
        <v>41</v>
      </c>
      <c r="L209" s="187">
        <v>901</v>
      </c>
      <c r="M209" s="187" t="str">
        <f t="shared" si="22"/>
        <v>041</v>
      </c>
      <c r="N209" s="187">
        <f t="shared" si="23"/>
        <v>901</v>
      </c>
      <c r="O209" s="187" t="str">
        <f t="shared" si="24"/>
        <v>041-901</v>
      </c>
      <c r="Q209" s="679" t="s">
        <v>7066</v>
      </c>
    </row>
    <row r="210" spans="1:17">
      <c r="A210" s="788" t="s">
        <v>1322</v>
      </c>
      <c r="B210" s="187" t="s">
        <v>2859</v>
      </c>
      <c r="C210" s="215">
        <v>0</v>
      </c>
      <c r="D210" s="215">
        <v>1558464</v>
      </c>
      <c r="F210" s="215">
        <f t="shared" si="20"/>
        <v>1558464</v>
      </c>
      <c r="G210" s="215">
        <f t="shared" si="21"/>
        <v>1558464</v>
      </c>
      <c r="H210" s="680" t="s">
        <v>6153</v>
      </c>
      <c r="I210" s="681" t="s">
        <v>3508</v>
      </c>
      <c r="J210" s="187" t="str">
        <f t="shared" si="19"/>
        <v>041-902</v>
      </c>
      <c r="K210" s="187">
        <v>41</v>
      </c>
      <c r="L210" s="187">
        <v>902</v>
      </c>
      <c r="M210" s="187" t="str">
        <f t="shared" si="22"/>
        <v>041</v>
      </c>
      <c r="N210" s="187">
        <f t="shared" si="23"/>
        <v>902</v>
      </c>
      <c r="O210" s="187" t="str">
        <f t="shared" si="24"/>
        <v>041-902</v>
      </c>
      <c r="Q210" s="679" t="s">
        <v>7067</v>
      </c>
    </row>
    <row r="211" spans="1:17">
      <c r="A211" s="788" t="s">
        <v>742</v>
      </c>
      <c r="B211" s="187" t="s">
        <v>6118</v>
      </c>
      <c r="C211" s="215">
        <v>173912</v>
      </c>
      <c r="D211" s="215">
        <v>1151545</v>
      </c>
      <c r="F211" s="215">
        <f t="shared" si="20"/>
        <v>1151545</v>
      </c>
      <c r="G211" s="215">
        <f t="shared" si="21"/>
        <v>1325457</v>
      </c>
      <c r="H211" s="680" t="s">
        <v>6153</v>
      </c>
      <c r="I211" s="681" t="s">
        <v>3508</v>
      </c>
      <c r="J211" s="187" t="str">
        <f t="shared" si="19"/>
        <v>042-901</v>
      </c>
      <c r="K211" s="187">
        <v>42</v>
      </c>
      <c r="L211" s="187">
        <v>901</v>
      </c>
      <c r="M211" s="187" t="str">
        <f t="shared" si="22"/>
        <v>042</v>
      </c>
      <c r="N211" s="187">
        <f t="shared" si="23"/>
        <v>901</v>
      </c>
      <c r="O211" s="187" t="str">
        <f t="shared" si="24"/>
        <v>042-901</v>
      </c>
      <c r="Q211" s="679" t="s">
        <v>7068</v>
      </c>
    </row>
    <row r="212" spans="1:17">
      <c r="A212" s="788" t="s">
        <v>440</v>
      </c>
      <c r="B212" s="187" t="s">
        <v>1457</v>
      </c>
      <c r="C212" s="215">
        <v>30978</v>
      </c>
      <c r="D212" s="215">
        <v>587091</v>
      </c>
      <c r="F212" s="215">
        <f t="shared" si="20"/>
        <v>587091</v>
      </c>
      <c r="G212" s="215">
        <f t="shared" si="21"/>
        <v>618069</v>
      </c>
      <c r="H212" s="680" t="s">
        <v>6153</v>
      </c>
      <c r="I212" s="681" t="s">
        <v>3508</v>
      </c>
      <c r="J212" s="187" t="str">
        <f t="shared" si="19"/>
        <v>042-903</v>
      </c>
      <c r="K212" s="187">
        <v>42</v>
      </c>
      <c r="L212" s="187">
        <v>903</v>
      </c>
      <c r="M212" s="187" t="str">
        <f t="shared" si="22"/>
        <v>042</v>
      </c>
      <c r="N212" s="187">
        <f t="shared" si="23"/>
        <v>903</v>
      </c>
      <c r="O212" s="187" t="str">
        <f t="shared" si="24"/>
        <v>042-903</v>
      </c>
      <c r="Q212" s="679" t="s">
        <v>7069</v>
      </c>
    </row>
    <row r="213" spans="1:17">
      <c r="A213" s="788" t="s">
        <v>1324</v>
      </c>
      <c r="B213" s="187" t="s">
        <v>2860</v>
      </c>
      <c r="C213" s="215">
        <v>0</v>
      </c>
      <c r="D213" s="215">
        <v>753237</v>
      </c>
      <c r="F213" s="215">
        <f t="shared" si="20"/>
        <v>753237</v>
      </c>
      <c r="G213" s="215">
        <f t="shared" si="21"/>
        <v>753237</v>
      </c>
      <c r="H213" s="680" t="s">
        <v>6153</v>
      </c>
      <c r="I213" s="681" t="s">
        <v>3508</v>
      </c>
      <c r="J213" s="187" t="str">
        <f t="shared" si="19"/>
        <v>042-905</v>
      </c>
      <c r="K213" s="187">
        <v>42</v>
      </c>
      <c r="L213" s="187">
        <v>905</v>
      </c>
      <c r="M213" s="187" t="str">
        <f t="shared" si="22"/>
        <v>042</v>
      </c>
      <c r="N213" s="187">
        <f t="shared" si="23"/>
        <v>905</v>
      </c>
      <c r="O213" s="187" t="str">
        <f t="shared" si="24"/>
        <v>042-905</v>
      </c>
      <c r="Q213" s="679" t="s">
        <v>7070</v>
      </c>
    </row>
    <row r="214" spans="1:17">
      <c r="A214" s="788" t="s">
        <v>1326</v>
      </c>
      <c r="B214" s="187" t="s">
        <v>2861</v>
      </c>
      <c r="C214" s="215">
        <v>0</v>
      </c>
      <c r="D214" s="215">
        <v>437416</v>
      </c>
      <c r="F214" s="215">
        <f t="shared" si="20"/>
        <v>437416</v>
      </c>
      <c r="G214" s="215">
        <f t="shared" si="21"/>
        <v>437416</v>
      </c>
      <c r="H214" s="680" t="s">
        <v>6153</v>
      </c>
      <c r="I214" s="681" t="s">
        <v>3508</v>
      </c>
      <c r="J214" s="187" t="str">
        <f t="shared" si="19"/>
        <v>042-906</v>
      </c>
      <c r="K214" s="187">
        <v>42</v>
      </c>
      <c r="L214" s="187">
        <v>906</v>
      </c>
      <c r="M214" s="187" t="str">
        <f t="shared" si="22"/>
        <v>042</v>
      </c>
      <c r="N214" s="187">
        <f t="shared" si="23"/>
        <v>906</v>
      </c>
      <c r="O214" s="187" t="str">
        <f t="shared" si="24"/>
        <v>042-906</v>
      </c>
      <c r="Q214" s="679" t="s">
        <v>7071</v>
      </c>
    </row>
    <row r="215" spans="1:17">
      <c r="A215" s="788" t="s">
        <v>818</v>
      </c>
      <c r="B215" s="187" t="s">
        <v>7677</v>
      </c>
      <c r="C215" s="215">
        <v>19386415</v>
      </c>
      <c r="D215" s="215">
        <v>67293662</v>
      </c>
      <c r="F215" s="215">
        <f t="shared" si="20"/>
        <v>67293662</v>
      </c>
      <c r="G215" s="215">
        <f t="shared" si="21"/>
        <v>86680077</v>
      </c>
      <c r="H215" s="680" t="s">
        <v>6153</v>
      </c>
      <c r="I215" s="681" t="s">
        <v>3508</v>
      </c>
      <c r="J215" s="187" t="str">
        <f t="shared" si="19"/>
        <v>043-901</v>
      </c>
      <c r="K215" s="187">
        <v>43</v>
      </c>
      <c r="L215" s="187">
        <v>901</v>
      </c>
      <c r="M215" s="187" t="str">
        <f t="shared" si="22"/>
        <v>043</v>
      </c>
      <c r="N215" s="187">
        <f t="shared" si="23"/>
        <v>901</v>
      </c>
      <c r="O215" s="187" t="str">
        <f t="shared" si="24"/>
        <v>043-901</v>
      </c>
      <c r="Q215" s="679" t="s">
        <v>7072</v>
      </c>
    </row>
    <row r="216" spans="1:17">
      <c r="A216" s="788" t="s">
        <v>266</v>
      </c>
      <c r="B216" s="187" t="s">
        <v>7683</v>
      </c>
      <c r="C216" s="215">
        <v>824454</v>
      </c>
      <c r="D216" s="215">
        <v>3579600</v>
      </c>
      <c r="F216" s="215">
        <f t="shared" si="20"/>
        <v>3579600</v>
      </c>
      <c r="G216" s="215">
        <f t="shared" si="21"/>
        <v>4404054</v>
      </c>
      <c r="H216" s="680" t="s">
        <v>6153</v>
      </c>
      <c r="I216" s="681" t="s">
        <v>3508</v>
      </c>
      <c r="J216" s="187" t="str">
        <f t="shared" si="19"/>
        <v>043-902</v>
      </c>
      <c r="K216" s="187">
        <v>43</v>
      </c>
      <c r="L216" s="187">
        <v>902</v>
      </c>
      <c r="M216" s="187" t="str">
        <f t="shared" si="22"/>
        <v>043</v>
      </c>
      <c r="N216" s="187">
        <f t="shared" si="23"/>
        <v>902</v>
      </c>
      <c r="O216" s="187" t="str">
        <f t="shared" si="24"/>
        <v>043-902</v>
      </c>
      <c r="Q216" s="679" t="s">
        <v>7073</v>
      </c>
    </row>
    <row r="217" spans="1:17">
      <c r="A217" s="788" t="s">
        <v>441</v>
      </c>
      <c r="B217" s="187" t="s">
        <v>6104</v>
      </c>
      <c r="C217" s="215">
        <v>1140716</v>
      </c>
      <c r="D217" s="215">
        <v>5764728</v>
      </c>
      <c r="F217" s="215">
        <f t="shared" si="20"/>
        <v>5764728</v>
      </c>
      <c r="G217" s="215">
        <f t="shared" si="21"/>
        <v>6905444</v>
      </c>
      <c r="H217" s="680" t="s">
        <v>6153</v>
      </c>
      <c r="I217" s="681" t="s">
        <v>3508</v>
      </c>
      <c r="J217" s="187" t="str">
        <f t="shared" si="19"/>
        <v>043-903</v>
      </c>
      <c r="K217" s="187">
        <v>43</v>
      </c>
      <c r="L217" s="187">
        <v>903</v>
      </c>
      <c r="M217" s="187" t="str">
        <f t="shared" si="22"/>
        <v>043</v>
      </c>
      <c r="N217" s="187">
        <f t="shared" si="23"/>
        <v>903</v>
      </c>
      <c r="O217" s="187" t="str">
        <f t="shared" si="24"/>
        <v>043-903</v>
      </c>
      <c r="Q217" s="679" t="s">
        <v>7074</v>
      </c>
    </row>
    <row r="218" spans="1:17">
      <c r="A218" s="788" t="s">
        <v>1526</v>
      </c>
      <c r="B218" s="187" t="s">
        <v>110</v>
      </c>
      <c r="C218" s="215">
        <v>322082</v>
      </c>
      <c r="D218" s="215">
        <v>3327205</v>
      </c>
      <c r="F218" s="215">
        <f t="shared" si="20"/>
        <v>3327205</v>
      </c>
      <c r="G218" s="215">
        <f t="shared" si="21"/>
        <v>3649287</v>
      </c>
      <c r="H218" s="680" t="s">
        <v>6153</v>
      </c>
      <c r="I218" s="681" t="s">
        <v>3508</v>
      </c>
      <c r="J218" s="187" t="str">
        <f t="shared" si="19"/>
        <v>043-904</v>
      </c>
      <c r="K218" s="187">
        <v>43</v>
      </c>
      <c r="L218" s="187">
        <v>904</v>
      </c>
      <c r="M218" s="187" t="str">
        <f t="shared" si="22"/>
        <v>043</v>
      </c>
      <c r="N218" s="187">
        <f t="shared" si="23"/>
        <v>904</v>
      </c>
      <c r="O218" s="187" t="str">
        <f t="shared" si="24"/>
        <v>043-904</v>
      </c>
      <c r="Q218" s="679" t="s">
        <v>7075</v>
      </c>
    </row>
    <row r="219" spans="1:17">
      <c r="A219" s="788" t="s">
        <v>1312</v>
      </c>
      <c r="B219" s="187" t="s">
        <v>117</v>
      </c>
      <c r="C219" s="215">
        <v>22100877</v>
      </c>
      <c r="D219" s="215">
        <v>100849845</v>
      </c>
      <c r="F219" s="215">
        <f t="shared" si="20"/>
        <v>100849845</v>
      </c>
      <c r="G219" s="215">
        <f t="shared" si="21"/>
        <v>122950722</v>
      </c>
      <c r="H219" s="680" t="s">
        <v>6153</v>
      </c>
      <c r="I219" s="681" t="s">
        <v>3508</v>
      </c>
      <c r="J219" s="187" t="str">
        <f t="shared" si="19"/>
        <v>043-905</v>
      </c>
      <c r="K219" s="187">
        <v>43</v>
      </c>
      <c r="L219" s="187">
        <v>905</v>
      </c>
      <c r="M219" s="187" t="str">
        <f t="shared" si="22"/>
        <v>043</v>
      </c>
      <c r="N219" s="187">
        <f t="shared" si="23"/>
        <v>905</v>
      </c>
      <c r="O219" s="187" t="str">
        <f t="shared" si="24"/>
        <v>043-905</v>
      </c>
      <c r="Q219" s="679" t="s">
        <v>7076</v>
      </c>
    </row>
    <row r="220" spans="1:17">
      <c r="A220" s="788" t="s">
        <v>6168</v>
      </c>
      <c r="B220" s="187" t="s">
        <v>6076</v>
      </c>
      <c r="C220" s="215">
        <v>29816825</v>
      </c>
      <c r="D220" s="215">
        <v>89558631</v>
      </c>
      <c r="F220" s="215">
        <f t="shared" si="20"/>
        <v>89558631</v>
      </c>
      <c r="G220" s="215">
        <f t="shared" si="21"/>
        <v>119375456</v>
      </c>
      <c r="H220" s="680" t="s">
        <v>6153</v>
      </c>
      <c r="I220" s="681" t="s">
        <v>3508</v>
      </c>
      <c r="J220" s="187" t="str">
        <f t="shared" si="19"/>
        <v>043-907</v>
      </c>
      <c r="K220" s="187">
        <v>43</v>
      </c>
      <c r="L220" s="187">
        <v>907</v>
      </c>
      <c r="M220" s="187" t="str">
        <f t="shared" si="22"/>
        <v>043</v>
      </c>
      <c r="N220" s="187">
        <f t="shared" si="23"/>
        <v>907</v>
      </c>
      <c r="O220" s="187" t="str">
        <f t="shared" si="24"/>
        <v>043-907</v>
      </c>
      <c r="Q220" s="679" t="s">
        <v>7077</v>
      </c>
    </row>
    <row r="221" spans="1:17">
      <c r="A221" s="788" t="s">
        <v>5913</v>
      </c>
      <c r="B221" s="187" t="s">
        <v>2862</v>
      </c>
      <c r="C221" s="215">
        <v>1067563</v>
      </c>
      <c r="D221" s="215">
        <v>3299537</v>
      </c>
      <c r="F221" s="215">
        <f t="shared" si="20"/>
        <v>3299537</v>
      </c>
      <c r="G221" s="215">
        <f t="shared" si="21"/>
        <v>4367100</v>
      </c>
      <c r="H221" s="680" t="s">
        <v>6153</v>
      </c>
      <c r="I221" s="681" t="s">
        <v>3508</v>
      </c>
      <c r="J221" s="187" t="str">
        <f t="shared" si="19"/>
        <v>043-908</v>
      </c>
      <c r="K221" s="187">
        <v>43</v>
      </c>
      <c r="L221" s="187">
        <v>908</v>
      </c>
      <c r="M221" s="187" t="str">
        <f t="shared" si="22"/>
        <v>043</v>
      </c>
      <c r="N221" s="187">
        <f t="shared" si="23"/>
        <v>908</v>
      </c>
      <c r="O221" s="187" t="str">
        <f t="shared" si="24"/>
        <v>043-908</v>
      </c>
      <c r="Q221" s="679" t="s">
        <v>7078</v>
      </c>
    </row>
    <row r="222" spans="1:17">
      <c r="A222" s="788" t="s">
        <v>3546</v>
      </c>
      <c r="B222" s="187" t="s">
        <v>2863</v>
      </c>
      <c r="C222" s="215">
        <v>65810115</v>
      </c>
      <c r="D222" s="215">
        <v>414005618</v>
      </c>
      <c r="F222" s="215">
        <f t="shared" si="20"/>
        <v>414005618</v>
      </c>
      <c r="G222" s="215">
        <f t="shared" si="21"/>
        <v>479815733</v>
      </c>
      <c r="H222" s="680" t="s">
        <v>6153</v>
      </c>
      <c r="I222" s="681" t="s">
        <v>3508</v>
      </c>
      <c r="J222" s="187" t="str">
        <f t="shared" si="19"/>
        <v>043-910</v>
      </c>
      <c r="K222" s="187">
        <v>43</v>
      </c>
      <c r="L222" s="187">
        <v>910</v>
      </c>
      <c r="M222" s="187" t="str">
        <f t="shared" si="22"/>
        <v>043</v>
      </c>
      <c r="N222" s="187">
        <f t="shared" si="23"/>
        <v>910</v>
      </c>
      <c r="O222" s="187" t="str">
        <f t="shared" si="24"/>
        <v>043-910</v>
      </c>
      <c r="Q222" s="679" t="s">
        <v>7079</v>
      </c>
    </row>
    <row r="223" spans="1:17">
      <c r="A223" s="788" t="s">
        <v>5132</v>
      </c>
      <c r="B223" s="187" t="s">
        <v>352</v>
      </c>
      <c r="C223" s="215">
        <v>1080324</v>
      </c>
      <c r="D223" s="215">
        <v>4668978</v>
      </c>
      <c r="F223" s="215">
        <f t="shared" si="20"/>
        <v>4668978</v>
      </c>
      <c r="G223" s="215">
        <f t="shared" si="21"/>
        <v>5749302</v>
      </c>
      <c r="H223" s="680" t="s">
        <v>6153</v>
      </c>
      <c r="I223" s="681" t="s">
        <v>3508</v>
      </c>
      <c r="J223" s="187" t="str">
        <f t="shared" si="19"/>
        <v>043-911</v>
      </c>
      <c r="K223" s="187">
        <v>43</v>
      </c>
      <c r="L223" s="187">
        <v>911</v>
      </c>
      <c r="M223" s="187" t="str">
        <f t="shared" si="22"/>
        <v>043</v>
      </c>
      <c r="N223" s="187">
        <f t="shared" si="23"/>
        <v>911</v>
      </c>
      <c r="O223" s="187" t="str">
        <f t="shared" si="24"/>
        <v>043-911</v>
      </c>
      <c r="Q223" s="679" t="s">
        <v>7080</v>
      </c>
    </row>
    <row r="224" spans="1:17">
      <c r="A224" s="788" t="s">
        <v>649</v>
      </c>
      <c r="B224" s="187" t="s">
        <v>354</v>
      </c>
      <c r="C224" s="215">
        <v>2876493</v>
      </c>
      <c r="D224" s="215">
        <v>9601170</v>
      </c>
      <c r="F224" s="215">
        <f t="shared" si="20"/>
        <v>9601170</v>
      </c>
      <c r="G224" s="215">
        <f t="shared" si="21"/>
        <v>12477663</v>
      </c>
      <c r="H224" s="680" t="s">
        <v>6153</v>
      </c>
      <c r="I224" s="681" t="s">
        <v>3508</v>
      </c>
      <c r="J224" s="187" t="str">
        <f t="shared" si="19"/>
        <v>043-912</v>
      </c>
      <c r="K224" s="187">
        <v>43</v>
      </c>
      <c r="L224" s="187">
        <v>912</v>
      </c>
      <c r="M224" s="187" t="str">
        <f t="shared" si="22"/>
        <v>043</v>
      </c>
      <c r="N224" s="187">
        <f t="shared" si="23"/>
        <v>912</v>
      </c>
      <c r="O224" s="187" t="str">
        <f t="shared" si="24"/>
        <v>043-912</v>
      </c>
      <c r="Q224" s="679" t="s">
        <v>7081</v>
      </c>
    </row>
    <row r="225" spans="1:17">
      <c r="A225" s="788" t="s">
        <v>861</v>
      </c>
      <c r="B225" s="187" t="s">
        <v>2008</v>
      </c>
      <c r="C225" s="215">
        <v>5515504</v>
      </c>
      <c r="D225" s="215">
        <v>27666194</v>
      </c>
      <c r="F225" s="215">
        <f t="shared" si="20"/>
        <v>27666194</v>
      </c>
      <c r="G225" s="215">
        <f t="shared" si="21"/>
        <v>33181698</v>
      </c>
      <c r="H225" s="680" t="s">
        <v>6153</v>
      </c>
      <c r="I225" s="681" t="s">
        <v>3508</v>
      </c>
      <c r="J225" s="187" t="str">
        <f t="shared" si="19"/>
        <v>043-914</v>
      </c>
      <c r="K225" s="187">
        <v>43</v>
      </c>
      <c r="L225" s="187">
        <v>914</v>
      </c>
      <c r="M225" s="187" t="str">
        <f t="shared" si="22"/>
        <v>043</v>
      </c>
      <c r="N225" s="187">
        <f t="shared" si="23"/>
        <v>914</v>
      </c>
      <c r="O225" s="187" t="str">
        <f t="shared" si="24"/>
        <v>043-914</v>
      </c>
      <c r="Q225" s="679" t="s">
        <v>7082</v>
      </c>
    </row>
    <row r="226" spans="1:17">
      <c r="A226" s="788" t="s">
        <v>956</v>
      </c>
      <c r="B226" s="187" t="s">
        <v>7661</v>
      </c>
      <c r="C226" s="215">
        <v>251244</v>
      </c>
      <c r="D226" s="215">
        <v>1324424</v>
      </c>
      <c r="E226" s="215">
        <v>39993</v>
      </c>
      <c r="F226" s="215">
        <f t="shared" si="20"/>
        <v>1364417</v>
      </c>
      <c r="G226" s="215">
        <f t="shared" si="21"/>
        <v>1615661</v>
      </c>
      <c r="H226" s="680" t="s">
        <v>6153</v>
      </c>
      <c r="I226" s="681" t="s">
        <v>3508</v>
      </c>
      <c r="J226" s="187" t="str">
        <f t="shared" ref="J226:J289" si="25">+A226</f>
        <v>043-917</v>
      </c>
      <c r="K226" s="187">
        <v>43</v>
      </c>
      <c r="L226" s="187">
        <v>917</v>
      </c>
      <c r="M226" s="187" t="str">
        <f t="shared" si="22"/>
        <v>043</v>
      </c>
      <c r="N226" s="187">
        <f t="shared" si="23"/>
        <v>917</v>
      </c>
      <c r="O226" s="187" t="str">
        <f t="shared" si="24"/>
        <v>043-917</v>
      </c>
      <c r="Q226" s="679" t="s">
        <v>7083</v>
      </c>
    </row>
    <row r="227" spans="1:17">
      <c r="A227" s="788" t="s">
        <v>236</v>
      </c>
      <c r="B227" s="187" t="s">
        <v>2643</v>
      </c>
      <c r="C227" s="215">
        <v>432648</v>
      </c>
      <c r="D227" s="215">
        <v>3797964</v>
      </c>
      <c r="F227" s="215">
        <f t="shared" si="20"/>
        <v>3797964</v>
      </c>
      <c r="G227" s="215">
        <f t="shared" si="21"/>
        <v>4230612</v>
      </c>
      <c r="H227" s="680" t="s">
        <v>6153</v>
      </c>
      <c r="I227" s="681" t="s">
        <v>3508</v>
      </c>
      <c r="J227" s="187" t="str">
        <f t="shared" si="25"/>
        <v>043-918</v>
      </c>
      <c r="K227" s="187">
        <v>43</v>
      </c>
      <c r="L227" s="187">
        <v>918</v>
      </c>
      <c r="M227" s="187" t="str">
        <f t="shared" si="22"/>
        <v>043</v>
      </c>
      <c r="N227" s="187">
        <f t="shared" si="23"/>
        <v>918</v>
      </c>
      <c r="O227" s="187" t="str">
        <f t="shared" si="24"/>
        <v>043-918</v>
      </c>
      <c r="Q227" s="679" t="s">
        <v>7084</v>
      </c>
    </row>
    <row r="228" spans="1:17">
      <c r="A228" s="788" t="s">
        <v>3548</v>
      </c>
      <c r="B228" s="187" t="s">
        <v>2864</v>
      </c>
      <c r="C228" s="215">
        <v>2796500</v>
      </c>
      <c r="D228" s="215">
        <v>13020663</v>
      </c>
      <c r="F228" s="215">
        <f t="shared" si="20"/>
        <v>13020663</v>
      </c>
      <c r="G228" s="215">
        <f t="shared" si="21"/>
        <v>15817163</v>
      </c>
      <c r="H228" s="680" t="s">
        <v>6153</v>
      </c>
      <c r="I228" s="681" t="s">
        <v>3508</v>
      </c>
      <c r="J228" s="187" t="str">
        <f t="shared" si="25"/>
        <v>043-919</v>
      </c>
      <c r="K228" s="187">
        <v>43</v>
      </c>
      <c r="L228" s="187">
        <v>919</v>
      </c>
      <c r="M228" s="187" t="str">
        <f t="shared" si="22"/>
        <v>043</v>
      </c>
      <c r="N228" s="187">
        <f t="shared" si="23"/>
        <v>919</v>
      </c>
      <c r="O228" s="187" t="str">
        <f t="shared" si="24"/>
        <v>043-919</v>
      </c>
      <c r="Q228" s="679" t="s">
        <v>7085</v>
      </c>
    </row>
    <row r="229" spans="1:17">
      <c r="A229" s="788" t="s">
        <v>3550</v>
      </c>
      <c r="B229" s="187" t="s">
        <v>2865</v>
      </c>
      <c r="C229" s="215">
        <v>0</v>
      </c>
      <c r="D229" s="215">
        <v>798083</v>
      </c>
      <c r="F229" s="215">
        <f t="shared" si="20"/>
        <v>798083</v>
      </c>
      <c r="G229" s="215">
        <f t="shared" si="21"/>
        <v>798083</v>
      </c>
      <c r="H229" s="680" t="s">
        <v>6153</v>
      </c>
      <c r="I229" s="681" t="s">
        <v>3508</v>
      </c>
      <c r="J229" s="187" t="str">
        <f t="shared" si="25"/>
        <v>044-902</v>
      </c>
      <c r="K229" s="187">
        <v>44</v>
      </c>
      <c r="L229" s="187">
        <v>902</v>
      </c>
      <c r="M229" s="187" t="str">
        <f t="shared" si="22"/>
        <v>044</v>
      </c>
      <c r="N229" s="187">
        <f t="shared" si="23"/>
        <v>902</v>
      </c>
      <c r="O229" s="187" t="str">
        <f t="shared" si="24"/>
        <v>044-902</v>
      </c>
      <c r="Q229" s="679" t="s">
        <v>7086</v>
      </c>
    </row>
    <row r="230" spans="1:17">
      <c r="A230" s="788" t="s">
        <v>206</v>
      </c>
      <c r="B230" s="187" t="s">
        <v>2866</v>
      </c>
      <c r="C230" s="215">
        <v>0</v>
      </c>
      <c r="D230" s="215">
        <v>388271</v>
      </c>
      <c r="F230" s="215">
        <f t="shared" si="20"/>
        <v>388271</v>
      </c>
      <c r="G230" s="215">
        <f t="shared" si="21"/>
        <v>388271</v>
      </c>
      <c r="H230" s="680" t="s">
        <v>6153</v>
      </c>
      <c r="I230" s="681" t="s">
        <v>3508</v>
      </c>
      <c r="J230" s="187" t="str">
        <f t="shared" si="25"/>
        <v>044-904</v>
      </c>
      <c r="K230" s="187">
        <v>44</v>
      </c>
      <c r="L230" s="187">
        <v>904</v>
      </c>
      <c r="M230" s="187" t="str">
        <f t="shared" si="22"/>
        <v>044</v>
      </c>
      <c r="N230" s="187">
        <f t="shared" si="23"/>
        <v>904</v>
      </c>
      <c r="O230" s="187" t="str">
        <f t="shared" si="24"/>
        <v>044-904</v>
      </c>
      <c r="Q230" s="679" t="s">
        <v>7087</v>
      </c>
    </row>
    <row r="231" spans="1:17">
      <c r="A231" s="788" t="s">
        <v>234</v>
      </c>
      <c r="B231" s="187" t="s">
        <v>2641</v>
      </c>
      <c r="C231" s="215">
        <v>920944</v>
      </c>
      <c r="D231" s="215">
        <v>6816049</v>
      </c>
      <c r="F231" s="215">
        <f t="shared" si="20"/>
        <v>6816049</v>
      </c>
      <c r="G231" s="215">
        <f t="shared" si="21"/>
        <v>7736993</v>
      </c>
      <c r="H231" s="680" t="s">
        <v>6153</v>
      </c>
      <c r="I231" s="681" t="s">
        <v>3508</v>
      </c>
      <c r="J231" s="187" t="str">
        <f t="shared" si="25"/>
        <v>045-902</v>
      </c>
      <c r="K231" s="187">
        <v>45</v>
      </c>
      <c r="L231" s="187">
        <v>902</v>
      </c>
      <c r="M231" s="187" t="str">
        <f t="shared" si="22"/>
        <v>045</v>
      </c>
      <c r="N231" s="187">
        <f t="shared" si="23"/>
        <v>902</v>
      </c>
      <c r="O231" s="187" t="str">
        <f t="shared" si="24"/>
        <v>045-902</v>
      </c>
      <c r="Q231" s="679" t="s">
        <v>7088</v>
      </c>
    </row>
    <row r="232" spans="1:17">
      <c r="A232" s="788" t="s">
        <v>208</v>
      </c>
      <c r="B232" s="187" t="s">
        <v>2867</v>
      </c>
      <c r="C232" s="215">
        <v>343926</v>
      </c>
      <c r="D232" s="215">
        <v>6066514</v>
      </c>
      <c r="F232" s="215">
        <f t="shared" si="20"/>
        <v>6066514</v>
      </c>
      <c r="G232" s="215">
        <f t="shared" si="21"/>
        <v>6410440</v>
      </c>
      <c r="H232" s="680" t="s">
        <v>6153</v>
      </c>
      <c r="I232" s="681" t="s">
        <v>3508</v>
      </c>
      <c r="J232" s="187" t="str">
        <f t="shared" si="25"/>
        <v>045-903</v>
      </c>
      <c r="K232" s="187">
        <v>45</v>
      </c>
      <c r="L232" s="187">
        <v>903</v>
      </c>
      <c r="M232" s="187" t="str">
        <f t="shared" si="22"/>
        <v>045</v>
      </c>
      <c r="N232" s="187">
        <f t="shared" si="23"/>
        <v>903</v>
      </c>
      <c r="O232" s="187" t="str">
        <f t="shared" si="24"/>
        <v>045-903</v>
      </c>
      <c r="Q232" s="679" t="s">
        <v>7089</v>
      </c>
    </row>
    <row r="233" spans="1:17">
      <c r="A233" s="788" t="s">
        <v>210</v>
      </c>
      <c r="B233" s="187" t="s">
        <v>2868</v>
      </c>
      <c r="C233" s="215">
        <v>338224</v>
      </c>
      <c r="D233" s="215">
        <v>2770297</v>
      </c>
      <c r="F233" s="215">
        <f t="shared" si="20"/>
        <v>2770297</v>
      </c>
      <c r="G233" s="215">
        <f t="shared" si="21"/>
        <v>3108521</v>
      </c>
      <c r="H233" s="680" t="s">
        <v>6153</v>
      </c>
      <c r="I233" s="681" t="s">
        <v>3508</v>
      </c>
      <c r="J233" s="187" t="str">
        <f t="shared" si="25"/>
        <v>045-905</v>
      </c>
      <c r="K233" s="187">
        <v>45</v>
      </c>
      <c r="L233" s="187">
        <v>905</v>
      </c>
      <c r="M233" s="187" t="str">
        <f t="shared" si="22"/>
        <v>045</v>
      </c>
      <c r="N233" s="187">
        <f t="shared" si="23"/>
        <v>905</v>
      </c>
      <c r="O233" s="187" t="str">
        <f t="shared" si="24"/>
        <v>045-905</v>
      </c>
      <c r="Q233" s="679" t="s">
        <v>7090</v>
      </c>
    </row>
    <row r="234" spans="1:17">
      <c r="A234" s="788" t="s">
        <v>7254</v>
      </c>
      <c r="B234" s="187" t="s">
        <v>7255</v>
      </c>
      <c r="C234" s="215">
        <v>0</v>
      </c>
      <c r="D234" s="215">
        <v>0</v>
      </c>
      <c r="F234" s="215">
        <f t="shared" si="20"/>
        <v>0</v>
      </c>
      <c r="G234" s="215">
        <f t="shared" si="21"/>
        <v>0</v>
      </c>
      <c r="H234" s="680" t="s">
        <v>6153</v>
      </c>
      <c r="I234" s="681" t="s">
        <v>3508</v>
      </c>
      <c r="J234" s="187" t="str">
        <f t="shared" si="25"/>
        <v>046-801</v>
      </c>
      <c r="K234" s="187">
        <v>46</v>
      </c>
      <c r="L234" s="187">
        <v>801</v>
      </c>
      <c r="M234" s="187" t="str">
        <f t="shared" si="22"/>
        <v>046</v>
      </c>
      <c r="N234" s="187">
        <f t="shared" si="23"/>
        <v>801</v>
      </c>
      <c r="O234" s="187" t="str">
        <f t="shared" si="24"/>
        <v>046-801</v>
      </c>
      <c r="Q234" s="679" t="s">
        <v>7091</v>
      </c>
    </row>
    <row r="235" spans="1:17">
      <c r="A235" s="788" t="s">
        <v>7256</v>
      </c>
      <c r="B235" s="187" t="s">
        <v>7257</v>
      </c>
      <c r="C235" s="215">
        <v>0</v>
      </c>
      <c r="D235" s="215">
        <v>0</v>
      </c>
      <c r="F235" s="215">
        <f t="shared" si="20"/>
        <v>0</v>
      </c>
      <c r="G235" s="215">
        <f t="shared" si="21"/>
        <v>0</v>
      </c>
      <c r="H235" s="680" t="s">
        <v>6153</v>
      </c>
      <c r="I235" s="681" t="s">
        <v>3508</v>
      </c>
      <c r="J235" s="187" t="str">
        <f t="shared" si="25"/>
        <v>046-802</v>
      </c>
      <c r="K235" s="187">
        <v>46</v>
      </c>
      <c r="L235" s="187">
        <v>802</v>
      </c>
      <c r="M235" s="187" t="str">
        <f t="shared" si="22"/>
        <v>046</v>
      </c>
      <c r="N235" s="187">
        <f t="shared" si="23"/>
        <v>802</v>
      </c>
      <c r="O235" s="187" t="str">
        <f t="shared" si="24"/>
        <v>046-802</v>
      </c>
      <c r="Q235" s="679" t="s">
        <v>7092</v>
      </c>
    </row>
    <row r="236" spans="1:17">
      <c r="A236" s="788" t="s">
        <v>212</v>
      </c>
      <c r="B236" s="187" t="s">
        <v>2869</v>
      </c>
      <c r="C236" s="215">
        <v>6500746</v>
      </c>
      <c r="D236" s="215">
        <v>24629910</v>
      </c>
      <c r="F236" s="215">
        <f t="shared" si="20"/>
        <v>24629910</v>
      </c>
      <c r="G236" s="215">
        <f t="shared" si="21"/>
        <v>31130656</v>
      </c>
      <c r="H236" s="680" t="s">
        <v>6153</v>
      </c>
      <c r="I236" s="681" t="s">
        <v>3508</v>
      </c>
      <c r="J236" s="187" t="str">
        <f t="shared" si="25"/>
        <v>046-901</v>
      </c>
      <c r="K236" s="187">
        <v>46</v>
      </c>
      <c r="L236" s="187">
        <v>901</v>
      </c>
      <c r="M236" s="187" t="str">
        <f t="shared" si="22"/>
        <v>046</v>
      </c>
      <c r="N236" s="187">
        <f t="shared" si="23"/>
        <v>901</v>
      </c>
      <c r="O236" s="187" t="str">
        <f t="shared" si="24"/>
        <v>046-901</v>
      </c>
      <c r="Q236" s="679" t="s">
        <v>7093</v>
      </c>
    </row>
    <row r="237" spans="1:17">
      <c r="A237" s="788" t="s">
        <v>214</v>
      </c>
      <c r="B237" s="187" t="s">
        <v>2870</v>
      </c>
      <c r="C237" s="215">
        <v>14452176</v>
      </c>
      <c r="D237" s="215">
        <v>68179801</v>
      </c>
      <c r="F237" s="215">
        <f t="shared" si="20"/>
        <v>68179801</v>
      </c>
      <c r="G237" s="215">
        <f t="shared" si="21"/>
        <v>82631977</v>
      </c>
      <c r="H237" s="680" t="s">
        <v>6153</v>
      </c>
      <c r="I237" s="681" t="s">
        <v>3508</v>
      </c>
      <c r="J237" s="187" t="str">
        <f t="shared" si="25"/>
        <v>046-902</v>
      </c>
      <c r="K237" s="187">
        <v>46</v>
      </c>
      <c r="L237" s="187">
        <v>902</v>
      </c>
      <c r="M237" s="187" t="str">
        <f t="shared" si="22"/>
        <v>046</v>
      </c>
      <c r="N237" s="187">
        <f t="shared" si="23"/>
        <v>902</v>
      </c>
      <c r="O237" s="187" t="str">
        <f t="shared" si="24"/>
        <v>046-902</v>
      </c>
      <c r="Q237" s="679" t="s">
        <v>7094</v>
      </c>
    </row>
    <row r="238" spans="1:17">
      <c r="A238" s="788" t="s">
        <v>2714</v>
      </c>
      <c r="B238" s="187" t="s">
        <v>2871</v>
      </c>
      <c r="C238" s="215">
        <v>2041</v>
      </c>
      <c r="D238" s="215">
        <v>2253545</v>
      </c>
      <c r="F238" s="215">
        <f t="shared" si="20"/>
        <v>2253545</v>
      </c>
      <c r="G238" s="215">
        <f t="shared" si="21"/>
        <v>2255586</v>
      </c>
      <c r="H238" s="680" t="s">
        <v>6153</v>
      </c>
      <c r="I238" s="681" t="s">
        <v>3508</v>
      </c>
      <c r="J238" s="187" t="str">
        <f t="shared" si="25"/>
        <v>047-901</v>
      </c>
      <c r="K238" s="187">
        <v>47</v>
      </c>
      <c r="L238" s="187">
        <v>901</v>
      </c>
      <c r="M238" s="187" t="str">
        <f t="shared" si="22"/>
        <v>047</v>
      </c>
      <c r="N238" s="187">
        <f t="shared" si="23"/>
        <v>901</v>
      </c>
      <c r="O238" s="187" t="str">
        <f t="shared" si="24"/>
        <v>047-901</v>
      </c>
      <c r="Q238" s="679" t="s">
        <v>7095</v>
      </c>
    </row>
    <row r="239" spans="1:17">
      <c r="A239" s="788" t="s">
        <v>250</v>
      </c>
      <c r="B239" s="187" t="s">
        <v>995</v>
      </c>
      <c r="C239" s="215">
        <v>34211</v>
      </c>
      <c r="D239" s="215">
        <v>1508950</v>
      </c>
      <c r="E239" s="215">
        <v>65180</v>
      </c>
      <c r="F239" s="215">
        <f t="shared" si="20"/>
        <v>1574130</v>
      </c>
      <c r="G239" s="215">
        <f t="shared" si="21"/>
        <v>1608341</v>
      </c>
      <c r="H239" s="680" t="s">
        <v>6153</v>
      </c>
      <c r="I239" s="681" t="s">
        <v>3508</v>
      </c>
      <c r="J239" s="187" t="str">
        <f t="shared" si="25"/>
        <v>047-902</v>
      </c>
      <c r="K239" s="187">
        <v>47</v>
      </c>
      <c r="L239" s="187">
        <v>902</v>
      </c>
      <c r="M239" s="187" t="str">
        <f t="shared" si="22"/>
        <v>047</v>
      </c>
      <c r="N239" s="187">
        <f t="shared" si="23"/>
        <v>902</v>
      </c>
      <c r="O239" s="187" t="str">
        <f t="shared" si="24"/>
        <v>047-902</v>
      </c>
      <c r="Q239" s="679" t="s">
        <v>7096</v>
      </c>
    </row>
    <row r="240" spans="1:17">
      <c r="A240" s="788" t="s">
        <v>2162</v>
      </c>
      <c r="B240" s="187" t="s">
        <v>3915</v>
      </c>
      <c r="C240" s="215">
        <v>27292</v>
      </c>
      <c r="D240" s="215">
        <v>447921</v>
      </c>
      <c r="F240" s="215">
        <f t="shared" si="20"/>
        <v>447921</v>
      </c>
      <c r="G240" s="215">
        <f t="shared" si="21"/>
        <v>475213</v>
      </c>
      <c r="H240" s="680" t="s">
        <v>6153</v>
      </c>
      <c r="I240" s="681" t="s">
        <v>3508</v>
      </c>
      <c r="J240" s="187" t="str">
        <f t="shared" si="25"/>
        <v>047-903</v>
      </c>
      <c r="K240" s="187">
        <v>47</v>
      </c>
      <c r="L240" s="187">
        <v>903</v>
      </c>
      <c r="M240" s="187" t="str">
        <f t="shared" si="22"/>
        <v>047</v>
      </c>
      <c r="N240" s="187">
        <f t="shared" si="23"/>
        <v>903</v>
      </c>
      <c r="O240" s="187" t="str">
        <f t="shared" si="24"/>
        <v>047-903</v>
      </c>
      <c r="Q240" s="679" t="s">
        <v>7097</v>
      </c>
    </row>
    <row r="241" spans="1:17">
      <c r="A241" s="788" t="s">
        <v>2716</v>
      </c>
      <c r="B241" s="187" t="s">
        <v>2872</v>
      </c>
      <c r="C241" s="215">
        <v>0</v>
      </c>
      <c r="D241" s="215">
        <v>196636</v>
      </c>
      <c r="F241" s="215">
        <f t="shared" si="20"/>
        <v>196636</v>
      </c>
      <c r="G241" s="215">
        <f t="shared" si="21"/>
        <v>196636</v>
      </c>
      <c r="H241" s="680" t="s">
        <v>6153</v>
      </c>
      <c r="I241" s="681" t="s">
        <v>3508</v>
      </c>
      <c r="J241" s="187" t="str">
        <f t="shared" si="25"/>
        <v>047-905</v>
      </c>
      <c r="K241" s="187">
        <v>47</v>
      </c>
      <c r="L241" s="187">
        <v>905</v>
      </c>
      <c r="M241" s="187" t="str">
        <f t="shared" si="22"/>
        <v>047</v>
      </c>
      <c r="N241" s="187">
        <f t="shared" si="23"/>
        <v>905</v>
      </c>
      <c r="O241" s="187" t="str">
        <f t="shared" si="24"/>
        <v>047-905</v>
      </c>
      <c r="Q241" s="679" t="s">
        <v>7098</v>
      </c>
    </row>
    <row r="242" spans="1:17">
      <c r="A242" s="788" t="s">
        <v>2718</v>
      </c>
      <c r="B242" s="187" t="s">
        <v>2873</v>
      </c>
      <c r="C242" s="215">
        <v>0</v>
      </c>
      <c r="D242" s="215">
        <v>1459016</v>
      </c>
      <c r="F242" s="215">
        <f t="shared" si="20"/>
        <v>1459016</v>
      </c>
      <c r="G242" s="215">
        <f t="shared" si="21"/>
        <v>1459016</v>
      </c>
      <c r="H242" s="680" t="s">
        <v>6153</v>
      </c>
      <c r="I242" s="681" t="s">
        <v>3508</v>
      </c>
      <c r="J242" s="187" t="str">
        <f t="shared" si="25"/>
        <v>048-901</v>
      </c>
      <c r="K242" s="187">
        <v>48</v>
      </c>
      <c r="L242" s="187">
        <v>901</v>
      </c>
      <c r="M242" s="187" t="str">
        <f t="shared" si="22"/>
        <v>048</v>
      </c>
      <c r="N242" s="187">
        <f t="shared" si="23"/>
        <v>901</v>
      </c>
      <c r="O242" s="187" t="str">
        <f t="shared" si="24"/>
        <v>048-901</v>
      </c>
      <c r="Q242" s="679" t="s">
        <v>7099</v>
      </c>
    </row>
    <row r="243" spans="1:17">
      <c r="A243" s="788" t="s">
        <v>2720</v>
      </c>
      <c r="B243" s="187" t="s">
        <v>2874</v>
      </c>
      <c r="C243" s="215">
        <v>0</v>
      </c>
      <c r="D243" s="215">
        <v>823051</v>
      </c>
      <c r="F243" s="215">
        <f t="shared" si="20"/>
        <v>823051</v>
      </c>
      <c r="G243" s="215">
        <f t="shared" si="21"/>
        <v>823051</v>
      </c>
      <c r="H243" s="680" t="s">
        <v>6153</v>
      </c>
      <c r="I243" s="681" t="s">
        <v>3508</v>
      </c>
      <c r="J243" s="187" t="str">
        <f t="shared" si="25"/>
        <v>048-903</v>
      </c>
      <c r="K243" s="187">
        <v>48</v>
      </c>
      <c r="L243" s="187">
        <v>903</v>
      </c>
      <c r="M243" s="187" t="str">
        <f t="shared" si="22"/>
        <v>048</v>
      </c>
      <c r="N243" s="187">
        <f t="shared" si="23"/>
        <v>903</v>
      </c>
      <c r="O243" s="187" t="str">
        <f t="shared" si="24"/>
        <v>048-903</v>
      </c>
      <c r="Q243" s="679" t="s">
        <v>7100</v>
      </c>
    </row>
    <row r="244" spans="1:17">
      <c r="A244" s="788" t="s">
        <v>1314</v>
      </c>
      <c r="B244" s="187" t="s">
        <v>119</v>
      </c>
      <c r="C244" s="215">
        <v>341612</v>
      </c>
      <c r="D244" s="215">
        <v>9302818</v>
      </c>
      <c r="F244" s="215">
        <f t="shared" si="20"/>
        <v>9302818</v>
      </c>
      <c r="G244" s="215">
        <f t="shared" si="21"/>
        <v>9644430</v>
      </c>
      <c r="H244" s="680" t="s">
        <v>6153</v>
      </c>
      <c r="I244" s="681" t="s">
        <v>3508</v>
      </c>
      <c r="J244" s="187" t="str">
        <f t="shared" si="25"/>
        <v>049-901</v>
      </c>
      <c r="K244" s="187">
        <v>49</v>
      </c>
      <c r="L244" s="187">
        <v>901</v>
      </c>
      <c r="M244" s="187" t="str">
        <f t="shared" si="22"/>
        <v>049</v>
      </c>
      <c r="N244" s="187">
        <f t="shared" si="23"/>
        <v>901</v>
      </c>
      <c r="O244" s="187" t="str">
        <f t="shared" si="24"/>
        <v>049-901</v>
      </c>
      <c r="Q244" s="679" t="s">
        <v>7101</v>
      </c>
    </row>
    <row r="245" spans="1:17">
      <c r="A245" s="788" t="s">
        <v>2722</v>
      </c>
      <c r="B245" s="187" t="s">
        <v>2875</v>
      </c>
      <c r="C245" s="215">
        <v>232007</v>
      </c>
      <c r="D245" s="215">
        <v>1934017</v>
      </c>
      <c r="F245" s="215">
        <f t="shared" si="20"/>
        <v>1934017</v>
      </c>
      <c r="G245" s="215">
        <f t="shared" si="21"/>
        <v>2166024</v>
      </c>
      <c r="H245" s="680" t="s">
        <v>6153</v>
      </c>
      <c r="I245" s="681" t="s">
        <v>3508</v>
      </c>
      <c r="J245" s="187" t="str">
        <f t="shared" si="25"/>
        <v>049-902</v>
      </c>
      <c r="K245" s="187">
        <v>49</v>
      </c>
      <c r="L245" s="187">
        <v>902</v>
      </c>
      <c r="M245" s="187" t="str">
        <f t="shared" si="22"/>
        <v>049</v>
      </c>
      <c r="N245" s="187">
        <f t="shared" si="23"/>
        <v>902</v>
      </c>
      <c r="O245" s="187" t="str">
        <f t="shared" si="24"/>
        <v>049-902</v>
      </c>
      <c r="Q245" s="679" t="s">
        <v>7102</v>
      </c>
    </row>
    <row r="246" spans="1:17">
      <c r="A246" s="788" t="s">
        <v>442</v>
      </c>
      <c r="B246" s="187" t="s">
        <v>5372</v>
      </c>
      <c r="C246" s="215">
        <v>101863</v>
      </c>
      <c r="D246" s="215">
        <v>1780353</v>
      </c>
      <c r="F246" s="215">
        <f t="shared" si="20"/>
        <v>1780353</v>
      </c>
      <c r="G246" s="215">
        <f t="shared" si="21"/>
        <v>1882216</v>
      </c>
      <c r="H246" s="680" t="s">
        <v>6153</v>
      </c>
      <c r="I246" s="681" t="s">
        <v>3508</v>
      </c>
      <c r="J246" s="187" t="str">
        <f t="shared" si="25"/>
        <v>049-903</v>
      </c>
      <c r="K246" s="187">
        <v>49</v>
      </c>
      <c r="L246" s="187">
        <v>903</v>
      </c>
      <c r="M246" s="187" t="str">
        <f t="shared" si="22"/>
        <v>049</v>
      </c>
      <c r="N246" s="187">
        <f t="shared" si="23"/>
        <v>903</v>
      </c>
      <c r="O246" s="187" t="str">
        <f t="shared" si="24"/>
        <v>049-903</v>
      </c>
      <c r="Q246" s="679" t="s">
        <v>7103</v>
      </c>
    </row>
    <row r="247" spans="1:17">
      <c r="A247" s="788" t="s">
        <v>7258</v>
      </c>
      <c r="B247" s="187" t="s">
        <v>7259</v>
      </c>
      <c r="C247" s="215">
        <v>0</v>
      </c>
      <c r="D247" s="215">
        <v>0</v>
      </c>
      <c r="F247" s="215">
        <f t="shared" si="20"/>
        <v>0</v>
      </c>
      <c r="G247" s="215">
        <f t="shared" si="21"/>
        <v>0</v>
      </c>
      <c r="H247" s="680" t="s">
        <v>6153</v>
      </c>
      <c r="I247" s="681" t="s">
        <v>3508</v>
      </c>
      <c r="J247" s="187" t="str">
        <f t="shared" si="25"/>
        <v>049-904</v>
      </c>
      <c r="K247" s="187">
        <v>49</v>
      </c>
      <c r="L247" s="187">
        <v>904</v>
      </c>
      <c r="M247" s="187" t="str">
        <f t="shared" si="22"/>
        <v>049</v>
      </c>
      <c r="N247" s="187">
        <f t="shared" si="23"/>
        <v>904</v>
      </c>
      <c r="O247" s="187" t="str">
        <f t="shared" si="24"/>
        <v>049-904</v>
      </c>
      <c r="Q247" s="679" t="s">
        <v>7104</v>
      </c>
    </row>
    <row r="248" spans="1:17">
      <c r="A248" s="788" t="s">
        <v>2724</v>
      </c>
      <c r="B248" s="187" t="s">
        <v>2876</v>
      </c>
      <c r="C248" s="215">
        <v>264689</v>
      </c>
      <c r="D248" s="215">
        <v>5051731</v>
      </c>
      <c r="F248" s="215">
        <f t="shared" si="20"/>
        <v>5051731</v>
      </c>
      <c r="G248" s="215">
        <f t="shared" si="21"/>
        <v>5316420</v>
      </c>
      <c r="H248" s="680" t="s">
        <v>6153</v>
      </c>
      <c r="I248" s="681" t="s">
        <v>3508</v>
      </c>
      <c r="J248" s="187" t="str">
        <f t="shared" si="25"/>
        <v>049-905</v>
      </c>
      <c r="K248" s="187">
        <v>49</v>
      </c>
      <c r="L248" s="187">
        <v>905</v>
      </c>
      <c r="M248" s="187" t="str">
        <f t="shared" si="22"/>
        <v>049</v>
      </c>
      <c r="N248" s="187">
        <f t="shared" si="23"/>
        <v>905</v>
      </c>
      <c r="O248" s="187" t="str">
        <f t="shared" si="24"/>
        <v>049-905</v>
      </c>
      <c r="Q248" s="679" t="s">
        <v>7105</v>
      </c>
    </row>
    <row r="249" spans="1:17">
      <c r="A249" s="788" t="s">
        <v>5321</v>
      </c>
      <c r="B249" s="187" t="s">
        <v>2877</v>
      </c>
      <c r="C249" s="215">
        <v>44766</v>
      </c>
      <c r="D249" s="215">
        <v>930167</v>
      </c>
      <c r="F249" s="215">
        <f t="shared" si="20"/>
        <v>930167</v>
      </c>
      <c r="G249" s="215">
        <f t="shared" si="21"/>
        <v>974933</v>
      </c>
      <c r="H249" s="680" t="s">
        <v>6153</v>
      </c>
      <c r="I249" s="681" t="s">
        <v>3508</v>
      </c>
      <c r="J249" s="187" t="str">
        <f t="shared" si="25"/>
        <v>049-906</v>
      </c>
      <c r="K249" s="187">
        <v>49</v>
      </c>
      <c r="L249" s="187">
        <v>906</v>
      </c>
      <c r="M249" s="187" t="str">
        <f t="shared" si="22"/>
        <v>049</v>
      </c>
      <c r="N249" s="187">
        <f t="shared" si="23"/>
        <v>906</v>
      </c>
      <c r="O249" s="187" t="str">
        <f t="shared" si="24"/>
        <v>049-906</v>
      </c>
      <c r="Q249" s="679" t="s">
        <v>5674</v>
      </c>
    </row>
    <row r="250" spans="1:17">
      <c r="A250" s="788" t="s">
        <v>5323</v>
      </c>
      <c r="B250" s="187" t="s">
        <v>2878</v>
      </c>
      <c r="C250" s="215">
        <v>57733</v>
      </c>
      <c r="D250" s="215">
        <v>1607045</v>
      </c>
      <c r="F250" s="215">
        <f t="shared" si="20"/>
        <v>1607045</v>
      </c>
      <c r="G250" s="215">
        <f t="shared" si="21"/>
        <v>1664778</v>
      </c>
      <c r="H250" s="680" t="s">
        <v>6153</v>
      </c>
      <c r="I250" s="681" t="s">
        <v>3508</v>
      </c>
      <c r="J250" s="187" t="str">
        <f t="shared" si="25"/>
        <v>049-907</v>
      </c>
      <c r="K250" s="187">
        <v>49</v>
      </c>
      <c r="L250" s="187">
        <v>907</v>
      </c>
      <c r="M250" s="187" t="str">
        <f t="shared" si="22"/>
        <v>049</v>
      </c>
      <c r="N250" s="187">
        <f t="shared" si="23"/>
        <v>907</v>
      </c>
      <c r="O250" s="187" t="str">
        <f t="shared" si="24"/>
        <v>049-907</v>
      </c>
      <c r="Q250" s="679" t="s">
        <v>5675</v>
      </c>
    </row>
    <row r="251" spans="1:17">
      <c r="A251" s="788" t="s">
        <v>5325</v>
      </c>
      <c r="B251" s="187" t="s">
        <v>2879</v>
      </c>
      <c r="C251" s="215">
        <v>0</v>
      </c>
      <c r="D251" s="215">
        <v>151403</v>
      </c>
      <c r="F251" s="215">
        <f t="shared" si="20"/>
        <v>151403</v>
      </c>
      <c r="G251" s="215">
        <f t="shared" si="21"/>
        <v>151403</v>
      </c>
      <c r="H251" s="680" t="s">
        <v>6153</v>
      </c>
      <c r="I251" s="681" t="s">
        <v>3508</v>
      </c>
      <c r="J251" s="187" t="str">
        <f t="shared" si="25"/>
        <v>049-908</v>
      </c>
      <c r="K251" s="187">
        <v>49</v>
      </c>
      <c r="L251" s="187">
        <v>908</v>
      </c>
      <c r="M251" s="187" t="str">
        <f t="shared" si="22"/>
        <v>049</v>
      </c>
      <c r="N251" s="187">
        <f t="shared" si="23"/>
        <v>908</v>
      </c>
      <c r="O251" s="187" t="str">
        <f t="shared" si="24"/>
        <v>049-908</v>
      </c>
      <c r="Q251" s="679" t="s">
        <v>5676</v>
      </c>
    </row>
    <row r="252" spans="1:17">
      <c r="A252" s="788" t="s">
        <v>5327</v>
      </c>
      <c r="B252" s="187" t="s">
        <v>2880</v>
      </c>
      <c r="C252" s="215">
        <v>0</v>
      </c>
      <c r="D252" s="215">
        <v>863206</v>
      </c>
      <c r="F252" s="215">
        <f t="shared" si="20"/>
        <v>863206</v>
      </c>
      <c r="G252" s="215">
        <f t="shared" si="21"/>
        <v>863206</v>
      </c>
      <c r="H252" s="680" t="s">
        <v>6153</v>
      </c>
      <c r="I252" s="681" t="s">
        <v>3508</v>
      </c>
      <c r="J252" s="187" t="str">
        <f t="shared" si="25"/>
        <v>049-909</v>
      </c>
      <c r="K252" s="187">
        <v>49</v>
      </c>
      <c r="L252" s="187">
        <v>909</v>
      </c>
      <c r="M252" s="187" t="str">
        <f t="shared" si="22"/>
        <v>049</v>
      </c>
      <c r="N252" s="187">
        <f t="shared" si="23"/>
        <v>909</v>
      </c>
      <c r="O252" s="187" t="str">
        <f t="shared" si="24"/>
        <v>049-909</v>
      </c>
      <c r="Q252" s="679" t="s">
        <v>5677</v>
      </c>
    </row>
    <row r="253" spans="1:17">
      <c r="A253" s="788" t="s">
        <v>5329</v>
      </c>
      <c r="B253" s="187" t="s">
        <v>2881</v>
      </c>
      <c r="C253" s="215">
        <v>0</v>
      </c>
      <c r="D253" s="215">
        <v>683540</v>
      </c>
      <c r="F253" s="215">
        <f t="shared" si="20"/>
        <v>683540</v>
      </c>
      <c r="G253" s="215">
        <f t="shared" si="21"/>
        <v>683540</v>
      </c>
      <c r="H253" s="680" t="s">
        <v>6153</v>
      </c>
      <c r="I253" s="681" t="s">
        <v>3508</v>
      </c>
      <c r="J253" s="187" t="str">
        <f t="shared" si="25"/>
        <v>050-901</v>
      </c>
      <c r="K253" s="187">
        <v>50</v>
      </c>
      <c r="L253" s="187">
        <v>901</v>
      </c>
      <c r="M253" s="187" t="str">
        <f t="shared" si="22"/>
        <v>050</v>
      </c>
      <c r="N253" s="187">
        <f t="shared" si="23"/>
        <v>901</v>
      </c>
      <c r="O253" s="187" t="str">
        <f t="shared" si="24"/>
        <v>050-901</v>
      </c>
      <c r="Q253" s="679" t="s">
        <v>5678</v>
      </c>
    </row>
    <row r="254" spans="1:17">
      <c r="A254" s="788" t="s">
        <v>5331</v>
      </c>
      <c r="B254" s="187" t="s">
        <v>2882</v>
      </c>
      <c r="C254" s="215">
        <v>253063</v>
      </c>
      <c r="D254" s="215">
        <v>4433318</v>
      </c>
      <c r="F254" s="215">
        <f t="shared" si="20"/>
        <v>4433318</v>
      </c>
      <c r="G254" s="215">
        <f t="shared" si="21"/>
        <v>4686381</v>
      </c>
      <c r="H254" s="680" t="s">
        <v>6153</v>
      </c>
      <c r="I254" s="681" t="s">
        <v>3508</v>
      </c>
      <c r="J254" s="187" t="str">
        <f t="shared" si="25"/>
        <v>050-902</v>
      </c>
      <c r="K254" s="187">
        <v>50</v>
      </c>
      <c r="L254" s="187">
        <v>902</v>
      </c>
      <c r="M254" s="187" t="str">
        <f t="shared" si="22"/>
        <v>050</v>
      </c>
      <c r="N254" s="187">
        <f t="shared" si="23"/>
        <v>902</v>
      </c>
      <c r="O254" s="187" t="str">
        <f t="shared" si="24"/>
        <v>050-902</v>
      </c>
      <c r="Q254" s="679" t="s">
        <v>5679</v>
      </c>
    </row>
    <row r="255" spans="1:17">
      <c r="A255" s="788" t="s">
        <v>585</v>
      </c>
      <c r="B255" s="187" t="s">
        <v>3833</v>
      </c>
      <c r="C255" s="215">
        <v>35403</v>
      </c>
      <c r="D255" s="215">
        <v>276840</v>
      </c>
      <c r="F255" s="215">
        <f t="shared" si="20"/>
        <v>276840</v>
      </c>
      <c r="G255" s="215">
        <f t="shared" si="21"/>
        <v>312243</v>
      </c>
      <c r="H255" s="680" t="s">
        <v>6153</v>
      </c>
      <c r="I255" s="681" t="s">
        <v>3508</v>
      </c>
      <c r="J255" s="187" t="str">
        <f t="shared" si="25"/>
        <v>050-904</v>
      </c>
      <c r="K255" s="187">
        <v>50</v>
      </c>
      <c r="L255" s="187">
        <v>904</v>
      </c>
      <c r="M255" s="187" t="str">
        <f t="shared" si="22"/>
        <v>050</v>
      </c>
      <c r="N255" s="187">
        <f t="shared" si="23"/>
        <v>904</v>
      </c>
      <c r="O255" s="187" t="str">
        <f t="shared" si="24"/>
        <v>050-904</v>
      </c>
      <c r="Q255" s="679" t="s">
        <v>5680</v>
      </c>
    </row>
    <row r="256" spans="1:17">
      <c r="A256" s="788" t="s">
        <v>5333</v>
      </c>
      <c r="B256" s="187" t="s">
        <v>2883</v>
      </c>
      <c r="C256" s="215">
        <v>0</v>
      </c>
      <c r="D256" s="215">
        <v>512988</v>
      </c>
      <c r="F256" s="215">
        <f t="shared" si="20"/>
        <v>512988</v>
      </c>
      <c r="G256" s="215">
        <f t="shared" si="21"/>
        <v>512988</v>
      </c>
      <c r="H256" s="680" t="s">
        <v>6153</v>
      </c>
      <c r="I256" s="681" t="s">
        <v>3508</v>
      </c>
      <c r="J256" s="187" t="str">
        <f t="shared" si="25"/>
        <v>050-909</v>
      </c>
      <c r="K256" s="187">
        <v>50</v>
      </c>
      <c r="L256" s="187">
        <v>909</v>
      </c>
      <c r="M256" s="187" t="str">
        <f t="shared" si="22"/>
        <v>050</v>
      </c>
      <c r="N256" s="187">
        <f t="shared" si="23"/>
        <v>909</v>
      </c>
      <c r="O256" s="187" t="str">
        <f t="shared" si="24"/>
        <v>050-909</v>
      </c>
      <c r="Q256" s="679" t="s">
        <v>5681</v>
      </c>
    </row>
    <row r="257" spans="1:17">
      <c r="A257" s="788" t="s">
        <v>239</v>
      </c>
      <c r="B257" s="187" t="s">
        <v>2647</v>
      </c>
      <c r="C257" s="215">
        <v>1016585</v>
      </c>
      <c r="D257" s="215">
        <v>10563671</v>
      </c>
      <c r="F257" s="215">
        <f t="shared" si="20"/>
        <v>10563671</v>
      </c>
      <c r="G257" s="215">
        <f t="shared" si="21"/>
        <v>11580256</v>
      </c>
      <c r="H257" s="680" t="s">
        <v>6153</v>
      </c>
      <c r="I257" s="681" t="s">
        <v>3508</v>
      </c>
      <c r="J257" s="187" t="str">
        <f t="shared" si="25"/>
        <v>050-910</v>
      </c>
      <c r="K257" s="187">
        <v>50</v>
      </c>
      <c r="L257" s="187">
        <v>910</v>
      </c>
      <c r="M257" s="187" t="str">
        <f t="shared" si="22"/>
        <v>050</v>
      </c>
      <c r="N257" s="187">
        <f t="shared" si="23"/>
        <v>910</v>
      </c>
      <c r="O257" s="187" t="str">
        <f t="shared" si="24"/>
        <v>050-910</v>
      </c>
      <c r="Q257" s="679" t="s">
        <v>5682</v>
      </c>
    </row>
    <row r="258" spans="1:17">
      <c r="A258" s="788" t="s">
        <v>5335</v>
      </c>
      <c r="B258" s="187" t="s">
        <v>2884</v>
      </c>
      <c r="C258" s="215">
        <v>3533</v>
      </c>
      <c r="D258" s="215">
        <v>1283344</v>
      </c>
      <c r="F258" s="215">
        <f t="shared" si="20"/>
        <v>1283344</v>
      </c>
      <c r="G258" s="215">
        <f t="shared" si="21"/>
        <v>1286877</v>
      </c>
      <c r="H258" s="680" t="s">
        <v>6153</v>
      </c>
      <c r="I258" s="681" t="s">
        <v>3508</v>
      </c>
      <c r="J258" s="187" t="str">
        <f t="shared" si="25"/>
        <v>051-901</v>
      </c>
      <c r="K258" s="187">
        <v>51</v>
      </c>
      <c r="L258" s="187">
        <v>901</v>
      </c>
      <c r="M258" s="187" t="str">
        <f t="shared" si="22"/>
        <v>051</v>
      </c>
      <c r="N258" s="187">
        <f t="shared" si="23"/>
        <v>901</v>
      </c>
      <c r="O258" s="187" t="str">
        <f t="shared" si="24"/>
        <v>051-901</v>
      </c>
      <c r="Q258" s="679" t="s">
        <v>5683</v>
      </c>
    </row>
    <row r="259" spans="1:17">
      <c r="A259" s="788" t="s">
        <v>2450</v>
      </c>
      <c r="B259" s="187" t="s">
        <v>2885</v>
      </c>
      <c r="C259" s="215">
        <v>0</v>
      </c>
      <c r="D259" s="215">
        <v>13071765</v>
      </c>
      <c r="F259" s="215">
        <f t="shared" si="20"/>
        <v>13071765</v>
      </c>
      <c r="G259" s="215">
        <f t="shared" si="21"/>
        <v>13071765</v>
      </c>
      <c r="H259" s="680" t="s">
        <v>6153</v>
      </c>
      <c r="I259" s="681" t="s">
        <v>3508</v>
      </c>
      <c r="J259" s="187" t="str">
        <f t="shared" si="25"/>
        <v>052-901</v>
      </c>
      <c r="K259" s="187">
        <v>52</v>
      </c>
      <c r="L259" s="187">
        <v>901</v>
      </c>
      <c r="M259" s="187" t="str">
        <f t="shared" si="22"/>
        <v>052</v>
      </c>
      <c r="N259" s="187">
        <f t="shared" si="23"/>
        <v>901</v>
      </c>
      <c r="O259" s="187" t="str">
        <f t="shared" si="24"/>
        <v>052-901</v>
      </c>
      <c r="Q259" s="679" t="s">
        <v>5684</v>
      </c>
    </row>
    <row r="260" spans="1:17">
      <c r="A260" s="788" t="s">
        <v>5685</v>
      </c>
      <c r="B260" s="187" t="s">
        <v>2886</v>
      </c>
      <c r="C260" s="215">
        <v>0</v>
      </c>
      <c r="D260" s="215">
        <v>19192209</v>
      </c>
      <c r="F260" s="215">
        <f t="shared" ref="F260:F323" si="26">D260+E260</f>
        <v>19192209</v>
      </c>
      <c r="G260" s="215">
        <f t="shared" ref="G260:G323" si="27">F260+C260</f>
        <v>19192209</v>
      </c>
      <c r="H260" s="680" t="s">
        <v>6153</v>
      </c>
      <c r="I260" s="681" t="s">
        <v>3508</v>
      </c>
      <c r="J260" s="187" t="str">
        <f t="shared" si="25"/>
        <v>053-1</v>
      </c>
      <c r="K260" s="187">
        <v>53</v>
      </c>
      <c r="L260" s="187">
        <v>1</v>
      </c>
      <c r="M260" s="187" t="str">
        <f t="shared" ref="M260:M323" si="28">+I260&amp;K260</f>
        <v>053</v>
      </c>
      <c r="N260" s="187">
        <f t="shared" ref="N260:N323" si="29">+L260</f>
        <v>1</v>
      </c>
      <c r="O260" s="187" t="str">
        <f t="shared" ref="O260:O323" si="30">+M260&amp;"-"&amp;N260</f>
        <v>053-1</v>
      </c>
      <c r="Q260" s="679" t="s">
        <v>5686</v>
      </c>
    </row>
    <row r="261" spans="1:17">
      <c r="A261" s="788" t="s">
        <v>2454</v>
      </c>
      <c r="B261" s="187" t="s">
        <v>2887</v>
      </c>
      <c r="C261" s="215">
        <v>0</v>
      </c>
      <c r="D261" s="215">
        <v>930037</v>
      </c>
      <c r="F261" s="215">
        <f t="shared" si="26"/>
        <v>930037</v>
      </c>
      <c r="G261" s="215">
        <f t="shared" si="27"/>
        <v>930037</v>
      </c>
      <c r="H261" s="680" t="s">
        <v>6153</v>
      </c>
      <c r="I261" s="681" t="s">
        <v>3508</v>
      </c>
      <c r="J261" s="187" t="str">
        <f t="shared" si="25"/>
        <v>054-901</v>
      </c>
      <c r="K261" s="187">
        <v>54</v>
      </c>
      <c r="L261" s="187">
        <v>901</v>
      </c>
      <c r="M261" s="187" t="str">
        <f t="shared" si="28"/>
        <v>054</v>
      </c>
      <c r="N261" s="187">
        <f t="shared" si="29"/>
        <v>901</v>
      </c>
      <c r="O261" s="187" t="str">
        <f t="shared" si="30"/>
        <v>054-901</v>
      </c>
      <c r="Q261" s="679" t="s">
        <v>5687</v>
      </c>
    </row>
    <row r="262" spans="1:17">
      <c r="A262" s="788" t="s">
        <v>2456</v>
      </c>
      <c r="B262" s="187" t="s">
        <v>2888</v>
      </c>
      <c r="C262" s="215">
        <v>0</v>
      </c>
      <c r="D262" s="215">
        <v>831261</v>
      </c>
      <c r="F262" s="215">
        <f t="shared" si="26"/>
        <v>831261</v>
      </c>
      <c r="G262" s="215">
        <f t="shared" si="27"/>
        <v>831261</v>
      </c>
      <c r="H262" s="680" t="s">
        <v>6153</v>
      </c>
      <c r="I262" s="681" t="s">
        <v>3508</v>
      </c>
      <c r="J262" s="187" t="str">
        <f t="shared" si="25"/>
        <v>054-902</v>
      </c>
      <c r="K262" s="187">
        <v>54</v>
      </c>
      <c r="L262" s="187">
        <v>902</v>
      </c>
      <c r="M262" s="187" t="str">
        <f t="shared" si="28"/>
        <v>054</v>
      </c>
      <c r="N262" s="187">
        <f t="shared" si="29"/>
        <v>902</v>
      </c>
      <c r="O262" s="187" t="str">
        <f t="shared" si="30"/>
        <v>054-902</v>
      </c>
      <c r="Q262" s="679" t="s">
        <v>5688</v>
      </c>
    </row>
    <row r="263" spans="1:17">
      <c r="A263" s="788" t="s">
        <v>2458</v>
      </c>
      <c r="B263" s="187" t="s">
        <v>2889</v>
      </c>
      <c r="C263" s="215">
        <v>0</v>
      </c>
      <c r="D263" s="215">
        <v>969927</v>
      </c>
      <c r="F263" s="215">
        <f t="shared" si="26"/>
        <v>969927</v>
      </c>
      <c r="G263" s="215">
        <f t="shared" si="27"/>
        <v>969927</v>
      </c>
      <c r="H263" s="680" t="s">
        <v>6153</v>
      </c>
      <c r="I263" s="681" t="s">
        <v>3508</v>
      </c>
      <c r="J263" s="187" t="str">
        <f t="shared" si="25"/>
        <v>054-903</v>
      </c>
      <c r="K263" s="187">
        <v>54</v>
      </c>
      <c r="L263" s="187">
        <v>903</v>
      </c>
      <c r="M263" s="187" t="str">
        <f t="shared" si="28"/>
        <v>054</v>
      </c>
      <c r="N263" s="187">
        <f t="shared" si="29"/>
        <v>903</v>
      </c>
      <c r="O263" s="187" t="str">
        <f t="shared" si="30"/>
        <v>054-903</v>
      </c>
      <c r="Q263" s="679" t="s">
        <v>5689</v>
      </c>
    </row>
    <row r="264" spans="1:17">
      <c r="A264" s="788" t="s">
        <v>2460</v>
      </c>
      <c r="B264" s="187" t="s">
        <v>2890</v>
      </c>
      <c r="C264" s="215">
        <v>156249</v>
      </c>
      <c r="D264" s="215">
        <v>3131981</v>
      </c>
      <c r="F264" s="215">
        <f t="shared" si="26"/>
        <v>3131981</v>
      </c>
      <c r="G264" s="215">
        <f t="shared" si="27"/>
        <v>3288230</v>
      </c>
      <c r="H264" s="680" t="s">
        <v>6153</v>
      </c>
      <c r="I264" s="681" t="s">
        <v>3508</v>
      </c>
      <c r="J264" s="187" t="str">
        <f t="shared" si="25"/>
        <v>055-901</v>
      </c>
      <c r="K264" s="187">
        <v>55</v>
      </c>
      <c r="L264" s="187">
        <v>901</v>
      </c>
      <c r="M264" s="187" t="str">
        <f t="shared" si="28"/>
        <v>055</v>
      </c>
      <c r="N264" s="187">
        <f t="shared" si="29"/>
        <v>901</v>
      </c>
      <c r="O264" s="187" t="str">
        <f t="shared" si="30"/>
        <v>055-901</v>
      </c>
      <c r="Q264" s="679" t="s">
        <v>5690</v>
      </c>
    </row>
    <row r="265" spans="1:17">
      <c r="A265" s="788" t="s">
        <v>2462</v>
      </c>
      <c r="B265" s="187" t="s">
        <v>2891</v>
      </c>
      <c r="C265" s="215">
        <v>0</v>
      </c>
      <c r="D265" s="215">
        <v>5295530</v>
      </c>
      <c r="F265" s="215">
        <f t="shared" si="26"/>
        <v>5295530</v>
      </c>
      <c r="G265" s="215">
        <f t="shared" si="27"/>
        <v>5295530</v>
      </c>
      <c r="H265" s="680" t="s">
        <v>6153</v>
      </c>
      <c r="I265" s="681" t="s">
        <v>3508</v>
      </c>
      <c r="J265" s="187" t="str">
        <f t="shared" si="25"/>
        <v>056-901</v>
      </c>
      <c r="K265" s="187">
        <v>56</v>
      </c>
      <c r="L265" s="187">
        <v>901</v>
      </c>
      <c r="M265" s="187" t="str">
        <f t="shared" si="28"/>
        <v>056</v>
      </c>
      <c r="N265" s="187">
        <f t="shared" si="29"/>
        <v>901</v>
      </c>
      <c r="O265" s="187" t="str">
        <f t="shared" si="30"/>
        <v>056-901</v>
      </c>
      <c r="Q265" s="679" t="s">
        <v>5691</v>
      </c>
    </row>
    <row r="266" spans="1:17">
      <c r="A266" s="788" t="s">
        <v>2464</v>
      </c>
      <c r="B266" s="187" t="s">
        <v>2892</v>
      </c>
      <c r="C266" s="215">
        <v>0</v>
      </c>
      <c r="D266" s="215">
        <v>1068484</v>
      </c>
      <c r="F266" s="215">
        <f t="shared" si="26"/>
        <v>1068484</v>
      </c>
      <c r="G266" s="215">
        <f t="shared" si="27"/>
        <v>1068484</v>
      </c>
      <c r="H266" s="680" t="s">
        <v>6153</v>
      </c>
      <c r="I266" s="681" t="s">
        <v>3508</v>
      </c>
      <c r="J266" s="187" t="str">
        <f t="shared" si="25"/>
        <v>056-902</v>
      </c>
      <c r="K266" s="187">
        <v>56</v>
      </c>
      <c r="L266" s="187">
        <v>902</v>
      </c>
      <c r="M266" s="187" t="str">
        <f t="shared" si="28"/>
        <v>056</v>
      </c>
      <c r="N266" s="187">
        <f t="shared" si="29"/>
        <v>902</v>
      </c>
      <c r="O266" s="187" t="str">
        <f t="shared" si="30"/>
        <v>056-902</v>
      </c>
      <c r="Q266" s="679" t="s">
        <v>5692</v>
      </c>
    </row>
    <row r="267" spans="1:17">
      <c r="A267" s="788" t="s">
        <v>5693</v>
      </c>
      <c r="B267" s="187" t="s">
        <v>7261</v>
      </c>
      <c r="C267" s="215">
        <v>0</v>
      </c>
      <c r="D267" s="215">
        <v>0</v>
      </c>
      <c r="F267" s="215">
        <f t="shared" si="26"/>
        <v>0</v>
      </c>
      <c r="G267" s="215">
        <f t="shared" si="27"/>
        <v>0</v>
      </c>
      <c r="H267" s="680" t="s">
        <v>6153</v>
      </c>
      <c r="I267" s="681" t="s">
        <v>3508</v>
      </c>
      <c r="J267" s="187" t="str">
        <f t="shared" si="25"/>
        <v>057-0</v>
      </c>
      <c r="K267" s="187">
        <v>57</v>
      </c>
      <c r="L267" s="187">
        <v>0</v>
      </c>
      <c r="M267" s="187" t="str">
        <f t="shared" si="28"/>
        <v>057</v>
      </c>
      <c r="N267" s="187">
        <f t="shared" si="29"/>
        <v>0</v>
      </c>
      <c r="O267" s="187" t="str">
        <f t="shared" si="30"/>
        <v>057-0</v>
      </c>
      <c r="Q267" s="679" t="s">
        <v>5694</v>
      </c>
    </row>
    <row r="268" spans="1:17">
      <c r="A268" s="788" t="s">
        <v>5695</v>
      </c>
      <c r="B268" s="187" t="s">
        <v>5696</v>
      </c>
      <c r="C268" s="215">
        <v>0</v>
      </c>
      <c r="D268" s="215">
        <v>0</v>
      </c>
      <c r="F268" s="215">
        <f t="shared" si="26"/>
        <v>0</v>
      </c>
      <c r="G268" s="215">
        <f t="shared" si="27"/>
        <v>0</v>
      </c>
      <c r="H268" s="680" t="s">
        <v>6153</v>
      </c>
      <c r="I268" s="681" t="s">
        <v>3508</v>
      </c>
      <c r="J268" s="187" t="str">
        <f t="shared" si="25"/>
        <v>057-801</v>
      </c>
      <c r="K268" s="187">
        <v>57</v>
      </c>
      <c r="L268" s="187">
        <v>801</v>
      </c>
      <c r="M268" s="187" t="str">
        <f t="shared" si="28"/>
        <v>057</v>
      </c>
      <c r="N268" s="187">
        <f t="shared" si="29"/>
        <v>801</v>
      </c>
      <c r="O268" s="187" t="str">
        <f t="shared" si="30"/>
        <v>057-801</v>
      </c>
      <c r="Q268" s="679" t="s">
        <v>5697</v>
      </c>
    </row>
    <row r="269" spans="1:17">
      <c r="A269" s="788" t="s">
        <v>2466</v>
      </c>
      <c r="B269" s="187" t="s">
        <v>5302</v>
      </c>
      <c r="C269" s="215">
        <v>0</v>
      </c>
      <c r="D269" s="215">
        <v>0</v>
      </c>
      <c r="F269" s="215">
        <f t="shared" si="26"/>
        <v>0</v>
      </c>
      <c r="G269" s="215">
        <f t="shared" si="27"/>
        <v>0</v>
      </c>
      <c r="H269" s="680" t="s">
        <v>6153</v>
      </c>
      <c r="I269" s="681" t="s">
        <v>3508</v>
      </c>
      <c r="J269" s="187" t="str">
        <f t="shared" si="25"/>
        <v>057-802</v>
      </c>
      <c r="K269" s="187">
        <v>57</v>
      </c>
      <c r="L269" s="187">
        <v>802</v>
      </c>
      <c r="M269" s="187" t="str">
        <f t="shared" si="28"/>
        <v>057</v>
      </c>
      <c r="N269" s="187">
        <f t="shared" si="29"/>
        <v>802</v>
      </c>
      <c r="O269" s="187" t="str">
        <f t="shared" si="30"/>
        <v>057-802</v>
      </c>
      <c r="Q269" s="679" t="s">
        <v>5698</v>
      </c>
    </row>
    <row r="270" spans="1:17">
      <c r="A270" s="788" t="s">
        <v>5303</v>
      </c>
      <c r="B270" s="187" t="s">
        <v>5304</v>
      </c>
      <c r="C270" s="215">
        <v>0</v>
      </c>
      <c r="D270" s="215">
        <v>0</v>
      </c>
      <c r="F270" s="215">
        <f t="shared" si="26"/>
        <v>0</v>
      </c>
      <c r="G270" s="215">
        <f t="shared" si="27"/>
        <v>0</v>
      </c>
      <c r="H270" s="680" t="s">
        <v>6153</v>
      </c>
      <c r="I270" s="681" t="s">
        <v>3508</v>
      </c>
      <c r="J270" s="187" t="str">
        <f t="shared" si="25"/>
        <v>057-803</v>
      </c>
      <c r="K270" s="187">
        <v>57</v>
      </c>
      <c r="L270" s="187">
        <v>803</v>
      </c>
      <c r="M270" s="187" t="str">
        <f t="shared" si="28"/>
        <v>057</v>
      </c>
      <c r="N270" s="187">
        <f t="shared" si="29"/>
        <v>803</v>
      </c>
      <c r="O270" s="187" t="str">
        <f t="shared" si="30"/>
        <v>057-803</v>
      </c>
      <c r="Q270" s="679" t="s">
        <v>5699</v>
      </c>
    </row>
    <row r="271" spans="1:17">
      <c r="A271" s="788" t="s">
        <v>7262</v>
      </c>
      <c r="B271" s="187" t="s">
        <v>7263</v>
      </c>
      <c r="C271" s="215">
        <v>0</v>
      </c>
      <c r="D271" s="215">
        <v>0</v>
      </c>
      <c r="F271" s="215">
        <f t="shared" si="26"/>
        <v>0</v>
      </c>
      <c r="G271" s="215">
        <f t="shared" si="27"/>
        <v>0</v>
      </c>
      <c r="H271" s="680" t="s">
        <v>6153</v>
      </c>
      <c r="I271" s="681" t="s">
        <v>3508</v>
      </c>
      <c r="J271" s="187" t="str">
        <f t="shared" si="25"/>
        <v>057-804</v>
      </c>
      <c r="K271" s="187">
        <v>57</v>
      </c>
      <c r="L271" s="187">
        <v>804</v>
      </c>
      <c r="M271" s="187" t="str">
        <f t="shared" si="28"/>
        <v>057</v>
      </c>
      <c r="N271" s="187">
        <f t="shared" si="29"/>
        <v>804</v>
      </c>
      <c r="O271" s="187" t="str">
        <f t="shared" si="30"/>
        <v>057-804</v>
      </c>
      <c r="Q271" s="679" t="s">
        <v>5700</v>
      </c>
    </row>
    <row r="272" spans="1:17">
      <c r="A272" s="788" t="s">
        <v>7264</v>
      </c>
      <c r="B272" s="187" t="s">
        <v>7265</v>
      </c>
      <c r="C272" s="215">
        <v>0</v>
      </c>
      <c r="D272" s="215">
        <v>0</v>
      </c>
      <c r="F272" s="215">
        <f t="shared" si="26"/>
        <v>0</v>
      </c>
      <c r="G272" s="215">
        <f t="shared" si="27"/>
        <v>0</v>
      </c>
      <c r="H272" s="680" t="s">
        <v>6153</v>
      </c>
      <c r="I272" s="681" t="s">
        <v>3508</v>
      </c>
      <c r="J272" s="187" t="str">
        <f t="shared" si="25"/>
        <v>057-805</v>
      </c>
      <c r="K272" s="187">
        <v>57</v>
      </c>
      <c r="L272" s="187">
        <v>805</v>
      </c>
      <c r="M272" s="187" t="str">
        <f t="shared" si="28"/>
        <v>057</v>
      </c>
      <c r="N272" s="187">
        <f t="shared" si="29"/>
        <v>805</v>
      </c>
      <c r="O272" s="187" t="str">
        <f t="shared" si="30"/>
        <v>057-805</v>
      </c>
      <c r="Q272" s="679" t="s">
        <v>5701</v>
      </c>
    </row>
    <row r="273" spans="1:17">
      <c r="A273" s="788" t="s">
        <v>5305</v>
      </c>
      <c r="B273" s="187" t="s">
        <v>5306</v>
      </c>
      <c r="C273" s="215">
        <v>0</v>
      </c>
      <c r="D273" s="215">
        <v>0</v>
      </c>
      <c r="F273" s="215">
        <f t="shared" si="26"/>
        <v>0</v>
      </c>
      <c r="G273" s="215">
        <f t="shared" si="27"/>
        <v>0</v>
      </c>
      <c r="H273" s="680" t="s">
        <v>6153</v>
      </c>
      <c r="I273" s="681" t="s">
        <v>3508</v>
      </c>
      <c r="J273" s="187" t="str">
        <f t="shared" si="25"/>
        <v>057-806</v>
      </c>
      <c r="K273" s="187">
        <v>57</v>
      </c>
      <c r="L273" s="187">
        <v>806</v>
      </c>
      <c r="M273" s="187" t="str">
        <f t="shared" si="28"/>
        <v>057</v>
      </c>
      <c r="N273" s="187">
        <f t="shared" si="29"/>
        <v>806</v>
      </c>
      <c r="O273" s="187" t="str">
        <f t="shared" si="30"/>
        <v>057-806</v>
      </c>
      <c r="Q273" s="679" t="s">
        <v>5702</v>
      </c>
    </row>
    <row r="274" spans="1:17">
      <c r="A274" s="788" t="s">
        <v>7266</v>
      </c>
      <c r="B274" s="187" t="s">
        <v>7267</v>
      </c>
      <c r="C274" s="215">
        <v>0</v>
      </c>
      <c r="D274" s="215">
        <v>0</v>
      </c>
      <c r="F274" s="215">
        <f t="shared" si="26"/>
        <v>0</v>
      </c>
      <c r="G274" s="215">
        <f t="shared" si="27"/>
        <v>0</v>
      </c>
      <c r="H274" s="680" t="s">
        <v>6153</v>
      </c>
      <c r="I274" s="681" t="s">
        <v>3508</v>
      </c>
      <c r="J274" s="187" t="str">
        <f t="shared" si="25"/>
        <v>057-807</v>
      </c>
      <c r="K274" s="187">
        <v>57</v>
      </c>
      <c r="L274" s="187">
        <v>807</v>
      </c>
      <c r="M274" s="187" t="str">
        <f t="shared" si="28"/>
        <v>057</v>
      </c>
      <c r="N274" s="187">
        <f t="shared" si="29"/>
        <v>807</v>
      </c>
      <c r="O274" s="187" t="str">
        <f t="shared" si="30"/>
        <v>057-807</v>
      </c>
      <c r="Q274" s="679" t="s">
        <v>5703</v>
      </c>
    </row>
    <row r="275" spans="1:17">
      <c r="A275" s="788" t="s">
        <v>7268</v>
      </c>
      <c r="B275" s="187" t="s">
        <v>7269</v>
      </c>
      <c r="C275" s="215">
        <v>0</v>
      </c>
      <c r="D275" s="215">
        <v>0</v>
      </c>
      <c r="F275" s="215">
        <f t="shared" si="26"/>
        <v>0</v>
      </c>
      <c r="G275" s="215">
        <f t="shared" si="27"/>
        <v>0</v>
      </c>
      <c r="H275" s="680" t="s">
        <v>6153</v>
      </c>
      <c r="I275" s="681" t="s">
        <v>3508</v>
      </c>
      <c r="J275" s="187" t="str">
        <f t="shared" si="25"/>
        <v>057-808</v>
      </c>
      <c r="K275" s="187">
        <v>57</v>
      </c>
      <c r="L275" s="187">
        <v>808</v>
      </c>
      <c r="M275" s="187" t="str">
        <f t="shared" si="28"/>
        <v>057</v>
      </c>
      <c r="N275" s="187">
        <f t="shared" si="29"/>
        <v>808</v>
      </c>
      <c r="O275" s="187" t="str">
        <f t="shared" si="30"/>
        <v>057-808</v>
      </c>
      <c r="Q275" s="679" t="s">
        <v>5704</v>
      </c>
    </row>
    <row r="276" spans="1:17">
      <c r="A276" s="788" t="s">
        <v>7270</v>
      </c>
      <c r="B276" s="187" t="s">
        <v>7271</v>
      </c>
      <c r="C276" s="215">
        <v>0</v>
      </c>
      <c r="D276" s="215">
        <v>0</v>
      </c>
      <c r="F276" s="215">
        <f t="shared" si="26"/>
        <v>0</v>
      </c>
      <c r="G276" s="215">
        <f t="shared" si="27"/>
        <v>0</v>
      </c>
      <c r="H276" s="680" t="s">
        <v>6153</v>
      </c>
      <c r="I276" s="681" t="s">
        <v>3508</v>
      </c>
      <c r="J276" s="187" t="str">
        <f t="shared" si="25"/>
        <v>057-809</v>
      </c>
      <c r="K276" s="187">
        <v>57</v>
      </c>
      <c r="L276" s="187">
        <v>809</v>
      </c>
      <c r="M276" s="187" t="str">
        <f t="shared" si="28"/>
        <v>057</v>
      </c>
      <c r="N276" s="187">
        <f t="shared" si="29"/>
        <v>809</v>
      </c>
      <c r="O276" s="187" t="str">
        <f t="shared" si="30"/>
        <v>057-809</v>
      </c>
      <c r="Q276" s="679" t="s">
        <v>5705</v>
      </c>
    </row>
    <row r="277" spans="1:17">
      <c r="A277" s="788" t="s">
        <v>7272</v>
      </c>
      <c r="B277" s="187" t="s">
        <v>7273</v>
      </c>
      <c r="C277" s="215">
        <v>0</v>
      </c>
      <c r="D277" s="215">
        <v>0</v>
      </c>
      <c r="F277" s="215">
        <f t="shared" si="26"/>
        <v>0</v>
      </c>
      <c r="G277" s="215">
        <f t="shared" si="27"/>
        <v>0</v>
      </c>
      <c r="H277" s="680" t="s">
        <v>6153</v>
      </c>
      <c r="I277" s="681" t="s">
        <v>3508</v>
      </c>
      <c r="J277" s="187" t="str">
        <f t="shared" si="25"/>
        <v>057-810</v>
      </c>
      <c r="K277" s="187">
        <v>57</v>
      </c>
      <c r="L277" s="187">
        <v>810</v>
      </c>
      <c r="M277" s="187" t="str">
        <f t="shared" si="28"/>
        <v>057</v>
      </c>
      <c r="N277" s="187">
        <f t="shared" si="29"/>
        <v>810</v>
      </c>
      <c r="O277" s="187" t="str">
        <f t="shared" si="30"/>
        <v>057-810</v>
      </c>
      <c r="Q277" s="679" t="s">
        <v>5706</v>
      </c>
    </row>
    <row r="278" spans="1:17">
      <c r="A278" s="788" t="s">
        <v>5307</v>
      </c>
      <c r="B278" s="187" t="s">
        <v>7274</v>
      </c>
      <c r="C278" s="215">
        <v>0</v>
      </c>
      <c r="D278" s="215">
        <v>0</v>
      </c>
      <c r="F278" s="215">
        <f t="shared" si="26"/>
        <v>0</v>
      </c>
      <c r="G278" s="215">
        <f t="shared" si="27"/>
        <v>0</v>
      </c>
      <c r="H278" s="680" t="s">
        <v>6153</v>
      </c>
      <c r="I278" s="681" t="s">
        <v>3508</v>
      </c>
      <c r="J278" s="187" t="str">
        <f t="shared" si="25"/>
        <v>057-811</v>
      </c>
      <c r="K278" s="187">
        <v>57</v>
      </c>
      <c r="L278" s="187">
        <v>811</v>
      </c>
      <c r="M278" s="187" t="str">
        <f t="shared" si="28"/>
        <v>057</v>
      </c>
      <c r="N278" s="187">
        <f t="shared" si="29"/>
        <v>811</v>
      </c>
      <c r="O278" s="187" t="str">
        <f t="shared" si="30"/>
        <v>057-811</v>
      </c>
      <c r="Q278" s="679" t="s">
        <v>5707</v>
      </c>
    </row>
    <row r="279" spans="1:17">
      <c r="A279" s="788" t="s">
        <v>7275</v>
      </c>
      <c r="B279" s="187" t="s">
        <v>7276</v>
      </c>
      <c r="C279" s="215">
        <v>0</v>
      </c>
      <c r="D279" s="215">
        <v>0</v>
      </c>
      <c r="F279" s="215">
        <f t="shared" si="26"/>
        <v>0</v>
      </c>
      <c r="G279" s="215">
        <f t="shared" si="27"/>
        <v>0</v>
      </c>
      <c r="H279" s="680" t="s">
        <v>6153</v>
      </c>
      <c r="I279" s="681" t="s">
        <v>3508</v>
      </c>
      <c r="J279" s="187" t="str">
        <f t="shared" si="25"/>
        <v>057-813</v>
      </c>
      <c r="K279" s="187">
        <v>57</v>
      </c>
      <c r="L279" s="187">
        <v>813</v>
      </c>
      <c r="M279" s="187" t="str">
        <f t="shared" si="28"/>
        <v>057</v>
      </c>
      <c r="N279" s="187">
        <f t="shared" si="29"/>
        <v>813</v>
      </c>
      <c r="O279" s="187" t="str">
        <f t="shared" si="30"/>
        <v>057-813</v>
      </c>
      <c r="Q279" s="679" t="s">
        <v>5708</v>
      </c>
    </row>
    <row r="280" spans="1:17">
      <c r="A280" s="788" t="s">
        <v>7277</v>
      </c>
      <c r="B280" s="187" t="s">
        <v>3253</v>
      </c>
      <c r="C280" s="215">
        <v>0</v>
      </c>
      <c r="D280" s="215">
        <v>0</v>
      </c>
      <c r="F280" s="215">
        <f t="shared" si="26"/>
        <v>0</v>
      </c>
      <c r="G280" s="215">
        <f t="shared" si="27"/>
        <v>0</v>
      </c>
      <c r="H280" s="680" t="s">
        <v>6153</v>
      </c>
      <c r="I280" s="681" t="s">
        <v>3508</v>
      </c>
      <c r="J280" s="187" t="str">
        <f t="shared" si="25"/>
        <v>057-814</v>
      </c>
      <c r="K280" s="187">
        <v>57</v>
      </c>
      <c r="L280" s="187">
        <v>814</v>
      </c>
      <c r="M280" s="187" t="str">
        <f t="shared" si="28"/>
        <v>057</v>
      </c>
      <c r="N280" s="187">
        <f t="shared" si="29"/>
        <v>814</v>
      </c>
      <c r="O280" s="187" t="str">
        <f t="shared" si="30"/>
        <v>057-814</v>
      </c>
      <c r="Q280" s="679" t="s">
        <v>5709</v>
      </c>
    </row>
    <row r="281" spans="1:17">
      <c r="A281" s="788" t="s">
        <v>3254</v>
      </c>
      <c r="B281" s="187" t="s">
        <v>3255</v>
      </c>
      <c r="C281" s="215">
        <v>0</v>
      </c>
      <c r="D281" s="215">
        <v>0</v>
      </c>
      <c r="F281" s="215">
        <f t="shared" si="26"/>
        <v>0</v>
      </c>
      <c r="G281" s="215">
        <f t="shared" si="27"/>
        <v>0</v>
      </c>
      <c r="H281" s="680" t="s">
        <v>6153</v>
      </c>
      <c r="I281" s="681" t="s">
        <v>3508</v>
      </c>
      <c r="J281" s="187" t="str">
        <f t="shared" si="25"/>
        <v>057-815</v>
      </c>
      <c r="K281" s="187">
        <v>57</v>
      </c>
      <c r="L281" s="187">
        <v>815</v>
      </c>
      <c r="M281" s="187" t="str">
        <f t="shared" si="28"/>
        <v>057</v>
      </c>
      <c r="N281" s="187">
        <f t="shared" si="29"/>
        <v>815</v>
      </c>
      <c r="O281" s="187" t="str">
        <f t="shared" si="30"/>
        <v>057-815</v>
      </c>
      <c r="Q281" s="679" t="s">
        <v>5710</v>
      </c>
    </row>
    <row r="282" spans="1:17">
      <c r="A282" s="788" t="s">
        <v>5309</v>
      </c>
      <c r="B282" s="187" t="s">
        <v>3256</v>
      </c>
      <c r="C282" s="215">
        <v>0</v>
      </c>
      <c r="D282" s="215">
        <v>0</v>
      </c>
      <c r="F282" s="215">
        <f t="shared" si="26"/>
        <v>0</v>
      </c>
      <c r="G282" s="215">
        <f t="shared" si="27"/>
        <v>0</v>
      </c>
      <c r="H282" s="680" t="s">
        <v>6153</v>
      </c>
      <c r="I282" s="681" t="s">
        <v>3508</v>
      </c>
      <c r="J282" s="187" t="str">
        <f t="shared" si="25"/>
        <v>057-816</v>
      </c>
      <c r="K282" s="187">
        <v>57</v>
      </c>
      <c r="L282" s="187">
        <v>816</v>
      </c>
      <c r="M282" s="187" t="str">
        <f t="shared" si="28"/>
        <v>057</v>
      </c>
      <c r="N282" s="187">
        <f t="shared" si="29"/>
        <v>816</v>
      </c>
      <c r="O282" s="187" t="str">
        <f t="shared" si="30"/>
        <v>057-816</v>
      </c>
      <c r="Q282" s="679" t="s">
        <v>5711</v>
      </c>
    </row>
    <row r="283" spans="1:17">
      <c r="A283" s="788" t="s">
        <v>5311</v>
      </c>
      <c r="B283" s="187" t="s">
        <v>5312</v>
      </c>
      <c r="C283" s="215">
        <v>0</v>
      </c>
      <c r="D283" s="215">
        <v>0</v>
      </c>
      <c r="F283" s="215">
        <f t="shared" si="26"/>
        <v>0</v>
      </c>
      <c r="G283" s="215">
        <f t="shared" si="27"/>
        <v>0</v>
      </c>
      <c r="H283" s="680" t="s">
        <v>6153</v>
      </c>
      <c r="I283" s="681" t="s">
        <v>3508</v>
      </c>
      <c r="J283" s="187" t="str">
        <f t="shared" si="25"/>
        <v>057-817</v>
      </c>
      <c r="K283" s="187">
        <v>57</v>
      </c>
      <c r="L283" s="187">
        <v>817</v>
      </c>
      <c r="M283" s="187" t="str">
        <f t="shared" si="28"/>
        <v>057</v>
      </c>
      <c r="N283" s="187">
        <f t="shared" si="29"/>
        <v>817</v>
      </c>
      <c r="O283" s="187" t="str">
        <f t="shared" si="30"/>
        <v>057-817</v>
      </c>
      <c r="Q283" s="679" t="s">
        <v>5712</v>
      </c>
    </row>
    <row r="284" spans="1:17">
      <c r="A284" s="788" t="s">
        <v>5313</v>
      </c>
      <c r="B284" s="187" t="s">
        <v>5314</v>
      </c>
      <c r="C284" s="215">
        <v>0</v>
      </c>
      <c r="D284" s="215">
        <v>0</v>
      </c>
      <c r="F284" s="215">
        <f t="shared" si="26"/>
        <v>0</v>
      </c>
      <c r="G284" s="215">
        <f t="shared" si="27"/>
        <v>0</v>
      </c>
      <c r="H284" s="680" t="s">
        <v>6153</v>
      </c>
      <c r="I284" s="681" t="s">
        <v>3508</v>
      </c>
      <c r="J284" s="187" t="str">
        <f t="shared" si="25"/>
        <v>057-818</v>
      </c>
      <c r="K284" s="187">
        <v>57</v>
      </c>
      <c r="L284" s="187">
        <v>818</v>
      </c>
      <c r="M284" s="187" t="str">
        <f t="shared" si="28"/>
        <v>057</v>
      </c>
      <c r="N284" s="187">
        <f t="shared" si="29"/>
        <v>818</v>
      </c>
      <c r="O284" s="187" t="str">
        <f t="shared" si="30"/>
        <v>057-818</v>
      </c>
      <c r="Q284" s="679" t="s">
        <v>5713</v>
      </c>
    </row>
    <row r="285" spans="1:17">
      <c r="A285" s="788" t="s">
        <v>5315</v>
      </c>
      <c r="B285" s="187" t="s">
        <v>5316</v>
      </c>
      <c r="C285" s="215">
        <v>0</v>
      </c>
      <c r="D285" s="215">
        <v>0</v>
      </c>
      <c r="F285" s="215">
        <f t="shared" si="26"/>
        <v>0</v>
      </c>
      <c r="G285" s="215">
        <f t="shared" si="27"/>
        <v>0</v>
      </c>
      <c r="H285" s="680" t="s">
        <v>6153</v>
      </c>
      <c r="I285" s="681" t="s">
        <v>3508</v>
      </c>
      <c r="J285" s="187" t="str">
        <f t="shared" si="25"/>
        <v>057-819</v>
      </c>
      <c r="K285" s="187">
        <v>57</v>
      </c>
      <c r="L285" s="187">
        <v>819</v>
      </c>
      <c r="M285" s="187" t="str">
        <f t="shared" si="28"/>
        <v>057</v>
      </c>
      <c r="N285" s="187">
        <f t="shared" si="29"/>
        <v>819</v>
      </c>
      <c r="O285" s="187" t="str">
        <f t="shared" si="30"/>
        <v>057-819</v>
      </c>
      <c r="Q285" s="679" t="s">
        <v>5714</v>
      </c>
    </row>
    <row r="286" spans="1:17">
      <c r="A286" s="788" t="s">
        <v>5715</v>
      </c>
      <c r="B286" s="187" t="s">
        <v>5716</v>
      </c>
      <c r="C286" s="215">
        <v>0</v>
      </c>
      <c r="D286" s="215">
        <v>0</v>
      </c>
      <c r="F286" s="215">
        <f t="shared" si="26"/>
        <v>0</v>
      </c>
      <c r="G286" s="215">
        <f t="shared" si="27"/>
        <v>0</v>
      </c>
      <c r="H286" s="680" t="s">
        <v>6153</v>
      </c>
      <c r="I286" s="681" t="s">
        <v>3508</v>
      </c>
      <c r="J286" s="187" t="str">
        <f t="shared" si="25"/>
        <v>057-820</v>
      </c>
      <c r="K286" s="187">
        <v>57</v>
      </c>
      <c r="L286" s="187">
        <v>820</v>
      </c>
      <c r="M286" s="187" t="str">
        <f t="shared" si="28"/>
        <v>057</v>
      </c>
      <c r="N286" s="187">
        <f t="shared" si="29"/>
        <v>820</v>
      </c>
      <c r="O286" s="187" t="str">
        <f t="shared" si="30"/>
        <v>057-820</v>
      </c>
      <c r="Q286" s="679" t="s">
        <v>5717</v>
      </c>
    </row>
    <row r="287" spans="1:17">
      <c r="A287" s="788" t="s">
        <v>5317</v>
      </c>
      <c r="B287" s="187" t="s">
        <v>3257</v>
      </c>
      <c r="C287" s="215">
        <v>0</v>
      </c>
      <c r="D287" s="215">
        <v>0</v>
      </c>
      <c r="F287" s="215">
        <f t="shared" si="26"/>
        <v>0</v>
      </c>
      <c r="G287" s="215">
        <f t="shared" si="27"/>
        <v>0</v>
      </c>
      <c r="H287" s="680" t="s">
        <v>6153</v>
      </c>
      <c r="I287" s="681" t="s">
        <v>3508</v>
      </c>
      <c r="J287" s="187" t="str">
        <f t="shared" si="25"/>
        <v>057-821</v>
      </c>
      <c r="K287" s="187">
        <v>57</v>
      </c>
      <c r="L287" s="187">
        <v>821</v>
      </c>
      <c r="M287" s="187" t="str">
        <f t="shared" si="28"/>
        <v>057</v>
      </c>
      <c r="N287" s="187">
        <f t="shared" si="29"/>
        <v>821</v>
      </c>
      <c r="O287" s="187" t="str">
        <f t="shared" si="30"/>
        <v>057-821</v>
      </c>
      <c r="Q287" s="679" t="s">
        <v>5718</v>
      </c>
    </row>
    <row r="288" spans="1:17">
      <c r="A288" s="788" t="s">
        <v>5719</v>
      </c>
      <c r="B288" s="187" t="s">
        <v>5720</v>
      </c>
      <c r="C288" s="215">
        <v>0</v>
      </c>
      <c r="D288" s="215">
        <v>0</v>
      </c>
      <c r="F288" s="215">
        <f t="shared" si="26"/>
        <v>0</v>
      </c>
      <c r="G288" s="215">
        <f t="shared" si="27"/>
        <v>0</v>
      </c>
      <c r="H288" s="680" t="s">
        <v>6153</v>
      </c>
      <c r="I288" s="681" t="s">
        <v>3508</v>
      </c>
      <c r="J288" s="187" t="str">
        <f t="shared" si="25"/>
        <v>057-822</v>
      </c>
      <c r="K288" s="187">
        <v>57</v>
      </c>
      <c r="L288" s="187">
        <v>822</v>
      </c>
      <c r="M288" s="187" t="str">
        <f t="shared" si="28"/>
        <v>057</v>
      </c>
      <c r="N288" s="187">
        <f t="shared" si="29"/>
        <v>822</v>
      </c>
      <c r="O288" s="187" t="str">
        <f t="shared" si="30"/>
        <v>057-822</v>
      </c>
      <c r="Q288" s="679" t="s">
        <v>5721</v>
      </c>
    </row>
    <row r="289" spans="1:17">
      <c r="A289" s="788" t="s">
        <v>2096</v>
      </c>
      <c r="B289" s="187" t="s">
        <v>3258</v>
      </c>
      <c r="C289" s="215">
        <v>0</v>
      </c>
      <c r="D289" s="215">
        <v>0</v>
      </c>
      <c r="F289" s="215">
        <f t="shared" si="26"/>
        <v>0</v>
      </c>
      <c r="G289" s="215">
        <f t="shared" si="27"/>
        <v>0</v>
      </c>
      <c r="H289" s="680" t="s">
        <v>6153</v>
      </c>
      <c r="I289" s="681" t="s">
        <v>3508</v>
      </c>
      <c r="J289" s="187" t="str">
        <f t="shared" si="25"/>
        <v>057-823</v>
      </c>
      <c r="K289" s="187">
        <v>57</v>
      </c>
      <c r="L289" s="187">
        <v>823</v>
      </c>
      <c r="M289" s="187" t="str">
        <f t="shared" si="28"/>
        <v>057</v>
      </c>
      <c r="N289" s="187">
        <f t="shared" si="29"/>
        <v>823</v>
      </c>
      <c r="O289" s="187" t="str">
        <f t="shared" si="30"/>
        <v>057-823</v>
      </c>
      <c r="Q289" s="679" t="s">
        <v>5722</v>
      </c>
    </row>
    <row r="290" spans="1:17">
      <c r="A290" s="788" t="s">
        <v>2098</v>
      </c>
      <c r="B290" s="187" t="s">
        <v>2099</v>
      </c>
      <c r="C290" s="215">
        <v>0</v>
      </c>
      <c r="D290" s="215">
        <v>0</v>
      </c>
      <c r="F290" s="215">
        <f t="shared" si="26"/>
        <v>0</v>
      </c>
      <c r="G290" s="215">
        <f t="shared" si="27"/>
        <v>0</v>
      </c>
      <c r="H290" s="680" t="s">
        <v>6153</v>
      </c>
      <c r="I290" s="681" t="s">
        <v>3508</v>
      </c>
      <c r="J290" s="187" t="str">
        <f t="shared" ref="J290:J353" si="31">+A290</f>
        <v>057-825</v>
      </c>
      <c r="K290" s="187">
        <v>57</v>
      </c>
      <c r="L290" s="187">
        <v>825</v>
      </c>
      <c r="M290" s="187" t="str">
        <f t="shared" si="28"/>
        <v>057</v>
      </c>
      <c r="N290" s="187">
        <f t="shared" si="29"/>
        <v>825</v>
      </c>
      <c r="O290" s="187" t="str">
        <f t="shared" si="30"/>
        <v>057-825</v>
      </c>
      <c r="Q290" s="679" t="s">
        <v>5723</v>
      </c>
    </row>
    <row r="291" spans="1:17">
      <c r="A291" s="788" t="s">
        <v>2100</v>
      </c>
      <c r="B291" s="187" t="s">
        <v>3259</v>
      </c>
      <c r="C291" s="215">
        <v>0</v>
      </c>
      <c r="D291" s="215">
        <v>0</v>
      </c>
      <c r="F291" s="215">
        <f t="shared" si="26"/>
        <v>0</v>
      </c>
      <c r="G291" s="215">
        <f t="shared" si="27"/>
        <v>0</v>
      </c>
      <c r="H291" s="680" t="s">
        <v>6153</v>
      </c>
      <c r="I291" s="681" t="s">
        <v>3508</v>
      </c>
      <c r="J291" s="187" t="str">
        <f t="shared" si="31"/>
        <v>057-827</v>
      </c>
      <c r="K291" s="187">
        <v>57</v>
      </c>
      <c r="L291" s="187">
        <v>827</v>
      </c>
      <c r="M291" s="187" t="str">
        <f t="shared" si="28"/>
        <v>057</v>
      </c>
      <c r="N291" s="187">
        <f t="shared" si="29"/>
        <v>827</v>
      </c>
      <c r="O291" s="187" t="str">
        <f t="shared" si="30"/>
        <v>057-827</v>
      </c>
      <c r="Q291" s="679" t="s">
        <v>5724</v>
      </c>
    </row>
    <row r="292" spans="1:17">
      <c r="A292" s="788" t="s">
        <v>3260</v>
      </c>
      <c r="B292" s="187" t="s">
        <v>3261</v>
      </c>
      <c r="C292" s="215">
        <v>0</v>
      </c>
      <c r="D292" s="215">
        <v>0</v>
      </c>
      <c r="F292" s="215">
        <f t="shared" si="26"/>
        <v>0</v>
      </c>
      <c r="G292" s="215">
        <f t="shared" si="27"/>
        <v>0</v>
      </c>
      <c r="H292" s="680" t="s">
        <v>6153</v>
      </c>
      <c r="I292" s="681" t="s">
        <v>3508</v>
      </c>
      <c r="J292" s="187" t="str">
        <f t="shared" si="31"/>
        <v>057-828</v>
      </c>
      <c r="K292" s="187">
        <v>57</v>
      </c>
      <c r="L292" s="187">
        <v>828</v>
      </c>
      <c r="M292" s="187" t="str">
        <f t="shared" si="28"/>
        <v>057</v>
      </c>
      <c r="N292" s="187">
        <f t="shared" si="29"/>
        <v>828</v>
      </c>
      <c r="O292" s="187" t="str">
        <f t="shared" si="30"/>
        <v>057-828</v>
      </c>
      <c r="Q292" s="679" t="s">
        <v>5725</v>
      </c>
    </row>
    <row r="293" spans="1:17">
      <c r="A293" s="788" t="s">
        <v>3262</v>
      </c>
      <c r="B293" s="187" t="s">
        <v>3263</v>
      </c>
      <c r="C293" s="215">
        <v>0</v>
      </c>
      <c r="D293" s="215">
        <v>0</v>
      </c>
      <c r="F293" s="215">
        <f t="shared" si="26"/>
        <v>0</v>
      </c>
      <c r="G293" s="215">
        <f t="shared" si="27"/>
        <v>0</v>
      </c>
      <c r="H293" s="680" t="s">
        <v>6153</v>
      </c>
      <c r="I293" s="681" t="s">
        <v>3508</v>
      </c>
      <c r="J293" s="187" t="str">
        <f t="shared" si="31"/>
        <v>057-829</v>
      </c>
      <c r="K293" s="187">
        <v>57</v>
      </c>
      <c r="L293" s="187">
        <v>829</v>
      </c>
      <c r="M293" s="187" t="str">
        <f t="shared" si="28"/>
        <v>057</v>
      </c>
      <c r="N293" s="187">
        <f t="shared" si="29"/>
        <v>829</v>
      </c>
      <c r="O293" s="187" t="str">
        <f t="shared" si="30"/>
        <v>057-829</v>
      </c>
      <c r="Q293" s="679" t="s">
        <v>5726</v>
      </c>
    </row>
    <row r="294" spans="1:17">
      <c r="A294" s="788" t="s">
        <v>3264</v>
      </c>
      <c r="B294" s="187" t="s">
        <v>3265</v>
      </c>
      <c r="C294" s="215">
        <v>0</v>
      </c>
      <c r="D294" s="215">
        <v>0</v>
      </c>
      <c r="F294" s="215">
        <f t="shared" si="26"/>
        <v>0</v>
      </c>
      <c r="G294" s="215">
        <f t="shared" si="27"/>
        <v>0</v>
      </c>
      <c r="H294" s="680" t="s">
        <v>6153</v>
      </c>
      <c r="I294" s="681" t="s">
        <v>3508</v>
      </c>
      <c r="J294" s="187" t="str">
        <f t="shared" si="31"/>
        <v>057-830</v>
      </c>
      <c r="K294" s="187">
        <v>57</v>
      </c>
      <c r="L294" s="187">
        <v>830</v>
      </c>
      <c r="M294" s="187" t="str">
        <f t="shared" si="28"/>
        <v>057</v>
      </c>
      <c r="N294" s="187">
        <f t="shared" si="29"/>
        <v>830</v>
      </c>
      <c r="O294" s="187" t="str">
        <f t="shared" si="30"/>
        <v>057-830</v>
      </c>
      <c r="Q294" s="679" t="s">
        <v>5727</v>
      </c>
    </row>
    <row r="295" spans="1:17">
      <c r="A295" s="788" t="s">
        <v>3266</v>
      </c>
      <c r="B295" s="187" t="s">
        <v>3267</v>
      </c>
      <c r="C295" s="215">
        <v>0</v>
      </c>
      <c r="D295" s="215">
        <v>0</v>
      </c>
      <c r="F295" s="215">
        <f t="shared" si="26"/>
        <v>0</v>
      </c>
      <c r="G295" s="215">
        <f t="shared" si="27"/>
        <v>0</v>
      </c>
      <c r="H295" s="680" t="s">
        <v>6153</v>
      </c>
      <c r="I295" s="681" t="s">
        <v>3508</v>
      </c>
      <c r="J295" s="187" t="str">
        <f t="shared" si="31"/>
        <v>057-831</v>
      </c>
      <c r="K295" s="187">
        <v>57</v>
      </c>
      <c r="L295" s="187">
        <v>831</v>
      </c>
      <c r="M295" s="187" t="str">
        <f t="shared" si="28"/>
        <v>057</v>
      </c>
      <c r="N295" s="187">
        <f t="shared" si="29"/>
        <v>831</v>
      </c>
      <c r="O295" s="187" t="str">
        <f t="shared" si="30"/>
        <v>057-831</v>
      </c>
      <c r="Q295" s="679" t="s">
        <v>5728</v>
      </c>
    </row>
    <row r="296" spans="1:17">
      <c r="A296" s="788" t="s">
        <v>2102</v>
      </c>
      <c r="B296" s="187" t="s">
        <v>2103</v>
      </c>
      <c r="C296" s="215">
        <v>0</v>
      </c>
      <c r="D296" s="215">
        <v>0</v>
      </c>
      <c r="F296" s="215">
        <f t="shared" si="26"/>
        <v>0</v>
      </c>
      <c r="G296" s="215">
        <f t="shared" si="27"/>
        <v>0</v>
      </c>
      <c r="H296" s="680" t="s">
        <v>6153</v>
      </c>
      <c r="I296" s="681" t="s">
        <v>3508</v>
      </c>
      <c r="J296" s="187" t="str">
        <f t="shared" si="31"/>
        <v>057-832</v>
      </c>
      <c r="K296" s="187">
        <v>57</v>
      </c>
      <c r="L296" s="187">
        <v>832</v>
      </c>
      <c r="M296" s="187" t="str">
        <f t="shared" si="28"/>
        <v>057</v>
      </c>
      <c r="N296" s="187">
        <f t="shared" si="29"/>
        <v>832</v>
      </c>
      <c r="O296" s="187" t="str">
        <f t="shared" si="30"/>
        <v>057-832</v>
      </c>
      <c r="Q296" s="679" t="s">
        <v>5729</v>
      </c>
    </row>
    <row r="297" spans="1:17">
      <c r="A297" s="788" t="s">
        <v>3268</v>
      </c>
      <c r="B297" s="187" t="s">
        <v>3269</v>
      </c>
      <c r="C297" s="215">
        <v>0</v>
      </c>
      <c r="D297" s="215">
        <v>0</v>
      </c>
      <c r="F297" s="215">
        <f t="shared" si="26"/>
        <v>0</v>
      </c>
      <c r="G297" s="215">
        <f t="shared" si="27"/>
        <v>0</v>
      </c>
      <c r="H297" s="680" t="s">
        <v>6153</v>
      </c>
      <c r="I297" s="681" t="s">
        <v>3508</v>
      </c>
      <c r="J297" s="187" t="str">
        <f t="shared" si="31"/>
        <v>057-833</v>
      </c>
      <c r="K297" s="187">
        <v>57</v>
      </c>
      <c r="L297" s="187">
        <v>833</v>
      </c>
      <c r="M297" s="187" t="str">
        <f t="shared" si="28"/>
        <v>057</v>
      </c>
      <c r="N297" s="187">
        <f t="shared" si="29"/>
        <v>833</v>
      </c>
      <c r="O297" s="187" t="str">
        <f t="shared" si="30"/>
        <v>057-833</v>
      </c>
      <c r="Q297" s="679" t="s">
        <v>5730</v>
      </c>
    </row>
    <row r="298" spans="1:17">
      <c r="A298" s="788" t="s">
        <v>3270</v>
      </c>
      <c r="B298" s="187" t="s">
        <v>3271</v>
      </c>
      <c r="C298" s="215">
        <v>0</v>
      </c>
      <c r="D298" s="215">
        <v>0</v>
      </c>
      <c r="F298" s="215">
        <f t="shared" si="26"/>
        <v>0</v>
      </c>
      <c r="G298" s="215">
        <f t="shared" si="27"/>
        <v>0</v>
      </c>
      <c r="H298" s="680" t="s">
        <v>6153</v>
      </c>
      <c r="I298" s="681" t="s">
        <v>3508</v>
      </c>
      <c r="J298" s="187" t="str">
        <f t="shared" si="31"/>
        <v>057-834</v>
      </c>
      <c r="K298" s="187">
        <v>57</v>
      </c>
      <c r="L298" s="187">
        <v>834</v>
      </c>
      <c r="M298" s="187" t="str">
        <f t="shared" si="28"/>
        <v>057</v>
      </c>
      <c r="N298" s="187">
        <f t="shared" si="29"/>
        <v>834</v>
      </c>
      <c r="O298" s="187" t="str">
        <f t="shared" si="30"/>
        <v>057-834</v>
      </c>
      <c r="Q298" s="679" t="s">
        <v>5731</v>
      </c>
    </row>
    <row r="299" spans="1:17">
      <c r="A299" s="788" t="s">
        <v>3272</v>
      </c>
      <c r="B299" s="187" t="s">
        <v>3273</v>
      </c>
      <c r="C299" s="215">
        <v>0</v>
      </c>
      <c r="D299" s="215">
        <v>0</v>
      </c>
      <c r="F299" s="215">
        <f t="shared" si="26"/>
        <v>0</v>
      </c>
      <c r="G299" s="215">
        <f t="shared" si="27"/>
        <v>0</v>
      </c>
      <c r="H299" s="680" t="s">
        <v>6153</v>
      </c>
      <c r="I299" s="681" t="s">
        <v>3508</v>
      </c>
      <c r="J299" s="187" t="str">
        <f t="shared" si="31"/>
        <v>057-835</v>
      </c>
      <c r="K299" s="187">
        <v>57</v>
      </c>
      <c r="L299" s="187">
        <v>835</v>
      </c>
      <c r="M299" s="187" t="str">
        <f t="shared" si="28"/>
        <v>057</v>
      </c>
      <c r="N299" s="187">
        <f t="shared" si="29"/>
        <v>835</v>
      </c>
      <c r="O299" s="187" t="str">
        <f t="shared" si="30"/>
        <v>057-835</v>
      </c>
      <c r="Q299" s="679" t="s">
        <v>5732</v>
      </c>
    </row>
    <row r="300" spans="1:17">
      <c r="A300" s="788" t="s">
        <v>3274</v>
      </c>
      <c r="B300" s="187" t="s">
        <v>3275</v>
      </c>
      <c r="C300" s="215">
        <v>0</v>
      </c>
      <c r="D300" s="215">
        <v>0</v>
      </c>
      <c r="F300" s="215">
        <f t="shared" si="26"/>
        <v>0</v>
      </c>
      <c r="G300" s="215">
        <f t="shared" si="27"/>
        <v>0</v>
      </c>
      <c r="H300" s="680" t="s">
        <v>6153</v>
      </c>
      <c r="I300" s="681" t="s">
        <v>3508</v>
      </c>
      <c r="J300" s="187" t="str">
        <f t="shared" si="31"/>
        <v>057-836</v>
      </c>
      <c r="K300" s="187">
        <v>57</v>
      </c>
      <c r="L300" s="187">
        <v>836</v>
      </c>
      <c r="M300" s="187" t="str">
        <f t="shared" si="28"/>
        <v>057</v>
      </c>
      <c r="N300" s="187">
        <f t="shared" si="29"/>
        <v>836</v>
      </c>
      <c r="O300" s="187" t="str">
        <f t="shared" si="30"/>
        <v>057-836</v>
      </c>
      <c r="Q300" s="679" t="s">
        <v>5733</v>
      </c>
    </row>
    <row r="301" spans="1:17">
      <c r="A301" s="788" t="s">
        <v>3276</v>
      </c>
      <c r="B301" s="187" t="s">
        <v>3277</v>
      </c>
      <c r="C301" s="215">
        <v>0</v>
      </c>
      <c r="D301" s="215">
        <v>0</v>
      </c>
      <c r="F301" s="215">
        <f t="shared" si="26"/>
        <v>0</v>
      </c>
      <c r="G301" s="215">
        <f t="shared" si="27"/>
        <v>0</v>
      </c>
      <c r="H301" s="680" t="s">
        <v>6153</v>
      </c>
      <c r="I301" s="681" t="s">
        <v>3508</v>
      </c>
      <c r="J301" s="187" t="str">
        <f t="shared" si="31"/>
        <v>057-837</v>
      </c>
      <c r="K301" s="187">
        <v>57</v>
      </c>
      <c r="L301" s="187">
        <v>837</v>
      </c>
      <c r="M301" s="187" t="str">
        <f t="shared" si="28"/>
        <v>057</v>
      </c>
      <c r="N301" s="187">
        <f t="shared" si="29"/>
        <v>837</v>
      </c>
      <c r="O301" s="187" t="str">
        <f t="shared" si="30"/>
        <v>057-837</v>
      </c>
      <c r="Q301" s="679" t="s">
        <v>5734</v>
      </c>
    </row>
    <row r="302" spans="1:17">
      <c r="A302" s="788" t="s">
        <v>2104</v>
      </c>
      <c r="B302" s="187" t="s">
        <v>2893</v>
      </c>
      <c r="C302" s="215">
        <v>34841158</v>
      </c>
      <c r="D302" s="215">
        <v>181465949</v>
      </c>
      <c r="F302" s="215">
        <f t="shared" si="26"/>
        <v>181465949</v>
      </c>
      <c r="G302" s="215">
        <f t="shared" si="27"/>
        <v>216307107</v>
      </c>
      <c r="H302" s="680" t="s">
        <v>6153</v>
      </c>
      <c r="I302" s="681" t="s">
        <v>3508</v>
      </c>
      <c r="J302" s="187" t="str">
        <f t="shared" si="31"/>
        <v>057-903</v>
      </c>
      <c r="K302" s="187">
        <v>57</v>
      </c>
      <c r="L302" s="187">
        <v>903</v>
      </c>
      <c r="M302" s="187" t="str">
        <f t="shared" si="28"/>
        <v>057</v>
      </c>
      <c r="N302" s="187">
        <f t="shared" si="29"/>
        <v>903</v>
      </c>
      <c r="O302" s="187" t="str">
        <f t="shared" si="30"/>
        <v>057-903</v>
      </c>
      <c r="Q302" s="679" t="s">
        <v>5735</v>
      </c>
    </row>
    <row r="303" spans="1:17">
      <c r="A303" s="788" t="s">
        <v>2106</v>
      </c>
      <c r="B303" s="187" t="s">
        <v>2894</v>
      </c>
      <c r="C303" s="215">
        <v>5058342</v>
      </c>
      <c r="D303" s="215">
        <v>31461139</v>
      </c>
      <c r="F303" s="215">
        <f t="shared" si="26"/>
        <v>31461139</v>
      </c>
      <c r="G303" s="215">
        <f t="shared" si="27"/>
        <v>36519481</v>
      </c>
      <c r="H303" s="680" t="s">
        <v>6153</v>
      </c>
      <c r="I303" s="681" t="s">
        <v>3508</v>
      </c>
      <c r="J303" s="187" t="str">
        <f t="shared" si="31"/>
        <v>057-904</v>
      </c>
      <c r="K303" s="187">
        <v>57</v>
      </c>
      <c r="L303" s="187">
        <v>904</v>
      </c>
      <c r="M303" s="187" t="str">
        <f t="shared" si="28"/>
        <v>057</v>
      </c>
      <c r="N303" s="187">
        <f t="shared" si="29"/>
        <v>904</v>
      </c>
      <c r="O303" s="187" t="str">
        <f t="shared" si="30"/>
        <v>057-904</v>
      </c>
      <c r="Q303" s="679" t="s">
        <v>5736</v>
      </c>
    </row>
    <row r="304" spans="1:17">
      <c r="A304" s="788" t="s">
        <v>2108</v>
      </c>
      <c r="B304" s="187" t="s">
        <v>2895</v>
      </c>
      <c r="C304" s="215">
        <v>94600093</v>
      </c>
      <c r="D304" s="215">
        <v>841133913</v>
      </c>
      <c r="F304" s="215">
        <f t="shared" si="26"/>
        <v>841133913</v>
      </c>
      <c r="G304" s="215">
        <f t="shared" si="27"/>
        <v>935734006</v>
      </c>
      <c r="H304" s="680" t="s">
        <v>6153</v>
      </c>
      <c r="I304" s="681" t="s">
        <v>3508</v>
      </c>
      <c r="J304" s="187" t="str">
        <f t="shared" si="31"/>
        <v>057-905</v>
      </c>
      <c r="K304" s="187">
        <v>57</v>
      </c>
      <c r="L304" s="187">
        <v>905</v>
      </c>
      <c r="M304" s="187" t="str">
        <f t="shared" si="28"/>
        <v>057</v>
      </c>
      <c r="N304" s="187">
        <f t="shared" si="29"/>
        <v>905</v>
      </c>
      <c r="O304" s="187" t="str">
        <f t="shared" si="30"/>
        <v>057-905</v>
      </c>
      <c r="Q304" s="679" t="s">
        <v>5737</v>
      </c>
    </row>
    <row r="305" spans="1:17">
      <c r="A305" s="788" t="s">
        <v>2110</v>
      </c>
      <c r="B305" s="187" t="s">
        <v>2896</v>
      </c>
      <c r="C305" s="215">
        <v>4458316</v>
      </c>
      <c r="D305" s="215">
        <v>28065321</v>
      </c>
      <c r="F305" s="215">
        <f t="shared" si="26"/>
        <v>28065321</v>
      </c>
      <c r="G305" s="215">
        <f t="shared" si="27"/>
        <v>32523637</v>
      </c>
      <c r="H305" s="680" t="s">
        <v>6153</v>
      </c>
      <c r="I305" s="681" t="s">
        <v>3508</v>
      </c>
      <c r="J305" s="187" t="str">
        <f t="shared" si="31"/>
        <v>057-906</v>
      </c>
      <c r="K305" s="187">
        <v>57</v>
      </c>
      <c r="L305" s="187">
        <v>906</v>
      </c>
      <c r="M305" s="187" t="str">
        <f t="shared" si="28"/>
        <v>057</v>
      </c>
      <c r="N305" s="187">
        <f t="shared" si="29"/>
        <v>906</v>
      </c>
      <c r="O305" s="187" t="str">
        <f t="shared" si="30"/>
        <v>057-906</v>
      </c>
      <c r="Q305" s="679" t="s">
        <v>5738</v>
      </c>
    </row>
    <row r="306" spans="1:17">
      <c r="A306" s="788" t="s">
        <v>2112</v>
      </c>
      <c r="B306" s="187" t="s">
        <v>2897</v>
      </c>
      <c r="C306" s="215">
        <v>10256995</v>
      </c>
      <c r="D306" s="215">
        <v>41251669</v>
      </c>
      <c r="F306" s="215">
        <f t="shared" si="26"/>
        <v>41251669</v>
      </c>
      <c r="G306" s="215">
        <f t="shared" si="27"/>
        <v>51508664</v>
      </c>
      <c r="H306" s="680" t="s">
        <v>6153</v>
      </c>
      <c r="I306" s="681" t="s">
        <v>3508</v>
      </c>
      <c r="J306" s="187" t="str">
        <f t="shared" si="31"/>
        <v>057-907</v>
      </c>
      <c r="K306" s="187">
        <v>57</v>
      </c>
      <c r="L306" s="187">
        <v>907</v>
      </c>
      <c r="M306" s="187" t="str">
        <f t="shared" si="28"/>
        <v>057</v>
      </c>
      <c r="N306" s="187">
        <f t="shared" si="29"/>
        <v>907</v>
      </c>
      <c r="O306" s="187" t="str">
        <f t="shared" si="30"/>
        <v>057-907</v>
      </c>
      <c r="Q306" s="679" t="s">
        <v>5739</v>
      </c>
    </row>
    <row r="307" spans="1:17">
      <c r="A307" s="788" t="s">
        <v>1317</v>
      </c>
      <c r="B307" s="187" t="s">
        <v>122</v>
      </c>
      <c r="C307" s="215">
        <v>24538192</v>
      </c>
      <c r="D307" s="215">
        <v>163906209</v>
      </c>
      <c r="F307" s="215">
        <f t="shared" si="26"/>
        <v>163906209</v>
      </c>
      <c r="G307" s="215">
        <f t="shared" si="27"/>
        <v>188444401</v>
      </c>
      <c r="H307" s="680" t="s">
        <v>6153</v>
      </c>
      <c r="I307" s="681" t="s">
        <v>3508</v>
      </c>
      <c r="J307" s="187" t="str">
        <f t="shared" si="31"/>
        <v>057-909</v>
      </c>
      <c r="K307" s="187">
        <v>57</v>
      </c>
      <c r="L307" s="187">
        <v>909</v>
      </c>
      <c r="M307" s="187" t="str">
        <f t="shared" si="28"/>
        <v>057</v>
      </c>
      <c r="N307" s="187">
        <f t="shared" si="29"/>
        <v>909</v>
      </c>
      <c r="O307" s="187" t="str">
        <f t="shared" si="30"/>
        <v>057-909</v>
      </c>
      <c r="Q307" s="679" t="s">
        <v>5740</v>
      </c>
    </row>
    <row r="308" spans="1:17">
      <c r="A308" s="788" t="s">
        <v>587</v>
      </c>
      <c r="B308" s="187" t="s">
        <v>4966</v>
      </c>
      <c r="C308" s="215">
        <v>10443006</v>
      </c>
      <c r="D308" s="215">
        <v>52947574</v>
      </c>
      <c r="F308" s="215">
        <f t="shared" si="26"/>
        <v>52947574</v>
      </c>
      <c r="G308" s="215">
        <f t="shared" si="27"/>
        <v>63390580</v>
      </c>
      <c r="H308" s="680" t="s">
        <v>6153</v>
      </c>
      <c r="I308" s="681" t="s">
        <v>3508</v>
      </c>
      <c r="J308" s="187" t="str">
        <f t="shared" si="31"/>
        <v>057-910</v>
      </c>
      <c r="K308" s="187">
        <v>57</v>
      </c>
      <c r="L308" s="187">
        <v>910</v>
      </c>
      <c r="M308" s="187" t="str">
        <f t="shared" si="28"/>
        <v>057</v>
      </c>
      <c r="N308" s="187">
        <f t="shared" si="29"/>
        <v>910</v>
      </c>
      <c r="O308" s="187" t="str">
        <f t="shared" si="30"/>
        <v>057-910</v>
      </c>
      <c r="Q308" s="679" t="s">
        <v>5741</v>
      </c>
    </row>
    <row r="309" spans="1:17">
      <c r="A309" s="788" t="s">
        <v>4569</v>
      </c>
      <c r="B309" s="187" t="s">
        <v>2898</v>
      </c>
      <c r="C309" s="215">
        <v>7472113</v>
      </c>
      <c r="D309" s="215">
        <v>101879529</v>
      </c>
      <c r="F309" s="215">
        <f t="shared" si="26"/>
        <v>101879529</v>
      </c>
      <c r="G309" s="215">
        <f t="shared" si="27"/>
        <v>109351642</v>
      </c>
      <c r="H309" s="680" t="s">
        <v>6153</v>
      </c>
      <c r="I309" s="681" t="s">
        <v>3508</v>
      </c>
      <c r="J309" s="187" t="str">
        <f t="shared" si="31"/>
        <v>057-911</v>
      </c>
      <c r="K309" s="187">
        <v>57</v>
      </c>
      <c r="L309" s="187">
        <v>911</v>
      </c>
      <c r="M309" s="187" t="str">
        <f t="shared" si="28"/>
        <v>057</v>
      </c>
      <c r="N309" s="187">
        <f t="shared" si="29"/>
        <v>911</v>
      </c>
      <c r="O309" s="187" t="str">
        <f t="shared" si="30"/>
        <v>057-911</v>
      </c>
      <c r="Q309" s="679" t="s">
        <v>5742</v>
      </c>
    </row>
    <row r="310" spans="1:17">
      <c r="A310" s="788" t="s">
        <v>6021</v>
      </c>
      <c r="B310" s="187" t="s">
        <v>3860</v>
      </c>
      <c r="C310" s="215">
        <v>25369197</v>
      </c>
      <c r="D310" s="215">
        <v>113161403</v>
      </c>
      <c r="F310" s="215">
        <f t="shared" si="26"/>
        <v>113161403</v>
      </c>
      <c r="G310" s="215">
        <f t="shared" si="27"/>
        <v>138530600</v>
      </c>
      <c r="H310" s="680" t="s">
        <v>6153</v>
      </c>
      <c r="I310" s="681" t="s">
        <v>3508</v>
      </c>
      <c r="J310" s="187" t="str">
        <f t="shared" si="31"/>
        <v>057-912</v>
      </c>
      <c r="K310" s="187">
        <v>57</v>
      </c>
      <c r="L310" s="187">
        <v>912</v>
      </c>
      <c r="M310" s="187" t="str">
        <f t="shared" si="28"/>
        <v>057</v>
      </c>
      <c r="N310" s="187">
        <f t="shared" si="29"/>
        <v>912</v>
      </c>
      <c r="O310" s="187" t="str">
        <f t="shared" si="30"/>
        <v>057-912</v>
      </c>
      <c r="Q310" s="679" t="s">
        <v>5743</v>
      </c>
    </row>
    <row r="311" spans="1:17">
      <c r="A311" s="788" t="s">
        <v>4571</v>
      </c>
      <c r="B311" s="187" t="s">
        <v>2899</v>
      </c>
      <c r="C311" s="215">
        <v>4750986</v>
      </c>
      <c r="D311" s="215">
        <v>17980076</v>
      </c>
      <c r="F311" s="215">
        <f t="shared" si="26"/>
        <v>17980076</v>
      </c>
      <c r="G311" s="215">
        <f t="shared" si="27"/>
        <v>22731062</v>
      </c>
      <c r="H311" s="680" t="s">
        <v>6153</v>
      </c>
      <c r="I311" s="681" t="s">
        <v>3508</v>
      </c>
      <c r="J311" s="187" t="str">
        <f t="shared" si="31"/>
        <v>057-913</v>
      </c>
      <c r="K311" s="187">
        <v>57</v>
      </c>
      <c r="L311" s="187">
        <v>913</v>
      </c>
      <c r="M311" s="187" t="str">
        <f t="shared" si="28"/>
        <v>057</v>
      </c>
      <c r="N311" s="187">
        <f t="shared" si="29"/>
        <v>913</v>
      </c>
      <c r="O311" s="187" t="str">
        <f t="shared" si="30"/>
        <v>057-913</v>
      </c>
      <c r="Q311" s="679" t="s">
        <v>5744</v>
      </c>
    </row>
    <row r="312" spans="1:17">
      <c r="A312" s="788" t="s">
        <v>6171</v>
      </c>
      <c r="B312" s="187" t="s">
        <v>496</v>
      </c>
      <c r="C312" s="215">
        <v>18812137</v>
      </c>
      <c r="D312" s="215">
        <v>84542527</v>
      </c>
      <c r="F312" s="215">
        <f t="shared" si="26"/>
        <v>84542527</v>
      </c>
      <c r="G312" s="215">
        <f t="shared" si="27"/>
        <v>103354664</v>
      </c>
      <c r="H312" s="680" t="s">
        <v>6153</v>
      </c>
      <c r="I312" s="681" t="s">
        <v>3508</v>
      </c>
      <c r="J312" s="187" t="str">
        <f t="shared" si="31"/>
        <v>057-914</v>
      </c>
      <c r="K312" s="187">
        <v>57</v>
      </c>
      <c r="L312" s="187">
        <v>914</v>
      </c>
      <c r="M312" s="187" t="str">
        <f t="shared" si="28"/>
        <v>057</v>
      </c>
      <c r="N312" s="187">
        <f t="shared" si="29"/>
        <v>914</v>
      </c>
      <c r="O312" s="187" t="str">
        <f t="shared" si="30"/>
        <v>057-914</v>
      </c>
      <c r="Q312" s="679" t="s">
        <v>5745</v>
      </c>
    </row>
    <row r="313" spans="1:17">
      <c r="A313" s="788" t="s">
        <v>4573</v>
      </c>
      <c r="B313" s="187" t="s">
        <v>2900</v>
      </c>
      <c r="C313" s="215">
        <v>49097671</v>
      </c>
      <c r="D313" s="215">
        <v>230464027</v>
      </c>
      <c r="F313" s="215">
        <f t="shared" si="26"/>
        <v>230464027</v>
      </c>
      <c r="G313" s="215">
        <f t="shared" si="27"/>
        <v>279561698</v>
      </c>
      <c r="H313" s="680" t="s">
        <v>6153</v>
      </c>
      <c r="I313" s="681" t="s">
        <v>3508</v>
      </c>
      <c r="J313" s="187" t="str">
        <f t="shared" si="31"/>
        <v>057-916</v>
      </c>
      <c r="K313" s="187">
        <v>57</v>
      </c>
      <c r="L313" s="187">
        <v>916</v>
      </c>
      <c r="M313" s="187" t="str">
        <f t="shared" si="28"/>
        <v>057</v>
      </c>
      <c r="N313" s="187">
        <f t="shared" si="29"/>
        <v>916</v>
      </c>
      <c r="O313" s="187" t="str">
        <f t="shared" si="30"/>
        <v>057-916</v>
      </c>
      <c r="Q313" s="679" t="s">
        <v>5746</v>
      </c>
    </row>
    <row r="314" spans="1:17">
      <c r="A314" s="788" t="s">
        <v>4575</v>
      </c>
      <c r="B314" s="187" t="s">
        <v>2901</v>
      </c>
      <c r="C314" s="215">
        <v>0</v>
      </c>
      <c r="D314" s="215">
        <v>5856966</v>
      </c>
      <c r="F314" s="215">
        <f t="shared" si="26"/>
        <v>5856966</v>
      </c>
      <c r="G314" s="215">
        <f t="shared" si="27"/>
        <v>5856966</v>
      </c>
      <c r="H314" s="680" t="s">
        <v>6153</v>
      </c>
      <c r="I314" s="681" t="s">
        <v>3508</v>
      </c>
      <c r="J314" s="187" t="str">
        <f t="shared" si="31"/>
        <v>057-919</v>
      </c>
      <c r="K314" s="187">
        <v>57</v>
      </c>
      <c r="L314" s="187">
        <v>919</v>
      </c>
      <c r="M314" s="187" t="str">
        <f t="shared" si="28"/>
        <v>057</v>
      </c>
      <c r="N314" s="187">
        <f t="shared" si="29"/>
        <v>919</v>
      </c>
      <c r="O314" s="187" t="str">
        <f t="shared" si="30"/>
        <v>057-919</v>
      </c>
      <c r="Q314" s="679" t="s">
        <v>5747</v>
      </c>
    </row>
    <row r="315" spans="1:17">
      <c r="A315" s="788" t="s">
        <v>4577</v>
      </c>
      <c r="B315" s="187" t="s">
        <v>2902</v>
      </c>
      <c r="C315" s="215">
        <v>458209</v>
      </c>
      <c r="D315" s="215">
        <v>8055843</v>
      </c>
      <c r="F315" s="215">
        <f t="shared" si="26"/>
        <v>8055843</v>
      </c>
      <c r="G315" s="215">
        <f t="shared" si="27"/>
        <v>8514052</v>
      </c>
      <c r="H315" s="680" t="s">
        <v>6153</v>
      </c>
      <c r="I315" s="681" t="s">
        <v>3508</v>
      </c>
      <c r="J315" s="187" t="str">
        <f t="shared" si="31"/>
        <v>057-920</v>
      </c>
      <c r="K315" s="187">
        <v>57</v>
      </c>
      <c r="L315" s="187">
        <v>920</v>
      </c>
      <c r="M315" s="187" t="str">
        <f t="shared" si="28"/>
        <v>057</v>
      </c>
      <c r="N315" s="187">
        <f t="shared" si="29"/>
        <v>920</v>
      </c>
      <c r="O315" s="187" t="str">
        <f t="shared" si="30"/>
        <v>057-920</v>
      </c>
      <c r="Q315" s="679" t="s">
        <v>5748</v>
      </c>
    </row>
    <row r="316" spans="1:17">
      <c r="A316" s="788" t="s">
        <v>4579</v>
      </c>
      <c r="B316" s="187" t="s">
        <v>2676</v>
      </c>
      <c r="C316" s="215">
        <v>13787399</v>
      </c>
      <c r="D316" s="215">
        <v>88122948</v>
      </c>
      <c r="F316" s="215">
        <f t="shared" si="26"/>
        <v>88122948</v>
      </c>
      <c r="G316" s="215">
        <f t="shared" si="27"/>
        <v>101910347</v>
      </c>
      <c r="H316" s="680" t="s">
        <v>6153</v>
      </c>
      <c r="I316" s="681" t="s">
        <v>3508</v>
      </c>
      <c r="J316" s="187" t="str">
        <f t="shared" si="31"/>
        <v>057-922</v>
      </c>
      <c r="K316" s="187">
        <v>57</v>
      </c>
      <c r="L316" s="187">
        <v>922</v>
      </c>
      <c r="M316" s="187" t="str">
        <f t="shared" si="28"/>
        <v>057</v>
      </c>
      <c r="N316" s="187">
        <f t="shared" si="29"/>
        <v>922</v>
      </c>
      <c r="O316" s="187" t="str">
        <f t="shared" si="30"/>
        <v>057-922</v>
      </c>
      <c r="Q316" s="679" t="s">
        <v>5749</v>
      </c>
    </row>
    <row r="317" spans="1:17">
      <c r="A317" s="788" t="s">
        <v>3279</v>
      </c>
      <c r="B317" s="187" t="s">
        <v>3280</v>
      </c>
      <c r="C317" s="215">
        <v>0</v>
      </c>
      <c r="D317" s="215">
        <v>0</v>
      </c>
      <c r="F317" s="215">
        <f t="shared" si="26"/>
        <v>0</v>
      </c>
      <c r="G317" s="215">
        <f t="shared" si="27"/>
        <v>0</v>
      </c>
      <c r="H317" s="680" t="s">
        <v>6153</v>
      </c>
      <c r="I317" s="681" t="s">
        <v>3508</v>
      </c>
      <c r="J317" s="187" t="str">
        <f t="shared" si="31"/>
        <v>057-950</v>
      </c>
      <c r="K317" s="187">
        <v>57</v>
      </c>
      <c r="L317" s="187">
        <v>950</v>
      </c>
      <c r="M317" s="187" t="str">
        <f t="shared" si="28"/>
        <v>057</v>
      </c>
      <c r="N317" s="187">
        <f t="shared" si="29"/>
        <v>950</v>
      </c>
      <c r="O317" s="187" t="str">
        <f t="shared" si="30"/>
        <v>057-950</v>
      </c>
      <c r="Q317" s="679" t="s">
        <v>5750</v>
      </c>
    </row>
    <row r="318" spans="1:17">
      <c r="A318" s="788" t="s">
        <v>4581</v>
      </c>
      <c r="B318" s="187" t="s">
        <v>993</v>
      </c>
      <c r="C318" s="215">
        <v>166644</v>
      </c>
      <c r="D318" s="215">
        <v>2123616</v>
      </c>
      <c r="F318" s="215">
        <f t="shared" si="26"/>
        <v>2123616</v>
      </c>
      <c r="G318" s="215">
        <f t="shared" si="27"/>
        <v>2290260</v>
      </c>
      <c r="H318" s="680" t="s">
        <v>6153</v>
      </c>
      <c r="I318" s="681" t="s">
        <v>3508</v>
      </c>
      <c r="J318" s="187" t="str">
        <f t="shared" si="31"/>
        <v>058-902</v>
      </c>
      <c r="K318" s="187">
        <v>58</v>
      </c>
      <c r="L318" s="187">
        <v>902</v>
      </c>
      <c r="M318" s="187" t="str">
        <f t="shared" si="28"/>
        <v>058</v>
      </c>
      <c r="N318" s="187">
        <f t="shared" si="29"/>
        <v>902</v>
      </c>
      <c r="O318" s="187" t="str">
        <f t="shared" si="30"/>
        <v>058-902</v>
      </c>
      <c r="Q318" s="679" t="s">
        <v>5751</v>
      </c>
    </row>
    <row r="319" spans="1:17">
      <c r="A319" s="788" t="s">
        <v>4582</v>
      </c>
      <c r="B319" s="187" t="s">
        <v>2677</v>
      </c>
      <c r="C319" s="215">
        <v>0</v>
      </c>
      <c r="D319" s="215">
        <v>2969719</v>
      </c>
      <c r="F319" s="215">
        <f t="shared" si="26"/>
        <v>2969719</v>
      </c>
      <c r="G319" s="215">
        <f t="shared" si="27"/>
        <v>2969719</v>
      </c>
      <c r="H319" s="680" t="s">
        <v>6153</v>
      </c>
      <c r="I319" s="681" t="s">
        <v>3508</v>
      </c>
      <c r="J319" s="187" t="str">
        <f t="shared" si="31"/>
        <v>058-905</v>
      </c>
      <c r="K319" s="187">
        <v>58</v>
      </c>
      <c r="L319" s="187">
        <v>905</v>
      </c>
      <c r="M319" s="187" t="str">
        <f t="shared" si="28"/>
        <v>058</v>
      </c>
      <c r="N319" s="187">
        <f t="shared" si="29"/>
        <v>905</v>
      </c>
      <c r="O319" s="187" t="str">
        <f t="shared" si="30"/>
        <v>058-905</v>
      </c>
      <c r="Q319" s="679" t="s">
        <v>5752</v>
      </c>
    </row>
    <row r="320" spans="1:17">
      <c r="A320" s="788" t="s">
        <v>4584</v>
      </c>
      <c r="B320" s="187" t="s">
        <v>2678</v>
      </c>
      <c r="C320" s="215">
        <v>0</v>
      </c>
      <c r="D320" s="215">
        <v>4143030</v>
      </c>
      <c r="F320" s="215">
        <f t="shared" si="26"/>
        <v>4143030</v>
      </c>
      <c r="G320" s="215">
        <f t="shared" si="27"/>
        <v>4143030</v>
      </c>
      <c r="H320" s="680" t="s">
        <v>6153</v>
      </c>
      <c r="I320" s="681" t="s">
        <v>3508</v>
      </c>
      <c r="J320" s="187" t="str">
        <f t="shared" si="31"/>
        <v>058-906</v>
      </c>
      <c r="K320" s="187">
        <v>58</v>
      </c>
      <c r="L320" s="187">
        <v>906</v>
      </c>
      <c r="M320" s="187" t="str">
        <f t="shared" si="28"/>
        <v>058</v>
      </c>
      <c r="N320" s="187">
        <f t="shared" si="29"/>
        <v>906</v>
      </c>
      <c r="O320" s="187" t="str">
        <f t="shared" si="30"/>
        <v>058-906</v>
      </c>
      <c r="Q320" s="679" t="s">
        <v>5753</v>
      </c>
    </row>
    <row r="321" spans="1:17">
      <c r="A321" s="788" t="s">
        <v>4586</v>
      </c>
      <c r="B321" s="187" t="s">
        <v>2679</v>
      </c>
      <c r="C321" s="215">
        <v>0</v>
      </c>
      <c r="D321" s="215">
        <v>1459199</v>
      </c>
      <c r="F321" s="215">
        <f t="shared" si="26"/>
        <v>1459199</v>
      </c>
      <c r="G321" s="215">
        <f t="shared" si="27"/>
        <v>1459199</v>
      </c>
      <c r="H321" s="680" t="s">
        <v>6153</v>
      </c>
      <c r="I321" s="681" t="s">
        <v>3508</v>
      </c>
      <c r="J321" s="187" t="str">
        <f t="shared" si="31"/>
        <v>058-909</v>
      </c>
      <c r="K321" s="187">
        <v>58</v>
      </c>
      <c r="L321" s="187">
        <v>909</v>
      </c>
      <c r="M321" s="187" t="str">
        <f t="shared" si="28"/>
        <v>058</v>
      </c>
      <c r="N321" s="187">
        <f t="shared" si="29"/>
        <v>909</v>
      </c>
      <c r="O321" s="187" t="str">
        <f t="shared" si="30"/>
        <v>058-909</v>
      </c>
      <c r="Q321" s="679" t="s">
        <v>5754</v>
      </c>
    </row>
    <row r="322" spans="1:17">
      <c r="A322" s="788" t="s">
        <v>1865</v>
      </c>
      <c r="B322" s="187" t="s">
        <v>3843</v>
      </c>
      <c r="C322" s="215">
        <v>0</v>
      </c>
      <c r="D322" s="215">
        <v>7341342</v>
      </c>
      <c r="E322" s="215">
        <v>399651</v>
      </c>
      <c r="F322" s="215">
        <f t="shared" si="26"/>
        <v>7740993</v>
      </c>
      <c r="G322" s="215">
        <f t="shared" si="27"/>
        <v>7740993</v>
      </c>
      <c r="H322" s="680" t="s">
        <v>6153</v>
      </c>
      <c r="I322" s="681" t="s">
        <v>3508</v>
      </c>
      <c r="J322" s="187" t="str">
        <f t="shared" si="31"/>
        <v>059-901</v>
      </c>
      <c r="K322" s="187">
        <v>59</v>
      </c>
      <c r="L322" s="187">
        <v>901</v>
      </c>
      <c r="M322" s="187" t="str">
        <f t="shared" si="28"/>
        <v>059</v>
      </c>
      <c r="N322" s="187">
        <f t="shared" si="29"/>
        <v>901</v>
      </c>
      <c r="O322" s="187" t="str">
        <f t="shared" si="30"/>
        <v>059-901</v>
      </c>
      <c r="Q322" s="679" t="s">
        <v>5755</v>
      </c>
    </row>
    <row r="323" spans="1:17">
      <c r="A323" s="788" t="s">
        <v>5018</v>
      </c>
      <c r="B323" s="187" t="s">
        <v>2680</v>
      </c>
      <c r="C323" s="215">
        <v>0</v>
      </c>
      <c r="D323" s="215">
        <v>271261</v>
      </c>
      <c r="F323" s="215">
        <f t="shared" si="26"/>
        <v>271261</v>
      </c>
      <c r="G323" s="215">
        <f t="shared" si="27"/>
        <v>271261</v>
      </c>
      <c r="H323" s="680" t="s">
        <v>6153</v>
      </c>
      <c r="I323" s="681" t="s">
        <v>3508</v>
      </c>
      <c r="J323" s="187" t="str">
        <f t="shared" si="31"/>
        <v>059-902</v>
      </c>
      <c r="K323" s="187">
        <v>59</v>
      </c>
      <c r="L323" s="187">
        <v>902</v>
      </c>
      <c r="M323" s="187" t="str">
        <f t="shared" si="28"/>
        <v>059</v>
      </c>
      <c r="N323" s="187">
        <f t="shared" si="29"/>
        <v>902</v>
      </c>
      <c r="O323" s="187" t="str">
        <f t="shared" si="30"/>
        <v>059-902</v>
      </c>
      <c r="Q323" s="679" t="s">
        <v>5756</v>
      </c>
    </row>
    <row r="324" spans="1:17">
      <c r="A324" s="788" t="s">
        <v>5020</v>
      </c>
      <c r="B324" s="187" t="s">
        <v>2681</v>
      </c>
      <c r="C324" s="215">
        <v>165588</v>
      </c>
      <c r="D324" s="215">
        <v>1412377</v>
      </c>
      <c r="F324" s="215">
        <f t="shared" ref="F324:F387" si="32">D324+E324</f>
        <v>1412377</v>
      </c>
      <c r="G324" s="215">
        <f t="shared" ref="G324:G387" si="33">F324+C324</f>
        <v>1577965</v>
      </c>
      <c r="H324" s="680" t="s">
        <v>6153</v>
      </c>
      <c r="I324" s="681" t="s">
        <v>3508</v>
      </c>
      <c r="J324" s="187" t="str">
        <f t="shared" si="31"/>
        <v>060-902</v>
      </c>
      <c r="K324" s="187">
        <v>60</v>
      </c>
      <c r="L324" s="187">
        <v>902</v>
      </c>
      <c r="M324" s="187" t="str">
        <f t="shared" ref="M324:M387" si="34">+I324&amp;K324</f>
        <v>060</v>
      </c>
      <c r="N324" s="187">
        <f t="shared" ref="N324:N387" si="35">+L324</f>
        <v>902</v>
      </c>
      <c r="O324" s="187" t="str">
        <f t="shared" ref="O324:O387" si="36">+M324&amp;"-"&amp;N324</f>
        <v>060-902</v>
      </c>
      <c r="Q324" s="679" t="s">
        <v>5757</v>
      </c>
    </row>
    <row r="325" spans="1:17">
      <c r="A325" s="788" t="s">
        <v>589</v>
      </c>
      <c r="B325" s="187" t="s">
        <v>109</v>
      </c>
      <c r="C325" s="215">
        <v>45943</v>
      </c>
      <c r="D325" s="215">
        <v>454187</v>
      </c>
      <c r="F325" s="215">
        <f t="shared" si="32"/>
        <v>454187</v>
      </c>
      <c r="G325" s="215">
        <f t="shared" si="33"/>
        <v>500130</v>
      </c>
      <c r="H325" s="680" t="s">
        <v>6153</v>
      </c>
      <c r="I325" s="681" t="s">
        <v>3508</v>
      </c>
      <c r="J325" s="187" t="str">
        <f t="shared" si="31"/>
        <v>060-914</v>
      </c>
      <c r="K325" s="187">
        <v>60</v>
      </c>
      <c r="L325" s="187">
        <v>914</v>
      </c>
      <c r="M325" s="187" t="str">
        <f t="shared" si="34"/>
        <v>060</v>
      </c>
      <c r="N325" s="187">
        <f t="shared" si="35"/>
        <v>914</v>
      </c>
      <c r="O325" s="187" t="str">
        <f t="shared" si="36"/>
        <v>060-914</v>
      </c>
      <c r="Q325" s="679" t="s">
        <v>5758</v>
      </c>
    </row>
    <row r="326" spans="1:17">
      <c r="A326" s="788" t="s">
        <v>3281</v>
      </c>
      <c r="B326" s="187" t="s">
        <v>3282</v>
      </c>
      <c r="C326" s="215">
        <v>0</v>
      </c>
      <c r="D326" s="215">
        <v>0</v>
      </c>
      <c r="F326" s="215">
        <f t="shared" si="32"/>
        <v>0</v>
      </c>
      <c r="G326" s="215">
        <f t="shared" si="33"/>
        <v>0</v>
      </c>
      <c r="H326" s="680" t="s">
        <v>6153</v>
      </c>
      <c r="I326" s="681" t="s">
        <v>3508</v>
      </c>
      <c r="J326" s="187" t="str">
        <f t="shared" si="31"/>
        <v>061-501</v>
      </c>
      <c r="K326" s="187">
        <v>61</v>
      </c>
      <c r="L326" s="187">
        <v>501</v>
      </c>
      <c r="M326" s="187" t="str">
        <f t="shared" si="34"/>
        <v>061</v>
      </c>
      <c r="N326" s="187">
        <f t="shared" si="35"/>
        <v>501</v>
      </c>
      <c r="O326" s="187" t="str">
        <f t="shared" si="36"/>
        <v>061-501</v>
      </c>
      <c r="Q326" s="679" t="s">
        <v>5759</v>
      </c>
    </row>
    <row r="327" spans="1:17">
      <c r="A327" s="788" t="s">
        <v>5760</v>
      </c>
      <c r="B327" s="187" t="s">
        <v>5761</v>
      </c>
      <c r="C327" s="215">
        <v>0</v>
      </c>
      <c r="D327" s="215">
        <v>0</v>
      </c>
      <c r="F327" s="215">
        <f t="shared" si="32"/>
        <v>0</v>
      </c>
      <c r="G327" s="215">
        <f t="shared" si="33"/>
        <v>0</v>
      </c>
      <c r="H327" s="680" t="s">
        <v>6153</v>
      </c>
      <c r="I327" s="681" t="s">
        <v>3508</v>
      </c>
      <c r="J327" s="187" t="str">
        <f t="shared" si="31"/>
        <v>061-801</v>
      </c>
      <c r="K327" s="187">
        <v>61</v>
      </c>
      <c r="L327" s="187">
        <v>801</v>
      </c>
      <c r="M327" s="187" t="str">
        <f t="shared" si="34"/>
        <v>061</v>
      </c>
      <c r="N327" s="187">
        <f t="shared" si="35"/>
        <v>801</v>
      </c>
      <c r="O327" s="187" t="str">
        <f t="shared" si="36"/>
        <v>061-801</v>
      </c>
      <c r="Q327" s="679" t="s">
        <v>5762</v>
      </c>
    </row>
    <row r="328" spans="1:17">
      <c r="A328" s="788" t="s">
        <v>3283</v>
      </c>
      <c r="B328" s="187" t="s">
        <v>3284</v>
      </c>
      <c r="C328" s="215">
        <v>0</v>
      </c>
      <c r="D328" s="215">
        <v>0</v>
      </c>
      <c r="F328" s="215">
        <f t="shared" si="32"/>
        <v>0</v>
      </c>
      <c r="G328" s="215">
        <f t="shared" si="33"/>
        <v>0</v>
      </c>
      <c r="H328" s="680" t="s">
        <v>6153</v>
      </c>
      <c r="I328" s="681" t="s">
        <v>3508</v>
      </c>
      <c r="J328" s="187" t="str">
        <f t="shared" si="31"/>
        <v>061-802</v>
      </c>
      <c r="K328" s="187">
        <v>61</v>
      </c>
      <c r="L328" s="187">
        <v>802</v>
      </c>
      <c r="M328" s="187" t="str">
        <f t="shared" si="34"/>
        <v>061</v>
      </c>
      <c r="N328" s="187">
        <f t="shared" si="35"/>
        <v>802</v>
      </c>
      <c r="O328" s="187" t="str">
        <f t="shared" si="36"/>
        <v>061-802</v>
      </c>
      <c r="Q328" s="679" t="s">
        <v>5763</v>
      </c>
    </row>
    <row r="329" spans="1:17">
      <c r="A329" s="788" t="s">
        <v>5022</v>
      </c>
      <c r="B329" s="187" t="s">
        <v>2682</v>
      </c>
      <c r="C329" s="215">
        <v>21742008</v>
      </c>
      <c r="D329" s="215">
        <v>89592234</v>
      </c>
      <c r="F329" s="215">
        <f t="shared" si="32"/>
        <v>89592234</v>
      </c>
      <c r="G329" s="215">
        <f t="shared" si="33"/>
        <v>111334242</v>
      </c>
      <c r="H329" s="680" t="s">
        <v>6153</v>
      </c>
      <c r="I329" s="681" t="s">
        <v>3508</v>
      </c>
      <c r="J329" s="187" t="str">
        <f t="shared" si="31"/>
        <v>061-901</v>
      </c>
      <c r="K329" s="187">
        <v>61</v>
      </c>
      <c r="L329" s="187">
        <v>901</v>
      </c>
      <c r="M329" s="187" t="str">
        <f t="shared" si="34"/>
        <v>061</v>
      </c>
      <c r="N329" s="187">
        <f t="shared" si="35"/>
        <v>901</v>
      </c>
      <c r="O329" s="187" t="str">
        <f t="shared" si="36"/>
        <v>061-901</v>
      </c>
      <c r="Q329" s="679" t="s">
        <v>5764</v>
      </c>
    </row>
    <row r="330" spans="1:17">
      <c r="A330" s="788" t="s">
        <v>2989</v>
      </c>
      <c r="B330" s="187" t="s">
        <v>190</v>
      </c>
      <c r="C330" s="215">
        <v>46126061</v>
      </c>
      <c r="D330" s="215">
        <v>256161059</v>
      </c>
      <c r="F330" s="215">
        <f t="shared" si="32"/>
        <v>256161059</v>
      </c>
      <c r="G330" s="215">
        <f t="shared" si="33"/>
        <v>302287120</v>
      </c>
      <c r="H330" s="680" t="s">
        <v>6153</v>
      </c>
      <c r="I330" s="681" t="s">
        <v>3508</v>
      </c>
      <c r="J330" s="187" t="str">
        <f t="shared" si="31"/>
        <v>061-902</v>
      </c>
      <c r="K330" s="187">
        <v>61</v>
      </c>
      <c r="L330" s="187">
        <v>902</v>
      </c>
      <c r="M330" s="187" t="str">
        <f t="shared" si="34"/>
        <v>061</v>
      </c>
      <c r="N330" s="187">
        <f t="shared" si="35"/>
        <v>902</v>
      </c>
      <c r="O330" s="187" t="str">
        <f t="shared" si="36"/>
        <v>061-902</v>
      </c>
      <c r="Q330" s="679" t="s">
        <v>5765</v>
      </c>
    </row>
    <row r="331" spans="1:17">
      <c r="A331" s="788" t="s">
        <v>5126</v>
      </c>
      <c r="B331" s="187" t="s">
        <v>341</v>
      </c>
      <c r="C331" s="215">
        <v>923073</v>
      </c>
      <c r="D331" s="215">
        <v>5688357</v>
      </c>
      <c r="F331" s="215">
        <f t="shared" si="32"/>
        <v>5688357</v>
      </c>
      <c r="G331" s="215">
        <f t="shared" si="33"/>
        <v>6611430</v>
      </c>
      <c r="H331" s="680" t="s">
        <v>6153</v>
      </c>
      <c r="I331" s="681" t="s">
        <v>3508</v>
      </c>
      <c r="J331" s="187" t="str">
        <f t="shared" si="31"/>
        <v>061-903</v>
      </c>
      <c r="K331" s="187">
        <v>61</v>
      </c>
      <c r="L331" s="187">
        <v>903</v>
      </c>
      <c r="M331" s="187" t="str">
        <f t="shared" si="34"/>
        <v>061</v>
      </c>
      <c r="N331" s="187">
        <f t="shared" si="35"/>
        <v>903</v>
      </c>
      <c r="O331" s="187" t="str">
        <f t="shared" si="36"/>
        <v>061-903</v>
      </c>
      <c r="Q331" s="679" t="s">
        <v>5766</v>
      </c>
    </row>
    <row r="332" spans="1:17">
      <c r="A332" s="788" t="s">
        <v>3090</v>
      </c>
      <c r="B332" s="187" t="s">
        <v>5640</v>
      </c>
      <c r="C332" s="215">
        <v>1002923</v>
      </c>
      <c r="D332" s="215">
        <v>6844742</v>
      </c>
      <c r="F332" s="215">
        <f t="shared" si="32"/>
        <v>6844742</v>
      </c>
      <c r="G332" s="215">
        <f t="shared" si="33"/>
        <v>7847665</v>
      </c>
      <c r="H332" s="680" t="s">
        <v>6153</v>
      </c>
      <c r="I332" s="681" t="s">
        <v>3508</v>
      </c>
      <c r="J332" s="187" t="str">
        <f t="shared" si="31"/>
        <v>061-905</v>
      </c>
      <c r="K332" s="187">
        <v>61</v>
      </c>
      <c r="L332" s="187">
        <v>905</v>
      </c>
      <c r="M332" s="187" t="str">
        <f t="shared" si="34"/>
        <v>061</v>
      </c>
      <c r="N332" s="187">
        <f t="shared" si="35"/>
        <v>905</v>
      </c>
      <c r="O332" s="187" t="str">
        <f t="shared" si="36"/>
        <v>061-905</v>
      </c>
      <c r="Q332" s="679" t="s">
        <v>5767</v>
      </c>
    </row>
    <row r="333" spans="1:17">
      <c r="A333" s="788" t="s">
        <v>5128</v>
      </c>
      <c r="B333" s="187" t="s">
        <v>343</v>
      </c>
      <c r="C333" s="215">
        <v>1473961</v>
      </c>
      <c r="D333" s="215">
        <v>8483503</v>
      </c>
      <c r="F333" s="215">
        <f t="shared" si="32"/>
        <v>8483503</v>
      </c>
      <c r="G333" s="215">
        <f t="shared" si="33"/>
        <v>9957464</v>
      </c>
      <c r="H333" s="680" t="s">
        <v>6153</v>
      </c>
      <c r="I333" s="681" t="s">
        <v>3508</v>
      </c>
      <c r="J333" s="187" t="str">
        <f t="shared" si="31"/>
        <v>061-906</v>
      </c>
      <c r="K333" s="187">
        <v>61</v>
      </c>
      <c r="L333" s="187">
        <v>906</v>
      </c>
      <c r="M333" s="187" t="str">
        <f t="shared" si="34"/>
        <v>061</v>
      </c>
      <c r="N333" s="187">
        <f t="shared" si="35"/>
        <v>906</v>
      </c>
      <c r="O333" s="187" t="str">
        <f t="shared" si="36"/>
        <v>061-906</v>
      </c>
      <c r="Q333" s="679" t="s">
        <v>5768</v>
      </c>
    </row>
    <row r="334" spans="1:17">
      <c r="A334" s="788" t="s">
        <v>270</v>
      </c>
      <c r="B334" s="187" t="s">
        <v>7690</v>
      </c>
      <c r="C334" s="215">
        <v>906810</v>
      </c>
      <c r="D334" s="215">
        <v>4462180</v>
      </c>
      <c r="F334" s="215">
        <f t="shared" si="32"/>
        <v>4462180</v>
      </c>
      <c r="G334" s="215">
        <f t="shared" si="33"/>
        <v>5368990</v>
      </c>
      <c r="H334" s="680" t="s">
        <v>6153</v>
      </c>
      <c r="I334" s="681" t="s">
        <v>3508</v>
      </c>
      <c r="J334" s="187" t="str">
        <f t="shared" si="31"/>
        <v>061-907</v>
      </c>
      <c r="K334" s="187">
        <v>61</v>
      </c>
      <c r="L334" s="187">
        <v>907</v>
      </c>
      <c r="M334" s="187" t="str">
        <f t="shared" si="34"/>
        <v>061</v>
      </c>
      <c r="N334" s="187">
        <f t="shared" si="35"/>
        <v>907</v>
      </c>
      <c r="O334" s="187" t="str">
        <f t="shared" si="36"/>
        <v>061-907</v>
      </c>
      <c r="Q334" s="679" t="s">
        <v>5769</v>
      </c>
    </row>
    <row r="335" spans="1:17">
      <c r="A335" s="788" t="s">
        <v>2391</v>
      </c>
      <c r="B335" s="187" t="s">
        <v>1456</v>
      </c>
      <c r="C335" s="215">
        <v>1568821</v>
      </c>
      <c r="D335" s="215">
        <v>7878860</v>
      </c>
      <c r="F335" s="215">
        <f t="shared" si="32"/>
        <v>7878860</v>
      </c>
      <c r="G335" s="215">
        <f t="shared" si="33"/>
        <v>9447681</v>
      </c>
      <c r="H335" s="680" t="s">
        <v>6153</v>
      </c>
      <c r="I335" s="681" t="s">
        <v>3508</v>
      </c>
      <c r="J335" s="187" t="str">
        <f t="shared" si="31"/>
        <v>061-908</v>
      </c>
      <c r="K335" s="187">
        <v>61</v>
      </c>
      <c r="L335" s="187">
        <v>908</v>
      </c>
      <c r="M335" s="187" t="str">
        <f t="shared" si="34"/>
        <v>061</v>
      </c>
      <c r="N335" s="187">
        <f t="shared" si="35"/>
        <v>908</v>
      </c>
      <c r="O335" s="187" t="str">
        <f t="shared" si="36"/>
        <v>061-908</v>
      </c>
      <c r="Q335" s="679" t="s">
        <v>5770</v>
      </c>
    </row>
    <row r="336" spans="1:17">
      <c r="A336" s="788" t="s">
        <v>2746</v>
      </c>
      <c r="B336" s="187" t="s">
        <v>2683</v>
      </c>
      <c r="C336" s="215">
        <v>2432683</v>
      </c>
      <c r="D336" s="215">
        <v>9165729</v>
      </c>
      <c r="F336" s="215">
        <f t="shared" si="32"/>
        <v>9165729</v>
      </c>
      <c r="G336" s="215">
        <f t="shared" si="33"/>
        <v>11598412</v>
      </c>
      <c r="H336" s="680" t="s">
        <v>6153</v>
      </c>
      <c r="I336" s="681" t="s">
        <v>3508</v>
      </c>
      <c r="J336" s="187" t="str">
        <f t="shared" si="31"/>
        <v>061-910</v>
      </c>
      <c r="K336" s="187">
        <v>61</v>
      </c>
      <c r="L336" s="187">
        <v>910</v>
      </c>
      <c r="M336" s="187" t="str">
        <f t="shared" si="34"/>
        <v>061</v>
      </c>
      <c r="N336" s="187">
        <f t="shared" si="35"/>
        <v>910</v>
      </c>
      <c r="O336" s="187" t="str">
        <f t="shared" si="36"/>
        <v>061-910</v>
      </c>
      <c r="Q336" s="679" t="s">
        <v>5771</v>
      </c>
    </row>
    <row r="337" spans="1:17">
      <c r="A337" s="788" t="s">
        <v>6186</v>
      </c>
      <c r="B337" s="187" t="s">
        <v>3831</v>
      </c>
      <c r="C337" s="215">
        <v>17154270</v>
      </c>
      <c r="D337" s="215">
        <v>79971468</v>
      </c>
      <c r="F337" s="215">
        <f t="shared" si="32"/>
        <v>79971468</v>
      </c>
      <c r="G337" s="215">
        <f t="shared" si="33"/>
        <v>97125738</v>
      </c>
      <c r="H337" s="680" t="s">
        <v>6153</v>
      </c>
      <c r="I337" s="681" t="s">
        <v>3508</v>
      </c>
      <c r="J337" s="187" t="str">
        <f t="shared" si="31"/>
        <v>061-911</v>
      </c>
      <c r="K337" s="187">
        <v>61</v>
      </c>
      <c r="L337" s="187">
        <v>911</v>
      </c>
      <c r="M337" s="187" t="str">
        <f t="shared" si="34"/>
        <v>061</v>
      </c>
      <c r="N337" s="187">
        <f t="shared" si="35"/>
        <v>911</v>
      </c>
      <c r="O337" s="187" t="str">
        <f t="shared" si="36"/>
        <v>061-911</v>
      </c>
      <c r="Q337" s="679" t="s">
        <v>5772</v>
      </c>
    </row>
    <row r="338" spans="1:17">
      <c r="A338" s="788" t="s">
        <v>6041</v>
      </c>
      <c r="B338" s="187" t="s">
        <v>185</v>
      </c>
      <c r="C338" s="215">
        <v>2951942</v>
      </c>
      <c r="D338" s="215">
        <v>15052044</v>
      </c>
      <c r="F338" s="215">
        <f t="shared" si="32"/>
        <v>15052044</v>
      </c>
      <c r="G338" s="215">
        <f t="shared" si="33"/>
        <v>18003986</v>
      </c>
      <c r="H338" s="680" t="s">
        <v>6153</v>
      </c>
      <c r="I338" s="681" t="s">
        <v>3508</v>
      </c>
      <c r="J338" s="187" t="str">
        <f t="shared" si="31"/>
        <v>061-912</v>
      </c>
      <c r="K338" s="187">
        <v>61</v>
      </c>
      <c r="L338" s="187">
        <v>912</v>
      </c>
      <c r="M338" s="187" t="str">
        <f t="shared" si="34"/>
        <v>061</v>
      </c>
      <c r="N338" s="187">
        <f t="shared" si="35"/>
        <v>912</v>
      </c>
      <c r="O338" s="187" t="str">
        <f t="shared" si="36"/>
        <v>061-912</v>
      </c>
      <c r="Q338" s="679" t="s">
        <v>5773</v>
      </c>
    </row>
    <row r="339" spans="1:17">
      <c r="A339" s="788" t="s">
        <v>591</v>
      </c>
      <c r="B339" s="187" t="s">
        <v>194</v>
      </c>
      <c r="C339" s="215">
        <v>3213096</v>
      </c>
      <c r="D339" s="215">
        <v>13403874</v>
      </c>
      <c r="F339" s="215">
        <f t="shared" si="32"/>
        <v>13403874</v>
      </c>
      <c r="G339" s="215">
        <f t="shared" si="33"/>
        <v>16616970</v>
      </c>
      <c r="H339" s="680" t="s">
        <v>6153</v>
      </c>
      <c r="I339" s="681" t="s">
        <v>3508</v>
      </c>
      <c r="J339" s="187" t="str">
        <f t="shared" si="31"/>
        <v>061-914</v>
      </c>
      <c r="K339" s="187">
        <v>61</v>
      </c>
      <c r="L339" s="187">
        <v>914</v>
      </c>
      <c r="M339" s="187" t="str">
        <f t="shared" si="34"/>
        <v>061</v>
      </c>
      <c r="N339" s="187">
        <f t="shared" si="35"/>
        <v>914</v>
      </c>
      <c r="O339" s="187" t="str">
        <f t="shared" si="36"/>
        <v>061-914</v>
      </c>
      <c r="Q339" s="679" t="s">
        <v>5774</v>
      </c>
    </row>
    <row r="340" spans="1:17">
      <c r="A340" s="788" t="s">
        <v>443</v>
      </c>
      <c r="B340" s="187" t="s">
        <v>990</v>
      </c>
      <c r="C340" s="215">
        <v>361636</v>
      </c>
      <c r="D340" s="215">
        <v>3365945</v>
      </c>
      <c r="F340" s="215">
        <f t="shared" si="32"/>
        <v>3365945</v>
      </c>
      <c r="G340" s="215">
        <f t="shared" si="33"/>
        <v>3727581</v>
      </c>
      <c r="H340" s="680" t="s">
        <v>6153</v>
      </c>
      <c r="I340" s="681" t="s">
        <v>3508</v>
      </c>
      <c r="J340" s="187" t="str">
        <f t="shared" si="31"/>
        <v>062-901</v>
      </c>
      <c r="K340" s="187">
        <v>62</v>
      </c>
      <c r="L340" s="187">
        <v>901</v>
      </c>
      <c r="M340" s="187" t="str">
        <f t="shared" si="34"/>
        <v>062</v>
      </c>
      <c r="N340" s="187">
        <f t="shared" si="35"/>
        <v>901</v>
      </c>
      <c r="O340" s="187" t="str">
        <f t="shared" si="36"/>
        <v>062-901</v>
      </c>
      <c r="Q340" s="679" t="s">
        <v>5775</v>
      </c>
    </row>
    <row r="341" spans="1:17">
      <c r="A341" s="788" t="s">
        <v>2748</v>
      </c>
      <c r="B341" s="187" t="s">
        <v>2684</v>
      </c>
      <c r="C341" s="215">
        <v>87495</v>
      </c>
      <c r="D341" s="215">
        <v>682758</v>
      </c>
      <c r="F341" s="215">
        <f t="shared" si="32"/>
        <v>682758</v>
      </c>
      <c r="G341" s="215">
        <f t="shared" si="33"/>
        <v>770253</v>
      </c>
      <c r="H341" s="680" t="s">
        <v>6153</v>
      </c>
      <c r="I341" s="681" t="s">
        <v>3508</v>
      </c>
      <c r="J341" s="187" t="str">
        <f t="shared" si="31"/>
        <v>062-902</v>
      </c>
      <c r="K341" s="187">
        <v>62</v>
      </c>
      <c r="L341" s="187">
        <v>902</v>
      </c>
      <c r="M341" s="187" t="str">
        <f t="shared" si="34"/>
        <v>062</v>
      </c>
      <c r="N341" s="187">
        <f t="shared" si="35"/>
        <v>902</v>
      </c>
      <c r="O341" s="187" t="str">
        <f t="shared" si="36"/>
        <v>062-902</v>
      </c>
      <c r="Q341" s="679" t="s">
        <v>5776</v>
      </c>
    </row>
    <row r="342" spans="1:17">
      <c r="A342" s="788" t="s">
        <v>862</v>
      </c>
      <c r="B342" s="187" t="s">
        <v>2009</v>
      </c>
      <c r="C342" s="215">
        <v>438398</v>
      </c>
      <c r="D342" s="215">
        <v>3892644</v>
      </c>
      <c r="F342" s="215">
        <f t="shared" si="32"/>
        <v>3892644</v>
      </c>
      <c r="G342" s="215">
        <f t="shared" si="33"/>
        <v>4331042</v>
      </c>
      <c r="H342" s="680" t="s">
        <v>6153</v>
      </c>
      <c r="I342" s="681" t="s">
        <v>3508</v>
      </c>
      <c r="J342" s="187" t="str">
        <f t="shared" si="31"/>
        <v>062-903</v>
      </c>
      <c r="K342" s="187">
        <v>62</v>
      </c>
      <c r="L342" s="187">
        <v>903</v>
      </c>
      <c r="M342" s="187" t="str">
        <f t="shared" si="34"/>
        <v>062</v>
      </c>
      <c r="N342" s="187">
        <f t="shared" si="35"/>
        <v>903</v>
      </c>
      <c r="O342" s="187" t="str">
        <f t="shared" si="36"/>
        <v>062-903</v>
      </c>
      <c r="Q342" s="679" t="s">
        <v>5777</v>
      </c>
    </row>
    <row r="343" spans="1:17">
      <c r="A343" s="788" t="s">
        <v>2750</v>
      </c>
      <c r="B343" s="187" t="s">
        <v>2685</v>
      </c>
      <c r="C343" s="215">
        <v>0</v>
      </c>
      <c r="D343" s="215">
        <v>1451679</v>
      </c>
      <c r="F343" s="215">
        <f t="shared" si="32"/>
        <v>1451679</v>
      </c>
      <c r="G343" s="215">
        <f t="shared" si="33"/>
        <v>1451679</v>
      </c>
      <c r="H343" s="680" t="s">
        <v>6153</v>
      </c>
      <c r="I343" s="681" t="s">
        <v>3508</v>
      </c>
      <c r="J343" s="187" t="str">
        <f t="shared" si="31"/>
        <v>062-904</v>
      </c>
      <c r="K343" s="187">
        <v>62</v>
      </c>
      <c r="L343" s="187">
        <v>904</v>
      </c>
      <c r="M343" s="187" t="str">
        <f t="shared" si="34"/>
        <v>062</v>
      </c>
      <c r="N343" s="187">
        <f t="shared" si="35"/>
        <v>904</v>
      </c>
      <c r="O343" s="187" t="str">
        <f t="shared" si="36"/>
        <v>062-904</v>
      </c>
      <c r="Q343" s="679" t="s">
        <v>5778</v>
      </c>
    </row>
    <row r="344" spans="1:17">
      <c r="A344" s="788" t="s">
        <v>3899</v>
      </c>
      <c r="B344" s="187" t="s">
        <v>2686</v>
      </c>
      <c r="C344" s="215">
        <v>16313</v>
      </c>
      <c r="D344" s="215">
        <v>208618</v>
      </c>
      <c r="F344" s="215">
        <f t="shared" si="32"/>
        <v>208618</v>
      </c>
      <c r="G344" s="215">
        <f t="shared" si="33"/>
        <v>224931</v>
      </c>
      <c r="H344" s="680" t="s">
        <v>6153</v>
      </c>
      <c r="I344" s="681" t="s">
        <v>3508</v>
      </c>
      <c r="J344" s="187" t="str">
        <f t="shared" si="31"/>
        <v>062-905</v>
      </c>
      <c r="K344" s="187">
        <v>62</v>
      </c>
      <c r="L344" s="187">
        <v>905</v>
      </c>
      <c r="M344" s="187" t="str">
        <f t="shared" si="34"/>
        <v>062</v>
      </c>
      <c r="N344" s="187">
        <f t="shared" si="35"/>
        <v>905</v>
      </c>
      <c r="O344" s="187" t="str">
        <f t="shared" si="36"/>
        <v>062-905</v>
      </c>
      <c r="Q344" s="679" t="s">
        <v>5779</v>
      </c>
    </row>
    <row r="345" spans="1:17">
      <c r="A345" s="788" t="s">
        <v>3604</v>
      </c>
      <c r="B345" s="187" t="s">
        <v>2687</v>
      </c>
      <c r="C345" s="215">
        <v>0</v>
      </c>
      <c r="D345" s="215">
        <v>956029</v>
      </c>
      <c r="F345" s="215">
        <f t="shared" si="32"/>
        <v>956029</v>
      </c>
      <c r="G345" s="215">
        <f t="shared" si="33"/>
        <v>956029</v>
      </c>
      <c r="H345" s="680" t="s">
        <v>6153</v>
      </c>
      <c r="I345" s="681" t="s">
        <v>3508</v>
      </c>
      <c r="J345" s="187" t="str">
        <f t="shared" si="31"/>
        <v>062-906</v>
      </c>
      <c r="K345" s="187">
        <v>62</v>
      </c>
      <c r="L345" s="187">
        <v>906</v>
      </c>
      <c r="M345" s="187" t="str">
        <f t="shared" si="34"/>
        <v>062</v>
      </c>
      <c r="N345" s="187">
        <f t="shared" si="35"/>
        <v>906</v>
      </c>
      <c r="O345" s="187" t="str">
        <f t="shared" si="36"/>
        <v>062-906</v>
      </c>
      <c r="Q345" s="679" t="s">
        <v>5780</v>
      </c>
    </row>
    <row r="346" spans="1:17">
      <c r="A346" s="788" t="s">
        <v>3166</v>
      </c>
      <c r="B346" s="187" t="s">
        <v>2688</v>
      </c>
      <c r="C346" s="215">
        <v>0</v>
      </c>
      <c r="D346" s="215">
        <v>1936977</v>
      </c>
      <c r="F346" s="215">
        <f t="shared" si="32"/>
        <v>1936977</v>
      </c>
      <c r="G346" s="215">
        <f t="shared" si="33"/>
        <v>1936977</v>
      </c>
      <c r="H346" s="680" t="s">
        <v>6153</v>
      </c>
      <c r="I346" s="681" t="s">
        <v>3508</v>
      </c>
      <c r="J346" s="187" t="str">
        <f t="shared" si="31"/>
        <v>063-903</v>
      </c>
      <c r="K346" s="187">
        <v>63</v>
      </c>
      <c r="L346" s="187">
        <v>903</v>
      </c>
      <c r="M346" s="187" t="str">
        <f t="shared" si="34"/>
        <v>063</v>
      </c>
      <c r="N346" s="187">
        <f t="shared" si="35"/>
        <v>903</v>
      </c>
      <c r="O346" s="187" t="str">
        <f t="shared" si="36"/>
        <v>063-903</v>
      </c>
      <c r="Q346" s="679" t="s">
        <v>5781</v>
      </c>
    </row>
    <row r="347" spans="1:17">
      <c r="A347" s="788" t="s">
        <v>3168</v>
      </c>
      <c r="B347" s="187" t="s">
        <v>2689</v>
      </c>
      <c r="C347" s="215">
        <v>0</v>
      </c>
      <c r="D347" s="215">
        <v>340016</v>
      </c>
      <c r="F347" s="215">
        <f t="shared" si="32"/>
        <v>340016</v>
      </c>
      <c r="G347" s="215">
        <f t="shared" si="33"/>
        <v>340016</v>
      </c>
      <c r="H347" s="680" t="s">
        <v>6153</v>
      </c>
      <c r="I347" s="681" t="s">
        <v>3508</v>
      </c>
      <c r="J347" s="187" t="str">
        <f t="shared" si="31"/>
        <v>063-906</v>
      </c>
      <c r="K347" s="187">
        <v>63</v>
      </c>
      <c r="L347" s="187">
        <v>906</v>
      </c>
      <c r="M347" s="187" t="str">
        <f t="shared" si="34"/>
        <v>063</v>
      </c>
      <c r="N347" s="187">
        <f t="shared" si="35"/>
        <v>906</v>
      </c>
      <c r="O347" s="187" t="str">
        <f t="shared" si="36"/>
        <v>063-906</v>
      </c>
      <c r="Q347" s="679" t="s">
        <v>5782</v>
      </c>
    </row>
    <row r="348" spans="1:17">
      <c r="A348" s="788" t="s">
        <v>3091</v>
      </c>
      <c r="B348" s="187" t="s">
        <v>6101</v>
      </c>
      <c r="C348" s="215">
        <v>123230</v>
      </c>
      <c r="D348" s="215">
        <v>4168080</v>
      </c>
      <c r="F348" s="215">
        <f t="shared" si="32"/>
        <v>4168080</v>
      </c>
      <c r="G348" s="215">
        <f t="shared" si="33"/>
        <v>4291310</v>
      </c>
      <c r="H348" s="680" t="s">
        <v>6153</v>
      </c>
      <c r="I348" s="681" t="s">
        <v>3508</v>
      </c>
      <c r="J348" s="187" t="str">
        <f t="shared" si="31"/>
        <v>064-903</v>
      </c>
      <c r="K348" s="187">
        <v>64</v>
      </c>
      <c r="L348" s="187">
        <v>903</v>
      </c>
      <c r="M348" s="187" t="str">
        <f t="shared" si="34"/>
        <v>064</v>
      </c>
      <c r="N348" s="187">
        <f t="shared" si="35"/>
        <v>903</v>
      </c>
      <c r="O348" s="187" t="str">
        <f t="shared" si="36"/>
        <v>064-903</v>
      </c>
      <c r="Q348" s="679" t="s">
        <v>5783</v>
      </c>
    </row>
    <row r="349" spans="1:17">
      <c r="A349" s="788" t="s">
        <v>3171</v>
      </c>
      <c r="B349" s="187" t="s">
        <v>2690</v>
      </c>
      <c r="C349" s="215">
        <v>0</v>
      </c>
      <c r="D349" s="215">
        <v>1585631</v>
      </c>
      <c r="F349" s="215">
        <f t="shared" si="32"/>
        <v>1585631</v>
      </c>
      <c r="G349" s="215">
        <f t="shared" si="33"/>
        <v>1585631</v>
      </c>
      <c r="H349" s="680" t="s">
        <v>6153</v>
      </c>
      <c r="I349" s="681" t="s">
        <v>3508</v>
      </c>
      <c r="J349" s="187" t="str">
        <f t="shared" si="31"/>
        <v>065-901</v>
      </c>
      <c r="K349" s="187">
        <v>65</v>
      </c>
      <c r="L349" s="187">
        <v>901</v>
      </c>
      <c r="M349" s="187" t="str">
        <f t="shared" si="34"/>
        <v>065</v>
      </c>
      <c r="N349" s="187">
        <f t="shared" si="35"/>
        <v>901</v>
      </c>
      <c r="O349" s="187" t="str">
        <f t="shared" si="36"/>
        <v>065-901</v>
      </c>
      <c r="Q349" s="679" t="s">
        <v>5784</v>
      </c>
    </row>
    <row r="350" spans="1:17">
      <c r="A350" s="788" t="s">
        <v>593</v>
      </c>
      <c r="B350" s="187" t="s">
        <v>3841</v>
      </c>
      <c r="C350" s="215">
        <v>16740</v>
      </c>
      <c r="D350" s="215">
        <v>404113</v>
      </c>
      <c r="F350" s="215">
        <f t="shared" si="32"/>
        <v>404113</v>
      </c>
      <c r="G350" s="215">
        <f t="shared" si="33"/>
        <v>420853</v>
      </c>
      <c r="H350" s="680" t="s">
        <v>6153</v>
      </c>
      <c r="I350" s="681" t="s">
        <v>3508</v>
      </c>
      <c r="J350" s="187" t="str">
        <f t="shared" si="31"/>
        <v>065-902</v>
      </c>
      <c r="K350" s="187">
        <v>65</v>
      </c>
      <c r="L350" s="187">
        <v>902</v>
      </c>
      <c r="M350" s="187" t="str">
        <f t="shared" si="34"/>
        <v>065</v>
      </c>
      <c r="N350" s="187">
        <f t="shared" si="35"/>
        <v>902</v>
      </c>
      <c r="O350" s="187" t="str">
        <f t="shared" si="36"/>
        <v>065-902</v>
      </c>
      <c r="Q350" s="679" t="s">
        <v>5785</v>
      </c>
    </row>
    <row r="351" spans="1:17">
      <c r="A351" s="788" t="s">
        <v>5786</v>
      </c>
      <c r="B351" s="187" t="s">
        <v>2691</v>
      </c>
      <c r="C351" s="215">
        <v>0</v>
      </c>
      <c r="D351" s="215">
        <v>383569</v>
      </c>
      <c r="F351" s="215">
        <f t="shared" si="32"/>
        <v>383569</v>
      </c>
      <c r="G351" s="215">
        <f t="shared" si="33"/>
        <v>383569</v>
      </c>
      <c r="H351" s="680" t="s">
        <v>6153</v>
      </c>
      <c r="I351" s="681" t="s">
        <v>3508</v>
      </c>
      <c r="J351" s="187" t="str">
        <f t="shared" si="31"/>
        <v>066-5</v>
      </c>
      <c r="K351" s="187">
        <v>66</v>
      </c>
      <c r="L351" s="187">
        <v>5</v>
      </c>
      <c r="M351" s="187" t="str">
        <f t="shared" si="34"/>
        <v>066</v>
      </c>
      <c r="N351" s="187">
        <f t="shared" si="35"/>
        <v>5</v>
      </c>
      <c r="O351" s="187" t="str">
        <f t="shared" si="36"/>
        <v>066-5</v>
      </c>
      <c r="Q351" s="679" t="s">
        <v>5787</v>
      </c>
    </row>
    <row r="352" spans="1:17">
      <c r="A352" s="788" t="s">
        <v>3175</v>
      </c>
      <c r="B352" s="187" t="s">
        <v>2692</v>
      </c>
      <c r="C352" s="215">
        <v>0</v>
      </c>
      <c r="D352" s="215">
        <v>3315462</v>
      </c>
      <c r="F352" s="215">
        <f t="shared" si="32"/>
        <v>3315462</v>
      </c>
      <c r="G352" s="215">
        <f t="shared" si="33"/>
        <v>3315462</v>
      </c>
      <c r="H352" s="680" t="s">
        <v>6153</v>
      </c>
      <c r="I352" s="681" t="s">
        <v>3508</v>
      </c>
      <c r="J352" s="187" t="str">
        <f t="shared" si="31"/>
        <v>066-901</v>
      </c>
      <c r="K352" s="187">
        <v>66</v>
      </c>
      <c r="L352" s="187">
        <v>901</v>
      </c>
      <c r="M352" s="187" t="str">
        <f t="shared" si="34"/>
        <v>066</v>
      </c>
      <c r="N352" s="187">
        <f t="shared" si="35"/>
        <v>901</v>
      </c>
      <c r="O352" s="187" t="str">
        <f t="shared" si="36"/>
        <v>066-901</v>
      </c>
      <c r="Q352" s="679" t="s">
        <v>5788</v>
      </c>
    </row>
    <row r="353" spans="1:17">
      <c r="A353" s="788" t="s">
        <v>3092</v>
      </c>
      <c r="B353" s="187" t="s">
        <v>381</v>
      </c>
      <c r="C353" s="215">
        <v>107776</v>
      </c>
      <c r="D353" s="215">
        <v>1766123</v>
      </c>
      <c r="F353" s="215">
        <f t="shared" si="32"/>
        <v>1766123</v>
      </c>
      <c r="G353" s="215">
        <f t="shared" si="33"/>
        <v>1873899</v>
      </c>
      <c r="H353" s="680" t="s">
        <v>6153</v>
      </c>
      <c r="I353" s="681" t="s">
        <v>3508</v>
      </c>
      <c r="J353" s="187" t="str">
        <f t="shared" si="31"/>
        <v>066-902</v>
      </c>
      <c r="K353" s="187">
        <v>66</v>
      </c>
      <c r="L353" s="187">
        <v>902</v>
      </c>
      <c r="M353" s="187" t="str">
        <f t="shared" si="34"/>
        <v>066</v>
      </c>
      <c r="N353" s="187">
        <f t="shared" si="35"/>
        <v>902</v>
      </c>
      <c r="O353" s="187" t="str">
        <f t="shared" si="36"/>
        <v>066-902</v>
      </c>
      <c r="Q353" s="679" t="s">
        <v>5789</v>
      </c>
    </row>
    <row r="354" spans="1:17">
      <c r="A354" s="788" t="s">
        <v>673</v>
      </c>
      <c r="B354" s="187" t="s">
        <v>2693</v>
      </c>
      <c r="C354" s="215">
        <v>0</v>
      </c>
      <c r="D354" s="215">
        <v>3822177</v>
      </c>
      <c r="F354" s="215">
        <f t="shared" si="32"/>
        <v>3822177</v>
      </c>
      <c r="G354" s="215">
        <f t="shared" si="33"/>
        <v>3822177</v>
      </c>
      <c r="H354" s="680" t="s">
        <v>6153</v>
      </c>
      <c r="I354" s="681" t="s">
        <v>3508</v>
      </c>
      <c r="J354" s="187" t="str">
        <f t="shared" ref="J354:J417" si="37">+A354</f>
        <v>066-903</v>
      </c>
      <c r="K354" s="187">
        <v>66</v>
      </c>
      <c r="L354" s="187">
        <v>903</v>
      </c>
      <c r="M354" s="187" t="str">
        <f t="shared" si="34"/>
        <v>066</v>
      </c>
      <c r="N354" s="187">
        <f t="shared" si="35"/>
        <v>903</v>
      </c>
      <c r="O354" s="187" t="str">
        <f t="shared" si="36"/>
        <v>066-903</v>
      </c>
      <c r="Q354" s="679" t="s">
        <v>5790</v>
      </c>
    </row>
    <row r="355" spans="1:17">
      <c r="A355" s="788" t="s">
        <v>322</v>
      </c>
      <c r="B355" s="187" t="s">
        <v>325</v>
      </c>
      <c r="C355" s="215">
        <v>0</v>
      </c>
      <c r="D355" s="215">
        <v>2243589</v>
      </c>
      <c r="E355" s="215">
        <v>53049</v>
      </c>
      <c r="F355" s="215">
        <f t="shared" si="32"/>
        <v>2296638</v>
      </c>
      <c r="G355" s="215">
        <f t="shared" si="33"/>
        <v>2296638</v>
      </c>
      <c r="H355" s="680" t="s">
        <v>6153</v>
      </c>
      <c r="I355" s="681" t="s">
        <v>3508</v>
      </c>
      <c r="J355" s="187" t="str">
        <f t="shared" si="37"/>
        <v>067-902</v>
      </c>
      <c r="K355" s="187">
        <v>67</v>
      </c>
      <c r="L355" s="187">
        <v>902</v>
      </c>
      <c r="M355" s="187" t="str">
        <f t="shared" si="34"/>
        <v>067</v>
      </c>
      <c r="N355" s="187">
        <f t="shared" si="35"/>
        <v>902</v>
      </c>
      <c r="O355" s="187" t="str">
        <f t="shared" si="36"/>
        <v>067-902</v>
      </c>
      <c r="Q355" s="679" t="s">
        <v>5791</v>
      </c>
    </row>
    <row r="356" spans="1:17">
      <c r="A356" s="788" t="s">
        <v>675</v>
      </c>
      <c r="B356" s="187" t="s">
        <v>7652</v>
      </c>
      <c r="C356" s="215">
        <v>0</v>
      </c>
      <c r="D356" s="215">
        <v>3258723</v>
      </c>
      <c r="F356" s="215">
        <f t="shared" si="32"/>
        <v>3258723</v>
      </c>
      <c r="G356" s="215">
        <f t="shared" si="33"/>
        <v>3258723</v>
      </c>
      <c r="H356" s="680" t="s">
        <v>6153</v>
      </c>
      <c r="I356" s="681" t="s">
        <v>3508</v>
      </c>
      <c r="J356" s="187" t="str">
        <f t="shared" si="37"/>
        <v>067-903</v>
      </c>
      <c r="K356" s="187">
        <v>67</v>
      </c>
      <c r="L356" s="187">
        <v>903</v>
      </c>
      <c r="M356" s="187" t="str">
        <f t="shared" si="34"/>
        <v>067</v>
      </c>
      <c r="N356" s="187">
        <f t="shared" si="35"/>
        <v>903</v>
      </c>
      <c r="O356" s="187" t="str">
        <f t="shared" si="36"/>
        <v>067-903</v>
      </c>
      <c r="Q356" s="679" t="s">
        <v>5792</v>
      </c>
    </row>
    <row r="357" spans="1:17">
      <c r="A357" s="788" t="s">
        <v>677</v>
      </c>
      <c r="B357" s="187" t="s">
        <v>1259</v>
      </c>
      <c r="C357" s="215">
        <v>0</v>
      </c>
      <c r="D357" s="215">
        <v>583107</v>
      </c>
      <c r="F357" s="215">
        <f t="shared" si="32"/>
        <v>583107</v>
      </c>
      <c r="G357" s="215">
        <f t="shared" si="33"/>
        <v>583107</v>
      </c>
      <c r="H357" s="680" t="s">
        <v>6153</v>
      </c>
      <c r="I357" s="681" t="s">
        <v>3508</v>
      </c>
      <c r="J357" s="187" t="str">
        <f t="shared" si="37"/>
        <v>067-904</v>
      </c>
      <c r="K357" s="187">
        <v>67</v>
      </c>
      <c r="L357" s="187">
        <v>904</v>
      </c>
      <c r="M357" s="187" t="str">
        <f t="shared" si="34"/>
        <v>067</v>
      </c>
      <c r="N357" s="187">
        <f t="shared" si="35"/>
        <v>904</v>
      </c>
      <c r="O357" s="187" t="str">
        <f t="shared" si="36"/>
        <v>067-904</v>
      </c>
      <c r="Q357" s="679" t="s">
        <v>5793</v>
      </c>
    </row>
    <row r="358" spans="1:17">
      <c r="A358" s="788" t="s">
        <v>679</v>
      </c>
      <c r="B358" s="187" t="s">
        <v>1260</v>
      </c>
      <c r="C358" s="215">
        <v>0</v>
      </c>
      <c r="D358" s="215">
        <v>877407</v>
      </c>
      <c r="F358" s="215">
        <f t="shared" si="32"/>
        <v>877407</v>
      </c>
      <c r="G358" s="215">
        <f t="shared" si="33"/>
        <v>877407</v>
      </c>
      <c r="H358" s="680" t="s">
        <v>6153</v>
      </c>
      <c r="I358" s="681" t="s">
        <v>3508</v>
      </c>
      <c r="J358" s="187" t="str">
        <f t="shared" si="37"/>
        <v>067-907</v>
      </c>
      <c r="K358" s="187">
        <v>67</v>
      </c>
      <c r="L358" s="187">
        <v>907</v>
      </c>
      <c r="M358" s="187" t="str">
        <f t="shared" si="34"/>
        <v>067</v>
      </c>
      <c r="N358" s="187">
        <f t="shared" si="35"/>
        <v>907</v>
      </c>
      <c r="O358" s="187" t="str">
        <f t="shared" si="36"/>
        <v>067-907</v>
      </c>
      <c r="Q358" s="679" t="s">
        <v>5794</v>
      </c>
    </row>
    <row r="359" spans="1:17">
      <c r="A359" s="788" t="s">
        <v>2960</v>
      </c>
      <c r="B359" s="187" t="s">
        <v>1261</v>
      </c>
      <c r="C359" s="215">
        <v>0</v>
      </c>
      <c r="D359" s="215">
        <v>476286</v>
      </c>
      <c r="F359" s="215">
        <f t="shared" si="32"/>
        <v>476286</v>
      </c>
      <c r="G359" s="215">
        <f t="shared" si="33"/>
        <v>476286</v>
      </c>
      <c r="H359" s="680" t="s">
        <v>6153</v>
      </c>
      <c r="I359" s="681" t="s">
        <v>3508</v>
      </c>
      <c r="J359" s="187" t="str">
        <f t="shared" si="37"/>
        <v>067-908</v>
      </c>
      <c r="K359" s="187">
        <v>67</v>
      </c>
      <c r="L359" s="187">
        <v>908</v>
      </c>
      <c r="M359" s="187" t="str">
        <f t="shared" si="34"/>
        <v>067</v>
      </c>
      <c r="N359" s="187">
        <f t="shared" si="35"/>
        <v>908</v>
      </c>
      <c r="O359" s="187" t="str">
        <f t="shared" si="36"/>
        <v>067-908</v>
      </c>
      <c r="Q359" s="679" t="s">
        <v>5795</v>
      </c>
    </row>
    <row r="360" spans="1:17">
      <c r="A360" s="788" t="s">
        <v>3285</v>
      </c>
      <c r="B360" s="187" t="s">
        <v>3286</v>
      </c>
      <c r="C360" s="215">
        <v>0</v>
      </c>
      <c r="D360" s="215">
        <v>0</v>
      </c>
      <c r="F360" s="215">
        <f t="shared" si="32"/>
        <v>0</v>
      </c>
      <c r="G360" s="215">
        <f t="shared" si="33"/>
        <v>0</v>
      </c>
      <c r="H360" s="680" t="s">
        <v>6153</v>
      </c>
      <c r="I360" s="681" t="s">
        <v>3508</v>
      </c>
      <c r="J360" s="187" t="str">
        <f t="shared" si="37"/>
        <v>068-801</v>
      </c>
      <c r="K360" s="187">
        <v>68</v>
      </c>
      <c r="L360" s="187">
        <v>801</v>
      </c>
      <c r="M360" s="187" t="str">
        <f t="shared" si="34"/>
        <v>068</v>
      </c>
      <c r="N360" s="187">
        <f t="shared" si="35"/>
        <v>801</v>
      </c>
      <c r="O360" s="187" t="str">
        <f t="shared" si="36"/>
        <v>068-801</v>
      </c>
      <c r="Q360" s="679" t="s">
        <v>5796</v>
      </c>
    </row>
    <row r="361" spans="1:17">
      <c r="A361" s="788" t="s">
        <v>1994</v>
      </c>
      <c r="B361" s="187" t="s">
        <v>1262</v>
      </c>
      <c r="C361" s="215">
        <v>3335076</v>
      </c>
      <c r="D361" s="215">
        <v>69829404</v>
      </c>
      <c r="F361" s="215">
        <f t="shared" si="32"/>
        <v>69829404</v>
      </c>
      <c r="G361" s="215">
        <f t="shared" si="33"/>
        <v>73164480</v>
      </c>
      <c r="H361" s="680" t="s">
        <v>6153</v>
      </c>
      <c r="I361" s="681" t="s">
        <v>3508</v>
      </c>
      <c r="J361" s="187" t="str">
        <f t="shared" si="37"/>
        <v>068-901</v>
      </c>
      <c r="K361" s="187">
        <v>68</v>
      </c>
      <c r="L361" s="187">
        <v>901</v>
      </c>
      <c r="M361" s="187" t="str">
        <f t="shared" si="34"/>
        <v>068</v>
      </c>
      <c r="N361" s="187">
        <f t="shared" si="35"/>
        <v>901</v>
      </c>
      <c r="O361" s="187" t="str">
        <f t="shared" si="36"/>
        <v>068-901</v>
      </c>
      <c r="Q361" s="679" t="s">
        <v>5797</v>
      </c>
    </row>
    <row r="362" spans="1:17">
      <c r="A362" s="788" t="s">
        <v>2735</v>
      </c>
      <c r="B362" s="187" t="s">
        <v>1263</v>
      </c>
      <c r="C362" s="215">
        <v>0</v>
      </c>
      <c r="D362" s="215">
        <v>3087933</v>
      </c>
      <c r="F362" s="215">
        <f t="shared" si="32"/>
        <v>3087933</v>
      </c>
      <c r="G362" s="215">
        <f t="shared" si="33"/>
        <v>3087933</v>
      </c>
      <c r="H362" s="680" t="s">
        <v>6153</v>
      </c>
      <c r="I362" s="681" t="s">
        <v>3508</v>
      </c>
      <c r="J362" s="187" t="str">
        <f t="shared" si="37"/>
        <v>069-901</v>
      </c>
      <c r="K362" s="187">
        <v>69</v>
      </c>
      <c r="L362" s="187">
        <v>901</v>
      </c>
      <c r="M362" s="187" t="str">
        <f t="shared" si="34"/>
        <v>069</v>
      </c>
      <c r="N362" s="187">
        <f t="shared" si="35"/>
        <v>901</v>
      </c>
      <c r="O362" s="187" t="str">
        <f t="shared" si="36"/>
        <v>069-901</v>
      </c>
      <c r="Q362" s="679" t="s">
        <v>5798</v>
      </c>
    </row>
    <row r="363" spans="1:17">
      <c r="A363" s="788" t="s">
        <v>2737</v>
      </c>
      <c r="B363" s="187" t="s">
        <v>1264</v>
      </c>
      <c r="C363" s="215">
        <v>73552</v>
      </c>
      <c r="D363" s="215">
        <v>1725975</v>
      </c>
      <c r="F363" s="215">
        <f t="shared" si="32"/>
        <v>1725975</v>
      </c>
      <c r="G363" s="215">
        <f t="shared" si="33"/>
        <v>1799527</v>
      </c>
      <c r="H363" s="680" t="s">
        <v>6153</v>
      </c>
      <c r="I363" s="681" t="s">
        <v>3508</v>
      </c>
      <c r="J363" s="187" t="str">
        <f t="shared" si="37"/>
        <v>069-902</v>
      </c>
      <c r="K363" s="187">
        <v>69</v>
      </c>
      <c r="L363" s="187">
        <v>902</v>
      </c>
      <c r="M363" s="187" t="str">
        <f t="shared" si="34"/>
        <v>069</v>
      </c>
      <c r="N363" s="187">
        <f t="shared" si="35"/>
        <v>902</v>
      </c>
      <c r="O363" s="187" t="str">
        <f t="shared" si="36"/>
        <v>069-902</v>
      </c>
      <c r="Q363" s="679" t="s">
        <v>5799</v>
      </c>
    </row>
    <row r="364" spans="1:17">
      <c r="A364" s="788" t="s">
        <v>3646</v>
      </c>
      <c r="B364" s="187" t="s">
        <v>3287</v>
      </c>
      <c r="C364" s="215">
        <v>0</v>
      </c>
      <c r="D364" s="215">
        <v>0</v>
      </c>
      <c r="F364" s="215">
        <f t="shared" si="32"/>
        <v>0</v>
      </c>
      <c r="G364" s="215">
        <f t="shared" si="33"/>
        <v>0</v>
      </c>
      <c r="H364" s="680" t="s">
        <v>6153</v>
      </c>
      <c r="I364" s="681" t="s">
        <v>3508</v>
      </c>
      <c r="J364" s="187" t="str">
        <f t="shared" si="37"/>
        <v>070-801</v>
      </c>
      <c r="K364" s="187">
        <v>70</v>
      </c>
      <c r="L364" s="187">
        <v>801</v>
      </c>
      <c r="M364" s="187" t="str">
        <f t="shared" si="34"/>
        <v>070</v>
      </c>
      <c r="N364" s="187">
        <f t="shared" si="35"/>
        <v>801</v>
      </c>
      <c r="O364" s="187" t="str">
        <f t="shared" si="36"/>
        <v>070-801</v>
      </c>
      <c r="Q364" s="679" t="s">
        <v>5800</v>
      </c>
    </row>
    <row r="365" spans="1:17">
      <c r="A365" s="788" t="s">
        <v>1976</v>
      </c>
      <c r="B365" s="187" t="s">
        <v>7691</v>
      </c>
      <c r="C365" s="215">
        <v>17560</v>
      </c>
      <c r="D365" s="215">
        <v>364989</v>
      </c>
      <c r="F365" s="215">
        <f t="shared" si="32"/>
        <v>364989</v>
      </c>
      <c r="G365" s="215">
        <f t="shared" si="33"/>
        <v>382549</v>
      </c>
      <c r="H365" s="680" t="s">
        <v>6153</v>
      </c>
      <c r="I365" s="681" t="s">
        <v>3508</v>
      </c>
      <c r="J365" s="187" t="str">
        <f t="shared" si="37"/>
        <v>070-901</v>
      </c>
      <c r="K365" s="187">
        <v>70</v>
      </c>
      <c r="L365" s="187">
        <v>901</v>
      </c>
      <c r="M365" s="187" t="str">
        <f t="shared" si="34"/>
        <v>070</v>
      </c>
      <c r="N365" s="187">
        <f t="shared" si="35"/>
        <v>901</v>
      </c>
      <c r="O365" s="187" t="str">
        <f t="shared" si="36"/>
        <v>070-901</v>
      </c>
      <c r="Q365" s="679" t="s">
        <v>5801</v>
      </c>
    </row>
    <row r="366" spans="1:17">
      <c r="A366" s="788" t="s">
        <v>3648</v>
      </c>
      <c r="B366" s="187" t="s">
        <v>1265</v>
      </c>
      <c r="C366" s="215">
        <v>2339060</v>
      </c>
      <c r="D366" s="215">
        <v>18012094</v>
      </c>
      <c r="F366" s="215">
        <f t="shared" si="32"/>
        <v>18012094</v>
      </c>
      <c r="G366" s="215">
        <f t="shared" si="33"/>
        <v>20351154</v>
      </c>
      <c r="H366" s="680" t="s">
        <v>6153</v>
      </c>
      <c r="I366" s="681" t="s">
        <v>3508</v>
      </c>
      <c r="J366" s="187" t="str">
        <f t="shared" si="37"/>
        <v>070-903</v>
      </c>
      <c r="K366" s="187">
        <v>70</v>
      </c>
      <c r="L366" s="187">
        <v>903</v>
      </c>
      <c r="M366" s="187" t="str">
        <f t="shared" si="34"/>
        <v>070</v>
      </c>
      <c r="N366" s="187">
        <f t="shared" si="35"/>
        <v>903</v>
      </c>
      <c r="O366" s="187" t="str">
        <f t="shared" si="36"/>
        <v>070-903</v>
      </c>
      <c r="Q366" s="679" t="s">
        <v>5802</v>
      </c>
    </row>
    <row r="367" spans="1:17">
      <c r="A367" s="788" t="s">
        <v>3650</v>
      </c>
      <c r="B367" s="187" t="s">
        <v>1266</v>
      </c>
      <c r="C367" s="215">
        <v>717720</v>
      </c>
      <c r="D367" s="215">
        <v>3820285</v>
      </c>
      <c r="F367" s="215">
        <f t="shared" si="32"/>
        <v>3820285</v>
      </c>
      <c r="G367" s="215">
        <f t="shared" si="33"/>
        <v>4538005</v>
      </c>
      <c r="H367" s="680" t="s">
        <v>6153</v>
      </c>
      <c r="I367" s="681" t="s">
        <v>3508</v>
      </c>
      <c r="J367" s="187" t="str">
        <f t="shared" si="37"/>
        <v>070-905</v>
      </c>
      <c r="K367" s="187">
        <v>70</v>
      </c>
      <c r="L367" s="187">
        <v>905</v>
      </c>
      <c r="M367" s="187" t="str">
        <f t="shared" si="34"/>
        <v>070</v>
      </c>
      <c r="N367" s="187">
        <f t="shared" si="35"/>
        <v>905</v>
      </c>
      <c r="O367" s="187" t="str">
        <f t="shared" si="36"/>
        <v>070-905</v>
      </c>
      <c r="Q367" s="679" t="s">
        <v>5803</v>
      </c>
    </row>
    <row r="368" spans="1:17">
      <c r="A368" s="788" t="s">
        <v>3093</v>
      </c>
      <c r="B368" s="187" t="s">
        <v>1906</v>
      </c>
      <c r="C368" s="215">
        <v>47091</v>
      </c>
      <c r="D368" s="215">
        <v>1176273</v>
      </c>
      <c r="F368" s="215">
        <f t="shared" si="32"/>
        <v>1176273</v>
      </c>
      <c r="G368" s="215">
        <f t="shared" si="33"/>
        <v>1223364</v>
      </c>
      <c r="H368" s="680" t="s">
        <v>6153</v>
      </c>
      <c r="I368" s="681" t="s">
        <v>3508</v>
      </c>
      <c r="J368" s="187" t="str">
        <f t="shared" si="37"/>
        <v>070-907</v>
      </c>
      <c r="K368" s="187">
        <v>70</v>
      </c>
      <c r="L368" s="187">
        <v>907</v>
      </c>
      <c r="M368" s="187" t="str">
        <f t="shared" si="34"/>
        <v>070</v>
      </c>
      <c r="N368" s="187">
        <f t="shared" si="35"/>
        <v>907</v>
      </c>
      <c r="O368" s="187" t="str">
        <f t="shared" si="36"/>
        <v>070-907</v>
      </c>
      <c r="Q368" s="679" t="s">
        <v>5804</v>
      </c>
    </row>
    <row r="369" spans="1:17">
      <c r="A369" s="788" t="s">
        <v>7734</v>
      </c>
      <c r="B369" s="187" t="s">
        <v>1267</v>
      </c>
      <c r="C369" s="215">
        <v>5933501</v>
      </c>
      <c r="D369" s="215">
        <v>27151441</v>
      </c>
      <c r="F369" s="215">
        <f t="shared" si="32"/>
        <v>27151441</v>
      </c>
      <c r="G369" s="215">
        <f t="shared" si="33"/>
        <v>33084942</v>
      </c>
      <c r="H369" s="680" t="s">
        <v>6153</v>
      </c>
      <c r="I369" s="681" t="s">
        <v>3508</v>
      </c>
      <c r="J369" s="187" t="str">
        <f t="shared" si="37"/>
        <v>070-908</v>
      </c>
      <c r="K369" s="187">
        <v>70</v>
      </c>
      <c r="L369" s="187">
        <v>908</v>
      </c>
      <c r="M369" s="187" t="str">
        <f t="shared" si="34"/>
        <v>070</v>
      </c>
      <c r="N369" s="187">
        <f t="shared" si="35"/>
        <v>908</v>
      </c>
      <c r="O369" s="187" t="str">
        <f t="shared" si="36"/>
        <v>070-908</v>
      </c>
      <c r="Q369" s="679" t="s">
        <v>5805</v>
      </c>
    </row>
    <row r="370" spans="1:17">
      <c r="A370" s="788" t="s">
        <v>915</v>
      </c>
      <c r="B370" s="187" t="s">
        <v>1268</v>
      </c>
      <c r="C370" s="215">
        <v>40299</v>
      </c>
      <c r="D370" s="215">
        <v>482001</v>
      </c>
      <c r="F370" s="215">
        <f t="shared" si="32"/>
        <v>482001</v>
      </c>
      <c r="G370" s="215">
        <f t="shared" si="33"/>
        <v>522300</v>
      </c>
      <c r="H370" s="680" t="s">
        <v>6153</v>
      </c>
      <c r="I370" s="681" t="s">
        <v>3508</v>
      </c>
      <c r="J370" s="187" t="str">
        <f t="shared" si="37"/>
        <v>070-909</v>
      </c>
      <c r="K370" s="187">
        <v>70</v>
      </c>
      <c r="L370" s="187">
        <v>909</v>
      </c>
      <c r="M370" s="187" t="str">
        <f t="shared" si="34"/>
        <v>070</v>
      </c>
      <c r="N370" s="187">
        <f t="shared" si="35"/>
        <v>909</v>
      </c>
      <c r="O370" s="187" t="str">
        <f t="shared" si="36"/>
        <v>070-909</v>
      </c>
      <c r="Q370" s="679" t="s">
        <v>5806</v>
      </c>
    </row>
    <row r="371" spans="1:17">
      <c r="A371" s="788" t="s">
        <v>1978</v>
      </c>
      <c r="B371" s="187" t="s">
        <v>3628</v>
      </c>
      <c r="C371" s="215">
        <v>194963</v>
      </c>
      <c r="D371" s="215">
        <v>2488880</v>
      </c>
      <c r="F371" s="215">
        <f t="shared" si="32"/>
        <v>2488880</v>
      </c>
      <c r="G371" s="215">
        <f t="shared" si="33"/>
        <v>2683843</v>
      </c>
      <c r="H371" s="680" t="s">
        <v>6153</v>
      </c>
      <c r="I371" s="681" t="s">
        <v>3508</v>
      </c>
      <c r="J371" s="187" t="str">
        <f t="shared" si="37"/>
        <v>070-910</v>
      </c>
      <c r="K371" s="187">
        <v>70</v>
      </c>
      <c r="L371" s="187">
        <v>910</v>
      </c>
      <c r="M371" s="187" t="str">
        <f t="shared" si="34"/>
        <v>070</v>
      </c>
      <c r="N371" s="187">
        <f t="shared" si="35"/>
        <v>910</v>
      </c>
      <c r="O371" s="187" t="str">
        <f t="shared" si="36"/>
        <v>070-910</v>
      </c>
      <c r="Q371" s="679" t="s">
        <v>5807</v>
      </c>
    </row>
    <row r="372" spans="1:17">
      <c r="A372" s="788" t="s">
        <v>2767</v>
      </c>
      <c r="B372" s="187" t="s">
        <v>357</v>
      </c>
      <c r="C372" s="215">
        <v>1236451</v>
      </c>
      <c r="D372" s="215">
        <v>12359493</v>
      </c>
      <c r="F372" s="215">
        <f t="shared" si="32"/>
        <v>12359493</v>
      </c>
      <c r="G372" s="215">
        <f t="shared" si="33"/>
        <v>13595944</v>
      </c>
      <c r="H372" s="680" t="s">
        <v>6153</v>
      </c>
      <c r="I372" s="681" t="s">
        <v>3508</v>
      </c>
      <c r="J372" s="187" t="str">
        <f t="shared" si="37"/>
        <v>070-911</v>
      </c>
      <c r="K372" s="187">
        <v>70</v>
      </c>
      <c r="L372" s="187">
        <v>911</v>
      </c>
      <c r="M372" s="187" t="str">
        <f t="shared" si="34"/>
        <v>070</v>
      </c>
      <c r="N372" s="187">
        <f t="shared" si="35"/>
        <v>911</v>
      </c>
      <c r="O372" s="187" t="str">
        <f t="shared" si="36"/>
        <v>070-911</v>
      </c>
      <c r="Q372" s="679" t="s">
        <v>5808</v>
      </c>
    </row>
    <row r="373" spans="1:17">
      <c r="A373" s="788" t="s">
        <v>3555</v>
      </c>
      <c r="B373" s="187" t="s">
        <v>4063</v>
      </c>
      <c r="C373" s="215">
        <v>4625705</v>
      </c>
      <c r="D373" s="215">
        <v>29806124</v>
      </c>
      <c r="F373" s="215">
        <f t="shared" si="32"/>
        <v>29806124</v>
      </c>
      <c r="G373" s="215">
        <f t="shared" si="33"/>
        <v>34431829</v>
      </c>
      <c r="H373" s="680" t="s">
        <v>6153</v>
      </c>
      <c r="I373" s="681" t="s">
        <v>3508</v>
      </c>
      <c r="J373" s="187" t="str">
        <f t="shared" si="37"/>
        <v>070-912</v>
      </c>
      <c r="K373" s="187">
        <v>70</v>
      </c>
      <c r="L373" s="187">
        <v>912</v>
      </c>
      <c r="M373" s="187" t="str">
        <f t="shared" si="34"/>
        <v>070</v>
      </c>
      <c r="N373" s="187">
        <f t="shared" si="35"/>
        <v>912</v>
      </c>
      <c r="O373" s="187" t="str">
        <f t="shared" si="36"/>
        <v>070-912</v>
      </c>
      <c r="Q373" s="679" t="s">
        <v>5809</v>
      </c>
    </row>
    <row r="374" spans="1:17">
      <c r="A374" s="788" t="s">
        <v>3094</v>
      </c>
      <c r="B374" s="187" t="s">
        <v>6072</v>
      </c>
      <c r="C374" s="215">
        <v>433109</v>
      </c>
      <c r="D374" s="215">
        <v>1958055</v>
      </c>
      <c r="F374" s="215">
        <f t="shared" si="32"/>
        <v>1958055</v>
      </c>
      <c r="G374" s="215">
        <f t="shared" si="33"/>
        <v>2391164</v>
      </c>
      <c r="H374" s="680" t="s">
        <v>6153</v>
      </c>
      <c r="I374" s="681" t="s">
        <v>3508</v>
      </c>
      <c r="J374" s="187" t="str">
        <f t="shared" si="37"/>
        <v>070-915</v>
      </c>
      <c r="K374" s="187">
        <v>70</v>
      </c>
      <c r="L374" s="187">
        <v>915</v>
      </c>
      <c r="M374" s="187" t="str">
        <f t="shared" si="34"/>
        <v>070</v>
      </c>
      <c r="N374" s="187">
        <f t="shared" si="35"/>
        <v>915</v>
      </c>
      <c r="O374" s="187" t="str">
        <f t="shared" si="36"/>
        <v>070-915</v>
      </c>
      <c r="Q374" s="679" t="s">
        <v>5810</v>
      </c>
    </row>
    <row r="375" spans="1:17">
      <c r="A375" s="788" t="s">
        <v>1781</v>
      </c>
      <c r="B375" s="187" t="s">
        <v>3288</v>
      </c>
      <c r="C375" s="215">
        <v>0</v>
      </c>
      <c r="D375" s="215">
        <v>0</v>
      </c>
      <c r="F375" s="215">
        <f t="shared" si="32"/>
        <v>0</v>
      </c>
      <c r="G375" s="215">
        <f t="shared" si="33"/>
        <v>0</v>
      </c>
      <c r="H375" s="680" t="s">
        <v>6153</v>
      </c>
      <c r="I375" s="681" t="s">
        <v>3508</v>
      </c>
      <c r="J375" s="187" t="str">
        <f t="shared" si="37"/>
        <v>071-801</v>
      </c>
      <c r="K375" s="187">
        <v>71</v>
      </c>
      <c r="L375" s="187">
        <v>801</v>
      </c>
      <c r="M375" s="187" t="str">
        <f t="shared" si="34"/>
        <v>071</v>
      </c>
      <c r="N375" s="187">
        <f t="shared" si="35"/>
        <v>801</v>
      </c>
      <c r="O375" s="187" t="str">
        <f t="shared" si="36"/>
        <v>071-801</v>
      </c>
      <c r="Q375" s="679" t="s">
        <v>5811</v>
      </c>
    </row>
    <row r="376" spans="1:17">
      <c r="A376" s="788" t="s">
        <v>3289</v>
      </c>
      <c r="B376" s="187" t="s">
        <v>3290</v>
      </c>
      <c r="C376" s="215">
        <v>0</v>
      </c>
      <c r="D376" s="215">
        <v>0</v>
      </c>
      <c r="F376" s="215">
        <f t="shared" si="32"/>
        <v>0</v>
      </c>
      <c r="G376" s="215">
        <f t="shared" si="33"/>
        <v>0</v>
      </c>
      <c r="H376" s="680" t="s">
        <v>6153</v>
      </c>
      <c r="I376" s="681" t="s">
        <v>3508</v>
      </c>
      <c r="J376" s="187" t="str">
        <f t="shared" si="37"/>
        <v>071-803</v>
      </c>
      <c r="K376" s="187">
        <v>71</v>
      </c>
      <c r="L376" s="187">
        <v>803</v>
      </c>
      <c r="M376" s="187" t="str">
        <f t="shared" si="34"/>
        <v>071</v>
      </c>
      <c r="N376" s="187">
        <f t="shared" si="35"/>
        <v>803</v>
      </c>
      <c r="O376" s="187" t="str">
        <f t="shared" si="36"/>
        <v>071-803</v>
      </c>
      <c r="Q376" s="679" t="s">
        <v>5812</v>
      </c>
    </row>
    <row r="377" spans="1:17">
      <c r="A377" s="788" t="s">
        <v>3291</v>
      </c>
      <c r="B377" s="187" t="s">
        <v>3292</v>
      </c>
      <c r="C377" s="215">
        <v>0</v>
      </c>
      <c r="D377" s="215">
        <v>0</v>
      </c>
      <c r="F377" s="215">
        <f t="shared" si="32"/>
        <v>0</v>
      </c>
      <c r="G377" s="215">
        <f t="shared" si="33"/>
        <v>0</v>
      </c>
      <c r="H377" s="680" t="s">
        <v>6153</v>
      </c>
      <c r="I377" s="681" t="s">
        <v>3508</v>
      </c>
      <c r="J377" s="187" t="str">
        <f t="shared" si="37"/>
        <v>071-804</v>
      </c>
      <c r="K377" s="187">
        <v>71</v>
      </c>
      <c r="L377" s="187">
        <v>804</v>
      </c>
      <c r="M377" s="187" t="str">
        <f t="shared" si="34"/>
        <v>071</v>
      </c>
      <c r="N377" s="187">
        <f t="shared" si="35"/>
        <v>804</v>
      </c>
      <c r="O377" s="187" t="str">
        <f t="shared" si="36"/>
        <v>071-804</v>
      </c>
      <c r="Q377" s="679" t="s">
        <v>5813</v>
      </c>
    </row>
    <row r="378" spans="1:17">
      <c r="A378" s="788" t="s">
        <v>3293</v>
      </c>
      <c r="B378" s="187" t="s">
        <v>3294</v>
      </c>
      <c r="C378" s="215">
        <v>0</v>
      </c>
      <c r="D378" s="215">
        <v>0</v>
      </c>
      <c r="F378" s="215">
        <f t="shared" si="32"/>
        <v>0</v>
      </c>
      <c r="G378" s="215">
        <f t="shared" si="33"/>
        <v>0</v>
      </c>
      <c r="H378" s="680" t="s">
        <v>6153</v>
      </c>
      <c r="I378" s="681" t="s">
        <v>3508</v>
      </c>
      <c r="J378" s="187" t="str">
        <f t="shared" si="37"/>
        <v>071-805</v>
      </c>
      <c r="K378" s="187">
        <v>71</v>
      </c>
      <c r="L378" s="187">
        <v>805</v>
      </c>
      <c r="M378" s="187" t="str">
        <f t="shared" si="34"/>
        <v>071</v>
      </c>
      <c r="N378" s="187">
        <f t="shared" si="35"/>
        <v>805</v>
      </c>
      <c r="O378" s="187" t="str">
        <f t="shared" si="36"/>
        <v>071-805</v>
      </c>
      <c r="Q378" s="679" t="s">
        <v>5814</v>
      </c>
    </row>
    <row r="379" spans="1:17">
      <c r="A379" s="788" t="s">
        <v>741</v>
      </c>
      <c r="B379" s="187" t="s">
        <v>6116</v>
      </c>
      <c r="C379" s="215">
        <v>984808</v>
      </c>
      <c r="D379" s="215">
        <v>6799435</v>
      </c>
      <c r="F379" s="215">
        <f t="shared" si="32"/>
        <v>6799435</v>
      </c>
      <c r="G379" s="215">
        <f t="shared" si="33"/>
        <v>7784243</v>
      </c>
      <c r="H379" s="680" t="s">
        <v>6153</v>
      </c>
      <c r="I379" s="681" t="s">
        <v>3508</v>
      </c>
      <c r="J379" s="187" t="str">
        <f t="shared" si="37"/>
        <v>071-901</v>
      </c>
      <c r="K379" s="187">
        <v>71</v>
      </c>
      <c r="L379" s="187">
        <v>901</v>
      </c>
      <c r="M379" s="187" t="str">
        <f t="shared" si="34"/>
        <v>071</v>
      </c>
      <c r="N379" s="187">
        <f t="shared" si="35"/>
        <v>901</v>
      </c>
      <c r="O379" s="187" t="str">
        <f t="shared" si="36"/>
        <v>071-901</v>
      </c>
      <c r="Q379" s="679" t="s">
        <v>5815</v>
      </c>
    </row>
    <row r="380" spans="1:17">
      <c r="A380" s="788" t="s">
        <v>4035</v>
      </c>
      <c r="B380" s="187" t="s">
        <v>1269</v>
      </c>
      <c r="C380" s="215">
        <v>14714571</v>
      </c>
      <c r="D380" s="215">
        <v>144747190</v>
      </c>
      <c r="F380" s="215">
        <f t="shared" si="32"/>
        <v>144747190</v>
      </c>
      <c r="G380" s="215">
        <f t="shared" si="33"/>
        <v>159461761</v>
      </c>
      <c r="H380" s="680" t="s">
        <v>6153</v>
      </c>
      <c r="I380" s="681" t="s">
        <v>3508</v>
      </c>
      <c r="J380" s="187" t="str">
        <f t="shared" si="37"/>
        <v>071-902</v>
      </c>
      <c r="K380" s="187">
        <v>71</v>
      </c>
      <c r="L380" s="187">
        <v>902</v>
      </c>
      <c r="M380" s="187" t="str">
        <f t="shared" si="34"/>
        <v>071</v>
      </c>
      <c r="N380" s="187">
        <f t="shared" si="35"/>
        <v>902</v>
      </c>
      <c r="O380" s="187" t="str">
        <f t="shared" si="36"/>
        <v>071-902</v>
      </c>
      <c r="Q380" s="679" t="s">
        <v>5816</v>
      </c>
    </row>
    <row r="381" spans="1:17">
      <c r="A381" s="788" t="s">
        <v>1524</v>
      </c>
      <c r="B381" s="187" t="s">
        <v>1930</v>
      </c>
      <c r="C381" s="215">
        <v>86751</v>
      </c>
      <c r="D381" s="215">
        <v>1629908</v>
      </c>
      <c r="F381" s="215">
        <f t="shared" si="32"/>
        <v>1629908</v>
      </c>
      <c r="G381" s="215">
        <f t="shared" si="33"/>
        <v>1716659</v>
      </c>
      <c r="H381" s="680" t="s">
        <v>6153</v>
      </c>
      <c r="I381" s="681" t="s">
        <v>3508</v>
      </c>
      <c r="J381" s="187" t="str">
        <f t="shared" si="37"/>
        <v>071-903</v>
      </c>
      <c r="K381" s="187">
        <v>71</v>
      </c>
      <c r="L381" s="187">
        <v>903</v>
      </c>
      <c r="M381" s="187" t="str">
        <f t="shared" si="34"/>
        <v>071</v>
      </c>
      <c r="N381" s="187">
        <f t="shared" si="35"/>
        <v>903</v>
      </c>
      <c r="O381" s="187" t="str">
        <f t="shared" si="36"/>
        <v>071-903</v>
      </c>
      <c r="Q381" s="679" t="s">
        <v>5817</v>
      </c>
    </row>
    <row r="382" spans="1:17">
      <c r="A382" s="788" t="s">
        <v>2388</v>
      </c>
      <c r="B382" s="187" t="s">
        <v>382</v>
      </c>
      <c r="C382" s="215">
        <v>77064</v>
      </c>
      <c r="D382" s="215">
        <v>1399332</v>
      </c>
      <c r="E382" s="215">
        <v>81639</v>
      </c>
      <c r="F382" s="215">
        <f t="shared" si="32"/>
        <v>1480971</v>
      </c>
      <c r="G382" s="215">
        <f t="shared" si="33"/>
        <v>1558035</v>
      </c>
      <c r="H382" s="680" t="s">
        <v>6153</v>
      </c>
      <c r="I382" s="681" t="s">
        <v>3508</v>
      </c>
      <c r="J382" s="187" t="str">
        <f t="shared" si="37"/>
        <v>071-904</v>
      </c>
      <c r="K382" s="187">
        <v>71</v>
      </c>
      <c r="L382" s="187">
        <v>904</v>
      </c>
      <c r="M382" s="187" t="str">
        <f t="shared" si="34"/>
        <v>071</v>
      </c>
      <c r="N382" s="187">
        <f t="shared" si="35"/>
        <v>904</v>
      </c>
      <c r="O382" s="187" t="str">
        <f t="shared" si="36"/>
        <v>071-904</v>
      </c>
      <c r="Q382" s="679" t="s">
        <v>5818</v>
      </c>
    </row>
    <row r="383" spans="1:17">
      <c r="A383" s="788" t="s">
        <v>863</v>
      </c>
      <c r="B383" s="187" t="s">
        <v>2010</v>
      </c>
      <c r="C383" s="215">
        <v>10678976</v>
      </c>
      <c r="D383" s="215">
        <v>62109268</v>
      </c>
      <c r="E383" s="215">
        <v>1030083</v>
      </c>
      <c r="F383" s="215">
        <f t="shared" si="32"/>
        <v>63139351</v>
      </c>
      <c r="G383" s="215">
        <f t="shared" si="33"/>
        <v>73818327</v>
      </c>
      <c r="H383" s="680" t="s">
        <v>6153</v>
      </c>
      <c r="I383" s="681" t="s">
        <v>3508</v>
      </c>
      <c r="J383" s="187" t="str">
        <f t="shared" si="37"/>
        <v>071-905</v>
      </c>
      <c r="K383" s="187">
        <v>71</v>
      </c>
      <c r="L383" s="187">
        <v>905</v>
      </c>
      <c r="M383" s="187" t="str">
        <f t="shared" si="34"/>
        <v>071</v>
      </c>
      <c r="N383" s="187">
        <f t="shared" si="35"/>
        <v>905</v>
      </c>
      <c r="O383" s="187" t="str">
        <f t="shared" si="36"/>
        <v>071-905</v>
      </c>
      <c r="Q383" s="679" t="s">
        <v>5819</v>
      </c>
    </row>
    <row r="384" spans="1:17">
      <c r="A384" s="788" t="s">
        <v>268</v>
      </c>
      <c r="B384" s="187" t="s">
        <v>7685</v>
      </c>
      <c r="C384" s="215">
        <v>203871</v>
      </c>
      <c r="D384" s="215">
        <v>1404515</v>
      </c>
      <c r="F384" s="215">
        <f t="shared" si="32"/>
        <v>1404515</v>
      </c>
      <c r="G384" s="215">
        <f t="shared" si="33"/>
        <v>1608386</v>
      </c>
      <c r="H384" s="680" t="s">
        <v>6153</v>
      </c>
      <c r="I384" s="681" t="s">
        <v>3508</v>
      </c>
      <c r="J384" s="187" t="str">
        <f t="shared" si="37"/>
        <v>071-906</v>
      </c>
      <c r="K384" s="187">
        <v>71</v>
      </c>
      <c r="L384" s="187">
        <v>906</v>
      </c>
      <c r="M384" s="187" t="str">
        <f t="shared" si="34"/>
        <v>071</v>
      </c>
      <c r="N384" s="187">
        <f t="shared" si="35"/>
        <v>906</v>
      </c>
      <c r="O384" s="187" t="str">
        <f t="shared" si="36"/>
        <v>071-906</v>
      </c>
      <c r="Q384" s="679" t="s">
        <v>5820</v>
      </c>
    </row>
    <row r="385" spans="1:17">
      <c r="A385" s="788" t="s">
        <v>981</v>
      </c>
      <c r="B385" s="187" t="s">
        <v>6099</v>
      </c>
      <c r="C385" s="215">
        <v>1543069</v>
      </c>
      <c r="D385" s="215">
        <v>9335995</v>
      </c>
      <c r="E385" s="215">
        <v>210687</v>
      </c>
      <c r="F385" s="215">
        <f t="shared" si="32"/>
        <v>9546682</v>
      </c>
      <c r="G385" s="215">
        <f t="shared" si="33"/>
        <v>11089751</v>
      </c>
      <c r="H385" s="680" t="s">
        <v>6153</v>
      </c>
      <c r="I385" s="681" t="s">
        <v>3508</v>
      </c>
      <c r="J385" s="187" t="str">
        <f t="shared" si="37"/>
        <v>071-907</v>
      </c>
      <c r="K385" s="187">
        <v>71</v>
      </c>
      <c r="L385" s="187">
        <v>907</v>
      </c>
      <c r="M385" s="187" t="str">
        <f t="shared" si="34"/>
        <v>071</v>
      </c>
      <c r="N385" s="187">
        <f t="shared" si="35"/>
        <v>907</v>
      </c>
      <c r="O385" s="187" t="str">
        <f t="shared" si="36"/>
        <v>071-907</v>
      </c>
      <c r="Q385" s="679" t="s">
        <v>5821</v>
      </c>
    </row>
    <row r="386" spans="1:17">
      <c r="A386" s="788" t="s">
        <v>2414</v>
      </c>
      <c r="B386" s="187" t="s">
        <v>5367</v>
      </c>
      <c r="C386" s="215">
        <v>82925</v>
      </c>
      <c r="D386" s="215">
        <v>599274</v>
      </c>
      <c r="F386" s="215">
        <f t="shared" si="32"/>
        <v>599274</v>
      </c>
      <c r="G386" s="215">
        <f t="shared" si="33"/>
        <v>682199</v>
      </c>
      <c r="H386" s="680" t="s">
        <v>6153</v>
      </c>
      <c r="I386" s="681" t="s">
        <v>3508</v>
      </c>
      <c r="J386" s="187" t="str">
        <f t="shared" si="37"/>
        <v>071-908</v>
      </c>
      <c r="K386" s="187">
        <v>71</v>
      </c>
      <c r="L386" s="187">
        <v>908</v>
      </c>
      <c r="M386" s="187" t="str">
        <f t="shared" si="34"/>
        <v>071</v>
      </c>
      <c r="N386" s="187">
        <f t="shared" si="35"/>
        <v>908</v>
      </c>
      <c r="O386" s="187" t="str">
        <f t="shared" si="36"/>
        <v>071-908</v>
      </c>
      <c r="Q386" s="679" t="s">
        <v>5822</v>
      </c>
    </row>
    <row r="387" spans="1:17">
      <c r="A387" s="788" t="s">
        <v>2401</v>
      </c>
      <c r="B387" s="187" t="s">
        <v>2345</v>
      </c>
      <c r="C387" s="215">
        <v>9590716</v>
      </c>
      <c r="D387" s="215">
        <v>48661060</v>
      </c>
      <c r="F387" s="215">
        <f t="shared" si="32"/>
        <v>48661060</v>
      </c>
      <c r="G387" s="215">
        <f t="shared" si="33"/>
        <v>58251776</v>
      </c>
      <c r="H387" s="680" t="s">
        <v>6153</v>
      </c>
      <c r="I387" s="681" t="s">
        <v>3508</v>
      </c>
      <c r="J387" s="187" t="str">
        <f t="shared" si="37"/>
        <v>071-909</v>
      </c>
      <c r="K387" s="187">
        <v>71</v>
      </c>
      <c r="L387" s="187">
        <v>909</v>
      </c>
      <c r="M387" s="187" t="str">
        <f t="shared" si="34"/>
        <v>071</v>
      </c>
      <c r="N387" s="187">
        <f t="shared" si="35"/>
        <v>909</v>
      </c>
      <c r="O387" s="187" t="str">
        <f t="shared" si="36"/>
        <v>071-909</v>
      </c>
      <c r="Q387" s="679" t="s">
        <v>5823</v>
      </c>
    </row>
    <row r="388" spans="1:17">
      <c r="A388" s="788" t="s">
        <v>3295</v>
      </c>
      <c r="B388" s="187" t="s">
        <v>3296</v>
      </c>
      <c r="C388" s="215">
        <v>0</v>
      </c>
      <c r="D388" s="215">
        <v>0</v>
      </c>
      <c r="F388" s="215">
        <f t="shared" ref="F388:F451" si="38">D388+E388</f>
        <v>0</v>
      </c>
      <c r="G388" s="215">
        <f t="shared" ref="G388:G451" si="39">F388+C388</f>
        <v>0</v>
      </c>
      <c r="H388" s="680" t="s">
        <v>6153</v>
      </c>
      <c r="I388" s="681" t="s">
        <v>3508</v>
      </c>
      <c r="J388" s="187" t="str">
        <f t="shared" si="37"/>
        <v>071-950</v>
      </c>
      <c r="K388" s="187">
        <v>71</v>
      </c>
      <c r="L388" s="187">
        <v>950</v>
      </c>
      <c r="M388" s="187" t="str">
        <f t="shared" ref="M388:M451" si="40">+I388&amp;K388</f>
        <v>071</v>
      </c>
      <c r="N388" s="187">
        <f t="shared" ref="N388:N451" si="41">+L388</f>
        <v>950</v>
      </c>
      <c r="O388" s="187" t="str">
        <f t="shared" ref="O388:O451" si="42">+M388&amp;"-"&amp;N388</f>
        <v>071-950</v>
      </c>
      <c r="Q388" s="679" t="s">
        <v>5824</v>
      </c>
    </row>
    <row r="389" spans="1:17">
      <c r="A389" s="788" t="s">
        <v>3297</v>
      </c>
      <c r="B389" s="187" t="s">
        <v>3298</v>
      </c>
      <c r="C389" s="215">
        <v>0</v>
      </c>
      <c r="D389" s="215">
        <v>0</v>
      </c>
      <c r="F389" s="215">
        <f t="shared" si="38"/>
        <v>0</v>
      </c>
      <c r="G389" s="215">
        <f t="shared" si="39"/>
        <v>0</v>
      </c>
      <c r="H389" s="680" t="s">
        <v>6153</v>
      </c>
      <c r="I389" s="681" t="s">
        <v>3508</v>
      </c>
      <c r="J389" s="187" t="str">
        <f t="shared" si="37"/>
        <v>072-801</v>
      </c>
      <c r="K389" s="187">
        <v>72</v>
      </c>
      <c r="L389" s="187">
        <v>801</v>
      </c>
      <c r="M389" s="187" t="str">
        <f t="shared" si="40"/>
        <v>072</v>
      </c>
      <c r="N389" s="187">
        <f t="shared" si="41"/>
        <v>801</v>
      </c>
      <c r="O389" s="187" t="str">
        <f t="shared" si="42"/>
        <v>072-801</v>
      </c>
      <c r="Q389" s="679" t="s">
        <v>5825</v>
      </c>
    </row>
    <row r="390" spans="1:17">
      <c r="A390" s="788" t="s">
        <v>4037</v>
      </c>
      <c r="B390" s="187" t="s">
        <v>1270</v>
      </c>
      <c r="C390" s="215">
        <v>0</v>
      </c>
      <c r="D390" s="215">
        <v>336046</v>
      </c>
      <c r="F390" s="215">
        <f t="shared" si="38"/>
        <v>336046</v>
      </c>
      <c r="G390" s="215">
        <f t="shared" si="39"/>
        <v>336046</v>
      </c>
      <c r="H390" s="680" t="s">
        <v>6153</v>
      </c>
      <c r="I390" s="681" t="s">
        <v>3508</v>
      </c>
      <c r="J390" s="187" t="str">
        <f t="shared" si="37"/>
        <v>072-901</v>
      </c>
      <c r="K390" s="187">
        <v>72</v>
      </c>
      <c r="L390" s="187">
        <v>901</v>
      </c>
      <c r="M390" s="187" t="str">
        <f t="shared" si="40"/>
        <v>072</v>
      </c>
      <c r="N390" s="187">
        <f t="shared" si="41"/>
        <v>901</v>
      </c>
      <c r="O390" s="187" t="str">
        <f t="shared" si="42"/>
        <v>072-901</v>
      </c>
      <c r="Q390" s="679" t="s">
        <v>5826</v>
      </c>
    </row>
    <row r="391" spans="1:17">
      <c r="A391" s="788" t="s">
        <v>2140</v>
      </c>
      <c r="B391" s="187" t="s">
        <v>1271</v>
      </c>
      <c r="C391" s="215">
        <v>175638</v>
      </c>
      <c r="D391" s="215">
        <v>2457258</v>
      </c>
      <c r="F391" s="215">
        <f t="shared" si="38"/>
        <v>2457258</v>
      </c>
      <c r="G391" s="215">
        <f t="shared" si="39"/>
        <v>2632896</v>
      </c>
      <c r="H391" s="680" t="s">
        <v>6153</v>
      </c>
      <c r="I391" s="681" t="s">
        <v>3508</v>
      </c>
      <c r="J391" s="187" t="str">
        <f t="shared" si="37"/>
        <v>072-902</v>
      </c>
      <c r="K391" s="187">
        <v>72</v>
      </c>
      <c r="L391" s="187">
        <v>902</v>
      </c>
      <c r="M391" s="187" t="str">
        <f t="shared" si="40"/>
        <v>072</v>
      </c>
      <c r="N391" s="187">
        <f t="shared" si="41"/>
        <v>902</v>
      </c>
      <c r="O391" s="187" t="str">
        <f t="shared" si="42"/>
        <v>072-902</v>
      </c>
      <c r="Q391" s="679" t="s">
        <v>5827</v>
      </c>
    </row>
    <row r="392" spans="1:17">
      <c r="A392" s="788" t="s">
        <v>2408</v>
      </c>
      <c r="B392" s="187" t="s">
        <v>2355</v>
      </c>
      <c r="C392" s="215">
        <v>1333406</v>
      </c>
      <c r="D392" s="215">
        <v>11754567</v>
      </c>
      <c r="F392" s="215">
        <f t="shared" si="38"/>
        <v>11754567</v>
      </c>
      <c r="G392" s="215">
        <f t="shared" si="39"/>
        <v>13087973</v>
      </c>
      <c r="H392" s="680" t="s">
        <v>6153</v>
      </c>
      <c r="I392" s="681" t="s">
        <v>3508</v>
      </c>
      <c r="J392" s="187" t="str">
        <f t="shared" si="37"/>
        <v>072-903</v>
      </c>
      <c r="K392" s="187">
        <v>72</v>
      </c>
      <c r="L392" s="187">
        <v>903</v>
      </c>
      <c r="M392" s="187" t="str">
        <f t="shared" si="40"/>
        <v>072</v>
      </c>
      <c r="N392" s="187">
        <f t="shared" si="41"/>
        <v>903</v>
      </c>
      <c r="O392" s="187" t="str">
        <f t="shared" si="42"/>
        <v>072-903</v>
      </c>
      <c r="Q392" s="679" t="s">
        <v>5828</v>
      </c>
    </row>
    <row r="393" spans="1:17">
      <c r="A393" s="788" t="s">
        <v>2700</v>
      </c>
      <c r="B393" s="187" t="s">
        <v>1272</v>
      </c>
      <c r="C393" s="215">
        <v>59661</v>
      </c>
      <c r="D393" s="215">
        <v>964630</v>
      </c>
      <c r="F393" s="215">
        <f t="shared" si="38"/>
        <v>964630</v>
      </c>
      <c r="G393" s="215">
        <f t="shared" si="39"/>
        <v>1024291</v>
      </c>
      <c r="H393" s="680" t="s">
        <v>6153</v>
      </c>
      <c r="I393" s="681" t="s">
        <v>3508</v>
      </c>
      <c r="J393" s="187" t="str">
        <f t="shared" si="37"/>
        <v>072-904</v>
      </c>
      <c r="K393" s="187">
        <v>72</v>
      </c>
      <c r="L393" s="187">
        <v>904</v>
      </c>
      <c r="M393" s="187" t="str">
        <f t="shared" si="40"/>
        <v>072</v>
      </c>
      <c r="N393" s="187">
        <f t="shared" si="41"/>
        <v>904</v>
      </c>
      <c r="O393" s="187" t="str">
        <f t="shared" si="42"/>
        <v>072-904</v>
      </c>
      <c r="Q393" s="679" t="s">
        <v>5829</v>
      </c>
    </row>
    <row r="394" spans="1:17">
      <c r="A394" s="788" t="s">
        <v>2702</v>
      </c>
      <c r="B394" s="187" t="s">
        <v>1273</v>
      </c>
      <c r="C394" s="215">
        <v>0</v>
      </c>
      <c r="D394" s="215">
        <v>928501</v>
      </c>
      <c r="F394" s="215">
        <f t="shared" si="38"/>
        <v>928501</v>
      </c>
      <c r="G394" s="215">
        <f t="shared" si="39"/>
        <v>928501</v>
      </c>
      <c r="H394" s="680" t="s">
        <v>6153</v>
      </c>
      <c r="I394" s="681" t="s">
        <v>3508</v>
      </c>
      <c r="J394" s="187" t="str">
        <f t="shared" si="37"/>
        <v>072-908</v>
      </c>
      <c r="K394" s="187">
        <v>72</v>
      </c>
      <c r="L394" s="187">
        <v>908</v>
      </c>
      <c r="M394" s="187" t="str">
        <f t="shared" si="40"/>
        <v>072</v>
      </c>
      <c r="N394" s="187">
        <f t="shared" si="41"/>
        <v>908</v>
      </c>
      <c r="O394" s="187" t="str">
        <f t="shared" si="42"/>
        <v>072-908</v>
      </c>
      <c r="Q394" s="679" t="s">
        <v>5830</v>
      </c>
    </row>
    <row r="395" spans="1:17">
      <c r="A395" s="788" t="s">
        <v>2828</v>
      </c>
      <c r="B395" s="187" t="s">
        <v>192</v>
      </c>
      <c r="C395" s="215">
        <v>30332</v>
      </c>
      <c r="D395" s="215">
        <v>635639</v>
      </c>
      <c r="F395" s="215">
        <f t="shared" si="38"/>
        <v>635639</v>
      </c>
      <c r="G395" s="215">
        <f t="shared" si="39"/>
        <v>665971</v>
      </c>
      <c r="H395" s="680" t="s">
        <v>6153</v>
      </c>
      <c r="I395" s="681" t="s">
        <v>3508</v>
      </c>
      <c r="J395" s="187" t="str">
        <f t="shared" si="37"/>
        <v>072-909</v>
      </c>
      <c r="K395" s="187">
        <v>72</v>
      </c>
      <c r="L395" s="187">
        <v>909</v>
      </c>
      <c r="M395" s="187" t="str">
        <f t="shared" si="40"/>
        <v>072</v>
      </c>
      <c r="N395" s="187">
        <f t="shared" si="41"/>
        <v>909</v>
      </c>
      <c r="O395" s="187" t="str">
        <f t="shared" si="42"/>
        <v>072-909</v>
      </c>
      <c r="Q395" s="679" t="s">
        <v>5831</v>
      </c>
    </row>
    <row r="396" spans="1:17">
      <c r="A396" s="788" t="s">
        <v>2704</v>
      </c>
      <c r="B396" s="187" t="s">
        <v>1274</v>
      </c>
      <c r="C396" s="215">
        <v>0</v>
      </c>
      <c r="D396" s="215">
        <v>511675</v>
      </c>
      <c r="F396" s="215">
        <f t="shared" si="38"/>
        <v>511675</v>
      </c>
      <c r="G396" s="215">
        <f t="shared" si="39"/>
        <v>511675</v>
      </c>
      <c r="H396" s="680" t="s">
        <v>6153</v>
      </c>
      <c r="I396" s="681" t="s">
        <v>3508</v>
      </c>
      <c r="J396" s="187" t="str">
        <f t="shared" si="37"/>
        <v>072-910</v>
      </c>
      <c r="K396" s="187">
        <v>72</v>
      </c>
      <c r="L396" s="187">
        <v>910</v>
      </c>
      <c r="M396" s="187" t="str">
        <f t="shared" si="40"/>
        <v>072</v>
      </c>
      <c r="N396" s="187">
        <f t="shared" si="41"/>
        <v>910</v>
      </c>
      <c r="O396" s="187" t="str">
        <f t="shared" si="42"/>
        <v>072-910</v>
      </c>
      <c r="Q396" s="679" t="s">
        <v>5832</v>
      </c>
    </row>
    <row r="397" spans="1:17">
      <c r="A397" s="788" t="s">
        <v>2706</v>
      </c>
      <c r="B397" s="187" t="s">
        <v>1275</v>
      </c>
      <c r="C397" s="215">
        <v>0</v>
      </c>
      <c r="D397" s="215">
        <v>481794</v>
      </c>
      <c r="F397" s="215">
        <f t="shared" si="38"/>
        <v>481794</v>
      </c>
      <c r="G397" s="215">
        <f t="shared" si="39"/>
        <v>481794</v>
      </c>
      <c r="H397" s="680" t="s">
        <v>6153</v>
      </c>
      <c r="I397" s="681" t="s">
        <v>3508</v>
      </c>
      <c r="J397" s="187" t="str">
        <f t="shared" si="37"/>
        <v>073-901</v>
      </c>
      <c r="K397" s="187">
        <v>73</v>
      </c>
      <c r="L397" s="187">
        <v>901</v>
      </c>
      <c r="M397" s="187" t="str">
        <f t="shared" si="40"/>
        <v>073</v>
      </c>
      <c r="N397" s="187">
        <f t="shared" si="41"/>
        <v>901</v>
      </c>
      <c r="O397" s="187" t="str">
        <f t="shared" si="42"/>
        <v>073-901</v>
      </c>
      <c r="Q397" s="679" t="s">
        <v>5833</v>
      </c>
    </row>
    <row r="398" spans="1:17">
      <c r="A398" s="788" t="s">
        <v>6162</v>
      </c>
      <c r="B398" s="187" t="s">
        <v>6066</v>
      </c>
      <c r="C398" s="215">
        <v>128658</v>
      </c>
      <c r="D398" s="215">
        <v>2141997</v>
      </c>
      <c r="E398" s="215">
        <v>139056</v>
      </c>
      <c r="F398" s="215">
        <f t="shared" si="38"/>
        <v>2281053</v>
      </c>
      <c r="G398" s="215">
        <f t="shared" si="39"/>
        <v>2409711</v>
      </c>
      <c r="H398" s="680" t="s">
        <v>6153</v>
      </c>
      <c r="I398" s="681" t="s">
        <v>3508</v>
      </c>
      <c r="J398" s="187" t="str">
        <f t="shared" si="37"/>
        <v>073-903</v>
      </c>
      <c r="K398" s="187">
        <v>73</v>
      </c>
      <c r="L398" s="187">
        <v>903</v>
      </c>
      <c r="M398" s="187" t="str">
        <f t="shared" si="40"/>
        <v>073</v>
      </c>
      <c r="N398" s="187">
        <f t="shared" si="41"/>
        <v>903</v>
      </c>
      <c r="O398" s="187" t="str">
        <f t="shared" si="42"/>
        <v>073-903</v>
      </c>
      <c r="Q398" s="679" t="s">
        <v>5834</v>
      </c>
    </row>
    <row r="399" spans="1:17">
      <c r="A399" s="788" t="s">
        <v>967</v>
      </c>
      <c r="B399" s="187" t="s">
        <v>4068</v>
      </c>
      <c r="C399" s="215">
        <v>0</v>
      </c>
      <c r="D399" s="215">
        <v>128139</v>
      </c>
      <c r="E399" s="215">
        <v>7089</v>
      </c>
      <c r="F399" s="215">
        <f t="shared" si="38"/>
        <v>135228</v>
      </c>
      <c r="G399" s="215">
        <f t="shared" si="39"/>
        <v>135228</v>
      </c>
      <c r="H399" s="680" t="s">
        <v>6153</v>
      </c>
      <c r="I399" s="681" t="s">
        <v>3508</v>
      </c>
      <c r="J399" s="187" t="str">
        <f t="shared" si="37"/>
        <v>073-904</v>
      </c>
      <c r="K399" s="187">
        <v>73</v>
      </c>
      <c r="L399" s="187">
        <v>904</v>
      </c>
      <c r="M399" s="187" t="str">
        <f t="shared" si="40"/>
        <v>073</v>
      </c>
      <c r="N399" s="187">
        <f t="shared" si="41"/>
        <v>904</v>
      </c>
      <c r="O399" s="187" t="str">
        <f t="shared" si="42"/>
        <v>073-904</v>
      </c>
      <c r="Q399" s="679" t="s">
        <v>5835</v>
      </c>
    </row>
    <row r="400" spans="1:17">
      <c r="A400" s="788" t="s">
        <v>2708</v>
      </c>
      <c r="B400" s="187" t="s">
        <v>1276</v>
      </c>
      <c r="C400" s="215">
        <v>0</v>
      </c>
      <c r="D400" s="215">
        <v>959428</v>
      </c>
      <c r="F400" s="215">
        <f t="shared" si="38"/>
        <v>959428</v>
      </c>
      <c r="G400" s="215">
        <f t="shared" si="39"/>
        <v>959428</v>
      </c>
      <c r="H400" s="680" t="s">
        <v>6153</v>
      </c>
      <c r="I400" s="681" t="s">
        <v>3508</v>
      </c>
      <c r="J400" s="187" t="str">
        <f t="shared" si="37"/>
        <v>073-905</v>
      </c>
      <c r="K400" s="187">
        <v>73</v>
      </c>
      <c r="L400" s="187">
        <v>905</v>
      </c>
      <c r="M400" s="187" t="str">
        <f t="shared" si="40"/>
        <v>073</v>
      </c>
      <c r="N400" s="187">
        <f t="shared" si="41"/>
        <v>905</v>
      </c>
      <c r="O400" s="187" t="str">
        <f t="shared" si="42"/>
        <v>073-905</v>
      </c>
      <c r="Q400" s="679" t="s">
        <v>5836</v>
      </c>
    </row>
    <row r="401" spans="1:17">
      <c r="A401" s="788" t="s">
        <v>3299</v>
      </c>
      <c r="B401" s="187" t="s">
        <v>3300</v>
      </c>
      <c r="C401" s="215">
        <v>0</v>
      </c>
      <c r="D401" s="215">
        <v>0</v>
      </c>
      <c r="F401" s="215">
        <f t="shared" si="38"/>
        <v>0</v>
      </c>
      <c r="G401" s="215">
        <f t="shared" si="39"/>
        <v>0</v>
      </c>
      <c r="H401" s="680" t="s">
        <v>6153</v>
      </c>
      <c r="I401" s="681" t="s">
        <v>3508</v>
      </c>
      <c r="J401" s="187" t="str">
        <f t="shared" si="37"/>
        <v>073-906</v>
      </c>
      <c r="K401" s="187">
        <v>73</v>
      </c>
      <c r="L401" s="187">
        <v>906</v>
      </c>
      <c r="M401" s="187" t="str">
        <f t="shared" si="40"/>
        <v>073</v>
      </c>
      <c r="N401" s="187">
        <f t="shared" si="41"/>
        <v>906</v>
      </c>
      <c r="O401" s="187" t="str">
        <f t="shared" si="42"/>
        <v>073-906</v>
      </c>
      <c r="Q401" s="679" t="s">
        <v>5837</v>
      </c>
    </row>
    <row r="402" spans="1:17">
      <c r="A402" s="788" t="s">
        <v>2710</v>
      </c>
      <c r="B402" s="187" t="s">
        <v>1277</v>
      </c>
      <c r="C402" s="215">
        <v>317699</v>
      </c>
      <c r="D402" s="215">
        <v>5835249</v>
      </c>
      <c r="F402" s="215">
        <f t="shared" si="38"/>
        <v>5835249</v>
      </c>
      <c r="G402" s="215">
        <f t="shared" si="39"/>
        <v>6152948</v>
      </c>
      <c r="H402" s="680" t="s">
        <v>6153</v>
      </c>
      <c r="I402" s="681" t="s">
        <v>3508</v>
      </c>
      <c r="J402" s="187" t="str">
        <f t="shared" si="37"/>
        <v>074-903</v>
      </c>
      <c r="K402" s="187">
        <v>74</v>
      </c>
      <c r="L402" s="187">
        <v>903</v>
      </c>
      <c r="M402" s="187" t="str">
        <f t="shared" si="40"/>
        <v>074</v>
      </c>
      <c r="N402" s="187">
        <f t="shared" si="41"/>
        <v>903</v>
      </c>
      <c r="O402" s="187" t="str">
        <f t="shared" si="42"/>
        <v>074-903</v>
      </c>
      <c r="Q402" s="679" t="s">
        <v>5838</v>
      </c>
    </row>
    <row r="403" spans="1:17">
      <c r="A403" s="788" t="s">
        <v>2830</v>
      </c>
      <c r="B403" s="187" t="s">
        <v>2282</v>
      </c>
      <c r="C403" s="215">
        <v>19128</v>
      </c>
      <c r="D403" s="215">
        <v>349809</v>
      </c>
      <c r="F403" s="215">
        <f t="shared" si="38"/>
        <v>349809</v>
      </c>
      <c r="G403" s="215">
        <f t="shared" si="39"/>
        <v>368937</v>
      </c>
      <c r="H403" s="680" t="s">
        <v>6153</v>
      </c>
      <c r="I403" s="681" t="s">
        <v>3508</v>
      </c>
      <c r="J403" s="187" t="str">
        <f t="shared" si="37"/>
        <v>074-904</v>
      </c>
      <c r="K403" s="187">
        <v>74</v>
      </c>
      <c r="L403" s="187">
        <v>904</v>
      </c>
      <c r="M403" s="187" t="str">
        <f t="shared" si="40"/>
        <v>074</v>
      </c>
      <c r="N403" s="187">
        <f t="shared" si="41"/>
        <v>904</v>
      </c>
      <c r="O403" s="187" t="str">
        <f t="shared" si="42"/>
        <v>074-904</v>
      </c>
      <c r="Q403" s="679" t="s">
        <v>5839</v>
      </c>
    </row>
    <row r="404" spans="1:17">
      <c r="A404" s="788" t="s">
        <v>3095</v>
      </c>
      <c r="B404" s="187" t="s">
        <v>3014</v>
      </c>
      <c r="C404" s="215">
        <v>33223</v>
      </c>
      <c r="D404" s="215">
        <v>291618</v>
      </c>
      <c r="F404" s="215">
        <f t="shared" si="38"/>
        <v>291618</v>
      </c>
      <c r="G404" s="215">
        <f t="shared" si="39"/>
        <v>324841</v>
      </c>
      <c r="H404" s="680" t="s">
        <v>6153</v>
      </c>
      <c r="I404" s="681" t="s">
        <v>3508</v>
      </c>
      <c r="J404" s="187" t="str">
        <f t="shared" si="37"/>
        <v>074-905</v>
      </c>
      <c r="K404" s="187">
        <v>74</v>
      </c>
      <c r="L404" s="187">
        <v>905</v>
      </c>
      <c r="M404" s="187" t="str">
        <f t="shared" si="40"/>
        <v>074</v>
      </c>
      <c r="N404" s="187">
        <f t="shared" si="41"/>
        <v>905</v>
      </c>
      <c r="O404" s="187" t="str">
        <f t="shared" si="42"/>
        <v>074-905</v>
      </c>
      <c r="Q404" s="679" t="s">
        <v>5840</v>
      </c>
    </row>
    <row r="405" spans="1:17">
      <c r="A405" s="788" t="s">
        <v>2712</v>
      </c>
      <c r="B405" s="187" t="s">
        <v>1278</v>
      </c>
      <c r="C405" s="215">
        <v>96473</v>
      </c>
      <c r="D405" s="215">
        <v>1171918</v>
      </c>
      <c r="F405" s="215">
        <f t="shared" si="38"/>
        <v>1171918</v>
      </c>
      <c r="G405" s="215">
        <f t="shared" si="39"/>
        <v>1268391</v>
      </c>
      <c r="H405" s="680" t="s">
        <v>6153</v>
      </c>
      <c r="I405" s="681" t="s">
        <v>3508</v>
      </c>
      <c r="J405" s="187" t="str">
        <f t="shared" si="37"/>
        <v>074-907</v>
      </c>
      <c r="K405" s="187">
        <v>74</v>
      </c>
      <c r="L405" s="187">
        <v>907</v>
      </c>
      <c r="M405" s="187" t="str">
        <f t="shared" si="40"/>
        <v>074</v>
      </c>
      <c r="N405" s="187">
        <f t="shared" si="41"/>
        <v>907</v>
      </c>
      <c r="O405" s="187" t="str">
        <f t="shared" si="42"/>
        <v>074-907</v>
      </c>
      <c r="Q405" s="679" t="s">
        <v>5841</v>
      </c>
    </row>
    <row r="406" spans="1:17">
      <c r="A406" s="788" t="s">
        <v>2424</v>
      </c>
      <c r="B406" s="187" t="s">
        <v>1279</v>
      </c>
      <c r="C406" s="215">
        <v>121267</v>
      </c>
      <c r="D406" s="215">
        <v>1185467</v>
      </c>
      <c r="F406" s="215">
        <f t="shared" si="38"/>
        <v>1185467</v>
      </c>
      <c r="G406" s="215">
        <f t="shared" si="39"/>
        <v>1306734</v>
      </c>
      <c r="H406" s="680" t="s">
        <v>6153</v>
      </c>
      <c r="I406" s="681" t="s">
        <v>3508</v>
      </c>
      <c r="J406" s="187" t="str">
        <f t="shared" si="37"/>
        <v>074-909</v>
      </c>
      <c r="K406" s="187">
        <v>74</v>
      </c>
      <c r="L406" s="187">
        <v>909</v>
      </c>
      <c r="M406" s="187" t="str">
        <f t="shared" si="40"/>
        <v>074</v>
      </c>
      <c r="N406" s="187">
        <f t="shared" si="41"/>
        <v>909</v>
      </c>
      <c r="O406" s="187" t="str">
        <f t="shared" si="42"/>
        <v>074-909</v>
      </c>
      <c r="Q406" s="679" t="s">
        <v>5842</v>
      </c>
    </row>
    <row r="407" spans="1:17">
      <c r="A407" s="788" t="s">
        <v>2426</v>
      </c>
      <c r="B407" s="187" t="s">
        <v>1280</v>
      </c>
      <c r="C407" s="215">
        <v>159843</v>
      </c>
      <c r="D407" s="215">
        <v>978918</v>
      </c>
      <c r="F407" s="215">
        <f t="shared" si="38"/>
        <v>978918</v>
      </c>
      <c r="G407" s="215">
        <f t="shared" si="39"/>
        <v>1138761</v>
      </c>
      <c r="H407" s="680" t="s">
        <v>6153</v>
      </c>
      <c r="I407" s="681" t="s">
        <v>3508</v>
      </c>
      <c r="J407" s="187" t="str">
        <f t="shared" si="37"/>
        <v>074-911</v>
      </c>
      <c r="K407" s="187">
        <v>74</v>
      </c>
      <c r="L407" s="187">
        <v>911</v>
      </c>
      <c r="M407" s="187" t="str">
        <f t="shared" si="40"/>
        <v>074</v>
      </c>
      <c r="N407" s="187">
        <f t="shared" si="41"/>
        <v>911</v>
      </c>
      <c r="O407" s="187" t="str">
        <f t="shared" si="42"/>
        <v>074-911</v>
      </c>
      <c r="Q407" s="679" t="s">
        <v>5843</v>
      </c>
    </row>
    <row r="408" spans="1:17">
      <c r="A408" s="788" t="s">
        <v>2428</v>
      </c>
      <c r="B408" s="187" t="s">
        <v>1281</v>
      </c>
      <c r="C408" s="215">
        <v>128350</v>
      </c>
      <c r="D408" s="215">
        <v>1062347</v>
      </c>
      <c r="F408" s="215">
        <f t="shared" si="38"/>
        <v>1062347</v>
      </c>
      <c r="G408" s="215">
        <f t="shared" si="39"/>
        <v>1190697</v>
      </c>
      <c r="H408" s="680" t="s">
        <v>6153</v>
      </c>
      <c r="I408" s="681" t="s">
        <v>3508</v>
      </c>
      <c r="J408" s="187" t="str">
        <f t="shared" si="37"/>
        <v>074-912</v>
      </c>
      <c r="K408" s="187">
        <v>74</v>
      </c>
      <c r="L408" s="187">
        <v>912</v>
      </c>
      <c r="M408" s="187" t="str">
        <f t="shared" si="40"/>
        <v>074</v>
      </c>
      <c r="N408" s="187">
        <f t="shared" si="41"/>
        <v>912</v>
      </c>
      <c r="O408" s="187" t="str">
        <f t="shared" si="42"/>
        <v>074-912</v>
      </c>
      <c r="Q408" s="679" t="s">
        <v>5844</v>
      </c>
    </row>
    <row r="409" spans="1:17">
      <c r="A409" s="788" t="s">
        <v>2832</v>
      </c>
      <c r="B409" s="187" t="s">
        <v>377</v>
      </c>
      <c r="C409" s="215">
        <v>49050</v>
      </c>
      <c r="D409" s="215">
        <v>732341</v>
      </c>
      <c r="F409" s="215">
        <f t="shared" si="38"/>
        <v>732341</v>
      </c>
      <c r="G409" s="215">
        <f t="shared" si="39"/>
        <v>781391</v>
      </c>
      <c r="H409" s="680" t="s">
        <v>6153</v>
      </c>
      <c r="I409" s="681" t="s">
        <v>3508</v>
      </c>
      <c r="J409" s="187" t="str">
        <f t="shared" si="37"/>
        <v>074-917</v>
      </c>
      <c r="K409" s="187">
        <v>74</v>
      </c>
      <c r="L409" s="187">
        <v>917</v>
      </c>
      <c r="M409" s="187" t="str">
        <f t="shared" si="40"/>
        <v>074</v>
      </c>
      <c r="N409" s="187">
        <f t="shared" si="41"/>
        <v>917</v>
      </c>
      <c r="O409" s="187" t="str">
        <f t="shared" si="42"/>
        <v>074-917</v>
      </c>
      <c r="Q409" s="679" t="s">
        <v>5845</v>
      </c>
    </row>
    <row r="410" spans="1:17">
      <c r="A410" s="788" t="s">
        <v>4923</v>
      </c>
      <c r="B410" s="187" t="s">
        <v>1282</v>
      </c>
      <c r="C410" s="215">
        <v>176302</v>
      </c>
      <c r="D410" s="215">
        <v>2232427</v>
      </c>
      <c r="F410" s="215">
        <f t="shared" si="38"/>
        <v>2232427</v>
      </c>
      <c r="G410" s="215">
        <f t="shared" si="39"/>
        <v>2408729</v>
      </c>
      <c r="H410" s="680" t="s">
        <v>6153</v>
      </c>
      <c r="I410" s="681" t="s">
        <v>3508</v>
      </c>
      <c r="J410" s="187" t="str">
        <f t="shared" si="37"/>
        <v>075-901</v>
      </c>
      <c r="K410" s="187">
        <v>75</v>
      </c>
      <c r="L410" s="187">
        <v>901</v>
      </c>
      <c r="M410" s="187" t="str">
        <f t="shared" si="40"/>
        <v>075</v>
      </c>
      <c r="N410" s="187">
        <f t="shared" si="41"/>
        <v>901</v>
      </c>
      <c r="O410" s="187" t="str">
        <f t="shared" si="42"/>
        <v>075-901</v>
      </c>
      <c r="Q410" s="679" t="s">
        <v>5846</v>
      </c>
    </row>
    <row r="411" spans="1:17">
      <c r="A411" s="788" t="s">
        <v>4925</v>
      </c>
      <c r="B411" s="187" t="s">
        <v>1283</v>
      </c>
      <c r="C411" s="215">
        <v>517166</v>
      </c>
      <c r="D411" s="215">
        <v>9982371</v>
      </c>
      <c r="F411" s="215">
        <f t="shared" si="38"/>
        <v>9982371</v>
      </c>
      <c r="G411" s="215">
        <f t="shared" si="39"/>
        <v>10499537</v>
      </c>
      <c r="H411" s="680" t="s">
        <v>6153</v>
      </c>
      <c r="I411" s="681" t="s">
        <v>3508</v>
      </c>
      <c r="J411" s="187" t="str">
        <f t="shared" si="37"/>
        <v>075-902</v>
      </c>
      <c r="K411" s="187">
        <v>75</v>
      </c>
      <c r="L411" s="187">
        <v>902</v>
      </c>
      <c r="M411" s="187" t="str">
        <f t="shared" si="40"/>
        <v>075</v>
      </c>
      <c r="N411" s="187">
        <f t="shared" si="41"/>
        <v>902</v>
      </c>
      <c r="O411" s="187" t="str">
        <f t="shared" si="42"/>
        <v>075-902</v>
      </c>
      <c r="Q411" s="679" t="s">
        <v>5847</v>
      </c>
    </row>
    <row r="412" spans="1:17">
      <c r="A412" s="788" t="s">
        <v>4927</v>
      </c>
      <c r="B412" s="187" t="s">
        <v>1284</v>
      </c>
      <c r="C412" s="215">
        <v>452538</v>
      </c>
      <c r="D412" s="215">
        <v>3299341</v>
      </c>
      <c r="F412" s="215">
        <f t="shared" si="38"/>
        <v>3299341</v>
      </c>
      <c r="G412" s="215">
        <f t="shared" si="39"/>
        <v>3751879</v>
      </c>
      <c r="H412" s="680" t="s">
        <v>6153</v>
      </c>
      <c r="I412" s="681" t="s">
        <v>3508</v>
      </c>
      <c r="J412" s="187" t="str">
        <f t="shared" si="37"/>
        <v>075-903</v>
      </c>
      <c r="K412" s="187">
        <v>75</v>
      </c>
      <c r="L412" s="187">
        <v>903</v>
      </c>
      <c r="M412" s="187" t="str">
        <f t="shared" si="40"/>
        <v>075</v>
      </c>
      <c r="N412" s="187">
        <f t="shared" si="41"/>
        <v>903</v>
      </c>
      <c r="O412" s="187" t="str">
        <f t="shared" si="42"/>
        <v>075-903</v>
      </c>
      <c r="Q412" s="679" t="s">
        <v>5848</v>
      </c>
    </row>
    <row r="413" spans="1:17">
      <c r="A413" s="788" t="s">
        <v>4929</v>
      </c>
      <c r="B413" s="187" t="s">
        <v>1285</v>
      </c>
      <c r="C413" s="215">
        <v>15</v>
      </c>
      <c r="D413" s="215">
        <v>1776179</v>
      </c>
      <c r="F413" s="215">
        <f t="shared" si="38"/>
        <v>1776179</v>
      </c>
      <c r="G413" s="215">
        <f t="shared" si="39"/>
        <v>1776194</v>
      </c>
      <c r="H413" s="680" t="s">
        <v>6153</v>
      </c>
      <c r="I413" s="681" t="s">
        <v>3508</v>
      </c>
      <c r="J413" s="187" t="str">
        <f t="shared" si="37"/>
        <v>075-906</v>
      </c>
      <c r="K413" s="187">
        <v>75</v>
      </c>
      <c r="L413" s="187">
        <v>906</v>
      </c>
      <c r="M413" s="187" t="str">
        <f t="shared" si="40"/>
        <v>075</v>
      </c>
      <c r="N413" s="187">
        <f t="shared" si="41"/>
        <v>906</v>
      </c>
      <c r="O413" s="187" t="str">
        <f t="shared" si="42"/>
        <v>075-906</v>
      </c>
      <c r="Q413" s="679" t="s">
        <v>5849</v>
      </c>
    </row>
    <row r="414" spans="1:17">
      <c r="A414" s="788" t="s">
        <v>4931</v>
      </c>
      <c r="B414" s="187" t="s">
        <v>1286</v>
      </c>
      <c r="C414" s="215">
        <v>178332</v>
      </c>
      <c r="D414" s="215">
        <v>3376053</v>
      </c>
      <c r="F414" s="215">
        <f t="shared" si="38"/>
        <v>3376053</v>
      </c>
      <c r="G414" s="215">
        <f t="shared" si="39"/>
        <v>3554385</v>
      </c>
      <c r="H414" s="680" t="s">
        <v>6153</v>
      </c>
      <c r="I414" s="681" t="s">
        <v>3508</v>
      </c>
      <c r="J414" s="187" t="str">
        <f t="shared" si="37"/>
        <v>075-908</v>
      </c>
      <c r="K414" s="187">
        <v>75</v>
      </c>
      <c r="L414" s="187">
        <v>908</v>
      </c>
      <c r="M414" s="187" t="str">
        <f t="shared" si="40"/>
        <v>075</v>
      </c>
      <c r="N414" s="187">
        <f t="shared" si="41"/>
        <v>908</v>
      </c>
      <c r="O414" s="187" t="str">
        <f t="shared" si="42"/>
        <v>075-908</v>
      </c>
      <c r="Q414" s="679" t="s">
        <v>5850</v>
      </c>
    </row>
    <row r="415" spans="1:17">
      <c r="A415" s="788" t="s">
        <v>4933</v>
      </c>
      <c r="B415" s="187" t="s">
        <v>1287</v>
      </c>
      <c r="C415" s="215">
        <v>39347</v>
      </c>
      <c r="D415" s="215">
        <v>713015</v>
      </c>
      <c r="F415" s="215">
        <f t="shared" si="38"/>
        <v>713015</v>
      </c>
      <c r="G415" s="215">
        <f t="shared" si="39"/>
        <v>752362</v>
      </c>
      <c r="H415" s="680" t="s">
        <v>6153</v>
      </c>
      <c r="I415" s="681" t="s">
        <v>3508</v>
      </c>
      <c r="J415" s="187" t="str">
        <f t="shared" si="37"/>
        <v>076-903</v>
      </c>
      <c r="K415" s="187">
        <v>76</v>
      </c>
      <c r="L415" s="187">
        <v>903</v>
      </c>
      <c r="M415" s="187" t="str">
        <f t="shared" si="40"/>
        <v>076</v>
      </c>
      <c r="N415" s="187">
        <f t="shared" si="41"/>
        <v>903</v>
      </c>
      <c r="O415" s="187" t="str">
        <f t="shared" si="42"/>
        <v>076-903</v>
      </c>
      <c r="Q415" s="679" t="s">
        <v>5851</v>
      </c>
    </row>
    <row r="416" spans="1:17">
      <c r="A416" s="788" t="s">
        <v>444</v>
      </c>
      <c r="B416" s="187" t="s">
        <v>370</v>
      </c>
      <c r="C416" s="215">
        <v>31680</v>
      </c>
      <c r="D416" s="215">
        <v>734704</v>
      </c>
      <c r="F416" s="215">
        <f t="shared" si="38"/>
        <v>734704</v>
      </c>
      <c r="G416" s="215">
        <f t="shared" si="39"/>
        <v>766384</v>
      </c>
      <c r="H416" s="680" t="s">
        <v>6153</v>
      </c>
      <c r="I416" s="681" t="s">
        <v>3508</v>
      </c>
      <c r="J416" s="187" t="str">
        <f t="shared" si="37"/>
        <v>076-904</v>
      </c>
      <c r="K416" s="187">
        <v>76</v>
      </c>
      <c r="L416" s="187">
        <v>904</v>
      </c>
      <c r="M416" s="187" t="str">
        <f t="shared" si="40"/>
        <v>076</v>
      </c>
      <c r="N416" s="187">
        <f t="shared" si="41"/>
        <v>904</v>
      </c>
      <c r="O416" s="187" t="str">
        <f t="shared" si="42"/>
        <v>076-904</v>
      </c>
      <c r="Q416" s="679" t="s">
        <v>5852</v>
      </c>
    </row>
    <row r="417" spans="1:17">
      <c r="A417" s="788" t="s">
        <v>3558</v>
      </c>
      <c r="B417" s="187" t="s">
        <v>1288</v>
      </c>
      <c r="C417" s="215">
        <v>0</v>
      </c>
      <c r="D417" s="215">
        <v>2081701</v>
      </c>
      <c r="F417" s="215">
        <f t="shared" si="38"/>
        <v>2081701</v>
      </c>
      <c r="G417" s="215">
        <f t="shared" si="39"/>
        <v>2081701</v>
      </c>
      <c r="H417" s="680" t="s">
        <v>6153</v>
      </c>
      <c r="I417" s="681" t="s">
        <v>3508</v>
      </c>
      <c r="J417" s="187" t="str">
        <f t="shared" si="37"/>
        <v>077-901</v>
      </c>
      <c r="K417" s="187">
        <v>77</v>
      </c>
      <c r="L417" s="187">
        <v>901</v>
      </c>
      <c r="M417" s="187" t="str">
        <f t="shared" si="40"/>
        <v>077</v>
      </c>
      <c r="N417" s="187">
        <f t="shared" si="41"/>
        <v>901</v>
      </c>
      <c r="O417" s="187" t="str">
        <f t="shared" si="42"/>
        <v>077-901</v>
      </c>
      <c r="Q417" s="679" t="s">
        <v>5853</v>
      </c>
    </row>
    <row r="418" spans="1:17">
      <c r="A418" s="788" t="s">
        <v>3560</v>
      </c>
      <c r="B418" s="187" t="s">
        <v>2909</v>
      </c>
      <c r="C418" s="215">
        <v>0</v>
      </c>
      <c r="D418" s="215">
        <v>1286791</v>
      </c>
      <c r="F418" s="215">
        <f t="shared" si="38"/>
        <v>1286791</v>
      </c>
      <c r="G418" s="215">
        <f t="shared" si="39"/>
        <v>1286791</v>
      </c>
      <c r="H418" s="680" t="s">
        <v>6153</v>
      </c>
      <c r="I418" s="681" t="s">
        <v>3508</v>
      </c>
      <c r="J418" s="187" t="str">
        <f t="shared" ref="J418:J481" si="43">+A418</f>
        <v>077-902</v>
      </c>
      <c r="K418" s="187">
        <v>77</v>
      </c>
      <c r="L418" s="187">
        <v>902</v>
      </c>
      <c r="M418" s="187" t="str">
        <f t="shared" si="40"/>
        <v>077</v>
      </c>
      <c r="N418" s="187">
        <f t="shared" si="41"/>
        <v>902</v>
      </c>
      <c r="O418" s="187" t="str">
        <f t="shared" si="42"/>
        <v>077-902</v>
      </c>
      <c r="Q418" s="679" t="s">
        <v>5854</v>
      </c>
    </row>
    <row r="419" spans="1:17">
      <c r="A419" s="788" t="s">
        <v>3562</v>
      </c>
      <c r="B419" s="187" t="s">
        <v>2910</v>
      </c>
      <c r="C419" s="215">
        <v>0</v>
      </c>
      <c r="D419" s="215">
        <v>955686</v>
      </c>
      <c r="F419" s="215">
        <f t="shared" si="38"/>
        <v>955686</v>
      </c>
      <c r="G419" s="215">
        <f t="shared" si="39"/>
        <v>955686</v>
      </c>
      <c r="H419" s="680" t="s">
        <v>6153</v>
      </c>
      <c r="I419" s="681" t="s">
        <v>3508</v>
      </c>
      <c r="J419" s="187" t="str">
        <f t="shared" si="43"/>
        <v>078-901</v>
      </c>
      <c r="K419" s="187">
        <v>78</v>
      </c>
      <c r="L419" s="187">
        <v>901</v>
      </c>
      <c r="M419" s="187" t="str">
        <f t="shared" si="40"/>
        <v>078</v>
      </c>
      <c r="N419" s="187">
        <f t="shared" si="41"/>
        <v>901</v>
      </c>
      <c r="O419" s="187" t="str">
        <f t="shared" si="42"/>
        <v>078-901</v>
      </c>
      <c r="Q419" s="679" t="s">
        <v>5855</v>
      </c>
    </row>
    <row r="420" spans="1:17">
      <c r="A420" s="788" t="s">
        <v>3564</v>
      </c>
      <c r="B420" s="187" t="s">
        <v>2911</v>
      </c>
      <c r="C420" s="215">
        <v>9714989</v>
      </c>
      <c r="D420" s="215">
        <v>74126651</v>
      </c>
      <c r="F420" s="215">
        <f t="shared" si="38"/>
        <v>74126651</v>
      </c>
      <c r="G420" s="215">
        <f t="shared" si="39"/>
        <v>83841640</v>
      </c>
      <c r="H420" s="680" t="s">
        <v>6153</v>
      </c>
      <c r="I420" s="681" t="s">
        <v>3508</v>
      </c>
      <c r="J420" s="187" t="str">
        <f t="shared" si="43"/>
        <v>079-901</v>
      </c>
      <c r="K420" s="187">
        <v>79</v>
      </c>
      <c r="L420" s="187">
        <v>901</v>
      </c>
      <c r="M420" s="187" t="str">
        <f t="shared" si="40"/>
        <v>079</v>
      </c>
      <c r="N420" s="187">
        <f t="shared" si="41"/>
        <v>901</v>
      </c>
      <c r="O420" s="187" t="str">
        <f t="shared" si="42"/>
        <v>079-901</v>
      </c>
      <c r="Q420" s="679" t="s">
        <v>5856</v>
      </c>
    </row>
    <row r="421" spans="1:17">
      <c r="A421" s="788" t="s">
        <v>6179</v>
      </c>
      <c r="B421" s="187" t="s">
        <v>1932</v>
      </c>
      <c r="C421" s="215">
        <v>642354</v>
      </c>
      <c r="D421" s="215">
        <v>5828564</v>
      </c>
      <c r="F421" s="215">
        <f t="shared" si="38"/>
        <v>5828564</v>
      </c>
      <c r="G421" s="215">
        <f t="shared" si="39"/>
        <v>6470918</v>
      </c>
      <c r="H421" s="680" t="s">
        <v>6153</v>
      </c>
      <c r="I421" s="681" t="s">
        <v>3508</v>
      </c>
      <c r="J421" s="187" t="str">
        <f t="shared" si="43"/>
        <v>079-906</v>
      </c>
      <c r="K421" s="187">
        <v>79</v>
      </c>
      <c r="L421" s="187">
        <v>906</v>
      </c>
      <c r="M421" s="187" t="str">
        <f t="shared" si="40"/>
        <v>079</v>
      </c>
      <c r="N421" s="187">
        <f t="shared" si="41"/>
        <v>906</v>
      </c>
      <c r="O421" s="187" t="str">
        <f t="shared" si="42"/>
        <v>079-906</v>
      </c>
      <c r="Q421" s="679" t="s">
        <v>5857</v>
      </c>
    </row>
    <row r="422" spans="1:17">
      <c r="A422" s="788" t="s">
        <v>1309</v>
      </c>
      <c r="B422" s="187" t="s">
        <v>114</v>
      </c>
      <c r="C422" s="215">
        <v>31646214</v>
      </c>
      <c r="D422" s="215">
        <v>229337441</v>
      </c>
      <c r="F422" s="215">
        <f t="shared" si="38"/>
        <v>229337441</v>
      </c>
      <c r="G422" s="215">
        <f t="shared" si="39"/>
        <v>260983655</v>
      </c>
      <c r="H422" s="680" t="s">
        <v>6153</v>
      </c>
      <c r="I422" s="681" t="s">
        <v>3508</v>
      </c>
      <c r="J422" s="187" t="str">
        <f t="shared" si="43"/>
        <v>079-907</v>
      </c>
      <c r="K422" s="187">
        <v>79</v>
      </c>
      <c r="L422" s="187">
        <v>907</v>
      </c>
      <c r="M422" s="187" t="str">
        <f t="shared" si="40"/>
        <v>079</v>
      </c>
      <c r="N422" s="187">
        <f t="shared" si="41"/>
        <v>907</v>
      </c>
      <c r="O422" s="187" t="str">
        <f t="shared" si="42"/>
        <v>079-907</v>
      </c>
      <c r="Q422" s="679" t="s">
        <v>5858</v>
      </c>
    </row>
    <row r="423" spans="1:17">
      <c r="A423" s="788" t="s">
        <v>3566</v>
      </c>
      <c r="B423" s="187" t="s">
        <v>2912</v>
      </c>
      <c r="C423" s="215">
        <v>74543</v>
      </c>
      <c r="D423" s="215">
        <v>475798</v>
      </c>
      <c r="F423" s="215">
        <f t="shared" si="38"/>
        <v>475798</v>
      </c>
      <c r="G423" s="215">
        <f t="shared" si="39"/>
        <v>550341</v>
      </c>
      <c r="H423" s="680" t="s">
        <v>6153</v>
      </c>
      <c r="I423" s="681" t="s">
        <v>3508</v>
      </c>
      <c r="J423" s="187" t="str">
        <f t="shared" si="43"/>
        <v>079-908</v>
      </c>
      <c r="K423" s="187">
        <v>79</v>
      </c>
      <c r="L423" s="187">
        <v>908</v>
      </c>
      <c r="M423" s="187" t="str">
        <f t="shared" si="40"/>
        <v>079</v>
      </c>
      <c r="N423" s="187">
        <f t="shared" si="41"/>
        <v>908</v>
      </c>
      <c r="O423" s="187" t="str">
        <f t="shared" si="42"/>
        <v>079-908</v>
      </c>
      <c r="Q423" s="679" t="s">
        <v>5859</v>
      </c>
    </row>
    <row r="424" spans="1:17">
      <c r="A424" s="788" t="s">
        <v>3568</v>
      </c>
      <c r="B424" s="187" t="s">
        <v>2913</v>
      </c>
      <c r="C424" s="215">
        <v>3002958</v>
      </c>
      <c r="D424" s="215">
        <v>21694937</v>
      </c>
      <c r="F424" s="215">
        <f t="shared" si="38"/>
        <v>21694937</v>
      </c>
      <c r="G424" s="215">
        <f t="shared" si="39"/>
        <v>24697895</v>
      </c>
      <c r="H424" s="680" t="s">
        <v>6153</v>
      </c>
      <c r="I424" s="681" t="s">
        <v>3508</v>
      </c>
      <c r="J424" s="187" t="str">
        <f t="shared" si="43"/>
        <v>079-910</v>
      </c>
      <c r="K424" s="187">
        <v>79</v>
      </c>
      <c r="L424" s="187">
        <v>910</v>
      </c>
      <c r="M424" s="187" t="str">
        <f t="shared" si="40"/>
        <v>079</v>
      </c>
      <c r="N424" s="187">
        <f t="shared" si="41"/>
        <v>910</v>
      </c>
      <c r="O424" s="187" t="str">
        <f t="shared" si="42"/>
        <v>079-910</v>
      </c>
      <c r="Q424" s="679" t="s">
        <v>5860</v>
      </c>
    </row>
    <row r="425" spans="1:17">
      <c r="A425" s="788" t="s">
        <v>1607</v>
      </c>
      <c r="B425" s="187" t="s">
        <v>2914</v>
      </c>
      <c r="C425" s="215">
        <v>0</v>
      </c>
      <c r="D425" s="215">
        <v>8004226</v>
      </c>
      <c r="F425" s="215">
        <f t="shared" si="38"/>
        <v>8004226</v>
      </c>
      <c r="G425" s="215">
        <f t="shared" si="39"/>
        <v>8004226</v>
      </c>
      <c r="H425" s="680" t="s">
        <v>6153</v>
      </c>
      <c r="I425" s="681" t="s">
        <v>3508</v>
      </c>
      <c r="J425" s="187" t="str">
        <f t="shared" si="43"/>
        <v>080-901</v>
      </c>
      <c r="K425" s="187">
        <v>80</v>
      </c>
      <c r="L425" s="187">
        <v>901</v>
      </c>
      <c r="M425" s="187" t="str">
        <f t="shared" si="40"/>
        <v>080</v>
      </c>
      <c r="N425" s="187">
        <f t="shared" si="41"/>
        <v>901</v>
      </c>
      <c r="O425" s="187" t="str">
        <f t="shared" si="42"/>
        <v>080-901</v>
      </c>
      <c r="Q425" s="679" t="s">
        <v>5861</v>
      </c>
    </row>
    <row r="426" spans="1:17">
      <c r="A426" s="788" t="s">
        <v>2482</v>
      </c>
      <c r="B426" s="187" t="s">
        <v>2915</v>
      </c>
      <c r="C426" s="215">
        <v>2303165</v>
      </c>
      <c r="D426" s="215">
        <v>23899179</v>
      </c>
      <c r="F426" s="215">
        <f t="shared" si="38"/>
        <v>23899179</v>
      </c>
      <c r="G426" s="215">
        <f t="shared" si="39"/>
        <v>26202344</v>
      </c>
      <c r="H426" s="680" t="s">
        <v>6153</v>
      </c>
      <c r="I426" s="681" t="s">
        <v>3508</v>
      </c>
      <c r="J426" s="187" t="str">
        <f t="shared" si="43"/>
        <v>081-902</v>
      </c>
      <c r="K426" s="187">
        <v>81</v>
      </c>
      <c r="L426" s="187">
        <v>902</v>
      </c>
      <c r="M426" s="187" t="str">
        <f t="shared" si="40"/>
        <v>081</v>
      </c>
      <c r="N426" s="187">
        <f t="shared" si="41"/>
        <v>902</v>
      </c>
      <c r="O426" s="187" t="str">
        <f t="shared" si="42"/>
        <v>081-902</v>
      </c>
      <c r="Q426" s="679" t="s">
        <v>5862</v>
      </c>
    </row>
    <row r="427" spans="1:17">
      <c r="A427" s="788" t="s">
        <v>2484</v>
      </c>
      <c r="B427" s="187" t="s">
        <v>2916</v>
      </c>
      <c r="C427" s="215">
        <v>654341</v>
      </c>
      <c r="D427" s="215">
        <v>12725926</v>
      </c>
      <c r="F427" s="215">
        <f t="shared" si="38"/>
        <v>12725926</v>
      </c>
      <c r="G427" s="215">
        <f t="shared" si="39"/>
        <v>13380267</v>
      </c>
      <c r="H427" s="680" t="s">
        <v>6153</v>
      </c>
      <c r="I427" s="681" t="s">
        <v>3508</v>
      </c>
      <c r="J427" s="187" t="str">
        <f t="shared" si="43"/>
        <v>081-904</v>
      </c>
      <c r="K427" s="187">
        <v>81</v>
      </c>
      <c r="L427" s="187">
        <v>904</v>
      </c>
      <c r="M427" s="187" t="str">
        <f t="shared" si="40"/>
        <v>081</v>
      </c>
      <c r="N427" s="187">
        <f t="shared" si="41"/>
        <v>904</v>
      </c>
      <c r="O427" s="187" t="str">
        <f t="shared" si="42"/>
        <v>081-904</v>
      </c>
      <c r="Q427" s="679" t="s">
        <v>5863</v>
      </c>
    </row>
    <row r="428" spans="1:17">
      <c r="A428" s="788" t="s">
        <v>2486</v>
      </c>
      <c r="B428" s="187" t="s">
        <v>2917</v>
      </c>
      <c r="C428" s="215">
        <v>74108</v>
      </c>
      <c r="D428" s="215">
        <v>1266677</v>
      </c>
      <c r="F428" s="215">
        <f t="shared" si="38"/>
        <v>1266677</v>
      </c>
      <c r="G428" s="215">
        <f t="shared" si="39"/>
        <v>1340785</v>
      </c>
      <c r="H428" s="680" t="s">
        <v>6153</v>
      </c>
      <c r="I428" s="681" t="s">
        <v>3508</v>
      </c>
      <c r="J428" s="187" t="str">
        <f t="shared" si="43"/>
        <v>081-905</v>
      </c>
      <c r="K428" s="187">
        <v>81</v>
      </c>
      <c r="L428" s="187">
        <v>905</v>
      </c>
      <c r="M428" s="187" t="str">
        <f t="shared" si="40"/>
        <v>081</v>
      </c>
      <c r="N428" s="187">
        <f t="shared" si="41"/>
        <v>905</v>
      </c>
      <c r="O428" s="187" t="str">
        <f t="shared" si="42"/>
        <v>081-905</v>
      </c>
      <c r="Q428" s="679" t="s">
        <v>5864</v>
      </c>
    </row>
    <row r="429" spans="1:17">
      <c r="A429" s="788" t="s">
        <v>2488</v>
      </c>
      <c r="B429" s="187" t="s">
        <v>2918</v>
      </c>
      <c r="C429" s="215">
        <v>0</v>
      </c>
      <c r="D429" s="215">
        <v>5068759</v>
      </c>
      <c r="F429" s="215">
        <f t="shared" si="38"/>
        <v>5068759</v>
      </c>
      <c r="G429" s="215">
        <f t="shared" si="39"/>
        <v>5068759</v>
      </c>
      <c r="H429" s="680" t="s">
        <v>6153</v>
      </c>
      <c r="I429" s="681" t="s">
        <v>3508</v>
      </c>
      <c r="J429" s="187" t="str">
        <f t="shared" si="43"/>
        <v>081-906</v>
      </c>
      <c r="K429" s="187">
        <v>81</v>
      </c>
      <c r="L429" s="187">
        <v>906</v>
      </c>
      <c r="M429" s="187" t="str">
        <f t="shared" si="40"/>
        <v>081</v>
      </c>
      <c r="N429" s="187">
        <f t="shared" si="41"/>
        <v>906</v>
      </c>
      <c r="O429" s="187" t="str">
        <f t="shared" si="42"/>
        <v>081-906</v>
      </c>
      <c r="Q429" s="679" t="s">
        <v>5865</v>
      </c>
    </row>
    <row r="430" spans="1:17">
      <c r="A430" s="788" t="s">
        <v>2834</v>
      </c>
      <c r="B430" s="187" t="s">
        <v>1002</v>
      </c>
      <c r="C430" s="215">
        <v>69237</v>
      </c>
      <c r="D430" s="215">
        <v>1323628</v>
      </c>
      <c r="F430" s="215">
        <f t="shared" si="38"/>
        <v>1323628</v>
      </c>
      <c r="G430" s="215">
        <f t="shared" si="39"/>
        <v>1392865</v>
      </c>
      <c r="H430" s="680" t="s">
        <v>6153</v>
      </c>
      <c r="I430" s="681" t="s">
        <v>3508</v>
      </c>
      <c r="J430" s="187" t="str">
        <f t="shared" si="43"/>
        <v>082-902</v>
      </c>
      <c r="K430" s="187">
        <v>82</v>
      </c>
      <c r="L430" s="187">
        <v>902</v>
      </c>
      <c r="M430" s="187" t="str">
        <f t="shared" si="40"/>
        <v>082</v>
      </c>
      <c r="N430" s="187">
        <f t="shared" si="41"/>
        <v>902</v>
      </c>
      <c r="O430" s="187" t="str">
        <f t="shared" si="42"/>
        <v>082-902</v>
      </c>
      <c r="Q430" s="679" t="s">
        <v>5866</v>
      </c>
    </row>
    <row r="431" spans="1:17">
      <c r="A431" s="788" t="s">
        <v>445</v>
      </c>
      <c r="B431" s="187" t="s">
        <v>5294</v>
      </c>
      <c r="C431" s="215">
        <v>424075</v>
      </c>
      <c r="D431" s="215">
        <v>3412411</v>
      </c>
      <c r="F431" s="215">
        <f t="shared" si="38"/>
        <v>3412411</v>
      </c>
      <c r="G431" s="215">
        <f t="shared" si="39"/>
        <v>3836486</v>
      </c>
      <c r="H431" s="680" t="s">
        <v>6153</v>
      </c>
      <c r="I431" s="681" t="s">
        <v>3508</v>
      </c>
      <c r="J431" s="187" t="str">
        <f t="shared" si="43"/>
        <v>082-903</v>
      </c>
      <c r="K431" s="187">
        <v>82</v>
      </c>
      <c r="L431" s="187">
        <v>903</v>
      </c>
      <c r="M431" s="187" t="str">
        <f t="shared" si="40"/>
        <v>082</v>
      </c>
      <c r="N431" s="187">
        <f t="shared" si="41"/>
        <v>903</v>
      </c>
      <c r="O431" s="187" t="str">
        <f t="shared" si="42"/>
        <v>082-903</v>
      </c>
      <c r="Q431" s="679" t="s">
        <v>5867</v>
      </c>
    </row>
    <row r="432" spans="1:17">
      <c r="A432" s="788" t="s">
        <v>2490</v>
      </c>
      <c r="B432" s="187" t="s">
        <v>2919</v>
      </c>
      <c r="C432" s="215">
        <v>0</v>
      </c>
      <c r="D432" s="215">
        <v>1828189</v>
      </c>
      <c r="F432" s="215">
        <f t="shared" si="38"/>
        <v>1828189</v>
      </c>
      <c r="G432" s="215">
        <f t="shared" si="39"/>
        <v>1828189</v>
      </c>
      <c r="H432" s="680" t="s">
        <v>6153</v>
      </c>
      <c r="I432" s="681" t="s">
        <v>3508</v>
      </c>
      <c r="J432" s="187" t="str">
        <f t="shared" si="43"/>
        <v>083-901</v>
      </c>
      <c r="K432" s="187">
        <v>83</v>
      </c>
      <c r="L432" s="187">
        <v>901</v>
      </c>
      <c r="M432" s="187" t="str">
        <f t="shared" si="40"/>
        <v>083</v>
      </c>
      <c r="N432" s="187">
        <f t="shared" si="41"/>
        <v>901</v>
      </c>
      <c r="O432" s="187" t="str">
        <f t="shared" si="42"/>
        <v>083-901</v>
      </c>
      <c r="Q432" s="679" t="s">
        <v>5868</v>
      </c>
    </row>
    <row r="433" spans="1:17">
      <c r="A433" s="788" t="s">
        <v>2492</v>
      </c>
      <c r="B433" s="187" t="s">
        <v>2920</v>
      </c>
      <c r="C433" s="215">
        <v>350517</v>
      </c>
      <c r="D433" s="215">
        <v>2953639</v>
      </c>
      <c r="F433" s="215">
        <f t="shared" si="38"/>
        <v>2953639</v>
      </c>
      <c r="G433" s="215">
        <f t="shared" si="39"/>
        <v>3304156</v>
      </c>
      <c r="H433" s="680" t="s">
        <v>6153</v>
      </c>
      <c r="I433" s="681" t="s">
        <v>3508</v>
      </c>
      <c r="J433" s="187" t="str">
        <f t="shared" si="43"/>
        <v>083-902</v>
      </c>
      <c r="K433" s="187">
        <v>83</v>
      </c>
      <c r="L433" s="187">
        <v>902</v>
      </c>
      <c r="M433" s="187" t="str">
        <f t="shared" si="40"/>
        <v>083</v>
      </c>
      <c r="N433" s="187">
        <f t="shared" si="41"/>
        <v>902</v>
      </c>
      <c r="O433" s="187" t="str">
        <f t="shared" si="42"/>
        <v>083-902</v>
      </c>
      <c r="Q433" s="679" t="s">
        <v>5869</v>
      </c>
    </row>
    <row r="434" spans="1:17">
      <c r="A434" s="788" t="s">
        <v>2494</v>
      </c>
      <c r="B434" s="187" t="s">
        <v>2921</v>
      </c>
      <c r="C434" s="215">
        <v>1244971</v>
      </c>
      <c r="D434" s="215">
        <v>21780438</v>
      </c>
      <c r="F434" s="215">
        <f t="shared" si="38"/>
        <v>21780438</v>
      </c>
      <c r="G434" s="215">
        <f t="shared" si="39"/>
        <v>23025409</v>
      </c>
      <c r="H434" s="680" t="s">
        <v>6153</v>
      </c>
      <c r="I434" s="681" t="s">
        <v>3508</v>
      </c>
      <c r="J434" s="187" t="str">
        <f t="shared" si="43"/>
        <v>083-903</v>
      </c>
      <c r="K434" s="187">
        <v>83</v>
      </c>
      <c r="L434" s="187">
        <v>903</v>
      </c>
      <c r="M434" s="187" t="str">
        <f t="shared" si="40"/>
        <v>083</v>
      </c>
      <c r="N434" s="187">
        <f t="shared" si="41"/>
        <v>903</v>
      </c>
      <c r="O434" s="187" t="str">
        <f t="shared" si="42"/>
        <v>083-903</v>
      </c>
      <c r="Q434" s="679" t="s">
        <v>5870</v>
      </c>
    </row>
    <row r="435" spans="1:17">
      <c r="A435" s="788" t="s">
        <v>3301</v>
      </c>
      <c r="B435" s="187" t="s">
        <v>3302</v>
      </c>
      <c r="C435" s="215">
        <v>0</v>
      </c>
      <c r="D435" s="215">
        <v>0</v>
      </c>
      <c r="F435" s="215">
        <f t="shared" si="38"/>
        <v>0</v>
      </c>
      <c r="G435" s="215">
        <f t="shared" si="39"/>
        <v>0</v>
      </c>
      <c r="H435" s="680" t="s">
        <v>6153</v>
      </c>
      <c r="I435" s="681" t="s">
        <v>3508</v>
      </c>
      <c r="J435" s="187" t="str">
        <f t="shared" si="43"/>
        <v>084-505</v>
      </c>
      <c r="K435" s="187">
        <v>84</v>
      </c>
      <c r="L435" s="187">
        <v>505</v>
      </c>
      <c r="M435" s="187" t="str">
        <f t="shared" si="40"/>
        <v>084</v>
      </c>
      <c r="N435" s="187">
        <f t="shared" si="41"/>
        <v>505</v>
      </c>
      <c r="O435" s="187" t="str">
        <f t="shared" si="42"/>
        <v>084-505</v>
      </c>
      <c r="Q435" s="679" t="s">
        <v>5871</v>
      </c>
    </row>
    <row r="436" spans="1:17">
      <c r="A436" s="788" t="s">
        <v>3303</v>
      </c>
      <c r="B436" s="187" t="s">
        <v>3304</v>
      </c>
      <c r="C436" s="215">
        <v>0</v>
      </c>
      <c r="D436" s="215">
        <v>0</v>
      </c>
      <c r="F436" s="215">
        <f t="shared" si="38"/>
        <v>0</v>
      </c>
      <c r="G436" s="215">
        <f t="shared" si="39"/>
        <v>0</v>
      </c>
      <c r="H436" s="680" t="s">
        <v>6153</v>
      </c>
      <c r="I436" s="681" t="s">
        <v>3508</v>
      </c>
      <c r="J436" s="187" t="str">
        <f t="shared" si="43"/>
        <v>084-801</v>
      </c>
      <c r="K436" s="187">
        <v>84</v>
      </c>
      <c r="L436" s="187">
        <v>801</v>
      </c>
      <c r="M436" s="187" t="str">
        <f t="shared" si="40"/>
        <v>084</v>
      </c>
      <c r="N436" s="187">
        <f t="shared" si="41"/>
        <v>801</v>
      </c>
      <c r="O436" s="187" t="str">
        <f t="shared" si="42"/>
        <v>084-801</v>
      </c>
      <c r="Q436" s="679" t="s">
        <v>5872</v>
      </c>
    </row>
    <row r="437" spans="1:17">
      <c r="A437" s="788" t="s">
        <v>2496</v>
      </c>
      <c r="B437" s="187" t="s">
        <v>3305</v>
      </c>
      <c r="C437" s="215">
        <v>0</v>
      </c>
      <c r="D437" s="215">
        <v>0</v>
      </c>
      <c r="F437" s="215">
        <f t="shared" si="38"/>
        <v>0</v>
      </c>
      <c r="G437" s="215">
        <f t="shared" si="39"/>
        <v>0</v>
      </c>
      <c r="H437" s="680" t="s">
        <v>6153</v>
      </c>
      <c r="I437" s="681" t="s">
        <v>3508</v>
      </c>
      <c r="J437" s="187" t="str">
        <f t="shared" si="43"/>
        <v>084-802</v>
      </c>
      <c r="K437" s="187">
        <v>84</v>
      </c>
      <c r="L437" s="187">
        <v>802</v>
      </c>
      <c r="M437" s="187" t="str">
        <f t="shared" si="40"/>
        <v>084</v>
      </c>
      <c r="N437" s="187">
        <f t="shared" si="41"/>
        <v>802</v>
      </c>
      <c r="O437" s="187" t="str">
        <f t="shared" si="42"/>
        <v>084-802</v>
      </c>
      <c r="Q437" s="679" t="s">
        <v>5873</v>
      </c>
    </row>
    <row r="438" spans="1:17">
      <c r="A438" s="788" t="s">
        <v>2498</v>
      </c>
      <c r="B438" s="187" t="s">
        <v>2922</v>
      </c>
      <c r="C438" s="215">
        <v>3811307</v>
      </c>
      <c r="D438" s="215">
        <v>23946458</v>
      </c>
      <c r="F438" s="215">
        <f t="shared" si="38"/>
        <v>23946458</v>
      </c>
      <c r="G438" s="215">
        <f t="shared" si="39"/>
        <v>27757765</v>
      </c>
      <c r="H438" s="680" t="s">
        <v>6153</v>
      </c>
      <c r="I438" s="681" t="s">
        <v>3508</v>
      </c>
      <c r="J438" s="187" t="str">
        <f t="shared" si="43"/>
        <v>084-901</v>
      </c>
      <c r="K438" s="187">
        <v>84</v>
      </c>
      <c r="L438" s="187">
        <v>901</v>
      </c>
      <c r="M438" s="187" t="str">
        <f t="shared" si="40"/>
        <v>084</v>
      </c>
      <c r="N438" s="187">
        <f t="shared" si="41"/>
        <v>901</v>
      </c>
      <c r="O438" s="187" t="str">
        <f t="shared" si="42"/>
        <v>084-901</v>
      </c>
      <c r="Q438" s="679" t="s">
        <v>5874</v>
      </c>
    </row>
    <row r="439" spans="1:17">
      <c r="A439" s="788" t="s">
        <v>1670</v>
      </c>
      <c r="B439" s="187" t="s">
        <v>2923</v>
      </c>
      <c r="C439" s="215">
        <v>6212960</v>
      </c>
      <c r="D439" s="215">
        <v>45401823</v>
      </c>
      <c r="F439" s="215">
        <f t="shared" si="38"/>
        <v>45401823</v>
      </c>
      <c r="G439" s="215">
        <f t="shared" si="39"/>
        <v>51614783</v>
      </c>
      <c r="H439" s="680" t="s">
        <v>6153</v>
      </c>
      <c r="I439" s="681" t="s">
        <v>3508</v>
      </c>
      <c r="J439" s="187" t="str">
        <f t="shared" si="43"/>
        <v>084-902</v>
      </c>
      <c r="K439" s="187">
        <v>84</v>
      </c>
      <c r="L439" s="187">
        <v>902</v>
      </c>
      <c r="M439" s="187" t="str">
        <f t="shared" si="40"/>
        <v>084</v>
      </c>
      <c r="N439" s="187">
        <f t="shared" si="41"/>
        <v>902</v>
      </c>
      <c r="O439" s="187" t="str">
        <f t="shared" si="42"/>
        <v>084-902</v>
      </c>
      <c r="Q439" s="679" t="s">
        <v>5875</v>
      </c>
    </row>
    <row r="440" spans="1:17">
      <c r="A440" s="788" t="s">
        <v>1867</v>
      </c>
      <c r="B440" s="187" t="s">
        <v>3846</v>
      </c>
      <c r="C440" s="215">
        <v>157525</v>
      </c>
      <c r="D440" s="215">
        <v>1153034</v>
      </c>
      <c r="F440" s="215">
        <f t="shared" si="38"/>
        <v>1153034</v>
      </c>
      <c r="G440" s="215">
        <f t="shared" si="39"/>
        <v>1310559</v>
      </c>
      <c r="H440" s="680" t="s">
        <v>6153</v>
      </c>
      <c r="I440" s="681" t="s">
        <v>3508</v>
      </c>
      <c r="J440" s="187" t="str">
        <f t="shared" si="43"/>
        <v>084-903</v>
      </c>
      <c r="K440" s="187">
        <v>84</v>
      </c>
      <c r="L440" s="187">
        <v>903</v>
      </c>
      <c r="M440" s="187" t="str">
        <f t="shared" si="40"/>
        <v>084</v>
      </c>
      <c r="N440" s="187">
        <f t="shared" si="41"/>
        <v>903</v>
      </c>
      <c r="O440" s="187" t="str">
        <f t="shared" si="42"/>
        <v>084-903</v>
      </c>
      <c r="Q440" s="679" t="s">
        <v>5876</v>
      </c>
    </row>
    <row r="441" spans="1:17">
      <c r="A441" s="788" t="s">
        <v>1672</v>
      </c>
      <c r="B441" s="187" t="s">
        <v>2924</v>
      </c>
      <c r="C441" s="215">
        <v>2861719</v>
      </c>
      <c r="D441" s="215">
        <v>17790979</v>
      </c>
      <c r="F441" s="215">
        <f t="shared" si="38"/>
        <v>17790979</v>
      </c>
      <c r="G441" s="215">
        <f t="shared" si="39"/>
        <v>20652698</v>
      </c>
      <c r="H441" s="680" t="s">
        <v>6153</v>
      </c>
      <c r="I441" s="681" t="s">
        <v>3508</v>
      </c>
      <c r="J441" s="187" t="str">
        <f t="shared" si="43"/>
        <v>084-904</v>
      </c>
      <c r="K441" s="187">
        <v>84</v>
      </c>
      <c r="L441" s="187">
        <v>904</v>
      </c>
      <c r="M441" s="187" t="str">
        <f t="shared" si="40"/>
        <v>084</v>
      </c>
      <c r="N441" s="187">
        <f t="shared" si="41"/>
        <v>904</v>
      </c>
      <c r="O441" s="187" t="str">
        <f t="shared" si="42"/>
        <v>084-904</v>
      </c>
      <c r="Q441" s="679" t="s">
        <v>5877</v>
      </c>
    </row>
    <row r="442" spans="1:17">
      <c r="A442" s="788" t="s">
        <v>1674</v>
      </c>
      <c r="B442" s="187" t="s">
        <v>2925</v>
      </c>
      <c r="C442" s="215">
        <v>2934015</v>
      </c>
      <c r="D442" s="215">
        <v>38945321</v>
      </c>
      <c r="F442" s="215">
        <f t="shared" si="38"/>
        <v>38945321</v>
      </c>
      <c r="G442" s="215">
        <f t="shared" si="39"/>
        <v>41879336</v>
      </c>
      <c r="H442" s="680" t="s">
        <v>6153</v>
      </c>
      <c r="I442" s="681" t="s">
        <v>3508</v>
      </c>
      <c r="J442" s="187" t="str">
        <f t="shared" si="43"/>
        <v>084-906</v>
      </c>
      <c r="K442" s="187">
        <v>84</v>
      </c>
      <c r="L442" s="187">
        <v>906</v>
      </c>
      <c r="M442" s="187" t="str">
        <f t="shared" si="40"/>
        <v>084</v>
      </c>
      <c r="N442" s="187">
        <f t="shared" si="41"/>
        <v>906</v>
      </c>
      <c r="O442" s="187" t="str">
        <f t="shared" si="42"/>
        <v>084-906</v>
      </c>
      <c r="Q442" s="679" t="s">
        <v>5878</v>
      </c>
    </row>
    <row r="443" spans="1:17">
      <c r="A443" s="788" t="s">
        <v>5048</v>
      </c>
      <c r="B443" s="187" t="s">
        <v>2926</v>
      </c>
      <c r="C443" s="215">
        <v>620617</v>
      </c>
      <c r="D443" s="215">
        <v>4335228</v>
      </c>
      <c r="F443" s="215">
        <f t="shared" si="38"/>
        <v>4335228</v>
      </c>
      <c r="G443" s="215">
        <f t="shared" si="39"/>
        <v>4955845</v>
      </c>
      <c r="H443" s="680" t="s">
        <v>6153</v>
      </c>
      <c r="I443" s="681" t="s">
        <v>3508</v>
      </c>
      <c r="J443" s="187" t="str">
        <f t="shared" si="43"/>
        <v>084-908</v>
      </c>
      <c r="K443" s="187">
        <v>84</v>
      </c>
      <c r="L443" s="187">
        <v>908</v>
      </c>
      <c r="M443" s="187" t="str">
        <f t="shared" si="40"/>
        <v>084</v>
      </c>
      <c r="N443" s="187">
        <f t="shared" si="41"/>
        <v>908</v>
      </c>
      <c r="O443" s="187" t="str">
        <f t="shared" si="42"/>
        <v>084-908</v>
      </c>
      <c r="Q443" s="679" t="s">
        <v>5879</v>
      </c>
    </row>
    <row r="444" spans="1:17">
      <c r="A444" s="788" t="s">
        <v>2392</v>
      </c>
      <c r="B444" s="187" t="s">
        <v>1458</v>
      </c>
      <c r="C444" s="215">
        <v>979385</v>
      </c>
      <c r="D444" s="215">
        <v>10817893</v>
      </c>
      <c r="F444" s="215">
        <f t="shared" si="38"/>
        <v>10817893</v>
      </c>
      <c r="G444" s="215">
        <f t="shared" si="39"/>
        <v>11797278</v>
      </c>
      <c r="H444" s="680" t="s">
        <v>6153</v>
      </c>
      <c r="I444" s="681" t="s">
        <v>3508</v>
      </c>
      <c r="J444" s="187" t="str">
        <f t="shared" si="43"/>
        <v>084-909</v>
      </c>
      <c r="K444" s="187">
        <v>84</v>
      </c>
      <c r="L444" s="187">
        <v>909</v>
      </c>
      <c r="M444" s="187" t="str">
        <f t="shared" si="40"/>
        <v>084</v>
      </c>
      <c r="N444" s="187">
        <f t="shared" si="41"/>
        <v>909</v>
      </c>
      <c r="O444" s="187" t="str">
        <f t="shared" si="42"/>
        <v>084-909</v>
      </c>
      <c r="Q444" s="679" t="s">
        <v>5880</v>
      </c>
    </row>
    <row r="445" spans="1:17">
      <c r="A445" s="788" t="s">
        <v>5050</v>
      </c>
      <c r="B445" s="187" t="s">
        <v>2927</v>
      </c>
      <c r="C445" s="215">
        <v>26582902</v>
      </c>
      <c r="D445" s="215">
        <v>162824603</v>
      </c>
      <c r="F445" s="215">
        <f t="shared" si="38"/>
        <v>162824603</v>
      </c>
      <c r="G445" s="215">
        <f t="shared" si="39"/>
        <v>189407505</v>
      </c>
      <c r="H445" s="680" t="s">
        <v>6153</v>
      </c>
      <c r="I445" s="681" t="s">
        <v>3508</v>
      </c>
      <c r="J445" s="187" t="str">
        <f t="shared" si="43"/>
        <v>084-910</v>
      </c>
      <c r="K445" s="187">
        <v>84</v>
      </c>
      <c r="L445" s="187">
        <v>910</v>
      </c>
      <c r="M445" s="187" t="str">
        <f t="shared" si="40"/>
        <v>084</v>
      </c>
      <c r="N445" s="187">
        <f t="shared" si="41"/>
        <v>910</v>
      </c>
      <c r="O445" s="187" t="str">
        <f t="shared" si="42"/>
        <v>084-910</v>
      </c>
      <c r="Q445" s="679" t="s">
        <v>5881</v>
      </c>
    </row>
    <row r="446" spans="1:17">
      <c r="A446" s="788" t="s">
        <v>1311</v>
      </c>
      <c r="B446" s="187" t="s">
        <v>116</v>
      </c>
      <c r="C446" s="215">
        <v>2105236</v>
      </c>
      <c r="D446" s="215">
        <v>23048565</v>
      </c>
      <c r="F446" s="215">
        <f t="shared" si="38"/>
        <v>23048565</v>
      </c>
      <c r="G446" s="215">
        <f t="shared" si="39"/>
        <v>25153801</v>
      </c>
      <c r="H446" s="680" t="s">
        <v>6153</v>
      </c>
      <c r="I446" s="681" t="s">
        <v>3508</v>
      </c>
      <c r="J446" s="187" t="str">
        <f t="shared" si="43"/>
        <v>084-911</v>
      </c>
      <c r="K446" s="187">
        <v>84</v>
      </c>
      <c r="L446" s="187">
        <v>911</v>
      </c>
      <c r="M446" s="187" t="str">
        <f t="shared" si="40"/>
        <v>084</v>
      </c>
      <c r="N446" s="187">
        <f t="shared" si="41"/>
        <v>911</v>
      </c>
      <c r="O446" s="187" t="str">
        <f t="shared" si="42"/>
        <v>084-911</v>
      </c>
      <c r="Q446" s="679" t="s">
        <v>5882</v>
      </c>
    </row>
    <row r="447" spans="1:17">
      <c r="A447" s="788" t="s">
        <v>3222</v>
      </c>
      <c r="B447" s="187" t="s">
        <v>2928</v>
      </c>
      <c r="C447" s="215">
        <v>0</v>
      </c>
      <c r="D447" s="215">
        <v>5027565</v>
      </c>
      <c r="F447" s="215">
        <f t="shared" si="38"/>
        <v>5027565</v>
      </c>
      <c r="G447" s="215">
        <f t="shared" si="39"/>
        <v>5027565</v>
      </c>
      <c r="H447" s="680" t="s">
        <v>6153</v>
      </c>
      <c r="I447" s="681" t="s">
        <v>3508</v>
      </c>
      <c r="J447" s="187" t="str">
        <f t="shared" si="43"/>
        <v>085-902</v>
      </c>
      <c r="K447" s="187">
        <v>85</v>
      </c>
      <c r="L447" s="187">
        <v>902</v>
      </c>
      <c r="M447" s="187" t="str">
        <f t="shared" si="40"/>
        <v>085</v>
      </c>
      <c r="N447" s="187">
        <f t="shared" si="41"/>
        <v>902</v>
      </c>
      <c r="O447" s="187" t="str">
        <f t="shared" si="42"/>
        <v>085-902</v>
      </c>
      <c r="Q447" s="679" t="s">
        <v>6216</v>
      </c>
    </row>
    <row r="448" spans="1:17">
      <c r="A448" s="788" t="s">
        <v>3224</v>
      </c>
      <c r="B448" s="187" t="s">
        <v>2929</v>
      </c>
      <c r="C448" s="215">
        <v>0</v>
      </c>
      <c r="D448" s="215">
        <v>599696</v>
      </c>
      <c r="F448" s="215">
        <f t="shared" si="38"/>
        <v>599696</v>
      </c>
      <c r="G448" s="215">
        <f t="shared" si="39"/>
        <v>599696</v>
      </c>
      <c r="H448" s="680" t="s">
        <v>6153</v>
      </c>
      <c r="I448" s="681" t="s">
        <v>3508</v>
      </c>
      <c r="J448" s="187" t="str">
        <f t="shared" si="43"/>
        <v>085-903</v>
      </c>
      <c r="K448" s="187">
        <v>85</v>
      </c>
      <c r="L448" s="187">
        <v>903</v>
      </c>
      <c r="M448" s="187" t="str">
        <f t="shared" si="40"/>
        <v>085</v>
      </c>
      <c r="N448" s="187">
        <f t="shared" si="41"/>
        <v>903</v>
      </c>
      <c r="O448" s="187" t="str">
        <f t="shared" si="42"/>
        <v>085-903</v>
      </c>
      <c r="Q448" s="679" t="s">
        <v>6217</v>
      </c>
    </row>
    <row r="449" spans="1:17">
      <c r="A449" s="788" t="s">
        <v>6218</v>
      </c>
      <c r="B449" s="187" t="s">
        <v>2930</v>
      </c>
      <c r="C449" s="215">
        <v>0</v>
      </c>
      <c r="D449" s="215">
        <v>261783</v>
      </c>
      <c r="F449" s="215">
        <f t="shared" si="38"/>
        <v>261783</v>
      </c>
      <c r="G449" s="215">
        <f t="shared" si="39"/>
        <v>261783</v>
      </c>
      <c r="H449" s="680" t="s">
        <v>6153</v>
      </c>
      <c r="I449" s="681" t="s">
        <v>3508</v>
      </c>
      <c r="J449" s="187" t="str">
        <f t="shared" si="43"/>
        <v>086-24</v>
      </c>
      <c r="K449" s="187">
        <v>86</v>
      </c>
      <c r="L449" s="187">
        <v>24</v>
      </c>
      <c r="M449" s="187" t="str">
        <f t="shared" si="40"/>
        <v>086</v>
      </c>
      <c r="N449" s="187">
        <f t="shared" si="41"/>
        <v>24</v>
      </c>
      <c r="O449" s="187" t="str">
        <f t="shared" si="42"/>
        <v>086-24</v>
      </c>
      <c r="Q449" s="679" t="s">
        <v>6219</v>
      </c>
    </row>
    <row r="450" spans="1:17">
      <c r="A450" s="788" t="s">
        <v>3228</v>
      </c>
      <c r="B450" s="187" t="s">
        <v>2931</v>
      </c>
      <c r="C450" s="215">
        <v>2149831</v>
      </c>
      <c r="D450" s="215">
        <v>18674386</v>
      </c>
      <c r="F450" s="215">
        <f t="shared" si="38"/>
        <v>18674386</v>
      </c>
      <c r="G450" s="215">
        <f t="shared" si="39"/>
        <v>20824217</v>
      </c>
      <c r="H450" s="680" t="s">
        <v>6153</v>
      </c>
      <c r="I450" s="681" t="s">
        <v>3508</v>
      </c>
      <c r="J450" s="187" t="str">
        <f t="shared" si="43"/>
        <v>086-901</v>
      </c>
      <c r="K450" s="187">
        <v>86</v>
      </c>
      <c r="L450" s="187">
        <v>901</v>
      </c>
      <c r="M450" s="187" t="str">
        <f t="shared" si="40"/>
        <v>086</v>
      </c>
      <c r="N450" s="187">
        <f t="shared" si="41"/>
        <v>901</v>
      </c>
      <c r="O450" s="187" t="str">
        <f t="shared" si="42"/>
        <v>086-901</v>
      </c>
      <c r="Q450" s="679" t="s">
        <v>6220</v>
      </c>
    </row>
    <row r="451" spans="1:17">
      <c r="A451" s="788" t="s">
        <v>3230</v>
      </c>
      <c r="B451" s="187" t="s">
        <v>2932</v>
      </c>
      <c r="C451" s="215">
        <v>0</v>
      </c>
      <c r="D451" s="215">
        <v>2583504</v>
      </c>
      <c r="F451" s="215">
        <f t="shared" si="38"/>
        <v>2583504</v>
      </c>
      <c r="G451" s="215">
        <f t="shared" si="39"/>
        <v>2583504</v>
      </c>
      <c r="H451" s="680" t="s">
        <v>6153</v>
      </c>
      <c r="I451" s="681" t="s">
        <v>3508</v>
      </c>
      <c r="J451" s="187" t="str">
        <f t="shared" si="43"/>
        <v>086-902</v>
      </c>
      <c r="K451" s="187">
        <v>86</v>
      </c>
      <c r="L451" s="187">
        <v>902</v>
      </c>
      <c r="M451" s="187" t="str">
        <f t="shared" si="40"/>
        <v>086</v>
      </c>
      <c r="N451" s="187">
        <f t="shared" si="41"/>
        <v>902</v>
      </c>
      <c r="O451" s="187" t="str">
        <f t="shared" si="42"/>
        <v>086-902</v>
      </c>
      <c r="Q451" s="679" t="s">
        <v>6221</v>
      </c>
    </row>
    <row r="452" spans="1:17">
      <c r="A452" s="788" t="s">
        <v>3232</v>
      </c>
      <c r="B452" s="187" t="s">
        <v>3788</v>
      </c>
      <c r="C452" s="215">
        <v>0</v>
      </c>
      <c r="D452" s="215">
        <v>6168463</v>
      </c>
      <c r="F452" s="215">
        <f t="shared" ref="F452:F515" si="44">D452+E452</f>
        <v>6168463</v>
      </c>
      <c r="G452" s="215">
        <f t="shared" ref="G452:G515" si="45">F452+C452</f>
        <v>6168463</v>
      </c>
      <c r="H452" s="680" t="s">
        <v>6153</v>
      </c>
      <c r="I452" s="681" t="s">
        <v>3508</v>
      </c>
      <c r="J452" s="187" t="str">
        <f t="shared" si="43"/>
        <v>087-901</v>
      </c>
      <c r="K452" s="187">
        <v>87</v>
      </c>
      <c r="L452" s="187">
        <v>901</v>
      </c>
      <c r="M452" s="187" t="str">
        <f t="shared" ref="M452:M515" si="46">+I452&amp;K452</f>
        <v>087</v>
      </c>
      <c r="N452" s="187">
        <f t="shared" ref="N452:N515" si="47">+L452</f>
        <v>901</v>
      </c>
      <c r="O452" s="187" t="str">
        <f t="shared" ref="O452:O515" si="48">+M452&amp;"-"&amp;N452</f>
        <v>087-901</v>
      </c>
      <c r="Q452" s="679" t="s">
        <v>6222</v>
      </c>
    </row>
    <row r="453" spans="1:17">
      <c r="A453" s="788" t="s">
        <v>1899</v>
      </c>
      <c r="B453" s="187" t="s">
        <v>3789</v>
      </c>
      <c r="C453" s="215">
        <v>366008</v>
      </c>
      <c r="D453" s="215">
        <v>8840216</v>
      </c>
      <c r="F453" s="215">
        <f t="shared" si="44"/>
        <v>8840216</v>
      </c>
      <c r="G453" s="215">
        <f t="shared" si="45"/>
        <v>9206224</v>
      </c>
      <c r="H453" s="680" t="s">
        <v>6153</v>
      </c>
      <c r="I453" s="681" t="s">
        <v>3508</v>
      </c>
      <c r="J453" s="187" t="str">
        <f t="shared" si="43"/>
        <v>088-902</v>
      </c>
      <c r="K453" s="187">
        <v>88</v>
      </c>
      <c r="L453" s="187">
        <v>902</v>
      </c>
      <c r="M453" s="187" t="str">
        <f t="shared" si="46"/>
        <v>088</v>
      </c>
      <c r="N453" s="187">
        <f t="shared" si="47"/>
        <v>902</v>
      </c>
      <c r="O453" s="187" t="str">
        <f t="shared" si="48"/>
        <v>088-902</v>
      </c>
      <c r="Q453" s="679" t="s">
        <v>6223</v>
      </c>
    </row>
    <row r="454" spans="1:17">
      <c r="A454" s="788" t="s">
        <v>1853</v>
      </c>
      <c r="B454" s="187" t="s">
        <v>4964</v>
      </c>
      <c r="C454" s="215">
        <v>246625</v>
      </c>
      <c r="D454" s="215">
        <v>5127339</v>
      </c>
      <c r="F454" s="215">
        <f t="shared" si="44"/>
        <v>5127339</v>
      </c>
      <c r="G454" s="215">
        <f t="shared" si="45"/>
        <v>5373964</v>
      </c>
      <c r="H454" s="680" t="s">
        <v>6153</v>
      </c>
      <c r="I454" s="681" t="s">
        <v>3508</v>
      </c>
      <c r="J454" s="187" t="str">
        <f t="shared" si="43"/>
        <v>089-901</v>
      </c>
      <c r="K454" s="187">
        <v>89</v>
      </c>
      <c r="L454" s="187">
        <v>901</v>
      </c>
      <c r="M454" s="187" t="str">
        <f t="shared" si="46"/>
        <v>089</v>
      </c>
      <c r="N454" s="187">
        <f t="shared" si="47"/>
        <v>901</v>
      </c>
      <c r="O454" s="187" t="str">
        <f t="shared" si="48"/>
        <v>089-901</v>
      </c>
      <c r="Q454" s="679" t="s">
        <v>6224</v>
      </c>
    </row>
    <row r="455" spans="1:17">
      <c r="A455" s="788" t="s">
        <v>1901</v>
      </c>
      <c r="B455" s="187" t="s">
        <v>3790</v>
      </c>
      <c r="C455" s="215">
        <v>35340</v>
      </c>
      <c r="D455" s="215">
        <v>1443999</v>
      </c>
      <c r="F455" s="215">
        <f t="shared" si="44"/>
        <v>1443999</v>
      </c>
      <c r="G455" s="215">
        <f t="shared" si="45"/>
        <v>1479339</v>
      </c>
      <c r="H455" s="680" t="s">
        <v>6153</v>
      </c>
      <c r="I455" s="681" t="s">
        <v>3508</v>
      </c>
      <c r="J455" s="187" t="str">
        <f t="shared" si="43"/>
        <v>089-903</v>
      </c>
      <c r="K455" s="187">
        <v>89</v>
      </c>
      <c r="L455" s="187">
        <v>903</v>
      </c>
      <c r="M455" s="187" t="str">
        <f t="shared" si="46"/>
        <v>089</v>
      </c>
      <c r="N455" s="187">
        <f t="shared" si="47"/>
        <v>903</v>
      </c>
      <c r="O455" s="187" t="str">
        <f t="shared" si="48"/>
        <v>089-903</v>
      </c>
      <c r="Q455" s="679" t="s">
        <v>6225</v>
      </c>
    </row>
    <row r="456" spans="1:17">
      <c r="A456" s="788" t="s">
        <v>1903</v>
      </c>
      <c r="B456" s="187" t="s">
        <v>3791</v>
      </c>
      <c r="C456" s="215">
        <v>0</v>
      </c>
      <c r="D456" s="215">
        <v>1239923</v>
      </c>
      <c r="F456" s="215">
        <f t="shared" si="44"/>
        <v>1239923</v>
      </c>
      <c r="G456" s="215">
        <f t="shared" si="45"/>
        <v>1239923</v>
      </c>
      <c r="H456" s="680" t="s">
        <v>6153</v>
      </c>
      <c r="I456" s="681" t="s">
        <v>3508</v>
      </c>
      <c r="J456" s="187" t="str">
        <f t="shared" si="43"/>
        <v>089-905</v>
      </c>
      <c r="K456" s="187">
        <v>89</v>
      </c>
      <c r="L456" s="187">
        <v>905</v>
      </c>
      <c r="M456" s="187" t="str">
        <f t="shared" si="46"/>
        <v>089</v>
      </c>
      <c r="N456" s="187">
        <f t="shared" si="47"/>
        <v>905</v>
      </c>
      <c r="O456" s="187" t="str">
        <f t="shared" si="48"/>
        <v>089-905</v>
      </c>
      <c r="Q456" s="679" t="s">
        <v>6226</v>
      </c>
    </row>
    <row r="457" spans="1:17">
      <c r="A457" s="788" t="s">
        <v>52</v>
      </c>
      <c r="B457" s="187" t="s">
        <v>5666</v>
      </c>
      <c r="C457" s="215">
        <v>77085</v>
      </c>
      <c r="D457" s="215">
        <v>1115943</v>
      </c>
      <c r="F457" s="215">
        <f t="shared" si="44"/>
        <v>1115943</v>
      </c>
      <c r="G457" s="215">
        <f t="shared" si="45"/>
        <v>1193028</v>
      </c>
      <c r="H457" s="680" t="s">
        <v>6153</v>
      </c>
      <c r="I457" s="681" t="s">
        <v>3508</v>
      </c>
      <c r="J457" s="187" t="str">
        <f t="shared" si="43"/>
        <v>090-902</v>
      </c>
      <c r="K457" s="187">
        <v>90</v>
      </c>
      <c r="L457" s="187">
        <v>902</v>
      </c>
      <c r="M457" s="187" t="str">
        <f t="shared" si="46"/>
        <v>090</v>
      </c>
      <c r="N457" s="187">
        <f t="shared" si="47"/>
        <v>902</v>
      </c>
      <c r="O457" s="187" t="str">
        <f t="shared" si="48"/>
        <v>090-902</v>
      </c>
      <c r="Q457" s="679" t="s">
        <v>6227</v>
      </c>
    </row>
    <row r="458" spans="1:17">
      <c r="A458" s="788" t="s">
        <v>54</v>
      </c>
      <c r="B458" s="187" t="s">
        <v>5667</v>
      </c>
      <c r="C458" s="215">
        <v>0</v>
      </c>
      <c r="D458" s="215">
        <v>1617291</v>
      </c>
      <c r="F458" s="215">
        <f t="shared" si="44"/>
        <v>1617291</v>
      </c>
      <c r="G458" s="215">
        <f t="shared" si="45"/>
        <v>1617291</v>
      </c>
      <c r="H458" s="680" t="s">
        <v>6153</v>
      </c>
      <c r="I458" s="681" t="s">
        <v>3508</v>
      </c>
      <c r="J458" s="187" t="str">
        <f t="shared" si="43"/>
        <v>090-903</v>
      </c>
      <c r="K458" s="187">
        <v>90</v>
      </c>
      <c r="L458" s="187">
        <v>903</v>
      </c>
      <c r="M458" s="187" t="str">
        <f t="shared" si="46"/>
        <v>090</v>
      </c>
      <c r="N458" s="187">
        <f t="shared" si="47"/>
        <v>903</v>
      </c>
      <c r="O458" s="187" t="str">
        <f t="shared" si="48"/>
        <v>090-903</v>
      </c>
      <c r="Q458" s="679" t="s">
        <v>6228</v>
      </c>
    </row>
    <row r="459" spans="1:17">
      <c r="A459" s="788" t="s">
        <v>6191</v>
      </c>
      <c r="B459" s="187" t="s">
        <v>3629</v>
      </c>
      <c r="C459" s="215">
        <v>426330</v>
      </c>
      <c r="D459" s="215">
        <v>11435031</v>
      </c>
      <c r="F459" s="215">
        <f t="shared" si="44"/>
        <v>11435031</v>
      </c>
      <c r="G459" s="215">
        <f t="shared" si="45"/>
        <v>11861361</v>
      </c>
      <c r="H459" s="680" t="s">
        <v>6153</v>
      </c>
      <c r="I459" s="681" t="s">
        <v>3508</v>
      </c>
      <c r="J459" s="187" t="str">
        <f t="shared" si="43"/>
        <v>090-904</v>
      </c>
      <c r="K459" s="187">
        <v>90</v>
      </c>
      <c r="L459" s="187">
        <v>904</v>
      </c>
      <c r="M459" s="187" t="str">
        <f t="shared" si="46"/>
        <v>090</v>
      </c>
      <c r="N459" s="187">
        <f t="shared" si="47"/>
        <v>904</v>
      </c>
      <c r="O459" s="187" t="str">
        <f t="shared" si="48"/>
        <v>090-904</v>
      </c>
      <c r="Q459" s="679" t="s">
        <v>6229</v>
      </c>
    </row>
    <row r="460" spans="1:17">
      <c r="A460" s="788" t="s">
        <v>732</v>
      </c>
      <c r="B460" s="187" t="s">
        <v>5668</v>
      </c>
      <c r="C460" s="215">
        <v>411084</v>
      </c>
      <c r="D460" s="215">
        <v>836340</v>
      </c>
      <c r="F460" s="215">
        <f t="shared" si="44"/>
        <v>836340</v>
      </c>
      <c r="G460" s="215">
        <f t="shared" si="45"/>
        <v>1247424</v>
      </c>
      <c r="H460" s="680" t="s">
        <v>6153</v>
      </c>
      <c r="I460" s="681" t="s">
        <v>3508</v>
      </c>
      <c r="J460" s="187" t="str">
        <f t="shared" si="43"/>
        <v>090-905</v>
      </c>
      <c r="K460" s="187">
        <v>90</v>
      </c>
      <c r="L460" s="187">
        <v>905</v>
      </c>
      <c r="M460" s="187" t="str">
        <f t="shared" si="46"/>
        <v>090</v>
      </c>
      <c r="N460" s="187">
        <f t="shared" si="47"/>
        <v>905</v>
      </c>
      <c r="O460" s="187" t="str">
        <f t="shared" si="48"/>
        <v>090-905</v>
      </c>
      <c r="Q460" s="679" t="s">
        <v>6230</v>
      </c>
    </row>
    <row r="461" spans="1:17">
      <c r="A461" s="788" t="s">
        <v>949</v>
      </c>
      <c r="B461" s="187" t="s">
        <v>7653</v>
      </c>
      <c r="C461" s="215">
        <v>116892</v>
      </c>
      <c r="D461" s="215">
        <v>1286436</v>
      </c>
      <c r="F461" s="215">
        <f t="shared" si="44"/>
        <v>1286436</v>
      </c>
      <c r="G461" s="215">
        <f t="shared" si="45"/>
        <v>1403328</v>
      </c>
      <c r="H461" s="680" t="s">
        <v>6153</v>
      </c>
      <c r="I461" s="681" t="s">
        <v>3508</v>
      </c>
      <c r="J461" s="187" t="str">
        <f t="shared" si="43"/>
        <v>091-901</v>
      </c>
      <c r="K461" s="187">
        <v>91</v>
      </c>
      <c r="L461" s="187">
        <v>901</v>
      </c>
      <c r="M461" s="187" t="str">
        <f t="shared" si="46"/>
        <v>091</v>
      </c>
      <c r="N461" s="187">
        <f t="shared" si="47"/>
        <v>901</v>
      </c>
      <c r="O461" s="187" t="str">
        <f t="shared" si="48"/>
        <v>091-901</v>
      </c>
      <c r="Q461" s="679" t="s">
        <v>6231</v>
      </c>
    </row>
    <row r="462" spans="1:17">
      <c r="A462" s="788" t="s">
        <v>3980</v>
      </c>
      <c r="B462" s="187" t="s">
        <v>5669</v>
      </c>
      <c r="C462" s="215">
        <v>59205</v>
      </c>
      <c r="D462" s="215">
        <v>1114413</v>
      </c>
      <c r="F462" s="215">
        <f t="shared" si="44"/>
        <v>1114413</v>
      </c>
      <c r="G462" s="215">
        <f t="shared" si="45"/>
        <v>1173618</v>
      </c>
      <c r="H462" s="680" t="s">
        <v>6153</v>
      </c>
      <c r="I462" s="681" t="s">
        <v>3508</v>
      </c>
      <c r="J462" s="187" t="str">
        <f t="shared" si="43"/>
        <v>091-902</v>
      </c>
      <c r="K462" s="187">
        <v>91</v>
      </c>
      <c r="L462" s="187">
        <v>902</v>
      </c>
      <c r="M462" s="187" t="str">
        <f t="shared" si="46"/>
        <v>091</v>
      </c>
      <c r="N462" s="187">
        <f t="shared" si="47"/>
        <v>902</v>
      </c>
      <c r="O462" s="187" t="str">
        <f t="shared" si="48"/>
        <v>091-902</v>
      </c>
      <c r="Q462" s="679" t="s">
        <v>6232</v>
      </c>
    </row>
    <row r="463" spans="1:17">
      <c r="A463" s="788" t="s">
        <v>3982</v>
      </c>
      <c r="B463" s="187" t="s">
        <v>5670</v>
      </c>
      <c r="C463" s="215">
        <v>949692</v>
      </c>
      <c r="D463" s="215">
        <v>13187689</v>
      </c>
      <c r="F463" s="215">
        <f t="shared" si="44"/>
        <v>13187689</v>
      </c>
      <c r="G463" s="215">
        <f t="shared" si="45"/>
        <v>14137381</v>
      </c>
      <c r="H463" s="680" t="s">
        <v>6153</v>
      </c>
      <c r="I463" s="681" t="s">
        <v>3508</v>
      </c>
      <c r="J463" s="187" t="str">
        <f t="shared" si="43"/>
        <v>091-903</v>
      </c>
      <c r="K463" s="187">
        <v>91</v>
      </c>
      <c r="L463" s="187">
        <v>903</v>
      </c>
      <c r="M463" s="187" t="str">
        <f t="shared" si="46"/>
        <v>091</v>
      </c>
      <c r="N463" s="187">
        <f t="shared" si="47"/>
        <v>903</v>
      </c>
      <c r="O463" s="187" t="str">
        <f t="shared" si="48"/>
        <v>091-903</v>
      </c>
      <c r="Q463" s="679" t="s">
        <v>6233</v>
      </c>
    </row>
    <row r="464" spans="1:17">
      <c r="A464" s="788" t="s">
        <v>1871</v>
      </c>
      <c r="B464" s="187" t="s">
        <v>3851</v>
      </c>
      <c r="C464" s="215">
        <v>363417</v>
      </c>
      <c r="D464" s="215">
        <v>1995322</v>
      </c>
      <c r="F464" s="215">
        <f t="shared" si="44"/>
        <v>1995322</v>
      </c>
      <c r="G464" s="215">
        <f t="shared" si="45"/>
        <v>2358739</v>
      </c>
      <c r="H464" s="680" t="s">
        <v>6153</v>
      </c>
      <c r="I464" s="681" t="s">
        <v>3508</v>
      </c>
      <c r="J464" s="187" t="str">
        <f t="shared" si="43"/>
        <v>091-905</v>
      </c>
      <c r="K464" s="187">
        <v>91</v>
      </c>
      <c r="L464" s="187">
        <v>905</v>
      </c>
      <c r="M464" s="187" t="str">
        <f t="shared" si="46"/>
        <v>091</v>
      </c>
      <c r="N464" s="187">
        <f t="shared" si="47"/>
        <v>905</v>
      </c>
      <c r="O464" s="187" t="str">
        <f t="shared" si="48"/>
        <v>091-905</v>
      </c>
      <c r="Q464" s="679" t="s">
        <v>6234</v>
      </c>
    </row>
    <row r="465" spans="1:17">
      <c r="A465" s="788" t="s">
        <v>3116</v>
      </c>
      <c r="B465" s="187" t="s">
        <v>5242</v>
      </c>
      <c r="C465" s="215">
        <v>2907971</v>
      </c>
      <c r="D465" s="215">
        <v>24164516</v>
      </c>
      <c r="F465" s="215">
        <f t="shared" si="44"/>
        <v>24164516</v>
      </c>
      <c r="G465" s="215">
        <f t="shared" si="45"/>
        <v>27072487</v>
      </c>
      <c r="H465" s="680" t="s">
        <v>6153</v>
      </c>
      <c r="I465" s="681" t="s">
        <v>3508</v>
      </c>
      <c r="J465" s="187" t="str">
        <f t="shared" si="43"/>
        <v>091-906</v>
      </c>
      <c r="K465" s="187">
        <v>91</v>
      </c>
      <c r="L465" s="187">
        <v>906</v>
      </c>
      <c r="M465" s="187" t="str">
        <f t="shared" si="46"/>
        <v>091</v>
      </c>
      <c r="N465" s="187">
        <f t="shared" si="47"/>
        <v>906</v>
      </c>
      <c r="O465" s="187" t="str">
        <f t="shared" si="48"/>
        <v>091-906</v>
      </c>
      <c r="Q465" s="679" t="s">
        <v>6235</v>
      </c>
    </row>
    <row r="466" spans="1:17">
      <c r="A466" s="788" t="s">
        <v>3118</v>
      </c>
      <c r="B466" s="187" t="s">
        <v>5243</v>
      </c>
      <c r="C466" s="215">
        <v>0</v>
      </c>
      <c r="D466" s="215">
        <v>700407</v>
      </c>
      <c r="F466" s="215">
        <f t="shared" si="44"/>
        <v>700407</v>
      </c>
      <c r="G466" s="215">
        <f t="shared" si="45"/>
        <v>700407</v>
      </c>
      <c r="H466" s="680" t="s">
        <v>6153</v>
      </c>
      <c r="I466" s="681" t="s">
        <v>3508</v>
      </c>
      <c r="J466" s="187" t="str">
        <f t="shared" si="43"/>
        <v>091-907</v>
      </c>
      <c r="K466" s="187">
        <v>91</v>
      </c>
      <c r="L466" s="187">
        <v>907</v>
      </c>
      <c r="M466" s="187" t="str">
        <f t="shared" si="46"/>
        <v>091</v>
      </c>
      <c r="N466" s="187">
        <f t="shared" si="47"/>
        <v>907</v>
      </c>
      <c r="O466" s="187" t="str">
        <f t="shared" si="48"/>
        <v>091-907</v>
      </c>
      <c r="Q466" s="679" t="s">
        <v>6236</v>
      </c>
    </row>
    <row r="467" spans="1:17">
      <c r="A467" s="788" t="s">
        <v>2836</v>
      </c>
      <c r="B467" s="187" t="s">
        <v>5373</v>
      </c>
      <c r="C467" s="215">
        <v>695628</v>
      </c>
      <c r="D467" s="215">
        <v>3998379</v>
      </c>
      <c r="F467" s="215">
        <f t="shared" si="44"/>
        <v>3998379</v>
      </c>
      <c r="G467" s="215">
        <f t="shared" si="45"/>
        <v>4694007</v>
      </c>
      <c r="H467" s="680" t="s">
        <v>6153</v>
      </c>
      <c r="I467" s="681" t="s">
        <v>3508</v>
      </c>
      <c r="J467" s="187" t="str">
        <f t="shared" si="43"/>
        <v>091-908</v>
      </c>
      <c r="K467" s="187">
        <v>91</v>
      </c>
      <c r="L467" s="187">
        <v>908</v>
      </c>
      <c r="M467" s="187" t="str">
        <f t="shared" si="46"/>
        <v>091</v>
      </c>
      <c r="N467" s="187">
        <f t="shared" si="47"/>
        <v>908</v>
      </c>
      <c r="O467" s="187" t="str">
        <f t="shared" si="48"/>
        <v>091-908</v>
      </c>
      <c r="Q467" s="679" t="s">
        <v>6237</v>
      </c>
    </row>
    <row r="468" spans="1:17">
      <c r="A468" s="788" t="s">
        <v>2838</v>
      </c>
      <c r="B468" s="187" t="s">
        <v>4071</v>
      </c>
      <c r="C468" s="215">
        <v>598024</v>
      </c>
      <c r="D468" s="215">
        <v>3917798</v>
      </c>
      <c r="F468" s="215">
        <f t="shared" si="44"/>
        <v>3917798</v>
      </c>
      <c r="G468" s="215">
        <f t="shared" si="45"/>
        <v>4515822</v>
      </c>
      <c r="H468" s="680" t="s">
        <v>6153</v>
      </c>
      <c r="I468" s="681" t="s">
        <v>3508</v>
      </c>
      <c r="J468" s="187" t="str">
        <f t="shared" si="43"/>
        <v>091-909</v>
      </c>
      <c r="K468" s="187">
        <v>91</v>
      </c>
      <c r="L468" s="187">
        <v>909</v>
      </c>
      <c r="M468" s="187" t="str">
        <f t="shared" si="46"/>
        <v>091</v>
      </c>
      <c r="N468" s="187">
        <f t="shared" si="47"/>
        <v>909</v>
      </c>
      <c r="O468" s="187" t="str">
        <f t="shared" si="48"/>
        <v>091-909</v>
      </c>
      <c r="Q468" s="679" t="s">
        <v>6238</v>
      </c>
    </row>
    <row r="469" spans="1:17">
      <c r="A469" s="788" t="s">
        <v>5220</v>
      </c>
      <c r="B469" s="187" t="s">
        <v>5244</v>
      </c>
      <c r="C469" s="215">
        <v>244462</v>
      </c>
      <c r="D469" s="215">
        <v>1558119</v>
      </c>
      <c r="F469" s="215">
        <f t="shared" si="44"/>
        <v>1558119</v>
      </c>
      <c r="G469" s="215">
        <f t="shared" si="45"/>
        <v>1802581</v>
      </c>
      <c r="H469" s="680" t="s">
        <v>6153</v>
      </c>
      <c r="I469" s="681" t="s">
        <v>3508</v>
      </c>
      <c r="J469" s="187" t="str">
        <f t="shared" si="43"/>
        <v>091-910</v>
      </c>
      <c r="K469" s="187">
        <v>91</v>
      </c>
      <c r="L469" s="187">
        <v>910</v>
      </c>
      <c r="M469" s="187" t="str">
        <f t="shared" si="46"/>
        <v>091</v>
      </c>
      <c r="N469" s="187">
        <f t="shared" si="47"/>
        <v>910</v>
      </c>
      <c r="O469" s="187" t="str">
        <f t="shared" si="48"/>
        <v>091-910</v>
      </c>
      <c r="Q469" s="679" t="s">
        <v>6239</v>
      </c>
    </row>
    <row r="470" spans="1:17">
      <c r="A470" s="788" t="s">
        <v>5129</v>
      </c>
      <c r="B470" s="187" t="s">
        <v>347</v>
      </c>
      <c r="C470" s="215">
        <v>1103577</v>
      </c>
      <c r="D470" s="215">
        <v>6363959</v>
      </c>
      <c r="F470" s="215">
        <f t="shared" si="44"/>
        <v>6363959</v>
      </c>
      <c r="G470" s="215">
        <f t="shared" si="45"/>
        <v>7467536</v>
      </c>
      <c r="H470" s="680" t="s">
        <v>6153</v>
      </c>
      <c r="I470" s="681" t="s">
        <v>3508</v>
      </c>
      <c r="J470" s="187" t="str">
        <f t="shared" si="43"/>
        <v>091-913</v>
      </c>
      <c r="K470" s="187">
        <v>91</v>
      </c>
      <c r="L470" s="187">
        <v>913</v>
      </c>
      <c r="M470" s="187" t="str">
        <f t="shared" si="46"/>
        <v>091</v>
      </c>
      <c r="N470" s="187">
        <f t="shared" si="47"/>
        <v>913</v>
      </c>
      <c r="O470" s="187" t="str">
        <f t="shared" si="48"/>
        <v>091-913</v>
      </c>
      <c r="Q470" s="679" t="s">
        <v>6302</v>
      </c>
    </row>
    <row r="471" spans="1:17">
      <c r="A471" s="788" t="s">
        <v>5222</v>
      </c>
      <c r="B471" s="187" t="s">
        <v>3192</v>
      </c>
      <c r="C471" s="215">
        <v>380842</v>
      </c>
      <c r="D471" s="215">
        <v>3120147</v>
      </c>
      <c r="F471" s="215">
        <f t="shared" si="44"/>
        <v>3120147</v>
      </c>
      <c r="G471" s="215">
        <f t="shared" si="45"/>
        <v>3500989</v>
      </c>
      <c r="H471" s="680" t="s">
        <v>6153</v>
      </c>
      <c r="I471" s="681" t="s">
        <v>3508</v>
      </c>
      <c r="J471" s="187" t="str">
        <f t="shared" si="43"/>
        <v>091-914</v>
      </c>
      <c r="K471" s="187">
        <v>91</v>
      </c>
      <c r="L471" s="187">
        <v>914</v>
      </c>
      <c r="M471" s="187" t="str">
        <f t="shared" si="46"/>
        <v>091</v>
      </c>
      <c r="N471" s="187">
        <f t="shared" si="47"/>
        <v>914</v>
      </c>
      <c r="O471" s="187" t="str">
        <f t="shared" si="48"/>
        <v>091-914</v>
      </c>
      <c r="Q471" s="679" t="s">
        <v>6303</v>
      </c>
    </row>
    <row r="472" spans="1:17">
      <c r="A472" s="788" t="s">
        <v>1858</v>
      </c>
      <c r="B472" s="187" t="s">
        <v>3914</v>
      </c>
      <c r="C472" s="215">
        <v>121182</v>
      </c>
      <c r="D472" s="215">
        <v>1702901</v>
      </c>
      <c r="F472" s="215">
        <f t="shared" si="44"/>
        <v>1702901</v>
      </c>
      <c r="G472" s="215">
        <f t="shared" si="45"/>
        <v>1824083</v>
      </c>
      <c r="H472" s="680" t="s">
        <v>6153</v>
      </c>
      <c r="I472" s="681" t="s">
        <v>3508</v>
      </c>
      <c r="J472" s="187" t="str">
        <f t="shared" si="43"/>
        <v>091-917</v>
      </c>
      <c r="K472" s="187">
        <v>91</v>
      </c>
      <c r="L472" s="187">
        <v>917</v>
      </c>
      <c r="M472" s="187" t="str">
        <f t="shared" si="46"/>
        <v>091</v>
      </c>
      <c r="N472" s="187">
        <f t="shared" si="47"/>
        <v>917</v>
      </c>
      <c r="O472" s="187" t="str">
        <f t="shared" si="48"/>
        <v>091-917</v>
      </c>
      <c r="Q472" s="679" t="s">
        <v>6304</v>
      </c>
    </row>
    <row r="473" spans="1:17">
      <c r="A473" s="788" t="s">
        <v>5224</v>
      </c>
      <c r="B473" s="187" t="s">
        <v>7160</v>
      </c>
      <c r="C473" s="215">
        <v>115789</v>
      </c>
      <c r="D473" s="215">
        <v>1488059</v>
      </c>
      <c r="F473" s="215">
        <f t="shared" si="44"/>
        <v>1488059</v>
      </c>
      <c r="G473" s="215">
        <f t="shared" si="45"/>
        <v>1603848</v>
      </c>
      <c r="H473" s="680" t="s">
        <v>6153</v>
      </c>
      <c r="I473" s="681" t="s">
        <v>3508</v>
      </c>
      <c r="J473" s="187" t="str">
        <f t="shared" si="43"/>
        <v>091-918</v>
      </c>
      <c r="K473" s="187">
        <v>91</v>
      </c>
      <c r="L473" s="187">
        <v>918</v>
      </c>
      <c r="M473" s="187" t="str">
        <f t="shared" si="46"/>
        <v>091</v>
      </c>
      <c r="N473" s="187">
        <f t="shared" si="47"/>
        <v>918</v>
      </c>
      <c r="O473" s="187" t="str">
        <f t="shared" si="48"/>
        <v>091-918</v>
      </c>
      <c r="Q473" s="679" t="s">
        <v>6305</v>
      </c>
    </row>
    <row r="474" spans="1:17">
      <c r="A474" s="788" t="s">
        <v>5226</v>
      </c>
      <c r="B474" s="187" t="s">
        <v>3306</v>
      </c>
      <c r="C474" s="215">
        <v>0</v>
      </c>
      <c r="D474" s="215">
        <v>0</v>
      </c>
      <c r="F474" s="215">
        <f t="shared" si="44"/>
        <v>0</v>
      </c>
      <c r="G474" s="215">
        <f t="shared" si="45"/>
        <v>0</v>
      </c>
      <c r="H474" s="680" t="s">
        <v>6153</v>
      </c>
      <c r="I474" s="681" t="s">
        <v>3508</v>
      </c>
      <c r="J474" s="187" t="str">
        <f t="shared" si="43"/>
        <v>092-801</v>
      </c>
      <c r="K474" s="187">
        <v>92</v>
      </c>
      <c r="L474" s="187">
        <v>801</v>
      </c>
      <c r="M474" s="187" t="str">
        <f t="shared" si="46"/>
        <v>092</v>
      </c>
      <c r="N474" s="187">
        <f t="shared" si="47"/>
        <v>801</v>
      </c>
      <c r="O474" s="187" t="str">
        <f t="shared" si="48"/>
        <v>092-801</v>
      </c>
      <c r="Q474" s="679" t="s">
        <v>6306</v>
      </c>
    </row>
    <row r="475" spans="1:17">
      <c r="A475" s="788" t="s">
        <v>5228</v>
      </c>
      <c r="B475" s="187" t="s">
        <v>7161</v>
      </c>
      <c r="C475" s="215">
        <v>245698</v>
      </c>
      <c r="D475" s="215">
        <v>5405525</v>
      </c>
      <c r="F475" s="215">
        <f t="shared" si="44"/>
        <v>5405525</v>
      </c>
      <c r="G475" s="215">
        <f t="shared" si="45"/>
        <v>5651223</v>
      </c>
      <c r="H475" s="680" t="s">
        <v>6153</v>
      </c>
      <c r="I475" s="681" t="s">
        <v>3508</v>
      </c>
      <c r="J475" s="187" t="str">
        <f t="shared" si="43"/>
        <v>092-901</v>
      </c>
      <c r="K475" s="187">
        <v>92</v>
      </c>
      <c r="L475" s="187">
        <v>901</v>
      </c>
      <c r="M475" s="187" t="str">
        <f t="shared" si="46"/>
        <v>092</v>
      </c>
      <c r="N475" s="187">
        <f t="shared" si="47"/>
        <v>901</v>
      </c>
      <c r="O475" s="187" t="str">
        <f t="shared" si="48"/>
        <v>092-901</v>
      </c>
      <c r="Q475" s="679" t="s">
        <v>6307</v>
      </c>
    </row>
    <row r="476" spans="1:17">
      <c r="A476" s="788" t="s">
        <v>5230</v>
      </c>
      <c r="B476" s="187" t="s">
        <v>7162</v>
      </c>
      <c r="C476" s="215">
        <v>925125</v>
      </c>
      <c r="D476" s="215">
        <v>12306142</v>
      </c>
      <c r="F476" s="215">
        <f t="shared" si="44"/>
        <v>12306142</v>
      </c>
      <c r="G476" s="215">
        <f t="shared" si="45"/>
        <v>13231267</v>
      </c>
      <c r="H476" s="680" t="s">
        <v>6153</v>
      </c>
      <c r="I476" s="681" t="s">
        <v>3508</v>
      </c>
      <c r="J476" s="187" t="str">
        <f t="shared" si="43"/>
        <v>092-902</v>
      </c>
      <c r="K476" s="187">
        <v>92</v>
      </c>
      <c r="L476" s="187">
        <v>902</v>
      </c>
      <c r="M476" s="187" t="str">
        <f t="shared" si="46"/>
        <v>092</v>
      </c>
      <c r="N476" s="187">
        <f t="shared" si="47"/>
        <v>902</v>
      </c>
      <c r="O476" s="187" t="str">
        <f t="shared" si="48"/>
        <v>092-902</v>
      </c>
      <c r="Q476" s="679" t="s">
        <v>6308</v>
      </c>
    </row>
    <row r="477" spans="1:17">
      <c r="A477" s="788" t="s">
        <v>2994</v>
      </c>
      <c r="B477" s="187" t="s">
        <v>199</v>
      </c>
      <c r="C477" s="215">
        <v>2952587</v>
      </c>
      <c r="D477" s="215">
        <v>38568391</v>
      </c>
      <c r="F477" s="215">
        <f t="shared" si="44"/>
        <v>38568391</v>
      </c>
      <c r="G477" s="215">
        <f t="shared" si="45"/>
        <v>41520978</v>
      </c>
      <c r="H477" s="680" t="s">
        <v>6153</v>
      </c>
      <c r="I477" s="681" t="s">
        <v>3508</v>
      </c>
      <c r="J477" s="187" t="str">
        <f t="shared" si="43"/>
        <v>092-903</v>
      </c>
      <c r="K477" s="187">
        <v>92</v>
      </c>
      <c r="L477" s="187">
        <v>903</v>
      </c>
      <c r="M477" s="187" t="str">
        <f t="shared" si="46"/>
        <v>092</v>
      </c>
      <c r="N477" s="187">
        <f t="shared" si="47"/>
        <v>903</v>
      </c>
      <c r="O477" s="187" t="str">
        <f t="shared" si="48"/>
        <v>092-903</v>
      </c>
      <c r="Q477" s="679" t="s">
        <v>6309</v>
      </c>
    </row>
    <row r="478" spans="1:17">
      <c r="A478" s="788" t="s">
        <v>7723</v>
      </c>
      <c r="B478" s="187" t="s">
        <v>7163</v>
      </c>
      <c r="C478" s="215">
        <v>1522877</v>
      </c>
      <c r="D478" s="215">
        <v>17188231</v>
      </c>
      <c r="F478" s="215">
        <f t="shared" si="44"/>
        <v>17188231</v>
      </c>
      <c r="G478" s="215">
        <f t="shared" si="45"/>
        <v>18711108</v>
      </c>
      <c r="H478" s="680" t="s">
        <v>6153</v>
      </c>
      <c r="I478" s="681" t="s">
        <v>3508</v>
      </c>
      <c r="J478" s="187" t="str">
        <f t="shared" si="43"/>
        <v>092-904</v>
      </c>
      <c r="K478" s="187">
        <v>92</v>
      </c>
      <c r="L478" s="187">
        <v>904</v>
      </c>
      <c r="M478" s="187" t="str">
        <f t="shared" si="46"/>
        <v>092</v>
      </c>
      <c r="N478" s="187">
        <f t="shared" si="47"/>
        <v>904</v>
      </c>
      <c r="O478" s="187" t="str">
        <f t="shared" si="48"/>
        <v>092-904</v>
      </c>
      <c r="Q478" s="679" t="s">
        <v>6310</v>
      </c>
    </row>
    <row r="479" spans="1:17">
      <c r="A479" s="788" t="s">
        <v>221</v>
      </c>
      <c r="B479" s="187" t="s">
        <v>7164</v>
      </c>
      <c r="C479" s="215">
        <v>0</v>
      </c>
      <c r="D479" s="215">
        <v>2856126</v>
      </c>
      <c r="F479" s="215">
        <f t="shared" si="44"/>
        <v>2856126</v>
      </c>
      <c r="G479" s="215">
        <f t="shared" si="45"/>
        <v>2856126</v>
      </c>
      <c r="H479" s="680" t="s">
        <v>6153</v>
      </c>
      <c r="I479" s="681" t="s">
        <v>3508</v>
      </c>
      <c r="J479" s="187" t="str">
        <f t="shared" si="43"/>
        <v>092-906</v>
      </c>
      <c r="K479" s="187">
        <v>92</v>
      </c>
      <c r="L479" s="187">
        <v>906</v>
      </c>
      <c r="M479" s="187" t="str">
        <f t="shared" si="46"/>
        <v>092</v>
      </c>
      <c r="N479" s="187">
        <f t="shared" si="47"/>
        <v>906</v>
      </c>
      <c r="O479" s="187" t="str">
        <f t="shared" si="48"/>
        <v>092-906</v>
      </c>
      <c r="Q479" s="679" t="s">
        <v>6311</v>
      </c>
    </row>
    <row r="480" spans="1:17">
      <c r="A480" s="788" t="s">
        <v>2406</v>
      </c>
      <c r="B480" s="187" t="s">
        <v>2351</v>
      </c>
      <c r="C480" s="215">
        <v>362205</v>
      </c>
      <c r="D480" s="215">
        <v>3744328</v>
      </c>
      <c r="F480" s="215">
        <f t="shared" si="44"/>
        <v>3744328</v>
      </c>
      <c r="G480" s="215">
        <f t="shared" si="45"/>
        <v>4106533</v>
      </c>
      <c r="H480" s="680" t="s">
        <v>6153</v>
      </c>
      <c r="I480" s="681" t="s">
        <v>3508</v>
      </c>
      <c r="J480" s="187" t="str">
        <f t="shared" si="43"/>
        <v>092-907</v>
      </c>
      <c r="K480" s="187">
        <v>92</v>
      </c>
      <c r="L480" s="187">
        <v>907</v>
      </c>
      <c r="M480" s="187" t="str">
        <f t="shared" si="46"/>
        <v>092</v>
      </c>
      <c r="N480" s="187">
        <f t="shared" si="47"/>
        <v>907</v>
      </c>
      <c r="O480" s="187" t="str">
        <f t="shared" si="48"/>
        <v>092-907</v>
      </c>
      <c r="Q480" s="679" t="s">
        <v>6312</v>
      </c>
    </row>
    <row r="481" spans="1:17">
      <c r="A481" s="788" t="s">
        <v>223</v>
      </c>
      <c r="B481" s="187" t="s">
        <v>7165</v>
      </c>
      <c r="C481" s="215">
        <v>240575</v>
      </c>
      <c r="D481" s="215">
        <v>3183386</v>
      </c>
      <c r="F481" s="215">
        <f t="shared" si="44"/>
        <v>3183386</v>
      </c>
      <c r="G481" s="215">
        <f t="shared" si="45"/>
        <v>3423961</v>
      </c>
      <c r="H481" s="680" t="s">
        <v>6153</v>
      </c>
      <c r="I481" s="681" t="s">
        <v>3508</v>
      </c>
      <c r="J481" s="187" t="str">
        <f t="shared" si="43"/>
        <v>092-908</v>
      </c>
      <c r="K481" s="187">
        <v>92</v>
      </c>
      <c r="L481" s="187">
        <v>908</v>
      </c>
      <c r="M481" s="187" t="str">
        <f t="shared" si="46"/>
        <v>092</v>
      </c>
      <c r="N481" s="187">
        <f t="shared" si="47"/>
        <v>908</v>
      </c>
      <c r="O481" s="187" t="str">
        <f t="shared" si="48"/>
        <v>092-908</v>
      </c>
      <c r="Q481" s="679" t="s">
        <v>6313</v>
      </c>
    </row>
    <row r="482" spans="1:17">
      <c r="A482" s="788" t="s">
        <v>3307</v>
      </c>
      <c r="B482" s="187" t="s">
        <v>1020</v>
      </c>
      <c r="C482" s="215">
        <v>0</v>
      </c>
      <c r="D482" s="215">
        <v>0</v>
      </c>
      <c r="F482" s="215">
        <f t="shared" si="44"/>
        <v>0</v>
      </c>
      <c r="G482" s="215">
        <f t="shared" si="45"/>
        <v>0</v>
      </c>
      <c r="H482" s="680" t="s">
        <v>6153</v>
      </c>
      <c r="I482" s="681" t="s">
        <v>3508</v>
      </c>
      <c r="J482" s="187" t="str">
        <f t="shared" ref="J482:J545" si="49">+A482</f>
        <v>092-950</v>
      </c>
      <c r="K482" s="187">
        <v>92</v>
      </c>
      <c r="L482" s="187">
        <v>950</v>
      </c>
      <c r="M482" s="187" t="str">
        <f t="shared" si="46"/>
        <v>092</v>
      </c>
      <c r="N482" s="187">
        <f t="shared" si="47"/>
        <v>950</v>
      </c>
      <c r="O482" s="187" t="str">
        <f t="shared" si="48"/>
        <v>092-950</v>
      </c>
      <c r="Q482" s="679" t="s">
        <v>6314</v>
      </c>
    </row>
    <row r="483" spans="1:17">
      <c r="A483" s="788" t="s">
        <v>225</v>
      </c>
      <c r="B483" s="187" t="s">
        <v>7166</v>
      </c>
      <c r="C483" s="215">
        <v>350758</v>
      </c>
      <c r="D483" s="215">
        <v>5271905</v>
      </c>
      <c r="F483" s="215">
        <f t="shared" si="44"/>
        <v>5271905</v>
      </c>
      <c r="G483" s="215">
        <f t="shared" si="45"/>
        <v>5622663</v>
      </c>
      <c r="H483" s="680" t="s">
        <v>6153</v>
      </c>
      <c r="I483" s="681" t="s">
        <v>3508</v>
      </c>
      <c r="J483" s="187" t="str">
        <f t="shared" si="49"/>
        <v>093-901</v>
      </c>
      <c r="K483" s="187">
        <v>93</v>
      </c>
      <c r="L483" s="187">
        <v>901</v>
      </c>
      <c r="M483" s="187" t="str">
        <f t="shared" si="46"/>
        <v>093</v>
      </c>
      <c r="N483" s="187">
        <f t="shared" si="47"/>
        <v>901</v>
      </c>
      <c r="O483" s="187" t="str">
        <f t="shared" si="48"/>
        <v>093-901</v>
      </c>
      <c r="Q483" s="679" t="s">
        <v>6315</v>
      </c>
    </row>
    <row r="484" spans="1:17">
      <c r="A484" s="788" t="s">
        <v>227</v>
      </c>
      <c r="B484" s="187" t="s">
        <v>7167</v>
      </c>
      <c r="C484" s="215">
        <v>653</v>
      </c>
      <c r="D484" s="215">
        <v>1054894</v>
      </c>
      <c r="F484" s="215">
        <f t="shared" si="44"/>
        <v>1054894</v>
      </c>
      <c r="G484" s="215">
        <f t="shared" si="45"/>
        <v>1055547</v>
      </c>
      <c r="H484" s="680" t="s">
        <v>6153</v>
      </c>
      <c r="I484" s="681" t="s">
        <v>3508</v>
      </c>
      <c r="J484" s="187" t="str">
        <f t="shared" si="49"/>
        <v>093-903</v>
      </c>
      <c r="K484" s="187">
        <v>93</v>
      </c>
      <c r="L484" s="187">
        <v>903</v>
      </c>
      <c r="M484" s="187" t="str">
        <f t="shared" si="46"/>
        <v>093</v>
      </c>
      <c r="N484" s="187">
        <f t="shared" si="47"/>
        <v>903</v>
      </c>
      <c r="O484" s="187" t="str">
        <f t="shared" si="48"/>
        <v>093-903</v>
      </c>
      <c r="Q484" s="679" t="s">
        <v>6316</v>
      </c>
    </row>
    <row r="485" spans="1:17">
      <c r="A485" s="788" t="s">
        <v>229</v>
      </c>
      <c r="B485" s="187" t="s">
        <v>7168</v>
      </c>
      <c r="C485" s="215">
        <v>678389</v>
      </c>
      <c r="D485" s="215">
        <v>10144045</v>
      </c>
      <c r="F485" s="215">
        <f t="shared" si="44"/>
        <v>10144045</v>
      </c>
      <c r="G485" s="215">
        <f t="shared" si="45"/>
        <v>10822434</v>
      </c>
      <c r="H485" s="680" t="s">
        <v>6153</v>
      </c>
      <c r="I485" s="681" t="s">
        <v>3508</v>
      </c>
      <c r="J485" s="187" t="str">
        <f t="shared" si="49"/>
        <v>093-904</v>
      </c>
      <c r="K485" s="187">
        <v>93</v>
      </c>
      <c r="L485" s="187">
        <v>904</v>
      </c>
      <c r="M485" s="187" t="str">
        <f t="shared" si="46"/>
        <v>093</v>
      </c>
      <c r="N485" s="187">
        <f t="shared" si="47"/>
        <v>904</v>
      </c>
      <c r="O485" s="187" t="str">
        <f t="shared" si="48"/>
        <v>093-904</v>
      </c>
      <c r="Q485" s="679" t="s">
        <v>6317</v>
      </c>
    </row>
    <row r="486" spans="1:17">
      <c r="A486" s="788" t="s">
        <v>4039</v>
      </c>
      <c r="B486" s="187" t="s">
        <v>7169</v>
      </c>
      <c r="C486" s="215">
        <v>0</v>
      </c>
      <c r="D486" s="215">
        <v>1169841</v>
      </c>
      <c r="F486" s="215">
        <f t="shared" si="44"/>
        <v>1169841</v>
      </c>
      <c r="G486" s="215">
        <f t="shared" si="45"/>
        <v>1169841</v>
      </c>
      <c r="H486" s="680" t="s">
        <v>6153</v>
      </c>
      <c r="I486" s="681" t="s">
        <v>3508</v>
      </c>
      <c r="J486" s="187" t="str">
        <f t="shared" si="49"/>
        <v>093-905</v>
      </c>
      <c r="K486" s="187">
        <v>93</v>
      </c>
      <c r="L486" s="187">
        <v>905</v>
      </c>
      <c r="M486" s="187" t="str">
        <f t="shared" si="46"/>
        <v>093</v>
      </c>
      <c r="N486" s="187">
        <f t="shared" si="47"/>
        <v>905</v>
      </c>
      <c r="O486" s="187" t="str">
        <f t="shared" si="48"/>
        <v>093-905</v>
      </c>
      <c r="Q486" s="679" t="s">
        <v>6318</v>
      </c>
    </row>
    <row r="487" spans="1:17">
      <c r="A487" s="788" t="s">
        <v>2396</v>
      </c>
      <c r="B487" s="187" t="s">
        <v>1463</v>
      </c>
      <c r="C487" s="215">
        <v>3168099</v>
      </c>
      <c r="D487" s="215">
        <v>24533058</v>
      </c>
      <c r="F487" s="215">
        <f t="shared" si="44"/>
        <v>24533058</v>
      </c>
      <c r="G487" s="215">
        <f t="shared" si="45"/>
        <v>27701157</v>
      </c>
      <c r="H487" s="680" t="s">
        <v>6153</v>
      </c>
      <c r="I487" s="681" t="s">
        <v>3508</v>
      </c>
      <c r="J487" s="187" t="str">
        <f t="shared" si="49"/>
        <v>094-901</v>
      </c>
      <c r="K487" s="187">
        <v>94</v>
      </c>
      <c r="L487" s="187">
        <v>901</v>
      </c>
      <c r="M487" s="187" t="str">
        <f t="shared" si="46"/>
        <v>094</v>
      </c>
      <c r="N487" s="187">
        <f t="shared" si="47"/>
        <v>901</v>
      </c>
      <c r="O487" s="187" t="str">
        <f t="shared" si="48"/>
        <v>094-901</v>
      </c>
      <c r="Q487" s="679" t="s">
        <v>6319</v>
      </c>
    </row>
    <row r="488" spans="1:17">
      <c r="A488" s="788" t="s">
        <v>2394</v>
      </c>
      <c r="B488" s="187" t="s">
        <v>1461</v>
      </c>
      <c r="C488" s="215">
        <v>4027168</v>
      </c>
      <c r="D488" s="215">
        <v>25149909</v>
      </c>
      <c r="F488" s="215">
        <f t="shared" si="44"/>
        <v>25149909</v>
      </c>
      <c r="G488" s="215">
        <f t="shared" si="45"/>
        <v>29177077</v>
      </c>
      <c r="H488" s="680" t="s">
        <v>6153</v>
      </c>
      <c r="I488" s="681" t="s">
        <v>3508</v>
      </c>
      <c r="J488" s="187" t="str">
        <f t="shared" si="49"/>
        <v>094-902</v>
      </c>
      <c r="K488" s="187">
        <v>94</v>
      </c>
      <c r="L488" s="187">
        <v>902</v>
      </c>
      <c r="M488" s="187" t="str">
        <f t="shared" si="46"/>
        <v>094</v>
      </c>
      <c r="N488" s="187">
        <f t="shared" si="47"/>
        <v>902</v>
      </c>
      <c r="O488" s="187" t="str">
        <f t="shared" si="48"/>
        <v>094-902</v>
      </c>
      <c r="Q488" s="679" t="s">
        <v>6320</v>
      </c>
    </row>
    <row r="489" spans="1:17">
      <c r="A489" s="788" t="s">
        <v>4042</v>
      </c>
      <c r="B489" s="187" t="s">
        <v>7170</v>
      </c>
      <c r="C489" s="215">
        <v>1389605</v>
      </c>
      <c r="D489" s="215">
        <v>5933134</v>
      </c>
      <c r="F489" s="215">
        <f t="shared" si="44"/>
        <v>5933134</v>
      </c>
      <c r="G489" s="215">
        <f t="shared" si="45"/>
        <v>7322739</v>
      </c>
      <c r="H489" s="680" t="s">
        <v>6153</v>
      </c>
      <c r="I489" s="681" t="s">
        <v>3508</v>
      </c>
      <c r="J489" s="187" t="str">
        <f t="shared" si="49"/>
        <v>094-903</v>
      </c>
      <c r="K489" s="187">
        <v>94</v>
      </c>
      <c r="L489" s="187">
        <v>903</v>
      </c>
      <c r="M489" s="187" t="str">
        <f t="shared" si="46"/>
        <v>094</v>
      </c>
      <c r="N489" s="187">
        <f t="shared" si="47"/>
        <v>903</v>
      </c>
      <c r="O489" s="187" t="str">
        <f t="shared" si="48"/>
        <v>094-903</v>
      </c>
      <c r="Q489" s="679" t="s">
        <v>6321</v>
      </c>
    </row>
    <row r="490" spans="1:17">
      <c r="A490" s="788" t="s">
        <v>3004</v>
      </c>
      <c r="B490" s="187" t="s">
        <v>6065</v>
      </c>
      <c r="C490" s="215">
        <v>967307</v>
      </c>
      <c r="D490" s="215">
        <v>5243816</v>
      </c>
      <c r="E490" s="215">
        <v>147616</v>
      </c>
      <c r="F490" s="215">
        <f t="shared" si="44"/>
        <v>5391432</v>
      </c>
      <c r="G490" s="215">
        <f t="shared" si="45"/>
        <v>6358739</v>
      </c>
      <c r="H490" s="680" t="s">
        <v>6153</v>
      </c>
      <c r="I490" s="681" t="s">
        <v>3508</v>
      </c>
      <c r="J490" s="187" t="str">
        <f t="shared" si="49"/>
        <v>094-904</v>
      </c>
      <c r="K490" s="187">
        <v>94</v>
      </c>
      <c r="L490" s="187">
        <v>904</v>
      </c>
      <c r="M490" s="187" t="str">
        <f t="shared" si="46"/>
        <v>094</v>
      </c>
      <c r="N490" s="187">
        <f t="shared" si="47"/>
        <v>904</v>
      </c>
      <c r="O490" s="187" t="str">
        <f t="shared" si="48"/>
        <v>094-904</v>
      </c>
      <c r="Q490" s="679" t="s">
        <v>6322</v>
      </c>
    </row>
    <row r="491" spans="1:17">
      <c r="A491" s="788" t="s">
        <v>4044</v>
      </c>
      <c r="B491" s="187" t="s">
        <v>5272</v>
      </c>
      <c r="C491" s="215">
        <v>0</v>
      </c>
      <c r="D491" s="215">
        <v>3060404</v>
      </c>
      <c r="F491" s="215">
        <f t="shared" si="44"/>
        <v>3060404</v>
      </c>
      <c r="G491" s="215">
        <f t="shared" si="45"/>
        <v>3060404</v>
      </c>
      <c r="H491" s="680" t="s">
        <v>6153</v>
      </c>
      <c r="I491" s="681" t="s">
        <v>3508</v>
      </c>
      <c r="J491" s="187" t="str">
        <f t="shared" si="49"/>
        <v>095-901</v>
      </c>
      <c r="K491" s="187">
        <v>95</v>
      </c>
      <c r="L491" s="187">
        <v>901</v>
      </c>
      <c r="M491" s="187" t="str">
        <f t="shared" si="46"/>
        <v>095</v>
      </c>
      <c r="N491" s="187">
        <f t="shared" si="47"/>
        <v>901</v>
      </c>
      <c r="O491" s="187" t="str">
        <f t="shared" si="48"/>
        <v>095-901</v>
      </c>
      <c r="Q491" s="679" t="s">
        <v>6323</v>
      </c>
    </row>
    <row r="492" spans="1:17">
      <c r="A492" s="788" t="s">
        <v>4046</v>
      </c>
      <c r="B492" s="187" t="s">
        <v>5273</v>
      </c>
      <c r="C492" s="215">
        <v>0</v>
      </c>
      <c r="D492" s="215">
        <v>424667</v>
      </c>
      <c r="F492" s="215">
        <f t="shared" si="44"/>
        <v>424667</v>
      </c>
      <c r="G492" s="215">
        <f t="shared" si="45"/>
        <v>424667</v>
      </c>
      <c r="H492" s="680" t="s">
        <v>6153</v>
      </c>
      <c r="I492" s="681" t="s">
        <v>3508</v>
      </c>
      <c r="J492" s="187" t="str">
        <f t="shared" si="49"/>
        <v>095-902</v>
      </c>
      <c r="K492" s="187">
        <v>95</v>
      </c>
      <c r="L492" s="187">
        <v>902</v>
      </c>
      <c r="M492" s="187" t="str">
        <f t="shared" si="46"/>
        <v>095</v>
      </c>
      <c r="N492" s="187">
        <f t="shared" si="47"/>
        <v>902</v>
      </c>
      <c r="O492" s="187" t="str">
        <f t="shared" si="48"/>
        <v>095-902</v>
      </c>
      <c r="Q492" s="679" t="s">
        <v>6324</v>
      </c>
    </row>
    <row r="493" spans="1:17">
      <c r="A493" s="788" t="s">
        <v>5402</v>
      </c>
      <c r="B493" s="187" t="s">
        <v>5274</v>
      </c>
      <c r="C493" s="215">
        <v>0</v>
      </c>
      <c r="D493" s="215">
        <v>875428</v>
      </c>
      <c r="F493" s="215">
        <f t="shared" si="44"/>
        <v>875428</v>
      </c>
      <c r="G493" s="215">
        <f t="shared" si="45"/>
        <v>875428</v>
      </c>
      <c r="H493" s="680" t="s">
        <v>6153</v>
      </c>
      <c r="I493" s="681" t="s">
        <v>3508</v>
      </c>
      <c r="J493" s="187" t="str">
        <f t="shared" si="49"/>
        <v>095-903</v>
      </c>
      <c r="K493" s="187">
        <v>95</v>
      </c>
      <c r="L493" s="187">
        <v>903</v>
      </c>
      <c r="M493" s="187" t="str">
        <f t="shared" si="46"/>
        <v>095</v>
      </c>
      <c r="N493" s="187">
        <f t="shared" si="47"/>
        <v>903</v>
      </c>
      <c r="O493" s="187" t="str">
        <f t="shared" si="48"/>
        <v>095-903</v>
      </c>
      <c r="Q493" s="679" t="s">
        <v>6325</v>
      </c>
    </row>
    <row r="494" spans="1:17">
      <c r="A494" s="788" t="s">
        <v>5404</v>
      </c>
      <c r="B494" s="187" t="s">
        <v>5275</v>
      </c>
      <c r="C494" s="215">
        <v>27335</v>
      </c>
      <c r="D494" s="215">
        <v>628708</v>
      </c>
      <c r="F494" s="215">
        <f t="shared" si="44"/>
        <v>628708</v>
      </c>
      <c r="G494" s="215">
        <f t="shared" si="45"/>
        <v>656043</v>
      </c>
      <c r="H494" s="680" t="s">
        <v>6153</v>
      </c>
      <c r="I494" s="681" t="s">
        <v>3508</v>
      </c>
      <c r="J494" s="187" t="str">
        <f t="shared" si="49"/>
        <v>095-904</v>
      </c>
      <c r="K494" s="187">
        <v>95</v>
      </c>
      <c r="L494" s="187">
        <v>904</v>
      </c>
      <c r="M494" s="187" t="str">
        <f t="shared" si="46"/>
        <v>095</v>
      </c>
      <c r="N494" s="187">
        <f t="shared" si="47"/>
        <v>904</v>
      </c>
      <c r="O494" s="187" t="str">
        <f t="shared" si="48"/>
        <v>095-904</v>
      </c>
      <c r="Q494" s="679" t="s">
        <v>6326</v>
      </c>
    </row>
    <row r="495" spans="1:17">
      <c r="A495" s="788" t="s">
        <v>423</v>
      </c>
      <c r="B495" s="187" t="s">
        <v>5276</v>
      </c>
      <c r="C495" s="215">
        <v>0</v>
      </c>
      <c r="D495" s="215">
        <v>12096586</v>
      </c>
      <c r="F495" s="215">
        <f t="shared" si="44"/>
        <v>12096586</v>
      </c>
      <c r="G495" s="215">
        <f t="shared" si="45"/>
        <v>12096586</v>
      </c>
      <c r="H495" s="680" t="s">
        <v>6153</v>
      </c>
      <c r="I495" s="681" t="s">
        <v>3508</v>
      </c>
      <c r="J495" s="187" t="str">
        <f t="shared" si="49"/>
        <v>095-905</v>
      </c>
      <c r="K495" s="187">
        <v>95</v>
      </c>
      <c r="L495" s="187">
        <v>905</v>
      </c>
      <c r="M495" s="187" t="str">
        <f t="shared" si="46"/>
        <v>095</v>
      </c>
      <c r="N495" s="187">
        <f t="shared" si="47"/>
        <v>905</v>
      </c>
      <c r="O495" s="187" t="str">
        <f t="shared" si="48"/>
        <v>095-905</v>
      </c>
      <c r="Q495" s="679" t="s">
        <v>6327</v>
      </c>
    </row>
    <row r="496" spans="1:17">
      <c r="A496" s="788" t="s">
        <v>425</v>
      </c>
      <c r="B496" s="187" t="s">
        <v>5277</v>
      </c>
      <c r="C496" s="215">
        <v>0</v>
      </c>
      <c r="D496" s="215">
        <v>1369220</v>
      </c>
      <c r="F496" s="215">
        <f t="shared" si="44"/>
        <v>1369220</v>
      </c>
      <c r="G496" s="215">
        <f t="shared" si="45"/>
        <v>1369220</v>
      </c>
      <c r="H496" s="680" t="s">
        <v>6153</v>
      </c>
      <c r="I496" s="681" t="s">
        <v>3508</v>
      </c>
      <c r="J496" s="187" t="str">
        <f t="shared" si="49"/>
        <v>096-904</v>
      </c>
      <c r="K496" s="187">
        <v>96</v>
      </c>
      <c r="L496" s="187">
        <v>904</v>
      </c>
      <c r="M496" s="187" t="str">
        <f t="shared" si="46"/>
        <v>096</v>
      </c>
      <c r="N496" s="187">
        <f t="shared" si="47"/>
        <v>904</v>
      </c>
      <c r="O496" s="187" t="str">
        <f t="shared" si="48"/>
        <v>096-904</v>
      </c>
      <c r="Q496" s="679" t="s">
        <v>6328</v>
      </c>
    </row>
    <row r="497" spans="1:17">
      <c r="A497" s="788" t="s">
        <v>427</v>
      </c>
      <c r="B497" s="187" t="s">
        <v>5278</v>
      </c>
      <c r="C497" s="215">
        <v>0</v>
      </c>
      <c r="D497" s="215">
        <v>479497</v>
      </c>
      <c r="F497" s="215">
        <f t="shared" si="44"/>
        <v>479497</v>
      </c>
      <c r="G497" s="215">
        <f t="shared" si="45"/>
        <v>479497</v>
      </c>
      <c r="H497" s="680" t="s">
        <v>6153</v>
      </c>
      <c r="I497" s="681" t="s">
        <v>3508</v>
      </c>
      <c r="J497" s="187" t="str">
        <f t="shared" si="49"/>
        <v>096-905</v>
      </c>
      <c r="K497" s="187">
        <v>96</v>
      </c>
      <c r="L497" s="187">
        <v>905</v>
      </c>
      <c r="M497" s="187" t="str">
        <f t="shared" si="46"/>
        <v>096</v>
      </c>
      <c r="N497" s="187">
        <f t="shared" si="47"/>
        <v>905</v>
      </c>
      <c r="O497" s="187" t="str">
        <f t="shared" si="48"/>
        <v>096-905</v>
      </c>
      <c r="Q497" s="679" t="s">
        <v>6329</v>
      </c>
    </row>
    <row r="498" spans="1:17">
      <c r="A498" s="788" t="s">
        <v>429</v>
      </c>
      <c r="B498" s="187" t="s">
        <v>5279</v>
      </c>
      <c r="C498" s="215">
        <v>276159</v>
      </c>
      <c r="D498" s="215">
        <v>2671152</v>
      </c>
      <c r="F498" s="215">
        <f t="shared" si="44"/>
        <v>2671152</v>
      </c>
      <c r="G498" s="215">
        <f t="shared" si="45"/>
        <v>2947311</v>
      </c>
      <c r="H498" s="680" t="s">
        <v>6153</v>
      </c>
      <c r="I498" s="681" t="s">
        <v>3508</v>
      </c>
      <c r="J498" s="187" t="str">
        <f t="shared" si="49"/>
        <v>097-902</v>
      </c>
      <c r="K498" s="187">
        <v>97</v>
      </c>
      <c r="L498" s="187">
        <v>902</v>
      </c>
      <c r="M498" s="187" t="str">
        <f t="shared" si="46"/>
        <v>097</v>
      </c>
      <c r="N498" s="187">
        <f t="shared" si="47"/>
        <v>902</v>
      </c>
      <c r="O498" s="187" t="str">
        <f t="shared" si="48"/>
        <v>097-902</v>
      </c>
      <c r="Q498" s="679" t="s">
        <v>6330</v>
      </c>
    </row>
    <row r="499" spans="1:17">
      <c r="A499" s="788" t="s">
        <v>446</v>
      </c>
      <c r="B499" s="187" t="s">
        <v>3844</v>
      </c>
      <c r="C499" s="215">
        <v>123394</v>
      </c>
      <c r="D499" s="215">
        <v>1335424</v>
      </c>
      <c r="F499" s="215">
        <f t="shared" si="44"/>
        <v>1335424</v>
      </c>
      <c r="G499" s="215">
        <f t="shared" si="45"/>
        <v>1458818</v>
      </c>
      <c r="H499" s="680" t="s">
        <v>6153</v>
      </c>
      <c r="I499" s="681" t="s">
        <v>3508</v>
      </c>
      <c r="J499" s="187" t="str">
        <f t="shared" si="49"/>
        <v>097-903</v>
      </c>
      <c r="K499" s="187">
        <v>97</v>
      </c>
      <c r="L499" s="187">
        <v>903</v>
      </c>
      <c r="M499" s="187" t="str">
        <f t="shared" si="46"/>
        <v>097</v>
      </c>
      <c r="N499" s="187">
        <f t="shared" si="47"/>
        <v>903</v>
      </c>
      <c r="O499" s="187" t="str">
        <f t="shared" si="48"/>
        <v>097-903</v>
      </c>
      <c r="Q499" s="679" t="s">
        <v>6331</v>
      </c>
    </row>
    <row r="500" spans="1:17">
      <c r="A500" s="788" t="s">
        <v>431</v>
      </c>
      <c r="B500" s="187" t="s">
        <v>5280</v>
      </c>
      <c r="C500" s="215">
        <v>0</v>
      </c>
      <c r="D500" s="215">
        <v>3471462</v>
      </c>
      <c r="F500" s="215">
        <f t="shared" si="44"/>
        <v>3471462</v>
      </c>
      <c r="G500" s="215">
        <f t="shared" si="45"/>
        <v>3471462</v>
      </c>
      <c r="H500" s="680" t="s">
        <v>6153</v>
      </c>
      <c r="I500" s="681" t="s">
        <v>3508</v>
      </c>
      <c r="J500" s="187" t="str">
        <f t="shared" si="49"/>
        <v>098-901</v>
      </c>
      <c r="K500" s="187">
        <v>98</v>
      </c>
      <c r="L500" s="187">
        <v>901</v>
      </c>
      <c r="M500" s="187" t="str">
        <f t="shared" si="46"/>
        <v>098</v>
      </c>
      <c r="N500" s="187">
        <f t="shared" si="47"/>
        <v>901</v>
      </c>
      <c r="O500" s="187" t="str">
        <f t="shared" si="48"/>
        <v>098-901</v>
      </c>
      <c r="Q500" s="679" t="s">
        <v>6332</v>
      </c>
    </row>
    <row r="501" spans="1:17">
      <c r="A501" s="788" t="s">
        <v>4945</v>
      </c>
      <c r="B501" s="187" t="s">
        <v>5281</v>
      </c>
      <c r="C501" s="215">
        <v>0</v>
      </c>
      <c r="D501" s="215">
        <v>1647654</v>
      </c>
      <c r="F501" s="215">
        <f t="shared" si="44"/>
        <v>1647654</v>
      </c>
      <c r="G501" s="215">
        <f t="shared" si="45"/>
        <v>1647654</v>
      </c>
      <c r="H501" s="680" t="s">
        <v>6153</v>
      </c>
      <c r="I501" s="681" t="s">
        <v>3508</v>
      </c>
      <c r="J501" s="187" t="str">
        <f t="shared" si="49"/>
        <v>098-903</v>
      </c>
      <c r="K501" s="187">
        <v>98</v>
      </c>
      <c r="L501" s="187">
        <v>903</v>
      </c>
      <c r="M501" s="187" t="str">
        <f t="shared" si="46"/>
        <v>098</v>
      </c>
      <c r="N501" s="187">
        <f t="shared" si="47"/>
        <v>903</v>
      </c>
      <c r="O501" s="187" t="str">
        <f t="shared" si="48"/>
        <v>098-903</v>
      </c>
      <c r="Q501" s="679" t="s">
        <v>6333</v>
      </c>
    </row>
    <row r="502" spans="1:17">
      <c r="A502" s="788" t="s">
        <v>4947</v>
      </c>
      <c r="B502" s="187" t="s">
        <v>5282</v>
      </c>
      <c r="C502" s="215">
        <v>0</v>
      </c>
      <c r="D502" s="215">
        <v>4157851</v>
      </c>
      <c r="F502" s="215">
        <f t="shared" si="44"/>
        <v>4157851</v>
      </c>
      <c r="G502" s="215">
        <f t="shared" si="45"/>
        <v>4157851</v>
      </c>
      <c r="H502" s="680" t="s">
        <v>6153</v>
      </c>
      <c r="I502" s="681" t="s">
        <v>3508</v>
      </c>
      <c r="J502" s="187" t="str">
        <f t="shared" si="49"/>
        <v>098-904</v>
      </c>
      <c r="K502" s="187">
        <v>98</v>
      </c>
      <c r="L502" s="187">
        <v>904</v>
      </c>
      <c r="M502" s="187" t="str">
        <f t="shared" si="46"/>
        <v>098</v>
      </c>
      <c r="N502" s="187">
        <f t="shared" si="47"/>
        <v>904</v>
      </c>
      <c r="O502" s="187" t="str">
        <f t="shared" si="48"/>
        <v>098-904</v>
      </c>
      <c r="Q502" s="679" t="s">
        <v>6334</v>
      </c>
    </row>
    <row r="503" spans="1:17">
      <c r="A503" s="788" t="s">
        <v>4949</v>
      </c>
      <c r="B503" s="187" t="s">
        <v>5283</v>
      </c>
      <c r="C503" s="215">
        <v>0</v>
      </c>
      <c r="D503" s="215">
        <v>1079417</v>
      </c>
      <c r="F503" s="215">
        <f t="shared" si="44"/>
        <v>1079417</v>
      </c>
      <c r="G503" s="215">
        <f t="shared" si="45"/>
        <v>1079417</v>
      </c>
      <c r="H503" s="680" t="s">
        <v>6153</v>
      </c>
      <c r="I503" s="681" t="s">
        <v>3508</v>
      </c>
      <c r="J503" s="187" t="str">
        <f t="shared" si="49"/>
        <v>099-902</v>
      </c>
      <c r="K503" s="187">
        <v>99</v>
      </c>
      <c r="L503" s="187">
        <v>902</v>
      </c>
      <c r="M503" s="187" t="str">
        <f t="shared" si="46"/>
        <v>099</v>
      </c>
      <c r="N503" s="187">
        <f t="shared" si="47"/>
        <v>902</v>
      </c>
      <c r="O503" s="187" t="str">
        <f t="shared" si="48"/>
        <v>099-902</v>
      </c>
      <c r="Q503" s="679" t="s">
        <v>6335</v>
      </c>
    </row>
    <row r="504" spans="1:17">
      <c r="A504" s="788" t="s">
        <v>4951</v>
      </c>
      <c r="B504" s="187" t="s">
        <v>5284</v>
      </c>
      <c r="C504" s="215">
        <v>86508</v>
      </c>
      <c r="D504" s="215">
        <v>2435997</v>
      </c>
      <c r="F504" s="215">
        <f t="shared" si="44"/>
        <v>2435997</v>
      </c>
      <c r="G504" s="215">
        <f t="shared" si="45"/>
        <v>2522505</v>
      </c>
      <c r="H504" s="680" t="s">
        <v>6153</v>
      </c>
      <c r="I504" s="681" t="s">
        <v>3508</v>
      </c>
      <c r="J504" s="187" t="str">
        <f t="shared" si="49"/>
        <v>099-903</v>
      </c>
      <c r="K504" s="187">
        <v>99</v>
      </c>
      <c r="L504" s="187">
        <v>903</v>
      </c>
      <c r="M504" s="187" t="str">
        <f t="shared" si="46"/>
        <v>099</v>
      </c>
      <c r="N504" s="187">
        <f t="shared" si="47"/>
        <v>903</v>
      </c>
      <c r="O504" s="187" t="str">
        <f t="shared" si="48"/>
        <v>099-903</v>
      </c>
      <c r="Q504" s="679" t="s">
        <v>6336</v>
      </c>
    </row>
    <row r="505" spans="1:17">
      <c r="A505" s="788" t="s">
        <v>1560</v>
      </c>
      <c r="B505" s="187" t="s">
        <v>5285</v>
      </c>
      <c r="C505" s="215">
        <v>149442</v>
      </c>
      <c r="D505" s="215">
        <v>2548694</v>
      </c>
      <c r="F505" s="215">
        <f t="shared" si="44"/>
        <v>2548694</v>
      </c>
      <c r="G505" s="215">
        <f t="shared" si="45"/>
        <v>2698136</v>
      </c>
      <c r="H505" s="680" t="s">
        <v>6153</v>
      </c>
      <c r="I505" s="681"/>
      <c r="J505" s="187" t="str">
        <f t="shared" si="49"/>
        <v>100-903</v>
      </c>
      <c r="K505" s="187">
        <v>100</v>
      </c>
      <c r="L505" s="187">
        <v>903</v>
      </c>
      <c r="M505" s="187" t="str">
        <f t="shared" si="46"/>
        <v>100</v>
      </c>
      <c r="N505" s="187">
        <f t="shared" si="47"/>
        <v>903</v>
      </c>
      <c r="O505" s="187" t="str">
        <f t="shared" si="48"/>
        <v>100-903</v>
      </c>
      <c r="Q505" s="679" t="s">
        <v>7472</v>
      </c>
    </row>
    <row r="506" spans="1:17">
      <c r="A506" s="788" t="s">
        <v>2398</v>
      </c>
      <c r="B506" s="187" t="s">
        <v>1466</v>
      </c>
      <c r="C506" s="215">
        <v>762126</v>
      </c>
      <c r="D506" s="215">
        <v>6863853</v>
      </c>
      <c r="F506" s="215">
        <f t="shared" si="44"/>
        <v>6863853</v>
      </c>
      <c r="G506" s="215">
        <f t="shared" si="45"/>
        <v>7625979</v>
      </c>
      <c r="H506" s="680" t="s">
        <v>6153</v>
      </c>
      <c r="I506" s="679"/>
      <c r="J506" s="187" t="str">
        <f t="shared" si="49"/>
        <v>100-904</v>
      </c>
      <c r="K506" s="187">
        <v>100</v>
      </c>
      <c r="L506" s="187">
        <v>904</v>
      </c>
      <c r="M506" s="187" t="str">
        <f t="shared" si="46"/>
        <v>100</v>
      </c>
      <c r="N506" s="187">
        <f t="shared" si="47"/>
        <v>904</v>
      </c>
      <c r="O506" s="187" t="str">
        <f t="shared" si="48"/>
        <v>100-904</v>
      </c>
      <c r="Q506" s="679" t="s">
        <v>7473</v>
      </c>
    </row>
    <row r="507" spans="1:17">
      <c r="A507" s="788" t="s">
        <v>1562</v>
      </c>
      <c r="B507" s="187" t="s">
        <v>5286</v>
      </c>
      <c r="C507" s="215">
        <v>365239</v>
      </c>
      <c r="D507" s="215">
        <v>6721114</v>
      </c>
      <c r="F507" s="215">
        <f t="shared" si="44"/>
        <v>6721114</v>
      </c>
      <c r="G507" s="215">
        <f t="shared" si="45"/>
        <v>7086353</v>
      </c>
      <c r="H507" s="680" t="s">
        <v>6153</v>
      </c>
      <c r="I507" s="679"/>
      <c r="J507" s="187" t="str">
        <f t="shared" si="49"/>
        <v>100-905</v>
      </c>
      <c r="K507" s="187">
        <v>100</v>
      </c>
      <c r="L507" s="187">
        <v>905</v>
      </c>
      <c r="M507" s="187" t="str">
        <f t="shared" si="46"/>
        <v>100</v>
      </c>
      <c r="N507" s="187">
        <f t="shared" si="47"/>
        <v>905</v>
      </c>
      <c r="O507" s="187" t="str">
        <f t="shared" si="48"/>
        <v>100-905</v>
      </c>
      <c r="Q507" s="679" t="s">
        <v>7474</v>
      </c>
    </row>
    <row r="508" spans="1:17">
      <c r="A508" s="788" t="s">
        <v>2997</v>
      </c>
      <c r="B508" s="187" t="s">
        <v>6057</v>
      </c>
      <c r="C508" s="215">
        <v>427549</v>
      </c>
      <c r="D508" s="215">
        <v>6766298</v>
      </c>
      <c r="F508" s="215">
        <f t="shared" si="44"/>
        <v>6766298</v>
      </c>
      <c r="G508" s="215">
        <f t="shared" si="45"/>
        <v>7193847</v>
      </c>
      <c r="H508" s="680" t="s">
        <v>6153</v>
      </c>
      <c r="I508" s="679"/>
      <c r="J508" s="187" t="str">
        <f t="shared" si="49"/>
        <v>100-907</v>
      </c>
      <c r="K508" s="187">
        <v>100</v>
      </c>
      <c r="L508" s="187">
        <v>907</v>
      </c>
      <c r="M508" s="187" t="str">
        <f t="shared" si="46"/>
        <v>100</v>
      </c>
      <c r="N508" s="187">
        <f t="shared" si="47"/>
        <v>907</v>
      </c>
      <c r="O508" s="187" t="str">
        <f t="shared" si="48"/>
        <v>100-907</v>
      </c>
      <c r="Q508" s="679" t="s">
        <v>7475</v>
      </c>
    </row>
    <row r="509" spans="1:17">
      <c r="A509" s="788" t="s">
        <v>856</v>
      </c>
      <c r="B509" s="187" t="s">
        <v>4066</v>
      </c>
      <c r="C509" s="215">
        <v>212694</v>
      </c>
      <c r="D509" s="215">
        <v>1520675</v>
      </c>
      <c r="F509" s="215">
        <f t="shared" si="44"/>
        <v>1520675</v>
      </c>
      <c r="G509" s="215">
        <f t="shared" si="45"/>
        <v>1733369</v>
      </c>
      <c r="H509" s="680" t="s">
        <v>6153</v>
      </c>
      <c r="I509" s="679"/>
      <c r="J509" s="187" t="str">
        <f t="shared" si="49"/>
        <v>100-908</v>
      </c>
      <c r="K509" s="187">
        <v>100</v>
      </c>
      <c r="L509" s="187">
        <v>908</v>
      </c>
      <c r="M509" s="187" t="str">
        <f t="shared" si="46"/>
        <v>100</v>
      </c>
      <c r="N509" s="187">
        <f t="shared" si="47"/>
        <v>908</v>
      </c>
      <c r="O509" s="187" t="str">
        <f t="shared" si="48"/>
        <v>100-908</v>
      </c>
      <c r="Q509" s="679" t="s">
        <v>7476</v>
      </c>
    </row>
    <row r="510" spans="1:17">
      <c r="A510" s="788" t="s">
        <v>1021</v>
      </c>
      <c r="B510" s="187" t="s">
        <v>1022</v>
      </c>
      <c r="C510" s="215">
        <v>0</v>
      </c>
      <c r="D510" s="215">
        <v>0</v>
      </c>
      <c r="F510" s="215">
        <f t="shared" si="44"/>
        <v>0</v>
      </c>
      <c r="G510" s="215">
        <f t="shared" si="45"/>
        <v>0</v>
      </c>
      <c r="H510" s="680" t="s">
        <v>6153</v>
      </c>
      <c r="I510" s="679"/>
      <c r="J510" s="187" t="str">
        <f t="shared" si="49"/>
        <v>101-801</v>
      </c>
      <c r="K510" s="187">
        <v>101</v>
      </c>
      <c r="L510" s="187">
        <v>801</v>
      </c>
      <c r="M510" s="187" t="str">
        <f t="shared" si="46"/>
        <v>101</v>
      </c>
      <c r="N510" s="187">
        <f t="shared" si="47"/>
        <v>801</v>
      </c>
      <c r="O510" s="187" t="str">
        <f t="shared" si="48"/>
        <v>101-801</v>
      </c>
      <c r="Q510" s="679" t="s">
        <v>6337</v>
      </c>
    </row>
    <row r="511" spans="1:17">
      <c r="A511" s="788" t="s">
        <v>1023</v>
      </c>
      <c r="B511" s="187" t="s">
        <v>1024</v>
      </c>
      <c r="C511" s="215">
        <v>0</v>
      </c>
      <c r="D511" s="215">
        <v>0</v>
      </c>
      <c r="F511" s="215">
        <f t="shared" si="44"/>
        <v>0</v>
      </c>
      <c r="G511" s="215">
        <f t="shared" si="45"/>
        <v>0</v>
      </c>
      <c r="H511" s="680" t="s">
        <v>6153</v>
      </c>
      <c r="I511" s="679"/>
      <c r="J511" s="187" t="str">
        <f t="shared" si="49"/>
        <v>101-802</v>
      </c>
      <c r="K511" s="187">
        <v>101</v>
      </c>
      <c r="L511" s="187">
        <v>802</v>
      </c>
      <c r="M511" s="187" t="str">
        <f t="shared" si="46"/>
        <v>101</v>
      </c>
      <c r="N511" s="187">
        <f t="shared" si="47"/>
        <v>802</v>
      </c>
      <c r="O511" s="187" t="str">
        <f t="shared" si="48"/>
        <v>101-802</v>
      </c>
      <c r="Q511" s="679" t="s">
        <v>6338</v>
      </c>
    </row>
    <row r="512" spans="1:17">
      <c r="A512" s="788" t="s">
        <v>1025</v>
      </c>
      <c r="B512" s="187" t="s">
        <v>1026</v>
      </c>
      <c r="C512" s="215">
        <v>0</v>
      </c>
      <c r="D512" s="215">
        <v>0</v>
      </c>
      <c r="F512" s="215">
        <f t="shared" si="44"/>
        <v>0</v>
      </c>
      <c r="G512" s="215">
        <f t="shared" si="45"/>
        <v>0</v>
      </c>
      <c r="H512" s="680" t="s">
        <v>6153</v>
      </c>
      <c r="I512" s="679"/>
      <c r="J512" s="187" t="str">
        <f t="shared" si="49"/>
        <v>101-803</v>
      </c>
      <c r="K512" s="187">
        <v>101</v>
      </c>
      <c r="L512" s="187">
        <v>803</v>
      </c>
      <c r="M512" s="187" t="str">
        <f t="shared" si="46"/>
        <v>101</v>
      </c>
      <c r="N512" s="187">
        <f t="shared" si="47"/>
        <v>803</v>
      </c>
      <c r="O512" s="187" t="str">
        <f t="shared" si="48"/>
        <v>101-803</v>
      </c>
      <c r="Q512" s="679" t="s">
        <v>6339</v>
      </c>
    </row>
    <row r="513" spans="1:17">
      <c r="A513" s="788" t="s">
        <v>1027</v>
      </c>
      <c r="B513" s="187" t="s">
        <v>1028</v>
      </c>
      <c r="C513" s="215">
        <v>0</v>
      </c>
      <c r="D513" s="215">
        <v>0</v>
      </c>
      <c r="F513" s="215">
        <f t="shared" si="44"/>
        <v>0</v>
      </c>
      <c r="G513" s="215">
        <f t="shared" si="45"/>
        <v>0</v>
      </c>
      <c r="H513" s="680" t="s">
        <v>6153</v>
      </c>
      <c r="I513" s="679"/>
      <c r="J513" s="187" t="str">
        <f t="shared" si="49"/>
        <v>101-804</v>
      </c>
      <c r="K513" s="187">
        <v>101</v>
      </c>
      <c r="L513" s="187">
        <v>804</v>
      </c>
      <c r="M513" s="187" t="str">
        <f t="shared" si="46"/>
        <v>101</v>
      </c>
      <c r="N513" s="187">
        <f t="shared" si="47"/>
        <v>804</v>
      </c>
      <c r="O513" s="187" t="str">
        <f t="shared" si="48"/>
        <v>101-804</v>
      </c>
      <c r="Q513" s="679" t="s">
        <v>6340</v>
      </c>
    </row>
    <row r="514" spans="1:17">
      <c r="A514" s="788" t="s">
        <v>1564</v>
      </c>
      <c r="B514" s="187" t="s">
        <v>1029</v>
      </c>
      <c r="C514" s="215">
        <v>0</v>
      </c>
      <c r="D514" s="215">
        <v>0</v>
      </c>
      <c r="F514" s="215">
        <f t="shared" si="44"/>
        <v>0</v>
      </c>
      <c r="G514" s="215">
        <f t="shared" si="45"/>
        <v>0</v>
      </c>
      <c r="H514" s="680" t="s">
        <v>6153</v>
      </c>
      <c r="I514" s="679"/>
      <c r="J514" s="187" t="str">
        <f t="shared" si="49"/>
        <v>101-805</v>
      </c>
      <c r="K514" s="187">
        <v>101</v>
      </c>
      <c r="L514" s="187">
        <v>805</v>
      </c>
      <c r="M514" s="187" t="str">
        <f t="shared" si="46"/>
        <v>101</v>
      </c>
      <c r="N514" s="187">
        <f t="shared" si="47"/>
        <v>805</v>
      </c>
      <c r="O514" s="187" t="str">
        <f t="shared" si="48"/>
        <v>101-805</v>
      </c>
      <c r="Q514" s="679" t="s">
        <v>6341</v>
      </c>
    </row>
    <row r="515" spans="1:17">
      <c r="A515" s="788" t="s">
        <v>1030</v>
      </c>
      <c r="B515" s="187" t="s">
        <v>1031</v>
      </c>
      <c r="C515" s="215">
        <v>0</v>
      </c>
      <c r="D515" s="215">
        <v>0</v>
      </c>
      <c r="F515" s="215">
        <f t="shared" si="44"/>
        <v>0</v>
      </c>
      <c r="G515" s="215">
        <f t="shared" si="45"/>
        <v>0</v>
      </c>
      <c r="H515" s="680" t="s">
        <v>6153</v>
      </c>
      <c r="I515" s="679"/>
      <c r="J515" s="187" t="str">
        <f t="shared" si="49"/>
        <v>101-806</v>
      </c>
      <c r="K515" s="187">
        <v>101</v>
      </c>
      <c r="L515" s="187">
        <v>806</v>
      </c>
      <c r="M515" s="187" t="str">
        <f t="shared" si="46"/>
        <v>101</v>
      </c>
      <c r="N515" s="187">
        <f t="shared" si="47"/>
        <v>806</v>
      </c>
      <c r="O515" s="187" t="str">
        <f t="shared" si="48"/>
        <v>101-806</v>
      </c>
      <c r="Q515" s="679" t="s">
        <v>6342</v>
      </c>
    </row>
    <row r="516" spans="1:17">
      <c r="A516" s="788" t="s">
        <v>1032</v>
      </c>
      <c r="B516" s="187" t="s">
        <v>1033</v>
      </c>
      <c r="C516" s="215">
        <v>0</v>
      </c>
      <c r="D516" s="215">
        <v>0</v>
      </c>
      <c r="F516" s="215">
        <f t="shared" ref="F516:F579" si="50">D516+E516</f>
        <v>0</v>
      </c>
      <c r="G516" s="215">
        <f t="shared" ref="G516:G579" si="51">F516+C516</f>
        <v>0</v>
      </c>
      <c r="H516" s="680" t="s">
        <v>6153</v>
      </c>
      <c r="I516" s="679"/>
      <c r="J516" s="187" t="str">
        <f t="shared" si="49"/>
        <v>101-807</v>
      </c>
      <c r="K516" s="187">
        <v>101</v>
      </c>
      <c r="L516" s="187">
        <v>807</v>
      </c>
      <c r="M516" s="187" t="str">
        <f t="shared" ref="M516:M579" si="52">+I516&amp;K516</f>
        <v>101</v>
      </c>
      <c r="N516" s="187">
        <f t="shared" ref="N516:N579" si="53">+L516</f>
        <v>807</v>
      </c>
      <c r="O516" s="187" t="str">
        <f t="shared" ref="O516:O579" si="54">+M516&amp;"-"&amp;N516</f>
        <v>101-807</v>
      </c>
      <c r="Q516" s="679" t="s">
        <v>6343</v>
      </c>
    </row>
    <row r="517" spans="1:17">
      <c r="A517" s="788" t="s">
        <v>6344</v>
      </c>
      <c r="B517" s="187" t="s">
        <v>6345</v>
      </c>
      <c r="C517" s="215">
        <v>0</v>
      </c>
      <c r="D517" s="215">
        <v>0</v>
      </c>
      <c r="F517" s="215">
        <f t="shared" si="50"/>
        <v>0</v>
      </c>
      <c r="G517" s="215">
        <f t="shared" si="51"/>
        <v>0</v>
      </c>
      <c r="H517" s="680" t="s">
        <v>6153</v>
      </c>
      <c r="I517" s="679"/>
      <c r="J517" s="187" t="str">
        <f t="shared" si="49"/>
        <v>101-808</v>
      </c>
      <c r="K517" s="187">
        <v>101</v>
      </c>
      <c r="L517" s="187">
        <v>808</v>
      </c>
      <c r="M517" s="187" t="str">
        <f t="shared" si="52"/>
        <v>101</v>
      </c>
      <c r="N517" s="187">
        <f t="shared" si="53"/>
        <v>808</v>
      </c>
      <c r="O517" s="187" t="str">
        <f t="shared" si="54"/>
        <v>101-808</v>
      </c>
      <c r="Q517" s="679" t="s">
        <v>6346</v>
      </c>
    </row>
    <row r="518" spans="1:17">
      <c r="A518" s="788" t="s">
        <v>1566</v>
      </c>
      <c r="B518" s="187" t="s">
        <v>1567</v>
      </c>
      <c r="C518" s="215">
        <v>0</v>
      </c>
      <c r="D518" s="215">
        <v>0</v>
      </c>
      <c r="F518" s="215">
        <f t="shared" si="50"/>
        <v>0</v>
      </c>
      <c r="G518" s="215">
        <f t="shared" si="51"/>
        <v>0</v>
      </c>
      <c r="H518" s="680" t="s">
        <v>6153</v>
      </c>
      <c r="I518" s="679"/>
      <c r="J518" s="187" t="str">
        <f t="shared" si="49"/>
        <v>101-809</v>
      </c>
      <c r="K518" s="187">
        <v>101</v>
      </c>
      <c r="L518" s="187">
        <v>809</v>
      </c>
      <c r="M518" s="187" t="str">
        <f t="shared" si="52"/>
        <v>101</v>
      </c>
      <c r="N518" s="187">
        <f t="shared" si="53"/>
        <v>809</v>
      </c>
      <c r="O518" s="187" t="str">
        <f t="shared" si="54"/>
        <v>101-809</v>
      </c>
      <c r="Q518" s="679" t="s">
        <v>6347</v>
      </c>
    </row>
    <row r="519" spans="1:17">
      <c r="A519" s="788" t="s">
        <v>1034</v>
      </c>
      <c r="B519" s="187" t="s">
        <v>1035</v>
      </c>
      <c r="C519" s="215">
        <v>0</v>
      </c>
      <c r="D519" s="215">
        <v>0</v>
      </c>
      <c r="F519" s="215">
        <f t="shared" si="50"/>
        <v>0</v>
      </c>
      <c r="G519" s="215">
        <f t="shared" si="51"/>
        <v>0</v>
      </c>
      <c r="H519" s="680" t="s">
        <v>6153</v>
      </c>
      <c r="I519" s="679"/>
      <c r="J519" s="187" t="str">
        <f t="shared" si="49"/>
        <v>101-810</v>
      </c>
      <c r="K519" s="187">
        <v>101</v>
      </c>
      <c r="L519" s="187">
        <v>810</v>
      </c>
      <c r="M519" s="187" t="str">
        <f t="shared" si="52"/>
        <v>101</v>
      </c>
      <c r="N519" s="187">
        <f t="shared" si="53"/>
        <v>810</v>
      </c>
      <c r="O519" s="187" t="str">
        <f t="shared" si="54"/>
        <v>101-810</v>
      </c>
      <c r="Q519" s="679" t="s">
        <v>6348</v>
      </c>
    </row>
    <row r="520" spans="1:17">
      <c r="A520" s="788" t="s">
        <v>1036</v>
      </c>
      <c r="B520" s="187" t="s">
        <v>1037</v>
      </c>
      <c r="C520" s="215">
        <v>0</v>
      </c>
      <c r="D520" s="215">
        <v>0</v>
      </c>
      <c r="F520" s="215">
        <f t="shared" si="50"/>
        <v>0</v>
      </c>
      <c r="G520" s="215">
        <f t="shared" si="51"/>
        <v>0</v>
      </c>
      <c r="H520" s="680" t="s">
        <v>6153</v>
      </c>
      <c r="I520" s="679"/>
      <c r="J520" s="187" t="str">
        <f t="shared" si="49"/>
        <v>101-811</v>
      </c>
      <c r="K520" s="187">
        <v>101</v>
      </c>
      <c r="L520" s="187">
        <v>811</v>
      </c>
      <c r="M520" s="187" t="str">
        <f t="shared" si="52"/>
        <v>101</v>
      </c>
      <c r="N520" s="187">
        <f t="shared" si="53"/>
        <v>811</v>
      </c>
      <c r="O520" s="187" t="str">
        <f t="shared" si="54"/>
        <v>101-811</v>
      </c>
      <c r="Q520" s="679" t="s">
        <v>6349</v>
      </c>
    </row>
    <row r="521" spans="1:17">
      <c r="A521" s="788" t="s">
        <v>1038</v>
      </c>
      <c r="B521" s="187" t="s">
        <v>1039</v>
      </c>
      <c r="C521" s="215">
        <v>0</v>
      </c>
      <c r="D521" s="215">
        <v>0</v>
      </c>
      <c r="F521" s="215">
        <f t="shared" si="50"/>
        <v>0</v>
      </c>
      <c r="G521" s="215">
        <f t="shared" si="51"/>
        <v>0</v>
      </c>
      <c r="H521" s="680" t="s">
        <v>6153</v>
      </c>
      <c r="I521" s="679"/>
      <c r="J521" s="187" t="str">
        <f t="shared" si="49"/>
        <v>101-812</v>
      </c>
      <c r="K521" s="187">
        <v>101</v>
      </c>
      <c r="L521" s="187">
        <v>812</v>
      </c>
      <c r="M521" s="187" t="str">
        <f t="shared" si="52"/>
        <v>101</v>
      </c>
      <c r="N521" s="187">
        <f t="shared" si="53"/>
        <v>812</v>
      </c>
      <c r="O521" s="187" t="str">
        <f t="shared" si="54"/>
        <v>101-812</v>
      </c>
      <c r="Q521" s="679" t="s">
        <v>6350</v>
      </c>
    </row>
    <row r="522" spans="1:17">
      <c r="A522" s="788" t="s">
        <v>1040</v>
      </c>
      <c r="B522" s="187" t="s">
        <v>1041</v>
      </c>
      <c r="C522" s="215">
        <v>0</v>
      </c>
      <c r="D522" s="215">
        <v>0</v>
      </c>
      <c r="F522" s="215">
        <f t="shared" si="50"/>
        <v>0</v>
      </c>
      <c r="G522" s="215">
        <f t="shared" si="51"/>
        <v>0</v>
      </c>
      <c r="H522" s="680" t="s">
        <v>6153</v>
      </c>
      <c r="I522" s="679"/>
      <c r="J522" s="187" t="str">
        <f t="shared" si="49"/>
        <v>101-813</v>
      </c>
      <c r="K522" s="187">
        <v>101</v>
      </c>
      <c r="L522" s="187">
        <v>813</v>
      </c>
      <c r="M522" s="187" t="str">
        <f t="shared" si="52"/>
        <v>101</v>
      </c>
      <c r="N522" s="187">
        <f t="shared" si="53"/>
        <v>813</v>
      </c>
      <c r="O522" s="187" t="str">
        <f t="shared" si="54"/>
        <v>101-813</v>
      </c>
      <c r="Q522" s="679" t="s">
        <v>6351</v>
      </c>
    </row>
    <row r="523" spans="1:17">
      <c r="A523" s="788" t="s">
        <v>1568</v>
      </c>
      <c r="B523" s="187" t="s">
        <v>1569</v>
      </c>
      <c r="C523" s="215">
        <v>0</v>
      </c>
      <c r="D523" s="215">
        <v>0</v>
      </c>
      <c r="F523" s="215">
        <f t="shared" si="50"/>
        <v>0</v>
      </c>
      <c r="G523" s="215">
        <f t="shared" si="51"/>
        <v>0</v>
      </c>
      <c r="H523" s="680" t="s">
        <v>6153</v>
      </c>
      <c r="I523" s="679"/>
      <c r="J523" s="187" t="str">
        <f t="shared" si="49"/>
        <v>101-814</v>
      </c>
      <c r="K523" s="187">
        <v>101</v>
      </c>
      <c r="L523" s="187">
        <v>814</v>
      </c>
      <c r="M523" s="187" t="str">
        <f t="shared" si="52"/>
        <v>101</v>
      </c>
      <c r="N523" s="187">
        <f t="shared" si="53"/>
        <v>814</v>
      </c>
      <c r="O523" s="187" t="str">
        <f t="shared" si="54"/>
        <v>101-814</v>
      </c>
      <c r="Q523" s="679" t="s">
        <v>6352</v>
      </c>
    </row>
    <row r="524" spans="1:17">
      <c r="A524" s="788" t="s">
        <v>1570</v>
      </c>
      <c r="B524" s="187" t="s">
        <v>1042</v>
      </c>
      <c r="C524" s="215">
        <v>0</v>
      </c>
      <c r="D524" s="215">
        <v>0</v>
      </c>
      <c r="F524" s="215">
        <f t="shared" si="50"/>
        <v>0</v>
      </c>
      <c r="G524" s="215">
        <f t="shared" si="51"/>
        <v>0</v>
      </c>
      <c r="H524" s="680" t="s">
        <v>6153</v>
      </c>
      <c r="I524" s="679"/>
      <c r="J524" s="187" t="str">
        <f t="shared" si="49"/>
        <v>101-815</v>
      </c>
      <c r="K524" s="187">
        <v>101</v>
      </c>
      <c r="L524" s="187">
        <v>815</v>
      </c>
      <c r="M524" s="187" t="str">
        <f t="shared" si="52"/>
        <v>101</v>
      </c>
      <c r="N524" s="187">
        <f t="shared" si="53"/>
        <v>815</v>
      </c>
      <c r="O524" s="187" t="str">
        <f t="shared" si="54"/>
        <v>101-815</v>
      </c>
      <c r="Q524" s="679" t="s">
        <v>6353</v>
      </c>
    </row>
    <row r="525" spans="1:17">
      <c r="A525" s="788" t="s">
        <v>6354</v>
      </c>
      <c r="B525" s="187" t="s">
        <v>6355</v>
      </c>
      <c r="C525" s="215">
        <v>0</v>
      </c>
      <c r="D525" s="215">
        <v>0</v>
      </c>
      <c r="F525" s="215">
        <f t="shared" si="50"/>
        <v>0</v>
      </c>
      <c r="G525" s="215">
        <f t="shared" si="51"/>
        <v>0</v>
      </c>
      <c r="H525" s="680" t="s">
        <v>6153</v>
      </c>
      <c r="I525" s="679"/>
      <c r="J525" s="187" t="str">
        <f t="shared" si="49"/>
        <v>101-816</v>
      </c>
      <c r="K525" s="187">
        <v>101</v>
      </c>
      <c r="L525" s="187">
        <v>816</v>
      </c>
      <c r="M525" s="187" t="str">
        <f t="shared" si="52"/>
        <v>101</v>
      </c>
      <c r="N525" s="187">
        <f t="shared" si="53"/>
        <v>816</v>
      </c>
      <c r="O525" s="187" t="str">
        <f t="shared" si="54"/>
        <v>101-816</v>
      </c>
      <c r="Q525" s="679" t="s">
        <v>6356</v>
      </c>
    </row>
    <row r="526" spans="1:17">
      <c r="A526" s="788" t="s">
        <v>1043</v>
      </c>
      <c r="B526" s="187" t="s">
        <v>1044</v>
      </c>
      <c r="C526" s="215">
        <v>0</v>
      </c>
      <c r="D526" s="215">
        <v>0</v>
      </c>
      <c r="F526" s="215">
        <f t="shared" si="50"/>
        <v>0</v>
      </c>
      <c r="G526" s="215">
        <f t="shared" si="51"/>
        <v>0</v>
      </c>
      <c r="H526" s="680" t="s">
        <v>6153</v>
      </c>
      <c r="I526" s="679"/>
      <c r="J526" s="187" t="str">
        <f t="shared" si="49"/>
        <v>101-817</v>
      </c>
      <c r="K526" s="187">
        <v>101</v>
      </c>
      <c r="L526" s="187">
        <v>817</v>
      </c>
      <c r="M526" s="187" t="str">
        <f t="shared" si="52"/>
        <v>101</v>
      </c>
      <c r="N526" s="187">
        <f t="shared" si="53"/>
        <v>817</v>
      </c>
      <c r="O526" s="187" t="str">
        <f t="shared" si="54"/>
        <v>101-817</v>
      </c>
      <c r="Q526" s="679" t="s">
        <v>6357</v>
      </c>
    </row>
    <row r="527" spans="1:17">
      <c r="A527" s="788" t="s">
        <v>4921</v>
      </c>
      <c r="B527" s="187" t="s">
        <v>1045</v>
      </c>
      <c r="C527" s="215">
        <v>0</v>
      </c>
      <c r="D527" s="215">
        <v>0</v>
      </c>
      <c r="F527" s="215">
        <f t="shared" si="50"/>
        <v>0</v>
      </c>
      <c r="G527" s="215">
        <f t="shared" si="51"/>
        <v>0</v>
      </c>
      <c r="H527" s="680" t="s">
        <v>6153</v>
      </c>
      <c r="I527" s="679"/>
      <c r="J527" s="187" t="str">
        <f t="shared" si="49"/>
        <v>101-818</v>
      </c>
      <c r="K527" s="187">
        <v>101</v>
      </c>
      <c r="L527" s="187">
        <v>818</v>
      </c>
      <c r="M527" s="187" t="str">
        <f t="shared" si="52"/>
        <v>101</v>
      </c>
      <c r="N527" s="187">
        <f t="shared" si="53"/>
        <v>818</v>
      </c>
      <c r="O527" s="187" t="str">
        <f t="shared" si="54"/>
        <v>101-818</v>
      </c>
      <c r="Q527" s="679" t="s">
        <v>6358</v>
      </c>
    </row>
    <row r="528" spans="1:17">
      <c r="A528" s="788" t="s">
        <v>1046</v>
      </c>
      <c r="B528" s="187" t="s">
        <v>1047</v>
      </c>
      <c r="C528" s="215">
        <v>0</v>
      </c>
      <c r="D528" s="215">
        <v>0</v>
      </c>
      <c r="F528" s="215">
        <f t="shared" si="50"/>
        <v>0</v>
      </c>
      <c r="G528" s="215">
        <f t="shared" si="51"/>
        <v>0</v>
      </c>
      <c r="H528" s="680" t="s">
        <v>6153</v>
      </c>
      <c r="I528" s="679"/>
      <c r="J528" s="187" t="str">
        <f t="shared" si="49"/>
        <v>101-819</v>
      </c>
      <c r="K528" s="187">
        <v>101</v>
      </c>
      <c r="L528" s="187">
        <v>819</v>
      </c>
      <c r="M528" s="187" t="str">
        <f t="shared" si="52"/>
        <v>101</v>
      </c>
      <c r="N528" s="187">
        <f t="shared" si="53"/>
        <v>819</v>
      </c>
      <c r="O528" s="187" t="str">
        <f t="shared" si="54"/>
        <v>101-819</v>
      </c>
      <c r="Q528" s="679" t="s">
        <v>6359</v>
      </c>
    </row>
    <row r="529" spans="1:17">
      <c r="A529" s="788" t="s">
        <v>1048</v>
      </c>
      <c r="B529" s="187" t="s">
        <v>1049</v>
      </c>
      <c r="C529" s="215">
        <v>0</v>
      </c>
      <c r="D529" s="215">
        <v>0</v>
      </c>
      <c r="F529" s="215">
        <f t="shared" si="50"/>
        <v>0</v>
      </c>
      <c r="G529" s="215">
        <f t="shared" si="51"/>
        <v>0</v>
      </c>
      <c r="H529" s="680" t="s">
        <v>6153</v>
      </c>
      <c r="I529" s="679"/>
      <c r="J529" s="187" t="str">
        <f t="shared" si="49"/>
        <v>101-820</v>
      </c>
      <c r="K529" s="187">
        <v>101</v>
      </c>
      <c r="L529" s="187">
        <v>820</v>
      </c>
      <c r="M529" s="187" t="str">
        <f t="shared" si="52"/>
        <v>101</v>
      </c>
      <c r="N529" s="187">
        <f t="shared" si="53"/>
        <v>820</v>
      </c>
      <c r="O529" s="187" t="str">
        <f t="shared" si="54"/>
        <v>101-820</v>
      </c>
      <c r="Q529" s="679" t="s">
        <v>6360</v>
      </c>
    </row>
    <row r="530" spans="1:17">
      <c r="A530" s="788" t="s">
        <v>1050</v>
      </c>
      <c r="B530" s="187" t="s">
        <v>1051</v>
      </c>
      <c r="C530" s="215">
        <v>0</v>
      </c>
      <c r="D530" s="215">
        <v>0</v>
      </c>
      <c r="F530" s="215">
        <f t="shared" si="50"/>
        <v>0</v>
      </c>
      <c r="G530" s="215">
        <f t="shared" si="51"/>
        <v>0</v>
      </c>
      <c r="H530" s="680" t="s">
        <v>6153</v>
      </c>
      <c r="I530" s="679"/>
      <c r="J530" s="187" t="str">
        <f t="shared" si="49"/>
        <v>101-821</v>
      </c>
      <c r="K530" s="187">
        <v>101</v>
      </c>
      <c r="L530" s="187">
        <v>821</v>
      </c>
      <c r="M530" s="187" t="str">
        <f t="shared" si="52"/>
        <v>101</v>
      </c>
      <c r="N530" s="187">
        <f t="shared" si="53"/>
        <v>821</v>
      </c>
      <c r="O530" s="187" t="str">
        <f t="shared" si="54"/>
        <v>101-821</v>
      </c>
      <c r="Q530" s="679" t="s">
        <v>6361</v>
      </c>
    </row>
    <row r="531" spans="1:17">
      <c r="A531" s="788" t="s">
        <v>1052</v>
      </c>
      <c r="B531" s="187" t="s">
        <v>1053</v>
      </c>
      <c r="C531" s="215">
        <v>0</v>
      </c>
      <c r="D531" s="215">
        <v>0</v>
      </c>
      <c r="F531" s="215">
        <f t="shared" si="50"/>
        <v>0</v>
      </c>
      <c r="G531" s="215">
        <f t="shared" si="51"/>
        <v>0</v>
      </c>
      <c r="H531" s="680" t="s">
        <v>6153</v>
      </c>
      <c r="I531" s="679"/>
      <c r="J531" s="187" t="str">
        <f t="shared" si="49"/>
        <v>101-822</v>
      </c>
      <c r="K531" s="187">
        <v>101</v>
      </c>
      <c r="L531" s="187">
        <v>822</v>
      </c>
      <c r="M531" s="187" t="str">
        <f t="shared" si="52"/>
        <v>101</v>
      </c>
      <c r="N531" s="187">
        <f t="shared" si="53"/>
        <v>822</v>
      </c>
      <c r="O531" s="187" t="str">
        <f t="shared" si="54"/>
        <v>101-822</v>
      </c>
      <c r="Q531" s="679" t="s">
        <v>6362</v>
      </c>
    </row>
    <row r="532" spans="1:17">
      <c r="A532" s="788" t="s">
        <v>5109</v>
      </c>
      <c r="B532" s="187" t="s">
        <v>1054</v>
      </c>
      <c r="C532" s="215">
        <v>0</v>
      </c>
      <c r="D532" s="215">
        <v>0</v>
      </c>
      <c r="F532" s="215">
        <f t="shared" si="50"/>
        <v>0</v>
      </c>
      <c r="G532" s="215">
        <f t="shared" si="51"/>
        <v>0</v>
      </c>
      <c r="H532" s="680" t="s">
        <v>6153</v>
      </c>
      <c r="I532" s="679"/>
      <c r="J532" s="187" t="str">
        <f t="shared" si="49"/>
        <v>101-823</v>
      </c>
      <c r="K532" s="187">
        <v>101</v>
      </c>
      <c r="L532" s="187">
        <v>823</v>
      </c>
      <c r="M532" s="187" t="str">
        <f t="shared" si="52"/>
        <v>101</v>
      </c>
      <c r="N532" s="187">
        <f t="shared" si="53"/>
        <v>823</v>
      </c>
      <c r="O532" s="187" t="str">
        <f t="shared" si="54"/>
        <v>101-823</v>
      </c>
      <c r="Q532" s="679" t="s">
        <v>6363</v>
      </c>
    </row>
    <row r="533" spans="1:17">
      <c r="A533" s="788" t="s">
        <v>6364</v>
      </c>
      <c r="B533" s="187" t="s">
        <v>6365</v>
      </c>
      <c r="C533" s="215">
        <v>0</v>
      </c>
      <c r="D533" s="215">
        <v>0</v>
      </c>
      <c r="F533" s="215">
        <f t="shared" si="50"/>
        <v>0</v>
      </c>
      <c r="G533" s="215">
        <f t="shared" si="51"/>
        <v>0</v>
      </c>
      <c r="H533" s="680" t="s">
        <v>6153</v>
      </c>
      <c r="I533" s="679"/>
      <c r="J533" s="187" t="str">
        <f t="shared" si="49"/>
        <v>101-826</v>
      </c>
      <c r="K533" s="187">
        <v>101</v>
      </c>
      <c r="L533" s="187">
        <v>826</v>
      </c>
      <c r="M533" s="187" t="str">
        <f t="shared" si="52"/>
        <v>101</v>
      </c>
      <c r="N533" s="187">
        <f t="shared" si="53"/>
        <v>826</v>
      </c>
      <c r="O533" s="187" t="str">
        <f t="shared" si="54"/>
        <v>101-826</v>
      </c>
      <c r="Q533" s="679" t="s">
        <v>6366</v>
      </c>
    </row>
    <row r="534" spans="1:17">
      <c r="A534" s="788" t="s">
        <v>1055</v>
      </c>
      <c r="B534" s="187" t="s">
        <v>1056</v>
      </c>
      <c r="C534" s="215">
        <v>0</v>
      </c>
      <c r="D534" s="215">
        <v>0</v>
      </c>
      <c r="F534" s="215">
        <f t="shared" si="50"/>
        <v>0</v>
      </c>
      <c r="G534" s="215">
        <f t="shared" si="51"/>
        <v>0</v>
      </c>
      <c r="H534" s="680" t="s">
        <v>6153</v>
      </c>
      <c r="I534" s="679"/>
      <c r="J534" s="187" t="str">
        <f t="shared" si="49"/>
        <v>101-827</v>
      </c>
      <c r="K534" s="187">
        <v>101</v>
      </c>
      <c r="L534" s="187">
        <v>827</v>
      </c>
      <c r="M534" s="187" t="str">
        <f t="shared" si="52"/>
        <v>101</v>
      </c>
      <c r="N534" s="187">
        <f t="shared" si="53"/>
        <v>827</v>
      </c>
      <c r="O534" s="187" t="str">
        <f t="shared" si="54"/>
        <v>101-827</v>
      </c>
      <c r="Q534" s="679" t="s">
        <v>6367</v>
      </c>
    </row>
    <row r="535" spans="1:17">
      <c r="A535" s="788" t="s">
        <v>1057</v>
      </c>
      <c r="B535" s="187" t="s">
        <v>1058</v>
      </c>
      <c r="C535" s="215">
        <v>0</v>
      </c>
      <c r="D535" s="215">
        <v>0</v>
      </c>
      <c r="F535" s="215">
        <f t="shared" si="50"/>
        <v>0</v>
      </c>
      <c r="G535" s="215">
        <f t="shared" si="51"/>
        <v>0</v>
      </c>
      <c r="H535" s="680" t="s">
        <v>6153</v>
      </c>
      <c r="I535" s="679"/>
      <c r="J535" s="187" t="str">
        <f t="shared" si="49"/>
        <v>101-828</v>
      </c>
      <c r="K535" s="187">
        <v>101</v>
      </c>
      <c r="L535" s="187">
        <v>828</v>
      </c>
      <c r="M535" s="187" t="str">
        <f t="shared" si="52"/>
        <v>101</v>
      </c>
      <c r="N535" s="187">
        <f t="shared" si="53"/>
        <v>828</v>
      </c>
      <c r="O535" s="187" t="str">
        <f t="shared" si="54"/>
        <v>101-828</v>
      </c>
      <c r="Q535" s="679" t="s">
        <v>6368</v>
      </c>
    </row>
    <row r="536" spans="1:17">
      <c r="A536" s="788" t="s">
        <v>1059</v>
      </c>
      <c r="B536" s="187" t="s">
        <v>1060</v>
      </c>
      <c r="C536" s="215">
        <v>0</v>
      </c>
      <c r="D536" s="215">
        <v>0</v>
      </c>
      <c r="F536" s="215">
        <f t="shared" si="50"/>
        <v>0</v>
      </c>
      <c r="G536" s="215">
        <f t="shared" si="51"/>
        <v>0</v>
      </c>
      <c r="H536" s="680" t="s">
        <v>6153</v>
      </c>
      <c r="I536" s="679"/>
      <c r="J536" s="187" t="str">
        <f t="shared" si="49"/>
        <v>101-829</v>
      </c>
      <c r="K536" s="187">
        <v>101</v>
      </c>
      <c r="L536" s="187">
        <v>829</v>
      </c>
      <c r="M536" s="187" t="str">
        <f t="shared" si="52"/>
        <v>101</v>
      </c>
      <c r="N536" s="187">
        <f t="shared" si="53"/>
        <v>829</v>
      </c>
      <c r="O536" s="187" t="str">
        <f t="shared" si="54"/>
        <v>101-829</v>
      </c>
      <c r="Q536" s="679" t="s">
        <v>6369</v>
      </c>
    </row>
    <row r="537" spans="1:17">
      <c r="A537" s="788" t="s">
        <v>1061</v>
      </c>
      <c r="B537" s="187" t="s">
        <v>1062</v>
      </c>
      <c r="C537" s="215">
        <v>0</v>
      </c>
      <c r="D537" s="215">
        <v>0</v>
      </c>
      <c r="F537" s="215">
        <f t="shared" si="50"/>
        <v>0</v>
      </c>
      <c r="G537" s="215">
        <f t="shared" si="51"/>
        <v>0</v>
      </c>
      <c r="H537" s="680" t="s">
        <v>6153</v>
      </c>
      <c r="I537" s="679"/>
      <c r="J537" s="187" t="str">
        <f t="shared" si="49"/>
        <v>101-830</v>
      </c>
      <c r="K537" s="187">
        <v>101</v>
      </c>
      <c r="L537" s="187">
        <v>830</v>
      </c>
      <c r="M537" s="187" t="str">
        <f t="shared" si="52"/>
        <v>101</v>
      </c>
      <c r="N537" s="187">
        <f t="shared" si="53"/>
        <v>830</v>
      </c>
      <c r="O537" s="187" t="str">
        <f t="shared" si="54"/>
        <v>101-830</v>
      </c>
      <c r="Q537" s="679" t="s">
        <v>6370</v>
      </c>
    </row>
    <row r="538" spans="1:17">
      <c r="A538" s="788" t="s">
        <v>5111</v>
      </c>
      <c r="B538" s="187" t="s">
        <v>5112</v>
      </c>
      <c r="C538" s="215">
        <v>0</v>
      </c>
      <c r="D538" s="215">
        <v>0</v>
      </c>
      <c r="F538" s="215">
        <f t="shared" si="50"/>
        <v>0</v>
      </c>
      <c r="G538" s="215">
        <f t="shared" si="51"/>
        <v>0</v>
      </c>
      <c r="H538" s="680" t="s">
        <v>6153</v>
      </c>
      <c r="I538" s="679"/>
      <c r="J538" s="187" t="str">
        <f t="shared" si="49"/>
        <v>101-831</v>
      </c>
      <c r="K538" s="187">
        <v>101</v>
      </c>
      <c r="L538" s="187">
        <v>831</v>
      </c>
      <c r="M538" s="187" t="str">
        <f t="shared" si="52"/>
        <v>101</v>
      </c>
      <c r="N538" s="187">
        <f t="shared" si="53"/>
        <v>831</v>
      </c>
      <c r="O538" s="187" t="str">
        <f t="shared" si="54"/>
        <v>101-831</v>
      </c>
      <c r="Q538" s="679" t="s">
        <v>6371</v>
      </c>
    </row>
    <row r="539" spans="1:17">
      <c r="A539" s="788" t="s">
        <v>1063</v>
      </c>
      <c r="B539" s="187" t="s">
        <v>1064</v>
      </c>
      <c r="C539" s="215">
        <v>0</v>
      </c>
      <c r="D539" s="215">
        <v>0</v>
      </c>
      <c r="F539" s="215">
        <f t="shared" si="50"/>
        <v>0</v>
      </c>
      <c r="G539" s="215">
        <f t="shared" si="51"/>
        <v>0</v>
      </c>
      <c r="H539" s="680" t="s">
        <v>6153</v>
      </c>
      <c r="I539" s="679"/>
      <c r="J539" s="187" t="str">
        <f t="shared" si="49"/>
        <v>101-833</v>
      </c>
      <c r="K539" s="187">
        <v>101</v>
      </c>
      <c r="L539" s="187">
        <v>833</v>
      </c>
      <c r="M539" s="187" t="str">
        <f t="shared" si="52"/>
        <v>101</v>
      </c>
      <c r="N539" s="187">
        <f t="shared" si="53"/>
        <v>833</v>
      </c>
      <c r="O539" s="187" t="str">
        <f t="shared" si="54"/>
        <v>101-833</v>
      </c>
      <c r="Q539" s="679" t="s">
        <v>6372</v>
      </c>
    </row>
    <row r="540" spans="1:17">
      <c r="A540" s="788" t="s">
        <v>1065</v>
      </c>
      <c r="B540" s="187" t="s">
        <v>1066</v>
      </c>
      <c r="C540" s="215">
        <v>0</v>
      </c>
      <c r="D540" s="215">
        <v>0</v>
      </c>
      <c r="F540" s="215">
        <f t="shared" si="50"/>
        <v>0</v>
      </c>
      <c r="G540" s="215">
        <f t="shared" si="51"/>
        <v>0</v>
      </c>
      <c r="H540" s="680" t="s">
        <v>6153</v>
      </c>
      <c r="I540" s="679"/>
      <c r="J540" s="187" t="str">
        <f t="shared" si="49"/>
        <v>101-834</v>
      </c>
      <c r="K540" s="187">
        <v>101</v>
      </c>
      <c r="L540" s="187">
        <v>834</v>
      </c>
      <c r="M540" s="187" t="str">
        <f t="shared" si="52"/>
        <v>101</v>
      </c>
      <c r="N540" s="187">
        <f t="shared" si="53"/>
        <v>834</v>
      </c>
      <c r="O540" s="187" t="str">
        <f t="shared" si="54"/>
        <v>101-834</v>
      </c>
      <c r="Q540" s="679" t="s">
        <v>6373</v>
      </c>
    </row>
    <row r="541" spans="1:17">
      <c r="A541" s="788" t="s">
        <v>1067</v>
      </c>
      <c r="B541" s="187" t="s">
        <v>1068</v>
      </c>
      <c r="C541" s="215">
        <v>0</v>
      </c>
      <c r="D541" s="215">
        <v>0</v>
      </c>
      <c r="F541" s="215">
        <f t="shared" si="50"/>
        <v>0</v>
      </c>
      <c r="G541" s="215">
        <f t="shared" si="51"/>
        <v>0</v>
      </c>
      <c r="H541" s="680" t="s">
        <v>6153</v>
      </c>
      <c r="I541" s="679"/>
      <c r="J541" s="187" t="str">
        <f t="shared" si="49"/>
        <v>101-835</v>
      </c>
      <c r="K541" s="187">
        <v>101</v>
      </c>
      <c r="L541" s="187">
        <v>835</v>
      </c>
      <c r="M541" s="187" t="str">
        <f t="shared" si="52"/>
        <v>101</v>
      </c>
      <c r="N541" s="187">
        <f t="shared" si="53"/>
        <v>835</v>
      </c>
      <c r="O541" s="187" t="str">
        <f t="shared" si="54"/>
        <v>101-835</v>
      </c>
      <c r="Q541" s="679" t="s">
        <v>6374</v>
      </c>
    </row>
    <row r="542" spans="1:17">
      <c r="A542" s="788" t="s">
        <v>5113</v>
      </c>
      <c r="B542" s="187" t="s">
        <v>1069</v>
      </c>
      <c r="C542" s="215">
        <v>0</v>
      </c>
      <c r="D542" s="215">
        <v>0</v>
      </c>
      <c r="F542" s="215">
        <f t="shared" si="50"/>
        <v>0</v>
      </c>
      <c r="G542" s="215">
        <f t="shared" si="51"/>
        <v>0</v>
      </c>
      <c r="H542" s="680" t="s">
        <v>6153</v>
      </c>
      <c r="I542" s="679"/>
      <c r="J542" s="187" t="str">
        <f t="shared" si="49"/>
        <v>101-837</v>
      </c>
      <c r="K542" s="187">
        <v>101</v>
      </c>
      <c r="L542" s="187">
        <v>837</v>
      </c>
      <c r="M542" s="187" t="str">
        <f t="shared" si="52"/>
        <v>101</v>
      </c>
      <c r="N542" s="187">
        <f t="shared" si="53"/>
        <v>837</v>
      </c>
      <c r="O542" s="187" t="str">
        <f t="shared" si="54"/>
        <v>101-837</v>
      </c>
      <c r="Q542" s="679" t="s">
        <v>6375</v>
      </c>
    </row>
    <row r="543" spans="1:17">
      <c r="A543" s="788" t="s">
        <v>1070</v>
      </c>
      <c r="B543" s="187" t="s">
        <v>1071</v>
      </c>
      <c r="C543" s="215">
        <v>0</v>
      </c>
      <c r="D543" s="215">
        <v>0</v>
      </c>
      <c r="F543" s="215">
        <f t="shared" si="50"/>
        <v>0</v>
      </c>
      <c r="G543" s="215">
        <f t="shared" si="51"/>
        <v>0</v>
      </c>
      <c r="H543" s="680" t="s">
        <v>6153</v>
      </c>
      <c r="I543" s="679"/>
      <c r="J543" s="187" t="str">
        <f t="shared" si="49"/>
        <v>101-838</v>
      </c>
      <c r="K543" s="187">
        <v>101</v>
      </c>
      <c r="L543" s="187">
        <v>838</v>
      </c>
      <c r="M543" s="187" t="str">
        <f t="shared" si="52"/>
        <v>101</v>
      </c>
      <c r="N543" s="187">
        <f t="shared" si="53"/>
        <v>838</v>
      </c>
      <c r="O543" s="187" t="str">
        <f t="shared" si="54"/>
        <v>101-838</v>
      </c>
      <c r="Q543" s="679" t="s">
        <v>6376</v>
      </c>
    </row>
    <row r="544" spans="1:17">
      <c r="A544" s="788" t="s">
        <v>1982</v>
      </c>
      <c r="B544" s="187" t="s">
        <v>1072</v>
      </c>
      <c r="C544" s="215">
        <v>0</v>
      </c>
      <c r="D544" s="215">
        <v>0</v>
      </c>
      <c r="F544" s="215">
        <f t="shared" si="50"/>
        <v>0</v>
      </c>
      <c r="G544" s="215">
        <f t="shared" si="51"/>
        <v>0</v>
      </c>
      <c r="H544" s="680" t="s">
        <v>6153</v>
      </c>
      <c r="I544" s="679"/>
      <c r="J544" s="187" t="str">
        <f t="shared" si="49"/>
        <v>101-840</v>
      </c>
      <c r="K544" s="187">
        <v>101</v>
      </c>
      <c r="L544" s="187">
        <v>840</v>
      </c>
      <c r="M544" s="187" t="str">
        <f t="shared" si="52"/>
        <v>101</v>
      </c>
      <c r="N544" s="187">
        <f t="shared" si="53"/>
        <v>840</v>
      </c>
      <c r="O544" s="187" t="str">
        <f t="shared" si="54"/>
        <v>101-840</v>
      </c>
      <c r="Q544" s="679" t="s">
        <v>6377</v>
      </c>
    </row>
    <row r="545" spans="1:17">
      <c r="A545" s="788" t="s">
        <v>6378</v>
      </c>
      <c r="B545" s="187" t="s">
        <v>6379</v>
      </c>
      <c r="C545" s="215">
        <v>0</v>
      </c>
      <c r="D545" s="215">
        <v>0</v>
      </c>
      <c r="F545" s="215">
        <f t="shared" si="50"/>
        <v>0</v>
      </c>
      <c r="G545" s="215">
        <f t="shared" si="51"/>
        <v>0</v>
      </c>
      <c r="H545" s="680" t="s">
        <v>6153</v>
      </c>
      <c r="I545" s="679"/>
      <c r="J545" s="187" t="str">
        <f t="shared" si="49"/>
        <v>101-841</v>
      </c>
      <c r="K545" s="187">
        <v>101</v>
      </c>
      <c r="L545" s="187">
        <v>841</v>
      </c>
      <c r="M545" s="187" t="str">
        <f t="shared" si="52"/>
        <v>101</v>
      </c>
      <c r="N545" s="187">
        <f t="shared" si="53"/>
        <v>841</v>
      </c>
      <c r="O545" s="187" t="str">
        <f t="shared" si="54"/>
        <v>101-841</v>
      </c>
      <c r="Q545" s="679" t="s">
        <v>6380</v>
      </c>
    </row>
    <row r="546" spans="1:17">
      <c r="A546" s="788" t="s">
        <v>1984</v>
      </c>
      <c r="B546" s="187" t="s">
        <v>1073</v>
      </c>
      <c r="C546" s="215">
        <v>0</v>
      </c>
      <c r="D546" s="215">
        <v>0</v>
      </c>
      <c r="F546" s="215">
        <f t="shared" si="50"/>
        <v>0</v>
      </c>
      <c r="G546" s="215">
        <f t="shared" si="51"/>
        <v>0</v>
      </c>
      <c r="H546" s="680" t="s">
        <v>6153</v>
      </c>
      <c r="I546" s="679"/>
      <c r="J546" s="187" t="str">
        <f t="shared" ref="J546:J609" si="55">+A546</f>
        <v>101-842</v>
      </c>
      <c r="K546" s="187">
        <v>101</v>
      </c>
      <c r="L546" s="187">
        <v>842</v>
      </c>
      <c r="M546" s="187" t="str">
        <f t="shared" si="52"/>
        <v>101</v>
      </c>
      <c r="N546" s="187">
        <f t="shared" si="53"/>
        <v>842</v>
      </c>
      <c r="O546" s="187" t="str">
        <f t="shared" si="54"/>
        <v>101-842</v>
      </c>
      <c r="Q546" s="679" t="s">
        <v>6381</v>
      </c>
    </row>
    <row r="547" spans="1:17">
      <c r="A547" s="788" t="s">
        <v>1074</v>
      </c>
      <c r="B547" s="187" t="s">
        <v>1075</v>
      </c>
      <c r="C547" s="215">
        <v>0</v>
      </c>
      <c r="D547" s="215">
        <v>0</v>
      </c>
      <c r="F547" s="215">
        <f t="shared" si="50"/>
        <v>0</v>
      </c>
      <c r="G547" s="215">
        <f t="shared" si="51"/>
        <v>0</v>
      </c>
      <c r="H547" s="680" t="s">
        <v>6153</v>
      </c>
      <c r="I547" s="679"/>
      <c r="J547" s="187" t="str">
        <f t="shared" si="55"/>
        <v>101-843</v>
      </c>
      <c r="K547" s="187">
        <v>101</v>
      </c>
      <c r="L547" s="187">
        <v>843</v>
      </c>
      <c r="M547" s="187" t="str">
        <f t="shared" si="52"/>
        <v>101</v>
      </c>
      <c r="N547" s="187">
        <f t="shared" si="53"/>
        <v>843</v>
      </c>
      <c r="O547" s="187" t="str">
        <f t="shared" si="54"/>
        <v>101-843</v>
      </c>
      <c r="Q547" s="679" t="s">
        <v>6382</v>
      </c>
    </row>
    <row r="548" spans="1:17">
      <c r="A548" s="788" t="s">
        <v>6383</v>
      </c>
      <c r="B548" s="187" t="s">
        <v>6384</v>
      </c>
      <c r="C548" s="215">
        <v>0</v>
      </c>
      <c r="D548" s="215">
        <v>0</v>
      </c>
      <c r="F548" s="215">
        <f t="shared" si="50"/>
        <v>0</v>
      </c>
      <c r="G548" s="215">
        <f t="shared" si="51"/>
        <v>0</v>
      </c>
      <c r="H548" s="680" t="s">
        <v>6153</v>
      </c>
      <c r="I548" s="679"/>
      <c r="J548" s="187" t="str">
        <f t="shared" si="55"/>
        <v>101-844</v>
      </c>
      <c r="K548" s="187">
        <v>101</v>
      </c>
      <c r="L548" s="187">
        <v>844</v>
      </c>
      <c r="M548" s="187" t="str">
        <f t="shared" si="52"/>
        <v>101</v>
      </c>
      <c r="N548" s="187">
        <f t="shared" si="53"/>
        <v>844</v>
      </c>
      <c r="O548" s="187" t="str">
        <f t="shared" si="54"/>
        <v>101-844</v>
      </c>
      <c r="Q548" s="679" t="s">
        <v>6385</v>
      </c>
    </row>
    <row r="549" spans="1:17">
      <c r="A549" s="788" t="s">
        <v>1076</v>
      </c>
      <c r="B549" s="187" t="s">
        <v>1077</v>
      </c>
      <c r="C549" s="215">
        <v>0</v>
      </c>
      <c r="D549" s="215">
        <v>0</v>
      </c>
      <c r="F549" s="215">
        <f t="shared" si="50"/>
        <v>0</v>
      </c>
      <c r="G549" s="215">
        <f t="shared" si="51"/>
        <v>0</v>
      </c>
      <c r="H549" s="680" t="s">
        <v>6153</v>
      </c>
      <c r="I549" s="679"/>
      <c r="J549" s="187" t="str">
        <f t="shared" si="55"/>
        <v>101-845</v>
      </c>
      <c r="K549" s="187">
        <v>101</v>
      </c>
      <c r="L549" s="187">
        <v>845</v>
      </c>
      <c r="M549" s="187" t="str">
        <f t="shared" si="52"/>
        <v>101</v>
      </c>
      <c r="N549" s="187">
        <f t="shared" si="53"/>
        <v>845</v>
      </c>
      <c r="O549" s="187" t="str">
        <f t="shared" si="54"/>
        <v>101-845</v>
      </c>
      <c r="Q549" s="679" t="s">
        <v>6386</v>
      </c>
    </row>
    <row r="550" spans="1:17">
      <c r="A550" s="788" t="s">
        <v>1986</v>
      </c>
      <c r="B550" s="187" t="s">
        <v>1987</v>
      </c>
      <c r="C550" s="215">
        <v>0</v>
      </c>
      <c r="D550" s="215">
        <v>0</v>
      </c>
      <c r="F550" s="215">
        <f t="shared" si="50"/>
        <v>0</v>
      </c>
      <c r="G550" s="215">
        <f t="shared" si="51"/>
        <v>0</v>
      </c>
      <c r="H550" s="680" t="s">
        <v>6153</v>
      </c>
      <c r="I550" s="679"/>
      <c r="J550" s="187" t="str">
        <f t="shared" si="55"/>
        <v>101-846</v>
      </c>
      <c r="K550" s="187">
        <v>101</v>
      </c>
      <c r="L550" s="187">
        <v>846</v>
      </c>
      <c r="M550" s="187" t="str">
        <f t="shared" si="52"/>
        <v>101</v>
      </c>
      <c r="N550" s="187">
        <f t="shared" si="53"/>
        <v>846</v>
      </c>
      <c r="O550" s="187" t="str">
        <f t="shared" si="54"/>
        <v>101-846</v>
      </c>
      <c r="Q550" s="679" t="s">
        <v>6387</v>
      </c>
    </row>
    <row r="551" spans="1:17">
      <c r="A551" s="788" t="s">
        <v>1078</v>
      </c>
      <c r="B551" s="187" t="s">
        <v>1079</v>
      </c>
      <c r="C551" s="215">
        <v>0</v>
      </c>
      <c r="D551" s="215">
        <v>0</v>
      </c>
      <c r="F551" s="215">
        <f t="shared" si="50"/>
        <v>0</v>
      </c>
      <c r="G551" s="215">
        <f t="shared" si="51"/>
        <v>0</v>
      </c>
      <c r="H551" s="680" t="s">
        <v>6153</v>
      </c>
      <c r="I551" s="679"/>
      <c r="J551" s="187" t="str">
        <f t="shared" si="55"/>
        <v>101-847</v>
      </c>
      <c r="K551" s="187">
        <v>101</v>
      </c>
      <c r="L551" s="187">
        <v>847</v>
      </c>
      <c r="M551" s="187" t="str">
        <f t="shared" si="52"/>
        <v>101</v>
      </c>
      <c r="N551" s="187">
        <f t="shared" si="53"/>
        <v>847</v>
      </c>
      <c r="O551" s="187" t="str">
        <f t="shared" si="54"/>
        <v>101-847</v>
      </c>
      <c r="Q551" s="679" t="s">
        <v>6388</v>
      </c>
    </row>
    <row r="552" spans="1:17">
      <c r="A552" s="788" t="s">
        <v>1080</v>
      </c>
      <c r="B552" s="187" t="s">
        <v>1081</v>
      </c>
      <c r="C552" s="215">
        <v>0</v>
      </c>
      <c r="D552" s="215">
        <v>0</v>
      </c>
      <c r="F552" s="215">
        <f t="shared" si="50"/>
        <v>0</v>
      </c>
      <c r="G552" s="215">
        <f t="shared" si="51"/>
        <v>0</v>
      </c>
      <c r="H552" s="680" t="s">
        <v>6153</v>
      </c>
      <c r="I552" s="679"/>
      <c r="J552" s="187" t="str">
        <f t="shared" si="55"/>
        <v>101-848</v>
      </c>
      <c r="K552" s="187">
        <v>101</v>
      </c>
      <c r="L552" s="187">
        <v>848</v>
      </c>
      <c r="M552" s="187" t="str">
        <f t="shared" si="52"/>
        <v>101</v>
      </c>
      <c r="N552" s="187">
        <f t="shared" si="53"/>
        <v>848</v>
      </c>
      <c r="O552" s="187" t="str">
        <f t="shared" si="54"/>
        <v>101-848</v>
      </c>
      <c r="Q552" s="679" t="s">
        <v>6389</v>
      </c>
    </row>
    <row r="553" spans="1:17">
      <c r="A553" s="788" t="s">
        <v>1082</v>
      </c>
      <c r="B553" s="187" t="s">
        <v>1083</v>
      </c>
      <c r="C553" s="215">
        <v>0</v>
      </c>
      <c r="D553" s="215">
        <v>0</v>
      </c>
      <c r="F553" s="215">
        <f t="shared" si="50"/>
        <v>0</v>
      </c>
      <c r="G553" s="215">
        <f t="shared" si="51"/>
        <v>0</v>
      </c>
      <c r="H553" s="680" t="s">
        <v>6153</v>
      </c>
      <c r="I553" s="679"/>
      <c r="J553" s="187" t="str">
        <f t="shared" si="55"/>
        <v>101-849</v>
      </c>
      <c r="K553" s="187">
        <v>101</v>
      </c>
      <c r="L553" s="187">
        <v>849</v>
      </c>
      <c r="M553" s="187" t="str">
        <f t="shared" si="52"/>
        <v>101</v>
      </c>
      <c r="N553" s="187">
        <f t="shared" si="53"/>
        <v>849</v>
      </c>
      <c r="O553" s="187" t="str">
        <f t="shared" si="54"/>
        <v>101-849</v>
      </c>
      <c r="Q553" s="679" t="s">
        <v>6390</v>
      </c>
    </row>
    <row r="554" spans="1:17">
      <c r="A554" s="788" t="s">
        <v>1084</v>
      </c>
      <c r="B554" s="187" t="s">
        <v>1085</v>
      </c>
      <c r="C554" s="215">
        <v>0</v>
      </c>
      <c r="D554" s="215">
        <v>0</v>
      </c>
      <c r="F554" s="215">
        <f t="shared" si="50"/>
        <v>0</v>
      </c>
      <c r="G554" s="215">
        <f t="shared" si="51"/>
        <v>0</v>
      </c>
      <c r="H554" s="680" t="s">
        <v>6153</v>
      </c>
      <c r="I554" s="679"/>
      <c r="J554" s="187" t="str">
        <f t="shared" si="55"/>
        <v>101-850</v>
      </c>
      <c r="K554" s="187">
        <v>101</v>
      </c>
      <c r="L554" s="187">
        <v>850</v>
      </c>
      <c r="M554" s="187" t="str">
        <f t="shared" si="52"/>
        <v>101</v>
      </c>
      <c r="N554" s="187">
        <f t="shared" si="53"/>
        <v>850</v>
      </c>
      <c r="O554" s="187" t="str">
        <f t="shared" si="54"/>
        <v>101-850</v>
      </c>
      <c r="Q554" s="679" t="s">
        <v>6391</v>
      </c>
    </row>
    <row r="555" spans="1:17">
      <c r="A555" s="788" t="s">
        <v>1086</v>
      </c>
      <c r="B555" s="187" t="s">
        <v>1087</v>
      </c>
      <c r="C555" s="215">
        <v>0</v>
      </c>
      <c r="D555" s="215">
        <v>0</v>
      </c>
      <c r="F555" s="215">
        <f t="shared" si="50"/>
        <v>0</v>
      </c>
      <c r="G555" s="215">
        <f t="shared" si="51"/>
        <v>0</v>
      </c>
      <c r="H555" s="680" t="s">
        <v>6153</v>
      </c>
      <c r="I555" s="679"/>
      <c r="J555" s="187" t="str">
        <f t="shared" si="55"/>
        <v>101-851</v>
      </c>
      <c r="K555" s="187">
        <v>101</v>
      </c>
      <c r="L555" s="187">
        <v>851</v>
      </c>
      <c r="M555" s="187" t="str">
        <f t="shared" si="52"/>
        <v>101</v>
      </c>
      <c r="N555" s="187">
        <f t="shared" si="53"/>
        <v>851</v>
      </c>
      <c r="O555" s="187" t="str">
        <f t="shared" si="54"/>
        <v>101-851</v>
      </c>
      <c r="Q555" s="679" t="s">
        <v>6392</v>
      </c>
    </row>
    <row r="556" spans="1:17">
      <c r="A556" s="788" t="s">
        <v>1088</v>
      </c>
      <c r="B556" s="187" t="s">
        <v>1089</v>
      </c>
      <c r="C556" s="215">
        <v>0</v>
      </c>
      <c r="D556" s="215">
        <v>0</v>
      </c>
      <c r="F556" s="215">
        <f t="shared" si="50"/>
        <v>0</v>
      </c>
      <c r="G556" s="215">
        <f t="shared" si="51"/>
        <v>0</v>
      </c>
      <c r="H556" s="680" t="s">
        <v>6153</v>
      </c>
      <c r="I556" s="679"/>
      <c r="J556" s="187" t="str">
        <f t="shared" si="55"/>
        <v>101-852</v>
      </c>
      <c r="K556" s="187">
        <v>101</v>
      </c>
      <c r="L556" s="187">
        <v>852</v>
      </c>
      <c r="M556" s="187" t="str">
        <f t="shared" si="52"/>
        <v>101</v>
      </c>
      <c r="N556" s="187">
        <f t="shared" si="53"/>
        <v>852</v>
      </c>
      <c r="O556" s="187" t="str">
        <f t="shared" si="54"/>
        <v>101-852</v>
      </c>
      <c r="Q556" s="679" t="s">
        <v>6393</v>
      </c>
    </row>
    <row r="557" spans="1:17">
      <c r="A557" s="788" t="s">
        <v>1090</v>
      </c>
      <c r="B557" s="187" t="s">
        <v>1091</v>
      </c>
      <c r="C557" s="215">
        <v>0</v>
      </c>
      <c r="D557" s="215">
        <v>0</v>
      </c>
      <c r="F557" s="215">
        <f t="shared" si="50"/>
        <v>0</v>
      </c>
      <c r="G557" s="215">
        <f t="shared" si="51"/>
        <v>0</v>
      </c>
      <c r="H557" s="680" t="s">
        <v>6153</v>
      </c>
      <c r="I557" s="679"/>
      <c r="J557" s="187" t="str">
        <f t="shared" si="55"/>
        <v>101-853</v>
      </c>
      <c r="K557" s="187">
        <v>101</v>
      </c>
      <c r="L557" s="187">
        <v>853</v>
      </c>
      <c r="M557" s="187" t="str">
        <f t="shared" si="52"/>
        <v>101</v>
      </c>
      <c r="N557" s="187">
        <f t="shared" si="53"/>
        <v>853</v>
      </c>
      <c r="O557" s="187" t="str">
        <f t="shared" si="54"/>
        <v>101-853</v>
      </c>
      <c r="Q557" s="679" t="s">
        <v>6394</v>
      </c>
    </row>
    <row r="558" spans="1:17">
      <c r="A558" s="788" t="s">
        <v>1092</v>
      </c>
      <c r="B558" s="187" t="s">
        <v>1093</v>
      </c>
      <c r="C558" s="215">
        <v>0</v>
      </c>
      <c r="D558" s="215">
        <v>0</v>
      </c>
      <c r="F558" s="215">
        <f t="shared" si="50"/>
        <v>0</v>
      </c>
      <c r="G558" s="215">
        <f t="shared" si="51"/>
        <v>0</v>
      </c>
      <c r="H558" s="680" t="s">
        <v>6153</v>
      </c>
      <c r="I558" s="679"/>
      <c r="J558" s="187" t="str">
        <f t="shared" si="55"/>
        <v>101-854</v>
      </c>
      <c r="K558" s="187">
        <v>101</v>
      </c>
      <c r="L558" s="187">
        <v>854</v>
      </c>
      <c r="M558" s="187" t="str">
        <f t="shared" si="52"/>
        <v>101</v>
      </c>
      <c r="N558" s="187">
        <f t="shared" si="53"/>
        <v>854</v>
      </c>
      <c r="O558" s="187" t="str">
        <f t="shared" si="54"/>
        <v>101-854</v>
      </c>
      <c r="Q558" s="679" t="s">
        <v>6395</v>
      </c>
    </row>
    <row r="559" spans="1:17">
      <c r="A559" s="788" t="s">
        <v>1094</v>
      </c>
      <c r="B559" s="187" t="s">
        <v>1095</v>
      </c>
      <c r="C559" s="215">
        <v>0</v>
      </c>
      <c r="D559" s="215">
        <v>0</v>
      </c>
      <c r="F559" s="215">
        <f t="shared" si="50"/>
        <v>0</v>
      </c>
      <c r="G559" s="215">
        <f t="shared" si="51"/>
        <v>0</v>
      </c>
      <c r="H559" s="680" t="s">
        <v>6153</v>
      </c>
      <c r="I559" s="679"/>
      <c r="J559" s="187" t="str">
        <f t="shared" si="55"/>
        <v>101-855</v>
      </c>
      <c r="K559" s="187">
        <v>101</v>
      </c>
      <c r="L559" s="187">
        <v>855</v>
      </c>
      <c r="M559" s="187" t="str">
        <f t="shared" si="52"/>
        <v>101</v>
      </c>
      <c r="N559" s="187">
        <f t="shared" si="53"/>
        <v>855</v>
      </c>
      <c r="O559" s="187" t="str">
        <f t="shared" si="54"/>
        <v>101-855</v>
      </c>
      <c r="Q559" s="679" t="s">
        <v>6396</v>
      </c>
    </row>
    <row r="560" spans="1:17">
      <c r="A560" s="788" t="s">
        <v>1096</v>
      </c>
      <c r="B560" s="187" t="s">
        <v>1097</v>
      </c>
      <c r="C560" s="215">
        <v>0</v>
      </c>
      <c r="D560" s="215">
        <v>0</v>
      </c>
      <c r="F560" s="215">
        <f t="shared" si="50"/>
        <v>0</v>
      </c>
      <c r="G560" s="215">
        <f t="shared" si="51"/>
        <v>0</v>
      </c>
      <c r="H560" s="680" t="s">
        <v>6153</v>
      </c>
      <c r="I560" s="679"/>
      <c r="J560" s="187" t="str">
        <f t="shared" si="55"/>
        <v>101-856</v>
      </c>
      <c r="K560" s="187">
        <v>101</v>
      </c>
      <c r="L560" s="187">
        <v>856</v>
      </c>
      <c r="M560" s="187" t="str">
        <f t="shared" si="52"/>
        <v>101</v>
      </c>
      <c r="N560" s="187">
        <f t="shared" si="53"/>
        <v>856</v>
      </c>
      <c r="O560" s="187" t="str">
        <f t="shared" si="54"/>
        <v>101-856</v>
      </c>
      <c r="Q560" s="679" t="s">
        <v>6397</v>
      </c>
    </row>
    <row r="561" spans="1:17">
      <c r="A561" s="788" t="s">
        <v>819</v>
      </c>
      <c r="B561" s="187" t="s">
        <v>3901</v>
      </c>
      <c r="C561" s="215">
        <v>9797385</v>
      </c>
      <c r="D561" s="215">
        <v>141553610</v>
      </c>
      <c r="E561" s="215">
        <v>831051</v>
      </c>
      <c r="F561" s="215">
        <f t="shared" si="50"/>
        <v>142384661</v>
      </c>
      <c r="G561" s="215">
        <f t="shared" si="51"/>
        <v>152182046</v>
      </c>
      <c r="H561" s="680" t="s">
        <v>6153</v>
      </c>
      <c r="I561" s="679"/>
      <c r="J561" s="187" t="str">
        <f t="shared" si="55"/>
        <v>101-902</v>
      </c>
      <c r="K561" s="187">
        <v>101</v>
      </c>
      <c r="L561" s="187">
        <v>902</v>
      </c>
      <c r="M561" s="187" t="str">
        <f t="shared" si="52"/>
        <v>101</v>
      </c>
      <c r="N561" s="187">
        <f t="shared" si="53"/>
        <v>902</v>
      </c>
      <c r="O561" s="187" t="str">
        <f t="shared" si="54"/>
        <v>101-902</v>
      </c>
      <c r="Q561" s="679" t="s">
        <v>7478</v>
      </c>
    </row>
    <row r="562" spans="1:17">
      <c r="A562" s="788" t="s">
        <v>3887</v>
      </c>
      <c r="B562" s="187" t="s">
        <v>1844</v>
      </c>
      <c r="C562" s="215">
        <v>18873330</v>
      </c>
      <c r="D562" s="215">
        <v>126013396</v>
      </c>
      <c r="F562" s="215">
        <f t="shared" si="50"/>
        <v>126013396</v>
      </c>
      <c r="G562" s="215">
        <f t="shared" si="51"/>
        <v>144886726</v>
      </c>
      <c r="H562" s="680" t="s">
        <v>6153</v>
      </c>
      <c r="I562" s="679"/>
      <c r="J562" s="187" t="str">
        <f t="shared" si="55"/>
        <v>101-903</v>
      </c>
      <c r="K562" s="187">
        <v>101</v>
      </c>
      <c r="L562" s="187">
        <v>903</v>
      </c>
      <c r="M562" s="187" t="str">
        <f t="shared" si="52"/>
        <v>101</v>
      </c>
      <c r="N562" s="187">
        <f t="shared" si="53"/>
        <v>903</v>
      </c>
      <c r="O562" s="187" t="str">
        <f t="shared" si="54"/>
        <v>101-903</v>
      </c>
      <c r="Q562" s="679" t="s">
        <v>7479</v>
      </c>
    </row>
    <row r="563" spans="1:17">
      <c r="A563" s="788" t="s">
        <v>1988</v>
      </c>
      <c r="B563" s="187" t="s">
        <v>303</v>
      </c>
      <c r="C563" s="215">
        <v>3523821</v>
      </c>
      <c r="D563" s="215">
        <v>25254838</v>
      </c>
      <c r="F563" s="215">
        <f t="shared" si="50"/>
        <v>25254838</v>
      </c>
      <c r="G563" s="215">
        <f t="shared" si="51"/>
        <v>28778659</v>
      </c>
      <c r="H563" s="680" t="s">
        <v>6153</v>
      </c>
      <c r="I563" s="679"/>
      <c r="J563" s="187" t="str">
        <f t="shared" si="55"/>
        <v>101-905</v>
      </c>
      <c r="K563" s="187">
        <v>101</v>
      </c>
      <c r="L563" s="187">
        <v>905</v>
      </c>
      <c r="M563" s="187" t="str">
        <f t="shared" si="52"/>
        <v>101</v>
      </c>
      <c r="N563" s="187">
        <f t="shared" si="53"/>
        <v>905</v>
      </c>
      <c r="O563" s="187" t="str">
        <f t="shared" si="54"/>
        <v>101-905</v>
      </c>
      <c r="Q563" s="679" t="s">
        <v>7480</v>
      </c>
    </row>
    <row r="564" spans="1:17">
      <c r="A564" s="788" t="s">
        <v>245</v>
      </c>
      <c r="B564" s="187" t="s">
        <v>1667</v>
      </c>
      <c r="C564" s="215">
        <v>2906386</v>
      </c>
      <c r="D564" s="215">
        <v>11675643</v>
      </c>
      <c r="F564" s="215">
        <f t="shared" si="50"/>
        <v>11675643</v>
      </c>
      <c r="G564" s="215">
        <f t="shared" si="51"/>
        <v>14582029</v>
      </c>
      <c r="H564" s="680" t="s">
        <v>6153</v>
      </c>
      <c r="I564" s="679"/>
      <c r="J564" s="187" t="str">
        <f t="shared" si="55"/>
        <v>101-906</v>
      </c>
      <c r="K564" s="187">
        <v>101</v>
      </c>
      <c r="L564" s="187">
        <v>906</v>
      </c>
      <c r="M564" s="187" t="str">
        <f t="shared" si="52"/>
        <v>101</v>
      </c>
      <c r="N564" s="187">
        <f t="shared" si="53"/>
        <v>906</v>
      </c>
      <c r="O564" s="187" t="str">
        <f t="shared" si="54"/>
        <v>101-906</v>
      </c>
      <c r="Q564" s="679" t="s">
        <v>7481</v>
      </c>
    </row>
    <row r="565" spans="1:17">
      <c r="A565" s="788" t="s">
        <v>1990</v>
      </c>
      <c r="B565" s="187" t="s">
        <v>304</v>
      </c>
      <c r="C565" s="215">
        <v>58248696</v>
      </c>
      <c r="D565" s="215">
        <v>301397067</v>
      </c>
      <c r="F565" s="215">
        <f t="shared" si="50"/>
        <v>301397067</v>
      </c>
      <c r="G565" s="215">
        <f t="shared" si="51"/>
        <v>359645763</v>
      </c>
      <c r="H565" s="680" t="s">
        <v>6153</v>
      </c>
      <c r="I565" s="679"/>
      <c r="J565" s="187" t="str">
        <f t="shared" si="55"/>
        <v>101-907</v>
      </c>
      <c r="K565" s="187">
        <v>101</v>
      </c>
      <c r="L565" s="187">
        <v>907</v>
      </c>
      <c r="M565" s="187" t="str">
        <f t="shared" si="52"/>
        <v>101</v>
      </c>
      <c r="N565" s="187">
        <f t="shared" si="53"/>
        <v>907</v>
      </c>
      <c r="O565" s="187" t="str">
        <f t="shared" si="54"/>
        <v>101-907</v>
      </c>
      <c r="Q565" s="679" t="s">
        <v>7482</v>
      </c>
    </row>
    <row r="566" spans="1:17">
      <c r="A566" s="788" t="s">
        <v>2115</v>
      </c>
      <c r="B566" s="187" t="s">
        <v>305</v>
      </c>
      <c r="C566" s="215">
        <v>13228569</v>
      </c>
      <c r="D566" s="215">
        <v>103021638</v>
      </c>
      <c r="F566" s="215">
        <f t="shared" si="50"/>
        <v>103021638</v>
      </c>
      <c r="G566" s="215">
        <f t="shared" si="51"/>
        <v>116250207</v>
      </c>
      <c r="H566" s="680" t="s">
        <v>6153</v>
      </c>
      <c r="I566" s="679"/>
      <c r="J566" s="187" t="str">
        <f t="shared" si="55"/>
        <v>101-908</v>
      </c>
      <c r="K566" s="187">
        <v>101</v>
      </c>
      <c r="L566" s="187">
        <v>908</v>
      </c>
      <c r="M566" s="187" t="str">
        <f t="shared" si="52"/>
        <v>101</v>
      </c>
      <c r="N566" s="187">
        <f t="shared" si="53"/>
        <v>908</v>
      </c>
      <c r="O566" s="187" t="str">
        <f t="shared" si="54"/>
        <v>101-908</v>
      </c>
      <c r="Q566" s="679" t="s">
        <v>7483</v>
      </c>
    </row>
    <row r="567" spans="1:17">
      <c r="A567" s="788" t="s">
        <v>6184</v>
      </c>
      <c r="B567" s="187" t="s">
        <v>1938</v>
      </c>
      <c r="C567" s="215">
        <v>1374529</v>
      </c>
      <c r="D567" s="215">
        <v>16271373</v>
      </c>
      <c r="F567" s="215">
        <f t="shared" si="50"/>
        <v>16271373</v>
      </c>
      <c r="G567" s="215">
        <f t="shared" si="51"/>
        <v>17645902</v>
      </c>
      <c r="H567" s="680" t="s">
        <v>6153</v>
      </c>
      <c r="I567" s="679"/>
      <c r="J567" s="187" t="str">
        <f t="shared" si="55"/>
        <v>101-909</v>
      </c>
      <c r="K567" s="187">
        <v>101</v>
      </c>
      <c r="L567" s="187">
        <v>909</v>
      </c>
      <c r="M567" s="187" t="str">
        <f t="shared" si="52"/>
        <v>101</v>
      </c>
      <c r="N567" s="187">
        <f t="shared" si="53"/>
        <v>909</v>
      </c>
      <c r="O567" s="187" t="str">
        <f t="shared" si="54"/>
        <v>101-909</v>
      </c>
      <c r="Q567" s="679" t="s">
        <v>7484</v>
      </c>
    </row>
    <row r="568" spans="1:17">
      <c r="A568" s="788" t="s">
        <v>1315</v>
      </c>
      <c r="B568" s="187" t="s">
        <v>120</v>
      </c>
      <c r="C568" s="215">
        <v>7509185</v>
      </c>
      <c r="D568" s="215">
        <v>55349286</v>
      </c>
      <c r="F568" s="215">
        <f t="shared" si="50"/>
        <v>55349286</v>
      </c>
      <c r="G568" s="215">
        <f t="shared" si="51"/>
        <v>62858471</v>
      </c>
      <c r="H568" s="680" t="s">
        <v>6153</v>
      </c>
      <c r="I568" s="679"/>
      <c r="J568" s="187" t="str">
        <f t="shared" si="55"/>
        <v>101-910</v>
      </c>
      <c r="K568" s="187">
        <v>101</v>
      </c>
      <c r="L568" s="187">
        <v>910</v>
      </c>
      <c r="M568" s="187" t="str">
        <f t="shared" si="52"/>
        <v>101</v>
      </c>
      <c r="N568" s="187">
        <f t="shared" si="53"/>
        <v>910</v>
      </c>
      <c r="O568" s="187" t="str">
        <f t="shared" si="54"/>
        <v>101-910</v>
      </c>
      <c r="Q568" s="679" t="s">
        <v>7485</v>
      </c>
    </row>
    <row r="569" spans="1:17">
      <c r="A569" s="788" t="s">
        <v>5622</v>
      </c>
      <c r="B569" s="187" t="s">
        <v>306</v>
      </c>
      <c r="C569" s="215">
        <v>13061611</v>
      </c>
      <c r="D569" s="215">
        <v>106559016</v>
      </c>
      <c r="F569" s="215">
        <f t="shared" si="50"/>
        <v>106559016</v>
      </c>
      <c r="G569" s="215">
        <f t="shared" si="51"/>
        <v>119620627</v>
      </c>
      <c r="H569" s="680" t="s">
        <v>6153</v>
      </c>
      <c r="I569" s="679"/>
      <c r="J569" s="187" t="str">
        <f t="shared" si="55"/>
        <v>101-911</v>
      </c>
      <c r="K569" s="187">
        <v>101</v>
      </c>
      <c r="L569" s="187">
        <v>911</v>
      </c>
      <c r="M569" s="187" t="str">
        <f t="shared" si="52"/>
        <v>101</v>
      </c>
      <c r="N569" s="187">
        <f t="shared" si="53"/>
        <v>911</v>
      </c>
      <c r="O569" s="187" t="str">
        <f t="shared" si="54"/>
        <v>101-911</v>
      </c>
      <c r="Q569" s="679" t="s">
        <v>7486</v>
      </c>
    </row>
    <row r="570" spans="1:17">
      <c r="A570" s="788" t="s">
        <v>5624</v>
      </c>
      <c r="B570" s="187" t="s">
        <v>95</v>
      </c>
      <c r="C570" s="215">
        <v>101007517</v>
      </c>
      <c r="D570" s="215">
        <v>982959060</v>
      </c>
      <c r="F570" s="215">
        <f t="shared" si="50"/>
        <v>982959060</v>
      </c>
      <c r="G570" s="215">
        <f t="shared" si="51"/>
        <v>1083966577</v>
      </c>
      <c r="H570" s="680" t="s">
        <v>6153</v>
      </c>
      <c r="I570" s="679"/>
      <c r="J570" s="187" t="str">
        <f t="shared" si="55"/>
        <v>101-912</v>
      </c>
      <c r="K570" s="187">
        <v>101</v>
      </c>
      <c r="L570" s="187">
        <v>912</v>
      </c>
      <c r="M570" s="187" t="str">
        <f t="shared" si="52"/>
        <v>101</v>
      </c>
      <c r="N570" s="187">
        <f t="shared" si="53"/>
        <v>912</v>
      </c>
      <c r="O570" s="187" t="str">
        <f t="shared" si="54"/>
        <v>101-912</v>
      </c>
      <c r="Q570" s="679" t="s">
        <v>7487</v>
      </c>
    </row>
    <row r="571" spans="1:17">
      <c r="A571" s="788" t="s">
        <v>1873</v>
      </c>
      <c r="B571" s="187" t="s">
        <v>3856</v>
      </c>
      <c r="C571" s="215">
        <v>16898918</v>
      </c>
      <c r="D571" s="215">
        <v>105526377</v>
      </c>
      <c r="F571" s="215">
        <f t="shared" si="50"/>
        <v>105526377</v>
      </c>
      <c r="G571" s="215">
        <f t="shared" si="51"/>
        <v>122425295</v>
      </c>
      <c r="H571" s="680" t="s">
        <v>6153</v>
      </c>
      <c r="I571" s="679"/>
      <c r="J571" s="187" t="str">
        <f t="shared" si="55"/>
        <v>101-913</v>
      </c>
      <c r="K571" s="187">
        <v>101</v>
      </c>
      <c r="L571" s="187">
        <v>913</v>
      </c>
      <c r="M571" s="187" t="str">
        <f t="shared" si="52"/>
        <v>101</v>
      </c>
      <c r="N571" s="187">
        <f t="shared" si="53"/>
        <v>913</v>
      </c>
      <c r="O571" s="187" t="str">
        <f t="shared" si="54"/>
        <v>101-913</v>
      </c>
      <c r="Q571" s="679" t="s">
        <v>7488</v>
      </c>
    </row>
    <row r="572" spans="1:17">
      <c r="A572" s="788" t="s">
        <v>6028</v>
      </c>
      <c r="B572" s="187" t="s">
        <v>1913</v>
      </c>
      <c r="C572" s="215">
        <v>42613637</v>
      </c>
      <c r="D572" s="215">
        <v>187733290</v>
      </c>
      <c r="F572" s="215">
        <f t="shared" si="50"/>
        <v>187733290</v>
      </c>
      <c r="G572" s="215">
        <f t="shared" si="51"/>
        <v>230346927</v>
      </c>
      <c r="H572" s="680" t="s">
        <v>6153</v>
      </c>
      <c r="I572" s="679"/>
      <c r="J572" s="187" t="str">
        <f t="shared" si="55"/>
        <v>101-914</v>
      </c>
      <c r="K572" s="187">
        <v>101</v>
      </c>
      <c r="L572" s="187">
        <v>914</v>
      </c>
      <c r="M572" s="187" t="str">
        <f t="shared" si="52"/>
        <v>101</v>
      </c>
      <c r="N572" s="187">
        <f t="shared" si="53"/>
        <v>914</v>
      </c>
      <c r="O572" s="187" t="str">
        <f t="shared" si="54"/>
        <v>101-914</v>
      </c>
      <c r="Q572" s="679" t="s">
        <v>7489</v>
      </c>
    </row>
    <row r="573" spans="1:17">
      <c r="A573" s="788" t="s">
        <v>6035</v>
      </c>
      <c r="B573" s="187" t="s">
        <v>1923</v>
      </c>
      <c r="C573" s="215">
        <v>17085153</v>
      </c>
      <c r="D573" s="215">
        <v>127684144</v>
      </c>
      <c r="F573" s="215">
        <f t="shared" si="50"/>
        <v>127684144</v>
      </c>
      <c r="G573" s="215">
        <f t="shared" si="51"/>
        <v>144769297</v>
      </c>
      <c r="H573" s="680" t="s">
        <v>6153</v>
      </c>
      <c r="I573" s="679"/>
      <c r="J573" s="187" t="str">
        <f t="shared" si="55"/>
        <v>101-915</v>
      </c>
      <c r="K573" s="187">
        <v>101</v>
      </c>
      <c r="L573" s="187">
        <v>915</v>
      </c>
      <c r="M573" s="187" t="str">
        <f t="shared" si="52"/>
        <v>101</v>
      </c>
      <c r="N573" s="187">
        <f t="shared" si="53"/>
        <v>915</v>
      </c>
      <c r="O573" s="187" t="str">
        <f t="shared" si="54"/>
        <v>101-915</v>
      </c>
      <c r="Q573" s="679" t="s">
        <v>7490</v>
      </c>
    </row>
    <row r="574" spans="1:17">
      <c r="A574" s="788" t="s">
        <v>5626</v>
      </c>
      <c r="B574" s="187" t="s">
        <v>96</v>
      </c>
      <c r="C574" s="215">
        <v>10368007</v>
      </c>
      <c r="D574" s="215">
        <v>66820056</v>
      </c>
      <c r="F574" s="215">
        <f t="shared" si="50"/>
        <v>66820056</v>
      </c>
      <c r="G574" s="215">
        <f t="shared" si="51"/>
        <v>77188063</v>
      </c>
      <c r="H574" s="680" t="s">
        <v>6153</v>
      </c>
      <c r="I574" s="679"/>
      <c r="J574" s="187" t="str">
        <f t="shared" si="55"/>
        <v>101-916</v>
      </c>
      <c r="K574" s="187">
        <v>101</v>
      </c>
      <c r="L574" s="187">
        <v>916</v>
      </c>
      <c r="M574" s="187" t="str">
        <f t="shared" si="52"/>
        <v>101</v>
      </c>
      <c r="N574" s="187">
        <f t="shared" si="53"/>
        <v>916</v>
      </c>
      <c r="O574" s="187" t="str">
        <f t="shared" si="54"/>
        <v>101-916</v>
      </c>
      <c r="Q574" s="679" t="s">
        <v>7491</v>
      </c>
    </row>
    <row r="575" spans="1:17">
      <c r="A575" s="788" t="s">
        <v>6194</v>
      </c>
      <c r="B575" s="187" t="s">
        <v>5292</v>
      </c>
      <c r="C575" s="215">
        <v>19116839</v>
      </c>
      <c r="D575" s="215">
        <v>109110271</v>
      </c>
      <c r="F575" s="215">
        <f t="shared" si="50"/>
        <v>109110271</v>
      </c>
      <c r="G575" s="215">
        <f t="shared" si="51"/>
        <v>128227110</v>
      </c>
      <c r="H575" s="680" t="s">
        <v>6153</v>
      </c>
      <c r="I575" s="679"/>
      <c r="J575" s="187" t="str">
        <f t="shared" si="55"/>
        <v>101-917</v>
      </c>
      <c r="K575" s="187">
        <v>101</v>
      </c>
      <c r="L575" s="187">
        <v>917</v>
      </c>
      <c r="M575" s="187" t="str">
        <f t="shared" si="52"/>
        <v>101</v>
      </c>
      <c r="N575" s="187">
        <f t="shared" si="53"/>
        <v>917</v>
      </c>
      <c r="O575" s="187" t="str">
        <f t="shared" si="54"/>
        <v>101-917</v>
      </c>
      <c r="Q575" s="679" t="s">
        <v>7492</v>
      </c>
    </row>
    <row r="576" spans="1:17">
      <c r="A576" s="788" t="s">
        <v>1539</v>
      </c>
      <c r="B576" s="187" t="s">
        <v>97</v>
      </c>
      <c r="C576" s="215">
        <v>22842017</v>
      </c>
      <c r="D576" s="215">
        <v>90362075</v>
      </c>
      <c r="F576" s="215">
        <f t="shared" si="50"/>
        <v>90362075</v>
      </c>
      <c r="G576" s="215">
        <f t="shared" si="51"/>
        <v>113204092</v>
      </c>
      <c r="H576" s="680" t="s">
        <v>6153</v>
      </c>
      <c r="I576" s="679"/>
      <c r="J576" s="187" t="str">
        <f t="shared" si="55"/>
        <v>101-919</v>
      </c>
      <c r="K576" s="187">
        <v>101</v>
      </c>
      <c r="L576" s="187">
        <v>919</v>
      </c>
      <c r="M576" s="187" t="str">
        <f t="shared" si="52"/>
        <v>101</v>
      </c>
      <c r="N576" s="187">
        <f t="shared" si="53"/>
        <v>919</v>
      </c>
      <c r="O576" s="187" t="str">
        <f t="shared" si="54"/>
        <v>101-919</v>
      </c>
      <c r="Q576" s="679" t="s">
        <v>7493</v>
      </c>
    </row>
    <row r="577" spans="1:17">
      <c r="A577" s="788" t="s">
        <v>911</v>
      </c>
      <c r="B577" s="187" t="s">
        <v>98</v>
      </c>
      <c r="C577" s="215">
        <v>28019685</v>
      </c>
      <c r="D577" s="215">
        <v>187791712</v>
      </c>
      <c r="F577" s="215">
        <f t="shared" si="50"/>
        <v>187791712</v>
      </c>
      <c r="G577" s="215">
        <f t="shared" si="51"/>
        <v>215811397</v>
      </c>
      <c r="H577" s="680" t="s">
        <v>6153</v>
      </c>
      <c r="I577" s="679"/>
      <c r="J577" s="187" t="str">
        <f t="shared" si="55"/>
        <v>101-920</v>
      </c>
      <c r="K577" s="187">
        <v>101</v>
      </c>
      <c r="L577" s="187">
        <v>920</v>
      </c>
      <c r="M577" s="187" t="str">
        <f t="shared" si="52"/>
        <v>101</v>
      </c>
      <c r="N577" s="187">
        <f t="shared" si="53"/>
        <v>920</v>
      </c>
      <c r="O577" s="187" t="str">
        <f t="shared" si="54"/>
        <v>101-920</v>
      </c>
      <c r="Q577" s="679" t="s">
        <v>7494</v>
      </c>
    </row>
    <row r="578" spans="1:17">
      <c r="A578" s="788" t="s">
        <v>1428</v>
      </c>
      <c r="B578" s="187" t="s">
        <v>99</v>
      </c>
      <c r="C578" s="215">
        <v>7766960</v>
      </c>
      <c r="D578" s="215">
        <v>46013910</v>
      </c>
      <c r="F578" s="215">
        <f t="shared" si="50"/>
        <v>46013910</v>
      </c>
      <c r="G578" s="215">
        <f t="shared" si="51"/>
        <v>53780870</v>
      </c>
      <c r="H578" s="680" t="s">
        <v>6153</v>
      </c>
      <c r="I578" s="679"/>
      <c r="J578" s="187" t="str">
        <f t="shared" si="55"/>
        <v>101-921</v>
      </c>
      <c r="K578" s="187">
        <v>101</v>
      </c>
      <c r="L578" s="187">
        <v>921</v>
      </c>
      <c r="M578" s="187" t="str">
        <f t="shared" si="52"/>
        <v>101</v>
      </c>
      <c r="N578" s="187">
        <f t="shared" si="53"/>
        <v>921</v>
      </c>
      <c r="O578" s="187" t="str">
        <f t="shared" si="54"/>
        <v>101-921</v>
      </c>
      <c r="Q578" s="679" t="s">
        <v>7495</v>
      </c>
    </row>
    <row r="579" spans="1:17">
      <c r="A579" s="788" t="s">
        <v>1430</v>
      </c>
      <c r="B579" s="187" t="s">
        <v>100</v>
      </c>
      <c r="C579" s="215">
        <v>4313288</v>
      </c>
      <c r="D579" s="215">
        <v>26461333</v>
      </c>
      <c r="F579" s="215">
        <f t="shared" si="50"/>
        <v>26461333</v>
      </c>
      <c r="G579" s="215">
        <f t="shared" si="51"/>
        <v>30774621</v>
      </c>
      <c r="H579" s="680" t="s">
        <v>6153</v>
      </c>
      <c r="I579" s="679"/>
      <c r="J579" s="187" t="str">
        <f t="shared" si="55"/>
        <v>101-924</v>
      </c>
      <c r="K579" s="187">
        <v>101</v>
      </c>
      <c r="L579" s="187">
        <v>924</v>
      </c>
      <c r="M579" s="187" t="str">
        <f t="shared" si="52"/>
        <v>101</v>
      </c>
      <c r="N579" s="187">
        <f t="shared" si="53"/>
        <v>924</v>
      </c>
      <c r="O579" s="187" t="str">
        <f t="shared" si="54"/>
        <v>101-924</v>
      </c>
      <c r="Q579" s="679" t="s">
        <v>7496</v>
      </c>
    </row>
    <row r="580" spans="1:17">
      <c r="A580" s="788" t="s">
        <v>4971</v>
      </c>
      <c r="B580" s="187" t="s">
        <v>3854</v>
      </c>
      <c r="C580" s="215">
        <v>1718611</v>
      </c>
      <c r="D580" s="215">
        <v>7509009</v>
      </c>
      <c r="F580" s="215">
        <f t="shared" ref="F580:F643" si="56">D580+E580</f>
        <v>7509009</v>
      </c>
      <c r="G580" s="215">
        <f t="shared" ref="G580:G643" si="57">F580+C580</f>
        <v>9227620</v>
      </c>
      <c r="H580" s="680" t="s">
        <v>6153</v>
      </c>
      <c r="I580" s="679"/>
      <c r="J580" s="187" t="str">
        <f t="shared" si="55"/>
        <v>101-925</v>
      </c>
      <c r="K580" s="187">
        <v>101</v>
      </c>
      <c r="L580" s="187">
        <v>925</v>
      </c>
      <c r="M580" s="187" t="str">
        <f t="shared" ref="M580:M643" si="58">+I580&amp;K580</f>
        <v>101</v>
      </c>
      <c r="N580" s="187">
        <f t="shared" ref="N580:N643" si="59">+L580</f>
        <v>925</v>
      </c>
      <c r="O580" s="187" t="str">
        <f t="shared" ref="O580:O643" si="60">+M580&amp;"-"&amp;N580</f>
        <v>101-925</v>
      </c>
      <c r="Q580" s="679" t="s">
        <v>7497</v>
      </c>
    </row>
    <row r="581" spans="1:17">
      <c r="A581" s="788" t="s">
        <v>1099</v>
      </c>
      <c r="B581" s="187" t="s">
        <v>1100</v>
      </c>
      <c r="C581" s="215">
        <v>0</v>
      </c>
      <c r="D581" s="215">
        <v>0</v>
      </c>
      <c r="F581" s="215">
        <f t="shared" si="56"/>
        <v>0</v>
      </c>
      <c r="G581" s="215">
        <f t="shared" si="57"/>
        <v>0</v>
      </c>
      <c r="H581" s="680" t="s">
        <v>6153</v>
      </c>
      <c r="I581" s="679"/>
      <c r="J581" s="187" t="str">
        <f t="shared" si="55"/>
        <v>101-950</v>
      </c>
      <c r="K581" s="187">
        <v>101</v>
      </c>
      <c r="L581" s="187">
        <v>950</v>
      </c>
      <c r="M581" s="187" t="str">
        <f t="shared" si="58"/>
        <v>101</v>
      </c>
      <c r="N581" s="187">
        <f t="shared" si="59"/>
        <v>950</v>
      </c>
      <c r="O581" s="187" t="str">
        <f t="shared" si="60"/>
        <v>101-950</v>
      </c>
      <c r="Q581" s="679" t="s">
        <v>6398</v>
      </c>
    </row>
    <row r="582" spans="1:17">
      <c r="A582" s="788" t="s">
        <v>6399</v>
      </c>
      <c r="B582" s="187" t="s">
        <v>6400</v>
      </c>
      <c r="C582" s="215">
        <v>0</v>
      </c>
      <c r="D582" s="215">
        <v>0</v>
      </c>
      <c r="F582" s="215">
        <f t="shared" si="56"/>
        <v>0</v>
      </c>
      <c r="G582" s="215">
        <f t="shared" si="57"/>
        <v>0</v>
      </c>
      <c r="H582" s="680" t="s">
        <v>6153</v>
      </c>
      <c r="I582" s="679"/>
      <c r="J582" s="187" t="str">
        <f t="shared" si="55"/>
        <v>102-801</v>
      </c>
      <c r="K582" s="187">
        <v>102</v>
      </c>
      <c r="L582" s="187">
        <v>801</v>
      </c>
      <c r="M582" s="187" t="str">
        <f t="shared" si="58"/>
        <v>102</v>
      </c>
      <c r="N582" s="187">
        <f t="shared" si="59"/>
        <v>801</v>
      </c>
      <c r="O582" s="187" t="str">
        <f t="shared" si="60"/>
        <v>102-801</v>
      </c>
      <c r="Q582" s="679" t="s">
        <v>6401</v>
      </c>
    </row>
    <row r="583" spans="1:17">
      <c r="A583" s="788" t="s">
        <v>1432</v>
      </c>
      <c r="B583" s="187" t="s">
        <v>101</v>
      </c>
      <c r="C583" s="215">
        <v>313</v>
      </c>
      <c r="D583" s="215">
        <v>1333511</v>
      </c>
      <c r="F583" s="215">
        <f t="shared" si="56"/>
        <v>1333511</v>
      </c>
      <c r="G583" s="215">
        <f t="shared" si="57"/>
        <v>1333824</v>
      </c>
      <c r="H583" s="680" t="s">
        <v>6153</v>
      </c>
      <c r="I583" s="679"/>
      <c r="J583" s="187" t="str">
        <f t="shared" si="55"/>
        <v>102-901</v>
      </c>
      <c r="K583" s="187">
        <v>102</v>
      </c>
      <c r="L583" s="187">
        <v>901</v>
      </c>
      <c r="M583" s="187" t="str">
        <f t="shared" si="58"/>
        <v>102</v>
      </c>
      <c r="N583" s="187">
        <f t="shared" si="59"/>
        <v>901</v>
      </c>
      <c r="O583" s="187" t="str">
        <f t="shared" si="60"/>
        <v>102-901</v>
      </c>
      <c r="Q583" s="679" t="s">
        <v>7498</v>
      </c>
    </row>
    <row r="584" spans="1:17">
      <c r="A584" s="788" t="s">
        <v>1434</v>
      </c>
      <c r="B584" s="187" t="s">
        <v>877</v>
      </c>
      <c r="C584" s="215">
        <v>17267</v>
      </c>
      <c r="D584" s="215">
        <v>20059278</v>
      </c>
      <c r="F584" s="215">
        <f t="shared" si="56"/>
        <v>20059278</v>
      </c>
      <c r="G584" s="215">
        <f t="shared" si="57"/>
        <v>20076545</v>
      </c>
      <c r="H584" s="680" t="s">
        <v>6153</v>
      </c>
      <c r="I584" s="679"/>
      <c r="J584" s="187" t="str">
        <f t="shared" si="55"/>
        <v>102-902</v>
      </c>
      <c r="K584" s="187">
        <v>102</v>
      </c>
      <c r="L584" s="187">
        <v>902</v>
      </c>
      <c r="M584" s="187" t="str">
        <f t="shared" si="58"/>
        <v>102</v>
      </c>
      <c r="N584" s="187">
        <f t="shared" si="59"/>
        <v>902</v>
      </c>
      <c r="O584" s="187" t="str">
        <f t="shared" si="60"/>
        <v>102-902</v>
      </c>
      <c r="Q584" s="679" t="s">
        <v>7499</v>
      </c>
    </row>
    <row r="585" spans="1:17">
      <c r="A585" s="788" t="s">
        <v>1436</v>
      </c>
      <c r="B585" s="187" t="s">
        <v>878</v>
      </c>
      <c r="C585" s="215">
        <v>0</v>
      </c>
      <c r="D585" s="215">
        <v>3345632</v>
      </c>
      <c r="F585" s="215">
        <f t="shared" si="56"/>
        <v>3345632</v>
      </c>
      <c r="G585" s="215">
        <f t="shared" si="57"/>
        <v>3345632</v>
      </c>
      <c r="H585" s="680" t="s">
        <v>6153</v>
      </c>
      <c r="I585" s="679"/>
      <c r="J585" s="187" t="str">
        <f t="shared" si="55"/>
        <v>102-903</v>
      </c>
      <c r="K585" s="187">
        <v>102</v>
      </c>
      <c r="L585" s="187">
        <v>903</v>
      </c>
      <c r="M585" s="187" t="str">
        <f t="shared" si="58"/>
        <v>102</v>
      </c>
      <c r="N585" s="187">
        <f t="shared" si="59"/>
        <v>903</v>
      </c>
      <c r="O585" s="187" t="str">
        <f t="shared" si="60"/>
        <v>102-903</v>
      </c>
      <c r="Q585" s="679" t="s">
        <v>7500</v>
      </c>
    </row>
    <row r="586" spans="1:17">
      <c r="A586" s="788" t="s">
        <v>1438</v>
      </c>
      <c r="B586" s="187" t="s">
        <v>879</v>
      </c>
      <c r="C586" s="215">
        <v>2131285</v>
      </c>
      <c r="D586" s="215">
        <v>22583470</v>
      </c>
      <c r="F586" s="215">
        <f t="shared" si="56"/>
        <v>22583470</v>
      </c>
      <c r="G586" s="215">
        <f t="shared" si="57"/>
        <v>24714755</v>
      </c>
      <c r="H586" s="680" t="s">
        <v>6153</v>
      </c>
      <c r="I586" s="679"/>
      <c r="J586" s="187" t="str">
        <f t="shared" si="55"/>
        <v>102-904</v>
      </c>
      <c r="K586" s="187">
        <v>102</v>
      </c>
      <c r="L586" s="187">
        <v>904</v>
      </c>
      <c r="M586" s="187" t="str">
        <f t="shared" si="58"/>
        <v>102</v>
      </c>
      <c r="N586" s="187">
        <f t="shared" si="59"/>
        <v>904</v>
      </c>
      <c r="O586" s="187" t="str">
        <f t="shared" si="60"/>
        <v>102-904</v>
      </c>
      <c r="Q586" s="679" t="s">
        <v>7501</v>
      </c>
    </row>
    <row r="587" spans="1:17">
      <c r="A587" s="788" t="s">
        <v>2580</v>
      </c>
      <c r="B587" s="187" t="s">
        <v>880</v>
      </c>
      <c r="C587" s="215">
        <v>82173</v>
      </c>
      <c r="D587" s="215">
        <v>1494012</v>
      </c>
      <c r="F587" s="215">
        <f t="shared" si="56"/>
        <v>1494012</v>
      </c>
      <c r="G587" s="215">
        <f t="shared" si="57"/>
        <v>1576185</v>
      </c>
      <c r="H587" s="680" t="s">
        <v>6153</v>
      </c>
      <c r="I587" s="679"/>
      <c r="J587" s="187" t="str">
        <f t="shared" si="55"/>
        <v>102-905</v>
      </c>
      <c r="K587" s="187">
        <v>102</v>
      </c>
      <c r="L587" s="187">
        <v>905</v>
      </c>
      <c r="M587" s="187" t="str">
        <f t="shared" si="58"/>
        <v>102</v>
      </c>
      <c r="N587" s="187">
        <f t="shared" si="59"/>
        <v>905</v>
      </c>
      <c r="O587" s="187" t="str">
        <f t="shared" si="60"/>
        <v>102-905</v>
      </c>
      <c r="Q587" s="679" t="s">
        <v>7502</v>
      </c>
    </row>
    <row r="588" spans="1:17">
      <c r="A588" s="788" t="s">
        <v>2582</v>
      </c>
      <c r="B588" s="187" t="s">
        <v>881</v>
      </c>
      <c r="C588" s="215">
        <v>266480</v>
      </c>
      <c r="D588" s="215">
        <v>3880641</v>
      </c>
      <c r="F588" s="215">
        <f t="shared" si="56"/>
        <v>3880641</v>
      </c>
      <c r="G588" s="215">
        <f t="shared" si="57"/>
        <v>4147121</v>
      </c>
      <c r="H588" s="680" t="s">
        <v>6153</v>
      </c>
      <c r="I588" s="679"/>
      <c r="J588" s="187" t="str">
        <f t="shared" si="55"/>
        <v>102-906</v>
      </c>
      <c r="K588" s="187">
        <v>102</v>
      </c>
      <c r="L588" s="187">
        <v>906</v>
      </c>
      <c r="M588" s="187" t="str">
        <f t="shared" si="58"/>
        <v>102</v>
      </c>
      <c r="N588" s="187">
        <f t="shared" si="59"/>
        <v>906</v>
      </c>
      <c r="O588" s="187" t="str">
        <f t="shared" si="60"/>
        <v>102-906</v>
      </c>
      <c r="Q588" s="679" t="s">
        <v>7503</v>
      </c>
    </row>
    <row r="589" spans="1:17">
      <c r="A589" s="788" t="s">
        <v>2584</v>
      </c>
      <c r="B589" s="187" t="s">
        <v>834</v>
      </c>
      <c r="C589" s="215">
        <v>0</v>
      </c>
      <c r="D589" s="215">
        <v>1468050</v>
      </c>
      <c r="F589" s="215">
        <f t="shared" si="56"/>
        <v>1468050</v>
      </c>
      <c r="G589" s="215">
        <f t="shared" si="57"/>
        <v>1468050</v>
      </c>
      <c r="H589" s="680" t="s">
        <v>6153</v>
      </c>
      <c r="I589" s="679"/>
      <c r="J589" s="187" t="str">
        <f t="shared" si="55"/>
        <v>103-901</v>
      </c>
      <c r="K589" s="187">
        <v>103</v>
      </c>
      <c r="L589" s="187">
        <v>901</v>
      </c>
      <c r="M589" s="187" t="str">
        <f t="shared" si="58"/>
        <v>103</v>
      </c>
      <c r="N589" s="187">
        <f t="shared" si="59"/>
        <v>901</v>
      </c>
      <c r="O589" s="187" t="str">
        <f t="shared" si="60"/>
        <v>103-901</v>
      </c>
      <c r="Q589" s="679" t="s">
        <v>7504</v>
      </c>
    </row>
    <row r="590" spans="1:17">
      <c r="A590" s="788" t="s">
        <v>1578</v>
      </c>
      <c r="B590" s="187" t="s">
        <v>835</v>
      </c>
      <c r="C590" s="215">
        <v>74324</v>
      </c>
      <c r="D590" s="215">
        <v>1061016</v>
      </c>
      <c r="F590" s="215">
        <f t="shared" si="56"/>
        <v>1061016</v>
      </c>
      <c r="G590" s="215">
        <f t="shared" si="57"/>
        <v>1135340</v>
      </c>
      <c r="H590" s="680" t="s">
        <v>6153</v>
      </c>
      <c r="I590" s="679"/>
      <c r="J590" s="187" t="str">
        <f t="shared" si="55"/>
        <v>103-902</v>
      </c>
      <c r="K590" s="187">
        <v>103</v>
      </c>
      <c r="L590" s="187">
        <v>902</v>
      </c>
      <c r="M590" s="187" t="str">
        <f t="shared" si="58"/>
        <v>103</v>
      </c>
      <c r="N590" s="187">
        <f t="shared" si="59"/>
        <v>902</v>
      </c>
      <c r="O590" s="187" t="str">
        <f t="shared" si="60"/>
        <v>103-902</v>
      </c>
      <c r="Q590" s="679" t="s">
        <v>7505</v>
      </c>
    </row>
    <row r="591" spans="1:17">
      <c r="A591" s="788" t="s">
        <v>1580</v>
      </c>
      <c r="B591" s="187" t="s">
        <v>3838</v>
      </c>
      <c r="C591" s="215">
        <v>0</v>
      </c>
      <c r="D591" s="215">
        <v>1262032</v>
      </c>
      <c r="F591" s="215">
        <f t="shared" si="56"/>
        <v>1262032</v>
      </c>
      <c r="G591" s="215">
        <f t="shared" si="57"/>
        <v>1262032</v>
      </c>
      <c r="H591" s="680" t="s">
        <v>6153</v>
      </c>
      <c r="I591" s="679"/>
      <c r="J591" s="187" t="str">
        <f t="shared" si="55"/>
        <v>104-901</v>
      </c>
      <c r="K591" s="187">
        <v>104</v>
      </c>
      <c r="L591" s="187">
        <v>901</v>
      </c>
      <c r="M591" s="187" t="str">
        <f t="shared" si="58"/>
        <v>104</v>
      </c>
      <c r="N591" s="187">
        <f t="shared" si="59"/>
        <v>901</v>
      </c>
      <c r="O591" s="187" t="str">
        <f t="shared" si="60"/>
        <v>104-901</v>
      </c>
      <c r="Q591" s="679" t="s">
        <v>7506</v>
      </c>
    </row>
    <row r="592" spans="1:17">
      <c r="A592" s="788" t="s">
        <v>447</v>
      </c>
      <c r="B592" s="187" t="s">
        <v>836</v>
      </c>
      <c r="C592" s="215">
        <v>12466</v>
      </c>
      <c r="D592" s="215">
        <v>251812</v>
      </c>
      <c r="F592" s="215">
        <f t="shared" si="56"/>
        <v>251812</v>
      </c>
      <c r="G592" s="215">
        <f t="shared" si="57"/>
        <v>264278</v>
      </c>
      <c r="H592" s="680" t="s">
        <v>6153</v>
      </c>
      <c r="I592" s="679"/>
      <c r="J592" s="187" t="str">
        <f t="shared" si="55"/>
        <v>104-902</v>
      </c>
      <c r="K592" s="187">
        <v>104</v>
      </c>
      <c r="L592" s="187">
        <v>902</v>
      </c>
      <c r="M592" s="187" t="str">
        <f t="shared" si="58"/>
        <v>104</v>
      </c>
      <c r="N592" s="187">
        <f t="shared" si="59"/>
        <v>902</v>
      </c>
      <c r="O592" s="187" t="str">
        <f t="shared" si="60"/>
        <v>104-902</v>
      </c>
      <c r="Q592" s="679" t="s">
        <v>6402</v>
      </c>
    </row>
    <row r="593" spans="1:17">
      <c r="A593" s="788" t="s">
        <v>1582</v>
      </c>
      <c r="B593" s="187" t="s">
        <v>837</v>
      </c>
      <c r="C593" s="215">
        <v>0</v>
      </c>
      <c r="D593" s="215">
        <v>363150</v>
      </c>
      <c r="F593" s="215">
        <f t="shared" si="56"/>
        <v>363150</v>
      </c>
      <c r="G593" s="215">
        <f t="shared" si="57"/>
        <v>363150</v>
      </c>
      <c r="H593" s="680" t="s">
        <v>6153</v>
      </c>
      <c r="I593" s="679"/>
      <c r="J593" s="187" t="str">
        <f t="shared" si="55"/>
        <v>104-903</v>
      </c>
      <c r="K593" s="187">
        <v>104</v>
      </c>
      <c r="L593" s="187">
        <v>903</v>
      </c>
      <c r="M593" s="187" t="str">
        <f t="shared" si="58"/>
        <v>104</v>
      </c>
      <c r="N593" s="187">
        <f t="shared" si="59"/>
        <v>903</v>
      </c>
      <c r="O593" s="187" t="str">
        <f t="shared" si="60"/>
        <v>104-903</v>
      </c>
      <c r="Q593" s="679" t="s">
        <v>7507</v>
      </c>
    </row>
    <row r="594" spans="1:17">
      <c r="A594" s="788" t="s">
        <v>1584</v>
      </c>
      <c r="B594" s="187" t="s">
        <v>838</v>
      </c>
      <c r="C594" s="215">
        <v>0</v>
      </c>
      <c r="D594" s="215">
        <v>522975</v>
      </c>
      <c r="F594" s="215">
        <f t="shared" si="56"/>
        <v>522975</v>
      </c>
      <c r="G594" s="215">
        <f t="shared" si="57"/>
        <v>522975</v>
      </c>
      <c r="H594" s="680" t="s">
        <v>6153</v>
      </c>
      <c r="I594" s="679"/>
      <c r="J594" s="187" t="str">
        <f t="shared" si="55"/>
        <v>104-907</v>
      </c>
      <c r="K594" s="187">
        <v>104</v>
      </c>
      <c r="L594" s="187">
        <v>907</v>
      </c>
      <c r="M594" s="187" t="str">
        <f t="shared" si="58"/>
        <v>104</v>
      </c>
      <c r="N594" s="187">
        <f t="shared" si="59"/>
        <v>907</v>
      </c>
      <c r="O594" s="187" t="str">
        <f t="shared" si="60"/>
        <v>104-907</v>
      </c>
      <c r="Q594" s="679" t="s">
        <v>7508</v>
      </c>
    </row>
    <row r="595" spans="1:17">
      <c r="A595" s="788" t="s">
        <v>1586</v>
      </c>
      <c r="B595" s="187" t="s">
        <v>1101</v>
      </c>
      <c r="C595" s="215">
        <v>0</v>
      </c>
      <c r="D595" s="215">
        <v>0</v>
      </c>
      <c r="F595" s="215">
        <f t="shared" si="56"/>
        <v>0</v>
      </c>
      <c r="G595" s="215">
        <f t="shared" si="57"/>
        <v>0</v>
      </c>
      <c r="H595" s="680" t="s">
        <v>6153</v>
      </c>
      <c r="I595" s="679"/>
      <c r="J595" s="187" t="str">
        <f t="shared" si="55"/>
        <v>105-801</v>
      </c>
      <c r="K595" s="187">
        <v>105</v>
      </c>
      <c r="L595" s="187">
        <v>801</v>
      </c>
      <c r="M595" s="187" t="str">
        <f t="shared" si="58"/>
        <v>105</v>
      </c>
      <c r="N595" s="187">
        <f t="shared" si="59"/>
        <v>801</v>
      </c>
      <c r="O595" s="187" t="str">
        <f t="shared" si="60"/>
        <v>105-801</v>
      </c>
      <c r="Q595" s="679" t="s">
        <v>6403</v>
      </c>
    </row>
    <row r="596" spans="1:17">
      <c r="A596" s="788" t="s">
        <v>1102</v>
      </c>
      <c r="B596" s="187" t="s">
        <v>1103</v>
      </c>
      <c r="C596" s="215">
        <v>0</v>
      </c>
      <c r="D596" s="215">
        <v>0</v>
      </c>
      <c r="F596" s="215">
        <f t="shared" si="56"/>
        <v>0</v>
      </c>
      <c r="G596" s="215">
        <f t="shared" si="57"/>
        <v>0</v>
      </c>
      <c r="H596" s="680" t="s">
        <v>6153</v>
      </c>
      <c r="I596" s="679"/>
      <c r="J596" s="187" t="str">
        <f t="shared" si="55"/>
        <v>105-802</v>
      </c>
      <c r="K596" s="187">
        <v>105</v>
      </c>
      <c r="L596" s="187">
        <v>802</v>
      </c>
      <c r="M596" s="187" t="str">
        <f t="shared" si="58"/>
        <v>105</v>
      </c>
      <c r="N596" s="187">
        <f t="shared" si="59"/>
        <v>802</v>
      </c>
      <c r="O596" s="187" t="str">
        <f t="shared" si="60"/>
        <v>105-802</v>
      </c>
      <c r="Q596" s="679" t="s">
        <v>6404</v>
      </c>
    </row>
    <row r="597" spans="1:17">
      <c r="A597" s="788" t="s">
        <v>1588</v>
      </c>
      <c r="B597" s="187" t="s">
        <v>839</v>
      </c>
      <c r="C597" s="215">
        <v>5491992</v>
      </c>
      <c r="D597" s="215">
        <v>36293201</v>
      </c>
      <c r="F597" s="215">
        <f t="shared" si="56"/>
        <v>36293201</v>
      </c>
      <c r="G597" s="215">
        <f t="shared" si="57"/>
        <v>41785193</v>
      </c>
      <c r="H597" s="680" t="s">
        <v>6153</v>
      </c>
      <c r="I597" s="679"/>
      <c r="J597" s="187" t="str">
        <f t="shared" si="55"/>
        <v>105-902</v>
      </c>
      <c r="K597" s="187">
        <v>105</v>
      </c>
      <c r="L597" s="187">
        <v>902</v>
      </c>
      <c r="M597" s="187" t="str">
        <f t="shared" si="58"/>
        <v>105</v>
      </c>
      <c r="N597" s="187">
        <f t="shared" si="59"/>
        <v>902</v>
      </c>
      <c r="O597" s="187" t="str">
        <f t="shared" si="60"/>
        <v>105-902</v>
      </c>
      <c r="Q597" s="679" t="s">
        <v>7509</v>
      </c>
    </row>
    <row r="598" spans="1:17">
      <c r="A598" s="788" t="s">
        <v>1292</v>
      </c>
      <c r="B598" s="187" t="s">
        <v>3010</v>
      </c>
      <c r="C598" s="215">
        <v>3746921</v>
      </c>
      <c r="D598" s="215">
        <v>20961674</v>
      </c>
      <c r="F598" s="215">
        <f t="shared" si="56"/>
        <v>20961674</v>
      </c>
      <c r="G598" s="215">
        <f t="shared" si="57"/>
        <v>24708595</v>
      </c>
      <c r="H598" s="680" t="s">
        <v>6153</v>
      </c>
      <c r="I598" s="679"/>
      <c r="J598" s="187" t="str">
        <f t="shared" si="55"/>
        <v>105-904</v>
      </c>
      <c r="K598" s="187">
        <v>105</v>
      </c>
      <c r="L598" s="187">
        <v>904</v>
      </c>
      <c r="M598" s="187" t="str">
        <f t="shared" si="58"/>
        <v>105</v>
      </c>
      <c r="N598" s="187">
        <f t="shared" si="59"/>
        <v>904</v>
      </c>
      <c r="O598" s="187" t="str">
        <f t="shared" si="60"/>
        <v>105-904</v>
      </c>
      <c r="Q598" s="679" t="s">
        <v>7511</v>
      </c>
    </row>
    <row r="599" spans="1:17">
      <c r="A599" s="788" t="s">
        <v>1590</v>
      </c>
      <c r="B599" s="187" t="s">
        <v>840</v>
      </c>
      <c r="C599" s="215">
        <v>1738631</v>
      </c>
      <c r="D599" s="215">
        <v>13708064</v>
      </c>
      <c r="F599" s="215">
        <f t="shared" si="56"/>
        <v>13708064</v>
      </c>
      <c r="G599" s="215">
        <f t="shared" si="57"/>
        <v>15446695</v>
      </c>
      <c r="H599" s="680" t="s">
        <v>6153</v>
      </c>
      <c r="I599" s="679"/>
      <c r="J599" s="187" t="str">
        <f t="shared" si="55"/>
        <v>105-905</v>
      </c>
      <c r="K599" s="187">
        <v>105</v>
      </c>
      <c r="L599" s="187">
        <v>905</v>
      </c>
      <c r="M599" s="187" t="str">
        <f t="shared" si="58"/>
        <v>105</v>
      </c>
      <c r="N599" s="187">
        <f t="shared" si="59"/>
        <v>905</v>
      </c>
      <c r="O599" s="187" t="str">
        <f t="shared" si="60"/>
        <v>105-905</v>
      </c>
      <c r="Q599" s="679" t="s">
        <v>7512</v>
      </c>
    </row>
    <row r="600" spans="1:17">
      <c r="A600" s="788" t="s">
        <v>1864</v>
      </c>
      <c r="B600" s="187" t="s">
        <v>3840</v>
      </c>
      <c r="C600" s="215">
        <v>7239254</v>
      </c>
      <c r="D600" s="215">
        <v>28649591</v>
      </c>
      <c r="F600" s="215">
        <f t="shared" si="56"/>
        <v>28649591</v>
      </c>
      <c r="G600" s="215">
        <f t="shared" si="57"/>
        <v>35888845</v>
      </c>
      <c r="H600" s="680" t="s">
        <v>6153</v>
      </c>
      <c r="I600" s="679"/>
      <c r="J600" s="187" t="str">
        <f t="shared" si="55"/>
        <v>105-906</v>
      </c>
      <c r="K600" s="187">
        <v>105</v>
      </c>
      <c r="L600" s="187">
        <v>906</v>
      </c>
      <c r="M600" s="187" t="str">
        <f t="shared" si="58"/>
        <v>105</v>
      </c>
      <c r="N600" s="187">
        <f t="shared" si="59"/>
        <v>906</v>
      </c>
      <c r="O600" s="187" t="str">
        <f t="shared" si="60"/>
        <v>105-906</v>
      </c>
      <c r="Q600" s="679" t="s">
        <v>7513</v>
      </c>
    </row>
    <row r="601" spans="1:17">
      <c r="A601" s="788" t="s">
        <v>1592</v>
      </c>
      <c r="B601" s="187" t="s">
        <v>841</v>
      </c>
      <c r="C601" s="215">
        <v>1478042</v>
      </c>
      <c r="D601" s="215">
        <v>9131304</v>
      </c>
      <c r="F601" s="215">
        <f t="shared" si="56"/>
        <v>9131304</v>
      </c>
      <c r="G601" s="215">
        <f t="shared" si="57"/>
        <v>10609346</v>
      </c>
      <c r="H601" s="680" t="s">
        <v>6153</v>
      </c>
      <c r="I601" s="679"/>
      <c r="J601" s="187" t="str">
        <f t="shared" si="55"/>
        <v>106-901</v>
      </c>
      <c r="K601" s="187">
        <v>106</v>
      </c>
      <c r="L601" s="187">
        <v>901</v>
      </c>
      <c r="M601" s="187" t="str">
        <f t="shared" si="58"/>
        <v>106</v>
      </c>
      <c r="N601" s="187">
        <f t="shared" si="59"/>
        <v>901</v>
      </c>
      <c r="O601" s="187" t="str">
        <f t="shared" si="60"/>
        <v>106-901</v>
      </c>
      <c r="Q601" s="679" t="s">
        <v>7515</v>
      </c>
    </row>
    <row r="602" spans="1:17">
      <c r="A602" s="788" t="s">
        <v>1594</v>
      </c>
      <c r="B602" s="187" t="s">
        <v>842</v>
      </c>
      <c r="C602" s="215">
        <v>953912</v>
      </c>
      <c r="D602" s="215">
        <v>11453384</v>
      </c>
      <c r="F602" s="215">
        <f t="shared" si="56"/>
        <v>11453384</v>
      </c>
      <c r="G602" s="215">
        <f t="shared" si="57"/>
        <v>12407296</v>
      </c>
      <c r="H602" s="680" t="s">
        <v>6153</v>
      </c>
      <c r="I602" s="679"/>
      <c r="J602" s="187" t="str">
        <f t="shared" si="55"/>
        <v>107-901</v>
      </c>
      <c r="K602" s="187">
        <v>107</v>
      </c>
      <c r="L602" s="187">
        <v>901</v>
      </c>
      <c r="M602" s="187" t="str">
        <f t="shared" si="58"/>
        <v>107</v>
      </c>
      <c r="N602" s="187">
        <f t="shared" si="59"/>
        <v>901</v>
      </c>
      <c r="O602" s="187" t="str">
        <f t="shared" si="60"/>
        <v>107-901</v>
      </c>
      <c r="Q602" s="679" t="s">
        <v>7516</v>
      </c>
    </row>
    <row r="603" spans="1:17">
      <c r="A603" s="788" t="s">
        <v>1596</v>
      </c>
      <c r="B603" s="187" t="s">
        <v>843</v>
      </c>
      <c r="C603" s="215">
        <v>403228</v>
      </c>
      <c r="D603" s="215">
        <v>6236116</v>
      </c>
      <c r="F603" s="215">
        <f t="shared" si="56"/>
        <v>6236116</v>
      </c>
      <c r="G603" s="215">
        <f t="shared" si="57"/>
        <v>6639344</v>
      </c>
      <c r="H603" s="680" t="s">
        <v>6153</v>
      </c>
      <c r="I603" s="679"/>
      <c r="J603" s="187" t="str">
        <f t="shared" si="55"/>
        <v>107-902</v>
      </c>
      <c r="K603" s="187">
        <v>107</v>
      </c>
      <c r="L603" s="187">
        <v>902</v>
      </c>
      <c r="M603" s="187" t="str">
        <f t="shared" si="58"/>
        <v>107</v>
      </c>
      <c r="N603" s="187">
        <f t="shared" si="59"/>
        <v>902</v>
      </c>
      <c r="O603" s="187" t="str">
        <f t="shared" si="60"/>
        <v>107-902</v>
      </c>
      <c r="Q603" s="679" t="s">
        <v>7517</v>
      </c>
    </row>
    <row r="604" spans="1:17">
      <c r="A604" s="788" t="s">
        <v>1598</v>
      </c>
      <c r="B604" s="187" t="s">
        <v>844</v>
      </c>
      <c r="C604" s="215">
        <v>350071</v>
      </c>
      <c r="D604" s="215">
        <v>2635174</v>
      </c>
      <c r="F604" s="215">
        <f t="shared" si="56"/>
        <v>2635174</v>
      </c>
      <c r="G604" s="215">
        <f t="shared" si="57"/>
        <v>2985245</v>
      </c>
      <c r="H604" s="680" t="s">
        <v>6153</v>
      </c>
      <c r="I604" s="679"/>
      <c r="J604" s="187" t="str">
        <f t="shared" si="55"/>
        <v>107-904</v>
      </c>
      <c r="K604" s="187">
        <v>107</v>
      </c>
      <c r="L604" s="187">
        <v>904</v>
      </c>
      <c r="M604" s="187" t="str">
        <f t="shared" si="58"/>
        <v>107</v>
      </c>
      <c r="N604" s="187">
        <f t="shared" si="59"/>
        <v>904</v>
      </c>
      <c r="O604" s="187" t="str">
        <f t="shared" si="60"/>
        <v>107-904</v>
      </c>
      <c r="Q604" s="679" t="s">
        <v>7518</v>
      </c>
    </row>
    <row r="605" spans="1:17">
      <c r="A605" s="788" t="s">
        <v>1600</v>
      </c>
      <c r="B605" s="187" t="s">
        <v>845</v>
      </c>
      <c r="C605" s="215">
        <v>188440</v>
      </c>
      <c r="D605" s="215">
        <v>4448099</v>
      </c>
      <c r="F605" s="215">
        <f t="shared" si="56"/>
        <v>4448099</v>
      </c>
      <c r="G605" s="215">
        <f t="shared" si="57"/>
        <v>4636539</v>
      </c>
      <c r="H605" s="680" t="s">
        <v>6153</v>
      </c>
      <c r="I605" s="679"/>
      <c r="J605" s="187" t="str">
        <f t="shared" si="55"/>
        <v>107-905</v>
      </c>
      <c r="K605" s="187">
        <v>107</v>
      </c>
      <c r="L605" s="187">
        <v>905</v>
      </c>
      <c r="M605" s="187" t="str">
        <f t="shared" si="58"/>
        <v>107</v>
      </c>
      <c r="N605" s="187">
        <f t="shared" si="59"/>
        <v>905</v>
      </c>
      <c r="O605" s="187" t="str">
        <f t="shared" si="60"/>
        <v>107-905</v>
      </c>
      <c r="Q605" s="679" t="s">
        <v>7519</v>
      </c>
    </row>
    <row r="606" spans="1:17">
      <c r="A606" s="788" t="s">
        <v>5260</v>
      </c>
      <c r="B606" s="187" t="s">
        <v>846</v>
      </c>
      <c r="C606" s="215">
        <v>497462</v>
      </c>
      <c r="D606" s="215">
        <v>8784936</v>
      </c>
      <c r="F606" s="215">
        <f t="shared" si="56"/>
        <v>8784936</v>
      </c>
      <c r="G606" s="215">
        <f t="shared" si="57"/>
        <v>9282398</v>
      </c>
      <c r="H606" s="680" t="s">
        <v>6153</v>
      </c>
      <c r="I606" s="679"/>
      <c r="J606" s="187" t="str">
        <f t="shared" si="55"/>
        <v>107-906</v>
      </c>
      <c r="K606" s="187">
        <v>107</v>
      </c>
      <c r="L606" s="187">
        <v>906</v>
      </c>
      <c r="M606" s="187" t="str">
        <f t="shared" si="58"/>
        <v>107</v>
      </c>
      <c r="N606" s="187">
        <f t="shared" si="59"/>
        <v>906</v>
      </c>
      <c r="O606" s="187" t="str">
        <f t="shared" si="60"/>
        <v>107-906</v>
      </c>
      <c r="Q606" s="679" t="s">
        <v>7520</v>
      </c>
    </row>
    <row r="607" spans="1:17">
      <c r="A607" s="788" t="s">
        <v>2415</v>
      </c>
      <c r="B607" s="187" t="s">
        <v>5368</v>
      </c>
      <c r="C607" s="215">
        <v>122187</v>
      </c>
      <c r="D607" s="215">
        <v>564807</v>
      </c>
      <c r="F607" s="215">
        <f t="shared" si="56"/>
        <v>564807</v>
      </c>
      <c r="G607" s="215">
        <f t="shared" si="57"/>
        <v>686994</v>
      </c>
      <c r="H607" s="680" t="s">
        <v>6153</v>
      </c>
      <c r="I607" s="679"/>
      <c r="J607" s="187" t="str">
        <f t="shared" si="55"/>
        <v>107-907</v>
      </c>
      <c r="K607" s="187">
        <v>107</v>
      </c>
      <c r="L607" s="187">
        <v>907</v>
      </c>
      <c r="M607" s="187" t="str">
        <f t="shared" si="58"/>
        <v>107</v>
      </c>
      <c r="N607" s="187">
        <f t="shared" si="59"/>
        <v>907</v>
      </c>
      <c r="O607" s="187" t="str">
        <f t="shared" si="60"/>
        <v>107-907</v>
      </c>
      <c r="Q607" s="679" t="s">
        <v>7521</v>
      </c>
    </row>
    <row r="608" spans="1:17">
      <c r="A608" s="788" t="s">
        <v>4973</v>
      </c>
      <c r="B608" s="187" t="s">
        <v>328</v>
      </c>
      <c r="C608" s="215">
        <v>0</v>
      </c>
      <c r="D608" s="215">
        <v>420441</v>
      </c>
      <c r="E608" s="215">
        <v>18892</v>
      </c>
      <c r="F608" s="215">
        <f t="shared" si="56"/>
        <v>439333</v>
      </c>
      <c r="G608" s="215">
        <f t="shared" si="57"/>
        <v>439333</v>
      </c>
      <c r="H608" s="680" t="s">
        <v>6153</v>
      </c>
      <c r="I608" s="679"/>
      <c r="J608" s="187" t="str">
        <f t="shared" si="55"/>
        <v>107-908</v>
      </c>
      <c r="K608" s="187">
        <v>107</v>
      </c>
      <c r="L608" s="187">
        <v>908</v>
      </c>
      <c r="M608" s="187" t="str">
        <f t="shared" si="58"/>
        <v>107</v>
      </c>
      <c r="N608" s="187">
        <f t="shared" si="59"/>
        <v>908</v>
      </c>
      <c r="O608" s="187" t="str">
        <f t="shared" si="60"/>
        <v>107-908</v>
      </c>
      <c r="Q608" s="679" t="s">
        <v>7522</v>
      </c>
    </row>
    <row r="609" spans="1:17">
      <c r="A609" s="788" t="s">
        <v>5262</v>
      </c>
      <c r="B609" s="187" t="s">
        <v>847</v>
      </c>
      <c r="C609" s="215">
        <v>202127</v>
      </c>
      <c r="D609" s="215">
        <v>3923526</v>
      </c>
      <c r="F609" s="215">
        <f t="shared" si="56"/>
        <v>3923526</v>
      </c>
      <c r="G609" s="215">
        <f t="shared" si="57"/>
        <v>4125653</v>
      </c>
      <c r="H609" s="680" t="s">
        <v>6153</v>
      </c>
      <c r="I609" s="679"/>
      <c r="J609" s="187" t="str">
        <f t="shared" si="55"/>
        <v>107-910</v>
      </c>
      <c r="K609" s="187">
        <v>107</v>
      </c>
      <c r="L609" s="187">
        <v>910</v>
      </c>
      <c r="M609" s="187" t="str">
        <f t="shared" si="58"/>
        <v>107</v>
      </c>
      <c r="N609" s="187">
        <f t="shared" si="59"/>
        <v>910</v>
      </c>
      <c r="O609" s="187" t="str">
        <f t="shared" si="60"/>
        <v>107-910</v>
      </c>
      <c r="Q609" s="679" t="s">
        <v>7523</v>
      </c>
    </row>
    <row r="610" spans="1:17">
      <c r="A610" s="788" t="s">
        <v>1104</v>
      </c>
      <c r="B610" s="187" t="s">
        <v>1105</v>
      </c>
      <c r="C610" s="215">
        <v>0</v>
      </c>
      <c r="D610" s="215">
        <v>0</v>
      </c>
      <c r="F610" s="215">
        <f t="shared" si="56"/>
        <v>0</v>
      </c>
      <c r="G610" s="215">
        <f t="shared" si="57"/>
        <v>0</v>
      </c>
      <c r="H610" s="680" t="s">
        <v>6153</v>
      </c>
      <c r="I610" s="679"/>
      <c r="J610" s="187" t="str">
        <f t="shared" ref="J610:J673" si="61">+A610</f>
        <v>108-801</v>
      </c>
      <c r="K610" s="187">
        <v>108</v>
      </c>
      <c r="L610" s="187">
        <v>801</v>
      </c>
      <c r="M610" s="187" t="str">
        <f t="shared" si="58"/>
        <v>108</v>
      </c>
      <c r="N610" s="187">
        <f t="shared" si="59"/>
        <v>801</v>
      </c>
      <c r="O610" s="187" t="str">
        <f t="shared" si="60"/>
        <v>108-801</v>
      </c>
      <c r="Q610" s="679" t="s">
        <v>6405</v>
      </c>
    </row>
    <row r="611" spans="1:17">
      <c r="A611" s="788" t="s">
        <v>5264</v>
      </c>
      <c r="B611" s="187" t="s">
        <v>1106</v>
      </c>
      <c r="C611" s="215">
        <v>0</v>
      </c>
      <c r="D611" s="215">
        <v>0</v>
      </c>
      <c r="F611" s="215">
        <f t="shared" si="56"/>
        <v>0</v>
      </c>
      <c r="G611" s="215">
        <f t="shared" si="57"/>
        <v>0</v>
      </c>
      <c r="H611" s="680" t="s">
        <v>6153</v>
      </c>
      <c r="I611" s="679"/>
      <c r="J611" s="187" t="str">
        <f t="shared" si="61"/>
        <v>108-802</v>
      </c>
      <c r="K611" s="187">
        <v>108</v>
      </c>
      <c r="L611" s="187">
        <v>802</v>
      </c>
      <c r="M611" s="187" t="str">
        <f t="shared" si="58"/>
        <v>108</v>
      </c>
      <c r="N611" s="187">
        <f t="shared" si="59"/>
        <v>802</v>
      </c>
      <c r="O611" s="187" t="str">
        <f t="shared" si="60"/>
        <v>108-802</v>
      </c>
      <c r="Q611" s="679" t="s">
        <v>6406</v>
      </c>
    </row>
    <row r="612" spans="1:17">
      <c r="A612" s="788" t="s">
        <v>6407</v>
      </c>
      <c r="B612" s="187" t="s">
        <v>6408</v>
      </c>
      <c r="C612" s="215">
        <v>0</v>
      </c>
      <c r="D612" s="215">
        <v>0</v>
      </c>
      <c r="F612" s="215">
        <f t="shared" si="56"/>
        <v>0</v>
      </c>
      <c r="G612" s="215">
        <f t="shared" si="57"/>
        <v>0</v>
      </c>
      <c r="H612" s="680" t="s">
        <v>6153</v>
      </c>
      <c r="I612" s="679"/>
      <c r="J612" s="187" t="str">
        <f t="shared" si="61"/>
        <v>108-803</v>
      </c>
      <c r="K612" s="187">
        <v>108</v>
      </c>
      <c r="L612" s="187">
        <v>803</v>
      </c>
      <c r="M612" s="187" t="str">
        <f t="shared" si="58"/>
        <v>108</v>
      </c>
      <c r="N612" s="187">
        <f t="shared" si="59"/>
        <v>803</v>
      </c>
      <c r="O612" s="187" t="str">
        <f t="shared" si="60"/>
        <v>108-803</v>
      </c>
      <c r="Q612" s="679" t="s">
        <v>6409</v>
      </c>
    </row>
    <row r="613" spans="1:17">
      <c r="A613" s="788" t="s">
        <v>1107</v>
      </c>
      <c r="B613" s="187" t="s">
        <v>1108</v>
      </c>
      <c r="C613" s="215">
        <v>0</v>
      </c>
      <c r="D613" s="215">
        <v>0</v>
      </c>
      <c r="F613" s="215">
        <f t="shared" si="56"/>
        <v>0</v>
      </c>
      <c r="G613" s="215">
        <f t="shared" si="57"/>
        <v>0</v>
      </c>
      <c r="H613" s="680" t="s">
        <v>6153</v>
      </c>
      <c r="I613" s="679"/>
      <c r="J613" s="187" t="str">
        <f t="shared" si="61"/>
        <v>108-804</v>
      </c>
      <c r="K613" s="187">
        <v>108</v>
      </c>
      <c r="L613" s="187">
        <v>804</v>
      </c>
      <c r="M613" s="187" t="str">
        <f t="shared" si="58"/>
        <v>108</v>
      </c>
      <c r="N613" s="187">
        <f t="shared" si="59"/>
        <v>804</v>
      </c>
      <c r="O613" s="187" t="str">
        <f t="shared" si="60"/>
        <v>108-804</v>
      </c>
      <c r="Q613" s="679" t="s">
        <v>6410</v>
      </c>
    </row>
    <row r="614" spans="1:17">
      <c r="A614" s="788" t="s">
        <v>1109</v>
      </c>
      <c r="B614" s="187" t="s">
        <v>1110</v>
      </c>
      <c r="C614" s="215">
        <v>0</v>
      </c>
      <c r="D614" s="215">
        <v>0</v>
      </c>
      <c r="F614" s="215">
        <f t="shared" si="56"/>
        <v>0</v>
      </c>
      <c r="G614" s="215">
        <f t="shared" si="57"/>
        <v>0</v>
      </c>
      <c r="H614" s="680" t="s">
        <v>6153</v>
      </c>
      <c r="I614" s="679"/>
      <c r="J614" s="187" t="str">
        <f t="shared" si="61"/>
        <v>108-805</v>
      </c>
      <c r="K614" s="187">
        <v>108</v>
      </c>
      <c r="L614" s="187">
        <v>805</v>
      </c>
      <c r="M614" s="187" t="str">
        <f t="shared" si="58"/>
        <v>108</v>
      </c>
      <c r="N614" s="187">
        <f t="shared" si="59"/>
        <v>805</v>
      </c>
      <c r="O614" s="187" t="str">
        <f t="shared" si="60"/>
        <v>108-805</v>
      </c>
      <c r="Q614" s="679" t="s">
        <v>6411</v>
      </c>
    </row>
    <row r="615" spans="1:17">
      <c r="A615" s="788" t="s">
        <v>776</v>
      </c>
      <c r="B615" s="187" t="s">
        <v>1111</v>
      </c>
      <c r="C615" s="215">
        <v>0</v>
      </c>
      <c r="D615" s="215">
        <v>0</v>
      </c>
      <c r="F615" s="215">
        <f t="shared" si="56"/>
        <v>0</v>
      </c>
      <c r="G615" s="215">
        <f t="shared" si="57"/>
        <v>0</v>
      </c>
      <c r="H615" s="680" t="s">
        <v>6153</v>
      </c>
      <c r="I615" s="679"/>
      <c r="J615" s="187" t="str">
        <f t="shared" si="61"/>
        <v>108-806</v>
      </c>
      <c r="K615" s="187">
        <v>108</v>
      </c>
      <c r="L615" s="187">
        <v>806</v>
      </c>
      <c r="M615" s="187" t="str">
        <f t="shared" si="58"/>
        <v>108</v>
      </c>
      <c r="N615" s="187">
        <f t="shared" si="59"/>
        <v>806</v>
      </c>
      <c r="O615" s="187" t="str">
        <f t="shared" si="60"/>
        <v>108-806</v>
      </c>
      <c r="Q615" s="679" t="s">
        <v>6412</v>
      </c>
    </row>
    <row r="616" spans="1:17">
      <c r="A616" s="788" t="s">
        <v>778</v>
      </c>
      <c r="B616" s="187" t="s">
        <v>1112</v>
      </c>
      <c r="C616" s="215">
        <v>0</v>
      </c>
      <c r="D616" s="215">
        <v>0</v>
      </c>
      <c r="F616" s="215">
        <f t="shared" si="56"/>
        <v>0</v>
      </c>
      <c r="G616" s="215">
        <f t="shared" si="57"/>
        <v>0</v>
      </c>
      <c r="H616" s="680" t="s">
        <v>6153</v>
      </c>
      <c r="I616" s="679"/>
      <c r="J616" s="187" t="str">
        <f t="shared" si="61"/>
        <v>108-807</v>
      </c>
      <c r="K616" s="187">
        <v>108</v>
      </c>
      <c r="L616" s="187">
        <v>807</v>
      </c>
      <c r="M616" s="187" t="str">
        <f t="shared" si="58"/>
        <v>108</v>
      </c>
      <c r="N616" s="187">
        <f t="shared" si="59"/>
        <v>807</v>
      </c>
      <c r="O616" s="187" t="str">
        <f t="shared" si="60"/>
        <v>108-807</v>
      </c>
      <c r="Q616" s="679" t="s">
        <v>6413</v>
      </c>
    </row>
    <row r="617" spans="1:17">
      <c r="A617" s="788" t="s">
        <v>1113</v>
      </c>
      <c r="B617" s="187" t="s">
        <v>1114</v>
      </c>
      <c r="C617" s="215">
        <v>0</v>
      </c>
      <c r="D617" s="215">
        <v>0</v>
      </c>
      <c r="F617" s="215">
        <f t="shared" si="56"/>
        <v>0</v>
      </c>
      <c r="G617" s="215">
        <f t="shared" si="57"/>
        <v>0</v>
      </c>
      <c r="H617" s="680" t="s">
        <v>6153</v>
      </c>
      <c r="I617" s="679"/>
      <c r="J617" s="187" t="str">
        <f t="shared" si="61"/>
        <v>108-808</v>
      </c>
      <c r="K617" s="187">
        <v>108</v>
      </c>
      <c r="L617" s="187">
        <v>808</v>
      </c>
      <c r="M617" s="187" t="str">
        <f t="shared" si="58"/>
        <v>108</v>
      </c>
      <c r="N617" s="187">
        <f t="shared" si="59"/>
        <v>808</v>
      </c>
      <c r="O617" s="187" t="str">
        <f t="shared" si="60"/>
        <v>108-808</v>
      </c>
      <c r="Q617" s="679" t="s">
        <v>6414</v>
      </c>
    </row>
    <row r="618" spans="1:17">
      <c r="A618" s="788" t="s">
        <v>2054</v>
      </c>
      <c r="B618" s="187" t="s">
        <v>3009</v>
      </c>
      <c r="C618" s="215">
        <v>938850</v>
      </c>
      <c r="D618" s="215">
        <v>9004137</v>
      </c>
      <c r="F618" s="215">
        <f t="shared" si="56"/>
        <v>9004137</v>
      </c>
      <c r="G618" s="215">
        <f t="shared" si="57"/>
        <v>9942987</v>
      </c>
      <c r="H618" s="680" t="s">
        <v>6153</v>
      </c>
      <c r="I618" s="679"/>
      <c r="J618" s="187" t="str">
        <f t="shared" si="61"/>
        <v>108-902</v>
      </c>
      <c r="K618" s="187">
        <v>108</v>
      </c>
      <c r="L618" s="187">
        <v>902</v>
      </c>
      <c r="M618" s="187" t="str">
        <f t="shared" si="58"/>
        <v>108</v>
      </c>
      <c r="N618" s="187">
        <f t="shared" si="59"/>
        <v>902</v>
      </c>
      <c r="O618" s="187" t="str">
        <f t="shared" si="60"/>
        <v>108-902</v>
      </c>
      <c r="Q618" s="679" t="s">
        <v>7524</v>
      </c>
    </row>
    <row r="619" spans="1:17">
      <c r="A619" s="788" t="s">
        <v>1519</v>
      </c>
      <c r="B619" s="187" t="s">
        <v>3015</v>
      </c>
      <c r="C619" s="215">
        <v>220915</v>
      </c>
      <c r="D619" s="215">
        <v>2326370</v>
      </c>
      <c r="F619" s="215">
        <f t="shared" si="56"/>
        <v>2326370</v>
      </c>
      <c r="G619" s="215">
        <f t="shared" si="57"/>
        <v>2547285</v>
      </c>
      <c r="H619" s="680" t="s">
        <v>6153</v>
      </c>
      <c r="I619" s="679"/>
      <c r="J619" s="187" t="str">
        <f t="shared" si="61"/>
        <v>108-903</v>
      </c>
      <c r="K619" s="187">
        <v>108</v>
      </c>
      <c r="L619" s="187">
        <v>903</v>
      </c>
      <c r="M619" s="187" t="str">
        <f t="shared" si="58"/>
        <v>108</v>
      </c>
      <c r="N619" s="187">
        <f t="shared" si="59"/>
        <v>903</v>
      </c>
      <c r="O619" s="187" t="str">
        <f t="shared" si="60"/>
        <v>108-903</v>
      </c>
      <c r="Q619" s="679" t="s">
        <v>7526</v>
      </c>
    </row>
    <row r="620" spans="1:17">
      <c r="A620" s="788" t="s">
        <v>1521</v>
      </c>
      <c r="B620" s="187" t="s">
        <v>1927</v>
      </c>
      <c r="C620" s="215">
        <v>3194925</v>
      </c>
      <c r="D620" s="215">
        <v>48012435</v>
      </c>
      <c r="E620" s="215">
        <v>1333949</v>
      </c>
      <c r="F620" s="215">
        <f t="shared" si="56"/>
        <v>49346384</v>
      </c>
      <c r="G620" s="215">
        <f t="shared" si="57"/>
        <v>52541309</v>
      </c>
      <c r="H620" s="680" t="s">
        <v>6153</v>
      </c>
      <c r="I620" s="679"/>
      <c r="J620" s="187" t="str">
        <f t="shared" si="61"/>
        <v>108-904</v>
      </c>
      <c r="K620" s="187">
        <v>108</v>
      </c>
      <c r="L620" s="187">
        <v>904</v>
      </c>
      <c r="M620" s="187" t="str">
        <f t="shared" si="58"/>
        <v>108</v>
      </c>
      <c r="N620" s="187">
        <f t="shared" si="59"/>
        <v>904</v>
      </c>
      <c r="O620" s="187" t="str">
        <f t="shared" si="60"/>
        <v>108-904</v>
      </c>
      <c r="Q620" s="679" t="s">
        <v>7527</v>
      </c>
    </row>
    <row r="621" spans="1:17">
      <c r="A621" s="788" t="s">
        <v>1866</v>
      </c>
      <c r="B621" s="187" t="s">
        <v>3845</v>
      </c>
      <c r="C621" s="215">
        <v>347248</v>
      </c>
      <c r="D621" s="215">
        <v>3336958</v>
      </c>
      <c r="F621" s="215">
        <f t="shared" si="56"/>
        <v>3336958</v>
      </c>
      <c r="G621" s="215">
        <f t="shared" si="57"/>
        <v>3684206</v>
      </c>
      <c r="H621" s="680" t="s">
        <v>6153</v>
      </c>
      <c r="I621" s="679"/>
      <c r="J621" s="187" t="str">
        <f t="shared" si="61"/>
        <v>108-905</v>
      </c>
      <c r="K621" s="187">
        <v>108</v>
      </c>
      <c r="L621" s="187">
        <v>905</v>
      </c>
      <c r="M621" s="187" t="str">
        <f t="shared" si="58"/>
        <v>108</v>
      </c>
      <c r="N621" s="187">
        <f t="shared" si="59"/>
        <v>905</v>
      </c>
      <c r="O621" s="187" t="str">
        <f t="shared" si="60"/>
        <v>108-905</v>
      </c>
      <c r="Q621" s="679" t="s">
        <v>7529</v>
      </c>
    </row>
    <row r="622" spans="1:17">
      <c r="A622" s="788" t="s">
        <v>6167</v>
      </c>
      <c r="B622" s="187" t="s">
        <v>6073</v>
      </c>
      <c r="C622" s="215">
        <v>1777722</v>
      </c>
      <c r="D622" s="215">
        <v>65183245</v>
      </c>
      <c r="F622" s="215">
        <f t="shared" si="56"/>
        <v>65183245</v>
      </c>
      <c r="G622" s="215">
        <f t="shared" si="57"/>
        <v>66960967</v>
      </c>
      <c r="H622" s="680" t="s">
        <v>6153</v>
      </c>
      <c r="I622" s="679"/>
      <c r="J622" s="187" t="str">
        <f t="shared" si="61"/>
        <v>108-906</v>
      </c>
      <c r="K622" s="187">
        <v>108</v>
      </c>
      <c r="L622" s="187">
        <v>906</v>
      </c>
      <c r="M622" s="187" t="str">
        <f t="shared" si="58"/>
        <v>108</v>
      </c>
      <c r="N622" s="187">
        <f t="shared" si="59"/>
        <v>906</v>
      </c>
      <c r="O622" s="187" t="str">
        <f t="shared" si="60"/>
        <v>108-906</v>
      </c>
      <c r="Q622" s="679" t="s">
        <v>7530</v>
      </c>
    </row>
    <row r="623" spans="1:17">
      <c r="A623" s="788" t="s">
        <v>6170</v>
      </c>
      <c r="B623" s="187" t="s">
        <v>495</v>
      </c>
      <c r="C623" s="215">
        <v>314727</v>
      </c>
      <c r="D623" s="215">
        <v>3039148</v>
      </c>
      <c r="F623" s="215">
        <f t="shared" si="56"/>
        <v>3039148</v>
      </c>
      <c r="G623" s="215">
        <f t="shared" si="57"/>
        <v>3353875</v>
      </c>
      <c r="H623" s="680" t="s">
        <v>6153</v>
      </c>
      <c r="I623" s="679"/>
      <c r="J623" s="187" t="str">
        <f t="shared" si="61"/>
        <v>108-907</v>
      </c>
      <c r="K623" s="187">
        <v>108</v>
      </c>
      <c r="L623" s="187">
        <v>907</v>
      </c>
      <c r="M623" s="187" t="str">
        <f t="shared" si="58"/>
        <v>108</v>
      </c>
      <c r="N623" s="187">
        <f t="shared" si="59"/>
        <v>907</v>
      </c>
      <c r="O623" s="187" t="str">
        <f t="shared" si="60"/>
        <v>108-907</v>
      </c>
      <c r="Q623" s="679" t="s">
        <v>7531</v>
      </c>
    </row>
    <row r="624" spans="1:17">
      <c r="A624" s="788" t="s">
        <v>6176</v>
      </c>
      <c r="B624" s="187" t="s">
        <v>502</v>
      </c>
      <c r="C624" s="215">
        <v>1078308</v>
      </c>
      <c r="D624" s="215">
        <v>14529764</v>
      </c>
      <c r="F624" s="215">
        <f t="shared" si="56"/>
        <v>14529764</v>
      </c>
      <c r="G624" s="215">
        <f t="shared" si="57"/>
        <v>15608072</v>
      </c>
      <c r="H624" s="680" t="s">
        <v>6153</v>
      </c>
      <c r="I624" s="679"/>
      <c r="J624" s="187" t="str">
        <f t="shared" si="61"/>
        <v>108-908</v>
      </c>
      <c r="K624" s="187">
        <v>108</v>
      </c>
      <c r="L624" s="187">
        <v>908</v>
      </c>
      <c r="M624" s="187" t="str">
        <f t="shared" si="58"/>
        <v>108</v>
      </c>
      <c r="N624" s="187">
        <f t="shared" si="59"/>
        <v>908</v>
      </c>
      <c r="O624" s="187" t="str">
        <f t="shared" si="60"/>
        <v>108-908</v>
      </c>
      <c r="Q624" s="679" t="s">
        <v>7532</v>
      </c>
    </row>
    <row r="625" spans="1:17">
      <c r="A625" s="788" t="s">
        <v>5125</v>
      </c>
      <c r="B625" s="187" t="s">
        <v>340</v>
      </c>
      <c r="C625" s="215">
        <v>2480772</v>
      </c>
      <c r="D625" s="215">
        <v>31819019</v>
      </c>
      <c r="F625" s="215">
        <f t="shared" si="56"/>
        <v>31819019</v>
      </c>
      <c r="G625" s="215">
        <f t="shared" si="57"/>
        <v>34299791</v>
      </c>
      <c r="H625" s="680" t="s">
        <v>6153</v>
      </c>
      <c r="I625" s="679"/>
      <c r="J625" s="187" t="str">
        <f t="shared" si="61"/>
        <v>108-909</v>
      </c>
      <c r="K625" s="187">
        <v>108</v>
      </c>
      <c r="L625" s="187">
        <v>909</v>
      </c>
      <c r="M625" s="187" t="str">
        <f t="shared" si="58"/>
        <v>108</v>
      </c>
      <c r="N625" s="187">
        <f t="shared" si="59"/>
        <v>909</v>
      </c>
      <c r="O625" s="187" t="str">
        <f t="shared" si="60"/>
        <v>108-909</v>
      </c>
      <c r="Q625" s="679" t="s">
        <v>7534</v>
      </c>
    </row>
    <row r="626" spans="1:17">
      <c r="A626" s="788" t="s">
        <v>648</v>
      </c>
      <c r="B626" s="187" t="s">
        <v>353</v>
      </c>
      <c r="C626" s="215">
        <v>112425</v>
      </c>
      <c r="D626" s="215">
        <v>1091157</v>
      </c>
      <c r="F626" s="215">
        <f t="shared" si="56"/>
        <v>1091157</v>
      </c>
      <c r="G626" s="215">
        <f t="shared" si="57"/>
        <v>1203582</v>
      </c>
      <c r="H626" s="680" t="s">
        <v>6153</v>
      </c>
      <c r="I626" s="679"/>
      <c r="J626" s="187" t="str">
        <f t="shared" si="61"/>
        <v>108-910</v>
      </c>
      <c r="K626" s="187">
        <v>108</v>
      </c>
      <c r="L626" s="187">
        <v>910</v>
      </c>
      <c r="M626" s="187" t="str">
        <f t="shared" si="58"/>
        <v>108</v>
      </c>
      <c r="N626" s="187">
        <f t="shared" si="59"/>
        <v>910</v>
      </c>
      <c r="O626" s="187" t="str">
        <f t="shared" si="60"/>
        <v>108-910</v>
      </c>
      <c r="Q626" s="679" t="s">
        <v>7535</v>
      </c>
    </row>
    <row r="627" spans="1:17">
      <c r="A627" s="788" t="s">
        <v>780</v>
      </c>
      <c r="B627" s="187" t="s">
        <v>848</v>
      </c>
      <c r="C627" s="215">
        <v>1450900</v>
      </c>
      <c r="D627" s="215">
        <v>17484779</v>
      </c>
      <c r="F627" s="215">
        <f t="shared" si="56"/>
        <v>17484779</v>
      </c>
      <c r="G627" s="215">
        <f t="shared" si="57"/>
        <v>18935679</v>
      </c>
      <c r="H627" s="680" t="s">
        <v>6153</v>
      </c>
      <c r="I627" s="679"/>
      <c r="J627" s="187" t="str">
        <f t="shared" si="61"/>
        <v>108-911</v>
      </c>
      <c r="K627" s="187">
        <v>108</v>
      </c>
      <c r="L627" s="187">
        <v>911</v>
      </c>
      <c r="M627" s="187" t="str">
        <f t="shared" si="58"/>
        <v>108</v>
      </c>
      <c r="N627" s="187">
        <f t="shared" si="59"/>
        <v>911</v>
      </c>
      <c r="O627" s="187" t="str">
        <f t="shared" si="60"/>
        <v>108-911</v>
      </c>
      <c r="Q627" s="679" t="s">
        <v>7536</v>
      </c>
    </row>
    <row r="628" spans="1:17">
      <c r="A628" s="788" t="s">
        <v>6038</v>
      </c>
      <c r="B628" s="187" t="s">
        <v>2153</v>
      </c>
      <c r="C628" s="215">
        <v>1935515</v>
      </c>
      <c r="D628" s="215">
        <v>20652963</v>
      </c>
      <c r="F628" s="215">
        <f t="shared" si="56"/>
        <v>20652963</v>
      </c>
      <c r="G628" s="215">
        <f t="shared" si="57"/>
        <v>22588478</v>
      </c>
      <c r="H628" s="680" t="s">
        <v>6153</v>
      </c>
      <c r="I628" s="679"/>
      <c r="J628" s="187" t="str">
        <f t="shared" si="61"/>
        <v>108-912</v>
      </c>
      <c r="K628" s="187">
        <v>108</v>
      </c>
      <c r="L628" s="187">
        <v>912</v>
      </c>
      <c r="M628" s="187" t="str">
        <f t="shared" si="58"/>
        <v>108</v>
      </c>
      <c r="N628" s="187">
        <f t="shared" si="59"/>
        <v>912</v>
      </c>
      <c r="O628" s="187" t="str">
        <f t="shared" si="60"/>
        <v>108-912</v>
      </c>
      <c r="Q628" s="679" t="s">
        <v>7537</v>
      </c>
    </row>
    <row r="629" spans="1:17">
      <c r="A629" s="788" t="s">
        <v>3096</v>
      </c>
      <c r="B629" s="187" t="s">
        <v>4065</v>
      </c>
      <c r="C629" s="215">
        <v>526753</v>
      </c>
      <c r="D629" s="215">
        <v>15090666</v>
      </c>
      <c r="F629" s="215">
        <f t="shared" si="56"/>
        <v>15090666</v>
      </c>
      <c r="G629" s="215">
        <f t="shared" si="57"/>
        <v>15617419</v>
      </c>
      <c r="H629" s="680" t="s">
        <v>6153</v>
      </c>
      <c r="I629" s="679"/>
      <c r="J629" s="187" t="str">
        <f t="shared" si="61"/>
        <v>108-913</v>
      </c>
      <c r="K629" s="187">
        <v>108</v>
      </c>
      <c r="L629" s="187">
        <v>913</v>
      </c>
      <c r="M629" s="187" t="str">
        <f t="shared" si="58"/>
        <v>108</v>
      </c>
      <c r="N629" s="187">
        <f t="shared" si="59"/>
        <v>913</v>
      </c>
      <c r="O629" s="187" t="str">
        <f t="shared" si="60"/>
        <v>108-913</v>
      </c>
      <c r="Q629" s="679" t="s">
        <v>7538</v>
      </c>
    </row>
    <row r="630" spans="1:17">
      <c r="A630" s="788" t="s">
        <v>6040</v>
      </c>
      <c r="B630" s="187" t="s">
        <v>184</v>
      </c>
      <c r="C630" s="215">
        <v>69295</v>
      </c>
      <c r="D630" s="215">
        <v>721528</v>
      </c>
      <c r="F630" s="215">
        <f t="shared" si="56"/>
        <v>721528</v>
      </c>
      <c r="G630" s="215">
        <f t="shared" si="57"/>
        <v>790823</v>
      </c>
      <c r="H630" s="680" t="s">
        <v>6153</v>
      </c>
      <c r="I630" s="679"/>
      <c r="J630" s="187" t="str">
        <f t="shared" si="61"/>
        <v>108-914</v>
      </c>
      <c r="K630" s="187">
        <v>108</v>
      </c>
      <c r="L630" s="187">
        <v>914</v>
      </c>
      <c r="M630" s="187" t="str">
        <f t="shared" si="58"/>
        <v>108</v>
      </c>
      <c r="N630" s="187">
        <f t="shared" si="59"/>
        <v>914</v>
      </c>
      <c r="O630" s="187" t="str">
        <f t="shared" si="60"/>
        <v>108-914</v>
      </c>
      <c r="Q630" s="679" t="s">
        <v>7539</v>
      </c>
    </row>
    <row r="631" spans="1:17">
      <c r="A631" s="788" t="s">
        <v>3097</v>
      </c>
      <c r="B631" s="187" t="s">
        <v>503</v>
      </c>
      <c r="C631" s="215">
        <v>65422</v>
      </c>
      <c r="D631" s="215">
        <v>607881</v>
      </c>
      <c r="F631" s="215">
        <f t="shared" si="56"/>
        <v>607881</v>
      </c>
      <c r="G631" s="215">
        <f t="shared" si="57"/>
        <v>673303</v>
      </c>
      <c r="H631" s="680" t="s">
        <v>6153</v>
      </c>
      <c r="I631" s="679"/>
      <c r="J631" s="187" t="str">
        <f t="shared" si="61"/>
        <v>108-915</v>
      </c>
      <c r="K631" s="187">
        <v>108</v>
      </c>
      <c r="L631" s="187">
        <v>915</v>
      </c>
      <c r="M631" s="187" t="str">
        <f t="shared" si="58"/>
        <v>108</v>
      </c>
      <c r="N631" s="187">
        <f t="shared" si="59"/>
        <v>915</v>
      </c>
      <c r="O631" s="187" t="str">
        <f t="shared" si="60"/>
        <v>108-915</v>
      </c>
      <c r="Q631" s="679" t="s">
        <v>7540</v>
      </c>
    </row>
    <row r="632" spans="1:17">
      <c r="A632" s="788" t="s">
        <v>2419</v>
      </c>
      <c r="B632" s="187" t="s">
        <v>5372</v>
      </c>
      <c r="C632" s="215">
        <v>237816</v>
      </c>
      <c r="D632" s="215">
        <v>2802815</v>
      </c>
      <c r="F632" s="215">
        <f t="shared" si="56"/>
        <v>2802815</v>
      </c>
      <c r="G632" s="215">
        <f t="shared" si="57"/>
        <v>3040631</v>
      </c>
      <c r="H632" s="680" t="s">
        <v>6153</v>
      </c>
      <c r="I632" s="679"/>
      <c r="J632" s="187" t="str">
        <f t="shared" si="61"/>
        <v>108-916</v>
      </c>
      <c r="K632" s="187">
        <v>108</v>
      </c>
      <c r="L632" s="187">
        <v>916</v>
      </c>
      <c r="M632" s="187" t="str">
        <f t="shared" si="58"/>
        <v>108</v>
      </c>
      <c r="N632" s="187">
        <f t="shared" si="59"/>
        <v>916</v>
      </c>
      <c r="O632" s="187" t="str">
        <f t="shared" si="60"/>
        <v>108-916</v>
      </c>
      <c r="Q632" s="679" t="s">
        <v>7541</v>
      </c>
    </row>
    <row r="633" spans="1:17">
      <c r="A633" s="788" t="s">
        <v>1115</v>
      </c>
      <c r="B633" s="187" t="s">
        <v>1116</v>
      </c>
      <c r="C633" s="215">
        <v>0</v>
      </c>
      <c r="D633" s="215">
        <v>0</v>
      </c>
      <c r="F633" s="215">
        <f t="shared" si="56"/>
        <v>0</v>
      </c>
      <c r="G633" s="215">
        <f t="shared" si="57"/>
        <v>0</v>
      </c>
      <c r="H633" s="680" t="s">
        <v>6153</v>
      </c>
      <c r="I633" s="679"/>
      <c r="J633" s="187" t="str">
        <f t="shared" si="61"/>
        <v>108-917</v>
      </c>
      <c r="K633" s="187">
        <v>108</v>
      </c>
      <c r="L633" s="187">
        <v>917</v>
      </c>
      <c r="M633" s="187" t="str">
        <f t="shared" si="58"/>
        <v>108</v>
      </c>
      <c r="N633" s="187">
        <f t="shared" si="59"/>
        <v>917</v>
      </c>
      <c r="O633" s="187" t="str">
        <f t="shared" si="60"/>
        <v>108-917</v>
      </c>
      <c r="Q633" s="679" t="s">
        <v>6415</v>
      </c>
    </row>
    <row r="634" spans="1:17">
      <c r="A634" s="788" t="s">
        <v>1117</v>
      </c>
      <c r="B634" s="187" t="s">
        <v>1118</v>
      </c>
      <c r="C634" s="215">
        <v>0</v>
      </c>
      <c r="D634" s="215">
        <v>0</v>
      </c>
      <c r="F634" s="215">
        <f t="shared" si="56"/>
        <v>0</v>
      </c>
      <c r="G634" s="215">
        <f t="shared" si="57"/>
        <v>0</v>
      </c>
      <c r="H634" s="680" t="s">
        <v>6153</v>
      </c>
      <c r="I634" s="679"/>
      <c r="J634" s="187" t="str">
        <f t="shared" si="61"/>
        <v>108-950</v>
      </c>
      <c r="K634" s="187">
        <v>108</v>
      </c>
      <c r="L634" s="187">
        <v>950</v>
      </c>
      <c r="M634" s="187" t="str">
        <f t="shared" si="58"/>
        <v>108</v>
      </c>
      <c r="N634" s="187">
        <f t="shared" si="59"/>
        <v>950</v>
      </c>
      <c r="O634" s="187" t="str">
        <f t="shared" si="60"/>
        <v>108-950</v>
      </c>
      <c r="Q634" s="679" t="s">
        <v>6416</v>
      </c>
    </row>
    <row r="635" spans="1:17">
      <c r="A635" s="788" t="s">
        <v>2608</v>
      </c>
      <c r="B635" s="187" t="s">
        <v>324</v>
      </c>
      <c r="C635" s="215">
        <v>0</v>
      </c>
      <c r="D635" s="215">
        <v>551913</v>
      </c>
      <c r="E635" s="215">
        <v>13208</v>
      </c>
      <c r="F635" s="215">
        <f t="shared" si="56"/>
        <v>565121</v>
      </c>
      <c r="G635" s="215">
        <f t="shared" si="57"/>
        <v>565121</v>
      </c>
      <c r="H635" s="680" t="s">
        <v>6153</v>
      </c>
      <c r="I635" s="679"/>
      <c r="J635" s="187" t="str">
        <f t="shared" si="61"/>
        <v>109-901</v>
      </c>
      <c r="K635" s="187">
        <v>109</v>
      </c>
      <c r="L635" s="187">
        <v>901</v>
      </c>
      <c r="M635" s="187" t="str">
        <f t="shared" si="58"/>
        <v>109</v>
      </c>
      <c r="N635" s="187">
        <f t="shared" si="59"/>
        <v>901</v>
      </c>
      <c r="O635" s="187" t="str">
        <f t="shared" si="60"/>
        <v>109-901</v>
      </c>
      <c r="Q635" s="679" t="s">
        <v>7542</v>
      </c>
    </row>
    <row r="636" spans="1:17">
      <c r="A636" s="788" t="s">
        <v>448</v>
      </c>
      <c r="B636" s="187" t="s">
        <v>6096</v>
      </c>
      <c r="C636" s="215">
        <v>23412</v>
      </c>
      <c r="D636" s="215">
        <v>442979</v>
      </c>
      <c r="F636" s="215">
        <f t="shared" si="56"/>
        <v>442979</v>
      </c>
      <c r="G636" s="215">
        <f t="shared" si="57"/>
        <v>466391</v>
      </c>
      <c r="H636" s="680" t="s">
        <v>6153</v>
      </c>
      <c r="I636" s="679"/>
      <c r="J636" s="187" t="str">
        <f t="shared" si="61"/>
        <v>109-902</v>
      </c>
      <c r="K636" s="187">
        <v>109</v>
      </c>
      <c r="L636" s="187">
        <v>902</v>
      </c>
      <c r="M636" s="187" t="str">
        <f t="shared" si="58"/>
        <v>109</v>
      </c>
      <c r="N636" s="187">
        <f t="shared" si="59"/>
        <v>902</v>
      </c>
      <c r="O636" s="187" t="str">
        <f t="shared" si="60"/>
        <v>109-902</v>
      </c>
      <c r="Q636" s="679" t="s">
        <v>7543</v>
      </c>
    </row>
    <row r="637" spans="1:17">
      <c r="A637" s="788" t="s">
        <v>243</v>
      </c>
      <c r="B637" s="187" t="s">
        <v>5246</v>
      </c>
      <c r="C637" s="215">
        <v>33510</v>
      </c>
      <c r="D637" s="215">
        <v>495974</v>
      </c>
      <c r="F637" s="215">
        <f t="shared" si="56"/>
        <v>495974</v>
      </c>
      <c r="G637" s="215">
        <f t="shared" si="57"/>
        <v>529484</v>
      </c>
      <c r="H637" s="680" t="s">
        <v>6153</v>
      </c>
      <c r="I637" s="679"/>
      <c r="J637" s="187" t="str">
        <f t="shared" si="61"/>
        <v>109-903</v>
      </c>
      <c r="K637" s="187">
        <v>109</v>
      </c>
      <c r="L637" s="187">
        <v>903</v>
      </c>
      <c r="M637" s="187" t="str">
        <f t="shared" si="58"/>
        <v>109</v>
      </c>
      <c r="N637" s="187">
        <f t="shared" si="59"/>
        <v>903</v>
      </c>
      <c r="O637" s="187" t="str">
        <f t="shared" si="60"/>
        <v>109-903</v>
      </c>
      <c r="Q637" s="679" t="s">
        <v>7544</v>
      </c>
    </row>
    <row r="638" spans="1:17">
      <c r="A638" s="788" t="s">
        <v>1868</v>
      </c>
      <c r="B638" s="187" t="s">
        <v>3847</v>
      </c>
      <c r="C638" s="215">
        <v>940782</v>
      </c>
      <c r="D638" s="215">
        <v>5443820</v>
      </c>
      <c r="F638" s="215">
        <f t="shared" si="56"/>
        <v>5443820</v>
      </c>
      <c r="G638" s="215">
        <f t="shared" si="57"/>
        <v>6384602</v>
      </c>
      <c r="H638" s="680" t="s">
        <v>6153</v>
      </c>
      <c r="I638" s="679"/>
      <c r="J638" s="187" t="str">
        <f t="shared" si="61"/>
        <v>109-904</v>
      </c>
      <c r="K638" s="187">
        <v>109</v>
      </c>
      <c r="L638" s="187">
        <v>904</v>
      </c>
      <c r="M638" s="187" t="str">
        <f t="shared" si="58"/>
        <v>109</v>
      </c>
      <c r="N638" s="187">
        <f t="shared" si="59"/>
        <v>904</v>
      </c>
      <c r="O638" s="187" t="str">
        <f t="shared" si="60"/>
        <v>109-904</v>
      </c>
      <c r="Q638" s="679" t="s">
        <v>7545</v>
      </c>
    </row>
    <row r="639" spans="1:17">
      <c r="A639" s="788" t="s">
        <v>3098</v>
      </c>
      <c r="B639" s="187" t="s">
        <v>3852</v>
      </c>
      <c r="C639" s="215">
        <v>80236</v>
      </c>
      <c r="D639" s="215">
        <v>685461</v>
      </c>
      <c r="F639" s="215">
        <f t="shared" si="56"/>
        <v>685461</v>
      </c>
      <c r="G639" s="215">
        <f t="shared" si="57"/>
        <v>765697</v>
      </c>
      <c r="H639" s="680" t="s">
        <v>6153</v>
      </c>
      <c r="I639" s="679"/>
      <c r="J639" s="187" t="str">
        <f t="shared" si="61"/>
        <v>109-905</v>
      </c>
      <c r="K639" s="187">
        <v>109</v>
      </c>
      <c r="L639" s="187">
        <v>905</v>
      </c>
      <c r="M639" s="187" t="str">
        <f t="shared" si="58"/>
        <v>109</v>
      </c>
      <c r="N639" s="187">
        <f t="shared" si="59"/>
        <v>905</v>
      </c>
      <c r="O639" s="187" t="str">
        <f t="shared" si="60"/>
        <v>109-905</v>
      </c>
      <c r="Q639" s="679" t="s">
        <v>7546</v>
      </c>
    </row>
    <row r="640" spans="1:17">
      <c r="A640" s="788" t="s">
        <v>6022</v>
      </c>
      <c r="B640" s="187" t="s">
        <v>1907</v>
      </c>
      <c r="C640" s="215">
        <v>76596</v>
      </c>
      <c r="D640" s="215">
        <v>1276264</v>
      </c>
      <c r="F640" s="215">
        <f t="shared" si="56"/>
        <v>1276264</v>
      </c>
      <c r="G640" s="215">
        <f t="shared" si="57"/>
        <v>1352860</v>
      </c>
      <c r="H640" s="680" t="s">
        <v>6153</v>
      </c>
      <c r="I640" s="679"/>
      <c r="J640" s="187" t="str">
        <f t="shared" si="61"/>
        <v>109-907</v>
      </c>
      <c r="K640" s="187">
        <v>109</v>
      </c>
      <c r="L640" s="187">
        <v>907</v>
      </c>
      <c r="M640" s="187" t="str">
        <f t="shared" si="58"/>
        <v>109</v>
      </c>
      <c r="N640" s="187">
        <f t="shared" si="59"/>
        <v>907</v>
      </c>
      <c r="O640" s="187" t="str">
        <f t="shared" si="60"/>
        <v>109-907</v>
      </c>
      <c r="Q640" s="679" t="s">
        <v>7547</v>
      </c>
    </row>
    <row r="641" spans="1:17">
      <c r="A641" s="788" t="s">
        <v>2610</v>
      </c>
      <c r="B641" s="187" t="s">
        <v>326</v>
      </c>
      <c r="C641" s="215">
        <v>0</v>
      </c>
      <c r="D641" s="215">
        <v>230937</v>
      </c>
      <c r="E641" s="215">
        <v>10822</v>
      </c>
      <c r="F641" s="215">
        <f t="shared" si="56"/>
        <v>241759</v>
      </c>
      <c r="G641" s="215">
        <f t="shared" si="57"/>
        <v>241759</v>
      </c>
      <c r="H641" s="680" t="s">
        <v>6153</v>
      </c>
      <c r="I641" s="679"/>
      <c r="J641" s="187" t="str">
        <f t="shared" si="61"/>
        <v>109-908</v>
      </c>
      <c r="K641" s="187">
        <v>109</v>
      </c>
      <c r="L641" s="187">
        <v>908</v>
      </c>
      <c r="M641" s="187" t="str">
        <f t="shared" si="58"/>
        <v>109</v>
      </c>
      <c r="N641" s="187">
        <f t="shared" si="59"/>
        <v>908</v>
      </c>
      <c r="O641" s="187" t="str">
        <f t="shared" si="60"/>
        <v>109-908</v>
      </c>
      <c r="Q641" s="679" t="s">
        <v>7548</v>
      </c>
    </row>
    <row r="642" spans="1:17">
      <c r="A642" s="788" t="s">
        <v>2612</v>
      </c>
      <c r="B642" s="187" t="s">
        <v>504</v>
      </c>
      <c r="C642" s="215">
        <v>0</v>
      </c>
      <c r="D642" s="215">
        <v>249693</v>
      </c>
      <c r="E642" s="215">
        <v>11741</v>
      </c>
      <c r="F642" s="215">
        <f t="shared" si="56"/>
        <v>261434</v>
      </c>
      <c r="G642" s="215">
        <f t="shared" si="57"/>
        <v>261434</v>
      </c>
      <c r="H642" s="680" t="s">
        <v>6153</v>
      </c>
      <c r="I642" s="679"/>
      <c r="J642" s="187" t="str">
        <f t="shared" si="61"/>
        <v>109-910</v>
      </c>
      <c r="K642" s="187">
        <v>109</v>
      </c>
      <c r="L642" s="187">
        <v>910</v>
      </c>
      <c r="M642" s="187" t="str">
        <f t="shared" si="58"/>
        <v>109</v>
      </c>
      <c r="N642" s="187">
        <f t="shared" si="59"/>
        <v>910</v>
      </c>
      <c r="O642" s="187" t="str">
        <f t="shared" si="60"/>
        <v>109-910</v>
      </c>
      <c r="Q642" s="679" t="s">
        <v>7549</v>
      </c>
    </row>
    <row r="643" spans="1:17">
      <c r="A643" s="788" t="s">
        <v>782</v>
      </c>
      <c r="B643" s="187" t="s">
        <v>849</v>
      </c>
      <c r="C643" s="215">
        <v>570201</v>
      </c>
      <c r="D643" s="215">
        <v>5650686</v>
      </c>
      <c r="F643" s="215">
        <f t="shared" si="56"/>
        <v>5650686</v>
      </c>
      <c r="G643" s="215">
        <f t="shared" si="57"/>
        <v>6220887</v>
      </c>
      <c r="H643" s="680" t="s">
        <v>6153</v>
      </c>
      <c r="I643" s="679"/>
      <c r="J643" s="187" t="str">
        <f t="shared" si="61"/>
        <v>109-911</v>
      </c>
      <c r="K643" s="187">
        <v>109</v>
      </c>
      <c r="L643" s="187">
        <v>911</v>
      </c>
      <c r="M643" s="187" t="str">
        <f t="shared" si="58"/>
        <v>109</v>
      </c>
      <c r="N643" s="187">
        <f t="shared" si="59"/>
        <v>911</v>
      </c>
      <c r="O643" s="187" t="str">
        <f t="shared" si="60"/>
        <v>109-911</v>
      </c>
      <c r="Q643" s="679" t="s">
        <v>7550</v>
      </c>
    </row>
    <row r="644" spans="1:17">
      <c r="A644" s="788" t="s">
        <v>2614</v>
      </c>
      <c r="B644" s="187" t="s">
        <v>7686</v>
      </c>
      <c r="C644" s="215">
        <v>25610</v>
      </c>
      <c r="D644" s="215">
        <v>512810</v>
      </c>
      <c r="F644" s="215">
        <f t="shared" ref="F644:F707" si="62">D644+E644</f>
        <v>512810</v>
      </c>
      <c r="G644" s="215">
        <f t="shared" ref="G644:G707" si="63">F644+C644</f>
        <v>538420</v>
      </c>
      <c r="H644" s="680" t="s">
        <v>6153</v>
      </c>
      <c r="I644" s="679"/>
      <c r="J644" s="187" t="str">
        <f t="shared" si="61"/>
        <v>109-912</v>
      </c>
      <c r="K644" s="187">
        <v>109</v>
      </c>
      <c r="L644" s="187">
        <v>912</v>
      </c>
      <c r="M644" s="187" t="str">
        <f t="shared" ref="M644:M707" si="64">+I644&amp;K644</f>
        <v>109</v>
      </c>
      <c r="N644" s="187">
        <f t="shared" ref="N644:N707" si="65">+L644</f>
        <v>912</v>
      </c>
      <c r="O644" s="187" t="str">
        <f t="shared" ref="O644:O707" si="66">+M644&amp;"-"&amp;N644</f>
        <v>109-912</v>
      </c>
      <c r="Q644" s="679" t="s">
        <v>7551</v>
      </c>
    </row>
    <row r="645" spans="1:17">
      <c r="A645" s="788" t="s">
        <v>2468</v>
      </c>
      <c r="B645" s="187" t="s">
        <v>7662</v>
      </c>
      <c r="C645" s="215">
        <v>87813</v>
      </c>
      <c r="D645" s="215">
        <v>711602</v>
      </c>
      <c r="F645" s="215">
        <f t="shared" si="62"/>
        <v>711602</v>
      </c>
      <c r="G645" s="215">
        <f t="shared" si="63"/>
        <v>799415</v>
      </c>
      <c r="H645" s="680" t="s">
        <v>6153</v>
      </c>
      <c r="I645" s="679"/>
      <c r="J645" s="187" t="str">
        <f t="shared" si="61"/>
        <v>109-913</v>
      </c>
      <c r="K645" s="187">
        <v>109</v>
      </c>
      <c r="L645" s="187">
        <v>913</v>
      </c>
      <c r="M645" s="187" t="str">
        <f t="shared" si="64"/>
        <v>109</v>
      </c>
      <c r="N645" s="187">
        <f t="shared" si="65"/>
        <v>913</v>
      </c>
      <c r="O645" s="187" t="str">
        <f t="shared" si="66"/>
        <v>109-913</v>
      </c>
      <c r="Q645" s="679" t="s">
        <v>7552</v>
      </c>
    </row>
    <row r="646" spans="1:17">
      <c r="A646" s="788" t="s">
        <v>2616</v>
      </c>
      <c r="B646" s="187" t="s">
        <v>336</v>
      </c>
      <c r="C646" s="215">
        <v>0</v>
      </c>
      <c r="D646" s="215">
        <v>245807</v>
      </c>
      <c r="E646" s="215">
        <v>10365</v>
      </c>
      <c r="F646" s="215">
        <f t="shared" si="62"/>
        <v>256172</v>
      </c>
      <c r="G646" s="215">
        <f t="shared" si="63"/>
        <v>256172</v>
      </c>
      <c r="H646" s="680" t="s">
        <v>6153</v>
      </c>
      <c r="I646" s="679"/>
      <c r="J646" s="187" t="str">
        <f t="shared" si="61"/>
        <v>109-914</v>
      </c>
      <c r="K646" s="187">
        <v>109</v>
      </c>
      <c r="L646" s="187">
        <v>914</v>
      </c>
      <c r="M646" s="187" t="str">
        <f t="shared" si="64"/>
        <v>109</v>
      </c>
      <c r="N646" s="187">
        <f t="shared" si="65"/>
        <v>914</v>
      </c>
      <c r="O646" s="187" t="str">
        <f t="shared" si="66"/>
        <v>109-914</v>
      </c>
      <c r="Q646" s="679" t="s">
        <v>7553</v>
      </c>
    </row>
    <row r="647" spans="1:17">
      <c r="A647" s="788" t="s">
        <v>784</v>
      </c>
      <c r="B647" s="187" t="s">
        <v>850</v>
      </c>
      <c r="C647" s="215">
        <v>0</v>
      </c>
      <c r="D647" s="215">
        <v>1032543</v>
      </c>
      <c r="F647" s="215">
        <f t="shared" si="62"/>
        <v>1032543</v>
      </c>
      <c r="G647" s="215">
        <f t="shared" si="63"/>
        <v>1032543</v>
      </c>
      <c r="H647" s="680" t="s">
        <v>6153</v>
      </c>
      <c r="I647" s="679"/>
      <c r="J647" s="187" t="str">
        <f t="shared" si="61"/>
        <v>110-901</v>
      </c>
      <c r="K647" s="187">
        <v>110</v>
      </c>
      <c r="L647" s="187">
        <v>901</v>
      </c>
      <c r="M647" s="187" t="str">
        <f t="shared" si="64"/>
        <v>110</v>
      </c>
      <c r="N647" s="187">
        <f t="shared" si="65"/>
        <v>901</v>
      </c>
      <c r="O647" s="187" t="str">
        <f t="shared" si="66"/>
        <v>110-901</v>
      </c>
      <c r="Q647" s="679" t="s">
        <v>7554</v>
      </c>
    </row>
    <row r="648" spans="1:17">
      <c r="A648" s="788" t="s">
        <v>786</v>
      </c>
      <c r="B648" s="187" t="s">
        <v>7109</v>
      </c>
      <c r="C648" s="215">
        <v>1071654</v>
      </c>
      <c r="D648" s="215">
        <v>11648934</v>
      </c>
      <c r="F648" s="215">
        <f t="shared" si="62"/>
        <v>11648934</v>
      </c>
      <c r="G648" s="215">
        <f t="shared" si="63"/>
        <v>12720588</v>
      </c>
      <c r="H648" s="680" t="s">
        <v>6153</v>
      </c>
      <c r="I648" s="679"/>
      <c r="J648" s="187" t="str">
        <f t="shared" si="61"/>
        <v>110-902</v>
      </c>
      <c r="K648" s="187">
        <v>110</v>
      </c>
      <c r="L648" s="187">
        <v>902</v>
      </c>
      <c r="M648" s="187" t="str">
        <f t="shared" si="64"/>
        <v>110</v>
      </c>
      <c r="N648" s="187">
        <f t="shared" si="65"/>
        <v>902</v>
      </c>
      <c r="O648" s="187" t="str">
        <f t="shared" si="66"/>
        <v>110-902</v>
      </c>
      <c r="Q648" s="679" t="s">
        <v>7555</v>
      </c>
    </row>
    <row r="649" spans="1:17">
      <c r="A649" s="788" t="s">
        <v>788</v>
      </c>
      <c r="B649" s="187" t="s">
        <v>7110</v>
      </c>
      <c r="C649" s="215">
        <v>0</v>
      </c>
      <c r="D649" s="215">
        <v>666988</v>
      </c>
      <c r="F649" s="215">
        <f t="shared" si="62"/>
        <v>666988</v>
      </c>
      <c r="G649" s="215">
        <f t="shared" si="63"/>
        <v>666988</v>
      </c>
      <c r="H649" s="680" t="s">
        <v>6153</v>
      </c>
      <c r="I649" s="679"/>
      <c r="J649" s="187" t="str">
        <f t="shared" si="61"/>
        <v>110-905</v>
      </c>
      <c r="K649" s="187">
        <v>110</v>
      </c>
      <c r="L649" s="187">
        <v>905</v>
      </c>
      <c r="M649" s="187" t="str">
        <f t="shared" si="64"/>
        <v>110</v>
      </c>
      <c r="N649" s="187">
        <f t="shared" si="65"/>
        <v>905</v>
      </c>
      <c r="O649" s="187" t="str">
        <f t="shared" si="66"/>
        <v>110-905</v>
      </c>
      <c r="Q649" s="679" t="s">
        <v>7556</v>
      </c>
    </row>
    <row r="650" spans="1:17">
      <c r="A650" s="788" t="s">
        <v>969</v>
      </c>
      <c r="B650" s="187" t="s">
        <v>2344</v>
      </c>
      <c r="C650" s="215">
        <v>0</v>
      </c>
      <c r="D650" s="215">
        <v>672451</v>
      </c>
      <c r="E650" s="215">
        <v>31449</v>
      </c>
      <c r="F650" s="215">
        <f t="shared" si="62"/>
        <v>703900</v>
      </c>
      <c r="G650" s="215">
        <f t="shared" si="63"/>
        <v>703900</v>
      </c>
      <c r="H650" s="680" t="s">
        <v>6153</v>
      </c>
      <c r="I650" s="679"/>
      <c r="J650" s="187" t="str">
        <f t="shared" si="61"/>
        <v>110-906</v>
      </c>
      <c r="K650" s="187">
        <v>110</v>
      </c>
      <c r="L650" s="187">
        <v>906</v>
      </c>
      <c r="M650" s="187" t="str">
        <f t="shared" si="64"/>
        <v>110</v>
      </c>
      <c r="N650" s="187">
        <f t="shared" si="65"/>
        <v>906</v>
      </c>
      <c r="O650" s="187" t="str">
        <f t="shared" si="66"/>
        <v>110-906</v>
      </c>
      <c r="Q650" s="679" t="s">
        <v>7557</v>
      </c>
    </row>
    <row r="651" spans="1:17">
      <c r="A651" s="788" t="s">
        <v>790</v>
      </c>
      <c r="B651" s="187" t="s">
        <v>7111</v>
      </c>
      <c r="C651" s="215">
        <v>0</v>
      </c>
      <c r="D651" s="215">
        <v>10543259</v>
      </c>
      <c r="F651" s="215">
        <f t="shared" si="62"/>
        <v>10543259</v>
      </c>
      <c r="G651" s="215">
        <f t="shared" si="63"/>
        <v>10543259</v>
      </c>
      <c r="H651" s="680" t="s">
        <v>6153</v>
      </c>
      <c r="I651" s="679"/>
      <c r="J651" s="187" t="str">
        <f t="shared" si="61"/>
        <v>110-907</v>
      </c>
      <c r="K651" s="187">
        <v>110</v>
      </c>
      <c r="L651" s="187">
        <v>907</v>
      </c>
      <c r="M651" s="187" t="str">
        <f t="shared" si="64"/>
        <v>110</v>
      </c>
      <c r="N651" s="187">
        <f t="shared" si="65"/>
        <v>907</v>
      </c>
      <c r="O651" s="187" t="str">
        <f t="shared" si="66"/>
        <v>110-907</v>
      </c>
      <c r="Q651" s="679" t="s">
        <v>7558</v>
      </c>
    </row>
    <row r="652" spans="1:17">
      <c r="A652" s="788" t="s">
        <v>792</v>
      </c>
      <c r="B652" s="187" t="s">
        <v>7112</v>
      </c>
      <c r="C652" s="215">
        <v>0</v>
      </c>
      <c r="D652" s="215">
        <v>407809</v>
      </c>
      <c r="F652" s="215">
        <f t="shared" si="62"/>
        <v>407809</v>
      </c>
      <c r="G652" s="215">
        <f t="shared" si="63"/>
        <v>407809</v>
      </c>
      <c r="H652" s="680" t="s">
        <v>6153</v>
      </c>
      <c r="I652" s="679"/>
      <c r="J652" s="187" t="str">
        <f t="shared" si="61"/>
        <v>110-908</v>
      </c>
      <c r="K652" s="187">
        <v>110</v>
      </c>
      <c r="L652" s="187">
        <v>908</v>
      </c>
      <c r="M652" s="187" t="str">
        <f t="shared" si="64"/>
        <v>110</v>
      </c>
      <c r="N652" s="187">
        <f t="shared" si="65"/>
        <v>908</v>
      </c>
      <c r="O652" s="187" t="str">
        <f t="shared" si="66"/>
        <v>110-908</v>
      </c>
      <c r="Q652" s="679" t="s">
        <v>7559</v>
      </c>
    </row>
    <row r="653" spans="1:17">
      <c r="A653" s="788" t="s">
        <v>794</v>
      </c>
      <c r="B653" s="187" t="s">
        <v>7113</v>
      </c>
      <c r="C653" s="215">
        <v>5882599</v>
      </c>
      <c r="D653" s="215">
        <v>34318078</v>
      </c>
      <c r="F653" s="215">
        <f t="shared" si="62"/>
        <v>34318078</v>
      </c>
      <c r="G653" s="215">
        <f t="shared" si="63"/>
        <v>40200677</v>
      </c>
      <c r="H653" s="680" t="s">
        <v>6153</v>
      </c>
      <c r="I653" s="679"/>
      <c r="J653" s="187" t="str">
        <f t="shared" si="61"/>
        <v>111-901</v>
      </c>
      <c r="K653" s="187">
        <v>111</v>
      </c>
      <c r="L653" s="187">
        <v>901</v>
      </c>
      <c r="M653" s="187" t="str">
        <f t="shared" si="64"/>
        <v>111</v>
      </c>
      <c r="N653" s="187">
        <f t="shared" si="65"/>
        <v>901</v>
      </c>
      <c r="O653" s="187" t="str">
        <f t="shared" si="66"/>
        <v>111-901</v>
      </c>
      <c r="Q653" s="679" t="s">
        <v>7560</v>
      </c>
    </row>
    <row r="654" spans="1:17">
      <c r="A654" s="788" t="s">
        <v>2991</v>
      </c>
      <c r="B654" s="187" t="s">
        <v>193</v>
      </c>
      <c r="C654" s="215">
        <v>114737</v>
      </c>
      <c r="D654" s="215">
        <v>853825</v>
      </c>
      <c r="F654" s="215">
        <f t="shared" si="62"/>
        <v>853825</v>
      </c>
      <c r="G654" s="215">
        <f t="shared" si="63"/>
        <v>968562</v>
      </c>
      <c r="H654" s="680" t="s">
        <v>6153</v>
      </c>
      <c r="I654" s="679"/>
      <c r="J654" s="187" t="str">
        <f t="shared" si="61"/>
        <v>111-902</v>
      </c>
      <c r="K654" s="187">
        <v>111</v>
      </c>
      <c r="L654" s="187">
        <v>902</v>
      </c>
      <c r="M654" s="187" t="str">
        <f t="shared" si="64"/>
        <v>111</v>
      </c>
      <c r="N654" s="187">
        <f t="shared" si="65"/>
        <v>902</v>
      </c>
      <c r="O654" s="187" t="str">
        <f t="shared" si="66"/>
        <v>111-902</v>
      </c>
      <c r="Q654" s="679" t="s">
        <v>7561</v>
      </c>
    </row>
    <row r="655" spans="1:17">
      <c r="A655" s="788" t="s">
        <v>2413</v>
      </c>
      <c r="B655" s="187" t="s">
        <v>5366</v>
      </c>
      <c r="C655" s="215">
        <v>194852</v>
      </c>
      <c r="D655" s="215">
        <v>1161349</v>
      </c>
      <c r="F655" s="215">
        <f t="shared" si="62"/>
        <v>1161349</v>
      </c>
      <c r="G655" s="215">
        <f t="shared" si="63"/>
        <v>1356201</v>
      </c>
      <c r="H655" s="680" t="s">
        <v>6153</v>
      </c>
      <c r="I655" s="679"/>
      <c r="J655" s="187" t="str">
        <f t="shared" si="61"/>
        <v>111-903</v>
      </c>
      <c r="K655" s="187">
        <v>111</v>
      </c>
      <c r="L655" s="187">
        <v>903</v>
      </c>
      <c r="M655" s="187" t="str">
        <f t="shared" si="64"/>
        <v>111</v>
      </c>
      <c r="N655" s="187">
        <f t="shared" si="65"/>
        <v>903</v>
      </c>
      <c r="O655" s="187" t="str">
        <f t="shared" si="66"/>
        <v>111-903</v>
      </c>
      <c r="Q655" s="679" t="s">
        <v>3652</v>
      </c>
    </row>
    <row r="656" spans="1:17">
      <c r="A656" s="788" t="s">
        <v>796</v>
      </c>
      <c r="B656" s="187" t="s">
        <v>7114</v>
      </c>
      <c r="C656" s="215">
        <v>651125</v>
      </c>
      <c r="D656" s="215">
        <v>11737701</v>
      </c>
      <c r="F656" s="215">
        <f t="shared" si="62"/>
        <v>11737701</v>
      </c>
      <c r="G656" s="215">
        <f t="shared" si="63"/>
        <v>12388826</v>
      </c>
      <c r="H656" s="680" t="s">
        <v>6153</v>
      </c>
      <c r="I656" s="679"/>
      <c r="J656" s="187" t="str">
        <f t="shared" si="61"/>
        <v>112-901</v>
      </c>
      <c r="K656" s="187">
        <v>112</v>
      </c>
      <c r="L656" s="187">
        <v>901</v>
      </c>
      <c r="M656" s="187" t="str">
        <f t="shared" si="64"/>
        <v>112</v>
      </c>
      <c r="N656" s="187">
        <f t="shared" si="65"/>
        <v>901</v>
      </c>
      <c r="O656" s="187" t="str">
        <f t="shared" si="66"/>
        <v>112-901</v>
      </c>
      <c r="Q656" s="679" t="s">
        <v>3653</v>
      </c>
    </row>
    <row r="657" spans="1:17">
      <c r="A657" s="788" t="s">
        <v>2044</v>
      </c>
      <c r="B657" s="187" t="s">
        <v>991</v>
      </c>
      <c r="C657" s="215">
        <v>28807</v>
      </c>
      <c r="D657" s="215">
        <v>634379</v>
      </c>
      <c r="F657" s="215">
        <f t="shared" si="62"/>
        <v>634379</v>
      </c>
      <c r="G657" s="215">
        <f t="shared" si="63"/>
        <v>663186</v>
      </c>
      <c r="H657" s="680" t="s">
        <v>6153</v>
      </c>
      <c r="I657" s="679"/>
      <c r="J657" s="187" t="str">
        <f t="shared" si="61"/>
        <v>112-905</v>
      </c>
      <c r="K657" s="187">
        <v>112</v>
      </c>
      <c r="L657" s="187">
        <v>905</v>
      </c>
      <c r="M657" s="187" t="str">
        <f t="shared" si="64"/>
        <v>112</v>
      </c>
      <c r="N657" s="187">
        <f t="shared" si="65"/>
        <v>905</v>
      </c>
      <c r="O657" s="187" t="str">
        <f t="shared" si="66"/>
        <v>112-905</v>
      </c>
      <c r="Q657" s="679" t="s">
        <v>3654</v>
      </c>
    </row>
    <row r="658" spans="1:17">
      <c r="A658" s="788" t="s">
        <v>798</v>
      </c>
      <c r="B658" s="187" t="s">
        <v>7115</v>
      </c>
      <c r="C658" s="215">
        <v>53744</v>
      </c>
      <c r="D658" s="215">
        <v>795805</v>
      </c>
      <c r="F658" s="215">
        <f t="shared" si="62"/>
        <v>795805</v>
      </c>
      <c r="G658" s="215">
        <f t="shared" si="63"/>
        <v>849549</v>
      </c>
      <c r="H658" s="680" t="s">
        <v>6153</v>
      </c>
      <c r="I658" s="679"/>
      <c r="J658" s="187" t="str">
        <f t="shared" si="61"/>
        <v>112-906</v>
      </c>
      <c r="K658" s="187">
        <v>112</v>
      </c>
      <c r="L658" s="187">
        <v>906</v>
      </c>
      <c r="M658" s="187" t="str">
        <f t="shared" si="64"/>
        <v>112</v>
      </c>
      <c r="N658" s="187">
        <f t="shared" si="65"/>
        <v>906</v>
      </c>
      <c r="O658" s="187" t="str">
        <f t="shared" si="66"/>
        <v>112-906</v>
      </c>
      <c r="Q658" s="679" t="s">
        <v>3655</v>
      </c>
    </row>
    <row r="659" spans="1:17">
      <c r="A659" s="788" t="s">
        <v>2358</v>
      </c>
      <c r="B659" s="187" t="s">
        <v>499</v>
      </c>
      <c r="C659" s="215">
        <v>47131</v>
      </c>
      <c r="D659" s="215">
        <v>440132</v>
      </c>
      <c r="F659" s="215">
        <f t="shared" si="62"/>
        <v>440132</v>
      </c>
      <c r="G659" s="215">
        <f t="shared" si="63"/>
        <v>487263</v>
      </c>
      <c r="H659" s="680" t="s">
        <v>6153</v>
      </c>
      <c r="I659" s="679"/>
      <c r="J659" s="187" t="str">
        <f t="shared" si="61"/>
        <v>112-907</v>
      </c>
      <c r="K659" s="187">
        <v>112</v>
      </c>
      <c r="L659" s="187">
        <v>907</v>
      </c>
      <c r="M659" s="187" t="str">
        <f t="shared" si="64"/>
        <v>112</v>
      </c>
      <c r="N659" s="187">
        <f t="shared" si="65"/>
        <v>907</v>
      </c>
      <c r="O659" s="187" t="str">
        <f t="shared" si="66"/>
        <v>112-907</v>
      </c>
      <c r="Q659" s="679" t="s">
        <v>3656</v>
      </c>
    </row>
    <row r="660" spans="1:17">
      <c r="A660" s="788" t="s">
        <v>800</v>
      </c>
      <c r="B660" s="187" t="s">
        <v>7116</v>
      </c>
      <c r="C660" s="215">
        <v>0</v>
      </c>
      <c r="D660" s="215">
        <v>1203159</v>
      </c>
      <c r="F660" s="215">
        <f t="shared" si="62"/>
        <v>1203159</v>
      </c>
      <c r="G660" s="215">
        <f t="shared" si="63"/>
        <v>1203159</v>
      </c>
      <c r="H660" s="680" t="s">
        <v>6153</v>
      </c>
      <c r="I660" s="679"/>
      <c r="J660" s="187" t="str">
        <f t="shared" si="61"/>
        <v>112-908</v>
      </c>
      <c r="K660" s="187">
        <v>112</v>
      </c>
      <c r="L660" s="187">
        <v>908</v>
      </c>
      <c r="M660" s="187" t="str">
        <f t="shared" si="64"/>
        <v>112</v>
      </c>
      <c r="N660" s="187">
        <f t="shared" si="65"/>
        <v>908</v>
      </c>
      <c r="O660" s="187" t="str">
        <f t="shared" si="66"/>
        <v>112-908</v>
      </c>
      <c r="Q660" s="679" t="s">
        <v>3657</v>
      </c>
    </row>
    <row r="661" spans="1:17">
      <c r="A661" s="788" t="s">
        <v>802</v>
      </c>
      <c r="B661" s="187" t="s">
        <v>7117</v>
      </c>
      <c r="C661" s="215">
        <v>0</v>
      </c>
      <c r="D661" s="215">
        <v>361663</v>
      </c>
      <c r="F661" s="215">
        <f t="shared" si="62"/>
        <v>361663</v>
      </c>
      <c r="G661" s="215">
        <f t="shared" si="63"/>
        <v>361663</v>
      </c>
      <c r="H661" s="680" t="s">
        <v>6153</v>
      </c>
      <c r="I661" s="679"/>
      <c r="J661" s="187" t="str">
        <f t="shared" si="61"/>
        <v>112-909</v>
      </c>
      <c r="K661" s="187">
        <v>112</v>
      </c>
      <c r="L661" s="187">
        <v>909</v>
      </c>
      <c r="M661" s="187" t="str">
        <f t="shared" si="64"/>
        <v>112</v>
      </c>
      <c r="N661" s="187">
        <f t="shared" si="65"/>
        <v>909</v>
      </c>
      <c r="O661" s="187" t="str">
        <f t="shared" si="66"/>
        <v>112-909</v>
      </c>
      <c r="Q661" s="679" t="s">
        <v>3658</v>
      </c>
    </row>
    <row r="662" spans="1:17">
      <c r="A662" s="788" t="s">
        <v>2046</v>
      </c>
      <c r="B662" s="187" t="s">
        <v>2357</v>
      </c>
      <c r="C662" s="215">
        <v>56136</v>
      </c>
      <c r="D662" s="215">
        <v>484456</v>
      </c>
      <c r="F662" s="215">
        <f t="shared" si="62"/>
        <v>484456</v>
      </c>
      <c r="G662" s="215">
        <f t="shared" si="63"/>
        <v>540592</v>
      </c>
      <c r="H662" s="680" t="s">
        <v>6153</v>
      </c>
      <c r="I662" s="679"/>
      <c r="J662" s="187" t="str">
        <f t="shared" si="61"/>
        <v>112-910</v>
      </c>
      <c r="K662" s="187">
        <v>112</v>
      </c>
      <c r="L662" s="187">
        <v>910</v>
      </c>
      <c r="M662" s="187" t="str">
        <f t="shared" si="64"/>
        <v>112</v>
      </c>
      <c r="N662" s="187">
        <f t="shared" si="65"/>
        <v>910</v>
      </c>
      <c r="O662" s="187" t="str">
        <f t="shared" si="66"/>
        <v>112-910</v>
      </c>
      <c r="Q662" s="679" t="s">
        <v>3659</v>
      </c>
    </row>
    <row r="663" spans="1:17">
      <c r="A663" s="788" t="s">
        <v>804</v>
      </c>
      <c r="B663" s="187" t="s">
        <v>7118</v>
      </c>
      <c r="C663" s="215">
        <v>431272</v>
      </c>
      <c r="D663" s="215">
        <v>3667379</v>
      </c>
      <c r="F663" s="215">
        <f t="shared" si="62"/>
        <v>3667379</v>
      </c>
      <c r="G663" s="215">
        <f t="shared" si="63"/>
        <v>4098651</v>
      </c>
      <c r="H663" s="680" t="s">
        <v>6153</v>
      </c>
      <c r="I663" s="679"/>
      <c r="J663" s="187" t="str">
        <f t="shared" si="61"/>
        <v>113-901</v>
      </c>
      <c r="K663" s="187">
        <v>113</v>
      </c>
      <c r="L663" s="187">
        <v>901</v>
      </c>
      <c r="M663" s="187" t="str">
        <f t="shared" si="64"/>
        <v>113</v>
      </c>
      <c r="N663" s="187">
        <f t="shared" si="65"/>
        <v>901</v>
      </c>
      <c r="O663" s="187" t="str">
        <f t="shared" si="66"/>
        <v>113-901</v>
      </c>
      <c r="Q663" s="679" t="s">
        <v>3660</v>
      </c>
    </row>
    <row r="664" spans="1:17">
      <c r="A664" s="788" t="s">
        <v>806</v>
      </c>
      <c r="B664" s="187" t="s">
        <v>7119</v>
      </c>
      <c r="C664" s="215">
        <v>0</v>
      </c>
      <c r="D664" s="215">
        <v>2375089</v>
      </c>
      <c r="F664" s="215">
        <f t="shared" si="62"/>
        <v>2375089</v>
      </c>
      <c r="G664" s="215">
        <f t="shared" si="63"/>
        <v>2375089</v>
      </c>
      <c r="H664" s="680" t="s">
        <v>6153</v>
      </c>
      <c r="I664" s="679"/>
      <c r="J664" s="187" t="str">
        <f t="shared" si="61"/>
        <v>113-902</v>
      </c>
      <c r="K664" s="187">
        <v>113</v>
      </c>
      <c r="L664" s="187">
        <v>902</v>
      </c>
      <c r="M664" s="187" t="str">
        <f t="shared" si="64"/>
        <v>113</v>
      </c>
      <c r="N664" s="187">
        <f t="shared" si="65"/>
        <v>902</v>
      </c>
      <c r="O664" s="187" t="str">
        <f t="shared" si="66"/>
        <v>113-902</v>
      </c>
      <c r="Q664" s="679" t="s">
        <v>3661</v>
      </c>
    </row>
    <row r="665" spans="1:17">
      <c r="A665" s="788" t="s">
        <v>808</v>
      </c>
      <c r="B665" s="187" t="s">
        <v>7120</v>
      </c>
      <c r="C665" s="215">
        <v>536</v>
      </c>
      <c r="D665" s="215">
        <v>1758142</v>
      </c>
      <c r="F665" s="215">
        <f t="shared" si="62"/>
        <v>1758142</v>
      </c>
      <c r="G665" s="215">
        <f t="shared" si="63"/>
        <v>1758678</v>
      </c>
      <c r="H665" s="680" t="s">
        <v>6153</v>
      </c>
      <c r="I665" s="679"/>
      <c r="J665" s="187" t="str">
        <f t="shared" si="61"/>
        <v>113-903</v>
      </c>
      <c r="K665" s="187">
        <v>113</v>
      </c>
      <c r="L665" s="187">
        <v>903</v>
      </c>
      <c r="M665" s="187" t="str">
        <f t="shared" si="64"/>
        <v>113</v>
      </c>
      <c r="N665" s="187">
        <f t="shared" si="65"/>
        <v>903</v>
      </c>
      <c r="O665" s="187" t="str">
        <f t="shared" si="66"/>
        <v>113-903</v>
      </c>
      <c r="Q665" s="679" t="s">
        <v>3662</v>
      </c>
    </row>
    <row r="666" spans="1:17">
      <c r="A666" s="788" t="s">
        <v>1119</v>
      </c>
      <c r="B666" s="187" t="s">
        <v>1120</v>
      </c>
      <c r="C666" s="215">
        <v>0</v>
      </c>
      <c r="D666" s="215">
        <v>0</v>
      </c>
      <c r="F666" s="215">
        <f t="shared" si="62"/>
        <v>0</v>
      </c>
      <c r="G666" s="215">
        <f t="shared" si="63"/>
        <v>0</v>
      </c>
      <c r="H666" s="680" t="s">
        <v>6153</v>
      </c>
      <c r="I666" s="679"/>
      <c r="J666" s="187" t="str">
        <f t="shared" si="61"/>
        <v>113-904</v>
      </c>
      <c r="K666" s="187">
        <v>113</v>
      </c>
      <c r="L666" s="187">
        <v>904</v>
      </c>
      <c r="M666" s="187" t="str">
        <f t="shared" si="64"/>
        <v>113</v>
      </c>
      <c r="N666" s="187">
        <f t="shared" si="65"/>
        <v>904</v>
      </c>
      <c r="O666" s="187" t="str">
        <f t="shared" si="66"/>
        <v>113-904</v>
      </c>
      <c r="Q666" s="679" t="s">
        <v>6417</v>
      </c>
    </row>
    <row r="667" spans="1:17">
      <c r="A667" s="788" t="s">
        <v>810</v>
      </c>
      <c r="B667" s="187" t="s">
        <v>7121</v>
      </c>
      <c r="C667" s="215">
        <v>154436</v>
      </c>
      <c r="D667" s="215">
        <v>1332264</v>
      </c>
      <c r="F667" s="215">
        <f t="shared" si="62"/>
        <v>1332264</v>
      </c>
      <c r="G667" s="215">
        <f t="shared" si="63"/>
        <v>1486700</v>
      </c>
      <c r="H667" s="680" t="s">
        <v>6153</v>
      </c>
      <c r="I667" s="679"/>
      <c r="J667" s="187" t="str">
        <f t="shared" si="61"/>
        <v>113-905</v>
      </c>
      <c r="K667" s="187">
        <v>113</v>
      </c>
      <c r="L667" s="187">
        <v>905</v>
      </c>
      <c r="M667" s="187" t="str">
        <f t="shared" si="64"/>
        <v>113</v>
      </c>
      <c r="N667" s="187">
        <f t="shared" si="65"/>
        <v>905</v>
      </c>
      <c r="O667" s="187" t="str">
        <f t="shared" si="66"/>
        <v>113-905</v>
      </c>
      <c r="Q667" s="679" t="s">
        <v>3663</v>
      </c>
    </row>
    <row r="668" spans="1:17">
      <c r="A668" s="788" t="s">
        <v>667</v>
      </c>
      <c r="B668" s="187" t="s">
        <v>7122</v>
      </c>
      <c r="C668" s="215">
        <v>45374</v>
      </c>
      <c r="D668" s="215">
        <v>1027434</v>
      </c>
      <c r="F668" s="215">
        <f t="shared" si="62"/>
        <v>1027434</v>
      </c>
      <c r="G668" s="215">
        <f t="shared" si="63"/>
        <v>1072808</v>
      </c>
      <c r="H668" s="680" t="s">
        <v>6153</v>
      </c>
      <c r="I668" s="679"/>
      <c r="J668" s="187" t="str">
        <f t="shared" si="61"/>
        <v>113-906</v>
      </c>
      <c r="K668" s="187">
        <v>113</v>
      </c>
      <c r="L668" s="187">
        <v>906</v>
      </c>
      <c r="M668" s="187" t="str">
        <f t="shared" si="64"/>
        <v>113</v>
      </c>
      <c r="N668" s="187">
        <f t="shared" si="65"/>
        <v>906</v>
      </c>
      <c r="O668" s="187" t="str">
        <f t="shared" si="66"/>
        <v>113-906</v>
      </c>
      <c r="Q668" s="679" t="s">
        <v>3664</v>
      </c>
    </row>
    <row r="669" spans="1:17">
      <c r="A669" s="788" t="s">
        <v>1707</v>
      </c>
      <c r="B669" s="187" t="s">
        <v>3864</v>
      </c>
      <c r="C669" s="215">
        <v>470021</v>
      </c>
      <c r="D669" s="215">
        <v>9213999</v>
      </c>
      <c r="F669" s="215">
        <f t="shared" si="62"/>
        <v>9213999</v>
      </c>
      <c r="G669" s="215">
        <f t="shared" si="63"/>
        <v>9684020</v>
      </c>
      <c r="H669" s="680" t="s">
        <v>6153</v>
      </c>
      <c r="I669" s="679"/>
      <c r="J669" s="187" t="str">
        <f t="shared" si="61"/>
        <v>114-901</v>
      </c>
      <c r="K669" s="187">
        <v>114</v>
      </c>
      <c r="L669" s="187">
        <v>901</v>
      </c>
      <c r="M669" s="187" t="str">
        <f t="shared" si="64"/>
        <v>114</v>
      </c>
      <c r="N669" s="187">
        <f t="shared" si="65"/>
        <v>901</v>
      </c>
      <c r="O669" s="187" t="str">
        <f t="shared" si="66"/>
        <v>114-901</v>
      </c>
      <c r="Q669" s="679" t="s">
        <v>3665</v>
      </c>
    </row>
    <row r="670" spans="1:17">
      <c r="A670" s="788" t="s">
        <v>1709</v>
      </c>
      <c r="B670" s="187" t="s">
        <v>3865</v>
      </c>
      <c r="C670" s="215">
        <v>0</v>
      </c>
      <c r="D670" s="215">
        <v>2974019</v>
      </c>
      <c r="F670" s="215">
        <f t="shared" si="62"/>
        <v>2974019</v>
      </c>
      <c r="G670" s="215">
        <f t="shared" si="63"/>
        <v>2974019</v>
      </c>
      <c r="H670" s="680" t="s">
        <v>6153</v>
      </c>
      <c r="I670" s="679"/>
      <c r="J670" s="187" t="str">
        <f t="shared" si="61"/>
        <v>114-902</v>
      </c>
      <c r="K670" s="187">
        <v>114</v>
      </c>
      <c r="L670" s="187">
        <v>902</v>
      </c>
      <c r="M670" s="187" t="str">
        <f t="shared" si="64"/>
        <v>114</v>
      </c>
      <c r="N670" s="187">
        <f t="shared" si="65"/>
        <v>902</v>
      </c>
      <c r="O670" s="187" t="str">
        <f t="shared" si="66"/>
        <v>114-902</v>
      </c>
      <c r="Q670" s="679" t="s">
        <v>3666</v>
      </c>
    </row>
    <row r="671" spans="1:17">
      <c r="A671" s="788" t="s">
        <v>1711</v>
      </c>
      <c r="B671" s="187" t="s">
        <v>3866</v>
      </c>
      <c r="C671" s="215">
        <v>0</v>
      </c>
      <c r="D671" s="215">
        <v>3491556</v>
      </c>
      <c r="F671" s="215">
        <f t="shared" si="62"/>
        <v>3491556</v>
      </c>
      <c r="G671" s="215">
        <f t="shared" si="63"/>
        <v>3491556</v>
      </c>
      <c r="H671" s="680" t="s">
        <v>6153</v>
      </c>
      <c r="I671" s="679"/>
      <c r="J671" s="187" t="str">
        <f t="shared" si="61"/>
        <v>114-904</v>
      </c>
      <c r="K671" s="187">
        <v>114</v>
      </c>
      <c r="L671" s="187">
        <v>904</v>
      </c>
      <c r="M671" s="187" t="str">
        <f t="shared" si="64"/>
        <v>114</v>
      </c>
      <c r="N671" s="187">
        <f t="shared" si="65"/>
        <v>904</v>
      </c>
      <c r="O671" s="187" t="str">
        <f t="shared" si="66"/>
        <v>114-904</v>
      </c>
      <c r="Q671" s="679" t="s">
        <v>3667</v>
      </c>
    </row>
    <row r="672" spans="1:17">
      <c r="A672" s="788" t="s">
        <v>1713</v>
      </c>
      <c r="B672" s="187" t="s">
        <v>3867</v>
      </c>
      <c r="C672" s="215">
        <v>142571</v>
      </c>
      <c r="D672" s="215">
        <v>1065733</v>
      </c>
      <c r="F672" s="215">
        <f t="shared" si="62"/>
        <v>1065733</v>
      </c>
      <c r="G672" s="215">
        <f t="shared" si="63"/>
        <v>1208304</v>
      </c>
      <c r="H672" s="680" t="s">
        <v>6153</v>
      </c>
      <c r="I672" s="679"/>
      <c r="J672" s="187" t="str">
        <f t="shared" si="61"/>
        <v>115-901</v>
      </c>
      <c r="K672" s="187">
        <v>115</v>
      </c>
      <c r="L672" s="187">
        <v>901</v>
      </c>
      <c r="M672" s="187" t="str">
        <f t="shared" si="64"/>
        <v>115</v>
      </c>
      <c r="N672" s="187">
        <f t="shared" si="65"/>
        <v>901</v>
      </c>
      <c r="O672" s="187" t="str">
        <f t="shared" si="66"/>
        <v>115-901</v>
      </c>
      <c r="Q672" s="679" t="s">
        <v>3668</v>
      </c>
    </row>
    <row r="673" spans="1:17">
      <c r="A673" s="788" t="s">
        <v>1330</v>
      </c>
      <c r="B673" s="187" t="s">
        <v>3868</v>
      </c>
      <c r="C673" s="215">
        <v>0</v>
      </c>
      <c r="D673" s="215">
        <v>611055</v>
      </c>
      <c r="F673" s="215">
        <f t="shared" si="62"/>
        <v>611055</v>
      </c>
      <c r="G673" s="215">
        <f t="shared" si="63"/>
        <v>611055</v>
      </c>
      <c r="H673" s="680" t="s">
        <v>6153</v>
      </c>
      <c r="I673" s="679"/>
      <c r="J673" s="187" t="str">
        <f t="shared" si="61"/>
        <v>115-902</v>
      </c>
      <c r="K673" s="187">
        <v>115</v>
      </c>
      <c r="L673" s="187">
        <v>902</v>
      </c>
      <c r="M673" s="187" t="str">
        <f t="shared" si="64"/>
        <v>115</v>
      </c>
      <c r="N673" s="187">
        <f t="shared" si="65"/>
        <v>902</v>
      </c>
      <c r="O673" s="187" t="str">
        <f t="shared" si="66"/>
        <v>115-902</v>
      </c>
      <c r="Q673" s="679" t="s">
        <v>3669</v>
      </c>
    </row>
    <row r="674" spans="1:17">
      <c r="A674" s="788" t="s">
        <v>1332</v>
      </c>
      <c r="B674" s="187" t="s">
        <v>3869</v>
      </c>
      <c r="C674" s="215">
        <v>641</v>
      </c>
      <c r="D674" s="215">
        <v>578768</v>
      </c>
      <c r="F674" s="215">
        <f t="shared" si="62"/>
        <v>578768</v>
      </c>
      <c r="G674" s="215">
        <f t="shared" si="63"/>
        <v>579409</v>
      </c>
      <c r="H674" s="680" t="s">
        <v>6153</v>
      </c>
      <c r="I674" s="679"/>
      <c r="J674" s="187" t="str">
        <f t="shared" ref="J674:J737" si="67">+A674</f>
        <v>115-903</v>
      </c>
      <c r="K674" s="187">
        <v>115</v>
      </c>
      <c r="L674" s="187">
        <v>903</v>
      </c>
      <c r="M674" s="187" t="str">
        <f t="shared" si="64"/>
        <v>115</v>
      </c>
      <c r="N674" s="187">
        <f t="shared" si="65"/>
        <v>903</v>
      </c>
      <c r="O674" s="187" t="str">
        <f t="shared" si="66"/>
        <v>115-903</v>
      </c>
      <c r="Q674" s="679" t="s">
        <v>3670</v>
      </c>
    </row>
    <row r="675" spans="1:17">
      <c r="A675" s="788" t="s">
        <v>1121</v>
      </c>
      <c r="B675" s="187" t="s">
        <v>1122</v>
      </c>
      <c r="C675" s="215">
        <v>0</v>
      </c>
      <c r="D675" s="215">
        <v>0</v>
      </c>
      <c r="F675" s="215">
        <f t="shared" si="62"/>
        <v>0</v>
      </c>
      <c r="G675" s="215">
        <f t="shared" si="63"/>
        <v>0</v>
      </c>
      <c r="H675" s="680" t="s">
        <v>6153</v>
      </c>
      <c r="I675" s="679"/>
      <c r="J675" s="187" t="str">
        <f t="shared" si="67"/>
        <v>116-801</v>
      </c>
      <c r="K675" s="187">
        <v>116</v>
      </c>
      <c r="L675" s="187">
        <v>801</v>
      </c>
      <c r="M675" s="187" t="str">
        <f t="shared" si="64"/>
        <v>116</v>
      </c>
      <c r="N675" s="187">
        <f t="shared" si="65"/>
        <v>801</v>
      </c>
      <c r="O675" s="187" t="str">
        <f t="shared" si="66"/>
        <v>116-801</v>
      </c>
      <c r="Q675" s="679" t="s">
        <v>6418</v>
      </c>
    </row>
    <row r="676" spans="1:17">
      <c r="A676" s="788" t="s">
        <v>979</v>
      </c>
      <c r="B676" s="187" t="s">
        <v>6097</v>
      </c>
      <c r="C676" s="215">
        <v>497131</v>
      </c>
      <c r="D676" s="215">
        <v>2536570</v>
      </c>
      <c r="F676" s="215">
        <f t="shared" si="62"/>
        <v>2536570</v>
      </c>
      <c r="G676" s="215">
        <f t="shared" si="63"/>
        <v>3033701</v>
      </c>
      <c r="H676" s="680" t="s">
        <v>6153</v>
      </c>
      <c r="I676" s="679"/>
      <c r="J676" s="187" t="str">
        <f t="shared" si="67"/>
        <v>116-901</v>
      </c>
      <c r="K676" s="187">
        <v>116</v>
      </c>
      <c r="L676" s="187">
        <v>901</v>
      </c>
      <c r="M676" s="187" t="str">
        <f t="shared" si="64"/>
        <v>116</v>
      </c>
      <c r="N676" s="187">
        <f t="shared" si="65"/>
        <v>901</v>
      </c>
      <c r="O676" s="187" t="str">
        <f t="shared" si="66"/>
        <v>116-901</v>
      </c>
      <c r="Q676" s="679" t="s">
        <v>3671</v>
      </c>
    </row>
    <row r="677" spans="1:17">
      <c r="A677" s="788" t="s">
        <v>1334</v>
      </c>
      <c r="B677" s="187" t="s">
        <v>3870</v>
      </c>
      <c r="C677" s="215">
        <v>35850</v>
      </c>
      <c r="D677" s="215">
        <v>777471</v>
      </c>
      <c r="F677" s="215">
        <f t="shared" si="62"/>
        <v>777471</v>
      </c>
      <c r="G677" s="215">
        <f t="shared" si="63"/>
        <v>813321</v>
      </c>
      <c r="H677" s="680" t="s">
        <v>6153</v>
      </c>
      <c r="I677" s="679"/>
      <c r="J677" s="187" t="str">
        <f t="shared" si="67"/>
        <v>116-902</v>
      </c>
      <c r="K677" s="187">
        <v>116</v>
      </c>
      <c r="L677" s="187">
        <v>902</v>
      </c>
      <c r="M677" s="187" t="str">
        <f t="shared" si="64"/>
        <v>116</v>
      </c>
      <c r="N677" s="187">
        <f t="shared" si="65"/>
        <v>902</v>
      </c>
      <c r="O677" s="187" t="str">
        <f t="shared" si="66"/>
        <v>116-902</v>
      </c>
      <c r="Q677" s="679" t="s">
        <v>3672</v>
      </c>
    </row>
    <row r="678" spans="1:17">
      <c r="A678" s="788" t="s">
        <v>235</v>
      </c>
      <c r="B678" s="187" t="s">
        <v>2642</v>
      </c>
      <c r="C678" s="215">
        <v>687662</v>
      </c>
      <c r="D678" s="215">
        <v>5073295</v>
      </c>
      <c r="F678" s="215">
        <f t="shared" si="62"/>
        <v>5073295</v>
      </c>
      <c r="G678" s="215">
        <f t="shared" si="63"/>
        <v>5760957</v>
      </c>
      <c r="H678" s="680" t="s">
        <v>6153</v>
      </c>
      <c r="I678" s="679"/>
      <c r="J678" s="187" t="str">
        <f t="shared" si="67"/>
        <v>116-903</v>
      </c>
      <c r="K678" s="187">
        <v>116</v>
      </c>
      <c r="L678" s="187">
        <v>903</v>
      </c>
      <c r="M678" s="187" t="str">
        <f t="shared" si="64"/>
        <v>116</v>
      </c>
      <c r="N678" s="187">
        <f t="shared" si="65"/>
        <v>903</v>
      </c>
      <c r="O678" s="187" t="str">
        <f t="shared" si="66"/>
        <v>116-903</v>
      </c>
      <c r="Q678" s="679" t="s">
        <v>3673</v>
      </c>
    </row>
    <row r="679" spans="1:17">
      <c r="A679" s="788" t="s">
        <v>3961</v>
      </c>
      <c r="B679" s="187" t="s">
        <v>3871</v>
      </c>
      <c r="C679" s="215">
        <v>1514935</v>
      </c>
      <c r="D679" s="215">
        <v>15028479</v>
      </c>
      <c r="F679" s="215">
        <f t="shared" si="62"/>
        <v>15028479</v>
      </c>
      <c r="G679" s="215">
        <f t="shared" si="63"/>
        <v>16543414</v>
      </c>
      <c r="H679" s="680" t="s">
        <v>6153</v>
      </c>
      <c r="I679" s="679"/>
      <c r="J679" s="187" t="str">
        <f t="shared" si="67"/>
        <v>116-905</v>
      </c>
      <c r="K679" s="187">
        <v>116</v>
      </c>
      <c r="L679" s="187">
        <v>905</v>
      </c>
      <c r="M679" s="187" t="str">
        <f t="shared" si="64"/>
        <v>116</v>
      </c>
      <c r="N679" s="187">
        <f t="shared" si="65"/>
        <v>905</v>
      </c>
      <c r="O679" s="187" t="str">
        <f t="shared" si="66"/>
        <v>116-905</v>
      </c>
      <c r="Q679" s="679" t="s">
        <v>3674</v>
      </c>
    </row>
    <row r="680" spans="1:17">
      <c r="A680" s="788" t="s">
        <v>2359</v>
      </c>
      <c r="B680" s="187" t="s">
        <v>198</v>
      </c>
      <c r="C680" s="215">
        <v>73734</v>
      </c>
      <c r="D680" s="215">
        <v>1620617</v>
      </c>
      <c r="F680" s="215">
        <f t="shared" si="62"/>
        <v>1620617</v>
      </c>
      <c r="G680" s="215">
        <f t="shared" si="63"/>
        <v>1694351</v>
      </c>
      <c r="H680" s="680" t="s">
        <v>6153</v>
      </c>
      <c r="I680" s="679"/>
      <c r="J680" s="187" t="str">
        <f t="shared" si="67"/>
        <v>116-906</v>
      </c>
      <c r="K680" s="187">
        <v>116</v>
      </c>
      <c r="L680" s="187">
        <v>906</v>
      </c>
      <c r="M680" s="187" t="str">
        <f t="shared" si="64"/>
        <v>116</v>
      </c>
      <c r="N680" s="187">
        <f t="shared" si="65"/>
        <v>906</v>
      </c>
      <c r="O680" s="187" t="str">
        <f t="shared" si="66"/>
        <v>116-906</v>
      </c>
      <c r="Q680" s="679" t="s">
        <v>3675</v>
      </c>
    </row>
    <row r="681" spans="1:17">
      <c r="A681" s="788" t="s">
        <v>650</v>
      </c>
      <c r="B681" s="187" t="s">
        <v>355</v>
      </c>
      <c r="C681" s="215">
        <v>864721</v>
      </c>
      <c r="D681" s="215">
        <v>5812685</v>
      </c>
      <c r="F681" s="215">
        <f t="shared" si="62"/>
        <v>5812685</v>
      </c>
      <c r="G681" s="215">
        <f t="shared" si="63"/>
        <v>6677406</v>
      </c>
      <c r="H681" s="680" t="s">
        <v>6153</v>
      </c>
      <c r="I681" s="679"/>
      <c r="J681" s="187" t="str">
        <f t="shared" si="67"/>
        <v>116-908</v>
      </c>
      <c r="K681" s="187">
        <v>116</v>
      </c>
      <c r="L681" s="187">
        <v>908</v>
      </c>
      <c r="M681" s="187" t="str">
        <f t="shared" si="64"/>
        <v>116</v>
      </c>
      <c r="N681" s="187">
        <f t="shared" si="65"/>
        <v>908</v>
      </c>
      <c r="O681" s="187" t="str">
        <f t="shared" si="66"/>
        <v>116-908</v>
      </c>
      <c r="Q681" s="679" t="s">
        <v>3676</v>
      </c>
    </row>
    <row r="682" spans="1:17">
      <c r="A682" s="788" t="s">
        <v>2127</v>
      </c>
      <c r="B682" s="187" t="s">
        <v>2007</v>
      </c>
      <c r="C682" s="215">
        <v>123126</v>
      </c>
      <c r="D682" s="215">
        <v>868105</v>
      </c>
      <c r="F682" s="215">
        <f t="shared" si="62"/>
        <v>868105</v>
      </c>
      <c r="G682" s="215">
        <f t="shared" si="63"/>
        <v>991231</v>
      </c>
      <c r="H682" s="680" t="s">
        <v>6153</v>
      </c>
      <c r="I682" s="679"/>
      <c r="J682" s="187" t="str">
        <f t="shared" si="67"/>
        <v>116-909</v>
      </c>
      <c r="K682" s="187">
        <v>116</v>
      </c>
      <c r="L682" s="187">
        <v>909</v>
      </c>
      <c r="M682" s="187" t="str">
        <f t="shared" si="64"/>
        <v>116</v>
      </c>
      <c r="N682" s="187">
        <f t="shared" si="65"/>
        <v>909</v>
      </c>
      <c r="O682" s="187" t="str">
        <f t="shared" si="66"/>
        <v>116-909</v>
      </c>
      <c r="Q682" s="679" t="s">
        <v>3677</v>
      </c>
    </row>
    <row r="683" spans="1:17">
      <c r="A683" s="788" t="s">
        <v>3963</v>
      </c>
      <c r="B683" s="187" t="s">
        <v>3872</v>
      </c>
      <c r="C683" s="215">
        <v>43966</v>
      </c>
      <c r="D683" s="215">
        <v>640678</v>
      </c>
      <c r="F683" s="215">
        <f t="shared" si="62"/>
        <v>640678</v>
      </c>
      <c r="G683" s="215">
        <f t="shared" si="63"/>
        <v>684644</v>
      </c>
      <c r="H683" s="680" t="s">
        <v>6153</v>
      </c>
      <c r="I683" s="679"/>
      <c r="J683" s="187" t="str">
        <f t="shared" si="67"/>
        <v>116-910</v>
      </c>
      <c r="K683" s="187">
        <v>116</v>
      </c>
      <c r="L683" s="187">
        <v>910</v>
      </c>
      <c r="M683" s="187" t="str">
        <f t="shared" si="64"/>
        <v>116</v>
      </c>
      <c r="N683" s="187">
        <f t="shared" si="65"/>
        <v>910</v>
      </c>
      <c r="O683" s="187" t="str">
        <f t="shared" si="66"/>
        <v>116-910</v>
      </c>
      <c r="Q683" s="679" t="s">
        <v>3678</v>
      </c>
    </row>
    <row r="684" spans="1:17">
      <c r="A684" s="788" t="s">
        <v>953</v>
      </c>
      <c r="B684" s="187" t="s">
        <v>7658</v>
      </c>
      <c r="C684" s="215">
        <v>32748</v>
      </c>
      <c r="D684" s="215">
        <v>969258</v>
      </c>
      <c r="E684" s="215">
        <v>33737</v>
      </c>
      <c r="F684" s="215">
        <f t="shared" si="62"/>
        <v>1002995</v>
      </c>
      <c r="G684" s="215">
        <f t="shared" si="63"/>
        <v>1035743</v>
      </c>
      <c r="H684" s="680" t="s">
        <v>6153</v>
      </c>
      <c r="I684" s="679"/>
      <c r="J684" s="187" t="str">
        <f t="shared" si="67"/>
        <v>116-915</v>
      </c>
      <c r="K684" s="187">
        <v>116</v>
      </c>
      <c r="L684" s="187">
        <v>915</v>
      </c>
      <c r="M684" s="187" t="str">
        <f t="shared" si="64"/>
        <v>116</v>
      </c>
      <c r="N684" s="187">
        <f t="shared" si="65"/>
        <v>915</v>
      </c>
      <c r="O684" s="187" t="str">
        <f t="shared" si="66"/>
        <v>116-915</v>
      </c>
      <c r="Q684" s="679" t="s">
        <v>3679</v>
      </c>
    </row>
    <row r="685" spans="1:17">
      <c r="A685" s="788" t="s">
        <v>971</v>
      </c>
      <c r="B685" s="187" t="s">
        <v>7663</v>
      </c>
      <c r="C685" s="215">
        <v>7551</v>
      </c>
      <c r="D685" s="215">
        <v>160171</v>
      </c>
      <c r="F685" s="215">
        <f t="shared" si="62"/>
        <v>160171</v>
      </c>
      <c r="G685" s="215">
        <f t="shared" si="63"/>
        <v>167722</v>
      </c>
      <c r="H685" s="680" t="s">
        <v>6153</v>
      </c>
      <c r="I685" s="679"/>
      <c r="J685" s="187" t="str">
        <f t="shared" si="67"/>
        <v>116-916</v>
      </c>
      <c r="K685" s="187">
        <v>116</v>
      </c>
      <c r="L685" s="187">
        <v>916</v>
      </c>
      <c r="M685" s="187" t="str">
        <f t="shared" si="64"/>
        <v>116</v>
      </c>
      <c r="N685" s="187">
        <f t="shared" si="65"/>
        <v>916</v>
      </c>
      <c r="O685" s="187" t="str">
        <f t="shared" si="66"/>
        <v>116-916</v>
      </c>
      <c r="Q685" s="679" t="s">
        <v>3680</v>
      </c>
    </row>
    <row r="686" spans="1:17">
      <c r="A686" s="788" t="s">
        <v>3965</v>
      </c>
      <c r="B686" s="187" t="s">
        <v>3873</v>
      </c>
      <c r="C686" s="215">
        <v>0</v>
      </c>
      <c r="D686" s="215">
        <v>6101442</v>
      </c>
      <c r="F686" s="215">
        <f t="shared" si="62"/>
        <v>6101442</v>
      </c>
      <c r="G686" s="215">
        <f t="shared" si="63"/>
        <v>6101442</v>
      </c>
      <c r="H686" s="680" t="s">
        <v>6153</v>
      </c>
      <c r="I686" s="679"/>
      <c r="J686" s="187" t="str">
        <f t="shared" si="67"/>
        <v>117-901</v>
      </c>
      <c r="K686" s="187">
        <v>117</v>
      </c>
      <c r="L686" s="187">
        <v>901</v>
      </c>
      <c r="M686" s="187" t="str">
        <f t="shared" si="64"/>
        <v>117</v>
      </c>
      <c r="N686" s="187">
        <f t="shared" si="65"/>
        <v>901</v>
      </c>
      <c r="O686" s="187" t="str">
        <f t="shared" si="66"/>
        <v>117-901</v>
      </c>
      <c r="Q686" s="679" t="s">
        <v>3681</v>
      </c>
    </row>
    <row r="687" spans="1:17">
      <c r="A687" s="788" t="s">
        <v>3967</v>
      </c>
      <c r="B687" s="187" t="s">
        <v>3874</v>
      </c>
      <c r="C687" s="215">
        <v>176439</v>
      </c>
      <c r="D687" s="215">
        <v>1737573</v>
      </c>
      <c r="F687" s="215">
        <f t="shared" si="62"/>
        <v>1737573</v>
      </c>
      <c r="G687" s="215">
        <f t="shared" si="63"/>
        <v>1914012</v>
      </c>
      <c r="H687" s="680" t="s">
        <v>6153</v>
      </c>
      <c r="I687" s="679"/>
      <c r="J687" s="187" t="str">
        <f t="shared" si="67"/>
        <v>117-903</v>
      </c>
      <c r="K687" s="187">
        <v>117</v>
      </c>
      <c r="L687" s="187">
        <v>903</v>
      </c>
      <c r="M687" s="187" t="str">
        <f t="shared" si="64"/>
        <v>117</v>
      </c>
      <c r="N687" s="187">
        <f t="shared" si="65"/>
        <v>903</v>
      </c>
      <c r="O687" s="187" t="str">
        <f t="shared" si="66"/>
        <v>117-903</v>
      </c>
      <c r="Q687" s="679" t="s">
        <v>3682</v>
      </c>
    </row>
    <row r="688" spans="1:17">
      <c r="A688" s="788" t="s">
        <v>3969</v>
      </c>
      <c r="B688" s="187" t="s">
        <v>3056</v>
      </c>
      <c r="C688" s="215">
        <v>885903</v>
      </c>
      <c r="D688" s="215">
        <v>11405836</v>
      </c>
      <c r="F688" s="215">
        <f t="shared" si="62"/>
        <v>11405836</v>
      </c>
      <c r="G688" s="215">
        <f t="shared" si="63"/>
        <v>12291739</v>
      </c>
      <c r="H688" s="680" t="s">
        <v>6153</v>
      </c>
      <c r="I688" s="679"/>
      <c r="J688" s="187" t="str">
        <f t="shared" si="67"/>
        <v>117-904</v>
      </c>
      <c r="K688" s="187">
        <v>117</v>
      </c>
      <c r="L688" s="187">
        <v>904</v>
      </c>
      <c r="M688" s="187" t="str">
        <f t="shared" si="64"/>
        <v>117</v>
      </c>
      <c r="N688" s="187">
        <f t="shared" si="65"/>
        <v>904</v>
      </c>
      <c r="O688" s="187" t="str">
        <f t="shared" si="66"/>
        <v>117-904</v>
      </c>
      <c r="Q688" s="679" t="s">
        <v>3684</v>
      </c>
    </row>
    <row r="689" spans="1:17">
      <c r="A689" s="788" t="s">
        <v>757</v>
      </c>
      <c r="B689" s="187" t="s">
        <v>3057</v>
      </c>
      <c r="C689" s="215">
        <v>0</v>
      </c>
      <c r="D689" s="215">
        <v>327589</v>
      </c>
      <c r="F689" s="215">
        <f t="shared" si="62"/>
        <v>327589</v>
      </c>
      <c r="G689" s="215">
        <f t="shared" si="63"/>
        <v>327589</v>
      </c>
      <c r="H689" s="680" t="s">
        <v>6153</v>
      </c>
      <c r="I689" s="679"/>
      <c r="J689" s="187" t="str">
        <f t="shared" si="67"/>
        <v>117-907</v>
      </c>
      <c r="K689" s="187">
        <v>117</v>
      </c>
      <c r="L689" s="187">
        <v>907</v>
      </c>
      <c r="M689" s="187" t="str">
        <f t="shared" si="64"/>
        <v>117</v>
      </c>
      <c r="N689" s="187">
        <f t="shared" si="65"/>
        <v>907</v>
      </c>
      <c r="O689" s="187" t="str">
        <f t="shared" si="66"/>
        <v>117-907</v>
      </c>
      <c r="Q689" s="679" t="s">
        <v>3686</v>
      </c>
    </row>
    <row r="690" spans="1:17">
      <c r="A690" s="788" t="s">
        <v>759</v>
      </c>
      <c r="B690" s="187" t="s">
        <v>3058</v>
      </c>
      <c r="C690" s="215">
        <v>0</v>
      </c>
      <c r="D690" s="215">
        <v>3567274</v>
      </c>
      <c r="F690" s="215">
        <f t="shared" si="62"/>
        <v>3567274</v>
      </c>
      <c r="G690" s="215">
        <f t="shared" si="63"/>
        <v>3567274</v>
      </c>
      <c r="H690" s="680" t="s">
        <v>6153</v>
      </c>
      <c r="I690" s="679"/>
      <c r="J690" s="187" t="str">
        <f t="shared" si="67"/>
        <v>118-902</v>
      </c>
      <c r="K690" s="187">
        <v>118</v>
      </c>
      <c r="L690" s="187">
        <v>902</v>
      </c>
      <c r="M690" s="187" t="str">
        <f t="shared" si="64"/>
        <v>118</v>
      </c>
      <c r="N690" s="187">
        <f t="shared" si="65"/>
        <v>902</v>
      </c>
      <c r="O690" s="187" t="str">
        <f t="shared" si="66"/>
        <v>118-902</v>
      </c>
      <c r="Q690" s="679" t="s">
        <v>3687</v>
      </c>
    </row>
    <row r="691" spans="1:17">
      <c r="A691" s="788" t="s">
        <v>69</v>
      </c>
      <c r="B691" s="187" t="s">
        <v>3059</v>
      </c>
      <c r="C691" s="215">
        <v>47595</v>
      </c>
      <c r="D691" s="215">
        <v>1089786</v>
      </c>
      <c r="F691" s="215">
        <f t="shared" si="62"/>
        <v>1089786</v>
      </c>
      <c r="G691" s="215">
        <f t="shared" si="63"/>
        <v>1137381</v>
      </c>
      <c r="H691" s="680" t="s">
        <v>6153</v>
      </c>
      <c r="I691" s="679"/>
      <c r="J691" s="187" t="str">
        <f t="shared" si="67"/>
        <v>119-901</v>
      </c>
      <c r="K691" s="187">
        <v>119</v>
      </c>
      <c r="L691" s="187">
        <v>901</v>
      </c>
      <c r="M691" s="187" t="str">
        <f t="shared" si="64"/>
        <v>119</v>
      </c>
      <c r="N691" s="187">
        <f t="shared" si="65"/>
        <v>901</v>
      </c>
      <c r="O691" s="187" t="str">
        <f t="shared" si="66"/>
        <v>119-901</v>
      </c>
      <c r="Q691" s="679" t="s">
        <v>3689</v>
      </c>
    </row>
    <row r="692" spans="1:17">
      <c r="A692" s="788" t="s">
        <v>71</v>
      </c>
      <c r="B692" s="187" t="s">
        <v>3060</v>
      </c>
      <c r="C692" s="215">
        <v>0</v>
      </c>
      <c r="D692" s="215">
        <v>4028716</v>
      </c>
      <c r="F692" s="215">
        <f t="shared" si="62"/>
        <v>4028716</v>
      </c>
      <c r="G692" s="215">
        <f t="shared" si="63"/>
        <v>4028716</v>
      </c>
      <c r="H692" s="680" t="s">
        <v>6153</v>
      </c>
      <c r="I692" s="679"/>
      <c r="J692" s="187" t="str">
        <f t="shared" si="67"/>
        <v>119-902</v>
      </c>
      <c r="K692" s="187">
        <v>119</v>
      </c>
      <c r="L692" s="187">
        <v>902</v>
      </c>
      <c r="M692" s="187" t="str">
        <f t="shared" si="64"/>
        <v>119</v>
      </c>
      <c r="N692" s="187">
        <f t="shared" si="65"/>
        <v>902</v>
      </c>
      <c r="O692" s="187" t="str">
        <f t="shared" si="66"/>
        <v>119-902</v>
      </c>
      <c r="Q692" s="679" t="s">
        <v>3690</v>
      </c>
    </row>
    <row r="693" spans="1:17">
      <c r="A693" s="788" t="s">
        <v>73</v>
      </c>
      <c r="B693" s="187" t="s">
        <v>3061</v>
      </c>
      <c r="C693" s="215">
        <v>50623</v>
      </c>
      <c r="D693" s="215">
        <v>1102272</v>
      </c>
      <c r="F693" s="215">
        <f t="shared" si="62"/>
        <v>1102272</v>
      </c>
      <c r="G693" s="215">
        <f t="shared" si="63"/>
        <v>1152895</v>
      </c>
      <c r="H693" s="680" t="s">
        <v>6153</v>
      </c>
      <c r="I693" s="679"/>
      <c r="J693" s="187" t="str">
        <f t="shared" si="67"/>
        <v>119-903</v>
      </c>
      <c r="K693" s="187">
        <v>119</v>
      </c>
      <c r="L693" s="187">
        <v>903</v>
      </c>
      <c r="M693" s="187" t="str">
        <f t="shared" si="64"/>
        <v>119</v>
      </c>
      <c r="N693" s="187">
        <f t="shared" si="65"/>
        <v>903</v>
      </c>
      <c r="O693" s="187" t="str">
        <f t="shared" si="66"/>
        <v>119-903</v>
      </c>
      <c r="Q693" s="679" t="s">
        <v>3691</v>
      </c>
    </row>
    <row r="694" spans="1:17">
      <c r="A694" s="788" t="s">
        <v>75</v>
      </c>
      <c r="B694" s="187" t="s">
        <v>3062</v>
      </c>
      <c r="C694" s="215">
        <v>179066</v>
      </c>
      <c r="D694" s="215">
        <v>4228087</v>
      </c>
      <c r="F694" s="215">
        <f t="shared" si="62"/>
        <v>4228087</v>
      </c>
      <c r="G694" s="215">
        <f t="shared" si="63"/>
        <v>4407153</v>
      </c>
      <c r="H694" s="680" t="s">
        <v>6153</v>
      </c>
      <c r="I694" s="679"/>
      <c r="J694" s="187" t="str">
        <f t="shared" si="67"/>
        <v>120-901</v>
      </c>
      <c r="K694" s="187">
        <v>120</v>
      </c>
      <c r="L694" s="187">
        <v>901</v>
      </c>
      <c r="M694" s="187" t="str">
        <f t="shared" si="64"/>
        <v>120</v>
      </c>
      <c r="N694" s="187">
        <f t="shared" si="65"/>
        <v>901</v>
      </c>
      <c r="O694" s="187" t="str">
        <f t="shared" si="66"/>
        <v>120-901</v>
      </c>
      <c r="Q694" s="679" t="s">
        <v>3693</v>
      </c>
    </row>
    <row r="695" spans="1:17">
      <c r="A695" s="788" t="s">
        <v>1316</v>
      </c>
      <c r="B695" s="187" t="s">
        <v>121</v>
      </c>
      <c r="C695" s="215">
        <v>67385</v>
      </c>
      <c r="D695" s="215">
        <v>1661629</v>
      </c>
      <c r="F695" s="215">
        <f t="shared" si="62"/>
        <v>1661629</v>
      </c>
      <c r="G695" s="215">
        <f t="shared" si="63"/>
        <v>1729014</v>
      </c>
      <c r="H695" s="680" t="s">
        <v>6153</v>
      </c>
      <c r="I695" s="679"/>
      <c r="J695" s="187" t="str">
        <f t="shared" si="67"/>
        <v>120-902</v>
      </c>
      <c r="K695" s="187">
        <v>120</v>
      </c>
      <c r="L695" s="187">
        <v>902</v>
      </c>
      <c r="M695" s="187" t="str">
        <f t="shared" si="64"/>
        <v>120</v>
      </c>
      <c r="N695" s="187">
        <f t="shared" si="65"/>
        <v>902</v>
      </c>
      <c r="O695" s="187" t="str">
        <f t="shared" si="66"/>
        <v>120-902</v>
      </c>
      <c r="Q695" s="679" t="s">
        <v>3694</v>
      </c>
    </row>
    <row r="696" spans="1:17">
      <c r="A696" s="788" t="s">
        <v>2600</v>
      </c>
      <c r="B696" s="187" t="s">
        <v>3063</v>
      </c>
      <c r="C696" s="215">
        <v>1802092</v>
      </c>
      <c r="D696" s="215">
        <v>6912123</v>
      </c>
      <c r="F696" s="215">
        <f t="shared" si="62"/>
        <v>6912123</v>
      </c>
      <c r="G696" s="215">
        <f t="shared" si="63"/>
        <v>8714215</v>
      </c>
      <c r="H696" s="680" t="s">
        <v>6153</v>
      </c>
      <c r="I696" s="679"/>
      <c r="J696" s="187" t="str">
        <f t="shared" si="67"/>
        <v>120-905</v>
      </c>
      <c r="K696" s="187">
        <v>120</v>
      </c>
      <c r="L696" s="187">
        <v>905</v>
      </c>
      <c r="M696" s="187" t="str">
        <f t="shared" si="64"/>
        <v>120</v>
      </c>
      <c r="N696" s="187">
        <f t="shared" si="65"/>
        <v>905</v>
      </c>
      <c r="O696" s="187" t="str">
        <f t="shared" si="66"/>
        <v>120-905</v>
      </c>
      <c r="Q696" s="679" t="s">
        <v>3695</v>
      </c>
    </row>
    <row r="697" spans="1:17">
      <c r="A697" s="788" t="s">
        <v>7133</v>
      </c>
      <c r="B697" s="187" t="s">
        <v>3064</v>
      </c>
      <c r="C697" s="215">
        <v>0</v>
      </c>
      <c r="D697" s="215">
        <v>1600609</v>
      </c>
      <c r="F697" s="215">
        <f t="shared" si="62"/>
        <v>1600609</v>
      </c>
      <c r="G697" s="215">
        <f t="shared" si="63"/>
        <v>1600609</v>
      </c>
      <c r="H697" s="680" t="s">
        <v>6153</v>
      </c>
      <c r="I697" s="679"/>
      <c r="J697" s="187" t="str">
        <f t="shared" si="67"/>
        <v>121-902</v>
      </c>
      <c r="K697" s="187">
        <v>121</v>
      </c>
      <c r="L697" s="187">
        <v>902</v>
      </c>
      <c r="M697" s="187" t="str">
        <f t="shared" si="64"/>
        <v>121</v>
      </c>
      <c r="N697" s="187">
        <f t="shared" si="65"/>
        <v>902</v>
      </c>
      <c r="O697" s="187" t="str">
        <f t="shared" si="66"/>
        <v>121-902</v>
      </c>
      <c r="Q697" s="679" t="s">
        <v>3696</v>
      </c>
    </row>
    <row r="698" spans="1:17">
      <c r="A698" s="788" t="s">
        <v>961</v>
      </c>
      <c r="B698" s="187" t="s">
        <v>2145</v>
      </c>
      <c r="C698" s="215">
        <v>372762</v>
      </c>
      <c r="D698" s="215">
        <v>2794900</v>
      </c>
      <c r="F698" s="215">
        <f t="shared" si="62"/>
        <v>2794900</v>
      </c>
      <c r="G698" s="215">
        <f t="shared" si="63"/>
        <v>3167662</v>
      </c>
      <c r="H698" s="680" t="s">
        <v>6153</v>
      </c>
      <c r="I698" s="679"/>
      <c r="J698" s="187" t="str">
        <f t="shared" si="67"/>
        <v>121-903</v>
      </c>
      <c r="K698" s="187">
        <v>121</v>
      </c>
      <c r="L698" s="187">
        <v>903</v>
      </c>
      <c r="M698" s="187" t="str">
        <f t="shared" si="64"/>
        <v>121</v>
      </c>
      <c r="N698" s="187">
        <f t="shared" si="65"/>
        <v>903</v>
      </c>
      <c r="O698" s="187" t="str">
        <f t="shared" si="66"/>
        <v>121-903</v>
      </c>
      <c r="Q698" s="679" t="s">
        <v>3697</v>
      </c>
    </row>
    <row r="699" spans="1:17">
      <c r="A699" s="788" t="s">
        <v>6024</v>
      </c>
      <c r="B699" s="187" t="s">
        <v>1909</v>
      </c>
      <c r="C699" s="215">
        <v>727837</v>
      </c>
      <c r="D699" s="215">
        <v>7264076</v>
      </c>
      <c r="F699" s="215">
        <f t="shared" si="62"/>
        <v>7264076</v>
      </c>
      <c r="G699" s="215">
        <f t="shared" si="63"/>
        <v>7991913</v>
      </c>
      <c r="H699" s="680" t="s">
        <v>6153</v>
      </c>
      <c r="I699" s="679"/>
      <c r="J699" s="187" t="str">
        <f t="shared" si="67"/>
        <v>121-904</v>
      </c>
      <c r="K699" s="187">
        <v>121</v>
      </c>
      <c r="L699" s="187">
        <v>904</v>
      </c>
      <c r="M699" s="187" t="str">
        <f t="shared" si="64"/>
        <v>121</v>
      </c>
      <c r="N699" s="187">
        <f t="shared" si="65"/>
        <v>904</v>
      </c>
      <c r="O699" s="187" t="str">
        <f t="shared" si="66"/>
        <v>121-904</v>
      </c>
      <c r="Q699" s="679" t="s">
        <v>3698</v>
      </c>
    </row>
    <row r="700" spans="1:17">
      <c r="A700" s="788" t="s">
        <v>6034</v>
      </c>
      <c r="B700" s="187" t="s">
        <v>1922</v>
      </c>
      <c r="C700" s="215">
        <v>216144</v>
      </c>
      <c r="D700" s="215">
        <v>1891680</v>
      </c>
      <c r="F700" s="215">
        <f t="shared" si="62"/>
        <v>1891680</v>
      </c>
      <c r="G700" s="215">
        <f t="shared" si="63"/>
        <v>2107824</v>
      </c>
      <c r="H700" s="680" t="s">
        <v>6153</v>
      </c>
      <c r="I700" s="679"/>
      <c r="J700" s="187" t="str">
        <f t="shared" si="67"/>
        <v>121-905</v>
      </c>
      <c r="K700" s="187">
        <v>121</v>
      </c>
      <c r="L700" s="187">
        <v>905</v>
      </c>
      <c r="M700" s="187" t="str">
        <f t="shared" si="64"/>
        <v>121</v>
      </c>
      <c r="N700" s="187">
        <f t="shared" si="65"/>
        <v>905</v>
      </c>
      <c r="O700" s="187" t="str">
        <f t="shared" si="66"/>
        <v>121-905</v>
      </c>
      <c r="Q700" s="679" t="s">
        <v>3699</v>
      </c>
    </row>
    <row r="701" spans="1:17">
      <c r="A701" s="788" t="s">
        <v>7135</v>
      </c>
      <c r="B701" s="187" t="s">
        <v>3065</v>
      </c>
      <c r="C701" s="215">
        <v>178826</v>
      </c>
      <c r="D701" s="215">
        <v>6685277</v>
      </c>
      <c r="F701" s="215">
        <f t="shared" si="62"/>
        <v>6685277</v>
      </c>
      <c r="G701" s="215">
        <f t="shared" si="63"/>
        <v>6864103</v>
      </c>
      <c r="H701" s="680" t="s">
        <v>6153</v>
      </c>
      <c r="I701" s="679"/>
      <c r="J701" s="187" t="str">
        <f t="shared" si="67"/>
        <v>121-906</v>
      </c>
      <c r="K701" s="187">
        <v>121</v>
      </c>
      <c r="L701" s="187">
        <v>906</v>
      </c>
      <c r="M701" s="187" t="str">
        <f t="shared" si="64"/>
        <v>121</v>
      </c>
      <c r="N701" s="187">
        <f t="shared" si="65"/>
        <v>906</v>
      </c>
      <c r="O701" s="187" t="str">
        <f t="shared" si="66"/>
        <v>121-906</v>
      </c>
      <c r="Q701" s="679" t="s">
        <v>3700</v>
      </c>
    </row>
    <row r="702" spans="1:17">
      <c r="A702" s="788" t="s">
        <v>7137</v>
      </c>
      <c r="B702" s="187" t="s">
        <v>3066</v>
      </c>
      <c r="C702" s="215">
        <v>0</v>
      </c>
      <c r="D702" s="215">
        <v>1615658</v>
      </c>
      <c r="F702" s="215">
        <f t="shared" si="62"/>
        <v>1615658</v>
      </c>
      <c r="G702" s="215">
        <f t="shared" si="63"/>
        <v>1615658</v>
      </c>
      <c r="H702" s="680" t="s">
        <v>6153</v>
      </c>
      <c r="I702" s="679"/>
      <c r="J702" s="187" t="str">
        <f t="shared" si="67"/>
        <v>122-901</v>
      </c>
      <c r="K702" s="187">
        <v>122</v>
      </c>
      <c r="L702" s="187">
        <v>901</v>
      </c>
      <c r="M702" s="187" t="str">
        <f t="shared" si="64"/>
        <v>122</v>
      </c>
      <c r="N702" s="187">
        <f t="shared" si="65"/>
        <v>901</v>
      </c>
      <c r="O702" s="187" t="str">
        <f t="shared" si="66"/>
        <v>122-901</v>
      </c>
      <c r="Q702" s="679" t="s">
        <v>3701</v>
      </c>
    </row>
    <row r="703" spans="1:17">
      <c r="A703" s="788" t="s">
        <v>7139</v>
      </c>
      <c r="B703" s="187" t="s">
        <v>3067</v>
      </c>
      <c r="C703" s="215">
        <v>0</v>
      </c>
      <c r="D703" s="215">
        <v>351542</v>
      </c>
      <c r="F703" s="215">
        <f t="shared" si="62"/>
        <v>351542</v>
      </c>
      <c r="G703" s="215">
        <f t="shared" si="63"/>
        <v>351542</v>
      </c>
      <c r="H703" s="680" t="s">
        <v>6153</v>
      </c>
      <c r="I703" s="679"/>
      <c r="J703" s="187" t="str">
        <f t="shared" si="67"/>
        <v>122-902</v>
      </c>
      <c r="K703" s="187">
        <v>122</v>
      </c>
      <c r="L703" s="187">
        <v>902</v>
      </c>
      <c r="M703" s="187" t="str">
        <f t="shared" si="64"/>
        <v>122</v>
      </c>
      <c r="N703" s="187">
        <f t="shared" si="65"/>
        <v>902</v>
      </c>
      <c r="O703" s="187" t="str">
        <f t="shared" si="66"/>
        <v>122-902</v>
      </c>
      <c r="Q703" s="679" t="s">
        <v>3702</v>
      </c>
    </row>
    <row r="704" spans="1:17">
      <c r="A704" s="788" t="s">
        <v>1123</v>
      </c>
      <c r="B704" s="187" t="s">
        <v>1124</v>
      </c>
      <c r="C704" s="215">
        <v>0</v>
      </c>
      <c r="D704" s="215">
        <v>0</v>
      </c>
      <c r="F704" s="215">
        <f t="shared" si="62"/>
        <v>0</v>
      </c>
      <c r="G704" s="215">
        <f t="shared" si="63"/>
        <v>0</v>
      </c>
      <c r="H704" s="680" t="s">
        <v>6153</v>
      </c>
      <c r="I704" s="679"/>
      <c r="J704" s="187" t="str">
        <f t="shared" si="67"/>
        <v>123-503</v>
      </c>
      <c r="K704" s="187">
        <v>123</v>
      </c>
      <c r="L704" s="187">
        <v>503</v>
      </c>
      <c r="M704" s="187" t="str">
        <f t="shared" si="64"/>
        <v>123</v>
      </c>
      <c r="N704" s="187">
        <f t="shared" si="65"/>
        <v>503</v>
      </c>
      <c r="O704" s="187" t="str">
        <f t="shared" si="66"/>
        <v>123-503</v>
      </c>
      <c r="Q704" s="679" t="s">
        <v>6419</v>
      </c>
    </row>
    <row r="705" spans="1:17">
      <c r="A705" s="788" t="s">
        <v>1125</v>
      </c>
      <c r="B705" s="187" t="s">
        <v>1126</v>
      </c>
      <c r="C705" s="215">
        <v>0</v>
      </c>
      <c r="D705" s="215">
        <v>0</v>
      </c>
      <c r="F705" s="215">
        <f t="shared" si="62"/>
        <v>0</v>
      </c>
      <c r="G705" s="215">
        <f t="shared" si="63"/>
        <v>0</v>
      </c>
      <c r="H705" s="680" t="s">
        <v>6153</v>
      </c>
      <c r="I705" s="679"/>
      <c r="J705" s="187" t="str">
        <f t="shared" si="67"/>
        <v>123-801</v>
      </c>
      <c r="K705" s="187">
        <v>123</v>
      </c>
      <c r="L705" s="187">
        <v>801</v>
      </c>
      <c r="M705" s="187" t="str">
        <f t="shared" si="64"/>
        <v>123</v>
      </c>
      <c r="N705" s="187">
        <f t="shared" si="65"/>
        <v>801</v>
      </c>
      <c r="O705" s="187" t="str">
        <f t="shared" si="66"/>
        <v>123-801</v>
      </c>
      <c r="Q705" s="679" t="s">
        <v>6420</v>
      </c>
    </row>
    <row r="706" spans="1:17">
      <c r="A706" s="788" t="s">
        <v>7141</v>
      </c>
      <c r="B706" s="187" t="s">
        <v>1127</v>
      </c>
      <c r="C706" s="215">
        <v>0</v>
      </c>
      <c r="D706" s="215">
        <v>0</v>
      </c>
      <c r="F706" s="215">
        <f t="shared" si="62"/>
        <v>0</v>
      </c>
      <c r="G706" s="215">
        <f t="shared" si="63"/>
        <v>0</v>
      </c>
      <c r="H706" s="680" t="s">
        <v>6153</v>
      </c>
      <c r="I706" s="679"/>
      <c r="J706" s="187" t="str">
        <f t="shared" si="67"/>
        <v>123-802</v>
      </c>
      <c r="K706" s="187">
        <v>123</v>
      </c>
      <c r="L706" s="187">
        <v>802</v>
      </c>
      <c r="M706" s="187" t="str">
        <f t="shared" si="64"/>
        <v>123</v>
      </c>
      <c r="N706" s="187">
        <f t="shared" si="65"/>
        <v>802</v>
      </c>
      <c r="O706" s="187" t="str">
        <f t="shared" si="66"/>
        <v>123-802</v>
      </c>
      <c r="Q706" s="679" t="s">
        <v>6421</v>
      </c>
    </row>
    <row r="707" spans="1:17">
      <c r="A707" s="788" t="s">
        <v>7143</v>
      </c>
      <c r="B707" s="187" t="s">
        <v>1128</v>
      </c>
      <c r="C707" s="215">
        <v>0</v>
      </c>
      <c r="D707" s="215">
        <v>0</v>
      </c>
      <c r="F707" s="215">
        <f t="shared" si="62"/>
        <v>0</v>
      </c>
      <c r="G707" s="215">
        <f t="shared" si="63"/>
        <v>0</v>
      </c>
      <c r="H707" s="680" t="s">
        <v>6153</v>
      </c>
      <c r="I707" s="679"/>
      <c r="J707" s="187" t="str">
        <f t="shared" si="67"/>
        <v>123-803</v>
      </c>
      <c r="K707" s="187">
        <v>123</v>
      </c>
      <c r="L707" s="187">
        <v>803</v>
      </c>
      <c r="M707" s="187" t="str">
        <f t="shared" si="64"/>
        <v>123</v>
      </c>
      <c r="N707" s="187">
        <f t="shared" si="65"/>
        <v>803</v>
      </c>
      <c r="O707" s="187" t="str">
        <f t="shared" si="66"/>
        <v>123-803</v>
      </c>
      <c r="Q707" s="679" t="s">
        <v>6422</v>
      </c>
    </row>
    <row r="708" spans="1:17">
      <c r="A708" s="788" t="s">
        <v>1129</v>
      </c>
      <c r="B708" s="187" t="s">
        <v>1130</v>
      </c>
      <c r="C708" s="215">
        <v>0</v>
      </c>
      <c r="D708" s="215">
        <v>0</v>
      </c>
      <c r="F708" s="215">
        <f t="shared" ref="F708:F771" si="68">D708+E708</f>
        <v>0</v>
      </c>
      <c r="G708" s="215">
        <f t="shared" ref="G708:G771" si="69">F708+C708</f>
        <v>0</v>
      </c>
      <c r="H708" s="680" t="s">
        <v>6153</v>
      </c>
      <c r="I708" s="679"/>
      <c r="J708" s="187" t="str">
        <f t="shared" si="67"/>
        <v>123-804</v>
      </c>
      <c r="K708" s="187">
        <v>123</v>
      </c>
      <c r="L708" s="187">
        <v>804</v>
      </c>
      <c r="M708" s="187" t="str">
        <f t="shared" ref="M708:M771" si="70">+I708&amp;K708</f>
        <v>123</v>
      </c>
      <c r="N708" s="187">
        <f t="shared" ref="N708:N771" si="71">+L708</f>
        <v>804</v>
      </c>
      <c r="O708" s="187" t="str">
        <f t="shared" ref="O708:O771" si="72">+M708&amp;"-"&amp;N708</f>
        <v>123-804</v>
      </c>
      <c r="Q708" s="679" t="s">
        <v>6423</v>
      </c>
    </row>
    <row r="709" spans="1:17">
      <c r="A709" s="788" t="s">
        <v>1131</v>
      </c>
      <c r="B709" s="187" t="s">
        <v>1132</v>
      </c>
      <c r="C709" s="215">
        <v>0</v>
      </c>
      <c r="D709" s="215">
        <v>0</v>
      </c>
      <c r="F709" s="215">
        <f t="shared" si="68"/>
        <v>0</v>
      </c>
      <c r="G709" s="215">
        <f t="shared" si="69"/>
        <v>0</v>
      </c>
      <c r="H709" s="680" t="s">
        <v>6153</v>
      </c>
      <c r="I709" s="679"/>
      <c r="J709" s="187" t="str">
        <f t="shared" si="67"/>
        <v>123-805</v>
      </c>
      <c r="K709" s="187">
        <v>123</v>
      </c>
      <c r="L709" s="187">
        <v>805</v>
      </c>
      <c r="M709" s="187" t="str">
        <f t="shared" si="70"/>
        <v>123</v>
      </c>
      <c r="N709" s="187">
        <f t="shared" si="71"/>
        <v>805</v>
      </c>
      <c r="O709" s="187" t="str">
        <f t="shared" si="72"/>
        <v>123-805</v>
      </c>
      <c r="Q709" s="679" t="s">
        <v>6424</v>
      </c>
    </row>
    <row r="710" spans="1:17">
      <c r="A710" s="788" t="s">
        <v>6178</v>
      </c>
      <c r="B710" s="187" t="s">
        <v>3519</v>
      </c>
      <c r="C710" s="215">
        <v>934589</v>
      </c>
      <c r="D710" s="215">
        <v>17168202</v>
      </c>
      <c r="F710" s="215">
        <f t="shared" si="68"/>
        <v>17168202</v>
      </c>
      <c r="G710" s="215">
        <f t="shared" si="69"/>
        <v>18102791</v>
      </c>
      <c r="H710" s="680" t="s">
        <v>6153</v>
      </c>
      <c r="I710" s="679"/>
      <c r="J710" s="187" t="str">
        <f t="shared" si="67"/>
        <v>123-905</v>
      </c>
      <c r="K710" s="187">
        <v>123</v>
      </c>
      <c r="L710" s="187">
        <v>905</v>
      </c>
      <c r="M710" s="187" t="str">
        <f t="shared" si="70"/>
        <v>123</v>
      </c>
      <c r="N710" s="187">
        <f t="shared" si="71"/>
        <v>905</v>
      </c>
      <c r="O710" s="187" t="str">
        <f t="shared" si="72"/>
        <v>123-905</v>
      </c>
      <c r="Q710" s="679" t="s">
        <v>3703</v>
      </c>
    </row>
    <row r="711" spans="1:17">
      <c r="A711" s="788" t="s">
        <v>7145</v>
      </c>
      <c r="B711" s="187" t="s">
        <v>3068</v>
      </c>
      <c r="C711" s="215">
        <v>15177</v>
      </c>
      <c r="D711" s="215">
        <v>37910083</v>
      </c>
      <c r="F711" s="215">
        <f t="shared" si="68"/>
        <v>37910083</v>
      </c>
      <c r="G711" s="215">
        <f t="shared" si="69"/>
        <v>37925260</v>
      </c>
      <c r="H711" s="680" t="s">
        <v>6153</v>
      </c>
      <c r="I711" s="679"/>
      <c r="J711" s="187" t="str">
        <f t="shared" si="67"/>
        <v>123-907</v>
      </c>
      <c r="K711" s="187">
        <v>123</v>
      </c>
      <c r="L711" s="187">
        <v>907</v>
      </c>
      <c r="M711" s="187" t="str">
        <f t="shared" si="70"/>
        <v>123</v>
      </c>
      <c r="N711" s="187">
        <f t="shared" si="71"/>
        <v>907</v>
      </c>
      <c r="O711" s="187" t="str">
        <f t="shared" si="72"/>
        <v>123-907</v>
      </c>
      <c r="Q711" s="679" t="s">
        <v>3704</v>
      </c>
    </row>
    <row r="712" spans="1:17">
      <c r="A712" s="788" t="s">
        <v>7147</v>
      </c>
      <c r="B712" s="187" t="s">
        <v>3069</v>
      </c>
      <c r="C712" s="215">
        <v>3143006</v>
      </c>
      <c r="D712" s="215">
        <v>36875551</v>
      </c>
      <c r="F712" s="215">
        <f t="shared" si="68"/>
        <v>36875551</v>
      </c>
      <c r="G712" s="215">
        <f t="shared" si="69"/>
        <v>40018557</v>
      </c>
      <c r="H712" s="680" t="s">
        <v>6153</v>
      </c>
      <c r="I712" s="679"/>
      <c r="J712" s="187" t="str">
        <f t="shared" si="67"/>
        <v>123-908</v>
      </c>
      <c r="K712" s="187">
        <v>123</v>
      </c>
      <c r="L712" s="187">
        <v>908</v>
      </c>
      <c r="M712" s="187" t="str">
        <f t="shared" si="70"/>
        <v>123</v>
      </c>
      <c r="N712" s="187">
        <f t="shared" si="71"/>
        <v>908</v>
      </c>
      <c r="O712" s="187" t="str">
        <f t="shared" si="72"/>
        <v>123-908</v>
      </c>
      <c r="Q712" s="679" t="s">
        <v>3705</v>
      </c>
    </row>
    <row r="713" spans="1:17">
      <c r="A713" s="788" t="s">
        <v>2808</v>
      </c>
      <c r="B713" s="187" t="s">
        <v>3054</v>
      </c>
      <c r="C713" s="215">
        <v>4675063</v>
      </c>
      <c r="D713" s="215">
        <v>97995222</v>
      </c>
      <c r="F713" s="215">
        <f t="shared" si="68"/>
        <v>97995222</v>
      </c>
      <c r="G713" s="215">
        <f t="shared" si="69"/>
        <v>102670285</v>
      </c>
      <c r="H713" s="680" t="s">
        <v>6153</v>
      </c>
      <c r="I713" s="679"/>
      <c r="J713" s="187" t="str">
        <f t="shared" si="67"/>
        <v>123-910</v>
      </c>
      <c r="K713" s="187">
        <v>123</v>
      </c>
      <c r="L713" s="187">
        <v>910</v>
      </c>
      <c r="M713" s="187" t="str">
        <f t="shared" si="70"/>
        <v>123</v>
      </c>
      <c r="N713" s="187">
        <f t="shared" si="71"/>
        <v>910</v>
      </c>
      <c r="O713" s="187" t="str">
        <f t="shared" si="72"/>
        <v>123-910</v>
      </c>
      <c r="Q713" s="679" t="s">
        <v>3706</v>
      </c>
    </row>
    <row r="714" spans="1:17">
      <c r="A714" s="788" t="s">
        <v>2810</v>
      </c>
      <c r="B714" s="187" t="s">
        <v>6648</v>
      </c>
      <c r="C714" s="215">
        <v>775042</v>
      </c>
      <c r="D714" s="215">
        <v>5943548</v>
      </c>
      <c r="F714" s="215">
        <f t="shared" si="68"/>
        <v>5943548</v>
      </c>
      <c r="G714" s="215">
        <f t="shared" si="69"/>
        <v>6718590</v>
      </c>
      <c r="H714" s="680" t="s">
        <v>6153</v>
      </c>
      <c r="I714" s="679"/>
      <c r="J714" s="187" t="str">
        <f t="shared" si="67"/>
        <v>123-913</v>
      </c>
      <c r="K714" s="187">
        <v>123</v>
      </c>
      <c r="L714" s="187">
        <v>913</v>
      </c>
      <c r="M714" s="187" t="str">
        <f t="shared" si="70"/>
        <v>123</v>
      </c>
      <c r="N714" s="187">
        <f t="shared" si="71"/>
        <v>913</v>
      </c>
      <c r="O714" s="187" t="str">
        <f t="shared" si="72"/>
        <v>123-913</v>
      </c>
      <c r="Q714" s="679" t="s">
        <v>3707</v>
      </c>
    </row>
    <row r="715" spans="1:17">
      <c r="A715" s="788" t="s">
        <v>1859</v>
      </c>
      <c r="B715" s="187" t="s">
        <v>3916</v>
      </c>
      <c r="C715" s="215">
        <v>947318</v>
      </c>
      <c r="D715" s="215">
        <v>6090275</v>
      </c>
      <c r="F715" s="215">
        <f t="shared" si="68"/>
        <v>6090275</v>
      </c>
      <c r="G715" s="215">
        <f t="shared" si="69"/>
        <v>7037593</v>
      </c>
      <c r="H715" s="680" t="s">
        <v>6153</v>
      </c>
      <c r="I715" s="679"/>
      <c r="J715" s="187" t="str">
        <f t="shared" si="67"/>
        <v>123-914</v>
      </c>
      <c r="K715" s="187">
        <v>123</v>
      </c>
      <c r="L715" s="187">
        <v>914</v>
      </c>
      <c r="M715" s="187" t="str">
        <f t="shared" si="70"/>
        <v>123</v>
      </c>
      <c r="N715" s="187">
        <f t="shared" si="71"/>
        <v>914</v>
      </c>
      <c r="O715" s="187" t="str">
        <f t="shared" si="72"/>
        <v>123-914</v>
      </c>
      <c r="Q715" s="679" t="s">
        <v>3708</v>
      </c>
    </row>
    <row r="716" spans="1:17">
      <c r="A716" s="788" t="s">
        <v>1133</v>
      </c>
      <c r="B716" s="187" t="s">
        <v>1134</v>
      </c>
      <c r="C716" s="215">
        <v>0</v>
      </c>
      <c r="D716" s="215">
        <v>0</v>
      </c>
      <c r="F716" s="215">
        <f t="shared" si="68"/>
        <v>0</v>
      </c>
      <c r="G716" s="215">
        <f t="shared" si="69"/>
        <v>0</v>
      </c>
      <c r="H716" s="680" t="s">
        <v>6153</v>
      </c>
      <c r="I716" s="679"/>
      <c r="J716" s="187" t="str">
        <f t="shared" si="67"/>
        <v>123-915</v>
      </c>
      <c r="K716" s="187">
        <v>123</v>
      </c>
      <c r="L716" s="187">
        <v>915</v>
      </c>
      <c r="M716" s="187" t="str">
        <f t="shared" si="70"/>
        <v>123</v>
      </c>
      <c r="N716" s="187">
        <f t="shared" si="71"/>
        <v>915</v>
      </c>
      <c r="O716" s="187" t="str">
        <f t="shared" si="72"/>
        <v>123-915</v>
      </c>
      <c r="Q716" s="679" t="s">
        <v>6425</v>
      </c>
    </row>
    <row r="717" spans="1:17">
      <c r="A717" s="788" t="s">
        <v>2812</v>
      </c>
      <c r="B717" s="187" t="s">
        <v>6649</v>
      </c>
      <c r="C717" s="215">
        <v>387723</v>
      </c>
      <c r="D717" s="215">
        <v>5236273</v>
      </c>
      <c r="F717" s="215">
        <f t="shared" si="68"/>
        <v>5236273</v>
      </c>
      <c r="G717" s="215">
        <f t="shared" si="69"/>
        <v>5623996</v>
      </c>
      <c r="H717" s="680" t="s">
        <v>6153</v>
      </c>
      <c r="I717" s="679"/>
      <c r="J717" s="187" t="str">
        <f t="shared" si="67"/>
        <v>124-901</v>
      </c>
      <c r="K717" s="187">
        <v>124</v>
      </c>
      <c r="L717" s="187">
        <v>901</v>
      </c>
      <c r="M717" s="187" t="str">
        <f t="shared" si="70"/>
        <v>124</v>
      </c>
      <c r="N717" s="187">
        <f t="shared" si="71"/>
        <v>901</v>
      </c>
      <c r="O717" s="187" t="str">
        <f t="shared" si="72"/>
        <v>124-901</v>
      </c>
      <c r="Q717" s="679" t="s">
        <v>3709</v>
      </c>
    </row>
    <row r="718" spans="1:17">
      <c r="A718" s="788" t="s">
        <v>820</v>
      </c>
      <c r="B718" s="187" t="s">
        <v>1843</v>
      </c>
      <c r="C718" s="215">
        <v>1126294</v>
      </c>
      <c r="D718" s="215">
        <v>10471747</v>
      </c>
      <c r="F718" s="215">
        <f t="shared" si="68"/>
        <v>10471747</v>
      </c>
      <c r="G718" s="215">
        <f t="shared" si="69"/>
        <v>11598041</v>
      </c>
      <c r="H718" s="680" t="s">
        <v>6153</v>
      </c>
      <c r="I718" s="679"/>
      <c r="J718" s="187" t="str">
        <f t="shared" si="67"/>
        <v>125-901</v>
      </c>
      <c r="K718" s="187">
        <v>125</v>
      </c>
      <c r="L718" s="187">
        <v>901</v>
      </c>
      <c r="M718" s="187" t="str">
        <f t="shared" si="70"/>
        <v>125</v>
      </c>
      <c r="N718" s="187">
        <f t="shared" si="71"/>
        <v>901</v>
      </c>
      <c r="O718" s="187" t="str">
        <f t="shared" si="72"/>
        <v>125-901</v>
      </c>
      <c r="Q718" s="679" t="s">
        <v>3710</v>
      </c>
    </row>
    <row r="719" spans="1:17">
      <c r="A719" s="788" t="s">
        <v>127</v>
      </c>
      <c r="B719" s="187" t="s">
        <v>7655</v>
      </c>
      <c r="C719" s="215">
        <v>58100</v>
      </c>
      <c r="D719" s="215">
        <v>618376</v>
      </c>
      <c r="F719" s="215">
        <f t="shared" si="68"/>
        <v>618376</v>
      </c>
      <c r="G719" s="215">
        <f t="shared" si="69"/>
        <v>676476</v>
      </c>
      <c r="H719" s="680" t="s">
        <v>6153</v>
      </c>
      <c r="I719" s="679"/>
      <c r="J719" s="187" t="str">
        <f t="shared" si="67"/>
        <v>125-902</v>
      </c>
      <c r="K719" s="187">
        <v>125</v>
      </c>
      <c r="L719" s="187">
        <v>902</v>
      </c>
      <c r="M719" s="187" t="str">
        <f t="shared" si="70"/>
        <v>125</v>
      </c>
      <c r="N719" s="187">
        <f t="shared" si="71"/>
        <v>902</v>
      </c>
      <c r="O719" s="187" t="str">
        <f t="shared" si="72"/>
        <v>125-902</v>
      </c>
      <c r="Q719" s="679" t="s">
        <v>3711</v>
      </c>
    </row>
    <row r="720" spans="1:17">
      <c r="A720" s="788" t="s">
        <v>6189</v>
      </c>
      <c r="B720" s="187" t="s">
        <v>3625</v>
      </c>
      <c r="C720" s="215">
        <v>183881</v>
      </c>
      <c r="D720" s="215">
        <v>1570729</v>
      </c>
      <c r="F720" s="215">
        <f t="shared" si="68"/>
        <v>1570729</v>
      </c>
      <c r="G720" s="215">
        <f t="shared" si="69"/>
        <v>1754610</v>
      </c>
      <c r="H720" s="680" t="s">
        <v>6153</v>
      </c>
      <c r="I720" s="679"/>
      <c r="J720" s="187" t="str">
        <f t="shared" si="67"/>
        <v>125-903</v>
      </c>
      <c r="K720" s="187">
        <v>125</v>
      </c>
      <c r="L720" s="187">
        <v>903</v>
      </c>
      <c r="M720" s="187" t="str">
        <f t="shared" si="70"/>
        <v>125</v>
      </c>
      <c r="N720" s="187">
        <f t="shared" si="71"/>
        <v>903</v>
      </c>
      <c r="O720" s="187" t="str">
        <f t="shared" si="72"/>
        <v>125-903</v>
      </c>
      <c r="Q720" s="679" t="s">
        <v>3712</v>
      </c>
    </row>
    <row r="721" spans="1:17">
      <c r="A721" s="788" t="s">
        <v>5130</v>
      </c>
      <c r="B721" s="187" t="s">
        <v>349</v>
      </c>
      <c r="C721" s="215">
        <v>87729</v>
      </c>
      <c r="D721" s="215">
        <v>1647602</v>
      </c>
      <c r="F721" s="215">
        <f t="shared" si="68"/>
        <v>1647602</v>
      </c>
      <c r="G721" s="215">
        <f t="shared" si="69"/>
        <v>1735331</v>
      </c>
      <c r="H721" s="680" t="s">
        <v>6153</v>
      </c>
      <c r="I721" s="679"/>
      <c r="J721" s="187" t="str">
        <f t="shared" si="67"/>
        <v>125-905</v>
      </c>
      <c r="K721" s="187">
        <v>125</v>
      </c>
      <c r="L721" s="187">
        <v>905</v>
      </c>
      <c r="M721" s="187" t="str">
        <f t="shared" si="70"/>
        <v>125</v>
      </c>
      <c r="N721" s="187">
        <f t="shared" si="71"/>
        <v>905</v>
      </c>
      <c r="O721" s="187" t="str">
        <f t="shared" si="72"/>
        <v>125-905</v>
      </c>
      <c r="Q721" s="679" t="s">
        <v>3713</v>
      </c>
    </row>
    <row r="722" spans="1:17">
      <c r="A722" s="788" t="s">
        <v>2815</v>
      </c>
      <c r="B722" s="187" t="s">
        <v>6650</v>
      </c>
      <c r="C722" s="215">
        <v>0</v>
      </c>
      <c r="D722" s="215">
        <v>406313</v>
      </c>
      <c r="F722" s="215">
        <f t="shared" si="68"/>
        <v>406313</v>
      </c>
      <c r="G722" s="215">
        <f t="shared" si="69"/>
        <v>406313</v>
      </c>
      <c r="H722" s="680" t="s">
        <v>6153</v>
      </c>
      <c r="I722" s="679"/>
      <c r="J722" s="187" t="str">
        <f t="shared" si="67"/>
        <v>125-906</v>
      </c>
      <c r="K722" s="187">
        <v>125</v>
      </c>
      <c r="L722" s="187">
        <v>906</v>
      </c>
      <c r="M722" s="187" t="str">
        <f t="shared" si="70"/>
        <v>125</v>
      </c>
      <c r="N722" s="187">
        <f t="shared" si="71"/>
        <v>906</v>
      </c>
      <c r="O722" s="187" t="str">
        <f t="shared" si="72"/>
        <v>125-906</v>
      </c>
      <c r="Q722" s="679" t="s">
        <v>3714</v>
      </c>
    </row>
    <row r="723" spans="1:17">
      <c r="A723" s="788" t="s">
        <v>3888</v>
      </c>
      <c r="B723" s="187" t="s">
        <v>7678</v>
      </c>
      <c r="C723" s="215">
        <v>1423422</v>
      </c>
      <c r="D723" s="215">
        <v>7564786</v>
      </c>
      <c r="F723" s="215">
        <f t="shared" si="68"/>
        <v>7564786</v>
      </c>
      <c r="G723" s="215">
        <f t="shared" si="69"/>
        <v>8988208</v>
      </c>
      <c r="H723" s="680" t="s">
        <v>6153</v>
      </c>
      <c r="I723" s="679"/>
      <c r="J723" s="187" t="str">
        <f t="shared" si="67"/>
        <v>126-901</v>
      </c>
      <c r="K723" s="187">
        <v>126</v>
      </c>
      <c r="L723" s="187">
        <v>901</v>
      </c>
      <c r="M723" s="187" t="str">
        <f t="shared" si="70"/>
        <v>126</v>
      </c>
      <c r="N723" s="187">
        <f t="shared" si="71"/>
        <v>901</v>
      </c>
      <c r="O723" s="187" t="str">
        <f t="shared" si="72"/>
        <v>126-901</v>
      </c>
      <c r="Q723" s="679" t="s">
        <v>3715</v>
      </c>
    </row>
    <row r="724" spans="1:17">
      <c r="A724" s="788" t="s">
        <v>977</v>
      </c>
      <c r="B724" s="187" t="s">
        <v>2147</v>
      </c>
      <c r="C724" s="215">
        <v>4292953</v>
      </c>
      <c r="D724" s="215">
        <v>25877713</v>
      </c>
      <c r="F724" s="215">
        <f t="shared" si="68"/>
        <v>25877713</v>
      </c>
      <c r="G724" s="215">
        <f t="shared" si="69"/>
        <v>30170666</v>
      </c>
      <c r="H724" s="680" t="s">
        <v>6153</v>
      </c>
      <c r="I724" s="679"/>
      <c r="J724" s="187" t="str">
        <f t="shared" si="67"/>
        <v>126-902</v>
      </c>
      <c r="K724" s="187">
        <v>126</v>
      </c>
      <c r="L724" s="187">
        <v>902</v>
      </c>
      <c r="M724" s="187" t="str">
        <f t="shared" si="70"/>
        <v>126</v>
      </c>
      <c r="N724" s="187">
        <f t="shared" si="71"/>
        <v>902</v>
      </c>
      <c r="O724" s="187" t="str">
        <f t="shared" si="72"/>
        <v>126-902</v>
      </c>
      <c r="Q724" s="679" t="s">
        <v>3716</v>
      </c>
    </row>
    <row r="725" spans="1:17">
      <c r="A725" s="788" t="s">
        <v>739</v>
      </c>
      <c r="B725" s="187" t="s">
        <v>6113</v>
      </c>
      <c r="C725" s="215">
        <v>2782273</v>
      </c>
      <c r="D725" s="215">
        <v>21952390</v>
      </c>
      <c r="E725" s="215">
        <v>297665</v>
      </c>
      <c r="F725" s="215">
        <f t="shared" si="68"/>
        <v>22250055</v>
      </c>
      <c r="G725" s="215">
        <f t="shared" si="69"/>
        <v>25032328</v>
      </c>
      <c r="H725" s="680" t="s">
        <v>6153</v>
      </c>
      <c r="I725" s="679"/>
      <c r="J725" s="187" t="str">
        <f t="shared" si="67"/>
        <v>126-903</v>
      </c>
      <c r="K725" s="187">
        <v>126</v>
      </c>
      <c r="L725" s="187">
        <v>903</v>
      </c>
      <c r="M725" s="187" t="str">
        <f t="shared" si="70"/>
        <v>126</v>
      </c>
      <c r="N725" s="187">
        <f t="shared" si="71"/>
        <v>903</v>
      </c>
      <c r="O725" s="187" t="str">
        <f t="shared" si="72"/>
        <v>126-903</v>
      </c>
      <c r="Q725" s="679" t="s">
        <v>3717</v>
      </c>
    </row>
    <row r="726" spans="1:17">
      <c r="A726" s="788" t="s">
        <v>1855</v>
      </c>
      <c r="B726" s="187" t="s">
        <v>4968</v>
      </c>
      <c r="C726" s="215">
        <v>111093</v>
      </c>
      <c r="D726" s="215">
        <v>2035703</v>
      </c>
      <c r="E726" s="215">
        <v>173356</v>
      </c>
      <c r="F726" s="215">
        <f t="shared" si="68"/>
        <v>2209059</v>
      </c>
      <c r="G726" s="215">
        <f t="shared" si="69"/>
        <v>2320152</v>
      </c>
      <c r="H726" s="680" t="s">
        <v>6153</v>
      </c>
      <c r="I726" s="679"/>
      <c r="J726" s="187" t="str">
        <f t="shared" si="67"/>
        <v>126-904</v>
      </c>
      <c r="K726" s="187">
        <v>126</v>
      </c>
      <c r="L726" s="187">
        <v>904</v>
      </c>
      <c r="M726" s="187" t="str">
        <f t="shared" si="70"/>
        <v>126</v>
      </c>
      <c r="N726" s="187">
        <f t="shared" si="71"/>
        <v>904</v>
      </c>
      <c r="O726" s="187" t="str">
        <f t="shared" si="72"/>
        <v>126-904</v>
      </c>
      <c r="Q726" s="679" t="s">
        <v>3718</v>
      </c>
    </row>
    <row r="727" spans="1:17">
      <c r="A727" s="788" t="s">
        <v>6025</v>
      </c>
      <c r="B727" s="187" t="s">
        <v>1910</v>
      </c>
      <c r="C727" s="215">
        <v>1620786</v>
      </c>
      <c r="D727" s="215">
        <v>10224749</v>
      </c>
      <c r="F727" s="215">
        <f t="shared" si="68"/>
        <v>10224749</v>
      </c>
      <c r="G727" s="215">
        <f t="shared" si="69"/>
        <v>11845535</v>
      </c>
      <c r="H727" s="680" t="s">
        <v>6153</v>
      </c>
      <c r="I727" s="679"/>
      <c r="J727" s="187" t="str">
        <f t="shared" si="67"/>
        <v>126-905</v>
      </c>
      <c r="K727" s="187">
        <v>126</v>
      </c>
      <c r="L727" s="187">
        <v>905</v>
      </c>
      <c r="M727" s="187" t="str">
        <f t="shared" si="70"/>
        <v>126</v>
      </c>
      <c r="N727" s="187">
        <f t="shared" si="71"/>
        <v>905</v>
      </c>
      <c r="O727" s="187" t="str">
        <f t="shared" si="72"/>
        <v>126-905</v>
      </c>
      <c r="Q727" s="679" t="s">
        <v>3719</v>
      </c>
    </row>
    <row r="728" spans="1:17">
      <c r="A728" s="788" t="s">
        <v>2817</v>
      </c>
      <c r="B728" s="187" t="s">
        <v>6651</v>
      </c>
      <c r="C728" s="215">
        <v>106061</v>
      </c>
      <c r="D728" s="215">
        <v>1552986</v>
      </c>
      <c r="F728" s="215">
        <f t="shared" si="68"/>
        <v>1552986</v>
      </c>
      <c r="G728" s="215">
        <f t="shared" si="69"/>
        <v>1659047</v>
      </c>
      <c r="H728" s="680" t="s">
        <v>6153</v>
      </c>
      <c r="I728" s="679"/>
      <c r="J728" s="187" t="str">
        <f t="shared" si="67"/>
        <v>126-906</v>
      </c>
      <c r="K728" s="187">
        <v>126</v>
      </c>
      <c r="L728" s="187">
        <v>906</v>
      </c>
      <c r="M728" s="187" t="str">
        <f t="shared" si="70"/>
        <v>126</v>
      </c>
      <c r="N728" s="187">
        <f t="shared" si="71"/>
        <v>906</v>
      </c>
      <c r="O728" s="187" t="str">
        <f t="shared" si="72"/>
        <v>126-906</v>
      </c>
      <c r="Q728" s="679" t="s">
        <v>3720</v>
      </c>
    </row>
    <row r="729" spans="1:17">
      <c r="A729" s="788" t="s">
        <v>128</v>
      </c>
      <c r="B729" s="187" t="s">
        <v>362</v>
      </c>
      <c r="C729" s="215">
        <v>143680</v>
      </c>
      <c r="D729" s="215">
        <v>1682439</v>
      </c>
      <c r="F729" s="215">
        <f t="shared" si="68"/>
        <v>1682439</v>
      </c>
      <c r="G729" s="215">
        <f t="shared" si="69"/>
        <v>1826119</v>
      </c>
      <c r="H729" s="680" t="s">
        <v>6153</v>
      </c>
      <c r="I729" s="679"/>
      <c r="J729" s="187" t="str">
        <f t="shared" si="67"/>
        <v>126-907</v>
      </c>
      <c r="K729" s="187">
        <v>126</v>
      </c>
      <c r="L729" s="187">
        <v>907</v>
      </c>
      <c r="M729" s="187" t="str">
        <f t="shared" si="70"/>
        <v>126</v>
      </c>
      <c r="N729" s="187">
        <f t="shared" si="71"/>
        <v>907</v>
      </c>
      <c r="O729" s="187" t="str">
        <f t="shared" si="72"/>
        <v>126-907</v>
      </c>
      <c r="Q729" s="679" t="s">
        <v>3721</v>
      </c>
    </row>
    <row r="730" spans="1:17">
      <c r="A730" s="788" t="s">
        <v>3551</v>
      </c>
      <c r="B730" s="187" t="s">
        <v>7131</v>
      </c>
      <c r="C730" s="215">
        <v>154469</v>
      </c>
      <c r="D730" s="215">
        <v>2389863</v>
      </c>
      <c r="F730" s="215">
        <f t="shared" si="68"/>
        <v>2389863</v>
      </c>
      <c r="G730" s="215">
        <f t="shared" si="69"/>
        <v>2544332</v>
      </c>
      <c r="H730" s="680" t="s">
        <v>6153</v>
      </c>
      <c r="I730" s="679"/>
      <c r="J730" s="187" t="str">
        <f t="shared" si="67"/>
        <v>126-908</v>
      </c>
      <c r="K730" s="187">
        <v>126</v>
      </c>
      <c r="L730" s="187">
        <v>908</v>
      </c>
      <c r="M730" s="187" t="str">
        <f t="shared" si="70"/>
        <v>126</v>
      </c>
      <c r="N730" s="187">
        <f t="shared" si="71"/>
        <v>908</v>
      </c>
      <c r="O730" s="187" t="str">
        <f t="shared" si="72"/>
        <v>126-908</v>
      </c>
      <c r="Q730" s="679" t="s">
        <v>3722</v>
      </c>
    </row>
    <row r="731" spans="1:17">
      <c r="A731" s="788" t="s">
        <v>1851</v>
      </c>
      <c r="B731" s="187" t="s">
        <v>126</v>
      </c>
      <c r="C731" s="215">
        <v>302562</v>
      </c>
      <c r="D731" s="215">
        <v>2536221</v>
      </c>
      <c r="F731" s="215">
        <f t="shared" si="68"/>
        <v>2536221</v>
      </c>
      <c r="G731" s="215">
        <f t="shared" si="69"/>
        <v>2838783</v>
      </c>
      <c r="H731" s="680" t="s">
        <v>6153</v>
      </c>
      <c r="I731" s="679"/>
      <c r="J731" s="187" t="str">
        <f t="shared" si="67"/>
        <v>126-911</v>
      </c>
      <c r="K731" s="187">
        <v>126</v>
      </c>
      <c r="L731" s="187">
        <v>911</v>
      </c>
      <c r="M731" s="187" t="str">
        <f t="shared" si="70"/>
        <v>126</v>
      </c>
      <c r="N731" s="187">
        <f t="shared" si="71"/>
        <v>911</v>
      </c>
      <c r="O731" s="187" t="str">
        <f t="shared" si="72"/>
        <v>126-911</v>
      </c>
      <c r="Q731" s="679" t="s">
        <v>3723</v>
      </c>
    </row>
    <row r="732" spans="1:17">
      <c r="A732" s="788" t="s">
        <v>267</v>
      </c>
      <c r="B732" s="187" t="s">
        <v>7684</v>
      </c>
      <c r="C732" s="215">
        <v>0</v>
      </c>
      <c r="D732" s="215">
        <v>1070567</v>
      </c>
      <c r="E732" s="215">
        <v>28011</v>
      </c>
      <c r="F732" s="215">
        <f t="shared" si="68"/>
        <v>1098578</v>
      </c>
      <c r="G732" s="215">
        <f t="shared" si="69"/>
        <v>1098578</v>
      </c>
      <c r="H732" s="680" t="s">
        <v>6153</v>
      </c>
      <c r="I732" s="679"/>
      <c r="J732" s="187" t="str">
        <f t="shared" si="67"/>
        <v>127-901</v>
      </c>
      <c r="K732" s="187">
        <v>127</v>
      </c>
      <c r="L732" s="187">
        <v>901</v>
      </c>
      <c r="M732" s="187" t="str">
        <f t="shared" si="70"/>
        <v>127</v>
      </c>
      <c r="N732" s="187">
        <f t="shared" si="71"/>
        <v>901</v>
      </c>
      <c r="O732" s="187" t="str">
        <f t="shared" si="72"/>
        <v>127-901</v>
      </c>
      <c r="Q732" s="679" t="s">
        <v>3724</v>
      </c>
    </row>
    <row r="733" spans="1:17">
      <c r="A733" s="788" t="s">
        <v>2819</v>
      </c>
      <c r="B733" s="187" t="s">
        <v>6652</v>
      </c>
      <c r="C733" s="215">
        <v>77030</v>
      </c>
      <c r="D733" s="215">
        <v>971877</v>
      </c>
      <c r="F733" s="215">
        <f t="shared" si="68"/>
        <v>971877</v>
      </c>
      <c r="G733" s="215">
        <f t="shared" si="69"/>
        <v>1048907</v>
      </c>
      <c r="H733" s="680" t="s">
        <v>6153</v>
      </c>
      <c r="I733" s="679"/>
      <c r="J733" s="187" t="str">
        <f t="shared" si="67"/>
        <v>127-903</v>
      </c>
      <c r="K733" s="187">
        <v>127</v>
      </c>
      <c r="L733" s="187">
        <v>903</v>
      </c>
      <c r="M733" s="187" t="str">
        <f t="shared" si="70"/>
        <v>127</v>
      </c>
      <c r="N733" s="187">
        <f t="shared" si="71"/>
        <v>903</v>
      </c>
      <c r="O733" s="187" t="str">
        <f t="shared" si="72"/>
        <v>127-903</v>
      </c>
      <c r="Q733" s="679" t="s">
        <v>3725</v>
      </c>
    </row>
    <row r="734" spans="1:17">
      <c r="A734" s="788" t="s">
        <v>1863</v>
      </c>
      <c r="B734" s="187" t="s">
        <v>3839</v>
      </c>
      <c r="C734" s="215">
        <v>0</v>
      </c>
      <c r="D734" s="215">
        <v>819801</v>
      </c>
      <c r="E734" s="215">
        <v>38505</v>
      </c>
      <c r="F734" s="215">
        <f t="shared" si="68"/>
        <v>858306</v>
      </c>
      <c r="G734" s="215">
        <f t="shared" si="69"/>
        <v>858306</v>
      </c>
      <c r="H734" s="680" t="s">
        <v>6153</v>
      </c>
      <c r="I734" s="679"/>
      <c r="J734" s="187" t="str">
        <f t="shared" si="67"/>
        <v>127-904</v>
      </c>
      <c r="K734" s="187">
        <v>127</v>
      </c>
      <c r="L734" s="187">
        <v>904</v>
      </c>
      <c r="M734" s="187" t="str">
        <f t="shared" si="70"/>
        <v>127</v>
      </c>
      <c r="N734" s="187">
        <f t="shared" si="71"/>
        <v>904</v>
      </c>
      <c r="O734" s="187" t="str">
        <f t="shared" si="72"/>
        <v>127-904</v>
      </c>
      <c r="Q734" s="679" t="s">
        <v>3726</v>
      </c>
    </row>
    <row r="735" spans="1:17">
      <c r="A735" s="788" t="s">
        <v>449</v>
      </c>
      <c r="B735" s="187" t="s">
        <v>6155</v>
      </c>
      <c r="C735" s="215">
        <v>19665</v>
      </c>
      <c r="D735" s="215">
        <v>421394</v>
      </c>
      <c r="F735" s="215">
        <f t="shared" si="68"/>
        <v>421394</v>
      </c>
      <c r="G735" s="215">
        <f t="shared" si="69"/>
        <v>441059</v>
      </c>
      <c r="H735" s="680" t="s">
        <v>6153</v>
      </c>
      <c r="I735" s="679"/>
      <c r="J735" s="187" t="str">
        <f t="shared" si="67"/>
        <v>127-905</v>
      </c>
      <c r="K735" s="187">
        <v>127</v>
      </c>
      <c r="L735" s="187">
        <v>905</v>
      </c>
      <c r="M735" s="187" t="str">
        <f t="shared" si="70"/>
        <v>127</v>
      </c>
      <c r="N735" s="187">
        <f t="shared" si="71"/>
        <v>905</v>
      </c>
      <c r="O735" s="187" t="str">
        <f t="shared" si="72"/>
        <v>127-905</v>
      </c>
      <c r="Q735" s="679" t="s">
        <v>3727</v>
      </c>
    </row>
    <row r="736" spans="1:17">
      <c r="A736" s="788" t="s">
        <v>5138</v>
      </c>
      <c r="B736" s="187" t="s">
        <v>2354</v>
      </c>
      <c r="C736" s="215">
        <v>57477</v>
      </c>
      <c r="D736" s="215">
        <v>912085</v>
      </c>
      <c r="F736" s="215">
        <f t="shared" si="68"/>
        <v>912085</v>
      </c>
      <c r="G736" s="215">
        <f t="shared" si="69"/>
        <v>969562</v>
      </c>
      <c r="H736" s="680" t="s">
        <v>6153</v>
      </c>
      <c r="I736" s="679"/>
      <c r="J736" s="187" t="str">
        <f t="shared" si="67"/>
        <v>127-906</v>
      </c>
      <c r="K736" s="187">
        <v>127</v>
      </c>
      <c r="L736" s="187">
        <v>906</v>
      </c>
      <c r="M736" s="187" t="str">
        <f t="shared" si="70"/>
        <v>127</v>
      </c>
      <c r="N736" s="187">
        <f t="shared" si="71"/>
        <v>906</v>
      </c>
      <c r="O736" s="187" t="str">
        <f t="shared" si="72"/>
        <v>127-906</v>
      </c>
      <c r="Q736" s="679" t="s">
        <v>3728</v>
      </c>
    </row>
    <row r="737" spans="1:17">
      <c r="A737" s="788" t="s">
        <v>6027</v>
      </c>
      <c r="B737" s="187" t="s">
        <v>1912</v>
      </c>
      <c r="C737" s="215">
        <v>45080</v>
      </c>
      <c r="D737" s="215">
        <v>2234494</v>
      </c>
      <c r="F737" s="215">
        <f t="shared" si="68"/>
        <v>2234494</v>
      </c>
      <c r="G737" s="215">
        <f t="shared" si="69"/>
        <v>2279574</v>
      </c>
      <c r="H737" s="680" t="s">
        <v>6153</v>
      </c>
      <c r="I737" s="679"/>
      <c r="J737" s="187" t="str">
        <f t="shared" si="67"/>
        <v>128-901</v>
      </c>
      <c r="K737" s="187">
        <v>128</v>
      </c>
      <c r="L737" s="187">
        <v>901</v>
      </c>
      <c r="M737" s="187" t="str">
        <f t="shared" si="70"/>
        <v>128</v>
      </c>
      <c r="N737" s="187">
        <f t="shared" si="71"/>
        <v>901</v>
      </c>
      <c r="O737" s="187" t="str">
        <f t="shared" si="72"/>
        <v>128-901</v>
      </c>
      <c r="Q737" s="679" t="s">
        <v>3729</v>
      </c>
    </row>
    <row r="738" spans="1:17">
      <c r="A738" s="788" t="s">
        <v>450</v>
      </c>
      <c r="B738" s="187" t="s">
        <v>1917</v>
      </c>
      <c r="C738" s="215">
        <v>75662</v>
      </c>
      <c r="D738" s="215">
        <v>1435414</v>
      </c>
      <c r="F738" s="215">
        <f t="shared" si="68"/>
        <v>1435414</v>
      </c>
      <c r="G738" s="215">
        <f t="shared" si="69"/>
        <v>1511076</v>
      </c>
      <c r="H738" s="680" t="s">
        <v>6153</v>
      </c>
      <c r="I738" s="679"/>
      <c r="J738" s="187" t="str">
        <f t="shared" ref="J738:J801" si="73">+A738</f>
        <v>128-902</v>
      </c>
      <c r="K738" s="187">
        <v>128</v>
      </c>
      <c r="L738" s="187">
        <v>902</v>
      </c>
      <c r="M738" s="187" t="str">
        <f t="shared" si="70"/>
        <v>128</v>
      </c>
      <c r="N738" s="187">
        <f t="shared" si="71"/>
        <v>902</v>
      </c>
      <c r="O738" s="187" t="str">
        <f t="shared" si="72"/>
        <v>128-902</v>
      </c>
      <c r="Q738" s="679" t="s">
        <v>3730</v>
      </c>
    </row>
    <row r="739" spans="1:17">
      <c r="A739" s="788" t="s">
        <v>516</v>
      </c>
      <c r="B739" s="187" t="s">
        <v>6653</v>
      </c>
      <c r="C739" s="215">
        <v>0</v>
      </c>
      <c r="D739" s="215">
        <v>710797</v>
      </c>
      <c r="F739" s="215">
        <f t="shared" si="68"/>
        <v>710797</v>
      </c>
      <c r="G739" s="215">
        <f t="shared" si="69"/>
        <v>710797</v>
      </c>
      <c r="H739" s="680" t="s">
        <v>6153</v>
      </c>
      <c r="I739" s="679"/>
      <c r="J739" s="187" t="str">
        <f t="shared" si="73"/>
        <v>128-903</v>
      </c>
      <c r="K739" s="187">
        <v>128</v>
      </c>
      <c r="L739" s="187">
        <v>903</v>
      </c>
      <c r="M739" s="187" t="str">
        <f t="shared" si="70"/>
        <v>128</v>
      </c>
      <c r="N739" s="187">
        <f t="shared" si="71"/>
        <v>903</v>
      </c>
      <c r="O739" s="187" t="str">
        <f t="shared" si="72"/>
        <v>128-903</v>
      </c>
      <c r="Q739" s="679" t="s">
        <v>3731</v>
      </c>
    </row>
    <row r="740" spans="1:17">
      <c r="A740" s="788" t="s">
        <v>1525</v>
      </c>
      <c r="B740" s="187" t="s">
        <v>1931</v>
      </c>
      <c r="C740" s="215">
        <v>54246</v>
      </c>
      <c r="D740" s="215">
        <v>601854</v>
      </c>
      <c r="F740" s="215">
        <f t="shared" si="68"/>
        <v>601854</v>
      </c>
      <c r="G740" s="215">
        <f t="shared" si="69"/>
        <v>656100</v>
      </c>
      <c r="H740" s="680" t="s">
        <v>6153</v>
      </c>
      <c r="I740" s="679"/>
      <c r="J740" s="187" t="str">
        <f t="shared" si="73"/>
        <v>128-904</v>
      </c>
      <c r="K740" s="187">
        <v>128</v>
      </c>
      <c r="L740" s="187">
        <v>904</v>
      </c>
      <c r="M740" s="187" t="str">
        <f t="shared" si="70"/>
        <v>128</v>
      </c>
      <c r="N740" s="187">
        <f t="shared" si="71"/>
        <v>904</v>
      </c>
      <c r="O740" s="187" t="str">
        <f t="shared" si="72"/>
        <v>128-904</v>
      </c>
      <c r="Q740" s="679" t="s">
        <v>3732</v>
      </c>
    </row>
    <row r="741" spans="1:17">
      <c r="A741" s="788" t="s">
        <v>244</v>
      </c>
      <c r="B741" s="187" t="s">
        <v>1665</v>
      </c>
      <c r="C741" s="215">
        <v>888167</v>
      </c>
      <c r="D741" s="215">
        <v>5029336</v>
      </c>
      <c r="F741" s="215">
        <f t="shared" si="68"/>
        <v>5029336</v>
      </c>
      <c r="G741" s="215">
        <f t="shared" si="69"/>
        <v>5917503</v>
      </c>
      <c r="H741" s="680" t="s">
        <v>6153</v>
      </c>
      <c r="I741" s="679"/>
      <c r="J741" s="187" t="str">
        <f t="shared" si="73"/>
        <v>129-901</v>
      </c>
      <c r="K741" s="187">
        <v>129</v>
      </c>
      <c r="L741" s="187">
        <v>901</v>
      </c>
      <c r="M741" s="187" t="str">
        <f t="shared" si="70"/>
        <v>129</v>
      </c>
      <c r="N741" s="187">
        <f t="shared" si="71"/>
        <v>901</v>
      </c>
      <c r="O741" s="187" t="str">
        <f t="shared" si="72"/>
        <v>129-901</v>
      </c>
      <c r="Q741" s="679" t="s">
        <v>3733</v>
      </c>
    </row>
    <row r="742" spans="1:17">
      <c r="A742" s="788" t="s">
        <v>1308</v>
      </c>
      <c r="B742" s="187" t="s">
        <v>113</v>
      </c>
      <c r="C742" s="215">
        <v>3451843</v>
      </c>
      <c r="D742" s="215">
        <v>18703642</v>
      </c>
      <c r="F742" s="215">
        <f t="shared" si="68"/>
        <v>18703642</v>
      </c>
      <c r="G742" s="215">
        <f t="shared" si="69"/>
        <v>22155485</v>
      </c>
      <c r="H742" s="680" t="s">
        <v>6153</v>
      </c>
      <c r="I742" s="679"/>
      <c r="J742" s="187" t="str">
        <f t="shared" si="73"/>
        <v>129-902</v>
      </c>
      <c r="K742" s="187">
        <v>129</v>
      </c>
      <c r="L742" s="187">
        <v>902</v>
      </c>
      <c r="M742" s="187" t="str">
        <f t="shared" si="70"/>
        <v>129</v>
      </c>
      <c r="N742" s="187">
        <f t="shared" si="71"/>
        <v>902</v>
      </c>
      <c r="O742" s="187" t="str">
        <f t="shared" si="72"/>
        <v>129-902</v>
      </c>
      <c r="Q742" s="679" t="s">
        <v>3734</v>
      </c>
    </row>
    <row r="743" spans="1:17">
      <c r="A743" s="788" t="s">
        <v>6029</v>
      </c>
      <c r="B743" s="187" t="s">
        <v>1914</v>
      </c>
      <c r="C743" s="215">
        <v>1082237</v>
      </c>
      <c r="D743" s="215">
        <v>7394615</v>
      </c>
      <c r="F743" s="215">
        <f t="shared" si="68"/>
        <v>7394615</v>
      </c>
      <c r="G743" s="215">
        <f t="shared" si="69"/>
        <v>8476852</v>
      </c>
      <c r="H743" s="680" t="s">
        <v>6153</v>
      </c>
      <c r="I743" s="679"/>
      <c r="J743" s="187" t="str">
        <f t="shared" si="73"/>
        <v>129-903</v>
      </c>
      <c r="K743" s="187">
        <v>129</v>
      </c>
      <c r="L743" s="187">
        <v>903</v>
      </c>
      <c r="M743" s="187" t="str">
        <f t="shared" si="70"/>
        <v>129</v>
      </c>
      <c r="N743" s="187">
        <f t="shared" si="71"/>
        <v>903</v>
      </c>
      <c r="O743" s="187" t="str">
        <f t="shared" si="72"/>
        <v>129-903</v>
      </c>
      <c r="Q743" s="679" t="s">
        <v>3735</v>
      </c>
    </row>
    <row r="744" spans="1:17">
      <c r="A744" s="788" t="s">
        <v>6031</v>
      </c>
      <c r="B744" s="187" t="s">
        <v>1916</v>
      </c>
      <c r="C744" s="215">
        <v>192087</v>
      </c>
      <c r="D744" s="215">
        <v>3524098</v>
      </c>
      <c r="F744" s="215">
        <f t="shared" si="68"/>
        <v>3524098</v>
      </c>
      <c r="G744" s="215">
        <f t="shared" si="69"/>
        <v>3716185</v>
      </c>
      <c r="H744" s="680" t="s">
        <v>6153</v>
      </c>
      <c r="I744" s="679"/>
      <c r="J744" s="187" t="str">
        <f t="shared" si="73"/>
        <v>129-904</v>
      </c>
      <c r="K744" s="187">
        <v>129</v>
      </c>
      <c r="L744" s="187">
        <v>904</v>
      </c>
      <c r="M744" s="187" t="str">
        <f t="shared" si="70"/>
        <v>129</v>
      </c>
      <c r="N744" s="187">
        <f t="shared" si="71"/>
        <v>904</v>
      </c>
      <c r="O744" s="187" t="str">
        <f t="shared" si="72"/>
        <v>129-904</v>
      </c>
      <c r="Q744" s="679" t="s">
        <v>3736</v>
      </c>
    </row>
    <row r="745" spans="1:17">
      <c r="A745" s="788" t="s">
        <v>5628</v>
      </c>
      <c r="B745" s="187" t="s">
        <v>6654</v>
      </c>
      <c r="C745" s="215">
        <v>534753</v>
      </c>
      <c r="D745" s="215">
        <v>9900546</v>
      </c>
      <c r="F745" s="215">
        <f t="shared" si="68"/>
        <v>9900546</v>
      </c>
      <c r="G745" s="215">
        <f t="shared" si="69"/>
        <v>10435299</v>
      </c>
      <c r="H745" s="680" t="s">
        <v>6153</v>
      </c>
      <c r="I745" s="679"/>
      <c r="J745" s="187" t="str">
        <f t="shared" si="73"/>
        <v>129-905</v>
      </c>
      <c r="K745" s="187">
        <v>129</v>
      </c>
      <c r="L745" s="187">
        <v>905</v>
      </c>
      <c r="M745" s="187" t="str">
        <f t="shared" si="70"/>
        <v>129</v>
      </c>
      <c r="N745" s="187">
        <f t="shared" si="71"/>
        <v>905</v>
      </c>
      <c r="O745" s="187" t="str">
        <f t="shared" si="72"/>
        <v>129-905</v>
      </c>
      <c r="Q745" s="679" t="s">
        <v>3737</v>
      </c>
    </row>
    <row r="746" spans="1:17">
      <c r="A746" s="788" t="s">
        <v>5630</v>
      </c>
      <c r="B746" s="187" t="s">
        <v>6655</v>
      </c>
      <c r="C746" s="215">
        <v>2482047</v>
      </c>
      <c r="D746" s="215">
        <v>15590023</v>
      </c>
      <c r="F746" s="215">
        <f t="shared" si="68"/>
        <v>15590023</v>
      </c>
      <c r="G746" s="215">
        <f t="shared" si="69"/>
        <v>18072070</v>
      </c>
      <c r="H746" s="680" t="s">
        <v>6153</v>
      </c>
      <c r="I746" s="679"/>
      <c r="J746" s="187" t="str">
        <f t="shared" si="73"/>
        <v>129-906</v>
      </c>
      <c r="K746" s="187">
        <v>129</v>
      </c>
      <c r="L746" s="187">
        <v>906</v>
      </c>
      <c r="M746" s="187" t="str">
        <f t="shared" si="70"/>
        <v>129</v>
      </c>
      <c r="N746" s="187">
        <f t="shared" si="71"/>
        <v>906</v>
      </c>
      <c r="O746" s="187" t="str">
        <f t="shared" si="72"/>
        <v>129-906</v>
      </c>
      <c r="Q746" s="679" t="s">
        <v>3738</v>
      </c>
    </row>
    <row r="747" spans="1:17">
      <c r="A747" s="788" t="s">
        <v>2395</v>
      </c>
      <c r="B747" s="187" t="s">
        <v>1462</v>
      </c>
      <c r="C747" s="215">
        <v>312284</v>
      </c>
      <c r="D747" s="215">
        <v>1805190</v>
      </c>
      <c r="E747" s="215">
        <v>75511</v>
      </c>
      <c r="F747" s="215">
        <f t="shared" si="68"/>
        <v>1880701</v>
      </c>
      <c r="G747" s="215">
        <f t="shared" si="69"/>
        <v>2192985</v>
      </c>
      <c r="H747" s="680" t="s">
        <v>6153</v>
      </c>
      <c r="I747" s="679"/>
      <c r="J747" s="187" t="str">
        <f t="shared" si="73"/>
        <v>129-910</v>
      </c>
      <c r="K747" s="187">
        <v>129</v>
      </c>
      <c r="L747" s="187">
        <v>910</v>
      </c>
      <c r="M747" s="187" t="str">
        <f t="shared" si="70"/>
        <v>129</v>
      </c>
      <c r="N747" s="187">
        <f t="shared" si="71"/>
        <v>910</v>
      </c>
      <c r="O747" s="187" t="str">
        <f t="shared" si="72"/>
        <v>129-910</v>
      </c>
      <c r="Q747" s="679" t="s">
        <v>3739</v>
      </c>
    </row>
    <row r="748" spans="1:17">
      <c r="A748" s="788" t="s">
        <v>5632</v>
      </c>
      <c r="B748" s="187" t="s">
        <v>6656</v>
      </c>
      <c r="C748" s="215">
        <v>3992393</v>
      </c>
      <c r="D748" s="215">
        <v>35124698</v>
      </c>
      <c r="F748" s="215">
        <f t="shared" si="68"/>
        <v>35124698</v>
      </c>
      <c r="G748" s="215">
        <f t="shared" si="69"/>
        <v>39117091</v>
      </c>
      <c r="H748" s="680" t="s">
        <v>6153</v>
      </c>
      <c r="I748" s="679"/>
      <c r="J748" s="187" t="str">
        <f t="shared" si="73"/>
        <v>130-901</v>
      </c>
      <c r="K748" s="187">
        <v>130</v>
      </c>
      <c r="L748" s="187">
        <v>901</v>
      </c>
      <c r="M748" s="187" t="str">
        <f t="shared" si="70"/>
        <v>130</v>
      </c>
      <c r="N748" s="187">
        <f t="shared" si="71"/>
        <v>901</v>
      </c>
      <c r="O748" s="187" t="str">
        <f t="shared" si="72"/>
        <v>130-901</v>
      </c>
      <c r="Q748" s="679" t="s">
        <v>3740</v>
      </c>
    </row>
    <row r="749" spans="1:17">
      <c r="A749" s="788" t="s">
        <v>6147</v>
      </c>
      <c r="B749" s="187" t="s">
        <v>6657</v>
      </c>
      <c r="C749" s="215">
        <v>638284</v>
      </c>
      <c r="D749" s="215">
        <v>4826712</v>
      </c>
      <c r="F749" s="215">
        <f t="shared" si="68"/>
        <v>4826712</v>
      </c>
      <c r="G749" s="215">
        <f t="shared" si="69"/>
        <v>5464996</v>
      </c>
      <c r="H749" s="680" t="s">
        <v>6153</v>
      </c>
      <c r="I749" s="679"/>
      <c r="J749" s="187" t="str">
        <f t="shared" si="73"/>
        <v>130-902</v>
      </c>
      <c r="K749" s="187">
        <v>130</v>
      </c>
      <c r="L749" s="187">
        <v>902</v>
      </c>
      <c r="M749" s="187" t="str">
        <f t="shared" si="70"/>
        <v>130</v>
      </c>
      <c r="N749" s="187">
        <f t="shared" si="71"/>
        <v>902</v>
      </c>
      <c r="O749" s="187" t="str">
        <f t="shared" si="72"/>
        <v>130-902</v>
      </c>
      <c r="Q749" s="679" t="s">
        <v>3741</v>
      </c>
    </row>
    <row r="750" spans="1:17">
      <c r="A750" s="788" t="s">
        <v>5612</v>
      </c>
      <c r="B750" s="187" t="s">
        <v>6658</v>
      </c>
      <c r="C750" s="215">
        <v>0</v>
      </c>
      <c r="D750" s="215">
        <v>5562913</v>
      </c>
      <c r="F750" s="215">
        <f t="shared" si="68"/>
        <v>5562913</v>
      </c>
      <c r="G750" s="215">
        <f t="shared" si="69"/>
        <v>5562913</v>
      </c>
      <c r="H750" s="680" t="s">
        <v>6153</v>
      </c>
      <c r="I750" s="679"/>
      <c r="J750" s="187" t="str">
        <f t="shared" si="73"/>
        <v>131-1</v>
      </c>
      <c r="K750" s="187">
        <v>131</v>
      </c>
      <c r="L750" s="187">
        <v>1</v>
      </c>
      <c r="M750" s="187" t="str">
        <f t="shared" si="70"/>
        <v>131</v>
      </c>
      <c r="N750" s="187">
        <f t="shared" si="71"/>
        <v>1</v>
      </c>
      <c r="O750" s="187" t="str">
        <f t="shared" si="72"/>
        <v>131-1</v>
      </c>
      <c r="Q750" s="679" t="s">
        <v>3742</v>
      </c>
    </row>
    <row r="751" spans="1:17">
      <c r="A751" s="788" t="s">
        <v>1419</v>
      </c>
      <c r="B751" s="187" t="s">
        <v>6659</v>
      </c>
      <c r="C751" s="215">
        <v>385493</v>
      </c>
      <c r="D751" s="215">
        <v>4727507</v>
      </c>
      <c r="F751" s="215">
        <f t="shared" si="68"/>
        <v>4727507</v>
      </c>
      <c r="G751" s="215">
        <f t="shared" si="69"/>
        <v>5113000</v>
      </c>
      <c r="H751" s="680" t="s">
        <v>6153</v>
      </c>
      <c r="I751" s="679"/>
      <c r="J751" s="187" t="str">
        <f t="shared" si="73"/>
        <v>132-902</v>
      </c>
      <c r="K751" s="187">
        <v>132</v>
      </c>
      <c r="L751" s="187">
        <v>902</v>
      </c>
      <c r="M751" s="187" t="str">
        <f t="shared" si="70"/>
        <v>132</v>
      </c>
      <c r="N751" s="187">
        <f t="shared" si="71"/>
        <v>902</v>
      </c>
      <c r="O751" s="187" t="str">
        <f t="shared" si="72"/>
        <v>132-902</v>
      </c>
      <c r="Q751" s="679" t="s">
        <v>3743</v>
      </c>
    </row>
    <row r="752" spans="1:17">
      <c r="A752" s="788" t="s">
        <v>2469</v>
      </c>
      <c r="B752" s="187" t="s">
        <v>6105</v>
      </c>
      <c r="C752" s="215">
        <v>108468</v>
      </c>
      <c r="D752" s="215">
        <v>1757166</v>
      </c>
      <c r="F752" s="215">
        <f t="shared" si="68"/>
        <v>1757166</v>
      </c>
      <c r="G752" s="215">
        <f t="shared" si="69"/>
        <v>1865634</v>
      </c>
      <c r="H752" s="680" t="s">
        <v>6153</v>
      </c>
      <c r="I752" s="679"/>
      <c r="J752" s="187" t="str">
        <f t="shared" si="73"/>
        <v>133-901</v>
      </c>
      <c r="K752" s="187">
        <v>133</v>
      </c>
      <c r="L752" s="187">
        <v>901</v>
      </c>
      <c r="M752" s="187" t="str">
        <f t="shared" si="70"/>
        <v>133</v>
      </c>
      <c r="N752" s="187">
        <f t="shared" si="71"/>
        <v>901</v>
      </c>
      <c r="O752" s="187" t="str">
        <f t="shared" si="72"/>
        <v>133-901</v>
      </c>
      <c r="Q752" s="679" t="s">
        <v>3744</v>
      </c>
    </row>
    <row r="753" spans="1:17">
      <c r="A753" s="788" t="s">
        <v>1421</v>
      </c>
      <c r="B753" s="187" t="s">
        <v>6660</v>
      </c>
      <c r="C753" s="215">
        <v>0</v>
      </c>
      <c r="D753" s="215">
        <v>2695876</v>
      </c>
      <c r="F753" s="215">
        <f t="shared" si="68"/>
        <v>2695876</v>
      </c>
      <c r="G753" s="215">
        <f t="shared" si="69"/>
        <v>2695876</v>
      </c>
      <c r="H753" s="680" t="s">
        <v>6153</v>
      </c>
      <c r="I753" s="679"/>
      <c r="J753" s="187" t="str">
        <f t="shared" si="73"/>
        <v>133-902</v>
      </c>
      <c r="K753" s="187">
        <v>133</v>
      </c>
      <c r="L753" s="187">
        <v>902</v>
      </c>
      <c r="M753" s="187" t="str">
        <f t="shared" si="70"/>
        <v>133</v>
      </c>
      <c r="N753" s="187">
        <f t="shared" si="71"/>
        <v>902</v>
      </c>
      <c r="O753" s="187" t="str">
        <f t="shared" si="72"/>
        <v>133-902</v>
      </c>
      <c r="Q753" s="679" t="s">
        <v>3745</v>
      </c>
    </row>
    <row r="754" spans="1:17">
      <c r="A754" s="788" t="s">
        <v>1423</v>
      </c>
      <c r="B754" s="187" t="s">
        <v>6661</v>
      </c>
      <c r="C754" s="215">
        <v>2954555</v>
      </c>
      <c r="D754" s="215">
        <v>21376562</v>
      </c>
      <c r="F754" s="215">
        <f t="shared" si="68"/>
        <v>21376562</v>
      </c>
      <c r="G754" s="215">
        <f t="shared" si="69"/>
        <v>24331117</v>
      </c>
      <c r="H754" s="680" t="s">
        <v>6153</v>
      </c>
      <c r="I754" s="679"/>
      <c r="J754" s="187" t="str">
        <f t="shared" si="73"/>
        <v>133-903</v>
      </c>
      <c r="K754" s="187">
        <v>133</v>
      </c>
      <c r="L754" s="187">
        <v>903</v>
      </c>
      <c r="M754" s="187" t="str">
        <f t="shared" si="70"/>
        <v>133</v>
      </c>
      <c r="N754" s="187">
        <f t="shared" si="71"/>
        <v>903</v>
      </c>
      <c r="O754" s="187" t="str">
        <f t="shared" si="72"/>
        <v>133-903</v>
      </c>
      <c r="Q754" s="679" t="s">
        <v>3746</v>
      </c>
    </row>
    <row r="755" spans="1:17">
      <c r="A755" s="788" t="s">
        <v>1425</v>
      </c>
      <c r="B755" s="187" t="s">
        <v>6662</v>
      </c>
      <c r="C755" s="215">
        <v>208196</v>
      </c>
      <c r="D755" s="215">
        <v>3960528</v>
      </c>
      <c r="F755" s="215">
        <f t="shared" si="68"/>
        <v>3960528</v>
      </c>
      <c r="G755" s="215">
        <f t="shared" si="69"/>
        <v>4168724</v>
      </c>
      <c r="H755" s="680" t="s">
        <v>6153</v>
      </c>
      <c r="I755" s="679"/>
      <c r="J755" s="187" t="str">
        <f t="shared" si="73"/>
        <v>133-904</v>
      </c>
      <c r="K755" s="187">
        <v>133</v>
      </c>
      <c r="L755" s="187">
        <v>904</v>
      </c>
      <c r="M755" s="187" t="str">
        <f t="shared" si="70"/>
        <v>133</v>
      </c>
      <c r="N755" s="187">
        <f t="shared" si="71"/>
        <v>904</v>
      </c>
      <c r="O755" s="187" t="str">
        <f t="shared" si="72"/>
        <v>133-904</v>
      </c>
      <c r="Q755" s="679" t="s">
        <v>3747</v>
      </c>
    </row>
    <row r="756" spans="1:17">
      <c r="A756" s="788" t="s">
        <v>7151</v>
      </c>
      <c r="B756" s="187" t="s">
        <v>6663</v>
      </c>
      <c r="C756" s="215">
        <v>0</v>
      </c>
      <c r="D756" s="215">
        <v>396799</v>
      </c>
      <c r="F756" s="215">
        <f t="shared" si="68"/>
        <v>396799</v>
      </c>
      <c r="G756" s="215">
        <f t="shared" si="69"/>
        <v>396799</v>
      </c>
      <c r="H756" s="680" t="s">
        <v>6153</v>
      </c>
      <c r="I756" s="679"/>
      <c r="J756" s="187" t="str">
        <f t="shared" si="73"/>
        <v>133-905</v>
      </c>
      <c r="K756" s="187">
        <v>133</v>
      </c>
      <c r="L756" s="187">
        <v>905</v>
      </c>
      <c r="M756" s="187" t="str">
        <f t="shared" si="70"/>
        <v>133</v>
      </c>
      <c r="N756" s="187">
        <f t="shared" si="71"/>
        <v>905</v>
      </c>
      <c r="O756" s="187" t="str">
        <f t="shared" si="72"/>
        <v>133-905</v>
      </c>
      <c r="Q756" s="679" t="s">
        <v>3748</v>
      </c>
    </row>
    <row r="757" spans="1:17">
      <c r="A757" s="788" t="s">
        <v>7153</v>
      </c>
      <c r="B757" s="187" t="s">
        <v>6664</v>
      </c>
      <c r="C757" s="215">
        <v>1695</v>
      </c>
      <c r="D757" s="215">
        <v>2767827</v>
      </c>
      <c r="F757" s="215">
        <f t="shared" si="68"/>
        <v>2767827</v>
      </c>
      <c r="G757" s="215">
        <f t="shared" si="69"/>
        <v>2769522</v>
      </c>
      <c r="H757" s="680" t="s">
        <v>6153</v>
      </c>
      <c r="I757" s="679"/>
      <c r="J757" s="187" t="str">
        <f t="shared" si="73"/>
        <v>134-901</v>
      </c>
      <c r="K757" s="187">
        <v>134</v>
      </c>
      <c r="L757" s="187">
        <v>901</v>
      </c>
      <c r="M757" s="187" t="str">
        <f t="shared" si="70"/>
        <v>134</v>
      </c>
      <c r="N757" s="187">
        <f t="shared" si="71"/>
        <v>901</v>
      </c>
      <c r="O757" s="187" t="str">
        <f t="shared" si="72"/>
        <v>134-901</v>
      </c>
      <c r="Q757" s="679" t="s">
        <v>3749</v>
      </c>
    </row>
    <row r="758" spans="1:17">
      <c r="A758" s="788" t="s">
        <v>6426</v>
      </c>
      <c r="B758" s="187" t="s">
        <v>6665</v>
      </c>
      <c r="C758" s="215">
        <v>0</v>
      </c>
      <c r="D758" s="215">
        <v>2277901</v>
      </c>
      <c r="F758" s="215">
        <f t="shared" si="68"/>
        <v>2277901</v>
      </c>
      <c r="G758" s="215">
        <f t="shared" si="69"/>
        <v>2277901</v>
      </c>
      <c r="H758" s="680" t="s">
        <v>6153</v>
      </c>
      <c r="I758" s="679"/>
      <c r="J758" s="187" t="str">
        <f t="shared" si="73"/>
        <v>135-1</v>
      </c>
      <c r="K758" s="187">
        <v>135</v>
      </c>
      <c r="L758" s="187">
        <v>1</v>
      </c>
      <c r="M758" s="187" t="str">
        <f t="shared" si="70"/>
        <v>135</v>
      </c>
      <c r="N758" s="187">
        <f t="shared" si="71"/>
        <v>1</v>
      </c>
      <c r="O758" s="187" t="str">
        <f t="shared" si="72"/>
        <v>135-1</v>
      </c>
      <c r="Q758" s="679" t="s">
        <v>3750</v>
      </c>
    </row>
    <row r="759" spans="1:17">
      <c r="A759" s="788" t="s">
        <v>1835</v>
      </c>
      <c r="B759" s="187" t="s">
        <v>6666</v>
      </c>
      <c r="C759" s="215">
        <v>0</v>
      </c>
      <c r="D759" s="215">
        <v>1469948</v>
      </c>
      <c r="F759" s="215">
        <f t="shared" si="68"/>
        <v>1469948</v>
      </c>
      <c r="G759" s="215">
        <f t="shared" si="69"/>
        <v>1469948</v>
      </c>
      <c r="H759" s="680" t="s">
        <v>6153</v>
      </c>
      <c r="I759" s="679"/>
      <c r="J759" s="187" t="str">
        <f t="shared" si="73"/>
        <v>136-901</v>
      </c>
      <c r="K759" s="187">
        <v>136</v>
      </c>
      <c r="L759" s="187">
        <v>901</v>
      </c>
      <c r="M759" s="187" t="str">
        <f t="shared" si="70"/>
        <v>136</v>
      </c>
      <c r="N759" s="187">
        <f t="shared" si="71"/>
        <v>901</v>
      </c>
      <c r="O759" s="187" t="str">
        <f t="shared" si="72"/>
        <v>136-901</v>
      </c>
      <c r="Q759" s="679" t="s">
        <v>3751</v>
      </c>
    </row>
    <row r="760" spans="1:17">
      <c r="A760" s="788" t="s">
        <v>510</v>
      </c>
      <c r="B760" s="187" t="s">
        <v>1921</v>
      </c>
      <c r="C760" s="215">
        <v>528655</v>
      </c>
      <c r="D760" s="215">
        <v>8383759</v>
      </c>
      <c r="F760" s="215">
        <f t="shared" si="68"/>
        <v>8383759</v>
      </c>
      <c r="G760" s="215">
        <f t="shared" si="69"/>
        <v>8912414</v>
      </c>
      <c r="H760" s="680" t="s">
        <v>6153</v>
      </c>
      <c r="I760" s="679"/>
      <c r="J760" s="187" t="str">
        <f t="shared" si="73"/>
        <v>137-901</v>
      </c>
      <c r="K760" s="187">
        <v>137</v>
      </c>
      <c r="L760" s="187">
        <v>901</v>
      </c>
      <c r="M760" s="187" t="str">
        <f t="shared" si="70"/>
        <v>137</v>
      </c>
      <c r="N760" s="187">
        <f t="shared" si="71"/>
        <v>901</v>
      </c>
      <c r="O760" s="187" t="str">
        <f t="shared" si="72"/>
        <v>137-901</v>
      </c>
      <c r="Q760" s="679" t="s">
        <v>3752</v>
      </c>
    </row>
    <row r="761" spans="1:17">
      <c r="A761" s="788" t="s">
        <v>3530</v>
      </c>
      <c r="B761" s="187" t="s">
        <v>6667</v>
      </c>
      <c r="C761" s="215">
        <v>0</v>
      </c>
      <c r="D761" s="215">
        <v>1963653</v>
      </c>
      <c r="F761" s="215">
        <f t="shared" si="68"/>
        <v>1963653</v>
      </c>
      <c r="G761" s="215">
        <f t="shared" si="69"/>
        <v>1963653</v>
      </c>
      <c r="H761" s="680" t="s">
        <v>6153</v>
      </c>
      <c r="I761" s="679"/>
      <c r="J761" s="187" t="str">
        <f t="shared" si="73"/>
        <v>137-902</v>
      </c>
      <c r="K761" s="187">
        <v>137</v>
      </c>
      <c r="L761" s="187">
        <v>902</v>
      </c>
      <c r="M761" s="187" t="str">
        <f t="shared" si="70"/>
        <v>137</v>
      </c>
      <c r="N761" s="187">
        <f t="shared" si="71"/>
        <v>902</v>
      </c>
      <c r="O761" s="187" t="str">
        <f t="shared" si="72"/>
        <v>137-902</v>
      </c>
      <c r="Q761" s="679" t="s">
        <v>3753</v>
      </c>
    </row>
    <row r="762" spans="1:17">
      <c r="A762" s="788" t="s">
        <v>3532</v>
      </c>
      <c r="B762" s="187" t="s">
        <v>6668</v>
      </c>
      <c r="C762" s="215">
        <v>0</v>
      </c>
      <c r="D762" s="215">
        <v>1965325</v>
      </c>
      <c r="F762" s="215">
        <f t="shared" si="68"/>
        <v>1965325</v>
      </c>
      <c r="G762" s="215">
        <f t="shared" si="69"/>
        <v>1965325</v>
      </c>
      <c r="H762" s="680" t="s">
        <v>6153</v>
      </c>
      <c r="I762" s="679"/>
      <c r="J762" s="187" t="str">
        <f t="shared" si="73"/>
        <v>137-903</v>
      </c>
      <c r="K762" s="187">
        <v>137</v>
      </c>
      <c r="L762" s="187">
        <v>903</v>
      </c>
      <c r="M762" s="187" t="str">
        <f t="shared" si="70"/>
        <v>137</v>
      </c>
      <c r="N762" s="187">
        <f t="shared" si="71"/>
        <v>903</v>
      </c>
      <c r="O762" s="187" t="str">
        <f t="shared" si="72"/>
        <v>137-903</v>
      </c>
      <c r="Q762" s="679" t="s">
        <v>3754</v>
      </c>
    </row>
    <row r="763" spans="1:17">
      <c r="A763" s="788" t="s">
        <v>3534</v>
      </c>
      <c r="B763" s="187" t="s">
        <v>6669</v>
      </c>
      <c r="C763" s="215">
        <v>0</v>
      </c>
      <c r="D763" s="215">
        <v>2839338</v>
      </c>
      <c r="F763" s="215">
        <f t="shared" si="68"/>
        <v>2839338</v>
      </c>
      <c r="G763" s="215">
        <f t="shared" si="69"/>
        <v>2839338</v>
      </c>
      <c r="H763" s="680" t="s">
        <v>6153</v>
      </c>
      <c r="I763" s="679"/>
      <c r="J763" s="187" t="str">
        <f t="shared" si="73"/>
        <v>137-904</v>
      </c>
      <c r="K763" s="187">
        <v>137</v>
      </c>
      <c r="L763" s="187">
        <v>904</v>
      </c>
      <c r="M763" s="187" t="str">
        <f t="shared" si="70"/>
        <v>137</v>
      </c>
      <c r="N763" s="187">
        <f t="shared" si="71"/>
        <v>904</v>
      </c>
      <c r="O763" s="187" t="str">
        <f t="shared" si="72"/>
        <v>137-904</v>
      </c>
      <c r="Q763" s="679" t="s">
        <v>3755</v>
      </c>
    </row>
    <row r="764" spans="1:17">
      <c r="A764" s="788" t="s">
        <v>511</v>
      </c>
      <c r="B764" s="187" t="s">
        <v>5639</v>
      </c>
      <c r="C764" s="215">
        <v>32365</v>
      </c>
      <c r="D764" s="215">
        <v>750393</v>
      </c>
      <c r="F764" s="215">
        <f t="shared" si="68"/>
        <v>750393</v>
      </c>
      <c r="G764" s="215">
        <f t="shared" si="69"/>
        <v>782758</v>
      </c>
      <c r="H764" s="680" t="s">
        <v>6153</v>
      </c>
      <c r="I764" s="679"/>
      <c r="J764" s="187" t="str">
        <f t="shared" si="73"/>
        <v>138-902</v>
      </c>
      <c r="K764" s="187">
        <v>138</v>
      </c>
      <c r="L764" s="187">
        <v>902</v>
      </c>
      <c r="M764" s="187" t="str">
        <f t="shared" si="70"/>
        <v>138</v>
      </c>
      <c r="N764" s="187">
        <f t="shared" si="71"/>
        <v>902</v>
      </c>
      <c r="O764" s="187" t="str">
        <f t="shared" si="72"/>
        <v>138-902</v>
      </c>
      <c r="Q764" s="679" t="s">
        <v>3756</v>
      </c>
    </row>
    <row r="765" spans="1:17">
      <c r="A765" s="788" t="s">
        <v>3539</v>
      </c>
      <c r="B765" s="187" t="s">
        <v>6670</v>
      </c>
      <c r="C765" s="215">
        <v>0</v>
      </c>
      <c r="D765" s="215">
        <v>623446</v>
      </c>
      <c r="F765" s="215">
        <f t="shared" si="68"/>
        <v>623446</v>
      </c>
      <c r="G765" s="215">
        <f t="shared" si="69"/>
        <v>623446</v>
      </c>
      <c r="H765" s="680" t="s">
        <v>6153</v>
      </c>
      <c r="I765" s="679"/>
      <c r="J765" s="187" t="str">
        <f t="shared" si="73"/>
        <v>138-903</v>
      </c>
      <c r="K765" s="187">
        <v>138</v>
      </c>
      <c r="L765" s="187">
        <v>903</v>
      </c>
      <c r="M765" s="187" t="str">
        <f t="shared" si="70"/>
        <v>138</v>
      </c>
      <c r="N765" s="187">
        <f t="shared" si="71"/>
        <v>903</v>
      </c>
      <c r="O765" s="187" t="str">
        <f t="shared" si="72"/>
        <v>138-903</v>
      </c>
      <c r="Q765" s="679" t="s">
        <v>3757</v>
      </c>
    </row>
    <row r="766" spans="1:17">
      <c r="A766" s="788" t="s">
        <v>3541</v>
      </c>
      <c r="B766" s="187" t="s">
        <v>6671</v>
      </c>
      <c r="C766" s="215">
        <v>0</v>
      </c>
      <c r="D766" s="215">
        <v>359927</v>
      </c>
      <c r="F766" s="215">
        <f t="shared" si="68"/>
        <v>359927</v>
      </c>
      <c r="G766" s="215">
        <f t="shared" si="69"/>
        <v>359927</v>
      </c>
      <c r="H766" s="680" t="s">
        <v>6153</v>
      </c>
      <c r="I766" s="679"/>
      <c r="J766" s="187" t="str">
        <f t="shared" si="73"/>
        <v>138-904</v>
      </c>
      <c r="K766" s="187">
        <v>138</v>
      </c>
      <c r="L766" s="187">
        <v>904</v>
      </c>
      <c r="M766" s="187" t="str">
        <f t="shared" si="70"/>
        <v>138</v>
      </c>
      <c r="N766" s="187">
        <f t="shared" si="71"/>
        <v>904</v>
      </c>
      <c r="O766" s="187" t="str">
        <f t="shared" si="72"/>
        <v>138-904</v>
      </c>
      <c r="Q766" s="679" t="s">
        <v>3758</v>
      </c>
    </row>
    <row r="767" spans="1:17">
      <c r="A767" s="788" t="s">
        <v>3543</v>
      </c>
      <c r="B767" s="187" t="s">
        <v>278</v>
      </c>
      <c r="C767" s="215">
        <v>829290</v>
      </c>
      <c r="D767" s="215">
        <v>7304468</v>
      </c>
      <c r="F767" s="215">
        <f t="shared" si="68"/>
        <v>7304468</v>
      </c>
      <c r="G767" s="215">
        <f t="shared" si="69"/>
        <v>8133758</v>
      </c>
      <c r="H767" s="680" t="s">
        <v>6153</v>
      </c>
      <c r="I767" s="679"/>
      <c r="J767" s="187" t="str">
        <f t="shared" si="73"/>
        <v>139-905</v>
      </c>
      <c r="K767" s="187">
        <v>139</v>
      </c>
      <c r="L767" s="187">
        <v>905</v>
      </c>
      <c r="M767" s="187" t="str">
        <f t="shared" si="70"/>
        <v>139</v>
      </c>
      <c r="N767" s="187">
        <f t="shared" si="71"/>
        <v>905</v>
      </c>
      <c r="O767" s="187" t="str">
        <f t="shared" si="72"/>
        <v>139-905</v>
      </c>
      <c r="Q767" s="679" t="s">
        <v>3759</v>
      </c>
    </row>
    <row r="768" spans="1:17">
      <c r="A768" s="788" t="s">
        <v>129</v>
      </c>
      <c r="B768" s="187" t="s">
        <v>372</v>
      </c>
      <c r="C768" s="215">
        <v>31621</v>
      </c>
      <c r="D768" s="215">
        <v>378473</v>
      </c>
      <c r="F768" s="215">
        <f t="shared" si="68"/>
        <v>378473</v>
      </c>
      <c r="G768" s="215">
        <f t="shared" si="69"/>
        <v>410094</v>
      </c>
      <c r="H768" s="680" t="s">
        <v>6153</v>
      </c>
      <c r="I768" s="679"/>
      <c r="J768" s="187" t="str">
        <f t="shared" si="73"/>
        <v>139-908</v>
      </c>
      <c r="K768" s="187">
        <v>139</v>
      </c>
      <c r="L768" s="187">
        <v>908</v>
      </c>
      <c r="M768" s="187" t="str">
        <f t="shared" si="70"/>
        <v>139</v>
      </c>
      <c r="N768" s="187">
        <f t="shared" si="71"/>
        <v>908</v>
      </c>
      <c r="O768" s="187" t="str">
        <f t="shared" si="72"/>
        <v>139-908</v>
      </c>
      <c r="Q768" s="679" t="s">
        <v>3760</v>
      </c>
    </row>
    <row r="769" spans="1:17">
      <c r="A769" s="788" t="s">
        <v>6193</v>
      </c>
      <c r="B769" s="187" t="s">
        <v>3891</v>
      </c>
      <c r="C769" s="215">
        <v>532678</v>
      </c>
      <c r="D769" s="215">
        <v>8582498</v>
      </c>
      <c r="F769" s="215">
        <f t="shared" si="68"/>
        <v>8582498</v>
      </c>
      <c r="G769" s="215">
        <f t="shared" si="69"/>
        <v>9115176</v>
      </c>
      <c r="H769" s="680" t="s">
        <v>6153</v>
      </c>
      <c r="I769" s="679"/>
      <c r="J769" s="187" t="str">
        <f t="shared" si="73"/>
        <v>139-909</v>
      </c>
      <c r="K769" s="187">
        <v>139</v>
      </c>
      <c r="L769" s="187">
        <v>909</v>
      </c>
      <c r="M769" s="187" t="str">
        <f t="shared" si="70"/>
        <v>139</v>
      </c>
      <c r="N769" s="187">
        <f t="shared" si="71"/>
        <v>909</v>
      </c>
      <c r="O769" s="187" t="str">
        <f t="shared" si="72"/>
        <v>139-909</v>
      </c>
      <c r="Q769" s="679" t="s">
        <v>3761</v>
      </c>
    </row>
    <row r="770" spans="1:17">
      <c r="A770" s="788" t="s">
        <v>2674</v>
      </c>
      <c r="B770" s="187" t="s">
        <v>279</v>
      </c>
      <c r="C770" s="215">
        <v>856253</v>
      </c>
      <c r="D770" s="215">
        <v>9488320</v>
      </c>
      <c r="F770" s="215">
        <f t="shared" si="68"/>
        <v>9488320</v>
      </c>
      <c r="G770" s="215">
        <f t="shared" si="69"/>
        <v>10344573</v>
      </c>
      <c r="H770" s="680" t="s">
        <v>6153</v>
      </c>
      <c r="I770" s="679"/>
      <c r="J770" s="187" t="str">
        <f t="shared" si="73"/>
        <v>139-911</v>
      </c>
      <c r="K770" s="187">
        <v>139</v>
      </c>
      <c r="L770" s="187">
        <v>911</v>
      </c>
      <c r="M770" s="187" t="str">
        <f t="shared" si="70"/>
        <v>139</v>
      </c>
      <c r="N770" s="187">
        <f t="shared" si="71"/>
        <v>911</v>
      </c>
      <c r="O770" s="187" t="str">
        <f t="shared" si="72"/>
        <v>139-911</v>
      </c>
      <c r="Q770" s="679" t="s">
        <v>3762</v>
      </c>
    </row>
    <row r="771" spans="1:17">
      <c r="A771" s="788" t="s">
        <v>512</v>
      </c>
      <c r="B771" s="187" t="s">
        <v>348</v>
      </c>
      <c r="C771" s="215">
        <v>180923</v>
      </c>
      <c r="D771" s="215">
        <v>1504684</v>
      </c>
      <c r="F771" s="215">
        <f t="shared" si="68"/>
        <v>1504684</v>
      </c>
      <c r="G771" s="215">
        <f t="shared" si="69"/>
        <v>1685607</v>
      </c>
      <c r="H771" s="680" t="s">
        <v>6153</v>
      </c>
      <c r="I771" s="679"/>
      <c r="J771" s="187" t="str">
        <f t="shared" si="73"/>
        <v>139-912</v>
      </c>
      <c r="K771" s="187">
        <v>139</v>
      </c>
      <c r="L771" s="187">
        <v>912</v>
      </c>
      <c r="M771" s="187" t="str">
        <f t="shared" si="70"/>
        <v>139</v>
      </c>
      <c r="N771" s="187">
        <f t="shared" si="71"/>
        <v>912</v>
      </c>
      <c r="O771" s="187" t="str">
        <f t="shared" si="72"/>
        <v>139-912</v>
      </c>
      <c r="Q771" s="679" t="s">
        <v>3763</v>
      </c>
    </row>
    <row r="772" spans="1:17">
      <c r="A772" s="788" t="s">
        <v>600</v>
      </c>
      <c r="B772" s="187" t="s">
        <v>280</v>
      </c>
      <c r="C772" s="215">
        <v>0</v>
      </c>
      <c r="D772" s="215">
        <v>449058</v>
      </c>
      <c r="F772" s="215">
        <f t="shared" ref="F772:F835" si="74">D772+E772</f>
        <v>449058</v>
      </c>
      <c r="G772" s="215">
        <f t="shared" ref="G772:G835" si="75">F772+C772</f>
        <v>449058</v>
      </c>
      <c r="H772" s="680" t="s">
        <v>6153</v>
      </c>
      <c r="I772" s="679"/>
      <c r="J772" s="187" t="str">
        <f t="shared" si="73"/>
        <v>140-901</v>
      </c>
      <c r="K772" s="187">
        <v>140</v>
      </c>
      <c r="L772" s="187">
        <v>901</v>
      </c>
      <c r="M772" s="187" t="str">
        <f t="shared" ref="M772:M835" si="76">+I772&amp;K772</f>
        <v>140</v>
      </c>
      <c r="N772" s="187">
        <f t="shared" ref="N772:N835" si="77">+L772</f>
        <v>901</v>
      </c>
      <c r="O772" s="187" t="str">
        <f t="shared" ref="O772:O835" si="78">+M772&amp;"-"&amp;N772</f>
        <v>140-901</v>
      </c>
      <c r="Q772" s="679" t="s">
        <v>3764</v>
      </c>
    </row>
    <row r="773" spans="1:17">
      <c r="A773" s="788" t="s">
        <v>602</v>
      </c>
      <c r="B773" s="187" t="s">
        <v>281</v>
      </c>
      <c r="C773" s="215">
        <v>0</v>
      </c>
      <c r="D773" s="215">
        <v>2327483</v>
      </c>
      <c r="F773" s="215">
        <f t="shared" si="74"/>
        <v>2327483</v>
      </c>
      <c r="G773" s="215">
        <f t="shared" si="75"/>
        <v>2327483</v>
      </c>
      <c r="H773" s="680" t="s">
        <v>6153</v>
      </c>
      <c r="I773" s="679"/>
      <c r="J773" s="187" t="str">
        <f t="shared" si="73"/>
        <v>140-904</v>
      </c>
      <c r="K773" s="187">
        <v>140</v>
      </c>
      <c r="L773" s="187">
        <v>904</v>
      </c>
      <c r="M773" s="187" t="str">
        <f t="shared" si="76"/>
        <v>140</v>
      </c>
      <c r="N773" s="187">
        <f t="shared" si="77"/>
        <v>904</v>
      </c>
      <c r="O773" s="187" t="str">
        <f t="shared" si="78"/>
        <v>140-904</v>
      </c>
      <c r="Q773" s="679" t="s">
        <v>5959</v>
      </c>
    </row>
    <row r="774" spans="1:17">
      <c r="A774" s="788" t="s">
        <v>6188</v>
      </c>
      <c r="B774" s="187" t="s">
        <v>3836</v>
      </c>
      <c r="C774" s="215">
        <v>54287</v>
      </c>
      <c r="D774" s="215">
        <v>1018849</v>
      </c>
      <c r="F774" s="215">
        <f t="shared" si="74"/>
        <v>1018849</v>
      </c>
      <c r="G774" s="215">
        <f t="shared" si="75"/>
        <v>1073136</v>
      </c>
      <c r="H774" s="680" t="s">
        <v>6153</v>
      </c>
      <c r="I774" s="679"/>
      <c r="J774" s="187" t="str">
        <f t="shared" si="73"/>
        <v>140-905</v>
      </c>
      <c r="K774" s="187">
        <v>140</v>
      </c>
      <c r="L774" s="187">
        <v>905</v>
      </c>
      <c r="M774" s="187" t="str">
        <f t="shared" si="76"/>
        <v>140</v>
      </c>
      <c r="N774" s="187">
        <f t="shared" si="77"/>
        <v>905</v>
      </c>
      <c r="O774" s="187" t="str">
        <f t="shared" si="78"/>
        <v>140-905</v>
      </c>
      <c r="Q774" s="679" t="s">
        <v>5960</v>
      </c>
    </row>
    <row r="775" spans="1:17">
      <c r="A775" s="788" t="s">
        <v>2016</v>
      </c>
      <c r="B775" s="187" t="s">
        <v>282</v>
      </c>
      <c r="C775" s="215">
        <v>0</v>
      </c>
      <c r="D775" s="215">
        <v>169314</v>
      </c>
      <c r="F775" s="215">
        <f t="shared" si="74"/>
        <v>169314</v>
      </c>
      <c r="G775" s="215">
        <f t="shared" si="75"/>
        <v>169314</v>
      </c>
      <c r="H775" s="680" t="s">
        <v>6153</v>
      </c>
      <c r="I775" s="679"/>
      <c r="J775" s="187" t="str">
        <f t="shared" si="73"/>
        <v>140-906</v>
      </c>
      <c r="K775" s="187">
        <v>140</v>
      </c>
      <c r="L775" s="187">
        <v>906</v>
      </c>
      <c r="M775" s="187" t="str">
        <f t="shared" si="76"/>
        <v>140</v>
      </c>
      <c r="N775" s="187">
        <f t="shared" si="77"/>
        <v>906</v>
      </c>
      <c r="O775" s="187" t="str">
        <f t="shared" si="78"/>
        <v>140-906</v>
      </c>
      <c r="Q775" s="679" t="s">
        <v>5961</v>
      </c>
    </row>
    <row r="776" spans="1:17">
      <c r="A776" s="788" t="s">
        <v>2018</v>
      </c>
      <c r="B776" s="187" t="s">
        <v>283</v>
      </c>
      <c r="C776" s="215">
        <v>0</v>
      </c>
      <c r="D776" s="215">
        <v>787907</v>
      </c>
      <c r="F776" s="215">
        <f t="shared" si="74"/>
        <v>787907</v>
      </c>
      <c r="G776" s="215">
        <f t="shared" si="75"/>
        <v>787907</v>
      </c>
      <c r="H776" s="680" t="s">
        <v>6153</v>
      </c>
      <c r="I776" s="679"/>
      <c r="J776" s="187" t="str">
        <f t="shared" si="73"/>
        <v>140-907</v>
      </c>
      <c r="K776" s="187">
        <v>140</v>
      </c>
      <c r="L776" s="187">
        <v>907</v>
      </c>
      <c r="M776" s="187" t="str">
        <f t="shared" si="76"/>
        <v>140</v>
      </c>
      <c r="N776" s="187">
        <f t="shared" si="77"/>
        <v>907</v>
      </c>
      <c r="O776" s="187" t="str">
        <f t="shared" si="78"/>
        <v>140-907</v>
      </c>
      <c r="Q776" s="679" t="s">
        <v>5962</v>
      </c>
    </row>
    <row r="777" spans="1:17">
      <c r="A777" s="788" t="s">
        <v>2020</v>
      </c>
      <c r="B777" s="187" t="s">
        <v>284</v>
      </c>
      <c r="C777" s="215">
        <v>90959</v>
      </c>
      <c r="D777" s="215">
        <v>5234063</v>
      </c>
      <c r="F777" s="215">
        <f t="shared" si="74"/>
        <v>5234063</v>
      </c>
      <c r="G777" s="215">
        <f t="shared" si="75"/>
        <v>5325022</v>
      </c>
      <c r="H777" s="680" t="s">
        <v>6153</v>
      </c>
      <c r="I777" s="679"/>
      <c r="J777" s="187" t="str">
        <f t="shared" si="73"/>
        <v>140-908</v>
      </c>
      <c r="K777" s="187">
        <v>140</v>
      </c>
      <c r="L777" s="187">
        <v>908</v>
      </c>
      <c r="M777" s="187" t="str">
        <f t="shared" si="76"/>
        <v>140</v>
      </c>
      <c r="N777" s="187">
        <f t="shared" si="77"/>
        <v>908</v>
      </c>
      <c r="O777" s="187" t="str">
        <f t="shared" si="78"/>
        <v>140-908</v>
      </c>
      <c r="Q777" s="679" t="s">
        <v>5963</v>
      </c>
    </row>
    <row r="778" spans="1:17">
      <c r="A778" s="788" t="s">
        <v>2022</v>
      </c>
      <c r="B778" s="187" t="s">
        <v>1135</v>
      </c>
      <c r="C778" s="215">
        <v>0</v>
      </c>
      <c r="D778" s="215">
        <v>0</v>
      </c>
      <c r="F778" s="215">
        <f t="shared" si="74"/>
        <v>0</v>
      </c>
      <c r="G778" s="215">
        <f t="shared" si="75"/>
        <v>0</v>
      </c>
      <c r="H778" s="680" t="s">
        <v>6153</v>
      </c>
      <c r="I778" s="679"/>
      <c r="J778" s="187" t="str">
        <f t="shared" si="73"/>
        <v>141-801</v>
      </c>
      <c r="K778" s="187">
        <v>141</v>
      </c>
      <c r="L778" s="187">
        <v>801</v>
      </c>
      <c r="M778" s="187" t="str">
        <f t="shared" si="76"/>
        <v>141</v>
      </c>
      <c r="N778" s="187">
        <f t="shared" si="77"/>
        <v>801</v>
      </c>
      <c r="O778" s="187" t="str">
        <f t="shared" si="78"/>
        <v>141-801</v>
      </c>
      <c r="Q778" s="679" t="s">
        <v>6427</v>
      </c>
    </row>
    <row r="779" spans="1:17">
      <c r="A779" s="788" t="s">
        <v>2024</v>
      </c>
      <c r="B779" s="187" t="s">
        <v>285</v>
      </c>
      <c r="C779" s="215">
        <v>180003</v>
      </c>
      <c r="D779" s="215">
        <v>8658420</v>
      </c>
      <c r="F779" s="215">
        <f t="shared" si="74"/>
        <v>8658420</v>
      </c>
      <c r="G779" s="215">
        <f t="shared" si="75"/>
        <v>8838423</v>
      </c>
      <c r="H779" s="680" t="s">
        <v>6153</v>
      </c>
      <c r="I779" s="679"/>
      <c r="J779" s="187" t="str">
        <f t="shared" si="73"/>
        <v>141-901</v>
      </c>
      <c r="K779" s="187">
        <v>141</v>
      </c>
      <c r="L779" s="187">
        <v>901</v>
      </c>
      <c r="M779" s="187" t="str">
        <f t="shared" si="76"/>
        <v>141</v>
      </c>
      <c r="N779" s="187">
        <f t="shared" si="77"/>
        <v>901</v>
      </c>
      <c r="O779" s="187" t="str">
        <f t="shared" si="78"/>
        <v>141-901</v>
      </c>
      <c r="Q779" s="679" t="s">
        <v>5964</v>
      </c>
    </row>
    <row r="780" spans="1:17">
      <c r="A780" s="788" t="s">
        <v>2026</v>
      </c>
      <c r="B780" s="187" t="s">
        <v>286</v>
      </c>
      <c r="C780" s="215">
        <v>0</v>
      </c>
      <c r="D780" s="215">
        <v>745478</v>
      </c>
      <c r="F780" s="215">
        <f t="shared" si="74"/>
        <v>745478</v>
      </c>
      <c r="G780" s="215">
        <f t="shared" si="75"/>
        <v>745478</v>
      </c>
      <c r="H780" s="680" t="s">
        <v>6153</v>
      </c>
      <c r="I780" s="679"/>
      <c r="J780" s="187" t="str">
        <f t="shared" si="73"/>
        <v>141-902</v>
      </c>
      <c r="K780" s="187">
        <v>141</v>
      </c>
      <c r="L780" s="187">
        <v>902</v>
      </c>
      <c r="M780" s="187" t="str">
        <f t="shared" si="76"/>
        <v>141</v>
      </c>
      <c r="N780" s="187">
        <f t="shared" si="77"/>
        <v>902</v>
      </c>
      <c r="O780" s="187" t="str">
        <f t="shared" si="78"/>
        <v>141-902</v>
      </c>
      <c r="Q780" s="679" t="s">
        <v>5965</v>
      </c>
    </row>
    <row r="781" spans="1:17">
      <c r="A781" s="788" t="s">
        <v>242</v>
      </c>
      <c r="B781" s="187" t="s">
        <v>2650</v>
      </c>
      <c r="C781" s="215">
        <v>169336</v>
      </c>
      <c r="D781" s="215">
        <v>4229191</v>
      </c>
      <c r="F781" s="215">
        <f t="shared" si="74"/>
        <v>4229191</v>
      </c>
      <c r="G781" s="215">
        <f t="shared" si="75"/>
        <v>4398527</v>
      </c>
      <c r="H781" s="680" t="s">
        <v>6153</v>
      </c>
      <c r="I781" s="679"/>
      <c r="J781" s="187" t="str">
        <f t="shared" si="73"/>
        <v>142-901</v>
      </c>
      <c r="K781" s="187">
        <v>142</v>
      </c>
      <c r="L781" s="187">
        <v>901</v>
      </c>
      <c r="M781" s="187" t="str">
        <f t="shared" si="76"/>
        <v>142</v>
      </c>
      <c r="N781" s="187">
        <f t="shared" si="77"/>
        <v>901</v>
      </c>
      <c r="O781" s="187" t="str">
        <f t="shared" si="78"/>
        <v>142-901</v>
      </c>
      <c r="Q781" s="679" t="s">
        <v>5966</v>
      </c>
    </row>
    <row r="782" spans="1:17">
      <c r="A782" s="788" t="s">
        <v>2028</v>
      </c>
      <c r="B782" s="187" t="s">
        <v>287</v>
      </c>
      <c r="C782" s="215">
        <v>0</v>
      </c>
      <c r="D782" s="215">
        <v>7118370</v>
      </c>
      <c r="F782" s="215">
        <f t="shared" si="74"/>
        <v>7118370</v>
      </c>
      <c r="G782" s="215">
        <f t="shared" si="75"/>
        <v>7118370</v>
      </c>
      <c r="H782" s="680" t="s">
        <v>6153</v>
      </c>
      <c r="I782" s="679"/>
      <c r="J782" s="187" t="str">
        <f t="shared" si="73"/>
        <v>143-901</v>
      </c>
      <c r="K782" s="187">
        <v>143</v>
      </c>
      <c r="L782" s="187">
        <v>901</v>
      </c>
      <c r="M782" s="187" t="str">
        <f t="shared" si="76"/>
        <v>143</v>
      </c>
      <c r="N782" s="187">
        <f t="shared" si="77"/>
        <v>901</v>
      </c>
      <c r="O782" s="187" t="str">
        <f t="shared" si="78"/>
        <v>143-901</v>
      </c>
      <c r="Q782" s="679" t="s">
        <v>5967</v>
      </c>
    </row>
    <row r="783" spans="1:17">
      <c r="A783" s="788" t="s">
        <v>2030</v>
      </c>
      <c r="B783" s="187" t="s">
        <v>288</v>
      </c>
      <c r="C783" s="215">
        <v>16090</v>
      </c>
      <c r="D783" s="215">
        <v>756996</v>
      </c>
      <c r="F783" s="215">
        <f t="shared" si="74"/>
        <v>756996</v>
      </c>
      <c r="G783" s="215">
        <f t="shared" si="75"/>
        <v>773086</v>
      </c>
      <c r="H783" s="680" t="s">
        <v>6153</v>
      </c>
      <c r="I783" s="679"/>
      <c r="J783" s="187" t="str">
        <f t="shared" si="73"/>
        <v>143-902</v>
      </c>
      <c r="K783" s="187">
        <v>143</v>
      </c>
      <c r="L783" s="187">
        <v>902</v>
      </c>
      <c r="M783" s="187" t="str">
        <f t="shared" si="76"/>
        <v>143</v>
      </c>
      <c r="N783" s="187">
        <f t="shared" si="77"/>
        <v>902</v>
      </c>
      <c r="O783" s="187" t="str">
        <f t="shared" si="78"/>
        <v>143-902</v>
      </c>
      <c r="Q783" s="679" t="s">
        <v>5968</v>
      </c>
    </row>
    <row r="784" spans="1:17">
      <c r="A784" s="788" t="s">
        <v>2032</v>
      </c>
      <c r="B784" s="187" t="s">
        <v>289</v>
      </c>
      <c r="C784" s="215">
        <v>0</v>
      </c>
      <c r="D784" s="215">
        <v>2174173</v>
      </c>
      <c r="F784" s="215">
        <f t="shared" si="74"/>
        <v>2174173</v>
      </c>
      <c r="G784" s="215">
        <f t="shared" si="75"/>
        <v>2174173</v>
      </c>
      <c r="H784" s="680" t="s">
        <v>6153</v>
      </c>
      <c r="I784" s="679"/>
      <c r="J784" s="187" t="str">
        <f t="shared" si="73"/>
        <v>143-903</v>
      </c>
      <c r="K784" s="187">
        <v>143</v>
      </c>
      <c r="L784" s="187">
        <v>903</v>
      </c>
      <c r="M784" s="187" t="str">
        <f t="shared" si="76"/>
        <v>143</v>
      </c>
      <c r="N784" s="187">
        <f t="shared" si="77"/>
        <v>903</v>
      </c>
      <c r="O784" s="187" t="str">
        <f t="shared" si="78"/>
        <v>143-903</v>
      </c>
      <c r="Q784" s="679" t="s">
        <v>5969</v>
      </c>
    </row>
    <row r="785" spans="1:17">
      <c r="A785" s="788" t="s">
        <v>2034</v>
      </c>
      <c r="B785" s="187" t="s">
        <v>290</v>
      </c>
      <c r="C785" s="215">
        <v>0</v>
      </c>
      <c r="D785" s="215">
        <v>541828</v>
      </c>
      <c r="F785" s="215">
        <f t="shared" si="74"/>
        <v>541828</v>
      </c>
      <c r="G785" s="215">
        <f t="shared" si="75"/>
        <v>541828</v>
      </c>
      <c r="H785" s="680" t="s">
        <v>6153</v>
      </c>
      <c r="I785" s="679"/>
      <c r="J785" s="187" t="str">
        <f t="shared" si="73"/>
        <v>143-904</v>
      </c>
      <c r="K785" s="187">
        <v>143</v>
      </c>
      <c r="L785" s="187">
        <v>904</v>
      </c>
      <c r="M785" s="187" t="str">
        <f t="shared" si="76"/>
        <v>143</v>
      </c>
      <c r="N785" s="187">
        <f t="shared" si="77"/>
        <v>904</v>
      </c>
      <c r="O785" s="187" t="str">
        <f t="shared" si="78"/>
        <v>143-904</v>
      </c>
      <c r="Q785" s="679" t="s">
        <v>5970</v>
      </c>
    </row>
    <row r="786" spans="1:17">
      <c r="A786" s="788" t="s">
        <v>2036</v>
      </c>
      <c r="B786" s="187" t="s">
        <v>291</v>
      </c>
      <c r="C786" s="215">
        <v>0</v>
      </c>
      <c r="D786" s="215">
        <v>447808</v>
      </c>
      <c r="F786" s="215">
        <f t="shared" si="74"/>
        <v>447808</v>
      </c>
      <c r="G786" s="215">
        <f t="shared" si="75"/>
        <v>447808</v>
      </c>
      <c r="H786" s="680" t="s">
        <v>6153</v>
      </c>
      <c r="I786" s="679"/>
      <c r="J786" s="187" t="str">
        <f t="shared" si="73"/>
        <v>143-905</v>
      </c>
      <c r="K786" s="187">
        <v>143</v>
      </c>
      <c r="L786" s="187">
        <v>905</v>
      </c>
      <c r="M786" s="187" t="str">
        <f t="shared" si="76"/>
        <v>143</v>
      </c>
      <c r="N786" s="187">
        <f t="shared" si="77"/>
        <v>905</v>
      </c>
      <c r="O786" s="187" t="str">
        <f t="shared" si="78"/>
        <v>143-905</v>
      </c>
      <c r="Q786" s="679" t="s">
        <v>5971</v>
      </c>
    </row>
    <row r="787" spans="1:17">
      <c r="A787" s="788" t="s">
        <v>308</v>
      </c>
      <c r="B787" s="187" t="s">
        <v>292</v>
      </c>
      <c r="C787" s="215">
        <v>0</v>
      </c>
      <c r="D787" s="215">
        <v>1701177</v>
      </c>
      <c r="F787" s="215">
        <f t="shared" si="74"/>
        <v>1701177</v>
      </c>
      <c r="G787" s="215">
        <f t="shared" si="75"/>
        <v>1701177</v>
      </c>
      <c r="H787" s="680" t="s">
        <v>6153</v>
      </c>
      <c r="I787" s="679"/>
      <c r="J787" s="187" t="str">
        <f t="shared" si="73"/>
        <v>143-906</v>
      </c>
      <c r="K787" s="187">
        <v>143</v>
      </c>
      <c r="L787" s="187">
        <v>906</v>
      </c>
      <c r="M787" s="187" t="str">
        <f t="shared" si="76"/>
        <v>143</v>
      </c>
      <c r="N787" s="187">
        <f t="shared" si="77"/>
        <v>906</v>
      </c>
      <c r="O787" s="187" t="str">
        <f t="shared" si="78"/>
        <v>143-906</v>
      </c>
      <c r="Q787" s="679" t="s">
        <v>5972</v>
      </c>
    </row>
    <row r="788" spans="1:17">
      <c r="A788" s="788" t="s">
        <v>310</v>
      </c>
      <c r="B788" s="187" t="s">
        <v>293</v>
      </c>
      <c r="C788" s="215">
        <v>654405</v>
      </c>
      <c r="D788" s="215">
        <v>6559575</v>
      </c>
      <c r="F788" s="215">
        <f t="shared" si="74"/>
        <v>6559575</v>
      </c>
      <c r="G788" s="215">
        <f t="shared" si="75"/>
        <v>7213980</v>
      </c>
      <c r="H788" s="680" t="s">
        <v>6153</v>
      </c>
      <c r="I788" s="679"/>
      <c r="J788" s="187" t="str">
        <f t="shared" si="73"/>
        <v>144-901</v>
      </c>
      <c r="K788" s="187">
        <v>144</v>
      </c>
      <c r="L788" s="187">
        <v>901</v>
      </c>
      <c r="M788" s="187" t="str">
        <f t="shared" si="76"/>
        <v>144</v>
      </c>
      <c r="N788" s="187">
        <f t="shared" si="77"/>
        <v>901</v>
      </c>
      <c r="O788" s="187" t="str">
        <f t="shared" si="78"/>
        <v>144-901</v>
      </c>
      <c r="Q788" s="679" t="s">
        <v>5973</v>
      </c>
    </row>
    <row r="789" spans="1:17">
      <c r="A789" s="788" t="s">
        <v>312</v>
      </c>
      <c r="B789" s="187" t="s">
        <v>294</v>
      </c>
      <c r="C789" s="215">
        <v>128593</v>
      </c>
      <c r="D789" s="215">
        <v>2760601</v>
      </c>
      <c r="F789" s="215">
        <f t="shared" si="74"/>
        <v>2760601</v>
      </c>
      <c r="G789" s="215">
        <f t="shared" si="75"/>
        <v>2889194</v>
      </c>
      <c r="H789" s="680" t="s">
        <v>6153</v>
      </c>
      <c r="I789" s="679"/>
      <c r="J789" s="187" t="str">
        <f t="shared" si="73"/>
        <v>144-902</v>
      </c>
      <c r="K789" s="187">
        <v>144</v>
      </c>
      <c r="L789" s="187">
        <v>902</v>
      </c>
      <c r="M789" s="187" t="str">
        <f t="shared" si="76"/>
        <v>144</v>
      </c>
      <c r="N789" s="187">
        <f t="shared" si="77"/>
        <v>902</v>
      </c>
      <c r="O789" s="187" t="str">
        <f t="shared" si="78"/>
        <v>144-902</v>
      </c>
      <c r="Q789" s="679" t="s">
        <v>5974</v>
      </c>
    </row>
    <row r="790" spans="1:17">
      <c r="A790" s="788" t="s">
        <v>314</v>
      </c>
      <c r="B790" s="187" t="s">
        <v>295</v>
      </c>
      <c r="C790" s="215">
        <v>0</v>
      </c>
      <c r="D790" s="215">
        <v>1188478</v>
      </c>
      <c r="F790" s="215">
        <f t="shared" si="74"/>
        <v>1188478</v>
      </c>
      <c r="G790" s="215">
        <f t="shared" si="75"/>
        <v>1188478</v>
      </c>
      <c r="H790" s="680" t="s">
        <v>6153</v>
      </c>
      <c r="I790" s="679"/>
      <c r="J790" s="187" t="str">
        <f t="shared" si="73"/>
        <v>144-903</v>
      </c>
      <c r="K790" s="187">
        <v>144</v>
      </c>
      <c r="L790" s="187">
        <v>903</v>
      </c>
      <c r="M790" s="187" t="str">
        <f t="shared" si="76"/>
        <v>144</v>
      </c>
      <c r="N790" s="187">
        <f t="shared" si="77"/>
        <v>903</v>
      </c>
      <c r="O790" s="187" t="str">
        <f t="shared" si="78"/>
        <v>144-903</v>
      </c>
      <c r="Q790" s="679" t="s">
        <v>5975</v>
      </c>
    </row>
    <row r="791" spans="1:17">
      <c r="A791" s="788" t="s">
        <v>1136</v>
      </c>
      <c r="B791" s="187" t="s">
        <v>1137</v>
      </c>
      <c r="C791" s="215">
        <v>0</v>
      </c>
      <c r="D791" s="215">
        <v>0</v>
      </c>
      <c r="F791" s="215">
        <f t="shared" si="74"/>
        <v>0</v>
      </c>
      <c r="G791" s="215">
        <f t="shared" si="75"/>
        <v>0</v>
      </c>
      <c r="H791" s="680" t="s">
        <v>6153</v>
      </c>
      <c r="I791" s="679"/>
      <c r="J791" s="187" t="str">
        <f t="shared" si="73"/>
        <v>144-905</v>
      </c>
      <c r="K791" s="187">
        <v>144</v>
      </c>
      <c r="L791" s="187">
        <v>905</v>
      </c>
      <c r="M791" s="187" t="str">
        <f t="shared" si="76"/>
        <v>144</v>
      </c>
      <c r="N791" s="187">
        <f t="shared" si="77"/>
        <v>905</v>
      </c>
      <c r="O791" s="187" t="str">
        <f t="shared" si="78"/>
        <v>144-905</v>
      </c>
      <c r="Q791" s="679" t="s">
        <v>6428</v>
      </c>
    </row>
    <row r="792" spans="1:17">
      <c r="A792" s="788" t="s">
        <v>316</v>
      </c>
      <c r="B792" s="187" t="s">
        <v>296</v>
      </c>
      <c r="C792" s="215">
        <v>154021</v>
      </c>
      <c r="D792" s="215">
        <v>2759861</v>
      </c>
      <c r="F792" s="215">
        <f t="shared" si="74"/>
        <v>2759861</v>
      </c>
      <c r="G792" s="215">
        <f t="shared" si="75"/>
        <v>2913882</v>
      </c>
      <c r="H792" s="680" t="s">
        <v>6153</v>
      </c>
      <c r="I792" s="679"/>
      <c r="J792" s="187" t="str">
        <f t="shared" si="73"/>
        <v>145-901</v>
      </c>
      <c r="K792" s="187">
        <v>145</v>
      </c>
      <c r="L792" s="187">
        <v>901</v>
      </c>
      <c r="M792" s="187" t="str">
        <f t="shared" si="76"/>
        <v>145</v>
      </c>
      <c r="N792" s="187">
        <f t="shared" si="77"/>
        <v>901</v>
      </c>
      <c r="O792" s="187" t="str">
        <f t="shared" si="78"/>
        <v>145-901</v>
      </c>
      <c r="Q792" s="679" t="s">
        <v>5976</v>
      </c>
    </row>
    <row r="793" spans="1:17">
      <c r="A793" s="788" t="s">
        <v>318</v>
      </c>
      <c r="B793" s="187" t="s">
        <v>297</v>
      </c>
      <c r="C793" s="215">
        <v>113610</v>
      </c>
      <c r="D793" s="215">
        <v>2395178</v>
      </c>
      <c r="F793" s="215">
        <f t="shared" si="74"/>
        <v>2395178</v>
      </c>
      <c r="G793" s="215">
        <f t="shared" si="75"/>
        <v>2508788</v>
      </c>
      <c r="H793" s="680" t="s">
        <v>6153</v>
      </c>
      <c r="I793" s="679"/>
      <c r="J793" s="187" t="str">
        <f t="shared" si="73"/>
        <v>145-902</v>
      </c>
      <c r="K793" s="187">
        <v>145</v>
      </c>
      <c r="L793" s="187">
        <v>902</v>
      </c>
      <c r="M793" s="187" t="str">
        <f t="shared" si="76"/>
        <v>145</v>
      </c>
      <c r="N793" s="187">
        <f t="shared" si="77"/>
        <v>902</v>
      </c>
      <c r="O793" s="187" t="str">
        <f t="shared" si="78"/>
        <v>145-902</v>
      </c>
      <c r="Q793" s="679" t="s">
        <v>5977</v>
      </c>
    </row>
    <row r="794" spans="1:17">
      <c r="A794" s="788" t="s">
        <v>320</v>
      </c>
      <c r="B794" s="187" t="s">
        <v>298</v>
      </c>
      <c r="C794" s="215">
        <v>255322</v>
      </c>
      <c r="D794" s="215">
        <v>1905789</v>
      </c>
      <c r="F794" s="215">
        <f t="shared" si="74"/>
        <v>1905789</v>
      </c>
      <c r="G794" s="215">
        <f t="shared" si="75"/>
        <v>2161111</v>
      </c>
      <c r="H794" s="680" t="s">
        <v>6153</v>
      </c>
      <c r="I794" s="679"/>
      <c r="J794" s="187" t="str">
        <f t="shared" si="73"/>
        <v>145-906</v>
      </c>
      <c r="K794" s="187">
        <v>145</v>
      </c>
      <c r="L794" s="187">
        <v>906</v>
      </c>
      <c r="M794" s="187" t="str">
        <f t="shared" si="76"/>
        <v>145</v>
      </c>
      <c r="N794" s="187">
        <f t="shared" si="77"/>
        <v>906</v>
      </c>
      <c r="O794" s="187" t="str">
        <f t="shared" si="78"/>
        <v>145-906</v>
      </c>
      <c r="Q794" s="679" t="s">
        <v>5978</v>
      </c>
    </row>
    <row r="795" spans="1:17">
      <c r="A795" s="788" t="s">
        <v>2319</v>
      </c>
      <c r="B795" s="187" t="s">
        <v>299</v>
      </c>
      <c r="C795" s="215">
        <v>0</v>
      </c>
      <c r="D795" s="215">
        <v>1297328</v>
      </c>
      <c r="F795" s="215">
        <f t="shared" si="74"/>
        <v>1297328</v>
      </c>
      <c r="G795" s="215">
        <f t="shared" si="75"/>
        <v>1297328</v>
      </c>
      <c r="H795" s="680" t="s">
        <v>6153</v>
      </c>
      <c r="I795" s="679"/>
      <c r="J795" s="187" t="str">
        <f t="shared" si="73"/>
        <v>145-907</v>
      </c>
      <c r="K795" s="187">
        <v>145</v>
      </c>
      <c r="L795" s="187">
        <v>907</v>
      </c>
      <c r="M795" s="187" t="str">
        <f t="shared" si="76"/>
        <v>145</v>
      </c>
      <c r="N795" s="187">
        <f t="shared" si="77"/>
        <v>907</v>
      </c>
      <c r="O795" s="187" t="str">
        <f t="shared" si="78"/>
        <v>145-907</v>
      </c>
      <c r="Q795" s="679" t="s">
        <v>5979</v>
      </c>
    </row>
    <row r="796" spans="1:17">
      <c r="A796" s="788" t="s">
        <v>2321</v>
      </c>
      <c r="B796" s="187" t="s">
        <v>300</v>
      </c>
      <c r="C796" s="215">
        <v>369996</v>
      </c>
      <c r="D796" s="215">
        <v>5552188</v>
      </c>
      <c r="F796" s="215">
        <f t="shared" si="74"/>
        <v>5552188</v>
      </c>
      <c r="G796" s="215">
        <f t="shared" si="75"/>
        <v>5922184</v>
      </c>
      <c r="H796" s="680" t="s">
        <v>6153</v>
      </c>
      <c r="I796" s="679"/>
      <c r="J796" s="187" t="str">
        <f t="shared" si="73"/>
        <v>145-911</v>
      </c>
      <c r="K796" s="187">
        <v>145</v>
      </c>
      <c r="L796" s="187">
        <v>911</v>
      </c>
      <c r="M796" s="187" t="str">
        <f t="shared" si="76"/>
        <v>145</v>
      </c>
      <c r="N796" s="187">
        <f t="shared" si="77"/>
        <v>911</v>
      </c>
      <c r="O796" s="187" t="str">
        <f t="shared" si="78"/>
        <v>145-911</v>
      </c>
      <c r="Q796" s="679" t="s">
        <v>5980</v>
      </c>
    </row>
    <row r="797" spans="1:17">
      <c r="A797" s="788" t="s">
        <v>3178</v>
      </c>
      <c r="B797" s="187" t="s">
        <v>6114</v>
      </c>
      <c r="C797" s="215">
        <v>1384782</v>
      </c>
      <c r="D797" s="215">
        <v>6671777</v>
      </c>
      <c r="F797" s="215">
        <f t="shared" si="74"/>
        <v>6671777</v>
      </c>
      <c r="G797" s="215">
        <f t="shared" si="75"/>
        <v>8056559</v>
      </c>
      <c r="H797" s="680" t="s">
        <v>6153</v>
      </c>
      <c r="I797" s="679"/>
      <c r="J797" s="187" t="str">
        <f t="shared" si="73"/>
        <v>146-901</v>
      </c>
      <c r="K797" s="187">
        <v>146</v>
      </c>
      <c r="L797" s="187">
        <v>901</v>
      </c>
      <c r="M797" s="187" t="str">
        <f t="shared" si="76"/>
        <v>146</v>
      </c>
      <c r="N797" s="187">
        <f t="shared" si="77"/>
        <v>901</v>
      </c>
      <c r="O797" s="187" t="str">
        <f t="shared" si="78"/>
        <v>146-901</v>
      </c>
      <c r="Q797" s="679" t="s">
        <v>5981</v>
      </c>
    </row>
    <row r="798" spans="1:17">
      <c r="A798" s="788" t="s">
        <v>249</v>
      </c>
      <c r="B798" s="187" t="s">
        <v>994</v>
      </c>
      <c r="C798" s="215">
        <v>2054383</v>
      </c>
      <c r="D798" s="215">
        <v>12897876</v>
      </c>
      <c r="F798" s="215">
        <f t="shared" si="74"/>
        <v>12897876</v>
      </c>
      <c r="G798" s="215">
        <f t="shared" si="75"/>
        <v>14952259</v>
      </c>
      <c r="H798" s="680" t="s">
        <v>6153</v>
      </c>
      <c r="I798" s="679"/>
      <c r="J798" s="187" t="str">
        <f t="shared" si="73"/>
        <v>146-902</v>
      </c>
      <c r="K798" s="187">
        <v>146</v>
      </c>
      <c r="L798" s="187">
        <v>902</v>
      </c>
      <c r="M798" s="187" t="str">
        <f t="shared" si="76"/>
        <v>146</v>
      </c>
      <c r="N798" s="187">
        <f t="shared" si="77"/>
        <v>902</v>
      </c>
      <c r="O798" s="187" t="str">
        <f t="shared" si="78"/>
        <v>146-902</v>
      </c>
      <c r="Q798" s="679" t="s">
        <v>5982</v>
      </c>
    </row>
    <row r="799" spans="1:17">
      <c r="A799" s="788" t="s">
        <v>2323</v>
      </c>
      <c r="B799" s="187" t="s">
        <v>301</v>
      </c>
      <c r="C799" s="215">
        <v>159732</v>
      </c>
      <c r="D799" s="215">
        <v>4053028</v>
      </c>
      <c r="F799" s="215">
        <f t="shared" si="74"/>
        <v>4053028</v>
      </c>
      <c r="G799" s="215">
        <f t="shared" si="75"/>
        <v>4212760</v>
      </c>
      <c r="H799" s="680" t="s">
        <v>6153</v>
      </c>
      <c r="I799" s="679"/>
      <c r="J799" s="187" t="str">
        <f t="shared" si="73"/>
        <v>146-903</v>
      </c>
      <c r="K799" s="187">
        <v>146</v>
      </c>
      <c r="L799" s="187">
        <v>903</v>
      </c>
      <c r="M799" s="187" t="str">
        <f t="shared" si="76"/>
        <v>146</v>
      </c>
      <c r="N799" s="187">
        <f t="shared" si="77"/>
        <v>903</v>
      </c>
      <c r="O799" s="187" t="str">
        <f t="shared" si="78"/>
        <v>146-903</v>
      </c>
      <c r="Q799" s="679" t="s">
        <v>5983</v>
      </c>
    </row>
    <row r="800" spans="1:17">
      <c r="A800" s="788" t="s">
        <v>513</v>
      </c>
      <c r="B800" s="187" t="s">
        <v>3917</v>
      </c>
      <c r="C800" s="215">
        <v>0</v>
      </c>
      <c r="D800" s="215">
        <v>2265036</v>
      </c>
      <c r="E800" s="215">
        <v>109453</v>
      </c>
      <c r="F800" s="215">
        <f t="shared" si="74"/>
        <v>2374489</v>
      </c>
      <c r="G800" s="215">
        <f t="shared" si="75"/>
        <v>2374489</v>
      </c>
      <c r="H800" s="680" t="s">
        <v>6153</v>
      </c>
      <c r="I800" s="679"/>
      <c r="J800" s="187" t="str">
        <f t="shared" si="73"/>
        <v>146-904</v>
      </c>
      <c r="K800" s="187">
        <v>146</v>
      </c>
      <c r="L800" s="187">
        <v>904</v>
      </c>
      <c r="M800" s="187" t="str">
        <f t="shared" si="76"/>
        <v>146</v>
      </c>
      <c r="N800" s="187">
        <f t="shared" si="77"/>
        <v>904</v>
      </c>
      <c r="O800" s="187" t="str">
        <f t="shared" si="78"/>
        <v>146-904</v>
      </c>
      <c r="Q800" s="679" t="s">
        <v>5984</v>
      </c>
    </row>
    <row r="801" spans="1:17">
      <c r="A801" s="788" t="s">
        <v>1872</v>
      </c>
      <c r="B801" s="187" t="s">
        <v>3855</v>
      </c>
      <c r="C801" s="215">
        <v>194188</v>
      </c>
      <c r="D801" s="215">
        <v>3082257</v>
      </c>
      <c r="F801" s="215">
        <f t="shared" si="74"/>
        <v>3082257</v>
      </c>
      <c r="G801" s="215">
        <f t="shared" si="75"/>
        <v>3276445</v>
      </c>
      <c r="H801" s="680" t="s">
        <v>6153</v>
      </c>
      <c r="I801" s="679"/>
      <c r="J801" s="187" t="str">
        <f t="shared" si="73"/>
        <v>146-905</v>
      </c>
      <c r="K801" s="187">
        <v>146</v>
      </c>
      <c r="L801" s="187">
        <v>905</v>
      </c>
      <c r="M801" s="187" t="str">
        <f t="shared" si="76"/>
        <v>146</v>
      </c>
      <c r="N801" s="187">
        <f t="shared" si="77"/>
        <v>905</v>
      </c>
      <c r="O801" s="187" t="str">
        <f t="shared" si="78"/>
        <v>146-905</v>
      </c>
      <c r="Q801" s="679" t="s">
        <v>5985</v>
      </c>
    </row>
    <row r="802" spans="1:17">
      <c r="A802" s="788" t="s">
        <v>2325</v>
      </c>
      <c r="B802" s="187" t="s">
        <v>302</v>
      </c>
      <c r="C802" s="215">
        <v>1523852</v>
      </c>
      <c r="D802" s="215">
        <v>9226386</v>
      </c>
      <c r="F802" s="215">
        <f t="shared" si="74"/>
        <v>9226386</v>
      </c>
      <c r="G802" s="215">
        <f t="shared" si="75"/>
        <v>10750238</v>
      </c>
      <c r="H802" s="680" t="s">
        <v>6153</v>
      </c>
      <c r="I802" s="679"/>
      <c r="J802" s="187" t="str">
        <f t="shared" ref="J802:J865" si="79">+A802</f>
        <v>146-906</v>
      </c>
      <c r="K802" s="187">
        <v>146</v>
      </c>
      <c r="L802" s="187">
        <v>906</v>
      </c>
      <c r="M802" s="187" t="str">
        <f t="shared" si="76"/>
        <v>146</v>
      </c>
      <c r="N802" s="187">
        <f t="shared" si="77"/>
        <v>906</v>
      </c>
      <c r="O802" s="187" t="str">
        <f t="shared" si="78"/>
        <v>146-906</v>
      </c>
      <c r="Q802" s="679" t="s">
        <v>5986</v>
      </c>
    </row>
    <row r="803" spans="1:17">
      <c r="A803" s="788" t="s">
        <v>2327</v>
      </c>
      <c r="B803" s="187" t="s">
        <v>2163</v>
      </c>
      <c r="C803" s="215">
        <v>729120</v>
      </c>
      <c r="D803" s="215">
        <v>3651684</v>
      </c>
      <c r="F803" s="215">
        <f t="shared" si="74"/>
        <v>3651684</v>
      </c>
      <c r="G803" s="215">
        <f t="shared" si="75"/>
        <v>4380804</v>
      </c>
      <c r="H803" s="680" t="s">
        <v>6153</v>
      </c>
      <c r="I803" s="679"/>
      <c r="J803" s="187" t="str">
        <f t="shared" si="79"/>
        <v>146-907</v>
      </c>
      <c r="K803" s="187">
        <v>146</v>
      </c>
      <c r="L803" s="187">
        <v>907</v>
      </c>
      <c r="M803" s="187" t="str">
        <f t="shared" si="76"/>
        <v>146</v>
      </c>
      <c r="N803" s="187">
        <f t="shared" si="77"/>
        <v>907</v>
      </c>
      <c r="O803" s="187" t="str">
        <f t="shared" si="78"/>
        <v>146-907</v>
      </c>
      <c r="Q803" s="679" t="s">
        <v>5987</v>
      </c>
    </row>
    <row r="804" spans="1:17">
      <c r="A804" s="788" t="s">
        <v>5236</v>
      </c>
      <c r="B804" s="187" t="s">
        <v>2646</v>
      </c>
      <c r="C804" s="215">
        <v>34791</v>
      </c>
      <c r="D804" s="215">
        <v>333103</v>
      </c>
      <c r="F804" s="215">
        <f t="shared" si="74"/>
        <v>333103</v>
      </c>
      <c r="G804" s="215">
        <f t="shared" si="75"/>
        <v>367894</v>
      </c>
      <c r="H804" s="680" t="s">
        <v>6153</v>
      </c>
      <c r="I804" s="679"/>
      <c r="J804" s="187" t="str">
        <f t="shared" si="79"/>
        <v>147-901</v>
      </c>
      <c r="K804" s="187">
        <v>147</v>
      </c>
      <c r="L804" s="187">
        <v>901</v>
      </c>
      <c r="M804" s="187" t="str">
        <f t="shared" si="76"/>
        <v>147</v>
      </c>
      <c r="N804" s="187">
        <f t="shared" si="77"/>
        <v>901</v>
      </c>
      <c r="O804" s="187" t="str">
        <f t="shared" si="78"/>
        <v>147-901</v>
      </c>
      <c r="Q804" s="679" t="s">
        <v>5988</v>
      </c>
    </row>
    <row r="805" spans="1:17">
      <c r="A805" s="788" t="s">
        <v>7700</v>
      </c>
      <c r="B805" s="187" t="s">
        <v>2164</v>
      </c>
      <c r="C805" s="215">
        <v>0</v>
      </c>
      <c r="D805" s="215">
        <v>12621608</v>
      </c>
      <c r="F805" s="215">
        <f t="shared" si="74"/>
        <v>12621608</v>
      </c>
      <c r="G805" s="215">
        <f t="shared" si="75"/>
        <v>12621608</v>
      </c>
      <c r="H805" s="680" t="s">
        <v>6153</v>
      </c>
      <c r="I805" s="679"/>
      <c r="J805" s="187" t="str">
        <f t="shared" si="79"/>
        <v>147-902</v>
      </c>
      <c r="K805" s="187">
        <v>147</v>
      </c>
      <c r="L805" s="187">
        <v>902</v>
      </c>
      <c r="M805" s="187" t="str">
        <f t="shared" si="76"/>
        <v>147</v>
      </c>
      <c r="N805" s="187">
        <f t="shared" si="77"/>
        <v>902</v>
      </c>
      <c r="O805" s="187" t="str">
        <f t="shared" si="78"/>
        <v>147-902</v>
      </c>
      <c r="Q805" s="679" t="s">
        <v>5989</v>
      </c>
    </row>
    <row r="806" spans="1:17">
      <c r="A806" s="788" t="s">
        <v>7702</v>
      </c>
      <c r="B806" s="187" t="s">
        <v>2165</v>
      </c>
      <c r="C806" s="215">
        <v>191044</v>
      </c>
      <c r="D806" s="215">
        <v>4111352</v>
      </c>
      <c r="F806" s="215">
        <f t="shared" si="74"/>
        <v>4111352</v>
      </c>
      <c r="G806" s="215">
        <f t="shared" si="75"/>
        <v>4302396</v>
      </c>
      <c r="H806" s="680" t="s">
        <v>6153</v>
      </c>
      <c r="I806" s="679"/>
      <c r="J806" s="187" t="str">
        <f t="shared" si="79"/>
        <v>147-903</v>
      </c>
      <c r="K806" s="187">
        <v>147</v>
      </c>
      <c r="L806" s="187">
        <v>903</v>
      </c>
      <c r="M806" s="187" t="str">
        <f t="shared" si="76"/>
        <v>147</v>
      </c>
      <c r="N806" s="187">
        <f t="shared" si="77"/>
        <v>903</v>
      </c>
      <c r="O806" s="187" t="str">
        <f t="shared" si="78"/>
        <v>147-903</v>
      </c>
      <c r="Q806" s="679" t="s">
        <v>5990</v>
      </c>
    </row>
    <row r="807" spans="1:17">
      <c r="A807" s="788" t="s">
        <v>7704</v>
      </c>
      <c r="B807" s="187" t="s">
        <v>2166</v>
      </c>
      <c r="C807" s="215">
        <v>74239</v>
      </c>
      <c r="D807" s="215">
        <v>1723684</v>
      </c>
      <c r="F807" s="215">
        <f t="shared" si="74"/>
        <v>1723684</v>
      </c>
      <c r="G807" s="215">
        <f t="shared" si="75"/>
        <v>1797923</v>
      </c>
      <c r="H807" s="680" t="s">
        <v>6153</v>
      </c>
      <c r="I807" s="679"/>
      <c r="J807" s="187" t="str">
        <f t="shared" si="79"/>
        <v>148-901</v>
      </c>
      <c r="K807" s="187">
        <v>148</v>
      </c>
      <c r="L807" s="187">
        <v>901</v>
      </c>
      <c r="M807" s="187" t="str">
        <f t="shared" si="76"/>
        <v>148</v>
      </c>
      <c r="N807" s="187">
        <f t="shared" si="77"/>
        <v>901</v>
      </c>
      <c r="O807" s="187" t="str">
        <f t="shared" si="78"/>
        <v>148-901</v>
      </c>
      <c r="Q807" s="679" t="s">
        <v>5991</v>
      </c>
    </row>
    <row r="808" spans="1:17">
      <c r="A808" s="788" t="s">
        <v>5634</v>
      </c>
      <c r="B808" s="187" t="s">
        <v>2167</v>
      </c>
      <c r="C808" s="215">
        <v>0</v>
      </c>
      <c r="D808" s="215">
        <v>2041697</v>
      </c>
      <c r="F808" s="215">
        <f t="shared" si="74"/>
        <v>2041697</v>
      </c>
      <c r="G808" s="215">
        <f t="shared" si="75"/>
        <v>2041697</v>
      </c>
      <c r="H808" s="680" t="s">
        <v>6153</v>
      </c>
      <c r="I808" s="679"/>
      <c r="J808" s="187" t="str">
        <f t="shared" si="79"/>
        <v>148-902</v>
      </c>
      <c r="K808" s="187">
        <v>148</v>
      </c>
      <c r="L808" s="187">
        <v>902</v>
      </c>
      <c r="M808" s="187" t="str">
        <f t="shared" si="76"/>
        <v>148</v>
      </c>
      <c r="N808" s="187">
        <f t="shared" si="77"/>
        <v>902</v>
      </c>
      <c r="O808" s="187" t="str">
        <f t="shared" si="78"/>
        <v>148-902</v>
      </c>
      <c r="Q808" s="679" t="s">
        <v>5992</v>
      </c>
    </row>
    <row r="809" spans="1:17">
      <c r="A809" s="788" t="s">
        <v>5636</v>
      </c>
      <c r="B809" s="187" t="s">
        <v>2168</v>
      </c>
      <c r="C809" s="215">
        <v>0</v>
      </c>
      <c r="D809" s="215">
        <v>1429540</v>
      </c>
      <c r="F809" s="215">
        <f t="shared" si="74"/>
        <v>1429540</v>
      </c>
      <c r="G809" s="215">
        <f t="shared" si="75"/>
        <v>1429540</v>
      </c>
      <c r="H809" s="680" t="s">
        <v>6153</v>
      </c>
      <c r="I809" s="679"/>
      <c r="J809" s="187" t="str">
        <f t="shared" si="79"/>
        <v>148-903</v>
      </c>
      <c r="K809" s="187">
        <v>148</v>
      </c>
      <c r="L809" s="187">
        <v>903</v>
      </c>
      <c r="M809" s="187" t="str">
        <f t="shared" si="76"/>
        <v>148</v>
      </c>
      <c r="N809" s="187">
        <f t="shared" si="77"/>
        <v>903</v>
      </c>
      <c r="O809" s="187" t="str">
        <f t="shared" si="78"/>
        <v>148-903</v>
      </c>
      <c r="Q809" s="679" t="s">
        <v>5993</v>
      </c>
    </row>
    <row r="810" spans="1:17">
      <c r="A810" s="788" t="s">
        <v>4016</v>
      </c>
      <c r="B810" s="187" t="s">
        <v>2169</v>
      </c>
      <c r="C810" s="215">
        <v>0</v>
      </c>
      <c r="D810" s="215">
        <v>1880868</v>
      </c>
      <c r="F810" s="215">
        <f t="shared" si="74"/>
        <v>1880868</v>
      </c>
      <c r="G810" s="215">
        <f t="shared" si="75"/>
        <v>1880868</v>
      </c>
      <c r="H810" s="680" t="s">
        <v>6153</v>
      </c>
      <c r="I810" s="679"/>
      <c r="J810" s="187" t="str">
        <f t="shared" si="79"/>
        <v>148-905</v>
      </c>
      <c r="K810" s="187">
        <v>148</v>
      </c>
      <c r="L810" s="187">
        <v>905</v>
      </c>
      <c r="M810" s="187" t="str">
        <f t="shared" si="76"/>
        <v>148</v>
      </c>
      <c r="N810" s="187">
        <f t="shared" si="77"/>
        <v>905</v>
      </c>
      <c r="O810" s="187" t="str">
        <f t="shared" si="78"/>
        <v>148-905</v>
      </c>
      <c r="Q810" s="679" t="s">
        <v>5994</v>
      </c>
    </row>
    <row r="811" spans="1:17">
      <c r="A811" s="788" t="s">
        <v>4018</v>
      </c>
      <c r="B811" s="187" t="s">
        <v>2170</v>
      </c>
      <c r="C811" s="215">
        <v>0</v>
      </c>
      <c r="D811" s="215">
        <v>4758147</v>
      </c>
      <c r="F811" s="215">
        <f t="shared" si="74"/>
        <v>4758147</v>
      </c>
      <c r="G811" s="215">
        <f t="shared" si="75"/>
        <v>4758147</v>
      </c>
      <c r="H811" s="680" t="s">
        <v>6153</v>
      </c>
      <c r="I811" s="679"/>
      <c r="J811" s="187" t="str">
        <f t="shared" si="79"/>
        <v>149-901</v>
      </c>
      <c r="K811" s="187">
        <v>149</v>
      </c>
      <c r="L811" s="187">
        <v>901</v>
      </c>
      <c r="M811" s="187" t="str">
        <f t="shared" si="76"/>
        <v>149</v>
      </c>
      <c r="N811" s="187">
        <f t="shared" si="77"/>
        <v>901</v>
      </c>
      <c r="O811" s="187" t="str">
        <f t="shared" si="78"/>
        <v>149-901</v>
      </c>
      <c r="Q811" s="679" t="s">
        <v>5995</v>
      </c>
    </row>
    <row r="812" spans="1:17">
      <c r="A812" s="788" t="s">
        <v>4020</v>
      </c>
      <c r="B812" s="187" t="s">
        <v>5648</v>
      </c>
      <c r="C812" s="215">
        <v>258699</v>
      </c>
      <c r="D812" s="215">
        <v>4216597</v>
      </c>
      <c r="F812" s="215">
        <f t="shared" si="74"/>
        <v>4216597</v>
      </c>
      <c r="G812" s="215">
        <f t="shared" si="75"/>
        <v>4475296</v>
      </c>
      <c r="H812" s="680" t="s">
        <v>6153</v>
      </c>
      <c r="I812" s="679"/>
      <c r="J812" s="187" t="str">
        <f t="shared" si="79"/>
        <v>149-902</v>
      </c>
      <c r="K812" s="187">
        <v>149</v>
      </c>
      <c r="L812" s="187">
        <v>902</v>
      </c>
      <c r="M812" s="187" t="str">
        <f t="shared" si="76"/>
        <v>149</v>
      </c>
      <c r="N812" s="187">
        <f t="shared" si="77"/>
        <v>902</v>
      </c>
      <c r="O812" s="187" t="str">
        <f t="shared" si="78"/>
        <v>149-902</v>
      </c>
      <c r="Q812" s="679" t="s">
        <v>5996</v>
      </c>
    </row>
    <row r="813" spans="1:17">
      <c r="A813" s="788" t="s">
        <v>4022</v>
      </c>
      <c r="B813" s="187" t="s">
        <v>5649</v>
      </c>
      <c r="C813" s="215">
        <v>1552790</v>
      </c>
      <c r="D813" s="215">
        <v>22683806</v>
      </c>
      <c r="F813" s="215">
        <f t="shared" si="74"/>
        <v>22683806</v>
      </c>
      <c r="G813" s="215">
        <f t="shared" si="75"/>
        <v>24236596</v>
      </c>
      <c r="H813" s="680" t="s">
        <v>6153</v>
      </c>
      <c r="I813" s="679"/>
      <c r="J813" s="187" t="str">
        <f t="shared" si="79"/>
        <v>150-901</v>
      </c>
      <c r="K813" s="187">
        <v>150</v>
      </c>
      <c r="L813" s="187">
        <v>901</v>
      </c>
      <c r="M813" s="187" t="str">
        <f t="shared" si="76"/>
        <v>150</v>
      </c>
      <c r="N813" s="187">
        <f t="shared" si="77"/>
        <v>901</v>
      </c>
      <c r="O813" s="187" t="str">
        <f t="shared" si="78"/>
        <v>150-901</v>
      </c>
      <c r="Q813" s="679" t="s">
        <v>5997</v>
      </c>
    </row>
    <row r="814" spans="1:17">
      <c r="A814" s="788" t="s">
        <v>1139</v>
      </c>
      <c r="B814" s="187" t="s">
        <v>1140</v>
      </c>
      <c r="C814" s="215">
        <v>0</v>
      </c>
      <c r="D814" s="215">
        <v>0</v>
      </c>
      <c r="F814" s="215">
        <f t="shared" si="74"/>
        <v>0</v>
      </c>
      <c r="G814" s="215">
        <f t="shared" si="75"/>
        <v>0</v>
      </c>
      <c r="H814" s="680" t="s">
        <v>6153</v>
      </c>
      <c r="I814" s="679"/>
      <c r="J814" s="187" t="str">
        <f t="shared" si="79"/>
        <v>152-801</v>
      </c>
      <c r="K814" s="187">
        <v>152</v>
      </c>
      <c r="L814" s="187">
        <v>801</v>
      </c>
      <c r="M814" s="187" t="str">
        <f t="shared" si="76"/>
        <v>152</v>
      </c>
      <c r="N814" s="187">
        <f t="shared" si="77"/>
        <v>801</v>
      </c>
      <c r="O814" s="187" t="str">
        <f t="shared" si="78"/>
        <v>152-801</v>
      </c>
      <c r="Q814" s="679" t="s">
        <v>6429</v>
      </c>
    </row>
    <row r="815" spans="1:17">
      <c r="A815" s="788" t="s">
        <v>4024</v>
      </c>
      <c r="B815" s="187" t="s">
        <v>4025</v>
      </c>
      <c r="C815" s="215">
        <v>0</v>
      </c>
      <c r="D815" s="215">
        <v>0</v>
      </c>
      <c r="F815" s="215">
        <f t="shared" si="74"/>
        <v>0</v>
      </c>
      <c r="G815" s="215">
        <f t="shared" si="75"/>
        <v>0</v>
      </c>
      <c r="H815" s="680" t="s">
        <v>6153</v>
      </c>
      <c r="I815" s="679"/>
      <c r="J815" s="187" t="str">
        <f t="shared" si="79"/>
        <v>152-802</v>
      </c>
      <c r="K815" s="187">
        <v>152</v>
      </c>
      <c r="L815" s="187">
        <v>802</v>
      </c>
      <c r="M815" s="187" t="str">
        <f t="shared" si="76"/>
        <v>152</v>
      </c>
      <c r="N815" s="187">
        <f t="shared" si="77"/>
        <v>802</v>
      </c>
      <c r="O815" s="187" t="str">
        <f t="shared" si="78"/>
        <v>152-802</v>
      </c>
      <c r="Q815" s="679" t="s">
        <v>6430</v>
      </c>
    </row>
    <row r="816" spans="1:17">
      <c r="A816" s="788" t="s">
        <v>1141</v>
      </c>
      <c r="B816" s="187" t="s">
        <v>1142</v>
      </c>
      <c r="C816" s="215">
        <v>0</v>
      </c>
      <c r="D816" s="215">
        <v>0</v>
      </c>
      <c r="F816" s="215">
        <f t="shared" si="74"/>
        <v>0</v>
      </c>
      <c r="G816" s="215">
        <f t="shared" si="75"/>
        <v>0</v>
      </c>
      <c r="H816" s="680" t="s">
        <v>6153</v>
      </c>
      <c r="I816" s="679"/>
      <c r="J816" s="187" t="str">
        <f t="shared" si="79"/>
        <v>152-803</v>
      </c>
      <c r="K816" s="187">
        <v>152</v>
      </c>
      <c r="L816" s="187">
        <v>803</v>
      </c>
      <c r="M816" s="187" t="str">
        <f t="shared" si="76"/>
        <v>152</v>
      </c>
      <c r="N816" s="187">
        <f t="shared" si="77"/>
        <v>803</v>
      </c>
      <c r="O816" s="187" t="str">
        <f t="shared" si="78"/>
        <v>152-803</v>
      </c>
      <c r="Q816" s="679" t="s">
        <v>6431</v>
      </c>
    </row>
    <row r="817" spans="1:17">
      <c r="A817" s="788" t="s">
        <v>4026</v>
      </c>
      <c r="B817" s="187" t="s">
        <v>1143</v>
      </c>
      <c r="C817" s="215">
        <v>0</v>
      </c>
      <c r="D817" s="215">
        <v>0</v>
      </c>
      <c r="F817" s="215">
        <f t="shared" si="74"/>
        <v>0</v>
      </c>
      <c r="G817" s="215">
        <f t="shared" si="75"/>
        <v>0</v>
      </c>
      <c r="H817" s="680" t="s">
        <v>6153</v>
      </c>
      <c r="I817" s="679"/>
      <c r="J817" s="187" t="str">
        <f t="shared" si="79"/>
        <v>152-804</v>
      </c>
      <c r="K817" s="187">
        <v>152</v>
      </c>
      <c r="L817" s="187">
        <v>804</v>
      </c>
      <c r="M817" s="187" t="str">
        <f t="shared" si="76"/>
        <v>152</v>
      </c>
      <c r="N817" s="187">
        <f t="shared" si="77"/>
        <v>804</v>
      </c>
      <c r="O817" s="187" t="str">
        <f t="shared" si="78"/>
        <v>152-804</v>
      </c>
      <c r="Q817" s="679" t="s">
        <v>6432</v>
      </c>
    </row>
    <row r="818" spans="1:17">
      <c r="A818" s="788" t="s">
        <v>2996</v>
      </c>
      <c r="B818" s="187" t="s">
        <v>202</v>
      </c>
      <c r="C818" s="215">
        <v>6924150</v>
      </c>
      <c r="D818" s="215">
        <v>98298298</v>
      </c>
      <c r="F818" s="215">
        <f t="shared" si="74"/>
        <v>98298298</v>
      </c>
      <c r="G818" s="215">
        <f t="shared" si="75"/>
        <v>105222448</v>
      </c>
      <c r="H818" s="680" t="s">
        <v>6153</v>
      </c>
      <c r="I818" s="679"/>
      <c r="J818" s="187" t="str">
        <f t="shared" si="79"/>
        <v>152-901</v>
      </c>
      <c r="K818" s="187">
        <v>152</v>
      </c>
      <c r="L818" s="187">
        <v>901</v>
      </c>
      <c r="M818" s="187" t="str">
        <f t="shared" si="76"/>
        <v>152</v>
      </c>
      <c r="N818" s="187">
        <f t="shared" si="77"/>
        <v>901</v>
      </c>
      <c r="O818" s="187" t="str">
        <f t="shared" si="78"/>
        <v>152-901</v>
      </c>
      <c r="Q818" s="679" t="s">
        <v>6000</v>
      </c>
    </row>
    <row r="819" spans="1:17">
      <c r="A819" s="788" t="s">
        <v>4028</v>
      </c>
      <c r="B819" s="187" t="s">
        <v>5650</v>
      </c>
      <c r="C819" s="215">
        <v>0</v>
      </c>
      <c r="D819" s="215">
        <v>1812678</v>
      </c>
      <c r="F819" s="215">
        <f t="shared" si="74"/>
        <v>1812678</v>
      </c>
      <c r="G819" s="215">
        <f t="shared" si="75"/>
        <v>1812678</v>
      </c>
      <c r="H819" s="680" t="s">
        <v>6153</v>
      </c>
      <c r="I819" s="679"/>
      <c r="J819" s="187" t="str">
        <f t="shared" si="79"/>
        <v>152-902</v>
      </c>
      <c r="K819" s="187">
        <v>152</v>
      </c>
      <c r="L819" s="187">
        <v>902</v>
      </c>
      <c r="M819" s="187" t="str">
        <f t="shared" si="76"/>
        <v>152</v>
      </c>
      <c r="N819" s="187">
        <f t="shared" si="77"/>
        <v>902</v>
      </c>
      <c r="O819" s="187" t="str">
        <f t="shared" si="78"/>
        <v>152-902</v>
      </c>
      <c r="Q819" s="679" t="s">
        <v>6001</v>
      </c>
    </row>
    <row r="820" spans="1:17">
      <c r="A820" s="788" t="s">
        <v>4030</v>
      </c>
      <c r="B820" s="187" t="s">
        <v>5651</v>
      </c>
      <c r="C820" s="215">
        <v>211456</v>
      </c>
      <c r="D820" s="215">
        <v>3156384</v>
      </c>
      <c r="F820" s="215">
        <f t="shared" si="74"/>
        <v>3156384</v>
      </c>
      <c r="G820" s="215">
        <f t="shared" si="75"/>
        <v>3367840</v>
      </c>
      <c r="H820" s="680" t="s">
        <v>6153</v>
      </c>
      <c r="I820" s="679"/>
      <c r="J820" s="187" t="str">
        <f t="shared" si="79"/>
        <v>152-903</v>
      </c>
      <c r="K820" s="187">
        <v>152</v>
      </c>
      <c r="L820" s="187">
        <v>903</v>
      </c>
      <c r="M820" s="187" t="str">
        <f t="shared" si="76"/>
        <v>152</v>
      </c>
      <c r="N820" s="187">
        <f t="shared" si="77"/>
        <v>903</v>
      </c>
      <c r="O820" s="187" t="str">
        <f t="shared" si="78"/>
        <v>152-903</v>
      </c>
      <c r="Q820" s="679" t="s">
        <v>6536</v>
      </c>
    </row>
    <row r="821" spans="1:17">
      <c r="A821" s="788" t="s">
        <v>2903</v>
      </c>
      <c r="B821" s="187" t="s">
        <v>203</v>
      </c>
      <c r="C821" s="215">
        <v>738688</v>
      </c>
      <c r="D821" s="215">
        <v>8398139</v>
      </c>
      <c r="F821" s="215">
        <f t="shared" si="74"/>
        <v>8398139</v>
      </c>
      <c r="G821" s="215">
        <f t="shared" si="75"/>
        <v>9136827</v>
      </c>
      <c r="H821" s="680" t="s">
        <v>6153</v>
      </c>
      <c r="I821" s="679"/>
      <c r="J821" s="187" t="str">
        <f t="shared" si="79"/>
        <v>152-906</v>
      </c>
      <c r="K821" s="187">
        <v>152</v>
      </c>
      <c r="L821" s="187">
        <v>906</v>
      </c>
      <c r="M821" s="187" t="str">
        <f t="shared" si="76"/>
        <v>152</v>
      </c>
      <c r="N821" s="187">
        <f t="shared" si="77"/>
        <v>906</v>
      </c>
      <c r="O821" s="187" t="str">
        <f t="shared" si="78"/>
        <v>152-906</v>
      </c>
      <c r="Q821" s="679" t="s">
        <v>6537</v>
      </c>
    </row>
    <row r="822" spans="1:17">
      <c r="A822" s="788" t="s">
        <v>1310</v>
      </c>
      <c r="B822" s="187" t="s">
        <v>115</v>
      </c>
      <c r="C822" s="215">
        <v>3571040</v>
      </c>
      <c r="D822" s="215">
        <v>18729262</v>
      </c>
      <c r="F822" s="215">
        <f t="shared" si="74"/>
        <v>18729262</v>
      </c>
      <c r="G822" s="215">
        <f t="shared" si="75"/>
        <v>22300302</v>
      </c>
      <c r="H822" s="680" t="s">
        <v>6153</v>
      </c>
      <c r="I822" s="679"/>
      <c r="J822" s="187" t="str">
        <f t="shared" si="79"/>
        <v>152-907</v>
      </c>
      <c r="K822" s="187">
        <v>152</v>
      </c>
      <c r="L822" s="187">
        <v>907</v>
      </c>
      <c r="M822" s="187" t="str">
        <f t="shared" si="76"/>
        <v>152</v>
      </c>
      <c r="N822" s="187">
        <f t="shared" si="77"/>
        <v>907</v>
      </c>
      <c r="O822" s="187" t="str">
        <f t="shared" si="78"/>
        <v>152-907</v>
      </c>
      <c r="Q822" s="679" t="s">
        <v>6538</v>
      </c>
    </row>
    <row r="823" spans="1:17">
      <c r="A823" s="788" t="s">
        <v>4032</v>
      </c>
      <c r="B823" s="187" t="s">
        <v>5652</v>
      </c>
      <c r="C823" s="215">
        <v>0</v>
      </c>
      <c r="D823" s="215">
        <v>1991257</v>
      </c>
      <c r="F823" s="215">
        <f t="shared" si="74"/>
        <v>1991257</v>
      </c>
      <c r="G823" s="215">
        <f t="shared" si="75"/>
        <v>1991257</v>
      </c>
      <c r="H823" s="680" t="s">
        <v>6153</v>
      </c>
      <c r="I823" s="679"/>
      <c r="J823" s="187" t="str">
        <f t="shared" si="79"/>
        <v>152-908</v>
      </c>
      <c r="K823" s="187">
        <v>152</v>
      </c>
      <c r="L823" s="187">
        <v>908</v>
      </c>
      <c r="M823" s="187" t="str">
        <f t="shared" si="76"/>
        <v>152</v>
      </c>
      <c r="N823" s="187">
        <f t="shared" si="77"/>
        <v>908</v>
      </c>
      <c r="O823" s="187" t="str">
        <f t="shared" si="78"/>
        <v>152-908</v>
      </c>
      <c r="Q823" s="679" t="s">
        <v>6539</v>
      </c>
    </row>
    <row r="824" spans="1:17">
      <c r="A824" s="788" t="s">
        <v>2397</v>
      </c>
      <c r="B824" s="187" t="s">
        <v>1464</v>
      </c>
      <c r="C824" s="215">
        <v>255477</v>
      </c>
      <c r="D824" s="215">
        <v>1743418</v>
      </c>
      <c r="F824" s="215">
        <f t="shared" si="74"/>
        <v>1743418</v>
      </c>
      <c r="G824" s="215">
        <f t="shared" si="75"/>
        <v>1998895</v>
      </c>
      <c r="H824" s="680" t="s">
        <v>6153</v>
      </c>
      <c r="I824" s="679"/>
      <c r="J824" s="187" t="str">
        <f t="shared" si="79"/>
        <v>152-909</v>
      </c>
      <c r="K824" s="187">
        <v>152</v>
      </c>
      <c r="L824" s="187">
        <v>909</v>
      </c>
      <c r="M824" s="187" t="str">
        <f t="shared" si="76"/>
        <v>152</v>
      </c>
      <c r="N824" s="187">
        <f t="shared" si="77"/>
        <v>909</v>
      </c>
      <c r="O824" s="187" t="str">
        <f t="shared" si="78"/>
        <v>152-909</v>
      </c>
      <c r="Q824" s="679" t="s">
        <v>6540</v>
      </c>
    </row>
    <row r="825" spans="1:17">
      <c r="A825" s="788" t="s">
        <v>669</v>
      </c>
      <c r="B825" s="187" t="s">
        <v>5653</v>
      </c>
      <c r="C825" s="215">
        <v>112893</v>
      </c>
      <c r="D825" s="215">
        <v>1668296</v>
      </c>
      <c r="F825" s="215">
        <f t="shared" si="74"/>
        <v>1668296</v>
      </c>
      <c r="G825" s="215">
        <f t="shared" si="75"/>
        <v>1781189</v>
      </c>
      <c r="H825" s="680" t="s">
        <v>6153</v>
      </c>
      <c r="I825" s="679"/>
      <c r="J825" s="187" t="str">
        <f t="shared" si="79"/>
        <v>152-910</v>
      </c>
      <c r="K825" s="187">
        <v>152</v>
      </c>
      <c r="L825" s="187">
        <v>910</v>
      </c>
      <c r="M825" s="187" t="str">
        <f t="shared" si="76"/>
        <v>152</v>
      </c>
      <c r="N825" s="187">
        <f t="shared" si="77"/>
        <v>910</v>
      </c>
      <c r="O825" s="187" t="str">
        <f t="shared" si="78"/>
        <v>152-910</v>
      </c>
      <c r="Q825" s="679" t="s">
        <v>6541</v>
      </c>
    </row>
    <row r="826" spans="1:17">
      <c r="A826" s="788" t="s">
        <v>1144</v>
      </c>
      <c r="B826" s="187" t="s">
        <v>1145</v>
      </c>
      <c r="C826" s="215">
        <v>0</v>
      </c>
      <c r="D826" s="215">
        <v>0</v>
      </c>
      <c r="F826" s="215">
        <f t="shared" si="74"/>
        <v>0</v>
      </c>
      <c r="G826" s="215">
        <f t="shared" si="75"/>
        <v>0</v>
      </c>
      <c r="H826" s="680" t="s">
        <v>6153</v>
      </c>
      <c r="I826" s="679"/>
      <c r="J826" s="187" t="str">
        <f t="shared" si="79"/>
        <v>152-950</v>
      </c>
      <c r="K826" s="187">
        <v>152</v>
      </c>
      <c r="L826" s="187">
        <v>950</v>
      </c>
      <c r="M826" s="187" t="str">
        <f t="shared" si="76"/>
        <v>152</v>
      </c>
      <c r="N826" s="187">
        <f t="shared" si="77"/>
        <v>950</v>
      </c>
      <c r="O826" s="187" t="str">
        <f t="shared" si="78"/>
        <v>152-950</v>
      </c>
      <c r="Q826" s="679" t="s">
        <v>6433</v>
      </c>
    </row>
    <row r="827" spans="1:17">
      <c r="A827" s="788" t="s">
        <v>4151</v>
      </c>
      <c r="B827" s="187" t="s">
        <v>5654</v>
      </c>
      <c r="C827" s="215">
        <v>56585</v>
      </c>
      <c r="D827" s="215">
        <v>788204</v>
      </c>
      <c r="F827" s="215">
        <f t="shared" si="74"/>
        <v>788204</v>
      </c>
      <c r="G827" s="215">
        <f t="shared" si="75"/>
        <v>844789</v>
      </c>
      <c r="H827" s="680" t="s">
        <v>6153</v>
      </c>
      <c r="I827" s="679"/>
      <c r="J827" s="187" t="str">
        <f t="shared" si="79"/>
        <v>153-903</v>
      </c>
      <c r="K827" s="187">
        <v>153</v>
      </c>
      <c r="L827" s="187">
        <v>903</v>
      </c>
      <c r="M827" s="187" t="str">
        <f t="shared" si="76"/>
        <v>153</v>
      </c>
      <c r="N827" s="187">
        <f t="shared" si="77"/>
        <v>903</v>
      </c>
      <c r="O827" s="187" t="str">
        <f t="shared" si="78"/>
        <v>153-903</v>
      </c>
      <c r="Q827" s="679" t="s">
        <v>6542</v>
      </c>
    </row>
    <row r="828" spans="1:17">
      <c r="A828" s="788" t="s">
        <v>4153</v>
      </c>
      <c r="B828" s="187" t="s">
        <v>3100</v>
      </c>
      <c r="C828" s="215">
        <v>0</v>
      </c>
      <c r="D828" s="215">
        <v>1159090</v>
      </c>
      <c r="F828" s="215">
        <f t="shared" si="74"/>
        <v>1159090</v>
      </c>
      <c r="G828" s="215">
        <f t="shared" si="75"/>
        <v>1159090</v>
      </c>
      <c r="H828" s="680" t="s">
        <v>6153</v>
      </c>
      <c r="I828" s="679"/>
      <c r="J828" s="187" t="str">
        <f t="shared" si="79"/>
        <v>153-904</v>
      </c>
      <c r="K828" s="187">
        <v>153</v>
      </c>
      <c r="L828" s="187">
        <v>904</v>
      </c>
      <c r="M828" s="187" t="str">
        <f t="shared" si="76"/>
        <v>153</v>
      </c>
      <c r="N828" s="187">
        <f t="shared" si="77"/>
        <v>904</v>
      </c>
      <c r="O828" s="187" t="str">
        <f t="shared" si="78"/>
        <v>153-904</v>
      </c>
      <c r="Q828" s="679" t="s">
        <v>6543</v>
      </c>
    </row>
    <row r="829" spans="1:17">
      <c r="A829" s="788" t="s">
        <v>4155</v>
      </c>
      <c r="B829" s="187" t="s">
        <v>3101</v>
      </c>
      <c r="C829" s="215">
        <v>34990</v>
      </c>
      <c r="D829" s="215">
        <v>464868</v>
      </c>
      <c r="F829" s="215">
        <f t="shared" si="74"/>
        <v>464868</v>
      </c>
      <c r="G829" s="215">
        <f t="shared" si="75"/>
        <v>499858</v>
      </c>
      <c r="H829" s="680" t="s">
        <v>6153</v>
      </c>
      <c r="I829" s="679"/>
      <c r="J829" s="187" t="str">
        <f t="shared" si="79"/>
        <v>153-905</v>
      </c>
      <c r="K829" s="187">
        <v>153</v>
      </c>
      <c r="L829" s="187">
        <v>905</v>
      </c>
      <c r="M829" s="187" t="str">
        <f t="shared" si="76"/>
        <v>153</v>
      </c>
      <c r="N829" s="187">
        <f t="shared" si="77"/>
        <v>905</v>
      </c>
      <c r="O829" s="187" t="str">
        <f t="shared" si="78"/>
        <v>153-905</v>
      </c>
      <c r="Q829" s="679" t="s">
        <v>6544</v>
      </c>
    </row>
    <row r="830" spans="1:17">
      <c r="A830" s="788" t="s">
        <v>4157</v>
      </c>
      <c r="B830" s="187" t="s">
        <v>3102</v>
      </c>
      <c r="C830" s="215">
        <v>27730</v>
      </c>
      <c r="D830" s="215">
        <v>430524</v>
      </c>
      <c r="F830" s="215">
        <f t="shared" si="74"/>
        <v>430524</v>
      </c>
      <c r="G830" s="215">
        <f t="shared" si="75"/>
        <v>458254</v>
      </c>
      <c r="H830" s="680" t="s">
        <v>6153</v>
      </c>
      <c r="I830" s="679"/>
      <c r="J830" s="187" t="str">
        <f t="shared" si="79"/>
        <v>153-907</v>
      </c>
      <c r="K830" s="187">
        <v>153</v>
      </c>
      <c r="L830" s="187">
        <v>907</v>
      </c>
      <c r="M830" s="187" t="str">
        <f t="shared" si="76"/>
        <v>153</v>
      </c>
      <c r="N830" s="187">
        <f t="shared" si="77"/>
        <v>907</v>
      </c>
      <c r="O830" s="187" t="str">
        <f t="shared" si="78"/>
        <v>153-907</v>
      </c>
      <c r="Q830" s="679" t="s">
        <v>6545</v>
      </c>
    </row>
    <row r="831" spans="1:17">
      <c r="A831" s="788" t="s">
        <v>3000</v>
      </c>
      <c r="B831" s="187" t="s">
        <v>6059</v>
      </c>
      <c r="C831" s="215">
        <v>536725</v>
      </c>
      <c r="D831" s="215">
        <v>4379686</v>
      </c>
      <c r="F831" s="215">
        <f t="shared" si="74"/>
        <v>4379686</v>
      </c>
      <c r="G831" s="215">
        <f t="shared" si="75"/>
        <v>4916411</v>
      </c>
      <c r="H831" s="680" t="s">
        <v>6153</v>
      </c>
      <c r="I831" s="679"/>
      <c r="J831" s="187" t="str">
        <f t="shared" si="79"/>
        <v>154-901</v>
      </c>
      <c r="K831" s="187">
        <v>154</v>
      </c>
      <c r="L831" s="187">
        <v>901</v>
      </c>
      <c r="M831" s="187" t="str">
        <f t="shared" si="76"/>
        <v>154</v>
      </c>
      <c r="N831" s="187">
        <f t="shared" si="77"/>
        <v>901</v>
      </c>
      <c r="O831" s="187" t="str">
        <f t="shared" si="78"/>
        <v>154-901</v>
      </c>
      <c r="Q831" s="679" t="s">
        <v>6546</v>
      </c>
    </row>
    <row r="832" spans="1:17">
      <c r="A832" s="788" t="s">
        <v>4159</v>
      </c>
      <c r="B832" s="187" t="s">
        <v>3103</v>
      </c>
      <c r="C832" s="215">
        <v>412</v>
      </c>
      <c r="D832" s="215">
        <v>1251993</v>
      </c>
      <c r="F832" s="215">
        <f t="shared" si="74"/>
        <v>1251993</v>
      </c>
      <c r="G832" s="215">
        <f t="shared" si="75"/>
        <v>1252405</v>
      </c>
      <c r="H832" s="680" t="s">
        <v>6153</v>
      </c>
      <c r="I832" s="679"/>
      <c r="J832" s="187" t="str">
        <f t="shared" si="79"/>
        <v>154-903</v>
      </c>
      <c r="K832" s="187">
        <v>154</v>
      </c>
      <c r="L832" s="187">
        <v>903</v>
      </c>
      <c r="M832" s="187" t="str">
        <f t="shared" si="76"/>
        <v>154</v>
      </c>
      <c r="N832" s="187">
        <f t="shared" si="77"/>
        <v>903</v>
      </c>
      <c r="O832" s="187" t="str">
        <f t="shared" si="78"/>
        <v>154-903</v>
      </c>
      <c r="Q832" s="679" t="s">
        <v>6548</v>
      </c>
    </row>
    <row r="833" spans="1:17">
      <c r="A833" s="788" t="s">
        <v>6434</v>
      </c>
      <c r="B833" s="187" t="s">
        <v>6435</v>
      </c>
      <c r="C833" s="215">
        <v>0</v>
      </c>
      <c r="D833" s="215">
        <v>0</v>
      </c>
      <c r="F833" s="215">
        <f t="shared" si="74"/>
        <v>0</v>
      </c>
      <c r="G833" s="215">
        <f t="shared" si="75"/>
        <v>0</v>
      </c>
      <c r="H833" s="680" t="s">
        <v>6153</v>
      </c>
      <c r="I833" s="679"/>
      <c r="J833" s="187" t="str">
        <f t="shared" si="79"/>
        <v>155-801</v>
      </c>
      <c r="K833" s="187">
        <v>155</v>
      </c>
      <c r="L833" s="187">
        <v>801</v>
      </c>
      <c r="M833" s="187" t="str">
        <f t="shared" si="76"/>
        <v>155</v>
      </c>
      <c r="N833" s="187">
        <f t="shared" si="77"/>
        <v>801</v>
      </c>
      <c r="O833" s="187" t="str">
        <f t="shared" si="78"/>
        <v>155-801</v>
      </c>
      <c r="Q833" s="679" t="s">
        <v>6436</v>
      </c>
    </row>
    <row r="834" spans="1:17">
      <c r="A834" s="788" t="s">
        <v>4161</v>
      </c>
      <c r="B834" s="187" t="s">
        <v>3104</v>
      </c>
      <c r="C834" s="215">
        <v>668020</v>
      </c>
      <c r="D834" s="215">
        <v>5184955</v>
      </c>
      <c r="F834" s="215">
        <f t="shared" si="74"/>
        <v>5184955</v>
      </c>
      <c r="G834" s="215">
        <f t="shared" si="75"/>
        <v>5852975</v>
      </c>
      <c r="H834" s="680" t="s">
        <v>6153</v>
      </c>
      <c r="I834" s="679"/>
      <c r="J834" s="187" t="str">
        <f t="shared" si="79"/>
        <v>155-901</v>
      </c>
      <c r="K834" s="187">
        <v>155</v>
      </c>
      <c r="L834" s="187">
        <v>901</v>
      </c>
      <c r="M834" s="187" t="str">
        <f t="shared" si="76"/>
        <v>155</v>
      </c>
      <c r="N834" s="187">
        <f t="shared" si="77"/>
        <v>901</v>
      </c>
      <c r="O834" s="187" t="str">
        <f t="shared" si="78"/>
        <v>155-901</v>
      </c>
      <c r="Q834" s="679" t="s">
        <v>6549</v>
      </c>
    </row>
    <row r="835" spans="1:17">
      <c r="A835" s="788" t="s">
        <v>4163</v>
      </c>
      <c r="B835" s="187" t="s">
        <v>3105</v>
      </c>
      <c r="C835" s="215">
        <v>0</v>
      </c>
      <c r="D835" s="215">
        <v>2839918</v>
      </c>
      <c r="F835" s="215">
        <f t="shared" si="74"/>
        <v>2839918</v>
      </c>
      <c r="G835" s="215">
        <f t="shared" si="75"/>
        <v>2839918</v>
      </c>
      <c r="H835" s="680" t="s">
        <v>6153</v>
      </c>
      <c r="I835" s="679"/>
      <c r="J835" s="187" t="str">
        <f t="shared" si="79"/>
        <v>156-902</v>
      </c>
      <c r="K835" s="187">
        <v>156</v>
      </c>
      <c r="L835" s="187">
        <v>902</v>
      </c>
      <c r="M835" s="187" t="str">
        <f t="shared" si="76"/>
        <v>156</v>
      </c>
      <c r="N835" s="187">
        <f t="shared" si="77"/>
        <v>902</v>
      </c>
      <c r="O835" s="187" t="str">
        <f t="shared" si="78"/>
        <v>156-902</v>
      </c>
      <c r="Q835" s="679" t="s">
        <v>6550</v>
      </c>
    </row>
    <row r="836" spans="1:17">
      <c r="A836" s="788" t="s">
        <v>4165</v>
      </c>
      <c r="B836" s="187" t="s">
        <v>3106</v>
      </c>
      <c r="C836" s="215">
        <v>0</v>
      </c>
      <c r="D836" s="215">
        <v>2263475</v>
      </c>
      <c r="F836" s="215">
        <f t="shared" ref="F836:F899" si="80">D836+E836</f>
        <v>2263475</v>
      </c>
      <c r="G836" s="215">
        <f t="shared" ref="G836:G899" si="81">F836+C836</f>
        <v>2263475</v>
      </c>
      <c r="H836" s="680" t="s">
        <v>6153</v>
      </c>
      <c r="I836" s="679"/>
      <c r="J836" s="187" t="str">
        <f t="shared" si="79"/>
        <v>156-905</v>
      </c>
      <c r="K836" s="187">
        <v>156</v>
      </c>
      <c r="L836" s="187">
        <v>905</v>
      </c>
      <c r="M836" s="187" t="str">
        <f t="shared" ref="M836:M899" si="82">+I836&amp;K836</f>
        <v>156</v>
      </c>
      <c r="N836" s="187">
        <f t="shared" ref="N836:N899" si="83">+L836</f>
        <v>905</v>
      </c>
      <c r="O836" s="187" t="str">
        <f t="shared" ref="O836:O899" si="84">+M836&amp;"-"&amp;N836</f>
        <v>156-905</v>
      </c>
      <c r="Q836" s="679" t="s">
        <v>6551</v>
      </c>
    </row>
    <row r="837" spans="1:17">
      <c r="A837" s="788" t="s">
        <v>4167</v>
      </c>
      <c r="B837" s="187" t="s">
        <v>3107</v>
      </c>
      <c r="C837" s="215">
        <v>152980</v>
      </c>
      <c r="D837" s="215">
        <v>2375401</v>
      </c>
      <c r="F837" s="215">
        <f t="shared" si="80"/>
        <v>2375401</v>
      </c>
      <c r="G837" s="215">
        <f t="shared" si="81"/>
        <v>2528381</v>
      </c>
      <c r="H837" s="680" t="s">
        <v>6153</v>
      </c>
      <c r="I837" s="679"/>
      <c r="J837" s="187" t="str">
        <f t="shared" si="79"/>
        <v>157-901</v>
      </c>
      <c r="K837" s="187">
        <v>157</v>
      </c>
      <c r="L837" s="187">
        <v>901</v>
      </c>
      <c r="M837" s="187" t="str">
        <f t="shared" si="82"/>
        <v>157</v>
      </c>
      <c r="N837" s="187">
        <f t="shared" si="83"/>
        <v>901</v>
      </c>
      <c r="O837" s="187" t="str">
        <f t="shared" si="84"/>
        <v>157-901</v>
      </c>
      <c r="Q837" s="679" t="s">
        <v>6552</v>
      </c>
    </row>
    <row r="838" spans="1:17">
      <c r="A838" s="788" t="s">
        <v>4169</v>
      </c>
      <c r="B838" s="187" t="s">
        <v>3108</v>
      </c>
      <c r="C838" s="215">
        <v>1211887</v>
      </c>
      <c r="D838" s="215">
        <v>12083612</v>
      </c>
      <c r="F838" s="215">
        <f t="shared" si="80"/>
        <v>12083612</v>
      </c>
      <c r="G838" s="215">
        <f t="shared" si="81"/>
        <v>13295499</v>
      </c>
      <c r="H838" s="680" t="s">
        <v>6153</v>
      </c>
      <c r="I838" s="679"/>
      <c r="J838" s="187" t="str">
        <f t="shared" si="79"/>
        <v>158-901</v>
      </c>
      <c r="K838" s="187">
        <v>158</v>
      </c>
      <c r="L838" s="187">
        <v>901</v>
      </c>
      <c r="M838" s="187" t="str">
        <f t="shared" si="82"/>
        <v>158</v>
      </c>
      <c r="N838" s="187">
        <f t="shared" si="83"/>
        <v>901</v>
      </c>
      <c r="O838" s="187" t="str">
        <f t="shared" si="84"/>
        <v>158-901</v>
      </c>
      <c r="Q838" s="679" t="s">
        <v>6553</v>
      </c>
    </row>
    <row r="839" spans="1:17">
      <c r="A839" s="788" t="s">
        <v>4171</v>
      </c>
      <c r="B839" s="187" t="s">
        <v>713</v>
      </c>
      <c r="C839" s="215">
        <v>0</v>
      </c>
      <c r="D839" s="215">
        <v>4911551</v>
      </c>
      <c r="F839" s="215">
        <f t="shared" si="80"/>
        <v>4911551</v>
      </c>
      <c r="G839" s="215">
        <f t="shared" si="81"/>
        <v>4911551</v>
      </c>
      <c r="H839" s="680" t="s">
        <v>6153</v>
      </c>
      <c r="I839" s="679"/>
      <c r="J839" s="187" t="str">
        <f t="shared" si="79"/>
        <v>158-902</v>
      </c>
      <c r="K839" s="187">
        <v>158</v>
      </c>
      <c r="L839" s="187">
        <v>902</v>
      </c>
      <c r="M839" s="187" t="str">
        <f t="shared" si="82"/>
        <v>158</v>
      </c>
      <c r="N839" s="187">
        <f t="shared" si="83"/>
        <v>902</v>
      </c>
      <c r="O839" s="187" t="str">
        <f t="shared" si="84"/>
        <v>158-902</v>
      </c>
      <c r="Q839" s="679" t="s">
        <v>6554</v>
      </c>
    </row>
    <row r="840" spans="1:17">
      <c r="A840" s="788" t="s">
        <v>2055</v>
      </c>
      <c r="B840" s="187" t="s">
        <v>714</v>
      </c>
      <c r="C840" s="215">
        <v>0</v>
      </c>
      <c r="D840" s="215">
        <v>1522355</v>
      </c>
      <c r="F840" s="215">
        <f t="shared" si="80"/>
        <v>1522355</v>
      </c>
      <c r="G840" s="215">
        <f t="shared" si="81"/>
        <v>1522355</v>
      </c>
      <c r="H840" s="680" t="s">
        <v>6153</v>
      </c>
      <c r="I840" s="679"/>
      <c r="J840" s="187" t="str">
        <f t="shared" si="79"/>
        <v>158-904</v>
      </c>
      <c r="K840" s="187">
        <v>158</v>
      </c>
      <c r="L840" s="187">
        <v>904</v>
      </c>
      <c r="M840" s="187" t="str">
        <f t="shared" si="82"/>
        <v>158</v>
      </c>
      <c r="N840" s="187">
        <f t="shared" si="83"/>
        <v>904</v>
      </c>
      <c r="O840" s="187" t="str">
        <f t="shared" si="84"/>
        <v>158-904</v>
      </c>
      <c r="Q840" s="679" t="s">
        <v>6555</v>
      </c>
    </row>
    <row r="841" spans="1:17">
      <c r="A841" s="788" t="s">
        <v>2057</v>
      </c>
      <c r="B841" s="187" t="s">
        <v>715</v>
      </c>
      <c r="C841" s="215">
        <v>708356</v>
      </c>
      <c r="D841" s="215">
        <v>13953922</v>
      </c>
      <c r="F841" s="215">
        <f t="shared" si="80"/>
        <v>13953922</v>
      </c>
      <c r="G841" s="215">
        <f t="shared" si="81"/>
        <v>14662278</v>
      </c>
      <c r="H841" s="680" t="s">
        <v>6153</v>
      </c>
      <c r="I841" s="679"/>
      <c r="J841" s="187" t="str">
        <f t="shared" si="79"/>
        <v>158-905</v>
      </c>
      <c r="K841" s="187">
        <v>158</v>
      </c>
      <c r="L841" s="187">
        <v>905</v>
      </c>
      <c r="M841" s="187" t="str">
        <f t="shared" si="82"/>
        <v>158</v>
      </c>
      <c r="N841" s="187">
        <f t="shared" si="83"/>
        <v>905</v>
      </c>
      <c r="O841" s="187" t="str">
        <f t="shared" si="84"/>
        <v>158-905</v>
      </c>
      <c r="Q841" s="679" t="s">
        <v>6556</v>
      </c>
    </row>
    <row r="842" spans="1:17">
      <c r="A842" s="788" t="s">
        <v>2059</v>
      </c>
      <c r="B842" s="187" t="s">
        <v>716</v>
      </c>
      <c r="C842" s="215">
        <v>0</v>
      </c>
      <c r="D842" s="215">
        <v>3886774</v>
      </c>
      <c r="F842" s="215">
        <f t="shared" si="80"/>
        <v>3886774</v>
      </c>
      <c r="G842" s="215">
        <f t="shared" si="81"/>
        <v>3886774</v>
      </c>
      <c r="H842" s="680" t="s">
        <v>6153</v>
      </c>
      <c r="I842" s="679"/>
      <c r="J842" s="187" t="str">
        <f t="shared" si="79"/>
        <v>158-906</v>
      </c>
      <c r="K842" s="187">
        <v>158</v>
      </c>
      <c r="L842" s="187">
        <v>906</v>
      </c>
      <c r="M842" s="187" t="str">
        <f t="shared" si="82"/>
        <v>158</v>
      </c>
      <c r="N842" s="187">
        <f t="shared" si="83"/>
        <v>906</v>
      </c>
      <c r="O842" s="187" t="str">
        <f t="shared" si="84"/>
        <v>158-906</v>
      </c>
      <c r="Q842" s="679" t="s">
        <v>6557</v>
      </c>
    </row>
    <row r="843" spans="1:17">
      <c r="A843" s="788" t="s">
        <v>1814</v>
      </c>
      <c r="B843" s="187" t="s">
        <v>3011</v>
      </c>
      <c r="C843" s="215">
        <v>836475</v>
      </c>
      <c r="D843" s="215">
        <v>13665655</v>
      </c>
      <c r="F843" s="215">
        <f t="shared" si="80"/>
        <v>13665655</v>
      </c>
      <c r="G843" s="215">
        <f t="shared" si="81"/>
        <v>14502130</v>
      </c>
      <c r="H843" s="680" t="s">
        <v>6153</v>
      </c>
      <c r="I843" s="679"/>
      <c r="J843" s="187" t="str">
        <f t="shared" si="79"/>
        <v>159-901</v>
      </c>
      <c r="K843" s="187">
        <v>159</v>
      </c>
      <c r="L843" s="187">
        <v>901</v>
      </c>
      <c r="M843" s="187" t="str">
        <f t="shared" si="82"/>
        <v>159</v>
      </c>
      <c r="N843" s="187">
        <f t="shared" si="83"/>
        <v>901</v>
      </c>
      <c r="O843" s="187" t="str">
        <f t="shared" si="84"/>
        <v>159-901</v>
      </c>
      <c r="Q843" s="679" t="s">
        <v>6558</v>
      </c>
    </row>
    <row r="844" spans="1:17">
      <c r="A844" s="788" t="s">
        <v>958</v>
      </c>
      <c r="B844" s="187" t="s">
        <v>7665</v>
      </c>
      <c r="C844" s="215">
        <v>344508</v>
      </c>
      <c r="D844" s="215">
        <v>3227918</v>
      </c>
      <c r="F844" s="215">
        <f t="shared" si="80"/>
        <v>3227918</v>
      </c>
      <c r="G844" s="215">
        <f t="shared" si="81"/>
        <v>3572426</v>
      </c>
      <c r="H844" s="680" t="s">
        <v>6153</v>
      </c>
      <c r="I844" s="679"/>
      <c r="J844" s="187" t="str">
        <f t="shared" si="79"/>
        <v>160-901</v>
      </c>
      <c r="K844" s="187">
        <v>160</v>
      </c>
      <c r="L844" s="187">
        <v>901</v>
      </c>
      <c r="M844" s="187" t="str">
        <f t="shared" si="82"/>
        <v>160</v>
      </c>
      <c r="N844" s="187">
        <f t="shared" si="83"/>
        <v>901</v>
      </c>
      <c r="O844" s="187" t="str">
        <f t="shared" si="84"/>
        <v>160-901</v>
      </c>
      <c r="Q844" s="679" t="s">
        <v>6559</v>
      </c>
    </row>
    <row r="845" spans="1:17">
      <c r="A845" s="788" t="s">
        <v>2061</v>
      </c>
      <c r="B845" s="187" t="s">
        <v>717</v>
      </c>
      <c r="C845" s="215">
        <v>0</v>
      </c>
      <c r="D845" s="215">
        <v>478783</v>
      </c>
      <c r="F845" s="215">
        <f t="shared" si="80"/>
        <v>478783</v>
      </c>
      <c r="G845" s="215">
        <f t="shared" si="81"/>
        <v>478783</v>
      </c>
      <c r="H845" s="680" t="s">
        <v>6153</v>
      </c>
      <c r="I845" s="679"/>
      <c r="J845" s="187" t="str">
        <f t="shared" si="79"/>
        <v>160-904</v>
      </c>
      <c r="K845" s="187">
        <v>160</v>
      </c>
      <c r="L845" s="187">
        <v>904</v>
      </c>
      <c r="M845" s="187" t="str">
        <f t="shared" si="82"/>
        <v>160</v>
      </c>
      <c r="N845" s="187">
        <f t="shared" si="83"/>
        <v>904</v>
      </c>
      <c r="O845" s="187" t="str">
        <f t="shared" si="84"/>
        <v>160-904</v>
      </c>
      <c r="Q845" s="679" t="s">
        <v>6560</v>
      </c>
    </row>
    <row r="846" spans="1:17">
      <c r="A846" s="788" t="s">
        <v>1845</v>
      </c>
      <c r="B846" s="187" t="s">
        <v>197</v>
      </c>
      <c r="C846" s="215">
        <v>11102</v>
      </c>
      <c r="D846" s="215">
        <v>229342</v>
      </c>
      <c r="F846" s="215">
        <f t="shared" si="80"/>
        <v>229342</v>
      </c>
      <c r="G846" s="215">
        <f t="shared" si="81"/>
        <v>240444</v>
      </c>
      <c r="H846" s="680" t="s">
        <v>6153</v>
      </c>
      <c r="I846" s="679"/>
      <c r="J846" s="187" t="str">
        <f t="shared" si="79"/>
        <v>160-905</v>
      </c>
      <c r="K846" s="187">
        <v>160</v>
      </c>
      <c r="L846" s="187">
        <v>905</v>
      </c>
      <c r="M846" s="187" t="str">
        <f t="shared" si="82"/>
        <v>160</v>
      </c>
      <c r="N846" s="187">
        <f t="shared" si="83"/>
        <v>905</v>
      </c>
      <c r="O846" s="187" t="str">
        <f t="shared" si="84"/>
        <v>160-905</v>
      </c>
      <c r="Q846" s="679" t="s">
        <v>6561</v>
      </c>
    </row>
    <row r="847" spans="1:17">
      <c r="A847" s="788" t="s">
        <v>1146</v>
      </c>
      <c r="B847" s="187" t="s">
        <v>1147</v>
      </c>
      <c r="C847" s="215">
        <v>0</v>
      </c>
      <c r="D847" s="215">
        <v>0</v>
      </c>
      <c r="F847" s="215">
        <f t="shared" si="80"/>
        <v>0</v>
      </c>
      <c r="G847" s="215">
        <f t="shared" si="81"/>
        <v>0</v>
      </c>
      <c r="H847" s="680" t="s">
        <v>6153</v>
      </c>
      <c r="I847" s="679"/>
      <c r="J847" s="187" t="str">
        <f t="shared" si="79"/>
        <v>161-801</v>
      </c>
      <c r="K847" s="187">
        <v>161</v>
      </c>
      <c r="L847" s="187">
        <v>801</v>
      </c>
      <c r="M847" s="187" t="str">
        <f t="shared" si="82"/>
        <v>161</v>
      </c>
      <c r="N847" s="187">
        <f t="shared" si="83"/>
        <v>801</v>
      </c>
      <c r="O847" s="187" t="str">
        <f t="shared" si="84"/>
        <v>161-801</v>
      </c>
      <c r="Q847" s="679" t="s">
        <v>6437</v>
      </c>
    </row>
    <row r="848" spans="1:17">
      <c r="A848" s="788" t="s">
        <v>1148</v>
      </c>
      <c r="B848" s="187" t="s">
        <v>1149</v>
      </c>
      <c r="C848" s="215">
        <v>0</v>
      </c>
      <c r="D848" s="215">
        <v>0</v>
      </c>
      <c r="F848" s="215">
        <f t="shared" si="80"/>
        <v>0</v>
      </c>
      <c r="G848" s="215">
        <f t="shared" si="81"/>
        <v>0</v>
      </c>
      <c r="H848" s="680" t="s">
        <v>6153</v>
      </c>
      <c r="I848" s="679"/>
      <c r="J848" s="187" t="str">
        <f t="shared" si="79"/>
        <v>161-802</v>
      </c>
      <c r="K848" s="187">
        <v>161</v>
      </c>
      <c r="L848" s="187">
        <v>802</v>
      </c>
      <c r="M848" s="187" t="str">
        <f t="shared" si="82"/>
        <v>161</v>
      </c>
      <c r="N848" s="187">
        <f t="shared" si="83"/>
        <v>802</v>
      </c>
      <c r="O848" s="187" t="str">
        <f t="shared" si="84"/>
        <v>161-802</v>
      </c>
      <c r="Q848" s="679" t="s">
        <v>6438</v>
      </c>
    </row>
    <row r="849" spans="1:17">
      <c r="A849" s="788" t="s">
        <v>6439</v>
      </c>
      <c r="B849" s="187" t="s">
        <v>6440</v>
      </c>
      <c r="C849" s="215">
        <v>0</v>
      </c>
      <c r="D849" s="215">
        <v>0</v>
      </c>
      <c r="F849" s="215">
        <f t="shared" si="80"/>
        <v>0</v>
      </c>
      <c r="G849" s="215">
        <f t="shared" si="81"/>
        <v>0</v>
      </c>
      <c r="H849" s="680" t="s">
        <v>6153</v>
      </c>
      <c r="I849" s="679"/>
      <c r="J849" s="187" t="str">
        <f t="shared" si="79"/>
        <v>161-803</v>
      </c>
      <c r="K849" s="187">
        <v>161</v>
      </c>
      <c r="L849" s="187">
        <v>803</v>
      </c>
      <c r="M849" s="187" t="str">
        <f t="shared" si="82"/>
        <v>161</v>
      </c>
      <c r="N849" s="187">
        <f t="shared" si="83"/>
        <v>803</v>
      </c>
      <c r="O849" s="187" t="str">
        <f t="shared" si="84"/>
        <v>161-803</v>
      </c>
      <c r="Q849" s="679" t="s">
        <v>6441</v>
      </c>
    </row>
    <row r="850" spans="1:17">
      <c r="A850" s="788" t="s">
        <v>2063</v>
      </c>
      <c r="B850" s="187" t="s">
        <v>1150</v>
      </c>
      <c r="C850" s="215">
        <v>0</v>
      </c>
      <c r="D850" s="215">
        <v>0</v>
      </c>
      <c r="F850" s="215">
        <f t="shared" si="80"/>
        <v>0</v>
      </c>
      <c r="G850" s="215">
        <f t="shared" si="81"/>
        <v>0</v>
      </c>
      <c r="H850" s="680" t="s">
        <v>6153</v>
      </c>
      <c r="I850" s="679"/>
      <c r="J850" s="187" t="str">
        <f t="shared" si="79"/>
        <v>161-804</v>
      </c>
      <c r="K850" s="187">
        <v>161</v>
      </c>
      <c r="L850" s="187">
        <v>804</v>
      </c>
      <c r="M850" s="187" t="str">
        <f t="shared" si="82"/>
        <v>161</v>
      </c>
      <c r="N850" s="187">
        <f t="shared" si="83"/>
        <v>804</v>
      </c>
      <c r="O850" s="187" t="str">
        <f t="shared" si="84"/>
        <v>161-804</v>
      </c>
      <c r="Q850" s="679" t="s">
        <v>6442</v>
      </c>
    </row>
    <row r="851" spans="1:17">
      <c r="A851" s="788" t="s">
        <v>5237</v>
      </c>
      <c r="B851" s="187" t="s">
        <v>1666</v>
      </c>
      <c r="C851" s="215">
        <v>107723</v>
      </c>
      <c r="D851" s="215">
        <v>1418623</v>
      </c>
      <c r="F851" s="215">
        <f t="shared" si="80"/>
        <v>1418623</v>
      </c>
      <c r="G851" s="215">
        <f t="shared" si="81"/>
        <v>1526346</v>
      </c>
      <c r="H851" s="680" t="s">
        <v>6153</v>
      </c>
      <c r="I851" s="679"/>
      <c r="J851" s="187" t="str">
        <f t="shared" si="79"/>
        <v>161-901</v>
      </c>
      <c r="K851" s="187">
        <v>161</v>
      </c>
      <c r="L851" s="187">
        <v>901</v>
      </c>
      <c r="M851" s="187" t="str">
        <f t="shared" si="82"/>
        <v>161</v>
      </c>
      <c r="N851" s="187">
        <f t="shared" si="83"/>
        <v>901</v>
      </c>
      <c r="O851" s="187" t="str">
        <f t="shared" si="84"/>
        <v>161-901</v>
      </c>
      <c r="Q851" s="679" t="s">
        <v>6562</v>
      </c>
    </row>
    <row r="852" spans="1:17">
      <c r="A852" s="788" t="s">
        <v>2065</v>
      </c>
      <c r="B852" s="187" t="s">
        <v>2855</v>
      </c>
      <c r="C852" s="215">
        <v>6121747</v>
      </c>
      <c r="D852" s="215">
        <v>31732456</v>
      </c>
      <c r="F852" s="215">
        <f t="shared" si="80"/>
        <v>31732456</v>
      </c>
      <c r="G852" s="215">
        <f t="shared" si="81"/>
        <v>37854203</v>
      </c>
      <c r="H852" s="680" t="s">
        <v>6153</v>
      </c>
      <c r="I852" s="679"/>
      <c r="J852" s="187" t="str">
        <f t="shared" si="79"/>
        <v>161-903</v>
      </c>
      <c r="K852" s="187">
        <v>161</v>
      </c>
      <c r="L852" s="187">
        <v>903</v>
      </c>
      <c r="M852" s="187" t="str">
        <f t="shared" si="82"/>
        <v>161</v>
      </c>
      <c r="N852" s="187">
        <f t="shared" si="83"/>
        <v>903</v>
      </c>
      <c r="O852" s="187" t="str">
        <f t="shared" si="84"/>
        <v>161-903</v>
      </c>
      <c r="Q852" s="679" t="s">
        <v>6563</v>
      </c>
    </row>
    <row r="853" spans="1:17">
      <c r="A853" s="788" t="s">
        <v>2905</v>
      </c>
      <c r="B853" s="187" t="s">
        <v>2155</v>
      </c>
      <c r="C853" s="215">
        <v>890194</v>
      </c>
      <c r="D853" s="215">
        <v>5556692</v>
      </c>
      <c r="F853" s="215">
        <f t="shared" si="80"/>
        <v>5556692</v>
      </c>
      <c r="G853" s="215">
        <f t="shared" si="81"/>
        <v>6446886</v>
      </c>
      <c r="H853" s="680" t="s">
        <v>6153</v>
      </c>
      <c r="I853" s="679"/>
      <c r="J853" s="187" t="str">
        <f t="shared" si="79"/>
        <v>161-906</v>
      </c>
      <c r="K853" s="187">
        <v>161</v>
      </c>
      <c r="L853" s="187">
        <v>906</v>
      </c>
      <c r="M853" s="187" t="str">
        <f t="shared" si="82"/>
        <v>161</v>
      </c>
      <c r="N853" s="187">
        <f t="shared" si="83"/>
        <v>906</v>
      </c>
      <c r="O853" s="187" t="str">
        <f t="shared" si="84"/>
        <v>161-906</v>
      </c>
      <c r="Q853" s="679" t="s">
        <v>6564</v>
      </c>
    </row>
    <row r="854" spans="1:17">
      <c r="A854" s="788" t="s">
        <v>5238</v>
      </c>
      <c r="B854" s="187" t="s">
        <v>200</v>
      </c>
      <c r="C854" s="215">
        <v>606667</v>
      </c>
      <c r="D854" s="215">
        <v>3585223</v>
      </c>
      <c r="F854" s="215">
        <f t="shared" si="80"/>
        <v>3585223</v>
      </c>
      <c r="G854" s="215">
        <f t="shared" si="81"/>
        <v>4191890</v>
      </c>
      <c r="H854" s="680" t="s">
        <v>6153</v>
      </c>
      <c r="I854" s="679"/>
      <c r="J854" s="187" t="str">
        <f t="shared" si="79"/>
        <v>161-907</v>
      </c>
      <c r="K854" s="187">
        <v>161</v>
      </c>
      <c r="L854" s="187">
        <v>907</v>
      </c>
      <c r="M854" s="187" t="str">
        <f t="shared" si="82"/>
        <v>161</v>
      </c>
      <c r="N854" s="187">
        <f t="shared" si="83"/>
        <v>907</v>
      </c>
      <c r="O854" s="187" t="str">
        <f t="shared" si="84"/>
        <v>161-907</v>
      </c>
      <c r="Q854" s="679" t="s">
        <v>6565</v>
      </c>
    </row>
    <row r="855" spans="1:17">
      <c r="A855" s="788" t="s">
        <v>6163</v>
      </c>
      <c r="B855" s="187" t="s">
        <v>6067</v>
      </c>
      <c r="C855" s="215">
        <v>77653</v>
      </c>
      <c r="D855" s="215">
        <v>878783</v>
      </c>
      <c r="F855" s="215">
        <f t="shared" si="80"/>
        <v>878783</v>
      </c>
      <c r="G855" s="215">
        <f t="shared" si="81"/>
        <v>956436</v>
      </c>
      <c r="H855" s="680" t="s">
        <v>6153</v>
      </c>
      <c r="I855" s="679"/>
      <c r="J855" s="187" t="str">
        <f t="shared" si="79"/>
        <v>161-908</v>
      </c>
      <c r="K855" s="187">
        <v>161</v>
      </c>
      <c r="L855" s="187">
        <v>908</v>
      </c>
      <c r="M855" s="187" t="str">
        <f t="shared" si="82"/>
        <v>161</v>
      </c>
      <c r="N855" s="187">
        <f t="shared" si="83"/>
        <v>908</v>
      </c>
      <c r="O855" s="187" t="str">
        <f t="shared" si="84"/>
        <v>161-908</v>
      </c>
      <c r="Q855" s="679" t="s">
        <v>6566</v>
      </c>
    </row>
    <row r="856" spans="1:17">
      <c r="A856" s="788" t="s">
        <v>2470</v>
      </c>
      <c r="B856" s="187" t="s">
        <v>6075</v>
      </c>
      <c r="C856" s="215">
        <v>338040</v>
      </c>
      <c r="D856" s="215">
        <v>2926804</v>
      </c>
      <c r="F856" s="215">
        <f t="shared" si="80"/>
        <v>2926804</v>
      </c>
      <c r="G856" s="215">
        <f t="shared" si="81"/>
        <v>3264844</v>
      </c>
      <c r="H856" s="680" t="s">
        <v>6153</v>
      </c>
      <c r="I856" s="679"/>
      <c r="J856" s="187" t="str">
        <f t="shared" si="79"/>
        <v>161-909</v>
      </c>
      <c r="K856" s="187">
        <v>161</v>
      </c>
      <c r="L856" s="187">
        <v>909</v>
      </c>
      <c r="M856" s="187" t="str">
        <f t="shared" si="82"/>
        <v>161</v>
      </c>
      <c r="N856" s="187">
        <f t="shared" si="83"/>
        <v>909</v>
      </c>
      <c r="O856" s="187" t="str">
        <f t="shared" si="84"/>
        <v>161-909</v>
      </c>
      <c r="Q856" s="679" t="s">
        <v>6567</v>
      </c>
    </row>
    <row r="857" spans="1:17">
      <c r="A857" s="788" t="s">
        <v>973</v>
      </c>
      <c r="B857" s="187" t="s">
        <v>718</v>
      </c>
      <c r="C857" s="215">
        <v>397</v>
      </c>
      <c r="D857" s="215">
        <v>1140547</v>
      </c>
      <c r="F857" s="215">
        <f t="shared" si="80"/>
        <v>1140547</v>
      </c>
      <c r="G857" s="215">
        <f t="shared" si="81"/>
        <v>1140944</v>
      </c>
      <c r="H857" s="680" t="s">
        <v>6153</v>
      </c>
      <c r="I857" s="679"/>
      <c r="J857" s="187" t="str">
        <f t="shared" si="79"/>
        <v>161-910</v>
      </c>
      <c r="K857" s="187">
        <v>161</v>
      </c>
      <c r="L857" s="187">
        <v>910</v>
      </c>
      <c r="M857" s="187" t="str">
        <f t="shared" si="82"/>
        <v>161</v>
      </c>
      <c r="N857" s="187">
        <f t="shared" si="83"/>
        <v>910</v>
      </c>
      <c r="O857" s="187" t="str">
        <f t="shared" si="84"/>
        <v>161-910</v>
      </c>
      <c r="Q857" s="679" t="s">
        <v>6568</v>
      </c>
    </row>
    <row r="858" spans="1:17">
      <c r="A858" s="788" t="s">
        <v>2769</v>
      </c>
      <c r="B858" s="187" t="s">
        <v>359</v>
      </c>
      <c r="C858" s="215">
        <v>71415</v>
      </c>
      <c r="D858" s="215">
        <v>843725</v>
      </c>
      <c r="F858" s="215">
        <f t="shared" si="80"/>
        <v>843725</v>
      </c>
      <c r="G858" s="215">
        <f t="shared" si="81"/>
        <v>915140</v>
      </c>
      <c r="H858" s="680" t="s">
        <v>6153</v>
      </c>
      <c r="I858" s="679"/>
      <c r="J858" s="187" t="str">
        <f t="shared" si="79"/>
        <v>161-912</v>
      </c>
      <c r="K858" s="187">
        <v>161</v>
      </c>
      <c r="L858" s="187">
        <v>912</v>
      </c>
      <c r="M858" s="187" t="str">
        <f t="shared" si="82"/>
        <v>161</v>
      </c>
      <c r="N858" s="187">
        <f t="shared" si="83"/>
        <v>912</v>
      </c>
      <c r="O858" s="187" t="str">
        <f t="shared" si="84"/>
        <v>161-912</v>
      </c>
      <c r="Q858" s="679" t="s">
        <v>6569</v>
      </c>
    </row>
    <row r="859" spans="1:17">
      <c r="A859" s="788" t="s">
        <v>3553</v>
      </c>
      <c r="B859" s="187" t="s">
        <v>4060</v>
      </c>
      <c r="C859" s="215">
        <v>3561016</v>
      </c>
      <c r="D859" s="215">
        <v>42656679</v>
      </c>
      <c r="F859" s="215">
        <f t="shared" si="80"/>
        <v>42656679</v>
      </c>
      <c r="G859" s="215">
        <f t="shared" si="81"/>
        <v>46217695</v>
      </c>
      <c r="H859" s="680" t="s">
        <v>6153</v>
      </c>
      <c r="I859" s="679"/>
      <c r="J859" s="187" t="str">
        <f t="shared" si="79"/>
        <v>161-914</v>
      </c>
      <c r="K859" s="187">
        <v>161</v>
      </c>
      <c r="L859" s="187">
        <v>914</v>
      </c>
      <c r="M859" s="187" t="str">
        <f t="shared" si="82"/>
        <v>161</v>
      </c>
      <c r="N859" s="187">
        <f t="shared" si="83"/>
        <v>914</v>
      </c>
      <c r="O859" s="187" t="str">
        <f t="shared" si="84"/>
        <v>161-914</v>
      </c>
      <c r="Q859" s="679" t="s">
        <v>6570</v>
      </c>
    </row>
    <row r="860" spans="1:17">
      <c r="A860" s="788" t="s">
        <v>3556</v>
      </c>
      <c r="B860" s="187" t="s">
        <v>4067</v>
      </c>
      <c r="C860" s="215">
        <v>419432</v>
      </c>
      <c r="D860" s="215">
        <v>3226723</v>
      </c>
      <c r="F860" s="215">
        <f t="shared" si="80"/>
        <v>3226723</v>
      </c>
      <c r="G860" s="215">
        <f t="shared" si="81"/>
        <v>3646155</v>
      </c>
      <c r="H860" s="680" t="s">
        <v>6153</v>
      </c>
      <c r="I860" s="679"/>
      <c r="J860" s="187" t="str">
        <f t="shared" si="79"/>
        <v>161-916</v>
      </c>
      <c r="K860" s="187">
        <v>161</v>
      </c>
      <c r="L860" s="187">
        <v>916</v>
      </c>
      <c r="M860" s="187" t="str">
        <f t="shared" si="82"/>
        <v>161</v>
      </c>
      <c r="N860" s="187">
        <f t="shared" si="83"/>
        <v>916</v>
      </c>
      <c r="O860" s="187" t="str">
        <f t="shared" si="84"/>
        <v>161-916</v>
      </c>
      <c r="Q860" s="679" t="s">
        <v>6571</v>
      </c>
    </row>
    <row r="861" spans="1:17">
      <c r="A861" s="788" t="s">
        <v>5052</v>
      </c>
      <c r="B861" s="187" t="s">
        <v>719</v>
      </c>
      <c r="C861" s="215">
        <v>0</v>
      </c>
      <c r="D861" s="215">
        <v>962544</v>
      </c>
      <c r="F861" s="215">
        <f t="shared" si="80"/>
        <v>962544</v>
      </c>
      <c r="G861" s="215">
        <f t="shared" si="81"/>
        <v>962544</v>
      </c>
      <c r="H861" s="680" t="s">
        <v>6153</v>
      </c>
      <c r="I861" s="679"/>
      <c r="J861" s="187" t="str">
        <f t="shared" si="79"/>
        <v>161-918</v>
      </c>
      <c r="K861" s="187">
        <v>161</v>
      </c>
      <c r="L861" s="187">
        <v>918</v>
      </c>
      <c r="M861" s="187" t="str">
        <f t="shared" si="82"/>
        <v>161</v>
      </c>
      <c r="N861" s="187">
        <f t="shared" si="83"/>
        <v>918</v>
      </c>
      <c r="O861" s="187" t="str">
        <f t="shared" si="84"/>
        <v>161-918</v>
      </c>
      <c r="Q861" s="679" t="s">
        <v>6572</v>
      </c>
    </row>
    <row r="862" spans="1:17">
      <c r="A862" s="788" t="s">
        <v>5054</v>
      </c>
      <c r="B862" s="187" t="s">
        <v>720</v>
      </c>
      <c r="C862" s="215">
        <v>4780</v>
      </c>
      <c r="D862" s="215">
        <v>1477413</v>
      </c>
      <c r="F862" s="215">
        <f t="shared" si="80"/>
        <v>1477413</v>
      </c>
      <c r="G862" s="215">
        <f t="shared" si="81"/>
        <v>1482193</v>
      </c>
      <c r="H862" s="680" t="s">
        <v>6153</v>
      </c>
      <c r="I862" s="679"/>
      <c r="J862" s="187" t="str">
        <f t="shared" si="79"/>
        <v>161-919</v>
      </c>
      <c r="K862" s="187">
        <v>161</v>
      </c>
      <c r="L862" s="187">
        <v>919</v>
      </c>
      <c r="M862" s="187" t="str">
        <f t="shared" si="82"/>
        <v>161</v>
      </c>
      <c r="N862" s="187">
        <f t="shared" si="83"/>
        <v>919</v>
      </c>
      <c r="O862" s="187" t="str">
        <f t="shared" si="84"/>
        <v>161-919</v>
      </c>
      <c r="Q862" s="679" t="s">
        <v>6573</v>
      </c>
    </row>
    <row r="863" spans="1:17">
      <c r="A863" s="788" t="s">
        <v>737</v>
      </c>
      <c r="B863" s="187" t="s">
        <v>6110</v>
      </c>
      <c r="C863" s="215">
        <v>638507</v>
      </c>
      <c r="D863" s="215">
        <v>4119075</v>
      </c>
      <c r="F863" s="215">
        <f t="shared" si="80"/>
        <v>4119075</v>
      </c>
      <c r="G863" s="215">
        <f t="shared" si="81"/>
        <v>4757582</v>
      </c>
      <c r="H863" s="680" t="s">
        <v>6153</v>
      </c>
      <c r="I863" s="679"/>
      <c r="J863" s="187" t="str">
        <f t="shared" si="79"/>
        <v>161-920</v>
      </c>
      <c r="K863" s="187">
        <v>161</v>
      </c>
      <c r="L863" s="187">
        <v>920</v>
      </c>
      <c r="M863" s="187" t="str">
        <f t="shared" si="82"/>
        <v>161</v>
      </c>
      <c r="N863" s="187">
        <f t="shared" si="83"/>
        <v>920</v>
      </c>
      <c r="O863" s="187" t="str">
        <f t="shared" si="84"/>
        <v>161-920</v>
      </c>
      <c r="Q863" s="679" t="s">
        <v>6574</v>
      </c>
    </row>
    <row r="864" spans="1:17">
      <c r="A864" s="788" t="s">
        <v>237</v>
      </c>
      <c r="B864" s="187" t="s">
        <v>2644</v>
      </c>
      <c r="C864" s="215">
        <v>601840</v>
      </c>
      <c r="D864" s="215">
        <v>6126839</v>
      </c>
      <c r="F864" s="215">
        <f t="shared" si="80"/>
        <v>6126839</v>
      </c>
      <c r="G864" s="215">
        <f t="shared" si="81"/>
        <v>6728679</v>
      </c>
      <c r="H864" s="680" t="s">
        <v>6153</v>
      </c>
      <c r="I864" s="679"/>
      <c r="J864" s="187" t="str">
        <f t="shared" si="79"/>
        <v>161-921</v>
      </c>
      <c r="K864" s="187">
        <v>161</v>
      </c>
      <c r="L864" s="187">
        <v>921</v>
      </c>
      <c r="M864" s="187" t="str">
        <f t="shared" si="82"/>
        <v>161</v>
      </c>
      <c r="N864" s="187">
        <f t="shared" si="83"/>
        <v>921</v>
      </c>
      <c r="O864" s="187" t="str">
        <f t="shared" si="84"/>
        <v>161-921</v>
      </c>
      <c r="Q864" s="679" t="s">
        <v>6575</v>
      </c>
    </row>
    <row r="865" spans="1:17">
      <c r="A865" s="788" t="s">
        <v>2307</v>
      </c>
      <c r="B865" s="187" t="s">
        <v>365</v>
      </c>
      <c r="C865" s="215">
        <v>439699</v>
      </c>
      <c r="D865" s="215">
        <v>4352287</v>
      </c>
      <c r="F865" s="215">
        <f t="shared" si="80"/>
        <v>4352287</v>
      </c>
      <c r="G865" s="215">
        <f t="shared" si="81"/>
        <v>4791986</v>
      </c>
      <c r="H865" s="680" t="s">
        <v>6153</v>
      </c>
      <c r="I865" s="679"/>
      <c r="J865" s="187" t="str">
        <f t="shared" si="79"/>
        <v>161-922</v>
      </c>
      <c r="K865" s="187">
        <v>161</v>
      </c>
      <c r="L865" s="187">
        <v>922</v>
      </c>
      <c r="M865" s="187" t="str">
        <f t="shared" si="82"/>
        <v>161</v>
      </c>
      <c r="N865" s="187">
        <f t="shared" si="83"/>
        <v>922</v>
      </c>
      <c r="O865" s="187" t="str">
        <f t="shared" si="84"/>
        <v>161-922</v>
      </c>
      <c r="Q865" s="679" t="s">
        <v>6576</v>
      </c>
    </row>
    <row r="866" spans="1:17">
      <c r="A866" s="788" t="s">
        <v>957</v>
      </c>
      <c r="B866" s="187" t="s">
        <v>7664</v>
      </c>
      <c r="C866" s="215">
        <v>66594</v>
      </c>
      <c r="D866" s="215">
        <v>1297105</v>
      </c>
      <c r="F866" s="215">
        <f t="shared" si="80"/>
        <v>1297105</v>
      </c>
      <c r="G866" s="215">
        <f t="shared" si="81"/>
        <v>1363699</v>
      </c>
      <c r="H866" s="680" t="s">
        <v>6153</v>
      </c>
      <c r="I866" s="679"/>
      <c r="J866" s="187" t="str">
        <f t="shared" ref="J866:J929" si="85">+A866</f>
        <v>161-923</v>
      </c>
      <c r="K866" s="187">
        <v>161</v>
      </c>
      <c r="L866" s="187">
        <v>923</v>
      </c>
      <c r="M866" s="187" t="str">
        <f t="shared" si="82"/>
        <v>161</v>
      </c>
      <c r="N866" s="187">
        <f t="shared" si="83"/>
        <v>923</v>
      </c>
      <c r="O866" s="187" t="str">
        <f t="shared" si="84"/>
        <v>161-923</v>
      </c>
      <c r="Q866" s="679" t="s">
        <v>6577</v>
      </c>
    </row>
    <row r="867" spans="1:17">
      <c r="A867" s="788" t="s">
        <v>5056</v>
      </c>
      <c r="B867" s="187" t="s">
        <v>721</v>
      </c>
      <c r="C867" s="215">
        <v>0</v>
      </c>
      <c r="D867" s="215">
        <v>977029</v>
      </c>
      <c r="F867" s="215">
        <f t="shared" si="80"/>
        <v>977029</v>
      </c>
      <c r="G867" s="215">
        <f t="shared" si="81"/>
        <v>977029</v>
      </c>
      <c r="H867" s="680" t="s">
        <v>6153</v>
      </c>
      <c r="I867" s="679"/>
      <c r="J867" s="187" t="str">
        <f t="shared" si="85"/>
        <v>161-924</v>
      </c>
      <c r="K867" s="187">
        <v>161</v>
      </c>
      <c r="L867" s="187">
        <v>924</v>
      </c>
      <c r="M867" s="187" t="str">
        <f t="shared" si="82"/>
        <v>161</v>
      </c>
      <c r="N867" s="187">
        <f t="shared" si="83"/>
        <v>924</v>
      </c>
      <c r="O867" s="187" t="str">
        <f t="shared" si="84"/>
        <v>161-924</v>
      </c>
      <c r="Q867" s="679" t="s">
        <v>6578</v>
      </c>
    </row>
    <row r="868" spans="1:17">
      <c r="A868" s="788" t="s">
        <v>5137</v>
      </c>
      <c r="B868" s="187" t="s">
        <v>722</v>
      </c>
      <c r="C868" s="215">
        <v>0</v>
      </c>
      <c r="D868" s="215">
        <v>373785</v>
      </c>
      <c r="F868" s="215">
        <f t="shared" si="80"/>
        <v>373785</v>
      </c>
      <c r="G868" s="215">
        <f t="shared" si="81"/>
        <v>373785</v>
      </c>
      <c r="H868" s="680" t="s">
        <v>6153</v>
      </c>
      <c r="I868" s="679"/>
      <c r="J868" s="187" t="str">
        <f t="shared" si="85"/>
        <v>161-925</v>
      </c>
      <c r="K868" s="187">
        <v>161</v>
      </c>
      <c r="L868" s="187">
        <v>925</v>
      </c>
      <c r="M868" s="187" t="str">
        <f t="shared" si="82"/>
        <v>161</v>
      </c>
      <c r="N868" s="187">
        <f t="shared" si="83"/>
        <v>925</v>
      </c>
      <c r="O868" s="187" t="str">
        <f t="shared" si="84"/>
        <v>161-925</v>
      </c>
      <c r="Q868" s="679" t="s">
        <v>6579</v>
      </c>
    </row>
    <row r="869" spans="1:17">
      <c r="A869" s="788" t="s">
        <v>1151</v>
      </c>
      <c r="B869" s="187" t="s">
        <v>1152</v>
      </c>
      <c r="C869" s="215">
        <v>0</v>
      </c>
      <c r="D869" s="215">
        <v>0</v>
      </c>
      <c r="F869" s="215">
        <f t="shared" si="80"/>
        <v>0</v>
      </c>
      <c r="G869" s="215">
        <f t="shared" si="81"/>
        <v>0</v>
      </c>
      <c r="H869" s="680" t="s">
        <v>6153</v>
      </c>
      <c r="I869" s="679"/>
      <c r="J869" s="187" t="str">
        <f t="shared" si="85"/>
        <v>161-926</v>
      </c>
      <c r="K869" s="187">
        <v>161</v>
      </c>
      <c r="L869" s="187">
        <v>926</v>
      </c>
      <c r="M869" s="187" t="str">
        <f t="shared" si="82"/>
        <v>161</v>
      </c>
      <c r="N869" s="187">
        <f t="shared" si="83"/>
        <v>926</v>
      </c>
      <c r="O869" s="187" t="str">
        <f t="shared" si="84"/>
        <v>161-926</v>
      </c>
      <c r="Q869" s="679" t="s">
        <v>6443</v>
      </c>
    </row>
    <row r="870" spans="1:17">
      <c r="A870" s="788" t="s">
        <v>1153</v>
      </c>
      <c r="B870" s="187" t="s">
        <v>1152</v>
      </c>
      <c r="C870" s="215">
        <v>0</v>
      </c>
      <c r="D870" s="215">
        <v>0</v>
      </c>
      <c r="F870" s="215">
        <f t="shared" si="80"/>
        <v>0</v>
      </c>
      <c r="G870" s="215">
        <f t="shared" si="81"/>
        <v>0</v>
      </c>
      <c r="H870" s="680" t="s">
        <v>6153</v>
      </c>
      <c r="I870" s="679"/>
      <c r="J870" s="187" t="str">
        <f t="shared" si="85"/>
        <v>161-927</v>
      </c>
      <c r="K870" s="187">
        <v>161</v>
      </c>
      <c r="L870" s="187">
        <v>927</v>
      </c>
      <c r="M870" s="187" t="str">
        <f t="shared" si="82"/>
        <v>161</v>
      </c>
      <c r="N870" s="187">
        <f t="shared" si="83"/>
        <v>927</v>
      </c>
      <c r="O870" s="187" t="str">
        <f t="shared" si="84"/>
        <v>161-927</v>
      </c>
      <c r="Q870" s="679" t="s">
        <v>6444</v>
      </c>
    </row>
    <row r="871" spans="1:17">
      <c r="A871" s="788" t="s">
        <v>1154</v>
      </c>
      <c r="B871" s="187" t="s">
        <v>1155</v>
      </c>
      <c r="C871" s="215">
        <v>0</v>
      </c>
      <c r="D871" s="215">
        <v>0</v>
      </c>
      <c r="F871" s="215">
        <f t="shared" si="80"/>
        <v>0</v>
      </c>
      <c r="G871" s="215">
        <f t="shared" si="81"/>
        <v>0</v>
      </c>
      <c r="H871" s="680" t="s">
        <v>6153</v>
      </c>
      <c r="I871" s="679"/>
      <c r="J871" s="187" t="str">
        <f t="shared" si="85"/>
        <v>161-950</v>
      </c>
      <c r="K871" s="187">
        <v>161</v>
      </c>
      <c r="L871" s="187">
        <v>950</v>
      </c>
      <c r="M871" s="187" t="str">
        <f t="shared" si="82"/>
        <v>161</v>
      </c>
      <c r="N871" s="187">
        <f t="shared" si="83"/>
        <v>950</v>
      </c>
      <c r="O871" s="187" t="str">
        <f t="shared" si="84"/>
        <v>161-950</v>
      </c>
      <c r="Q871" s="679" t="s">
        <v>6445</v>
      </c>
    </row>
    <row r="872" spans="1:17">
      <c r="A872" s="788" t="s">
        <v>4568</v>
      </c>
      <c r="B872" s="187" t="s">
        <v>723</v>
      </c>
      <c r="C872" s="215">
        <v>394370</v>
      </c>
      <c r="D872" s="215">
        <v>3833617</v>
      </c>
      <c r="F872" s="215">
        <f t="shared" si="80"/>
        <v>3833617</v>
      </c>
      <c r="G872" s="215">
        <f t="shared" si="81"/>
        <v>4227987</v>
      </c>
      <c r="H872" s="680" t="s">
        <v>6153</v>
      </c>
      <c r="I872" s="679"/>
      <c r="J872" s="187" t="str">
        <f t="shared" si="85"/>
        <v>162-904</v>
      </c>
      <c r="K872" s="187">
        <v>162</v>
      </c>
      <c r="L872" s="187">
        <v>904</v>
      </c>
      <c r="M872" s="187" t="str">
        <f t="shared" si="82"/>
        <v>162</v>
      </c>
      <c r="N872" s="187">
        <f t="shared" si="83"/>
        <v>904</v>
      </c>
      <c r="O872" s="187" t="str">
        <f t="shared" si="84"/>
        <v>162-904</v>
      </c>
      <c r="Q872" s="679" t="s">
        <v>6580</v>
      </c>
    </row>
    <row r="873" spans="1:17">
      <c r="A873" s="788" t="s">
        <v>2053</v>
      </c>
      <c r="B873" s="187" t="s">
        <v>999</v>
      </c>
      <c r="C873" s="215">
        <v>109143</v>
      </c>
      <c r="D873" s="215">
        <v>3046812</v>
      </c>
      <c r="F873" s="215">
        <f t="shared" si="80"/>
        <v>3046812</v>
      </c>
      <c r="G873" s="215">
        <f t="shared" si="81"/>
        <v>3155955</v>
      </c>
      <c r="H873" s="680" t="s">
        <v>6153</v>
      </c>
      <c r="I873" s="679"/>
      <c r="J873" s="187" t="str">
        <f t="shared" si="85"/>
        <v>163-901</v>
      </c>
      <c r="K873" s="187">
        <v>163</v>
      </c>
      <c r="L873" s="187">
        <v>901</v>
      </c>
      <c r="M873" s="187" t="str">
        <f t="shared" si="82"/>
        <v>163</v>
      </c>
      <c r="N873" s="187">
        <f t="shared" si="83"/>
        <v>901</v>
      </c>
      <c r="O873" s="187" t="str">
        <f t="shared" si="84"/>
        <v>163-901</v>
      </c>
      <c r="Q873" s="679" t="s">
        <v>6581</v>
      </c>
    </row>
    <row r="874" spans="1:17">
      <c r="A874" s="788" t="s">
        <v>1846</v>
      </c>
      <c r="B874" s="187" t="s">
        <v>1001</v>
      </c>
      <c r="C874" s="215">
        <v>42267</v>
      </c>
      <c r="D874" s="215">
        <v>828957</v>
      </c>
      <c r="F874" s="215">
        <f t="shared" si="80"/>
        <v>828957</v>
      </c>
      <c r="G874" s="215">
        <f t="shared" si="81"/>
        <v>871224</v>
      </c>
      <c r="H874" s="680" t="s">
        <v>6153</v>
      </c>
      <c r="I874" s="679"/>
      <c r="J874" s="187" t="str">
        <f t="shared" si="85"/>
        <v>163-902</v>
      </c>
      <c r="K874" s="187">
        <v>163</v>
      </c>
      <c r="L874" s="187">
        <v>902</v>
      </c>
      <c r="M874" s="187" t="str">
        <f t="shared" si="82"/>
        <v>163</v>
      </c>
      <c r="N874" s="187">
        <f t="shared" si="83"/>
        <v>902</v>
      </c>
      <c r="O874" s="187" t="str">
        <f t="shared" si="84"/>
        <v>163-902</v>
      </c>
      <c r="Q874" s="679" t="s">
        <v>6582</v>
      </c>
    </row>
    <row r="875" spans="1:17">
      <c r="A875" s="788" t="s">
        <v>5239</v>
      </c>
      <c r="B875" s="187" t="s">
        <v>505</v>
      </c>
      <c r="C875" s="215">
        <v>110956</v>
      </c>
      <c r="D875" s="215">
        <v>1337577</v>
      </c>
      <c r="F875" s="215">
        <f t="shared" si="80"/>
        <v>1337577</v>
      </c>
      <c r="G875" s="215">
        <f t="shared" si="81"/>
        <v>1448533</v>
      </c>
      <c r="H875" s="680" t="s">
        <v>6153</v>
      </c>
      <c r="I875" s="679"/>
      <c r="J875" s="187" t="str">
        <f t="shared" si="85"/>
        <v>163-903</v>
      </c>
      <c r="K875" s="187">
        <v>163</v>
      </c>
      <c r="L875" s="187">
        <v>903</v>
      </c>
      <c r="M875" s="187" t="str">
        <f t="shared" si="82"/>
        <v>163</v>
      </c>
      <c r="N875" s="187">
        <f t="shared" si="83"/>
        <v>903</v>
      </c>
      <c r="O875" s="187" t="str">
        <f t="shared" si="84"/>
        <v>163-903</v>
      </c>
      <c r="Q875" s="679" t="s">
        <v>6583</v>
      </c>
    </row>
    <row r="876" spans="1:17">
      <c r="A876" s="788" t="s">
        <v>1870</v>
      </c>
      <c r="B876" s="187" t="s">
        <v>3849</v>
      </c>
      <c r="C876" s="215">
        <v>244722</v>
      </c>
      <c r="D876" s="215">
        <v>4080674</v>
      </c>
      <c r="F876" s="215">
        <f t="shared" si="80"/>
        <v>4080674</v>
      </c>
      <c r="G876" s="215">
        <f t="shared" si="81"/>
        <v>4325396</v>
      </c>
      <c r="H876" s="680" t="s">
        <v>6153</v>
      </c>
      <c r="I876" s="679"/>
      <c r="J876" s="187" t="str">
        <f t="shared" si="85"/>
        <v>163-904</v>
      </c>
      <c r="K876" s="187">
        <v>163</v>
      </c>
      <c r="L876" s="187">
        <v>904</v>
      </c>
      <c r="M876" s="187" t="str">
        <f t="shared" si="82"/>
        <v>163</v>
      </c>
      <c r="N876" s="187">
        <f t="shared" si="83"/>
        <v>904</v>
      </c>
      <c r="O876" s="187" t="str">
        <f t="shared" si="84"/>
        <v>163-904</v>
      </c>
      <c r="Q876" s="679" t="s">
        <v>6584</v>
      </c>
    </row>
    <row r="877" spans="1:17">
      <c r="A877" s="788" t="s">
        <v>6169</v>
      </c>
      <c r="B877" s="187" t="s">
        <v>6079</v>
      </c>
      <c r="C877" s="215">
        <v>783429</v>
      </c>
      <c r="D877" s="215">
        <v>7610716</v>
      </c>
      <c r="F877" s="215">
        <f t="shared" si="80"/>
        <v>7610716</v>
      </c>
      <c r="G877" s="215">
        <f t="shared" si="81"/>
        <v>8394145</v>
      </c>
      <c r="H877" s="680" t="s">
        <v>6153</v>
      </c>
      <c r="I877" s="679"/>
      <c r="J877" s="187" t="str">
        <f t="shared" si="85"/>
        <v>163-908</v>
      </c>
      <c r="K877" s="187">
        <v>163</v>
      </c>
      <c r="L877" s="187">
        <v>908</v>
      </c>
      <c r="M877" s="187" t="str">
        <f t="shared" si="82"/>
        <v>163</v>
      </c>
      <c r="N877" s="187">
        <f t="shared" si="83"/>
        <v>908</v>
      </c>
      <c r="O877" s="187" t="str">
        <f t="shared" si="84"/>
        <v>163-908</v>
      </c>
      <c r="Q877" s="679" t="s">
        <v>6585</v>
      </c>
    </row>
    <row r="878" spans="1:17">
      <c r="A878" s="788" t="s">
        <v>574</v>
      </c>
      <c r="B878" s="187" t="s">
        <v>724</v>
      </c>
      <c r="C878" s="215">
        <v>0</v>
      </c>
      <c r="D878" s="215">
        <v>1261478</v>
      </c>
      <c r="F878" s="215">
        <f t="shared" si="80"/>
        <v>1261478</v>
      </c>
      <c r="G878" s="215">
        <f t="shared" si="81"/>
        <v>1261478</v>
      </c>
      <c r="H878" s="680" t="s">
        <v>6153</v>
      </c>
      <c r="I878" s="679"/>
      <c r="J878" s="187" t="str">
        <f t="shared" si="85"/>
        <v>164-901</v>
      </c>
      <c r="K878" s="187">
        <v>164</v>
      </c>
      <c r="L878" s="187">
        <v>901</v>
      </c>
      <c r="M878" s="187" t="str">
        <f t="shared" si="82"/>
        <v>164</v>
      </c>
      <c r="N878" s="187">
        <f t="shared" si="83"/>
        <v>901</v>
      </c>
      <c r="O878" s="187" t="str">
        <f t="shared" si="84"/>
        <v>164-901</v>
      </c>
      <c r="Q878" s="679" t="s">
        <v>6586</v>
      </c>
    </row>
    <row r="879" spans="1:17">
      <c r="A879" s="788" t="s">
        <v>1156</v>
      </c>
      <c r="B879" s="187" t="s">
        <v>1157</v>
      </c>
      <c r="C879" s="215">
        <v>0</v>
      </c>
      <c r="D879" s="215">
        <v>0</v>
      </c>
      <c r="F879" s="215">
        <f t="shared" si="80"/>
        <v>0</v>
      </c>
      <c r="G879" s="215">
        <f t="shared" si="81"/>
        <v>0</v>
      </c>
      <c r="H879" s="680" t="s">
        <v>6153</v>
      </c>
      <c r="I879" s="679"/>
      <c r="J879" s="187" t="str">
        <f t="shared" si="85"/>
        <v>165-801</v>
      </c>
      <c r="K879" s="187">
        <v>165</v>
      </c>
      <c r="L879" s="187">
        <v>801</v>
      </c>
      <c r="M879" s="187" t="str">
        <f t="shared" si="82"/>
        <v>165</v>
      </c>
      <c r="N879" s="187">
        <f t="shared" si="83"/>
        <v>801</v>
      </c>
      <c r="O879" s="187" t="str">
        <f t="shared" si="84"/>
        <v>165-801</v>
      </c>
      <c r="Q879" s="679" t="s">
        <v>6446</v>
      </c>
    </row>
    <row r="880" spans="1:17">
      <c r="A880" s="788" t="s">
        <v>1158</v>
      </c>
      <c r="B880" s="187" t="s">
        <v>1159</v>
      </c>
      <c r="C880" s="215">
        <v>0</v>
      </c>
      <c r="D880" s="215">
        <v>0</v>
      </c>
      <c r="F880" s="215">
        <f t="shared" si="80"/>
        <v>0</v>
      </c>
      <c r="G880" s="215">
        <f t="shared" si="81"/>
        <v>0</v>
      </c>
      <c r="H880" s="680" t="s">
        <v>6153</v>
      </c>
      <c r="I880" s="679"/>
      <c r="J880" s="187" t="str">
        <f t="shared" si="85"/>
        <v>165-802</v>
      </c>
      <c r="K880" s="187">
        <v>165</v>
      </c>
      <c r="L880" s="187">
        <v>802</v>
      </c>
      <c r="M880" s="187" t="str">
        <f t="shared" si="82"/>
        <v>165</v>
      </c>
      <c r="N880" s="187">
        <f t="shared" si="83"/>
        <v>802</v>
      </c>
      <c r="O880" s="187" t="str">
        <f t="shared" si="84"/>
        <v>165-802</v>
      </c>
      <c r="Q880" s="679" t="s">
        <v>6447</v>
      </c>
    </row>
    <row r="881" spans="1:17">
      <c r="A881" s="788" t="s">
        <v>576</v>
      </c>
      <c r="B881" s="187" t="s">
        <v>1160</v>
      </c>
      <c r="C881" s="215">
        <v>0</v>
      </c>
      <c r="D881" s="215">
        <v>0</v>
      </c>
      <c r="F881" s="215">
        <f t="shared" si="80"/>
        <v>0</v>
      </c>
      <c r="G881" s="215">
        <f t="shared" si="81"/>
        <v>0</v>
      </c>
      <c r="H881" s="680" t="s">
        <v>6153</v>
      </c>
      <c r="I881" s="679"/>
      <c r="J881" s="187" t="str">
        <f t="shared" si="85"/>
        <v>165-803</v>
      </c>
      <c r="K881" s="187">
        <v>165</v>
      </c>
      <c r="L881" s="187">
        <v>803</v>
      </c>
      <c r="M881" s="187" t="str">
        <f t="shared" si="82"/>
        <v>165</v>
      </c>
      <c r="N881" s="187">
        <f t="shared" si="83"/>
        <v>803</v>
      </c>
      <c r="O881" s="187" t="str">
        <f t="shared" si="84"/>
        <v>165-803</v>
      </c>
      <c r="Q881" s="679" t="s">
        <v>6448</v>
      </c>
    </row>
    <row r="882" spans="1:17">
      <c r="A882" s="788" t="s">
        <v>6172</v>
      </c>
      <c r="B882" s="187" t="s">
        <v>497</v>
      </c>
      <c r="C882" s="215">
        <v>7023218</v>
      </c>
      <c r="D882" s="215">
        <v>74064168</v>
      </c>
      <c r="F882" s="215">
        <f t="shared" si="80"/>
        <v>74064168</v>
      </c>
      <c r="G882" s="215">
        <f t="shared" si="81"/>
        <v>81087386</v>
      </c>
      <c r="H882" s="680" t="s">
        <v>6153</v>
      </c>
      <c r="I882" s="679"/>
      <c r="J882" s="187" t="str">
        <f t="shared" si="85"/>
        <v>165-901</v>
      </c>
      <c r="K882" s="187">
        <v>165</v>
      </c>
      <c r="L882" s="187">
        <v>901</v>
      </c>
      <c r="M882" s="187" t="str">
        <f t="shared" si="82"/>
        <v>165</v>
      </c>
      <c r="N882" s="187">
        <f t="shared" si="83"/>
        <v>901</v>
      </c>
      <c r="O882" s="187" t="str">
        <f t="shared" si="84"/>
        <v>165-901</v>
      </c>
      <c r="Q882" s="679" t="s">
        <v>6587</v>
      </c>
    </row>
    <row r="883" spans="1:17">
      <c r="A883" s="788" t="s">
        <v>578</v>
      </c>
      <c r="B883" s="187" t="s">
        <v>725</v>
      </c>
      <c r="C883" s="215">
        <v>810678</v>
      </c>
      <c r="D883" s="215">
        <v>4138767</v>
      </c>
      <c r="F883" s="215">
        <f t="shared" si="80"/>
        <v>4138767</v>
      </c>
      <c r="G883" s="215">
        <f t="shared" si="81"/>
        <v>4949445</v>
      </c>
      <c r="H883" s="680" t="s">
        <v>6153</v>
      </c>
      <c r="I883" s="679"/>
      <c r="J883" s="187" t="str">
        <f t="shared" si="85"/>
        <v>165-902</v>
      </c>
      <c r="K883" s="187">
        <v>165</v>
      </c>
      <c r="L883" s="187">
        <v>902</v>
      </c>
      <c r="M883" s="187" t="str">
        <f t="shared" si="82"/>
        <v>165</v>
      </c>
      <c r="N883" s="187">
        <f t="shared" si="83"/>
        <v>902</v>
      </c>
      <c r="O883" s="187" t="str">
        <f t="shared" si="84"/>
        <v>165-902</v>
      </c>
      <c r="Q883" s="679" t="s">
        <v>6588</v>
      </c>
    </row>
    <row r="884" spans="1:17">
      <c r="A884" s="788" t="s">
        <v>1161</v>
      </c>
      <c r="B884" s="187" t="s">
        <v>1162</v>
      </c>
      <c r="C884" s="215">
        <v>0</v>
      </c>
      <c r="D884" s="215">
        <v>0</v>
      </c>
      <c r="F884" s="215">
        <f t="shared" si="80"/>
        <v>0</v>
      </c>
      <c r="G884" s="215">
        <f t="shared" si="81"/>
        <v>0</v>
      </c>
      <c r="H884" s="680" t="s">
        <v>6153</v>
      </c>
      <c r="I884" s="679"/>
      <c r="J884" s="187" t="str">
        <f t="shared" si="85"/>
        <v>165-950</v>
      </c>
      <c r="K884" s="187">
        <v>165</v>
      </c>
      <c r="L884" s="187">
        <v>950</v>
      </c>
      <c r="M884" s="187" t="str">
        <f t="shared" si="82"/>
        <v>165</v>
      </c>
      <c r="N884" s="187">
        <f t="shared" si="83"/>
        <v>950</v>
      </c>
      <c r="O884" s="187" t="str">
        <f t="shared" si="84"/>
        <v>165-950</v>
      </c>
      <c r="Q884" s="679" t="s">
        <v>6449</v>
      </c>
    </row>
    <row r="885" spans="1:17">
      <c r="A885" s="788" t="s">
        <v>980</v>
      </c>
      <c r="B885" s="187" t="s">
        <v>6098</v>
      </c>
      <c r="C885" s="215">
        <v>656321</v>
      </c>
      <c r="D885" s="215">
        <v>3127567</v>
      </c>
      <c r="F885" s="215">
        <f t="shared" si="80"/>
        <v>3127567</v>
      </c>
      <c r="G885" s="215">
        <f t="shared" si="81"/>
        <v>3783888</v>
      </c>
      <c r="H885" s="680" t="s">
        <v>6153</v>
      </c>
      <c r="I885" s="679"/>
      <c r="J885" s="187" t="str">
        <f t="shared" si="85"/>
        <v>166-901</v>
      </c>
      <c r="K885" s="187">
        <v>166</v>
      </c>
      <c r="L885" s="187">
        <v>901</v>
      </c>
      <c r="M885" s="187" t="str">
        <f t="shared" si="82"/>
        <v>166</v>
      </c>
      <c r="N885" s="187">
        <f t="shared" si="83"/>
        <v>901</v>
      </c>
      <c r="O885" s="187" t="str">
        <f t="shared" si="84"/>
        <v>166-901</v>
      </c>
      <c r="Q885" s="679" t="s">
        <v>6589</v>
      </c>
    </row>
    <row r="886" spans="1:17">
      <c r="A886" s="788" t="s">
        <v>3972</v>
      </c>
      <c r="B886" s="187" t="s">
        <v>726</v>
      </c>
      <c r="C886" s="215">
        <v>375</v>
      </c>
      <c r="D886" s="215">
        <v>743164</v>
      </c>
      <c r="F886" s="215">
        <f t="shared" si="80"/>
        <v>743164</v>
      </c>
      <c r="G886" s="215">
        <f t="shared" si="81"/>
        <v>743539</v>
      </c>
      <c r="H886" s="680" t="s">
        <v>6153</v>
      </c>
      <c r="I886" s="679"/>
      <c r="J886" s="187" t="str">
        <f t="shared" si="85"/>
        <v>166-902</v>
      </c>
      <c r="K886" s="187">
        <v>166</v>
      </c>
      <c r="L886" s="187">
        <v>902</v>
      </c>
      <c r="M886" s="187" t="str">
        <f t="shared" si="82"/>
        <v>166</v>
      </c>
      <c r="N886" s="187">
        <f t="shared" si="83"/>
        <v>902</v>
      </c>
      <c r="O886" s="187" t="str">
        <f t="shared" si="84"/>
        <v>166-902</v>
      </c>
      <c r="Q886" s="679" t="s">
        <v>6590</v>
      </c>
    </row>
    <row r="887" spans="1:17">
      <c r="A887" s="788" t="s">
        <v>6173</v>
      </c>
      <c r="B887" s="187" t="s">
        <v>727</v>
      </c>
      <c r="C887" s="215">
        <v>0</v>
      </c>
      <c r="D887" s="215">
        <v>786182</v>
      </c>
      <c r="F887" s="215">
        <f t="shared" si="80"/>
        <v>786182</v>
      </c>
      <c r="G887" s="215">
        <f t="shared" si="81"/>
        <v>786182</v>
      </c>
      <c r="H887" s="680" t="s">
        <v>6153</v>
      </c>
      <c r="I887" s="679"/>
      <c r="J887" s="187" t="str">
        <f t="shared" si="85"/>
        <v>166-903</v>
      </c>
      <c r="K887" s="187">
        <v>166</v>
      </c>
      <c r="L887" s="187">
        <v>903</v>
      </c>
      <c r="M887" s="187" t="str">
        <f t="shared" si="82"/>
        <v>166</v>
      </c>
      <c r="N887" s="187">
        <f t="shared" si="83"/>
        <v>903</v>
      </c>
      <c r="O887" s="187" t="str">
        <f t="shared" si="84"/>
        <v>166-903</v>
      </c>
      <c r="Q887" s="679" t="s">
        <v>6591</v>
      </c>
    </row>
    <row r="888" spans="1:17">
      <c r="A888" s="788" t="s">
        <v>3974</v>
      </c>
      <c r="B888" s="187" t="s">
        <v>728</v>
      </c>
      <c r="C888" s="215">
        <v>0</v>
      </c>
      <c r="D888" s="215">
        <v>8692106</v>
      </c>
      <c r="F888" s="215">
        <f t="shared" si="80"/>
        <v>8692106</v>
      </c>
      <c r="G888" s="215">
        <f t="shared" si="81"/>
        <v>8692106</v>
      </c>
      <c r="H888" s="680" t="s">
        <v>6153</v>
      </c>
      <c r="I888" s="679"/>
      <c r="J888" s="187" t="str">
        <f t="shared" si="85"/>
        <v>166-904</v>
      </c>
      <c r="K888" s="187">
        <v>166</v>
      </c>
      <c r="L888" s="187">
        <v>904</v>
      </c>
      <c r="M888" s="187" t="str">
        <f t="shared" si="82"/>
        <v>166</v>
      </c>
      <c r="N888" s="187">
        <f t="shared" si="83"/>
        <v>904</v>
      </c>
      <c r="O888" s="187" t="str">
        <f t="shared" si="84"/>
        <v>166-904</v>
      </c>
      <c r="Q888" s="679" t="s">
        <v>6592</v>
      </c>
    </row>
    <row r="889" spans="1:17">
      <c r="A889" s="788" t="s">
        <v>814</v>
      </c>
      <c r="B889" s="187" t="s">
        <v>729</v>
      </c>
      <c r="C889" s="215">
        <v>133424</v>
      </c>
      <c r="D889" s="215">
        <v>1176989</v>
      </c>
      <c r="F889" s="215">
        <f t="shared" si="80"/>
        <v>1176989</v>
      </c>
      <c r="G889" s="215">
        <f t="shared" si="81"/>
        <v>1310413</v>
      </c>
      <c r="H889" s="680" t="s">
        <v>6153</v>
      </c>
      <c r="I889" s="679"/>
      <c r="J889" s="187" t="str">
        <f t="shared" si="85"/>
        <v>166-905</v>
      </c>
      <c r="K889" s="187">
        <v>166</v>
      </c>
      <c r="L889" s="187">
        <v>905</v>
      </c>
      <c r="M889" s="187" t="str">
        <f t="shared" si="82"/>
        <v>166</v>
      </c>
      <c r="N889" s="187">
        <f t="shared" si="83"/>
        <v>905</v>
      </c>
      <c r="O889" s="187" t="str">
        <f t="shared" si="84"/>
        <v>166-905</v>
      </c>
      <c r="Q889" s="679" t="s">
        <v>6593</v>
      </c>
    </row>
    <row r="890" spans="1:17">
      <c r="A890" s="788" t="s">
        <v>4587</v>
      </c>
      <c r="B890" s="187" t="s">
        <v>2144</v>
      </c>
      <c r="C890" s="215">
        <v>617</v>
      </c>
      <c r="D890" s="215">
        <v>327518</v>
      </c>
      <c r="F890" s="215">
        <f t="shared" si="80"/>
        <v>327518</v>
      </c>
      <c r="G890" s="215">
        <f t="shared" si="81"/>
        <v>328135</v>
      </c>
      <c r="H890" s="680" t="s">
        <v>6153</v>
      </c>
      <c r="I890" s="679"/>
      <c r="J890" s="187" t="str">
        <f t="shared" si="85"/>
        <v>166-907</v>
      </c>
      <c r="K890" s="187">
        <v>166</v>
      </c>
      <c r="L890" s="187">
        <v>907</v>
      </c>
      <c r="M890" s="187" t="str">
        <f t="shared" si="82"/>
        <v>166</v>
      </c>
      <c r="N890" s="187">
        <f t="shared" si="83"/>
        <v>907</v>
      </c>
      <c r="O890" s="187" t="str">
        <f t="shared" si="84"/>
        <v>166-907</v>
      </c>
      <c r="Q890" s="679" t="s">
        <v>6594</v>
      </c>
    </row>
    <row r="891" spans="1:17">
      <c r="A891" s="788" t="s">
        <v>1852</v>
      </c>
      <c r="B891" s="187" t="s">
        <v>4963</v>
      </c>
      <c r="C891" s="215">
        <v>118660</v>
      </c>
      <c r="D891" s="215">
        <v>1299074</v>
      </c>
      <c r="F891" s="215">
        <f t="shared" si="80"/>
        <v>1299074</v>
      </c>
      <c r="G891" s="215">
        <f t="shared" si="81"/>
        <v>1417734</v>
      </c>
      <c r="H891" s="680" t="s">
        <v>6153</v>
      </c>
      <c r="I891" s="679"/>
      <c r="J891" s="187" t="str">
        <f t="shared" si="85"/>
        <v>167-901</v>
      </c>
      <c r="K891" s="187">
        <v>167</v>
      </c>
      <c r="L891" s="187">
        <v>901</v>
      </c>
      <c r="M891" s="187" t="str">
        <f t="shared" si="82"/>
        <v>167</v>
      </c>
      <c r="N891" s="187">
        <f t="shared" si="83"/>
        <v>901</v>
      </c>
      <c r="O891" s="187" t="str">
        <f t="shared" si="84"/>
        <v>167-901</v>
      </c>
      <c r="Q891" s="679" t="s">
        <v>6595</v>
      </c>
    </row>
    <row r="892" spans="1:17">
      <c r="A892" s="788" t="s">
        <v>141</v>
      </c>
      <c r="B892" s="187" t="s">
        <v>730</v>
      </c>
      <c r="C892" s="215">
        <v>0</v>
      </c>
      <c r="D892" s="215">
        <v>536229</v>
      </c>
      <c r="F892" s="215">
        <f t="shared" si="80"/>
        <v>536229</v>
      </c>
      <c r="G892" s="215">
        <f t="shared" si="81"/>
        <v>536229</v>
      </c>
      <c r="H892" s="680" t="s">
        <v>6153</v>
      </c>
      <c r="I892" s="679"/>
      <c r="J892" s="187" t="str">
        <f t="shared" si="85"/>
        <v>167-902</v>
      </c>
      <c r="K892" s="187">
        <v>167</v>
      </c>
      <c r="L892" s="187">
        <v>902</v>
      </c>
      <c r="M892" s="187" t="str">
        <f t="shared" si="82"/>
        <v>167</v>
      </c>
      <c r="N892" s="187">
        <f t="shared" si="83"/>
        <v>902</v>
      </c>
      <c r="O892" s="187" t="str">
        <f t="shared" si="84"/>
        <v>167-902</v>
      </c>
      <c r="Q892" s="679" t="s">
        <v>6596</v>
      </c>
    </row>
    <row r="893" spans="1:17">
      <c r="A893" s="788" t="s">
        <v>143</v>
      </c>
      <c r="B893" s="187" t="s">
        <v>524</v>
      </c>
      <c r="C893" s="215">
        <v>0</v>
      </c>
      <c r="D893" s="215">
        <v>219177</v>
      </c>
      <c r="F893" s="215">
        <f t="shared" si="80"/>
        <v>219177</v>
      </c>
      <c r="G893" s="215">
        <f t="shared" si="81"/>
        <v>219177</v>
      </c>
      <c r="H893" s="680" t="s">
        <v>6153</v>
      </c>
      <c r="I893" s="679"/>
      <c r="J893" s="187" t="str">
        <f t="shared" si="85"/>
        <v>167-903</v>
      </c>
      <c r="K893" s="187">
        <v>167</v>
      </c>
      <c r="L893" s="187">
        <v>903</v>
      </c>
      <c r="M893" s="187" t="str">
        <f t="shared" si="82"/>
        <v>167</v>
      </c>
      <c r="N893" s="187">
        <f t="shared" si="83"/>
        <v>903</v>
      </c>
      <c r="O893" s="187" t="str">
        <f t="shared" si="84"/>
        <v>167-903</v>
      </c>
      <c r="Q893" s="679" t="s">
        <v>6597</v>
      </c>
    </row>
    <row r="894" spans="1:17">
      <c r="A894" s="788" t="s">
        <v>1847</v>
      </c>
      <c r="B894" s="187" t="s">
        <v>351</v>
      </c>
      <c r="C894" s="215">
        <v>7579</v>
      </c>
      <c r="D894" s="215">
        <v>175850</v>
      </c>
      <c r="F894" s="215">
        <f t="shared" si="80"/>
        <v>175850</v>
      </c>
      <c r="G894" s="215">
        <f t="shared" si="81"/>
        <v>183429</v>
      </c>
      <c r="H894" s="680" t="s">
        <v>6153</v>
      </c>
      <c r="I894" s="679"/>
      <c r="J894" s="187" t="str">
        <f t="shared" si="85"/>
        <v>167-904</v>
      </c>
      <c r="K894" s="187">
        <v>167</v>
      </c>
      <c r="L894" s="187">
        <v>904</v>
      </c>
      <c r="M894" s="187" t="str">
        <f t="shared" si="82"/>
        <v>167</v>
      </c>
      <c r="N894" s="187">
        <f t="shared" si="83"/>
        <v>904</v>
      </c>
      <c r="O894" s="187" t="str">
        <f t="shared" si="84"/>
        <v>167-904</v>
      </c>
      <c r="Q894" s="679" t="s">
        <v>6598</v>
      </c>
    </row>
    <row r="895" spans="1:17">
      <c r="A895" s="788" t="s">
        <v>145</v>
      </c>
      <c r="B895" s="187" t="s">
        <v>525</v>
      </c>
      <c r="C895" s="215">
        <v>0</v>
      </c>
      <c r="D895" s="215">
        <v>2997985</v>
      </c>
      <c r="F895" s="215">
        <f t="shared" si="80"/>
        <v>2997985</v>
      </c>
      <c r="G895" s="215">
        <f t="shared" si="81"/>
        <v>2997985</v>
      </c>
      <c r="H895" s="680" t="s">
        <v>6153</v>
      </c>
      <c r="I895" s="679"/>
      <c r="J895" s="187" t="str">
        <f t="shared" si="85"/>
        <v>168-901</v>
      </c>
      <c r="K895" s="187">
        <v>168</v>
      </c>
      <c r="L895" s="187">
        <v>901</v>
      </c>
      <c r="M895" s="187" t="str">
        <f t="shared" si="82"/>
        <v>168</v>
      </c>
      <c r="N895" s="187">
        <f t="shared" si="83"/>
        <v>901</v>
      </c>
      <c r="O895" s="187" t="str">
        <f t="shared" si="84"/>
        <v>168-901</v>
      </c>
      <c r="Q895" s="679" t="s">
        <v>6599</v>
      </c>
    </row>
    <row r="896" spans="1:17">
      <c r="A896" s="788" t="s">
        <v>147</v>
      </c>
      <c r="B896" s="187" t="s">
        <v>526</v>
      </c>
      <c r="C896" s="215">
        <v>0</v>
      </c>
      <c r="D896" s="215">
        <v>360821</v>
      </c>
      <c r="F896" s="215">
        <f t="shared" si="80"/>
        <v>360821</v>
      </c>
      <c r="G896" s="215">
        <f t="shared" si="81"/>
        <v>360821</v>
      </c>
      <c r="H896" s="680" t="s">
        <v>6153</v>
      </c>
      <c r="I896" s="679"/>
      <c r="J896" s="187" t="str">
        <f t="shared" si="85"/>
        <v>168-902</v>
      </c>
      <c r="K896" s="187">
        <v>168</v>
      </c>
      <c r="L896" s="187">
        <v>902</v>
      </c>
      <c r="M896" s="187" t="str">
        <f t="shared" si="82"/>
        <v>168</v>
      </c>
      <c r="N896" s="187">
        <f t="shared" si="83"/>
        <v>902</v>
      </c>
      <c r="O896" s="187" t="str">
        <f t="shared" si="84"/>
        <v>168-902</v>
      </c>
      <c r="Q896" s="679" t="s">
        <v>6600</v>
      </c>
    </row>
    <row r="897" spans="1:17">
      <c r="A897" s="788" t="s">
        <v>149</v>
      </c>
      <c r="B897" s="187" t="s">
        <v>527</v>
      </c>
      <c r="C897" s="215">
        <v>0</v>
      </c>
      <c r="D897" s="215">
        <v>1796712</v>
      </c>
      <c r="F897" s="215">
        <f t="shared" si="80"/>
        <v>1796712</v>
      </c>
      <c r="G897" s="215">
        <f t="shared" si="81"/>
        <v>1796712</v>
      </c>
      <c r="H897" s="680" t="s">
        <v>6153</v>
      </c>
      <c r="I897" s="679"/>
      <c r="J897" s="187" t="str">
        <f t="shared" si="85"/>
        <v>168-903</v>
      </c>
      <c r="K897" s="187">
        <v>168</v>
      </c>
      <c r="L897" s="187">
        <v>903</v>
      </c>
      <c r="M897" s="187" t="str">
        <f t="shared" si="82"/>
        <v>168</v>
      </c>
      <c r="N897" s="187">
        <f t="shared" si="83"/>
        <v>903</v>
      </c>
      <c r="O897" s="187" t="str">
        <f t="shared" si="84"/>
        <v>168-903</v>
      </c>
      <c r="Q897" s="679" t="s">
        <v>6601</v>
      </c>
    </row>
    <row r="898" spans="1:17">
      <c r="A898" s="788" t="s">
        <v>1956</v>
      </c>
      <c r="B898" s="187" t="s">
        <v>528</v>
      </c>
      <c r="C898" s="215">
        <v>0</v>
      </c>
      <c r="D898" s="215">
        <v>5245858</v>
      </c>
      <c r="F898" s="215">
        <f t="shared" si="80"/>
        <v>5245858</v>
      </c>
      <c r="G898" s="215">
        <f t="shared" si="81"/>
        <v>5245858</v>
      </c>
      <c r="H898" s="680" t="s">
        <v>6153</v>
      </c>
      <c r="I898" s="679"/>
      <c r="J898" s="187" t="str">
        <f t="shared" si="85"/>
        <v>169-901</v>
      </c>
      <c r="K898" s="187">
        <v>169</v>
      </c>
      <c r="L898" s="187">
        <v>901</v>
      </c>
      <c r="M898" s="187" t="str">
        <f t="shared" si="82"/>
        <v>169</v>
      </c>
      <c r="N898" s="187">
        <f t="shared" si="83"/>
        <v>901</v>
      </c>
      <c r="O898" s="187" t="str">
        <f t="shared" si="84"/>
        <v>169-901</v>
      </c>
      <c r="Q898" s="679" t="s">
        <v>6602</v>
      </c>
    </row>
    <row r="899" spans="1:17">
      <c r="A899" s="788" t="s">
        <v>1958</v>
      </c>
      <c r="B899" s="187" t="s">
        <v>529</v>
      </c>
      <c r="C899" s="215">
        <v>0</v>
      </c>
      <c r="D899" s="215">
        <v>1920101</v>
      </c>
      <c r="F899" s="215">
        <f t="shared" si="80"/>
        <v>1920101</v>
      </c>
      <c r="G899" s="215">
        <f t="shared" si="81"/>
        <v>1920101</v>
      </c>
      <c r="H899" s="680" t="s">
        <v>6153</v>
      </c>
      <c r="I899" s="679"/>
      <c r="J899" s="187" t="str">
        <f t="shared" si="85"/>
        <v>169-902</v>
      </c>
      <c r="K899" s="187">
        <v>169</v>
      </c>
      <c r="L899" s="187">
        <v>902</v>
      </c>
      <c r="M899" s="187" t="str">
        <f t="shared" si="82"/>
        <v>169</v>
      </c>
      <c r="N899" s="187">
        <f t="shared" si="83"/>
        <v>902</v>
      </c>
      <c r="O899" s="187" t="str">
        <f t="shared" si="84"/>
        <v>169-902</v>
      </c>
      <c r="Q899" s="679" t="s">
        <v>6603</v>
      </c>
    </row>
    <row r="900" spans="1:17">
      <c r="A900" s="788" t="s">
        <v>1960</v>
      </c>
      <c r="B900" s="187" t="s">
        <v>530</v>
      </c>
      <c r="C900" s="215">
        <v>115668</v>
      </c>
      <c r="D900" s="215">
        <v>666243</v>
      </c>
      <c r="F900" s="215">
        <f t="shared" ref="F900:F963" si="86">D900+E900</f>
        <v>666243</v>
      </c>
      <c r="G900" s="215">
        <f t="shared" ref="G900:G963" si="87">F900+C900</f>
        <v>781911</v>
      </c>
      <c r="H900" s="680" t="s">
        <v>6153</v>
      </c>
      <c r="I900" s="679"/>
      <c r="J900" s="187" t="str">
        <f t="shared" si="85"/>
        <v>169-906</v>
      </c>
      <c r="K900" s="187">
        <v>169</v>
      </c>
      <c r="L900" s="187">
        <v>906</v>
      </c>
      <c r="M900" s="187" t="str">
        <f t="shared" ref="M900:M963" si="88">+I900&amp;K900</f>
        <v>169</v>
      </c>
      <c r="N900" s="187">
        <f t="shared" ref="N900:N963" si="89">+L900</f>
        <v>906</v>
      </c>
      <c r="O900" s="187" t="str">
        <f t="shared" ref="O900:O963" si="90">+M900&amp;"-"&amp;N900</f>
        <v>169-906</v>
      </c>
      <c r="Q900" s="679" t="s">
        <v>6604</v>
      </c>
    </row>
    <row r="901" spans="1:17">
      <c r="A901" s="788" t="s">
        <v>2039</v>
      </c>
      <c r="B901" s="187" t="s">
        <v>531</v>
      </c>
      <c r="C901" s="215">
        <v>0</v>
      </c>
      <c r="D901" s="215">
        <v>227765</v>
      </c>
      <c r="F901" s="215">
        <f t="shared" si="86"/>
        <v>227765</v>
      </c>
      <c r="G901" s="215">
        <f t="shared" si="87"/>
        <v>227765</v>
      </c>
      <c r="H901" s="680" t="s">
        <v>6153</v>
      </c>
      <c r="I901" s="679"/>
      <c r="J901" s="187" t="str">
        <f t="shared" si="85"/>
        <v>169-908</v>
      </c>
      <c r="K901" s="187">
        <v>169</v>
      </c>
      <c r="L901" s="187">
        <v>908</v>
      </c>
      <c r="M901" s="187" t="str">
        <f t="shared" si="88"/>
        <v>169</v>
      </c>
      <c r="N901" s="187">
        <f t="shared" si="89"/>
        <v>908</v>
      </c>
      <c r="O901" s="187" t="str">
        <f t="shared" si="90"/>
        <v>169-908</v>
      </c>
      <c r="Q901" s="679" t="s">
        <v>6605</v>
      </c>
    </row>
    <row r="902" spans="1:17">
      <c r="A902" s="788" t="s">
        <v>2041</v>
      </c>
      <c r="B902" s="187" t="s">
        <v>532</v>
      </c>
      <c r="C902" s="215">
        <v>0</v>
      </c>
      <c r="D902" s="215">
        <v>886784</v>
      </c>
      <c r="F902" s="215">
        <f t="shared" si="86"/>
        <v>886784</v>
      </c>
      <c r="G902" s="215">
        <f t="shared" si="87"/>
        <v>886784</v>
      </c>
      <c r="H902" s="680" t="s">
        <v>6153</v>
      </c>
      <c r="I902" s="679"/>
      <c r="J902" s="187" t="str">
        <f t="shared" si="85"/>
        <v>169-909</v>
      </c>
      <c r="K902" s="187">
        <v>169</v>
      </c>
      <c r="L902" s="187">
        <v>909</v>
      </c>
      <c r="M902" s="187" t="str">
        <f t="shared" si="88"/>
        <v>169</v>
      </c>
      <c r="N902" s="187">
        <f t="shared" si="89"/>
        <v>909</v>
      </c>
      <c r="O902" s="187" t="str">
        <f t="shared" si="90"/>
        <v>169-909</v>
      </c>
      <c r="Q902" s="679" t="s">
        <v>6606</v>
      </c>
    </row>
    <row r="903" spans="1:17">
      <c r="A903" s="788" t="s">
        <v>1825</v>
      </c>
      <c r="B903" s="187" t="s">
        <v>533</v>
      </c>
      <c r="C903" s="215">
        <v>34949</v>
      </c>
      <c r="D903" s="215">
        <v>523314</v>
      </c>
      <c r="F903" s="215">
        <f t="shared" si="86"/>
        <v>523314</v>
      </c>
      <c r="G903" s="215">
        <f t="shared" si="87"/>
        <v>558263</v>
      </c>
      <c r="H903" s="680" t="s">
        <v>6153</v>
      </c>
      <c r="I903" s="679"/>
      <c r="J903" s="187" t="str">
        <f t="shared" si="85"/>
        <v>169-910</v>
      </c>
      <c r="K903" s="187">
        <v>169</v>
      </c>
      <c r="L903" s="187">
        <v>910</v>
      </c>
      <c r="M903" s="187" t="str">
        <f t="shared" si="88"/>
        <v>169</v>
      </c>
      <c r="N903" s="187">
        <f t="shared" si="89"/>
        <v>910</v>
      </c>
      <c r="O903" s="187" t="str">
        <f t="shared" si="90"/>
        <v>169-910</v>
      </c>
      <c r="Q903" s="679" t="s">
        <v>6607</v>
      </c>
    </row>
    <row r="904" spans="1:17">
      <c r="A904" s="788" t="s">
        <v>1827</v>
      </c>
      <c r="B904" s="187" t="s">
        <v>534</v>
      </c>
      <c r="C904" s="215">
        <v>122482</v>
      </c>
      <c r="D904" s="215">
        <v>1122179</v>
      </c>
      <c r="F904" s="215">
        <f t="shared" si="86"/>
        <v>1122179</v>
      </c>
      <c r="G904" s="215">
        <f t="shared" si="87"/>
        <v>1244661</v>
      </c>
      <c r="H904" s="680" t="s">
        <v>6153</v>
      </c>
      <c r="I904" s="679"/>
      <c r="J904" s="187" t="str">
        <f t="shared" si="85"/>
        <v>169-911</v>
      </c>
      <c r="K904" s="187">
        <v>169</v>
      </c>
      <c r="L904" s="187">
        <v>911</v>
      </c>
      <c r="M904" s="187" t="str">
        <f t="shared" si="88"/>
        <v>169</v>
      </c>
      <c r="N904" s="187">
        <f t="shared" si="89"/>
        <v>911</v>
      </c>
      <c r="O904" s="187" t="str">
        <f t="shared" si="90"/>
        <v>169-911</v>
      </c>
      <c r="Q904" s="679" t="s">
        <v>6608</v>
      </c>
    </row>
    <row r="905" spans="1:17">
      <c r="A905" s="788" t="s">
        <v>1163</v>
      </c>
      <c r="B905" s="187" t="s">
        <v>1164</v>
      </c>
      <c r="C905" s="215">
        <v>0</v>
      </c>
      <c r="D905" s="215">
        <v>0</v>
      </c>
      <c r="F905" s="215">
        <f t="shared" si="86"/>
        <v>0</v>
      </c>
      <c r="G905" s="215">
        <f t="shared" si="87"/>
        <v>0</v>
      </c>
      <c r="H905" s="680" t="s">
        <v>6153</v>
      </c>
      <c r="I905" s="679"/>
      <c r="J905" s="187" t="str">
        <f t="shared" si="85"/>
        <v>170-801</v>
      </c>
      <c r="K905" s="187">
        <v>170</v>
      </c>
      <c r="L905" s="187">
        <v>801</v>
      </c>
      <c r="M905" s="187" t="str">
        <f t="shared" si="88"/>
        <v>170</v>
      </c>
      <c r="N905" s="187">
        <f t="shared" si="89"/>
        <v>801</v>
      </c>
      <c r="O905" s="187" t="str">
        <f t="shared" si="90"/>
        <v>170-801</v>
      </c>
      <c r="Q905" s="679" t="s">
        <v>6450</v>
      </c>
    </row>
    <row r="906" spans="1:17">
      <c r="A906" s="788" t="s">
        <v>238</v>
      </c>
      <c r="B906" s="187" t="s">
        <v>2645</v>
      </c>
      <c r="C906" s="215">
        <v>27374402</v>
      </c>
      <c r="D906" s="215">
        <v>176714290</v>
      </c>
      <c r="F906" s="215">
        <f t="shared" si="86"/>
        <v>176714290</v>
      </c>
      <c r="G906" s="215">
        <f t="shared" si="87"/>
        <v>204088692</v>
      </c>
      <c r="H906" s="680" t="s">
        <v>6153</v>
      </c>
      <c r="I906" s="679"/>
      <c r="J906" s="187" t="str">
        <f t="shared" si="85"/>
        <v>170-902</v>
      </c>
      <c r="K906" s="187">
        <v>170</v>
      </c>
      <c r="L906" s="187">
        <v>902</v>
      </c>
      <c r="M906" s="187" t="str">
        <f t="shared" si="88"/>
        <v>170</v>
      </c>
      <c r="N906" s="187">
        <f t="shared" si="89"/>
        <v>902</v>
      </c>
      <c r="O906" s="187" t="str">
        <f t="shared" si="90"/>
        <v>170-902</v>
      </c>
      <c r="Q906" s="679" t="s">
        <v>6609</v>
      </c>
    </row>
    <row r="907" spans="1:17">
      <c r="A907" s="788" t="s">
        <v>1829</v>
      </c>
      <c r="B907" s="187" t="s">
        <v>535</v>
      </c>
      <c r="C907" s="215">
        <v>3715372</v>
      </c>
      <c r="D907" s="215">
        <v>29767754</v>
      </c>
      <c r="F907" s="215">
        <f t="shared" si="86"/>
        <v>29767754</v>
      </c>
      <c r="G907" s="215">
        <f t="shared" si="87"/>
        <v>33483126</v>
      </c>
      <c r="H907" s="680" t="s">
        <v>6153</v>
      </c>
      <c r="I907" s="679"/>
      <c r="J907" s="187" t="str">
        <f t="shared" si="85"/>
        <v>170-903</v>
      </c>
      <c r="K907" s="187">
        <v>170</v>
      </c>
      <c r="L907" s="187">
        <v>903</v>
      </c>
      <c r="M907" s="187" t="str">
        <f t="shared" si="88"/>
        <v>170</v>
      </c>
      <c r="N907" s="187">
        <f t="shared" si="89"/>
        <v>903</v>
      </c>
      <c r="O907" s="187" t="str">
        <f t="shared" si="90"/>
        <v>170-903</v>
      </c>
      <c r="Q907" s="679" t="s">
        <v>6610</v>
      </c>
    </row>
    <row r="908" spans="1:17">
      <c r="A908" s="788" t="s">
        <v>859</v>
      </c>
      <c r="B908" s="187" t="s">
        <v>2003</v>
      </c>
      <c r="C908" s="215">
        <v>3225104</v>
      </c>
      <c r="D908" s="215">
        <v>17120715</v>
      </c>
      <c r="F908" s="215">
        <f t="shared" si="86"/>
        <v>17120715</v>
      </c>
      <c r="G908" s="215">
        <f t="shared" si="87"/>
        <v>20345819</v>
      </c>
      <c r="H908" s="680" t="s">
        <v>6153</v>
      </c>
      <c r="I908" s="679"/>
      <c r="J908" s="187" t="str">
        <f t="shared" si="85"/>
        <v>170-904</v>
      </c>
      <c r="K908" s="187">
        <v>170</v>
      </c>
      <c r="L908" s="187">
        <v>904</v>
      </c>
      <c r="M908" s="187" t="str">
        <f t="shared" si="88"/>
        <v>170</v>
      </c>
      <c r="N908" s="187">
        <f t="shared" si="89"/>
        <v>904</v>
      </c>
      <c r="O908" s="187" t="str">
        <f t="shared" si="90"/>
        <v>170-904</v>
      </c>
      <c r="Q908" s="679" t="s">
        <v>6611</v>
      </c>
    </row>
    <row r="909" spans="1:17">
      <c r="A909" s="788" t="s">
        <v>3001</v>
      </c>
      <c r="B909" s="187" t="s">
        <v>6060</v>
      </c>
      <c r="C909" s="215">
        <v>4092603</v>
      </c>
      <c r="D909" s="215">
        <v>25543872</v>
      </c>
      <c r="F909" s="215">
        <f t="shared" si="86"/>
        <v>25543872</v>
      </c>
      <c r="G909" s="215">
        <f t="shared" si="87"/>
        <v>29636475</v>
      </c>
      <c r="H909" s="680" t="s">
        <v>6153</v>
      </c>
      <c r="I909" s="679"/>
      <c r="J909" s="187" t="str">
        <f t="shared" si="85"/>
        <v>170-906</v>
      </c>
      <c r="K909" s="187">
        <v>170</v>
      </c>
      <c r="L909" s="187">
        <v>906</v>
      </c>
      <c r="M909" s="187" t="str">
        <f t="shared" si="88"/>
        <v>170</v>
      </c>
      <c r="N909" s="187">
        <f t="shared" si="89"/>
        <v>906</v>
      </c>
      <c r="O909" s="187" t="str">
        <f t="shared" si="90"/>
        <v>170-906</v>
      </c>
      <c r="Q909" s="679" t="s">
        <v>6612</v>
      </c>
    </row>
    <row r="910" spans="1:17">
      <c r="A910" s="788" t="s">
        <v>2405</v>
      </c>
      <c r="B910" s="187" t="s">
        <v>2350</v>
      </c>
      <c r="C910" s="215">
        <v>507238</v>
      </c>
      <c r="D910" s="215">
        <v>3205040</v>
      </c>
      <c r="E910" s="215">
        <v>121273</v>
      </c>
      <c r="F910" s="215">
        <f t="shared" si="86"/>
        <v>3326313</v>
      </c>
      <c r="G910" s="215">
        <f t="shared" si="87"/>
        <v>3833551</v>
      </c>
      <c r="H910" s="680" t="s">
        <v>6153</v>
      </c>
      <c r="I910" s="679"/>
      <c r="J910" s="187" t="str">
        <f t="shared" si="85"/>
        <v>170-907</v>
      </c>
      <c r="K910" s="187">
        <v>170</v>
      </c>
      <c r="L910" s="187">
        <v>907</v>
      </c>
      <c r="M910" s="187" t="str">
        <f t="shared" si="88"/>
        <v>170</v>
      </c>
      <c r="N910" s="187">
        <f t="shared" si="89"/>
        <v>907</v>
      </c>
      <c r="O910" s="187" t="str">
        <f t="shared" si="90"/>
        <v>170-907</v>
      </c>
      <c r="Q910" s="679" t="s">
        <v>6613</v>
      </c>
    </row>
    <row r="911" spans="1:17">
      <c r="A911" s="788" t="s">
        <v>2907</v>
      </c>
      <c r="B911" s="187" t="s">
        <v>1933</v>
      </c>
      <c r="C911" s="215">
        <v>3194077</v>
      </c>
      <c r="D911" s="215">
        <v>16232881</v>
      </c>
      <c r="F911" s="215">
        <f t="shared" si="86"/>
        <v>16232881</v>
      </c>
      <c r="G911" s="215">
        <f t="shared" si="87"/>
        <v>19426958</v>
      </c>
      <c r="H911" s="680" t="s">
        <v>6153</v>
      </c>
      <c r="I911" s="679"/>
      <c r="J911" s="187" t="str">
        <f t="shared" si="85"/>
        <v>170-908</v>
      </c>
      <c r="K911" s="187">
        <v>170</v>
      </c>
      <c r="L911" s="187">
        <v>908</v>
      </c>
      <c r="M911" s="187" t="str">
        <f t="shared" si="88"/>
        <v>170</v>
      </c>
      <c r="N911" s="187">
        <f t="shared" si="89"/>
        <v>908</v>
      </c>
      <c r="O911" s="187" t="str">
        <f t="shared" si="90"/>
        <v>170-908</v>
      </c>
      <c r="Q911" s="679" t="s">
        <v>6614</v>
      </c>
    </row>
    <row r="912" spans="1:17">
      <c r="A912" s="788" t="s">
        <v>1222</v>
      </c>
      <c r="B912" s="187" t="s">
        <v>536</v>
      </c>
      <c r="C912" s="215">
        <v>593846</v>
      </c>
      <c r="D912" s="215">
        <v>18013467</v>
      </c>
      <c r="F912" s="215">
        <f t="shared" si="86"/>
        <v>18013467</v>
      </c>
      <c r="G912" s="215">
        <f t="shared" si="87"/>
        <v>18607313</v>
      </c>
      <c r="H912" s="680" t="s">
        <v>6153</v>
      </c>
      <c r="I912" s="679"/>
      <c r="J912" s="187" t="str">
        <f t="shared" si="85"/>
        <v>171-901</v>
      </c>
      <c r="K912" s="187">
        <v>171</v>
      </c>
      <c r="L912" s="187">
        <v>901</v>
      </c>
      <c r="M912" s="187" t="str">
        <f t="shared" si="88"/>
        <v>171</v>
      </c>
      <c r="N912" s="187">
        <f t="shared" si="89"/>
        <v>901</v>
      </c>
      <c r="O912" s="187" t="str">
        <f t="shared" si="90"/>
        <v>171-901</v>
      </c>
      <c r="Q912" s="679" t="s">
        <v>6615</v>
      </c>
    </row>
    <row r="913" spans="1:17">
      <c r="A913" s="788" t="s">
        <v>1224</v>
      </c>
      <c r="B913" s="187" t="s">
        <v>537</v>
      </c>
      <c r="C913" s="215">
        <v>368698</v>
      </c>
      <c r="D913" s="215">
        <v>3584439</v>
      </c>
      <c r="F913" s="215">
        <f t="shared" si="86"/>
        <v>3584439</v>
      </c>
      <c r="G913" s="215">
        <f t="shared" si="87"/>
        <v>3953137</v>
      </c>
      <c r="H913" s="680" t="s">
        <v>6153</v>
      </c>
      <c r="I913" s="679"/>
      <c r="J913" s="187" t="str">
        <f t="shared" si="85"/>
        <v>171-902</v>
      </c>
      <c r="K913" s="187">
        <v>171</v>
      </c>
      <c r="L913" s="187">
        <v>902</v>
      </c>
      <c r="M913" s="187" t="str">
        <f t="shared" si="88"/>
        <v>171</v>
      </c>
      <c r="N913" s="187">
        <f t="shared" si="89"/>
        <v>902</v>
      </c>
      <c r="O913" s="187" t="str">
        <f t="shared" si="90"/>
        <v>171-902</v>
      </c>
      <c r="Q913" s="679" t="s">
        <v>6616</v>
      </c>
    </row>
    <row r="914" spans="1:17">
      <c r="A914" s="788" t="s">
        <v>5375</v>
      </c>
      <c r="B914" s="187" t="s">
        <v>538</v>
      </c>
      <c r="C914" s="215">
        <v>809649</v>
      </c>
      <c r="D914" s="215">
        <v>9083164</v>
      </c>
      <c r="F914" s="215">
        <f t="shared" si="86"/>
        <v>9083164</v>
      </c>
      <c r="G914" s="215">
        <f t="shared" si="87"/>
        <v>9892813</v>
      </c>
      <c r="H914" s="680" t="s">
        <v>6153</v>
      </c>
      <c r="I914" s="679"/>
      <c r="J914" s="187" t="str">
        <f t="shared" si="85"/>
        <v>172-902</v>
      </c>
      <c r="K914" s="187">
        <v>172</v>
      </c>
      <c r="L914" s="187">
        <v>902</v>
      </c>
      <c r="M914" s="187" t="str">
        <f t="shared" si="88"/>
        <v>172</v>
      </c>
      <c r="N914" s="187">
        <f t="shared" si="89"/>
        <v>902</v>
      </c>
      <c r="O914" s="187" t="str">
        <f t="shared" si="90"/>
        <v>172-902</v>
      </c>
      <c r="Q914" s="679" t="s">
        <v>6617</v>
      </c>
    </row>
    <row r="915" spans="1:17">
      <c r="A915" s="788" t="s">
        <v>5377</v>
      </c>
      <c r="B915" s="187" t="s">
        <v>539</v>
      </c>
      <c r="C915" s="215">
        <v>2652</v>
      </c>
      <c r="D915" s="215">
        <v>1718209</v>
      </c>
      <c r="F915" s="215">
        <f t="shared" si="86"/>
        <v>1718209</v>
      </c>
      <c r="G915" s="215">
        <f t="shared" si="87"/>
        <v>1720861</v>
      </c>
      <c r="H915" s="680" t="s">
        <v>6153</v>
      </c>
      <c r="I915" s="679"/>
      <c r="J915" s="187" t="str">
        <f t="shared" si="85"/>
        <v>172-905</v>
      </c>
      <c r="K915" s="187">
        <v>172</v>
      </c>
      <c r="L915" s="187">
        <v>905</v>
      </c>
      <c r="M915" s="187" t="str">
        <f t="shared" si="88"/>
        <v>172</v>
      </c>
      <c r="N915" s="187">
        <f t="shared" si="89"/>
        <v>905</v>
      </c>
      <c r="O915" s="187" t="str">
        <f t="shared" si="90"/>
        <v>172-905</v>
      </c>
      <c r="Q915" s="679" t="s">
        <v>6618</v>
      </c>
    </row>
    <row r="916" spans="1:17">
      <c r="A916" s="788" t="s">
        <v>5379</v>
      </c>
      <c r="B916" s="187" t="s">
        <v>540</v>
      </c>
      <c r="C916" s="215">
        <v>0</v>
      </c>
      <c r="D916" s="215">
        <v>891687</v>
      </c>
      <c r="F916" s="215">
        <f t="shared" si="86"/>
        <v>891687</v>
      </c>
      <c r="G916" s="215">
        <f t="shared" si="87"/>
        <v>891687</v>
      </c>
      <c r="H916" s="680" t="s">
        <v>6153</v>
      </c>
      <c r="I916" s="679"/>
      <c r="J916" s="187" t="str">
        <f t="shared" si="85"/>
        <v>173-901</v>
      </c>
      <c r="K916" s="187">
        <v>173</v>
      </c>
      <c r="L916" s="187">
        <v>901</v>
      </c>
      <c r="M916" s="187" t="str">
        <f t="shared" si="88"/>
        <v>173</v>
      </c>
      <c r="N916" s="187">
        <f t="shared" si="89"/>
        <v>901</v>
      </c>
      <c r="O916" s="187" t="str">
        <f t="shared" si="90"/>
        <v>173-901</v>
      </c>
      <c r="Q916" s="679" t="s">
        <v>6620</v>
      </c>
    </row>
    <row r="917" spans="1:17">
      <c r="A917" s="788" t="s">
        <v>642</v>
      </c>
      <c r="B917" s="187" t="s">
        <v>6111</v>
      </c>
      <c r="C917" s="215">
        <v>20101</v>
      </c>
      <c r="D917" s="215">
        <v>482973</v>
      </c>
      <c r="F917" s="215">
        <f t="shared" si="86"/>
        <v>482973</v>
      </c>
      <c r="G917" s="215">
        <f t="shared" si="87"/>
        <v>503074</v>
      </c>
      <c r="H917" s="680" t="s">
        <v>6153</v>
      </c>
      <c r="I917" s="679"/>
      <c r="J917" s="187" t="str">
        <f t="shared" si="85"/>
        <v>174-901</v>
      </c>
      <c r="K917" s="187">
        <v>174</v>
      </c>
      <c r="L917" s="187">
        <v>901</v>
      </c>
      <c r="M917" s="187" t="str">
        <f t="shared" si="88"/>
        <v>174</v>
      </c>
      <c r="N917" s="187">
        <f t="shared" si="89"/>
        <v>901</v>
      </c>
      <c r="O917" s="187" t="str">
        <f t="shared" si="90"/>
        <v>174-901</v>
      </c>
      <c r="Q917" s="679" t="s">
        <v>6621</v>
      </c>
    </row>
    <row r="918" spans="1:17">
      <c r="A918" s="788" t="s">
        <v>2618</v>
      </c>
      <c r="B918" s="187" t="s">
        <v>541</v>
      </c>
      <c r="C918" s="215">
        <v>0</v>
      </c>
      <c r="D918" s="215">
        <v>2942186</v>
      </c>
      <c r="F918" s="215">
        <f t="shared" si="86"/>
        <v>2942186</v>
      </c>
      <c r="G918" s="215">
        <f t="shared" si="87"/>
        <v>2942186</v>
      </c>
      <c r="H918" s="680" t="s">
        <v>6153</v>
      </c>
      <c r="I918" s="679"/>
      <c r="J918" s="187" t="str">
        <f t="shared" si="85"/>
        <v>174-902</v>
      </c>
      <c r="K918" s="187">
        <v>174</v>
      </c>
      <c r="L918" s="187">
        <v>902</v>
      </c>
      <c r="M918" s="187" t="str">
        <f t="shared" si="88"/>
        <v>174</v>
      </c>
      <c r="N918" s="187">
        <f t="shared" si="89"/>
        <v>902</v>
      </c>
      <c r="O918" s="187" t="str">
        <f t="shared" si="90"/>
        <v>174-902</v>
      </c>
      <c r="Q918" s="679" t="s">
        <v>6622</v>
      </c>
    </row>
    <row r="919" spans="1:17">
      <c r="A919" s="788" t="s">
        <v>644</v>
      </c>
      <c r="B919" s="187" t="s">
        <v>123</v>
      </c>
      <c r="C919" s="215">
        <v>71474</v>
      </c>
      <c r="D919" s="215">
        <v>1643521</v>
      </c>
      <c r="F919" s="215">
        <f t="shared" si="86"/>
        <v>1643521</v>
      </c>
      <c r="G919" s="215">
        <f t="shared" si="87"/>
        <v>1714995</v>
      </c>
      <c r="H919" s="680" t="s">
        <v>6153</v>
      </c>
      <c r="I919" s="679"/>
      <c r="J919" s="187" t="str">
        <f t="shared" si="85"/>
        <v>174-903</v>
      </c>
      <c r="K919" s="187">
        <v>174</v>
      </c>
      <c r="L919" s="187">
        <v>903</v>
      </c>
      <c r="M919" s="187" t="str">
        <f t="shared" si="88"/>
        <v>174</v>
      </c>
      <c r="N919" s="187">
        <f t="shared" si="89"/>
        <v>903</v>
      </c>
      <c r="O919" s="187" t="str">
        <f t="shared" si="90"/>
        <v>174-903</v>
      </c>
      <c r="Q919" s="679" t="s">
        <v>6623</v>
      </c>
    </row>
    <row r="920" spans="1:17">
      <c r="A920" s="788" t="s">
        <v>2620</v>
      </c>
      <c r="B920" s="187" t="s">
        <v>542</v>
      </c>
      <c r="C920" s="215">
        <v>2684182</v>
      </c>
      <c r="D920" s="215">
        <v>19169799</v>
      </c>
      <c r="F920" s="215">
        <f t="shared" si="86"/>
        <v>19169799</v>
      </c>
      <c r="G920" s="215">
        <f t="shared" si="87"/>
        <v>21853981</v>
      </c>
      <c r="H920" s="680" t="s">
        <v>6153</v>
      </c>
      <c r="I920" s="679"/>
      <c r="J920" s="187" t="str">
        <f t="shared" si="85"/>
        <v>174-904</v>
      </c>
      <c r="K920" s="187">
        <v>174</v>
      </c>
      <c r="L920" s="187">
        <v>904</v>
      </c>
      <c r="M920" s="187" t="str">
        <f t="shared" si="88"/>
        <v>174</v>
      </c>
      <c r="N920" s="187">
        <f t="shared" si="89"/>
        <v>904</v>
      </c>
      <c r="O920" s="187" t="str">
        <f t="shared" si="90"/>
        <v>174-904</v>
      </c>
      <c r="Q920" s="679" t="s">
        <v>6624</v>
      </c>
    </row>
    <row r="921" spans="1:17">
      <c r="A921" s="788" t="s">
        <v>4588</v>
      </c>
      <c r="B921" s="187" t="s">
        <v>2006</v>
      </c>
      <c r="C921" s="215">
        <v>2734</v>
      </c>
      <c r="D921" s="215">
        <v>1112746</v>
      </c>
      <c r="F921" s="215">
        <f t="shared" si="86"/>
        <v>1112746</v>
      </c>
      <c r="G921" s="215">
        <f t="shared" si="87"/>
        <v>1115480</v>
      </c>
      <c r="H921" s="680" t="s">
        <v>6153</v>
      </c>
      <c r="I921" s="679"/>
      <c r="J921" s="187" t="str">
        <f t="shared" si="85"/>
        <v>174-906</v>
      </c>
      <c r="K921" s="187">
        <v>174</v>
      </c>
      <c r="L921" s="187">
        <v>906</v>
      </c>
      <c r="M921" s="187" t="str">
        <f t="shared" si="88"/>
        <v>174</v>
      </c>
      <c r="N921" s="187">
        <f t="shared" si="89"/>
        <v>906</v>
      </c>
      <c r="O921" s="187" t="str">
        <f t="shared" si="90"/>
        <v>174-906</v>
      </c>
      <c r="Q921" s="679" t="s">
        <v>6625</v>
      </c>
    </row>
    <row r="922" spans="1:17">
      <c r="A922" s="788" t="s">
        <v>2622</v>
      </c>
      <c r="B922" s="187" t="s">
        <v>543</v>
      </c>
      <c r="C922" s="215">
        <v>0</v>
      </c>
      <c r="D922" s="215">
        <v>830284</v>
      </c>
      <c r="F922" s="215">
        <f t="shared" si="86"/>
        <v>830284</v>
      </c>
      <c r="G922" s="215">
        <f t="shared" si="87"/>
        <v>830284</v>
      </c>
      <c r="H922" s="680" t="s">
        <v>6153</v>
      </c>
      <c r="I922" s="679"/>
      <c r="J922" s="187" t="str">
        <f t="shared" si="85"/>
        <v>174-908</v>
      </c>
      <c r="K922" s="187">
        <v>174</v>
      </c>
      <c r="L922" s="187">
        <v>908</v>
      </c>
      <c r="M922" s="187" t="str">
        <f t="shared" si="88"/>
        <v>174</v>
      </c>
      <c r="N922" s="187">
        <f t="shared" si="89"/>
        <v>908</v>
      </c>
      <c r="O922" s="187" t="str">
        <f t="shared" si="90"/>
        <v>174-908</v>
      </c>
      <c r="Q922" s="679" t="s">
        <v>6626</v>
      </c>
    </row>
    <row r="923" spans="1:17">
      <c r="A923" s="788" t="s">
        <v>2624</v>
      </c>
      <c r="B923" s="187" t="s">
        <v>544</v>
      </c>
      <c r="C923" s="215">
        <v>33870</v>
      </c>
      <c r="D923" s="215">
        <v>389922</v>
      </c>
      <c r="F923" s="215">
        <f t="shared" si="86"/>
        <v>389922</v>
      </c>
      <c r="G923" s="215">
        <f t="shared" si="87"/>
        <v>423792</v>
      </c>
      <c r="H923" s="680" t="s">
        <v>6153</v>
      </c>
      <c r="I923" s="679"/>
      <c r="J923" s="187" t="str">
        <f t="shared" si="85"/>
        <v>174-909</v>
      </c>
      <c r="K923" s="187">
        <v>174</v>
      </c>
      <c r="L923" s="187">
        <v>909</v>
      </c>
      <c r="M923" s="187" t="str">
        <f t="shared" si="88"/>
        <v>174</v>
      </c>
      <c r="N923" s="187">
        <f t="shared" si="89"/>
        <v>909</v>
      </c>
      <c r="O923" s="187" t="str">
        <f t="shared" si="90"/>
        <v>174-909</v>
      </c>
      <c r="Q923" s="679" t="s">
        <v>6627</v>
      </c>
    </row>
    <row r="924" spans="1:17">
      <c r="A924" s="788" t="s">
        <v>1523</v>
      </c>
      <c r="B924" s="187" t="s">
        <v>1929</v>
      </c>
      <c r="C924" s="215">
        <v>0</v>
      </c>
      <c r="D924" s="215">
        <v>463621</v>
      </c>
      <c r="E924" s="215">
        <v>19955</v>
      </c>
      <c r="F924" s="215">
        <f t="shared" si="86"/>
        <v>483576</v>
      </c>
      <c r="G924" s="215">
        <f t="shared" si="87"/>
        <v>483576</v>
      </c>
      <c r="H924" s="680" t="s">
        <v>6153</v>
      </c>
      <c r="I924" s="679"/>
      <c r="J924" s="187" t="str">
        <f t="shared" si="85"/>
        <v>174-910</v>
      </c>
      <c r="K924" s="187">
        <v>174</v>
      </c>
      <c r="L924" s="187">
        <v>910</v>
      </c>
      <c r="M924" s="187" t="str">
        <f t="shared" si="88"/>
        <v>174</v>
      </c>
      <c r="N924" s="187">
        <f t="shared" si="89"/>
        <v>910</v>
      </c>
      <c r="O924" s="187" t="str">
        <f t="shared" si="90"/>
        <v>174-910</v>
      </c>
      <c r="Q924" s="679" t="s">
        <v>6628</v>
      </c>
    </row>
    <row r="925" spans="1:17">
      <c r="A925" s="788" t="s">
        <v>2626</v>
      </c>
      <c r="B925" s="187" t="s">
        <v>545</v>
      </c>
      <c r="C925" s="215">
        <v>0</v>
      </c>
      <c r="D925" s="215">
        <v>1294736</v>
      </c>
      <c r="F925" s="215">
        <f t="shared" si="86"/>
        <v>1294736</v>
      </c>
      <c r="G925" s="215">
        <f t="shared" si="87"/>
        <v>1294736</v>
      </c>
      <c r="H925" s="680" t="s">
        <v>6153</v>
      </c>
      <c r="I925" s="679"/>
      <c r="J925" s="187" t="str">
        <f t="shared" si="85"/>
        <v>174-911</v>
      </c>
      <c r="K925" s="187">
        <v>174</v>
      </c>
      <c r="L925" s="187">
        <v>911</v>
      </c>
      <c r="M925" s="187" t="str">
        <f t="shared" si="88"/>
        <v>174</v>
      </c>
      <c r="N925" s="187">
        <f t="shared" si="89"/>
        <v>911</v>
      </c>
      <c r="O925" s="187" t="str">
        <f t="shared" si="90"/>
        <v>174-911</v>
      </c>
      <c r="Q925" s="679" t="s">
        <v>6629</v>
      </c>
    </row>
    <row r="926" spans="1:17">
      <c r="A926" s="788" t="s">
        <v>2628</v>
      </c>
      <c r="B926" s="187" t="s">
        <v>546</v>
      </c>
      <c r="C926" s="215">
        <v>73981</v>
      </c>
      <c r="D926" s="215">
        <v>1256504</v>
      </c>
      <c r="F926" s="215">
        <f t="shared" si="86"/>
        <v>1256504</v>
      </c>
      <c r="G926" s="215">
        <f t="shared" si="87"/>
        <v>1330485</v>
      </c>
      <c r="H926" s="680" t="s">
        <v>6153</v>
      </c>
      <c r="I926" s="679"/>
      <c r="J926" s="187" t="str">
        <f t="shared" si="85"/>
        <v>175-902</v>
      </c>
      <c r="K926" s="187">
        <v>175</v>
      </c>
      <c r="L926" s="187">
        <v>902</v>
      </c>
      <c r="M926" s="187" t="str">
        <f t="shared" si="88"/>
        <v>175</v>
      </c>
      <c r="N926" s="187">
        <f t="shared" si="89"/>
        <v>902</v>
      </c>
      <c r="O926" s="187" t="str">
        <f t="shared" si="90"/>
        <v>175-902</v>
      </c>
      <c r="Q926" s="679" t="s">
        <v>6630</v>
      </c>
    </row>
    <row r="927" spans="1:17">
      <c r="A927" s="788" t="s">
        <v>241</v>
      </c>
      <c r="B927" s="187" t="s">
        <v>2649</v>
      </c>
      <c r="C927" s="215">
        <v>2688413</v>
      </c>
      <c r="D927" s="215">
        <v>12462229</v>
      </c>
      <c r="F927" s="215">
        <f t="shared" si="86"/>
        <v>12462229</v>
      </c>
      <c r="G927" s="215">
        <f t="shared" si="87"/>
        <v>15150642</v>
      </c>
      <c r="H927" s="680" t="s">
        <v>6153</v>
      </c>
      <c r="I927" s="679"/>
      <c r="J927" s="187" t="str">
        <f t="shared" si="85"/>
        <v>175-903</v>
      </c>
      <c r="K927" s="187">
        <v>175</v>
      </c>
      <c r="L927" s="187">
        <v>903</v>
      </c>
      <c r="M927" s="187" t="str">
        <f t="shared" si="88"/>
        <v>175</v>
      </c>
      <c r="N927" s="187">
        <f t="shared" si="89"/>
        <v>903</v>
      </c>
      <c r="O927" s="187" t="str">
        <f t="shared" si="90"/>
        <v>175-903</v>
      </c>
      <c r="Q927" s="679" t="s">
        <v>6631</v>
      </c>
    </row>
    <row r="928" spans="1:17">
      <c r="A928" s="788" t="s">
        <v>248</v>
      </c>
      <c r="B928" s="187" t="s">
        <v>993</v>
      </c>
      <c r="C928" s="215">
        <v>0</v>
      </c>
      <c r="D928" s="215">
        <v>742894</v>
      </c>
      <c r="E928" s="215">
        <v>40338</v>
      </c>
      <c r="F928" s="215">
        <f t="shared" si="86"/>
        <v>783232</v>
      </c>
      <c r="G928" s="215">
        <f t="shared" si="87"/>
        <v>783232</v>
      </c>
      <c r="H928" s="680" t="s">
        <v>6153</v>
      </c>
      <c r="I928" s="679"/>
      <c r="J928" s="187" t="str">
        <f t="shared" si="85"/>
        <v>175-904</v>
      </c>
      <c r="K928" s="187">
        <v>175</v>
      </c>
      <c r="L928" s="187">
        <v>904</v>
      </c>
      <c r="M928" s="187" t="str">
        <f t="shared" si="88"/>
        <v>175</v>
      </c>
      <c r="N928" s="187">
        <f t="shared" si="89"/>
        <v>904</v>
      </c>
      <c r="O928" s="187" t="str">
        <f t="shared" si="90"/>
        <v>175-904</v>
      </c>
      <c r="Q928" s="679" t="s">
        <v>6632</v>
      </c>
    </row>
    <row r="929" spans="1:17">
      <c r="A929" s="788" t="s">
        <v>5084</v>
      </c>
      <c r="B929" s="187" t="s">
        <v>547</v>
      </c>
      <c r="C929" s="215">
        <v>14886</v>
      </c>
      <c r="D929" s="215">
        <v>603203</v>
      </c>
      <c r="F929" s="215">
        <f t="shared" si="86"/>
        <v>603203</v>
      </c>
      <c r="G929" s="215">
        <f t="shared" si="87"/>
        <v>618089</v>
      </c>
      <c r="H929" s="680" t="s">
        <v>6153</v>
      </c>
      <c r="I929" s="679"/>
      <c r="J929" s="187" t="str">
        <f t="shared" si="85"/>
        <v>175-905</v>
      </c>
      <c r="K929" s="187">
        <v>175</v>
      </c>
      <c r="L929" s="187">
        <v>905</v>
      </c>
      <c r="M929" s="187" t="str">
        <f t="shared" si="88"/>
        <v>175</v>
      </c>
      <c r="N929" s="187">
        <f t="shared" si="89"/>
        <v>905</v>
      </c>
      <c r="O929" s="187" t="str">
        <f t="shared" si="90"/>
        <v>175-905</v>
      </c>
      <c r="Q929" s="679" t="s">
        <v>4197</v>
      </c>
    </row>
    <row r="930" spans="1:17">
      <c r="A930" s="788" t="s">
        <v>2534</v>
      </c>
      <c r="B930" s="187" t="s">
        <v>1919</v>
      </c>
      <c r="C930" s="215">
        <v>62439</v>
      </c>
      <c r="D930" s="215">
        <v>1657711</v>
      </c>
      <c r="F930" s="215">
        <f t="shared" si="86"/>
        <v>1657711</v>
      </c>
      <c r="G930" s="215">
        <f t="shared" si="87"/>
        <v>1720150</v>
      </c>
      <c r="H930" s="680" t="s">
        <v>6153</v>
      </c>
      <c r="I930" s="679"/>
      <c r="J930" s="187" t="str">
        <f t="shared" ref="J930:J993" si="91">+A930</f>
        <v>175-907</v>
      </c>
      <c r="K930" s="187">
        <v>175</v>
      </c>
      <c r="L930" s="187">
        <v>907</v>
      </c>
      <c r="M930" s="187" t="str">
        <f t="shared" si="88"/>
        <v>175</v>
      </c>
      <c r="N930" s="187">
        <f t="shared" si="89"/>
        <v>907</v>
      </c>
      <c r="O930" s="187" t="str">
        <f t="shared" si="90"/>
        <v>175-907</v>
      </c>
      <c r="Q930" s="679" t="s">
        <v>4198</v>
      </c>
    </row>
    <row r="931" spans="1:17">
      <c r="A931" s="788" t="s">
        <v>1165</v>
      </c>
      <c r="B931" s="187" t="s">
        <v>1166</v>
      </c>
      <c r="C931" s="215">
        <v>0</v>
      </c>
      <c r="D931" s="215">
        <v>0</v>
      </c>
      <c r="F931" s="215">
        <f t="shared" si="86"/>
        <v>0</v>
      </c>
      <c r="G931" s="215">
        <f t="shared" si="87"/>
        <v>0</v>
      </c>
      <c r="H931" s="680" t="s">
        <v>6153</v>
      </c>
      <c r="I931" s="679"/>
      <c r="J931" s="187" t="str">
        <f t="shared" si="91"/>
        <v>175-909</v>
      </c>
      <c r="K931" s="187">
        <v>175</v>
      </c>
      <c r="L931" s="187">
        <v>909</v>
      </c>
      <c r="M931" s="187" t="str">
        <f t="shared" si="88"/>
        <v>175</v>
      </c>
      <c r="N931" s="187">
        <f t="shared" si="89"/>
        <v>909</v>
      </c>
      <c r="O931" s="187" t="str">
        <f t="shared" si="90"/>
        <v>175-909</v>
      </c>
      <c r="Q931" s="679" t="s">
        <v>6451</v>
      </c>
    </row>
    <row r="932" spans="1:17">
      <c r="A932" s="788" t="s">
        <v>5086</v>
      </c>
      <c r="B932" s="187" t="s">
        <v>548</v>
      </c>
      <c r="C932" s="215">
        <v>198759</v>
      </c>
      <c r="D932" s="215">
        <v>2394803</v>
      </c>
      <c r="F932" s="215">
        <f t="shared" si="86"/>
        <v>2394803</v>
      </c>
      <c r="G932" s="215">
        <f t="shared" si="87"/>
        <v>2593562</v>
      </c>
      <c r="H932" s="680" t="s">
        <v>6153</v>
      </c>
      <c r="I932" s="679"/>
      <c r="J932" s="187" t="str">
        <f t="shared" si="91"/>
        <v>175-910</v>
      </c>
      <c r="K932" s="187">
        <v>175</v>
      </c>
      <c r="L932" s="187">
        <v>910</v>
      </c>
      <c r="M932" s="187" t="str">
        <f t="shared" si="88"/>
        <v>175</v>
      </c>
      <c r="N932" s="187">
        <f t="shared" si="89"/>
        <v>910</v>
      </c>
      <c r="O932" s="187" t="str">
        <f t="shared" si="90"/>
        <v>175-910</v>
      </c>
      <c r="Q932" s="679" t="s">
        <v>4199</v>
      </c>
    </row>
    <row r="933" spans="1:17">
      <c r="A933" s="788" t="s">
        <v>2768</v>
      </c>
      <c r="B933" s="187" t="s">
        <v>358</v>
      </c>
      <c r="C933" s="215">
        <v>79237</v>
      </c>
      <c r="D933" s="215">
        <v>746865</v>
      </c>
      <c r="F933" s="215">
        <f t="shared" si="86"/>
        <v>746865</v>
      </c>
      <c r="G933" s="215">
        <f t="shared" si="87"/>
        <v>826102</v>
      </c>
      <c r="H933" s="680" t="s">
        <v>6153</v>
      </c>
      <c r="I933" s="679"/>
      <c r="J933" s="187" t="str">
        <f t="shared" si="91"/>
        <v>175-911</v>
      </c>
      <c r="K933" s="187">
        <v>175</v>
      </c>
      <c r="L933" s="187">
        <v>911</v>
      </c>
      <c r="M933" s="187" t="str">
        <f t="shared" si="88"/>
        <v>175</v>
      </c>
      <c r="N933" s="187">
        <f t="shared" si="89"/>
        <v>911</v>
      </c>
      <c r="O933" s="187" t="str">
        <f t="shared" si="90"/>
        <v>175-911</v>
      </c>
      <c r="Q933" s="679" t="s">
        <v>4200</v>
      </c>
    </row>
    <row r="934" spans="1:17">
      <c r="A934" s="788" t="s">
        <v>5088</v>
      </c>
      <c r="B934" s="187" t="s">
        <v>549</v>
      </c>
      <c r="C934" s="215">
        <v>238374</v>
      </c>
      <c r="D934" s="215">
        <v>1824971</v>
      </c>
      <c r="F934" s="215">
        <f t="shared" si="86"/>
        <v>1824971</v>
      </c>
      <c r="G934" s="215">
        <f t="shared" si="87"/>
        <v>2063345</v>
      </c>
      <c r="H934" s="680" t="s">
        <v>6153</v>
      </c>
      <c r="I934" s="679"/>
      <c r="J934" s="187" t="str">
        <f t="shared" si="91"/>
        <v>176-901</v>
      </c>
      <c r="K934" s="187">
        <v>176</v>
      </c>
      <c r="L934" s="187">
        <v>901</v>
      </c>
      <c r="M934" s="187" t="str">
        <f t="shared" si="88"/>
        <v>176</v>
      </c>
      <c r="N934" s="187">
        <f t="shared" si="89"/>
        <v>901</v>
      </c>
      <c r="O934" s="187" t="str">
        <f t="shared" si="90"/>
        <v>176-901</v>
      </c>
      <c r="Q934" s="679" t="s">
        <v>4201</v>
      </c>
    </row>
    <row r="935" spans="1:17">
      <c r="A935" s="788" t="s">
        <v>6181</v>
      </c>
      <c r="B935" s="187" t="s">
        <v>1936</v>
      </c>
      <c r="C935" s="215">
        <v>319115</v>
      </c>
      <c r="D935" s="215">
        <v>2029220</v>
      </c>
      <c r="F935" s="215">
        <f t="shared" si="86"/>
        <v>2029220</v>
      </c>
      <c r="G935" s="215">
        <f t="shared" si="87"/>
        <v>2348335</v>
      </c>
      <c r="H935" s="680" t="s">
        <v>6153</v>
      </c>
      <c r="I935" s="679"/>
      <c r="J935" s="187" t="str">
        <f t="shared" si="91"/>
        <v>176-902</v>
      </c>
      <c r="K935" s="187">
        <v>176</v>
      </c>
      <c r="L935" s="187">
        <v>902</v>
      </c>
      <c r="M935" s="187" t="str">
        <f t="shared" si="88"/>
        <v>176</v>
      </c>
      <c r="N935" s="187">
        <f t="shared" si="89"/>
        <v>902</v>
      </c>
      <c r="O935" s="187" t="str">
        <f t="shared" si="90"/>
        <v>176-902</v>
      </c>
      <c r="Q935" s="679" t="s">
        <v>4202</v>
      </c>
    </row>
    <row r="936" spans="1:17">
      <c r="A936" s="788" t="s">
        <v>1848</v>
      </c>
      <c r="B936" s="187" t="s">
        <v>1000</v>
      </c>
      <c r="C936" s="215">
        <v>906147</v>
      </c>
      <c r="D936" s="215">
        <v>5111861</v>
      </c>
      <c r="F936" s="215">
        <f t="shared" si="86"/>
        <v>5111861</v>
      </c>
      <c r="G936" s="215">
        <f t="shared" si="87"/>
        <v>6018008</v>
      </c>
      <c r="H936" s="680" t="s">
        <v>6153</v>
      </c>
      <c r="I936" s="679"/>
      <c r="J936" s="187" t="str">
        <f t="shared" si="91"/>
        <v>176-903</v>
      </c>
      <c r="K936" s="187">
        <v>176</v>
      </c>
      <c r="L936" s="187">
        <v>903</v>
      </c>
      <c r="M936" s="187" t="str">
        <f t="shared" si="88"/>
        <v>176</v>
      </c>
      <c r="N936" s="187">
        <f t="shared" si="89"/>
        <v>903</v>
      </c>
      <c r="O936" s="187" t="str">
        <f t="shared" si="90"/>
        <v>176-903</v>
      </c>
      <c r="Q936" s="679" t="s">
        <v>4203</v>
      </c>
    </row>
    <row r="937" spans="1:17">
      <c r="A937" s="788" t="s">
        <v>2471</v>
      </c>
      <c r="B937" s="187" t="s">
        <v>369</v>
      </c>
      <c r="C937" s="215">
        <v>49598</v>
      </c>
      <c r="D937" s="215">
        <v>817910</v>
      </c>
      <c r="F937" s="215">
        <f t="shared" si="86"/>
        <v>817910</v>
      </c>
      <c r="G937" s="215">
        <f t="shared" si="87"/>
        <v>867508</v>
      </c>
      <c r="H937" s="680" t="s">
        <v>6153</v>
      </c>
      <c r="I937" s="679"/>
      <c r="J937" s="187" t="str">
        <f t="shared" si="91"/>
        <v>177-901</v>
      </c>
      <c r="K937" s="187">
        <v>177</v>
      </c>
      <c r="L937" s="187">
        <v>901</v>
      </c>
      <c r="M937" s="187" t="str">
        <f t="shared" si="88"/>
        <v>177</v>
      </c>
      <c r="N937" s="187">
        <f t="shared" si="89"/>
        <v>901</v>
      </c>
      <c r="O937" s="187" t="str">
        <f t="shared" si="90"/>
        <v>177-901</v>
      </c>
      <c r="Q937" s="679" t="s">
        <v>4204</v>
      </c>
    </row>
    <row r="938" spans="1:17">
      <c r="A938" s="788" t="s">
        <v>6044</v>
      </c>
      <c r="B938" s="187" t="s">
        <v>550</v>
      </c>
      <c r="C938" s="215">
        <v>329625</v>
      </c>
      <c r="D938" s="215">
        <v>5915994</v>
      </c>
      <c r="F938" s="215">
        <f t="shared" si="86"/>
        <v>5915994</v>
      </c>
      <c r="G938" s="215">
        <f t="shared" si="87"/>
        <v>6245619</v>
      </c>
      <c r="H938" s="680" t="s">
        <v>6153</v>
      </c>
      <c r="I938" s="679"/>
      <c r="J938" s="187" t="str">
        <f t="shared" si="91"/>
        <v>177-902</v>
      </c>
      <c r="K938" s="187">
        <v>177</v>
      </c>
      <c r="L938" s="187">
        <v>902</v>
      </c>
      <c r="M938" s="187" t="str">
        <f t="shared" si="88"/>
        <v>177</v>
      </c>
      <c r="N938" s="187">
        <f t="shared" si="89"/>
        <v>902</v>
      </c>
      <c r="O938" s="187" t="str">
        <f t="shared" si="90"/>
        <v>177-902</v>
      </c>
      <c r="Q938" s="679" t="s">
        <v>4205</v>
      </c>
    </row>
    <row r="939" spans="1:17">
      <c r="A939" s="788" t="s">
        <v>6046</v>
      </c>
      <c r="B939" s="187" t="s">
        <v>551</v>
      </c>
      <c r="C939" s="215">
        <v>0</v>
      </c>
      <c r="D939" s="215">
        <v>1794976</v>
      </c>
      <c r="F939" s="215">
        <f t="shared" si="86"/>
        <v>1794976</v>
      </c>
      <c r="G939" s="215">
        <f t="shared" si="87"/>
        <v>1794976</v>
      </c>
      <c r="H939" s="680" t="s">
        <v>6153</v>
      </c>
      <c r="I939" s="679"/>
      <c r="J939" s="187" t="str">
        <f t="shared" si="91"/>
        <v>177-903</v>
      </c>
      <c r="K939" s="187">
        <v>177</v>
      </c>
      <c r="L939" s="187">
        <v>903</v>
      </c>
      <c r="M939" s="187" t="str">
        <f t="shared" si="88"/>
        <v>177</v>
      </c>
      <c r="N939" s="187">
        <f t="shared" si="89"/>
        <v>903</v>
      </c>
      <c r="O939" s="187" t="str">
        <f t="shared" si="90"/>
        <v>177-903</v>
      </c>
      <c r="Q939" s="679" t="s">
        <v>4206</v>
      </c>
    </row>
    <row r="940" spans="1:17">
      <c r="A940" s="788" t="s">
        <v>4185</v>
      </c>
      <c r="B940" s="187" t="s">
        <v>552</v>
      </c>
      <c r="C940" s="215">
        <v>77663</v>
      </c>
      <c r="D940" s="215">
        <v>1059038</v>
      </c>
      <c r="F940" s="215">
        <f t="shared" si="86"/>
        <v>1059038</v>
      </c>
      <c r="G940" s="215">
        <f t="shared" si="87"/>
        <v>1136701</v>
      </c>
      <c r="H940" s="680" t="s">
        <v>6153</v>
      </c>
      <c r="I940" s="679"/>
      <c r="J940" s="187" t="str">
        <f t="shared" si="91"/>
        <v>177-905</v>
      </c>
      <c r="K940" s="187">
        <v>177</v>
      </c>
      <c r="L940" s="187">
        <v>905</v>
      </c>
      <c r="M940" s="187" t="str">
        <f t="shared" si="88"/>
        <v>177</v>
      </c>
      <c r="N940" s="187">
        <f t="shared" si="89"/>
        <v>905</v>
      </c>
      <c r="O940" s="187" t="str">
        <f t="shared" si="90"/>
        <v>177-905</v>
      </c>
      <c r="Q940" s="679" t="s">
        <v>4208</v>
      </c>
    </row>
    <row r="941" spans="1:17">
      <c r="A941" s="788" t="s">
        <v>1167</v>
      </c>
      <c r="B941" s="187" t="s">
        <v>1168</v>
      </c>
      <c r="C941" s="215">
        <v>0</v>
      </c>
      <c r="D941" s="215">
        <v>0</v>
      </c>
      <c r="F941" s="215">
        <f t="shared" si="86"/>
        <v>0</v>
      </c>
      <c r="G941" s="215">
        <f t="shared" si="87"/>
        <v>0</v>
      </c>
      <c r="H941" s="680" t="s">
        <v>6153</v>
      </c>
      <c r="I941" s="679"/>
      <c r="J941" s="187" t="str">
        <f t="shared" si="91"/>
        <v>178-801</v>
      </c>
      <c r="K941" s="187">
        <v>178</v>
      </c>
      <c r="L941" s="187">
        <v>801</v>
      </c>
      <c r="M941" s="187" t="str">
        <f t="shared" si="88"/>
        <v>178</v>
      </c>
      <c r="N941" s="187">
        <f t="shared" si="89"/>
        <v>801</v>
      </c>
      <c r="O941" s="187" t="str">
        <f t="shared" si="90"/>
        <v>178-801</v>
      </c>
      <c r="Q941" s="679" t="s">
        <v>6452</v>
      </c>
    </row>
    <row r="942" spans="1:17">
      <c r="A942" s="788" t="s">
        <v>1169</v>
      </c>
      <c r="B942" s="187" t="s">
        <v>1170</v>
      </c>
      <c r="C942" s="215">
        <v>0</v>
      </c>
      <c r="D942" s="215">
        <v>0</v>
      </c>
      <c r="F942" s="215">
        <f t="shared" si="86"/>
        <v>0</v>
      </c>
      <c r="G942" s="215">
        <f t="shared" si="87"/>
        <v>0</v>
      </c>
      <c r="H942" s="680" t="s">
        <v>6153</v>
      </c>
      <c r="I942" s="679"/>
      <c r="J942" s="187" t="str">
        <f t="shared" si="91"/>
        <v>178-802</v>
      </c>
      <c r="K942" s="187">
        <v>178</v>
      </c>
      <c r="L942" s="187">
        <v>802</v>
      </c>
      <c r="M942" s="187" t="str">
        <f t="shared" si="88"/>
        <v>178</v>
      </c>
      <c r="N942" s="187">
        <f t="shared" si="89"/>
        <v>802</v>
      </c>
      <c r="O942" s="187" t="str">
        <f t="shared" si="90"/>
        <v>178-802</v>
      </c>
      <c r="Q942" s="679" t="s">
        <v>6453</v>
      </c>
    </row>
    <row r="943" spans="1:17">
      <c r="A943" s="788" t="s">
        <v>1171</v>
      </c>
      <c r="B943" s="187" t="s">
        <v>1172</v>
      </c>
      <c r="C943" s="215">
        <v>0</v>
      </c>
      <c r="D943" s="215">
        <v>0</v>
      </c>
      <c r="F943" s="215">
        <f t="shared" si="86"/>
        <v>0</v>
      </c>
      <c r="G943" s="215">
        <f t="shared" si="87"/>
        <v>0</v>
      </c>
      <c r="H943" s="680" t="s">
        <v>6153</v>
      </c>
      <c r="I943" s="679"/>
      <c r="J943" s="187" t="str">
        <f t="shared" si="91"/>
        <v>178-803</v>
      </c>
      <c r="K943" s="187">
        <v>178</v>
      </c>
      <c r="L943" s="187">
        <v>803</v>
      </c>
      <c r="M943" s="187" t="str">
        <f t="shared" si="88"/>
        <v>178</v>
      </c>
      <c r="N943" s="187">
        <f t="shared" si="89"/>
        <v>803</v>
      </c>
      <c r="O943" s="187" t="str">
        <f t="shared" si="90"/>
        <v>178-803</v>
      </c>
      <c r="Q943" s="679" t="s">
        <v>6454</v>
      </c>
    </row>
    <row r="944" spans="1:17">
      <c r="A944" s="788" t="s">
        <v>1173</v>
      </c>
      <c r="B944" s="187" t="s">
        <v>1174</v>
      </c>
      <c r="C944" s="215">
        <v>0</v>
      </c>
      <c r="D944" s="215">
        <v>0</v>
      </c>
      <c r="F944" s="215">
        <f t="shared" si="86"/>
        <v>0</v>
      </c>
      <c r="G944" s="215">
        <f t="shared" si="87"/>
        <v>0</v>
      </c>
      <c r="H944" s="680" t="s">
        <v>6153</v>
      </c>
      <c r="I944" s="679"/>
      <c r="J944" s="187" t="str">
        <f t="shared" si="91"/>
        <v>178-804</v>
      </c>
      <c r="K944" s="187">
        <v>178</v>
      </c>
      <c r="L944" s="187">
        <v>804</v>
      </c>
      <c r="M944" s="187" t="str">
        <f t="shared" si="88"/>
        <v>178</v>
      </c>
      <c r="N944" s="187">
        <f t="shared" si="89"/>
        <v>804</v>
      </c>
      <c r="O944" s="187" t="str">
        <f t="shared" si="90"/>
        <v>178-804</v>
      </c>
      <c r="Q944" s="679" t="s">
        <v>6455</v>
      </c>
    </row>
    <row r="945" spans="1:17">
      <c r="A945" s="788" t="s">
        <v>6456</v>
      </c>
      <c r="B945" s="187" t="s">
        <v>6457</v>
      </c>
      <c r="C945" s="215">
        <v>0</v>
      </c>
      <c r="D945" s="215">
        <v>0</v>
      </c>
      <c r="F945" s="215">
        <f t="shared" si="86"/>
        <v>0</v>
      </c>
      <c r="G945" s="215">
        <f t="shared" si="87"/>
        <v>0</v>
      </c>
      <c r="H945" s="680" t="s">
        <v>6153</v>
      </c>
      <c r="I945" s="679"/>
      <c r="J945" s="187" t="str">
        <f t="shared" si="91"/>
        <v>178-805</v>
      </c>
      <c r="K945" s="187">
        <v>178</v>
      </c>
      <c r="L945" s="187">
        <v>805</v>
      </c>
      <c r="M945" s="187" t="str">
        <f t="shared" si="88"/>
        <v>178</v>
      </c>
      <c r="N945" s="187">
        <f t="shared" si="89"/>
        <v>805</v>
      </c>
      <c r="O945" s="187" t="str">
        <f t="shared" si="90"/>
        <v>178-805</v>
      </c>
      <c r="Q945" s="679" t="s">
        <v>6458</v>
      </c>
    </row>
    <row r="946" spans="1:17">
      <c r="A946" s="788" t="s">
        <v>6459</v>
      </c>
      <c r="B946" s="187" t="s">
        <v>6460</v>
      </c>
      <c r="C946" s="215">
        <v>0</v>
      </c>
      <c r="D946" s="215">
        <v>0</v>
      </c>
      <c r="F946" s="215">
        <f t="shared" si="86"/>
        <v>0</v>
      </c>
      <c r="G946" s="215">
        <f t="shared" si="87"/>
        <v>0</v>
      </c>
      <c r="H946" s="680" t="s">
        <v>6153</v>
      </c>
      <c r="I946" s="679"/>
      <c r="J946" s="187" t="str">
        <f t="shared" si="91"/>
        <v>178-806</v>
      </c>
      <c r="K946" s="187">
        <v>178</v>
      </c>
      <c r="L946" s="187">
        <v>806</v>
      </c>
      <c r="M946" s="187" t="str">
        <f t="shared" si="88"/>
        <v>178</v>
      </c>
      <c r="N946" s="187">
        <f t="shared" si="89"/>
        <v>806</v>
      </c>
      <c r="O946" s="187" t="str">
        <f t="shared" si="90"/>
        <v>178-806</v>
      </c>
      <c r="Q946" s="679" t="s">
        <v>6461</v>
      </c>
    </row>
    <row r="947" spans="1:17">
      <c r="A947" s="788" t="s">
        <v>6689</v>
      </c>
      <c r="B947" s="187" t="s">
        <v>553</v>
      </c>
      <c r="C947" s="215">
        <v>198825</v>
      </c>
      <c r="D947" s="215">
        <v>1143330</v>
      </c>
      <c r="F947" s="215">
        <f t="shared" si="86"/>
        <v>1143330</v>
      </c>
      <c r="G947" s="215">
        <f t="shared" si="87"/>
        <v>1342155</v>
      </c>
      <c r="H947" s="680" t="s">
        <v>6153</v>
      </c>
      <c r="I947" s="679"/>
      <c r="J947" s="187" t="str">
        <f t="shared" si="91"/>
        <v>178-901</v>
      </c>
      <c r="K947" s="187">
        <v>178</v>
      </c>
      <c r="L947" s="187">
        <v>901</v>
      </c>
      <c r="M947" s="187" t="str">
        <f t="shared" si="88"/>
        <v>178</v>
      </c>
      <c r="N947" s="187">
        <f t="shared" si="89"/>
        <v>901</v>
      </c>
      <c r="O947" s="187" t="str">
        <f t="shared" si="90"/>
        <v>178-901</v>
      </c>
      <c r="Q947" s="679" t="s">
        <v>4209</v>
      </c>
    </row>
    <row r="948" spans="1:17">
      <c r="A948" s="788" t="s">
        <v>6691</v>
      </c>
      <c r="B948" s="187" t="s">
        <v>554</v>
      </c>
      <c r="C948" s="215">
        <v>696131</v>
      </c>
      <c r="D948" s="215">
        <v>6749053</v>
      </c>
      <c r="F948" s="215">
        <f t="shared" si="86"/>
        <v>6749053</v>
      </c>
      <c r="G948" s="215">
        <f t="shared" si="87"/>
        <v>7445184</v>
      </c>
      <c r="H948" s="680" t="s">
        <v>6153</v>
      </c>
      <c r="I948" s="679"/>
      <c r="J948" s="187" t="str">
        <f t="shared" si="91"/>
        <v>178-902</v>
      </c>
      <c r="K948" s="187">
        <v>178</v>
      </c>
      <c r="L948" s="187">
        <v>902</v>
      </c>
      <c r="M948" s="187" t="str">
        <f t="shared" si="88"/>
        <v>178</v>
      </c>
      <c r="N948" s="187">
        <f t="shared" si="89"/>
        <v>902</v>
      </c>
      <c r="O948" s="187" t="str">
        <f t="shared" si="90"/>
        <v>178-902</v>
      </c>
      <c r="Q948" s="679" t="s">
        <v>4210</v>
      </c>
    </row>
    <row r="949" spans="1:17">
      <c r="A949" s="788" t="s">
        <v>6693</v>
      </c>
      <c r="B949" s="187" t="s">
        <v>555</v>
      </c>
      <c r="C949" s="215">
        <v>957614</v>
      </c>
      <c r="D949" s="215">
        <v>14493109</v>
      </c>
      <c r="F949" s="215">
        <f t="shared" si="86"/>
        <v>14493109</v>
      </c>
      <c r="G949" s="215">
        <f t="shared" si="87"/>
        <v>15450723</v>
      </c>
      <c r="H949" s="680" t="s">
        <v>6153</v>
      </c>
      <c r="I949" s="679"/>
      <c r="J949" s="187" t="str">
        <f t="shared" si="91"/>
        <v>178-903</v>
      </c>
      <c r="K949" s="187">
        <v>178</v>
      </c>
      <c r="L949" s="187">
        <v>903</v>
      </c>
      <c r="M949" s="187" t="str">
        <f t="shared" si="88"/>
        <v>178</v>
      </c>
      <c r="N949" s="187">
        <f t="shared" si="89"/>
        <v>903</v>
      </c>
      <c r="O949" s="187" t="str">
        <f t="shared" si="90"/>
        <v>178-903</v>
      </c>
      <c r="Q949" s="679" t="s">
        <v>4212</v>
      </c>
    </row>
    <row r="950" spans="1:17">
      <c r="A950" s="788" t="s">
        <v>240</v>
      </c>
      <c r="B950" s="187" t="s">
        <v>2648</v>
      </c>
      <c r="C950" s="215">
        <v>8602192</v>
      </c>
      <c r="D950" s="215">
        <v>111061641</v>
      </c>
      <c r="F950" s="215">
        <f t="shared" si="86"/>
        <v>111061641</v>
      </c>
      <c r="G950" s="215">
        <f t="shared" si="87"/>
        <v>119663833</v>
      </c>
      <c r="H950" s="680" t="s">
        <v>6153</v>
      </c>
      <c r="I950" s="679"/>
      <c r="J950" s="187" t="str">
        <f t="shared" si="91"/>
        <v>178-904</v>
      </c>
      <c r="K950" s="187">
        <v>178</v>
      </c>
      <c r="L950" s="187">
        <v>904</v>
      </c>
      <c r="M950" s="187" t="str">
        <f t="shared" si="88"/>
        <v>178</v>
      </c>
      <c r="N950" s="187">
        <f t="shared" si="89"/>
        <v>904</v>
      </c>
      <c r="O950" s="187" t="str">
        <f t="shared" si="90"/>
        <v>178-904</v>
      </c>
      <c r="Q950" s="679" t="s">
        <v>4213</v>
      </c>
    </row>
    <row r="951" spans="1:17">
      <c r="A951" s="788" t="s">
        <v>6695</v>
      </c>
      <c r="B951" s="187" t="s">
        <v>556</v>
      </c>
      <c r="C951" s="215">
        <v>270484</v>
      </c>
      <c r="D951" s="215">
        <v>1420273</v>
      </c>
      <c r="F951" s="215">
        <f t="shared" si="86"/>
        <v>1420273</v>
      </c>
      <c r="G951" s="215">
        <f t="shared" si="87"/>
        <v>1690757</v>
      </c>
      <c r="H951" s="680" t="s">
        <v>6153</v>
      </c>
      <c r="I951" s="679"/>
      <c r="J951" s="187" t="str">
        <f t="shared" si="91"/>
        <v>178-905</v>
      </c>
      <c r="K951" s="187">
        <v>178</v>
      </c>
      <c r="L951" s="187">
        <v>905</v>
      </c>
      <c r="M951" s="187" t="str">
        <f t="shared" si="88"/>
        <v>178</v>
      </c>
      <c r="N951" s="187">
        <f t="shared" si="89"/>
        <v>905</v>
      </c>
      <c r="O951" s="187" t="str">
        <f t="shared" si="90"/>
        <v>178-905</v>
      </c>
      <c r="Q951" s="679" t="s">
        <v>4214</v>
      </c>
    </row>
    <row r="952" spans="1:17">
      <c r="A952" s="788" t="s">
        <v>745</v>
      </c>
      <c r="B952" s="187" t="s">
        <v>557</v>
      </c>
      <c r="C952" s="215">
        <v>308729</v>
      </c>
      <c r="D952" s="215">
        <v>1491117</v>
      </c>
      <c r="F952" s="215">
        <f t="shared" si="86"/>
        <v>1491117</v>
      </c>
      <c r="G952" s="215">
        <f t="shared" si="87"/>
        <v>1799846</v>
      </c>
      <c r="H952" s="680" t="s">
        <v>6153</v>
      </c>
      <c r="I952" s="679"/>
      <c r="J952" s="187" t="str">
        <f t="shared" si="91"/>
        <v>178-906</v>
      </c>
      <c r="K952" s="187">
        <v>178</v>
      </c>
      <c r="L952" s="187">
        <v>906</v>
      </c>
      <c r="M952" s="187" t="str">
        <f t="shared" si="88"/>
        <v>178</v>
      </c>
      <c r="N952" s="187">
        <f t="shared" si="89"/>
        <v>906</v>
      </c>
      <c r="O952" s="187" t="str">
        <f t="shared" si="90"/>
        <v>178-906</v>
      </c>
      <c r="Q952" s="679" t="s">
        <v>4215</v>
      </c>
    </row>
    <row r="953" spans="1:17">
      <c r="A953" s="788" t="s">
        <v>747</v>
      </c>
      <c r="B953" s="187" t="s">
        <v>558</v>
      </c>
      <c r="C953" s="215">
        <v>827945</v>
      </c>
      <c r="D953" s="215">
        <v>12310236</v>
      </c>
      <c r="F953" s="215">
        <f t="shared" si="86"/>
        <v>12310236</v>
      </c>
      <c r="G953" s="215">
        <f t="shared" si="87"/>
        <v>13138181</v>
      </c>
      <c r="H953" s="680" t="s">
        <v>6153</v>
      </c>
      <c r="I953" s="679"/>
      <c r="J953" s="187" t="str">
        <f t="shared" si="91"/>
        <v>178-908</v>
      </c>
      <c r="K953" s="187">
        <v>178</v>
      </c>
      <c r="L953" s="187">
        <v>908</v>
      </c>
      <c r="M953" s="187" t="str">
        <f t="shared" si="88"/>
        <v>178</v>
      </c>
      <c r="N953" s="187">
        <f t="shared" si="89"/>
        <v>908</v>
      </c>
      <c r="O953" s="187" t="str">
        <f t="shared" si="90"/>
        <v>178-908</v>
      </c>
      <c r="Q953" s="679" t="s">
        <v>4216</v>
      </c>
    </row>
    <row r="954" spans="1:17">
      <c r="A954" s="788" t="s">
        <v>2308</v>
      </c>
      <c r="B954" s="187" t="s">
        <v>366</v>
      </c>
      <c r="C954" s="215">
        <v>459081</v>
      </c>
      <c r="D954" s="215">
        <v>3219575</v>
      </c>
      <c r="F954" s="215">
        <f t="shared" si="86"/>
        <v>3219575</v>
      </c>
      <c r="G954" s="215">
        <f t="shared" si="87"/>
        <v>3678656</v>
      </c>
      <c r="H954" s="680" t="s">
        <v>6153</v>
      </c>
      <c r="I954" s="679"/>
      <c r="J954" s="187" t="str">
        <f t="shared" si="91"/>
        <v>178-909</v>
      </c>
      <c r="K954" s="187">
        <v>178</v>
      </c>
      <c r="L954" s="187">
        <v>909</v>
      </c>
      <c r="M954" s="187" t="str">
        <f t="shared" si="88"/>
        <v>178</v>
      </c>
      <c r="N954" s="187">
        <f t="shared" si="89"/>
        <v>909</v>
      </c>
      <c r="O954" s="187" t="str">
        <f t="shared" si="90"/>
        <v>178-909</v>
      </c>
      <c r="Q954" s="679" t="s">
        <v>4217</v>
      </c>
    </row>
    <row r="955" spans="1:17">
      <c r="A955" s="788" t="s">
        <v>749</v>
      </c>
      <c r="B955" s="187" t="s">
        <v>559</v>
      </c>
      <c r="C955" s="215">
        <v>2649067</v>
      </c>
      <c r="D955" s="215">
        <v>15706139</v>
      </c>
      <c r="F955" s="215">
        <f t="shared" si="86"/>
        <v>15706139</v>
      </c>
      <c r="G955" s="215">
        <f t="shared" si="87"/>
        <v>18355206</v>
      </c>
      <c r="H955" s="680" t="s">
        <v>6153</v>
      </c>
      <c r="I955" s="679"/>
      <c r="J955" s="187" t="str">
        <f t="shared" si="91"/>
        <v>178-912</v>
      </c>
      <c r="K955" s="187">
        <v>178</v>
      </c>
      <c r="L955" s="187">
        <v>912</v>
      </c>
      <c r="M955" s="187" t="str">
        <f t="shared" si="88"/>
        <v>178</v>
      </c>
      <c r="N955" s="187">
        <f t="shared" si="89"/>
        <v>912</v>
      </c>
      <c r="O955" s="187" t="str">
        <f t="shared" si="90"/>
        <v>178-912</v>
      </c>
      <c r="Q955" s="679" t="s">
        <v>4218</v>
      </c>
    </row>
    <row r="956" spans="1:17">
      <c r="A956" s="788" t="s">
        <v>2953</v>
      </c>
      <c r="B956" s="187" t="s">
        <v>560</v>
      </c>
      <c r="C956" s="215">
        <v>270647</v>
      </c>
      <c r="D956" s="215">
        <v>2333995</v>
      </c>
      <c r="F956" s="215">
        <f t="shared" si="86"/>
        <v>2333995</v>
      </c>
      <c r="G956" s="215">
        <f t="shared" si="87"/>
        <v>2604642</v>
      </c>
      <c r="H956" s="680" t="s">
        <v>6153</v>
      </c>
      <c r="I956" s="679"/>
      <c r="J956" s="187" t="str">
        <f t="shared" si="91"/>
        <v>178-913</v>
      </c>
      <c r="K956" s="187">
        <v>178</v>
      </c>
      <c r="L956" s="187">
        <v>913</v>
      </c>
      <c r="M956" s="187" t="str">
        <f t="shared" si="88"/>
        <v>178</v>
      </c>
      <c r="N956" s="187">
        <f t="shared" si="89"/>
        <v>913</v>
      </c>
      <c r="O956" s="187" t="str">
        <f t="shared" si="90"/>
        <v>178-913</v>
      </c>
      <c r="Q956" s="679" t="s">
        <v>4219</v>
      </c>
    </row>
    <row r="957" spans="1:17">
      <c r="A957" s="788" t="s">
        <v>2955</v>
      </c>
      <c r="B957" s="187" t="s">
        <v>561</v>
      </c>
      <c r="C957" s="215">
        <v>509599</v>
      </c>
      <c r="D957" s="215">
        <v>17884749</v>
      </c>
      <c r="F957" s="215">
        <f t="shared" si="86"/>
        <v>17884749</v>
      </c>
      <c r="G957" s="215">
        <f t="shared" si="87"/>
        <v>18394348</v>
      </c>
      <c r="H957" s="680" t="s">
        <v>6153</v>
      </c>
      <c r="I957" s="679"/>
      <c r="J957" s="187" t="str">
        <f t="shared" si="91"/>
        <v>178-914</v>
      </c>
      <c r="K957" s="187">
        <v>178</v>
      </c>
      <c r="L957" s="187">
        <v>914</v>
      </c>
      <c r="M957" s="187" t="str">
        <f t="shared" si="88"/>
        <v>178</v>
      </c>
      <c r="N957" s="187">
        <f t="shared" si="89"/>
        <v>914</v>
      </c>
      <c r="O957" s="187" t="str">
        <f t="shared" si="90"/>
        <v>178-914</v>
      </c>
      <c r="Q957" s="679" t="s">
        <v>4220</v>
      </c>
    </row>
    <row r="958" spans="1:17">
      <c r="A958" s="788" t="s">
        <v>2957</v>
      </c>
      <c r="B958" s="187" t="s">
        <v>562</v>
      </c>
      <c r="C958" s="215">
        <v>1358327</v>
      </c>
      <c r="D958" s="215">
        <v>5252085</v>
      </c>
      <c r="F958" s="215">
        <f t="shared" si="86"/>
        <v>5252085</v>
      </c>
      <c r="G958" s="215">
        <f t="shared" si="87"/>
        <v>6610412</v>
      </c>
      <c r="H958" s="680" t="s">
        <v>6153</v>
      </c>
      <c r="I958" s="679"/>
      <c r="J958" s="187" t="str">
        <f t="shared" si="91"/>
        <v>178-915</v>
      </c>
      <c r="K958" s="187">
        <v>178</v>
      </c>
      <c r="L958" s="187">
        <v>915</v>
      </c>
      <c r="M958" s="187" t="str">
        <f t="shared" si="88"/>
        <v>178</v>
      </c>
      <c r="N958" s="187">
        <f t="shared" si="89"/>
        <v>915</v>
      </c>
      <c r="O958" s="187" t="str">
        <f t="shared" si="90"/>
        <v>178-915</v>
      </c>
      <c r="Q958" s="679" t="s">
        <v>4221</v>
      </c>
    </row>
    <row r="959" spans="1:17">
      <c r="A959" s="788" t="s">
        <v>1176</v>
      </c>
      <c r="B959" s="187" t="s">
        <v>1177</v>
      </c>
      <c r="C959" s="215">
        <v>0</v>
      </c>
      <c r="D959" s="215">
        <v>0</v>
      </c>
      <c r="F959" s="215">
        <f t="shared" si="86"/>
        <v>0</v>
      </c>
      <c r="G959" s="215">
        <f t="shared" si="87"/>
        <v>0</v>
      </c>
      <c r="H959" s="680" t="s">
        <v>6153</v>
      </c>
      <c r="I959" s="679"/>
      <c r="J959" s="187" t="str">
        <f t="shared" si="91"/>
        <v>178-950</v>
      </c>
      <c r="K959" s="187">
        <v>178</v>
      </c>
      <c r="L959" s="187">
        <v>950</v>
      </c>
      <c r="M959" s="187" t="str">
        <f t="shared" si="88"/>
        <v>178</v>
      </c>
      <c r="N959" s="187">
        <f t="shared" si="89"/>
        <v>950</v>
      </c>
      <c r="O959" s="187" t="str">
        <f t="shared" si="90"/>
        <v>178-950</v>
      </c>
      <c r="Q959" s="679" t="s">
        <v>6462</v>
      </c>
    </row>
    <row r="960" spans="1:17">
      <c r="A960" s="788" t="s">
        <v>5123</v>
      </c>
      <c r="B960" s="187" t="s">
        <v>337</v>
      </c>
      <c r="C960" s="215">
        <v>494722</v>
      </c>
      <c r="D960" s="215">
        <v>7462237</v>
      </c>
      <c r="F960" s="215">
        <f t="shared" si="86"/>
        <v>7462237</v>
      </c>
      <c r="G960" s="215">
        <f t="shared" si="87"/>
        <v>7956959</v>
      </c>
      <c r="H960" s="680" t="s">
        <v>6153</v>
      </c>
      <c r="I960" s="679"/>
      <c r="J960" s="187" t="str">
        <f t="shared" si="91"/>
        <v>179-901</v>
      </c>
      <c r="K960" s="187">
        <v>179</v>
      </c>
      <c r="L960" s="187">
        <v>901</v>
      </c>
      <c r="M960" s="187" t="str">
        <f t="shared" si="88"/>
        <v>179</v>
      </c>
      <c r="N960" s="187">
        <f t="shared" si="89"/>
        <v>901</v>
      </c>
      <c r="O960" s="187" t="str">
        <f t="shared" si="90"/>
        <v>179-901</v>
      </c>
      <c r="Q960" s="679" t="s">
        <v>4222</v>
      </c>
    </row>
    <row r="961" spans="1:17">
      <c r="A961" s="788" t="s">
        <v>7156</v>
      </c>
      <c r="B961" s="187" t="s">
        <v>1178</v>
      </c>
      <c r="C961" s="215">
        <v>0</v>
      </c>
      <c r="D961" s="215">
        <v>0</v>
      </c>
      <c r="F961" s="215">
        <f t="shared" si="86"/>
        <v>0</v>
      </c>
      <c r="G961" s="215">
        <f t="shared" si="87"/>
        <v>0</v>
      </c>
      <c r="H961" s="680" t="s">
        <v>6153</v>
      </c>
      <c r="I961" s="679"/>
      <c r="J961" s="187" t="str">
        <f t="shared" si="91"/>
        <v>180-901</v>
      </c>
      <c r="K961" s="187">
        <v>180</v>
      </c>
      <c r="L961" s="187">
        <v>901</v>
      </c>
      <c r="M961" s="187" t="str">
        <f t="shared" si="88"/>
        <v>180</v>
      </c>
      <c r="N961" s="187">
        <f t="shared" si="89"/>
        <v>901</v>
      </c>
      <c r="O961" s="187" t="str">
        <f t="shared" si="90"/>
        <v>180-901</v>
      </c>
      <c r="Q961" s="679" t="s">
        <v>6463</v>
      </c>
    </row>
    <row r="962" spans="1:17">
      <c r="A962" s="788" t="s">
        <v>4119</v>
      </c>
      <c r="B962" s="187" t="s">
        <v>563</v>
      </c>
      <c r="C962" s="215">
        <v>0</v>
      </c>
      <c r="D962" s="215">
        <v>949225</v>
      </c>
      <c r="F962" s="215">
        <f t="shared" si="86"/>
        <v>949225</v>
      </c>
      <c r="G962" s="215">
        <f t="shared" si="87"/>
        <v>949225</v>
      </c>
      <c r="H962" s="680" t="s">
        <v>6153</v>
      </c>
      <c r="I962" s="679"/>
      <c r="J962" s="187" t="str">
        <f t="shared" si="91"/>
        <v>180-902</v>
      </c>
      <c r="K962" s="187">
        <v>180</v>
      </c>
      <c r="L962" s="187">
        <v>902</v>
      </c>
      <c r="M962" s="187" t="str">
        <f t="shared" si="88"/>
        <v>180</v>
      </c>
      <c r="N962" s="187">
        <f t="shared" si="89"/>
        <v>902</v>
      </c>
      <c r="O962" s="187" t="str">
        <f t="shared" si="90"/>
        <v>180-902</v>
      </c>
      <c r="Q962" s="679" t="s">
        <v>4223</v>
      </c>
    </row>
    <row r="963" spans="1:17">
      <c r="A963" s="788" t="s">
        <v>4121</v>
      </c>
      <c r="B963" s="187" t="s">
        <v>564</v>
      </c>
      <c r="C963" s="215">
        <v>0</v>
      </c>
      <c r="D963" s="215">
        <v>509280</v>
      </c>
      <c r="F963" s="215">
        <f t="shared" si="86"/>
        <v>509280</v>
      </c>
      <c r="G963" s="215">
        <f t="shared" si="87"/>
        <v>509280</v>
      </c>
      <c r="H963" s="680" t="s">
        <v>6153</v>
      </c>
      <c r="I963" s="679"/>
      <c r="J963" s="187" t="str">
        <f t="shared" si="91"/>
        <v>180-903</v>
      </c>
      <c r="K963" s="187">
        <v>180</v>
      </c>
      <c r="L963" s="187">
        <v>903</v>
      </c>
      <c r="M963" s="187" t="str">
        <f t="shared" si="88"/>
        <v>180</v>
      </c>
      <c r="N963" s="187">
        <f t="shared" si="89"/>
        <v>903</v>
      </c>
      <c r="O963" s="187" t="str">
        <f t="shared" si="90"/>
        <v>180-903</v>
      </c>
      <c r="Q963" s="679" t="s">
        <v>4224</v>
      </c>
    </row>
    <row r="964" spans="1:17">
      <c r="A964" s="788" t="s">
        <v>4123</v>
      </c>
      <c r="B964" s="187" t="s">
        <v>565</v>
      </c>
      <c r="C964" s="215">
        <v>0</v>
      </c>
      <c r="D964" s="215">
        <v>307873</v>
      </c>
      <c r="F964" s="215">
        <f t="shared" ref="F964:F1027" si="92">D964+E964</f>
        <v>307873</v>
      </c>
      <c r="G964" s="215">
        <f t="shared" ref="G964:G1027" si="93">F964+C964</f>
        <v>307873</v>
      </c>
      <c r="H964" s="680" t="s">
        <v>6153</v>
      </c>
      <c r="I964" s="679"/>
      <c r="J964" s="187" t="str">
        <f t="shared" si="91"/>
        <v>180-904</v>
      </c>
      <c r="K964" s="187">
        <v>180</v>
      </c>
      <c r="L964" s="187">
        <v>904</v>
      </c>
      <c r="M964" s="187" t="str">
        <f t="shared" ref="M964:M1027" si="94">+I964&amp;K964</f>
        <v>180</v>
      </c>
      <c r="N964" s="187">
        <f t="shared" ref="N964:N1027" si="95">+L964</f>
        <v>904</v>
      </c>
      <c r="O964" s="187" t="str">
        <f t="shared" ref="O964:O1027" si="96">+M964&amp;"-"&amp;N964</f>
        <v>180-904</v>
      </c>
      <c r="Q964" s="679" t="s">
        <v>4225</v>
      </c>
    </row>
    <row r="965" spans="1:17">
      <c r="A965" s="788" t="s">
        <v>5032</v>
      </c>
      <c r="B965" s="187" t="s">
        <v>7666</v>
      </c>
      <c r="C965" s="215">
        <v>1261032</v>
      </c>
      <c r="D965" s="215">
        <v>7423463</v>
      </c>
      <c r="F965" s="215">
        <f t="shared" si="92"/>
        <v>7423463</v>
      </c>
      <c r="G965" s="215">
        <f t="shared" si="93"/>
        <v>8684495</v>
      </c>
      <c r="H965" s="680" t="s">
        <v>6153</v>
      </c>
      <c r="I965" s="679"/>
      <c r="J965" s="187" t="str">
        <f t="shared" si="91"/>
        <v>181-901</v>
      </c>
      <c r="K965" s="187">
        <v>181</v>
      </c>
      <c r="L965" s="187">
        <v>901</v>
      </c>
      <c r="M965" s="187" t="str">
        <f t="shared" si="94"/>
        <v>181</v>
      </c>
      <c r="N965" s="187">
        <f t="shared" si="95"/>
        <v>901</v>
      </c>
      <c r="O965" s="187" t="str">
        <f t="shared" si="96"/>
        <v>181-901</v>
      </c>
      <c r="Q965" s="679" t="s">
        <v>4226</v>
      </c>
    </row>
    <row r="966" spans="1:17">
      <c r="A966" s="788" t="s">
        <v>4125</v>
      </c>
      <c r="B966" s="187" t="s">
        <v>566</v>
      </c>
      <c r="C966" s="215">
        <v>641678</v>
      </c>
      <c r="D966" s="215">
        <v>3529701</v>
      </c>
      <c r="F966" s="215">
        <f t="shared" si="92"/>
        <v>3529701</v>
      </c>
      <c r="G966" s="215">
        <f t="shared" si="93"/>
        <v>4171379</v>
      </c>
      <c r="H966" s="680" t="s">
        <v>6153</v>
      </c>
      <c r="I966" s="679"/>
      <c r="J966" s="187" t="str">
        <f t="shared" si="91"/>
        <v>181-905</v>
      </c>
      <c r="K966" s="187">
        <v>181</v>
      </c>
      <c r="L966" s="187">
        <v>905</v>
      </c>
      <c r="M966" s="187" t="str">
        <f t="shared" si="94"/>
        <v>181</v>
      </c>
      <c r="N966" s="187">
        <f t="shared" si="95"/>
        <v>905</v>
      </c>
      <c r="O966" s="187" t="str">
        <f t="shared" si="96"/>
        <v>181-905</v>
      </c>
      <c r="Q966" s="679" t="s">
        <v>4227</v>
      </c>
    </row>
    <row r="967" spans="1:17">
      <c r="A967" s="788" t="s">
        <v>4127</v>
      </c>
      <c r="B967" s="187" t="s">
        <v>567</v>
      </c>
      <c r="C967" s="215">
        <v>1355119</v>
      </c>
      <c r="D967" s="215">
        <v>22844443</v>
      </c>
      <c r="F967" s="215">
        <f t="shared" si="92"/>
        <v>22844443</v>
      </c>
      <c r="G967" s="215">
        <f t="shared" si="93"/>
        <v>24199562</v>
      </c>
      <c r="H967" s="680" t="s">
        <v>6153</v>
      </c>
      <c r="I967" s="679"/>
      <c r="J967" s="187" t="str">
        <f t="shared" si="91"/>
        <v>181-906</v>
      </c>
      <c r="K967" s="187">
        <v>181</v>
      </c>
      <c r="L967" s="187">
        <v>906</v>
      </c>
      <c r="M967" s="187" t="str">
        <f t="shared" si="94"/>
        <v>181</v>
      </c>
      <c r="N967" s="187">
        <f t="shared" si="95"/>
        <v>906</v>
      </c>
      <c r="O967" s="187" t="str">
        <f t="shared" si="96"/>
        <v>181-906</v>
      </c>
      <c r="Q967" s="679" t="s">
        <v>4228</v>
      </c>
    </row>
    <row r="968" spans="1:17">
      <c r="A968" s="788" t="s">
        <v>5033</v>
      </c>
      <c r="B968" s="187" t="s">
        <v>4059</v>
      </c>
      <c r="C968" s="215">
        <v>688535</v>
      </c>
      <c r="D968" s="215">
        <v>7959083</v>
      </c>
      <c r="F968" s="215">
        <f t="shared" si="92"/>
        <v>7959083</v>
      </c>
      <c r="G968" s="215">
        <f t="shared" si="93"/>
        <v>8647618</v>
      </c>
      <c r="H968" s="680" t="s">
        <v>6153</v>
      </c>
      <c r="I968" s="679"/>
      <c r="J968" s="187" t="str">
        <f t="shared" si="91"/>
        <v>181-907</v>
      </c>
      <c r="K968" s="187">
        <v>181</v>
      </c>
      <c r="L968" s="187">
        <v>907</v>
      </c>
      <c r="M968" s="187" t="str">
        <f t="shared" si="94"/>
        <v>181</v>
      </c>
      <c r="N968" s="187">
        <f t="shared" si="95"/>
        <v>907</v>
      </c>
      <c r="O968" s="187" t="str">
        <f t="shared" si="96"/>
        <v>181-907</v>
      </c>
      <c r="Q968" s="679" t="s">
        <v>4230</v>
      </c>
    </row>
    <row r="969" spans="1:17">
      <c r="A969" s="788" t="s">
        <v>4129</v>
      </c>
      <c r="B969" s="187" t="s">
        <v>1621</v>
      </c>
      <c r="C969" s="215">
        <v>644189</v>
      </c>
      <c r="D969" s="215">
        <v>9585276</v>
      </c>
      <c r="F969" s="215">
        <f t="shared" si="92"/>
        <v>9585276</v>
      </c>
      <c r="G969" s="215">
        <f t="shared" si="93"/>
        <v>10229465</v>
      </c>
      <c r="H969" s="680" t="s">
        <v>6153</v>
      </c>
      <c r="I969" s="679"/>
      <c r="J969" s="187" t="str">
        <f t="shared" si="91"/>
        <v>181-908</v>
      </c>
      <c r="K969" s="187">
        <v>181</v>
      </c>
      <c r="L969" s="187">
        <v>908</v>
      </c>
      <c r="M969" s="187" t="str">
        <f t="shared" si="94"/>
        <v>181</v>
      </c>
      <c r="N969" s="187">
        <f t="shared" si="95"/>
        <v>908</v>
      </c>
      <c r="O969" s="187" t="str">
        <f t="shared" si="96"/>
        <v>181-908</v>
      </c>
      <c r="Q969" s="679" t="s">
        <v>4231</v>
      </c>
    </row>
    <row r="970" spans="1:17">
      <c r="A970" s="788" t="s">
        <v>1179</v>
      </c>
      <c r="B970" s="187" t="s">
        <v>1180</v>
      </c>
      <c r="C970" s="215">
        <v>0</v>
      </c>
      <c r="D970" s="215">
        <v>0</v>
      </c>
      <c r="F970" s="215">
        <f t="shared" si="92"/>
        <v>0</v>
      </c>
      <c r="G970" s="215">
        <f t="shared" si="93"/>
        <v>0</v>
      </c>
      <c r="H970" s="680" t="s">
        <v>6153</v>
      </c>
      <c r="I970" s="679"/>
      <c r="J970" s="187" t="str">
        <f t="shared" si="91"/>
        <v>181-950</v>
      </c>
      <c r="K970" s="187">
        <v>181</v>
      </c>
      <c r="L970" s="187">
        <v>950</v>
      </c>
      <c r="M970" s="187" t="str">
        <f t="shared" si="94"/>
        <v>181</v>
      </c>
      <c r="N970" s="187">
        <f t="shared" si="95"/>
        <v>950</v>
      </c>
      <c r="O970" s="187" t="str">
        <f t="shared" si="96"/>
        <v>181-950</v>
      </c>
      <c r="Q970" s="679" t="s">
        <v>6464</v>
      </c>
    </row>
    <row r="971" spans="1:17">
      <c r="A971" s="788" t="s">
        <v>4131</v>
      </c>
      <c r="B971" s="187" t="s">
        <v>1622</v>
      </c>
      <c r="C971" s="215">
        <v>61351</v>
      </c>
      <c r="D971" s="215">
        <v>777920</v>
      </c>
      <c r="F971" s="215">
        <f t="shared" si="92"/>
        <v>777920</v>
      </c>
      <c r="G971" s="215">
        <f t="shared" si="93"/>
        <v>839271</v>
      </c>
      <c r="H971" s="680" t="s">
        <v>6153</v>
      </c>
      <c r="I971" s="679"/>
      <c r="J971" s="187" t="str">
        <f t="shared" si="91"/>
        <v>182-901</v>
      </c>
      <c r="K971" s="187">
        <v>182</v>
      </c>
      <c r="L971" s="187">
        <v>901</v>
      </c>
      <c r="M971" s="187" t="str">
        <f t="shared" si="94"/>
        <v>182</v>
      </c>
      <c r="N971" s="187">
        <f t="shared" si="95"/>
        <v>901</v>
      </c>
      <c r="O971" s="187" t="str">
        <f t="shared" si="96"/>
        <v>182-901</v>
      </c>
      <c r="Q971" s="679" t="s">
        <v>4233</v>
      </c>
    </row>
    <row r="972" spans="1:17">
      <c r="A972" s="788" t="s">
        <v>4133</v>
      </c>
      <c r="B972" s="187" t="s">
        <v>1623</v>
      </c>
      <c r="C972" s="215">
        <v>239082</v>
      </c>
      <c r="D972" s="215">
        <v>4885352</v>
      </c>
      <c r="F972" s="215">
        <f t="shared" si="92"/>
        <v>4885352</v>
      </c>
      <c r="G972" s="215">
        <f t="shared" si="93"/>
        <v>5124434</v>
      </c>
      <c r="H972" s="680" t="s">
        <v>6153</v>
      </c>
      <c r="I972" s="679"/>
      <c r="J972" s="187" t="str">
        <f t="shared" si="91"/>
        <v>182-902</v>
      </c>
      <c r="K972" s="187">
        <v>182</v>
      </c>
      <c r="L972" s="187">
        <v>902</v>
      </c>
      <c r="M972" s="187" t="str">
        <f t="shared" si="94"/>
        <v>182</v>
      </c>
      <c r="N972" s="187">
        <f t="shared" si="95"/>
        <v>902</v>
      </c>
      <c r="O972" s="187" t="str">
        <f t="shared" si="96"/>
        <v>182-902</v>
      </c>
      <c r="Q972" s="679" t="s">
        <v>4234</v>
      </c>
    </row>
    <row r="973" spans="1:17">
      <c r="A973" s="788" t="s">
        <v>6175</v>
      </c>
      <c r="B973" s="187" t="s">
        <v>501</v>
      </c>
      <c r="C973" s="215">
        <v>784620</v>
      </c>
      <c r="D973" s="215">
        <v>6815958</v>
      </c>
      <c r="F973" s="215">
        <f t="shared" si="92"/>
        <v>6815958</v>
      </c>
      <c r="G973" s="215">
        <f t="shared" si="93"/>
        <v>7600578</v>
      </c>
      <c r="H973" s="680" t="s">
        <v>6153</v>
      </c>
      <c r="I973" s="679"/>
      <c r="J973" s="187" t="str">
        <f t="shared" si="91"/>
        <v>182-903</v>
      </c>
      <c r="K973" s="187">
        <v>182</v>
      </c>
      <c r="L973" s="187">
        <v>903</v>
      </c>
      <c r="M973" s="187" t="str">
        <f t="shared" si="94"/>
        <v>182</v>
      </c>
      <c r="N973" s="187">
        <f t="shared" si="95"/>
        <v>903</v>
      </c>
      <c r="O973" s="187" t="str">
        <f t="shared" si="96"/>
        <v>182-903</v>
      </c>
      <c r="Q973" s="679" t="s">
        <v>4235</v>
      </c>
    </row>
    <row r="974" spans="1:17">
      <c r="A974" s="788" t="s">
        <v>4135</v>
      </c>
      <c r="B974" s="187" t="s">
        <v>1624</v>
      </c>
      <c r="C974" s="215">
        <v>338322</v>
      </c>
      <c r="D974" s="215">
        <v>2400510</v>
      </c>
      <c r="F974" s="215">
        <f t="shared" si="92"/>
        <v>2400510</v>
      </c>
      <c r="G974" s="215">
        <f t="shared" si="93"/>
        <v>2738832</v>
      </c>
      <c r="H974" s="680" t="s">
        <v>6153</v>
      </c>
      <c r="I974" s="679"/>
      <c r="J974" s="187" t="str">
        <f t="shared" si="91"/>
        <v>182-904</v>
      </c>
      <c r="K974" s="187">
        <v>182</v>
      </c>
      <c r="L974" s="187">
        <v>904</v>
      </c>
      <c r="M974" s="187" t="str">
        <f t="shared" si="94"/>
        <v>182</v>
      </c>
      <c r="N974" s="187">
        <f t="shared" si="95"/>
        <v>904</v>
      </c>
      <c r="O974" s="187" t="str">
        <f t="shared" si="96"/>
        <v>182-904</v>
      </c>
      <c r="Q974" s="679" t="s">
        <v>4236</v>
      </c>
    </row>
    <row r="975" spans="1:17">
      <c r="A975" s="788" t="s">
        <v>4137</v>
      </c>
      <c r="B975" s="187" t="s">
        <v>1625</v>
      </c>
      <c r="C975" s="215">
        <v>0</v>
      </c>
      <c r="D975" s="215">
        <v>784423</v>
      </c>
      <c r="F975" s="215">
        <f t="shared" si="92"/>
        <v>784423</v>
      </c>
      <c r="G975" s="215">
        <f t="shared" si="93"/>
        <v>784423</v>
      </c>
      <c r="H975" s="680" t="s">
        <v>6153</v>
      </c>
      <c r="I975" s="679"/>
      <c r="J975" s="187" t="str">
        <f t="shared" si="91"/>
        <v>182-905</v>
      </c>
      <c r="K975" s="187">
        <v>182</v>
      </c>
      <c r="L975" s="187">
        <v>905</v>
      </c>
      <c r="M975" s="187" t="str">
        <f t="shared" si="94"/>
        <v>182</v>
      </c>
      <c r="N975" s="187">
        <f t="shared" si="95"/>
        <v>905</v>
      </c>
      <c r="O975" s="187" t="str">
        <f t="shared" si="96"/>
        <v>182-905</v>
      </c>
      <c r="Q975" s="679" t="s">
        <v>4237</v>
      </c>
    </row>
    <row r="976" spans="1:17">
      <c r="A976" s="788" t="s">
        <v>4139</v>
      </c>
      <c r="B976" s="187" t="s">
        <v>1626</v>
      </c>
      <c r="C976" s="215">
        <v>84188</v>
      </c>
      <c r="D976" s="215">
        <v>3537103</v>
      </c>
      <c r="F976" s="215">
        <f t="shared" si="92"/>
        <v>3537103</v>
      </c>
      <c r="G976" s="215">
        <f t="shared" si="93"/>
        <v>3621291</v>
      </c>
      <c r="H976" s="680" t="s">
        <v>6153</v>
      </c>
      <c r="I976" s="679"/>
      <c r="J976" s="187" t="str">
        <f t="shared" si="91"/>
        <v>182-906</v>
      </c>
      <c r="K976" s="187">
        <v>182</v>
      </c>
      <c r="L976" s="187">
        <v>906</v>
      </c>
      <c r="M976" s="187" t="str">
        <f t="shared" si="94"/>
        <v>182</v>
      </c>
      <c r="N976" s="187">
        <f t="shared" si="95"/>
        <v>906</v>
      </c>
      <c r="O976" s="187" t="str">
        <f t="shared" si="96"/>
        <v>182-906</v>
      </c>
      <c r="Q976" s="679" t="s">
        <v>4238</v>
      </c>
    </row>
    <row r="977" spans="1:17">
      <c r="A977" s="788" t="s">
        <v>1181</v>
      </c>
      <c r="B977" s="187" t="s">
        <v>1182</v>
      </c>
      <c r="C977" s="215">
        <v>0</v>
      </c>
      <c r="D977" s="215">
        <v>0</v>
      </c>
      <c r="F977" s="215">
        <f t="shared" si="92"/>
        <v>0</v>
      </c>
      <c r="G977" s="215">
        <f t="shared" si="93"/>
        <v>0</v>
      </c>
      <c r="H977" s="680" t="s">
        <v>6153</v>
      </c>
      <c r="I977" s="679"/>
      <c r="J977" s="187" t="str">
        <f t="shared" si="91"/>
        <v>183-801</v>
      </c>
      <c r="K977" s="187">
        <v>183</v>
      </c>
      <c r="L977" s="187">
        <v>801</v>
      </c>
      <c r="M977" s="187" t="str">
        <f t="shared" si="94"/>
        <v>183</v>
      </c>
      <c r="N977" s="187">
        <f t="shared" si="95"/>
        <v>801</v>
      </c>
      <c r="O977" s="187" t="str">
        <f t="shared" si="96"/>
        <v>183-801</v>
      </c>
      <c r="Q977" s="679" t="s">
        <v>6465</v>
      </c>
    </row>
    <row r="978" spans="1:17">
      <c r="A978" s="788" t="s">
        <v>4141</v>
      </c>
      <c r="B978" s="187" t="s">
        <v>1627</v>
      </c>
      <c r="C978" s="215">
        <v>634731</v>
      </c>
      <c r="D978" s="215">
        <v>5758705</v>
      </c>
      <c r="F978" s="215">
        <f t="shared" si="92"/>
        <v>5758705</v>
      </c>
      <c r="G978" s="215">
        <f t="shared" si="93"/>
        <v>6393436</v>
      </c>
      <c r="H978" s="680" t="s">
        <v>6153</v>
      </c>
      <c r="I978" s="679"/>
      <c r="J978" s="187" t="str">
        <f t="shared" si="91"/>
        <v>183-901</v>
      </c>
      <c r="K978" s="187">
        <v>183</v>
      </c>
      <c r="L978" s="187">
        <v>901</v>
      </c>
      <c r="M978" s="187" t="str">
        <f t="shared" si="94"/>
        <v>183</v>
      </c>
      <c r="N978" s="187">
        <f t="shared" si="95"/>
        <v>901</v>
      </c>
      <c r="O978" s="187" t="str">
        <f t="shared" si="96"/>
        <v>183-901</v>
      </c>
      <c r="Q978" s="679" t="s">
        <v>4239</v>
      </c>
    </row>
    <row r="979" spans="1:17">
      <c r="A979" s="788" t="s">
        <v>4143</v>
      </c>
      <c r="B979" s="187" t="s">
        <v>1628</v>
      </c>
      <c r="C979" s="215">
        <v>586592</v>
      </c>
      <c r="D979" s="215">
        <v>29247976</v>
      </c>
      <c r="F979" s="215">
        <f t="shared" si="92"/>
        <v>29247976</v>
      </c>
      <c r="G979" s="215">
        <f t="shared" si="93"/>
        <v>29834568</v>
      </c>
      <c r="H979" s="680" t="s">
        <v>6153</v>
      </c>
      <c r="I979" s="679"/>
      <c r="J979" s="187" t="str">
        <f t="shared" si="91"/>
        <v>183-902</v>
      </c>
      <c r="K979" s="187">
        <v>183</v>
      </c>
      <c r="L979" s="187">
        <v>902</v>
      </c>
      <c r="M979" s="187" t="str">
        <f t="shared" si="94"/>
        <v>183</v>
      </c>
      <c r="N979" s="187">
        <f t="shared" si="95"/>
        <v>902</v>
      </c>
      <c r="O979" s="187" t="str">
        <f t="shared" si="96"/>
        <v>183-902</v>
      </c>
      <c r="Q979" s="679" t="s">
        <v>4240</v>
      </c>
    </row>
    <row r="980" spans="1:17">
      <c r="A980" s="788" t="s">
        <v>1318</v>
      </c>
      <c r="B980" s="187" t="s">
        <v>124</v>
      </c>
      <c r="C980" s="215">
        <v>115940</v>
      </c>
      <c r="D980" s="215">
        <v>1301710</v>
      </c>
      <c r="F980" s="215">
        <f t="shared" si="92"/>
        <v>1301710</v>
      </c>
      <c r="G980" s="215">
        <f t="shared" si="93"/>
        <v>1417650</v>
      </c>
      <c r="H980" s="680" t="s">
        <v>6153</v>
      </c>
      <c r="I980" s="679"/>
      <c r="J980" s="187" t="str">
        <f t="shared" si="91"/>
        <v>183-904</v>
      </c>
      <c r="K980" s="187">
        <v>183</v>
      </c>
      <c r="L980" s="187">
        <v>904</v>
      </c>
      <c r="M980" s="187" t="str">
        <f t="shared" si="94"/>
        <v>183</v>
      </c>
      <c r="N980" s="187">
        <f t="shared" si="95"/>
        <v>904</v>
      </c>
      <c r="O980" s="187" t="str">
        <f t="shared" si="96"/>
        <v>183-904</v>
      </c>
      <c r="Q980" s="679" t="s">
        <v>4241</v>
      </c>
    </row>
    <row r="981" spans="1:17">
      <c r="A981" s="788" t="s">
        <v>2536</v>
      </c>
      <c r="B981" s="187" t="s">
        <v>344</v>
      </c>
      <c r="C981" s="215">
        <v>176528</v>
      </c>
      <c r="D981" s="215">
        <v>1272866</v>
      </c>
      <c r="F981" s="215">
        <f t="shared" si="92"/>
        <v>1272866</v>
      </c>
      <c r="G981" s="215">
        <f t="shared" si="93"/>
        <v>1449394</v>
      </c>
      <c r="H981" s="680" t="s">
        <v>6153</v>
      </c>
      <c r="I981" s="679"/>
      <c r="J981" s="187" t="str">
        <f t="shared" si="91"/>
        <v>184-901</v>
      </c>
      <c r="K981" s="187">
        <v>184</v>
      </c>
      <c r="L981" s="187">
        <v>901</v>
      </c>
      <c r="M981" s="187" t="str">
        <f t="shared" si="94"/>
        <v>184</v>
      </c>
      <c r="N981" s="187">
        <f t="shared" si="95"/>
        <v>901</v>
      </c>
      <c r="O981" s="187" t="str">
        <f t="shared" si="96"/>
        <v>184-901</v>
      </c>
      <c r="Q981" s="679" t="s">
        <v>4242</v>
      </c>
    </row>
    <row r="982" spans="1:17">
      <c r="A982" s="788" t="s">
        <v>2407</v>
      </c>
      <c r="B982" s="187" t="s">
        <v>2352</v>
      </c>
      <c r="C982" s="215">
        <v>689532</v>
      </c>
      <c r="D982" s="215">
        <v>7372706</v>
      </c>
      <c r="F982" s="215">
        <f t="shared" si="92"/>
        <v>7372706</v>
      </c>
      <c r="G982" s="215">
        <f t="shared" si="93"/>
        <v>8062238</v>
      </c>
      <c r="H982" s="680" t="s">
        <v>6153</v>
      </c>
      <c r="I982" s="679"/>
      <c r="J982" s="187" t="str">
        <f t="shared" si="91"/>
        <v>184-902</v>
      </c>
      <c r="K982" s="187">
        <v>184</v>
      </c>
      <c r="L982" s="187">
        <v>902</v>
      </c>
      <c r="M982" s="187" t="str">
        <f t="shared" si="94"/>
        <v>184</v>
      </c>
      <c r="N982" s="187">
        <f t="shared" si="95"/>
        <v>902</v>
      </c>
      <c r="O982" s="187" t="str">
        <f t="shared" si="96"/>
        <v>184-902</v>
      </c>
      <c r="Q982" s="679" t="s">
        <v>4243</v>
      </c>
    </row>
    <row r="983" spans="1:17">
      <c r="A983" s="788" t="s">
        <v>5034</v>
      </c>
      <c r="B983" s="187" t="s">
        <v>4064</v>
      </c>
      <c r="C983" s="215">
        <v>4305344</v>
      </c>
      <c r="D983" s="215">
        <v>27001743</v>
      </c>
      <c r="F983" s="215">
        <f t="shared" si="92"/>
        <v>27001743</v>
      </c>
      <c r="G983" s="215">
        <f t="shared" si="93"/>
        <v>31307087</v>
      </c>
      <c r="H983" s="680" t="s">
        <v>6153</v>
      </c>
      <c r="I983" s="679"/>
      <c r="J983" s="187" t="str">
        <f t="shared" si="91"/>
        <v>184-903</v>
      </c>
      <c r="K983" s="187">
        <v>184</v>
      </c>
      <c r="L983" s="187">
        <v>903</v>
      </c>
      <c r="M983" s="187" t="str">
        <f t="shared" si="94"/>
        <v>184</v>
      </c>
      <c r="N983" s="187">
        <f t="shared" si="95"/>
        <v>903</v>
      </c>
      <c r="O983" s="187" t="str">
        <f t="shared" si="96"/>
        <v>184-903</v>
      </c>
      <c r="Q983" s="679" t="s">
        <v>4244</v>
      </c>
    </row>
    <row r="984" spans="1:17">
      <c r="A984" s="788" t="s">
        <v>6174</v>
      </c>
      <c r="B984" s="187" t="s">
        <v>500</v>
      </c>
      <c r="C984" s="215">
        <v>395331</v>
      </c>
      <c r="D984" s="215">
        <v>2462153</v>
      </c>
      <c r="F984" s="215">
        <f t="shared" si="92"/>
        <v>2462153</v>
      </c>
      <c r="G984" s="215">
        <f t="shared" si="93"/>
        <v>2857484</v>
      </c>
      <c r="H984" s="680" t="s">
        <v>6153</v>
      </c>
      <c r="I984" s="679"/>
      <c r="J984" s="187" t="str">
        <f t="shared" si="91"/>
        <v>184-904</v>
      </c>
      <c r="K984" s="187">
        <v>184</v>
      </c>
      <c r="L984" s="187">
        <v>904</v>
      </c>
      <c r="M984" s="187" t="str">
        <f t="shared" si="94"/>
        <v>184</v>
      </c>
      <c r="N984" s="187">
        <f t="shared" si="95"/>
        <v>904</v>
      </c>
      <c r="O984" s="187" t="str">
        <f t="shared" si="96"/>
        <v>184-904</v>
      </c>
      <c r="Q984" s="679" t="s">
        <v>4245</v>
      </c>
    </row>
    <row r="985" spans="1:17">
      <c r="A985" s="788" t="s">
        <v>4145</v>
      </c>
      <c r="B985" s="187" t="s">
        <v>1629</v>
      </c>
      <c r="C985" s="215">
        <v>2304210</v>
      </c>
      <c r="D985" s="215">
        <v>15676357</v>
      </c>
      <c r="F985" s="215">
        <f t="shared" si="92"/>
        <v>15676357</v>
      </c>
      <c r="G985" s="215">
        <f t="shared" si="93"/>
        <v>17980567</v>
      </c>
      <c r="H985" s="680" t="s">
        <v>6153</v>
      </c>
      <c r="I985" s="679"/>
      <c r="J985" s="187" t="str">
        <f t="shared" si="91"/>
        <v>184-907</v>
      </c>
      <c r="K985" s="187">
        <v>184</v>
      </c>
      <c r="L985" s="187">
        <v>907</v>
      </c>
      <c r="M985" s="187" t="str">
        <f t="shared" si="94"/>
        <v>184</v>
      </c>
      <c r="N985" s="187">
        <f t="shared" si="95"/>
        <v>907</v>
      </c>
      <c r="O985" s="187" t="str">
        <f t="shared" si="96"/>
        <v>184-907</v>
      </c>
      <c r="Q985" s="679" t="s">
        <v>4246</v>
      </c>
    </row>
    <row r="986" spans="1:17">
      <c r="A986" s="788" t="s">
        <v>6196</v>
      </c>
      <c r="B986" s="187" t="s">
        <v>5295</v>
      </c>
      <c r="C986" s="215">
        <v>246812</v>
      </c>
      <c r="D986" s="215">
        <v>1773442</v>
      </c>
      <c r="E986" s="215">
        <v>53315</v>
      </c>
      <c r="F986" s="215">
        <f t="shared" si="92"/>
        <v>1826757</v>
      </c>
      <c r="G986" s="215">
        <f t="shared" si="93"/>
        <v>2073569</v>
      </c>
      <c r="H986" s="680" t="s">
        <v>6153</v>
      </c>
      <c r="I986" s="679"/>
      <c r="J986" s="187" t="str">
        <f t="shared" si="91"/>
        <v>184-908</v>
      </c>
      <c r="K986" s="187">
        <v>184</v>
      </c>
      <c r="L986" s="187">
        <v>908</v>
      </c>
      <c r="M986" s="187" t="str">
        <f t="shared" si="94"/>
        <v>184</v>
      </c>
      <c r="N986" s="187">
        <f t="shared" si="95"/>
        <v>908</v>
      </c>
      <c r="O986" s="187" t="str">
        <f t="shared" si="96"/>
        <v>184-908</v>
      </c>
      <c r="Q986" s="679" t="s">
        <v>4247</v>
      </c>
    </row>
    <row r="987" spans="1:17">
      <c r="A987" s="788" t="s">
        <v>6131</v>
      </c>
      <c r="B987" s="187" t="s">
        <v>7667</v>
      </c>
      <c r="C987" s="215">
        <v>266001</v>
      </c>
      <c r="D987" s="215">
        <v>2420804</v>
      </c>
      <c r="F987" s="215">
        <f t="shared" si="92"/>
        <v>2420804</v>
      </c>
      <c r="G987" s="215">
        <f t="shared" si="93"/>
        <v>2686805</v>
      </c>
      <c r="H987" s="680" t="s">
        <v>6153</v>
      </c>
      <c r="I987" s="679"/>
      <c r="J987" s="187" t="str">
        <f t="shared" si="91"/>
        <v>184-909</v>
      </c>
      <c r="K987" s="187">
        <v>184</v>
      </c>
      <c r="L987" s="187">
        <v>909</v>
      </c>
      <c r="M987" s="187" t="str">
        <f t="shared" si="94"/>
        <v>184</v>
      </c>
      <c r="N987" s="187">
        <f t="shared" si="95"/>
        <v>909</v>
      </c>
      <c r="O987" s="187" t="str">
        <f t="shared" si="96"/>
        <v>184-909</v>
      </c>
      <c r="Q987" s="679" t="s">
        <v>4248</v>
      </c>
    </row>
    <row r="988" spans="1:17">
      <c r="A988" s="788" t="s">
        <v>254</v>
      </c>
      <c r="B988" s="187" t="s">
        <v>1630</v>
      </c>
      <c r="C988" s="215">
        <v>92984</v>
      </c>
      <c r="D988" s="215">
        <v>1401831</v>
      </c>
      <c r="F988" s="215">
        <f t="shared" si="92"/>
        <v>1401831</v>
      </c>
      <c r="G988" s="215">
        <f t="shared" si="93"/>
        <v>1494815</v>
      </c>
      <c r="H988" s="680" t="s">
        <v>6153</v>
      </c>
      <c r="I988" s="679"/>
      <c r="J988" s="187" t="str">
        <f t="shared" si="91"/>
        <v>184-911</v>
      </c>
      <c r="K988" s="187">
        <v>184</v>
      </c>
      <c r="L988" s="187">
        <v>911</v>
      </c>
      <c r="M988" s="187" t="str">
        <f t="shared" si="94"/>
        <v>184</v>
      </c>
      <c r="N988" s="187">
        <f t="shared" si="95"/>
        <v>911</v>
      </c>
      <c r="O988" s="187" t="str">
        <f t="shared" si="96"/>
        <v>184-911</v>
      </c>
      <c r="Q988" s="679" t="s">
        <v>4249</v>
      </c>
    </row>
    <row r="989" spans="1:17">
      <c r="A989" s="788" t="s">
        <v>256</v>
      </c>
      <c r="B989" s="187" t="s">
        <v>1631</v>
      </c>
      <c r="C989" s="215">
        <v>0</v>
      </c>
      <c r="D989" s="215">
        <v>818405</v>
      </c>
      <c r="F989" s="215">
        <f t="shared" si="92"/>
        <v>818405</v>
      </c>
      <c r="G989" s="215">
        <f t="shared" si="93"/>
        <v>818405</v>
      </c>
      <c r="H989" s="680" t="s">
        <v>6153</v>
      </c>
      <c r="I989" s="679"/>
      <c r="J989" s="187" t="str">
        <f t="shared" si="91"/>
        <v>185-901</v>
      </c>
      <c r="K989" s="187">
        <v>185</v>
      </c>
      <c r="L989" s="187">
        <v>901</v>
      </c>
      <c r="M989" s="187" t="str">
        <f t="shared" si="94"/>
        <v>185</v>
      </c>
      <c r="N989" s="187">
        <f t="shared" si="95"/>
        <v>901</v>
      </c>
      <c r="O989" s="187" t="str">
        <f t="shared" si="96"/>
        <v>185-901</v>
      </c>
      <c r="Q989" s="679" t="s">
        <v>4250</v>
      </c>
    </row>
    <row r="990" spans="1:17">
      <c r="A990" s="788" t="s">
        <v>258</v>
      </c>
      <c r="B990" s="187" t="s">
        <v>1632</v>
      </c>
      <c r="C990" s="215">
        <v>48010</v>
      </c>
      <c r="D990" s="215">
        <v>1237835</v>
      </c>
      <c r="F990" s="215">
        <f t="shared" si="92"/>
        <v>1237835</v>
      </c>
      <c r="G990" s="215">
        <f t="shared" si="93"/>
        <v>1285845</v>
      </c>
      <c r="H990" s="680" t="s">
        <v>6153</v>
      </c>
      <c r="I990" s="679"/>
      <c r="J990" s="187" t="str">
        <f t="shared" si="91"/>
        <v>185-902</v>
      </c>
      <c r="K990" s="187">
        <v>185</v>
      </c>
      <c r="L990" s="187">
        <v>902</v>
      </c>
      <c r="M990" s="187" t="str">
        <f t="shared" si="94"/>
        <v>185</v>
      </c>
      <c r="N990" s="187">
        <f t="shared" si="95"/>
        <v>902</v>
      </c>
      <c r="O990" s="187" t="str">
        <f t="shared" si="96"/>
        <v>185-902</v>
      </c>
      <c r="Q990" s="679" t="s">
        <v>4251</v>
      </c>
    </row>
    <row r="991" spans="1:17">
      <c r="A991" s="788" t="s">
        <v>260</v>
      </c>
      <c r="B991" s="187" t="s">
        <v>1633</v>
      </c>
      <c r="C991" s="215">
        <v>0</v>
      </c>
      <c r="D991" s="215">
        <v>2546914</v>
      </c>
      <c r="F991" s="215">
        <f t="shared" si="92"/>
        <v>2546914</v>
      </c>
      <c r="G991" s="215">
        <f t="shared" si="93"/>
        <v>2546914</v>
      </c>
      <c r="H991" s="680" t="s">
        <v>6153</v>
      </c>
      <c r="I991" s="679"/>
      <c r="J991" s="187" t="str">
        <f t="shared" si="91"/>
        <v>185-903</v>
      </c>
      <c r="K991" s="187">
        <v>185</v>
      </c>
      <c r="L991" s="187">
        <v>903</v>
      </c>
      <c r="M991" s="187" t="str">
        <f t="shared" si="94"/>
        <v>185</v>
      </c>
      <c r="N991" s="187">
        <f t="shared" si="95"/>
        <v>903</v>
      </c>
      <c r="O991" s="187" t="str">
        <f t="shared" si="96"/>
        <v>185-903</v>
      </c>
      <c r="Q991" s="679" t="s">
        <v>4252</v>
      </c>
    </row>
    <row r="992" spans="1:17">
      <c r="A992" s="788" t="s">
        <v>262</v>
      </c>
      <c r="B992" s="187" t="s">
        <v>1634</v>
      </c>
      <c r="C992" s="215">
        <v>0</v>
      </c>
      <c r="D992" s="215">
        <v>741904</v>
      </c>
      <c r="F992" s="215">
        <f t="shared" si="92"/>
        <v>741904</v>
      </c>
      <c r="G992" s="215">
        <f t="shared" si="93"/>
        <v>741904</v>
      </c>
      <c r="H992" s="680" t="s">
        <v>6153</v>
      </c>
      <c r="I992" s="679"/>
      <c r="J992" s="187" t="str">
        <f t="shared" si="91"/>
        <v>185-904</v>
      </c>
      <c r="K992" s="187">
        <v>185</v>
      </c>
      <c r="L992" s="187">
        <v>904</v>
      </c>
      <c r="M992" s="187" t="str">
        <f t="shared" si="94"/>
        <v>185</v>
      </c>
      <c r="N992" s="187">
        <f t="shared" si="95"/>
        <v>904</v>
      </c>
      <c r="O992" s="187" t="str">
        <f t="shared" si="96"/>
        <v>185-904</v>
      </c>
      <c r="Q992" s="679" t="s">
        <v>4253</v>
      </c>
    </row>
    <row r="993" spans="1:17">
      <c r="A993" s="788" t="s">
        <v>872</v>
      </c>
      <c r="B993" s="187" t="s">
        <v>397</v>
      </c>
      <c r="C993" s="215">
        <v>0</v>
      </c>
      <c r="D993" s="215">
        <v>3115664</v>
      </c>
      <c r="F993" s="215">
        <f t="shared" si="92"/>
        <v>3115664</v>
      </c>
      <c r="G993" s="215">
        <f t="shared" si="93"/>
        <v>3115664</v>
      </c>
      <c r="H993" s="680" t="s">
        <v>6153</v>
      </c>
      <c r="I993" s="679"/>
      <c r="J993" s="187" t="str">
        <f t="shared" si="91"/>
        <v>186-901</v>
      </c>
      <c r="K993" s="187">
        <v>186</v>
      </c>
      <c r="L993" s="187">
        <v>901</v>
      </c>
      <c r="M993" s="187" t="str">
        <f t="shared" si="94"/>
        <v>186</v>
      </c>
      <c r="N993" s="187">
        <f t="shared" si="95"/>
        <v>901</v>
      </c>
      <c r="O993" s="187" t="str">
        <f t="shared" si="96"/>
        <v>186-901</v>
      </c>
      <c r="Q993" s="679" t="s">
        <v>4254</v>
      </c>
    </row>
    <row r="994" spans="1:17">
      <c r="A994" s="788" t="s">
        <v>874</v>
      </c>
      <c r="B994" s="187" t="s">
        <v>398</v>
      </c>
      <c r="C994" s="215">
        <v>1305380</v>
      </c>
      <c r="D994" s="215">
        <v>21189870</v>
      </c>
      <c r="F994" s="215">
        <f t="shared" si="92"/>
        <v>21189870</v>
      </c>
      <c r="G994" s="215">
        <f t="shared" si="93"/>
        <v>22495250</v>
      </c>
      <c r="H994" s="680" t="s">
        <v>6153</v>
      </c>
      <c r="I994" s="679"/>
      <c r="J994" s="187" t="str">
        <f t="shared" ref="J994:J1057" si="97">+A994</f>
        <v>186-902</v>
      </c>
      <c r="K994" s="187">
        <v>186</v>
      </c>
      <c r="L994" s="187">
        <v>902</v>
      </c>
      <c r="M994" s="187" t="str">
        <f t="shared" si="94"/>
        <v>186</v>
      </c>
      <c r="N994" s="187">
        <f t="shared" si="95"/>
        <v>902</v>
      </c>
      <c r="O994" s="187" t="str">
        <f t="shared" si="96"/>
        <v>186-902</v>
      </c>
      <c r="Q994" s="679" t="s">
        <v>4255</v>
      </c>
    </row>
    <row r="995" spans="1:17">
      <c r="A995" s="788" t="s">
        <v>876</v>
      </c>
      <c r="B995" s="187" t="s">
        <v>399</v>
      </c>
      <c r="C995" s="215">
        <v>0</v>
      </c>
      <c r="D995" s="215">
        <v>10869196</v>
      </c>
      <c r="F995" s="215">
        <f t="shared" si="92"/>
        <v>10869196</v>
      </c>
      <c r="G995" s="215">
        <f t="shared" si="93"/>
        <v>10869196</v>
      </c>
      <c r="H995" s="680" t="s">
        <v>6153</v>
      </c>
      <c r="I995" s="679"/>
      <c r="J995" s="187" t="str">
        <f t="shared" si="97"/>
        <v>186-903</v>
      </c>
      <c r="K995" s="187">
        <v>186</v>
      </c>
      <c r="L995" s="187">
        <v>903</v>
      </c>
      <c r="M995" s="187" t="str">
        <f t="shared" si="94"/>
        <v>186</v>
      </c>
      <c r="N995" s="187">
        <f t="shared" si="95"/>
        <v>903</v>
      </c>
      <c r="O995" s="187" t="str">
        <f t="shared" si="96"/>
        <v>186-903</v>
      </c>
      <c r="Q995" s="679" t="s">
        <v>4256</v>
      </c>
    </row>
    <row r="996" spans="1:17">
      <c r="A996" s="788" t="s">
        <v>3040</v>
      </c>
      <c r="B996" s="187" t="s">
        <v>400</v>
      </c>
      <c r="C996" s="215">
        <v>254549</v>
      </c>
      <c r="D996" s="215">
        <v>3846930</v>
      </c>
      <c r="F996" s="215">
        <f t="shared" si="92"/>
        <v>3846930</v>
      </c>
      <c r="G996" s="215">
        <f t="shared" si="93"/>
        <v>4101479</v>
      </c>
      <c r="H996" s="680" t="s">
        <v>6153</v>
      </c>
      <c r="I996" s="679"/>
      <c r="J996" s="187" t="str">
        <f t="shared" si="97"/>
        <v>187-901</v>
      </c>
      <c r="K996" s="187">
        <v>187</v>
      </c>
      <c r="L996" s="187">
        <v>901</v>
      </c>
      <c r="M996" s="187" t="str">
        <f t="shared" si="94"/>
        <v>187</v>
      </c>
      <c r="N996" s="187">
        <f t="shared" si="95"/>
        <v>901</v>
      </c>
      <c r="O996" s="187" t="str">
        <f t="shared" si="96"/>
        <v>187-901</v>
      </c>
      <c r="Q996" s="679" t="s">
        <v>4257</v>
      </c>
    </row>
    <row r="997" spans="1:17">
      <c r="A997" s="788" t="s">
        <v>3042</v>
      </c>
      <c r="B997" s="187" t="s">
        <v>401</v>
      </c>
      <c r="C997" s="215">
        <v>0</v>
      </c>
      <c r="D997" s="215">
        <v>992185</v>
      </c>
      <c r="F997" s="215">
        <f t="shared" si="92"/>
        <v>992185</v>
      </c>
      <c r="G997" s="215">
        <f t="shared" si="93"/>
        <v>992185</v>
      </c>
      <c r="H997" s="680" t="s">
        <v>6153</v>
      </c>
      <c r="I997" s="679"/>
      <c r="J997" s="187" t="str">
        <f t="shared" si="97"/>
        <v>187-903</v>
      </c>
      <c r="K997" s="187">
        <v>187</v>
      </c>
      <c r="L997" s="187">
        <v>903</v>
      </c>
      <c r="M997" s="187" t="str">
        <f t="shared" si="94"/>
        <v>187</v>
      </c>
      <c r="N997" s="187">
        <f t="shared" si="95"/>
        <v>903</v>
      </c>
      <c r="O997" s="187" t="str">
        <f t="shared" si="96"/>
        <v>187-903</v>
      </c>
      <c r="Q997" s="679" t="s">
        <v>4258</v>
      </c>
    </row>
    <row r="998" spans="1:17">
      <c r="A998" s="788" t="s">
        <v>709</v>
      </c>
      <c r="B998" s="187" t="s">
        <v>402</v>
      </c>
      <c r="C998" s="215">
        <v>259387</v>
      </c>
      <c r="D998" s="215">
        <v>2784080</v>
      </c>
      <c r="F998" s="215">
        <f t="shared" si="92"/>
        <v>2784080</v>
      </c>
      <c r="G998" s="215">
        <f t="shared" si="93"/>
        <v>3043467</v>
      </c>
      <c r="H998" s="680" t="s">
        <v>6153</v>
      </c>
      <c r="I998" s="679"/>
      <c r="J998" s="187" t="str">
        <f t="shared" si="97"/>
        <v>187-904</v>
      </c>
      <c r="K998" s="187">
        <v>187</v>
      </c>
      <c r="L998" s="187">
        <v>904</v>
      </c>
      <c r="M998" s="187" t="str">
        <f t="shared" si="94"/>
        <v>187</v>
      </c>
      <c r="N998" s="187">
        <f t="shared" si="95"/>
        <v>904</v>
      </c>
      <c r="O998" s="187" t="str">
        <f t="shared" si="96"/>
        <v>187-904</v>
      </c>
      <c r="Q998" s="679" t="s">
        <v>4259</v>
      </c>
    </row>
    <row r="999" spans="1:17">
      <c r="A999" s="788" t="s">
        <v>3044</v>
      </c>
      <c r="B999" s="187" t="s">
        <v>403</v>
      </c>
      <c r="C999" s="215">
        <v>0</v>
      </c>
      <c r="D999" s="215">
        <v>1129838</v>
      </c>
      <c r="F999" s="215">
        <f t="shared" si="92"/>
        <v>1129838</v>
      </c>
      <c r="G999" s="215">
        <f t="shared" si="93"/>
        <v>1129838</v>
      </c>
      <c r="H999" s="680" t="s">
        <v>6153</v>
      </c>
      <c r="I999" s="679"/>
      <c r="J999" s="187" t="str">
        <f t="shared" si="97"/>
        <v>187-906</v>
      </c>
      <c r="K999" s="187">
        <v>187</v>
      </c>
      <c r="L999" s="187">
        <v>906</v>
      </c>
      <c r="M999" s="187" t="str">
        <f t="shared" si="94"/>
        <v>187</v>
      </c>
      <c r="N999" s="187">
        <f t="shared" si="95"/>
        <v>906</v>
      </c>
      <c r="O999" s="187" t="str">
        <f t="shared" si="96"/>
        <v>187-906</v>
      </c>
      <c r="Q999" s="679" t="s">
        <v>4260</v>
      </c>
    </row>
    <row r="1000" spans="1:17">
      <c r="A1000" s="788" t="s">
        <v>2992</v>
      </c>
      <c r="B1000" s="187" t="s">
        <v>195</v>
      </c>
      <c r="C1000" s="215">
        <v>542167</v>
      </c>
      <c r="D1000" s="215">
        <v>11089317</v>
      </c>
      <c r="F1000" s="215">
        <f t="shared" si="92"/>
        <v>11089317</v>
      </c>
      <c r="G1000" s="215">
        <f t="shared" si="93"/>
        <v>11631484</v>
      </c>
      <c r="H1000" s="680" t="s">
        <v>6153</v>
      </c>
      <c r="I1000" s="679"/>
      <c r="J1000" s="187" t="str">
        <f t="shared" si="97"/>
        <v>187-907</v>
      </c>
      <c r="K1000" s="187">
        <v>187</v>
      </c>
      <c r="L1000" s="187">
        <v>907</v>
      </c>
      <c r="M1000" s="187" t="str">
        <f t="shared" si="94"/>
        <v>187</v>
      </c>
      <c r="N1000" s="187">
        <f t="shared" si="95"/>
        <v>907</v>
      </c>
      <c r="O1000" s="187" t="str">
        <f t="shared" si="96"/>
        <v>187-907</v>
      </c>
      <c r="Q1000" s="679" t="s">
        <v>4261</v>
      </c>
    </row>
    <row r="1001" spans="1:17">
      <c r="A1001" s="788" t="s">
        <v>3046</v>
      </c>
      <c r="B1001" s="187" t="s">
        <v>404</v>
      </c>
      <c r="C1001" s="215">
        <v>406863</v>
      </c>
      <c r="D1001" s="215">
        <v>3213069</v>
      </c>
      <c r="F1001" s="215">
        <f t="shared" si="92"/>
        <v>3213069</v>
      </c>
      <c r="G1001" s="215">
        <f t="shared" si="93"/>
        <v>3619932</v>
      </c>
      <c r="H1001" s="680" t="s">
        <v>6153</v>
      </c>
      <c r="I1001" s="679"/>
      <c r="J1001" s="187" t="str">
        <f t="shared" si="97"/>
        <v>187-910</v>
      </c>
      <c r="K1001" s="187">
        <v>187</v>
      </c>
      <c r="L1001" s="187">
        <v>910</v>
      </c>
      <c r="M1001" s="187" t="str">
        <f t="shared" si="94"/>
        <v>187</v>
      </c>
      <c r="N1001" s="187">
        <f t="shared" si="95"/>
        <v>910</v>
      </c>
      <c r="O1001" s="187" t="str">
        <f t="shared" si="96"/>
        <v>187-910</v>
      </c>
      <c r="Q1001" s="679" t="s">
        <v>4262</v>
      </c>
    </row>
    <row r="1002" spans="1:17">
      <c r="A1002" s="788" t="s">
        <v>1183</v>
      </c>
      <c r="B1002" s="187" t="s">
        <v>1184</v>
      </c>
      <c r="C1002" s="215">
        <v>0</v>
      </c>
      <c r="D1002" s="215">
        <v>0</v>
      </c>
      <c r="F1002" s="215">
        <f t="shared" si="92"/>
        <v>0</v>
      </c>
      <c r="G1002" s="215">
        <f t="shared" si="93"/>
        <v>0</v>
      </c>
      <c r="H1002" s="680" t="s">
        <v>6153</v>
      </c>
      <c r="I1002" s="679"/>
      <c r="J1002" s="187" t="str">
        <f t="shared" si="97"/>
        <v>188-801</v>
      </c>
      <c r="K1002" s="187">
        <v>188</v>
      </c>
      <c r="L1002" s="187">
        <v>801</v>
      </c>
      <c r="M1002" s="187" t="str">
        <f t="shared" si="94"/>
        <v>188</v>
      </c>
      <c r="N1002" s="187">
        <f t="shared" si="95"/>
        <v>801</v>
      </c>
      <c r="O1002" s="187" t="str">
        <f t="shared" si="96"/>
        <v>188-801</v>
      </c>
      <c r="Q1002" s="679" t="s">
        <v>6466</v>
      </c>
    </row>
    <row r="1003" spans="1:17">
      <c r="A1003" s="788" t="s">
        <v>264</v>
      </c>
      <c r="B1003" s="187" t="s">
        <v>7681</v>
      </c>
      <c r="C1003" s="215">
        <v>7508774</v>
      </c>
      <c r="D1003" s="215">
        <v>82648209</v>
      </c>
      <c r="F1003" s="215">
        <f t="shared" si="92"/>
        <v>82648209</v>
      </c>
      <c r="G1003" s="215">
        <f t="shared" si="93"/>
        <v>90156983</v>
      </c>
      <c r="H1003" s="680" t="s">
        <v>6153</v>
      </c>
      <c r="I1003" s="679"/>
      <c r="J1003" s="187" t="str">
        <f t="shared" si="97"/>
        <v>188-901</v>
      </c>
      <c r="K1003" s="187">
        <v>188</v>
      </c>
      <c r="L1003" s="187">
        <v>901</v>
      </c>
      <c r="M1003" s="187" t="str">
        <f t="shared" si="94"/>
        <v>188</v>
      </c>
      <c r="N1003" s="187">
        <f t="shared" si="95"/>
        <v>901</v>
      </c>
      <c r="O1003" s="187" t="str">
        <f t="shared" si="96"/>
        <v>188-901</v>
      </c>
      <c r="Q1003" s="679" t="s">
        <v>4263</v>
      </c>
    </row>
    <row r="1004" spans="1:17">
      <c r="A1004" s="788" t="s">
        <v>2306</v>
      </c>
      <c r="B1004" s="187" t="s">
        <v>363</v>
      </c>
      <c r="C1004" s="215">
        <v>130879</v>
      </c>
      <c r="D1004" s="215">
        <v>2716837</v>
      </c>
      <c r="F1004" s="215">
        <f t="shared" si="92"/>
        <v>2716837</v>
      </c>
      <c r="G1004" s="215">
        <f t="shared" si="93"/>
        <v>2847716</v>
      </c>
      <c r="H1004" s="680" t="s">
        <v>6153</v>
      </c>
      <c r="I1004" s="679"/>
      <c r="J1004" s="187" t="str">
        <f t="shared" si="97"/>
        <v>188-902</v>
      </c>
      <c r="K1004" s="187">
        <v>188</v>
      </c>
      <c r="L1004" s="187">
        <v>902</v>
      </c>
      <c r="M1004" s="187" t="str">
        <f t="shared" si="94"/>
        <v>188</v>
      </c>
      <c r="N1004" s="187">
        <f t="shared" si="95"/>
        <v>902</v>
      </c>
      <c r="O1004" s="187" t="str">
        <f t="shared" si="96"/>
        <v>188-902</v>
      </c>
      <c r="Q1004" s="679" t="s">
        <v>4264</v>
      </c>
    </row>
    <row r="1005" spans="1:17">
      <c r="A1005" s="788" t="s">
        <v>3048</v>
      </c>
      <c r="B1005" s="187" t="s">
        <v>2898</v>
      </c>
      <c r="C1005" s="215">
        <v>1291889</v>
      </c>
      <c r="D1005" s="215">
        <v>9340902</v>
      </c>
      <c r="F1005" s="215">
        <f t="shared" si="92"/>
        <v>9340902</v>
      </c>
      <c r="G1005" s="215">
        <f t="shared" si="93"/>
        <v>10632791</v>
      </c>
      <c r="H1005" s="680" t="s">
        <v>6153</v>
      </c>
      <c r="I1005" s="679"/>
      <c r="J1005" s="187" t="str">
        <f t="shared" si="97"/>
        <v>188-903</v>
      </c>
      <c r="K1005" s="187">
        <v>188</v>
      </c>
      <c r="L1005" s="187">
        <v>903</v>
      </c>
      <c r="M1005" s="187" t="str">
        <f t="shared" si="94"/>
        <v>188</v>
      </c>
      <c r="N1005" s="187">
        <f t="shared" si="95"/>
        <v>903</v>
      </c>
      <c r="O1005" s="187" t="str">
        <f t="shared" si="96"/>
        <v>188-903</v>
      </c>
      <c r="Q1005" s="679" t="s">
        <v>4265</v>
      </c>
    </row>
    <row r="1006" spans="1:17">
      <c r="A1006" s="788" t="s">
        <v>3049</v>
      </c>
      <c r="B1006" s="187" t="s">
        <v>405</v>
      </c>
      <c r="C1006" s="215">
        <v>937723</v>
      </c>
      <c r="D1006" s="215">
        <v>7483546</v>
      </c>
      <c r="F1006" s="215">
        <f t="shared" si="92"/>
        <v>7483546</v>
      </c>
      <c r="G1006" s="215">
        <f t="shared" si="93"/>
        <v>8421269</v>
      </c>
      <c r="H1006" s="680" t="s">
        <v>6153</v>
      </c>
      <c r="I1006" s="679"/>
      <c r="J1006" s="187" t="str">
        <f t="shared" si="97"/>
        <v>188-904</v>
      </c>
      <c r="K1006" s="187">
        <v>188</v>
      </c>
      <c r="L1006" s="187">
        <v>904</v>
      </c>
      <c r="M1006" s="187" t="str">
        <f t="shared" si="94"/>
        <v>188</v>
      </c>
      <c r="N1006" s="187">
        <f t="shared" si="95"/>
        <v>904</v>
      </c>
      <c r="O1006" s="187" t="str">
        <f t="shared" si="96"/>
        <v>188-904</v>
      </c>
      <c r="Q1006" s="679" t="s">
        <v>4266</v>
      </c>
    </row>
    <row r="1007" spans="1:17">
      <c r="A1007" s="788" t="s">
        <v>1185</v>
      </c>
      <c r="B1007" s="187" t="s">
        <v>1186</v>
      </c>
      <c r="C1007" s="215">
        <v>0</v>
      </c>
      <c r="D1007" s="215">
        <v>0</v>
      </c>
      <c r="F1007" s="215">
        <f t="shared" si="92"/>
        <v>0</v>
      </c>
      <c r="G1007" s="215">
        <f t="shared" si="93"/>
        <v>0</v>
      </c>
      <c r="H1007" s="680" t="s">
        <v>6153</v>
      </c>
      <c r="I1007" s="679"/>
      <c r="J1007" s="187" t="str">
        <f t="shared" si="97"/>
        <v>188-950</v>
      </c>
      <c r="K1007" s="187">
        <v>188</v>
      </c>
      <c r="L1007" s="187">
        <v>950</v>
      </c>
      <c r="M1007" s="187" t="str">
        <f t="shared" si="94"/>
        <v>188</v>
      </c>
      <c r="N1007" s="187">
        <f t="shared" si="95"/>
        <v>950</v>
      </c>
      <c r="O1007" s="187" t="str">
        <f t="shared" si="96"/>
        <v>188-950</v>
      </c>
      <c r="Q1007" s="679" t="s">
        <v>6467</v>
      </c>
    </row>
    <row r="1008" spans="1:17">
      <c r="A1008" s="788" t="s">
        <v>5035</v>
      </c>
      <c r="B1008" s="187" t="s">
        <v>6064</v>
      </c>
      <c r="C1008" s="215">
        <v>211248</v>
      </c>
      <c r="D1008" s="215">
        <v>1321663</v>
      </c>
      <c r="F1008" s="215">
        <f t="shared" si="92"/>
        <v>1321663</v>
      </c>
      <c r="G1008" s="215">
        <f t="shared" si="93"/>
        <v>1532911</v>
      </c>
      <c r="H1008" s="680" t="s">
        <v>6153</v>
      </c>
      <c r="I1008" s="679"/>
      <c r="J1008" s="187" t="str">
        <f t="shared" si="97"/>
        <v>189-901</v>
      </c>
      <c r="K1008" s="187">
        <v>189</v>
      </c>
      <c r="L1008" s="187">
        <v>901</v>
      </c>
      <c r="M1008" s="187" t="str">
        <f t="shared" si="94"/>
        <v>189</v>
      </c>
      <c r="N1008" s="187">
        <f t="shared" si="95"/>
        <v>901</v>
      </c>
      <c r="O1008" s="187" t="str">
        <f t="shared" si="96"/>
        <v>189-901</v>
      </c>
      <c r="Q1008" s="679" t="s">
        <v>4267</v>
      </c>
    </row>
    <row r="1009" spans="1:17">
      <c r="A1009" s="788" t="s">
        <v>5131</v>
      </c>
      <c r="B1009" s="187" t="s">
        <v>350</v>
      </c>
      <c r="C1009" s="215">
        <v>138801</v>
      </c>
      <c r="D1009" s="215">
        <v>939568</v>
      </c>
      <c r="F1009" s="215">
        <f t="shared" si="92"/>
        <v>939568</v>
      </c>
      <c r="G1009" s="215">
        <f t="shared" si="93"/>
        <v>1078369</v>
      </c>
      <c r="H1009" s="680" t="s">
        <v>6153</v>
      </c>
      <c r="I1009" s="679"/>
      <c r="J1009" s="187" t="str">
        <f t="shared" si="97"/>
        <v>189-902</v>
      </c>
      <c r="K1009" s="187">
        <v>189</v>
      </c>
      <c r="L1009" s="187">
        <v>902</v>
      </c>
      <c r="M1009" s="187" t="str">
        <f t="shared" si="94"/>
        <v>189</v>
      </c>
      <c r="N1009" s="187">
        <f t="shared" si="95"/>
        <v>902</v>
      </c>
      <c r="O1009" s="187" t="str">
        <f t="shared" si="96"/>
        <v>189-902</v>
      </c>
      <c r="Q1009" s="679" t="s">
        <v>4268</v>
      </c>
    </row>
    <row r="1010" spans="1:17">
      <c r="A1010" s="788" t="s">
        <v>5231</v>
      </c>
      <c r="B1010" s="187" t="s">
        <v>406</v>
      </c>
      <c r="C1010" s="215">
        <v>203803</v>
      </c>
      <c r="D1010" s="215">
        <v>4681069</v>
      </c>
      <c r="F1010" s="215">
        <f t="shared" si="92"/>
        <v>4681069</v>
      </c>
      <c r="G1010" s="215">
        <f t="shared" si="93"/>
        <v>4884872</v>
      </c>
      <c r="H1010" s="680" t="s">
        <v>6153</v>
      </c>
      <c r="I1010" s="679"/>
      <c r="J1010" s="187" t="str">
        <f t="shared" si="97"/>
        <v>190-903</v>
      </c>
      <c r="K1010" s="187">
        <v>190</v>
      </c>
      <c r="L1010" s="187">
        <v>903</v>
      </c>
      <c r="M1010" s="187" t="str">
        <f t="shared" si="94"/>
        <v>190</v>
      </c>
      <c r="N1010" s="187">
        <f t="shared" si="95"/>
        <v>903</v>
      </c>
      <c r="O1010" s="187" t="str">
        <f t="shared" si="96"/>
        <v>190-903</v>
      </c>
      <c r="Q1010" s="679" t="s">
        <v>4269</v>
      </c>
    </row>
    <row r="1011" spans="1:17">
      <c r="A1011" s="788" t="s">
        <v>3109</v>
      </c>
      <c r="B1011" s="187" t="s">
        <v>407</v>
      </c>
      <c r="C1011" s="215">
        <v>5237105</v>
      </c>
      <c r="D1011" s="215">
        <v>27939543</v>
      </c>
      <c r="F1011" s="215">
        <f t="shared" si="92"/>
        <v>27939543</v>
      </c>
      <c r="G1011" s="215">
        <f t="shared" si="93"/>
        <v>33176648</v>
      </c>
      <c r="H1011" s="680" t="s">
        <v>6153</v>
      </c>
      <c r="I1011" s="679"/>
      <c r="J1011" s="187" t="str">
        <f t="shared" si="97"/>
        <v>191-901</v>
      </c>
      <c r="K1011" s="187">
        <v>191</v>
      </c>
      <c r="L1011" s="187">
        <v>901</v>
      </c>
      <c r="M1011" s="187" t="str">
        <f t="shared" si="94"/>
        <v>191</v>
      </c>
      <c r="N1011" s="187">
        <f t="shared" si="95"/>
        <v>901</v>
      </c>
      <c r="O1011" s="187" t="str">
        <f t="shared" si="96"/>
        <v>191-901</v>
      </c>
      <c r="Q1011" s="679" t="s">
        <v>4270</v>
      </c>
    </row>
    <row r="1012" spans="1:17">
      <c r="A1012" s="788" t="s">
        <v>3111</v>
      </c>
      <c r="B1012" s="187" t="s">
        <v>3193</v>
      </c>
      <c r="C1012" s="215">
        <v>0</v>
      </c>
      <c r="D1012" s="215">
        <v>8836774</v>
      </c>
      <c r="F1012" s="215">
        <f t="shared" si="92"/>
        <v>8836774</v>
      </c>
      <c r="G1012" s="215">
        <f t="shared" si="93"/>
        <v>8836774</v>
      </c>
      <c r="H1012" s="680" t="s">
        <v>6153</v>
      </c>
      <c r="I1012" s="679"/>
      <c r="J1012" s="187" t="str">
        <f t="shared" si="97"/>
        <v>192-901</v>
      </c>
      <c r="K1012" s="187">
        <v>192</v>
      </c>
      <c r="L1012" s="187">
        <v>901</v>
      </c>
      <c r="M1012" s="187" t="str">
        <f t="shared" si="94"/>
        <v>192</v>
      </c>
      <c r="N1012" s="187">
        <f t="shared" si="95"/>
        <v>901</v>
      </c>
      <c r="O1012" s="187" t="str">
        <f t="shared" si="96"/>
        <v>192-901</v>
      </c>
      <c r="Q1012" s="679" t="s">
        <v>4272</v>
      </c>
    </row>
    <row r="1013" spans="1:17">
      <c r="A1013" s="788" t="s">
        <v>1187</v>
      </c>
      <c r="B1013" s="187" t="s">
        <v>1188</v>
      </c>
      <c r="C1013" s="215">
        <v>0</v>
      </c>
      <c r="D1013" s="215">
        <v>0</v>
      </c>
      <c r="F1013" s="215">
        <f t="shared" si="92"/>
        <v>0</v>
      </c>
      <c r="G1013" s="215">
        <f t="shared" si="93"/>
        <v>0</v>
      </c>
      <c r="H1013" s="680" t="s">
        <v>6153</v>
      </c>
      <c r="I1013" s="679"/>
      <c r="J1013" s="187" t="str">
        <f t="shared" si="97"/>
        <v>193-801</v>
      </c>
      <c r="K1013" s="187">
        <v>193</v>
      </c>
      <c r="L1013" s="187">
        <v>801</v>
      </c>
      <c r="M1013" s="187" t="str">
        <f t="shared" si="94"/>
        <v>193</v>
      </c>
      <c r="N1013" s="187">
        <f t="shared" si="95"/>
        <v>801</v>
      </c>
      <c r="O1013" s="187" t="str">
        <f t="shared" si="96"/>
        <v>193-801</v>
      </c>
      <c r="Q1013" s="679" t="s">
        <v>6468</v>
      </c>
    </row>
    <row r="1014" spans="1:17">
      <c r="A1014" s="788" t="s">
        <v>3113</v>
      </c>
      <c r="B1014" s="187" t="s">
        <v>3194</v>
      </c>
      <c r="C1014" s="215">
        <v>0</v>
      </c>
      <c r="D1014" s="215">
        <v>1771651</v>
      </c>
      <c r="F1014" s="215">
        <f t="shared" si="92"/>
        <v>1771651</v>
      </c>
      <c r="G1014" s="215">
        <f t="shared" si="93"/>
        <v>1771651</v>
      </c>
      <c r="H1014" s="680" t="s">
        <v>6153</v>
      </c>
      <c r="I1014" s="679"/>
      <c r="J1014" s="187" t="str">
        <f t="shared" si="97"/>
        <v>193-902</v>
      </c>
      <c r="K1014" s="187">
        <v>193</v>
      </c>
      <c r="L1014" s="187">
        <v>902</v>
      </c>
      <c r="M1014" s="187" t="str">
        <f t="shared" si="94"/>
        <v>193</v>
      </c>
      <c r="N1014" s="187">
        <f t="shared" si="95"/>
        <v>902</v>
      </c>
      <c r="O1014" s="187" t="str">
        <f t="shared" si="96"/>
        <v>193-902</v>
      </c>
      <c r="Q1014" s="679" t="s">
        <v>4273</v>
      </c>
    </row>
    <row r="1015" spans="1:17">
      <c r="A1015" s="788" t="s">
        <v>975</v>
      </c>
      <c r="B1015" s="187" t="s">
        <v>7692</v>
      </c>
      <c r="C1015" s="215">
        <v>0</v>
      </c>
      <c r="D1015" s="215">
        <v>486649</v>
      </c>
      <c r="E1015" s="215">
        <v>15700</v>
      </c>
      <c r="F1015" s="215">
        <f t="shared" si="92"/>
        <v>502349</v>
      </c>
      <c r="G1015" s="215">
        <f t="shared" si="93"/>
        <v>502349</v>
      </c>
      <c r="H1015" s="680" t="s">
        <v>6153</v>
      </c>
      <c r="I1015" s="679"/>
      <c r="J1015" s="187" t="str">
        <f t="shared" si="97"/>
        <v>194-902</v>
      </c>
      <c r="K1015" s="187">
        <v>194</v>
      </c>
      <c r="L1015" s="187">
        <v>902</v>
      </c>
      <c r="M1015" s="187" t="str">
        <f t="shared" si="94"/>
        <v>194</v>
      </c>
      <c r="N1015" s="187">
        <f t="shared" si="95"/>
        <v>902</v>
      </c>
      <c r="O1015" s="187" t="str">
        <f t="shared" si="96"/>
        <v>194-902</v>
      </c>
      <c r="Q1015" s="679" t="s">
        <v>4274</v>
      </c>
    </row>
    <row r="1016" spans="1:17">
      <c r="A1016" s="788" t="s">
        <v>2771</v>
      </c>
      <c r="B1016" s="187" t="s">
        <v>364</v>
      </c>
      <c r="C1016" s="215">
        <v>217365</v>
      </c>
      <c r="D1016" s="215">
        <v>1148396</v>
      </c>
      <c r="F1016" s="215">
        <f t="shared" si="92"/>
        <v>1148396</v>
      </c>
      <c r="G1016" s="215">
        <f t="shared" si="93"/>
        <v>1365761</v>
      </c>
      <c r="H1016" s="680" t="s">
        <v>6153</v>
      </c>
      <c r="I1016" s="679"/>
      <c r="J1016" s="187" t="str">
        <f t="shared" si="97"/>
        <v>194-903</v>
      </c>
      <c r="K1016" s="187">
        <v>194</v>
      </c>
      <c r="L1016" s="187">
        <v>903</v>
      </c>
      <c r="M1016" s="187" t="str">
        <f t="shared" si="94"/>
        <v>194</v>
      </c>
      <c r="N1016" s="187">
        <f t="shared" si="95"/>
        <v>903</v>
      </c>
      <c r="O1016" s="187" t="str">
        <f t="shared" si="96"/>
        <v>194-903</v>
      </c>
      <c r="Q1016" s="679" t="s">
        <v>4275</v>
      </c>
    </row>
    <row r="1017" spans="1:17">
      <c r="A1017" s="788" t="s">
        <v>2821</v>
      </c>
      <c r="B1017" s="187" t="s">
        <v>3195</v>
      </c>
      <c r="C1017" s="215">
        <v>0</v>
      </c>
      <c r="D1017" s="215">
        <v>2302556</v>
      </c>
      <c r="F1017" s="215">
        <f t="shared" si="92"/>
        <v>2302556</v>
      </c>
      <c r="G1017" s="215">
        <f t="shared" si="93"/>
        <v>2302556</v>
      </c>
      <c r="H1017" s="680" t="s">
        <v>6153</v>
      </c>
      <c r="I1017" s="679"/>
      <c r="J1017" s="187" t="str">
        <f t="shared" si="97"/>
        <v>194-904</v>
      </c>
      <c r="K1017" s="187">
        <v>194</v>
      </c>
      <c r="L1017" s="187">
        <v>904</v>
      </c>
      <c r="M1017" s="187" t="str">
        <f t="shared" si="94"/>
        <v>194</v>
      </c>
      <c r="N1017" s="187">
        <f t="shared" si="95"/>
        <v>904</v>
      </c>
      <c r="O1017" s="187" t="str">
        <f t="shared" si="96"/>
        <v>194-904</v>
      </c>
      <c r="Q1017" s="679" t="s">
        <v>4276</v>
      </c>
    </row>
    <row r="1018" spans="1:17">
      <c r="A1018" s="788" t="s">
        <v>4589</v>
      </c>
      <c r="B1018" s="187" t="s">
        <v>998</v>
      </c>
      <c r="C1018" s="215">
        <v>21423</v>
      </c>
      <c r="D1018" s="215">
        <v>599329</v>
      </c>
      <c r="F1018" s="215">
        <f t="shared" si="92"/>
        <v>599329</v>
      </c>
      <c r="G1018" s="215">
        <f t="shared" si="93"/>
        <v>620752</v>
      </c>
      <c r="H1018" s="680" t="s">
        <v>6153</v>
      </c>
      <c r="I1018" s="679"/>
      <c r="J1018" s="187" t="str">
        <f t="shared" si="97"/>
        <v>194-905</v>
      </c>
      <c r="K1018" s="187">
        <v>194</v>
      </c>
      <c r="L1018" s="187">
        <v>905</v>
      </c>
      <c r="M1018" s="187" t="str">
        <f t="shared" si="94"/>
        <v>194</v>
      </c>
      <c r="N1018" s="187">
        <f t="shared" si="95"/>
        <v>905</v>
      </c>
      <c r="O1018" s="187" t="str">
        <f t="shared" si="96"/>
        <v>194-905</v>
      </c>
      <c r="Q1018" s="679" t="s">
        <v>4277</v>
      </c>
    </row>
    <row r="1019" spans="1:17">
      <c r="A1019" s="788" t="s">
        <v>2572</v>
      </c>
      <c r="B1019" s="187" t="s">
        <v>3196</v>
      </c>
      <c r="C1019" s="215">
        <v>0</v>
      </c>
      <c r="D1019" s="215">
        <v>7559412</v>
      </c>
      <c r="F1019" s="215">
        <f t="shared" si="92"/>
        <v>7559412</v>
      </c>
      <c r="G1019" s="215">
        <f t="shared" si="93"/>
        <v>7559412</v>
      </c>
      <c r="H1019" s="680" t="s">
        <v>6153</v>
      </c>
      <c r="I1019" s="679"/>
      <c r="J1019" s="187" t="str">
        <f t="shared" si="97"/>
        <v>195-901</v>
      </c>
      <c r="K1019" s="187">
        <v>195</v>
      </c>
      <c r="L1019" s="187">
        <v>901</v>
      </c>
      <c r="M1019" s="187" t="str">
        <f t="shared" si="94"/>
        <v>195</v>
      </c>
      <c r="N1019" s="187">
        <f t="shared" si="95"/>
        <v>901</v>
      </c>
      <c r="O1019" s="187" t="str">
        <f t="shared" si="96"/>
        <v>195-901</v>
      </c>
      <c r="Q1019" s="679" t="s">
        <v>4278</v>
      </c>
    </row>
    <row r="1020" spans="1:17">
      <c r="A1020" s="788" t="s">
        <v>1507</v>
      </c>
      <c r="B1020" s="187" t="s">
        <v>7694</v>
      </c>
      <c r="C1020" s="215">
        <v>18956</v>
      </c>
      <c r="D1020" s="215">
        <v>364807</v>
      </c>
      <c r="F1020" s="215">
        <f t="shared" si="92"/>
        <v>364807</v>
      </c>
      <c r="G1020" s="215">
        <f t="shared" si="93"/>
        <v>383763</v>
      </c>
      <c r="H1020" s="680" t="s">
        <v>6153</v>
      </c>
      <c r="I1020" s="679"/>
      <c r="J1020" s="187" t="str">
        <f t="shared" si="97"/>
        <v>195-902</v>
      </c>
      <c r="K1020" s="187">
        <v>195</v>
      </c>
      <c r="L1020" s="187">
        <v>902</v>
      </c>
      <c r="M1020" s="187" t="str">
        <f t="shared" si="94"/>
        <v>195</v>
      </c>
      <c r="N1020" s="187">
        <f t="shared" si="95"/>
        <v>902</v>
      </c>
      <c r="O1020" s="187" t="str">
        <f t="shared" si="96"/>
        <v>195-902</v>
      </c>
      <c r="Q1020" s="679" t="s">
        <v>4279</v>
      </c>
    </row>
    <row r="1021" spans="1:17">
      <c r="A1021" s="788" t="s">
        <v>2574</v>
      </c>
      <c r="B1021" s="187" t="s">
        <v>3197</v>
      </c>
      <c r="C1021" s="215">
        <v>109070</v>
      </c>
      <c r="D1021" s="215">
        <v>3957904</v>
      </c>
      <c r="F1021" s="215">
        <f t="shared" si="92"/>
        <v>3957904</v>
      </c>
      <c r="G1021" s="215">
        <f t="shared" si="93"/>
        <v>4066974</v>
      </c>
      <c r="H1021" s="680" t="s">
        <v>6153</v>
      </c>
      <c r="I1021" s="679"/>
      <c r="J1021" s="187" t="str">
        <f t="shared" si="97"/>
        <v>196-901</v>
      </c>
      <c r="K1021" s="187">
        <v>196</v>
      </c>
      <c r="L1021" s="187">
        <v>901</v>
      </c>
      <c r="M1021" s="187" t="str">
        <f t="shared" si="94"/>
        <v>196</v>
      </c>
      <c r="N1021" s="187">
        <f t="shared" si="95"/>
        <v>901</v>
      </c>
      <c r="O1021" s="187" t="str">
        <f t="shared" si="96"/>
        <v>196-901</v>
      </c>
      <c r="Q1021" s="679" t="s">
        <v>4280</v>
      </c>
    </row>
    <row r="1022" spans="1:17">
      <c r="A1022" s="788" t="s">
        <v>2576</v>
      </c>
      <c r="B1022" s="187" t="s">
        <v>3198</v>
      </c>
      <c r="C1022" s="215">
        <v>0</v>
      </c>
      <c r="D1022" s="215">
        <v>1417639</v>
      </c>
      <c r="F1022" s="215">
        <f t="shared" si="92"/>
        <v>1417639</v>
      </c>
      <c r="G1022" s="215">
        <f t="shared" si="93"/>
        <v>1417639</v>
      </c>
      <c r="H1022" s="680" t="s">
        <v>6153</v>
      </c>
      <c r="I1022" s="679"/>
      <c r="J1022" s="187" t="str">
        <f t="shared" si="97"/>
        <v>196-902</v>
      </c>
      <c r="K1022" s="187">
        <v>196</v>
      </c>
      <c r="L1022" s="187">
        <v>902</v>
      </c>
      <c r="M1022" s="187" t="str">
        <f t="shared" si="94"/>
        <v>196</v>
      </c>
      <c r="N1022" s="187">
        <f t="shared" si="95"/>
        <v>902</v>
      </c>
      <c r="O1022" s="187" t="str">
        <f t="shared" si="96"/>
        <v>196-902</v>
      </c>
      <c r="Q1022" s="679" t="s">
        <v>4281</v>
      </c>
    </row>
    <row r="1023" spans="1:17">
      <c r="A1023" s="788" t="s">
        <v>2578</v>
      </c>
      <c r="B1023" s="187" t="s">
        <v>3199</v>
      </c>
      <c r="C1023" s="215">
        <v>0</v>
      </c>
      <c r="D1023" s="215">
        <v>5589057</v>
      </c>
      <c r="F1023" s="215">
        <f t="shared" si="92"/>
        <v>5589057</v>
      </c>
      <c r="G1023" s="215">
        <f t="shared" si="93"/>
        <v>5589057</v>
      </c>
      <c r="H1023" s="680" t="s">
        <v>6153</v>
      </c>
      <c r="I1023" s="679"/>
      <c r="J1023" s="187" t="str">
        <f t="shared" si="97"/>
        <v>196-903</v>
      </c>
      <c r="K1023" s="187">
        <v>196</v>
      </c>
      <c r="L1023" s="187">
        <v>903</v>
      </c>
      <c r="M1023" s="187" t="str">
        <f t="shared" si="94"/>
        <v>196</v>
      </c>
      <c r="N1023" s="187">
        <f t="shared" si="95"/>
        <v>903</v>
      </c>
      <c r="O1023" s="187" t="str">
        <f t="shared" si="96"/>
        <v>196-903</v>
      </c>
      <c r="Q1023" s="679" t="s">
        <v>4282</v>
      </c>
    </row>
    <row r="1024" spans="1:17">
      <c r="A1024" s="788" t="s">
        <v>158</v>
      </c>
      <c r="B1024" s="187" t="s">
        <v>3200</v>
      </c>
      <c r="C1024" s="215">
        <v>121210</v>
      </c>
      <c r="D1024" s="215">
        <v>5926427</v>
      </c>
      <c r="F1024" s="215">
        <f t="shared" si="92"/>
        <v>5926427</v>
      </c>
      <c r="G1024" s="215">
        <f t="shared" si="93"/>
        <v>6047637</v>
      </c>
      <c r="H1024" s="680" t="s">
        <v>6153</v>
      </c>
      <c r="I1024" s="679"/>
      <c r="J1024" s="187" t="str">
        <f t="shared" si="97"/>
        <v>197-902</v>
      </c>
      <c r="K1024" s="187">
        <v>197</v>
      </c>
      <c r="L1024" s="187">
        <v>902</v>
      </c>
      <c r="M1024" s="187" t="str">
        <f t="shared" si="94"/>
        <v>197</v>
      </c>
      <c r="N1024" s="187">
        <f t="shared" si="95"/>
        <v>902</v>
      </c>
      <c r="O1024" s="187" t="str">
        <f t="shared" si="96"/>
        <v>197-902</v>
      </c>
      <c r="Q1024" s="679" t="s">
        <v>4283</v>
      </c>
    </row>
    <row r="1025" spans="1:17">
      <c r="A1025" s="788" t="s">
        <v>5211</v>
      </c>
      <c r="B1025" s="187" t="s">
        <v>3201</v>
      </c>
      <c r="C1025" s="215">
        <v>363027</v>
      </c>
      <c r="D1025" s="215">
        <v>3372594</v>
      </c>
      <c r="F1025" s="215">
        <f t="shared" si="92"/>
        <v>3372594</v>
      </c>
      <c r="G1025" s="215">
        <f t="shared" si="93"/>
        <v>3735621</v>
      </c>
      <c r="H1025" s="680" t="s">
        <v>6153</v>
      </c>
      <c r="I1025" s="679"/>
      <c r="J1025" s="187" t="str">
        <f t="shared" si="97"/>
        <v>198-901</v>
      </c>
      <c r="K1025" s="187">
        <v>198</v>
      </c>
      <c r="L1025" s="187">
        <v>901</v>
      </c>
      <c r="M1025" s="187" t="str">
        <f t="shared" si="94"/>
        <v>198</v>
      </c>
      <c r="N1025" s="187">
        <f t="shared" si="95"/>
        <v>901</v>
      </c>
      <c r="O1025" s="187" t="str">
        <f t="shared" si="96"/>
        <v>198-901</v>
      </c>
      <c r="Q1025" s="679" t="s">
        <v>4284</v>
      </c>
    </row>
    <row r="1026" spans="1:17">
      <c r="A1026" s="788" t="s">
        <v>5213</v>
      </c>
      <c r="B1026" s="187" t="s">
        <v>3202</v>
      </c>
      <c r="C1026" s="215">
        <v>0</v>
      </c>
      <c r="D1026" s="215">
        <v>883349</v>
      </c>
      <c r="F1026" s="215">
        <f t="shared" si="92"/>
        <v>883349</v>
      </c>
      <c r="G1026" s="215">
        <f t="shared" si="93"/>
        <v>883349</v>
      </c>
      <c r="H1026" s="680" t="s">
        <v>6153</v>
      </c>
      <c r="I1026" s="679"/>
      <c r="J1026" s="187" t="str">
        <f t="shared" si="97"/>
        <v>198-902</v>
      </c>
      <c r="K1026" s="187">
        <v>198</v>
      </c>
      <c r="L1026" s="187">
        <v>902</v>
      </c>
      <c r="M1026" s="187" t="str">
        <f t="shared" si="94"/>
        <v>198</v>
      </c>
      <c r="N1026" s="187">
        <f t="shared" si="95"/>
        <v>902</v>
      </c>
      <c r="O1026" s="187" t="str">
        <f t="shared" si="96"/>
        <v>198-902</v>
      </c>
      <c r="Q1026" s="679" t="s">
        <v>4285</v>
      </c>
    </row>
    <row r="1027" spans="1:17">
      <c r="A1027" s="788" t="s">
        <v>5215</v>
      </c>
      <c r="B1027" s="187" t="s">
        <v>3203</v>
      </c>
      <c r="C1027" s="215">
        <v>621597</v>
      </c>
      <c r="D1027" s="215">
        <v>6505954</v>
      </c>
      <c r="F1027" s="215">
        <f t="shared" si="92"/>
        <v>6505954</v>
      </c>
      <c r="G1027" s="215">
        <f t="shared" si="93"/>
        <v>7127551</v>
      </c>
      <c r="H1027" s="680" t="s">
        <v>6153</v>
      </c>
      <c r="I1027" s="679"/>
      <c r="J1027" s="187" t="str">
        <f t="shared" si="97"/>
        <v>198-903</v>
      </c>
      <c r="K1027" s="187">
        <v>198</v>
      </c>
      <c r="L1027" s="187">
        <v>903</v>
      </c>
      <c r="M1027" s="187" t="str">
        <f t="shared" si="94"/>
        <v>198</v>
      </c>
      <c r="N1027" s="187">
        <f t="shared" si="95"/>
        <v>903</v>
      </c>
      <c r="O1027" s="187" t="str">
        <f t="shared" si="96"/>
        <v>198-903</v>
      </c>
      <c r="Q1027" s="679" t="s">
        <v>4286</v>
      </c>
    </row>
    <row r="1028" spans="1:17">
      <c r="A1028" s="788" t="s">
        <v>5217</v>
      </c>
      <c r="B1028" s="187" t="s">
        <v>3204</v>
      </c>
      <c r="C1028" s="215">
        <v>0</v>
      </c>
      <c r="D1028" s="215">
        <v>3935769</v>
      </c>
      <c r="F1028" s="215">
        <f t="shared" ref="F1028:F1091" si="98">D1028+E1028</f>
        <v>3935769</v>
      </c>
      <c r="G1028" s="215">
        <f t="shared" ref="G1028:G1091" si="99">F1028+C1028</f>
        <v>3935769</v>
      </c>
      <c r="H1028" s="680" t="s">
        <v>6153</v>
      </c>
      <c r="I1028" s="679"/>
      <c r="J1028" s="187" t="str">
        <f t="shared" si="97"/>
        <v>198-905</v>
      </c>
      <c r="K1028" s="187">
        <v>198</v>
      </c>
      <c r="L1028" s="187">
        <v>905</v>
      </c>
      <c r="M1028" s="187" t="str">
        <f t="shared" ref="M1028:M1091" si="100">+I1028&amp;K1028</f>
        <v>198</v>
      </c>
      <c r="N1028" s="187">
        <f t="shared" ref="N1028:N1091" si="101">+L1028</f>
        <v>905</v>
      </c>
      <c r="O1028" s="187" t="str">
        <f t="shared" ref="O1028:O1091" si="102">+M1028&amp;"-"&amp;N1028</f>
        <v>198-905</v>
      </c>
      <c r="Q1028" s="679" t="s">
        <v>4287</v>
      </c>
    </row>
    <row r="1029" spans="1:17">
      <c r="A1029" s="788" t="s">
        <v>5219</v>
      </c>
      <c r="B1029" s="187" t="s">
        <v>3205</v>
      </c>
      <c r="C1029" s="215">
        <v>0</v>
      </c>
      <c r="D1029" s="215">
        <v>502546</v>
      </c>
      <c r="F1029" s="215">
        <f t="shared" si="98"/>
        <v>502546</v>
      </c>
      <c r="G1029" s="215">
        <f t="shared" si="99"/>
        <v>502546</v>
      </c>
      <c r="H1029" s="680" t="s">
        <v>6153</v>
      </c>
      <c r="I1029" s="679"/>
      <c r="J1029" s="187" t="str">
        <f t="shared" si="97"/>
        <v>198-906</v>
      </c>
      <c r="K1029" s="187">
        <v>198</v>
      </c>
      <c r="L1029" s="187">
        <v>906</v>
      </c>
      <c r="M1029" s="187" t="str">
        <f t="shared" si="100"/>
        <v>198</v>
      </c>
      <c r="N1029" s="187">
        <f t="shared" si="101"/>
        <v>906</v>
      </c>
      <c r="O1029" s="187" t="str">
        <f t="shared" si="102"/>
        <v>198-906</v>
      </c>
      <c r="Q1029" s="679" t="s">
        <v>4288</v>
      </c>
    </row>
    <row r="1030" spans="1:17">
      <c r="A1030" s="788" t="s">
        <v>2125</v>
      </c>
      <c r="B1030" s="187" t="s">
        <v>3206</v>
      </c>
      <c r="C1030" s="215">
        <v>14456497</v>
      </c>
      <c r="D1030" s="215">
        <v>57113323</v>
      </c>
      <c r="F1030" s="215">
        <f t="shared" si="98"/>
        <v>57113323</v>
      </c>
      <c r="G1030" s="215">
        <f t="shared" si="99"/>
        <v>71569820</v>
      </c>
      <c r="H1030" s="680" t="s">
        <v>6153</v>
      </c>
      <c r="I1030" s="679"/>
      <c r="J1030" s="187" t="str">
        <f t="shared" si="97"/>
        <v>199-901</v>
      </c>
      <c r="K1030" s="187">
        <v>199</v>
      </c>
      <c r="L1030" s="187">
        <v>901</v>
      </c>
      <c r="M1030" s="187" t="str">
        <f t="shared" si="100"/>
        <v>199</v>
      </c>
      <c r="N1030" s="187">
        <f t="shared" si="101"/>
        <v>901</v>
      </c>
      <c r="O1030" s="187" t="str">
        <f t="shared" si="102"/>
        <v>199-901</v>
      </c>
      <c r="Q1030" s="679" t="s">
        <v>4289</v>
      </c>
    </row>
    <row r="1031" spans="1:17">
      <c r="A1031" s="788" t="s">
        <v>870</v>
      </c>
      <c r="B1031" s="187" t="s">
        <v>373</v>
      </c>
      <c r="C1031" s="215">
        <v>1895255</v>
      </c>
      <c r="D1031" s="215">
        <v>6828525</v>
      </c>
      <c r="F1031" s="215">
        <f t="shared" si="98"/>
        <v>6828525</v>
      </c>
      <c r="G1031" s="215">
        <f t="shared" si="99"/>
        <v>8723780</v>
      </c>
      <c r="H1031" s="680" t="s">
        <v>6153</v>
      </c>
      <c r="I1031" s="679"/>
      <c r="J1031" s="187" t="str">
        <f t="shared" si="97"/>
        <v>199-902</v>
      </c>
      <c r="K1031" s="187">
        <v>199</v>
      </c>
      <c r="L1031" s="187">
        <v>902</v>
      </c>
      <c r="M1031" s="187" t="str">
        <f t="shared" si="100"/>
        <v>199</v>
      </c>
      <c r="N1031" s="187">
        <f t="shared" si="101"/>
        <v>902</v>
      </c>
      <c r="O1031" s="187" t="str">
        <f t="shared" si="102"/>
        <v>199-902</v>
      </c>
      <c r="Q1031" s="679" t="s">
        <v>4290</v>
      </c>
    </row>
    <row r="1032" spans="1:17">
      <c r="A1032" s="788" t="s">
        <v>5615</v>
      </c>
      <c r="B1032" s="187" t="s">
        <v>3207</v>
      </c>
      <c r="C1032" s="215">
        <v>105980</v>
      </c>
      <c r="D1032" s="215">
        <v>2267111</v>
      </c>
      <c r="F1032" s="215">
        <f t="shared" si="98"/>
        <v>2267111</v>
      </c>
      <c r="G1032" s="215">
        <f t="shared" si="99"/>
        <v>2373091</v>
      </c>
      <c r="H1032" s="680" t="s">
        <v>6153</v>
      </c>
      <c r="I1032" s="679"/>
      <c r="J1032" s="187" t="str">
        <f t="shared" si="97"/>
        <v>200-901</v>
      </c>
      <c r="K1032" s="187">
        <v>200</v>
      </c>
      <c r="L1032" s="187">
        <v>901</v>
      </c>
      <c r="M1032" s="187" t="str">
        <f t="shared" si="100"/>
        <v>200</v>
      </c>
      <c r="N1032" s="187">
        <f t="shared" si="101"/>
        <v>901</v>
      </c>
      <c r="O1032" s="187" t="str">
        <f t="shared" si="102"/>
        <v>200-901</v>
      </c>
      <c r="Q1032" s="679" t="s">
        <v>4291</v>
      </c>
    </row>
    <row r="1033" spans="1:17">
      <c r="A1033" s="788" t="s">
        <v>4590</v>
      </c>
      <c r="B1033" s="187" t="s">
        <v>498</v>
      </c>
      <c r="C1033" s="215">
        <v>28932</v>
      </c>
      <c r="D1033" s="215">
        <v>585788</v>
      </c>
      <c r="F1033" s="215">
        <f t="shared" si="98"/>
        <v>585788</v>
      </c>
      <c r="G1033" s="215">
        <f t="shared" si="99"/>
        <v>614720</v>
      </c>
      <c r="H1033" s="680" t="s">
        <v>6153</v>
      </c>
      <c r="I1033" s="679"/>
      <c r="J1033" s="187" t="str">
        <f t="shared" si="97"/>
        <v>200-902</v>
      </c>
      <c r="K1033" s="187">
        <v>200</v>
      </c>
      <c r="L1033" s="187">
        <v>902</v>
      </c>
      <c r="M1033" s="187" t="str">
        <f t="shared" si="100"/>
        <v>200</v>
      </c>
      <c r="N1033" s="187">
        <f t="shared" si="101"/>
        <v>902</v>
      </c>
      <c r="O1033" s="187" t="str">
        <f t="shared" si="102"/>
        <v>200-902</v>
      </c>
      <c r="Q1033" s="679" t="s">
        <v>4292</v>
      </c>
    </row>
    <row r="1034" spans="1:17">
      <c r="A1034" s="788" t="s">
        <v>860</v>
      </c>
      <c r="B1034" s="187" t="s">
        <v>2005</v>
      </c>
      <c r="C1034" s="215">
        <v>69146</v>
      </c>
      <c r="D1034" s="215">
        <v>1379565</v>
      </c>
      <c r="E1034" s="215">
        <v>61566</v>
      </c>
      <c r="F1034" s="215">
        <f t="shared" si="98"/>
        <v>1441131</v>
      </c>
      <c r="G1034" s="215">
        <f t="shared" si="99"/>
        <v>1510277</v>
      </c>
      <c r="H1034" s="680" t="s">
        <v>6153</v>
      </c>
      <c r="I1034" s="679"/>
      <c r="J1034" s="187" t="str">
        <f t="shared" si="97"/>
        <v>200-904</v>
      </c>
      <c r="K1034" s="187">
        <v>200</v>
      </c>
      <c r="L1034" s="187">
        <v>904</v>
      </c>
      <c r="M1034" s="187" t="str">
        <f t="shared" si="100"/>
        <v>200</v>
      </c>
      <c r="N1034" s="187">
        <f t="shared" si="101"/>
        <v>904</v>
      </c>
      <c r="O1034" s="187" t="str">
        <f t="shared" si="102"/>
        <v>200-904</v>
      </c>
      <c r="Q1034" s="679" t="s">
        <v>4293</v>
      </c>
    </row>
    <row r="1035" spans="1:17">
      <c r="A1035" s="788" t="s">
        <v>4591</v>
      </c>
      <c r="B1035" s="187" t="s">
        <v>3834</v>
      </c>
      <c r="C1035" s="215">
        <v>2371</v>
      </c>
      <c r="D1035" s="215">
        <v>52445</v>
      </c>
      <c r="F1035" s="215">
        <f t="shared" si="98"/>
        <v>52445</v>
      </c>
      <c r="G1035" s="215">
        <f t="shared" si="99"/>
        <v>54816</v>
      </c>
      <c r="H1035" s="680" t="s">
        <v>6153</v>
      </c>
      <c r="I1035" s="679"/>
      <c r="J1035" s="187" t="str">
        <f t="shared" si="97"/>
        <v>200-906</v>
      </c>
      <c r="K1035" s="187">
        <v>200</v>
      </c>
      <c r="L1035" s="187">
        <v>906</v>
      </c>
      <c r="M1035" s="187" t="str">
        <f t="shared" si="100"/>
        <v>200</v>
      </c>
      <c r="N1035" s="187">
        <f t="shared" si="101"/>
        <v>906</v>
      </c>
      <c r="O1035" s="187" t="str">
        <f t="shared" si="102"/>
        <v>200-906</v>
      </c>
      <c r="Q1035" s="679" t="s">
        <v>4295</v>
      </c>
    </row>
    <row r="1036" spans="1:17">
      <c r="A1036" s="788" t="s">
        <v>5617</v>
      </c>
      <c r="B1036" s="187" t="s">
        <v>3208</v>
      </c>
      <c r="C1036" s="215">
        <v>916185</v>
      </c>
      <c r="D1036" s="215">
        <v>13693618</v>
      </c>
      <c r="F1036" s="215">
        <f t="shared" si="98"/>
        <v>13693618</v>
      </c>
      <c r="G1036" s="215">
        <f t="shared" si="99"/>
        <v>14609803</v>
      </c>
      <c r="H1036" s="680" t="s">
        <v>6153</v>
      </c>
      <c r="I1036" s="679"/>
      <c r="J1036" s="187" t="str">
        <f t="shared" si="97"/>
        <v>201-902</v>
      </c>
      <c r="K1036" s="187">
        <v>201</v>
      </c>
      <c r="L1036" s="187">
        <v>902</v>
      </c>
      <c r="M1036" s="187" t="str">
        <f t="shared" si="100"/>
        <v>201</v>
      </c>
      <c r="N1036" s="187">
        <f t="shared" si="101"/>
        <v>902</v>
      </c>
      <c r="O1036" s="187" t="str">
        <f t="shared" si="102"/>
        <v>201-902</v>
      </c>
      <c r="Q1036" s="679" t="s">
        <v>4296</v>
      </c>
    </row>
    <row r="1037" spans="1:17">
      <c r="A1037" s="788" t="s">
        <v>3150</v>
      </c>
      <c r="B1037" s="187" t="s">
        <v>3209</v>
      </c>
      <c r="C1037" s="215">
        <v>0</v>
      </c>
      <c r="D1037" s="215">
        <v>571012</v>
      </c>
      <c r="F1037" s="215">
        <f t="shared" si="98"/>
        <v>571012</v>
      </c>
      <c r="G1037" s="215">
        <f t="shared" si="99"/>
        <v>571012</v>
      </c>
      <c r="H1037" s="680" t="s">
        <v>6153</v>
      </c>
      <c r="I1037" s="679"/>
      <c r="J1037" s="187" t="str">
        <f t="shared" si="97"/>
        <v>201-903</v>
      </c>
      <c r="K1037" s="187">
        <v>201</v>
      </c>
      <c r="L1037" s="187">
        <v>903</v>
      </c>
      <c r="M1037" s="187" t="str">
        <f t="shared" si="100"/>
        <v>201</v>
      </c>
      <c r="N1037" s="187">
        <f t="shared" si="101"/>
        <v>903</v>
      </c>
      <c r="O1037" s="187" t="str">
        <f t="shared" si="102"/>
        <v>201-903</v>
      </c>
      <c r="Q1037" s="679" t="s">
        <v>4297</v>
      </c>
    </row>
    <row r="1038" spans="1:17">
      <c r="A1038" s="788" t="s">
        <v>3152</v>
      </c>
      <c r="B1038" s="187" t="s">
        <v>3210</v>
      </c>
      <c r="C1038" s="215">
        <v>0</v>
      </c>
      <c r="D1038" s="215">
        <v>341414</v>
      </c>
      <c r="F1038" s="215">
        <f t="shared" si="98"/>
        <v>341414</v>
      </c>
      <c r="G1038" s="215">
        <f t="shared" si="99"/>
        <v>341414</v>
      </c>
      <c r="H1038" s="680" t="s">
        <v>6153</v>
      </c>
      <c r="I1038" s="679"/>
      <c r="J1038" s="187" t="str">
        <f t="shared" si="97"/>
        <v>201-904</v>
      </c>
      <c r="K1038" s="187">
        <v>201</v>
      </c>
      <c r="L1038" s="187">
        <v>904</v>
      </c>
      <c r="M1038" s="187" t="str">
        <f t="shared" si="100"/>
        <v>201</v>
      </c>
      <c r="N1038" s="187">
        <f t="shared" si="101"/>
        <v>904</v>
      </c>
      <c r="O1038" s="187" t="str">
        <f t="shared" si="102"/>
        <v>201-904</v>
      </c>
      <c r="Q1038" s="679" t="s">
        <v>4298</v>
      </c>
    </row>
    <row r="1039" spans="1:17">
      <c r="A1039" s="788" t="s">
        <v>1949</v>
      </c>
      <c r="B1039" s="187" t="s">
        <v>327</v>
      </c>
      <c r="C1039" s="215">
        <v>0</v>
      </c>
      <c r="D1039" s="215">
        <v>489848</v>
      </c>
      <c r="E1039" s="215">
        <v>15186</v>
      </c>
      <c r="F1039" s="215">
        <f t="shared" si="98"/>
        <v>505034</v>
      </c>
      <c r="G1039" s="215">
        <f t="shared" si="99"/>
        <v>505034</v>
      </c>
      <c r="H1039" s="680" t="s">
        <v>6153</v>
      </c>
      <c r="I1039" s="679"/>
      <c r="J1039" s="187" t="str">
        <f t="shared" si="97"/>
        <v>201-907</v>
      </c>
      <c r="K1039" s="187">
        <v>201</v>
      </c>
      <c r="L1039" s="187">
        <v>907</v>
      </c>
      <c r="M1039" s="187" t="str">
        <f t="shared" si="100"/>
        <v>201</v>
      </c>
      <c r="N1039" s="187">
        <f t="shared" si="101"/>
        <v>907</v>
      </c>
      <c r="O1039" s="187" t="str">
        <f t="shared" si="102"/>
        <v>201-907</v>
      </c>
      <c r="Q1039" s="679" t="s">
        <v>4299</v>
      </c>
    </row>
    <row r="1040" spans="1:17">
      <c r="A1040" s="788" t="s">
        <v>1951</v>
      </c>
      <c r="B1040" s="187" t="s">
        <v>3627</v>
      </c>
      <c r="C1040" s="215">
        <v>41700</v>
      </c>
      <c r="D1040" s="215">
        <v>675468</v>
      </c>
      <c r="F1040" s="215">
        <f t="shared" si="98"/>
        <v>675468</v>
      </c>
      <c r="G1040" s="215">
        <f t="shared" si="99"/>
        <v>717168</v>
      </c>
      <c r="H1040" s="680" t="s">
        <v>6153</v>
      </c>
      <c r="I1040" s="679"/>
      <c r="J1040" s="187" t="str">
        <f t="shared" si="97"/>
        <v>201-908</v>
      </c>
      <c r="K1040" s="187">
        <v>201</v>
      </c>
      <c r="L1040" s="187">
        <v>908</v>
      </c>
      <c r="M1040" s="187" t="str">
        <f t="shared" si="100"/>
        <v>201</v>
      </c>
      <c r="N1040" s="187">
        <f t="shared" si="101"/>
        <v>908</v>
      </c>
      <c r="O1040" s="187" t="str">
        <f t="shared" si="102"/>
        <v>201-908</v>
      </c>
      <c r="Q1040" s="679" t="s">
        <v>4300</v>
      </c>
    </row>
    <row r="1041" spans="1:17">
      <c r="A1041" s="788" t="s">
        <v>3154</v>
      </c>
      <c r="B1041" s="187" t="s">
        <v>3211</v>
      </c>
      <c r="C1041" s="215">
        <v>3511402</v>
      </c>
      <c r="D1041" s="215">
        <v>17132355</v>
      </c>
      <c r="F1041" s="215">
        <f t="shared" si="98"/>
        <v>17132355</v>
      </c>
      <c r="G1041" s="215">
        <f t="shared" si="99"/>
        <v>20643757</v>
      </c>
      <c r="H1041" s="680" t="s">
        <v>6153</v>
      </c>
      <c r="I1041" s="679"/>
      <c r="J1041" s="187" t="str">
        <f t="shared" si="97"/>
        <v>201-910</v>
      </c>
      <c r="K1041" s="187">
        <v>201</v>
      </c>
      <c r="L1041" s="187">
        <v>910</v>
      </c>
      <c r="M1041" s="187" t="str">
        <f t="shared" si="100"/>
        <v>201</v>
      </c>
      <c r="N1041" s="187">
        <f t="shared" si="101"/>
        <v>910</v>
      </c>
      <c r="O1041" s="187" t="str">
        <f t="shared" si="102"/>
        <v>201-910</v>
      </c>
      <c r="Q1041" s="679" t="s">
        <v>4301</v>
      </c>
    </row>
    <row r="1042" spans="1:17">
      <c r="A1042" s="788" t="s">
        <v>3883</v>
      </c>
      <c r="B1042" s="187" t="s">
        <v>6100</v>
      </c>
      <c r="C1042" s="215">
        <v>25550</v>
      </c>
      <c r="D1042" s="215">
        <v>656948</v>
      </c>
      <c r="F1042" s="215">
        <f t="shared" si="98"/>
        <v>656948</v>
      </c>
      <c r="G1042" s="215">
        <f t="shared" si="99"/>
        <v>682498</v>
      </c>
      <c r="H1042" s="680" t="s">
        <v>6153</v>
      </c>
      <c r="I1042" s="679"/>
      <c r="J1042" s="187" t="str">
        <f t="shared" si="97"/>
        <v>201-913</v>
      </c>
      <c r="K1042" s="187">
        <v>201</v>
      </c>
      <c r="L1042" s="187">
        <v>913</v>
      </c>
      <c r="M1042" s="187" t="str">
        <f t="shared" si="100"/>
        <v>201</v>
      </c>
      <c r="N1042" s="187">
        <f t="shared" si="101"/>
        <v>913</v>
      </c>
      <c r="O1042" s="187" t="str">
        <f t="shared" si="102"/>
        <v>201-913</v>
      </c>
      <c r="Q1042" s="679" t="s">
        <v>4302</v>
      </c>
    </row>
    <row r="1043" spans="1:17">
      <c r="A1043" s="788" t="s">
        <v>3156</v>
      </c>
      <c r="B1043" s="187" t="s">
        <v>3212</v>
      </c>
      <c r="C1043" s="215">
        <v>0</v>
      </c>
      <c r="D1043" s="215">
        <v>3191126</v>
      </c>
      <c r="F1043" s="215">
        <f t="shared" si="98"/>
        <v>3191126</v>
      </c>
      <c r="G1043" s="215">
        <f t="shared" si="99"/>
        <v>3191126</v>
      </c>
      <c r="H1043" s="680" t="s">
        <v>6153</v>
      </c>
      <c r="I1043" s="679"/>
      <c r="J1043" s="187" t="str">
        <f t="shared" si="97"/>
        <v>201-914</v>
      </c>
      <c r="K1043" s="187">
        <v>201</v>
      </c>
      <c r="L1043" s="187">
        <v>914</v>
      </c>
      <c r="M1043" s="187" t="str">
        <f t="shared" si="100"/>
        <v>201</v>
      </c>
      <c r="N1043" s="187">
        <f t="shared" si="101"/>
        <v>914</v>
      </c>
      <c r="O1043" s="187" t="str">
        <f t="shared" si="102"/>
        <v>201-914</v>
      </c>
      <c r="Q1043" s="679" t="s">
        <v>4303</v>
      </c>
    </row>
    <row r="1044" spans="1:17">
      <c r="A1044" s="788" t="s">
        <v>3158</v>
      </c>
      <c r="B1044" s="187" t="s">
        <v>3213</v>
      </c>
      <c r="C1044" s="215">
        <v>0</v>
      </c>
      <c r="D1044" s="215">
        <v>3235426</v>
      </c>
      <c r="F1044" s="215">
        <f t="shared" si="98"/>
        <v>3235426</v>
      </c>
      <c r="G1044" s="215">
        <f t="shared" si="99"/>
        <v>3235426</v>
      </c>
      <c r="H1044" s="680" t="s">
        <v>6153</v>
      </c>
      <c r="I1044" s="679"/>
      <c r="J1044" s="187" t="str">
        <f t="shared" si="97"/>
        <v>202-903</v>
      </c>
      <c r="K1044" s="187">
        <v>202</v>
      </c>
      <c r="L1044" s="187">
        <v>903</v>
      </c>
      <c r="M1044" s="187" t="str">
        <f t="shared" si="100"/>
        <v>202</v>
      </c>
      <c r="N1044" s="187">
        <f t="shared" si="101"/>
        <v>903</v>
      </c>
      <c r="O1044" s="187" t="str">
        <f t="shared" si="102"/>
        <v>202-903</v>
      </c>
      <c r="Q1044" s="679" t="s">
        <v>4304</v>
      </c>
    </row>
    <row r="1045" spans="1:17">
      <c r="A1045" s="788" t="s">
        <v>3160</v>
      </c>
      <c r="B1045" s="187" t="s">
        <v>3214</v>
      </c>
      <c r="C1045" s="215">
        <v>0</v>
      </c>
      <c r="D1045" s="215">
        <v>1130585</v>
      </c>
      <c r="F1045" s="215">
        <f t="shared" si="98"/>
        <v>1130585</v>
      </c>
      <c r="G1045" s="215">
        <f t="shared" si="99"/>
        <v>1130585</v>
      </c>
      <c r="H1045" s="680" t="s">
        <v>6153</v>
      </c>
      <c r="I1045" s="679"/>
      <c r="J1045" s="187" t="str">
        <f t="shared" si="97"/>
        <v>202-905</v>
      </c>
      <c r="K1045" s="187">
        <v>202</v>
      </c>
      <c r="L1045" s="187">
        <v>905</v>
      </c>
      <c r="M1045" s="187" t="str">
        <f t="shared" si="100"/>
        <v>202</v>
      </c>
      <c r="N1045" s="187">
        <f t="shared" si="101"/>
        <v>905</v>
      </c>
      <c r="O1045" s="187" t="str">
        <f t="shared" si="102"/>
        <v>202-905</v>
      </c>
      <c r="Q1045" s="679" t="s">
        <v>4305</v>
      </c>
    </row>
    <row r="1046" spans="1:17">
      <c r="A1046" s="788" t="s">
        <v>3162</v>
      </c>
      <c r="B1046" s="187" t="s">
        <v>3215</v>
      </c>
      <c r="C1046" s="215">
        <v>0</v>
      </c>
      <c r="D1046" s="215">
        <v>1764547</v>
      </c>
      <c r="F1046" s="215">
        <f t="shared" si="98"/>
        <v>1764547</v>
      </c>
      <c r="G1046" s="215">
        <f t="shared" si="99"/>
        <v>1764547</v>
      </c>
      <c r="H1046" s="680" t="s">
        <v>6153</v>
      </c>
      <c r="I1046" s="679"/>
      <c r="J1046" s="187" t="str">
        <f t="shared" si="97"/>
        <v>203-901</v>
      </c>
      <c r="K1046" s="187">
        <v>203</v>
      </c>
      <c r="L1046" s="187">
        <v>901</v>
      </c>
      <c r="M1046" s="187" t="str">
        <f t="shared" si="100"/>
        <v>203</v>
      </c>
      <c r="N1046" s="187">
        <f t="shared" si="101"/>
        <v>901</v>
      </c>
      <c r="O1046" s="187" t="str">
        <f t="shared" si="102"/>
        <v>203-901</v>
      </c>
      <c r="Q1046" s="679" t="s">
        <v>4306</v>
      </c>
    </row>
    <row r="1047" spans="1:17">
      <c r="A1047" s="788" t="s">
        <v>569</v>
      </c>
      <c r="B1047" s="187" t="s">
        <v>3216</v>
      </c>
      <c r="C1047" s="215">
        <v>0</v>
      </c>
      <c r="D1047" s="215">
        <v>831897</v>
      </c>
      <c r="F1047" s="215">
        <f t="shared" si="98"/>
        <v>831897</v>
      </c>
      <c r="G1047" s="215">
        <f t="shared" si="99"/>
        <v>831897</v>
      </c>
      <c r="H1047" s="680" t="s">
        <v>6153</v>
      </c>
      <c r="I1047" s="679"/>
      <c r="J1047" s="187" t="str">
        <f t="shared" si="97"/>
        <v>203-902</v>
      </c>
      <c r="K1047" s="187">
        <v>203</v>
      </c>
      <c r="L1047" s="187">
        <v>902</v>
      </c>
      <c r="M1047" s="187" t="str">
        <f t="shared" si="100"/>
        <v>203</v>
      </c>
      <c r="N1047" s="187">
        <f t="shared" si="101"/>
        <v>902</v>
      </c>
      <c r="O1047" s="187" t="str">
        <f t="shared" si="102"/>
        <v>203-902</v>
      </c>
      <c r="Q1047" s="679" t="s">
        <v>4307</v>
      </c>
    </row>
    <row r="1048" spans="1:17">
      <c r="A1048" s="788" t="s">
        <v>571</v>
      </c>
      <c r="B1048" s="187" t="s">
        <v>3217</v>
      </c>
      <c r="C1048" s="215">
        <v>394464</v>
      </c>
      <c r="D1048" s="215">
        <v>7668131</v>
      </c>
      <c r="F1048" s="215">
        <f t="shared" si="98"/>
        <v>7668131</v>
      </c>
      <c r="G1048" s="215">
        <f t="shared" si="99"/>
        <v>8062595</v>
      </c>
      <c r="H1048" s="680" t="s">
        <v>6153</v>
      </c>
      <c r="I1048" s="679"/>
      <c r="J1048" s="187" t="str">
        <f t="shared" si="97"/>
        <v>204-901</v>
      </c>
      <c r="K1048" s="187">
        <v>204</v>
      </c>
      <c r="L1048" s="187">
        <v>901</v>
      </c>
      <c r="M1048" s="187" t="str">
        <f t="shared" si="100"/>
        <v>204</v>
      </c>
      <c r="N1048" s="187">
        <f t="shared" si="101"/>
        <v>901</v>
      </c>
      <c r="O1048" s="187" t="str">
        <f t="shared" si="102"/>
        <v>204-901</v>
      </c>
      <c r="Q1048" s="679" t="s">
        <v>4308</v>
      </c>
    </row>
    <row r="1049" spans="1:17">
      <c r="A1049" s="788" t="s">
        <v>3181</v>
      </c>
      <c r="B1049" s="187" t="s">
        <v>3596</v>
      </c>
      <c r="C1049" s="215">
        <v>152770</v>
      </c>
      <c r="D1049" s="215">
        <v>2158039</v>
      </c>
      <c r="F1049" s="215">
        <f t="shared" si="98"/>
        <v>2158039</v>
      </c>
      <c r="G1049" s="215">
        <f t="shared" si="99"/>
        <v>2310809</v>
      </c>
      <c r="H1049" s="680" t="s">
        <v>6153</v>
      </c>
      <c r="I1049" s="679"/>
      <c r="J1049" s="187" t="str">
        <f t="shared" si="97"/>
        <v>204-904</v>
      </c>
      <c r="K1049" s="187">
        <v>204</v>
      </c>
      <c r="L1049" s="187">
        <v>904</v>
      </c>
      <c r="M1049" s="187" t="str">
        <f t="shared" si="100"/>
        <v>204</v>
      </c>
      <c r="N1049" s="187">
        <f t="shared" si="101"/>
        <v>904</v>
      </c>
      <c r="O1049" s="187" t="str">
        <f t="shared" si="102"/>
        <v>204-904</v>
      </c>
      <c r="Q1049" s="679" t="s">
        <v>4310</v>
      </c>
    </row>
    <row r="1050" spans="1:17">
      <c r="A1050" s="788" t="s">
        <v>2071</v>
      </c>
      <c r="B1050" s="187" t="s">
        <v>7687</v>
      </c>
      <c r="C1050" s="215">
        <v>383945</v>
      </c>
      <c r="D1050" s="215">
        <v>6194496</v>
      </c>
      <c r="F1050" s="215">
        <f t="shared" si="98"/>
        <v>6194496</v>
      </c>
      <c r="G1050" s="215">
        <f t="shared" si="99"/>
        <v>6578441</v>
      </c>
      <c r="H1050" s="680" t="s">
        <v>6153</v>
      </c>
      <c r="I1050" s="679"/>
      <c r="J1050" s="187" t="str">
        <f t="shared" si="97"/>
        <v>205-901</v>
      </c>
      <c r="K1050" s="187">
        <v>205</v>
      </c>
      <c r="L1050" s="187">
        <v>901</v>
      </c>
      <c r="M1050" s="187" t="str">
        <f t="shared" si="100"/>
        <v>205</v>
      </c>
      <c r="N1050" s="187">
        <f t="shared" si="101"/>
        <v>901</v>
      </c>
      <c r="O1050" s="187" t="str">
        <f t="shared" si="102"/>
        <v>205-901</v>
      </c>
      <c r="Q1050" s="679" t="s">
        <v>4311</v>
      </c>
    </row>
    <row r="1051" spans="1:17">
      <c r="A1051" s="788" t="s">
        <v>3183</v>
      </c>
      <c r="B1051" s="187" t="s">
        <v>3597</v>
      </c>
      <c r="C1051" s="215">
        <v>1893547</v>
      </c>
      <c r="D1051" s="215">
        <v>11214183</v>
      </c>
      <c r="F1051" s="215">
        <f t="shared" si="98"/>
        <v>11214183</v>
      </c>
      <c r="G1051" s="215">
        <f t="shared" si="99"/>
        <v>13107730</v>
      </c>
      <c r="H1051" s="680" t="s">
        <v>6153</v>
      </c>
      <c r="I1051" s="679"/>
      <c r="J1051" s="187" t="str">
        <f t="shared" si="97"/>
        <v>205-902</v>
      </c>
      <c r="K1051" s="187">
        <v>205</v>
      </c>
      <c r="L1051" s="187">
        <v>902</v>
      </c>
      <c r="M1051" s="187" t="str">
        <f t="shared" si="100"/>
        <v>205</v>
      </c>
      <c r="N1051" s="187">
        <f t="shared" si="101"/>
        <v>902</v>
      </c>
      <c r="O1051" s="187" t="str">
        <f t="shared" si="102"/>
        <v>205-902</v>
      </c>
      <c r="Q1051" s="679" t="s">
        <v>4312</v>
      </c>
    </row>
    <row r="1052" spans="1:17">
      <c r="A1052" s="788" t="s">
        <v>924</v>
      </c>
      <c r="B1052" s="187" t="s">
        <v>3598</v>
      </c>
      <c r="C1052" s="215">
        <v>1163408</v>
      </c>
      <c r="D1052" s="215">
        <v>13537528</v>
      </c>
      <c r="F1052" s="215">
        <f t="shared" si="98"/>
        <v>13537528</v>
      </c>
      <c r="G1052" s="215">
        <f t="shared" si="99"/>
        <v>14700936</v>
      </c>
      <c r="H1052" s="680" t="s">
        <v>6153</v>
      </c>
      <c r="I1052" s="679"/>
      <c r="J1052" s="187" t="str">
        <f t="shared" si="97"/>
        <v>205-903</v>
      </c>
      <c r="K1052" s="187">
        <v>205</v>
      </c>
      <c r="L1052" s="187">
        <v>903</v>
      </c>
      <c r="M1052" s="187" t="str">
        <f t="shared" si="100"/>
        <v>205</v>
      </c>
      <c r="N1052" s="187">
        <f t="shared" si="101"/>
        <v>903</v>
      </c>
      <c r="O1052" s="187" t="str">
        <f t="shared" si="102"/>
        <v>205-903</v>
      </c>
      <c r="Q1052" s="679" t="s">
        <v>4313</v>
      </c>
    </row>
    <row r="1053" spans="1:17">
      <c r="A1053" s="788" t="s">
        <v>6165</v>
      </c>
      <c r="B1053" s="187" t="s">
        <v>6069</v>
      </c>
      <c r="C1053" s="215">
        <v>191071</v>
      </c>
      <c r="D1053" s="215">
        <v>2573882</v>
      </c>
      <c r="F1053" s="215">
        <f t="shared" si="98"/>
        <v>2573882</v>
      </c>
      <c r="G1053" s="215">
        <f t="shared" si="99"/>
        <v>2764953</v>
      </c>
      <c r="H1053" s="680" t="s">
        <v>6153</v>
      </c>
      <c r="I1053" s="679"/>
      <c r="J1053" s="187" t="str">
        <f t="shared" si="97"/>
        <v>205-904</v>
      </c>
      <c r="K1053" s="187">
        <v>205</v>
      </c>
      <c r="L1053" s="187">
        <v>904</v>
      </c>
      <c r="M1053" s="187" t="str">
        <f t="shared" si="100"/>
        <v>205</v>
      </c>
      <c r="N1053" s="187">
        <f t="shared" si="101"/>
        <v>904</v>
      </c>
      <c r="O1053" s="187" t="str">
        <f t="shared" si="102"/>
        <v>205-904</v>
      </c>
      <c r="Q1053" s="679" t="s">
        <v>4314</v>
      </c>
    </row>
    <row r="1054" spans="1:17">
      <c r="A1054" s="788" t="s">
        <v>6187</v>
      </c>
      <c r="B1054" s="187" t="s">
        <v>3832</v>
      </c>
      <c r="C1054" s="215">
        <v>158844</v>
      </c>
      <c r="D1054" s="215">
        <v>2158624</v>
      </c>
      <c r="F1054" s="215">
        <f t="shared" si="98"/>
        <v>2158624</v>
      </c>
      <c r="G1054" s="215">
        <f t="shared" si="99"/>
        <v>2317468</v>
      </c>
      <c r="H1054" s="680" t="s">
        <v>6153</v>
      </c>
      <c r="I1054" s="679"/>
      <c r="J1054" s="187" t="str">
        <f t="shared" si="97"/>
        <v>205-905</v>
      </c>
      <c r="K1054" s="187">
        <v>205</v>
      </c>
      <c r="L1054" s="187">
        <v>905</v>
      </c>
      <c r="M1054" s="187" t="str">
        <f t="shared" si="100"/>
        <v>205</v>
      </c>
      <c r="N1054" s="187">
        <f t="shared" si="101"/>
        <v>905</v>
      </c>
      <c r="O1054" s="187" t="str">
        <f t="shared" si="102"/>
        <v>205-905</v>
      </c>
      <c r="Q1054" s="679" t="s">
        <v>4315</v>
      </c>
    </row>
    <row r="1055" spans="1:17">
      <c r="A1055" s="788" t="s">
        <v>1837</v>
      </c>
      <c r="B1055" s="187" t="s">
        <v>1468</v>
      </c>
      <c r="C1055" s="215">
        <v>160996</v>
      </c>
      <c r="D1055" s="215">
        <v>3498727</v>
      </c>
      <c r="F1055" s="215">
        <f t="shared" si="98"/>
        <v>3498727</v>
      </c>
      <c r="G1055" s="215">
        <f t="shared" si="99"/>
        <v>3659723</v>
      </c>
      <c r="H1055" s="680" t="s">
        <v>6153</v>
      </c>
      <c r="I1055" s="679"/>
      <c r="J1055" s="187" t="str">
        <f t="shared" si="97"/>
        <v>205-906</v>
      </c>
      <c r="K1055" s="187">
        <v>205</v>
      </c>
      <c r="L1055" s="187">
        <v>906</v>
      </c>
      <c r="M1055" s="187" t="str">
        <f t="shared" si="100"/>
        <v>205</v>
      </c>
      <c r="N1055" s="187">
        <f t="shared" si="101"/>
        <v>906</v>
      </c>
      <c r="O1055" s="187" t="str">
        <f t="shared" si="102"/>
        <v>205-906</v>
      </c>
      <c r="Q1055" s="679" t="s">
        <v>4316</v>
      </c>
    </row>
    <row r="1056" spans="1:17">
      <c r="A1056" s="788" t="s">
        <v>3884</v>
      </c>
      <c r="B1056" s="187" t="s">
        <v>5362</v>
      </c>
      <c r="C1056" s="215">
        <v>209646</v>
      </c>
      <c r="D1056" s="215">
        <v>3099507</v>
      </c>
      <c r="F1056" s="215">
        <f t="shared" si="98"/>
        <v>3099507</v>
      </c>
      <c r="G1056" s="215">
        <f t="shared" si="99"/>
        <v>3309153</v>
      </c>
      <c r="H1056" s="680" t="s">
        <v>6153</v>
      </c>
      <c r="I1056" s="679"/>
      <c r="J1056" s="187" t="str">
        <f t="shared" si="97"/>
        <v>205-907</v>
      </c>
      <c r="K1056" s="187">
        <v>205</v>
      </c>
      <c r="L1056" s="187">
        <v>907</v>
      </c>
      <c r="M1056" s="187" t="str">
        <f t="shared" si="100"/>
        <v>205</v>
      </c>
      <c r="N1056" s="187">
        <f t="shared" si="101"/>
        <v>907</v>
      </c>
      <c r="O1056" s="187" t="str">
        <f t="shared" si="102"/>
        <v>205-907</v>
      </c>
      <c r="Q1056" s="679" t="s">
        <v>4317</v>
      </c>
    </row>
    <row r="1057" spans="1:17">
      <c r="A1057" s="788" t="s">
        <v>2390</v>
      </c>
      <c r="B1057" s="187" t="s">
        <v>1455</v>
      </c>
      <c r="C1057" s="215">
        <v>109851</v>
      </c>
      <c r="D1057" s="215">
        <v>1745588</v>
      </c>
      <c r="F1057" s="215">
        <f t="shared" si="98"/>
        <v>1745588</v>
      </c>
      <c r="G1057" s="215">
        <f t="shared" si="99"/>
        <v>1855439</v>
      </c>
      <c r="H1057" s="680" t="s">
        <v>6153</v>
      </c>
      <c r="I1057" s="679"/>
      <c r="J1057" s="187" t="str">
        <f t="shared" si="97"/>
        <v>206-901</v>
      </c>
      <c r="K1057" s="187">
        <v>206</v>
      </c>
      <c r="L1057" s="187">
        <v>901</v>
      </c>
      <c r="M1057" s="187" t="str">
        <f t="shared" si="100"/>
        <v>206</v>
      </c>
      <c r="N1057" s="187">
        <f t="shared" si="101"/>
        <v>901</v>
      </c>
      <c r="O1057" s="187" t="str">
        <f t="shared" si="102"/>
        <v>206-901</v>
      </c>
      <c r="Q1057" s="679" t="s">
        <v>4318</v>
      </c>
    </row>
    <row r="1058" spans="1:17">
      <c r="A1058" s="788" t="s">
        <v>926</v>
      </c>
      <c r="B1058" s="187" t="s">
        <v>3599</v>
      </c>
      <c r="C1058" s="215">
        <v>0</v>
      </c>
      <c r="D1058" s="215">
        <v>560914</v>
      </c>
      <c r="F1058" s="215">
        <f t="shared" si="98"/>
        <v>560914</v>
      </c>
      <c r="G1058" s="215">
        <f t="shared" si="99"/>
        <v>560914</v>
      </c>
      <c r="H1058" s="680" t="s">
        <v>6153</v>
      </c>
      <c r="I1058" s="679"/>
      <c r="J1058" s="187" t="str">
        <f t="shared" ref="J1058:J1121" si="103">+A1058</f>
        <v>206-902</v>
      </c>
      <c r="K1058" s="187">
        <v>206</v>
      </c>
      <c r="L1058" s="187">
        <v>902</v>
      </c>
      <c r="M1058" s="187" t="str">
        <f t="shared" si="100"/>
        <v>206</v>
      </c>
      <c r="N1058" s="187">
        <f t="shared" si="101"/>
        <v>902</v>
      </c>
      <c r="O1058" s="187" t="str">
        <f t="shared" si="102"/>
        <v>206-902</v>
      </c>
      <c r="Q1058" s="679" t="s">
        <v>4319</v>
      </c>
    </row>
    <row r="1059" spans="1:17">
      <c r="A1059" s="788" t="s">
        <v>928</v>
      </c>
      <c r="B1059" s="187" t="s">
        <v>1840</v>
      </c>
      <c r="C1059" s="215">
        <v>0</v>
      </c>
      <c r="D1059" s="215">
        <v>426919</v>
      </c>
      <c r="F1059" s="215">
        <f t="shared" si="98"/>
        <v>426919</v>
      </c>
      <c r="G1059" s="215">
        <f t="shared" si="99"/>
        <v>426919</v>
      </c>
      <c r="H1059" s="680" t="s">
        <v>6153</v>
      </c>
      <c r="I1059" s="679"/>
      <c r="J1059" s="187" t="str">
        <f t="shared" si="103"/>
        <v>206-903</v>
      </c>
      <c r="K1059" s="187">
        <v>206</v>
      </c>
      <c r="L1059" s="187">
        <v>903</v>
      </c>
      <c r="M1059" s="187" t="str">
        <f t="shared" si="100"/>
        <v>206</v>
      </c>
      <c r="N1059" s="187">
        <f t="shared" si="101"/>
        <v>903</v>
      </c>
      <c r="O1059" s="187" t="str">
        <f t="shared" si="102"/>
        <v>206-903</v>
      </c>
      <c r="Q1059" s="679" t="s">
        <v>4320</v>
      </c>
    </row>
    <row r="1060" spans="1:17">
      <c r="A1060" s="788" t="s">
        <v>1189</v>
      </c>
      <c r="B1060" s="187" t="s">
        <v>1190</v>
      </c>
      <c r="C1060" s="215">
        <v>0</v>
      </c>
      <c r="D1060" s="215">
        <v>0</v>
      </c>
      <c r="F1060" s="215">
        <f t="shared" si="98"/>
        <v>0</v>
      </c>
      <c r="G1060" s="215">
        <f t="shared" si="99"/>
        <v>0</v>
      </c>
      <c r="H1060" s="680" t="s">
        <v>6153</v>
      </c>
      <c r="I1060" s="679"/>
      <c r="J1060" s="187" t="str">
        <f t="shared" si="103"/>
        <v>206-904</v>
      </c>
      <c r="K1060" s="187">
        <v>206</v>
      </c>
      <c r="L1060" s="187">
        <v>904</v>
      </c>
      <c r="M1060" s="187" t="str">
        <f t="shared" si="100"/>
        <v>206</v>
      </c>
      <c r="N1060" s="187">
        <f t="shared" si="101"/>
        <v>904</v>
      </c>
      <c r="O1060" s="187" t="str">
        <f t="shared" si="102"/>
        <v>206-904</v>
      </c>
      <c r="Q1060" s="679" t="s">
        <v>6469</v>
      </c>
    </row>
    <row r="1061" spans="1:17">
      <c r="A1061" s="788" t="s">
        <v>930</v>
      </c>
      <c r="B1061" s="187" t="s">
        <v>1841</v>
      </c>
      <c r="C1061" s="215">
        <v>0</v>
      </c>
      <c r="D1061" s="215">
        <v>3259853</v>
      </c>
      <c r="F1061" s="215">
        <f t="shared" si="98"/>
        <v>3259853</v>
      </c>
      <c r="G1061" s="215">
        <f t="shared" si="99"/>
        <v>3259853</v>
      </c>
      <c r="H1061" s="680" t="s">
        <v>6153</v>
      </c>
      <c r="I1061" s="679"/>
      <c r="J1061" s="187" t="str">
        <f t="shared" si="103"/>
        <v>207-901</v>
      </c>
      <c r="K1061" s="187">
        <v>207</v>
      </c>
      <c r="L1061" s="187">
        <v>901</v>
      </c>
      <c r="M1061" s="187" t="str">
        <f t="shared" si="100"/>
        <v>207</v>
      </c>
      <c r="N1061" s="187">
        <f t="shared" si="101"/>
        <v>901</v>
      </c>
      <c r="O1061" s="187" t="str">
        <f t="shared" si="102"/>
        <v>207-901</v>
      </c>
      <c r="Q1061" s="679" t="s">
        <v>4321</v>
      </c>
    </row>
    <row r="1062" spans="1:17">
      <c r="A1062" s="788" t="s">
        <v>932</v>
      </c>
      <c r="B1062" s="187" t="s">
        <v>1842</v>
      </c>
      <c r="C1062" s="215">
        <v>0</v>
      </c>
      <c r="D1062" s="215">
        <v>458224</v>
      </c>
      <c r="F1062" s="215">
        <f t="shared" si="98"/>
        <v>458224</v>
      </c>
      <c r="G1062" s="215">
        <f t="shared" si="99"/>
        <v>458224</v>
      </c>
      <c r="H1062" s="680" t="s">
        <v>6153</v>
      </c>
      <c r="I1062" s="679"/>
      <c r="J1062" s="187" t="str">
        <f t="shared" si="103"/>
        <v>208-901</v>
      </c>
      <c r="K1062" s="187">
        <v>208</v>
      </c>
      <c r="L1062" s="187">
        <v>901</v>
      </c>
      <c r="M1062" s="187" t="str">
        <f t="shared" si="100"/>
        <v>208</v>
      </c>
      <c r="N1062" s="187">
        <f t="shared" si="101"/>
        <v>901</v>
      </c>
      <c r="O1062" s="187" t="str">
        <f t="shared" si="102"/>
        <v>208-901</v>
      </c>
      <c r="Q1062" s="679" t="s">
        <v>4322</v>
      </c>
    </row>
    <row r="1063" spans="1:17">
      <c r="A1063" s="788" t="s">
        <v>934</v>
      </c>
      <c r="B1063" s="187" t="s">
        <v>0</v>
      </c>
      <c r="C1063" s="215">
        <v>0</v>
      </c>
      <c r="D1063" s="215">
        <v>16387151</v>
      </c>
      <c r="F1063" s="215">
        <f t="shared" si="98"/>
        <v>16387151</v>
      </c>
      <c r="G1063" s="215">
        <f t="shared" si="99"/>
        <v>16387151</v>
      </c>
      <c r="H1063" s="680" t="s">
        <v>6153</v>
      </c>
      <c r="I1063" s="679"/>
      <c r="J1063" s="187" t="str">
        <f t="shared" si="103"/>
        <v>208-902</v>
      </c>
      <c r="K1063" s="187">
        <v>208</v>
      </c>
      <c r="L1063" s="187">
        <v>902</v>
      </c>
      <c r="M1063" s="187" t="str">
        <f t="shared" si="100"/>
        <v>208</v>
      </c>
      <c r="N1063" s="187">
        <f t="shared" si="101"/>
        <v>902</v>
      </c>
      <c r="O1063" s="187" t="str">
        <f t="shared" si="102"/>
        <v>208-902</v>
      </c>
      <c r="Q1063" s="679" t="s">
        <v>4323</v>
      </c>
    </row>
    <row r="1064" spans="1:17">
      <c r="A1064" s="788" t="s">
        <v>936</v>
      </c>
      <c r="B1064" s="187" t="s">
        <v>1</v>
      </c>
      <c r="C1064" s="215">
        <v>0</v>
      </c>
      <c r="D1064" s="215">
        <v>1418339</v>
      </c>
      <c r="F1064" s="215">
        <f t="shared" si="98"/>
        <v>1418339</v>
      </c>
      <c r="G1064" s="215">
        <f t="shared" si="99"/>
        <v>1418339</v>
      </c>
      <c r="H1064" s="680" t="s">
        <v>6153</v>
      </c>
      <c r="I1064" s="679"/>
      <c r="J1064" s="187" t="str">
        <f t="shared" si="103"/>
        <v>208-903</v>
      </c>
      <c r="K1064" s="187">
        <v>208</v>
      </c>
      <c r="L1064" s="187">
        <v>903</v>
      </c>
      <c r="M1064" s="187" t="str">
        <f t="shared" si="100"/>
        <v>208</v>
      </c>
      <c r="N1064" s="187">
        <f t="shared" si="101"/>
        <v>903</v>
      </c>
      <c r="O1064" s="187" t="str">
        <f t="shared" si="102"/>
        <v>208-903</v>
      </c>
      <c r="Q1064" s="679" t="s">
        <v>4324</v>
      </c>
    </row>
    <row r="1065" spans="1:17">
      <c r="A1065" s="788" t="s">
        <v>5145</v>
      </c>
      <c r="B1065" s="187" t="s">
        <v>2</v>
      </c>
      <c r="C1065" s="215">
        <v>170523</v>
      </c>
      <c r="D1065" s="215">
        <v>1803228</v>
      </c>
      <c r="F1065" s="215">
        <f t="shared" si="98"/>
        <v>1803228</v>
      </c>
      <c r="G1065" s="215">
        <f t="shared" si="99"/>
        <v>1973751</v>
      </c>
      <c r="H1065" s="680" t="s">
        <v>6153</v>
      </c>
      <c r="I1065" s="679"/>
      <c r="J1065" s="187" t="str">
        <f t="shared" si="103"/>
        <v>209-901</v>
      </c>
      <c r="K1065" s="187">
        <v>209</v>
      </c>
      <c r="L1065" s="187">
        <v>901</v>
      </c>
      <c r="M1065" s="187" t="str">
        <f t="shared" si="100"/>
        <v>209</v>
      </c>
      <c r="N1065" s="187">
        <f t="shared" si="101"/>
        <v>901</v>
      </c>
      <c r="O1065" s="187" t="str">
        <f t="shared" si="102"/>
        <v>209-901</v>
      </c>
      <c r="Q1065" s="679" t="s">
        <v>4325</v>
      </c>
    </row>
    <row r="1066" spans="1:17">
      <c r="A1066" s="788" t="s">
        <v>2950</v>
      </c>
      <c r="B1066" s="187" t="s">
        <v>3</v>
      </c>
      <c r="C1066" s="215">
        <v>0</v>
      </c>
      <c r="D1066" s="215">
        <v>422752</v>
      </c>
      <c r="F1066" s="215">
        <f t="shared" si="98"/>
        <v>422752</v>
      </c>
      <c r="G1066" s="215">
        <f t="shared" si="99"/>
        <v>422752</v>
      </c>
      <c r="H1066" s="680" t="s">
        <v>6153</v>
      </c>
      <c r="I1066" s="679"/>
      <c r="J1066" s="187" t="str">
        <f t="shared" si="103"/>
        <v>209-902</v>
      </c>
      <c r="K1066" s="187">
        <v>209</v>
      </c>
      <c r="L1066" s="187">
        <v>902</v>
      </c>
      <c r="M1066" s="187" t="str">
        <f t="shared" si="100"/>
        <v>209</v>
      </c>
      <c r="N1066" s="187">
        <f t="shared" si="101"/>
        <v>902</v>
      </c>
      <c r="O1066" s="187" t="str">
        <f t="shared" si="102"/>
        <v>209-902</v>
      </c>
      <c r="Q1066" s="679" t="s">
        <v>4326</v>
      </c>
    </row>
    <row r="1067" spans="1:17">
      <c r="A1067" s="788" t="s">
        <v>2952</v>
      </c>
      <c r="B1067" s="187" t="s">
        <v>4</v>
      </c>
      <c r="C1067" s="215">
        <v>399672</v>
      </c>
      <c r="D1067" s="215">
        <v>4354472</v>
      </c>
      <c r="F1067" s="215">
        <f t="shared" si="98"/>
        <v>4354472</v>
      </c>
      <c r="G1067" s="215">
        <f t="shared" si="99"/>
        <v>4754144</v>
      </c>
      <c r="H1067" s="680" t="s">
        <v>6153</v>
      </c>
      <c r="I1067" s="679"/>
      <c r="J1067" s="187" t="str">
        <f t="shared" si="103"/>
        <v>210-901</v>
      </c>
      <c r="K1067" s="187">
        <v>210</v>
      </c>
      <c r="L1067" s="187">
        <v>901</v>
      </c>
      <c r="M1067" s="187" t="str">
        <f t="shared" si="100"/>
        <v>210</v>
      </c>
      <c r="N1067" s="187">
        <f t="shared" si="101"/>
        <v>901</v>
      </c>
      <c r="O1067" s="187" t="str">
        <f t="shared" si="102"/>
        <v>210-901</v>
      </c>
      <c r="Q1067" s="679" t="s">
        <v>4327</v>
      </c>
    </row>
    <row r="1068" spans="1:17">
      <c r="A1068" s="788" t="s">
        <v>2526</v>
      </c>
      <c r="B1068" s="187" t="s">
        <v>5</v>
      </c>
      <c r="C1068" s="215">
        <v>122674</v>
      </c>
      <c r="D1068" s="215">
        <v>2641604</v>
      </c>
      <c r="F1068" s="215">
        <f t="shared" si="98"/>
        <v>2641604</v>
      </c>
      <c r="G1068" s="215">
        <f t="shared" si="99"/>
        <v>2764278</v>
      </c>
      <c r="H1068" s="680" t="s">
        <v>6153</v>
      </c>
      <c r="I1068" s="679"/>
      <c r="J1068" s="187" t="str">
        <f t="shared" si="103"/>
        <v>210-902</v>
      </c>
      <c r="K1068" s="187">
        <v>210</v>
      </c>
      <c r="L1068" s="187">
        <v>902</v>
      </c>
      <c r="M1068" s="187" t="str">
        <f t="shared" si="100"/>
        <v>210</v>
      </c>
      <c r="N1068" s="187">
        <f t="shared" si="101"/>
        <v>902</v>
      </c>
      <c r="O1068" s="187" t="str">
        <f t="shared" si="102"/>
        <v>210-902</v>
      </c>
      <c r="Q1068" s="679" t="s">
        <v>4328</v>
      </c>
    </row>
    <row r="1069" spans="1:17">
      <c r="A1069" s="788" t="s">
        <v>3885</v>
      </c>
      <c r="B1069" s="187" t="s">
        <v>1465</v>
      </c>
      <c r="C1069" s="215">
        <v>124917</v>
      </c>
      <c r="D1069" s="215">
        <v>1951076</v>
      </c>
      <c r="F1069" s="215">
        <f t="shared" si="98"/>
        <v>1951076</v>
      </c>
      <c r="G1069" s="215">
        <f t="shared" si="99"/>
        <v>2075993</v>
      </c>
      <c r="H1069" s="680" t="s">
        <v>6153</v>
      </c>
      <c r="I1069" s="679"/>
      <c r="J1069" s="187" t="str">
        <f t="shared" si="103"/>
        <v>210-903</v>
      </c>
      <c r="K1069" s="187">
        <v>210</v>
      </c>
      <c r="L1069" s="187">
        <v>903</v>
      </c>
      <c r="M1069" s="187" t="str">
        <f t="shared" si="100"/>
        <v>210</v>
      </c>
      <c r="N1069" s="187">
        <f t="shared" si="101"/>
        <v>903</v>
      </c>
      <c r="O1069" s="187" t="str">
        <f t="shared" si="102"/>
        <v>210-903</v>
      </c>
      <c r="Q1069" s="679" t="s">
        <v>4329</v>
      </c>
    </row>
    <row r="1070" spans="1:17">
      <c r="A1070" s="788" t="s">
        <v>2528</v>
      </c>
      <c r="B1070" s="187" t="s">
        <v>6</v>
      </c>
      <c r="C1070" s="215">
        <v>0</v>
      </c>
      <c r="D1070" s="215">
        <v>766501</v>
      </c>
      <c r="F1070" s="215">
        <f t="shared" si="98"/>
        <v>766501</v>
      </c>
      <c r="G1070" s="215">
        <f t="shared" si="99"/>
        <v>766501</v>
      </c>
      <c r="H1070" s="680" t="s">
        <v>6153</v>
      </c>
      <c r="I1070" s="679"/>
      <c r="J1070" s="187" t="str">
        <f t="shared" si="103"/>
        <v>210-904</v>
      </c>
      <c r="K1070" s="187">
        <v>210</v>
      </c>
      <c r="L1070" s="187">
        <v>904</v>
      </c>
      <c r="M1070" s="187" t="str">
        <f t="shared" si="100"/>
        <v>210</v>
      </c>
      <c r="N1070" s="187">
        <f t="shared" si="101"/>
        <v>904</v>
      </c>
      <c r="O1070" s="187" t="str">
        <f t="shared" si="102"/>
        <v>210-904</v>
      </c>
      <c r="Q1070" s="679" t="s">
        <v>4330</v>
      </c>
    </row>
    <row r="1071" spans="1:17">
      <c r="A1071" s="788" t="s">
        <v>2530</v>
      </c>
      <c r="B1071" s="187" t="s">
        <v>7</v>
      </c>
      <c r="C1071" s="215">
        <v>82668</v>
      </c>
      <c r="D1071" s="215">
        <v>1341339</v>
      </c>
      <c r="F1071" s="215">
        <f t="shared" si="98"/>
        <v>1341339</v>
      </c>
      <c r="G1071" s="215">
        <f t="shared" si="99"/>
        <v>1424007</v>
      </c>
      <c r="H1071" s="680" t="s">
        <v>6153</v>
      </c>
      <c r="I1071" s="679"/>
      <c r="J1071" s="187" t="str">
        <f t="shared" si="103"/>
        <v>210-905</v>
      </c>
      <c r="K1071" s="187">
        <v>210</v>
      </c>
      <c r="L1071" s="187">
        <v>905</v>
      </c>
      <c r="M1071" s="187" t="str">
        <f t="shared" si="100"/>
        <v>210</v>
      </c>
      <c r="N1071" s="187">
        <f t="shared" si="101"/>
        <v>905</v>
      </c>
      <c r="O1071" s="187" t="str">
        <f t="shared" si="102"/>
        <v>210-905</v>
      </c>
      <c r="Q1071" s="679" t="s">
        <v>4331</v>
      </c>
    </row>
    <row r="1072" spans="1:17">
      <c r="A1072" s="788" t="s">
        <v>2532</v>
      </c>
      <c r="B1072" s="187" t="s">
        <v>8</v>
      </c>
      <c r="C1072" s="215">
        <v>0</v>
      </c>
      <c r="D1072" s="215">
        <v>130776</v>
      </c>
      <c r="F1072" s="215">
        <f t="shared" si="98"/>
        <v>130776</v>
      </c>
      <c r="G1072" s="215">
        <f t="shared" si="99"/>
        <v>130776</v>
      </c>
      <c r="H1072" s="680" t="s">
        <v>6153</v>
      </c>
      <c r="I1072" s="679"/>
      <c r="J1072" s="187" t="str">
        <f t="shared" si="103"/>
        <v>210-906</v>
      </c>
      <c r="K1072" s="187">
        <v>210</v>
      </c>
      <c r="L1072" s="187">
        <v>906</v>
      </c>
      <c r="M1072" s="187" t="str">
        <f t="shared" si="100"/>
        <v>210</v>
      </c>
      <c r="N1072" s="187">
        <f t="shared" si="101"/>
        <v>906</v>
      </c>
      <c r="O1072" s="187" t="str">
        <f t="shared" si="102"/>
        <v>210-906</v>
      </c>
      <c r="Q1072" s="679" t="s">
        <v>4332</v>
      </c>
    </row>
    <row r="1073" spans="1:17">
      <c r="A1073" s="788" t="s">
        <v>2316</v>
      </c>
      <c r="B1073" s="187" t="s">
        <v>9</v>
      </c>
      <c r="C1073" s="215">
        <v>0</v>
      </c>
      <c r="D1073" s="215">
        <v>1247845</v>
      </c>
      <c r="F1073" s="215">
        <f t="shared" si="98"/>
        <v>1247845</v>
      </c>
      <c r="G1073" s="215">
        <f t="shared" si="99"/>
        <v>1247845</v>
      </c>
      <c r="H1073" s="680" t="s">
        <v>6153</v>
      </c>
      <c r="I1073" s="679"/>
      <c r="J1073" s="187" t="str">
        <f t="shared" si="103"/>
        <v>211-901</v>
      </c>
      <c r="K1073" s="187">
        <v>211</v>
      </c>
      <c r="L1073" s="187">
        <v>901</v>
      </c>
      <c r="M1073" s="187" t="str">
        <f t="shared" si="100"/>
        <v>211</v>
      </c>
      <c r="N1073" s="187">
        <f t="shared" si="101"/>
        <v>901</v>
      </c>
      <c r="O1073" s="187" t="str">
        <f t="shared" si="102"/>
        <v>211-901</v>
      </c>
      <c r="Q1073" s="679" t="s">
        <v>4333</v>
      </c>
    </row>
    <row r="1074" spans="1:17">
      <c r="A1074" s="788" t="s">
        <v>5105</v>
      </c>
      <c r="B1074" s="187" t="s">
        <v>10</v>
      </c>
      <c r="C1074" s="215">
        <v>237594</v>
      </c>
      <c r="D1074" s="215">
        <v>4535870</v>
      </c>
      <c r="F1074" s="215">
        <f t="shared" si="98"/>
        <v>4535870</v>
      </c>
      <c r="G1074" s="215">
        <f t="shared" si="99"/>
        <v>4773464</v>
      </c>
      <c r="H1074" s="680" t="s">
        <v>6153</v>
      </c>
      <c r="I1074" s="679"/>
      <c r="J1074" s="187" t="str">
        <f t="shared" si="103"/>
        <v>211-902</v>
      </c>
      <c r="K1074" s="187">
        <v>211</v>
      </c>
      <c r="L1074" s="187">
        <v>902</v>
      </c>
      <c r="M1074" s="187" t="str">
        <f t="shared" si="100"/>
        <v>211</v>
      </c>
      <c r="N1074" s="187">
        <f t="shared" si="101"/>
        <v>902</v>
      </c>
      <c r="O1074" s="187" t="str">
        <f t="shared" si="102"/>
        <v>211-902</v>
      </c>
      <c r="Q1074" s="679" t="s">
        <v>4334</v>
      </c>
    </row>
    <row r="1075" spans="1:17">
      <c r="A1075" s="788" t="s">
        <v>1191</v>
      </c>
      <c r="B1075" s="187" t="s">
        <v>1192</v>
      </c>
      <c r="C1075" s="215">
        <v>0</v>
      </c>
      <c r="D1075" s="215">
        <v>0</v>
      </c>
      <c r="F1075" s="215">
        <f t="shared" si="98"/>
        <v>0</v>
      </c>
      <c r="G1075" s="215">
        <f t="shared" si="99"/>
        <v>0</v>
      </c>
      <c r="H1075" s="680" t="s">
        <v>6153</v>
      </c>
      <c r="I1075" s="679"/>
      <c r="J1075" s="187" t="str">
        <f t="shared" si="103"/>
        <v>212-801</v>
      </c>
      <c r="K1075" s="187">
        <v>212</v>
      </c>
      <c r="L1075" s="187">
        <v>801</v>
      </c>
      <c r="M1075" s="187" t="str">
        <f t="shared" si="100"/>
        <v>212</v>
      </c>
      <c r="N1075" s="187">
        <f t="shared" si="101"/>
        <v>801</v>
      </c>
      <c r="O1075" s="187" t="str">
        <f t="shared" si="102"/>
        <v>212-801</v>
      </c>
      <c r="Q1075" s="679" t="s">
        <v>6470</v>
      </c>
    </row>
    <row r="1076" spans="1:17">
      <c r="A1076" s="788" t="s">
        <v>5107</v>
      </c>
      <c r="B1076" s="187" t="s">
        <v>1193</v>
      </c>
      <c r="C1076" s="215">
        <v>0</v>
      </c>
      <c r="D1076" s="215">
        <v>0</v>
      </c>
      <c r="F1076" s="215">
        <f t="shared" si="98"/>
        <v>0</v>
      </c>
      <c r="G1076" s="215">
        <f t="shared" si="99"/>
        <v>0</v>
      </c>
      <c r="H1076" s="680" t="s">
        <v>6153</v>
      </c>
      <c r="I1076" s="679"/>
      <c r="J1076" s="187" t="str">
        <f t="shared" si="103"/>
        <v>212-802</v>
      </c>
      <c r="K1076" s="187">
        <v>212</v>
      </c>
      <c r="L1076" s="187">
        <v>802</v>
      </c>
      <c r="M1076" s="187" t="str">
        <f t="shared" si="100"/>
        <v>212</v>
      </c>
      <c r="N1076" s="187">
        <f t="shared" si="101"/>
        <v>802</v>
      </c>
      <c r="O1076" s="187" t="str">
        <f t="shared" si="102"/>
        <v>212-802</v>
      </c>
      <c r="Q1076" s="679" t="s">
        <v>6471</v>
      </c>
    </row>
    <row r="1077" spans="1:17">
      <c r="A1077" s="788" t="s">
        <v>3380</v>
      </c>
      <c r="B1077" s="187" t="s">
        <v>3381</v>
      </c>
      <c r="C1077" s="215">
        <v>0</v>
      </c>
      <c r="D1077" s="215">
        <v>0</v>
      </c>
      <c r="F1077" s="215">
        <f t="shared" si="98"/>
        <v>0</v>
      </c>
      <c r="G1077" s="215">
        <f t="shared" si="99"/>
        <v>0</v>
      </c>
      <c r="H1077" s="680" t="s">
        <v>6153</v>
      </c>
      <c r="I1077" s="679"/>
      <c r="J1077" s="187" t="str">
        <f t="shared" si="103"/>
        <v>212-803</v>
      </c>
      <c r="K1077" s="187">
        <v>212</v>
      </c>
      <c r="L1077" s="187">
        <v>803</v>
      </c>
      <c r="M1077" s="187" t="str">
        <f t="shared" si="100"/>
        <v>212</v>
      </c>
      <c r="N1077" s="187">
        <f t="shared" si="101"/>
        <v>803</v>
      </c>
      <c r="O1077" s="187" t="str">
        <f t="shared" si="102"/>
        <v>212-803</v>
      </c>
      <c r="Q1077" s="679" t="s">
        <v>6472</v>
      </c>
    </row>
    <row r="1078" spans="1:17">
      <c r="A1078" s="788" t="s">
        <v>5036</v>
      </c>
      <c r="B1078" s="187" t="s">
        <v>7689</v>
      </c>
      <c r="C1078" s="215">
        <v>79729</v>
      </c>
      <c r="D1078" s="215">
        <v>3969361</v>
      </c>
      <c r="F1078" s="215">
        <f t="shared" si="98"/>
        <v>3969361</v>
      </c>
      <c r="G1078" s="215">
        <f t="shared" si="99"/>
        <v>4049090</v>
      </c>
      <c r="H1078" s="680" t="s">
        <v>6153</v>
      </c>
      <c r="I1078" s="679"/>
      <c r="J1078" s="187" t="str">
        <f t="shared" si="103"/>
        <v>212-901</v>
      </c>
      <c r="K1078" s="187">
        <v>212</v>
      </c>
      <c r="L1078" s="187">
        <v>901</v>
      </c>
      <c r="M1078" s="187" t="str">
        <f t="shared" si="100"/>
        <v>212</v>
      </c>
      <c r="N1078" s="187">
        <f t="shared" si="101"/>
        <v>901</v>
      </c>
      <c r="O1078" s="187" t="str">
        <f t="shared" si="102"/>
        <v>212-901</v>
      </c>
      <c r="Q1078" s="679" t="s">
        <v>4335</v>
      </c>
    </row>
    <row r="1079" spans="1:17">
      <c r="A1079" s="788" t="s">
        <v>2430</v>
      </c>
      <c r="B1079" s="187" t="s">
        <v>11</v>
      </c>
      <c r="C1079" s="215">
        <v>945858</v>
      </c>
      <c r="D1079" s="215">
        <v>5839804</v>
      </c>
      <c r="F1079" s="215">
        <f t="shared" si="98"/>
        <v>5839804</v>
      </c>
      <c r="G1079" s="215">
        <f t="shared" si="99"/>
        <v>6785662</v>
      </c>
      <c r="H1079" s="680" t="s">
        <v>6153</v>
      </c>
      <c r="I1079" s="679"/>
      <c r="J1079" s="187" t="str">
        <f t="shared" si="103"/>
        <v>212-902</v>
      </c>
      <c r="K1079" s="187">
        <v>212</v>
      </c>
      <c r="L1079" s="187">
        <v>902</v>
      </c>
      <c r="M1079" s="187" t="str">
        <f t="shared" si="100"/>
        <v>212</v>
      </c>
      <c r="N1079" s="187">
        <f t="shared" si="101"/>
        <v>902</v>
      </c>
      <c r="O1079" s="187" t="str">
        <f t="shared" si="102"/>
        <v>212-902</v>
      </c>
      <c r="Q1079" s="679" t="s">
        <v>4336</v>
      </c>
    </row>
    <row r="1080" spans="1:17">
      <c r="A1080" s="788" t="s">
        <v>2432</v>
      </c>
      <c r="B1080" s="187" t="s">
        <v>12</v>
      </c>
      <c r="C1080" s="215">
        <v>1457224</v>
      </c>
      <c r="D1080" s="215">
        <v>9767969</v>
      </c>
      <c r="F1080" s="215">
        <f t="shared" si="98"/>
        <v>9767969</v>
      </c>
      <c r="G1080" s="215">
        <f t="shared" si="99"/>
        <v>11225193</v>
      </c>
      <c r="H1080" s="680" t="s">
        <v>6153</v>
      </c>
      <c r="I1080" s="679"/>
      <c r="J1080" s="187" t="str">
        <f t="shared" si="103"/>
        <v>212-903</v>
      </c>
      <c r="K1080" s="187">
        <v>212</v>
      </c>
      <c r="L1080" s="187">
        <v>903</v>
      </c>
      <c r="M1080" s="187" t="str">
        <f t="shared" si="100"/>
        <v>212</v>
      </c>
      <c r="N1080" s="187">
        <f t="shared" si="101"/>
        <v>903</v>
      </c>
      <c r="O1080" s="187" t="str">
        <f t="shared" si="102"/>
        <v>212-903</v>
      </c>
      <c r="Q1080" s="679" t="s">
        <v>4337</v>
      </c>
    </row>
    <row r="1081" spans="1:17">
      <c r="A1081" s="788" t="s">
        <v>5339</v>
      </c>
      <c r="B1081" s="187" t="s">
        <v>13</v>
      </c>
      <c r="C1081" s="215">
        <v>79830</v>
      </c>
      <c r="D1081" s="215">
        <v>2548813</v>
      </c>
      <c r="F1081" s="215">
        <f t="shared" si="98"/>
        <v>2548813</v>
      </c>
      <c r="G1081" s="215">
        <f t="shared" si="99"/>
        <v>2628643</v>
      </c>
      <c r="H1081" s="680" t="s">
        <v>6153</v>
      </c>
      <c r="I1081" s="679"/>
      <c r="J1081" s="187" t="str">
        <f t="shared" si="103"/>
        <v>212-904</v>
      </c>
      <c r="K1081" s="187">
        <v>212</v>
      </c>
      <c r="L1081" s="187">
        <v>904</v>
      </c>
      <c r="M1081" s="187" t="str">
        <f t="shared" si="100"/>
        <v>212</v>
      </c>
      <c r="N1081" s="187">
        <f t="shared" si="101"/>
        <v>904</v>
      </c>
      <c r="O1081" s="187" t="str">
        <f t="shared" si="102"/>
        <v>212-904</v>
      </c>
      <c r="Q1081" s="679" t="s">
        <v>4338</v>
      </c>
    </row>
    <row r="1082" spans="1:17">
      <c r="A1082" s="788" t="s">
        <v>5341</v>
      </c>
      <c r="B1082" s="187" t="s">
        <v>14</v>
      </c>
      <c r="C1082" s="215">
        <v>2148415</v>
      </c>
      <c r="D1082" s="215">
        <v>73241203</v>
      </c>
      <c r="F1082" s="215">
        <f t="shared" si="98"/>
        <v>73241203</v>
      </c>
      <c r="G1082" s="215">
        <f t="shared" si="99"/>
        <v>75389618</v>
      </c>
      <c r="H1082" s="680" t="s">
        <v>6153</v>
      </c>
      <c r="I1082" s="679"/>
      <c r="J1082" s="187" t="str">
        <f t="shared" si="103"/>
        <v>212-905</v>
      </c>
      <c r="K1082" s="187">
        <v>212</v>
      </c>
      <c r="L1082" s="187">
        <v>905</v>
      </c>
      <c r="M1082" s="187" t="str">
        <f t="shared" si="100"/>
        <v>212</v>
      </c>
      <c r="N1082" s="187">
        <f t="shared" si="101"/>
        <v>905</v>
      </c>
      <c r="O1082" s="187" t="str">
        <f t="shared" si="102"/>
        <v>212-905</v>
      </c>
      <c r="Q1082" s="679" t="s">
        <v>4339</v>
      </c>
    </row>
    <row r="1083" spans="1:17">
      <c r="A1083" s="788" t="s">
        <v>858</v>
      </c>
      <c r="B1083" s="187" t="s">
        <v>4070</v>
      </c>
      <c r="C1083" s="215">
        <v>1490184</v>
      </c>
      <c r="D1083" s="215">
        <v>14568595</v>
      </c>
      <c r="F1083" s="215">
        <f t="shared" si="98"/>
        <v>14568595</v>
      </c>
      <c r="G1083" s="215">
        <f t="shared" si="99"/>
        <v>16058779</v>
      </c>
      <c r="H1083" s="680" t="s">
        <v>6153</v>
      </c>
      <c r="I1083" s="679"/>
      <c r="J1083" s="187" t="str">
        <f t="shared" si="103"/>
        <v>212-906</v>
      </c>
      <c r="K1083" s="187">
        <v>212</v>
      </c>
      <c r="L1083" s="187">
        <v>906</v>
      </c>
      <c r="M1083" s="187" t="str">
        <f t="shared" si="100"/>
        <v>212</v>
      </c>
      <c r="N1083" s="187">
        <f t="shared" si="101"/>
        <v>906</v>
      </c>
      <c r="O1083" s="187" t="str">
        <f t="shared" si="102"/>
        <v>212-906</v>
      </c>
      <c r="Q1083" s="679" t="s">
        <v>4340</v>
      </c>
    </row>
    <row r="1084" spans="1:17">
      <c r="A1084" s="788" t="s">
        <v>5343</v>
      </c>
      <c r="B1084" s="187" t="s">
        <v>6106</v>
      </c>
      <c r="C1084" s="215">
        <v>782531</v>
      </c>
      <c r="D1084" s="215">
        <v>10073870</v>
      </c>
      <c r="F1084" s="215">
        <f t="shared" si="98"/>
        <v>10073870</v>
      </c>
      <c r="G1084" s="215">
        <f t="shared" si="99"/>
        <v>10856401</v>
      </c>
      <c r="H1084" s="680" t="s">
        <v>6153</v>
      </c>
      <c r="I1084" s="679"/>
      <c r="J1084" s="187" t="str">
        <f t="shared" si="103"/>
        <v>212-909</v>
      </c>
      <c r="K1084" s="187">
        <v>212</v>
      </c>
      <c r="L1084" s="187">
        <v>909</v>
      </c>
      <c r="M1084" s="187" t="str">
        <f t="shared" si="100"/>
        <v>212</v>
      </c>
      <c r="N1084" s="187">
        <f t="shared" si="101"/>
        <v>909</v>
      </c>
      <c r="O1084" s="187" t="str">
        <f t="shared" si="102"/>
        <v>212-909</v>
      </c>
      <c r="Q1084" s="679" t="s">
        <v>4341</v>
      </c>
    </row>
    <row r="1085" spans="1:17">
      <c r="A1085" s="788" t="s">
        <v>5344</v>
      </c>
      <c r="B1085" s="187" t="s">
        <v>15</v>
      </c>
      <c r="C1085" s="215">
        <v>172290</v>
      </c>
      <c r="D1085" s="215">
        <v>3453175</v>
      </c>
      <c r="F1085" s="215">
        <f t="shared" si="98"/>
        <v>3453175</v>
      </c>
      <c r="G1085" s="215">
        <f t="shared" si="99"/>
        <v>3625465</v>
      </c>
      <c r="H1085" s="680" t="s">
        <v>6153</v>
      </c>
      <c r="I1085" s="679"/>
      <c r="J1085" s="187" t="str">
        <f t="shared" si="103"/>
        <v>212-910</v>
      </c>
      <c r="K1085" s="187">
        <v>212</v>
      </c>
      <c r="L1085" s="187">
        <v>910</v>
      </c>
      <c r="M1085" s="187" t="str">
        <f t="shared" si="100"/>
        <v>212</v>
      </c>
      <c r="N1085" s="187">
        <f t="shared" si="101"/>
        <v>910</v>
      </c>
      <c r="O1085" s="187" t="str">
        <f t="shared" si="102"/>
        <v>212-910</v>
      </c>
      <c r="Q1085" s="679" t="s">
        <v>4342</v>
      </c>
    </row>
    <row r="1086" spans="1:17">
      <c r="A1086" s="788" t="s">
        <v>3382</v>
      </c>
      <c r="B1086" s="187" t="s">
        <v>3383</v>
      </c>
      <c r="C1086" s="215">
        <v>0</v>
      </c>
      <c r="D1086" s="215">
        <v>0</v>
      </c>
      <c r="F1086" s="215">
        <f t="shared" si="98"/>
        <v>0</v>
      </c>
      <c r="G1086" s="215">
        <f t="shared" si="99"/>
        <v>0</v>
      </c>
      <c r="H1086" s="680" t="s">
        <v>6153</v>
      </c>
      <c r="I1086" s="679"/>
      <c r="J1086" s="187" t="str">
        <f t="shared" si="103"/>
        <v>213-801</v>
      </c>
      <c r="K1086" s="187">
        <v>213</v>
      </c>
      <c r="L1086" s="187">
        <v>801</v>
      </c>
      <c r="M1086" s="187" t="str">
        <f t="shared" si="100"/>
        <v>213</v>
      </c>
      <c r="N1086" s="187">
        <f t="shared" si="101"/>
        <v>801</v>
      </c>
      <c r="O1086" s="187" t="str">
        <f t="shared" si="102"/>
        <v>213-801</v>
      </c>
      <c r="Q1086" s="679" t="s">
        <v>6473</v>
      </c>
    </row>
    <row r="1087" spans="1:17">
      <c r="A1087" s="788" t="s">
        <v>5346</v>
      </c>
      <c r="B1087" s="187" t="s">
        <v>16</v>
      </c>
      <c r="C1087" s="215">
        <v>1429325</v>
      </c>
      <c r="D1087" s="215">
        <v>19999976</v>
      </c>
      <c r="F1087" s="215">
        <f t="shared" si="98"/>
        <v>19999976</v>
      </c>
      <c r="G1087" s="215">
        <f t="shared" si="99"/>
        <v>21429301</v>
      </c>
      <c r="H1087" s="680" t="s">
        <v>6153</v>
      </c>
      <c r="I1087" s="679"/>
      <c r="J1087" s="187" t="str">
        <f t="shared" si="103"/>
        <v>213-901</v>
      </c>
      <c r="K1087" s="187">
        <v>213</v>
      </c>
      <c r="L1087" s="187">
        <v>901</v>
      </c>
      <c r="M1087" s="187" t="str">
        <f t="shared" si="100"/>
        <v>213</v>
      </c>
      <c r="N1087" s="187">
        <f t="shared" si="101"/>
        <v>901</v>
      </c>
      <c r="O1087" s="187" t="str">
        <f t="shared" si="102"/>
        <v>213-901</v>
      </c>
      <c r="Q1087" s="679" t="s">
        <v>4343</v>
      </c>
    </row>
    <row r="1088" spans="1:17">
      <c r="A1088" s="788" t="s">
        <v>2770</v>
      </c>
      <c r="B1088" s="187" t="s">
        <v>360</v>
      </c>
      <c r="C1088" s="215">
        <v>870014</v>
      </c>
      <c r="D1088" s="215">
        <v>11368793</v>
      </c>
      <c r="E1088" s="215">
        <v>123694</v>
      </c>
      <c r="F1088" s="215">
        <f t="shared" si="98"/>
        <v>11492487</v>
      </c>
      <c r="G1088" s="215">
        <f t="shared" si="99"/>
        <v>12362501</v>
      </c>
      <c r="H1088" s="680" t="s">
        <v>6153</v>
      </c>
      <c r="I1088" s="679"/>
      <c r="J1088" s="187" t="str">
        <f t="shared" si="103"/>
        <v>214-901</v>
      </c>
      <c r="K1088" s="187">
        <v>214</v>
      </c>
      <c r="L1088" s="187">
        <v>901</v>
      </c>
      <c r="M1088" s="187" t="str">
        <f t="shared" si="100"/>
        <v>214</v>
      </c>
      <c r="N1088" s="187">
        <f t="shared" si="101"/>
        <v>901</v>
      </c>
      <c r="O1088" s="187" t="str">
        <f t="shared" si="102"/>
        <v>214-901</v>
      </c>
      <c r="Q1088" s="679" t="s">
        <v>4344</v>
      </c>
    </row>
    <row r="1089" spans="1:17">
      <c r="A1089" s="788" t="s">
        <v>5348</v>
      </c>
      <c r="B1089" s="187" t="s">
        <v>1718</v>
      </c>
      <c r="C1089" s="215">
        <v>0</v>
      </c>
      <c r="D1089" s="215">
        <v>4163915</v>
      </c>
      <c r="F1089" s="215">
        <f t="shared" si="98"/>
        <v>4163915</v>
      </c>
      <c r="G1089" s="215">
        <f t="shared" si="99"/>
        <v>4163915</v>
      </c>
      <c r="H1089" s="680" t="s">
        <v>6153</v>
      </c>
      <c r="I1089" s="679"/>
      <c r="J1089" s="187" t="str">
        <f t="shared" si="103"/>
        <v>214-902</v>
      </c>
      <c r="K1089" s="187">
        <v>214</v>
      </c>
      <c r="L1089" s="187">
        <v>902</v>
      </c>
      <c r="M1089" s="187" t="str">
        <f t="shared" si="100"/>
        <v>214</v>
      </c>
      <c r="N1089" s="187">
        <f t="shared" si="101"/>
        <v>902</v>
      </c>
      <c r="O1089" s="187" t="str">
        <f t="shared" si="102"/>
        <v>214-902</v>
      </c>
      <c r="Q1089" s="679" t="s">
        <v>4345</v>
      </c>
    </row>
    <row r="1090" spans="1:17">
      <c r="A1090" s="788" t="s">
        <v>3886</v>
      </c>
      <c r="B1090" s="187" t="s">
        <v>368</v>
      </c>
      <c r="C1090" s="215">
        <v>388909</v>
      </c>
      <c r="D1090" s="215">
        <v>5114669</v>
      </c>
      <c r="F1090" s="215">
        <f t="shared" si="98"/>
        <v>5114669</v>
      </c>
      <c r="G1090" s="215">
        <f t="shared" si="99"/>
        <v>5503578</v>
      </c>
      <c r="H1090" s="680" t="s">
        <v>6153</v>
      </c>
      <c r="I1090" s="679"/>
      <c r="J1090" s="187" t="str">
        <f t="shared" si="103"/>
        <v>214-903</v>
      </c>
      <c r="K1090" s="187">
        <v>214</v>
      </c>
      <c r="L1090" s="187">
        <v>903</v>
      </c>
      <c r="M1090" s="187" t="str">
        <f t="shared" si="100"/>
        <v>214</v>
      </c>
      <c r="N1090" s="187">
        <f t="shared" si="101"/>
        <v>903</v>
      </c>
      <c r="O1090" s="187" t="str">
        <f t="shared" si="102"/>
        <v>214-903</v>
      </c>
      <c r="Q1090" s="679" t="s">
        <v>4346</v>
      </c>
    </row>
    <row r="1091" spans="1:17">
      <c r="A1091" s="788" t="s">
        <v>5350</v>
      </c>
      <c r="B1091" s="187" t="s">
        <v>1719</v>
      </c>
      <c r="C1091" s="215">
        <v>0</v>
      </c>
      <c r="D1091" s="215">
        <v>5383746</v>
      </c>
      <c r="F1091" s="215">
        <f t="shared" si="98"/>
        <v>5383746</v>
      </c>
      <c r="G1091" s="215">
        <f t="shared" si="99"/>
        <v>5383746</v>
      </c>
      <c r="H1091" s="680" t="s">
        <v>6153</v>
      </c>
      <c r="I1091" s="679"/>
      <c r="J1091" s="187" t="str">
        <f t="shared" si="103"/>
        <v>215-901</v>
      </c>
      <c r="K1091" s="187">
        <v>215</v>
      </c>
      <c r="L1091" s="187">
        <v>901</v>
      </c>
      <c r="M1091" s="187" t="str">
        <f t="shared" si="100"/>
        <v>215</v>
      </c>
      <c r="N1091" s="187">
        <f t="shared" si="101"/>
        <v>901</v>
      </c>
      <c r="O1091" s="187" t="str">
        <f t="shared" si="102"/>
        <v>215-901</v>
      </c>
      <c r="Q1091" s="679" t="s">
        <v>4347</v>
      </c>
    </row>
    <row r="1092" spans="1:17">
      <c r="A1092" s="788" t="s">
        <v>3139</v>
      </c>
      <c r="B1092" s="187" t="s">
        <v>1720</v>
      </c>
      <c r="C1092" s="215">
        <v>0</v>
      </c>
      <c r="D1092" s="215">
        <v>5176996</v>
      </c>
      <c r="F1092" s="215">
        <f t="shared" ref="F1092:F1155" si="104">D1092+E1092</f>
        <v>5176996</v>
      </c>
      <c r="G1092" s="215">
        <f t="shared" ref="G1092:G1155" si="105">F1092+C1092</f>
        <v>5176996</v>
      </c>
      <c r="H1092" s="680" t="s">
        <v>6153</v>
      </c>
      <c r="I1092" s="679"/>
      <c r="J1092" s="187" t="str">
        <f t="shared" si="103"/>
        <v>216-901</v>
      </c>
      <c r="K1092" s="187">
        <v>216</v>
      </c>
      <c r="L1092" s="187">
        <v>901</v>
      </c>
      <c r="M1092" s="187" t="str">
        <f t="shared" ref="M1092:M1155" si="106">+I1092&amp;K1092</f>
        <v>216</v>
      </c>
      <c r="N1092" s="187">
        <f t="shared" ref="N1092:N1155" si="107">+L1092</f>
        <v>901</v>
      </c>
      <c r="O1092" s="187" t="str">
        <f t="shared" ref="O1092:O1155" si="108">+M1092&amp;"-"&amp;N1092</f>
        <v>216-901</v>
      </c>
      <c r="Q1092" s="679" t="s">
        <v>4348</v>
      </c>
    </row>
    <row r="1093" spans="1:17">
      <c r="A1093" s="788" t="s">
        <v>1530</v>
      </c>
      <c r="B1093" s="187" t="s">
        <v>1721</v>
      </c>
      <c r="C1093" s="215">
        <v>0</v>
      </c>
      <c r="D1093" s="215">
        <v>1471907</v>
      </c>
      <c r="F1093" s="215">
        <f t="shared" si="104"/>
        <v>1471907</v>
      </c>
      <c r="G1093" s="215">
        <f t="shared" si="105"/>
        <v>1471907</v>
      </c>
      <c r="H1093" s="680" t="s">
        <v>6153</v>
      </c>
      <c r="I1093" s="679"/>
      <c r="J1093" s="187" t="str">
        <f t="shared" si="103"/>
        <v>217-901</v>
      </c>
      <c r="K1093" s="187">
        <v>217</v>
      </c>
      <c r="L1093" s="187">
        <v>901</v>
      </c>
      <c r="M1093" s="187" t="str">
        <f t="shared" si="106"/>
        <v>217</v>
      </c>
      <c r="N1093" s="187">
        <f t="shared" si="107"/>
        <v>901</v>
      </c>
      <c r="O1093" s="187" t="str">
        <f t="shared" si="108"/>
        <v>217-901</v>
      </c>
      <c r="Q1093" s="679" t="s">
        <v>4349</v>
      </c>
    </row>
    <row r="1094" spans="1:17">
      <c r="A1094" s="788" t="s">
        <v>1532</v>
      </c>
      <c r="B1094" s="187" t="s">
        <v>1722</v>
      </c>
      <c r="C1094" s="215">
        <v>829939</v>
      </c>
      <c r="D1094" s="215">
        <v>12928015</v>
      </c>
      <c r="F1094" s="215">
        <f t="shared" si="104"/>
        <v>12928015</v>
      </c>
      <c r="G1094" s="215">
        <f t="shared" si="105"/>
        <v>13757954</v>
      </c>
      <c r="H1094" s="680" t="s">
        <v>6153</v>
      </c>
      <c r="I1094" s="679"/>
      <c r="J1094" s="187" t="str">
        <f t="shared" si="103"/>
        <v>218-901</v>
      </c>
      <c r="K1094" s="187">
        <v>218</v>
      </c>
      <c r="L1094" s="187">
        <v>901</v>
      </c>
      <c r="M1094" s="187" t="str">
        <f t="shared" si="106"/>
        <v>218</v>
      </c>
      <c r="N1094" s="187">
        <f t="shared" si="107"/>
        <v>901</v>
      </c>
      <c r="O1094" s="187" t="str">
        <f t="shared" si="108"/>
        <v>218-901</v>
      </c>
      <c r="Q1094" s="679" t="s">
        <v>4350</v>
      </c>
    </row>
    <row r="1095" spans="1:17">
      <c r="A1095" s="788" t="s">
        <v>624</v>
      </c>
      <c r="B1095" s="187" t="s">
        <v>1723</v>
      </c>
      <c r="C1095" s="215">
        <v>0</v>
      </c>
      <c r="D1095" s="215">
        <v>826864</v>
      </c>
      <c r="F1095" s="215">
        <f t="shared" si="104"/>
        <v>826864</v>
      </c>
      <c r="G1095" s="215">
        <f t="shared" si="105"/>
        <v>826864</v>
      </c>
      <c r="H1095" s="680" t="s">
        <v>6153</v>
      </c>
      <c r="I1095" s="679"/>
      <c r="J1095" s="187" t="str">
        <f t="shared" si="103"/>
        <v>219-901</v>
      </c>
      <c r="K1095" s="187">
        <v>219</v>
      </c>
      <c r="L1095" s="187">
        <v>901</v>
      </c>
      <c r="M1095" s="187" t="str">
        <f t="shared" si="106"/>
        <v>219</v>
      </c>
      <c r="N1095" s="187">
        <f t="shared" si="107"/>
        <v>901</v>
      </c>
      <c r="O1095" s="187" t="str">
        <f t="shared" si="108"/>
        <v>219-901</v>
      </c>
      <c r="Q1095" s="679" t="s">
        <v>4351</v>
      </c>
    </row>
    <row r="1096" spans="1:17">
      <c r="A1096" s="788" t="s">
        <v>626</v>
      </c>
      <c r="B1096" s="187" t="s">
        <v>1724</v>
      </c>
      <c r="C1096" s="215">
        <v>0</v>
      </c>
      <c r="D1096" s="215">
        <v>1780254</v>
      </c>
      <c r="F1096" s="215">
        <f t="shared" si="104"/>
        <v>1780254</v>
      </c>
      <c r="G1096" s="215">
        <f t="shared" si="105"/>
        <v>1780254</v>
      </c>
      <c r="H1096" s="680" t="s">
        <v>6153</v>
      </c>
      <c r="I1096" s="679"/>
      <c r="J1096" s="187" t="str">
        <f t="shared" si="103"/>
        <v>219-903</v>
      </c>
      <c r="K1096" s="187">
        <v>219</v>
      </c>
      <c r="L1096" s="187">
        <v>903</v>
      </c>
      <c r="M1096" s="187" t="str">
        <f t="shared" si="106"/>
        <v>219</v>
      </c>
      <c r="N1096" s="187">
        <f t="shared" si="107"/>
        <v>903</v>
      </c>
      <c r="O1096" s="187" t="str">
        <f t="shared" si="108"/>
        <v>219-903</v>
      </c>
      <c r="Q1096" s="679" t="s">
        <v>4352</v>
      </c>
    </row>
    <row r="1097" spans="1:17">
      <c r="A1097" s="788" t="s">
        <v>628</v>
      </c>
      <c r="B1097" s="187" t="s">
        <v>1725</v>
      </c>
      <c r="C1097" s="215">
        <v>0</v>
      </c>
      <c r="D1097" s="215">
        <v>781471</v>
      </c>
      <c r="F1097" s="215">
        <f t="shared" si="104"/>
        <v>781471</v>
      </c>
      <c r="G1097" s="215">
        <f t="shared" si="105"/>
        <v>781471</v>
      </c>
      <c r="H1097" s="680" t="s">
        <v>6153</v>
      </c>
      <c r="I1097" s="679"/>
      <c r="J1097" s="187" t="str">
        <f t="shared" si="103"/>
        <v>219-905</v>
      </c>
      <c r="K1097" s="187">
        <v>219</v>
      </c>
      <c r="L1097" s="187">
        <v>905</v>
      </c>
      <c r="M1097" s="187" t="str">
        <f t="shared" si="106"/>
        <v>219</v>
      </c>
      <c r="N1097" s="187">
        <f t="shared" si="107"/>
        <v>905</v>
      </c>
      <c r="O1097" s="187" t="str">
        <f t="shared" si="108"/>
        <v>219-905</v>
      </c>
      <c r="Q1097" s="679" t="s">
        <v>4353</v>
      </c>
    </row>
    <row r="1098" spans="1:17">
      <c r="A1098" s="788" t="s">
        <v>630</v>
      </c>
      <c r="B1098" s="187" t="s">
        <v>3384</v>
      </c>
      <c r="C1098" s="215">
        <v>0</v>
      </c>
      <c r="D1098" s="215">
        <v>0</v>
      </c>
      <c r="F1098" s="215">
        <f t="shared" si="104"/>
        <v>0</v>
      </c>
      <c r="G1098" s="215">
        <f t="shared" si="105"/>
        <v>0</v>
      </c>
      <c r="H1098" s="680" t="s">
        <v>6153</v>
      </c>
      <c r="I1098" s="679"/>
      <c r="J1098" s="187" t="str">
        <f t="shared" si="103"/>
        <v>220-801</v>
      </c>
      <c r="K1098" s="187">
        <v>220</v>
      </c>
      <c r="L1098" s="187">
        <v>801</v>
      </c>
      <c r="M1098" s="187" t="str">
        <f t="shared" si="106"/>
        <v>220</v>
      </c>
      <c r="N1098" s="187">
        <f t="shared" si="107"/>
        <v>801</v>
      </c>
      <c r="O1098" s="187" t="str">
        <f t="shared" si="108"/>
        <v>220-801</v>
      </c>
      <c r="Q1098" s="679" t="s">
        <v>6474</v>
      </c>
    </row>
    <row r="1099" spans="1:17">
      <c r="A1099" s="788" t="s">
        <v>3184</v>
      </c>
      <c r="B1099" s="187" t="s">
        <v>3385</v>
      </c>
      <c r="C1099" s="215">
        <v>0</v>
      </c>
      <c r="D1099" s="215">
        <v>0</v>
      </c>
      <c r="F1099" s="215">
        <f t="shared" si="104"/>
        <v>0</v>
      </c>
      <c r="G1099" s="215">
        <f t="shared" si="105"/>
        <v>0</v>
      </c>
      <c r="H1099" s="680" t="s">
        <v>6153</v>
      </c>
      <c r="I1099" s="679"/>
      <c r="J1099" s="187" t="str">
        <f t="shared" si="103"/>
        <v>220-802</v>
      </c>
      <c r="K1099" s="187">
        <v>220</v>
      </c>
      <c r="L1099" s="187">
        <v>802</v>
      </c>
      <c r="M1099" s="187" t="str">
        <f t="shared" si="106"/>
        <v>220</v>
      </c>
      <c r="N1099" s="187">
        <f t="shared" si="107"/>
        <v>802</v>
      </c>
      <c r="O1099" s="187" t="str">
        <f t="shared" si="108"/>
        <v>220-802</v>
      </c>
      <c r="Q1099" s="679" t="s">
        <v>6475</v>
      </c>
    </row>
    <row r="1100" spans="1:17">
      <c r="A1100" s="788" t="s">
        <v>2790</v>
      </c>
      <c r="B1100" s="187" t="s">
        <v>3386</v>
      </c>
      <c r="C1100" s="215">
        <v>0</v>
      </c>
      <c r="D1100" s="215">
        <v>0</v>
      </c>
      <c r="F1100" s="215">
        <f t="shared" si="104"/>
        <v>0</v>
      </c>
      <c r="G1100" s="215">
        <f t="shared" si="105"/>
        <v>0</v>
      </c>
      <c r="H1100" s="680" t="s">
        <v>6153</v>
      </c>
      <c r="I1100" s="679"/>
      <c r="J1100" s="187" t="str">
        <f t="shared" si="103"/>
        <v>220-803</v>
      </c>
      <c r="K1100" s="187">
        <v>220</v>
      </c>
      <c r="L1100" s="187">
        <v>803</v>
      </c>
      <c r="M1100" s="187" t="str">
        <f t="shared" si="106"/>
        <v>220</v>
      </c>
      <c r="N1100" s="187">
        <f t="shared" si="107"/>
        <v>803</v>
      </c>
      <c r="O1100" s="187" t="str">
        <f t="shared" si="108"/>
        <v>220-803</v>
      </c>
      <c r="Q1100" s="679" t="s">
        <v>6476</v>
      </c>
    </row>
    <row r="1101" spans="1:17">
      <c r="A1101" s="788" t="s">
        <v>3387</v>
      </c>
      <c r="B1101" s="187" t="s">
        <v>3388</v>
      </c>
      <c r="C1101" s="215">
        <v>0</v>
      </c>
      <c r="D1101" s="215">
        <v>0</v>
      </c>
      <c r="F1101" s="215">
        <f t="shared" si="104"/>
        <v>0</v>
      </c>
      <c r="G1101" s="215">
        <f t="shared" si="105"/>
        <v>0</v>
      </c>
      <c r="H1101" s="680" t="s">
        <v>6153</v>
      </c>
      <c r="I1101" s="679"/>
      <c r="J1101" s="187" t="str">
        <f t="shared" si="103"/>
        <v>220-804</v>
      </c>
      <c r="K1101" s="187">
        <v>220</v>
      </c>
      <c r="L1101" s="187">
        <v>804</v>
      </c>
      <c r="M1101" s="187" t="str">
        <f t="shared" si="106"/>
        <v>220</v>
      </c>
      <c r="N1101" s="187">
        <f t="shared" si="107"/>
        <v>804</v>
      </c>
      <c r="O1101" s="187" t="str">
        <f t="shared" si="108"/>
        <v>220-804</v>
      </c>
      <c r="Q1101" s="679" t="s">
        <v>6477</v>
      </c>
    </row>
    <row r="1102" spans="1:17">
      <c r="A1102" s="788" t="s">
        <v>3389</v>
      </c>
      <c r="B1102" s="187" t="s">
        <v>3390</v>
      </c>
      <c r="C1102" s="215">
        <v>0</v>
      </c>
      <c r="D1102" s="215">
        <v>0</v>
      </c>
      <c r="F1102" s="215">
        <f t="shared" si="104"/>
        <v>0</v>
      </c>
      <c r="G1102" s="215">
        <f t="shared" si="105"/>
        <v>0</v>
      </c>
      <c r="H1102" s="680" t="s">
        <v>6153</v>
      </c>
      <c r="I1102" s="679"/>
      <c r="J1102" s="187" t="str">
        <f t="shared" si="103"/>
        <v>220-806</v>
      </c>
      <c r="K1102" s="187">
        <v>220</v>
      </c>
      <c r="L1102" s="187">
        <v>806</v>
      </c>
      <c r="M1102" s="187" t="str">
        <f t="shared" si="106"/>
        <v>220</v>
      </c>
      <c r="N1102" s="187">
        <f t="shared" si="107"/>
        <v>806</v>
      </c>
      <c r="O1102" s="187" t="str">
        <f t="shared" si="108"/>
        <v>220-806</v>
      </c>
      <c r="Q1102" s="679" t="s">
        <v>6478</v>
      </c>
    </row>
    <row r="1103" spans="1:17">
      <c r="A1103" s="788" t="s">
        <v>7159</v>
      </c>
      <c r="B1103" s="187" t="s">
        <v>3391</v>
      </c>
      <c r="C1103" s="215">
        <v>0</v>
      </c>
      <c r="D1103" s="215">
        <v>0</v>
      </c>
      <c r="F1103" s="215">
        <f t="shared" si="104"/>
        <v>0</v>
      </c>
      <c r="G1103" s="215">
        <f t="shared" si="105"/>
        <v>0</v>
      </c>
      <c r="H1103" s="680" t="s">
        <v>6153</v>
      </c>
      <c r="I1103" s="679"/>
      <c r="J1103" s="187" t="str">
        <f t="shared" si="103"/>
        <v>220-807</v>
      </c>
      <c r="K1103" s="187">
        <v>220</v>
      </c>
      <c r="L1103" s="187">
        <v>807</v>
      </c>
      <c r="M1103" s="187" t="str">
        <f t="shared" si="106"/>
        <v>220</v>
      </c>
      <c r="N1103" s="187">
        <f t="shared" si="107"/>
        <v>807</v>
      </c>
      <c r="O1103" s="187" t="str">
        <f t="shared" si="108"/>
        <v>220-807</v>
      </c>
      <c r="Q1103" s="679" t="s">
        <v>6479</v>
      </c>
    </row>
    <row r="1104" spans="1:17">
      <c r="A1104" s="788" t="s">
        <v>3392</v>
      </c>
      <c r="B1104" s="187" t="s">
        <v>3393</v>
      </c>
      <c r="C1104" s="215">
        <v>0</v>
      </c>
      <c r="D1104" s="215">
        <v>0</v>
      </c>
      <c r="F1104" s="215">
        <f t="shared" si="104"/>
        <v>0</v>
      </c>
      <c r="G1104" s="215">
        <f t="shared" si="105"/>
        <v>0</v>
      </c>
      <c r="H1104" s="680" t="s">
        <v>6153</v>
      </c>
      <c r="I1104" s="679"/>
      <c r="J1104" s="187" t="str">
        <f t="shared" si="103"/>
        <v>220-808</v>
      </c>
      <c r="K1104" s="187">
        <v>220</v>
      </c>
      <c r="L1104" s="187">
        <v>808</v>
      </c>
      <c r="M1104" s="187" t="str">
        <f t="shared" si="106"/>
        <v>220</v>
      </c>
      <c r="N1104" s="187">
        <f t="shared" si="107"/>
        <v>808</v>
      </c>
      <c r="O1104" s="187" t="str">
        <f t="shared" si="108"/>
        <v>220-808</v>
      </c>
      <c r="Q1104" s="679" t="s">
        <v>6480</v>
      </c>
    </row>
    <row r="1105" spans="1:17">
      <c r="A1105" s="788" t="s">
        <v>3394</v>
      </c>
      <c r="B1105" s="187" t="s">
        <v>3395</v>
      </c>
      <c r="C1105" s="215">
        <v>0</v>
      </c>
      <c r="D1105" s="215">
        <v>0</v>
      </c>
      <c r="F1105" s="215">
        <f t="shared" si="104"/>
        <v>0</v>
      </c>
      <c r="G1105" s="215">
        <f t="shared" si="105"/>
        <v>0</v>
      </c>
      <c r="H1105" s="680" t="s">
        <v>6153</v>
      </c>
      <c r="I1105" s="679"/>
      <c r="J1105" s="187" t="str">
        <f t="shared" si="103"/>
        <v>220-809</v>
      </c>
      <c r="K1105" s="187">
        <v>220</v>
      </c>
      <c r="L1105" s="187">
        <v>809</v>
      </c>
      <c r="M1105" s="187" t="str">
        <f t="shared" si="106"/>
        <v>220</v>
      </c>
      <c r="N1105" s="187">
        <f t="shared" si="107"/>
        <v>809</v>
      </c>
      <c r="O1105" s="187" t="str">
        <f t="shared" si="108"/>
        <v>220-809</v>
      </c>
      <c r="Q1105" s="679" t="s">
        <v>6481</v>
      </c>
    </row>
    <row r="1106" spans="1:17">
      <c r="A1106" s="788" t="s">
        <v>3396</v>
      </c>
      <c r="B1106" s="187" t="s">
        <v>3397</v>
      </c>
      <c r="C1106" s="215">
        <v>0</v>
      </c>
      <c r="D1106" s="215">
        <v>0</v>
      </c>
      <c r="F1106" s="215">
        <f t="shared" si="104"/>
        <v>0</v>
      </c>
      <c r="G1106" s="215">
        <f t="shared" si="105"/>
        <v>0</v>
      </c>
      <c r="H1106" s="680" t="s">
        <v>6153</v>
      </c>
      <c r="I1106" s="679"/>
      <c r="J1106" s="187" t="str">
        <f t="shared" si="103"/>
        <v>220-810</v>
      </c>
      <c r="K1106" s="187">
        <v>220</v>
      </c>
      <c r="L1106" s="187">
        <v>810</v>
      </c>
      <c r="M1106" s="187" t="str">
        <f t="shared" si="106"/>
        <v>220</v>
      </c>
      <c r="N1106" s="187">
        <f t="shared" si="107"/>
        <v>810</v>
      </c>
      <c r="O1106" s="187" t="str">
        <f t="shared" si="108"/>
        <v>220-810</v>
      </c>
      <c r="Q1106" s="679" t="s">
        <v>6482</v>
      </c>
    </row>
    <row r="1107" spans="1:17">
      <c r="A1107" s="788" t="s">
        <v>3398</v>
      </c>
      <c r="B1107" s="187" t="s">
        <v>3399</v>
      </c>
      <c r="C1107" s="215">
        <v>0</v>
      </c>
      <c r="D1107" s="215">
        <v>0</v>
      </c>
      <c r="F1107" s="215">
        <f t="shared" si="104"/>
        <v>0</v>
      </c>
      <c r="G1107" s="215">
        <f t="shared" si="105"/>
        <v>0</v>
      </c>
      <c r="H1107" s="680" t="s">
        <v>6153</v>
      </c>
      <c r="I1107" s="679"/>
      <c r="J1107" s="187" t="str">
        <f t="shared" si="103"/>
        <v>220-811</v>
      </c>
      <c r="K1107" s="187">
        <v>220</v>
      </c>
      <c r="L1107" s="187">
        <v>811</v>
      </c>
      <c r="M1107" s="187" t="str">
        <f t="shared" si="106"/>
        <v>220</v>
      </c>
      <c r="N1107" s="187">
        <f t="shared" si="107"/>
        <v>811</v>
      </c>
      <c r="O1107" s="187" t="str">
        <f t="shared" si="108"/>
        <v>220-811</v>
      </c>
      <c r="Q1107" s="679" t="s">
        <v>6483</v>
      </c>
    </row>
    <row r="1108" spans="1:17">
      <c r="A1108" s="788" t="s">
        <v>3400</v>
      </c>
      <c r="B1108" s="187" t="s">
        <v>3401</v>
      </c>
      <c r="C1108" s="215">
        <v>0</v>
      </c>
      <c r="D1108" s="215">
        <v>0</v>
      </c>
      <c r="F1108" s="215">
        <f t="shared" si="104"/>
        <v>0</v>
      </c>
      <c r="G1108" s="215">
        <f t="shared" si="105"/>
        <v>0</v>
      </c>
      <c r="H1108" s="680" t="s">
        <v>6153</v>
      </c>
      <c r="I1108" s="679"/>
      <c r="J1108" s="187" t="str">
        <f t="shared" si="103"/>
        <v>220-812</v>
      </c>
      <c r="K1108" s="187">
        <v>220</v>
      </c>
      <c r="L1108" s="187">
        <v>812</v>
      </c>
      <c r="M1108" s="187" t="str">
        <f t="shared" si="106"/>
        <v>220</v>
      </c>
      <c r="N1108" s="187">
        <f t="shared" si="107"/>
        <v>812</v>
      </c>
      <c r="O1108" s="187" t="str">
        <f t="shared" si="108"/>
        <v>220-812</v>
      </c>
      <c r="Q1108" s="679" t="s">
        <v>6484</v>
      </c>
    </row>
    <row r="1109" spans="1:17">
      <c r="A1109" s="788" t="s">
        <v>269</v>
      </c>
      <c r="B1109" s="187" t="s">
        <v>7688</v>
      </c>
      <c r="C1109" s="215">
        <v>44528632</v>
      </c>
      <c r="D1109" s="215">
        <v>261838016</v>
      </c>
      <c r="F1109" s="215">
        <f t="shared" si="104"/>
        <v>261838016</v>
      </c>
      <c r="G1109" s="215">
        <f t="shared" si="105"/>
        <v>306366648</v>
      </c>
      <c r="H1109" s="680" t="s">
        <v>6153</v>
      </c>
      <c r="I1109" s="679"/>
      <c r="J1109" s="187" t="str">
        <f t="shared" si="103"/>
        <v>220-901</v>
      </c>
      <c r="K1109" s="187">
        <v>220</v>
      </c>
      <c r="L1109" s="187">
        <v>901</v>
      </c>
      <c r="M1109" s="187" t="str">
        <f t="shared" si="106"/>
        <v>220</v>
      </c>
      <c r="N1109" s="187">
        <f t="shared" si="107"/>
        <v>901</v>
      </c>
      <c r="O1109" s="187" t="str">
        <f t="shared" si="108"/>
        <v>220-901</v>
      </c>
      <c r="Q1109" s="679" t="s">
        <v>4354</v>
      </c>
    </row>
    <row r="1110" spans="1:17">
      <c r="A1110" s="788" t="s">
        <v>951</v>
      </c>
      <c r="B1110" s="187" t="s">
        <v>7656</v>
      </c>
      <c r="C1110" s="215">
        <v>9033995</v>
      </c>
      <c r="D1110" s="215">
        <v>86941607</v>
      </c>
      <c r="F1110" s="215">
        <f t="shared" si="104"/>
        <v>86941607</v>
      </c>
      <c r="G1110" s="215">
        <f t="shared" si="105"/>
        <v>95975602</v>
      </c>
      <c r="H1110" s="680" t="s">
        <v>6153</v>
      </c>
      <c r="I1110" s="679"/>
      <c r="J1110" s="187" t="str">
        <f t="shared" si="103"/>
        <v>220-902</v>
      </c>
      <c r="K1110" s="187">
        <v>220</v>
      </c>
      <c r="L1110" s="187">
        <v>902</v>
      </c>
      <c r="M1110" s="187" t="str">
        <f t="shared" si="106"/>
        <v>220</v>
      </c>
      <c r="N1110" s="187">
        <f t="shared" si="107"/>
        <v>902</v>
      </c>
      <c r="O1110" s="187" t="str">
        <f t="shared" si="108"/>
        <v>220-902</v>
      </c>
      <c r="Q1110" s="679" t="s">
        <v>4355</v>
      </c>
    </row>
    <row r="1111" spans="1:17">
      <c r="A1111" s="788" t="s">
        <v>409</v>
      </c>
      <c r="B1111" s="187" t="s">
        <v>1726</v>
      </c>
      <c r="C1111" s="215">
        <v>644203</v>
      </c>
      <c r="D1111" s="215">
        <v>10048748</v>
      </c>
      <c r="F1111" s="215">
        <f t="shared" si="104"/>
        <v>10048748</v>
      </c>
      <c r="G1111" s="215">
        <f t="shared" si="105"/>
        <v>10692951</v>
      </c>
      <c r="H1111" s="680" t="s">
        <v>6153</v>
      </c>
      <c r="I1111" s="679"/>
      <c r="J1111" s="187" t="str">
        <f t="shared" si="103"/>
        <v>220-904</v>
      </c>
      <c r="K1111" s="187">
        <v>220</v>
      </c>
      <c r="L1111" s="187">
        <v>904</v>
      </c>
      <c r="M1111" s="187" t="str">
        <f t="shared" si="106"/>
        <v>220</v>
      </c>
      <c r="N1111" s="187">
        <f t="shared" si="107"/>
        <v>904</v>
      </c>
      <c r="O1111" s="187" t="str">
        <f t="shared" si="108"/>
        <v>220-904</v>
      </c>
      <c r="Q1111" s="679" t="s">
        <v>4356</v>
      </c>
    </row>
    <row r="1112" spans="1:17">
      <c r="A1112" s="788" t="s">
        <v>3996</v>
      </c>
      <c r="B1112" s="187" t="s">
        <v>1727</v>
      </c>
      <c r="C1112" s="215">
        <v>28186851</v>
      </c>
      <c r="D1112" s="215">
        <v>267216646</v>
      </c>
      <c r="F1112" s="215">
        <f t="shared" si="104"/>
        <v>267216646</v>
      </c>
      <c r="G1112" s="215">
        <f t="shared" si="105"/>
        <v>295403497</v>
      </c>
      <c r="H1112" s="680" t="s">
        <v>6153</v>
      </c>
      <c r="I1112" s="679"/>
      <c r="J1112" s="187" t="str">
        <f t="shared" si="103"/>
        <v>220-905</v>
      </c>
      <c r="K1112" s="187">
        <v>220</v>
      </c>
      <c r="L1112" s="187">
        <v>905</v>
      </c>
      <c r="M1112" s="187" t="str">
        <f t="shared" si="106"/>
        <v>220</v>
      </c>
      <c r="N1112" s="187">
        <f t="shared" si="107"/>
        <v>905</v>
      </c>
      <c r="O1112" s="187" t="str">
        <f t="shared" si="108"/>
        <v>220-905</v>
      </c>
      <c r="Q1112" s="679" t="s">
        <v>4357</v>
      </c>
    </row>
    <row r="1113" spans="1:17">
      <c r="A1113" s="788" t="s">
        <v>3998</v>
      </c>
      <c r="B1113" s="187" t="s">
        <v>1728</v>
      </c>
      <c r="C1113" s="215">
        <v>19446302</v>
      </c>
      <c r="D1113" s="215">
        <v>117972103</v>
      </c>
      <c r="F1113" s="215">
        <f t="shared" si="104"/>
        <v>117972103</v>
      </c>
      <c r="G1113" s="215">
        <f t="shared" si="105"/>
        <v>137418405</v>
      </c>
      <c r="H1113" s="680" t="s">
        <v>6153</v>
      </c>
      <c r="I1113" s="679"/>
      <c r="J1113" s="187" t="str">
        <f t="shared" si="103"/>
        <v>220-906</v>
      </c>
      <c r="K1113" s="187">
        <v>220</v>
      </c>
      <c r="L1113" s="187">
        <v>906</v>
      </c>
      <c r="M1113" s="187" t="str">
        <f t="shared" si="106"/>
        <v>220</v>
      </c>
      <c r="N1113" s="187">
        <f t="shared" si="107"/>
        <v>906</v>
      </c>
      <c r="O1113" s="187" t="str">
        <f t="shared" si="108"/>
        <v>220-906</v>
      </c>
      <c r="Q1113" s="679" t="s">
        <v>4358</v>
      </c>
    </row>
    <row r="1114" spans="1:17">
      <c r="A1114" s="788" t="s">
        <v>6030</v>
      </c>
      <c r="B1114" s="187" t="s">
        <v>1915</v>
      </c>
      <c r="C1114" s="215">
        <v>17635499</v>
      </c>
      <c r="D1114" s="215">
        <v>95790144</v>
      </c>
      <c r="F1114" s="215">
        <f t="shared" si="104"/>
        <v>95790144</v>
      </c>
      <c r="G1114" s="215">
        <f t="shared" si="105"/>
        <v>113425643</v>
      </c>
      <c r="H1114" s="680" t="s">
        <v>6153</v>
      </c>
      <c r="I1114" s="679"/>
      <c r="J1114" s="187" t="str">
        <f t="shared" si="103"/>
        <v>220-907</v>
      </c>
      <c r="K1114" s="187">
        <v>220</v>
      </c>
      <c r="L1114" s="187">
        <v>907</v>
      </c>
      <c r="M1114" s="187" t="str">
        <f t="shared" si="106"/>
        <v>220</v>
      </c>
      <c r="N1114" s="187">
        <f t="shared" si="107"/>
        <v>907</v>
      </c>
      <c r="O1114" s="187" t="str">
        <f t="shared" si="108"/>
        <v>220-907</v>
      </c>
      <c r="Q1114" s="679" t="s">
        <v>4359</v>
      </c>
    </row>
    <row r="1115" spans="1:17">
      <c r="A1115" s="788" t="s">
        <v>3002</v>
      </c>
      <c r="B1115" s="187" t="s">
        <v>6062</v>
      </c>
      <c r="C1115" s="215">
        <v>18531505</v>
      </c>
      <c r="D1115" s="215">
        <v>75120815</v>
      </c>
      <c r="F1115" s="215">
        <f t="shared" si="104"/>
        <v>75120815</v>
      </c>
      <c r="G1115" s="215">
        <f t="shared" si="105"/>
        <v>93652320</v>
      </c>
      <c r="H1115" s="680" t="s">
        <v>6153</v>
      </c>
      <c r="I1115" s="679"/>
      <c r="J1115" s="187" t="str">
        <f t="shared" si="103"/>
        <v>220-908</v>
      </c>
      <c r="K1115" s="187">
        <v>220</v>
      </c>
      <c r="L1115" s="187">
        <v>908</v>
      </c>
      <c r="M1115" s="187" t="str">
        <f t="shared" si="106"/>
        <v>220</v>
      </c>
      <c r="N1115" s="187">
        <f t="shared" si="107"/>
        <v>908</v>
      </c>
      <c r="O1115" s="187" t="str">
        <f t="shared" si="108"/>
        <v>220-908</v>
      </c>
      <c r="Q1115" s="679" t="s">
        <v>4360</v>
      </c>
    </row>
    <row r="1116" spans="1:17">
      <c r="A1116" s="788" t="s">
        <v>4000</v>
      </c>
      <c r="B1116" s="187" t="s">
        <v>6485</v>
      </c>
      <c r="C1116" s="215">
        <v>0</v>
      </c>
      <c r="D1116" s="215">
        <v>0</v>
      </c>
      <c r="F1116" s="215">
        <f t="shared" si="104"/>
        <v>0</v>
      </c>
      <c r="G1116" s="215">
        <f t="shared" si="105"/>
        <v>0</v>
      </c>
      <c r="H1116" s="680" t="s">
        <v>6153</v>
      </c>
      <c r="I1116" s="679"/>
      <c r="J1116" s="187" t="str">
        <f t="shared" si="103"/>
        <v>220-909</v>
      </c>
      <c r="K1116" s="187">
        <v>220</v>
      </c>
      <c r="L1116" s="187">
        <v>909</v>
      </c>
      <c r="M1116" s="187" t="str">
        <f t="shared" si="106"/>
        <v>220</v>
      </c>
      <c r="N1116" s="187">
        <f t="shared" si="107"/>
        <v>909</v>
      </c>
      <c r="O1116" s="187" t="str">
        <f t="shared" si="108"/>
        <v>220-909</v>
      </c>
      <c r="Q1116" s="679" t="s">
        <v>6486</v>
      </c>
    </row>
    <row r="1117" spans="1:17">
      <c r="A1117" s="788" t="s">
        <v>2986</v>
      </c>
      <c r="B1117" s="187" t="s">
        <v>186</v>
      </c>
      <c r="C1117" s="215">
        <v>1192024</v>
      </c>
      <c r="D1117" s="215">
        <v>7078312</v>
      </c>
      <c r="F1117" s="215">
        <f t="shared" si="104"/>
        <v>7078312</v>
      </c>
      <c r="G1117" s="215">
        <f t="shared" si="105"/>
        <v>8270336</v>
      </c>
      <c r="H1117" s="680" t="s">
        <v>6153</v>
      </c>
      <c r="I1117" s="679"/>
      <c r="J1117" s="187" t="str">
        <f t="shared" si="103"/>
        <v>220-910</v>
      </c>
      <c r="K1117" s="187">
        <v>220</v>
      </c>
      <c r="L1117" s="187">
        <v>910</v>
      </c>
      <c r="M1117" s="187" t="str">
        <f t="shared" si="106"/>
        <v>220</v>
      </c>
      <c r="N1117" s="187">
        <f t="shared" si="107"/>
        <v>910</v>
      </c>
      <c r="O1117" s="187" t="str">
        <f t="shared" si="108"/>
        <v>220-910</v>
      </c>
      <c r="Q1117" s="679" t="s">
        <v>4361</v>
      </c>
    </row>
    <row r="1118" spans="1:17">
      <c r="A1118" s="788" t="s">
        <v>246</v>
      </c>
      <c r="B1118" s="187" t="s">
        <v>1668</v>
      </c>
      <c r="C1118" s="215">
        <v>8419384</v>
      </c>
      <c r="D1118" s="215">
        <v>47152449</v>
      </c>
      <c r="F1118" s="215">
        <f t="shared" si="104"/>
        <v>47152449</v>
      </c>
      <c r="G1118" s="215">
        <f t="shared" si="105"/>
        <v>55571833</v>
      </c>
      <c r="H1118" s="680" t="s">
        <v>6153</v>
      </c>
      <c r="I1118" s="679"/>
      <c r="J1118" s="187" t="str">
        <f t="shared" si="103"/>
        <v>220-912</v>
      </c>
      <c r="K1118" s="187">
        <v>220</v>
      </c>
      <c r="L1118" s="187">
        <v>912</v>
      </c>
      <c r="M1118" s="187" t="str">
        <f t="shared" si="106"/>
        <v>220</v>
      </c>
      <c r="N1118" s="187">
        <f t="shared" si="107"/>
        <v>912</v>
      </c>
      <c r="O1118" s="187" t="str">
        <f t="shared" si="108"/>
        <v>220-912</v>
      </c>
      <c r="Q1118" s="679" t="s">
        <v>4362</v>
      </c>
    </row>
    <row r="1119" spans="1:17">
      <c r="A1119" s="788" t="s">
        <v>6032</v>
      </c>
      <c r="B1119" s="187" t="s">
        <v>1918</v>
      </c>
      <c r="C1119" s="215">
        <v>2218228</v>
      </c>
      <c r="D1119" s="215">
        <v>11087175</v>
      </c>
      <c r="F1119" s="215">
        <f t="shared" si="104"/>
        <v>11087175</v>
      </c>
      <c r="G1119" s="215">
        <f t="shared" si="105"/>
        <v>13305403</v>
      </c>
      <c r="H1119" s="680" t="s">
        <v>6153</v>
      </c>
      <c r="I1119" s="679"/>
      <c r="J1119" s="187" t="str">
        <f t="shared" si="103"/>
        <v>220-914</v>
      </c>
      <c r="K1119" s="187">
        <v>220</v>
      </c>
      <c r="L1119" s="187">
        <v>914</v>
      </c>
      <c r="M1119" s="187" t="str">
        <f t="shared" si="106"/>
        <v>220</v>
      </c>
      <c r="N1119" s="187">
        <f t="shared" si="107"/>
        <v>914</v>
      </c>
      <c r="O1119" s="187" t="str">
        <f t="shared" si="108"/>
        <v>220-914</v>
      </c>
      <c r="Q1119" s="679" t="s">
        <v>4363</v>
      </c>
    </row>
    <row r="1120" spans="1:17">
      <c r="A1120" s="788" t="s">
        <v>946</v>
      </c>
      <c r="B1120" s="187" t="s">
        <v>7693</v>
      </c>
      <c r="C1120" s="215">
        <v>1268865</v>
      </c>
      <c r="D1120" s="215">
        <v>18767632</v>
      </c>
      <c r="F1120" s="215">
        <f t="shared" si="104"/>
        <v>18767632</v>
      </c>
      <c r="G1120" s="215">
        <f t="shared" si="105"/>
        <v>20036497</v>
      </c>
      <c r="H1120" s="680" t="s">
        <v>6153</v>
      </c>
      <c r="I1120" s="679"/>
      <c r="J1120" s="187" t="str">
        <f t="shared" si="103"/>
        <v>220-915</v>
      </c>
      <c r="K1120" s="187">
        <v>220</v>
      </c>
      <c r="L1120" s="187">
        <v>915</v>
      </c>
      <c r="M1120" s="187" t="str">
        <f t="shared" si="106"/>
        <v>220</v>
      </c>
      <c r="N1120" s="187">
        <f t="shared" si="107"/>
        <v>915</v>
      </c>
      <c r="O1120" s="187" t="str">
        <f t="shared" si="108"/>
        <v>220-915</v>
      </c>
      <c r="Q1120" s="679" t="s">
        <v>4364</v>
      </c>
    </row>
    <row r="1121" spans="1:17">
      <c r="A1121" s="788" t="s">
        <v>1875</v>
      </c>
      <c r="B1121" s="187" t="s">
        <v>3858</v>
      </c>
      <c r="C1121" s="215">
        <v>17772383</v>
      </c>
      <c r="D1121" s="215">
        <v>103012420</v>
      </c>
      <c r="F1121" s="215">
        <f t="shared" si="104"/>
        <v>103012420</v>
      </c>
      <c r="G1121" s="215">
        <f t="shared" si="105"/>
        <v>120784803</v>
      </c>
      <c r="H1121" s="680" t="s">
        <v>6153</v>
      </c>
      <c r="I1121" s="679"/>
      <c r="J1121" s="187" t="str">
        <f t="shared" si="103"/>
        <v>220-916</v>
      </c>
      <c r="K1121" s="187">
        <v>220</v>
      </c>
      <c r="L1121" s="187">
        <v>916</v>
      </c>
      <c r="M1121" s="187" t="str">
        <f t="shared" si="106"/>
        <v>220</v>
      </c>
      <c r="N1121" s="187">
        <f t="shared" si="107"/>
        <v>916</v>
      </c>
      <c r="O1121" s="187" t="str">
        <f t="shared" si="108"/>
        <v>220-916</v>
      </c>
      <c r="Q1121" s="679" t="s">
        <v>4365</v>
      </c>
    </row>
    <row r="1122" spans="1:17">
      <c r="A1122" s="788" t="s">
        <v>6682</v>
      </c>
      <c r="B1122" s="187" t="s">
        <v>6103</v>
      </c>
      <c r="C1122" s="215">
        <v>628409</v>
      </c>
      <c r="D1122" s="215">
        <v>5335751</v>
      </c>
      <c r="F1122" s="215">
        <f t="shared" si="104"/>
        <v>5335751</v>
      </c>
      <c r="G1122" s="215">
        <f t="shared" si="105"/>
        <v>5964160</v>
      </c>
      <c r="H1122" s="680" t="s">
        <v>6153</v>
      </c>
      <c r="I1122" s="679"/>
      <c r="J1122" s="187" t="str">
        <f t="shared" ref="J1122:J1185" si="109">+A1122</f>
        <v>220-917</v>
      </c>
      <c r="K1122" s="187">
        <v>220</v>
      </c>
      <c r="L1122" s="187">
        <v>917</v>
      </c>
      <c r="M1122" s="187" t="str">
        <f t="shared" si="106"/>
        <v>220</v>
      </c>
      <c r="N1122" s="187">
        <f t="shared" si="107"/>
        <v>917</v>
      </c>
      <c r="O1122" s="187" t="str">
        <f t="shared" si="108"/>
        <v>220-917</v>
      </c>
      <c r="Q1122" s="679" t="s">
        <v>4366</v>
      </c>
    </row>
    <row r="1123" spans="1:17">
      <c r="A1123" s="788" t="s">
        <v>4002</v>
      </c>
      <c r="B1123" s="187" t="s">
        <v>1729</v>
      </c>
      <c r="C1123" s="215">
        <v>10984011</v>
      </c>
      <c r="D1123" s="215">
        <v>43675402</v>
      </c>
      <c r="F1123" s="215">
        <f t="shared" si="104"/>
        <v>43675402</v>
      </c>
      <c r="G1123" s="215">
        <f t="shared" si="105"/>
        <v>54659413</v>
      </c>
      <c r="H1123" s="680" t="s">
        <v>6153</v>
      </c>
      <c r="I1123" s="679"/>
      <c r="J1123" s="187" t="str">
        <f t="shared" si="109"/>
        <v>220-918</v>
      </c>
      <c r="K1123" s="187">
        <v>220</v>
      </c>
      <c r="L1123" s="187">
        <v>918</v>
      </c>
      <c r="M1123" s="187" t="str">
        <f t="shared" si="106"/>
        <v>220</v>
      </c>
      <c r="N1123" s="187">
        <f t="shared" si="107"/>
        <v>918</v>
      </c>
      <c r="O1123" s="187" t="str">
        <f t="shared" si="108"/>
        <v>220-918</v>
      </c>
      <c r="Q1123" s="679" t="s">
        <v>4367</v>
      </c>
    </row>
    <row r="1124" spans="1:17">
      <c r="A1124" s="788" t="s">
        <v>6681</v>
      </c>
      <c r="B1124" s="187" t="s">
        <v>6102</v>
      </c>
      <c r="C1124" s="215">
        <v>16694070</v>
      </c>
      <c r="D1124" s="215">
        <v>54229650</v>
      </c>
      <c r="F1124" s="215">
        <f t="shared" si="104"/>
        <v>54229650</v>
      </c>
      <c r="G1124" s="215">
        <f t="shared" si="105"/>
        <v>70923720</v>
      </c>
      <c r="H1124" s="680" t="s">
        <v>6153</v>
      </c>
      <c r="I1124" s="679"/>
      <c r="J1124" s="187" t="str">
        <f t="shared" si="109"/>
        <v>220-919</v>
      </c>
      <c r="K1124" s="187">
        <v>220</v>
      </c>
      <c r="L1124" s="187">
        <v>919</v>
      </c>
      <c r="M1124" s="187" t="str">
        <f t="shared" si="106"/>
        <v>220</v>
      </c>
      <c r="N1124" s="187">
        <f t="shared" si="107"/>
        <v>919</v>
      </c>
      <c r="O1124" s="187" t="str">
        <f t="shared" si="108"/>
        <v>220-919</v>
      </c>
      <c r="Q1124" s="679" t="s">
        <v>4368</v>
      </c>
    </row>
    <row r="1125" spans="1:17">
      <c r="A1125" s="788" t="s">
        <v>857</v>
      </c>
      <c r="B1125" s="187" t="s">
        <v>4069</v>
      </c>
      <c r="C1125" s="215">
        <v>1496231</v>
      </c>
      <c r="D1125" s="215">
        <v>12877950</v>
      </c>
      <c r="F1125" s="215">
        <f t="shared" si="104"/>
        <v>12877950</v>
      </c>
      <c r="G1125" s="215">
        <f t="shared" si="105"/>
        <v>14374181</v>
      </c>
      <c r="H1125" s="680" t="s">
        <v>6153</v>
      </c>
      <c r="I1125" s="679"/>
      <c r="J1125" s="187" t="str">
        <f t="shared" si="109"/>
        <v>220-920</v>
      </c>
      <c r="K1125" s="187">
        <v>220</v>
      </c>
      <c r="L1125" s="187">
        <v>920</v>
      </c>
      <c r="M1125" s="187" t="str">
        <f t="shared" si="106"/>
        <v>220</v>
      </c>
      <c r="N1125" s="187">
        <f t="shared" si="107"/>
        <v>920</v>
      </c>
      <c r="O1125" s="187" t="str">
        <f t="shared" si="108"/>
        <v>220-920</v>
      </c>
      <c r="Q1125" s="679" t="s">
        <v>4369</v>
      </c>
    </row>
    <row r="1126" spans="1:17">
      <c r="A1126" s="788" t="s">
        <v>3402</v>
      </c>
      <c r="B1126" s="187" t="s">
        <v>3403</v>
      </c>
      <c r="C1126" s="215">
        <v>0</v>
      </c>
      <c r="D1126" s="215">
        <v>0</v>
      </c>
      <c r="F1126" s="215">
        <f t="shared" si="104"/>
        <v>0</v>
      </c>
      <c r="G1126" s="215">
        <f t="shared" si="105"/>
        <v>0</v>
      </c>
      <c r="H1126" s="680" t="s">
        <v>6153</v>
      </c>
      <c r="I1126" s="679"/>
      <c r="J1126" s="187" t="str">
        <f t="shared" si="109"/>
        <v>220-950</v>
      </c>
      <c r="K1126" s="187">
        <v>220</v>
      </c>
      <c r="L1126" s="187">
        <v>950</v>
      </c>
      <c r="M1126" s="187" t="str">
        <f t="shared" si="106"/>
        <v>220</v>
      </c>
      <c r="N1126" s="187">
        <f t="shared" si="107"/>
        <v>950</v>
      </c>
      <c r="O1126" s="187" t="str">
        <f t="shared" si="108"/>
        <v>220-950</v>
      </c>
      <c r="Q1126" s="679" t="s">
        <v>6487</v>
      </c>
    </row>
    <row r="1127" spans="1:17">
      <c r="A1127" s="788" t="s">
        <v>4004</v>
      </c>
      <c r="B1127" s="187" t="s">
        <v>3404</v>
      </c>
      <c r="C1127" s="215">
        <v>0</v>
      </c>
      <c r="D1127" s="215">
        <v>0</v>
      </c>
      <c r="F1127" s="215">
        <f t="shared" si="104"/>
        <v>0</v>
      </c>
      <c r="G1127" s="215">
        <f t="shared" si="105"/>
        <v>0</v>
      </c>
      <c r="H1127" s="680" t="s">
        <v>6153</v>
      </c>
      <c r="I1127" s="679"/>
      <c r="J1127" s="187" t="str">
        <f t="shared" si="109"/>
        <v>221-801</v>
      </c>
      <c r="K1127" s="187">
        <v>221</v>
      </c>
      <c r="L1127" s="187">
        <v>801</v>
      </c>
      <c r="M1127" s="187" t="str">
        <f t="shared" si="106"/>
        <v>221</v>
      </c>
      <c r="N1127" s="187">
        <f t="shared" si="107"/>
        <v>801</v>
      </c>
      <c r="O1127" s="187" t="str">
        <f t="shared" si="108"/>
        <v>221-801</v>
      </c>
      <c r="Q1127" s="679" t="s">
        <v>6488</v>
      </c>
    </row>
    <row r="1128" spans="1:17">
      <c r="A1128" s="788" t="s">
        <v>4006</v>
      </c>
      <c r="B1128" s="187" t="s">
        <v>1730</v>
      </c>
      <c r="C1128" s="215">
        <v>3212626</v>
      </c>
      <c r="D1128" s="215">
        <v>41214257</v>
      </c>
      <c r="F1128" s="215">
        <f t="shared" si="104"/>
        <v>41214257</v>
      </c>
      <c r="G1128" s="215">
        <f t="shared" si="105"/>
        <v>44426883</v>
      </c>
      <c r="H1128" s="680" t="s">
        <v>6153</v>
      </c>
      <c r="I1128" s="679"/>
      <c r="J1128" s="187" t="str">
        <f t="shared" si="109"/>
        <v>221-901</v>
      </c>
      <c r="K1128" s="187">
        <v>221</v>
      </c>
      <c r="L1128" s="187">
        <v>901</v>
      </c>
      <c r="M1128" s="187" t="str">
        <f t="shared" si="106"/>
        <v>221</v>
      </c>
      <c r="N1128" s="187">
        <f t="shared" si="107"/>
        <v>901</v>
      </c>
      <c r="O1128" s="187" t="str">
        <f t="shared" si="108"/>
        <v>221-901</v>
      </c>
      <c r="Q1128" s="679" t="s">
        <v>4370</v>
      </c>
    </row>
    <row r="1129" spans="1:17">
      <c r="A1129" s="788" t="s">
        <v>4008</v>
      </c>
      <c r="B1129" s="187" t="s">
        <v>1731</v>
      </c>
      <c r="C1129" s="215">
        <v>47391</v>
      </c>
      <c r="D1129" s="215">
        <v>2506212</v>
      </c>
      <c r="F1129" s="215">
        <f t="shared" si="104"/>
        <v>2506212</v>
      </c>
      <c r="G1129" s="215">
        <f t="shared" si="105"/>
        <v>2553603</v>
      </c>
      <c r="H1129" s="680" t="s">
        <v>6153</v>
      </c>
      <c r="I1129" s="679"/>
      <c r="J1129" s="187" t="str">
        <f t="shared" si="109"/>
        <v>221-904</v>
      </c>
      <c r="K1129" s="187">
        <v>221</v>
      </c>
      <c r="L1129" s="187">
        <v>904</v>
      </c>
      <c r="M1129" s="187" t="str">
        <f t="shared" si="106"/>
        <v>221</v>
      </c>
      <c r="N1129" s="187">
        <f t="shared" si="107"/>
        <v>904</v>
      </c>
      <c r="O1129" s="187" t="str">
        <f t="shared" si="108"/>
        <v>221-904</v>
      </c>
      <c r="Q1129" s="679" t="s">
        <v>4371</v>
      </c>
    </row>
    <row r="1130" spans="1:17">
      <c r="A1130" s="788" t="s">
        <v>4010</v>
      </c>
      <c r="B1130" s="187" t="s">
        <v>1732</v>
      </c>
      <c r="C1130" s="215">
        <v>408433</v>
      </c>
      <c r="D1130" s="215">
        <v>1654258</v>
      </c>
      <c r="F1130" s="215">
        <f t="shared" si="104"/>
        <v>1654258</v>
      </c>
      <c r="G1130" s="215">
        <f t="shared" si="105"/>
        <v>2062691</v>
      </c>
      <c r="H1130" s="680" t="s">
        <v>6153</v>
      </c>
      <c r="I1130" s="679"/>
      <c r="J1130" s="187" t="str">
        <f t="shared" si="109"/>
        <v>221-905</v>
      </c>
      <c r="K1130" s="187">
        <v>221</v>
      </c>
      <c r="L1130" s="187">
        <v>905</v>
      </c>
      <c r="M1130" s="187" t="str">
        <f t="shared" si="106"/>
        <v>221</v>
      </c>
      <c r="N1130" s="187">
        <f t="shared" si="107"/>
        <v>905</v>
      </c>
      <c r="O1130" s="187" t="str">
        <f t="shared" si="108"/>
        <v>221-905</v>
      </c>
      <c r="Q1130" s="679" t="s">
        <v>4372</v>
      </c>
    </row>
    <row r="1131" spans="1:17">
      <c r="A1131" s="788" t="s">
        <v>4012</v>
      </c>
      <c r="B1131" s="187" t="s">
        <v>1733</v>
      </c>
      <c r="C1131" s="215">
        <v>171005</v>
      </c>
      <c r="D1131" s="215">
        <v>2287218</v>
      </c>
      <c r="F1131" s="215">
        <f t="shared" si="104"/>
        <v>2287218</v>
      </c>
      <c r="G1131" s="215">
        <f t="shared" si="105"/>
        <v>2458223</v>
      </c>
      <c r="H1131" s="680" t="s">
        <v>6153</v>
      </c>
      <c r="I1131" s="679"/>
      <c r="J1131" s="187" t="str">
        <f t="shared" si="109"/>
        <v>221-911</v>
      </c>
      <c r="K1131" s="187">
        <v>221</v>
      </c>
      <c r="L1131" s="187">
        <v>911</v>
      </c>
      <c r="M1131" s="187" t="str">
        <f t="shared" si="106"/>
        <v>221</v>
      </c>
      <c r="N1131" s="187">
        <f t="shared" si="107"/>
        <v>911</v>
      </c>
      <c r="O1131" s="187" t="str">
        <f t="shared" si="108"/>
        <v>221-911</v>
      </c>
      <c r="Q1131" s="679" t="s">
        <v>4373</v>
      </c>
    </row>
    <row r="1132" spans="1:17">
      <c r="A1132" s="788" t="s">
        <v>4014</v>
      </c>
      <c r="B1132" s="187" t="s">
        <v>2008</v>
      </c>
      <c r="C1132" s="215">
        <v>1092743</v>
      </c>
      <c r="D1132" s="215">
        <v>8564143</v>
      </c>
      <c r="F1132" s="215">
        <f t="shared" si="104"/>
        <v>8564143</v>
      </c>
      <c r="G1132" s="215">
        <f t="shared" si="105"/>
        <v>9656886</v>
      </c>
      <c r="H1132" s="680" t="s">
        <v>6153</v>
      </c>
      <c r="I1132" s="679"/>
      <c r="J1132" s="187" t="str">
        <f t="shared" si="109"/>
        <v>221-912</v>
      </c>
      <c r="K1132" s="187">
        <v>221</v>
      </c>
      <c r="L1132" s="187">
        <v>912</v>
      </c>
      <c r="M1132" s="187" t="str">
        <f t="shared" si="106"/>
        <v>221</v>
      </c>
      <c r="N1132" s="187">
        <f t="shared" si="107"/>
        <v>912</v>
      </c>
      <c r="O1132" s="187" t="str">
        <f t="shared" si="108"/>
        <v>221-912</v>
      </c>
      <c r="Q1132" s="679" t="s">
        <v>4375</v>
      </c>
    </row>
    <row r="1133" spans="1:17">
      <c r="A1133" s="788" t="s">
        <v>3405</v>
      </c>
      <c r="B1133" s="187" t="s">
        <v>3406</v>
      </c>
      <c r="C1133" s="215">
        <v>0</v>
      </c>
      <c r="D1133" s="215">
        <v>0</v>
      </c>
      <c r="F1133" s="215">
        <f t="shared" si="104"/>
        <v>0</v>
      </c>
      <c r="G1133" s="215">
        <f t="shared" si="105"/>
        <v>0</v>
      </c>
      <c r="H1133" s="680" t="s">
        <v>6153</v>
      </c>
      <c r="I1133" s="679"/>
      <c r="J1133" s="187" t="str">
        <f t="shared" si="109"/>
        <v>221-950</v>
      </c>
      <c r="K1133" s="187">
        <v>221</v>
      </c>
      <c r="L1133" s="187">
        <v>950</v>
      </c>
      <c r="M1133" s="187" t="str">
        <f t="shared" si="106"/>
        <v>221</v>
      </c>
      <c r="N1133" s="187">
        <f t="shared" si="107"/>
        <v>950</v>
      </c>
      <c r="O1133" s="187" t="str">
        <f t="shared" si="108"/>
        <v>221-950</v>
      </c>
      <c r="Q1133" s="679" t="s">
        <v>6489</v>
      </c>
    </row>
    <row r="1134" spans="1:17">
      <c r="A1134" s="788" t="s">
        <v>4015</v>
      </c>
      <c r="B1134" s="187" t="s">
        <v>1734</v>
      </c>
      <c r="C1134" s="215">
        <v>0</v>
      </c>
      <c r="D1134" s="215">
        <v>5642026</v>
      </c>
      <c r="F1134" s="215">
        <f t="shared" si="104"/>
        <v>5642026</v>
      </c>
      <c r="G1134" s="215">
        <f t="shared" si="105"/>
        <v>5642026</v>
      </c>
      <c r="H1134" s="680" t="s">
        <v>6153</v>
      </c>
      <c r="I1134" s="679"/>
      <c r="J1134" s="187" t="str">
        <f t="shared" si="109"/>
        <v>222-901</v>
      </c>
      <c r="K1134" s="187">
        <v>222</v>
      </c>
      <c r="L1134" s="187">
        <v>901</v>
      </c>
      <c r="M1134" s="187" t="str">
        <f t="shared" si="106"/>
        <v>222</v>
      </c>
      <c r="N1134" s="187">
        <f t="shared" si="107"/>
        <v>901</v>
      </c>
      <c r="O1134" s="187" t="str">
        <f t="shared" si="108"/>
        <v>222-901</v>
      </c>
      <c r="Q1134" s="679" t="s">
        <v>4376</v>
      </c>
    </row>
    <row r="1135" spans="1:17">
      <c r="A1135" s="788" t="s">
        <v>6120</v>
      </c>
      <c r="B1135" s="187" t="s">
        <v>1735</v>
      </c>
      <c r="C1135" s="215">
        <v>397962</v>
      </c>
      <c r="D1135" s="215">
        <v>6170357</v>
      </c>
      <c r="F1135" s="215">
        <f t="shared" si="104"/>
        <v>6170357</v>
      </c>
      <c r="G1135" s="215">
        <f t="shared" si="105"/>
        <v>6568319</v>
      </c>
      <c r="H1135" s="680" t="s">
        <v>6153</v>
      </c>
      <c r="I1135" s="679"/>
      <c r="J1135" s="187" t="str">
        <f t="shared" si="109"/>
        <v>223-901</v>
      </c>
      <c r="K1135" s="187">
        <v>223</v>
      </c>
      <c r="L1135" s="187">
        <v>901</v>
      </c>
      <c r="M1135" s="187" t="str">
        <f t="shared" si="106"/>
        <v>223</v>
      </c>
      <c r="N1135" s="187">
        <f t="shared" si="107"/>
        <v>901</v>
      </c>
      <c r="O1135" s="187" t="str">
        <f t="shared" si="108"/>
        <v>223-901</v>
      </c>
      <c r="Q1135" s="679" t="s">
        <v>4377</v>
      </c>
    </row>
    <row r="1136" spans="1:17">
      <c r="A1136" s="788" t="s">
        <v>6679</v>
      </c>
      <c r="B1136" s="187" t="s">
        <v>6078</v>
      </c>
      <c r="C1136" s="215">
        <v>34319</v>
      </c>
      <c r="D1136" s="215">
        <v>635046</v>
      </c>
      <c r="F1136" s="215">
        <f t="shared" si="104"/>
        <v>635046</v>
      </c>
      <c r="G1136" s="215">
        <f t="shared" si="105"/>
        <v>669365</v>
      </c>
      <c r="H1136" s="680" t="s">
        <v>6153</v>
      </c>
      <c r="I1136" s="679"/>
      <c r="J1136" s="187" t="str">
        <f t="shared" si="109"/>
        <v>223-902</v>
      </c>
      <c r="K1136" s="187">
        <v>223</v>
      </c>
      <c r="L1136" s="187">
        <v>902</v>
      </c>
      <c r="M1136" s="187" t="str">
        <f t="shared" si="106"/>
        <v>223</v>
      </c>
      <c r="N1136" s="187">
        <f t="shared" si="107"/>
        <v>902</v>
      </c>
      <c r="O1136" s="187" t="str">
        <f t="shared" si="108"/>
        <v>223-902</v>
      </c>
      <c r="Q1136" s="679" t="s">
        <v>4378</v>
      </c>
    </row>
    <row r="1137" spans="1:17">
      <c r="A1137" s="788" t="s">
        <v>6122</v>
      </c>
      <c r="B1137" s="187" t="s">
        <v>1736</v>
      </c>
      <c r="C1137" s="215">
        <v>0</v>
      </c>
      <c r="D1137" s="215">
        <v>1319057</v>
      </c>
      <c r="F1137" s="215">
        <f t="shared" si="104"/>
        <v>1319057</v>
      </c>
      <c r="G1137" s="215">
        <f t="shared" si="105"/>
        <v>1319057</v>
      </c>
      <c r="H1137" s="680" t="s">
        <v>6153</v>
      </c>
      <c r="I1137" s="679"/>
      <c r="J1137" s="187" t="str">
        <f t="shared" si="109"/>
        <v>223-904</v>
      </c>
      <c r="K1137" s="187">
        <v>223</v>
      </c>
      <c r="L1137" s="187">
        <v>904</v>
      </c>
      <c r="M1137" s="187" t="str">
        <f t="shared" si="106"/>
        <v>223</v>
      </c>
      <c r="N1137" s="187">
        <f t="shared" si="107"/>
        <v>904</v>
      </c>
      <c r="O1137" s="187" t="str">
        <f t="shared" si="108"/>
        <v>223-904</v>
      </c>
      <c r="Q1137" s="679" t="s">
        <v>4379</v>
      </c>
    </row>
    <row r="1138" spans="1:17">
      <c r="A1138" s="788" t="s">
        <v>1801</v>
      </c>
      <c r="B1138" s="187" t="s">
        <v>1737</v>
      </c>
      <c r="C1138" s="215">
        <v>0</v>
      </c>
      <c r="D1138" s="215">
        <v>1180285</v>
      </c>
      <c r="F1138" s="215">
        <f t="shared" si="104"/>
        <v>1180285</v>
      </c>
      <c r="G1138" s="215">
        <f t="shared" si="105"/>
        <v>1180285</v>
      </c>
      <c r="H1138" s="680" t="s">
        <v>6153</v>
      </c>
      <c r="I1138" s="679"/>
      <c r="J1138" s="187" t="str">
        <f t="shared" si="109"/>
        <v>224-901</v>
      </c>
      <c r="K1138" s="187">
        <v>224</v>
      </c>
      <c r="L1138" s="187">
        <v>901</v>
      </c>
      <c r="M1138" s="187" t="str">
        <f t="shared" si="106"/>
        <v>224</v>
      </c>
      <c r="N1138" s="187">
        <f t="shared" si="107"/>
        <v>901</v>
      </c>
      <c r="O1138" s="187" t="str">
        <f t="shared" si="108"/>
        <v>224-901</v>
      </c>
      <c r="Q1138" s="679" t="s">
        <v>4381</v>
      </c>
    </row>
    <row r="1139" spans="1:17">
      <c r="A1139" s="788" t="s">
        <v>1803</v>
      </c>
      <c r="B1139" s="187" t="s">
        <v>1738</v>
      </c>
      <c r="C1139" s="215">
        <v>0</v>
      </c>
      <c r="D1139" s="215">
        <v>377877</v>
      </c>
      <c r="F1139" s="215">
        <f t="shared" si="104"/>
        <v>377877</v>
      </c>
      <c r="G1139" s="215">
        <f t="shared" si="105"/>
        <v>377877</v>
      </c>
      <c r="H1139" s="680" t="s">
        <v>6153</v>
      </c>
      <c r="I1139" s="679"/>
      <c r="J1139" s="187" t="str">
        <f t="shared" si="109"/>
        <v>224-902</v>
      </c>
      <c r="K1139" s="187">
        <v>224</v>
      </c>
      <c r="L1139" s="187">
        <v>902</v>
      </c>
      <c r="M1139" s="187" t="str">
        <f t="shared" si="106"/>
        <v>224</v>
      </c>
      <c r="N1139" s="187">
        <f t="shared" si="107"/>
        <v>902</v>
      </c>
      <c r="O1139" s="187" t="str">
        <f t="shared" si="108"/>
        <v>224-902</v>
      </c>
      <c r="Q1139" s="679" t="s">
        <v>4382</v>
      </c>
    </row>
    <row r="1140" spans="1:17">
      <c r="A1140" s="788" t="s">
        <v>1805</v>
      </c>
      <c r="B1140" s="187" t="s">
        <v>1739</v>
      </c>
      <c r="C1140" s="215">
        <v>829252</v>
      </c>
      <c r="D1140" s="215">
        <v>21495162</v>
      </c>
      <c r="F1140" s="215">
        <f t="shared" si="104"/>
        <v>21495162</v>
      </c>
      <c r="G1140" s="215">
        <f t="shared" si="105"/>
        <v>22324414</v>
      </c>
      <c r="H1140" s="680" t="s">
        <v>6153</v>
      </c>
      <c r="I1140" s="679"/>
      <c r="J1140" s="187" t="str">
        <f t="shared" si="109"/>
        <v>225-902</v>
      </c>
      <c r="K1140" s="187">
        <v>225</v>
      </c>
      <c r="L1140" s="187">
        <v>902</v>
      </c>
      <c r="M1140" s="187" t="str">
        <f t="shared" si="106"/>
        <v>225</v>
      </c>
      <c r="N1140" s="187">
        <f t="shared" si="107"/>
        <v>902</v>
      </c>
      <c r="O1140" s="187" t="str">
        <f t="shared" si="108"/>
        <v>225-902</v>
      </c>
      <c r="Q1140" s="679" t="s">
        <v>4383</v>
      </c>
    </row>
    <row r="1141" spans="1:17">
      <c r="A1141" s="788" t="s">
        <v>1807</v>
      </c>
      <c r="B1141" s="187" t="s">
        <v>1740</v>
      </c>
      <c r="C1141" s="215">
        <v>0</v>
      </c>
      <c r="D1141" s="215">
        <v>870262</v>
      </c>
      <c r="F1141" s="215">
        <f t="shared" si="104"/>
        <v>870262</v>
      </c>
      <c r="G1141" s="215">
        <f t="shared" si="105"/>
        <v>870262</v>
      </c>
      <c r="H1141" s="680" t="s">
        <v>6153</v>
      </c>
      <c r="I1141" s="679"/>
      <c r="J1141" s="187" t="str">
        <f t="shared" si="109"/>
        <v>225-905</v>
      </c>
      <c r="K1141" s="187">
        <v>225</v>
      </c>
      <c r="L1141" s="187">
        <v>905</v>
      </c>
      <c r="M1141" s="187" t="str">
        <f t="shared" si="106"/>
        <v>225</v>
      </c>
      <c r="N1141" s="187">
        <f t="shared" si="107"/>
        <v>905</v>
      </c>
      <c r="O1141" s="187" t="str">
        <f t="shared" si="108"/>
        <v>225-905</v>
      </c>
      <c r="Q1141" s="679" t="s">
        <v>4384</v>
      </c>
    </row>
    <row r="1142" spans="1:17">
      <c r="A1142" s="788" t="s">
        <v>5037</v>
      </c>
      <c r="B1142" s="187" t="s">
        <v>6106</v>
      </c>
      <c r="C1142" s="215">
        <v>48964</v>
      </c>
      <c r="D1142" s="215">
        <v>935141</v>
      </c>
      <c r="F1142" s="215">
        <f t="shared" si="104"/>
        <v>935141</v>
      </c>
      <c r="G1142" s="215">
        <f t="shared" si="105"/>
        <v>984105</v>
      </c>
      <c r="H1142" s="680" t="s">
        <v>6153</v>
      </c>
      <c r="I1142" s="679"/>
      <c r="J1142" s="187" t="str">
        <f t="shared" si="109"/>
        <v>225-906</v>
      </c>
      <c r="K1142" s="187">
        <v>225</v>
      </c>
      <c r="L1142" s="187">
        <v>906</v>
      </c>
      <c r="M1142" s="187" t="str">
        <f t="shared" si="106"/>
        <v>225</v>
      </c>
      <c r="N1142" s="187">
        <f t="shared" si="107"/>
        <v>906</v>
      </c>
      <c r="O1142" s="187" t="str">
        <f t="shared" si="108"/>
        <v>225-906</v>
      </c>
      <c r="Q1142" s="679" t="s">
        <v>4385</v>
      </c>
    </row>
    <row r="1143" spans="1:17">
      <c r="A1143" s="788" t="s">
        <v>1809</v>
      </c>
      <c r="B1143" s="187" t="s">
        <v>1741</v>
      </c>
      <c r="C1143" s="215">
        <v>0</v>
      </c>
      <c r="D1143" s="215">
        <v>1143224</v>
      </c>
      <c r="F1143" s="215">
        <f t="shared" si="104"/>
        <v>1143224</v>
      </c>
      <c r="G1143" s="215">
        <f t="shared" si="105"/>
        <v>1143224</v>
      </c>
      <c r="H1143" s="680" t="s">
        <v>6153</v>
      </c>
      <c r="I1143" s="679"/>
      <c r="J1143" s="187" t="str">
        <f t="shared" si="109"/>
        <v>225-907</v>
      </c>
      <c r="K1143" s="187">
        <v>225</v>
      </c>
      <c r="L1143" s="187">
        <v>907</v>
      </c>
      <c r="M1143" s="187" t="str">
        <f t="shared" si="106"/>
        <v>225</v>
      </c>
      <c r="N1143" s="187">
        <f t="shared" si="107"/>
        <v>907</v>
      </c>
      <c r="O1143" s="187" t="str">
        <f t="shared" si="108"/>
        <v>225-907</v>
      </c>
      <c r="Q1143" s="679" t="s">
        <v>4386</v>
      </c>
    </row>
    <row r="1144" spans="1:17">
      <c r="A1144" s="788" t="s">
        <v>3407</v>
      </c>
      <c r="B1144" s="187" t="s">
        <v>3408</v>
      </c>
      <c r="C1144" s="215">
        <v>0</v>
      </c>
      <c r="D1144" s="215">
        <v>0</v>
      </c>
      <c r="F1144" s="215">
        <f t="shared" si="104"/>
        <v>0</v>
      </c>
      <c r="G1144" s="215">
        <f t="shared" si="105"/>
        <v>0</v>
      </c>
      <c r="H1144" s="680" t="s">
        <v>6153</v>
      </c>
      <c r="I1144" s="679"/>
      <c r="J1144" s="187" t="str">
        <f t="shared" si="109"/>
        <v>225-950</v>
      </c>
      <c r="K1144" s="187">
        <v>225</v>
      </c>
      <c r="L1144" s="187">
        <v>950</v>
      </c>
      <c r="M1144" s="187" t="str">
        <f t="shared" si="106"/>
        <v>225</v>
      </c>
      <c r="N1144" s="187">
        <f t="shared" si="107"/>
        <v>950</v>
      </c>
      <c r="O1144" s="187" t="str">
        <f t="shared" si="108"/>
        <v>225-950</v>
      </c>
      <c r="Q1144" s="679" t="s">
        <v>6490</v>
      </c>
    </row>
    <row r="1145" spans="1:17">
      <c r="A1145" s="788" t="s">
        <v>1697</v>
      </c>
      <c r="B1145" s="187" t="s">
        <v>1742</v>
      </c>
      <c r="C1145" s="215">
        <v>90944</v>
      </c>
      <c r="D1145" s="215">
        <v>1238232</v>
      </c>
      <c r="F1145" s="215">
        <f t="shared" si="104"/>
        <v>1238232</v>
      </c>
      <c r="G1145" s="215">
        <f t="shared" si="105"/>
        <v>1329176</v>
      </c>
      <c r="H1145" s="680" t="s">
        <v>6153</v>
      </c>
      <c r="I1145" s="679"/>
      <c r="J1145" s="187" t="str">
        <f t="shared" si="109"/>
        <v>226-901</v>
      </c>
      <c r="K1145" s="187">
        <v>226</v>
      </c>
      <c r="L1145" s="187">
        <v>901</v>
      </c>
      <c r="M1145" s="187" t="str">
        <f t="shared" si="106"/>
        <v>226</v>
      </c>
      <c r="N1145" s="187">
        <f t="shared" si="107"/>
        <v>901</v>
      </c>
      <c r="O1145" s="187" t="str">
        <f t="shared" si="108"/>
        <v>226-901</v>
      </c>
      <c r="Q1145" s="679" t="s">
        <v>4387</v>
      </c>
    </row>
    <row r="1146" spans="1:17">
      <c r="A1146" s="788" t="s">
        <v>2385</v>
      </c>
      <c r="B1146" s="187" t="s">
        <v>378</v>
      </c>
      <c r="C1146" s="215">
        <v>1630561</v>
      </c>
      <c r="D1146" s="215">
        <v>32523799</v>
      </c>
      <c r="F1146" s="215">
        <f t="shared" si="104"/>
        <v>32523799</v>
      </c>
      <c r="G1146" s="215">
        <f t="shared" si="105"/>
        <v>34154360</v>
      </c>
      <c r="H1146" s="680" t="s">
        <v>6153</v>
      </c>
      <c r="I1146" s="679"/>
      <c r="J1146" s="187" t="str">
        <f t="shared" si="109"/>
        <v>226-903</v>
      </c>
      <c r="K1146" s="187">
        <v>226</v>
      </c>
      <c r="L1146" s="187">
        <v>903</v>
      </c>
      <c r="M1146" s="187" t="str">
        <f t="shared" si="106"/>
        <v>226</v>
      </c>
      <c r="N1146" s="187">
        <f t="shared" si="107"/>
        <v>903</v>
      </c>
      <c r="O1146" s="187" t="str">
        <f t="shared" si="108"/>
        <v>226-903</v>
      </c>
      <c r="Q1146" s="679" t="s">
        <v>4388</v>
      </c>
    </row>
    <row r="1147" spans="1:17">
      <c r="A1147" s="788" t="s">
        <v>1699</v>
      </c>
      <c r="B1147" s="187" t="s">
        <v>1743</v>
      </c>
      <c r="C1147" s="215">
        <v>152279</v>
      </c>
      <c r="D1147" s="215">
        <v>1100224</v>
      </c>
      <c r="F1147" s="215">
        <f t="shared" si="104"/>
        <v>1100224</v>
      </c>
      <c r="G1147" s="215">
        <f t="shared" si="105"/>
        <v>1252503</v>
      </c>
      <c r="H1147" s="680" t="s">
        <v>6153</v>
      </c>
      <c r="I1147" s="679"/>
      <c r="J1147" s="187" t="str">
        <f t="shared" si="109"/>
        <v>226-905</v>
      </c>
      <c r="K1147" s="187">
        <v>226</v>
      </c>
      <c r="L1147" s="187">
        <v>905</v>
      </c>
      <c r="M1147" s="187" t="str">
        <f t="shared" si="106"/>
        <v>226</v>
      </c>
      <c r="N1147" s="187">
        <f t="shared" si="107"/>
        <v>905</v>
      </c>
      <c r="O1147" s="187" t="str">
        <f t="shared" si="108"/>
        <v>226-905</v>
      </c>
      <c r="Q1147" s="679" t="s">
        <v>4389</v>
      </c>
    </row>
    <row r="1148" spans="1:17">
      <c r="A1148" s="788" t="s">
        <v>3554</v>
      </c>
      <c r="B1148" s="187" t="s">
        <v>4061</v>
      </c>
      <c r="C1148" s="215">
        <v>208916</v>
      </c>
      <c r="D1148" s="215">
        <v>2055685</v>
      </c>
      <c r="F1148" s="215">
        <f t="shared" si="104"/>
        <v>2055685</v>
      </c>
      <c r="G1148" s="215">
        <f t="shared" si="105"/>
        <v>2264601</v>
      </c>
      <c r="H1148" s="680" t="s">
        <v>6153</v>
      </c>
      <c r="I1148" s="679"/>
      <c r="J1148" s="187" t="str">
        <f t="shared" si="109"/>
        <v>226-906</v>
      </c>
      <c r="K1148" s="187">
        <v>226</v>
      </c>
      <c r="L1148" s="187">
        <v>906</v>
      </c>
      <c r="M1148" s="187" t="str">
        <f t="shared" si="106"/>
        <v>226</v>
      </c>
      <c r="N1148" s="187">
        <f t="shared" si="107"/>
        <v>906</v>
      </c>
      <c r="O1148" s="187" t="str">
        <f t="shared" si="108"/>
        <v>226-906</v>
      </c>
      <c r="Q1148" s="679" t="s">
        <v>4390</v>
      </c>
    </row>
    <row r="1149" spans="1:17">
      <c r="A1149" s="788" t="s">
        <v>1857</v>
      </c>
      <c r="B1149" s="187" t="s">
        <v>3913</v>
      </c>
      <c r="C1149" s="215">
        <v>196433</v>
      </c>
      <c r="D1149" s="215">
        <v>1437666</v>
      </c>
      <c r="F1149" s="215">
        <f t="shared" si="104"/>
        <v>1437666</v>
      </c>
      <c r="G1149" s="215">
        <f t="shared" si="105"/>
        <v>1634099</v>
      </c>
      <c r="H1149" s="680" t="s">
        <v>6153</v>
      </c>
      <c r="I1149" s="679"/>
      <c r="J1149" s="187" t="str">
        <f t="shared" si="109"/>
        <v>226-907</v>
      </c>
      <c r="K1149" s="187">
        <v>226</v>
      </c>
      <c r="L1149" s="187">
        <v>907</v>
      </c>
      <c r="M1149" s="187" t="str">
        <f t="shared" si="106"/>
        <v>226</v>
      </c>
      <c r="N1149" s="187">
        <f t="shared" si="107"/>
        <v>907</v>
      </c>
      <c r="O1149" s="187" t="str">
        <f t="shared" si="108"/>
        <v>226-907</v>
      </c>
      <c r="Q1149" s="679" t="s">
        <v>4391</v>
      </c>
    </row>
    <row r="1150" spans="1:17">
      <c r="A1150" s="788" t="s">
        <v>7288</v>
      </c>
      <c r="B1150" s="187" t="s">
        <v>7132</v>
      </c>
      <c r="C1150" s="215">
        <v>69828</v>
      </c>
      <c r="D1150" s="215">
        <v>874279</v>
      </c>
      <c r="F1150" s="215">
        <f t="shared" si="104"/>
        <v>874279</v>
      </c>
      <c r="G1150" s="215">
        <f t="shared" si="105"/>
        <v>944107</v>
      </c>
      <c r="H1150" s="680" t="s">
        <v>6153</v>
      </c>
      <c r="I1150" s="679"/>
      <c r="J1150" s="187" t="str">
        <f t="shared" si="109"/>
        <v>226-908</v>
      </c>
      <c r="K1150" s="187">
        <v>226</v>
      </c>
      <c r="L1150" s="187">
        <v>908</v>
      </c>
      <c r="M1150" s="187" t="str">
        <f t="shared" si="106"/>
        <v>226</v>
      </c>
      <c r="N1150" s="187">
        <f t="shared" si="107"/>
        <v>908</v>
      </c>
      <c r="O1150" s="187" t="str">
        <f t="shared" si="108"/>
        <v>226-908</v>
      </c>
      <c r="Q1150" s="679" t="s">
        <v>4392</v>
      </c>
    </row>
    <row r="1151" spans="1:17">
      <c r="A1151" s="788" t="s">
        <v>3409</v>
      </c>
      <c r="B1151" s="187" t="s">
        <v>3410</v>
      </c>
      <c r="C1151" s="215">
        <v>0</v>
      </c>
      <c r="D1151" s="215">
        <v>0</v>
      </c>
      <c r="F1151" s="215">
        <f t="shared" si="104"/>
        <v>0</v>
      </c>
      <c r="G1151" s="215">
        <f t="shared" si="105"/>
        <v>0</v>
      </c>
      <c r="H1151" s="680" t="s">
        <v>6153</v>
      </c>
      <c r="I1151" s="679"/>
      <c r="J1151" s="187" t="str">
        <f t="shared" si="109"/>
        <v>226-950</v>
      </c>
      <c r="K1151" s="187">
        <v>226</v>
      </c>
      <c r="L1151" s="187">
        <v>950</v>
      </c>
      <c r="M1151" s="187" t="str">
        <f t="shared" si="106"/>
        <v>226</v>
      </c>
      <c r="N1151" s="187">
        <f t="shared" si="107"/>
        <v>950</v>
      </c>
      <c r="O1151" s="187" t="str">
        <f t="shared" si="108"/>
        <v>226-950</v>
      </c>
      <c r="Q1151" s="679" t="s">
        <v>6491</v>
      </c>
    </row>
    <row r="1152" spans="1:17">
      <c r="A1152" s="788" t="s">
        <v>3411</v>
      </c>
      <c r="B1152" s="187" t="s">
        <v>3412</v>
      </c>
      <c r="C1152" s="215">
        <v>0</v>
      </c>
      <c r="D1152" s="215">
        <v>0</v>
      </c>
      <c r="F1152" s="215">
        <f t="shared" si="104"/>
        <v>0</v>
      </c>
      <c r="G1152" s="215">
        <f t="shared" si="105"/>
        <v>0</v>
      </c>
      <c r="H1152" s="680" t="s">
        <v>6153</v>
      </c>
      <c r="I1152" s="679"/>
      <c r="J1152" s="187" t="str">
        <f t="shared" si="109"/>
        <v>227-801</v>
      </c>
      <c r="K1152" s="187">
        <v>227</v>
      </c>
      <c r="L1152" s="187">
        <v>801</v>
      </c>
      <c r="M1152" s="187" t="str">
        <f t="shared" si="106"/>
        <v>227</v>
      </c>
      <c r="N1152" s="187">
        <f t="shared" si="107"/>
        <v>801</v>
      </c>
      <c r="O1152" s="187" t="str">
        <f t="shared" si="108"/>
        <v>227-801</v>
      </c>
      <c r="Q1152" s="679" t="s">
        <v>6492</v>
      </c>
    </row>
    <row r="1153" spans="1:17">
      <c r="A1153" s="788" t="s">
        <v>3413</v>
      </c>
      <c r="B1153" s="187" t="s">
        <v>3414</v>
      </c>
      <c r="C1153" s="215">
        <v>0</v>
      </c>
      <c r="D1153" s="215">
        <v>0</v>
      </c>
      <c r="F1153" s="215">
        <f t="shared" si="104"/>
        <v>0</v>
      </c>
      <c r="G1153" s="215">
        <f t="shared" si="105"/>
        <v>0</v>
      </c>
      <c r="H1153" s="680" t="s">
        <v>6153</v>
      </c>
      <c r="I1153" s="679"/>
      <c r="J1153" s="187" t="str">
        <f t="shared" si="109"/>
        <v>227-802</v>
      </c>
      <c r="K1153" s="187">
        <v>227</v>
      </c>
      <c r="L1153" s="187">
        <v>802</v>
      </c>
      <c r="M1153" s="187" t="str">
        <f t="shared" si="106"/>
        <v>227</v>
      </c>
      <c r="N1153" s="187">
        <f t="shared" si="107"/>
        <v>802</v>
      </c>
      <c r="O1153" s="187" t="str">
        <f t="shared" si="108"/>
        <v>227-802</v>
      </c>
      <c r="Q1153" s="679" t="s">
        <v>6493</v>
      </c>
    </row>
    <row r="1154" spans="1:17">
      <c r="A1154" s="788" t="s">
        <v>3415</v>
      </c>
      <c r="B1154" s="187" t="s">
        <v>3416</v>
      </c>
      <c r="C1154" s="215">
        <v>0</v>
      </c>
      <c r="D1154" s="215">
        <v>0</v>
      </c>
      <c r="F1154" s="215">
        <f t="shared" si="104"/>
        <v>0</v>
      </c>
      <c r="G1154" s="215">
        <f t="shared" si="105"/>
        <v>0</v>
      </c>
      <c r="H1154" s="680" t="s">
        <v>6153</v>
      </c>
      <c r="I1154" s="679"/>
      <c r="J1154" s="187" t="str">
        <f t="shared" si="109"/>
        <v>227-803</v>
      </c>
      <c r="K1154" s="187">
        <v>227</v>
      </c>
      <c r="L1154" s="187">
        <v>803</v>
      </c>
      <c r="M1154" s="187" t="str">
        <f t="shared" si="106"/>
        <v>227</v>
      </c>
      <c r="N1154" s="187">
        <f t="shared" si="107"/>
        <v>803</v>
      </c>
      <c r="O1154" s="187" t="str">
        <f t="shared" si="108"/>
        <v>227-803</v>
      </c>
      <c r="Q1154" s="679" t="s">
        <v>6494</v>
      </c>
    </row>
    <row r="1155" spans="1:17">
      <c r="A1155" s="788" t="s">
        <v>3417</v>
      </c>
      <c r="B1155" s="187" t="s">
        <v>3418</v>
      </c>
      <c r="C1155" s="215">
        <v>0</v>
      </c>
      <c r="D1155" s="215">
        <v>0</v>
      </c>
      <c r="F1155" s="215">
        <f t="shared" si="104"/>
        <v>0</v>
      </c>
      <c r="G1155" s="215">
        <f t="shared" si="105"/>
        <v>0</v>
      </c>
      <c r="H1155" s="680" t="s">
        <v>6153</v>
      </c>
      <c r="I1155" s="679"/>
      <c r="J1155" s="187" t="str">
        <f t="shared" si="109"/>
        <v>227-804</v>
      </c>
      <c r="K1155" s="187">
        <v>227</v>
      </c>
      <c r="L1155" s="187">
        <v>804</v>
      </c>
      <c r="M1155" s="187" t="str">
        <f t="shared" si="106"/>
        <v>227</v>
      </c>
      <c r="N1155" s="187">
        <f t="shared" si="107"/>
        <v>804</v>
      </c>
      <c r="O1155" s="187" t="str">
        <f t="shared" si="108"/>
        <v>227-804</v>
      </c>
      <c r="Q1155" s="679" t="s">
        <v>6495</v>
      </c>
    </row>
    <row r="1156" spans="1:17">
      <c r="A1156" s="788" t="s">
        <v>3419</v>
      </c>
      <c r="B1156" s="187" t="s">
        <v>3420</v>
      </c>
      <c r="C1156" s="215">
        <v>0</v>
      </c>
      <c r="D1156" s="215">
        <v>0</v>
      </c>
      <c r="F1156" s="215">
        <f t="shared" ref="F1156:F1219" si="110">D1156+E1156</f>
        <v>0</v>
      </c>
      <c r="G1156" s="215">
        <f t="shared" ref="G1156:G1219" si="111">F1156+C1156</f>
        <v>0</v>
      </c>
      <c r="H1156" s="680" t="s">
        <v>6153</v>
      </c>
      <c r="I1156" s="679"/>
      <c r="J1156" s="187" t="str">
        <f t="shared" si="109"/>
        <v>227-805</v>
      </c>
      <c r="K1156" s="187">
        <v>227</v>
      </c>
      <c r="L1156" s="187">
        <v>805</v>
      </c>
      <c r="M1156" s="187" t="str">
        <f t="shared" ref="M1156:M1219" si="112">+I1156&amp;K1156</f>
        <v>227</v>
      </c>
      <c r="N1156" s="187">
        <f t="shared" ref="N1156:N1219" si="113">+L1156</f>
        <v>805</v>
      </c>
      <c r="O1156" s="187" t="str">
        <f t="shared" ref="O1156:O1219" si="114">+M1156&amp;"-"&amp;N1156</f>
        <v>227-805</v>
      </c>
      <c r="Q1156" s="679" t="s">
        <v>6496</v>
      </c>
    </row>
    <row r="1157" spans="1:17">
      <c r="A1157" s="788" t="s">
        <v>3421</v>
      </c>
      <c r="B1157" s="187" t="s">
        <v>3422</v>
      </c>
      <c r="C1157" s="215">
        <v>0</v>
      </c>
      <c r="D1157" s="215">
        <v>0</v>
      </c>
      <c r="F1157" s="215">
        <f t="shared" si="110"/>
        <v>0</v>
      </c>
      <c r="G1157" s="215">
        <f t="shared" si="111"/>
        <v>0</v>
      </c>
      <c r="H1157" s="680" t="s">
        <v>6153</v>
      </c>
      <c r="I1157" s="679"/>
      <c r="J1157" s="187" t="str">
        <f t="shared" si="109"/>
        <v>227-806</v>
      </c>
      <c r="K1157" s="187">
        <v>227</v>
      </c>
      <c r="L1157" s="187">
        <v>806</v>
      </c>
      <c r="M1157" s="187" t="str">
        <f t="shared" si="112"/>
        <v>227</v>
      </c>
      <c r="N1157" s="187">
        <f t="shared" si="113"/>
        <v>806</v>
      </c>
      <c r="O1157" s="187" t="str">
        <f t="shared" si="114"/>
        <v>227-806</v>
      </c>
      <c r="Q1157" s="679" t="s">
        <v>6497</v>
      </c>
    </row>
    <row r="1158" spans="1:17">
      <c r="A1158" s="788" t="s">
        <v>3423</v>
      </c>
      <c r="B1158" s="187" t="s">
        <v>3424</v>
      </c>
      <c r="C1158" s="215">
        <v>0</v>
      </c>
      <c r="D1158" s="215">
        <v>0</v>
      </c>
      <c r="F1158" s="215">
        <f t="shared" si="110"/>
        <v>0</v>
      </c>
      <c r="G1158" s="215">
        <f t="shared" si="111"/>
        <v>0</v>
      </c>
      <c r="H1158" s="680" t="s">
        <v>6153</v>
      </c>
      <c r="I1158" s="679"/>
      <c r="J1158" s="187" t="str">
        <f t="shared" si="109"/>
        <v>227-811</v>
      </c>
      <c r="K1158" s="187">
        <v>227</v>
      </c>
      <c r="L1158" s="187">
        <v>811</v>
      </c>
      <c r="M1158" s="187" t="str">
        <f t="shared" si="112"/>
        <v>227</v>
      </c>
      <c r="N1158" s="187">
        <f t="shared" si="113"/>
        <v>811</v>
      </c>
      <c r="O1158" s="187" t="str">
        <f t="shared" si="114"/>
        <v>227-811</v>
      </c>
      <c r="Q1158" s="679" t="s">
        <v>6498</v>
      </c>
    </row>
    <row r="1159" spans="1:17">
      <c r="A1159" s="788" t="s">
        <v>3425</v>
      </c>
      <c r="B1159" s="187" t="s">
        <v>3426</v>
      </c>
      <c r="C1159" s="215">
        <v>0</v>
      </c>
      <c r="D1159" s="215">
        <v>0</v>
      </c>
      <c r="F1159" s="215">
        <f t="shared" si="110"/>
        <v>0</v>
      </c>
      <c r="G1159" s="215">
        <f t="shared" si="111"/>
        <v>0</v>
      </c>
      <c r="H1159" s="680" t="s">
        <v>6153</v>
      </c>
      <c r="I1159" s="679"/>
      <c r="J1159" s="187" t="str">
        <f t="shared" si="109"/>
        <v>227-812</v>
      </c>
      <c r="K1159" s="187">
        <v>227</v>
      </c>
      <c r="L1159" s="187">
        <v>812</v>
      </c>
      <c r="M1159" s="187" t="str">
        <f t="shared" si="112"/>
        <v>227</v>
      </c>
      <c r="N1159" s="187">
        <f t="shared" si="113"/>
        <v>812</v>
      </c>
      <c r="O1159" s="187" t="str">
        <f t="shared" si="114"/>
        <v>227-812</v>
      </c>
      <c r="Q1159" s="679" t="s">
        <v>6499</v>
      </c>
    </row>
    <row r="1160" spans="1:17">
      <c r="A1160" s="788" t="s">
        <v>7127</v>
      </c>
      <c r="B1160" s="187" t="s">
        <v>3427</v>
      </c>
      <c r="C1160" s="215">
        <v>0</v>
      </c>
      <c r="D1160" s="215">
        <v>0</v>
      </c>
      <c r="F1160" s="215">
        <f t="shared" si="110"/>
        <v>0</v>
      </c>
      <c r="G1160" s="215">
        <f t="shared" si="111"/>
        <v>0</v>
      </c>
      <c r="H1160" s="680" t="s">
        <v>6153</v>
      </c>
      <c r="I1160" s="679"/>
      <c r="J1160" s="187" t="str">
        <f t="shared" si="109"/>
        <v>227-814</v>
      </c>
      <c r="K1160" s="187">
        <v>227</v>
      </c>
      <c r="L1160" s="187">
        <v>814</v>
      </c>
      <c r="M1160" s="187" t="str">
        <f t="shared" si="112"/>
        <v>227</v>
      </c>
      <c r="N1160" s="187">
        <f t="shared" si="113"/>
        <v>814</v>
      </c>
      <c r="O1160" s="187" t="str">
        <f t="shared" si="114"/>
        <v>227-814</v>
      </c>
      <c r="Q1160" s="679" t="s">
        <v>6500</v>
      </c>
    </row>
    <row r="1161" spans="1:17">
      <c r="A1161" s="788" t="s">
        <v>6501</v>
      </c>
      <c r="B1161" s="187" t="s">
        <v>6502</v>
      </c>
      <c r="C1161" s="215">
        <v>0</v>
      </c>
      <c r="D1161" s="215">
        <v>0</v>
      </c>
      <c r="F1161" s="215">
        <f t="shared" si="110"/>
        <v>0</v>
      </c>
      <c r="G1161" s="215">
        <f t="shared" si="111"/>
        <v>0</v>
      </c>
      <c r="H1161" s="680" t="s">
        <v>6153</v>
      </c>
      <c r="I1161" s="679"/>
      <c r="J1161" s="187" t="str">
        <f t="shared" si="109"/>
        <v>227-815</v>
      </c>
      <c r="K1161" s="187">
        <v>227</v>
      </c>
      <c r="L1161" s="187">
        <v>815</v>
      </c>
      <c r="M1161" s="187" t="str">
        <f t="shared" si="112"/>
        <v>227</v>
      </c>
      <c r="N1161" s="187">
        <f t="shared" si="113"/>
        <v>815</v>
      </c>
      <c r="O1161" s="187" t="str">
        <f t="shared" si="114"/>
        <v>227-815</v>
      </c>
      <c r="Q1161" s="679" t="s">
        <v>6503</v>
      </c>
    </row>
    <row r="1162" spans="1:17">
      <c r="A1162" s="788" t="s">
        <v>3428</v>
      </c>
      <c r="B1162" s="187" t="s">
        <v>3429</v>
      </c>
      <c r="C1162" s="215">
        <v>0</v>
      </c>
      <c r="D1162" s="215">
        <v>0</v>
      </c>
      <c r="F1162" s="215">
        <f t="shared" si="110"/>
        <v>0</v>
      </c>
      <c r="G1162" s="215">
        <f t="shared" si="111"/>
        <v>0</v>
      </c>
      <c r="H1162" s="680" t="s">
        <v>6153</v>
      </c>
      <c r="I1162" s="679"/>
      <c r="J1162" s="187" t="str">
        <f t="shared" si="109"/>
        <v>227-816</v>
      </c>
      <c r="K1162" s="187">
        <v>227</v>
      </c>
      <c r="L1162" s="187">
        <v>816</v>
      </c>
      <c r="M1162" s="187" t="str">
        <f t="shared" si="112"/>
        <v>227</v>
      </c>
      <c r="N1162" s="187">
        <f t="shared" si="113"/>
        <v>816</v>
      </c>
      <c r="O1162" s="187" t="str">
        <f t="shared" si="114"/>
        <v>227-816</v>
      </c>
      <c r="Q1162" s="679" t="s">
        <v>6504</v>
      </c>
    </row>
    <row r="1163" spans="1:17">
      <c r="A1163" s="788" t="s">
        <v>3430</v>
      </c>
      <c r="B1163" s="187" t="s">
        <v>3431</v>
      </c>
      <c r="C1163" s="215">
        <v>0</v>
      </c>
      <c r="D1163" s="215">
        <v>0</v>
      </c>
      <c r="F1163" s="215">
        <f t="shared" si="110"/>
        <v>0</v>
      </c>
      <c r="G1163" s="215">
        <f t="shared" si="111"/>
        <v>0</v>
      </c>
      <c r="H1163" s="680" t="s">
        <v>6153</v>
      </c>
      <c r="I1163" s="679"/>
      <c r="J1163" s="187" t="str">
        <f t="shared" si="109"/>
        <v>227-817</v>
      </c>
      <c r="K1163" s="187">
        <v>227</v>
      </c>
      <c r="L1163" s="187">
        <v>817</v>
      </c>
      <c r="M1163" s="187" t="str">
        <f t="shared" si="112"/>
        <v>227</v>
      </c>
      <c r="N1163" s="187">
        <f t="shared" si="113"/>
        <v>817</v>
      </c>
      <c r="O1163" s="187" t="str">
        <f t="shared" si="114"/>
        <v>227-817</v>
      </c>
      <c r="Q1163" s="679" t="s">
        <v>6505</v>
      </c>
    </row>
    <row r="1164" spans="1:17">
      <c r="A1164" s="788" t="s">
        <v>3432</v>
      </c>
      <c r="B1164" s="187" t="s">
        <v>3433</v>
      </c>
      <c r="C1164" s="215">
        <v>0</v>
      </c>
      <c r="D1164" s="215">
        <v>0</v>
      </c>
      <c r="F1164" s="215">
        <f t="shared" si="110"/>
        <v>0</v>
      </c>
      <c r="G1164" s="215">
        <f t="shared" si="111"/>
        <v>0</v>
      </c>
      <c r="H1164" s="680" t="s">
        <v>6153</v>
      </c>
      <c r="I1164" s="679"/>
      <c r="J1164" s="187" t="str">
        <f t="shared" si="109"/>
        <v>227-818</v>
      </c>
      <c r="K1164" s="187">
        <v>227</v>
      </c>
      <c r="L1164" s="187">
        <v>818</v>
      </c>
      <c r="M1164" s="187" t="str">
        <f t="shared" si="112"/>
        <v>227</v>
      </c>
      <c r="N1164" s="187">
        <f t="shared" si="113"/>
        <v>818</v>
      </c>
      <c r="O1164" s="187" t="str">
        <f t="shared" si="114"/>
        <v>227-818</v>
      </c>
      <c r="Q1164" s="679" t="s">
        <v>6506</v>
      </c>
    </row>
    <row r="1165" spans="1:17">
      <c r="A1165" s="788" t="s">
        <v>3434</v>
      </c>
      <c r="B1165" s="187" t="s">
        <v>3435</v>
      </c>
      <c r="C1165" s="215">
        <v>0</v>
      </c>
      <c r="D1165" s="215">
        <v>0</v>
      </c>
      <c r="F1165" s="215">
        <f t="shared" si="110"/>
        <v>0</v>
      </c>
      <c r="G1165" s="215">
        <f t="shared" si="111"/>
        <v>0</v>
      </c>
      <c r="H1165" s="680" t="s">
        <v>6153</v>
      </c>
      <c r="I1165" s="679"/>
      <c r="J1165" s="187" t="str">
        <f t="shared" si="109"/>
        <v>227-819</v>
      </c>
      <c r="K1165" s="187">
        <v>227</v>
      </c>
      <c r="L1165" s="187">
        <v>819</v>
      </c>
      <c r="M1165" s="187" t="str">
        <f t="shared" si="112"/>
        <v>227</v>
      </c>
      <c r="N1165" s="187">
        <f t="shared" si="113"/>
        <v>819</v>
      </c>
      <c r="O1165" s="187" t="str">
        <f t="shared" si="114"/>
        <v>227-819</v>
      </c>
      <c r="Q1165" s="679" t="s">
        <v>6507</v>
      </c>
    </row>
    <row r="1166" spans="1:17">
      <c r="A1166" s="788" t="s">
        <v>3436</v>
      </c>
      <c r="B1166" s="187" t="s">
        <v>3437</v>
      </c>
      <c r="C1166" s="215">
        <v>0</v>
      </c>
      <c r="D1166" s="215">
        <v>0</v>
      </c>
      <c r="F1166" s="215">
        <f t="shared" si="110"/>
        <v>0</v>
      </c>
      <c r="G1166" s="215">
        <f t="shared" si="111"/>
        <v>0</v>
      </c>
      <c r="H1166" s="680" t="s">
        <v>6153</v>
      </c>
      <c r="I1166" s="679"/>
      <c r="J1166" s="187" t="str">
        <f t="shared" si="109"/>
        <v>227-820</v>
      </c>
      <c r="K1166" s="187">
        <v>227</v>
      </c>
      <c r="L1166" s="187">
        <v>820</v>
      </c>
      <c r="M1166" s="187" t="str">
        <f t="shared" si="112"/>
        <v>227</v>
      </c>
      <c r="N1166" s="187">
        <f t="shared" si="113"/>
        <v>820</v>
      </c>
      <c r="O1166" s="187" t="str">
        <f t="shared" si="114"/>
        <v>227-820</v>
      </c>
      <c r="Q1166" s="679" t="s">
        <v>6508</v>
      </c>
    </row>
    <row r="1167" spans="1:17">
      <c r="A1167" s="788" t="s">
        <v>2791</v>
      </c>
      <c r="B1167" s="187" t="s">
        <v>1744</v>
      </c>
      <c r="C1167" s="215">
        <v>46991768</v>
      </c>
      <c r="D1167" s="215">
        <v>573122092</v>
      </c>
      <c r="F1167" s="215">
        <f t="shared" si="110"/>
        <v>573122092</v>
      </c>
      <c r="G1167" s="215">
        <f t="shared" si="111"/>
        <v>620113860</v>
      </c>
      <c r="H1167" s="680" t="s">
        <v>6153</v>
      </c>
      <c r="I1167" s="679"/>
      <c r="J1167" s="187" t="str">
        <f t="shared" si="109"/>
        <v>227-901</v>
      </c>
      <c r="K1167" s="187">
        <v>227</v>
      </c>
      <c r="L1167" s="187">
        <v>901</v>
      </c>
      <c r="M1167" s="187" t="str">
        <f t="shared" si="112"/>
        <v>227</v>
      </c>
      <c r="N1167" s="187">
        <f t="shared" si="113"/>
        <v>901</v>
      </c>
      <c r="O1167" s="187" t="str">
        <f t="shared" si="114"/>
        <v>227-901</v>
      </c>
      <c r="Q1167" s="679" t="s">
        <v>4393</v>
      </c>
    </row>
    <row r="1168" spans="1:17">
      <c r="A1168" s="788" t="s">
        <v>5124</v>
      </c>
      <c r="B1168" s="187" t="s">
        <v>339</v>
      </c>
      <c r="C1168" s="215">
        <v>16607679</v>
      </c>
      <c r="D1168" s="215">
        <v>72768805</v>
      </c>
      <c r="F1168" s="215">
        <f t="shared" si="110"/>
        <v>72768805</v>
      </c>
      <c r="G1168" s="215">
        <f t="shared" si="111"/>
        <v>89376484</v>
      </c>
      <c r="H1168" s="680" t="s">
        <v>6153</v>
      </c>
      <c r="I1168" s="679"/>
      <c r="J1168" s="187" t="str">
        <f t="shared" si="109"/>
        <v>227-904</v>
      </c>
      <c r="K1168" s="187">
        <v>227</v>
      </c>
      <c r="L1168" s="187">
        <v>904</v>
      </c>
      <c r="M1168" s="187" t="str">
        <f t="shared" si="112"/>
        <v>227</v>
      </c>
      <c r="N1168" s="187">
        <f t="shared" si="113"/>
        <v>904</v>
      </c>
      <c r="O1168" s="187" t="str">
        <f t="shared" si="114"/>
        <v>227-904</v>
      </c>
      <c r="Q1168" s="679" t="s">
        <v>4394</v>
      </c>
    </row>
    <row r="1169" spans="1:17">
      <c r="A1169" s="788" t="s">
        <v>3439</v>
      </c>
      <c r="B1169" s="187" t="s">
        <v>3440</v>
      </c>
      <c r="C1169" s="215">
        <v>0</v>
      </c>
      <c r="D1169" s="215">
        <v>0</v>
      </c>
      <c r="F1169" s="215">
        <f t="shared" si="110"/>
        <v>0</v>
      </c>
      <c r="G1169" s="215">
        <f t="shared" si="111"/>
        <v>0</v>
      </c>
      <c r="H1169" s="680" t="s">
        <v>6153</v>
      </c>
      <c r="I1169" s="679"/>
      <c r="J1169" s="187" t="str">
        <f t="shared" si="109"/>
        <v>227-905</v>
      </c>
      <c r="K1169" s="187">
        <v>227</v>
      </c>
      <c r="L1169" s="187">
        <v>905</v>
      </c>
      <c r="M1169" s="187" t="str">
        <f t="shared" si="112"/>
        <v>227</v>
      </c>
      <c r="N1169" s="187">
        <f t="shared" si="113"/>
        <v>905</v>
      </c>
      <c r="O1169" s="187" t="str">
        <f t="shared" si="114"/>
        <v>227-905</v>
      </c>
      <c r="Q1169" s="679" t="s">
        <v>6509</v>
      </c>
    </row>
    <row r="1170" spans="1:17">
      <c r="A1170" s="788" t="s">
        <v>3441</v>
      </c>
      <c r="B1170" s="187" t="s">
        <v>3442</v>
      </c>
      <c r="C1170" s="215">
        <v>0</v>
      </c>
      <c r="D1170" s="215">
        <v>0</v>
      </c>
      <c r="F1170" s="215">
        <f t="shared" si="110"/>
        <v>0</v>
      </c>
      <c r="G1170" s="215">
        <f t="shared" si="111"/>
        <v>0</v>
      </c>
      <c r="H1170" s="680" t="s">
        <v>6153</v>
      </c>
      <c r="I1170" s="679"/>
      <c r="J1170" s="187" t="str">
        <f t="shared" si="109"/>
        <v>227-906</v>
      </c>
      <c r="K1170" s="187">
        <v>227</v>
      </c>
      <c r="L1170" s="187">
        <v>906</v>
      </c>
      <c r="M1170" s="187" t="str">
        <f t="shared" si="112"/>
        <v>227</v>
      </c>
      <c r="N1170" s="187">
        <f t="shared" si="113"/>
        <v>906</v>
      </c>
      <c r="O1170" s="187" t="str">
        <f t="shared" si="114"/>
        <v>227-906</v>
      </c>
      <c r="Q1170" s="679" t="s">
        <v>6510</v>
      </c>
    </row>
    <row r="1171" spans="1:17">
      <c r="A1171" s="788" t="s">
        <v>2793</v>
      </c>
      <c r="B1171" s="187" t="s">
        <v>1745</v>
      </c>
      <c r="C1171" s="215">
        <v>4709333</v>
      </c>
      <c r="D1171" s="215">
        <v>21709062</v>
      </c>
      <c r="F1171" s="215">
        <f t="shared" si="110"/>
        <v>21709062</v>
      </c>
      <c r="G1171" s="215">
        <f t="shared" si="111"/>
        <v>26418395</v>
      </c>
      <c r="H1171" s="680" t="s">
        <v>6153</v>
      </c>
      <c r="I1171" s="679"/>
      <c r="J1171" s="187" t="str">
        <f t="shared" si="109"/>
        <v>227-907</v>
      </c>
      <c r="K1171" s="187">
        <v>227</v>
      </c>
      <c r="L1171" s="187">
        <v>907</v>
      </c>
      <c r="M1171" s="187" t="str">
        <f t="shared" si="112"/>
        <v>227</v>
      </c>
      <c r="N1171" s="187">
        <f t="shared" si="113"/>
        <v>907</v>
      </c>
      <c r="O1171" s="187" t="str">
        <f t="shared" si="114"/>
        <v>227-907</v>
      </c>
      <c r="Q1171" s="679" t="s">
        <v>4395</v>
      </c>
    </row>
    <row r="1172" spans="1:17">
      <c r="A1172" s="788" t="s">
        <v>2795</v>
      </c>
      <c r="B1172" s="187" t="s">
        <v>1746</v>
      </c>
      <c r="C1172" s="215">
        <v>10223504</v>
      </c>
      <c r="D1172" s="215">
        <v>89773815</v>
      </c>
      <c r="F1172" s="215">
        <f t="shared" si="110"/>
        <v>89773815</v>
      </c>
      <c r="G1172" s="215">
        <f t="shared" si="111"/>
        <v>99997319</v>
      </c>
      <c r="H1172" s="680" t="s">
        <v>6153</v>
      </c>
      <c r="I1172" s="679"/>
      <c r="J1172" s="187" t="str">
        <f t="shared" si="109"/>
        <v>227-909</v>
      </c>
      <c r="K1172" s="187">
        <v>227</v>
      </c>
      <c r="L1172" s="187">
        <v>909</v>
      </c>
      <c r="M1172" s="187" t="str">
        <f t="shared" si="112"/>
        <v>227</v>
      </c>
      <c r="N1172" s="187">
        <f t="shared" si="113"/>
        <v>909</v>
      </c>
      <c r="O1172" s="187" t="str">
        <f t="shared" si="114"/>
        <v>227-909</v>
      </c>
      <c r="Q1172" s="679" t="s">
        <v>4396</v>
      </c>
    </row>
    <row r="1173" spans="1:17">
      <c r="A1173" s="788" t="s">
        <v>2052</v>
      </c>
      <c r="B1173" s="187" t="s">
        <v>997</v>
      </c>
      <c r="C1173" s="215">
        <v>6275082</v>
      </c>
      <c r="D1173" s="215">
        <v>30912220</v>
      </c>
      <c r="F1173" s="215">
        <f t="shared" si="110"/>
        <v>30912220</v>
      </c>
      <c r="G1173" s="215">
        <f t="shared" si="111"/>
        <v>37187302</v>
      </c>
      <c r="H1173" s="680" t="s">
        <v>6153</v>
      </c>
      <c r="I1173" s="679"/>
      <c r="J1173" s="187" t="str">
        <f t="shared" si="109"/>
        <v>227-910</v>
      </c>
      <c r="K1173" s="187">
        <v>227</v>
      </c>
      <c r="L1173" s="187">
        <v>910</v>
      </c>
      <c r="M1173" s="187" t="str">
        <f t="shared" si="112"/>
        <v>227</v>
      </c>
      <c r="N1173" s="187">
        <f t="shared" si="113"/>
        <v>910</v>
      </c>
      <c r="O1173" s="187" t="str">
        <f t="shared" si="114"/>
        <v>227-910</v>
      </c>
      <c r="Q1173" s="679" t="s">
        <v>4397</v>
      </c>
    </row>
    <row r="1174" spans="1:17">
      <c r="A1174" s="788" t="s">
        <v>2797</v>
      </c>
      <c r="B1174" s="187" t="s">
        <v>1747</v>
      </c>
      <c r="C1174" s="215">
        <v>1472800</v>
      </c>
      <c r="D1174" s="215">
        <v>10275349</v>
      </c>
      <c r="F1174" s="215">
        <f t="shared" si="110"/>
        <v>10275349</v>
      </c>
      <c r="G1174" s="215">
        <f t="shared" si="111"/>
        <v>11748149</v>
      </c>
      <c r="H1174" s="680" t="s">
        <v>6153</v>
      </c>
      <c r="I1174" s="679"/>
      <c r="J1174" s="187" t="str">
        <f t="shared" si="109"/>
        <v>227-912</v>
      </c>
      <c r="K1174" s="187">
        <v>227</v>
      </c>
      <c r="L1174" s="187">
        <v>912</v>
      </c>
      <c r="M1174" s="187" t="str">
        <f t="shared" si="112"/>
        <v>227</v>
      </c>
      <c r="N1174" s="187">
        <f t="shared" si="113"/>
        <v>912</v>
      </c>
      <c r="O1174" s="187" t="str">
        <f t="shared" si="114"/>
        <v>227-912</v>
      </c>
      <c r="Q1174" s="679" t="s">
        <v>4398</v>
      </c>
    </row>
    <row r="1175" spans="1:17">
      <c r="A1175" s="788" t="s">
        <v>2799</v>
      </c>
      <c r="B1175" s="187" t="s">
        <v>1748</v>
      </c>
      <c r="C1175" s="215">
        <v>9532175</v>
      </c>
      <c r="D1175" s="215">
        <v>47250691</v>
      </c>
      <c r="F1175" s="215">
        <f t="shared" si="110"/>
        <v>47250691</v>
      </c>
      <c r="G1175" s="215">
        <f t="shared" si="111"/>
        <v>56782866</v>
      </c>
      <c r="H1175" s="680" t="s">
        <v>6153</v>
      </c>
      <c r="I1175" s="679"/>
      <c r="J1175" s="187" t="str">
        <f t="shared" si="109"/>
        <v>227-913</v>
      </c>
      <c r="K1175" s="187">
        <v>227</v>
      </c>
      <c r="L1175" s="187">
        <v>913</v>
      </c>
      <c r="M1175" s="187" t="str">
        <f t="shared" si="112"/>
        <v>227</v>
      </c>
      <c r="N1175" s="187">
        <f t="shared" si="113"/>
        <v>913</v>
      </c>
      <c r="O1175" s="187" t="str">
        <f t="shared" si="114"/>
        <v>227-913</v>
      </c>
      <c r="Q1175" s="679" t="s">
        <v>4399</v>
      </c>
    </row>
    <row r="1176" spans="1:17">
      <c r="A1176" s="788" t="s">
        <v>3443</v>
      </c>
      <c r="B1176" s="187" t="s">
        <v>3444</v>
      </c>
      <c r="C1176" s="215">
        <v>0</v>
      </c>
      <c r="D1176" s="215">
        <v>0</v>
      </c>
      <c r="F1176" s="215">
        <f t="shared" si="110"/>
        <v>0</v>
      </c>
      <c r="G1176" s="215">
        <f t="shared" si="111"/>
        <v>0</v>
      </c>
      <c r="H1176" s="680" t="s">
        <v>6153</v>
      </c>
      <c r="I1176" s="679"/>
      <c r="J1176" s="187" t="str">
        <f t="shared" si="109"/>
        <v>227-950</v>
      </c>
      <c r="K1176" s="187">
        <v>227</v>
      </c>
      <c r="L1176" s="187">
        <v>950</v>
      </c>
      <c r="M1176" s="187" t="str">
        <f t="shared" si="112"/>
        <v>227</v>
      </c>
      <c r="N1176" s="187">
        <f t="shared" si="113"/>
        <v>950</v>
      </c>
      <c r="O1176" s="187" t="str">
        <f t="shared" si="114"/>
        <v>227-950</v>
      </c>
      <c r="Q1176" s="679" t="s">
        <v>6511</v>
      </c>
    </row>
    <row r="1177" spans="1:17">
      <c r="A1177" s="788" t="s">
        <v>2801</v>
      </c>
      <c r="B1177" s="187" t="s">
        <v>1749</v>
      </c>
      <c r="C1177" s="215">
        <v>0</v>
      </c>
      <c r="D1177" s="215">
        <v>1792622</v>
      </c>
      <c r="F1177" s="215">
        <f t="shared" si="110"/>
        <v>1792622</v>
      </c>
      <c r="G1177" s="215">
        <f t="shared" si="111"/>
        <v>1792622</v>
      </c>
      <c r="H1177" s="680" t="s">
        <v>6153</v>
      </c>
      <c r="I1177" s="679"/>
      <c r="J1177" s="187" t="str">
        <f t="shared" si="109"/>
        <v>228-901</v>
      </c>
      <c r="K1177" s="187">
        <v>228</v>
      </c>
      <c r="L1177" s="187">
        <v>901</v>
      </c>
      <c r="M1177" s="187" t="str">
        <f t="shared" si="112"/>
        <v>228</v>
      </c>
      <c r="N1177" s="187">
        <f t="shared" si="113"/>
        <v>901</v>
      </c>
      <c r="O1177" s="187" t="str">
        <f t="shared" si="114"/>
        <v>228-901</v>
      </c>
      <c r="Q1177" s="679" t="s">
        <v>4400</v>
      </c>
    </row>
    <row r="1178" spans="1:17">
      <c r="A1178" s="788" t="s">
        <v>2803</v>
      </c>
      <c r="B1178" s="187" t="s">
        <v>1750</v>
      </c>
      <c r="C1178" s="215">
        <v>313186</v>
      </c>
      <c r="D1178" s="215">
        <v>2731303</v>
      </c>
      <c r="F1178" s="215">
        <f t="shared" si="110"/>
        <v>2731303</v>
      </c>
      <c r="G1178" s="215">
        <f t="shared" si="111"/>
        <v>3044489</v>
      </c>
      <c r="H1178" s="680" t="s">
        <v>6153</v>
      </c>
      <c r="I1178" s="679"/>
      <c r="J1178" s="187" t="str">
        <f t="shared" si="109"/>
        <v>228-903</v>
      </c>
      <c r="K1178" s="187">
        <v>228</v>
      </c>
      <c r="L1178" s="187">
        <v>903</v>
      </c>
      <c r="M1178" s="187" t="str">
        <f t="shared" si="112"/>
        <v>228</v>
      </c>
      <c r="N1178" s="187">
        <f t="shared" si="113"/>
        <v>903</v>
      </c>
      <c r="O1178" s="187" t="str">
        <f t="shared" si="114"/>
        <v>228-903</v>
      </c>
      <c r="Q1178" s="679" t="s">
        <v>4401</v>
      </c>
    </row>
    <row r="1179" spans="1:17">
      <c r="A1179" s="788" t="s">
        <v>2805</v>
      </c>
      <c r="B1179" s="187" t="s">
        <v>297</v>
      </c>
      <c r="C1179" s="215">
        <v>0</v>
      </c>
      <c r="D1179" s="215">
        <v>306828</v>
      </c>
      <c r="F1179" s="215">
        <f t="shared" si="110"/>
        <v>306828</v>
      </c>
      <c r="G1179" s="215">
        <f t="shared" si="111"/>
        <v>306828</v>
      </c>
      <c r="H1179" s="680" t="s">
        <v>6153</v>
      </c>
      <c r="I1179" s="679"/>
      <c r="J1179" s="187" t="str">
        <f t="shared" si="109"/>
        <v>228-904</v>
      </c>
      <c r="K1179" s="187">
        <v>228</v>
      </c>
      <c r="L1179" s="187">
        <v>904</v>
      </c>
      <c r="M1179" s="187" t="str">
        <f t="shared" si="112"/>
        <v>228</v>
      </c>
      <c r="N1179" s="187">
        <f t="shared" si="113"/>
        <v>904</v>
      </c>
      <c r="O1179" s="187" t="str">
        <f t="shared" si="114"/>
        <v>228-904</v>
      </c>
      <c r="Q1179" s="679" t="s">
        <v>4402</v>
      </c>
    </row>
    <row r="1180" spans="1:17">
      <c r="A1180" s="788" t="s">
        <v>2806</v>
      </c>
      <c r="B1180" s="187" t="s">
        <v>1751</v>
      </c>
      <c r="C1180" s="215">
        <v>0</v>
      </c>
      <c r="D1180" s="215">
        <v>387230</v>
      </c>
      <c r="F1180" s="215">
        <f t="shared" si="110"/>
        <v>387230</v>
      </c>
      <c r="G1180" s="215">
        <f t="shared" si="111"/>
        <v>387230</v>
      </c>
      <c r="H1180" s="680" t="s">
        <v>6153</v>
      </c>
      <c r="I1180" s="679"/>
      <c r="J1180" s="187" t="str">
        <f t="shared" si="109"/>
        <v>228-905</v>
      </c>
      <c r="K1180" s="187">
        <v>228</v>
      </c>
      <c r="L1180" s="187">
        <v>905</v>
      </c>
      <c r="M1180" s="187" t="str">
        <f t="shared" si="112"/>
        <v>228</v>
      </c>
      <c r="N1180" s="187">
        <f t="shared" si="113"/>
        <v>905</v>
      </c>
      <c r="O1180" s="187" t="str">
        <f t="shared" si="114"/>
        <v>228-905</v>
      </c>
      <c r="Q1180" s="679" t="s">
        <v>4403</v>
      </c>
    </row>
    <row r="1181" spans="1:17">
      <c r="A1181" s="788" t="s">
        <v>232</v>
      </c>
      <c r="B1181" s="187" t="s">
        <v>2639</v>
      </c>
      <c r="C1181" s="215">
        <v>0</v>
      </c>
      <c r="D1181" s="215">
        <v>1112704</v>
      </c>
      <c r="E1181" s="215">
        <v>63713</v>
      </c>
      <c r="F1181" s="215">
        <f t="shared" si="110"/>
        <v>1176417</v>
      </c>
      <c r="G1181" s="215">
        <f t="shared" si="111"/>
        <v>1176417</v>
      </c>
      <c r="H1181" s="680" t="s">
        <v>6153</v>
      </c>
      <c r="I1181" s="679"/>
      <c r="J1181" s="187" t="str">
        <f t="shared" si="109"/>
        <v>229-901</v>
      </c>
      <c r="K1181" s="187">
        <v>229</v>
      </c>
      <c r="L1181" s="187">
        <v>901</v>
      </c>
      <c r="M1181" s="187" t="str">
        <f t="shared" si="112"/>
        <v>229</v>
      </c>
      <c r="N1181" s="187">
        <f t="shared" si="113"/>
        <v>901</v>
      </c>
      <c r="O1181" s="187" t="str">
        <f t="shared" si="114"/>
        <v>229-901</v>
      </c>
      <c r="Q1181" s="679" t="s">
        <v>4404</v>
      </c>
    </row>
    <row r="1182" spans="1:17">
      <c r="A1182" s="788" t="s">
        <v>3572</v>
      </c>
      <c r="B1182" s="187" t="s">
        <v>1752</v>
      </c>
      <c r="C1182" s="215">
        <v>406336</v>
      </c>
      <c r="D1182" s="215">
        <v>4183732</v>
      </c>
      <c r="F1182" s="215">
        <f t="shared" si="110"/>
        <v>4183732</v>
      </c>
      <c r="G1182" s="215">
        <f t="shared" si="111"/>
        <v>4590068</v>
      </c>
      <c r="H1182" s="680" t="s">
        <v>6153</v>
      </c>
      <c r="I1182" s="679"/>
      <c r="J1182" s="187" t="str">
        <f t="shared" si="109"/>
        <v>229-903</v>
      </c>
      <c r="K1182" s="187">
        <v>229</v>
      </c>
      <c r="L1182" s="187">
        <v>903</v>
      </c>
      <c r="M1182" s="187" t="str">
        <f t="shared" si="112"/>
        <v>229</v>
      </c>
      <c r="N1182" s="187">
        <f t="shared" si="113"/>
        <v>903</v>
      </c>
      <c r="O1182" s="187" t="str">
        <f t="shared" si="114"/>
        <v>229-903</v>
      </c>
      <c r="Q1182" s="679" t="s">
        <v>4405</v>
      </c>
    </row>
    <row r="1183" spans="1:17">
      <c r="A1183" s="788" t="s">
        <v>3574</v>
      </c>
      <c r="B1183" s="187" t="s">
        <v>7623</v>
      </c>
      <c r="C1183" s="215">
        <v>0</v>
      </c>
      <c r="D1183" s="215">
        <v>2600252</v>
      </c>
      <c r="F1183" s="215">
        <f t="shared" si="110"/>
        <v>2600252</v>
      </c>
      <c r="G1183" s="215">
        <f t="shared" si="111"/>
        <v>2600252</v>
      </c>
      <c r="H1183" s="680" t="s">
        <v>6153</v>
      </c>
      <c r="I1183" s="679"/>
      <c r="J1183" s="187" t="str">
        <f t="shared" si="109"/>
        <v>229-904</v>
      </c>
      <c r="K1183" s="187">
        <v>229</v>
      </c>
      <c r="L1183" s="187">
        <v>904</v>
      </c>
      <c r="M1183" s="187" t="str">
        <f t="shared" si="112"/>
        <v>229</v>
      </c>
      <c r="N1183" s="187">
        <f t="shared" si="113"/>
        <v>904</v>
      </c>
      <c r="O1183" s="187" t="str">
        <f t="shared" si="114"/>
        <v>229-904</v>
      </c>
      <c r="Q1183" s="679" t="s">
        <v>4406</v>
      </c>
    </row>
    <row r="1184" spans="1:17">
      <c r="A1184" s="788" t="s">
        <v>4072</v>
      </c>
      <c r="B1184" s="187" t="s">
        <v>2353</v>
      </c>
      <c r="C1184" s="215">
        <v>48595</v>
      </c>
      <c r="D1184" s="215">
        <v>547466</v>
      </c>
      <c r="F1184" s="215">
        <f t="shared" si="110"/>
        <v>547466</v>
      </c>
      <c r="G1184" s="215">
        <f t="shared" si="111"/>
        <v>596061</v>
      </c>
      <c r="H1184" s="680" t="s">
        <v>6153</v>
      </c>
      <c r="I1184" s="679"/>
      <c r="J1184" s="187" t="str">
        <f t="shared" si="109"/>
        <v>229-905</v>
      </c>
      <c r="K1184" s="187">
        <v>229</v>
      </c>
      <c r="L1184" s="187">
        <v>905</v>
      </c>
      <c r="M1184" s="187" t="str">
        <f t="shared" si="112"/>
        <v>229</v>
      </c>
      <c r="N1184" s="187">
        <f t="shared" si="113"/>
        <v>905</v>
      </c>
      <c r="O1184" s="187" t="str">
        <f t="shared" si="114"/>
        <v>229-905</v>
      </c>
      <c r="Q1184" s="679" t="s">
        <v>4407</v>
      </c>
    </row>
    <row r="1185" spans="1:17">
      <c r="A1185" s="788" t="s">
        <v>735</v>
      </c>
      <c r="B1185" s="187" t="s">
        <v>6108</v>
      </c>
      <c r="C1185" s="215">
        <v>23234</v>
      </c>
      <c r="D1185" s="215">
        <v>687877</v>
      </c>
      <c r="F1185" s="215">
        <f t="shared" si="110"/>
        <v>687877</v>
      </c>
      <c r="G1185" s="215">
        <f t="shared" si="111"/>
        <v>711111</v>
      </c>
      <c r="H1185" s="680" t="s">
        <v>6153</v>
      </c>
      <c r="I1185" s="679"/>
      <c r="J1185" s="187" t="str">
        <f t="shared" si="109"/>
        <v>229-906</v>
      </c>
      <c r="K1185" s="187">
        <v>229</v>
      </c>
      <c r="L1185" s="187">
        <v>906</v>
      </c>
      <c r="M1185" s="187" t="str">
        <f t="shared" si="112"/>
        <v>229</v>
      </c>
      <c r="N1185" s="187">
        <f t="shared" si="113"/>
        <v>906</v>
      </c>
      <c r="O1185" s="187" t="str">
        <f t="shared" si="114"/>
        <v>229-906</v>
      </c>
      <c r="Q1185" s="679" t="s">
        <v>4408</v>
      </c>
    </row>
    <row r="1186" spans="1:17">
      <c r="A1186" s="788" t="s">
        <v>3576</v>
      </c>
      <c r="B1186" s="187" t="s">
        <v>400</v>
      </c>
      <c r="C1186" s="215">
        <v>158098</v>
      </c>
      <c r="D1186" s="215">
        <v>1599909</v>
      </c>
      <c r="F1186" s="215">
        <f t="shared" si="110"/>
        <v>1599909</v>
      </c>
      <c r="G1186" s="215">
        <f t="shared" si="111"/>
        <v>1758007</v>
      </c>
      <c r="H1186" s="680" t="s">
        <v>6153</v>
      </c>
      <c r="I1186" s="679"/>
      <c r="J1186" s="187" t="str">
        <f t="shared" ref="J1186:J1249" si="115">+A1186</f>
        <v>230-901</v>
      </c>
      <c r="K1186" s="187">
        <v>230</v>
      </c>
      <c r="L1186" s="187">
        <v>901</v>
      </c>
      <c r="M1186" s="187" t="str">
        <f t="shared" si="112"/>
        <v>230</v>
      </c>
      <c r="N1186" s="187">
        <f t="shared" si="113"/>
        <v>901</v>
      </c>
      <c r="O1186" s="187" t="str">
        <f t="shared" si="114"/>
        <v>230-901</v>
      </c>
      <c r="Q1186" s="679" t="s">
        <v>4409</v>
      </c>
    </row>
    <row r="1187" spans="1:17">
      <c r="A1187" s="788" t="s">
        <v>3577</v>
      </c>
      <c r="B1187" s="187" t="s">
        <v>7624</v>
      </c>
      <c r="C1187" s="215">
        <v>1227164</v>
      </c>
      <c r="D1187" s="215">
        <v>8253282</v>
      </c>
      <c r="F1187" s="215">
        <f t="shared" si="110"/>
        <v>8253282</v>
      </c>
      <c r="G1187" s="215">
        <f t="shared" si="111"/>
        <v>9480446</v>
      </c>
      <c r="H1187" s="680" t="s">
        <v>6153</v>
      </c>
      <c r="I1187" s="679"/>
      <c r="J1187" s="187" t="str">
        <f t="shared" si="115"/>
        <v>230-902</v>
      </c>
      <c r="K1187" s="187">
        <v>230</v>
      </c>
      <c r="L1187" s="187">
        <v>902</v>
      </c>
      <c r="M1187" s="187" t="str">
        <f t="shared" si="112"/>
        <v>230</v>
      </c>
      <c r="N1187" s="187">
        <f t="shared" si="113"/>
        <v>902</v>
      </c>
      <c r="O1187" s="187" t="str">
        <f t="shared" si="114"/>
        <v>230-902</v>
      </c>
      <c r="Q1187" s="679" t="s">
        <v>4410</v>
      </c>
    </row>
    <row r="1188" spans="1:17">
      <c r="A1188" s="788" t="s">
        <v>6190</v>
      </c>
      <c r="B1188" s="187" t="s">
        <v>3626</v>
      </c>
      <c r="C1188" s="215">
        <v>73466</v>
      </c>
      <c r="D1188" s="215">
        <v>1378767</v>
      </c>
      <c r="F1188" s="215">
        <f t="shared" si="110"/>
        <v>1378767</v>
      </c>
      <c r="G1188" s="215">
        <f t="shared" si="111"/>
        <v>1452233</v>
      </c>
      <c r="H1188" s="680" t="s">
        <v>6153</v>
      </c>
      <c r="I1188" s="679"/>
      <c r="J1188" s="187" t="str">
        <f t="shared" si="115"/>
        <v>230-903</v>
      </c>
      <c r="K1188" s="187">
        <v>230</v>
      </c>
      <c r="L1188" s="187">
        <v>903</v>
      </c>
      <c r="M1188" s="187" t="str">
        <f t="shared" si="112"/>
        <v>230</v>
      </c>
      <c r="N1188" s="187">
        <f t="shared" si="113"/>
        <v>903</v>
      </c>
      <c r="O1188" s="187" t="str">
        <f t="shared" si="114"/>
        <v>230-903</v>
      </c>
      <c r="Q1188" s="679" t="s">
        <v>4411</v>
      </c>
    </row>
    <row r="1189" spans="1:17">
      <c r="A1189" s="788" t="s">
        <v>3580</v>
      </c>
      <c r="B1189" s="187" t="s">
        <v>7625</v>
      </c>
      <c r="C1189" s="215">
        <v>0</v>
      </c>
      <c r="D1189" s="215">
        <v>1028397</v>
      </c>
      <c r="F1189" s="215">
        <f t="shared" si="110"/>
        <v>1028397</v>
      </c>
      <c r="G1189" s="215">
        <f t="shared" si="111"/>
        <v>1028397</v>
      </c>
      <c r="H1189" s="680" t="s">
        <v>6153</v>
      </c>
      <c r="I1189" s="679"/>
      <c r="J1189" s="187" t="str">
        <f t="shared" si="115"/>
        <v>230-904</v>
      </c>
      <c r="K1189" s="187">
        <v>230</v>
      </c>
      <c r="L1189" s="187">
        <v>904</v>
      </c>
      <c r="M1189" s="187" t="str">
        <f t="shared" si="112"/>
        <v>230</v>
      </c>
      <c r="N1189" s="187">
        <f t="shared" si="113"/>
        <v>904</v>
      </c>
      <c r="O1189" s="187" t="str">
        <f t="shared" si="114"/>
        <v>230-904</v>
      </c>
      <c r="Q1189" s="679" t="s">
        <v>4412</v>
      </c>
    </row>
    <row r="1190" spans="1:17">
      <c r="A1190" s="788" t="s">
        <v>1862</v>
      </c>
      <c r="B1190" s="187" t="s">
        <v>3837</v>
      </c>
      <c r="C1190" s="215">
        <v>219457</v>
      </c>
      <c r="D1190" s="215">
        <v>3889686</v>
      </c>
      <c r="F1190" s="215">
        <f t="shared" si="110"/>
        <v>3889686</v>
      </c>
      <c r="G1190" s="215">
        <f t="shared" si="111"/>
        <v>4109143</v>
      </c>
      <c r="H1190" s="680" t="s">
        <v>6153</v>
      </c>
      <c r="I1190" s="679"/>
      <c r="J1190" s="187" t="str">
        <f t="shared" si="115"/>
        <v>230-905</v>
      </c>
      <c r="K1190" s="187">
        <v>230</v>
      </c>
      <c r="L1190" s="187">
        <v>905</v>
      </c>
      <c r="M1190" s="187" t="str">
        <f t="shared" si="112"/>
        <v>230</v>
      </c>
      <c r="N1190" s="187">
        <f t="shared" si="113"/>
        <v>905</v>
      </c>
      <c r="O1190" s="187" t="str">
        <f t="shared" si="114"/>
        <v>230-905</v>
      </c>
      <c r="Q1190" s="679" t="s">
        <v>4413</v>
      </c>
    </row>
    <row r="1191" spans="1:17">
      <c r="A1191" s="788" t="s">
        <v>3582</v>
      </c>
      <c r="B1191" s="187" t="s">
        <v>7626</v>
      </c>
      <c r="C1191" s="215">
        <v>0</v>
      </c>
      <c r="D1191" s="215">
        <v>1210214</v>
      </c>
      <c r="F1191" s="215">
        <f t="shared" si="110"/>
        <v>1210214</v>
      </c>
      <c r="G1191" s="215">
        <f t="shared" si="111"/>
        <v>1210214</v>
      </c>
      <c r="H1191" s="680" t="s">
        <v>6153</v>
      </c>
      <c r="I1191" s="679"/>
      <c r="J1191" s="187" t="str">
        <f t="shared" si="115"/>
        <v>230-906</v>
      </c>
      <c r="K1191" s="187">
        <v>230</v>
      </c>
      <c r="L1191" s="187">
        <v>906</v>
      </c>
      <c r="M1191" s="187" t="str">
        <f t="shared" si="112"/>
        <v>230</v>
      </c>
      <c r="N1191" s="187">
        <f t="shared" si="113"/>
        <v>906</v>
      </c>
      <c r="O1191" s="187" t="str">
        <f t="shared" si="114"/>
        <v>230-906</v>
      </c>
      <c r="Q1191" s="679" t="s">
        <v>4414</v>
      </c>
    </row>
    <row r="1192" spans="1:17">
      <c r="A1192" s="788" t="s">
        <v>3584</v>
      </c>
      <c r="B1192" s="187" t="s">
        <v>7627</v>
      </c>
      <c r="C1192" s="215">
        <v>136630</v>
      </c>
      <c r="D1192" s="215">
        <v>2086372</v>
      </c>
      <c r="F1192" s="215">
        <f t="shared" si="110"/>
        <v>2086372</v>
      </c>
      <c r="G1192" s="215">
        <f t="shared" si="111"/>
        <v>2223002</v>
      </c>
      <c r="H1192" s="680" t="s">
        <v>6153</v>
      </c>
      <c r="I1192" s="679"/>
      <c r="J1192" s="187" t="str">
        <f t="shared" si="115"/>
        <v>230-908</v>
      </c>
      <c r="K1192" s="187">
        <v>230</v>
      </c>
      <c r="L1192" s="187">
        <v>908</v>
      </c>
      <c r="M1192" s="187" t="str">
        <f t="shared" si="112"/>
        <v>230</v>
      </c>
      <c r="N1192" s="187">
        <f t="shared" si="113"/>
        <v>908</v>
      </c>
      <c r="O1192" s="187" t="str">
        <f t="shared" si="114"/>
        <v>230-908</v>
      </c>
      <c r="Q1192" s="679" t="s">
        <v>4415</v>
      </c>
    </row>
    <row r="1193" spans="1:17">
      <c r="A1193" s="788" t="s">
        <v>3586</v>
      </c>
      <c r="B1193" s="187" t="s">
        <v>7628</v>
      </c>
      <c r="C1193" s="215">
        <v>411887</v>
      </c>
      <c r="D1193" s="215">
        <v>12297225</v>
      </c>
      <c r="F1193" s="215">
        <f t="shared" si="110"/>
        <v>12297225</v>
      </c>
      <c r="G1193" s="215">
        <f t="shared" si="111"/>
        <v>12709112</v>
      </c>
      <c r="H1193" s="680" t="s">
        <v>6153</v>
      </c>
      <c r="I1193" s="679"/>
      <c r="J1193" s="187" t="str">
        <f t="shared" si="115"/>
        <v>231-901</v>
      </c>
      <c r="K1193" s="187">
        <v>231</v>
      </c>
      <c r="L1193" s="187">
        <v>901</v>
      </c>
      <c r="M1193" s="187" t="str">
        <f t="shared" si="112"/>
        <v>231</v>
      </c>
      <c r="N1193" s="187">
        <f t="shared" si="113"/>
        <v>901</v>
      </c>
      <c r="O1193" s="187" t="str">
        <f t="shared" si="114"/>
        <v>231-901</v>
      </c>
      <c r="Q1193" s="679" t="s">
        <v>6735</v>
      </c>
    </row>
    <row r="1194" spans="1:17">
      <c r="A1194" s="788" t="s">
        <v>3588</v>
      </c>
      <c r="B1194" s="187" t="s">
        <v>7629</v>
      </c>
      <c r="C1194" s="215">
        <v>582561</v>
      </c>
      <c r="D1194" s="215">
        <v>6340958</v>
      </c>
      <c r="F1194" s="215">
        <f t="shared" si="110"/>
        <v>6340958</v>
      </c>
      <c r="G1194" s="215">
        <f t="shared" si="111"/>
        <v>6923519</v>
      </c>
      <c r="H1194" s="680" t="s">
        <v>6153</v>
      </c>
      <c r="I1194" s="679"/>
      <c r="J1194" s="187" t="str">
        <f t="shared" si="115"/>
        <v>231-902</v>
      </c>
      <c r="K1194" s="187">
        <v>231</v>
      </c>
      <c r="L1194" s="187">
        <v>902</v>
      </c>
      <c r="M1194" s="187" t="str">
        <f t="shared" si="112"/>
        <v>231</v>
      </c>
      <c r="N1194" s="187">
        <f t="shared" si="113"/>
        <v>902</v>
      </c>
      <c r="O1194" s="187" t="str">
        <f t="shared" si="114"/>
        <v>231-902</v>
      </c>
      <c r="Q1194" s="679" t="s">
        <v>6736</v>
      </c>
    </row>
    <row r="1195" spans="1:17">
      <c r="A1195" s="788" t="s">
        <v>3445</v>
      </c>
      <c r="B1195" s="187" t="s">
        <v>3446</v>
      </c>
      <c r="C1195" s="215">
        <v>0</v>
      </c>
      <c r="D1195" s="215">
        <v>0</v>
      </c>
      <c r="F1195" s="215">
        <f t="shared" si="110"/>
        <v>0</v>
      </c>
      <c r="G1195" s="215">
        <f t="shared" si="111"/>
        <v>0</v>
      </c>
      <c r="H1195" s="680" t="s">
        <v>6153</v>
      </c>
      <c r="I1195" s="679"/>
      <c r="J1195" s="187" t="str">
        <f t="shared" si="115"/>
        <v>232-801</v>
      </c>
      <c r="K1195" s="187">
        <v>232</v>
      </c>
      <c r="L1195" s="187">
        <v>801</v>
      </c>
      <c r="M1195" s="187" t="str">
        <f t="shared" si="112"/>
        <v>232</v>
      </c>
      <c r="N1195" s="187">
        <f t="shared" si="113"/>
        <v>801</v>
      </c>
      <c r="O1195" s="187" t="str">
        <f t="shared" si="114"/>
        <v>232-801</v>
      </c>
      <c r="Q1195" s="679" t="s">
        <v>6512</v>
      </c>
    </row>
    <row r="1196" spans="1:17">
      <c r="A1196" s="788" t="s">
        <v>6036</v>
      </c>
      <c r="B1196" s="187" t="s">
        <v>5638</v>
      </c>
      <c r="C1196" s="215">
        <v>21854</v>
      </c>
      <c r="D1196" s="215">
        <v>458109</v>
      </c>
      <c r="F1196" s="215">
        <f t="shared" si="110"/>
        <v>458109</v>
      </c>
      <c r="G1196" s="215">
        <f t="shared" si="111"/>
        <v>479963</v>
      </c>
      <c r="H1196" s="680" t="s">
        <v>6153</v>
      </c>
      <c r="I1196" s="679"/>
      <c r="J1196" s="187" t="str">
        <f t="shared" si="115"/>
        <v>232-901</v>
      </c>
      <c r="K1196" s="187">
        <v>232</v>
      </c>
      <c r="L1196" s="187">
        <v>901</v>
      </c>
      <c r="M1196" s="187" t="str">
        <f t="shared" si="112"/>
        <v>232</v>
      </c>
      <c r="N1196" s="187">
        <f t="shared" si="113"/>
        <v>901</v>
      </c>
      <c r="O1196" s="187" t="str">
        <f t="shared" si="114"/>
        <v>232-901</v>
      </c>
      <c r="Q1196" s="679" t="s">
        <v>6737</v>
      </c>
    </row>
    <row r="1197" spans="1:17">
      <c r="A1197" s="788" t="s">
        <v>2472</v>
      </c>
      <c r="B1197" s="187" t="s">
        <v>375</v>
      </c>
      <c r="C1197" s="215">
        <v>52277</v>
      </c>
      <c r="D1197" s="215">
        <v>1266794</v>
      </c>
      <c r="F1197" s="215">
        <f t="shared" si="110"/>
        <v>1266794</v>
      </c>
      <c r="G1197" s="215">
        <f t="shared" si="111"/>
        <v>1319071</v>
      </c>
      <c r="H1197" s="680" t="s">
        <v>6153</v>
      </c>
      <c r="I1197" s="679"/>
      <c r="J1197" s="187" t="str">
        <f t="shared" si="115"/>
        <v>232-902</v>
      </c>
      <c r="K1197" s="187">
        <v>232</v>
      </c>
      <c r="L1197" s="187">
        <v>902</v>
      </c>
      <c r="M1197" s="187" t="str">
        <f t="shared" si="112"/>
        <v>232</v>
      </c>
      <c r="N1197" s="187">
        <f t="shared" si="113"/>
        <v>902</v>
      </c>
      <c r="O1197" s="187" t="str">
        <f t="shared" si="114"/>
        <v>232-902</v>
      </c>
      <c r="Q1197" s="679" t="s">
        <v>6738</v>
      </c>
    </row>
    <row r="1198" spans="1:17">
      <c r="A1198" s="788" t="s">
        <v>2418</v>
      </c>
      <c r="B1198" s="187" t="s">
        <v>5371</v>
      </c>
      <c r="C1198" s="215">
        <v>937214</v>
      </c>
      <c r="D1198" s="215">
        <v>7853533</v>
      </c>
      <c r="F1198" s="215">
        <f t="shared" si="110"/>
        <v>7853533</v>
      </c>
      <c r="G1198" s="215">
        <f t="shared" si="111"/>
        <v>8790747</v>
      </c>
      <c r="H1198" s="680" t="s">
        <v>6153</v>
      </c>
      <c r="I1198" s="679"/>
      <c r="J1198" s="187" t="str">
        <f t="shared" si="115"/>
        <v>232-903</v>
      </c>
      <c r="K1198" s="187">
        <v>232</v>
      </c>
      <c r="L1198" s="187">
        <v>903</v>
      </c>
      <c r="M1198" s="187" t="str">
        <f t="shared" si="112"/>
        <v>232</v>
      </c>
      <c r="N1198" s="187">
        <f t="shared" si="113"/>
        <v>903</v>
      </c>
      <c r="O1198" s="187" t="str">
        <f t="shared" si="114"/>
        <v>232-903</v>
      </c>
      <c r="Q1198" s="679" t="s">
        <v>6739</v>
      </c>
    </row>
    <row r="1199" spans="1:17">
      <c r="A1199" s="788" t="s">
        <v>3590</v>
      </c>
      <c r="B1199" s="187" t="s">
        <v>7630</v>
      </c>
      <c r="C1199" s="215">
        <v>0</v>
      </c>
      <c r="D1199" s="215">
        <v>1300192</v>
      </c>
      <c r="F1199" s="215">
        <f t="shared" si="110"/>
        <v>1300192</v>
      </c>
      <c r="G1199" s="215">
        <f t="shared" si="111"/>
        <v>1300192</v>
      </c>
      <c r="H1199" s="680" t="s">
        <v>6153</v>
      </c>
      <c r="I1199" s="679"/>
      <c r="J1199" s="187" t="str">
        <f t="shared" si="115"/>
        <v>232-904</v>
      </c>
      <c r="K1199" s="187">
        <v>232</v>
      </c>
      <c r="L1199" s="187">
        <v>904</v>
      </c>
      <c r="M1199" s="187" t="str">
        <f t="shared" si="112"/>
        <v>232</v>
      </c>
      <c r="N1199" s="187">
        <f t="shared" si="113"/>
        <v>904</v>
      </c>
      <c r="O1199" s="187" t="str">
        <f t="shared" si="114"/>
        <v>232-904</v>
      </c>
      <c r="Q1199" s="679" t="s">
        <v>6741</v>
      </c>
    </row>
    <row r="1200" spans="1:17">
      <c r="A1200" s="788" t="s">
        <v>3592</v>
      </c>
      <c r="B1200" s="187" t="s">
        <v>3447</v>
      </c>
      <c r="C1200" s="215">
        <v>0</v>
      </c>
      <c r="D1200" s="215">
        <v>0</v>
      </c>
      <c r="F1200" s="215">
        <f t="shared" si="110"/>
        <v>0</v>
      </c>
      <c r="G1200" s="215">
        <f t="shared" si="111"/>
        <v>0</v>
      </c>
      <c r="H1200" s="680" t="s">
        <v>6153</v>
      </c>
      <c r="I1200" s="679"/>
      <c r="J1200" s="187" t="str">
        <f t="shared" si="115"/>
        <v>233-801</v>
      </c>
      <c r="K1200" s="187">
        <v>233</v>
      </c>
      <c r="L1200" s="187">
        <v>801</v>
      </c>
      <c r="M1200" s="187" t="str">
        <f t="shared" si="112"/>
        <v>233</v>
      </c>
      <c r="N1200" s="187">
        <f t="shared" si="113"/>
        <v>801</v>
      </c>
      <c r="O1200" s="187" t="str">
        <f t="shared" si="114"/>
        <v>233-801</v>
      </c>
      <c r="Q1200" s="679" t="s">
        <v>6513</v>
      </c>
    </row>
    <row r="1201" spans="1:17">
      <c r="A1201" s="788" t="s">
        <v>2389</v>
      </c>
      <c r="B1201" s="187" t="s">
        <v>383</v>
      </c>
      <c r="C1201" s="215">
        <v>614599</v>
      </c>
      <c r="D1201" s="215">
        <v>12450760</v>
      </c>
      <c r="E1201" s="215">
        <v>184669</v>
      </c>
      <c r="F1201" s="215">
        <f t="shared" si="110"/>
        <v>12635429</v>
      </c>
      <c r="G1201" s="215">
        <f t="shared" si="111"/>
        <v>13250028</v>
      </c>
      <c r="H1201" s="680" t="s">
        <v>6153</v>
      </c>
      <c r="I1201" s="679"/>
      <c r="J1201" s="187" t="str">
        <f t="shared" si="115"/>
        <v>233-901</v>
      </c>
      <c r="K1201" s="187">
        <v>233</v>
      </c>
      <c r="L1201" s="187">
        <v>901</v>
      </c>
      <c r="M1201" s="187" t="str">
        <f t="shared" si="112"/>
        <v>233</v>
      </c>
      <c r="N1201" s="187">
        <f t="shared" si="113"/>
        <v>901</v>
      </c>
      <c r="O1201" s="187" t="str">
        <f t="shared" si="114"/>
        <v>233-901</v>
      </c>
      <c r="Q1201" s="679" t="s">
        <v>6742</v>
      </c>
    </row>
    <row r="1202" spans="1:17">
      <c r="A1202" s="788" t="s">
        <v>3594</v>
      </c>
      <c r="B1202" s="187" t="s">
        <v>7631</v>
      </c>
      <c r="C1202" s="215">
        <v>181925</v>
      </c>
      <c r="D1202" s="215">
        <v>2244616</v>
      </c>
      <c r="F1202" s="215">
        <f t="shared" si="110"/>
        <v>2244616</v>
      </c>
      <c r="G1202" s="215">
        <f t="shared" si="111"/>
        <v>2426541</v>
      </c>
      <c r="H1202" s="680" t="s">
        <v>6153</v>
      </c>
      <c r="I1202" s="679"/>
      <c r="J1202" s="187" t="str">
        <f t="shared" si="115"/>
        <v>233-903</v>
      </c>
      <c r="K1202" s="187">
        <v>233</v>
      </c>
      <c r="L1202" s="187">
        <v>903</v>
      </c>
      <c r="M1202" s="187" t="str">
        <f t="shared" si="112"/>
        <v>233</v>
      </c>
      <c r="N1202" s="187">
        <f t="shared" si="113"/>
        <v>903</v>
      </c>
      <c r="O1202" s="187" t="str">
        <f t="shared" si="114"/>
        <v>233-903</v>
      </c>
      <c r="Q1202" s="679" t="s">
        <v>6743</v>
      </c>
    </row>
    <row r="1203" spans="1:17">
      <c r="A1203" s="788" t="s">
        <v>5319</v>
      </c>
      <c r="B1203" s="187" t="s">
        <v>6240</v>
      </c>
      <c r="C1203" s="215">
        <v>0</v>
      </c>
      <c r="D1203" s="215">
        <v>0</v>
      </c>
      <c r="F1203" s="215">
        <f t="shared" si="110"/>
        <v>0</v>
      </c>
      <c r="G1203" s="215">
        <f t="shared" si="111"/>
        <v>0</v>
      </c>
      <c r="H1203" s="680" t="s">
        <v>6153</v>
      </c>
      <c r="I1203" s="679"/>
      <c r="J1203" s="187" t="str">
        <f t="shared" si="115"/>
        <v>234-801</v>
      </c>
      <c r="K1203" s="187">
        <v>234</v>
      </c>
      <c r="L1203" s="187">
        <v>801</v>
      </c>
      <c r="M1203" s="187" t="str">
        <f t="shared" si="112"/>
        <v>234</v>
      </c>
      <c r="N1203" s="187">
        <f t="shared" si="113"/>
        <v>801</v>
      </c>
      <c r="O1203" s="187" t="str">
        <f t="shared" si="114"/>
        <v>234-801</v>
      </c>
      <c r="Q1203" s="679" t="s">
        <v>6514</v>
      </c>
    </row>
    <row r="1204" spans="1:17">
      <c r="A1204" s="788" t="s">
        <v>6241</v>
      </c>
      <c r="B1204" s="187" t="s">
        <v>7632</v>
      </c>
      <c r="C1204" s="215">
        <v>1197148</v>
      </c>
      <c r="D1204" s="215">
        <v>5944311</v>
      </c>
      <c r="F1204" s="215">
        <f t="shared" si="110"/>
        <v>5944311</v>
      </c>
      <c r="G1204" s="215">
        <f t="shared" si="111"/>
        <v>7141459</v>
      </c>
      <c r="H1204" s="680" t="s">
        <v>6153</v>
      </c>
      <c r="I1204" s="679"/>
      <c r="J1204" s="187" t="str">
        <f t="shared" si="115"/>
        <v>234-902</v>
      </c>
      <c r="K1204" s="187">
        <v>234</v>
      </c>
      <c r="L1204" s="187">
        <v>902</v>
      </c>
      <c r="M1204" s="187" t="str">
        <f t="shared" si="112"/>
        <v>234</v>
      </c>
      <c r="N1204" s="187">
        <f t="shared" si="113"/>
        <v>902</v>
      </c>
      <c r="O1204" s="187" t="str">
        <f t="shared" si="114"/>
        <v>234-902</v>
      </c>
      <c r="Q1204" s="679" t="s">
        <v>6744</v>
      </c>
    </row>
    <row r="1205" spans="1:17">
      <c r="A1205" s="788" t="s">
        <v>6243</v>
      </c>
      <c r="B1205" s="187" t="s">
        <v>1926</v>
      </c>
      <c r="C1205" s="215">
        <v>274595</v>
      </c>
      <c r="D1205" s="215">
        <v>1942884</v>
      </c>
      <c r="F1205" s="215">
        <f t="shared" si="110"/>
        <v>1942884</v>
      </c>
      <c r="G1205" s="215">
        <f t="shared" si="111"/>
        <v>2217479</v>
      </c>
      <c r="H1205" s="680" t="s">
        <v>6153</v>
      </c>
      <c r="I1205" s="679"/>
      <c r="J1205" s="187" t="str">
        <f t="shared" si="115"/>
        <v>234-903</v>
      </c>
      <c r="K1205" s="187">
        <v>234</v>
      </c>
      <c r="L1205" s="187">
        <v>903</v>
      </c>
      <c r="M1205" s="187" t="str">
        <f t="shared" si="112"/>
        <v>234</v>
      </c>
      <c r="N1205" s="187">
        <f t="shared" si="113"/>
        <v>903</v>
      </c>
      <c r="O1205" s="187" t="str">
        <f t="shared" si="114"/>
        <v>234-903</v>
      </c>
      <c r="Q1205" s="679" t="s">
        <v>6745</v>
      </c>
    </row>
    <row r="1206" spans="1:17">
      <c r="A1206" s="788" t="s">
        <v>1832</v>
      </c>
      <c r="B1206" s="187" t="s">
        <v>4967</v>
      </c>
      <c r="C1206" s="215">
        <v>291232</v>
      </c>
      <c r="D1206" s="215">
        <v>1986129</v>
      </c>
      <c r="F1206" s="215">
        <f t="shared" si="110"/>
        <v>1986129</v>
      </c>
      <c r="G1206" s="215">
        <f t="shared" si="111"/>
        <v>2277361</v>
      </c>
      <c r="H1206" s="680" t="s">
        <v>6153</v>
      </c>
      <c r="I1206" s="679"/>
      <c r="J1206" s="187" t="str">
        <f t="shared" si="115"/>
        <v>234-904</v>
      </c>
      <c r="K1206" s="187">
        <v>234</v>
      </c>
      <c r="L1206" s="187">
        <v>904</v>
      </c>
      <c r="M1206" s="187" t="str">
        <f t="shared" si="112"/>
        <v>234</v>
      </c>
      <c r="N1206" s="187">
        <f t="shared" si="113"/>
        <v>904</v>
      </c>
      <c r="O1206" s="187" t="str">
        <f t="shared" si="114"/>
        <v>234-904</v>
      </c>
      <c r="Q1206" s="679" t="s">
        <v>6746</v>
      </c>
    </row>
    <row r="1207" spans="1:17">
      <c r="A1207" s="788" t="s">
        <v>6164</v>
      </c>
      <c r="B1207" s="187" t="s">
        <v>6068</v>
      </c>
      <c r="C1207" s="215">
        <v>64447</v>
      </c>
      <c r="D1207" s="215">
        <v>846315</v>
      </c>
      <c r="F1207" s="215">
        <f t="shared" si="110"/>
        <v>846315</v>
      </c>
      <c r="G1207" s="215">
        <f t="shared" si="111"/>
        <v>910762</v>
      </c>
      <c r="H1207" s="680" t="s">
        <v>6153</v>
      </c>
      <c r="I1207" s="679"/>
      <c r="J1207" s="187" t="str">
        <f t="shared" si="115"/>
        <v>234-905</v>
      </c>
      <c r="K1207" s="187">
        <v>234</v>
      </c>
      <c r="L1207" s="187">
        <v>905</v>
      </c>
      <c r="M1207" s="187" t="str">
        <f t="shared" si="112"/>
        <v>234</v>
      </c>
      <c r="N1207" s="187">
        <f t="shared" si="113"/>
        <v>905</v>
      </c>
      <c r="O1207" s="187" t="str">
        <f t="shared" si="114"/>
        <v>234-905</v>
      </c>
      <c r="Q1207" s="679" t="s">
        <v>6747</v>
      </c>
    </row>
    <row r="1208" spans="1:17">
      <c r="A1208" s="788" t="s">
        <v>6244</v>
      </c>
      <c r="B1208" s="187" t="s">
        <v>7633</v>
      </c>
      <c r="C1208" s="215">
        <v>195560</v>
      </c>
      <c r="D1208" s="215">
        <v>5036920</v>
      </c>
      <c r="F1208" s="215">
        <f t="shared" si="110"/>
        <v>5036920</v>
      </c>
      <c r="G1208" s="215">
        <f t="shared" si="111"/>
        <v>5232480</v>
      </c>
      <c r="H1208" s="680" t="s">
        <v>6153</v>
      </c>
      <c r="I1208" s="679"/>
      <c r="J1208" s="187" t="str">
        <f t="shared" si="115"/>
        <v>234-906</v>
      </c>
      <c r="K1208" s="187">
        <v>234</v>
      </c>
      <c r="L1208" s="187">
        <v>906</v>
      </c>
      <c r="M1208" s="187" t="str">
        <f t="shared" si="112"/>
        <v>234</v>
      </c>
      <c r="N1208" s="187">
        <f t="shared" si="113"/>
        <v>906</v>
      </c>
      <c r="O1208" s="187" t="str">
        <f t="shared" si="114"/>
        <v>234-906</v>
      </c>
      <c r="Q1208" s="679" t="s">
        <v>6748</v>
      </c>
    </row>
    <row r="1209" spans="1:17">
      <c r="A1209" s="788" t="s">
        <v>6246</v>
      </c>
      <c r="B1209" s="187" t="s">
        <v>7634</v>
      </c>
      <c r="C1209" s="215">
        <v>321854</v>
      </c>
      <c r="D1209" s="215">
        <v>5369543</v>
      </c>
      <c r="F1209" s="215">
        <f t="shared" si="110"/>
        <v>5369543</v>
      </c>
      <c r="G1209" s="215">
        <f t="shared" si="111"/>
        <v>5691397</v>
      </c>
      <c r="H1209" s="680" t="s">
        <v>6153</v>
      </c>
      <c r="I1209" s="679"/>
      <c r="J1209" s="187" t="str">
        <f t="shared" si="115"/>
        <v>234-907</v>
      </c>
      <c r="K1209" s="187">
        <v>234</v>
      </c>
      <c r="L1209" s="187">
        <v>907</v>
      </c>
      <c r="M1209" s="187" t="str">
        <f t="shared" si="112"/>
        <v>234</v>
      </c>
      <c r="N1209" s="187">
        <f t="shared" si="113"/>
        <v>907</v>
      </c>
      <c r="O1209" s="187" t="str">
        <f t="shared" si="114"/>
        <v>234-907</v>
      </c>
      <c r="Q1209" s="679" t="s">
        <v>6749</v>
      </c>
    </row>
    <row r="1210" spans="1:17">
      <c r="A1210" s="788" t="s">
        <v>1313</v>
      </c>
      <c r="B1210" s="187" t="s">
        <v>118</v>
      </c>
      <c r="C1210" s="215">
        <v>28889</v>
      </c>
      <c r="D1210" s="215">
        <v>616952</v>
      </c>
      <c r="F1210" s="215">
        <f t="shared" si="110"/>
        <v>616952</v>
      </c>
      <c r="G1210" s="215">
        <f t="shared" si="111"/>
        <v>645841</v>
      </c>
      <c r="H1210" s="680" t="s">
        <v>6153</v>
      </c>
      <c r="I1210" s="679"/>
      <c r="J1210" s="187" t="str">
        <f t="shared" si="115"/>
        <v>234-909</v>
      </c>
      <c r="K1210" s="187">
        <v>234</v>
      </c>
      <c r="L1210" s="187">
        <v>909</v>
      </c>
      <c r="M1210" s="187" t="str">
        <f t="shared" si="112"/>
        <v>234</v>
      </c>
      <c r="N1210" s="187">
        <f t="shared" si="113"/>
        <v>909</v>
      </c>
      <c r="O1210" s="187" t="str">
        <f t="shared" si="114"/>
        <v>234-909</v>
      </c>
      <c r="Q1210" s="679" t="s">
        <v>6750</v>
      </c>
    </row>
    <row r="1211" spans="1:17">
      <c r="A1211" s="788" t="s">
        <v>3448</v>
      </c>
      <c r="B1211" s="187" t="s">
        <v>3449</v>
      </c>
      <c r="C1211" s="215">
        <v>0</v>
      </c>
      <c r="D1211" s="215">
        <v>0</v>
      </c>
      <c r="F1211" s="215">
        <f t="shared" si="110"/>
        <v>0</v>
      </c>
      <c r="G1211" s="215">
        <f t="shared" si="111"/>
        <v>0</v>
      </c>
      <c r="H1211" s="680" t="s">
        <v>6153</v>
      </c>
      <c r="I1211" s="679"/>
      <c r="J1211" s="187" t="str">
        <f t="shared" si="115"/>
        <v>235-801</v>
      </c>
      <c r="K1211" s="187">
        <v>235</v>
      </c>
      <c r="L1211" s="187">
        <v>801</v>
      </c>
      <c r="M1211" s="187" t="str">
        <f t="shared" si="112"/>
        <v>235</v>
      </c>
      <c r="N1211" s="187">
        <f t="shared" si="113"/>
        <v>801</v>
      </c>
      <c r="O1211" s="187" t="str">
        <f t="shared" si="114"/>
        <v>235-801</v>
      </c>
      <c r="Q1211" s="679" t="s">
        <v>6515</v>
      </c>
    </row>
    <row r="1212" spans="1:17">
      <c r="A1212" s="788" t="s">
        <v>955</v>
      </c>
      <c r="B1212" s="187" t="s">
        <v>7660</v>
      </c>
      <c r="C1212" s="215">
        <v>162026</v>
      </c>
      <c r="D1212" s="215">
        <v>1708155</v>
      </c>
      <c r="F1212" s="215">
        <f t="shared" si="110"/>
        <v>1708155</v>
      </c>
      <c r="G1212" s="215">
        <f t="shared" si="111"/>
        <v>1870181</v>
      </c>
      <c r="H1212" s="680" t="s">
        <v>6153</v>
      </c>
      <c r="I1212" s="679"/>
      <c r="J1212" s="187" t="str">
        <f t="shared" si="115"/>
        <v>235-901</v>
      </c>
      <c r="K1212" s="187">
        <v>235</v>
      </c>
      <c r="L1212" s="187">
        <v>901</v>
      </c>
      <c r="M1212" s="187" t="str">
        <f t="shared" si="112"/>
        <v>235</v>
      </c>
      <c r="N1212" s="187">
        <f t="shared" si="113"/>
        <v>901</v>
      </c>
      <c r="O1212" s="187" t="str">
        <f t="shared" si="114"/>
        <v>235-901</v>
      </c>
      <c r="Q1212" s="679" t="s">
        <v>6751</v>
      </c>
    </row>
    <row r="1213" spans="1:17">
      <c r="A1213" s="788" t="s">
        <v>3552</v>
      </c>
      <c r="B1213" s="187" t="s">
        <v>4058</v>
      </c>
      <c r="C1213" s="215">
        <v>3113367</v>
      </c>
      <c r="D1213" s="215">
        <v>46407414</v>
      </c>
      <c r="F1213" s="215">
        <f t="shared" si="110"/>
        <v>46407414</v>
      </c>
      <c r="G1213" s="215">
        <f t="shared" si="111"/>
        <v>49520781</v>
      </c>
      <c r="H1213" s="680" t="s">
        <v>6153</v>
      </c>
      <c r="I1213" s="679"/>
      <c r="J1213" s="187" t="str">
        <f t="shared" si="115"/>
        <v>235-902</v>
      </c>
      <c r="K1213" s="187">
        <v>235</v>
      </c>
      <c r="L1213" s="187">
        <v>902</v>
      </c>
      <c r="M1213" s="187" t="str">
        <f t="shared" si="112"/>
        <v>235</v>
      </c>
      <c r="N1213" s="187">
        <f t="shared" si="113"/>
        <v>902</v>
      </c>
      <c r="O1213" s="187" t="str">
        <f t="shared" si="114"/>
        <v>235-902</v>
      </c>
      <c r="Q1213" s="679" t="s">
        <v>6752</v>
      </c>
    </row>
    <row r="1214" spans="1:17">
      <c r="A1214" s="788" t="s">
        <v>6248</v>
      </c>
      <c r="B1214" s="187" t="s">
        <v>7635</v>
      </c>
      <c r="C1214" s="215">
        <v>0</v>
      </c>
      <c r="D1214" s="215">
        <v>1613918</v>
      </c>
      <c r="F1214" s="215">
        <f t="shared" si="110"/>
        <v>1613918</v>
      </c>
      <c r="G1214" s="215">
        <f t="shared" si="111"/>
        <v>1613918</v>
      </c>
      <c r="H1214" s="680" t="s">
        <v>6153</v>
      </c>
      <c r="I1214" s="679"/>
      <c r="J1214" s="187" t="str">
        <f t="shared" si="115"/>
        <v>235-904</v>
      </c>
      <c r="K1214" s="187">
        <v>235</v>
      </c>
      <c r="L1214" s="187">
        <v>904</v>
      </c>
      <c r="M1214" s="187" t="str">
        <f t="shared" si="112"/>
        <v>235</v>
      </c>
      <c r="N1214" s="187">
        <f t="shared" si="113"/>
        <v>904</v>
      </c>
      <c r="O1214" s="187" t="str">
        <f t="shared" si="114"/>
        <v>235-904</v>
      </c>
      <c r="Q1214" s="679" t="s">
        <v>6753</v>
      </c>
    </row>
    <row r="1215" spans="1:17">
      <c r="A1215" s="788" t="s">
        <v>3450</v>
      </c>
      <c r="B1215" s="187" t="s">
        <v>3451</v>
      </c>
      <c r="C1215" s="215">
        <v>0</v>
      </c>
      <c r="D1215" s="215">
        <v>0</v>
      </c>
      <c r="F1215" s="215">
        <f t="shared" si="110"/>
        <v>0</v>
      </c>
      <c r="G1215" s="215">
        <f t="shared" si="111"/>
        <v>0</v>
      </c>
      <c r="H1215" s="680" t="s">
        <v>6153</v>
      </c>
      <c r="I1215" s="679"/>
      <c r="J1215" s="187" t="str">
        <f t="shared" si="115"/>
        <v>235-950</v>
      </c>
      <c r="K1215" s="187">
        <v>235</v>
      </c>
      <c r="L1215" s="187">
        <v>950</v>
      </c>
      <c r="M1215" s="187" t="str">
        <f t="shared" si="112"/>
        <v>235</v>
      </c>
      <c r="N1215" s="187">
        <f t="shared" si="113"/>
        <v>950</v>
      </c>
      <c r="O1215" s="187" t="str">
        <f t="shared" si="114"/>
        <v>235-950</v>
      </c>
      <c r="Q1215" s="679" t="s">
        <v>6516</v>
      </c>
    </row>
    <row r="1216" spans="1:17">
      <c r="A1216" s="788" t="s">
        <v>3452</v>
      </c>
      <c r="B1216" s="187" t="s">
        <v>3453</v>
      </c>
      <c r="C1216" s="215">
        <v>0</v>
      </c>
      <c r="D1216" s="215">
        <v>0</v>
      </c>
      <c r="F1216" s="215">
        <f t="shared" si="110"/>
        <v>0</v>
      </c>
      <c r="G1216" s="215">
        <f t="shared" si="111"/>
        <v>0</v>
      </c>
      <c r="H1216" s="680" t="s">
        <v>6153</v>
      </c>
      <c r="I1216" s="679"/>
      <c r="J1216" s="187" t="str">
        <f t="shared" si="115"/>
        <v>236-801</v>
      </c>
      <c r="K1216" s="187">
        <v>236</v>
      </c>
      <c r="L1216" s="187">
        <v>801</v>
      </c>
      <c r="M1216" s="187" t="str">
        <f t="shared" si="112"/>
        <v>236</v>
      </c>
      <c r="N1216" s="187">
        <f t="shared" si="113"/>
        <v>801</v>
      </c>
      <c r="O1216" s="187" t="str">
        <f t="shared" si="114"/>
        <v>236-801</v>
      </c>
      <c r="Q1216" s="679" t="s">
        <v>6517</v>
      </c>
    </row>
    <row r="1217" spans="1:17">
      <c r="A1217" s="788" t="s">
        <v>6182</v>
      </c>
      <c r="B1217" s="187" t="s">
        <v>1935</v>
      </c>
      <c r="C1217" s="215">
        <v>265203</v>
      </c>
      <c r="D1217" s="215">
        <v>1549343</v>
      </c>
      <c r="F1217" s="215">
        <f t="shared" si="110"/>
        <v>1549343</v>
      </c>
      <c r="G1217" s="215">
        <f t="shared" si="111"/>
        <v>1814546</v>
      </c>
      <c r="H1217" s="680" t="s">
        <v>6153</v>
      </c>
      <c r="I1217" s="679"/>
      <c r="J1217" s="187" t="str">
        <f t="shared" si="115"/>
        <v>236-901</v>
      </c>
      <c r="K1217" s="187">
        <v>236</v>
      </c>
      <c r="L1217" s="187">
        <v>901</v>
      </c>
      <c r="M1217" s="187" t="str">
        <f t="shared" si="112"/>
        <v>236</v>
      </c>
      <c r="N1217" s="187">
        <f t="shared" si="113"/>
        <v>901</v>
      </c>
      <c r="O1217" s="187" t="str">
        <f t="shared" si="114"/>
        <v>236-901</v>
      </c>
      <c r="Q1217" s="679" t="s">
        <v>6754</v>
      </c>
    </row>
    <row r="1218" spans="1:17">
      <c r="A1218" s="788" t="s">
        <v>6250</v>
      </c>
      <c r="B1218" s="187" t="s">
        <v>7636</v>
      </c>
      <c r="C1218" s="215">
        <v>2066326</v>
      </c>
      <c r="D1218" s="215">
        <v>17496042</v>
      </c>
      <c r="F1218" s="215">
        <f t="shared" si="110"/>
        <v>17496042</v>
      </c>
      <c r="G1218" s="215">
        <f t="shared" si="111"/>
        <v>19562368</v>
      </c>
      <c r="H1218" s="680" t="s">
        <v>6153</v>
      </c>
      <c r="I1218" s="679"/>
      <c r="J1218" s="187" t="str">
        <f t="shared" si="115"/>
        <v>236-902</v>
      </c>
      <c r="K1218" s="187">
        <v>236</v>
      </c>
      <c r="L1218" s="187">
        <v>902</v>
      </c>
      <c r="M1218" s="187" t="str">
        <f t="shared" si="112"/>
        <v>236</v>
      </c>
      <c r="N1218" s="187">
        <f t="shared" si="113"/>
        <v>902</v>
      </c>
      <c r="O1218" s="187" t="str">
        <f t="shared" si="114"/>
        <v>236-902</v>
      </c>
      <c r="Q1218" s="679" t="s">
        <v>6755</v>
      </c>
    </row>
    <row r="1219" spans="1:17">
      <c r="A1219" s="788" t="s">
        <v>3454</v>
      </c>
      <c r="B1219" s="187" t="s">
        <v>3455</v>
      </c>
      <c r="C1219" s="215">
        <v>0</v>
      </c>
      <c r="D1219" s="215">
        <v>0</v>
      </c>
      <c r="F1219" s="215">
        <f t="shared" si="110"/>
        <v>0</v>
      </c>
      <c r="G1219" s="215">
        <f t="shared" si="111"/>
        <v>0</v>
      </c>
      <c r="H1219" s="680" t="s">
        <v>6153</v>
      </c>
      <c r="I1219" s="679"/>
      <c r="J1219" s="187" t="str">
        <f t="shared" si="115"/>
        <v>236-903</v>
      </c>
      <c r="K1219" s="187">
        <v>236</v>
      </c>
      <c r="L1219" s="187">
        <v>903</v>
      </c>
      <c r="M1219" s="187" t="str">
        <f t="shared" si="112"/>
        <v>236</v>
      </c>
      <c r="N1219" s="187">
        <f t="shared" si="113"/>
        <v>903</v>
      </c>
      <c r="O1219" s="187" t="str">
        <f t="shared" si="114"/>
        <v>236-903</v>
      </c>
      <c r="Q1219" s="679" t="s">
        <v>6518</v>
      </c>
    </row>
    <row r="1220" spans="1:17">
      <c r="A1220" s="788" t="s">
        <v>3456</v>
      </c>
      <c r="B1220" s="187" t="s">
        <v>3457</v>
      </c>
      <c r="C1220" s="215">
        <v>0</v>
      </c>
      <c r="D1220" s="215">
        <v>0</v>
      </c>
      <c r="F1220" s="215">
        <f t="shared" ref="F1220:F1283" si="116">D1220+E1220</f>
        <v>0</v>
      </c>
      <c r="G1220" s="215">
        <f t="shared" ref="G1220:G1283" si="117">F1220+C1220</f>
        <v>0</v>
      </c>
      <c r="H1220" s="680" t="s">
        <v>6153</v>
      </c>
      <c r="I1220" s="679"/>
      <c r="J1220" s="187" t="str">
        <f t="shared" si="115"/>
        <v>236-950</v>
      </c>
      <c r="K1220" s="187">
        <v>236</v>
      </c>
      <c r="L1220" s="187">
        <v>950</v>
      </c>
      <c r="M1220" s="187" t="str">
        <f t="shared" ref="M1220:M1283" si="118">+I1220&amp;K1220</f>
        <v>236</v>
      </c>
      <c r="N1220" s="187">
        <f t="shared" ref="N1220:N1283" si="119">+L1220</f>
        <v>950</v>
      </c>
      <c r="O1220" s="187" t="str">
        <f t="shared" ref="O1220:O1283" si="120">+M1220&amp;"-"&amp;N1220</f>
        <v>236-950</v>
      </c>
      <c r="Q1220" s="679" t="s">
        <v>6519</v>
      </c>
    </row>
    <row r="1221" spans="1:17">
      <c r="A1221" s="788" t="s">
        <v>5038</v>
      </c>
      <c r="B1221" s="187" t="s">
        <v>3842</v>
      </c>
      <c r="C1221" s="215">
        <v>744781</v>
      </c>
      <c r="D1221" s="215">
        <v>4313561</v>
      </c>
      <c r="F1221" s="215">
        <f t="shared" si="116"/>
        <v>4313561</v>
      </c>
      <c r="G1221" s="215">
        <f t="shared" si="117"/>
        <v>5058342</v>
      </c>
      <c r="H1221" s="680" t="s">
        <v>6153</v>
      </c>
      <c r="I1221" s="679"/>
      <c r="J1221" s="187" t="str">
        <f t="shared" si="115"/>
        <v>237-902</v>
      </c>
      <c r="K1221" s="187">
        <v>237</v>
      </c>
      <c r="L1221" s="187">
        <v>902</v>
      </c>
      <c r="M1221" s="187" t="str">
        <f t="shared" si="118"/>
        <v>237</v>
      </c>
      <c r="N1221" s="187">
        <f t="shared" si="119"/>
        <v>902</v>
      </c>
      <c r="O1221" s="187" t="str">
        <f t="shared" si="120"/>
        <v>237-902</v>
      </c>
      <c r="Q1221" s="679" t="s">
        <v>6756</v>
      </c>
    </row>
    <row r="1222" spans="1:17">
      <c r="A1222" s="788" t="s">
        <v>5039</v>
      </c>
      <c r="B1222" s="187" t="s">
        <v>4062</v>
      </c>
      <c r="C1222" s="215">
        <v>2703981</v>
      </c>
      <c r="D1222" s="215">
        <v>14842312</v>
      </c>
      <c r="F1222" s="215">
        <f t="shared" si="116"/>
        <v>14842312</v>
      </c>
      <c r="G1222" s="215">
        <f t="shared" si="117"/>
        <v>17546293</v>
      </c>
      <c r="H1222" s="680" t="s">
        <v>6153</v>
      </c>
      <c r="I1222" s="679"/>
      <c r="J1222" s="187" t="str">
        <f t="shared" si="115"/>
        <v>237-904</v>
      </c>
      <c r="K1222" s="187">
        <v>237</v>
      </c>
      <c r="L1222" s="187">
        <v>904</v>
      </c>
      <c r="M1222" s="187" t="str">
        <f t="shared" si="118"/>
        <v>237</v>
      </c>
      <c r="N1222" s="187">
        <f t="shared" si="119"/>
        <v>904</v>
      </c>
      <c r="O1222" s="187" t="str">
        <f t="shared" si="120"/>
        <v>237-904</v>
      </c>
      <c r="Q1222" s="679" t="s">
        <v>6757</v>
      </c>
    </row>
    <row r="1223" spans="1:17">
      <c r="A1223" s="788" t="s">
        <v>2082</v>
      </c>
      <c r="B1223" s="187" t="s">
        <v>7637</v>
      </c>
      <c r="C1223" s="215">
        <v>701703</v>
      </c>
      <c r="D1223" s="215">
        <v>5904932</v>
      </c>
      <c r="F1223" s="215">
        <f t="shared" si="116"/>
        <v>5904932</v>
      </c>
      <c r="G1223" s="215">
        <f t="shared" si="117"/>
        <v>6606635</v>
      </c>
      <c r="H1223" s="680" t="s">
        <v>6153</v>
      </c>
      <c r="I1223" s="679"/>
      <c r="J1223" s="187" t="str">
        <f t="shared" si="115"/>
        <v>237-905</v>
      </c>
      <c r="K1223" s="187">
        <v>237</v>
      </c>
      <c r="L1223" s="187">
        <v>905</v>
      </c>
      <c r="M1223" s="187" t="str">
        <f t="shared" si="118"/>
        <v>237</v>
      </c>
      <c r="N1223" s="187">
        <f t="shared" si="119"/>
        <v>905</v>
      </c>
      <c r="O1223" s="187" t="str">
        <f t="shared" si="120"/>
        <v>237-905</v>
      </c>
      <c r="Q1223" s="679" t="s">
        <v>6758</v>
      </c>
    </row>
    <row r="1224" spans="1:17">
      <c r="A1224" s="788" t="s">
        <v>2084</v>
      </c>
      <c r="B1224" s="187" t="s">
        <v>7638</v>
      </c>
      <c r="C1224" s="215">
        <v>0</v>
      </c>
      <c r="D1224" s="215">
        <v>12008548</v>
      </c>
      <c r="F1224" s="215">
        <f t="shared" si="116"/>
        <v>12008548</v>
      </c>
      <c r="G1224" s="215">
        <f t="shared" si="117"/>
        <v>12008548</v>
      </c>
      <c r="H1224" s="680" t="s">
        <v>6153</v>
      </c>
      <c r="I1224" s="679"/>
      <c r="J1224" s="187" t="str">
        <f t="shared" si="115"/>
        <v>238-902</v>
      </c>
      <c r="K1224" s="187">
        <v>238</v>
      </c>
      <c r="L1224" s="187">
        <v>902</v>
      </c>
      <c r="M1224" s="187" t="str">
        <f t="shared" si="118"/>
        <v>238</v>
      </c>
      <c r="N1224" s="187">
        <f t="shared" si="119"/>
        <v>902</v>
      </c>
      <c r="O1224" s="187" t="str">
        <f t="shared" si="120"/>
        <v>238-902</v>
      </c>
      <c r="Q1224" s="679" t="s">
        <v>6759</v>
      </c>
    </row>
    <row r="1225" spans="1:17">
      <c r="A1225" s="788" t="s">
        <v>2086</v>
      </c>
      <c r="B1225" s="187" t="s">
        <v>2936</v>
      </c>
      <c r="C1225" s="215">
        <v>91725</v>
      </c>
      <c r="D1225" s="215">
        <v>1333338</v>
      </c>
      <c r="F1225" s="215">
        <f t="shared" si="116"/>
        <v>1333338</v>
      </c>
      <c r="G1225" s="215">
        <f t="shared" si="117"/>
        <v>1425063</v>
      </c>
      <c r="H1225" s="680" t="s">
        <v>6153</v>
      </c>
      <c r="I1225" s="679"/>
      <c r="J1225" s="187" t="str">
        <f t="shared" si="115"/>
        <v>238-904</v>
      </c>
      <c r="K1225" s="187">
        <v>238</v>
      </c>
      <c r="L1225" s="187">
        <v>904</v>
      </c>
      <c r="M1225" s="187" t="str">
        <f t="shared" si="118"/>
        <v>238</v>
      </c>
      <c r="N1225" s="187">
        <f t="shared" si="119"/>
        <v>904</v>
      </c>
      <c r="O1225" s="187" t="str">
        <f t="shared" si="120"/>
        <v>238-904</v>
      </c>
      <c r="Q1225" s="679" t="s">
        <v>6760</v>
      </c>
    </row>
    <row r="1226" spans="1:17">
      <c r="A1226" s="788" t="s">
        <v>3458</v>
      </c>
      <c r="B1226" s="187" t="s">
        <v>3459</v>
      </c>
      <c r="C1226" s="215">
        <v>0</v>
      </c>
      <c r="D1226" s="215">
        <v>0</v>
      </c>
      <c r="F1226" s="215">
        <f t="shared" si="116"/>
        <v>0</v>
      </c>
      <c r="G1226" s="215">
        <f t="shared" si="117"/>
        <v>0</v>
      </c>
      <c r="H1226" s="680" t="s">
        <v>6153</v>
      </c>
      <c r="I1226" s="679"/>
      <c r="J1226" s="187" t="str">
        <f t="shared" si="115"/>
        <v>238-905</v>
      </c>
      <c r="K1226" s="187">
        <v>238</v>
      </c>
      <c r="L1226" s="187">
        <v>905</v>
      </c>
      <c r="M1226" s="187" t="str">
        <f t="shared" si="118"/>
        <v>238</v>
      </c>
      <c r="N1226" s="187">
        <f t="shared" si="119"/>
        <v>905</v>
      </c>
      <c r="O1226" s="187" t="str">
        <f t="shared" si="120"/>
        <v>238-905</v>
      </c>
      <c r="Q1226" s="679" t="s">
        <v>6520</v>
      </c>
    </row>
    <row r="1227" spans="1:17">
      <c r="A1227" s="788" t="s">
        <v>2088</v>
      </c>
      <c r="B1227" s="187" t="s">
        <v>2937</v>
      </c>
      <c r="C1227" s="215">
        <v>1446003</v>
      </c>
      <c r="D1227" s="215">
        <v>21288888</v>
      </c>
      <c r="F1227" s="215">
        <f t="shared" si="116"/>
        <v>21288888</v>
      </c>
      <c r="G1227" s="215">
        <f t="shared" si="117"/>
        <v>22734891</v>
      </c>
      <c r="H1227" s="680" t="s">
        <v>6153</v>
      </c>
      <c r="I1227" s="679"/>
      <c r="J1227" s="187" t="str">
        <f t="shared" si="115"/>
        <v>239-901</v>
      </c>
      <c r="K1227" s="187">
        <v>239</v>
      </c>
      <c r="L1227" s="187">
        <v>901</v>
      </c>
      <c r="M1227" s="187" t="str">
        <f t="shared" si="118"/>
        <v>239</v>
      </c>
      <c r="N1227" s="187">
        <f t="shared" si="119"/>
        <v>901</v>
      </c>
      <c r="O1227" s="187" t="str">
        <f t="shared" si="120"/>
        <v>239-901</v>
      </c>
      <c r="Q1227" s="679" t="s">
        <v>6761</v>
      </c>
    </row>
    <row r="1228" spans="1:17">
      <c r="A1228" s="788" t="s">
        <v>2090</v>
      </c>
      <c r="B1228" s="187" t="s">
        <v>2938</v>
      </c>
      <c r="C1228" s="215">
        <v>77732</v>
      </c>
      <c r="D1228" s="215">
        <v>3147394</v>
      </c>
      <c r="F1228" s="215">
        <f t="shared" si="116"/>
        <v>3147394</v>
      </c>
      <c r="G1228" s="215">
        <f t="shared" si="117"/>
        <v>3225126</v>
      </c>
      <c r="H1228" s="680" t="s">
        <v>6153</v>
      </c>
      <c r="I1228" s="679"/>
      <c r="J1228" s="187" t="str">
        <f t="shared" si="115"/>
        <v>239-903</v>
      </c>
      <c r="K1228" s="187">
        <v>239</v>
      </c>
      <c r="L1228" s="187">
        <v>903</v>
      </c>
      <c r="M1228" s="187" t="str">
        <f t="shared" si="118"/>
        <v>239</v>
      </c>
      <c r="N1228" s="187">
        <f t="shared" si="119"/>
        <v>903</v>
      </c>
      <c r="O1228" s="187" t="str">
        <f t="shared" si="120"/>
        <v>239-903</v>
      </c>
      <c r="Q1228" s="679" t="s">
        <v>6762</v>
      </c>
    </row>
    <row r="1229" spans="1:17">
      <c r="A1229" s="788" t="s">
        <v>3460</v>
      </c>
      <c r="B1229" s="187" t="s">
        <v>3461</v>
      </c>
      <c r="C1229" s="215">
        <v>0</v>
      </c>
      <c r="D1229" s="215">
        <v>0</v>
      </c>
      <c r="F1229" s="215">
        <f t="shared" si="116"/>
        <v>0</v>
      </c>
      <c r="G1229" s="215">
        <f t="shared" si="117"/>
        <v>0</v>
      </c>
      <c r="H1229" s="680" t="s">
        <v>6153</v>
      </c>
      <c r="I1229" s="679"/>
      <c r="J1229" s="187" t="str">
        <f t="shared" si="115"/>
        <v>240-801</v>
      </c>
      <c r="K1229" s="187">
        <v>240</v>
      </c>
      <c r="L1229" s="187">
        <v>801</v>
      </c>
      <c r="M1229" s="187" t="str">
        <f t="shared" si="118"/>
        <v>240</v>
      </c>
      <c r="N1229" s="187">
        <f t="shared" si="119"/>
        <v>801</v>
      </c>
      <c r="O1229" s="187" t="str">
        <f t="shared" si="120"/>
        <v>240-801</v>
      </c>
      <c r="Q1229" s="679" t="s">
        <v>6521</v>
      </c>
    </row>
    <row r="1230" spans="1:17">
      <c r="A1230" s="788" t="s">
        <v>2092</v>
      </c>
      <c r="B1230" s="187" t="s">
        <v>3462</v>
      </c>
      <c r="C1230" s="215">
        <v>0</v>
      </c>
      <c r="D1230" s="215">
        <v>0</v>
      </c>
      <c r="F1230" s="215">
        <f t="shared" si="116"/>
        <v>0</v>
      </c>
      <c r="G1230" s="215">
        <f t="shared" si="117"/>
        <v>0</v>
      </c>
      <c r="H1230" s="680" t="s">
        <v>6153</v>
      </c>
      <c r="I1230" s="679"/>
      <c r="J1230" s="187" t="str">
        <f t="shared" si="115"/>
        <v>240-802</v>
      </c>
      <c r="K1230" s="187">
        <v>240</v>
      </c>
      <c r="L1230" s="187">
        <v>802</v>
      </c>
      <c r="M1230" s="187" t="str">
        <f t="shared" si="118"/>
        <v>240</v>
      </c>
      <c r="N1230" s="187">
        <f t="shared" si="119"/>
        <v>802</v>
      </c>
      <c r="O1230" s="187" t="str">
        <f t="shared" si="120"/>
        <v>240-802</v>
      </c>
      <c r="Q1230" s="679" t="s">
        <v>6522</v>
      </c>
    </row>
    <row r="1231" spans="1:17">
      <c r="A1231" s="788" t="s">
        <v>6523</v>
      </c>
      <c r="B1231" s="187" t="s">
        <v>6524</v>
      </c>
      <c r="C1231" s="215">
        <v>0</v>
      </c>
      <c r="D1231" s="215">
        <v>0</v>
      </c>
      <c r="F1231" s="215">
        <f t="shared" si="116"/>
        <v>0</v>
      </c>
      <c r="G1231" s="215">
        <f t="shared" si="117"/>
        <v>0</v>
      </c>
      <c r="H1231" s="680" t="s">
        <v>6153</v>
      </c>
      <c r="I1231" s="679"/>
      <c r="J1231" s="187" t="str">
        <f t="shared" si="115"/>
        <v>240-803</v>
      </c>
      <c r="K1231" s="187">
        <v>240</v>
      </c>
      <c r="L1231" s="187">
        <v>803</v>
      </c>
      <c r="M1231" s="187" t="str">
        <f t="shared" si="118"/>
        <v>240</v>
      </c>
      <c r="N1231" s="187">
        <f t="shared" si="119"/>
        <v>803</v>
      </c>
      <c r="O1231" s="187" t="str">
        <f t="shared" si="120"/>
        <v>240-803</v>
      </c>
      <c r="Q1231" s="679" t="s">
        <v>6525</v>
      </c>
    </row>
    <row r="1232" spans="1:17">
      <c r="A1232" s="788" t="s">
        <v>2987</v>
      </c>
      <c r="B1232" s="187" t="s">
        <v>187</v>
      </c>
      <c r="C1232" s="215">
        <v>2527228</v>
      </c>
      <c r="D1232" s="215">
        <v>21084557</v>
      </c>
      <c r="E1232" s="215">
        <v>855519</v>
      </c>
      <c r="F1232" s="215">
        <f t="shared" si="116"/>
        <v>21940076</v>
      </c>
      <c r="G1232" s="215">
        <f t="shared" si="117"/>
        <v>24467304</v>
      </c>
      <c r="H1232" s="680" t="s">
        <v>6153</v>
      </c>
      <c r="I1232" s="679"/>
      <c r="J1232" s="187" t="str">
        <f t="shared" si="115"/>
        <v>240-901</v>
      </c>
      <c r="K1232" s="187">
        <v>240</v>
      </c>
      <c r="L1232" s="187">
        <v>901</v>
      </c>
      <c r="M1232" s="187" t="str">
        <f t="shared" si="118"/>
        <v>240</v>
      </c>
      <c r="N1232" s="187">
        <f t="shared" si="119"/>
        <v>901</v>
      </c>
      <c r="O1232" s="187" t="str">
        <f t="shared" si="120"/>
        <v>240-901</v>
      </c>
      <c r="Q1232" s="679" t="s">
        <v>6763</v>
      </c>
    </row>
    <row r="1233" spans="1:17">
      <c r="A1233" s="788" t="s">
        <v>2094</v>
      </c>
      <c r="B1233" s="187" t="s">
        <v>2939</v>
      </c>
      <c r="C1233" s="215">
        <v>0</v>
      </c>
      <c r="D1233" s="215">
        <v>1057611</v>
      </c>
      <c r="F1233" s="215">
        <f t="shared" si="116"/>
        <v>1057611</v>
      </c>
      <c r="G1233" s="215">
        <f t="shared" si="117"/>
        <v>1057611</v>
      </c>
      <c r="H1233" s="680" t="s">
        <v>6153</v>
      </c>
      <c r="I1233" s="679"/>
      <c r="J1233" s="187" t="str">
        <f t="shared" si="115"/>
        <v>240-902</v>
      </c>
      <c r="K1233" s="187">
        <v>240</v>
      </c>
      <c r="L1233" s="187">
        <v>902</v>
      </c>
      <c r="M1233" s="187" t="str">
        <f t="shared" si="118"/>
        <v>240</v>
      </c>
      <c r="N1233" s="187">
        <f t="shared" si="119"/>
        <v>902</v>
      </c>
      <c r="O1233" s="187" t="str">
        <f t="shared" si="120"/>
        <v>240-902</v>
      </c>
      <c r="Q1233" s="679" t="s">
        <v>6526</v>
      </c>
    </row>
    <row r="1234" spans="1:17">
      <c r="A1234" s="788" t="s">
        <v>2417</v>
      </c>
      <c r="B1234" s="187" t="s">
        <v>5370</v>
      </c>
      <c r="C1234" s="215">
        <v>8151849</v>
      </c>
      <c r="D1234" s="215">
        <v>76192645</v>
      </c>
      <c r="F1234" s="215">
        <f t="shared" si="116"/>
        <v>76192645</v>
      </c>
      <c r="G1234" s="215">
        <f t="shared" si="117"/>
        <v>84344494</v>
      </c>
      <c r="H1234" s="680" t="s">
        <v>6153</v>
      </c>
      <c r="I1234" s="679"/>
      <c r="J1234" s="187" t="str">
        <f t="shared" si="115"/>
        <v>240-903</v>
      </c>
      <c r="K1234" s="187">
        <v>240</v>
      </c>
      <c r="L1234" s="187">
        <v>903</v>
      </c>
      <c r="M1234" s="187" t="str">
        <f t="shared" si="118"/>
        <v>240</v>
      </c>
      <c r="N1234" s="187">
        <f t="shared" si="119"/>
        <v>903</v>
      </c>
      <c r="O1234" s="187" t="str">
        <f t="shared" si="120"/>
        <v>240-903</v>
      </c>
      <c r="Q1234" s="679" t="s">
        <v>6764</v>
      </c>
    </row>
    <row r="1235" spans="1:17">
      <c r="A1235" s="788" t="s">
        <v>78</v>
      </c>
      <c r="B1235" s="187" t="s">
        <v>2940</v>
      </c>
      <c r="C1235" s="215">
        <v>0</v>
      </c>
      <c r="D1235" s="215">
        <v>9716526</v>
      </c>
      <c r="F1235" s="215">
        <f t="shared" si="116"/>
        <v>9716526</v>
      </c>
      <c r="G1235" s="215">
        <f t="shared" si="117"/>
        <v>9716526</v>
      </c>
      <c r="H1235" s="680" t="s">
        <v>6153</v>
      </c>
      <c r="I1235" s="679"/>
      <c r="J1235" s="187" t="str">
        <f t="shared" si="115"/>
        <v>240-904</v>
      </c>
      <c r="K1235" s="187">
        <v>240</v>
      </c>
      <c r="L1235" s="187">
        <v>904</v>
      </c>
      <c r="M1235" s="187" t="str">
        <f t="shared" si="118"/>
        <v>240</v>
      </c>
      <c r="N1235" s="187">
        <f t="shared" si="119"/>
        <v>904</v>
      </c>
      <c r="O1235" s="187" t="str">
        <f t="shared" si="120"/>
        <v>240-904</v>
      </c>
      <c r="Q1235" s="679" t="s">
        <v>6765</v>
      </c>
    </row>
    <row r="1236" spans="1:17">
      <c r="A1236" s="788" t="s">
        <v>80</v>
      </c>
      <c r="B1236" s="187" t="s">
        <v>2941</v>
      </c>
      <c r="C1236" s="215">
        <v>0</v>
      </c>
      <c r="D1236" s="215">
        <v>2078589</v>
      </c>
      <c r="F1236" s="215">
        <f t="shared" si="116"/>
        <v>2078589</v>
      </c>
      <c r="G1236" s="215">
        <f t="shared" si="117"/>
        <v>2078589</v>
      </c>
      <c r="H1236" s="680" t="s">
        <v>6153</v>
      </c>
      <c r="I1236" s="679"/>
      <c r="J1236" s="187" t="str">
        <f t="shared" si="115"/>
        <v>241-901</v>
      </c>
      <c r="K1236" s="187">
        <v>241</v>
      </c>
      <c r="L1236" s="187">
        <v>901</v>
      </c>
      <c r="M1236" s="187" t="str">
        <f t="shared" si="118"/>
        <v>241</v>
      </c>
      <c r="N1236" s="187">
        <f t="shared" si="119"/>
        <v>901</v>
      </c>
      <c r="O1236" s="187" t="str">
        <f t="shared" si="120"/>
        <v>241-901</v>
      </c>
      <c r="Q1236" s="679" t="s">
        <v>6767</v>
      </c>
    </row>
    <row r="1237" spans="1:17">
      <c r="A1237" s="788" t="s">
        <v>82</v>
      </c>
      <c r="B1237" s="187" t="s">
        <v>6720</v>
      </c>
      <c r="C1237" s="215">
        <v>343155</v>
      </c>
      <c r="D1237" s="215">
        <v>2788960</v>
      </c>
      <c r="F1237" s="215">
        <f t="shared" si="116"/>
        <v>2788960</v>
      </c>
      <c r="G1237" s="215">
        <f t="shared" si="117"/>
        <v>3132115</v>
      </c>
      <c r="H1237" s="680" t="s">
        <v>6153</v>
      </c>
      <c r="I1237" s="679"/>
      <c r="J1237" s="187" t="str">
        <f t="shared" si="115"/>
        <v>241-902</v>
      </c>
      <c r="K1237" s="187">
        <v>241</v>
      </c>
      <c r="L1237" s="187">
        <v>902</v>
      </c>
      <c r="M1237" s="187" t="str">
        <f t="shared" si="118"/>
        <v>241</v>
      </c>
      <c r="N1237" s="187">
        <f t="shared" si="119"/>
        <v>902</v>
      </c>
      <c r="O1237" s="187" t="str">
        <f t="shared" si="120"/>
        <v>241-902</v>
      </c>
      <c r="Q1237" s="679" t="s">
        <v>6768</v>
      </c>
    </row>
    <row r="1238" spans="1:17">
      <c r="A1238" s="788" t="s">
        <v>84</v>
      </c>
      <c r="B1238" s="187" t="s">
        <v>6721</v>
      </c>
      <c r="C1238" s="215">
        <v>303733</v>
      </c>
      <c r="D1238" s="215">
        <v>10695409</v>
      </c>
      <c r="F1238" s="215">
        <f t="shared" si="116"/>
        <v>10695409</v>
      </c>
      <c r="G1238" s="215">
        <f t="shared" si="117"/>
        <v>10999142</v>
      </c>
      <c r="H1238" s="680" t="s">
        <v>6153</v>
      </c>
      <c r="I1238" s="679"/>
      <c r="J1238" s="187" t="str">
        <f t="shared" si="115"/>
        <v>241-903</v>
      </c>
      <c r="K1238" s="187">
        <v>241</v>
      </c>
      <c r="L1238" s="187">
        <v>903</v>
      </c>
      <c r="M1238" s="187" t="str">
        <f t="shared" si="118"/>
        <v>241</v>
      </c>
      <c r="N1238" s="187">
        <f t="shared" si="119"/>
        <v>903</v>
      </c>
      <c r="O1238" s="187" t="str">
        <f t="shared" si="120"/>
        <v>241-903</v>
      </c>
      <c r="Q1238" s="679" t="s">
        <v>6769</v>
      </c>
    </row>
    <row r="1239" spans="1:17">
      <c r="A1239" s="788" t="s">
        <v>86</v>
      </c>
      <c r="B1239" s="187" t="s">
        <v>6722</v>
      </c>
      <c r="C1239" s="215">
        <v>0</v>
      </c>
      <c r="D1239" s="215">
        <v>6879550</v>
      </c>
      <c r="F1239" s="215">
        <f t="shared" si="116"/>
        <v>6879550</v>
      </c>
      <c r="G1239" s="215">
        <f t="shared" si="117"/>
        <v>6879550</v>
      </c>
      <c r="H1239" s="680" t="s">
        <v>6153</v>
      </c>
      <c r="I1239" s="679"/>
      <c r="J1239" s="187" t="str">
        <f t="shared" si="115"/>
        <v>241-904</v>
      </c>
      <c r="K1239" s="187">
        <v>241</v>
      </c>
      <c r="L1239" s="187">
        <v>904</v>
      </c>
      <c r="M1239" s="187" t="str">
        <f t="shared" si="118"/>
        <v>241</v>
      </c>
      <c r="N1239" s="187">
        <f t="shared" si="119"/>
        <v>904</v>
      </c>
      <c r="O1239" s="187" t="str">
        <f t="shared" si="120"/>
        <v>241-904</v>
      </c>
      <c r="Q1239" s="679" t="s">
        <v>6770</v>
      </c>
    </row>
    <row r="1240" spans="1:17">
      <c r="A1240" s="788" t="s">
        <v>88</v>
      </c>
      <c r="B1240" s="187" t="s">
        <v>6723</v>
      </c>
      <c r="C1240" s="215">
        <v>224386</v>
      </c>
      <c r="D1240" s="215">
        <v>1902412</v>
      </c>
      <c r="F1240" s="215">
        <f t="shared" si="116"/>
        <v>1902412</v>
      </c>
      <c r="G1240" s="215">
        <f t="shared" si="117"/>
        <v>2126798</v>
      </c>
      <c r="H1240" s="680" t="s">
        <v>6153</v>
      </c>
      <c r="I1240" s="679"/>
      <c r="J1240" s="187" t="str">
        <f t="shared" si="115"/>
        <v>241-906</v>
      </c>
      <c r="K1240" s="187">
        <v>241</v>
      </c>
      <c r="L1240" s="187">
        <v>906</v>
      </c>
      <c r="M1240" s="187" t="str">
        <f t="shared" si="118"/>
        <v>241</v>
      </c>
      <c r="N1240" s="187">
        <f t="shared" si="119"/>
        <v>906</v>
      </c>
      <c r="O1240" s="187" t="str">
        <f t="shared" si="120"/>
        <v>241-906</v>
      </c>
      <c r="Q1240" s="679" t="s">
        <v>6771</v>
      </c>
    </row>
    <row r="1241" spans="1:17">
      <c r="A1241" s="788" t="s">
        <v>90</v>
      </c>
      <c r="B1241" s="187" t="s">
        <v>6724</v>
      </c>
      <c r="C1241" s="215">
        <v>0</v>
      </c>
      <c r="D1241" s="215">
        <v>1506507</v>
      </c>
      <c r="F1241" s="215">
        <f t="shared" si="116"/>
        <v>1506507</v>
      </c>
      <c r="G1241" s="215">
        <f t="shared" si="117"/>
        <v>1506507</v>
      </c>
      <c r="H1241" s="680" t="s">
        <v>6153</v>
      </c>
      <c r="I1241" s="679"/>
      <c r="J1241" s="187" t="str">
        <f t="shared" si="115"/>
        <v>242-902</v>
      </c>
      <c r="K1241" s="187">
        <v>242</v>
      </c>
      <c r="L1241" s="187">
        <v>902</v>
      </c>
      <c r="M1241" s="187" t="str">
        <f t="shared" si="118"/>
        <v>242</v>
      </c>
      <c r="N1241" s="187">
        <f t="shared" si="119"/>
        <v>902</v>
      </c>
      <c r="O1241" s="187" t="str">
        <f t="shared" si="120"/>
        <v>242-902</v>
      </c>
      <c r="Q1241" s="679" t="s">
        <v>6772</v>
      </c>
    </row>
    <row r="1242" spans="1:17">
      <c r="A1242" s="788" t="s">
        <v>92</v>
      </c>
      <c r="B1242" s="187" t="s">
        <v>1546</v>
      </c>
      <c r="C1242" s="215">
        <v>0</v>
      </c>
      <c r="D1242" s="215">
        <v>1692331</v>
      </c>
      <c r="F1242" s="215">
        <f t="shared" si="116"/>
        <v>1692331</v>
      </c>
      <c r="G1242" s="215">
        <f t="shared" si="117"/>
        <v>1692331</v>
      </c>
      <c r="H1242" s="680" t="s">
        <v>6153</v>
      </c>
      <c r="I1242" s="679"/>
      <c r="J1242" s="187" t="str">
        <f t="shared" si="115"/>
        <v>242-903</v>
      </c>
      <c r="K1242" s="187">
        <v>242</v>
      </c>
      <c r="L1242" s="187">
        <v>903</v>
      </c>
      <c r="M1242" s="187" t="str">
        <f t="shared" si="118"/>
        <v>242</v>
      </c>
      <c r="N1242" s="187">
        <f t="shared" si="119"/>
        <v>903</v>
      </c>
      <c r="O1242" s="187" t="str">
        <f t="shared" si="120"/>
        <v>242-903</v>
      </c>
      <c r="Q1242" s="679" t="s">
        <v>6773</v>
      </c>
    </row>
    <row r="1243" spans="1:17">
      <c r="A1243" s="788" t="s">
        <v>2332</v>
      </c>
      <c r="B1243" s="187" t="s">
        <v>1547</v>
      </c>
      <c r="C1243" s="215">
        <v>0</v>
      </c>
      <c r="D1243" s="215">
        <v>1052605</v>
      </c>
      <c r="F1243" s="215">
        <f t="shared" si="116"/>
        <v>1052605</v>
      </c>
      <c r="G1243" s="215">
        <f t="shared" si="117"/>
        <v>1052605</v>
      </c>
      <c r="H1243" s="680" t="s">
        <v>6153</v>
      </c>
      <c r="I1243" s="679"/>
      <c r="J1243" s="187" t="str">
        <f t="shared" si="115"/>
        <v>242-905</v>
      </c>
      <c r="K1243" s="187">
        <v>242</v>
      </c>
      <c r="L1243" s="187">
        <v>905</v>
      </c>
      <c r="M1243" s="187" t="str">
        <f t="shared" si="118"/>
        <v>242</v>
      </c>
      <c r="N1243" s="187">
        <f t="shared" si="119"/>
        <v>905</v>
      </c>
      <c r="O1243" s="187" t="str">
        <f t="shared" si="120"/>
        <v>242-905</v>
      </c>
      <c r="Q1243" s="679" t="s">
        <v>6774</v>
      </c>
    </row>
    <row r="1244" spans="1:17">
      <c r="A1244" s="788" t="s">
        <v>2334</v>
      </c>
      <c r="B1244" s="187" t="s">
        <v>1548</v>
      </c>
      <c r="C1244" s="215">
        <v>856388</v>
      </c>
      <c r="D1244" s="215">
        <v>4502009</v>
      </c>
      <c r="F1244" s="215">
        <f t="shared" si="116"/>
        <v>4502009</v>
      </c>
      <c r="G1244" s="215">
        <f t="shared" si="117"/>
        <v>5358397</v>
      </c>
      <c r="H1244" s="680" t="s">
        <v>6153</v>
      </c>
      <c r="I1244" s="679"/>
      <c r="J1244" s="187" t="str">
        <f t="shared" si="115"/>
        <v>242-906</v>
      </c>
      <c r="K1244" s="187">
        <v>242</v>
      </c>
      <c r="L1244" s="187">
        <v>906</v>
      </c>
      <c r="M1244" s="187" t="str">
        <f t="shared" si="118"/>
        <v>242</v>
      </c>
      <c r="N1244" s="187">
        <f t="shared" si="119"/>
        <v>906</v>
      </c>
      <c r="O1244" s="187" t="str">
        <f t="shared" si="120"/>
        <v>242-906</v>
      </c>
      <c r="Q1244" s="679" t="s">
        <v>6775</v>
      </c>
    </row>
    <row r="1245" spans="1:17">
      <c r="A1245" s="788" t="s">
        <v>3463</v>
      </c>
      <c r="B1245" s="187" t="s">
        <v>3464</v>
      </c>
      <c r="C1245" s="215">
        <v>0</v>
      </c>
      <c r="D1245" s="215">
        <v>0</v>
      </c>
      <c r="F1245" s="215">
        <f t="shared" si="116"/>
        <v>0</v>
      </c>
      <c r="G1245" s="215">
        <f t="shared" si="117"/>
        <v>0</v>
      </c>
      <c r="H1245" s="680" t="s">
        <v>6153</v>
      </c>
      <c r="I1245" s="679"/>
      <c r="J1245" s="187" t="str">
        <f t="shared" si="115"/>
        <v>243-801</v>
      </c>
      <c r="K1245" s="187">
        <v>243</v>
      </c>
      <c r="L1245" s="187">
        <v>801</v>
      </c>
      <c r="M1245" s="187" t="str">
        <f t="shared" si="118"/>
        <v>243</v>
      </c>
      <c r="N1245" s="187">
        <f t="shared" si="119"/>
        <v>801</v>
      </c>
      <c r="O1245" s="187" t="str">
        <f t="shared" si="120"/>
        <v>243-801</v>
      </c>
      <c r="Q1245" s="679" t="s">
        <v>6527</v>
      </c>
    </row>
    <row r="1246" spans="1:17">
      <c r="A1246" s="788" t="s">
        <v>962</v>
      </c>
      <c r="B1246" s="187" t="s">
        <v>2146</v>
      </c>
      <c r="C1246" s="215">
        <v>734517</v>
      </c>
      <c r="D1246" s="215">
        <v>8157414</v>
      </c>
      <c r="F1246" s="215">
        <f t="shared" si="116"/>
        <v>8157414</v>
      </c>
      <c r="G1246" s="215">
        <f t="shared" si="117"/>
        <v>8891931</v>
      </c>
      <c r="H1246" s="680" t="s">
        <v>6153</v>
      </c>
      <c r="I1246" s="679"/>
      <c r="J1246" s="187" t="str">
        <f t="shared" si="115"/>
        <v>243-901</v>
      </c>
      <c r="K1246" s="187">
        <v>243</v>
      </c>
      <c r="L1246" s="187">
        <v>901</v>
      </c>
      <c r="M1246" s="187" t="str">
        <f t="shared" si="118"/>
        <v>243</v>
      </c>
      <c r="N1246" s="187">
        <f t="shared" si="119"/>
        <v>901</v>
      </c>
      <c r="O1246" s="187" t="str">
        <f t="shared" si="120"/>
        <v>243-901</v>
      </c>
      <c r="Q1246" s="679" t="s">
        <v>6776</v>
      </c>
    </row>
    <row r="1247" spans="1:17">
      <c r="A1247" s="788" t="s">
        <v>2336</v>
      </c>
      <c r="B1247" s="187" t="s">
        <v>1549</v>
      </c>
      <c r="C1247" s="215">
        <v>112597</v>
      </c>
      <c r="D1247" s="215">
        <v>1694264</v>
      </c>
      <c r="F1247" s="215">
        <f t="shared" si="116"/>
        <v>1694264</v>
      </c>
      <c r="G1247" s="215">
        <f t="shared" si="117"/>
        <v>1806861</v>
      </c>
      <c r="H1247" s="680" t="s">
        <v>6153</v>
      </c>
      <c r="I1247" s="679"/>
      <c r="J1247" s="187" t="str">
        <f t="shared" si="115"/>
        <v>243-902</v>
      </c>
      <c r="K1247" s="187">
        <v>243</v>
      </c>
      <c r="L1247" s="187">
        <v>902</v>
      </c>
      <c r="M1247" s="187" t="str">
        <f t="shared" si="118"/>
        <v>243</v>
      </c>
      <c r="N1247" s="187">
        <f t="shared" si="119"/>
        <v>902</v>
      </c>
      <c r="O1247" s="187" t="str">
        <f t="shared" si="120"/>
        <v>243-902</v>
      </c>
      <c r="Q1247" s="679" t="s">
        <v>6777</v>
      </c>
    </row>
    <row r="1248" spans="1:17">
      <c r="A1248" s="788" t="s">
        <v>2338</v>
      </c>
      <c r="B1248" s="187" t="s">
        <v>1550</v>
      </c>
      <c r="C1248" s="215">
        <v>346671</v>
      </c>
      <c r="D1248" s="215">
        <v>5741621</v>
      </c>
      <c r="F1248" s="215">
        <f t="shared" si="116"/>
        <v>5741621</v>
      </c>
      <c r="G1248" s="215">
        <f t="shared" si="117"/>
        <v>6088292</v>
      </c>
      <c r="H1248" s="680" t="s">
        <v>6153</v>
      </c>
      <c r="I1248" s="679"/>
      <c r="J1248" s="187" t="str">
        <f t="shared" si="115"/>
        <v>243-903</v>
      </c>
      <c r="K1248" s="187">
        <v>243</v>
      </c>
      <c r="L1248" s="187">
        <v>903</v>
      </c>
      <c r="M1248" s="187" t="str">
        <f t="shared" si="118"/>
        <v>243</v>
      </c>
      <c r="N1248" s="187">
        <f t="shared" si="119"/>
        <v>903</v>
      </c>
      <c r="O1248" s="187" t="str">
        <f t="shared" si="120"/>
        <v>243-903</v>
      </c>
      <c r="Q1248" s="679" t="s">
        <v>6778</v>
      </c>
    </row>
    <row r="1249" spans="1:17">
      <c r="A1249" s="788" t="s">
        <v>2340</v>
      </c>
      <c r="B1249" s="187" t="s">
        <v>1551</v>
      </c>
      <c r="C1249" s="215">
        <v>2027169</v>
      </c>
      <c r="D1249" s="215">
        <v>47719942</v>
      </c>
      <c r="F1249" s="215">
        <f t="shared" si="116"/>
        <v>47719942</v>
      </c>
      <c r="G1249" s="215">
        <f t="shared" si="117"/>
        <v>49747111</v>
      </c>
      <c r="H1249" s="680" t="s">
        <v>6153</v>
      </c>
      <c r="I1249" s="679"/>
      <c r="J1249" s="187" t="str">
        <f t="shared" si="115"/>
        <v>243-905</v>
      </c>
      <c r="K1249" s="187">
        <v>243</v>
      </c>
      <c r="L1249" s="187">
        <v>905</v>
      </c>
      <c r="M1249" s="187" t="str">
        <f t="shared" si="118"/>
        <v>243</v>
      </c>
      <c r="N1249" s="187">
        <f t="shared" si="119"/>
        <v>905</v>
      </c>
      <c r="O1249" s="187" t="str">
        <f t="shared" si="120"/>
        <v>243-905</v>
      </c>
      <c r="Q1249" s="679" t="s">
        <v>6780</v>
      </c>
    </row>
    <row r="1250" spans="1:17">
      <c r="A1250" s="788" t="s">
        <v>738</v>
      </c>
      <c r="B1250" s="187" t="s">
        <v>6112</v>
      </c>
      <c r="C1250" s="215">
        <v>330260</v>
      </c>
      <c r="D1250" s="215">
        <v>2184159</v>
      </c>
      <c r="F1250" s="215">
        <f t="shared" si="116"/>
        <v>2184159</v>
      </c>
      <c r="G1250" s="215">
        <f t="shared" si="117"/>
        <v>2514419</v>
      </c>
      <c r="H1250" s="680" t="s">
        <v>6153</v>
      </c>
      <c r="I1250" s="679"/>
      <c r="J1250" s="187" t="str">
        <f t="shared" ref="J1250:J1298" si="121">+A1250</f>
        <v>243-906</v>
      </c>
      <c r="K1250" s="187">
        <v>243</v>
      </c>
      <c r="L1250" s="187">
        <v>906</v>
      </c>
      <c r="M1250" s="187" t="str">
        <f t="shared" si="118"/>
        <v>243</v>
      </c>
      <c r="N1250" s="187">
        <f t="shared" si="119"/>
        <v>906</v>
      </c>
      <c r="O1250" s="187" t="str">
        <f t="shared" si="120"/>
        <v>243-906</v>
      </c>
      <c r="Q1250" s="679" t="s">
        <v>6781</v>
      </c>
    </row>
    <row r="1251" spans="1:17">
      <c r="A1251" s="788" t="s">
        <v>3465</v>
      </c>
      <c r="B1251" s="187" t="s">
        <v>3466</v>
      </c>
      <c r="C1251" s="215">
        <v>0</v>
      </c>
      <c r="D1251" s="215">
        <v>0</v>
      </c>
      <c r="F1251" s="215">
        <f t="shared" si="116"/>
        <v>0</v>
      </c>
      <c r="G1251" s="215">
        <f t="shared" si="117"/>
        <v>0</v>
      </c>
      <c r="H1251" s="680" t="s">
        <v>6153</v>
      </c>
      <c r="I1251" s="679"/>
      <c r="J1251" s="187" t="str">
        <f t="shared" si="121"/>
        <v>243-950</v>
      </c>
      <c r="K1251" s="187">
        <v>243</v>
      </c>
      <c r="L1251" s="187">
        <v>950</v>
      </c>
      <c r="M1251" s="187" t="str">
        <f t="shared" si="118"/>
        <v>243</v>
      </c>
      <c r="N1251" s="187">
        <f t="shared" si="119"/>
        <v>950</v>
      </c>
      <c r="O1251" s="187" t="str">
        <f t="shared" si="120"/>
        <v>243-950</v>
      </c>
      <c r="Q1251" s="679" t="s">
        <v>6528</v>
      </c>
    </row>
    <row r="1252" spans="1:17">
      <c r="A1252" s="788" t="s">
        <v>3219</v>
      </c>
      <c r="B1252" s="187" t="s">
        <v>1485</v>
      </c>
      <c r="C1252" s="215">
        <v>0</v>
      </c>
      <c r="D1252" s="215">
        <v>381294</v>
      </c>
      <c r="F1252" s="215">
        <f t="shared" si="116"/>
        <v>381294</v>
      </c>
      <c r="G1252" s="215">
        <f t="shared" si="117"/>
        <v>381294</v>
      </c>
      <c r="H1252" s="680" t="s">
        <v>6153</v>
      </c>
      <c r="I1252" s="679"/>
      <c r="J1252" s="187" t="str">
        <f t="shared" si="121"/>
        <v>244-901</v>
      </c>
      <c r="K1252" s="187">
        <v>244</v>
      </c>
      <c r="L1252" s="187">
        <v>901</v>
      </c>
      <c r="M1252" s="187" t="str">
        <f t="shared" si="118"/>
        <v>244</v>
      </c>
      <c r="N1252" s="187">
        <f t="shared" si="119"/>
        <v>901</v>
      </c>
      <c r="O1252" s="187" t="str">
        <f t="shared" si="120"/>
        <v>244-901</v>
      </c>
      <c r="Q1252" s="679" t="s">
        <v>6782</v>
      </c>
    </row>
    <row r="1253" spans="1:17">
      <c r="A1253" s="788" t="s">
        <v>608</v>
      </c>
      <c r="B1253" s="187" t="s">
        <v>1486</v>
      </c>
      <c r="C1253" s="215">
        <v>655960</v>
      </c>
      <c r="D1253" s="215">
        <v>9690315</v>
      </c>
      <c r="F1253" s="215">
        <f t="shared" si="116"/>
        <v>9690315</v>
      </c>
      <c r="G1253" s="215">
        <f t="shared" si="117"/>
        <v>10346275</v>
      </c>
      <c r="H1253" s="680" t="s">
        <v>6153</v>
      </c>
      <c r="I1253" s="679"/>
      <c r="J1253" s="187" t="str">
        <f t="shared" si="121"/>
        <v>244-903</v>
      </c>
      <c r="K1253" s="187">
        <v>244</v>
      </c>
      <c r="L1253" s="187">
        <v>903</v>
      </c>
      <c r="M1253" s="187" t="str">
        <f t="shared" si="118"/>
        <v>244</v>
      </c>
      <c r="N1253" s="187">
        <f t="shared" si="119"/>
        <v>903</v>
      </c>
      <c r="O1253" s="187" t="str">
        <f t="shared" si="120"/>
        <v>244-903</v>
      </c>
      <c r="Q1253" s="679" t="s">
        <v>6783</v>
      </c>
    </row>
    <row r="1254" spans="1:17">
      <c r="A1254" s="788" t="s">
        <v>610</v>
      </c>
      <c r="B1254" s="187" t="s">
        <v>1939</v>
      </c>
      <c r="C1254" s="215">
        <v>0</v>
      </c>
      <c r="D1254" s="215">
        <v>194579</v>
      </c>
      <c r="F1254" s="215">
        <f t="shared" si="116"/>
        <v>194579</v>
      </c>
      <c r="G1254" s="215">
        <f t="shared" si="117"/>
        <v>194579</v>
      </c>
      <c r="H1254" s="680" t="s">
        <v>6153</v>
      </c>
      <c r="I1254" s="679"/>
      <c r="J1254" s="187" t="str">
        <f t="shared" si="121"/>
        <v>244-905</v>
      </c>
      <c r="K1254" s="187">
        <v>244</v>
      </c>
      <c r="L1254" s="187">
        <v>905</v>
      </c>
      <c r="M1254" s="187" t="str">
        <f t="shared" si="118"/>
        <v>244</v>
      </c>
      <c r="N1254" s="187">
        <f t="shared" si="119"/>
        <v>905</v>
      </c>
      <c r="O1254" s="187" t="str">
        <f t="shared" si="120"/>
        <v>244-905</v>
      </c>
      <c r="Q1254" s="679" t="s">
        <v>6784</v>
      </c>
    </row>
    <row r="1255" spans="1:17">
      <c r="A1255" s="788" t="s">
        <v>3467</v>
      </c>
      <c r="B1255" s="187" t="s">
        <v>3468</v>
      </c>
      <c r="C1255" s="215">
        <v>0</v>
      </c>
      <c r="D1255" s="215">
        <v>0</v>
      </c>
      <c r="F1255" s="215">
        <f t="shared" si="116"/>
        <v>0</v>
      </c>
      <c r="G1255" s="215">
        <f t="shared" si="117"/>
        <v>0</v>
      </c>
      <c r="H1255" s="680" t="s">
        <v>6153</v>
      </c>
      <c r="I1255" s="679"/>
      <c r="J1255" s="187" t="str">
        <f t="shared" si="121"/>
        <v>244-906</v>
      </c>
      <c r="K1255" s="187">
        <v>244</v>
      </c>
      <c r="L1255" s="187">
        <v>906</v>
      </c>
      <c r="M1255" s="187" t="str">
        <f t="shared" si="118"/>
        <v>244</v>
      </c>
      <c r="N1255" s="187">
        <f t="shared" si="119"/>
        <v>906</v>
      </c>
      <c r="O1255" s="187" t="str">
        <f t="shared" si="120"/>
        <v>244-906</v>
      </c>
      <c r="Q1255" s="679" t="s">
        <v>6529</v>
      </c>
    </row>
    <row r="1256" spans="1:17">
      <c r="A1256" s="788" t="s">
        <v>3469</v>
      </c>
      <c r="B1256" s="187" t="s">
        <v>3470</v>
      </c>
      <c r="C1256" s="215">
        <v>0</v>
      </c>
      <c r="D1256" s="215">
        <v>0</v>
      </c>
      <c r="F1256" s="215">
        <f t="shared" si="116"/>
        <v>0</v>
      </c>
      <c r="G1256" s="215">
        <f t="shared" si="117"/>
        <v>0</v>
      </c>
      <c r="H1256" s="680" t="s">
        <v>6153</v>
      </c>
      <c r="I1256" s="679"/>
      <c r="J1256" s="187" t="str">
        <f t="shared" si="121"/>
        <v>245-801</v>
      </c>
      <c r="K1256" s="187">
        <v>245</v>
      </c>
      <c r="L1256" s="187">
        <v>801</v>
      </c>
      <c r="M1256" s="187" t="str">
        <f t="shared" si="118"/>
        <v>245</v>
      </c>
      <c r="N1256" s="187">
        <f t="shared" si="119"/>
        <v>801</v>
      </c>
      <c r="O1256" s="187" t="str">
        <f t="shared" si="120"/>
        <v>245-801</v>
      </c>
      <c r="Q1256" s="679" t="s">
        <v>6530</v>
      </c>
    </row>
    <row r="1257" spans="1:17">
      <c r="A1257" s="788" t="s">
        <v>6145</v>
      </c>
      <c r="B1257" s="187" t="s">
        <v>188</v>
      </c>
      <c r="C1257" s="215">
        <v>45302</v>
      </c>
      <c r="D1257" s="215">
        <v>396852</v>
      </c>
      <c r="F1257" s="215">
        <f t="shared" si="116"/>
        <v>396852</v>
      </c>
      <c r="G1257" s="215">
        <f t="shared" si="117"/>
        <v>442154</v>
      </c>
      <c r="H1257" s="680" t="s">
        <v>6153</v>
      </c>
      <c r="I1257" s="679"/>
      <c r="J1257" s="187" t="str">
        <f t="shared" si="121"/>
        <v>245-901</v>
      </c>
      <c r="K1257" s="187">
        <v>245</v>
      </c>
      <c r="L1257" s="187">
        <v>901</v>
      </c>
      <c r="M1257" s="187" t="str">
        <f t="shared" si="118"/>
        <v>245</v>
      </c>
      <c r="N1257" s="187">
        <f t="shared" si="119"/>
        <v>901</v>
      </c>
      <c r="O1257" s="187" t="str">
        <f t="shared" si="120"/>
        <v>245-901</v>
      </c>
      <c r="Q1257" s="679" t="s">
        <v>6785</v>
      </c>
    </row>
    <row r="1258" spans="1:17">
      <c r="A1258" s="788" t="s">
        <v>2998</v>
      </c>
      <c r="B1258" s="187" t="s">
        <v>6058</v>
      </c>
      <c r="C1258" s="215">
        <v>104155</v>
      </c>
      <c r="D1258" s="215">
        <v>1888301</v>
      </c>
      <c r="F1258" s="215">
        <f t="shared" si="116"/>
        <v>1888301</v>
      </c>
      <c r="G1258" s="215">
        <f t="shared" si="117"/>
        <v>1992456</v>
      </c>
      <c r="H1258" s="680" t="s">
        <v>6153</v>
      </c>
      <c r="I1258" s="679"/>
      <c r="J1258" s="187" t="str">
        <f t="shared" si="121"/>
        <v>245-902</v>
      </c>
      <c r="K1258" s="187">
        <v>245</v>
      </c>
      <c r="L1258" s="187">
        <v>902</v>
      </c>
      <c r="M1258" s="187" t="str">
        <f t="shared" si="118"/>
        <v>245</v>
      </c>
      <c r="N1258" s="187">
        <f t="shared" si="119"/>
        <v>902</v>
      </c>
      <c r="O1258" s="187" t="str">
        <f t="shared" si="120"/>
        <v>245-902</v>
      </c>
      <c r="Q1258" s="679" t="s">
        <v>6786</v>
      </c>
    </row>
    <row r="1259" spans="1:17">
      <c r="A1259" s="788" t="s">
        <v>2766</v>
      </c>
      <c r="B1259" s="187" t="s">
        <v>356</v>
      </c>
      <c r="C1259" s="215">
        <v>410239</v>
      </c>
      <c r="D1259" s="215">
        <v>3517719</v>
      </c>
      <c r="F1259" s="215">
        <f t="shared" si="116"/>
        <v>3517719</v>
      </c>
      <c r="G1259" s="215">
        <f t="shared" si="117"/>
        <v>3927958</v>
      </c>
      <c r="H1259" s="680" t="s">
        <v>6153</v>
      </c>
      <c r="I1259" s="679"/>
      <c r="J1259" s="187" t="str">
        <f t="shared" si="121"/>
        <v>245-903</v>
      </c>
      <c r="K1259" s="187">
        <v>245</v>
      </c>
      <c r="L1259" s="187">
        <v>903</v>
      </c>
      <c r="M1259" s="187" t="str">
        <f t="shared" si="118"/>
        <v>245</v>
      </c>
      <c r="N1259" s="187">
        <f t="shared" si="119"/>
        <v>903</v>
      </c>
      <c r="O1259" s="187" t="str">
        <f t="shared" si="120"/>
        <v>245-903</v>
      </c>
      <c r="Q1259" s="679" t="s">
        <v>6787</v>
      </c>
    </row>
    <row r="1260" spans="1:17">
      <c r="A1260" s="788" t="s">
        <v>5040</v>
      </c>
      <c r="B1260" s="187" t="s">
        <v>384</v>
      </c>
      <c r="C1260" s="215">
        <v>36292</v>
      </c>
      <c r="D1260" s="215">
        <v>771625</v>
      </c>
      <c r="F1260" s="215">
        <f t="shared" si="116"/>
        <v>771625</v>
      </c>
      <c r="G1260" s="215">
        <f t="shared" si="117"/>
        <v>807917</v>
      </c>
      <c r="H1260" s="680" t="s">
        <v>6153</v>
      </c>
      <c r="I1260" s="679"/>
      <c r="J1260" s="187" t="str">
        <f t="shared" si="121"/>
        <v>245-904</v>
      </c>
      <c r="K1260" s="187">
        <v>245</v>
      </c>
      <c r="L1260" s="187">
        <v>904</v>
      </c>
      <c r="M1260" s="187" t="str">
        <f t="shared" si="118"/>
        <v>245</v>
      </c>
      <c r="N1260" s="187">
        <f t="shared" si="119"/>
        <v>904</v>
      </c>
      <c r="O1260" s="187" t="str">
        <f t="shared" si="120"/>
        <v>245-904</v>
      </c>
      <c r="Q1260" s="679" t="s">
        <v>6788</v>
      </c>
    </row>
    <row r="1261" spans="1:17">
      <c r="A1261" s="788" t="s">
        <v>1307</v>
      </c>
      <c r="B1261" s="187" t="s">
        <v>111</v>
      </c>
      <c r="C1261" s="215">
        <v>416146</v>
      </c>
      <c r="D1261" s="215">
        <v>2705578</v>
      </c>
      <c r="F1261" s="215">
        <f t="shared" si="116"/>
        <v>2705578</v>
      </c>
      <c r="G1261" s="215">
        <f t="shared" si="117"/>
        <v>3121724</v>
      </c>
      <c r="H1261" s="680" t="s">
        <v>6153</v>
      </c>
      <c r="I1261" s="679"/>
      <c r="J1261" s="187" t="str">
        <f t="shared" si="121"/>
        <v>246-902</v>
      </c>
      <c r="K1261" s="187">
        <v>246</v>
      </c>
      <c r="L1261" s="187">
        <v>902</v>
      </c>
      <c r="M1261" s="187" t="str">
        <f t="shared" si="118"/>
        <v>246</v>
      </c>
      <c r="N1261" s="187">
        <f t="shared" si="119"/>
        <v>902</v>
      </c>
      <c r="O1261" s="187" t="str">
        <f t="shared" si="120"/>
        <v>246-902</v>
      </c>
      <c r="Q1261" s="679" t="s">
        <v>6789</v>
      </c>
    </row>
    <row r="1262" spans="1:17">
      <c r="A1262" s="788" t="s">
        <v>1319</v>
      </c>
      <c r="B1262" s="187" t="s">
        <v>125</v>
      </c>
      <c r="C1262" s="215">
        <v>8238425</v>
      </c>
      <c r="D1262" s="215">
        <v>48391409</v>
      </c>
      <c r="F1262" s="215">
        <f t="shared" si="116"/>
        <v>48391409</v>
      </c>
      <c r="G1262" s="215">
        <f t="shared" si="117"/>
        <v>56629834</v>
      </c>
      <c r="H1262" s="680" t="s">
        <v>6153</v>
      </c>
      <c r="I1262" s="679"/>
      <c r="J1262" s="187" t="str">
        <f t="shared" si="121"/>
        <v>246-904</v>
      </c>
      <c r="K1262" s="187">
        <v>246</v>
      </c>
      <c r="L1262" s="187">
        <v>904</v>
      </c>
      <c r="M1262" s="187" t="str">
        <f t="shared" si="118"/>
        <v>246</v>
      </c>
      <c r="N1262" s="187">
        <f t="shared" si="119"/>
        <v>904</v>
      </c>
      <c r="O1262" s="187" t="str">
        <f t="shared" si="120"/>
        <v>246-904</v>
      </c>
      <c r="Q1262" s="679" t="s">
        <v>6790</v>
      </c>
    </row>
    <row r="1263" spans="1:17">
      <c r="A1263" s="788" t="s">
        <v>1856</v>
      </c>
      <c r="B1263" s="187" t="s">
        <v>3912</v>
      </c>
      <c r="C1263" s="215">
        <v>53353</v>
      </c>
      <c r="D1263" s="215">
        <v>1136241</v>
      </c>
      <c r="F1263" s="215">
        <f t="shared" si="116"/>
        <v>1136241</v>
      </c>
      <c r="G1263" s="215">
        <f t="shared" si="117"/>
        <v>1189594</v>
      </c>
      <c r="H1263" s="680" t="s">
        <v>6153</v>
      </c>
      <c r="I1263" s="679"/>
      <c r="J1263" s="187" t="str">
        <f t="shared" si="121"/>
        <v>246-905</v>
      </c>
      <c r="K1263" s="187">
        <v>246</v>
      </c>
      <c r="L1263" s="187">
        <v>905</v>
      </c>
      <c r="M1263" s="187" t="str">
        <f t="shared" si="118"/>
        <v>246</v>
      </c>
      <c r="N1263" s="187">
        <f t="shared" si="119"/>
        <v>905</v>
      </c>
      <c r="O1263" s="187" t="str">
        <f t="shared" si="120"/>
        <v>246-905</v>
      </c>
      <c r="Q1263" s="679" t="s">
        <v>6791</v>
      </c>
    </row>
    <row r="1264" spans="1:17">
      <c r="A1264" s="788" t="s">
        <v>6020</v>
      </c>
      <c r="B1264" s="187" t="s">
        <v>3859</v>
      </c>
      <c r="C1264" s="215">
        <v>1776426</v>
      </c>
      <c r="D1264" s="215">
        <v>9358217</v>
      </c>
      <c r="F1264" s="215">
        <f t="shared" si="116"/>
        <v>9358217</v>
      </c>
      <c r="G1264" s="215">
        <f t="shared" si="117"/>
        <v>11134643</v>
      </c>
      <c r="H1264" s="680" t="s">
        <v>6153</v>
      </c>
      <c r="I1264" s="679"/>
      <c r="J1264" s="187" t="str">
        <f t="shared" si="121"/>
        <v>246-906</v>
      </c>
      <c r="K1264" s="187">
        <v>246</v>
      </c>
      <c r="L1264" s="187">
        <v>906</v>
      </c>
      <c r="M1264" s="187" t="str">
        <f t="shared" si="118"/>
        <v>246</v>
      </c>
      <c r="N1264" s="187">
        <f t="shared" si="119"/>
        <v>906</v>
      </c>
      <c r="O1264" s="187" t="str">
        <f t="shared" si="120"/>
        <v>246-906</v>
      </c>
      <c r="Q1264" s="679" t="s">
        <v>6792</v>
      </c>
    </row>
    <row r="1265" spans="1:17">
      <c r="A1265" s="788" t="s">
        <v>611</v>
      </c>
      <c r="B1265" s="187" t="s">
        <v>1487</v>
      </c>
      <c r="C1265" s="215">
        <v>183729</v>
      </c>
      <c r="D1265" s="215">
        <v>4496723</v>
      </c>
      <c r="F1265" s="215">
        <f t="shared" si="116"/>
        <v>4496723</v>
      </c>
      <c r="G1265" s="215">
        <f t="shared" si="117"/>
        <v>4680452</v>
      </c>
      <c r="H1265" s="680" t="s">
        <v>6153</v>
      </c>
      <c r="I1265" s="679"/>
      <c r="J1265" s="187" t="str">
        <f t="shared" si="121"/>
        <v>246-907</v>
      </c>
      <c r="K1265" s="187">
        <v>246</v>
      </c>
      <c r="L1265" s="187">
        <v>907</v>
      </c>
      <c r="M1265" s="187" t="str">
        <f t="shared" si="118"/>
        <v>246</v>
      </c>
      <c r="N1265" s="187">
        <f t="shared" si="119"/>
        <v>907</v>
      </c>
      <c r="O1265" s="187" t="str">
        <f t="shared" si="120"/>
        <v>246-907</v>
      </c>
      <c r="Q1265" s="679" t="s">
        <v>6793</v>
      </c>
    </row>
    <row r="1266" spans="1:17">
      <c r="A1266" s="788" t="s">
        <v>2990</v>
      </c>
      <c r="B1266" s="187" t="s">
        <v>191</v>
      </c>
      <c r="C1266" s="215">
        <v>906925</v>
      </c>
      <c r="D1266" s="215">
        <v>8239333</v>
      </c>
      <c r="F1266" s="215">
        <f t="shared" si="116"/>
        <v>8239333</v>
      </c>
      <c r="G1266" s="215">
        <f t="shared" si="117"/>
        <v>9146258</v>
      </c>
      <c r="H1266" s="680" t="s">
        <v>6153</v>
      </c>
      <c r="I1266" s="679"/>
      <c r="J1266" s="187" t="str">
        <f t="shared" si="121"/>
        <v>246-908</v>
      </c>
      <c r="K1266" s="187">
        <v>246</v>
      </c>
      <c r="L1266" s="187">
        <v>908</v>
      </c>
      <c r="M1266" s="187" t="str">
        <f t="shared" si="118"/>
        <v>246</v>
      </c>
      <c r="N1266" s="187">
        <f t="shared" si="119"/>
        <v>908</v>
      </c>
      <c r="O1266" s="187" t="str">
        <f t="shared" si="120"/>
        <v>246-908</v>
      </c>
      <c r="Q1266" s="679" t="s">
        <v>6794</v>
      </c>
    </row>
    <row r="1267" spans="1:17">
      <c r="A1267" s="788" t="s">
        <v>2382</v>
      </c>
      <c r="B1267" s="187" t="s">
        <v>371</v>
      </c>
      <c r="C1267" s="215">
        <v>49666221</v>
      </c>
      <c r="D1267" s="215">
        <v>202836502</v>
      </c>
      <c r="F1267" s="215">
        <f t="shared" si="116"/>
        <v>202836502</v>
      </c>
      <c r="G1267" s="215">
        <f t="shared" si="117"/>
        <v>252502723</v>
      </c>
      <c r="H1267" s="680" t="s">
        <v>6153</v>
      </c>
      <c r="I1267" s="679"/>
      <c r="J1267" s="187" t="str">
        <f t="shared" si="121"/>
        <v>246-909</v>
      </c>
      <c r="K1267" s="187">
        <v>246</v>
      </c>
      <c r="L1267" s="187">
        <v>909</v>
      </c>
      <c r="M1267" s="187" t="str">
        <f t="shared" si="118"/>
        <v>246</v>
      </c>
      <c r="N1267" s="187">
        <f t="shared" si="119"/>
        <v>909</v>
      </c>
      <c r="O1267" s="187" t="str">
        <f t="shared" si="120"/>
        <v>246-909</v>
      </c>
      <c r="Q1267" s="679" t="s">
        <v>6795</v>
      </c>
    </row>
    <row r="1268" spans="1:17">
      <c r="A1268" s="788" t="s">
        <v>2473</v>
      </c>
      <c r="B1268" s="187" t="s">
        <v>5363</v>
      </c>
      <c r="C1268" s="215">
        <v>1046293</v>
      </c>
      <c r="D1268" s="215">
        <v>9249123</v>
      </c>
      <c r="F1268" s="215">
        <f t="shared" si="116"/>
        <v>9249123</v>
      </c>
      <c r="G1268" s="215">
        <f t="shared" si="117"/>
        <v>10295416</v>
      </c>
      <c r="H1268" s="680" t="s">
        <v>6153</v>
      </c>
      <c r="I1268" s="679"/>
      <c r="J1268" s="187" t="str">
        <f t="shared" si="121"/>
        <v>246-911</v>
      </c>
      <c r="K1268" s="187">
        <v>246</v>
      </c>
      <c r="L1268" s="187">
        <v>911</v>
      </c>
      <c r="M1268" s="187" t="str">
        <f t="shared" si="118"/>
        <v>246</v>
      </c>
      <c r="N1268" s="187">
        <f t="shared" si="119"/>
        <v>911</v>
      </c>
      <c r="O1268" s="187" t="str">
        <f t="shared" si="120"/>
        <v>246-911</v>
      </c>
      <c r="Q1268" s="679" t="s">
        <v>6796</v>
      </c>
    </row>
    <row r="1269" spans="1:17">
      <c r="A1269" s="788" t="s">
        <v>2412</v>
      </c>
      <c r="B1269" s="187" t="s">
        <v>5365</v>
      </c>
      <c r="C1269" s="215">
        <v>135284</v>
      </c>
      <c r="D1269" s="215">
        <v>1689636</v>
      </c>
      <c r="F1269" s="215">
        <f t="shared" si="116"/>
        <v>1689636</v>
      </c>
      <c r="G1269" s="215">
        <f t="shared" si="117"/>
        <v>1824920</v>
      </c>
      <c r="H1269" s="680" t="s">
        <v>6153</v>
      </c>
      <c r="I1269" s="679"/>
      <c r="J1269" s="187" t="str">
        <f t="shared" si="121"/>
        <v>246-912</v>
      </c>
      <c r="K1269" s="187">
        <v>246</v>
      </c>
      <c r="L1269" s="187">
        <v>912</v>
      </c>
      <c r="M1269" s="187" t="str">
        <f t="shared" si="118"/>
        <v>246</v>
      </c>
      <c r="N1269" s="187">
        <f t="shared" si="119"/>
        <v>912</v>
      </c>
      <c r="O1269" s="187" t="str">
        <f t="shared" si="120"/>
        <v>246-912</v>
      </c>
      <c r="Q1269" s="679" t="s">
        <v>6797</v>
      </c>
    </row>
    <row r="1270" spans="1:17">
      <c r="A1270" s="788" t="s">
        <v>2988</v>
      </c>
      <c r="B1270" s="187" t="s">
        <v>189</v>
      </c>
      <c r="C1270" s="215">
        <v>22819724</v>
      </c>
      <c r="D1270" s="215">
        <v>101385052</v>
      </c>
      <c r="F1270" s="215">
        <f t="shared" si="116"/>
        <v>101385052</v>
      </c>
      <c r="G1270" s="215">
        <f t="shared" si="117"/>
        <v>124204776</v>
      </c>
      <c r="H1270" s="680" t="s">
        <v>6153</v>
      </c>
      <c r="I1270" s="679"/>
      <c r="J1270" s="187" t="str">
        <f t="shared" si="121"/>
        <v>246-913</v>
      </c>
      <c r="K1270" s="187">
        <v>246</v>
      </c>
      <c r="L1270" s="187">
        <v>913</v>
      </c>
      <c r="M1270" s="187" t="str">
        <f t="shared" si="118"/>
        <v>246</v>
      </c>
      <c r="N1270" s="187">
        <f t="shared" si="119"/>
        <v>913</v>
      </c>
      <c r="O1270" s="187" t="str">
        <f t="shared" si="120"/>
        <v>246-913</v>
      </c>
      <c r="Q1270" s="679" t="s">
        <v>6798</v>
      </c>
    </row>
    <row r="1271" spans="1:17">
      <c r="A1271" s="788" t="s">
        <v>613</v>
      </c>
      <c r="B1271" s="187" t="s">
        <v>1003</v>
      </c>
      <c r="C1271" s="215">
        <v>0</v>
      </c>
      <c r="D1271" s="215">
        <v>608426</v>
      </c>
      <c r="F1271" s="215">
        <f t="shared" si="116"/>
        <v>608426</v>
      </c>
      <c r="G1271" s="215">
        <f t="shared" si="117"/>
        <v>608426</v>
      </c>
      <c r="H1271" s="680" t="s">
        <v>6153</v>
      </c>
      <c r="I1271" s="679"/>
      <c r="J1271" s="187" t="str">
        <f t="shared" si="121"/>
        <v>246-914</v>
      </c>
      <c r="K1271" s="187">
        <v>246</v>
      </c>
      <c r="L1271" s="187">
        <v>914</v>
      </c>
      <c r="M1271" s="187" t="str">
        <f t="shared" si="118"/>
        <v>246</v>
      </c>
      <c r="N1271" s="187">
        <f t="shared" si="119"/>
        <v>914</v>
      </c>
      <c r="O1271" s="187" t="str">
        <f t="shared" si="120"/>
        <v>246-914</v>
      </c>
      <c r="Q1271" s="679" t="s">
        <v>6799</v>
      </c>
    </row>
    <row r="1272" spans="1:17">
      <c r="A1272" s="788" t="s">
        <v>5041</v>
      </c>
      <c r="B1272" s="187" t="s">
        <v>112</v>
      </c>
      <c r="C1272" s="215">
        <v>736640</v>
      </c>
      <c r="D1272" s="215">
        <v>9498445</v>
      </c>
      <c r="F1272" s="215">
        <f t="shared" si="116"/>
        <v>9498445</v>
      </c>
      <c r="G1272" s="215">
        <f t="shared" si="117"/>
        <v>10235085</v>
      </c>
      <c r="H1272" s="680" t="s">
        <v>6153</v>
      </c>
      <c r="I1272" s="679"/>
      <c r="J1272" s="187" t="str">
        <f t="shared" si="121"/>
        <v>247-901</v>
      </c>
      <c r="K1272" s="187">
        <v>247</v>
      </c>
      <c r="L1272" s="187">
        <v>901</v>
      </c>
      <c r="M1272" s="187" t="str">
        <f t="shared" si="118"/>
        <v>247</v>
      </c>
      <c r="N1272" s="187">
        <f t="shared" si="119"/>
        <v>901</v>
      </c>
      <c r="O1272" s="187" t="str">
        <f t="shared" si="120"/>
        <v>247-901</v>
      </c>
      <c r="Q1272" s="679" t="s">
        <v>6800</v>
      </c>
    </row>
    <row r="1273" spans="1:17">
      <c r="A1273" s="788" t="s">
        <v>6039</v>
      </c>
      <c r="B1273" s="187" t="s">
        <v>183</v>
      </c>
      <c r="C1273" s="215">
        <v>728582</v>
      </c>
      <c r="D1273" s="215">
        <v>5282402</v>
      </c>
      <c r="F1273" s="215">
        <f t="shared" si="116"/>
        <v>5282402</v>
      </c>
      <c r="G1273" s="215">
        <f t="shared" si="117"/>
        <v>6010984</v>
      </c>
      <c r="H1273" s="680" t="s">
        <v>6153</v>
      </c>
      <c r="I1273" s="679"/>
      <c r="J1273" s="187" t="str">
        <f t="shared" si="121"/>
        <v>247-903</v>
      </c>
      <c r="K1273" s="187">
        <v>247</v>
      </c>
      <c r="L1273" s="187">
        <v>903</v>
      </c>
      <c r="M1273" s="187" t="str">
        <f t="shared" si="118"/>
        <v>247</v>
      </c>
      <c r="N1273" s="187">
        <f t="shared" si="119"/>
        <v>903</v>
      </c>
      <c r="O1273" s="187" t="str">
        <f t="shared" si="120"/>
        <v>247-903</v>
      </c>
      <c r="Q1273" s="679" t="s">
        <v>6801</v>
      </c>
    </row>
    <row r="1274" spans="1:17">
      <c r="A1274" s="788" t="s">
        <v>5043</v>
      </c>
      <c r="B1274" s="187" t="s">
        <v>346</v>
      </c>
      <c r="C1274" s="215">
        <v>2757</v>
      </c>
      <c r="D1274" s="215">
        <v>1653440</v>
      </c>
      <c r="F1274" s="215">
        <f t="shared" si="116"/>
        <v>1653440</v>
      </c>
      <c r="G1274" s="215">
        <f t="shared" si="117"/>
        <v>1656197</v>
      </c>
      <c r="H1274" s="680" t="s">
        <v>6153</v>
      </c>
      <c r="I1274" s="679"/>
      <c r="J1274" s="187" t="str">
        <f t="shared" si="121"/>
        <v>247-904</v>
      </c>
      <c r="K1274" s="187">
        <v>247</v>
      </c>
      <c r="L1274" s="187">
        <v>904</v>
      </c>
      <c r="M1274" s="187" t="str">
        <f t="shared" si="118"/>
        <v>247</v>
      </c>
      <c r="N1274" s="187">
        <f t="shared" si="119"/>
        <v>904</v>
      </c>
      <c r="O1274" s="187" t="str">
        <f t="shared" si="120"/>
        <v>247-904</v>
      </c>
      <c r="Q1274" s="679" t="s">
        <v>6802</v>
      </c>
    </row>
    <row r="1275" spans="1:17">
      <c r="A1275" s="788" t="s">
        <v>2409</v>
      </c>
      <c r="B1275" s="187" t="s">
        <v>2356</v>
      </c>
      <c r="C1275" s="215">
        <v>18454</v>
      </c>
      <c r="D1275" s="215">
        <v>1514180</v>
      </c>
      <c r="F1275" s="215">
        <f t="shared" si="116"/>
        <v>1514180</v>
      </c>
      <c r="G1275" s="215">
        <f t="shared" si="117"/>
        <v>1532634</v>
      </c>
      <c r="H1275" s="680" t="s">
        <v>6153</v>
      </c>
      <c r="I1275" s="679"/>
      <c r="J1275" s="187" t="str">
        <f t="shared" si="121"/>
        <v>247-906</v>
      </c>
      <c r="K1275" s="187">
        <v>247</v>
      </c>
      <c r="L1275" s="187">
        <v>906</v>
      </c>
      <c r="M1275" s="187" t="str">
        <f t="shared" si="118"/>
        <v>247</v>
      </c>
      <c r="N1275" s="187">
        <f t="shared" si="119"/>
        <v>906</v>
      </c>
      <c r="O1275" s="187" t="str">
        <f t="shared" si="120"/>
        <v>247-906</v>
      </c>
      <c r="Q1275" s="679" t="s">
        <v>6803</v>
      </c>
    </row>
    <row r="1276" spans="1:17">
      <c r="A1276" s="788" t="s">
        <v>615</v>
      </c>
      <c r="B1276" s="187" t="s">
        <v>1004</v>
      </c>
      <c r="C1276" s="215">
        <v>0</v>
      </c>
      <c r="D1276" s="215">
        <v>7337333</v>
      </c>
      <c r="F1276" s="215">
        <f t="shared" si="116"/>
        <v>7337333</v>
      </c>
      <c r="G1276" s="215">
        <f t="shared" si="117"/>
        <v>7337333</v>
      </c>
      <c r="H1276" s="680" t="s">
        <v>6153</v>
      </c>
      <c r="I1276" s="679"/>
      <c r="J1276" s="187" t="str">
        <f t="shared" si="121"/>
        <v>248-901</v>
      </c>
      <c r="K1276" s="187">
        <v>248</v>
      </c>
      <c r="L1276" s="187">
        <v>901</v>
      </c>
      <c r="M1276" s="187" t="str">
        <f t="shared" si="118"/>
        <v>248</v>
      </c>
      <c r="N1276" s="187">
        <f t="shared" si="119"/>
        <v>901</v>
      </c>
      <c r="O1276" s="187" t="str">
        <f t="shared" si="120"/>
        <v>248-901</v>
      </c>
      <c r="Q1276" s="679" t="s">
        <v>6804</v>
      </c>
    </row>
    <row r="1277" spans="1:17">
      <c r="A1277" s="788" t="s">
        <v>617</v>
      </c>
      <c r="B1277" s="187" t="s">
        <v>1005</v>
      </c>
      <c r="C1277" s="215">
        <v>429</v>
      </c>
      <c r="D1277" s="215">
        <v>7724274</v>
      </c>
      <c r="F1277" s="215">
        <f t="shared" si="116"/>
        <v>7724274</v>
      </c>
      <c r="G1277" s="215">
        <f t="shared" si="117"/>
        <v>7724703</v>
      </c>
      <c r="H1277" s="680" t="s">
        <v>6153</v>
      </c>
      <c r="I1277" s="679"/>
      <c r="J1277" s="187" t="str">
        <f t="shared" si="121"/>
        <v>248-902</v>
      </c>
      <c r="K1277" s="187">
        <v>248</v>
      </c>
      <c r="L1277" s="187">
        <v>902</v>
      </c>
      <c r="M1277" s="187" t="str">
        <f t="shared" si="118"/>
        <v>248</v>
      </c>
      <c r="N1277" s="187">
        <f t="shared" si="119"/>
        <v>902</v>
      </c>
      <c r="O1277" s="187" t="str">
        <f t="shared" si="120"/>
        <v>248-902</v>
      </c>
      <c r="Q1277" s="679" t="s">
        <v>6805</v>
      </c>
    </row>
    <row r="1278" spans="1:17">
      <c r="A1278" s="788" t="s">
        <v>3889</v>
      </c>
      <c r="B1278" s="187" t="s">
        <v>7680</v>
      </c>
      <c r="C1278" s="215">
        <v>181620</v>
      </c>
      <c r="D1278" s="215">
        <v>1719340</v>
      </c>
      <c r="F1278" s="215">
        <f t="shared" si="116"/>
        <v>1719340</v>
      </c>
      <c r="G1278" s="215">
        <f t="shared" si="117"/>
        <v>1900960</v>
      </c>
      <c r="H1278" s="680" t="s">
        <v>6153</v>
      </c>
      <c r="I1278" s="679"/>
      <c r="J1278" s="187" t="str">
        <f t="shared" si="121"/>
        <v>249-901</v>
      </c>
      <c r="K1278" s="187">
        <v>249</v>
      </c>
      <c r="L1278" s="187">
        <v>901</v>
      </c>
      <c r="M1278" s="187" t="str">
        <f t="shared" si="118"/>
        <v>249</v>
      </c>
      <c r="N1278" s="187">
        <f t="shared" si="119"/>
        <v>901</v>
      </c>
      <c r="O1278" s="187" t="str">
        <f t="shared" si="120"/>
        <v>249-901</v>
      </c>
      <c r="Q1278" s="679" t="s">
        <v>6806</v>
      </c>
    </row>
    <row r="1279" spans="1:17">
      <c r="A1279" s="788" t="s">
        <v>619</v>
      </c>
      <c r="B1279" s="187" t="s">
        <v>1006</v>
      </c>
      <c r="C1279" s="215">
        <v>465513</v>
      </c>
      <c r="D1279" s="215">
        <v>5188974</v>
      </c>
      <c r="F1279" s="215">
        <f t="shared" si="116"/>
        <v>5188974</v>
      </c>
      <c r="G1279" s="215">
        <f t="shared" si="117"/>
        <v>5654487</v>
      </c>
      <c r="H1279" s="680" t="s">
        <v>6153</v>
      </c>
      <c r="I1279" s="679"/>
      <c r="J1279" s="187" t="str">
        <f t="shared" si="121"/>
        <v>249-902</v>
      </c>
      <c r="K1279" s="187">
        <v>249</v>
      </c>
      <c r="L1279" s="187">
        <v>902</v>
      </c>
      <c r="M1279" s="187" t="str">
        <f t="shared" si="118"/>
        <v>249</v>
      </c>
      <c r="N1279" s="187">
        <f t="shared" si="119"/>
        <v>902</v>
      </c>
      <c r="O1279" s="187" t="str">
        <f t="shared" si="120"/>
        <v>249-902</v>
      </c>
      <c r="Q1279" s="679" t="s">
        <v>6807</v>
      </c>
    </row>
    <row r="1280" spans="1:17">
      <c r="A1280" s="788" t="s">
        <v>1328</v>
      </c>
      <c r="B1280" s="187" t="s">
        <v>1007</v>
      </c>
      <c r="C1280" s="215">
        <v>1731415</v>
      </c>
      <c r="D1280" s="215">
        <v>10604694</v>
      </c>
      <c r="F1280" s="215">
        <f t="shared" si="116"/>
        <v>10604694</v>
      </c>
      <c r="G1280" s="215">
        <f t="shared" si="117"/>
        <v>12336109</v>
      </c>
      <c r="H1280" s="680" t="s">
        <v>6153</v>
      </c>
      <c r="I1280" s="679"/>
      <c r="J1280" s="187" t="str">
        <f t="shared" si="121"/>
        <v>249-903</v>
      </c>
      <c r="K1280" s="187">
        <v>249</v>
      </c>
      <c r="L1280" s="187">
        <v>903</v>
      </c>
      <c r="M1280" s="187" t="str">
        <f t="shared" si="118"/>
        <v>249</v>
      </c>
      <c r="N1280" s="187">
        <f t="shared" si="119"/>
        <v>903</v>
      </c>
      <c r="O1280" s="187" t="str">
        <f t="shared" si="120"/>
        <v>249-903</v>
      </c>
      <c r="Q1280" s="679" t="s">
        <v>6808</v>
      </c>
    </row>
    <row r="1281" spans="1:17">
      <c r="A1281" s="788" t="s">
        <v>6708</v>
      </c>
      <c r="B1281" s="187" t="s">
        <v>1008</v>
      </c>
      <c r="C1281" s="215">
        <v>255866</v>
      </c>
      <c r="D1281" s="215">
        <v>3721457</v>
      </c>
      <c r="F1281" s="215">
        <f t="shared" si="116"/>
        <v>3721457</v>
      </c>
      <c r="G1281" s="215">
        <f t="shared" si="117"/>
        <v>3977323</v>
      </c>
      <c r="H1281" s="680" t="s">
        <v>6153</v>
      </c>
      <c r="I1281" s="679"/>
      <c r="J1281" s="187" t="str">
        <f t="shared" si="121"/>
        <v>249-904</v>
      </c>
      <c r="K1281" s="187">
        <v>249</v>
      </c>
      <c r="L1281" s="187">
        <v>904</v>
      </c>
      <c r="M1281" s="187" t="str">
        <f t="shared" si="118"/>
        <v>249</v>
      </c>
      <c r="N1281" s="187">
        <f t="shared" si="119"/>
        <v>904</v>
      </c>
      <c r="O1281" s="187" t="str">
        <f t="shared" si="120"/>
        <v>249-904</v>
      </c>
      <c r="Q1281" s="679" t="s">
        <v>6809</v>
      </c>
    </row>
    <row r="1282" spans="1:17">
      <c r="A1282" s="788" t="s">
        <v>6710</v>
      </c>
      <c r="B1282" s="187" t="s">
        <v>1009</v>
      </c>
      <c r="C1282" s="215">
        <v>2713365</v>
      </c>
      <c r="D1282" s="215">
        <v>14972077</v>
      </c>
      <c r="F1282" s="215">
        <f t="shared" si="116"/>
        <v>14972077</v>
      </c>
      <c r="G1282" s="215">
        <f t="shared" si="117"/>
        <v>17685442</v>
      </c>
      <c r="H1282" s="680" t="s">
        <v>6153</v>
      </c>
      <c r="I1282" s="679"/>
      <c r="J1282" s="187" t="str">
        <f t="shared" si="121"/>
        <v>249-905</v>
      </c>
      <c r="K1282" s="187">
        <v>249</v>
      </c>
      <c r="L1282" s="187">
        <v>905</v>
      </c>
      <c r="M1282" s="187" t="str">
        <f t="shared" si="118"/>
        <v>249</v>
      </c>
      <c r="N1282" s="187">
        <f t="shared" si="119"/>
        <v>905</v>
      </c>
      <c r="O1282" s="187" t="str">
        <f t="shared" si="120"/>
        <v>249-905</v>
      </c>
      <c r="Q1282" s="679" t="s">
        <v>6810</v>
      </c>
    </row>
    <row r="1283" spans="1:17">
      <c r="A1283" s="788" t="s">
        <v>6192</v>
      </c>
      <c r="B1283" s="187" t="s">
        <v>3630</v>
      </c>
      <c r="C1283" s="215">
        <v>343012</v>
      </c>
      <c r="D1283" s="215">
        <v>2315818</v>
      </c>
      <c r="F1283" s="215">
        <f t="shared" si="116"/>
        <v>2315818</v>
      </c>
      <c r="G1283" s="215">
        <f t="shared" si="117"/>
        <v>2658830</v>
      </c>
      <c r="H1283" s="680" t="s">
        <v>6153</v>
      </c>
      <c r="I1283" s="679"/>
      <c r="J1283" s="187" t="str">
        <f t="shared" si="121"/>
        <v>249-906</v>
      </c>
      <c r="K1283" s="187">
        <v>249</v>
      </c>
      <c r="L1283" s="187">
        <v>906</v>
      </c>
      <c r="M1283" s="187" t="str">
        <f t="shared" si="118"/>
        <v>249</v>
      </c>
      <c r="N1283" s="187">
        <f t="shared" si="119"/>
        <v>906</v>
      </c>
      <c r="O1283" s="187" t="str">
        <f t="shared" si="120"/>
        <v>249-906</v>
      </c>
      <c r="Q1283" s="679" t="s">
        <v>6811</v>
      </c>
    </row>
    <row r="1284" spans="1:17">
      <c r="A1284" s="788" t="s">
        <v>2400</v>
      </c>
      <c r="B1284" s="187" t="s">
        <v>2342</v>
      </c>
      <c r="C1284" s="215">
        <v>140940</v>
      </c>
      <c r="D1284" s="215">
        <v>1065034</v>
      </c>
      <c r="F1284" s="215">
        <f t="shared" ref="F1284:F1298" si="122">D1284+E1284</f>
        <v>1065034</v>
      </c>
      <c r="G1284" s="215">
        <f t="shared" ref="G1284:G1298" si="123">F1284+C1284</f>
        <v>1205974</v>
      </c>
      <c r="H1284" s="680" t="s">
        <v>6153</v>
      </c>
      <c r="I1284" s="679"/>
      <c r="J1284" s="187" t="str">
        <f t="shared" si="121"/>
        <v>249-908</v>
      </c>
      <c r="K1284" s="187">
        <v>249</v>
      </c>
      <c r="L1284" s="187">
        <v>908</v>
      </c>
      <c r="M1284" s="187" t="str">
        <f t="shared" ref="M1284:M1298" si="124">+I1284&amp;K1284</f>
        <v>249</v>
      </c>
      <c r="N1284" s="187">
        <f t="shared" ref="N1284:N1298" si="125">+L1284</f>
        <v>908</v>
      </c>
      <c r="O1284" s="187" t="str">
        <f t="shared" ref="O1284:O1298" si="126">+M1284&amp;"-"&amp;N1284</f>
        <v>249-908</v>
      </c>
      <c r="Q1284" s="679" t="s">
        <v>6812</v>
      </c>
    </row>
    <row r="1285" spans="1:17">
      <c r="A1285" s="788" t="s">
        <v>6712</v>
      </c>
      <c r="B1285" s="187" t="s">
        <v>1010</v>
      </c>
      <c r="C1285" s="215">
        <v>0</v>
      </c>
      <c r="D1285" s="215">
        <v>4547032</v>
      </c>
      <c r="F1285" s="215">
        <f t="shared" si="122"/>
        <v>4547032</v>
      </c>
      <c r="G1285" s="215">
        <f t="shared" si="123"/>
        <v>4547032</v>
      </c>
      <c r="H1285" s="680" t="s">
        <v>6153</v>
      </c>
      <c r="I1285" s="679"/>
      <c r="J1285" s="187" t="str">
        <f t="shared" si="121"/>
        <v>250-902</v>
      </c>
      <c r="K1285" s="187">
        <v>250</v>
      </c>
      <c r="L1285" s="187">
        <v>902</v>
      </c>
      <c r="M1285" s="187" t="str">
        <f t="shared" si="124"/>
        <v>250</v>
      </c>
      <c r="N1285" s="187">
        <f t="shared" si="125"/>
        <v>902</v>
      </c>
      <c r="O1285" s="187" t="str">
        <f t="shared" si="126"/>
        <v>250-902</v>
      </c>
      <c r="Q1285" s="679" t="s">
        <v>6813</v>
      </c>
    </row>
    <row r="1286" spans="1:17">
      <c r="A1286" s="788" t="s">
        <v>6714</v>
      </c>
      <c r="B1286" s="187" t="s">
        <v>1011</v>
      </c>
      <c r="C1286" s="215">
        <v>0</v>
      </c>
      <c r="D1286" s="215">
        <v>4568561</v>
      </c>
      <c r="F1286" s="215">
        <f t="shared" si="122"/>
        <v>4568561</v>
      </c>
      <c r="G1286" s="215">
        <f t="shared" si="123"/>
        <v>4568561</v>
      </c>
      <c r="H1286" s="680" t="s">
        <v>6153</v>
      </c>
      <c r="I1286" s="679"/>
      <c r="J1286" s="187" t="str">
        <f t="shared" si="121"/>
        <v>250-903</v>
      </c>
      <c r="K1286" s="187">
        <v>250</v>
      </c>
      <c r="L1286" s="187">
        <v>903</v>
      </c>
      <c r="M1286" s="187" t="str">
        <f t="shared" si="124"/>
        <v>250</v>
      </c>
      <c r="N1286" s="187">
        <f t="shared" si="125"/>
        <v>903</v>
      </c>
      <c r="O1286" s="187" t="str">
        <f t="shared" si="126"/>
        <v>250-903</v>
      </c>
      <c r="Q1286" s="679" t="s">
        <v>6814</v>
      </c>
    </row>
    <row r="1287" spans="1:17">
      <c r="A1287" s="788" t="s">
        <v>6716</v>
      </c>
      <c r="B1287" s="187" t="s">
        <v>1012</v>
      </c>
      <c r="C1287" s="215">
        <v>266869</v>
      </c>
      <c r="D1287" s="215">
        <v>4448266</v>
      </c>
      <c r="F1287" s="215">
        <f t="shared" si="122"/>
        <v>4448266</v>
      </c>
      <c r="G1287" s="215">
        <f t="shared" si="123"/>
        <v>4715135</v>
      </c>
      <c r="H1287" s="680" t="s">
        <v>6153</v>
      </c>
      <c r="I1287" s="679"/>
      <c r="J1287" s="187" t="str">
        <f t="shared" si="121"/>
        <v>250-904</v>
      </c>
      <c r="K1287" s="187">
        <v>250</v>
      </c>
      <c r="L1287" s="187">
        <v>904</v>
      </c>
      <c r="M1287" s="187" t="str">
        <f t="shared" si="124"/>
        <v>250</v>
      </c>
      <c r="N1287" s="187">
        <f t="shared" si="125"/>
        <v>904</v>
      </c>
      <c r="O1287" s="187" t="str">
        <f t="shared" si="126"/>
        <v>250-904</v>
      </c>
      <c r="Q1287" s="679" t="s">
        <v>6815</v>
      </c>
    </row>
    <row r="1288" spans="1:17">
      <c r="A1288" s="788" t="s">
        <v>6718</v>
      </c>
      <c r="B1288" s="187" t="s">
        <v>1013</v>
      </c>
      <c r="C1288" s="215">
        <v>202802</v>
      </c>
      <c r="D1288" s="215">
        <v>2254619</v>
      </c>
      <c r="F1288" s="215">
        <f t="shared" si="122"/>
        <v>2254619</v>
      </c>
      <c r="G1288" s="215">
        <f t="shared" si="123"/>
        <v>2457421</v>
      </c>
      <c r="H1288" s="680" t="s">
        <v>6153</v>
      </c>
      <c r="I1288" s="679"/>
      <c r="J1288" s="187" t="str">
        <f t="shared" si="121"/>
        <v>250-905</v>
      </c>
      <c r="K1288" s="187">
        <v>250</v>
      </c>
      <c r="L1288" s="187">
        <v>905</v>
      </c>
      <c r="M1288" s="187" t="str">
        <f t="shared" si="124"/>
        <v>250</v>
      </c>
      <c r="N1288" s="187">
        <f t="shared" si="125"/>
        <v>905</v>
      </c>
      <c r="O1288" s="187" t="str">
        <f t="shared" si="126"/>
        <v>250-905</v>
      </c>
      <c r="Q1288" s="679" t="s">
        <v>6816</v>
      </c>
    </row>
    <row r="1289" spans="1:17">
      <c r="A1289" s="788" t="s">
        <v>2443</v>
      </c>
      <c r="B1289" s="187" t="s">
        <v>1014</v>
      </c>
      <c r="C1289" s="215">
        <v>170467</v>
      </c>
      <c r="D1289" s="215">
        <v>2201119</v>
      </c>
      <c r="F1289" s="215">
        <f t="shared" si="122"/>
        <v>2201119</v>
      </c>
      <c r="G1289" s="215">
        <f t="shared" si="123"/>
        <v>2371586</v>
      </c>
      <c r="H1289" s="680" t="s">
        <v>6153</v>
      </c>
      <c r="I1289" s="679"/>
      <c r="J1289" s="187" t="str">
        <f t="shared" si="121"/>
        <v>250-906</v>
      </c>
      <c r="K1289" s="187">
        <v>250</v>
      </c>
      <c r="L1289" s="187">
        <v>906</v>
      </c>
      <c r="M1289" s="187" t="str">
        <f t="shared" si="124"/>
        <v>250</v>
      </c>
      <c r="N1289" s="187">
        <f t="shared" si="125"/>
        <v>906</v>
      </c>
      <c r="O1289" s="187" t="str">
        <f t="shared" si="126"/>
        <v>250-906</v>
      </c>
      <c r="Q1289" s="679" t="s">
        <v>6817</v>
      </c>
    </row>
    <row r="1290" spans="1:17">
      <c r="A1290" s="788" t="s">
        <v>2445</v>
      </c>
      <c r="B1290" s="187" t="s">
        <v>1015</v>
      </c>
      <c r="C1290" s="215">
        <v>1903</v>
      </c>
      <c r="D1290" s="215">
        <v>4451728</v>
      </c>
      <c r="F1290" s="215">
        <f t="shared" si="122"/>
        <v>4451728</v>
      </c>
      <c r="G1290" s="215">
        <f t="shared" si="123"/>
        <v>4453631</v>
      </c>
      <c r="H1290" s="680" t="s">
        <v>6153</v>
      </c>
      <c r="I1290" s="679"/>
      <c r="J1290" s="187" t="str">
        <f t="shared" si="121"/>
        <v>250-907</v>
      </c>
      <c r="K1290" s="187">
        <v>250</v>
      </c>
      <c r="L1290" s="187">
        <v>907</v>
      </c>
      <c r="M1290" s="187" t="str">
        <f t="shared" si="124"/>
        <v>250</v>
      </c>
      <c r="N1290" s="187">
        <f t="shared" si="125"/>
        <v>907</v>
      </c>
      <c r="O1290" s="187" t="str">
        <f t="shared" si="126"/>
        <v>250-907</v>
      </c>
      <c r="Q1290" s="679" t="s">
        <v>6818</v>
      </c>
    </row>
    <row r="1291" spans="1:17">
      <c r="A1291" s="788" t="s">
        <v>2447</v>
      </c>
      <c r="B1291" s="187" t="s">
        <v>1016</v>
      </c>
      <c r="C1291" s="215">
        <v>1778663</v>
      </c>
      <c r="D1291" s="215">
        <v>20764647</v>
      </c>
      <c r="F1291" s="215">
        <f t="shared" si="122"/>
        <v>20764647</v>
      </c>
      <c r="G1291" s="215">
        <f t="shared" si="123"/>
        <v>22543310</v>
      </c>
      <c r="H1291" s="680" t="s">
        <v>6153</v>
      </c>
      <c r="I1291" s="679"/>
      <c r="J1291" s="187" t="str">
        <f t="shared" si="121"/>
        <v>251-901</v>
      </c>
      <c r="K1291" s="187">
        <v>251</v>
      </c>
      <c r="L1291" s="187">
        <v>901</v>
      </c>
      <c r="M1291" s="187" t="str">
        <f t="shared" si="124"/>
        <v>251</v>
      </c>
      <c r="N1291" s="187">
        <f t="shared" si="125"/>
        <v>901</v>
      </c>
      <c r="O1291" s="187" t="str">
        <f t="shared" si="126"/>
        <v>251-901</v>
      </c>
      <c r="Q1291" s="679" t="s">
        <v>6819</v>
      </c>
    </row>
    <row r="1292" spans="1:17">
      <c r="A1292" s="788" t="s">
        <v>905</v>
      </c>
      <c r="B1292" s="187" t="s">
        <v>1017</v>
      </c>
      <c r="C1292" s="215">
        <v>826999</v>
      </c>
      <c r="D1292" s="215">
        <v>6122248</v>
      </c>
      <c r="F1292" s="215">
        <f t="shared" si="122"/>
        <v>6122248</v>
      </c>
      <c r="G1292" s="215">
        <f t="shared" si="123"/>
        <v>6949247</v>
      </c>
      <c r="H1292" s="680" t="s">
        <v>6153</v>
      </c>
      <c r="I1292" s="679"/>
      <c r="J1292" s="187" t="str">
        <f t="shared" si="121"/>
        <v>251-902</v>
      </c>
      <c r="K1292" s="187">
        <v>251</v>
      </c>
      <c r="L1292" s="187">
        <v>902</v>
      </c>
      <c r="M1292" s="187" t="str">
        <f t="shared" si="124"/>
        <v>251</v>
      </c>
      <c r="N1292" s="187">
        <f t="shared" si="125"/>
        <v>902</v>
      </c>
      <c r="O1292" s="187" t="str">
        <f t="shared" si="126"/>
        <v>251-902</v>
      </c>
      <c r="Q1292" s="679" t="s">
        <v>6820</v>
      </c>
    </row>
    <row r="1293" spans="1:17">
      <c r="A1293" s="788" t="s">
        <v>1854</v>
      </c>
      <c r="B1293" s="187" t="s">
        <v>4965</v>
      </c>
      <c r="C1293" s="215">
        <v>288820</v>
      </c>
      <c r="D1293" s="215">
        <v>6037715</v>
      </c>
      <c r="F1293" s="215">
        <f t="shared" si="122"/>
        <v>6037715</v>
      </c>
      <c r="G1293" s="215">
        <f t="shared" si="123"/>
        <v>6326535</v>
      </c>
      <c r="H1293" s="680" t="s">
        <v>6153</v>
      </c>
      <c r="I1293" s="679"/>
      <c r="J1293" s="187" t="str">
        <f t="shared" si="121"/>
        <v>252-901</v>
      </c>
      <c r="K1293" s="187">
        <v>252</v>
      </c>
      <c r="L1293" s="187">
        <v>901</v>
      </c>
      <c r="M1293" s="187" t="str">
        <f t="shared" si="124"/>
        <v>252</v>
      </c>
      <c r="N1293" s="187">
        <f t="shared" si="125"/>
        <v>901</v>
      </c>
      <c r="O1293" s="187" t="str">
        <f t="shared" si="126"/>
        <v>252-901</v>
      </c>
      <c r="Q1293" s="679" t="s">
        <v>6821</v>
      </c>
    </row>
    <row r="1294" spans="1:17">
      <c r="A1294" s="788" t="s">
        <v>907</v>
      </c>
      <c r="B1294" s="187" t="s">
        <v>1018</v>
      </c>
      <c r="C1294" s="215">
        <v>0</v>
      </c>
      <c r="D1294" s="215">
        <v>491065</v>
      </c>
      <c r="F1294" s="215">
        <f t="shared" si="122"/>
        <v>491065</v>
      </c>
      <c r="G1294" s="215">
        <f t="shared" si="123"/>
        <v>491065</v>
      </c>
      <c r="H1294" s="680" t="s">
        <v>6153</v>
      </c>
      <c r="I1294" s="679"/>
      <c r="J1294" s="187" t="str">
        <f t="shared" si="121"/>
        <v>252-902</v>
      </c>
      <c r="K1294" s="187">
        <v>252</v>
      </c>
      <c r="L1294" s="187">
        <v>902</v>
      </c>
      <c r="M1294" s="187" t="str">
        <f t="shared" si="124"/>
        <v>252</v>
      </c>
      <c r="N1294" s="187">
        <f t="shared" si="125"/>
        <v>902</v>
      </c>
      <c r="O1294" s="187" t="str">
        <f t="shared" si="126"/>
        <v>252-902</v>
      </c>
      <c r="Q1294" s="679" t="s">
        <v>6822</v>
      </c>
    </row>
    <row r="1295" spans="1:17">
      <c r="A1295" s="788" t="s">
        <v>6146</v>
      </c>
      <c r="B1295" s="187" t="s">
        <v>3835</v>
      </c>
      <c r="C1295" s="215">
        <v>152471</v>
      </c>
      <c r="D1295" s="215">
        <v>1471087</v>
      </c>
      <c r="F1295" s="215">
        <f t="shared" si="122"/>
        <v>1471087</v>
      </c>
      <c r="G1295" s="215">
        <f t="shared" si="123"/>
        <v>1623558</v>
      </c>
      <c r="H1295" s="680" t="s">
        <v>6153</v>
      </c>
      <c r="I1295" s="679"/>
      <c r="J1295" s="187" t="str">
        <f t="shared" si="121"/>
        <v>252-903</v>
      </c>
      <c r="K1295" s="187">
        <v>252</v>
      </c>
      <c r="L1295" s="187">
        <v>903</v>
      </c>
      <c r="M1295" s="187" t="str">
        <f t="shared" si="124"/>
        <v>252</v>
      </c>
      <c r="N1295" s="187">
        <f t="shared" si="125"/>
        <v>903</v>
      </c>
      <c r="O1295" s="187" t="str">
        <f t="shared" si="126"/>
        <v>252-903</v>
      </c>
      <c r="Q1295" s="679" t="s">
        <v>6823</v>
      </c>
    </row>
    <row r="1296" spans="1:17">
      <c r="A1296" s="788" t="s">
        <v>909</v>
      </c>
      <c r="B1296" s="187" t="s">
        <v>1019</v>
      </c>
      <c r="C1296" s="215">
        <v>3913392</v>
      </c>
      <c r="D1296" s="215">
        <v>29256457</v>
      </c>
      <c r="F1296" s="215">
        <f t="shared" si="122"/>
        <v>29256457</v>
      </c>
      <c r="G1296" s="215">
        <f t="shared" si="123"/>
        <v>33169849</v>
      </c>
      <c r="H1296" s="680" t="s">
        <v>6153</v>
      </c>
      <c r="I1296" s="679"/>
      <c r="J1296" s="187" t="str">
        <f t="shared" si="121"/>
        <v>253-901</v>
      </c>
      <c r="K1296" s="187">
        <v>253</v>
      </c>
      <c r="L1296" s="187">
        <v>901</v>
      </c>
      <c r="M1296" s="187" t="str">
        <f t="shared" si="124"/>
        <v>253</v>
      </c>
      <c r="N1296" s="187">
        <f t="shared" si="125"/>
        <v>901</v>
      </c>
      <c r="O1296" s="187" t="str">
        <f t="shared" si="126"/>
        <v>253-901</v>
      </c>
      <c r="Q1296" s="679" t="s">
        <v>6824</v>
      </c>
    </row>
    <row r="1297" spans="1:17">
      <c r="A1297" s="788" t="s">
        <v>247</v>
      </c>
      <c r="B1297" s="187" t="s">
        <v>989</v>
      </c>
      <c r="C1297" s="215">
        <v>224005</v>
      </c>
      <c r="D1297" s="215">
        <v>1950398</v>
      </c>
      <c r="F1297" s="215">
        <f t="shared" si="122"/>
        <v>1950398</v>
      </c>
      <c r="G1297" s="215">
        <f t="shared" si="123"/>
        <v>2174403</v>
      </c>
      <c r="H1297" s="680" t="s">
        <v>6153</v>
      </c>
      <c r="I1297" s="679"/>
      <c r="J1297" s="187" t="str">
        <f t="shared" si="121"/>
        <v>254-901</v>
      </c>
      <c r="K1297" s="187">
        <v>254</v>
      </c>
      <c r="L1297" s="187">
        <v>901</v>
      </c>
      <c r="M1297" s="187" t="str">
        <f t="shared" si="124"/>
        <v>254</v>
      </c>
      <c r="N1297" s="187">
        <f t="shared" si="125"/>
        <v>901</v>
      </c>
      <c r="O1297" s="187" t="str">
        <f t="shared" si="126"/>
        <v>254-901</v>
      </c>
      <c r="Q1297" s="679" t="s">
        <v>6825</v>
      </c>
    </row>
    <row r="1298" spans="1:17">
      <c r="A1298" s="788" t="s">
        <v>1527</v>
      </c>
      <c r="B1298" s="187" t="s">
        <v>2154</v>
      </c>
      <c r="C1298" s="215">
        <v>48896</v>
      </c>
      <c r="D1298" s="215">
        <v>490065</v>
      </c>
      <c r="E1298" s="215">
        <v>107093</v>
      </c>
      <c r="F1298" s="215">
        <f t="shared" si="122"/>
        <v>597158</v>
      </c>
      <c r="G1298" s="215">
        <f t="shared" si="123"/>
        <v>646054</v>
      </c>
      <c r="H1298" s="680" t="s">
        <v>6153</v>
      </c>
      <c r="I1298" s="679"/>
      <c r="J1298" s="187" t="str">
        <f t="shared" si="121"/>
        <v>254-902</v>
      </c>
      <c r="K1298" s="187">
        <v>254</v>
      </c>
      <c r="L1298" s="187">
        <v>902</v>
      </c>
      <c r="M1298" s="187" t="str">
        <f t="shared" si="124"/>
        <v>254</v>
      </c>
      <c r="N1298" s="187">
        <f t="shared" si="125"/>
        <v>902</v>
      </c>
      <c r="O1298" s="187" t="str">
        <f t="shared" si="126"/>
        <v>254-902</v>
      </c>
      <c r="Q1298" s="679" t="s">
        <v>6826</v>
      </c>
    </row>
    <row r="1299" spans="1:17">
      <c r="B1299" s="187" t="s">
        <v>6531</v>
      </c>
      <c r="C1299" s="215" t="s">
        <v>6532</v>
      </c>
      <c r="D1299" s="215" t="s">
        <v>6533</v>
      </c>
      <c r="G1299" s="215" t="s">
        <v>6533</v>
      </c>
      <c r="H1299" s="680" t="s">
        <v>6153</v>
      </c>
    </row>
    <row r="1300" spans="1:17">
      <c r="B1300" s="471" t="s">
        <v>6534</v>
      </c>
      <c r="C1300" s="472">
        <v>2162175240</v>
      </c>
      <c r="D1300" s="472">
        <v>16240444433</v>
      </c>
      <c r="E1300" s="472"/>
      <c r="F1300" s="472"/>
      <c r="G1300" s="472">
        <v>18402619673</v>
      </c>
      <c r="H1300" s="680" t="s">
        <v>6153</v>
      </c>
    </row>
    <row r="1301" spans="1:17">
      <c r="H1301" s="680" t="s">
        <v>6153</v>
      </c>
    </row>
    <row r="1302" spans="1:17">
      <c r="H1302" s="680" t="s">
        <v>6153</v>
      </c>
    </row>
    <row r="1303" spans="1:17">
      <c r="H1303" s="680" t="s">
        <v>6153</v>
      </c>
    </row>
    <row r="1304" spans="1:17">
      <c r="H1304" s="680" t="s">
        <v>6153</v>
      </c>
    </row>
    <row r="1305" spans="1:17">
      <c r="H1305" s="680" t="s">
        <v>6153</v>
      </c>
    </row>
    <row r="1306" spans="1:17">
      <c r="H1306" s="680" t="s">
        <v>6153</v>
      </c>
    </row>
    <row r="1307" spans="1:17">
      <c r="H1307" s="680" t="s">
        <v>6153</v>
      </c>
    </row>
    <row r="1308" spans="1:17">
      <c r="H1308" s="680" t="s">
        <v>6153</v>
      </c>
    </row>
    <row r="1309" spans="1:17">
      <c r="H1309" s="680" t="s">
        <v>6153</v>
      </c>
    </row>
    <row r="1310" spans="1:17">
      <c r="H1310" s="680" t="s">
        <v>6153</v>
      </c>
    </row>
    <row r="1311" spans="1:17">
      <c r="H1311" s="680" t="s">
        <v>6153</v>
      </c>
    </row>
    <row r="1312" spans="1:17">
      <c r="H1312" s="680" t="s">
        <v>6153</v>
      </c>
    </row>
    <row r="1313" spans="8:8">
      <c r="H1313" s="680" t="s">
        <v>6153</v>
      </c>
    </row>
    <row r="1314" spans="8:8">
      <c r="H1314" s="680" t="s">
        <v>6153</v>
      </c>
    </row>
    <row r="1315" spans="8:8">
      <c r="H1315" s="680" t="s">
        <v>6153</v>
      </c>
    </row>
    <row r="1316" spans="8:8">
      <c r="H1316" s="680" t="s">
        <v>6153</v>
      </c>
    </row>
    <row r="1317" spans="8:8">
      <c r="H1317" s="680" t="s">
        <v>6153</v>
      </c>
    </row>
    <row r="1318" spans="8:8">
      <c r="H1318" s="680" t="s">
        <v>6153</v>
      </c>
    </row>
    <row r="1319" spans="8:8">
      <c r="H1319" s="680" t="s">
        <v>6153</v>
      </c>
    </row>
    <row r="1320" spans="8:8">
      <c r="H1320" s="680" t="s">
        <v>6153</v>
      </c>
    </row>
    <row r="1321" spans="8:8">
      <c r="H1321" s="680" t="s">
        <v>6153</v>
      </c>
    </row>
    <row r="1322" spans="8:8">
      <c r="H1322" s="680" t="s">
        <v>6153</v>
      </c>
    </row>
    <row r="1323" spans="8:8">
      <c r="H1323" s="680" t="s">
        <v>6153</v>
      </c>
    </row>
    <row r="1324" spans="8:8">
      <c r="H1324" s="680" t="s">
        <v>6153</v>
      </c>
    </row>
    <row r="1325" spans="8:8">
      <c r="H1325" s="680" t="s">
        <v>6153</v>
      </c>
    </row>
    <row r="1326" spans="8:8">
      <c r="H1326" s="680" t="s">
        <v>6153</v>
      </c>
    </row>
    <row r="1327" spans="8:8">
      <c r="H1327" s="680" t="s">
        <v>6153</v>
      </c>
    </row>
    <row r="1328" spans="8:8">
      <c r="H1328" s="680" t="s">
        <v>6153</v>
      </c>
    </row>
    <row r="1329" spans="8:8">
      <c r="H1329" s="680" t="s">
        <v>6153</v>
      </c>
    </row>
    <row r="1330" spans="8:8">
      <c r="H1330" s="680" t="s">
        <v>6153</v>
      </c>
    </row>
    <row r="1331" spans="8:8">
      <c r="H1331" s="680" t="s">
        <v>6153</v>
      </c>
    </row>
    <row r="1332" spans="8:8">
      <c r="H1332" s="680" t="s">
        <v>6153</v>
      </c>
    </row>
    <row r="1333" spans="8:8">
      <c r="H1333" s="680" t="s">
        <v>6153</v>
      </c>
    </row>
    <row r="1334" spans="8:8">
      <c r="H1334" s="680" t="s">
        <v>6153</v>
      </c>
    </row>
    <row r="1335" spans="8:8">
      <c r="H1335" s="680" t="s">
        <v>6153</v>
      </c>
    </row>
    <row r="1336" spans="8:8">
      <c r="H1336" s="680" t="s">
        <v>6153</v>
      </c>
    </row>
    <row r="1337" spans="8:8">
      <c r="H1337" s="680" t="s">
        <v>6153</v>
      </c>
    </row>
    <row r="1338" spans="8:8">
      <c r="H1338" s="680" t="s">
        <v>6153</v>
      </c>
    </row>
    <row r="1339" spans="8:8">
      <c r="H1339" s="680" t="s">
        <v>6153</v>
      </c>
    </row>
    <row r="1340" spans="8:8">
      <c r="H1340" s="680" t="s">
        <v>6153</v>
      </c>
    </row>
    <row r="1341" spans="8:8">
      <c r="H1341" s="680" t="s">
        <v>6153</v>
      </c>
    </row>
    <row r="1342" spans="8:8">
      <c r="H1342" s="680" t="s">
        <v>6153</v>
      </c>
    </row>
    <row r="1343" spans="8:8">
      <c r="H1343" s="680" t="s">
        <v>6153</v>
      </c>
    </row>
    <row r="1344" spans="8:8">
      <c r="H1344" s="680" t="s">
        <v>6153</v>
      </c>
    </row>
    <row r="1345" spans="8:8">
      <c r="H1345" s="680" t="s">
        <v>6153</v>
      </c>
    </row>
    <row r="1346" spans="8:8">
      <c r="H1346" s="680" t="s">
        <v>6153</v>
      </c>
    </row>
    <row r="1347" spans="8:8">
      <c r="H1347" s="680" t="s">
        <v>6153</v>
      </c>
    </row>
    <row r="1348" spans="8:8">
      <c r="H1348" s="680" t="s">
        <v>6153</v>
      </c>
    </row>
    <row r="1349" spans="8:8">
      <c r="H1349" s="680" t="s">
        <v>6153</v>
      </c>
    </row>
    <row r="1350" spans="8:8">
      <c r="H1350" s="680" t="s">
        <v>6153</v>
      </c>
    </row>
    <row r="1351" spans="8:8">
      <c r="H1351" s="680" t="s">
        <v>6153</v>
      </c>
    </row>
    <row r="1352" spans="8:8">
      <c r="H1352" s="680" t="s">
        <v>6153</v>
      </c>
    </row>
    <row r="1353" spans="8:8">
      <c r="H1353" s="680" t="s">
        <v>6153</v>
      </c>
    </row>
    <row r="1354" spans="8:8">
      <c r="H1354" s="680" t="s">
        <v>6153</v>
      </c>
    </row>
    <row r="1355" spans="8:8">
      <c r="H1355" s="680" t="s">
        <v>6153</v>
      </c>
    </row>
    <row r="1356" spans="8:8">
      <c r="H1356" s="680" t="s">
        <v>6153</v>
      </c>
    </row>
    <row r="1357" spans="8:8">
      <c r="H1357" s="680" t="s">
        <v>6153</v>
      </c>
    </row>
    <row r="1358" spans="8:8">
      <c r="H1358" s="680" t="s">
        <v>6153</v>
      </c>
    </row>
    <row r="1359" spans="8:8">
      <c r="H1359" s="680" t="s">
        <v>6153</v>
      </c>
    </row>
    <row r="1360" spans="8:8">
      <c r="H1360" s="680" t="s">
        <v>6153</v>
      </c>
    </row>
    <row r="1361" spans="8:8">
      <c r="H1361" s="680" t="s">
        <v>6153</v>
      </c>
    </row>
    <row r="1362" spans="8:8">
      <c r="H1362" s="680" t="s">
        <v>6153</v>
      </c>
    </row>
    <row r="1363" spans="8:8">
      <c r="H1363" s="680" t="s">
        <v>6153</v>
      </c>
    </row>
    <row r="1364" spans="8:8">
      <c r="H1364" s="680" t="s">
        <v>6153</v>
      </c>
    </row>
    <row r="1365" spans="8:8">
      <c r="H1365" s="680" t="s">
        <v>6153</v>
      </c>
    </row>
    <row r="1366" spans="8:8">
      <c r="H1366" s="680" t="s">
        <v>6153</v>
      </c>
    </row>
    <row r="1367" spans="8:8">
      <c r="H1367" s="680" t="s">
        <v>6153</v>
      </c>
    </row>
    <row r="1368" spans="8:8">
      <c r="H1368" s="680" t="s">
        <v>6153</v>
      </c>
    </row>
    <row r="1369" spans="8:8">
      <c r="H1369" s="680" t="s">
        <v>6153</v>
      </c>
    </row>
    <row r="1370" spans="8:8">
      <c r="H1370" s="680" t="s">
        <v>6153</v>
      </c>
    </row>
    <row r="1371" spans="8:8">
      <c r="H1371" s="680" t="s">
        <v>6153</v>
      </c>
    </row>
    <row r="1372" spans="8:8">
      <c r="H1372" s="680" t="s">
        <v>6153</v>
      </c>
    </row>
    <row r="1373" spans="8:8">
      <c r="H1373" s="680" t="s">
        <v>6153</v>
      </c>
    </row>
    <row r="1374" spans="8:8">
      <c r="H1374" s="680" t="s">
        <v>6153</v>
      </c>
    </row>
    <row r="1375" spans="8:8">
      <c r="H1375" s="680" t="s">
        <v>6153</v>
      </c>
    </row>
    <row r="1376" spans="8:8">
      <c r="H1376" s="680" t="s">
        <v>6153</v>
      </c>
    </row>
    <row r="1377" spans="8:8">
      <c r="H1377" s="680" t="s">
        <v>6153</v>
      </c>
    </row>
    <row r="1378" spans="8:8">
      <c r="H1378" s="680" t="s">
        <v>6153</v>
      </c>
    </row>
    <row r="1379" spans="8:8">
      <c r="H1379" s="680" t="s">
        <v>6153</v>
      </c>
    </row>
    <row r="1380" spans="8:8">
      <c r="H1380" s="680" t="s">
        <v>6153</v>
      </c>
    </row>
    <row r="1381" spans="8:8">
      <c r="H1381" s="680" t="s">
        <v>6153</v>
      </c>
    </row>
    <row r="1382" spans="8:8">
      <c r="H1382" s="680" t="s">
        <v>6153</v>
      </c>
    </row>
    <row r="1383" spans="8:8">
      <c r="H1383" s="680" t="s">
        <v>6153</v>
      </c>
    </row>
    <row r="1384" spans="8:8">
      <c r="H1384" s="680" t="s">
        <v>6153</v>
      </c>
    </row>
    <row r="1385" spans="8:8">
      <c r="H1385" s="680" t="s">
        <v>6153</v>
      </c>
    </row>
    <row r="1386" spans="8:8">
      <c r="H1386" s="680" t="s">
        <v>6153</v>
      </c>
    </row>
    <row r="1387" spans="8:8">
      <c r="H1387" s="680" t="s">
        <v>6153</v>
      </c>
    </row>
    <row r="1388" spans="8:8">
      <c r="H1388" s="680" t="s">
        <v>6153</v>
      </c>
    </row>
    <row r="1389" spans="8:8">
      <c r="H1389" s="680" t="s">
        <v>6153</v>
      </c>
    </row>
    <row r="1390" spans="8:8">
      <c r="H1390" s="680" t="s">
        <v>6153</v>
      </c>
    </row>
    <row r="1391" spans="8:8">
      <c r="H1391" s="680" t="s">
        <v>6153</v>
      </c>
    </row>
    <row r="1392" spans="8:8">
      <c r="H1392" s="680" t="s">
        <v>6153</v>
      </c>
    </row>
    <row r="1393" spans="8:8">
      <c r="H1393" s="680" t="s">
        <v>6153</v>
      </c>
    </row>
    <row r="1394" spans="8:8">
      <c r="H1394" s="680" t="s">
        <v>6153</v>
      </c>
    </row>
    <row r="1395" spans="8:8">
      <c r="H1395" s="680" t="s">
        <v>6153</v>
      </c>
    </row>
    <row r="1396" spans="8:8">
      <c r="H1396" s="680" t="s">
        <v>6153</v>
      </c>
    </row>
    <row r="1397" spans="8:8">
      <c r="H1397" s="680" t="s">
        <v>6153</v>
      </c>
    </row>
    <row r="1398" spans="8:8">
      <c r="H1398" s="680" t="s">
        <v>6153</v>
      </c>
    </row>
    <row r="1399" spans="8:8">
      <c r="H1399" s="680" t="s">
        <v>6153</v>
      </c>
    </row>
    <row r="1400" spans="8:8">
      <c r="H1400" s="680" t="s">
        <v>6153</v>
      </c>
    </row>
    <row r="1401" spans="8:8">
      <c r="H1401" s="680" t="s">
        <v>6153</v>
      </c>
    </row>
    <row r="1402" spans="8:8">
      <c r="H1402" s="680" t="s">
        <v>6153</v>
      </c>
    </row>
    <row r="1403" spans="8:8">
      <c r="H1403" s="680" t="s">
        <v>6153</v>
      </c>
    </row>
    <row r="1404" spans="8:8">
      <c r="H1404" s="680" t="s">
        <v>6153</v>
      </c>
    </row>
    <row r="1405" spans="8:8">
      <c r="H1405" s="680" t="s">
        <v>6153</v>
      </c>
    </row>
    <row r="1406" spans="8:8">
      <c r="H1406" s="680" t="s">
        <v>6153</v>
      </c>
    </row>
    <row r="1407" spans="8:8">
      <c r="H1407" s="680" t="s">
        <v>6153</v>
      </c>
    </row>
    <row r="1408" spans="8:8">
      <c r="H1408" s="680" t="s">
        <v>6153</v>
      </c>
    </row>
    <row r="1409" spans="8:8">
      <c r="H1409" s="680" t="s">
        <v>6153</v>
      </c>
    </row>
    <row r="1410" spans="8:8">
      <c r="H1410" s="680" t="s">
        <v>6153</v>
      </c>
    </row>
    <row r="1411" spans="8:8">
      <c r="H1411" s="680" t="s">
        <v>6153</v>
      </c>
    </row>
    <row r="1412" spans="8:8">
      <c r="H1412" s="680" t="s">
        <v>6153</v>
      </c>
    </row>
    <row r="1413" spans="8:8">
      <c r="H1413" s="680" t="s">
        <v>6153</v>
      </c>
    </row>
    <row r="1414" spans="8:8">
      <c r="H1414" s="680" t="s">
        <v>6153</v>
      </c>
    </row>
    <row r="1415" spans="8:8">
      <c r="H1415" s="680" t="s">
        <v>6153</v>
      </c>
    </row>
    <row r="1416" spans="8:8">
      <c r="H1416" s="680" t="s">
        <v>6153</v>
      </c>
    </row>
    <row r="1417" spans="8:8">
      <c r="H1417" s="680" t="s">
        <v>6153</v>
      </c>
    </row>
    <row r="1418" spans="8:8">
      <c r="H1418" s="680" t="s">
        <v>6153</v>
      </c>
    </row>
    <row r="1419" spans="8:8">
      <c r="H1419" s="680" t="s">
        <v>6153</v>
      </c>
    </row>
    <row r="1420" spans="8:8">
      <c r="H1420" s="680" t="s">
        <v>6153</v>
      </c>
    </row>
    <row r="1421" spans="8:8">
      <c r="H1421" s="680" t="s">
        <v>6153</v>
      </c>
    </row>
    <row r="1422" spans="8:8">
      <c r="H1422" s="680" t="s">
        <v>6153</v>
      </c>
    </row>
    <row r="1423" spans="8:8">
      <c r="H1423" s="680" t="s">
        <v>6153</v>
      </c>
    </row>
    <row r="1424" spans="8:8">
      <c r="H1424" s="680" t="s">
        <v>6153</v>
      </c>
    </row>
    <row r="1425" spans="8:8">
      <c r="H1425" s="680" t="s">
        <v>6153</v>
      </c>
    </row>
    <row r="1426" spans="8:8">
      <c r="H1426" s="680" t="s">
        <v>6153</v>
      </c>
    </row>
    <row r="1427" spans="8:8">
      <c r="H1427" s="680" t="s">
        <v>6153</v>
      </c>
    </row>
    <row r="1428" spans="8:8">
      <c r="H1428" s="680" t="s">
        <v>6153</v>
      </c>
    </row>
    <row r="1429" spans="8:8">
      <c r="H1429" s="680" t="s">
        <v>6153</v>
      </c>
    </row>
    <row r="1430" spans="8:8">
      <c r="H1430" s="680" t="s">
        <v>6153</v>
      </c>
    </row>
    <row r="1431" spans="8:8">
      <c r="H1431" s="680" t="s">
        <v>6153</v>
      </c>
    </row>
    <row r="1432" spans="8:8">
      <c r="H1432" s="680" t="s">
        <v>6153</v>
      </c>
    </row>
    <row r="1433" spans="8:8">
      <c r="H1433" s="680" t="s">
        <v>6153</v>
      </c>
    </row>
    <row r="1434" spans="8:8">
      <c r="H1434" s="680" t="s">
        <v>6153</v>
      </c>
    </row>
    <row r="1435" spans="8:8">
      <c r="H1435" s="680" t="s">
        <v>6153</v>
      </c>
    </row>
    <row r="1436" spans="8:8">
      <c r="H1436" s="680" t="s">
        <v>6153</v>
      </c>
    </row>
    <row r="1437" spans="8:8">
      <c r="H1437" s="680" t="s">
        <v>6153</v>
      </c>
    </row>
    <row r="1438" spans="8:8">
      <c r="H1438" s="680" t="s">
        <v>6153</v>
      </c>
    </row>
    <row r="1439" spans="8:8">
      <c r="H1439" s="680" t="s">
        <v>6153</v>
      </c>
    </row>
    <row r="1440" spans="8:8">
      <c r="H1440" s="680" t="s">
        <v>6153</v>
      </c>
    </row>
    <row r="1441" spans="8:8">
      <c r="H1441" s="680" t="s">
        <v>6153</v>
      </c>
    </row>
    <row r="1442" spans="8:8">
      <c r="H1442" s="680" t="s">
        <v>6153</v>
      </c>
    </row>
    <row r="1443" spans="8:8">
      <c r="H1443" s="680" t="s">
        <v>6153</v>
      </c>
    </row>
    <row r="1444" spans="8:8">
      <c r="H1444" s="680" t="s">
        <v>6153</v>
      </c>
    </row>
    <row r="1445" spans="8:8">
      <c r="H1445" s="680" t="s">
        <v>6153</v>
      </c>
    </row>
    <row r="1446" spans="8:8">
      <c r="H1446" s="680" t="s">
        <v>6153</v>
      </c>
    </row>
    <row r="1447" spans="8:8">
      <c r="H1447" s="680" t="s">
        <v>6153</v>
      </c>
    </row>
    <row r="1448" spans="8:8">
      <c r="H1448" s="680" t="s">
        <v>6153</v>
      </c>
    </row>
    <row r="1449" spans="8:8">
      <c r="H1449" s="680" t="s">
        <v>6153</v>
      </c>
    </row>
    <row r="1450" spans="8:8">
      <c r="H1450" s="680" t="s">
        <v>6153</v>
      </c>
    </row>
    <row r="1451" spans="8:8">
      <c r="H1451" s="680" t="s">
        <v>6153</v>
      </c>
    </row>
    <row r="1452" spans="8:8">
      <c r="H1452" s="680" t="s">
        <v>6153</v>
      </c>
    </row>
    <row r="1453" spans="8:8">
      <c r="H1453" s="680" t="s">
        <v>6153</v>
      </c>
    </row>
    <row r="1454" spans="8:8">
      <c r="H1454" s="680" t="s">
        <v>6153</v>
      </c>
    </row>
    <row r="1455" spans="8:8">
      <c r="H1455" s="680" t="s">
        <v>6153</v>
      </c>
    </row>
    <row r="1456" spans="8:8">
      <c r="H1456" s="680" t="s">
        <v>6153</v>
      </c>
    </row>
    <row r="1457" spans="8:8">
      <c r="H1457" s="680" t="s">
        <v>6153</v>
      </c>
    </row>
    <row r="1458" spans="8:8">
      <c r="H1458" s="680" t="s">
        <v>6153</v>
      </c>
    </row>
    <row r="1459" spans="8:8">
      <c r="H1459" s="680" t="s">
        <v>6153</v>
      </c>
    </row>
    <row r="1460" spans="8:8">
      <c r="H1460" s="680" t="s">
        <v>6153</v>
      </c>
    </row>
    <row r="1461" spans="8:8">
      <c r="H1461" s="680" t="s">
        <v>6153</v>
      </c>
    </row>
    <row r="1462" spans="8:8">
      <c r="H1462" s="680" t="s">
        <v>6153</v>
      </c>
    </row>
    <row r="1463" spans="8:8">
      <c r="H1463" s="680" t="s">
        <v>6153</v>
      </c>
    </row>
    <row r="1464" spans="8:8">
      <c r="H1464" s="680" t="s">
        <v>6153</v>
      </c>
    </row>
    <row r="1465" spans="8:8">
      <c r="H1465" s="680" t="s">
        <v>6153</v>
      </c>
    </row>
    <row r="1466" spans="8:8">
      <c r="H1466" s="680" t="s">
        <v>6153</v>
      </c>
    </row>
    <row r="1467" spans="8:8">
      <c r="H1467" s="680" t="s">
        <v>6153</v>
      </c>
    </row>
    <row r="1468" spans="8:8">
      <c r="H1468" s="680" t="s">
        <v>6153</v>
      </c>
    </row>
    <row r="1469" spans="8:8">
      <c r="H1469" s="680" t="s">
        <v>6153</v>
      </c>
    </row>
    <row r="1470" spans="8:8">
      <c r="H1470" s="680" t="s">
        <v>6153</v>
      </c>
    </row>
    <row r="1471" spans="8:8">
      <c r="H1471" s="680" t="s">
        <v>6153</v>
      </c>
    </row>
    <row r="1472" spans="8:8">
      <c r="H1472" s="680" t="s">
        <v>6153</v>
      </c>
    </row>
    <row r="1473" spans="8:8">
      <c r="H1473" s="680" t="s">
        <v>6153</v>
      </c>
    </row>
    <row r="1474" spans="8:8">
      <c r="H1474" s="680" t="s">
        <v>6153</v>
      </c>
    </row>
    <row r="1475" spans="8:8">
      <c r="H1475" s="680" t="s">
        <v>6153</v>
      </c>
    </row>
    <row r="1476" spans="8:8">
      <c r="H1476" s="680" t="s">
        <v>6153</v>
      </c>
    </row>
    <row r="1477" spans="8:8">
      <c r="H1477" s="680" t="s">
        <v>6153</v>
      </c>
    </row>
    <row r="1478" spans="8:8">
      <c r="H1478" s="680" t="s">
        <v>6153</v>
      </c>
    </row>
    <row r="1479" spans="8:8">
      <c r="H1479" s="680" t="s">
        <v>6153</v>
      </c>
    </row>
    <row r="1480" spans="8:8">
      <c r="H1480" s="680" t="s">
        <v>6153</v>
      </c>
    </row>
    <row r="1481" spans="8:8">
      <c r="H1481" s="680" t="s">
        <v>6153</v>
      </c>
    </row>
    <row r="1482" spans="8:8">
      <c r="H1482" s="680" t="s">
        <v>6153</v>
      </c>
    </row>
    <row r="1483" spans="8:8">
      <c r="H1483" s="680" t="s">
        <v>6153</v>
      </c>
    </row>
    <row r="1484" spans="8:8">
      <c r="H1484" s="680" t="s">
        <v>6153</v>
      </c>
    </row>
    <row r="1485" spans="8:8">
      <c r="H1485" s="680" t="s">
        <v>6153</v>
      </c>
    </row>
    <row r="1486" spans="8:8">
      <c r="H1486" s="680" t="s">
        <v>6153</v>
      </c>
    </row>
    <row r="1487" spans="8:8">
      <c r="H1487" s="680" t="s">
        <v>6153</v>
      </c>
    </row>
    <row r="1488" spans="8:8">
      <c r="H1488" s="680" t="s">
        <v>6153</v>
      </c>
    </row>
    <row r="1489" spans="8:8">
      <c r="H1489" s="680" t="s">
        <v>6153</v>
      </c>
    </row>
    <row r="1490" spans="8:8">
      <c r="H1490" s="680" t="s">
        <v>6153</v>
      </c>
    </row>
    <row r="1491" spans="8:8">
      <c r="H1491" s="680" t="s">
        <v>6153</v>
      </c>
    </row>
    <row r="1492" spans="8:8">
      <c r="H1492" s="680" t="s">
        <v>6153</v>
      </c>
    </row>
    <row r="1493" spans="8:8">
      <c r="H1493" s="680" t="s">
        <v>6153</v>
      </c>
    </row>
    <row r="1494" spans="8:8">
      <c r="H1494" s="680" t="s">
        <v>6153</v>
      </c>
    </row>
    <row r="1495" spans="8:8">
      <c r="H1495" s="680" t="s">
        <v>6153</v>
      </c>
    </row>
    <row r="1496" spans="8:8">
      <c r="H1496" s="680" t="s">
        <v>6153</v>
      </c>
    </row>
    <row r="1497" spans="8:8">
      <c r="H1497" s="680" t="s">
        <v>6153</v>
      </c>
    </row>
    <row r="1498" spans="8:8">
      <c r="H1498" s="680" t="s">
        <v>6153</v>
      </c>
    </row>
    <row r="1499" spans="8:8">
      <c r="H1499" s="680" t="s">
        <v>6153</v>
      </c>
    </row>
    <row r="1500" spans="8:8">
      <c r="H1500" s="680" t="s">
        <v>6153</v>
      </c>
    </row>
    <row r="1501" spans="8:8">
      <c r="H1501" s="680" t="s">
        <v>6153</v>
      </c>
    </row>
    <row r="1502" spans="8:8">
      <c r="H1502" s="680" t="s">
        <v>6153</v>
      </c>
    </row>
    <row r="1503" spans="8:8">
      <c r="H1503" s="680" t="s">
        <v>6153</v>
      </c>
    </row>
    <row r="1504" spans="8:8">
      <c r="H1504" s="680" t="s">
        <v>6153</v>
      </c>
    </row>
    <row r="1505" spans="8:8">
      <c r="H1505" s="680" t="s">
        <v>6153</v>
      </c>
    </row>
    <row r="1506" spans="8:8">
      <c r="H1506" s="680" t="s">
        <v>6153</v>
      </c>
    </row>
    <row r="1507" spans="8:8">
      <c r="H1507" s="680" t="s">
        <v>6153</v>
      </c>
    </row>
    <row r="1508" spans="8:8">
      <c r="H1508" s="680" t="s">
        <v>6153</v>
      </c>
    </row>
    <row r="1509" spans="8:8">
      <c r="H1509" s="680" t="s">
        <v>6153</v>
      </c>
    </row>
    <row r="1510" spans="8:8">
      <c r="H1510" s="680" t="s">
        <v>6153</v>
      </c>
    </row>
    <row r="1511" spans="8:8">
      <c r="H1511" s="680" t="s">
        <v>6153</v>
      </c>
    </row>
    <row r="1512" spans="8:8">
      <c r="H1512" s="680" t="s">
        <v>6153</v>
      </c>
    </row>
    <row r="1513" spans="8:8">
      <c r="H1513" s="680" t="s">
        <v>6153</v>
      </c>
    </row>
    <row r="1514" spans="8:8">
      <c r="H1514" s="680" t="s">
        <v>6153</v>
      </c>
    </row>
    <row r="1515" spans="8:8">
      <c r="H1515" s="680" t="s">
        <v>6153</v>
      </c>
    </row>
    <row r="1516" spans="8:8">
      <c r="H1516" s="680" t="s">
        <v>6153</v>
      </c>
    </row>
    <row r="1517" spans="8:8">
      <c r="H1517" s="680" t="s">
        <v>6153</v>
      </c>
    </row>
    <row r="1518" spans="8:8">
      <c r="H1518" s="680" t="s">
        <v>6153</v>
      </c>
    </row>
    <row r="1519" spans="8:8">
      <c r="H1519" s="680" t="s">
        <v>6153</v>
      </c>
    </row>
    <row r="1520" spans="8:8">
      <c r="H1520" s="680" t="s">
        <v>6153</v>
      </c>
    </row>
    <row r="1521" spans="8:8">
      <c r="H1521" s="680" t="s">
        <v>6153</v>
      </c>
    </row>
    <row r="1522" spans="8:8">
      <c r="H1522" s="680" t="s">
        <v>6153</v>
      </c>
    </row>
    <row r="1523" spans="8:8">
      <c r="H1523" s="680" t="s">
        <v>6153</v>
      </c>
    </row>
    <row r="1524" spans="8:8">
      <c r="H1524" s="680" t="s">
        <v>6153</v>
      </c>
    </row>
    <row r="1525" spans="8:8">
      <c r="H1525" s="680" t="s">
        <v>6153</v>
      </c>
    </row>
    <row r="1526" spans="8:8">
      <c r="H1526" s="680" t="s">
        <v>6153</v>
      </c>
    </row>
    <row r="1527" spans="8:8">
      <c r="H1527" s="680" t="s">
        <v>6153</v>
      </c>
    </row>
    <row r="1528" spans="8:8">
      <c r="H1528" s="680" t="s">
        <v>6153</v>
      </c>
    </row>
    <row r="1529" spans="8:8">
      <c r="H1529" s="680" t="s">
        <v>6153</v>
      </c>
    </row>
    <row r="1530" spans="8:8">
      <c r="H1530" s="680" t="s">
        <v>6153</v>
      </c>
    </row>
    <row r="1531" spans="8:8">
      <c r="H1531" s="680" t="s">
        <v>6153</v>
      </c>
    </row>
    <row r="1532" spans="8:8">
      <c r="H1532" s="680" t="s">
        <v>6153</v>
      </c>
    </row>
    <row r="1533" spans="8:8">
      <c r="H1533" s="680" t="s">
        <v>6153</v>
      </c>
    </row>
    <row r="1534" spans="8:8">
      <c r="H1534" s="680" t="s">
        <v>6153</v>
      </c>
    </row>
    <row r="1535" spans="8:8">
      <c r="H1535" s="680" t="s">
        <v>6153</v>
      </c>
    </row>
    <row r="1536" spans="8:8">
      <c r="H1536" s="680" t="s">
        <v>6153</v>
      </c>
    </row>
    <row r="1537" spans="8:8">
      <c r="H1537" s="680" t="s">
        <v>6153</v>
      </c>
    </row>
    <row r="1538" spans="8:8">
      <c r="H1538" s="680" t="s">
        <v>6153</v>
      </c>
    </row>
    <row r="1539" spans="8:8">
      <c r="H1539" s="680" t="s">
        <v>6153</v>
      </c>
    </row>
    <row r="1540" spans="8:8">
      <c r="H1540" s="680" t="s">
        <v>6153</v>
      </c>
    </row>
    <row r="1541" spans="8:8">
      <c r="H1541" s="680" t="s">
        <v>6153</v>
      </c>
    </row>
    <row r="1542" spans="8:8">
      <c r="H1542" s="680" t="s">
        <v>6153</v>
      </c>
    </row>
    <row r="1543" spans="8:8">
      <c r="H1543" s="680" t="s">
        <v>6153</v>
      </c>
    </row>
    <row r="1544" spans="8:8">
      <c r="H1544" s="680" t="s">
        <v>6153</v>
      </c>
    </row>
    <row r="1545" spans="8:8">
      <c r="H1545" s="680" t="s">
        <v>6153</v>
      </c>
    </row>
    <row r="1546" spans="8:8">
      <c r="H1546" s="680" t="s">
        <v>6153</v>
      </c>
    </row>
    <row r="1547" spans="8:8">
      <c r="H1547" s="680" t="s">
        <v>6153</v>
      </c>
    </row>
    <row r="1548" spans="8:8">
      <c r="H1548" s="680" t="s">
        <v>6153</v>
      </c>
    </row>
    <row r="1549" spans="8:8">
      <c r="H1549" s="680" t="s">
        <v>6153</v>
      </c>
    </row>
    <row r="1550" spans="8:8">
      <c r="H1550" s="680" t="s">
        <v>6153</v>
      </c>
    </row>
    <row r="1551" spans="8:8">
      <c r="H1551" s="680" t="s">
        <v>6153</v>
      </c>
    </row>
    <row r="1552" spans="8:8">
      <c r="H1552" s="680" t="s">
        <v>6153</v>
      </c>
    </row>
    <row r="1553" spans="8:8">
      <c r="H1553" s="680" t="s">
        <v>6153</v>
      </c>
    </row>
    <row r="1554" spans="8:8">
      <c r="H1554" s="680" t="s">
        <v>6153</v>
      </c>
    </row>
    <row r="1555" spans="8:8">
      <c r="H1555" s="680" t="s">
        <v>6153</v>
      </c>
    </row>
    <row r="1556" spans="8:8">
      <c r="H1556" s="680" t="s">
        <v>6153</v>
      </c>
    </row>
    <row r="1557" spans="8:8">
      <c r="H1557" s="680" t="s">
        <v>6153</v>
      </c>
    </row>
    <row r="1558" spans="8:8">
      <c r="H1558" s="680" t="s">
        <v>6153</v>
      </c>
    </row>
    <row r="1559" spans="8:8">
      <c r="H1559" s="680" t="s">
        <v>6153</v>
      </c>
    </row>
    <row r="1560" spans="8:8">
      <c r="H1560" s="680" t="s">
        <v>6153</v>
      </c>
    </row>
    <row r="1561" spans="8:8">
      <c r="H1561" s="680" t="s">
        <v>6153</v>
      </c>
    </row>
    <row r="1562" spans="8:8">
      <c r="H1562" s="680" t="s">
        <v>6153</v>
      </c>
    </row>
    <row r="1563" spans="8:8">
      <c r="H1563" s="680" t="s">
        <v>6153</v>
      </c>
    </row>
    <row r="1564" spans="8:8">
      <c r="H1564" s="680" t="s">
        <v>6153</v>
      </c>
    </row>
    <row r="1565" spans="8:8">
      <c r="H1565" s="680" t="s">
        <v>6153</v>
      </c>
    </row>
    <row r="1566" spans="8:8">
      <c r="H1566" s="680" t="s">
        <v>6153</v>
      </c>
    </row>
    <row r="1567" spans="8:8">
      <c r="H1567" s="680" t="s">
        <v>6153</v>
      </c>
    </row>
    <row r="1568" spans="8:8">
      <c r="H1568" s="680" t="s">
        <v>6153</v>
      </c>
    </row>
    <row r="1569" spans="8:8">
      <c r="H1569" s="680" t="s">
        <v>6153</v>
      </c>
    </row>
    <row r="1570" spans="8:8">
      <c r="H1570" s="680" t="s">
        <v>6153</v>
      </c>
    </row>
    <row r="1571" spans="8:8">
      <c r="H1571" s="680" t="s">
        <v>6153</v>
      </c>
    </row>
    <row r="1572" spans="8:8">
      <c r="H1572" s="680" t="s">
        <v>6153</v>
      </c>
    </row>
    <row r="1573" spans="8:8">
      <c r="H1573" s="680" t="s">
        <v>6153</v>
      </c>
    </row>
    <row r="1574" spans="8:8">
      <c r="H1574" s="680" t="s">
        <v>6153</v>
      </c>
    </row>
    <row r="1575" spans="8:8">
      <c r="H1575" s="680" t="s">
        <v>6153</v>
      </c>
    </row>
    <row r="1576" spans="8:8">
      <c r="H1576" s="680" t="s">
        <v>6153</v>
      </c>
    </row>
    <row r="1577" spans="8:8">
      <c r="H1577" s="680" t="s">
        <v>6153</v>
      </c>
    </row>
    <row r="1578" spans="8:8">
      <c r="H1578" s="680" t="s">
        <v>6153</v>
      </c>
    </row>
    <row r="1579" spans="8:8">
      <c r="H1579" s="680" t="s">
        <v>6153</v>
      </c>
    </row>
    <row r="1580" spans="8:8">
      <c r="H1580" s="680" t="s">
        <v>6153</v>
      </c>
    </row>
    <row r="1581" spans="8:8">
      <c r="H1581" s="680" t="s">
        <v>6153</v>
      </c>
    </row>
    <row r="1582" spans="8:8">
      <c r="H1582" s="680" t="s">
        <v>6153</v>
      </c>
    </row>
    <row r="1583" spans="8:8">
      <c r="H1583" s="680" t="s">
        <v>6153</v>
      </c>
    </row>
    <row r="1584" spans="8:8">
      <c r="H1584" s="680" t="s">
        <v>6153</v>
      </c>
    </row>
    <row r="1585" spans="8:8">
      <c r="H1585" s="680" t="s">
        <v>6153</v>
      </c>
    </row>
    <row r="1586" spans="8:8">
      <c r="H1586" s="680" t="s">
        <v>6153</v>
      </c>
    </row>
    <row r="1587" spans="8:8">
      <c r="H1587" s="680" t="s">
        <v>6153</v>
      </c>
    </row>
    <row r="1588" spans="8:8">
      <c r="H1588" s="680" t="s">
        <v>6153</v>
      </c>
    </row>
    <row r="1589" spans="8:8">
      <c r="H1589" s="680" t="s">
        <v>6153</v>
      </c>
    </row>
    <row r="1590" spans="8:8">
      <c r="H1590" s="680" t="s">
        <v>6153</v>
      </c>
    </row>
    <row r="1591" spans="8:8">
      <c r="H1591" s="680" t="s">
        <v>6153</v>
      </c>
    </row>
    <row r="1592" spans="8:8">
      <c r="H1592" s="680" t="s">
        <v>6153</v>
      </c>
    </row>
    <row r="1593" spans="8:8">
      <c r="H1593" s="680" t="s">
        <v>6153</v>
      </c>
    </row>
    <row r="1594" spans="8:8">
      <c r="H1594" s="680" t="s">
        <v>6153</v>
      </c>
    </row>
    <row r="1595" spans="8:8">
      <c r="H1595" s="680" t="s">
        <v>6153</v>
      </c>
    </row>
    <row r="1596" spans="8:8">
      <c r="H1596" s="680" t="s">
        <v>6153</v>
      </c>
    </row>
    <row r="1597" spans="8:8">
      <c r="H1597" s="680" t="s">
        <v>6153</v>
      </c>
    </row>
    <row r="1598" spans="8:8">
      <c r="H1598" s="680" t="s">
        <v>6153</v>
      </c>
    </row>
    <row r="1599" spans="8:8">
      <c r="H1599" s="680" t="s">
        <v>6153</v>
      </c>
    </row>
    <row r="1600" spans="8:8">
      <c r="H1600" s="680" t="s">
        <v>6153</v>
      </c>
    </row>
    <row r="1601" spans="8:8">
      <c r="H1601" s="680" t="s">
        <v>6153</v>
      </c>
    </row>
    <row r="1602" spans="8:8">
      <c r="H1602" s="680" t="s">
        <v>6153</v>
      </c>
    </row>
    <row r="1603" spans="8:8">
      <c r="H1603" s="680" t="s">
        <v>6153</v>
      </c>
    </row>
    <row r="1604" spans="8:8">
      <c r="H1604" s="680" t="s">
        <v>6153</v>
      </c>
    </row>
    <row r="1605" spans="8:8">
      <c r="H1605" s="680" t="s">
        <v>6153</v>
      </c>
    </row>
    <row r="1606" spans="8:8">
      <c r="H1606" s="680" t="s">
        <v>6153</v>
      </c>
    </row>
    <row r="1607" spans="8:8">
      <c r="H1607" s="680" t="s">
        <v>6153</v>
      </c>
    </row>
    <row r="1608" spans="8:8">
      <c r="H1608" s="680" t="s">
        <v>6153</v>
      </c>
    </row>
    <row r="1609" spans="8:8">
      <c r="H1609" s="680" t="s">
        <v>6153</v>
      </c>
    </row>
    <row r="1610" spans="8:8">
      <c r="H1610" s="680" t="s">
        <v>6153</v>
      </c>
    </row>
    <row r="1611" spans="8:8">
      <c r="H1611" s="680" t="s">
        <v>6153</v>
      </c>
    </row>
    <row r="1612" spans="8:8">
      <c r="H1612" s="680" t="s">
        <v>6153</v>
      </c>
    </row>
    <row r="1613" spans="8:8">
      <c r="H1613" s="680" t="s">
        <v>6153</v>
      </c>
    </row>
    <row r="1614" spans="8:8">
      <c r="H1614" s="680" t="s">
        <v>6153</v>
      </c>
    </row>
    <row r="1615" spans="8:8">
      <c r="H1615" s="680" t="s">
        <v>6153</v>
      </c>
    </row>
    <row r="1616" spans="8:8">
      <c r="H1616" s="680" t="s">
        <v>6153</v>
      </c>
    </row>
    <row r="1617" spans="8:8">
      <c r="H1617" s="680" t="s">
        <v>6153</v>
      </c>
    </row>
    <row r="1618" spans="8:8">
      <c r="H1618" s="680" t="s">
        <v>6153</v>
      </c>
    </row>
    <row r="1619" spans="8:8">
      <c r="H1619" s="680" t="s">
        <v>6153</v>
      </c>
    </row>
    <row r="1620" spans="8:8">
      <c r="H1620" s="680" t="s">
        <v>6153</v>
      </c>
    </row>
    <row r="1621" spans="8:8">
      <c r="H1621" s="680" t="s">
        <v>6153</v>
      </c>
    </row>
    <row r="1622" spans="8:8">
      <c r="H1622" s="680" t="s">
        <v>6153</v>
      </c>
    </row>
    <row r="1623" spans="8:8">
      <c r="H1623" s="680" t="s">
        <v>6153</v>
      </c>
    </row>
    <row r="1624" spans="8:8">
      <c r="H1624" s="680" t="s">
        <v>6153</v>
      </c>
    </row>
    <row r="1625" spans="8:8">
      <c r="H1625" s="680" t="s">
        <v>6153</v>
      </c>
    </row>
    <row r="1626" spans="8:8">
      <c r="H1626" s="680" t="s">
        <v>6153</v>
      </c>
    </row>
    <row r="1627" spans="8:8">
      <c r="H1627" s="680" t="s">
        <v>6153</v>
      </c>
    </row>
    <row r="1628" spans="8:8">
      <c r="H1628" s="680" t="s">
        <v>6153</v>
      </c>
    </row>
    <row r="1629" spans="8:8">
      <c r="H1629" s="680" t="s">
        <v>6153</v>
      </c>
    </row>
    <row r="1630" spans="8:8">
      <c r="H1630" s="680" t="s">
        <v>6153</v>
      </c>
    </row>
    <row r="1631" spans="8:8">
      <c r="H1631" s="680" t="s">
        <v>6153</v>
      </c>
    </row>
    <row r="1632" spans="8:8">
      <c r="H1632" s="680" t="s">
        <v>6153</v>
      </c>
    </row>
    <row r="1633" spans="8:8">
      <c r="H1633" s="680" t="s">
        <v>6153</v>
      </c>
    </row>
    <row r="1634" spans="8:8">
      <c r="H1634" s="680" t="s">
        <v>6153</v>
      </c>
    </row>
    <row r="1635" spans="8:8">
      <c r="H1635" s="680" t="s">
        <v>6153</v>
      </c>
    </row>
    <row r="1636" spans="8:8">
      <c r="H1636" s="680" t="s">
        <v>6153</v>
      </c>
    </row>
    <row r="1637" spans="8:8">
      <c r="H1637" s="680" t="s">
        <v>6153</v>
      </c>
    </row>
    <row r="1638" spans="8:8">
      <c r="H1638" s="680" t="s">
        <v>6153</v>
      </c>
    </row>
    <row r="1639" spans="8:8">
      <c r="H1639" s="680" t="s">
        <v>6153</v>
      </c>
    </row>
    <row r="1640" spans="8:8">
      <c r="H1640" s="680" t="s">
        <v>6153</v>
      </c>
    </row>
    <row r="1641" spans="8:8">
      <c r="H1641" s="680" t="s">
        <v>6153</v>
      </c>
    </row>
    <row r="1642" spans="8:8">
      <c r="H1642" s="680" t="s">
        <v>6153</v>
      </c>
    </row>
    <row r="1643" spans="8:8">
      <c r="H1643" s="680" t="s">
        <v>6153</v>
      </c>
    </row>
    <row r="1644" spans="8:8">
      <c r="H1644" s="680" t="s">
        <v>6153</v>
      </c>
    </row>
    <row r="1645" spans="8:8">
      <c r="H1645" s="680" t="s">
        <v>6153</v>
      </c>
    </row>
    <row r="1646" spans="8:8">
      <c r="H1646" s="680" t="s">
        <v>6153</v>
      </c>
    </row>
    <row r="1647" spans="8:8">
      <c r="H1647" s="680" t="s">
        <v>6153</v>
      </c>
    </row>
    <row r="1648" spans="8:8">
      <c r="H1648" s="680" t="s">
        <v>6153</v>
      </c>
    </row>
    <row r="1649" spans="8:8">
      <c r="H1649" s="680" t="s">
        <v>6153</v>
      </c>
    </row>
    <row r="1650" spans="8:8">
      <c r="H1650" s="680" t="s">
        <v>6153</v>
      </c>
    </row>
    <row r="1651" spans="8:8">
      <c r="H1651" s="680" t="s">
        <v>6153</v>
      </c>
    </row>
    <row r="1652" spans="8:8">
      <c r="H1652" s="680" t="s">
        <v>6153</v>
      </c>
    </row>
    <row r="1653" spans="8:8">
      <c r="H1653" s="680" t="s">
        <v>6153</v>
      </c>
    </row>
    <row r="1654" spans="8:8">
      <c r="H1654" s="680" t="s">
        <v>6153</v>
      </c>
    </row>
    <row r="1655" spans="8:8">
      <c r="H1655" s="680" t="s">
        <v>6153</v>
      </c>
    </row>
    <row r="1656" spans="8:8">
      <c r="H1656" s="680" t="s">
        <v>6153</v>
      </c>
    </row>
    <row r="1657" spans="8:8">
      <c r="H1657" s="680" t="s">
        <v>6153</v>
      </c>
    </row>
    <row r="1658" spans="8:8">
      <c r="H1658" s="680" t="s">
        <v>6153</v>
      </c>
    </row>
    <row r="1659" spans="8:8">
      <c r="H1659" s="680" t="s">
        <v>6153</v>
      </c>
    </row>
    <row r="1660" spans="8:8">
      <c r="H1660" s="680" t="s">
        <v>6153</v>
      </c>
    </row>
    <row r="1661" spans="8:8">
      <c r="H1661" s="680" t="s">
        <v>6153</v>
      </c>
    </row>
    <row r="1662" spans="8:8">
      <c r="H1662" s="680" t="s">
        <v>6153</v>
      </c>
    </row>
    <row r="1663" spans="8:8">
      <c r="H1663" s="680" t="s">
        <v>6153</v>
      </c>
    </row>
    <row r="1664" spans="8:8">
      <c r="H1664" s="680" t="s">
        <v>6153</v>
      </c>
    </row>
    <row r="1665" spans="8:8">
      <c r="H1665" s="680" t="s">
        <v>6153</v>
      </c>
    </row>
    <row r="1666" spans="8:8">
      <c r="H1666" s="680" t="s">
        <v>6153</v>
      </c>
    </row>
    <row r="1667" spans="8:8">
      <c r="H1667" s="680" t="s">
        <v>6153</v>
      </c>
    </row>
    <row r="1668" spans="8:8">
      <c r="H1668" s="680" t="s">
        <v>6153</v>
      </c>
    </row>
    <row r="1669" spans="8:8">
      <c r="H1669" s="680" t="s">
        <v>6153</v>
      </c>
    </row>
    <row r="1670" spans="8:8">
      <c r="H1670" s="680" t="s">
        <v>6153</v>
      </c>
    </row>
    <row r="1671" spans="8:8">
      <c r="H1671" s="680" t="s">
        <v>6153</v>
      </c>
    </row>
    <row r="1672" spans="8:8">
      <c r="H1672" s="680" t="s">
        <v>6153</v>
      </c>
    </row>
    <row r="1673" spans="8:8">
      <c r="H1673" s="680" t="s">
        <v>6153</v>
      </c>
    </row>
    <row r="1674" spans="8:8">
      <c r="H1674" s="680" t="s">
        <v>6153</v>
      </c>
    </row>
    <row r="1675" spans="8:8">
      <c r="H1675" s="680" t="s">
        <v>6153</v>
      </c>
    </row>
    <row r="1676" spans="8:8">
      <c r="H1676" s="680" t="s">
        <v>6153</v>
      </c>
    </row>
    <row r="1677" spans="8:8">
      <c r="H1677" s="680" t="s">
        <v>6153</v>
      </c>
    </row>
    <row r="1678" spans="8:8">
      <c r="H1678" s="680" t="s">
        <v>6153</v>
      </c>
    </row>
    <row r="1679" spans="8:8">
      <c r="H1679" s="680" t="s">
        <v>6153</v>
      </c>
    </row>
    <row r="1680" spans="8:8">
      <c r="H1680" s="680" t="s">
        <v>6153</v>
      </c>
    </row>
    <row r="1681" spans="8:8">
      <c r="H1681" s="680" t="s">
        <v>6153</v>
      </c>
    </row>
    <row r="1682" spans="8:8">
      <c r="H1682" s="680" t="s">
        <v>6153</v>
      </c>
    </row>
    <row r="1683" spans="8:8">
      <c r="H1683" s="680" t="s">
        <v>6153</v>
      </c>
    </row>
    <row r="1684" spans="8:8">
      <c r="H1684" s="680" t="s">
        <v>6153</v>
      </c>
    </row>
    <row r="1685" spans="8:8">
      <c r="H1685" s="680" t="s">
        <v>6153</v>
      </c>
    </row>
    <row r="1686" spans="8:8">
      <c r="H1686" s="680" t="s">
        <v>6153</v>
      </c>
    </row>
    <row r="1687" spans="8:8">
      <c r="H1687" s="680" t="s">
        <v>6153</v>
      </c>
    </row>
    <row r="1688" spans="8:8">
      <c r="H1688" s="680" t="s">
        <v>6153</v>
      </c>
    </row>
    <row r="1689" spans="8:8">
      <c r="H1689" s="680" t="s">
        <v>6153</v>
      </c>
    </row>
    <row r="1690" spans="8:8">
      <c r="H1690" s="680" t="s">
        <v>6153</v>
      </c>
    </row>
    <row r="1691" spans="8:8">
      <c r="H1691" s="680" t="s">
        <v>6153</v>
      </c>
    </row>
    <row r="1692" spans="8:8">
      <c r="H1692" s="680" t="s">
        <v>6153</v>
      </c>
    </row>
    <row r="1693" spans="8:8">
      <c r="H1693" s="680" t="s">
        <v>6153</v>
      </c>
    </row>
    <row r="1694" spans="8:8">
      <c r="H1694" s="680" t="s">
        <v>6153</v>
      </c>
    </row>
    <row r="1695" spans="8:8">
      <c r="H1695" s="680" t="s">
        <v>6153</v>
      </c>
    </row>
    <row r="1696" spans="8:8">
      <c r="H1696" s="680" t="s">
        <v>6153</v>
      </c>
    </row>
    <row r="1697" spans="8:8">
      <c r="H1697" s="680" t="s">
        <v>6153</v>
      </c>
    </row>
    <row r="1698" spans="8:8">
      <c r="H1698" s="680" t="s">
        <v>6153</v>
      </c>
    </row>
    <row r="1699" spans="8:8">
      <c r="H1699" s="680" t="s">
        <v>6153</v>
      </c>
    </row>
    <row r="1700" spans="8:8">
      <c r="H1700" s="680" t="s">
        <v>6153</v>
      </c>
    </row>
    <row r="1701" spans="8:8">
      <c r="H1701" s="680" t="s">
        <v>6153</v>
      </c>
    </row>
    <row r="1702" spans="8:8">
      <c r="H1702" s="680" t="s">
        <v>6153</v>
      </c>
    </row>
    <row r="1703" spans="8:8">
      <c r="H1703" s="680" t="s">
        <v>6153</v>
      </c>
    </row>
    <row r="1704" spans="8:8">
      <c r="H1704" s="680" t="s">
        <v>6153</v>
      </c>
    </row>
    <row r="1705" spans="8:8">
      <c r="H1705" s="680" t="s">
        <v>6153</v>
      </c>
    </row>
    <row r="1706" spans="8:8">
      <c r="H1706" s="680" t="s">
        <v>6153</v>
      </c>
    </row>
    <row r="1707" spans="8:8">
      <c r="H1707" s="680" t="s">
        <v>6153</v>
      </c>
    </row>
    <row r="1708" spans="8:8">
      <c r="H1708" s="680" t="s">
        <v>6153</v>
      </c>
    </row>
    <row r="1709" spans="8:8">
      <c r="H1709" s="680" t="s">
        <v>6153</v>
      </c>
    </row>
    <row r="1710" spans="8:8">
      <c r="H1710" s="680" t="s">
        <v>6153</v>
      </c>
    </row>
    <row r="1711" spans="8:8">
      <c r="H1711" s="680" t="s">
        <v>6153</v>
      </c>
    </row>
    <row r="1712" spans="8:8">
      <c r="H1712" s="680" t="s">
        <v>6153</v>
      </c>
    </row>
    <row r="1713" spans="8:8">
      <c r="H1713" s="680" t="s">
        <v>6153</v>
      </c>
    </row>
    <row r="1714" spans="8:8">
      <c r="H1714" s="680" t="s">
        <v>6153</v>
      </c>
    </row>
    <row r="1715" spans="8:8">
      <c r="H1715" s="680" t="s">
        <v>6153</v>
      </c>
    </row>
    <row r="1716" spans="8:8">
      <c r="H1716" s="680" t="s">
        <v>6153</v>
      </c>
    </row>
    <row r="1717" spans="8:8">
      <c r="H1717" s="680" t="s">
        <v>6153</v>
      </c>
    </row>
    <row r="1718" spans="8:8">
      <c r="H1718" s="680" t="s">
        <v>6153</v>
      </c>
    </row>
    <row r="1719" spans="8:8">
      <c r="H1719" s="680" t="s">
        <v>6153</v>
      </c>
    </row>
    <row r="1720" spans="8:8">
      <c r="H1720" s="680" t="s">
        <v>6153</v>
      </c>
    </row>
    <row r="1721" spans="8:8">
      <c r="H1721" s="680" t="s">
        <v>6153</v>
      </c>
    </row>
    <row r="1722" spans="8:8">
      <c r="H1722" s="680" t="s">
        <v>6153</v>
      </c>
    </row>
    <row r="1723" spans="8:8">
      <c r="H1723" s="680" t="s">
        <v>6153</v>
      </c>
    </row>
    <row r="1724" spans="8:8">
      <c r="H1724" s="680" t="s">
        <v>6153</v>
      </c>
    </row>
    <row r="1725" spans="8:8">
      <c r="H1725" s="680" t="s">
        <v>6153</v>
      </c>
    </row>
    <row r="1726" spans="8:8">
      <c r="H1726" s="680" t="s">
        <v>6153</v>
      </c>
    </row>
    <row r="1727" spans="8:8">
      <c r="H1727" s="680" t="s">
        <v>6153</v>
      </c>
    </row>
    <row r="1728" spans="8:8">
      <c r="H1728" s="680" t="s">
        <v>6153</v>
      </c>
    </row>
    <row r="1729" spans="8:8">
      <c r="H1729" s="680" t="s">
        <v>6153</v>
      </c>
    </row>
    <row r="1730" spans="8:8">
      <c r="H1730" s="680" t="s">
        <v>6153</v>
      </c>
    </row>
    <row r="1731" spans="8:8">
      <c r="H1731" s="680" t="s">
        <v>6153</v>
      </c>
    </row>
    <row r="1732" spans="8:8">
      <c r="H1732" s="680" t="s">
        <v>6153</v>
      </c>
    </row>
    <row r="1733" spans="8:8">
      <c r="H1733" s="680" t="s">
        <v>6153</v>
      </c>
    </row>
    <row r="1734" spans="8:8">
      <c r="H1734" s="680" t="s">
        <v>6153</v>
      </c>
    </row>
    <row r="1735" spans="8:8">
      <c r="H1735" s="680" t="s">
        <v>6153</v>
      </c>
    </row>
    <row r="1736" spans="8:8">
      <c r="H1736" s="680" t="s">
        <v>6153</v>
      </c>
    </row>
    <row r="1737" spans="8:8">
      <c r="H1737" s="680" t="s">
        <v>6153</v>
      </c>
    </row>
    <row r="1738" spans="8:8">
      <c r="H1738" s="680" t="s">
        <v>6153</v>
      </c>
    </row>
    <row r="1739" spans="8:8">
      <c r="H1739" s="680" t="s">
        <v>6153</v>
      </c>
    </row>
    <row r="1740" spans="8:8">
      <c r="H1740" s="680" t="s">
        <v>6153</v>
      </c>
    </row>
    <row r="1741" spans="8:8">
      <c r="H1741" s="680" t="s">
        <v>6153</v>
      </c>
    </row>
    <row r="1742" spans="8:8">
      <c r="H1742" s="680" t="s">
        <v>6153</v>
      </c>
    </row>
    <row r="1743" spans="8:8">
      <c r="H1743" s="680" t="s">
        <v>6153</v>
      </c>
    </row>
    <row r="1744" spans="8:8">
      <c r="H1744" s="680" t="s">
        <v>6153</v>
      </c>
    </row>
    <row r="1745" spans="8:8">
      <c r="H1745" s="680" t="s">
        <v>6153</v>
      </c>
    </row>
    <row r="1746" spans="8:8">
      <c r="H1746" s="680" t="s">
        <v>6153</v>
      </c>
    </row>
    <row r="1747" spans="8:8">
      <c r="H1747" s="680" t="s">
        <v>6153</v>
      </c>
    </row>
    <row r="1748" spans="8:8">
      <c r="H1748" s="680" t="s">
        <v>6153</v>
      </c>
    </row>
    <row r="1749" spans="8:8">
      <c r="H1749" s="680" t="s">
        <v>6153</v>
      </c>
    </row>
    <row r="1750" spans="8:8">
      <c r="H1750" s="680" t="s">
        <v>6153</v>
      </c>
    </row>
    <row r="1751" spans="8:8">
      <c r="H1751" s="680" t="s">
        <v>6153</v>
      </c>
    </row>
    <row r="1752" spans="8:8">
      <c r="H1752" s="680" t="s">
        <v>6153</v>
      </c>
    </row>
    <row r="1753" spans="8:8">
      <c r="H1753" s="680" t="s">
        <v>6153</v>
      </c>
    </row>
    <row r="1754" spans="8:8">
      <c r="H1754" s="680" t="s">
        <v>6153</v>
      </c>
    </row>
    <row r="1755" spans="8:8">
      <c r="H1755" s="680" t="s">
        <v>6153</v>
      </c>
    </row>
    <row r="1756" spans="8:8">
      <c r="H1756" s="680" t="s">
        <v>6153</v>
      </c>
    </row>
    <row r="1757" spans="8:8">
      <c r="H1757" s="680" t="s">
        <v>6153</v>
      </c>
    </row>
    <row r="1758" spans="8:8">
      <c r="H1758" s="680" t="s">
        <v>6153</v>
      </c>
    </row>
    <row r="1759" spans="8:8">
      <c r="H1759" s="680" t="s">
        <v>6153</v>
      </c>
    </row>
    <row r="1760" spans="8:8">
      <c r="H1760" s="680" t="s">
        <v>6153</v>
      </c>
    </row>
    <row r="1761" spans="8:8">
      <c r="H1761" s="680" t="s">
        <v>6153</v>
      </c>
    </row>
    <row r="1762" spans="8:8">
      <c r="H1762" s="680" t="s">
        <v>6153</v>
      </c>
    </row>
    <row r="1763" spans="8:8">
      <c r="H1763" s="680" t="s">
        <v>6153</v>
      </c>
    </row>
    <row r="1764" spans="8:8">
      <c r="H1764" s="680" t="s">
        <v>6153</v>
      </c>
    </row>
    <row r="1765" spans="8:8">
      <c r="H1765" s="680" t="s">
        <v>6153</v>
      </c>
    </row>
    <row r="1766" spans="8:8">
      <c r="H1766" s="680" t="s">
        <v>6153</v>
      </c>
    </row>
    <row r="1767" spans="8:8">
      <c r="H1767" s="680" t="s">
        <v>6153</v>
      </c>
    </row>
    <row r="1768" spans="8:8">
      <c r="H1768" s="680" t="s">
        <v>6153</v>
      </c>
    </row>
    <row r="1769" spans="8:8">
      <c r="H1769" s="680" t="s">
        <v>6153</v>
      </c>
    </row>
    <row r="1770" spans="8:8">
      <c r="H1770" s="680" t="s">
        <v>6153</v>
      </c>
    </row>
    <row r="1771" spans="8:8">
      <c r="H1771" s="680" t="s">
        <v>6153</v>
      </c>
    </row>
    <row r="1772" spans="8:8">
      <c r="H1772" s="680" t="s">
        <v>6153</v>
      </c>
    </row>
    <row r="1773" spans="8:8">
      <c r="H1773" s="680" t="s">
        <v>6153</v>
      </c>
    </row>
    <row r="1774" spans="8:8">
      <c r="H1774" s="680" t="s">
        <v>6153</v>
      </c>
    </row>
    <row r="1775" spans="8:8">
      <c r="H1775" s="680" t="s">
        <v>6153</v>
      </c>
    </row>
    <row r="1776" spans="8:8">
      <c r="H1776" s="680" t="s">
        <v>6153</v>
      </c>
    </row>
    <row r="1777" spans="8:8">
      <c r="H1777" s="680" t="s">
        <v>6153</v>
      </c>
    </row>
    <row r="1778" spans="8:8">
      <c r="H1778" s="680" t="s">
        <v>6153</v>
      </c>
    </row>
    <row r="1779" spans="8:8">
      <c r="H1779" s="680" t="s">
        <v>6153</v>
      </c>
    </row>
    <row r="1780" spans="8:8">
      <c r="H1780" s="680" t="s">
        <v>6153</v>
      </c>
    </row>
    <row r="1781" spans="8:8">
      <c r="H1781" s="680" t="s">
        <v>6153</v>
      </c>
    </row>
    <row r="1782" spans="8:8">
      <c r="H1782" s="680" t="s">
        <v>6153</v>
      </c>
    </row>
    <row r="1783" spans="8:8">
      <c r="H1783" s="680" t="s">
        <v>6153</v>
      </c>
    </row>
    <row r="1784" spans="8:8">
      <c r="H1784" s="680" t="s">
        <v>6153</v>
      </c>
    </row>
    <row r="1785" spans="8:8">
      <c r="H1785" s="680" t="s">
        <v>6153</v>
      </c>
    </row>
    <row r="1786" spans="8:8">
      <c r="H1786" s="680" t="s">
        <v>6153</v>
      </c>
    </row>
    <row r="1787" spans="8:8">
      <c r="H1787" s="680" t="s">
        <v>6153</v>
      </c>
    </row>
    <row r="1788" spans="8:8">
      <c r="H1788" s="680" t="s">
        <v>6153</v>
      </c>
    </row>
    <row r="1789" spans="8:8">
      <c r="H1789" s="680" t="s">
        <v>6153</v>
      </c>
    </row>
    <row r="1790" spans="8:8">
      <c r="H1790" s="680" t="s">
        <v>6153</v>
      </c>
    </row>
    <row r="1791" spans="8:8">
      <c r="H1791" s="680" t="s">
        <v>6153</v>
      </c>
    </row>
    <row r="1792" spans="8:8">
      <c r="H1792" s="680" t="s">
        <v>6153</v>
      </c>
    </row>
    <row r="1793" spans="8:8">
      <c r="H1793" s="680" t="s">
        <v>6153</v>
      </c>
    </row>
    <row r="1794" spans="8:8">
      <c r="H1794" s="680" t="s">
        <v>6153</v>
      </c>
    </row>
    <row r="1795" spans="8:8">
      <c r="H1795" s="680" t="s">
        <v>6153</v>
      </c>
    </row>
    <row r="1796" spans="8:8">
      <c r="H1796" s="680" t="s">
        <v>6153</v>
      </c>
    </row>
    <row r="1797" spans="8:8">
      <c r="H1797" s="680" t="s">
        <v>6153</v>
      </c>
    </row>
    <row r="1798" spans="8:8">
      <c r="H1798" s="680" t="s">
        <v>6153</v>
      </c>
    </row>
    <row r="1799" spans="8:8">
      <c r="H1799" s="680" t="s">
        <v>6153</v>
      </c>
    </row>
    <row r="1800" spans="8:8">
      <c r="H1800" s="680" t="s">
        <v>6153</v>
      </c>
    </row>
    <row r="1801" spans="8:8">
      <c r="H1801" s="680" t="s">
        <v>6153</v>
      </c>
    </row>
    <row r="1802" spans="8:8">
      <c r="H1802" s="680" t="s">
        <v>6153</v>
      </c>
    </row>
    <row r="1803" spans="8:8">
      <c r="H1803" s="680" t="s">
        <v>6153</v>
      </c>
    </row>
    <row r="1804" spans="8:8">
      <c r="H1804" s="680" t="s">
        <v>6153</v>
      </c>
    </row>
    <row r="1805" spans="8:8">
      <c r="H1805" s="680" t="s">
        <v>6153</v>
      </c>
    </row>
    <row r="1806" spans="8:8">
      <c r="H1806" s="680" t="s">
        <v>6153</v>
      </c>
    </row>
    <row r="1807" spans="8:8">
      <c r="H1807" s="680" t="s">
        <v>6153</v>
      </c>
    </row>
    <row r="1808" spans="8:8">
      <c r="H1808" s="680" t="s">
        <v>6153</v>
      </c>
    </row>
    <row r="1809" spans="8:8">
      <c r="H1809" s="680" t="s">
        <v>6153</v>
      </c>
    </row>
    <row r="1810" spans="8:8">
      <c r="H1810" s="680" t="s">
        <v>6153</v>
      </c>
    </row>
    <row r="1811" spans="8:8">
      <c r="H1811" s="680" t="s">
        <v>6153</v>
      </c>
    </row>
    <row r="1812" spans="8:8">
      <c r="H1812" s="680" t="s">
        <v>6153</v>
      </c>
    </row>
    <row r="1813" spans="8:8">
      <c r="H1813" s="680" t="s">
        <v>6153</v>
      </c>
    </row>
    <row r="1814" spans="8:8">
      <c r="H1814" s="680" t="s">
        <v>6153</v>
      </c>
    </row>
    <row r="1815" spans="8:8">
      <c r="H1815" s="680" t="s">
        <v>6153</v>
      </c>
    </row>
    <row r="1816" spans="8:8">
      <c r="H1816" s="680" t="s">
        <v>6153</v>
      </c>
    </row>
    <row r="1817" spans="8:8">
      <c r="H1817" s="680" t="s">
        <v>6153</v>
      </c>
    </row>
    <row r="1818" spans="8:8">
      <c r="H1818" s="680" t="s">
        <v>6153</v>
      </c>
    </row>
    <row r="1819" spans="8:8">
      <c r="H1819" s="680" t="s">
        <v>6153</v>
      </c>
    </row>
    <row r="1820" spans="8:8">
      <c r="H1820" s="680" t="s">
        <v>6153</v>
      </c>
    </row>
    <row r="1821" spans="8:8">
      <c r="H1821" s="680" t="s">
        <v>6153</v>
      </c>
    </row>
    <row r="1822" spans="8:8">
      <c r="H1822" s="680" t="s">
        <v>6153</v>
      </c>
    </row>
    <row r="1823" spans="8:8">
      <c r="H1823" s="680" t="s">
        <v>6153</v>
      </c>
    </row>
    <row r="1824" spans="8:8">
      <c r="H1824" s="680" t="s">
        <v>6153</v>
      </c>
    </row>
    <row r="1825" spans="8:8">
      <c r="H1825" s="680" t="s">
        <v>6153</v>
      </c>
    </row>
    <row r="1826" spans="8:8">
      <c r="H1826" s="680" t="s">
        <v>6153</v>
      </c>
    </row>
    <row r="1827" spans="8:8">
      <c r="H1827" s="680" t="s">
        <v>6153</v>
      </c>
    </row>
    <row r="1828" spans="8:8">
      <c r="H1828" s="680" t="s">
        <v>6153</v>
      </c>
    </row>
    <row r="1829" spans="8:8">
      <c r="H1829" s="680" t="s">
        <v>6153</v>
      </c>
    </row>
    <row r="1830" spans="8:8">
      <c r="H1830" s="680" t="s">
        <v>6153</v>
      </c>
    </row>
    <row r="1831" spans="8:8">
      <c r="H1831" s="680" t="s">
        <v>6153</v>
      </c>
    </row>
    <row r="1832" spans="8:8">
      <c r="H1832" s="680" t="s">
        <v>6153</v>
      </c>
    </row>
    <row r="1833" spans="8:8">
      <c r="H1833" s="680" t="s">
        <v>6153</v>
      </c>
    </row>
    <row r="1834" spans="8:8">
      <c r="H1834" s="680" t="s">
        <v>6153</v>
      </c>
    </row>
    <row r="1835" spans="8:8">
      <c r="H1835" s="680" t="s">
        <v>6153</v>
      </c>
    </row>
    <row r="1836" spans="8:8">
      <c r="H1836" s="680" t="s">
        <v>6153</v>
      </c>
    </row>
    <row r="1837" spans="8:8">
      <c r="H1837" s="680" t="s">
        <v>6153</v>
      </c>
    </row>
    <row r="1838" spans="8:8">
      <c r="H1838" s="680" t="s">
        <v>6153</v>
      </c>
    </row>
    <row r="1839" spans="8:8">
      <c r="H1839" s="680" t="s">
        <v>6153</v>
      </c>
    </row>
    <row r="1840" spans="8:8">
      <c r="H1840" s="680" t="s">
        <v>6153</v>
      </c>
    </row>
    <row r="1841" spans="8:8">
      <c r="H1841" s="680" t="s">
        <v>6153</v>
      </c>
    </row>
    <row r="1842" spans="8:8">
      <c r="H1842" s="680" t="s">
        <v>6153</v>
      </c>
    </row>
    <row r="1843" spans="8:8">
      <c r="H1843" s="680" t="s">
        <v>6153</v>
      </c>
    </row>
    <row r="1844" spans="8:8">
      <c r="H1844" s="680" t="s">
        <v>6153</v>
      </c>
    </row>
    <row r="1845" spans="8:8">
      <c r="H1845" s="680" t="s">
        <v>6153</v>
      </c>
    </row>
    <row r="1846" spans="8:8">
      <c r="H1846" s="680" t="s">
        <v>6153</v>
      </c>
    </row>
    <row r="1847" spans="8:8">
      <c r="H1847" s="680" t="s">
        <v>6153</v>
      </c>
    </row>
    <row r="1848" spans="8:8">
      <c r="H1848" s="680" t="s">
        <v>6153</v>
      </c>
    </row>
    <row r="1849" spans="8:8">
      <c r="H1849" s="680" t="s">
        <v>6153</v>
      </c>
    </row>
    <row r="1850" spans="8:8">
      <c r="H1850" s="680" t="s">
        <v>6153</v>
      </c>
    </row>
    <row r="1851" spans="8:8">
      <c r="H1851" s="680" t="s">
        <v>6153</v>
      </c>
    </row>
    <row r="1852" spans="8:8">
      <c r="H1852" s="680" t="s">
        <v>6153</v>
      </c>
    </row>
    <row r="1853" spans="8:8">
      <c r="H1853" s="680" t="s">
        <v>6153</v>
      </c>
    </row>
    <row r="1854" spans="8:8">
      <c r="H1854" s="680" t="s">
        <v>6153</v>
      </c>
    </row>
    <row r="1855" spans="8:8">
      <c r="H1855" s="680" t="s">
        <v>6153</v>
      </c>
    </row>
    <row r="1856" spans="8:8">
      <c r="H1856" s="680" t="s">
        <v>6153</v>
      </c>
    </row>
    <row r="1857" spans="8:8">
      <c r="H1857" s="680" t="s">
        <v>6153</v>
      </c>
    </row>
    <row r="1858" spans="8:8">
      <c r="H1858" s="680" t="s">
        <v>6153</v>
      </c>
    </row>
    <row r="1859" spans="8:8">
      <c r="H1859" s="680" t="s">
        <v>6153</v>
      </c>
    </row>
    <row r="1860" spans="8:8">
      <c r="H1860" s="680" t="s">
        <v>6153</v>
      </c>
    </row>
    <row r="1861" spans="8:8">
      <c r="H1861" s="680" t="s">
        <v>6153</v>
      </c>
    </row>
    <row r="1862" spans="8:8">
      <c r="H1862" s="680" t="s">
        <v>6153</v>
      </c>
    </row>
    <row r="1863" spans="8:8">
      <c r="H1863" s="680" t="s">
        <v>6153</v>
      </c>
    </row>
    <row r="1864" spans="8:8">
      <c r="H1864" s="680" t="s">
        <v>6153</v>
      </c>
    </row>
    <row r="1865" spans="8:8">
      <c r="H1865" s="680" t="s">
        <v>6153</v>
      </c>
    </row>
    <row r="1866" spans="8:8">
      <c r="H1866" s="680" t="s">
        <v>6153</v>
      </c>
    </row>
    <row r="1867" spans="8:8">
      <c r="H1867" s="680" t="s">
        <v>6153</v>
      </c>
    </row>
    <row r="1868" spans="8:8">
      <c r="H1868" s="680" t="s">
        <v>6153</v>
      </c>
    </row>
    <row r="1869" spans="8:8">
      <c r="H1869" s="680" t="s">
        <v>6153</v>
      </c>
    </row>
    <row r="1870" spans="8:8">
      <c r="H1870" s="680" t="s">
        <v>6153</v>
      </c>
    </row>
    <row r="1871" spans="8:8">
      <c r="H1871" s="680" t="s">
        <v>6153</v>
      </c>
    </row>
    <row r="1872" spans="8:8">
      <c r="H1872" s="680" t="s">
        <v>6153</v>
      </c>
    </row>
    <row r="1873" spans="8:8">
      <c r="H1873" s="680" t="s">
        <v>6153</v>
      </c>
    </row>
    <row r="1874" spans="8:8">
      <c r="H1874" s="680" t="s">
        <v>6153</v>
      </c>
    </row>
    <row r="1875" spans="8:8">
      <c r="H1875" s="680" t="s">
        <v>6153</v>
      </c>
    </row>
    <row r="1876" spans="8:8">
      <c r="H1876" s="680" t="s">
        <v>6153</v>
      </c>
    </row>
    <row r="1877" spans="8:8">
      <c r="H1877" s="680" t="s">
        <v>6153</v>
      </c>
    </row>
    <row r="1878" spans="8:8">
      <c r="H1878" s="680" t="s">
        <v>6153</v>
      </c>
    </row>
    <row r="1879" spans="8:8">
      <c r="H1879" s="680" t="s">
        <v>6153</v>
      </c>
    </row>
    <row r="1880" spans="8:8">
      <c r="H1880" s="680" t="s">
        <v>6153</v>
      </c>
    </row>
    <row r="1881" spans="8:8">
      <c r="H1881" s="680" t="s">
        <v>6153</v>
      </c>
    </row>
    <row r="1882" spans="8:8">
      <c r="H1882" s="680" t="s">
        <v>6153</v>
      </c>
    </row>
    <row r="1883" spans="8:8">
      <c r="H1883" s="680" t="s">
        <v>6153</v>
      </c>
    </row>
    <row r="1884" spans="8:8">
      <c r="H1884" s="680" t="s">
        <v>6153</v>
      </c>
    </row>
    <row r="1885" spans="8:8">
      <c r="H1885" s="680" t="s">
        <v>6153</v>
      </c>
    </row>
    <row r="1886" spans="8:8">
      <c r="H1886" s="680" t="s">
        <v>6153</v>
      </c>
    </row>
    <row r="1887" spans="8:8">
      <c r="H1887" s="680" t="s">
        <v>6153</v>
      </c>
    </row>
    <row r="1888" spans="8:8">
      <c r="H1888" s="680" t="s">
        <v>6153</v>
      </c>
    </row>
    <row r="1889" spans="8:8">
      <c r="H1889" s="680" t="s">
        <v>6153</v>
      </c>
    </row>
    <row r="1890" spans="8:8">
      <c r="H1890" s="680" t="s">
        <v>6153</v>
      </c>
    </row>
    <row r="1891" spans="8:8">
      <c r="H1891" s="680" t="s">
        <v>6153</v>
      </c>
    </row>
    <row r="1892" spans="8:8">
      <c r="H1892" s="680" t="s">
        <v>6153</v>
      </c>
    </row>
    <row r="1893" spans="8:8">
      <c r="H1893" s="680" t="s">
        <v>6153</v>
      </c>
    </row>
    <row r="1894" spans="8:8">
      <c r="H1894" s="680" t="s">
        <v>6153</v>
      </c>
    </row>
    <row r="1895" spans="8:8">
      <c r="H1895" s="680" t="s">
        <v>6153</v>
      </c>
    </row>
    <row r="1896" spans="8:8">
      <c r="H1896" s="680" t="s">
        <v>6153</v>
      </c>
    </row>
    <row r="1897" spans="8:8">
      <c r="H1897" s="680" t="s">
        <v>6153</v>
      </c>
    </row>
    <row r="1898" spans="8:8">
      <c r="H1898" s="680" t="s">
        <v>6153</v>
      </c>
    </row>
    <row r="1899" spans="8:8">
      <c r="H1899" s="680" t="s">
        <v>6153</v>
      </c>
    </row>
    <row r="1900" spans="8:8">
      <c r="H1900" s="680" t="s">
        <v>6153</v>
      </c>
    </row>
    <row r="1901" spans="8:8">
      <c r="H1901" s="680" t="s">
        <v>6153</v>
      </c>
    </row>
    <row r="1902" spans="8:8">
      <c r="H1902" s="680" t="s">
        <v>6153</v>
      </c>
    </row>
    <row r="1903" spans="8:8">
      <c r="H1903" s="680" t="s">
        <v>6153</v>
      </c>
    </row>
    <row r="1904" spans="8:8">
      <c r="H1904" s="680" t="s">
        <v>6153</v>
      </c>
    </row>
    <row r="1905" spans="8:8">
      <c r="H1905" s="680" t="s">
        <v>6153</v>
      </c>
    </row>
    <row r="1906" spans="8:8">
      <c r="H1906" s="680" t="s">
        <v>6153</v>
      </c>
    </row>
    <row r="1907" spans="8:8">
      <c r="H1907" s="680" t="s">
        <v>6153</v>
      </c>
    </row>
    <row r="1908" spans="8:8">
      <c r="H1908" s="680" t="s">
        <v>6153</v>
      </c>
    </row>
    <row r="1909" spans="8:8">
      <c r="H1909" s="680" t="s">
        <v>6153</v>
      </c>
    </row>
    <row r="1910" spans="8:8">
      <c r="H1910" s="680" t="s">
        <v>6153</v>
      </c>
    </row>
    <row r="1911" spans="8:8">
      <c r="H1911" s="680" t="s">
        <v>6153</v>
      </c>
    </row>
    <row r="1912" spans="8:8">
      <c r="H1912" s="680" t="s">
        <v>6153</v>
      </c>
    </row>
    <row r="1913" spans="8:8">
      <c r="H1913" s="680" t="s">
        <v>6153</v>
      </c>
    </row>
    <row r="1914" spans="8:8">
      <c r="H1914" s="680" t="s">
        <v>6153</v>
      </c>
    </row>
    <row r="1915" spans="8:8">
      <c r="H1915" s="680" t="s">
        <v>6153</v>
      </c>
    </row>
    <row r="1916" spans="8:8">
      <c r="H1916" s="680" t="s">
        <v>6153</v>
      </c>
    </row>
    <row r="1917" spans="8:8">
      <c r="H1917" s="680" t="s">
        <v>6153</v>
      </c>
    </row>
    <row r="1918" spans="8:8">
      <c r="H1918" s="680" t="s">
        <v>6153</v>
      </c>
    </row>
    <row r="1919" spans="8:8">
      <c r="H1919" s="680" t="s">
        <v>6153</v>
      </c>
    </row>
    <row r="1920" spans="8:8">
      <c r="H1920" s="680" t="s">
        <v>6153</v>
      </c>
    </row>
    <row r="1921" spans="8:8">
      <c r="H1921" s="680" t="s">
        <v>6153</v>
      </c>
    </row>
    <row r="1922" spans="8:8">
      <c r="H1922" s="680" t="s">
        <v>6153</v>
      </c>
    </row>
    <row r="1923" spans="8:8">
      <c r="H1923" s="680" t="s">
        <v>6153</v>
      </c>
    </row>
    <row r="1924" spans="8:8">
      <c r="H1924" s="680" t="s">
        <v>6153</v>
      </c>
    </row>
    <row r="1925" spans="8:8">
      <c r="H1925" s="680" t="s">
        <v>6153</v>
      </c>
    </row>
    <row r="1926" spans="8:8">
      <c r="H1926" s="680" t="s">
        <v>6153</v>
      </c>
    </row>
    <row r="1927" spans="8:8">
      <c r="H1927" s="680" t="s">
        <v>6153</v>
      </c>
    </row>
    <row r="1928" spans="8:8">
      <c r="H1928" s="680" t="s">
        <v>6153</v>
      </c>
    </row>
    <row r="1929" spans="8:8">
      <c r="H1929" s="680" t="s">
        <v>6153</v>
      </c>
    </row>
    <row r="1930" spans="8:8">
      <c r="H1930" s="680" t="s">
        <v>6153</v>
      </c>
    </row>
    <row r="1931" spans="8:8">
      <c r="H1931" s="680" t="s">
        <v>6153</v>
      </c>
    </row>
    <row r="1932" spans="8:8">
      <c r="H1932" s="680" t="s">
        <v>6153</v>
      </c>
    </row>
    <row r="1933" spans="8:8">
      <c r="H1933" s="680" t="s">
        <v>6153</v>
      </c>
    </row>
    <row r="1934" spans="8:8">
      <c r="H1934" s="680" t="s">
        <v>6153</v>
      </c>
    </row>
    <row r="1935" spans="8:8">
      <c r="H1935" s="680" t="s">
        <v>6153</v>
      </c>
    </row>
    <row r="1936" spans="8:8">
      <c r="H1936" s="680" t="s">
        <v>6153</v>
      </c>
    </row>
    <row r="1937" spans="8:8">
      <c r="H1937" s="680" t="s">
        <v>6153</v>
      </c>
    </row>
    <row r="1938" spans="8:8">
      <c r="H1938" s="680" t="s">
        <v>6153</v>
      </c>
    </row>
    <row r="1939" spans="8:8">
      <c r="H1939" s="680" t="s">
        <v>6153</v>
      </c>
    </row>
    <row r="1940" spans="8:8">
      <c r="H1940" s="680" t="s">
        <v>6153</v>
      </c>
    </row>
    <row r="1941" spans="8:8">
      <c r="H1941" s="680" t="s">
        <v>6153</v>
      </c>
    </row>
    <row r="1942" spans="8:8">
      <c r="H1942" s="680" t="s">
        <v>6153</v>
      </c>
    </row>
    <row r="1943" spans="8:8">
      <c r="H1943" s="680" t="s">
        <v>6153</v>
      </c>
    </row>
    <row r="1944" spans="8:8">
      <c r="H1944" s="680" t="s">
        <v>6153</v>
      </c>
    </row>
    <row r="1945" spans="8:8">
      <c r="H1945" s="680" t="s">
        <v>6153</v>
      </c>
    </row>
    <row r="1946" spans="8:8">
      <c r="H1946" s="680" t="s">
        <v>6153</v>
      </c>
    </row>
    <row r="1947" spans="8:8">
      <c r="H1947" s="680" t="s">
        <v>6153</v>
      </c>
    </row>
    <row r="1948" spans="8:8">
      <c r="H1948" s="680" t="s">
        <v>6153</v>
      </c>
    </row>
    <row r="1949" spans="8:8">
      <c r="H1949" s="680" t="s">
        <v>6153</v>
      </c>
    </row>
    <row r="1950" spans="8:8">
      <c r="H1950" s="680" t="s">
        <v>6153</v>
      </c>
    </row>
    <row r="1951" spans="8:8">
      <c r="H1951" s="680" t="s">
        <v>6153</v>
      </c>
    </row>
    <row r="1952" spans="8:8">
      <c r="H1952" s="680" t="s">
        <v>6153</v>
      </c>
    </row>
    <row r="1953" spans="8:8">
      <c r="H1953" s="680" t="s">
        <v>6153</v>
      </c>
    </row>
    <row r="1954" spans="8:8">
      <c r="H1954" s="680" t="s">
        <v>6153</v>
      </c>
    </row>
    <row r="1955" spans="8:8">
      <c r="H1955" s="680" t="s">
        <v>6153</v>
      </c>
    </row>
    <row r="1956" spans="8:8">
      <c r="H1956" s="680" t="s">
        <v>6153</v>
      </c>
    </row>
    <row r="1957" spans="8:8">
      <c r="H1957" s="680" t="s">
        <v>6153</v>
      </c>
    </row>
    <row r="1958" spans="8:8">
      <c r="H1958" s="680" t="s">
        <v>6153</v>
      </c>
    </row>
    <row r="1959" spans="8:8">
      <c r="H1959" s="680" t="s">
        <v>6153</v>
      </c>
    </row>
    <row r="1960" spans="8:8">
      <c r="H1960" s="680" t="s">
        <v>6153</v>
      </c>
    </row>
    <row r="1961" spans="8:8">
      <c r="H1961" s="680" t="s">
        <v>6153</v>
      </c>
    </row>
    <row r="1962" spans="8:8">
      <c r="H1962" s="680" t="s">
        <v>6153</v>
      </c>
    </row>
    <row r="1963" spans="8:8">
      <c r="H1963" s="680" t="s">
        <v>6153</v>
      </c>
    </row>
    <row r="1964" spans="8:8">
      <c r="H1964" s="680" t="s">
        <v>6153</v>
      </c>
    </row>
    <row r="1965" spans="8:8">
      <c r="H1965" s="680" t="s">
        <v>6153</v>
      </c>
    </row>
    <row r="1966" spans="8:8">
      <c r="H1966" s="680" t="s">
        <v>6153</v>
      </c>
    </row>
    <row r="1967" spans="8:8">
      <c r="H1967" s="680" t="s">
        <v>6153</v>
      </c>
    </row>
    <row r="1968" spans="8:8">
      <c r="H1968" s="680" t="s">
        <v>6153</v>
      </c>
    </row>
    <row r="1969" spans="8:8">
      <c r="H1969" s="680" t="s">
        <v>6153</v>
      </c>
    </row>
    <row r="1970" spans="8:8">
      <c r="H1970" s="680" t="s">
        <v>6153</v>
      </c>
    </row>
    <row r="1971" spans="8:8">
      <c r="H1971" s="680" t="s">
        <v>6153</v>
      </c>
    </row>
    <row r="1972" spans="8:8">
      <c r="H1972" s="680" t="s">
        <v>6153</v>
      </c>
    </row>
    <row r="1973" spans="8:8">
      <c r="H1973" s="680" t="s">
        <v>6153</v>
      </c>
    </row>
    <row r="1974" spans="8:8">
      <c r="H1974" s="680" t="s">
        <v>6153</v>
      </c>
    </row>
    <row r="1975" spans="8:8">
      <c r="H1975" s="680" t="s">
        <v>6153</v>
      </c>
    </row>
    <row r="1976" spans="8:8">
      <c r="H1976" s="680" t="s">
        <v>6153</v>
      </c>
    </row>
    <row r="1977" spans="8:8">
      <c r="H1977" s="680" t="s">
        <v>6153</v>
      </c>
    </row>
    <row r="1978" spans="8:8">
      <c r="H1978" s="680" t="s">
        <v>6153</v>
      </c>
    </row>
    <row r="1979" spans="8:8">
      <c r="H1979" s="680" t="s">
        <v>6153</v>
      </c>
    </row>
    <row r="1980" spans="8:8">
      <c r="H1980" s="680" t="s">
        <v>6153</v>
      </c>
    </row>
    <row r="1981" spans="8:8">
      <c r="H1981" s="680" t="s">
        <v>6153</v>
      </c>
    </row>
    <row r="1982" spans="8:8">
      <c r="H1982" s="680" t="s">
        <v>6153</v>
      </c>
    </row>
    <row r="1983" spans="8:8">
      <c r="H1983" s="680" t="s">
        <v>6153</v>
      </c>
    </row>
    <row r="1984" spans="8:8">
      <c r="H1984" s="680" t="s">
        <v>6153</v>
      </c>
    </row>
    <row r="1985" spans="8:8">
      <c r="H1985" s="680" t="s">
        <v>6153</v>
      </c>
    </row>
    <row r="1986" spans="8:8">
      <c r="H1986" s="680" t="s">
        <v>6153</v>
      </c>
    </row>
    <row r="1987" spans="8:8">
      <c r="H1987" s="680" t="s">
        <v>6153</v>
      </c>
    </row>
    <row r="1988" spans="8:8">
      <c r="H1988" s="680" t="s">
        <v>6153</v>
      </c>
    </row>
    <row r="1989" spans="8:8">
      <c r="H1989" s="680" t="s">
        <v>6153</v>
      </c>
    </row>
    <row r="1990" spans="8:8">
      <c r="H1990" s="680" t="s">
        <v>6153</v>
      </c>
    </row>
    <row r="1991" spans="8:8">
      <c r="H1991" s="680" t="s">
        <v>6153</v>
      </c>
    </row>
    <row r="1992" spans="8:8">
      <c r="H1992" s="680" t="s">
        <v>6153</v>
      </c>
    </row>
    <row r="1993" spans="8:8">
      <c r="H1993" s="680" t="s">
        <v>6153</v>
      </c>
    </row>
    <row r="1994" spans="8:8">
      <c r="H1994" s="680" t="s">
        <v>6153</v>
      </c>
    </row>
    <row r="1995" spans="8:8">
      <c r="H1995" s="680" t="s">
        <v>6153</v>
      </c>
    </row>
    <row r="1996" spans="8:8">
      <c r="H1996" s="680" t="s">
        <v>6153</v>
      </c>
    </row>
    <row r="1997" spans="8:8">
      <c r="H1997" s="680" t="s">
        <v>6153</v>
      </c>
    </row>
    <row r="1998" spans="8:8">
      <c r="H1998" s="680" t="s">
        <v>6153</v>
      </c>
    </row>
    <row r="1999" spans="8:8">
      <c r="H1999" s="680" t="s">
        <v>6153</v>
      </c>
    </row>
    <row r="2000" spans="8:8">
      <c r="H2000" s="680" t="s">
        <v>6153</v>
      </c>
    </row>
    <row r="2001" spans="8:8">
      <c r="H2001" s="680" t="s">
        <v>6153</v>
      </c>
    </row>
    <row r="2002" spans="8:8">
      <c r="H2002" s="680" t="s">
        <v>6153</v>
      </c>
    </row>
    <row r="2003" spans="8:8">
      <c r="H2003" s="680" t="s">
        <v>6153</v>
      </c>
    </row>
    <row r="2004" spans="8:8">
      <c r="H2004" s="680" t="s">
        <v>6153</v>
      </c>
    </row>
    <row r="2005" spans="8:8">
      <c r="H2005" s="680" t="s">
        <v>6153</v>
      </c>
    </row>
    <row r="2006" spans="8:8">
      <c r="H2006" s="680" t="s">
        <v>6153</v>
      </c>
    </row>
    <row r="2007" spans="8:8">
      <c r="H2007" s="680" t="s">
        <v>6153</v>
      </c>
    </row>
    <row r="2008" spans="8:8">
      <c r="H2008" s="680" t="s">
        <v>6153</v>
      </c>
    </row>
    <row r="2009" spans="8:8">
      <c r="H2009" s="680" t="s">
        <v>6153</v>
      </c>
    </row>
    <row r="2010" spans="8:8">
      <c r="H2010" s="680" t="s">
        <v>6153</v>
      </c>
    </row>
    <row r="2011" spans="8:8">
      <c r="H2011" s="680" t="s">
        <v>6153</v>
      </c>
    </row>
    <row r="2012" spans="8:8">
      <c r="H2012" s="680" t="s">
        <v>6153</v>
      </c>
    </row>
    <row r="2013" spans="8:8">
      <c r="H2013" s="680" t="s">
        <v>6153</v>
      </c>
    </row>
    <row r="2014" spans="8:8">
      <c r="H2014" s="680" t="s">
        <v>6153</v>
      </c>
    </row>
    <row r="2015" spans="8:8">
      <c r="H2015" s="680" t="s">
        <v>6153</v>
      </c>
    </row>
    <row r="2016" spans="8:8">
      <c r="H2016" s="680" t="s">
        <v>6153</v>
      </c>
    </row>
    <row r="2017" spans="8:8">
      <c r="H2017" s="680" t="s">
        <v>6153</v>
      </c>
    </row>
    <row r="2018" spans="8:8">
      <c r="H2018" s="680" t="s">
        <v>6153</v>
      </c>
    </row>
    <row r="2019" spans="8:8">
      <c r="H2019" s="680" t="s">
        <v>6153</v>
      </c>
    </row>
    <row r="2020" spans="8:8">
      <c r="H2020" s="680" t="s">
        <v>6153</v>
      </c>
    </row>
    <row r="2021" spans="8:8">
      <c r="H2021" s="680" t="s">
        <v>6153</v>
      </c>
    </row>
    <row r="2022" spans="8:8">
      <c r="H2022" s="680" t="s">
        <v>6153</v>
      </c>
    </row>
    <row r="2023" spans="8:8">
      <c r="H2023" s="680" t="s">
        <v>6153</v>
      </c>
    </row>
    <row r="2024" spans="8:8">
      <c r="H2024" s="680" t="s">
        <v>6153</v>
      </c>
    </row>
    <row r="2025" spans="8:8">
      <c r="H2025" s="680" t="s">
        <v>6153</v>
      </c>
    </row>
    <row r="2026" spans="8:8">
      <c r="H2026" s="680" t="s">
        <v>6153</v>
      </c>
    </row>
    <row r="2027" spans="8:8">
      <c r="H2027" s="680" t="s">
        <v>6153</v>
      </c>
    </row>
    <row r="2028" spans="8:8">
      <c r="H2028" s="680" t="s">
        <v>6153</v>
      </c>
    </row>
    <row r="2029" spans="8:8">
      <c r="H2029" s="680" t="s">
        <v>6153</v>
      </c>
    </row>
    <row r="2030" spans="8:8">
      <c r="H2030" s="680" t="s">
        <v>6153</v>
      </c>
    </row>
    <row r="2031" spans="8:8">
      <c r="H2031" s="680" t="s">
        <v>6153</v>
      </c>
    </row>
    <row r="2032" spans="8:8">
      <c r="H2032" s="680" t="s">
        <v>6153</v>
      </c>
    </row>
    <row r="2033" spans="8:8">
      <c r="H2033" s="680" t="s">
        <v>6153</v>
      </c>
    </row>
    <row r="2034" spans="8:8">
      <c r="H2034" s="680" t="s">
        <v>6153</v>
      </c>
    </row>
    <row r="2035" spans="8:8">
      <c r="H2035" s="680" t="s">
        <v>6153</v>
      </c>
    </row>
    <row r="2036" spans="8:8">
      <c r="H2036" s="680" t="s">
        <v>6153</v>
      </c>
    </row>
    <row r="2037" spans="8:8">
      <c r="H2037" s="680" t="s">
        <v>6153</v>
      </c>
    </row>
    <row r="2038" spans="8:8">
      <c r="H2038" s="680" t="s">
        <v>6153</v>
      </c>
    </row>
    <row r="2039" spans="8:8">
      <c r="H2039" s="680" t="s">
        <v>6153</v>
      </c>
    </row>
    <row r="2040" spans="8:8">
      <c r="H2040" s="680" t="s">
        <v>6153</v>
      </c>
    </row>
    <row r="2041" spans="8:8">
      <c r="H2041" s="680" t="s">
        <v>6153</v>
      </c>
    </row>
    <row r="2042" spans="8:8">
      <c r="H2042" s="680" t="s">
        <v>6153</v>
      </c>
    </row>
    <row r="2043" spans="8:8">
      <c r="H2043" s="680" t="s">
        <v>6153</v>
      </c>
    </row>
    <row r="2044" spans="8:8">
      <c r="H2044" s="680" t="s">
        <v>6153</v>
      </c>
    </row>
    <row r="2045" spans="8:8">
      <c r="H2045" s="680" t="s">
        <v>6153</v>
      </c>
    </row>
    <row r="2046" spans="8:8">
      <c r="H2046" s="680" t="s">
        <v>6153</v>
      </c>
    </row>
    <row r="2047" spans="8:8">
      <c r="H2047" s="680" t="s">
        <v>6153</v>
      </c>
    </row>
    <row r="2048" spans="8:8">
      <c r="H2048" s="680" t="s">
        <v>6153</v>
      </c>
    </row>
    <row r="2049" spans="8:8">
      <c r="H2049" s="680" t="s">
        <v>6153</v>
      </c>
    </row>
    <row r="2050" spans="8:8">
      <c r="H2050" s="680" t="s">
        <v>6153</v>
      </c>
    </row>
    <row r="2051" spans="8:8">
      <c r="H2051" s="680" t="s">
        <v>6153</v>
      </c>
    </row>
    <row r="2052" spans="8:8">
      <c r="H2052" s="680" t="s">
        <v>6153</v>
      </c>
    </row>
    <row r="2053" spans="8:8">
      <c r="H2053" s="680" t="s">
        <v>6153</v>
      </c>
    </row>
    <row r="2054" spans="8:8">
      <c r="H2054" s="680" t="s">
        <v>6153</v>
      </c>
    </row>
    <row r="2055" spans="8:8">
      <c r="H2055" s="680" t="s">
        <v>6153</v>
      </c>
    </row>
    <row r="2056" spans="8:8">
      <c r="H2056" s="680" t="s">
        <v>6153</v>
      </c>
    </row>
    <row r="2057" spans="8:8">
      <c r="H2057" s="680" t="s">
        <v>6153</v>
      </c>
    </row>
    <row r="2058" spans="8:8">
      <c r="H2058" s="680" t="s">
        <v>6153</v>
      </c>
    </row>
    <row r="2059" spans="8:8">
      <c r="H2059" s="680" t="s">
        <v>6153</v>
      </c>
    </row>
    <row r="2060" spans="8:8">
      <c r="H2060" s="680" t="s">
        <v>6153</v>
      </c>
    </row>
    <row r="2061" spans="8:8">
      <c r="H2061" s="680" t="s">
        <v>6153</v>
      </c>
    </row>
    <row r="2062" spans="8:8">
      <c r="H2062" s="680" t="s">
        <v>6153</v>
      </c>
    </row>
    <row r="2063" spans="8:8">
      <c r="H2063" s="680" t="s">
        <v>6153</v>
      </c>
    </row>
    <row r="2064" spans="8:8">
      <c r="H2064" s="680" t="s">
        <v>6153</v>
      </c>
    </row>
    <row r="2065" spans="8:8">
      <c r="H2065" s="680" t="s">
        <v>6153</v>
      </c>
    </row>
    <row r="2066" spans="8:8">
      <c r="H2066" s="680" t="s">
        <v>6153</v>
      </c>
    </row>
    <row r="2067" spans="8:8">
      <c r="H2067" s="680" t="s">
        <v>6153</v>
      </c>
    </row>
    <row r="2068" spans="8:8">
      <c r="H2068" s="680" t="s">
        <v>6153</v>
      </c>
    </row>
    <row r="2069" spans="8:8">
      <c r="H2069" s="680" t="s">
        <v>6153</v>
      </c>
    </row>
    <row r="2070" spans="8:8">
      <c r="H2070" s="680" t="s">
        <v>6153</v>
      </c>
    </row>
    <row r="2071" spans="8:8">
      <c r="H2071" s="680" t="s">
        <v>6153</v>
      </c>
    </row>
    <row r="2072" spans="8:8">
      <c r="H2072" s="680" t="s">
        <v>6153</v>
      </c>
    </row>
    <row r="2073" spans="8:8">
      <c r="H2073" s="680" t="s">
        <v>6153</v>
      </c>
    </row>
    <row r="2074" spans="8:8">
      <c r="H2074" s="680" t="s">
        <v>6153</v>
      </c>
    </row>
    <row r="2075" spans="8:8">
      <c r="H2075" s="680" t="s">
        <v>6153</v>
      </c>
    </row>
    <row r="2076" spans="8:8">
      <c r="H2076" s="680" t="s">
        <v>6153</v>
      </c>
    </row>
    <row r="2077" spans="8:8">
      <c r="H2077" s="680" t="s">
        <v>6153</v>
      </c>
    </row>
    <row r="2078" spans="8:8">
      <c r="H2078" s="680" t="s">
        <v>6153</v>
      </c>
    </row>
    <row r="2079" spans="8:8">
      <c r="H2079" s="680" t="s">
        <v>6153</v>
      </c>
    </row>
    <row r="2080" spans="8:8">
      <c r="H2080" s="680" t="s">
        <v>6153</v>
      </c>
    </row>
    <row r="2081" spans="8:8">
      <c r="H2081" s="680" t="s">
        <v>6153</v>
      </c>
    </row>
    <row r="2082" spans="8:8">
      <c r="H2082" s="680" t="s">
        <v>6153</v>
      </c>
    </row>
    <row r="2083" spans="8:8">
      <c r="H2083" s="680" t="s">
        <v>6153</v>
      </c>
    </row>
    <row r="2084" spans="8:8">
      <c r="H2084" s="680" t="s">
        <v>6153</v>
      </c>
    </row>
    <row r="2085" spans="8:8">
      <c r="H2085" s="680" t="s">
        <v>6153</v>
      </c>
    </row>
    <row r="2086" spans="8:8">
      <c r="H2086" s="680" t="s">
        <v>6153</v>
      </c>
    </row>
    <row r="2087" spans="8:8">
      <c r="H2087" s="680" t="s">
        <v>6153</v>
      </c>
    </row>
    <row r="2088" spans="8:8">
      <c r="H2088" s="680" t="s">
        <v>6153</v>
      </c>
    </row>
    <row r="2089" spans="8:8">
      <c r="H2089" s="680" t="s">
        <v>6153</v>
      </c>
    </row>
    <row r="2090" spans="8:8">
      <c r="H2090" s="680" t="s">
        <v>6153</v>
      </c>
    </row>
    <row r="2091" spans="8:8">
      <c r="H2091" s="680" t="s">
        <v>6153</v>
      </c>
    </row>
    <row r="2092" spans="8:8">
      <c r="H2092" s="680" t="s">
        <v>6153</v>
      </c>
    </row>
    <row r="2093" spans="8:8">
      <c r="H2093" s="680" t="s">
        <v>6153</v>
      </c>
    </row>
    <row r="2094" spans="8:8">
      <c r="H2094" s="680" t="s">
        <v>6153</v>
      </c>
    </row>
    <row r="2095" spans="8:8">
      <c r="H2095" s="680" t="s">
        <v>6153</v>
      </c>
    </row>
    <row r="2096" spans="8:8">
      <c r="H2096" s="680" t="s">
        <v>6153</v>
      </c>
    </row>
    <row r="2097" spans="8:8">
      <c r="H2097" s="680" t="s">
        <v>6153</v>
      </c>
    </row>
    <row r="2098" spans="8:8">
      <c r="H2098" s="680" t="s">
        <v>6153</v>
      </c>
    </row>
    <row r="2099" spans="8:8">
      <c r="H2099" s="680" t="s">
        <v>6153</v>
      </c>
    </row>
    <row r="2100" spans="8:8">
      <c r="H2100" s="680" t="s">
        <v>6153</v>
      </c>
    </row>
    <row r="2101" spans="8:8">
      <c r="H2101" s="680" t="s">
        <v>6153</v>
      </c>
    </row>
    <row r="2102" spans="8:8">
      <c r="H2102" s="680" t="s">
        <v>6153</v>
      </c>
    </row>
    <row r="2103" spans="8:8">
      <c r="H2103" s="680" t="s">
        <v>6153</v>
      </c>
    </row>
    <row r="2104" spans="8:8">
      <c r="H2104" s="680" t="s">
        <v>6153</v>
      </c>
    </row>
    <row r="2105" spans="8:8">
      <c r="H2105" s="680" t="s">
        <v>6153</v>
      </c>
    </row>
    <row r="2106" spans="8:8">
      <c r="H2106" s="680" t="s">
        <v>6153</v>
      </c>
    </row>
    <row r="2107" spans="8:8">
      <c r="H2107" s="680" t="s">
        <v>6153</v>
      </c>
    </row>
    <row r="2108" spans="8:8">
      <c r="H2108" s="680" t="s">
        <v>6153</v>
      </c>
    </row>
    <row r="2109" spans="8:8">
      <c r="H2109" s="680" t="s">
        <v>6153</v>
      </c>
    </row>
    <row r="2110" spans="8:8">
      <c r="H2110" s="680" t="s">
        <v>6153</v>
      </c>
    </row>
    <row r="2111" spans="8:8">
      <c r="H2111" s="680" t="s">
        <v>6153</v>
      </c>
    </row>
    <row r="2112" spans="8:8">
      <c r="H2112" s="680" t="s">
        <v>6153</v>
      </c>
    </row>
    <row r="2113" spans="8:8">
      <c r="H2113" s="680" t="s">
        <v>6153</v>
      </c>
    </row>
    <row r="2114" spans="8:8">
      <c r="H2114" s="680" t="s">
        <v>6153</v>
      </c>
    </row>
    <row r="2115" spans="8:8">
      <c r="H2115" s="680" t="s">
        <v>6153</v>
      </c>
    </row>
    <row r="2116" spans="8:8">
      <c r="H2116" s="680" t="s">
        <v>6153</v>
      </c>
    </row>
    <row r="2117" spans="8:8">
      <c r="H2117" s="680" t="s">
        <v>6153</v>
      </c>
    </row>
    <row r="2118" spans="8:8">
      <c r="H2118" s="680" t="s">
        <v>6153</v>
      </c>
    </row>
    <row r="2119" spans="8:8">
      <c r="H2119" s="680" t="s">
        <v>6153</v>
      </c>
    </row>
    <row r="2120" spans="8:8">
      <c r="H2120" s="680" t="s">
        <v>6153</v>
      </c>
    </row>
    <row r="2121" spans="8:8">
      <c r="H2121" s="680" t="s">
        <v>6153</v>
      </c>
    </row>
    <row r="2122" spans="8:8">
      <c r="H2122" s="680" t="s">
        <v>6153</v>
      </c>
    </row>
    <row r="2123" spans="8:8">
      <c r="H2123" s="680" t="s">
        <v>6153</v>
      </c>
    </row>
    <row r="2124" spans="8:8">
      <c r="H2124" s="680" t="s">
        <v>6153</v>
      </c>
    </row>
    <row r="2125" spans="8:8">
      <c r="H2125" s="680" t="s">
        <v>6153</v>
      </c>
    </row>
    <row r="2126" spans="8:8">
      <c r="H2126" s="680" t="s">
        <v>6153</v>
      </c>
    </row>
    <row r="2127" spans="8:8">
      <c r="H2127" s="680" t="s">
        <v>6153</v>
      </c>
    </row>
    <row r="2128" spans="8:8">
      <c r="H2128" s="680" t="s">
        <v>6153</v>
      </c>
    </row>
    <row r="2129" spans="8:8">
      <c r="H2129" s="680" t="s">
        <v>6153</v>
      </c>
    </row>
    <row r="2130" spans="8:8">
      <c r="H2130" s="680" t="s">
        <v>6153</v>
      </c>
    </row>
    <row r="2131" spans="8:8">
      <c r="H2131" s="680" t="s">
        <v>6153</v>
      </c>
    </row>
    <row r="2132" spans="8:8">
      <c r="H2132" s="680" t="s">
        <v>6153</v>
      </c>
    </row>
    <row r="2133" spans="8:8">
      <c r="H2133" s="680" t="s">
        <v>6153</v>
      </c>
    </row>
    <row r="2134" spans="8:8">
      <c r="H2134" s="680" t="s">
        <v>6153</v>
      </c>
    </row>
    <row r="2135" spans="8:8">
      <c r="H2135" s="680" t="s">
        <v>6153</v>
      </c>
    </row>
    <row r="2136" spans="8:8">
      <c r="H2136" s="680" t="s">
        <v>6153</v>
      </c>
    </row>
    <row r="2137" spans="8:8">
      <c r="H2137" s="680" t="s">
        <v>6153</v>
      </c>
    </row>
    <row r="2138" spans="8:8">
      <c r="H2138" s="680" t="s">
        <v>6153</v>
      </c>
    </row>
    <row r="2139" spans="8:8">
      <c r="H2139" s="680" t="s">
        <v>6153</v>
      </c>
    </row>
    <row r="2140" spans="8:8">
      <c r="H2140" s="680" t="s">
        <v>6153</v>
      </c>
    </row>
    <row r="2141" spans="8:8">
      <c r="H2141" s="680" t="s">
        <v>6153</v>
      </c>
    </row>
    <row r="2142" spans="8:8">
      <c r="H2142" s="680" t="s">
        <v>6153</v>
      </c>
    </row>
    <row r="2143" spans="8:8">
      <c r="H2143" s="680" t="s">
        <v>6153</v>
      </c>
    </row>
    <row r="2144" spans="8:8">
      <c r="H2144" s="680" t="s">
        <v>6153</v>
      </c>
    </row>
    <row r="2145" spans="8:8">
      <c r="H2145" s="680" t="s">
        <v>6153</v>
      </c>
    </row>
    <row r="2146" spans="8:8">
      <c r="H2146" s="680" t="s">
        <v>6153</v>
      </c>
    </row>
    <row r="2147" spans="8:8">
      <c r="H2147" s="680" t="s">
        <v>6153</v>
      </c>
    </row>
    <row r="2148" spans="8:8">
      <c r="H2148" s="680" t="s">
        <v>6153</v>
      </c>
    </row>
    <row r="2149" spans="8:8">
      <c r="H2149" s="680" t="s">
        <v>6153</v>
      </c>
    </row>
    <row r="2150" spans="8:8">
      <c r="H2150" s="680" t="s">
        <v>6153</v>
      </c>
    </row>
    <row r="2151" spans="8:8">
      <c r="H2151" s="680" t="s">
        <v>6153</v>
      </c>
    </row>
    <row r="2152" spans="8:8">
      <c r="H2152" s="680" t="s">
        <v>6153</v>
      </c>
    </row>
    <row r="2153" spans="8:8">
      <c r="H2153" s="680" t="s">
        <v>6153</v>
      </c>
    </row>
    <row r="2154" spans="8:8">
      <c r="H2154" s="680" t="s">
        <v>6153</v>
      </c>
    </row>
    <row r="2155" spans="8:8">
      <c r="H2155" s="680" t="s">
        <v>6153</v>
      </c>
    </row>
    <row r="2156" spans="8:8">
      <c r="H2156" s="680" t="s">
        <v>6153</v>
      </c>
    </row>
    <row r="2157" spans="8:8">
      <c r="H2157" s="680" t="s">
        <v>6153</v>
      </c>
    </row>
    <row r="2158" spans="8:8">
      <c r="H2158" s="680" t="s">
        <v>6153</v>
      </c>
    </row>
    <row r="2159" spans="8:8">
      <c r="H2159" s="680" t="s">
        <v>6153</v>
      </c>
    </row>
    <row r="2160" spans="8:8">
      <c r="H2160" s="680" t="s">
        <v>6153</v>
      </c>
    </row>
    <row r="2161" spans="8:8">
      <c r="H2161" s="680" t="s">
        <v>6153</v>
      </c>
    </row>
    <row r="2162" spans="8:8">
      <c r="H2162" s="680" t="s">
        <v>6153</v>
      </c>
    </row>
    <row r="2163" spans="8:8">
      <c r="H2163" s="680" t="s">
        <v>6153</v>
      </c>
    </row>
    <row r="2164" spans="8:8">
      <c r="H2164" s="680" t="s">
        <v>6153</v>
      </c>
    </row>
    <row r="2165" spans="8:8">
      <c r="H2165" s="680" t="s">
        <v>6153</v>
      </c>
    </row>
    <row r="2166" spans="8:8">
      <c r="H2166" s="680" t="s">
        <v>6153</v>
      </c>
    </row>
    <row r="2167" spans="8:8">
      <c r="H2167" s="680" t="s">
        <v>6153</v>
      </c>
    </row>
    <row r="2168" spans="8:8">
      <c r="H2168" s="680" t="s">
        <v>6153</v>
      </c>
    </row>
    <row r="2169" spans="8:8">
      <c r="H2169" s="680" t="s">
        <v>6153</v>
      </c>
    </row>
    <row r="2170" spans="8:8">
      <c r="H2170" s="680" t="s">
        <v>6153</v>
      </c>
    </row>
    <row r="2171" spans="8:8">
      <c r="H2171" s="680" t="s">
        <v>6153</v>
      </c>
    </row>
    <row r="2172" spans="8:8">
      <c r="H2172" s="680" t="s">
        <v>6153</v>
      </c>
    </row>
    <row r="2173" spans="8:8">
      <c r="H2173" s="680" t="s">
        <v>6153</v>
      </c>
    </row>
    <row r="2174" spans="8:8">
      <c r="H2174" s="680" t="s">
        <v>6153</v>
      </c>
    </row>
    <row r="2175" spans="8:8">
      <c r="H2175" s="680" t="s">
        <v>6153</v>
      </c>
    </row>
    <row r="2176" spans="8:8">
      <c r="H2176" s="680" t="s">
        <v>6153</v>
      </c>
    </row>
    <row r="2177" spans="8:8">
      <c r="H2177" s="680" t="s">
        <v>6153</v>
      </c>
    </row>
    <row r="2178" spans="8:8">
      <c r="H2178" s="680" t="s">
        <v>6153</v>
      </c>
    </row>
    <row r="2179" spans="8:8">
      <c r="H2179" s="680" t="s">
        <v>6153</v>
      </c>
    </row>
    <row r="2180" spans="8:8">
      <c r="H2180" s="680" t="s">
        <v>6153</v>
      </c>
    </row>
    <row r="2181" spans="8:8">
      <c r="H2181" s="680" t="s">
        <v>6153</v>
      </c>
    </row>
    <row r="2182" spans="8:8">
      <c r="H2182" s="680" t="s">
        <v>6153</v>
      </c>
    </row>
    <row r="2183" spans="8:8">
      <c r="H2183" s="680" t="s">
        <v>6153</v>
      </c>
    </row>
    <row r="2184" spans="8:8">
      <c r="H2184" s="680" t="s">
        <v>6153</v>
      </c>
    </row>
    <row r="2185" spans="8:8">
      <c r="H2185" s="680" t="s">
        <v>6153</v>
      </c>
    </row>
    <row r="2186" spans="8:8">
      <c r="H2186" s="680" t="s">
        <v>6153</v>
      </c>
    </row>
    <row r="2187" spans="8:8">
      <c r="H2187" s="680" t="s">
        <v>6153</v>
      </c>
    </row>
    <row r="2188" spans="8:8">
      <c r="H2188" s="680" t="s">
        <v>6153</v>
      </c>
    </row>
    <row r="2189" spans="8:8">
      <c r="H2189" s="680" t="s">
        <v>6153</v>
      </c>
    </row>
    <row r="2190" spans="8:8">
      <c r="H2190" s="680" t="s">
        <v>6153</v>
      </c>
    </row>
    <row r="2191" spans="8:8">
      <c r="H2191" s="680" t="s">
        <v>6153</v>
      </c>
    </row>
    <row r="2192" spans="8:8">
      <c r="H2192" s="680" t="s">
        <v>6153</v>
      </c>
    </row>
    <row r="2193" spans="8:8">
      <c r="H2193" s="680" t="s">
        <v>6153</v>
      </c>
    </row>
    <row r="2194" spans="8:8">
      <c r="H2194" s="680" t="s">
        <v>6153</v>
      </c>
    </row>
    <row r="2195" spans="8:8">
      <c r="H2195" s="680" t="s">
        <v>6153</v>
      </c>
    </row>
    <row r="2196" spans="8:8">
      <c r="H2196" s="680" t="s">
        <v>6153</v>
      </c>
    </row>
    <row r="2197" spans="8:8">
      <c r="H2197" s="680" t="s">
        <v>6153</v>
      </c>
    </row>
    <row r="2198" spans="8:8">
      <c r="H2198" s="680" t="s">
        <v>6153</v>
      </c>
    </row>
    <row r="2199" spans="8:8">
      <c r="H2199" s="680" t="s">
        <v>6153</v>
      </c>
    </row>
    <row r="2200" spans="8:8">
      <c r="H2200" s="680" t="s">
        <v>6153</v>
      </c>
    </row>
    <row r="2201" spans="8:8">
      <c r="H2201" s="680" t="s">
        <v>6153</v>
      </c>
    </row>
    <row r="2202" spans="8:8">
      <c r="H2202" s="680" t="s">
        <v>6153</v>
      </c>
    </row>
    <row r="2203" spans="8:8">
      <c r="H2203" s="680" t="s">
        <v>6153</v>
      </c>
    </row>
    <row r="2204" spans="8:8">
      <c r="H2204" s="680" t="s">
        <v>6153</v>
      </c>
    </row>
    <row r="2205" spans="8:8">
      <c r="H2205" s="680" t="s">
        <v>6153</v>
      </c>
    </row>
    <row r="2206" spans="8:8">
      <c r="H2206" s="680" t="s">
        <v>6153</v>
      </c>
    </row>
    <row r="2207" spans="8:8">
      <c r="H2207" s="680" t="s">
        <v>6153</v>
      </c>
    </row>
    <row r="2208" spans="8:8">
      <c r="H2208" s="680" t="s">
        <v>6153</v>
      </c>
    </row>
    <row r="2209" spans="8:8">
      <c r="H2209" s="680" t="s">
        <v>6153</v>
      </c>
    </row>
    <row r="2210" spans="8:8">
      <c r="H2210" s="680" t="s">
        <v>6153</v>
      </c>
    </row>
    <row r="2211" spans="8:8">
      <c r="H2211" s="680" t="s">
        <v>6153</v>
      </c>
    </row>
    <row r="2212" spans="8:8">
      <c r="H2212" s="680" t="s">
        <v>6153</v>
      </c>
    </row>
    <row r="2213" spans="8:8">
      <c r="H2213" s="680" t="s">
        <v>6153</v>
      </c>
    </row>
    <row r="2214" spans="8:8">
      <c r="H2214" s="680" t="s">
        <v>6153</v>
      </c>
    </row>
    <row r="2215" spans="8:8">
      <c r="H2215" s="680" t="s">
        <v>6153</v>
      </c>
    </row>
    <row r="2216" spans="8:8">
      <c r="H2216" s="680" t="s">
        <v>6153</v>
      </c>
    </row>
    <row r="2217" spans="8:8">
      <c r="H2217" s="680" t="s">
        <v>6153</v>
      </c>
    </row>
    <row r="2218" spans="8:8">
      <c r="H2218" s="680" t="s">
        <v>6153</v>
      </c>
    </row>
    <row r="2219" spans="8:8">
      <c r="H2219" s="680" t="s">
        <v>6153</v>
      </c>
    </row>
    <row r="2220" spans="8:8">
      <c r="H2220" s="680" t="s">
        <v>6153</v>
      </c>
    </row>
    <row r="2221" spans="8:8">
      <c r="H2221" s="680" t="s">
        <v>6153</v>
      </c>
    </row>
    <row r="2222" spans="8:8">
      <c r="H2222" s="680" t="s">
        <v>6153</v>
      </c>
    </row>
    <row r="2223" spans="8:8">
      <c r="H2223" s="680" t="s">
        <v>6153</v>
      </c>
    </row>
    <row r="2224" spans="8:8">
      <c r="H2224" s="680" t="s">
        <v>6153</v>
      </c>
    </row>
    <row r="2225" spans="8:8">
      <c r="H2225" s="680" t="s">
        <v>6153</v>
      </c>
    </row>
    <row r="2226" spans="8:8">
      <c r="H2226" s="680" t="s">
        <v>6153</v>
      </c>
    </row>
    <row r="2227" spans="8:8">
      <c r="H2227" s="680" t="s">
        <v>6153</v>
      </c>
    </row>
    <row r="2228" spans="8:8">
      <c r="H2228" s="680" t="s">
        <v>6153</v>
      </c>
    </row>
    <row r="2229" spans="8:8">
      <c r="H2229" s="680" t="s">
        <v>6153</v>
      </c>
    </row>
    <row r="2230" spans="8:8">
      <c r="H2230" s="680" t="s">
        <v>6153</v>
      </c>
    </row>
    <row r="2231" spans="8:8">
      <c r="H2231" s="680" t="s">
        <v>6153</v>
      </c>
    </row>
    <row r="2232" spans="8:8">
      <c r="H2232" s="680" t="s">
        <v>6153</v>
      </c>
    </row>
    <row r="2233" spans="8:8">
      <c r="H2233" s="680" t="s">
        <v>6153</v>
      </c>
    </row>
    <row r="2234" spans="8:8">
      <c r="H2234" s="680" t="s">
        <v>6153</v>
      </c>
    </row>
    <row r="2235" spans="8:8">
      <c r="H2235" s="680" t="s">
        <v>6153</v>
      </c>
    </row>
    <row r="2236" spans="8:8">
      <c r="H2236" s="680" t="s">
        <v>6153</v>
      </c>
    </row>
    <row r="2237" spans="8:8">
      <c r="H2237" s="680" t="s">
        <v>6153</v>
      </c>
    </row>
    <row r="2238" spans="8:8">
      <c r="H2238" s="680" t="s">
        <v>6153</v>
      </c>
    </row>
    <row r="2239" spans="8:8">
      <c r="H2239" s="680" t="s">
        <v>6153</v>
      </c>
    </row>
    <row r="2240" spans="8:8">
      <c r="H2240" s="680" t="s">
        <v>6153</v>
      </c>
    </row>
    <row r="2241" spans="8:8">
      <c r="H2241" s="680" t="s">
        <v>6153</v>
      </c>
    </row>
    <row r="2242" spans="8:8">
      <c r="H2242" s="680" t="s">
        <v>6153</v>
      </c>
    </row>
    <row r="2243" spans="8:8">
      <c r="H2243" s="680" t="s">
        <v>6153</v>
      </c>
    </row>
    <row r="2244" spans="8:8">
      <c r="H2244" s="680" t="s">
        <v>6153</v>
      </c>
    </row>
    <row r="2245" spans="8:8">
      <c r="H2245" s="680" t="s">
        <v>6153</v>
      </c>
    </row>
    <row r="2246" spans="8:8">
      <c r="H2246" s="680" t="s">
        <v>6153</v>
      </c>
    </row>
    <row r="2247" spans="8:8">
      <c r="H2247" s="680" t="s">
        <v>6153</v>
      </c>
    </row>
    <row r="2248" spans="8:8">
      <c r="H2248" s="680" t="s">
        <v>6153</v>
      </c>
    </row>
    <row r="2249" spans="8:8">
      <c r="H2249" s="680" t="s">
        <v>6153</v>
      </c>
    </row>
    <row r="2250" spans="8:8">
      <c r="H2250" s="680" t="s">
        <v>6153</v>
      </c>
    </row>
    <row r="2251" spans="8:8">
      <c r="H2251" s="680" t="s">
        <v>6153</v>
      </c>
    </row>
    <row r="2252" spans="8:8">
      <c r="H2252" s="680" t="s">
        <v>6153</v>
      </c>
    </row>
    <row r="2253" spans="8:8">
      <c r="H2253" s="680" t="s">
        <v>6153</v>
      </c>
    </row>
    <row r="2254" spans="8:8">
      <c r="H2254" s="680" t="s">
        <v>6153</v>
      </c>
    </row>
    <row r="2255" spans="8:8">
      <c r="H2255" s="680" t="s">
        <v>6153</v>
      </c>
    </row>
    <row r="2256" spans="8:8">
      <c r="H2256" s="680" t="s">
        <v>6153</v>
      </c>
    </row>
    <row r="2257" spans="8:8">
      <c r="H2257" s="680" t="s">
        <v>6153</v>
      </c>
    </row>
    <row r="2258" spans="8:8">
      <c r="H2258" s="680" t="s">
        <v>6153</v>
      </c>
    </row>
    <row r="2259" spans="8:8">
      <c r="H2259" s="680" t="s">
        <v>6153</v>
      </c>
    </row>
    <row r="2260" spans="8:8">
      <c r="H2260" s="680" t="s">
        <v>6153</v>
      </c>
    </row>
    <row r="2261" spans="8:8">
      <c r="H2261" s="680" t="s">
        <v>6153</v>
      </c>
    </row>
    <row r="2262" spans="8:8">
      <c r="H2262" s="680" t="s">
        <v>6153</v>
      </c>
    </row>
    <row r="2263" spans="8:8">
      <c r="H2263" s="680" t="s">
        <v>6153</v>
      </c>
    </row>
    <row r="2264" spans="8:8">
      <c r="H2264" s="680" t="s">
        <v>6153</v>
      </c>
    </row>
    <row r="2265" spans="8:8">
      <c r="H2265" s="680" t="s">
        <v>6153</v>
      </c>
    </row>
    <row r="2266" spans="8:8">
      <c r="H2266" s="680" t="s">
        <v>6153</v>
      </c>
    </row>
    <row r="2267" spans="8:8">
      <c r="H2267" s="680" t="s">
        <v>6153</v>
      </c>
    </row>
    <row r="2268" spans="8:8">
      <c r="H2268" s="680" t="s">
        <v>6153</v>
      </c>
    </row>
    <row r="2269" spans="8:8">
      <c r="H2269" s="680" t="s">
        <v>6153</v>
      </c>
    </row>
    <row r="2270" spans="8:8">
      <c r="H2270" s="680" t="s">
        <v>6153</v>
      </c>
    </row>
    <row r="2271" spans="8:8">
      <c r="H2271" s="680" t="s">
        <v>6153</v>
      </c>
    </row>
    <row r="2272" spans="8:8">
      <c r="H2272" s="680" t="s">
        <v>6153</v>
      </c>
    </row>
    <row r="2273" spans="8:8">
      <c r="H2273" s="680" t="s">
        <v>6153</v>
      </c>
    </row>
    <row r="2274" spans="8:8">
      <c r="H2274" s="680" t="s">
        <v>6153</v>
      </c>
    </row>
    <row r="2275" spans="8:8">
      <c r="H2275" s="680" t="s">
        <v>6153</v>
      </c>
    </row>
    <row r="2276" spans="8:8">
      <c r="H2276" s="680" t="s">
        <v>6153</v>
      </c>
    </row>
    <row r="2277" spans="8:8">
      <c r="H2277" s="680" t="s">
        <v>6153</v>
      </c>
    </row>
    <row r="2278" spans="8:8">
      <c r="H2278" s="680" t="s">
        <v>6153</v>
      </c>
    </row>
    <row r="2279" spans="8:8">
      <c r="H2279" s="680" t="s">
        <v>6153</v>
      </c>
    </row>
    <row r="2280" spans="8:8">
      <c r="H2280" s="680" t="s">
        <v>6153</v>
      </c>
    </row>
    <row r="2281" spans="8:8">
      <c r="H2281" s="680" t="s">
        <v>6153</v>
      </c>
    </row>
    <row r="2282" spans="8:8">
      <c r="H2282" s="680" t="s">
        <v>6153</v>
      </c>
    </row>
    <row r="2283" spans="8:8">
      <c r="H2283" s="680" t="s">
        <v>6153</v>
      </c>
    </row>
    <row r="2284" spans="8:8">
      <c r="H2284" s="680" t="s">
        <v>6153</v>
      </c>
    </row>
    <row r="2285" spans="8:8">
      <c r="H2285" s="680" t="s">
        <v>6153</v>
      </c>
    </row>
    <row r="2286" spans="8:8">
      <c r="H2286" s="680" t="s">
        <v>6153</v>
      </c>
    </row>
    <row r="2287" spans="8:8">
      <c r="H2287" s="680" t="s">
        <v>6153</v>
      </c>
    </row>
    <row r="2288" spans="8:8">
      <c r="H2288" s="680" t="s">
        <v>6153</v>
      </c>
    </row>
    <row r="2289" spans="8:8">
      <c r="H2289" s="680" t="s">
        <v>6153</v>
      </c>
    </row>
    <row r="2290" spans="8:8">
      <c r="H2290" s="680" t="s">
        <v>6153</v>
      </c>
    </row>
    <row r="2291" spans="8:8">
      <c r="H2291" s="680" t="s">
        <v>6153</v>
      </c>
    </row>
    <row r="2292" spans="8:8">
      <c r="H2292" s="680" t="s">
        <v>6153</v>
      </c>
    </row>
    <row r="2293" spans="8:8">
      <c r="H2293" s="680" t="s">
        <v>6153</v>
      </c>
    </row>
    <row r="2294" spans="8:8">
      <c r="H2294" s="680" t="s">
        <v>6153</v>
      </c>
    </row>
    <row r="2295" spans="8:8">
      <c r="H2295" s="680" t="s">
        <v>6153</v>
      </c>
    </row>
    <row r="2296" spans="8:8">
      <c r="H2296" s="680" t="s">
        <v>6153</v>
      </c>
    </row>
    <row r="2297" spans="8:8">
      <c r="H2297" s="680" t="s">
        <v>6153</v>
      </c>
    </row>
    <row r="2298" spans="8:8">
      <c r="H2298" s="680" t="s">
        <v>6153</v>
      </c>
    </row>
    <row r="2299" spans="8:8">
      <c r="H2299" s="680" t="s">
        <v>6153</v>
      </c>
    </row>
    <row r="2300" spans="8:8">
      <c r="H2300" s="680" t="s">
        <v>6153</v>
      </c>
    </row>
    <row r="2301" spans="8:8">
      <c r="H2301" s="680" t="s">
        <v>6153</v>
      </c>
    </row>
    <row r="2302" spans="8:8">
      <c r="H2302" s="680" t="s">
        <v>6153</v>
      </c>
    </row>
    <row r="2303" spans="8:8">
      <c r="H2303" s="680" t="s">
        <v>6153</v>
      </c>
    </row>
    <row r="2304" spans="8:8">
      <c r="H2304" s="680" t="s">
        <v>6153</v>
      </c>
    </row>
    <row r="2305" spans="8:8">
      <c r="H2305" s="680" t="s">
        <v>6153</v>
      </c>
    </row>
    <row r="2306" spans="8:8">
      <c r="H2306" s="680" t="s">
        <v>6153</v>
      </c>
    </row>
    <row r="2307" spans="8:8">
      <c r="H2307" s="680" t="s">
        <v>6153</v>
      </c>
    </row>
    <row r="2308" spans="8:8">
      <c r="H2308" s="680" t="s">
        <v>6153</v>
      </c>
    </row>
    <row r="2309" spans="8:8">
      <c r="H2309" s="680" t="s">
        <v>6153</v>
      </c>
    </row>
    <row r="2310" spans="8:8">
      <c r="H2310" s="680" t="s">
        <v>6153</v>
      </c>
    </row>
    <row r="2311" spans="8:8">
      <c r="H2311" s="680" t="s">
        <v>6153</v>
      </c>
    </row>
    <row r="2312" spans="8:8">
      <c r="H2312" s="680" t="s">
        <v>6153</v>
      </c>
    </row>
    <row r="2313" spans="8:8">
      <c r="H2313" s="680" t="s">
        <v>6153</v>
      </c>
    </row>
    <row r="2314" spans="8:8">
      <c r="H2314" s="680" t="s">
        <v>6153</v>
      </c>
    </row>
    <row r="2315" spans="8:8">
      <c r="H2315" s="680" t="s">
        <v>6153</v>
      </c>
    </row>
    <row r="2316" spans="8:8">
      <c r="H2316" s="680" t="s">
        <v>6153</v>
      </c>
    </row>
    <row r="2317" spans="8:8">
      <c r="H2317" s="680" t="s">
        <v>6153</v>
      </c>
    </row>
    <row r="2318" spans="8:8">
      <c r="H2318" s="680" t="s">
        <v>6153</v>
      </c>
    </row>
    <row r="2319" spans="8:8">
      <c r="H2319" s="680" t="s">
        <v>6153</v>
      </c>
    </row>
    <row r="2320" spans="8:8">
      <c r="H2320" s="680" t="s">
        <v>6153</v>
      </c>
    </row>
    <row r="2321" spans="8:8">
      <c r="H2321" s="680" t="s">
        <v>6153</v>
      </c>
    </row>
    <row r="2322" spans="8:8">
      <c r="H2322" s="680" t="s">
        <v>6153</v>
      </c>
    </row>
    <row r="2323" spans="8:8">
      <c r="H2323" s="680" t="s">
        <v>6153</v>
      </c>
    </row>
    <row r="2324" spans="8:8">
      <c r="H2324" s="680" t="s">
        <v>6153</v>
      </c>
    </row>
    <row r="2325" spans="8:8">
      <c r="H2325" s="680" t="s">
        <v>6153</v>
      </c>
    </row>
    <row r="2326" spans="8:8">
      <c r="H2326" s="680" t="s">
        <v>6153</v>
      </c>
    </row>
    <row r="2327" spans="8:8">
      <c r="H2327" s="680" t="s">
        <v>6153</v>
      </c>
    </row>
    <row r="2328" spans="8:8">
      <c r="H2328" s="680" t="s">
        <v>6153</v>
      </c>
    </row>
    <row r="2329" spans="8:8">
      <c r="H2329" s="680" t="s">
        <v>6153</v>
      </c>
    </row>
    <row r="2330" spans="8:8">
      <c r="H2330" s="680" t="s">
        <v>6153</v>
      </c>
    </row>
    <row r="2331" spans="8:8">
      <c r="H2331" s="680" t="s">
        <v>6153</v>
      </c>
    </row>
    <row r="2332" spans="8:8">
      <c r="H2332" s="680" t="s">
        <v>6153</v>
      </c>
    </row>
    <row r="2333" spans="8:8">
      <c r="H2333" s="680" t="s">
        <v>6153</v>
      </c>
    </row>
    <row r="2334" spans="8:8">
      <c r="H2334" s="680" t="s">
        <v>6153</v>
      </c>
    </row>
    <row r="2335" spans="8:8">
      <c r="H2335" s="680" t="s">
        <v>6153</v>
      </c>
    </row>
    <row r="2336" spans="8:8">
      <c r="H2336" s="680" t="s">
        <v>6153</v>
      </c>
    </row>
    <row r="2337" spans="8:8">
      <c r="H2337" s="680" t="s">
        <v>6153</v>
      </c>
    </row>
    <row r="2338" spans="8:8">
      <c r="H2338" s="680" t="s">
        <v>6153</v>
      </c>
    </row>
    <row r="2339" spans="8:8">
      <c r="H2339" s="680" t="s">
        <v>6153</v>
      </c>
    </row>
    <row r="2340" spans="8:8">
      <c r="H2340" s="680" t="s">
        <v>6153</v>
      </c>
    </row>
    <row r="2341" spans="8:8">
      <c r="H2341" s="680" t="s">
        <v>6153</v>
      </c>
    </row>
    <row r="2342" spans="8:8">
      <c r="H2342" s="680" t="s">
        <v>6153</v>
      </c>
    </row>
    <row r="2343" spans="8:8">
      <c r="H2343" s="680" t="s">
        <v>6153</v>
      </c>
    </row>
    <row r="2344" spans="8:8">
      <c r="H2344" s="680" t="s">
        <v>6153</v>
      </c>
    </row>
    <row r="2345" spans="8:8">
      <c r="H2345" s="680" t="s">
        <v>6153</v>
      </c>
    </row>
    <row r="2346" spans="8:8">
      <c r="H2346" s="680" t="s">
        <v>6153</v>
      </c>
    </row>
    <row r="2347" spans="8:8">
      <c r="H2347" s="680" t="s">
        <v>6153</v>
      </c>
    </row>
    <row r="2348" spans="8:8">
      <c r="H2348" s="680" t="s">
        <v>6153</v>
      </c>
    </row>
    <row r="2349" spans="8:8">
      <c r="H2349" s="680" t="s">
        <v>6153</v>
      </c>
    </row>
    <row r="2350" spans="8:8">
      <c r="H2350" s="680" t="s">
        <v>6153</v>
      </c>
    </row>
    <row r="2351" spans="8:8">
      <c r="H2351" s="680" t="s">
        <v>6153</v>
      </c>
    </row>
    <row r="2352" spans="8:8">
      <c r="H2352" s="680" t="s">
        <v>6153</v>
      </c>
    </row>
    <row r="2353" spans="8:8">
      <c r="H2353" s="680" t="s">
        <v>6153</v>
      </c>
    </row>
    <row r="2354" spans="8:8">
      <c r="H2354" s="680" t="s">
        <v>6153</v>
      </c>
    </row>
    <row r="2355" spans="8:8">
      <c r="H2355" s="680" t="s">
        <v>6153</v>
      </c>
    </row>
    <row r="2356" spans="8:8">
      <c r="H2356" s="680" t="s">
        <v>6153</v>
      </c>
    </row>
    <row r="2357" spans="8:8">
      <c r="H2357" s="680" t="s">
        <v>6153</v>
      </c>
    </row>
    <row r="2358" spans="8:8">
      <c r="H2358" s="680" t="s">
        <v>6153</v>
      </c>
    </row>
    <row r="2359" spans="8:8">
      <c r="H2359" s="680" t="s">
        <v>6153</v>
      </c>
    </row>
    <row r="2360" spans="8:8">
      <c r="H2360" s="680" t="s">
        <v>6153</v>
      </c>
    </row>
    <row r="2361" spans="8:8">
      <c r="H2361" s="680" t="s">
        <v>6153</v>
      </c>
    </row>
    <row r="2362" spans="8:8">
      <c r="H2362" s="680" t="s">
        <v>6153</v>
      </c>
    </row>
    <row r="2363" spans="8:8">
      <c r="H2363" s="680" t="s">
        <v>6153</v>
      </c>
    </row>
    <row r="2364" spans="8:8">
      <c r="H2364" s="680" t="s">
        <v>6153</v>
      </c>
    </row>
    <row r="2365" spans="8:8">
      <c r="H2365" s="680" t="s">
        <v>6153</v>
      </c>
    </row>
    <row r="2366" spans="8:8">
      <c r="H2366" s="680" t="s">
        <v>6153</v>
      </c>
    </row>
    <row r="2367" spans="8:8">
      <c r="H2367" s="680" t="s">
        <v>6153</v>
      </c>
    </row>
    <row r="2368" spans="8:8">
      <c r="H2368" s="680" t="s">
        <v>6153</v>
      </c>
    </row>
    <row r="2369" spans="8:8">
      <c r="H2369" s="680" t="s">
        <v>6153</v>
      </c>
    </row>
    <row r="2370" spans="8:8">
      <c r="H2370" s="680" t="s">
        <v>6153</v>
      </c>
    </row>
    <row r="2371" spans="8:8">
      <c r="H2371" s="680" t="s">
        <v>6153</v>
      </c>
    </row>
    <row r="2372" spans="8:8">
      <c r="H2372" s="680" t="s">
        <v>6153</v>
      </c>
    </row>
    <row r="2373" spans="8:8">
      <c r="H2373" s="680" t="s">
        <v>6153</v>
      </c>
    </row>
    <row r="2374" spans="8:8">
      <c r="H2374" s="680" t="s">
        <v>6153</v>
      </c>
    </row>
    <row r="2375" spans="8:8">
      <c r="H2375" s="680" t="s">
        <v>6153</v>
      </c>
    </row>
    <row r="2376" spans="8:8">
      <c r="H2376" s="680" t="s">
        <v>6153</v>
      </c>
    </row>
    <row r="2377" spans="8:8">
      <c r="H2377" s="680" t="s">
        <v>6153</v>
      </c>
    </row>
    <row r="2378" spans="8:8">
      <c r="H2378" s="680" t="s">
        <v>6153</v>
      </c>
    </row>
    <row r="2379" spans="8:8">
      <c r="H2379" s="680" t="s">
        <v>6153</v>
      </c>
    </row>
    <row r="2380" spans="8:8">
      <c r="H2380" s="680" t="s">
        <v>6153</v>
      </c>
    </row>
    <row r="2381" spans="8:8">
      <c r="H2381" s="680" t="s">
        <v>6153</v>
      </c>
    </row>
    <row r="2382" spans="8:8">
      <c r="H2382" s="680" t="s">
        <v>6153</v>
      </c>
    </row>
    <row r="2383" spans="8:8">
      <c r="H2383" s="680" t="s">
        <v>6153</v>
      </c>
    </row>
    <row r="2384" spans="8:8">
      <c r="H2384" s="680" t="s">
        <v>6153</v>
      </c>
    </row>
    <row r="2385" spans="8:8">
      <c r="H2385" s="680" t="s">
        <v>6153</v>
      </c>
    </row>
    <row r="2386" spans="8:8">
      <c r="H2386" s="680" t="s">
        <v>6153</v>
      </c>
    </row>
    <row r="2387" spans="8:8">
      <c r="H2387" s="680" t="s">
        <v>6153</v>
      </c>
    </row>
    <row r="2388" spans="8:8">
      <c r="H2388" s="680" t="s">
        <v>6153</v>
      </c>
    </row>
    <row r="2389" spans="8:8">
      <c r="H2389" s="680" t="s">
        <v>6153</v>
      </c>
    </row>
    <row r="2390" spans="8:8">
      <c r="H2390" s="680" t="s">
        <v>6153</v>
      </c>
    </row>
    <row r="2391" spans="8:8">
      <c r="H2391" s="680" t="s">
        <v>6153</v>
      </c>
    </row>
    <row r="2392" spans="8:8">
      <c r="H2392" s="680" t="s">
        <v>6153</v>
      </c>
    </row>
    <row r="2393" spans="8:8">
      <c r="H2393" s="680" t="s">
        <v>6153</v>
      </c>
    </row>
    <row r="2394" spans="8:8">
      <c r="H2394" s="680" t="s">
        <v>6153</v>
      </c>
    </row>
    <row r="2395" spans="8:8">
      <c r="H2395" s="680" t="s">
        <v>6153</v>
      </c>
    </row>
    <row r="2396" spans="8:8">
      <c r="H2396" s="680" t="s">
        <v>6153</v>
      </c>
    </row>
    <row r="2397" spans="8:8">
      <c r="H2397" s="680" t="s">
        <v>6153</v>
      </c>
    </row>
    <row r="2398" spans="8:8">
      <c r="H2398" s="680" t="s">
        <v>6153</v>
      </c>
    </row>
    <row r="2399" spans="8:8">
      <c r="H2399" s="680" t="s">
        <v>6153</v>
      </c>
    </row>
    <row r="2400" spans="8:8">
      <c r="H2400" s="680" t="s">
        <v>6153</v>
      </c>
    </row>
    <row r="2401" spans="8:8">
      <c r="H2401" s="680" t="s">
        <v>6153</v>
      </c>
    </row>
    <row r="2402" spans="8:8">
      <c r="H2402" s="680" t="s">
        <v>6153</v>
      </c>
    </row>
    <row r="2403" spans="8:8">
      <c r="H2403" s="680" t="s">
        <v>6153</v>
      </c>
    </row>
    <row r="2404" spans="8:8">
      <c r="H2404" s="680" t="s">
        <v>6153</v>
      </c>
    </row>
    <row r="2405" spans="8:8">
      <c r="H2405" s="680" t="s">
        <v>6153</v>
      </c>
    </row>
    <row r="2406" spans="8:8">
      <c r="H2406" s="680" t="s">
        <v>6153</v>
      </c>
    </row>
    <row r="2407" spans="8:8">
      <c r="H2407" s="680" t="s">
        <v>6153</v>
      </c>
    </row>
    <row r="2408" spans="8:8">
      <c r="H2408" s="680" t="s">
        <v>6153</v>
      </c>
    </row>
    <row r="2409" spans="8:8">
      <c r="H2409" s="680" t="s">
        <v>6153</v>
      </c>
    </row>
    <row r="2410" spans="8:8">
      <c r="H2410" s="680" t="s">
        <v>6153</v>
      </c>
    </row>
    <row r="2411" spans="8:8">
      <c r="H2411" s="680" t="s">
        <v>6153</v>
      </c>
    </row>
    <row r="2412" spans="8:8">
      <c r="H2412" s="680" t="s">
        <v>6153</v>
      </c>
    </row>
    <row r="2413" spans="8:8">
      <c r="H2413" s="680" t="s">
        <v>6153</v>
      </c>
    </row>
    <row r="2414" spans="8:8">
      <c r="H2414" s="680" t="s">
        <v>6153</v>
      </c>
    </row>
    <row r="2415" spans="8:8">
      <c r="H2415" s="680" t="s">
        <v>6153</v>
      </c>
    </row>
    <row r="2416" spans="8:8">
      <c r="H2416" s="680" t="s">
        <v>6153</v>
      </c>
    </row>
    <row r="2417" spans="8:8">
      <c r="H2417" s="680" t="s">
        <v>6153</v>
      </c>
    </row>
    <row r="2418" spans="8:8">
      <c r="H2418" s="680" t="s">
        <v>6153</v>
      </c>
    </row>
    <row r="2419" spans="8:8">
      <c r="H2419" s="680" t="s">
        <v>6153</v>
      </c>
    </row>
    <row r="2420" spans="8:8">
      <c r="H2420" s="680" t="s">
        <v>6153</v>
      </c>
    </row>
    <row r="2421" spans="8:8">
      <c r="H2421" s="680" t="s">
        <v>6153</v>
      </c>
    </row>
    <row r="2422" spans="8:8">
      <c r="H2422" s="680" t="s">
        <v>6153</v>
      </c>
    </row>
    <row r="2423" spans="8:8">
      <c r="H2423" s="680" t="s">
        <v>6153</v>
      </c>
    </row>
    <row r="2424" spans="8:8">
      <c r="H2424" s="680" t="s">
        <v>6153</v>
      </c>
    </row>
    <row r="2425" spans="8:8">
      <c r="H2425" s="680" t="s">
        <v>6153</v>
      </c>
    </row>
    <row r="2426" spans="8:8">
      <c r="H2426" s="680" t="s">
        <v>6153</v>
      </c>
    </row>
    <row r="2427" spans="8:8">
      <c r="H2427" s="680" t="s">
        <v>6153</v>
      </c>
    </row>
    <row r="2428" spans="8:8">
      <c r="H2428" s="680" t="s">
        <v>6153</v>
      </c>
    </row>
    <row r="2429" spans="8:8">
      <c r="H2429" s="680" t="s">
        <v>6153</v>
      </c>
    </row>
    <row r="2430" spans="8:8">
      <c r="H2430" s="680" t="s">
        <v>6153</v>
      </c>
    </row>
    <row r="2431" spans="8:8">
      <c r="H2431" s="680" t="s">
        <v>6153</v>
      </c>
    </row>
    <row r="2432" spans="8:8">
      <c r="H2432" s="680" t="s">
        <v>6153</v>
      </c>
    </row>
    <row r="2433" spans="8:8">
      <c r="H2433" s="680" t="s">
        <v>6153</v>
      </c>
    </row>
    <row r="2434" spans="8:8">
      <c r="H2434" s="680" t="s">
        <v>6153</v>
      </c>
    </row>
    <row r="2435" spans="8:8">
      <c r="H2435" s="680" t="s">
        <v>6153</v>
      </c>
    </row>
    <row r="2436" spans="8:8">
      <c r="H2436" s="680" t="s">
        <v>6153</v>
      </c>
    </row>
    <row r="2437" spans="8:8">
      <c r="H2437" s="680" t="s">
        <v>6153</v>
      </c>
    </row>
    <row r="2438" spans="8:8">
      <c r="H2438" s="680" t="s">
        <v>6153</v>
      </c>
    </row>
    <row r="2439" spans="8:8">
      <c r="H2439" s="680" t="s">
        <v>6153</v>
      </c>
    </row>
    <row r="2440" spans="8:8">
      <c r="H2440" s="680" t="s">
        <v>6153</v>
      </c>
    </row>
    <row r="2441" spans="8:8">
      <c r="H2441" s="680" t="s">
        <v>6153</v>
      </c>
    </row>
    <row r="2442" spans="8:8">
      <c r="H2442" s="680" t="s">
        <v>6153</v>
      </c>
    </row>
    <row r="2443" spans="8:8">
      <c r="H2443" s="680" t="s">
        <v>6153</v>
      </c>
    </row>
    <row r="2444" spans="8:8">
      <c r="H2444" s="680" t="s">
        <v>6153</v>
      </c>
    </row>
    <row r="2445" spans="8:8">
      <c r="H2445" s="680" t="s">
        <v>6153</v>
      </c>
    </row>
    <row r="2446" spans="8:8">
      <c r="H2446" s="680" t="s">
        <v>6153</v>
      </c>
    </row>
    <row r="2447" spans="8:8">
      <c r="H2447" s="680" t="s">
        <v>6153</v>
      </c>
    </row>
    <row r="2448" spans="8:8">
      <c r="H2448" s="680" t="s">
        <v>6153</v>
      </c>
    </row>
    <row r="2449" spans="8:8">
      <c r="H2449" s="680" t="s">
        <v>6153</v>
      </c>
    </row>
    <row r="2450" spans="8:8">
      <c r="H2450" s="680" t="s">
        <v>6153</v>
      </c>
    </row>
    <row r="2451" spans="8:8">
      <c r="H2451" s="680" t="s">
        <v>6153</v>
      </c>
    </row>
    <row r="2452" spans="8:8">
      <c r="H2452" s="680" t="s">
        <v>6153</v>
      </c>
    </row>
    <row r="2453" spans="8:8">
      <c r="H2453" s="680" t="s">
        <v>6153</v>
      </c>
    </row>
    <row r="2454" spans="8:8">
      <c r="H2454" s="680" t="s">
        <v>6153</v>
      </c>
    </row>
    <row r="2455" spans="8:8">
      <c r="H2455" s="680" t="s">
        <v>6153</v>
      </c>
    </row>
    <row r="2456" spans="8:8">
      <c r="H2456" s="680" t="s">
        <v>6153</v>
      </c>
    </row>
    <row r="2457" spans="8:8">
      <c r="H2457" s="680" t="s">
        <v>6153</v>
      </c>
    </row>
    <row r="2458" spans="8:8">
      <c r="H2458" s="680" t="s">
        <v>6153</v>
      </c>
    </row>
    <row r="2459" spans="8:8">
      <c r="H2459" s="680" t="s">
        <v>6153</v>
      </c>
    </row>
    <row r="2460" spans="8:8">
      <c r="H2460" s="680" t="s">
        <v>6153</v>
      </c>
    </row>
    <row r="2461" spans="8:8">
      <c r="H2461" s="680" t="s">
        <v>6153</v>
      </c>
    </row>
    <row r="2462" spans="8:8">
      <c r="H2462" s="680" t="s">
        <v>6153</v>
      </c>
    </row>
    <row r="2463" spans="8:8">
      <c r="H2463" s="680" t="s">
        <v>6153</v>
      </c>
    </row>
    <row r="2464" spans="8:8">
      <c r="H2464" s="680" t="s">
        <v>6153</v>
      </c>
    </row>
    <row r="2465" spans="8:8">
      <c r="H2465" s="680" t="s">
        <v>6153</v>
      </c>
    </row>
    <row r="2466" spans="8:8">
      <c r="H2466" s="680" t="s">
        <v>6153</v>
      </c>
    </row>
    <row r="2467" spans="8:8">
      <c r="H2467" s="680" t="s">
        <v>6153</v>
      </c>
    </row>
    <row r="2468" spans="8:8">
      <c r="H2468" s="680" t="s">
        <v>6153</v>
      </c>
    </row>
    <row r="2469" spans="8:8">
      <c r="H2469" s="680" t="s">
        <v>6153</v>
      </c>
    </row>
    <row r="2470" spans="8:8">
      <c r="H2470" s="680" t="s">
        <v>6153</v>
      </c>
    </row>
    <row r="2471" spans="8:8">
      <c r="H2471" s="680" t="s">
        <v>6153</v>
      </c>
    </row>
    <row r="2472" spans="8:8">
      <c r="H2472" s="680" t="s">
        <v>6153</v>
      </c>
    </row>
    <row r="2473" spans="8:8">
      <c r="H2473" s="680" t="s">
        <v>6153</v>
      </c>
    </row>
    <row r="2474" spans="8:8">
      <c r="H2474" s="680" t="s">
        <v>6153</v>
      </c>
    </row>
    <row r="2475" spans="8:8">
      <c r="H2475" s="680" t="s">
        <v>6153</v>
      </c>
    </row>
    <row r="2476" spans="8:8">
      <c r="H2476" s="680" t="s">
        <v>6153</v>
      </c>
    </row>
    <row r="2477" spans="8:8">
      <c r="H2477" s="680" t="s">
        <v>6153</v>
      </c>
    </row>
    <row r="2478" spans="8:8">
      <c r="H2478" s="680" t="s">
        <v>6153</v>
      </c>
    </row>
    <row r="2479" spans="8:8">
      <c r="H2479" s="680" t="s">
        <v>6153</v>
      </c>
    </row>
    <row r="2480" spans="8:8">
      <c r="H2480" s="680" t="s">
        <v>6153</v>
      </c>
    </row>
    <row r="2481" spans="8:8">
      <c r="H2481" s="680" t="s">
        <v>6153</v>
      </c>
    </row>
    <row r="2482" spans="8:8">
      <c r="H2482" s="680" t="s">
        <v>6153</v>
      </c>
    </row>
    <row r="2483" spans="8:8">
      <c r="H2483" s="680" t="s">
        <v>6153</v>
      </c>
    </row>
    <row r="2484" spans="8:8">
      <c r="H2484" s="680" t="s">
        <v>6153</v>
      </c>
    </row>
    <row r="2485" spans="8:8">
      <c r="H2485" s="680" t="s">
        <v>6153</v>
      </c>
    </row>
    <row r="2486" spans="8:8">
      <c r="H2486" s="680" t="s">
        <v>6153</v>
      </c>
    </row>
    <row r="2487" spans="8:8">
      <c r="H2487" s="680" t="s">
        <v>6153</v>
      </c>
    </row>
    <row r="2488" spans="8:8">
      <c r="H2488" s="680" t="s">
        <v>6153</v>
      </c>
    </row>
    <row r="2489" spans="8:8">
      <c r="H2489" s="680" t="s">
        <v>6153</v>
      </c>
    </row>
    <row r="2490" spans="8:8">
      <c r="H2490" s="680" t="s">
        <v>6153</v>
      </c>
    </row>
    <row r="2491" spans="8:8">
      <c r="H2491" s="680" t="s">
        <v>6153</v>
      </c>
    </row>
    <row r="2492" spans="8:8">
      <c r="H2492" s="680" t="s">
        <v>6153</v>
      </c>
    </row>
    <row r="2493" spans="8:8">
      <c r="H2493" s="680" t="s">
        <v>6153</v>
      </c>
    </row>
    <row r="2494" spans="8:8">
      <c r="H2494" s="680" t="s">
        <v>6153</v>
      </c>
    </row>
    <row r="2495" spans="8:8">
      <c r="H2495" s="680" t="s">
        <v>6153</v>
      </c>
    </row>
    <row r="2496" spans="8:8">
      <c r="H2496" s="680" t="s">
        <v>6153</v>
      </c>
    </row>
    <row r="2497" spans="8:8">
      <c r="H2497" s="680" t="s">
        <v>6153</v>
      </c>
    </row>
    <row r="2498" spans="8:8">
      <c r="H2498" s="680" t="s">
        <v>6153</v>
      </c>
    </row>
    <row r="2499" spans="8:8">
      <c r="H2499" s="680" t="s">
        <v>6153</v>
      </c>
    </row>
    <row r="2500" spans="8:8">
      <c r="H2500" s="680" t="s">
        <v>6153</v>
      </c>
    </row>
    <row r="2501" spans="8:8">
      <c r="H2501" s="680" t="s">
        <v>6153</v>
      </c>
    </row>
    <row r="2502" spans="8:8">
      <c r="H2502" s="680" t="s">
        <v>6153</v>
      </c>
    </row>
    <row r="2503" spans="8:8">
      <c r="H2503" s="680" t="s">
        <v>6153</v>
      </c>
    </row>
    <row r="2504" spans="8:8">
      <c r="H2504" s="680" t="s">
        <v>6153</v>
      </c>
    </row>
    <row r="2505" spans="8:8">
      <c r="H2505" s="680" t="s">
        <v>6153</v>
      </c>
    </row>
    <row r="2506" spans="8:8">
      <c r="H2506" s="680" t="s">
        <v>6153</v>
      </c>
    </row>
    <row r="2507" spans="8:8">
      <c r="H2507" s="680" t="s">
        <v>6153</v>
      </c>
    </row>
    <row r="2508" spans="8:8">
      <c r="H2508" s="680" t="s">
        <v>6153</v>
      </c>
    </row>
    <row r="2509" spans="8:8">
      <c r="H2509" s="680" t="s">
        <v>6153</v>
      </c>
    </row>
    <row r="2510" spans="8:8">
      <c r="H2510" s="680" t="s">
        <v>6153</v>
      </c>
    </row>
    <row r="2511" spans="8:8">
      <c r="H2511" s="680" t="s">
        <v>6153</v>
      </c>
    </row>
    <row r="2512" spans="8:8">
      <c r="H2512" s="680" t="s">
        <v>6153</v>
      </c>
    </row>
    <row r="2513" spans="8:8">
      <c r="H2513" s="680" t="s">
        <v>6153</v>
      </c>
    </row>
    <row r="2514" spans="8:8">
      <c r="H2514" s="680" t="s">
        <v>6153</v>
      </c>
    </row>
    <row r="2515" spans="8:8">
      <c r="H2515" s="680" t="s">
        <v>6153</v>
      </c>
    </row>
    <row r="2516" spans="8:8">
      <c r="H2516" s="680" t="s">
        <v>6153</v>
      </c>
    </row>
    <row r="2517" spans="8:8">
      <c r="H2517" s="680" t="s">
        <v>6153</v>
      </c>
    </row>
    <row r="2518" spans="8:8">
      <c r="H2518" s="680" t="s">
        <v>6153</v>
      </c>
    </row>
    <row r="2519" spans="8:8">
      <c r="H2519" s="680" t="s">
        <v>6153</v>
      </c>
    </row>
    <row r="2520" spans="8:8">
      <c r="H2520" s="680" t="s">
        <v>6153</v>
      </c>
    </row>
    <row r="2521" spans="8:8">
      <c r="H2521" s="680" t="s">
        <v>6153</v>
      </c>
    </row>
    <row r="2522" spans="8:8">
      <c r="H2522" s="680" t="s">
        <v>6153</v>
      </c>
    </row>
    <row r="2523" spans="8:8">
      <c r="H2523" s="680" t="s">
        <v>6153</v>
      </c>
    </row>
    <row r="2524" spans="8:8">
      <c r="H2524" s="680" t="s">
        <v>6153</v>
      </c>
    </row>
    <row r="2525" spans="8:8">
      <c r="H2525" s="680" t="s">
        <v>6153</v>
      </c>
    </row>
    <row r="2526" spans="8:8">
      <c r="H2526" s="680" t="s">
        <v>6153</v>
      </c>
    </row>
    <row r="2527" spans="8:8">
      <c r="H2527" s="680" t="s">
        <v>6153</v>
      </c>
    </row>
    <row r="2528" spans="8:8">
      <c r="H2528" s="680" t="s">
        <v>6153</v>
      </c>
    </row>
    <row r="2529" spans="8:8">
      <c r="H2529" s="680" t="s">
        <v>6153</v>
      </c>
    </row>
    <row r="2530" spans="8:8">
      <c r="H2530" s="680" t="s">
        <v>6153</v>
      </c>
    </row>
    <row r="2531" spans="8:8">
      <c r="H2531" s="680" t="s">
        <v>6153</v>
      </c>
    </row>
    <row r="2532" spans="8:8">
      <c r="H2532" s="680" t="s">
        <v>6153</v>
      </c>
    </row>
    <row r="2533" spans="8:8">
      <c r="H2533" s="680" t="s">
        <v>6153</v>
      </c>
    </row>
    <row r="2534" spans="8:8">
      <c r="H2534" s="680" t="s">
        <v>6153</v>
      </c>
    </row>
    <row r="2535" spans="8:8">
      <c r="H2535" s="680" t="s">
        <v>6153</v>
      </c>
    </row>
    <row r="2536" spans="8:8">
      <c r="H2536" s="680" t="s">
        <v>6153</v>
      </c>
    </row>
    <row r="2537" spans="8:8">
      <c r="H2537" s="680" t="s">
        <v>6153</v>
      </c>
    </row>
    <row r="2538" spans="8:8">
      <c r="H2538" s="680" t="s">
        <v>6153</v>
      </c>
    </row>
    <row r="2539" spans="8:8">
      <c r="H2539" s="680" t="s">
        <v>6153</v>
      </c>
    </row>
    <row r="2540" spans="8:8">
      <c r="H2540" s="680" t="s">
        <v>6153</v>
      </c>
    </row>
    <row r="2541" spans="8:8">
      <c r="H2541" s="680" t="s">
        <v>6153</v>
      </c>
    </row>
    <row r="2542" spans="8:8">
      <c r="H2542" s="680" t="s">
        <v>6153</v>
      </c>
    </row>
    <row r="2543" spans="8:8">
      <c r="H2543" s="680" t="s">
        <v>6153</v>
      </c>
    </row>
    <row r="2544" spans="8:8">
      <c r="H2544" s="680" t="s">
        <v>6153</v>
      </c>
    </row>
    <row r="2545" spans="8:8">
      <c r="H2545" s="680" t="s">
        <v>6153</v>
      </c>
    </row>
    <row r="2546" spans="8:8">
      <c r="H2546" s="680" t="s">
        <v>6153</v>
      </c>
    </row>
    <row r="2547" spans="8:8">
      <c r="H2547" s="680" t="s">
        <v>6153</v>
      </c>
    </row>
    <row r="2548" spans="8:8">
      <c r="H2548" s="680" t="s">
        <v>6153</v>
      </c>
    </row>
    <row r="2549" spans="8:8">
      <c r="H2549" s="680" t="s">
        <v>6153</v>
      </c>
    </row>
    <row r="2550" spans="8:8">
      <c r="H2550" s="680" t="s">
        <v>6153</v>
      </c>
    </row>
    <row r="2551" spans="8:8">
      <c r="H2551" s="680" t="s">
        <v>6153</v>
      </c>
    </row>
    <row r="2552" spans="8:8">
      <c r="H2552" s="680" t="s">
        <v>6153</v>
      </c>
    </row>
    <row r="2553" spans="8:8">
      <c r="H2553" s="680" t="s">
        <v>6153</v>
      </c>
    </row>
    <row r="2554" spans="8:8">
      <c r="H2554" s="680" t="s">
        <v>6153</v>
      </c>
    </row>
    <row r="2555" spans="8:8">
      <c r="H2555" s="680" t="s">
        <v>6153</v>
      </c>
    </row>
    <row r="2556" spans="8:8">
      <c r="H2556" s="680" t="s">
        <v>6153</v>
      </c>
    </row>
    <row r="2557" spans="8:8">
      <c r="H2557" s="680" t="s">
        <v>6153</v>
      </c>
    </row>
    <row r="2558" spans="8:8">
      <c r="H2558" s="680" t="s">
        <v>6153</v>
      </c>
    </row>
    <row r="2559" spans="8:8">
      <c r="H2559" s="680" t="s">
        <v>6153</v>
      </c>
    </row>
    <row r="2560" spans="8:8">
      <c r="H2560" s="680" t="s">
        <v>6153</v>
      </c>
    </row>
    <row r="2561" spans="8:8">
      <c r="H2561" s="680" t="s">
        <v>6153</v>
      </c>
    </row>
    <row r="2562" spans="8:8">
      <c r="H2562" s="680" t="s">
        <v>6153</v>
      </c>
    </row>
    <row r="2563" spans="8:8">
      <c r="H2563" s="680" t="s">
        <v>6153</v>
      </c>
    </row>
    <row r="2564" spans="8:8">
      <c r="H2564" s="680" t="s">
        <v>6153</v>
      </c>
    </row>
    <row r="2565" spans="8:8">
      <c r="H2565" s="680" t="s">
        <v>6153</v>
      </c>
    </row>
    <row r="2566" spans="8:8">
      <c r="H2566" s="680" t="s">
        <v>6153</v>
      </c>
    </row>
    <row r="2567" spans="8:8">
      <c r="H2567" s="680" t="s">
        <v>6153</v>
      </c>
    </row>
    <row r="2568" spans="8:8">
      <c r="H2568" s="680" t="s">
        <v>6153</v>
      </c>
    </row>
    <row r="2569" spans="8:8">
      <c r="H2569" s="680" t="s">
        <v>6153</v>
      </c>
    </row>
    <row r="2570" spans="8:8">
      <c r="H2570" s="680" t="s">
        <v>6153</v>
      </c>
    </row>
    <row r="2571" spans="8:8">
      <c r="H2571" s="680" t="s">
        <v>6153</v>
      </c>
    </row>
    <row r="2572" spans="8:8">
      <c r="H2572" s="680" t="s">
        <v>6153</v>
      </c>
    </row>
    <row r="2573" spans="8:8">
      <c r="H2573" s="680" t="s">
        <v>6153</v>
      </c>
    </row>
    <row r="2574" spans="8:8">
      <c r="H2574" s="680" t="s">
        <v>6153</v>
      </c>
    </row>
    <row r="2575" spans="8:8">
      <c r="H2575" s="680" t="s">
        <v>6153</v>
      </c>
    </row>
    <row r="2576" spans="8:8">
      <c r="H2576" s="680" t="s">
        <v>6153</v>
      </c>
    </row>
    <row r="2577" spans="8:8">
      <c r="H2577" s="680" t="s">
        <v>6153</v>
      </c>
    </row>
    <row r="2578" spans="8:8">
      <c r="H2578" s="680" t="s">
        <v>6153</v>
      </c>
    </row>
    <row r="2579" spans="8:8">
      <c r="H2579" s="680" t="s">
        <v>6153</v>
      </c>
    </row>
    <row r="2580" spans="8:8">
      <c r="H2580" s="680" t="s">
        <v>6153</v>
      </c>
    </row>
    <row r="2581" spans="8:8">
      <c r="H2581" s="680" t="s">
        <v>6153</v>
      </c>
    </row>
    <row r="2582" spans="8:8">
      <c r="H2582" s="680" t="s">
        <v>6153</v>
      </c>
    </row>
    <row r="2583" spans="8:8">
      <c r="H2583" s="680" t="s">
        <v>6153</v>
      </c>
    </row>
    <row r="2584" spans="8:8">
      <c r="H2584" s="680" t="s">
        <v>6153</v>
      </c>
    </row>
    <row r="2585" spans="8:8">
      <c r="H2585" s="680" t="s">
        <v>6153</v>
      </c>
    </row>
    <row r="2586" spans="8:8">
      <c r="H2586" s="680" t="s">
        <v>6153</v>
      </c>
    </row>
    <row r="2587" spans="8:8">
      <c r="H2587" s="680" t="s">
        <v>6153</v>
      </c>
    </row>
    <row r="2588" spans="8:8">
      <c r="H2588" s="680" t="s">
        <v>6153</v>
      </c>
    </row>
    <row r="2589" spans="8:8">
      <c r="H2589" s="680" t="s">
        <v>6153</v>
      </c>
    </row>
    <row r="2590" spans="8:8">
      <c r="H2590" s="680" t="s">
        <v>6153</v>
      </c>
    </row>
    <row r="2591" spans="8:8">
      <c r="H2591" s="680" t="s">
        <v>6153</v>
      </c>
    </row>
    <row r="2592" spans="8:8">
      <c r="H2592" s="680" t="s">
        <v>6153</v>
      </c>
    </row>
    <row r="2593" spans="8:8">
      <c r="H2593" s="680" t="s">
        <v>6153</v>
      </c>
    </row>
    <row r="2594" spans="8:8">
      <c r="H2594" s="680" t="s">
        <v>6153</v>
      </c>
    </row>
    <row r="2595" spans="8:8">
      <c r="H2595" s="680" t="s">
        <v>6153</v>
      </c>
    </row>
    <row r="2596" spans="8:8">
      <c r="H2596" s="680" t="s">
        <v>6153</v>
      </c>
    </row>
    <row r="2597" spans="8:8">
      <c r="H2597" s="680" t="s">
        <v>6153</v>
      </c>
    </row>
    <row r="2598" spans="8:8">
      <c r="H2598" s="680" t="s">
        <v>6153</v>
      </c>
    </row>
    <row r="2599" spans="8:8">
      <c r="H2599" s="680" t="s">
        <v>6153</v>
      </c>
    </row>
    <row r="2600" spans="8:8">
      <c r="H2600" s="680" t="s">
        <v>6153</v>
      </c>
    </row>
    <row r="2601" spans="8:8">
      <c r="H2601" s="680" t="s">
        <v>6153</v>
      </c>
    </row>
    <row r="2602" spans="8:8">
      <c r="H2602" s="680" t="s">
        <v>6153</v>
      </c>
    </row>
    <row r="2603" spans="8:8">
      <c r="H2603" s="680" t="s">
        <v>6153</v>
      </c>
    </row>
    <row r="2604" spans="8:8">
      <c r="H2604" s="680" t="s">
        <v>6153</v>
      </c>
    </row>
    <row r="2605" spans="8:8">
      <c r="H2605" s="680" t="s">
        <v>6153</v>
      </c>
    </row>
    <row r="2606" spans="8:8">
      <c r="H2606" s="680" t="s">
        <v>6153</v>
      </c>
    </row>
    <row r="2607" spans="8:8">
      <c r="H2607" s="680" t="s">
        <v>6153</v>
      </c>
    </row>
    <row r="2608" spans="8:8">
      <c r="H2608" s="680" t="s">
        <v>6153</v>
      </c>
    </row>
    <row r="2609" spans="8:8">
      <c r="H2609" s="680" t="s">
        <v>6153</v>
      </c>
    </row>
    <row r="2610" spans="8:8">
      <c r="H2610" s="680" t="s">
        <v>6153</v>
      </c>
    </row>
    <row r="2611" spans="8:8">
      <c r="H2611" s="680" t="s">
        <v>6153</v>
      </c>
    </row>
    <row r="2612" spans="8:8">
      <c r="H2612" s="680" t="s">
        <v>6153</v>
      </c>
    </row>
    <row r="2613" spans="8:8">
      <c r="H2613" s="680" t="s">
        <v>6153</v>
      </c>
    </row>
    <row r="2614" spans="8:8">
      <c r="H2614" s="680" t="s">
        <v>6153</v>
      </c>
    </row>
    <row r="2615" spans="8:8">
      <c r="H2615" s="680" t="s">
        <v>6153</v>
      </c>
    </row>
    <row r="2616" spans="8:8">
      <c r="H2616" s="680" t="s">
        <v>6153</v>
      </c>
    </row>
    <row r="2617" spans="8:8">
      <c r="H2617" s="680" t="s">
        <v>6153</v>
      </c>
    </row>
    <row r="2618" spans="8:8">
      <c r="H2618" s="680" t="s">
        <v>6153</v>
      </c>
    </row>
    <row r="2619" spans="8:8">
      <c r="H2619" s="680" t="s">
        <v>6153</v>
      </c>
    </row>
    <row r="2620" spans="8:8">
      <c r="H2620" s="680" t="s">
        <v>6153</v>
      </c>
    </row>
    <row r="2621" spans="8:8">
      <c r="H2621" s="680" t="s">
        <v>6153</v>
      </c>
    </row>
    <row r="2622" spans="8:8">
      <c r="H2622" s="680" t="s">
        <v>6153</v>
      </c>
    </row>
    <row r="2623" spans="8:8">
      <c r="H2623" s="680" t="s">
        <v>6153</v>
      </c>
    </row>
    <row r="2624" spans="8:8">
      <c r="H2624" s="680" t="s">
        <v>6153</v>
      </c>
    </row>
    <row r="2625" spans="8:8">
      <c r="H2625" s="680" t="s">
        <v>6153</v>
      </c>
    </row>
    <row r="2626" spans="8:8">
      <c r="H2626" s="680" t="s">
        <v>6153</v>
      </c>
    </row>
    <row r="2627" spans="8:8">
      <c r="H2627" s="680" t="s">
        <v>6153</v>
      </c>
    </row>
    <row r="2628" spans="8:8">
      <c r="H2628" s="680" t="s">
        <v>6153</v>
      </c>
    </row>
    <row r="2629" spans="8:8">
      <c r="H2629" s="680" t="s">
        <v>6153</v>
      </c>
    </row>
    <row r="2630" spans="8:8">
      <c r="H2630" s="680" t="s">
        <v>6153</v>
      </c>
    </row>
    <row r="2631" spans="8:8">
      <c r="H2631" s="680" t="s">
        <v>6153</v>
      </c>
    </row>
    <row r="2632" spans="8:8">
      <c r="H2632" s="680" t="s">
        <v>6153</v>
      </c>
    </row>
    <row r="2633" spans="8:8">
      <c r="H2633" s="680" t="s">
        <v>6153</v>
      </c>
    </row>
    <row r="2634" spans="8:8">
      <c r="H2634" s="680" t="s">
        <v>6153</v>
      </c>
    </row>
    <row r="2635" spans="8:8">
      <c r="H2635" s="680" t="s">
        <v>6153</v>
      </c>
    </row>
    <row r="2636" spans="8:8">
      <c r="H2636" s="680" t="s">
        <v>6153</v>
      </c>
    </row>
    <row r="2637" spans="8:8">
      <c r="H2637" s="680" t="s">
        <v>6153</v>
      </c>
    </row>
    <row r="2638" spans="8:8">
      <c r="H2638" s="680" t="s">
        <v>6153</v>
      </c>
    </row>
    <row r="2639" spans="8:8">
      <c r="H2639" s="680" t="s">
        <v>6153</v>
      </c>
    </row>
    <row r="2640" spans="8:8">
      <c r="H2640" s="680" t="s">
        <v>6153</v>
      </c>
    </row>
    <row r="2641" spans="8:8">
      <c r="H2641" s="680" t="s">
        <v>6153</v>
      </c>
    </row>
    <row r="2642" spans="8:8">
      <c r="H2642" s="680" t="s">
        <v>6153</v>
      </c>
    </row>
    <row r="2643" spans="8:8">
      <c r="H2643" s="680" t="s">
        <v>6153</v>
      </c>
    </row>
    <row r="2644" spans="8:8">
      <c r="H2644" s="680" t="s">
        <v>6153</v>
      </c>
    </row>
    <row r="2645" spans="8:8">
      <c r="H2645" s="680" t="s">
        <v>6153</v>
      </c>
    </row>
    <row r="2646" spans="8:8">
      <c r="H2646" s="680" t="s">
        <v>6153</v>
      </c>
    </row>
    <row r="2647" spans="8:8">
      <c r="H2647" s="680" t="s">
        <v>6153</v>
      </c>
    </row>
    <row r="2648" spans="8:8">
      <c r="H2648" s="680" t="s">
        <v>6153</v>
      </c>
    </row>
    <row r="2649" spans="8:8">
      <c r="H2649" s="680" t="s">
        <v>6153</v>
      </c>
    </row>
    <row r="2650" spans="8:8">
      <c r="H2650" s="680" t="s">
        <v>6153</v>
      </c>
    </row>
    <row r="2651" spans="8:8">
      <c r="H2651" s="680" t="s">
        <v>6153</v>
      </c>
    </row>
    <row r="2652" spans="8:8">
      <c r="H2652" s="680" t="s">
        <v>6153</v>
      </c>
    </row>
    <row r="2653" spans="8:8">
      <c r="H2653" s="680" t="s">
        <v>6153</v>
      </c>
    </row>
    <row r="2654" spans="8:8">
      <c r="H2654" s="680" t="s">
        <v>6153</v>
      </c>
    </row>
    <row r="2655" spans="8:8">
      <c r="H2655" s="680" t="s">
        <v>6153</v>
      </c>
    </row>
    <row r="2656" spans="8:8">
      <c r="H2656" s="680" t="s">
        <v>6153</v>
      </c>
    </row>
    <row r="2657" spans="8:8">
      <c r="H2657" s="680" t="s">
        <v>6153</v>
      </c>
    </row>
    <row r="2658" spans="8:8">
      <c r="H2658" s="680" t="s">
        <v>6153</v>
      </c>
    </row>
    <row r="2659" spans="8:8">
      <c r="H2659" s="680" t="s">
        <v>6153</v>
      </c>
    </row>
    <row r="2660" spans="8:8">
      <c r="H2660" s="680" t="s">
        <v>6153</v>
      </c>
    </row>
    <row r="2661" spans="8:8">
      <c r="H2661" s="680" t="s">
        <v>6153</v>
      </c>
    </row>
    <row r="2662" spans="8:8">
      <c r="H2662" s="680" t="s">
        <v>6153</v>
      </c>
    </row>
    <row r="2663" spans="8:8">
      <c r="H2663" s="680" t="s">
        <v>6153</v>
      </c>
    </row>
    <row r="2664" spans="8:8">
      <c r="H2664" s="680" t="s">
        <v>6153</v>
      </c>
    </row>
    <row r="2665" spans="8:8">
      <c r="H2665" s="680" t="s">
        <v>6153</v>
      </c>
    </row>
    <row r="2666" spans="8:8">
      <c r="H2666" s="680" t="s">
        <v>6153</v>
      </c>
    </row>
    <row r="2667" spans="8:8">
      <c r="H2667" s="680" t="s">
        <v>6153</v>
      </c>
    </row>
    <row r="2668" spans="8:8">
      <c r="H2668" s="680" t="s">
        <v>6153</v>
      </c>
    </row>
    <row r="2669" spans="8:8">
      <c r="H2669" s="680" t="s">
        <v>6153</v>
      </c>
    </row>
    <row r="2670" spans="8:8">
      <c r="H2670" s="680" t="s">
        <v>6153</v>
      </c>
    </row>
    <row r="2671" spans="8:8">
      <c r="H2671" s="680" t="s">
        <v>6153</v>
      </c>
    </row>
    <row r="2672" spans="8:8">
      <c r="H2672" s="680" t="s">
        <v>6153</v>
      </c>
    </row>
    <row r="2673" spans="8:8">
      <c r="H2673" s="680" t="s">
        <v>6153</v>
      </c>
    </row>
    <row r="2674" spans="8:8">
      <c r="H2674" s="680" t="s">
        <v>6153</v>
      </c>
    </row>
    <row r="2675" spans="8:8">
      <c r="H2675" s="680" t="s">
        <v>6153</v>
      </c>
    </row>
    <row r="2676" spans="8:8">
      <c r="H2676" s="680" t="s">
        <v>6153</v>
      </c>
    </row>
    <row r="2677" spans="8:8">
      <c r="H2677" s="680" t="s">
        <v>6153</v>
      </c>
    </row>
    <row r="2678" spans="8:8">
      <c r="H2678" s="680" t="s">
        <v>6153</v>
      </c>
    </row>
    <row r="2679" spans="8:8">
      <c r="H2679" s="680" t="s">
        <v>6153</v>
      </c>
    </row>
    <row r="2680" spans="8:8">
      <c r="H2680" s="680" t="s">
        <v>6153</v>
      </c>
    </row>
    <row r="2681" spans="8:8">
      <c r="H2681" s="680" t="s">
        <v>6153</v>
      </c>
    </row>
    <row r="2682" spans="8:8">
      <c r="H2682" s="680" t="s">
        <v>6153</v>
      </c>
    </row>
    <row r="2683" spans="8:8">
      <c r="H2683" s="680" t="s">
        <v>6153</v>
      </c>
    </row>
    <row r="2684" spans="8:8">
      <c r="H2684" s="680" t="s">
        <v>6153</v>
      </c>
    </row>
    <row r="2685" spans="8:8">
      <c r="H2685" s="680" t="s">
        <v>6153</v>
      </c>
    </row>
    <row r="2686" spans="8:8">
      <c r="H2686" s="680" t="s">
        <v>6153</v>
      </c>
    </row>
    <row r="2687" spans="8:8">
      <c r="H2687" s="680" t="s">
        <v>6153</v>
      </c>
    </row>
    <row r="2688" spans="8:8">
      <c r="H2688" s="680" t="s">
        <v>6153</v>
      </c>
    </row>
    <row r="2689" spans="8:8">
      <c r="H2689" s="680" t="s">
        <v>6153</v>
      </c>
    </row>
    <row r="2690" spans="8:8">
      <c r="H2690" s="680" t="s">
        <v>6153</v>
      </c>
    </row>
    <row r="2691" spans="8:8">
      <c r="H2691" s="680" t="s">
        <v>6153</v>
      </c>
    </row>
    <row r="2692" spans="8:8">
      <c r="H2692" s="680" t="s">
        <v>6153</v>
      </c>
    </row>
    <row r="2693" spans="8:8">
      <c r="H2693" s="680" t="s">
        <v>6153</v>
      </c>
    </row>
    <row r="2694" spans="8:8">
      <c r="H2694" s="680" t="s">
        <v>6153</v>
      </c>
    </row>
    <row r="2695" spans="8:8">
      <c r="H2695" s="680" t="s">
        <v>6153</v>
      </c>
    </row>
    <row r="2696" spans="8:8">
      <c r="H2696" s="680" t="s">
        <v>6153</v>
      </c>
    </row>
    <row r="2697" spans="8:8">
      <c r="H2697" s="680" t="s">
        <v>6153</v>
      </c>
    </row>
    <row r="2698" spans="8:8">
      <c r="H2698" s="680" t="s">
        <v>6153</v>
      </c>
    </row>
    <row r="2699" spans="8:8">
      <c r="H2699" s="680" t="s">
        <v>6153</v>
      </c>
    </row>
    <row r="2700" spans="8:8">
      <c r="H2700" s="680" t="s">
        <v>6153</v>
      </c>
    </row>
    <row r="2701" spans="8:8">
      <c r="H2701" s="680" t="s">
        <v>6153</v>
      </c>
    </row>
    <row r="2702" spans="8:8">
      <c r="H2702" s="680" t="s">
        <v>6153</v>
      </c>
    </row>
    <row r="2703" spans="8:8">
      <c r="H2703" s="680" t="s">
        <v>6153</v>
      </c>
    </row>
    <row r="2704" spans="8:8">
      <c r="H2704" s="680" t="s">
        <v>6153</v>
      </c>
    </row>
    <row r="2705" spans="8:8">
      <c r="H2705" s="680" t="s">
        <v>6153</v>
      </c>
    </row>
    <row r="2706" spans="8:8">
      <c r="H2706" s="680" t="s">
        <v>6153</v>
      </c>
    </row>
    <row r="2707" spans="8:8">
      <c r="H2707" s="680" t="s">
        <v>6153</v>
      </c>
    </row>
    <row r="2708" spans="8:8">
      <c r="H2708" s="680" t="s">
        <v>6153</v>
      </c>
    </row>
    <row r="2709" spans="8:8">
      <c r="H2709" s="680" t="s">
        <v>6153</v>
      </c>
    </row>
    <row r="2710" spans="8:8">
      <c r="H2710" s="680" t="s">
        <v>6153</v>
      </c>
    </row>
    <row r="2711" spans="8:8">
      <c r="H2711" s="680" t="s">
        <v>6153</v>
      </c>
    </row>
    <row r="2712" spans="8:8">
      <c r="H2712" s="680" t="s">
        <v>6153</v>
      </c>
    </row>
    <row r="2713" spans="8:8">
      <c r="H2713" s="680" t="s">
        <v>6153</v>
      </c>
    </row>
    <row r="2714" spans="8:8">
      <c r="H2714" s="680" t="s">
        <v>6153</v>
      </c>
    </row>
    <row r="2715" spans="8:8">
      <c r="H2715" s="680" t="s">
        <v>6153</v>
      </c>
    </row>
    <row r="2716" spans="8:8">
      <c r="H2716" s="680" t="s">
        <v>6153</v>
      </c>
    </row>
    <row r="2717" spans="8:8">
      <c r="H2717" s="680" t="s">
        <v>6153</v>
      </c>
    </row>
    <row r="2718" spans="8:8">
      <c r="H2718" s="680" t="s">
        <v>6153</v>
      </c>
    </row>
    <row r="2719" spans="8:8">
      <c r="H2719" s="680" t="s">
        <v>6153</v>
      </c>
    </row>
    <row r="2720" spans="8:8">
      <c r="H2720" s="680" t="s">
        <v>6153</v>
      </c>
    </row>
    <row r="2721" spans="8:8">
      <c r="H2721" s="680" t="s">
        <v>6153</v>
      </c>
    </row>
    <row r="2722" spans="8:8">
      <c r="H2722" s="680" t="s">
        <v>6153</v>
      </c>
    </row>
    <row r="2723" spans="8:8">
      <c r="H2723" s="680" t="s">
        <v>6153</v>
      </c>
    </row>
    <row r="2724" spans="8:8">
      <c r="H2724" s="680" t="s">
        <v>6153</v>
      </c>
    </row>
    <row r="2725" spans="8:8">
      <c r="H2725" s="680" t="s">
        <v>6153</v>
      </c>
    </row>
    <row r="2726" spans="8:8">
      <c r="H2726" s="680" t="s">
        <v>6153</v>
      </c>
    </row>
    <row r="2727" spans="8:8">
      <c r="H2727" s="680" t="s">
        <v>6153</v>
      </c>
    </row>
    <row r="2728" spans="8:8">
      <c r="H2728" s="680" t="s">
        <v>6153</v>
      </c>
    </row>
    <row r="2729" spans="8:8">
      <c r="H2729" s="680" t="s">
        <v>6153</v>
      </c>
    </row>
    <row r="2730" spans="8:8">
      <c r="H2730" s="680" t="s">
        <v>6153</v>
      </c>
    </row>
    <row r="2731" spans="8:8">
      <c r="H2731" s="680" t="s">
        <v>6153</v>
      </c>
    </row>
    <row r="2732" spans="8:8">
      <c r="H2732" s="680" t="s">
        <v>6153</v>
      </c>
    </row>
    <row r="2733" spans="8:8">
      <c r="H2733" s="680" t="s">
        <v>6153</v>
      </c>
    </row>
    <row r="2734" spans="8:8">
      <c r="H2734" s="680" t="s">
        <v>6153</v>
      </c>
    </row>
    <row r="2735" spans="8:8">
      <c r="H2735" s="680" t="s">
        <v>6153</v>
      </c>
    </row>
    <row r="2736" spans="8:8">
      <c r="H2736" s="680" t="s">
        <v>6153</v>
      </c>
    </row>
    <row r="2737" spans="8:8">
      <c r="H2737" s="680" t="s">
        <v>6153</v>
      </c>
    </row>
    <row r="2738" spans="8:8">
      <c r="H2738" s="680" t="s">
        <v>6153</v>
      </c>
    </row>
    <row r="2739" spans="8:8">
      <c r="H2739" s="680" t="s">
        <v>6153</v>
      </c>
    </row>
    <row r="2740" spans="8:8">
      <c r="H2740" s="680" t="s">
        <v>6153</v>
      </c>
    </row>
    <row r="2741" spans="8:8">
      <c r="H2741" s="680" t="s">
        <v>6153</v>
      </c>
    </row>
    <row r="2742" spans="8:8">
      <c r="H2742" s="680" t="s">
        <v>6153</v>
      </c>
    </row>
    <row r="2743" spans="8:8">
      <c r="H2743" s="680" t="s">
        <v>6153</v>
      </c>
    </row>
    <row r="2744" spans="8:8">
      <c r="H2744" s="680" t="s">
        <v>6153</v>
      </c>
    </row>
    <row r="2745" spans="8:8">
      <c r="H2745" s="680" t="s">
        <v>6153</v>
      </c>
    </row>
    <row r="2746" spans="8:8">
      <c r="H2746" s="680" t="s">
        <v>6153</v>
      </c>
    </row>
    <row r="2747" spans="8:8">
      <c r="H2747" s="680" t="s">
        <v>6153</v>
      </c>
    </row>
    <row r="2748" spans="8:8">
      <c r="H2748" s="680" t="s">
        <v>6153</v>
      </c>
    </row>
    <row r="2749" spans="8:8">
      <c r="H2749" s="680" t="s">
        <v>6153</v>
      </c>
    </row>
    <row r="2750" spans="8:8">
      <c r="H2750" s="680" t="s">
        <v>6153</v>
      </c>
    </row>
    <row r="2751" spans="8:8">
      <c r="H2751" s="680" t="s">
        <v>6153</v>
      </c>
    </row>
    <row r="2752" spans="8:8">
      <c r="H2752" s="680" t="s">
        <v>6153</v>
      </c>
    </row>
    <row r="2753" spans="8:8">
      <c r="H2753" s="680" t="s">
        <v>6153</v>
      </c>
    </row>
    <row r="2754" spans="8:8">
      <c r="H2754" s="680" t="s">
        <v>6153</v>
      </c>
    </row>
    <row r="2755" spans="8:8">
      <c r="H2755" s="680" t="s">
        <v>6153</v>
      </c>
    </row>
    <row r="2756" spans="8:8">
      <c r="H2756" s="680" t="s">
        <v>6153</v>
      </c>
    </row>
    <row r="2757" spans="8:8">
      <c r="H2757" s="680" t="s">
        <v>6153</v>
      </c>
    </row>
    <row r="2758" spans="8:8">
      <c r="H2758" s="680" t="s">
        <v>6153</v>
      </c>
    </row>
    <row r="2759" spans="8:8">
      <c r="H2759" s="680" t="s">
        <v>6153</v>
      </c>
    </row>
    <row r="2760" spans="8:8">
      <c r="H2760" s="680" t="s">
        <v>6153</v>
      </c>
    </row>
    <row r="2761" spans="8:8">
      <c r="H2761" s="680" t="s">
        <v>6153</v>
      </c>
    </row>
    <row r="2762" spans="8:8">
      <c r="H2762" s="680" t="s">
        <v>6153</v>
      </c>
    </row>
    <row r="2763" spans="8:8">
      <c r="H2763" s="680" t="s">
        <v>6153</v>
      </c>
    </row>
    <row r="2764" spans="8:8">
      <c r="H2764" s="680" t="s">
        <v>6153</v>
      </c>
    </row>
    <row r="2765" spans="8:8">
      <c r="H2765" s="680" t="s">
        <v>6153</v>
      </c>
    </row>
    <row r="2766" spans="8:8">
      <c r="H2766" s="680" t="s">
        <v>6153</v>
      </c>
    </row>
    <row r="2767" spans="8:8">
      <c r="H2767" s="680" t="s">
        <v>6153</v>
      </c>
    </row>
    <row r="2768" spans="8:8">
      <c r="H2768" s="680" t="s">
        <v>6153</v>
      </c>
    </row>
    <row r="2769" spans="8:8">
      <c r="H2769" s="680" t="s">
        <v>6153</v>
      </c>
    </row>
    <row r="2770" spans="8:8">
      <c r="H2770" s="680" t="s">
        <v>6153</v>
      </c>
    </row>
    <row r="2771" spans="8:8">
      <c r="H2771" s="680" t="s">
        <v>6153</v>
      </c>
    </row>
    <row r="2772" spans="8:8">
      <c r="H2772" s="680" t="s">
        <v>6153</v>
      </c>
    </row>
    <row r="2773" spans="8:8">
      <c r="H2773" s="680" t="s">
        <v>6153</v>
      </c>
    </row>
    <row r="2774" spans="8:8">
      <c r="H2774" s="680" t="s">
        <v>6153</v>
      </c>
    </row>
    <row r="2775" spans="8:8">
      <c r="H2775" s="680" t="s">
        <v>6153</v>
      </c>
    </row>
    <row r="2776" spans="8:8">
      <c r="H2776" s="680" t="s">
        <v>6153</v>
      </c>
    </row>
    <row r="2777" spans="8:8">
      <c r="H2777" s="680" t="s">
        <v>6153</v>
      </c>
    </row>
    <row r="2778" spans="8:8">
      <c r="H2778" s="680" t="s">
        <v>6153</v>
      </c>
    </row>
    <row r="2779" spans="8:8">
      <c r="H2779" s="680" t="s">
        <v>6153</v>
      </c>
    </row>
    <row r="2780" spans="8:8">
      <c r="H2780" s="680" t="s">
        <v>6153</v>
      </c>
    </row>
    <row r="2781" spans="8:8">
      <c r="H2781" s="680" t="s">
        <v>6153</v>
      </c>
    </row>
    <row r="2782" spans="8:8">
      <c r="H2782" s="680" t="s">
        <v>6153</v>
      </c>
    </row>
    <row r="2783" spans="8:8">
      <c r="H2783" s="680" t="s">
        <v>6153</v>
      </c>
    </row>
    <row r="2784" spans="8:8">
      <c r="H2784" s="680" t="s">
        <v>6153</v>
      </c>
    </row>
    <row r="2785" spans="8:8">
      <c r="H2785" s="680" t="s">
        <v>6153</v>
      </c>
    </row>
    <row r="2786" spans="8:8">
      <c r="H2786" s="680" t="s">
        <v>6153</v>
      </c>
    </row>
    <row r="2787" spans="8:8">
      <c r="H2787" s="680" t="s">
        <v>6153</v>
      </c>
    </row>
    <row r="2788" spans="8:8">
      <c r="H2788" s="680" t="s">
        <v>6153</v>
      </c>
    </row>
    <row r="2789" spans="8:8">
      <c r="H2789" s="680" t="s">
        <v>6153</v>
      </c>
    </row>
    <row r="2790" spans="8:8">
      <c r="H2790" s="680" t="s">
        <v>6153</v>
      </c>
    </row>
    <row r="2791" spans="8:8">
      <c r="H2791" s="680" t="s">
        <v>6153</v>
      </c>
    </row>
    <row r="2792" spans="8:8">
      <c r="H2792" s="680" t="s">
        <v>6153</v>
      </c>
    </row>
    <row r="2793" spans="8:8">
      <c r="H2793" s="680" t="s">
        <v>6153</v>
      </c>
    </row>
    <row r="2794" spans="8:8">
      <c r="H2794" s="680" t="s">
        <v>6153</v>
      </c>
    </row>
    <row r="2795" spans="8:8">
      <c r="H2795" s="680" t="s">
        <v>6153</v>
      </c>
    </row>
    <row r="2796" spans="8:8">
      <c r="H2796" s="680" t="s">
        <v>6153</v>
      </c>
    </row>
    <row r="2797" spans="8:8">
      <c r="H2797" s="680" t="s">
        <v>6153</v>
      </c>
    </row>
    <row r="2798" spans="8:8">
      <c r="H2798" s="680" t="s">
        <v>6153</v>
      </c>
    </row>
    <row r="2799" spans="8:8">
      <c r="H2799" s="680" t="s">
        <v>6153</v>
      </c>
    </row>
    <row r="2800" spans="8:8">
      <c r="H2800" s="680" t="s">
        <v>6153</v>
      </c>
    </row>
    <row r="2801" spans="8:8">
      <c r="H2801" s="680" t="s">
        <v>6153</v>
      </c>
    </row>
    <row r="2802" spans="8:8">
      <c r="H2802" s="680" t="s">
        <v>6153</v>
      </c>
    </row>
    <row r="2803" spans="8:8">
      <c r="H2803" s="680" t="s">
        <v>6153</v>
      </c>
    </row>
    <row r="2804" spans="8:8">
      <c r="H2804" s="680" t="s">
        <v>6153</v>
      </c>
    </row>
    <row r="2805" spans="8:8">
      <c r="H2805" s="680" t="s">
        <v>6153</v>
      </c>
    </row>
    <row r="2806" spans="8:8">
      <c r="H2806" s="680" t="s">
        <v>6153</v>
      </c>
    </row>
    <row r="2807" spans="8:8">
      <c r="H2807" s="680" t="s">
        <v>6153</v>
      </c>
    </row>
    <row r="2808" spans="8:8">
      <c r="H2808" s="680" t="s">
        <v>6153</v>
      </c>
    </row>
    <row r="2809" spans="8:8">
      <c r="H2809" s="680" t="s">
        <v>6153</v>
      </c>
    </row>
    <row r="2810" spans="8:8">
      <c r="H2810" s="680" t="s">
        <v>6153</v>
      </c>
    </row>
    <row r="2811" spans="8:8">
      <c r="H2811" s="680" t="s">
        <v>6153</v>
      </c>
    </row>
    <row r="2812" spans="8:8">
      <c r="H2812" s="680" t="s">
        <v>6153</v>
      </c>
    </row>
    <row r="2813" spans="8:8">
      <c r="H2813" s="680" t="s">
        <v>6153</v>
      </c>
    </row>
    <row r="2814" spans="8:8">
      <c r="H2814" s="680" t="s">
        <v>6153</v>
      </c>
    </row>
    <row r="2815" spans="8:8">
      <c r="H2815" s="680" t="s">
        <v>6153</v>
      </c>
    </row>
    <row r="2816" spans="8:8">
      <c r="H2816" s="680" t="s">
        <v>6153</v>
      </c>
    </row>
    <row r="2817" spans="8:8">
      <c r="H2817" s="680" t="s">
        <v>6153</v>
      </c>
    </row>
    <row r="2818" spans="8:8">
      <c r="H2818" s="680" t="s">
        <v>6153</v>
      </c>
    </row>
    <row r="2819" spans="8:8">
      <c r="H2819" s="680" t="s">
        <v>6153</v>
      </c>
    </row>
    <row r="2820" spans="8:8">
      <c r="H2820" s="680" t="s">
        <v>6153</v>
      </c>
    </row>
    <row r="2821" spans="8:8">
      <c r="H2821" s="680" t="s">
        <v>6153</v>
      </c>
    </row>
    <row r="2822" spans="8:8">
      <c r="H2822" s="680" t="s">
        <v>6153</v>
      </c>
    </row>
    <row r="2823" spans="8:8">
      <c r="H2823" s="680" t="s">
        <v>6153</v>
      </c>
    </row>
    <row r="2824" spans="8:8">
      <c r="H2824" s="680" t="s">
        <v>6153</v>
      </c>
    </row>
    <row r="2825" spans="8:8">
      <c r="H2825" s="680" t="s">
        <v>6153</v>
      </c>
    </row>
    <row r="2826" spans="8:8">
      <c r="H2826" s="680" t="s">
        <v>6153</v>
      </c>
    </row>
    <row r="2827" spans="8:8">
      <c r="H2827" s="680" t="s">
        <v>6153</v>
      </c>
    </row>
    <row r="2828" spans="8:8">
      <c r="H2828" s="680" t="s">
        <v>6153</v>
      </c>
    </row>
    <row r="2829" spans="8:8">
      <c r="H2829" s="680" t="s">
        <v>6153</v>
      </c>
    </row>
    <row r="2830" spans="8:8">
      <c r="H2830" s="680" t="s">
        <v>6153</v>
      </c>
    </row>
    <row r="2831" spans="8:8">
      <c r="H2831" s="680" t="s">
        <v>6153</v>
      </c>
    </row>
    <row r="2832" spans="8:8">
      <c r="H2832" s="680" t="s">
        <v>6153</v>
      </c>
    </row>
    <row r="2833" spans="8:8">
      <c r="H2833" s="680" t="s">
        <v>6153</v>
      </c>
    </row>
    <row r="2834" spans="8:8">
      <c r="H2834" s="680" t="s">
        <v>6153</v>
      </c>
    </row>
    <row r="2835" spans="8:8">
      <c r="H2835" s="680" t="s">
        <v>6153</v>
      </c>
    </row>
    <row r="2836" spans="8:8">
      <c r="H2836" s="680" t="s">
        <v>6153</v>
      </c>
    </row>
    <row r="2837" spans="8:8">
      <c r="H2837" s="680" t="s">
        <v>6153</v>
      </c>
    </row>
    <row r="2838" spans="8:8">
      <c r="H2838" s="680" t="s">
        <v>6153</v>
      </c>
    </row>
    <row r="2839" spans="8:8">
      <c r="H2839" s="680" t="s">
        <v>6153</v>
      </c>
    </row>
    <row r="2840" spans="8:8">
      <c r="H2840" s="680" t="s">
        <v>6153</v>
      </c>
    </row>
    <row r="2841" spans="8:8">
      <c r="H2841" s="680" t="s">
        <v>6153</v>
      </c>
    </row>
    <row r="2842" spans="8:8">
      <c r="H2842" s="680" t="s">
        <v>6153</v>
      </c>
    </row>
    <row r="2843" spans="8:8">
      <c r="H2843" s="680" t="s">
        <v>6153</v>
      </c>
    </row>
    <row r="2844" spans="8:8">
      <c r="H2844" s="680" t="s">
        <v>6153</v>
      </c>
    </row>
    <row r="2845" spans="8:8">
      <c r="H2845" s="680" t="s">
        <v>6153</v>
      </c>
    </row>
    <row r="2846" spans="8:8">
      <c r="H2846" s="680" t="s">
        <v>6153</v>
      </c>
    </row>
    <row r="2847" spans="8:8">
      <c r="H2847" s="680" t="s">
        <v>6153</v>
      </c>
    </row>
    <row r="2848" spans="8:8">
      <c r="H2848" s="680" t="s">
        <v>6153</v>
      </c>
    </row>
    <row r="2849" spans="8:8">
      <c r="H2849" s="680" t="s">
        <v>6153</v>
      </c>
    </row>
    <row r="2850" spans="8:8">
      <c r="H2850" s="680" t="s">
        <v>6153</v>
      </c>
    </row>
    <row r="2851" spans="8:8">
      <c r="H2851" s="680" t="s">
        <v>6153</v>
      </c>
    </row>
    <row r="2852" spans="8:8">
      <c r="H2852" s="680" t="s">
        <v>6153</v>
      </c>
    </row>
    <row r="2853" spans="8:8">
      <c r="H2853" s="680" t="s">
        <v>6153</v>
      </c>
    </row>
    <row r="2854" spans="8:8">
      <c r="H2854" s="680" t="s">
        <v>6153</v>
      </c>
    </row>
    <row r="2855" spans="8:8">
      <c r="H2855" s="680" t="s">
        <v>6153</v>
      </c>
    </row>
    <row r="2856" spans="8:8">
      <c r="H2856" s="680" t="s">
        <v>6153</v>
      </c>
    </row>
    <row r="2857" spans="8:8">
      <c r="H2857" s="680" t="s">
        <v>6153</v>
      </c>
    </row>
    <row r="2858" spans="8:8">
      <c r="H2858" s="680" t="s">
        <v>6153</v>
      </c>
    </row>
    <row r="2859" spans="8:8">
      <c r="H2859" s="680" t="s">
        <v>6153</v>
      </c>
    </row>
    <row r="2860" spans="8:8">
      <c r="H2860" s="680" t="s">
        <v>6153</v>
      </c>
    </row>
    <row r="2861" spans="8:8">
      <c r="H2861" s="680" t="s">
        <v>6153</v>
      </c>
    </row>
    <row r="2862" spans="8:8">
      <c r="H2862" s="680" t="s">
        <v>6153</v>
      </c>
    </row>
    <row r="2863" spans="8:8">
      <c r="H2863" s="680" t="s">
        <v>6153</v>
      </c>
    </row>
    <row r="2864" spans="8:8">
      <c r="H2864" s="680" t="s">
        <v>6153</v>
      </c>
    </row>
    <row r="2865" spans="8:8">
      <c r="H2865" s="680" t="s">
        <v>6153</v>
      </c>
    </row>
    <row r="2866" spans="8:8">
      <c r="H2866" s="680" t="s">
        <v>6153</v>
      </c>
    </row>
    <row r="2867" spans="8:8">
      <c r="H2867" s="680" t="s">
        <v>6153</v>
      </c>
    </row>
    <row r="2868" spans="8:8">
      <c r="H2868" s="680" t="s">
        <v>6153</v>
      </c>
    </row>
    <row r="2869" spans="8:8">
      <c r="H2869" s="680" t="s">
        <v>6153</v>
      </c>
    </row>
    <row r="2870" spans="8:8">
      <c r="H2870" s="680" t="s">
        <v>6153</v>
      </c>
    </row>
    <row r="2871" spans="8:8">
      <c r="H2871" s="680" t="s">
        <v>6153</v>
      </c>
    </row>
    <row r="2872" spans="8:8">
      <c r="H2872" s="680" t="s">
        <v>6153</v>
      </c>
    </row>
    <row r="2873" spans="8:8">
      <c r="H2873" s="680" t="s">
        <v>6153</v>
      </c>
    </row>
    <row r="2874" spans="8:8">
      <c r="H2874" s="680" t="s">
        <v>6153</v>
      </c>
    </row>
    <row r="2875" spans="8:8">
      <c r="H2875" s="680" t="s">
        <v>6153</v>
      </c>
    </row>
    <row r="2876" spans="8:8">
      <c r="H2876" s="680" t="s">
        <v>6153</v>
      </c>
    </row>
    <row r="2877" spans="8:8">
      <c r="H2877" s="680" t="s">
        <v>6153</v>
      </c>
    </row>
    <row r="2878" spans="8:8">
      <c r="H2878" s="680" t="s">
        <v>6153</v>
      </c>
    </row>
    <row r="2879" spans="8:8">
      <c r="H2879" s="680" t="s">
        <v>6153</v>
      </c>
    </row>
    <row r="2880" spans="8:8">
      <c r="H2880" s="680" t="s">
        <v>6153</v>
      </c>
    </row>
    <row r="2881" spans="8:8">
      <c r="H2881" s="680" t="s">
        <v>6153</v>
      </c>
    </row>
    <row r="2882" spans="8:8">
      <c r="H2882" s="680" t="s">
        <v>6153</v>
      </c>
    </row>
    <row r="2883" spans="8:8">
      <c r="H2883" s="680" t="s">
        <v>6153</v>
      </c>
    </row>
    <row r="2884" spans="8:8">
      <c r="H2884" s="680" t="s">
        <v>6153</v>
      </c>
    </row>
    <row r="2885" spans="8:8">
      <c r="H2885" s="680" t="s">
        <v>6153</v>
      </c>
    </row>
    <row r="2886" spans="8:8">
      <c r="H2886" s="680" t="s">
        <v>6153</v>
      </c>
    </row>
    <row r="2887" spans="8:8">
      <c r="H2887" s="680" t="s">
        <v>6153</v>
      </c>
    </row>
    <row r="2888" spans="8:8">
      <c r="H2888" s="680" t="s">
        <v>6153</v>
      </c>
    </row>
    <row r="2889" spans="8:8">
      <c r="H2889" s="680" t="s">
        <v>6153</v>
      </c>
    </row>
    <row r="2890" spans="8:8">
      <c r="H2890" s="680" t="s">
        <v>6153</v>
      </c>
    </row>
    <row r="2891" spans="8:8">
      <c r="H2891" s="680" t="s">
        <v>6153</v>
      </c>
    </row>
    <row r="2892" spans="8:8">
      <c r="H2892" s="680" t="s">
        <v>6153</v>
      </c>
    </row>
    <row r="2893" spans="8:8">
      <c r="H2893" s="680" t="s">
        <v>6153</v>
      </c>
    </row>
    <row r="2894" spans="8:8">
      <c r="H2894" s="680" t="s">
        <v>6153</v>
      </c>
    </row>
    <row r="2895" spans="8:8">
      <c r="H2895" s="680" t="s">
        <v>6153</v>
      </c>
    </row>
    <row r="2896" spans="8:8">
      <c r="H2896" s="680" t="s">
        <v>6153</v>
      </c>
    </row>
    <row r="2897" spans="8:8">
      <c r="H2897" s="680" t="s">
        <v>6153</v>
      </c>
    </row>
    <row r="2898" spans="8:8">
      <c r="H2898" s="680" t="s">
        <v>6153</v>
      </c>
    </row>
    <row r="2899" spans="8:8">
      <c r="H2899" s="680" t="s">
        <v>6153</v>
      </c>
    </row>
    <row r="2900" spans="8:8">
      <c r="H2900" s="680" t="s">
        <v>6153</v>
      </c>
    </row>
    <row r="2901" spans="8:8">
      <c r="H2901" s="680" t="s">
        <v>6153</v>
      </c>
    </row>
    <row r="2902" spans="8:8">
      <c r="H2902" s="680" t="s">
        <v>6153</v>
      </c>
    </row>
    <row r="2903" spans="8:8">
      <c r="H2903" s="680" t="s">
        <v>6153</v>
      </c>
    </row>
    <row r="2904" spans="8:8">
      <c r="H2904" s="680" t="s">
        <v>6153</v>
      </c>
    </row>
    <row r="2905" spans="8:8">
      <c r="H2905" s="680" t="s">
        <v>6153</v>
      </c>
    </row>
    <row r="2906" spans="8:8">
      <c r="H2906" s="680" t="s">
        <v>6153</v>
      </c>
    </row>
    <row r="2907" spans="8:8">
      <c r="H2907" s="680" t="s">
        <v>6153</v>
      </c>
    </row>
    <row r="2908" spans="8:8">
      <c r="H2908" s="680" t="s">
        <v>6153</v>
      </c>
    </row>
    <row r="2909" spans="8:8">
      <c r="H2909" s="680" t="s">
        <v>6153</v>
      </c>
    </row>
    <row r="2910" spans="8:8">
      <c r="H2910" s="680" t="s">
        <v>6153</v>
      </c>
    </row>
    <row r="2911" spans="8:8">
      <c r="H2911" s="680" t="s">
        <v>6153</v>
      </c>
    </row>
    <row r="2912" spans="8:8">
      <c r="H2912" s="680" t="s">
        <v>6153</v>
      </c>
    </row>
    <row r="2913" spans="8:8">
      <c r="H2913" s="680" t="s">
        <v>6153</v>
      </c>
    </row>
    <row r="2914" spans="8:8">
      <c r="H2914" s="680" t="s">
        <v>6153</v>
      </c>
    </row>
    <row r="2915" spans="8:8">
      <c r="H2915" s="680" t="s">
        <v>6153</v>
      </c>
    </row>
    <row r="2916" spans="8:8">
      <c r="H2916" s="680" t="s">
        <v>6153</v>
      </c>
    </row>
    <row r="2917" spans="8:8">
      <c r="H2917" s="680" t="s">
        <v>6153</v>
      </c>
    </row>
    <row r="2918" spans="8:8">
      <c r="H2918" s="680" t="s">
        <v>6153</v>
      </c>
    </row>
    <row r="2919" spans="8:8">
      <c r="H2919" s="680" t="s">
        <v>6153</v>
      </c>
    </row>
    <row r="2920" spans="8:8">
      <c r="H2920" s="680" t="s">
        <v>6153</v>
      </c>
    </row>
    <row r="2921" spans="8:8">
      <c r="H2921" s="680" t="s">
        <v>6153</v>
      </c>
    </row>
    <row r="2922" spans="8:8">
      <c r="H2922" s="680" t="s">
        <v>6153</v>
      </c>
    </row>
    <row r="2923" spans="8:8">
      <c r="H2923" s="680" t="s">
        <v>6153</v>
      </c>
    </row>
    <row r="2924" spans="8:8">
      <c r="H2924" s="680" t="s">
        <v>6153</v>
      </c>
    </row>
    <row r="2925" spans="8:8">
      <c r="H2925" s="680" t="s">
        <v>6153</v>
      </c>
    </row>
    <row r="2926" spans="8:8">
      <c r="H2926" s="680" t="s">
        <v>6153</v>
      </c>
    </row>
    <row r="2927" spans="8:8">
      <c r="H2927" s="680" t="s">
        <v>6153</v>
      </c>
    </row>
    <row r="2928" spans="8:8">
      <c r="H2928" s="680" t="s">
        <v>6153</v>
      </c>
    </row>
    <row r="2929" spans="8:8">
      <c r="H2929" s="680" t="s">
        <v>6153</v>
      </c>
    </row>
    <row r="2930" spans="8:8">
      <c r="H2930" s="680" t="s">
        <v>6153</v>
      </c>
    </row>
    <row r="2931" spans="8:8">
      <c r="H2931" s="680" t="s">
        <v>6153</v>
      </c>
    </row>
    <row r="2932" spans="8:8">
      <c r="H2932" s="680" t="s">
        <v>6153</v>
      </c>
    </row>
    <row r="2933" spans="8:8">
      <c r="H2933" s="680" t="s">
        <v>6153</v>
      </c>
    </row>
    <row r="2934" spans="8:8">
      <c r="H2934" s="680" t="s">
        <v>6153</v>
      </c>
    </row>
    <row r="2935" spans="8:8">
      <c r="H2935" s="680" t="s">
        <v>6153</v>
      </c>
    </row>
    <row r="2936" spans="8:8">
      <c r="H2936" s="680" t="s">
        <v>6153</v>
      </c>
    </row>
    <row r="2937" spans="8:8">
      <c r="H2937" s="680" t="s">
        <v>6153</v>
      </c>
    </row>
    <row r="2938" spans="8:8">
      <c r="H2938" s="680" t="s">
        <v>6153</v>
      </c>
    </row>
    <row r="2939" spans="8:8">
      <c r="H2939" s="680" t="s">
        <v>6153</v>
      </c>
    </row>
    <row r="2940" spans="8:8">
      <c r="H2940" s="680" t="s">
        <v>6153</v>
      </c>
    </row>
    <row r="2941" spans="8:8">
      <c r="H2941" s="680" t="s">
        <v>6153</v>
      </c>
    </row>
    <row r="2942" spans="8:8">
      <c r="H2942" s="680" t="s">
        <v>6153</v>
      </c>
    </row>
    <row r="2943" spans="8:8">
      <c r="H2943" s="680" t="s">
        <v>6153</v>
      </c>
    </row>
    <row r="2944" spans="8:8">
      <c r="H2944" s="680" t="s">
        <v>6153</v>
      </c>
    </row>
    <row r="2945" spans="8:8">
      <c r="H2945" s="680" t="s">
        <v>6153</v>
      </c>
    </row>
    <row r="2946" spans="8:8">
      <c r="H2946" s="680" t="s">
        <v>6153</v>
      </c>
    </row>
    <row r="2947" spans="8:8">
      <c r="H2947" s="680" t="s">
        <v>6153</v>
      </c>
    </row>
    <row r="2948" spans="8:8">
      <c r="H2948" s="680" t="s">
        <v>6153</v>
      </c>
    </row>
    <row r="2949" spans="8:8">
      <c r="H2949" s="680" t="s">
        <v>6153</v>
      </c>
    </row>
    <row r="2950" spans="8:8">
      <c r="H2950" s="680" t="s">
        <v>6153</v>
      </c>
    </row>
    <row r="2951" spans="8:8">
      <c r="H2951" s="680" t="s">
        <v>6153</v>
      </c>
    </row>
    <row r="2952" spans="8:8">
      <c r="H2952" s="680" t="s">
        <v>6153</v>
      </c>
    </row>
    <row r="2953" spans="8:8">
      <c r="H2953" s="680" t="s">
        <v>6153</v>
      </c>
    </row>
    <row r="2954" spans="8:8">
      <c r="H2954" s="680" t="s">
        <v>6153</v>
      </c>
    </row>
    <row r="2955" spans="8:8">
      <c r="H2955" s="680" t="s">
        <v>6153</v>
      </c>
    </row>
    <row r="2956" spans="8:8">
      <c r="H2956" s="680" t="s">
        <v>6153</v>
      </c>
    </row>
    <row r="2957" spans="8:8">
      <c r="H2957" s="680" t="s">
        <v>6153</v>
      </c>
    </row>
    <row r="2958" spans="8:8">
      <c r="H2958" s="680" t="s">
        <v>6153</v>
      </c>
    </row>
    <row r="2959" spans="8:8">
      <c r="H2959" s="680" t="s">
        <v>6153</v>
      </c>
    </row>
    <row r="2960" spans="8:8">
      <c r="H2960" s="680" t="s">
        <v>6153</v>
      </c>
    </row>
    <row r="2961" spans="8:8">
      <c r="H2961" s="680" t="s">
        <v>6153</v>
      </c>
    </row>
    <row r="2962" spans="8:8">
      <c r="H2962" s="680" t="s">
        <v>6153</v>
      </c>
    </row>
    <row r="2963" spans="8:8">
      <c r="H2963" s="680" t="s">
        <v>6153</v>
      </c>
    </row>
    <row r="2964" spans="8:8">
      <c r="H2964" s="680" t="s">
        <v>6153</v>
      </c>
    </row>
    <row r="2965" spans="8:8">
      <c r="H2965" s="680" t="s">
        <v>6153</v>
      </c>
    </row>
    <row r="2966" spans="8:8">
      <c r="H2966" s="680" t="s">
        <v>6153</v>
      </c>
    </row>
    <row r="2967" spans="8:8">
      <c r="H2967" s="680" t="s">
        <v>6153</v>
      </c>
    </row>
    <row r="2968" spans="8:8">
      <c r="H2968" s="680" t="s">
        <v>6153</v>
      </c>
    </row>
    <row r="2969" spans="8:8">
      <c r="H2969" s="680" t="s">
        <v>6153</v>
      </c>
    </row>
    <row r="2970" spans="8:8">
      <c r="H2970" s="680" t="s">
        <v>6153</v>
      </c>
    </row>
    <row r="2971" spans="8:8">
      <c r="H2971" s="680" t="s">
        <v>6153</v>
      </c>
    </row>
    <row r="2972" spans="8:8">
      <c r="H2972" s="680" t="s">
        <v>6153</v>
      </c>
    </row>
    <row r="2973" spans="8:8">
      <c r="H2973" s="680" t="s">
        <v>6153</v>
      </c>
    </row>
    <row r="2974" spans="8:8">
      <c r="H2974" s="680" t="s">
        <v>6153</v>
      </c>
    </row>
    <row r="2975" spans="8:8">
      <c r="H2975" s="680" t="s">
        <v>6153</v>
      </c>
    </row>
    <row r="2976" spans="8:8">
      <c r="H2976" s="680" t="s">
        <v>6153</v>
      </c>
    </row>
    <row r="2977" spans="8:8">
      <c r="H2977" s="680" t="s">
        <v>6153</v>
      </c>
    </row>
    <row r="2978" spans="8:8">
      <c r="H2978" s="680" t="s">
        <v>6153</v>
      </c>
    </row>
    <row r="2979" spans="8:8">
      <c r="H2979" s="680" t="s">
        <v>6153</v>
      </c>
    </row>
    <row r="2980" spans="8:8">
      <c r="H2980" s="680" t="s">
        <v>6153</v>
      </c>
    </row>
    <row r="2981" spans="8:8">
      <c r="H2981" s="680" t="s">
        <v>6153</v>
      </c>
    </row>
    <row r="2982" spans="8:8">
      <c r="H2982" s="680" t="s">
        <v>6153</v>
      </c>
    </row>
    <row r="2983" spans="8:8">
      <c r="H2983" s="680" t="s">
        <v>6153</v>
      </c>
    </row>
    <row r="2984" spans="8:8">
      <c r="H2984" s="680" t="s">
        <v>6153</v>
      </c>
    </row>
    <row r="2985" spans="8:8">
      <c r="H2985" s="680" t="s">
        <v>6153</v>
      </c>
    </row>
    <row r="2986" spans="8:8">
      <c r="H2986" s="680" t="s">
        <v>6153</v>
      </c>
    </row>
    <row r="2987" spans="8:8">
      <c r="H2987" s="680" t="s">
        <v>6153</v>
      </c>
    </row>
    <row r="2988" spans="8:8">
      <c r="H2988" s="680" t="s">
        <v>6153</v>
      </c>
    </row>
    <row r="2989" spans="8:8">
      <c r="H2989" s="680" t="s">
        <v>6153</v>
      </c>
    </row>
    <row r="2990" spans="8:8">
      <c r="H2990" s="680" t="s">
        <v>6153</v>
      </c>
    </row>
    <row r="2991" spans="8:8">
      <c r="H2991" s="680" t="s">
        <v>6153</v>
      </c>
    </row>
    <row r="2992" spans="8:8">
      <c r="H2992" s="680" t="s">
        <v>6153</v>
      </c>
    </row>
    <row r="2993" spans="8:8">
      <c r="H2993" s="680" t="s">
        <v>6153</v>
      </c>
    </row>
    <row r="2994" spans="8:8">
      <c r="H2994" s="680" t="s">
        <v>6153</v>
      </c>
    </row>
    <row r="2995" spans="8:8">
      <c r="H2995" s="680" t="s">
        <v>6153</v>
      </c>
    </row>
    <row r="2996" spans="8:8">
      <c r="H2996" s="680" t="s">
        <v>6153</v>
      </c>
    </row>
    <row r="2997" spans="8:8">
      <c r="H2997" s="680" t="s">
        <v>6153</v>
      </c>
    </row>
    <row r="2998" spans="8:8">
      <c r="H2998" s="680" t="s">
        <v>6153</v>
      </c>
    </row>
    <row r="2999" spans="8:8">
      <c r="H2999" s="680" t="s">
        <v>6153</v>
      </c>
    </row>
    <row r="3000" spans="8:8">
      <c r="H3000" s="680" t="s">
        <v>6153</v>
      </c>
    </row>
    <row r="3001" spans="8:8">
      <c r="H3001" s="680" t="s">
        <v>6153</v>
      </c>
    </row>
    <row r="3002" spans="8:8">
      <c r="H3002" s="680" t="s">
        <v>6153</v>
      </c>
    </row>
    <row r="3003" spans="8:8">
      <c r="H3003" s="680" t="s">
        <v>6153</v>
      </c>
    </row>
    <row r="3004" spans="8:8">
      <c r="H3004" s="680" t="s">
        <v>6153</v>
      </c>
    </row>
    <row r="3005" spans="8:8">
      <c r="H3005" s="680" t="s">
        <v>6153</v>
      </c>
    </row>
    <row r="3006" spans="8:8">
      <c r="H3006" s="680" t="s">
        <v>6153</v>
      </c>
    </row>
    <row r="3007" spans="8:8">
      <c r="H3007" s="680" t="s">
        <v>6153</v>
      </c>
    </row>
    <row r="3008" spans="8:8">
      <c r="H3008" s="680" t="s">
        <v>6153</v>
      </c>
    </row>
    <row r="3009" spans="8:8">
      <c r="H3009" s="680" t="s">
        <v>6153</v>
      </c>
    </row>
    <row r="3010" spans="8:8">
      <c r="H3010" s="680" t="s">
        <v>6153</v>
      </c>
    </row>
    <row r="3011" spans="8:8">
      <c r="H3011" s="680" t="s">
        <v>6153</v>
      </c>
    </row>
    <row r="3012" spans="8:8">
      <c r="H3012" s="680" t="s">
        <v>6153</v>
      </c>
    </row>
    <row r="3013" spans="8:8">
      <c r="H3013" s="680" t="s">
        <v>6153</v>
      </c>
    </row>
    <row r="3014" spans="8:8">
      <c r="H3014" s="680" t="s">
        <v>6153</v>
      </c>
    </row>
    <row r="3015" spans="8:8">
      <c r="H3015" s="680" t="s">
        <v>6153</v>
      </c>
    </row>
    <row r="3016" spans="8:8">
      <c r="H3016" s="680" t="s">
        <v>6153</v>
      </c>
    </row>
    <row r="3017" spans="8:8">
      <c r="H3017" s="680" t="s">
        <v>6153</v>
      </c>
    </row>
    <row r="3018" spans="8:8">
      <c r="H3018" s="680" t="s">
        <v>6153</v>
      </c>
    </row>
    <row r="3019" spans="8:8">
      <c r="H3019" s="680" t="s">
        <v>6153</v>
      </c>
    </row>
    <row r="3020" spans="8:8">
      <c r="H3020" s="680" t="s">
        <v>6153</v>
      </c>
    </row>
    <row r="3021" spans="8:8">
      <c r="H3021" s="680" t="s">
        <v>6153</v>
      </c>
    </row>
    <row r="3022" spans="8:8">
      <c r="H3022" s="680" t="s">
        <v>6153</v>
      </c>
    </row>
    <row r="3023" spans="8:8">
      <c r="H3023" s="680" t="s">
        <v>6153</v>
      </c>
    </row>
    <row r="3024" spans="8:8">
      <c r="H3024" s="680" t="s">
        <v>6153</v>
      </c>
    </row>
    <row r="3025" spans="8:8">
      <c r="H3025" s="680" t="s">
        <v>6153</v>
      </c>
    </row>
    <row r="3026" spans="8:8">
      <c r="H3026" s="680" t="s">
        <v>6153</v>
      </c>
    </row>
    <row r="3027" spans="8:8">
      <c r="H3027" s="680" t="s">
        <v>6153</v>
      </c>
    </row>
    <row r="3028" spans="8:8">
      <c r="H3028" s="680" t="s">
        <v>6153</v>
      </c>
    </row>
    <row r="3029" spans="8:8">
      <c r="H3029" s="680" t="s">
        <v>6153</v>
      </c>
    </row>
    <row r="3030" spans="8:8">
      <c r="H3030" s="680" t="s">
        <v>6153</v>
      </c>
    </row>
    <row r="3031" spans="8:8">
      <c r="H3031" s="680" t="s">
        <v>6153</v>
      </c>
    </row>
    <row r="3032" spans="8:8">
      <c r="H3032" s="680" t="s">
        <v>6153</v>
      </c>
    </row>
    <row r="3033" spans="8:8">
      <c r="H3033" s="680" t="s">
        <v>6153</v>
      </c>
    </row>
    <row r="3034" spans="8:8">
      <c r="H3034" s="680" t="s">
        <v>6153</v>
      </c>
    </row>
    <row r="3035" spans="8:8">
      <c r="H3035" s="680" t="s">
        <v>6153</v>
      </c>
    </row>
    <row r="3036" spans="8:8">
      <c r="H3036" s="680" t="s">
        <v>6153</v>
      </c>
    </row>
    <row r="3037" spans="8:8">
      <c r="H3037" s="680" t="s">
        <v>6153</v>
      </c>
    </row>
    <row r="3038" spans="8:8">
      <c r="H3038" s="680" t="s">
        <v>6153</v>
      </c>
    </row>
    <row r="3039" spans="8:8">
      <c r="H3039" s="680" t="s">
        <v>6153</v>
      </c>
    </row>
    <row r="3040" spans="8:8">
      <c r="H3040" s="680" t="s">
        <v>6153</v>
      </c>
    </row>
    <row r="3041" spans="8:8">
      <c r="H3041" s="680" t="s">
        <v>6153</v>
      </c>
    </row>
    <row r="3042" spans="8:8">
      <c r="H3042" s="680" t="s">
        <v>6153</v>
      </c>
    </row>
    <row r="3043" spans="8:8">
      <c r="H3043" s="680" t="s">
        <v>6153</v>
      </c>
    </row>
    <row r="3044" spans="8:8">
      <c r="H3044" s="680" t="s">
        <v>6153</v>
      </c>
    </row>
    <row r="3045" spans="8:8">
      <c r="H3045" s="680" t="s">
        <v>6153</v>
      </c>
    </row>
    <row r="3046" spans="8:8">
      <c r="H3046" s="680" t="s">
        <v>6153</v>
      </c>
    </row>
    <row r="3047" spans="8:8">
      <c r="H3047" s="680" t="s">
        <v>6153</v>
      </c>
    </row>
    <row r="3048" spans="8:8">
      <c r="H3048" s="680" t="s">
        <v>6153</v>
      </c>
    </row>
    <row r="3049" spans="8:8">
      <c r="H3049" s="680" t="s">
        <v>6153</v>
      </c>
    </row>
    <row r="3050" spans="8:8">
      <c r="H3050" s="680" t="s">
        <v>6153</v>
      </c>
    </row>
    <row r="3051" spans="8:8">
      <c r="H3051" s="680" t="s">
        <v>6153</v>
      </c>
    </row>
    <row r="3052" spans="8:8">
      <c r="H3052" s="680" t="s">
        <v>6153</v>
      </c>
    </row>
    <row r="3053" spans="8:8">
      <c r="H3053" s="680" t="s">
        <v>6153</v>
      </c>
    </row>
    <row r="3054" spans="8:8">
      <c r="H3054" s="680" t="s">
        <v>6153</v>
      </c>
    </row>
    <row r="3055" spans="8:8">
      <c r="H3055" s="680" t="s">
        <v>6153</v>
      </c>
    </row>
    <row r="3056" spans="8:8">
      <c r="H3056" s="680" t="s">
        <v>6153</v>
      </c>
    </row>
    <row r="3057" spans="8:8">
      <c r="H3057" s="680" t="s">
        <v>6153</v>
      </c>
    </row>
    <row r="3058" spans="8:8">
      <c r="H3058" s="680" t="s">
        <v>6153</v>
      </c>
    </row>
    <row r="3059" spans="8:8">
      <c r="H3059" s="680" t="s">
        <v>6153</v>
      </c>
    </row>
    <row r="3060" spans="8:8">
      <c r="H3060" s="680" t="s">
        <v>6153</v>
      </c>
    </row>
    <row r="3061" spans="8:8">
      <c r="H3061" s="680" t="s">
        <v>6153</v>
      </c>
    </row>
    <row r="3062" spans="8:8">
      <c r="H3062" s="680" t="s">
        <v>6153</v>
      </c>
    </row>
    <row r="3063" spans="8:8">
      <c r="H3063" s="680" t="s">
        <v>6153</v>
      </c>
    </row>
    <row r="3064" spans="8:8">
      <c r="H3064" s="680" t="s">
        <v>6153</v>
      </c>
    </row>
    <row r="3065" spans="8:8">
      <c r="H3065" s="680" t="s">
        <v>6153</v>
      </c>
    </row>
    <row r="3066" spans="8:8">
      <c r="H3066" s="680" t="s">
        <v>6153</v>
      </c>
    </row>
    <row r="3067" spans="8:8">
      <c r="H3067" s="680" t="s">
        <v>6153</v>
      </c>
    </row>
    <row r="3068" spans="8:8">
      <c r="H3068" s="680" t="s">
        <v>6153</v>
      </c>
    </row>
    <row r="3069" spans="8:8">
      <c r="H3069" s="680" t="s">
        <v>6153</v>
      </c>
    </row>
    <row r="3070" spans="8:8">
      <c r="H3070" s="680" t="s">
        <v>6153</v>
      </c>
    </row>
    <row r="3071" spans="8:8">
      <c r="H3071" s="680" t="s">
        <v>6153</v>
      </c>
    </row>
    <row r="3072" spans="8:8">
      <c r="H3072" s="680" t="s">
        <v>6153</v>
      </c>
    </row>
    <row r="3073" spans="8:8">
      <c r="H3073" s="680" t="s">
        <v>6153</v>
      </c>
    </row>
    <row r="3074" spans="8:8">
      <c r="H3074" s="680" t="s">
        <v>6153</v>
      </c>
    </row>
    <row r="3075" spans="8:8">
      <c r="H3075" s="680" t="s">
        <v>6153</v>
      </c>
    </row>
    <row r="3076" spans="8:8">
      <c r="H3076" s="680" t="s">
        <v>6153</v>
      </c>
    </row>
    <row r="3077" spans="8:8">
      <c r="H3077" s="680" t="s">
        <v>6153</v>
      </c>
    </row>
    <row r="3078" spans="8:8">
      <c r="H3078" s="680" t="s">
        <v>6153</v>
      </c>
    </row>
    <row r="3079" spans="8:8">
      <c r="H3079" s="680" t="s">
        <v>6153</v>
      </c>
    </row>
    <row r="3080" spans="8:8">
      <c r="H3080" s="680" t="s">
        <v>6153</v>
      </c>
    </row>
    <row r="3081" spans="8:8">
      <c r="H3081" s="680" t="s">
        <v>6153</v>
      </c>
    </row>
    <row r="3082" spans="8:8">
      <c r="H3082" s="680" t="s">
        <v>6153</v>
      </c>
    </row>
    <row r="3083" spans="8:8">
      <c r="H3083" s="680" t="s">
        <v>6153</v>
      </c>
    </row>
    <row r="3084" spans="8:8">
      <c r="H3084" s="680" t="s">
        <v>6153</v>
      </c>
    </row>
    <row r="3085" spans="8:8">
      <c r="H3085" s="680" t="s">
        <v>6153</v>
      </c>
    </row>
    <row r="3086" spans="8:8">
      <c r="H3086" s="680" t="s">
        <v>6153</v>
      </c>
    </row>
    <row r="3087" spans="8:8">
      <c r="H3087" s="680" t="s">
        <v>6153</v>
      </c>
    </row>
    <row r="3088" spans="8:8">
      <c r="H3088" s="680" t="s">
        <v>6153</v>
      </c>
    </row>
    <row r="3089" spans="8:8">
      <c r="H3089" s="680" t="s">
        <v>6153</v>
      </c>
    </row>
    <row r="3090" spans="8:8">
      <c r="H3090" s="680" t="s">
        <v>6153</v>
      </c>
    </row>
    <row r="3091" spans="8:8">
      <c r="H3091" s="680" t="s">
        <v>6153</v>
      </c>
    </row>
    <row r="3092" spans="8:8">
      <c r="H3092" s="680" t="s">
        <v>6153</v>
      </c>
    </row>
    <row r="3093" spans="8:8">
      <c r="H3093" s="680" t="s">
        <v>6153</v>
      </c>
    </row>
    <row r="3094" spans="8:8">
      <c r="H3094" s="680" t="s">
        <v>6153</v>
      </c>
    </row>
    <row r="3095" spans="8:8">
      <c r="H3095" s="680" t="s">
        <v>6153</v>
      </c>
    </row>
    <row r="3096" spans="8:8">
      <c r="H3096" s="680" t="s">
        <v>6153</v>
      </c>
    </row>
    <row r="3097" spans="8:8">
      <c r="H3097" s="680" t="s">
        <v>6153</v>
      </c>
    </row>
    <row r="3098" spans="8:8">
      <c r="H3098" s="680" t="s">
        <v>6153</v>
      </c>
    </row>
    <row r="3099" spans="8:8">
      <c r="H3099" s="680" t="s">
        <v>6153</v>
      </c>
    </row>
    <row r="3100" spans="8:8">
      <c r="H3100" s="680" t="s">
        <v>6153</v>
      </c>
    </row>
    <row r="3101" spans="8:8">
      <c r="H3101" s="680" t="s">
        <v>6153</v>
      </c>
    </row>
    <row r="3102" spans="8:8">
      <c r="H3102" s="680" t="s">
        <v>6153</v>
      </c>
    </row>
    <row r="3103" spans="8:8">
      <c r="H3103" s="680" t="s">
        <v>6153</v>
      </c>
    </row>
    <row r="3104" spans="8:8">
      <c r="H3104" s="680" t="s">
        <v>6153</v>
      </c>
    </row>
    <row r="3105" spans="8:8">
      <c r="H3105" s="680" t="s">
        <v>6153</v>
      </c>
    </row>
    <row r="3106" spans="8:8">
      <c r="H3106" s="680" t="s">
        <v>6153</v>
      </c>
    </row>
    <row r="3107" spans="8:8">
      <c r="H3107" s="680" t="s">
        <v>6153</v>
      </c>
    </row>
    <row r="3108" spans="8:8">
      <c r="H3108" s="680" t="s">
        <v>6153</v>
      </c>
    </row>
    <row r="3109" spans="8:8">
      <c r="H3109" s="680" t="s">
        <v>6153</v>
      </c>
    </row>
    <row r="3110" spans="8:8">
      <c r="H3110" s="680" t="s">
        <v>6153</v>
      </c>
    </row>
    <row r="3111" spans="8:8">
      <c r="H3111" s="680" t="s">
        <v>6153</v>
      </c>
    </row>
    <row r="3112" spans="8:8">
      <c r="H3112" s="680" t="s">
        <v>6153</v>
      </c>
    </row>
    <row r="3113" spans="8:8">
      <c r="H3113" s="680" t="s">
        <v>6153</v>
      </c>
    </row>
    <row r="3114" spans="8:8">
      <c r="H3114" s="680" t="s">
        <v>6153</v>
      </c>
    </row>
    <row r="3115" spans="8:8">
      <c r="H3115" s="680" t="s">
        <v>6153</v>
      </c>
    </row>
    <row r="3116" spans="8:8">
      <c r="H3116" s="680" t="s">
        <v>6153</v>
      </c>
    </row>
    <row r="3117" spans="8:8">
      <c r="H3117" s="680" t="s">
        <v>6153</v>
      </c>
    </row>
    <row r="3118" spans="8:8">
      <c r="H3118" s="680" t="s">
        <v>6153</v>
      </c>
    </row>
    <row r="3119" spans="8:8">
      <c r="H3119" s="680" t="s">
        <v>6153</v>
      </c>
    </row>
    <row r="3120" spans="8:8">
      <c r="H3120" s="680" t="s">
        <v>6153</v>
      </c>
    </row>
    <row r="3121" spans="8:8">
      <c r="H3121" s="680" t="s">
        <v>6153</v>
      </c>
    </row>
    <row r="3122" spans="8:8">
      <c r="H3122" s="680" t="s">
        <v>6153</v>
      </c>
    </row>
    <row r="3123" spans="8:8">
      <c r="H3123" s="680" t="s">
        <v>6153</v>
      </c>
    </row>
    <row r="3124" spans="8:8">
      <c r="H3124" s="680" t="s">
        <v>6153</v>
      </c>
    </row>
    <row r="3125" spans="8:8">
      <c r="H3125" s="680" t="s">
        <v>6153</v>
      </c>
    </row>
    <row r="3126" spans="8:8">
      <c r="H3126" s="680" t="s">
        <v>6153</v>
      </c>
    </row>
    <row r="3127" spans="8:8">
      <c r="H3127" s="680" t="s">
        <v>6153</v>
      </c>
    </row>
    <row r="3128" spans="8:8">
      <c r="H3128" s="680" t="s">
        <v>6153</v>
      </c>
    </row>
    <row r="3129" spans="8:8">
      <c r="H3129" s="680" t="s">
        <v>6153</v>
      </c>
    </row>
    <row r="3130" spans="8:8">
      <c r="H3130" s="680" t="s">
        <v>6153</v>
      </c>
    </row>
    <row r="3131" spans="8:8">
      <c r="H3131" s="680" t="s">
        <v>6153</v>
      </c>
    </row>
    <row r="3132" spans="8:8">
      <c r="H3132" s="680" t="s">
        <v>6153</v>
      </c>
    </row>
    <row r="3133" spans="8:8">
      <c r="H3133" s="680" t="s">
        <v>6153</v>
      </c>
    </row>
    <row r="3134" spans="8:8">
      <c r="H3134" s="680" t="s">
        <v>6153</v>
      </c>
    </row>
    <row r="3135" spans="8:8">
      <c r="H3135" s="680" t="s">
        <v>6153</v>
      </c>
    </row>
    <row r="3136" spans="8:8">
      <c r="H3136" s="680" t="s">
        <v>6153</v>
      </c>
    </row>
    <row r="3137" spans="8:8">
      <c r="H3137" s="680" t="s">
        <v>6153</v>
      </c>
    </row>
    <row r="3138" spans="8:8">
      <c r="H3138" s="680" t="s">
        <v>6153</v>
      </c>
    </row>
    <row r="3139" spans="8:8">
      <c r="H3139" s="680" t="s">
        <v>6153</v>
      </c>
    </row>
    <row r="3140" spans="8:8">
      <c r="H3140" s="680" t="s">
        <v>6153</v>
      </c>
    </row>
    <row r="3141" spans="8:8">
      <c r="H3141" s="680" t="s">
        <v>6153</v>
      </c>
    </row>
    <row r="3142" spans="8:8">
      <c r="H3142" s="680" t="s">
        <v>6153</v>
      </c>
    </row>
    <row r="3143" spans="8:8">
      <c r="H3143" s="680" t="s">
        <v>6153</v>
      </c>
    </row>
    <row r="3144" spans="8:8">
      <c r="H3144" s="680" t="s">
        <v>6153</v>
      </c>
    </row>
    <row r="3145" spans="8:8">
      <c r="H3145" s="680" t="s">
        <v>6153</v>
      </c>
    </row>
    <row r="3146" spans="8:8">
      <c r="H3146" s="680" t="s">
        <v>6153</v>
      </c>
    </row>
    <row r="3147" spans="8:8">
      <c r="H3147" s="680" t="s">
        <v>6153</v>
      </c>
    </row>
    <row r="3148" spans="8:8">
      <c r="H3148" s="680" t="s">
        <v>6153</v>
      </c>
    </row>
    <row r="3149" spans="8:8">
      <c r="H3149" s="680" t="s">
        <v>6153</v>
      </c>
    </row>
    <row r="3150" spans="8:8">
      <c r="H3150" s="680" t="s">
        <v>6153</v>
      </c>
    </row>
    <row r="3151" spans="8:8">
      <c r="H3151" s="680" t="s">
        <v>6153</v>
      </c>
    </row>
    <row r="3152" spans="8:8">
      <c r="H3152" s="680" t="s">
        <v>6153</v>
      </c>
    </row>
    <row r="3153" spans="8:8">
      <c r="H3153" s="680" t="s">
        <v>6153</v>
      </c>
    </row>
    <row r="3154" spans="8:8">
      <c r="H3154" s="680" t="s">
        <v>6153</v>
      </c>
    </row>
    <row r="3155" spans="8:8">
      <c r="H3155" s="680" t="s">
        <v>6153</v>
      </c>
    </row>
    <row r="3156" spans="8:8">
      <c r="H3156" s="680" t="s">
        <v>6153</v>
      </c>
    </row>
    <row r="3157" spans="8:8">
      <c r="H3157" s="680" t="s">
        <v>6153</v>
      </c>
    </row>
    <row r="3158" spans="8:8">
      <c r="H3158" s="680" t="s">
        <v>6153</v>
      </c>
    </row>
    <row r="3159" spans="8:8">
      <c r="H3159" s="680" t="s">
        <v>6153</v>
      </c>
    </row>
    <row r="3160" spans="8:8">
      <c r="H3160" s="680" t="s">
        <v>6153</v>
      </c>
    </row>
    <row r="3161" spans="8:8">
      <c r="H3161" s="680" t="s">
        <v>6153</v>
      </c>
    </row>
    <row r="3162" spans="8:8">
      <c r="H3162" s="680" t="s">
        <v>6153</v>
      </c>
    </row>
    <row r="3163" spans="8:8">
      <c r="H3163" s="680" t="s">
        <v>6153</v>
      </c>
    </row>
    <row r="3164" spans="8:8">
      <c r="H3164" s="680" t="s">
        <v>6153</v>
      </c>
    </row>
    <row r="3165" spans="8:8">
      <c r="H3165" s="680" t="s">
        <v>6153</v>
      </c>
    </row>
    <row r="3166" spans="8:8">
      <c r="H3166" s="680" t="s">
        <v>6153</v>
      </c>
    </row>
    <row r="3167" spans="8:8">
      <c r="H3167" s="680" t="s">
        <v>6153</v>
      </c>
    </row>
    <row r="3168" spans="8:8">
      <c r="H3168" s="680" t="s">
        <v>6153</v>
      </c>
    </row>
    <row r="3169" spans="8:8">
      <c r="H3169" s="680" t="s">
        <v>6153</v>
      </c>
    </row>
    <row r="3170" spans="8:8">
      <c r="H3170" s="680" t="s">
        <v>6153</v>
      </c>
    </row>
    <row r="3171" spans="8:8">
      <c r="H3171" s="680" t="s">
        <v>6153</v>
      </c>
    </row>
    <row r="3172" spans="8:8">
      <c r="H3172" s="680" t="s">
        <v>6153</v>
      </c>
    </row>
    <row r="3173" spans="8:8">
      <c r="H3173" s="680" t="s">
        <v>6153</v>
      </c>
    </row>
    <row r="3174" spans="8:8">
      <c r="H3174" s="680" t="s">
        <v>6153</v>
      </c>
    </row>
    <row r="3175" spans="8:8">
      <c r="H3175" s="680" t="s">
        <v>6153</v>
      </c>
    </row>
    <row r="3176" spans="8:8">
      <c r="H3176" s="680" t="s">
        <v>6153</v>
      </c>
    </row>
    <row r="3177" spans="8:8">
      <c r="H3177" s="680" t="s">
        <v>6153</v>
      </c>
    </row>
    <row r="3178" spans="8:8">
      <c r="H3178" s="680" t="s">
        <v>6153</v>
      </c>
    </row>
    <row r="3179" spans="8:8">
      <c r="H3179" s="680" t="s">
        <v>6153</v>
      </c>
    </row>
    <row r="3180" spans="8:8">
      <c r="H3180" s="680" t="s">
        <v>6153</v>
      </c>
    </row>
    <row r="3181" spans="8:8">
      <c r="H3181" s="680" t="s">
        <v>6153</v>
      </c>
    </row>
    <row r="3182" spans="8:8">
      <c r="H3182" s="680" t="s">
        <v>6153</v>
      </c>
    </row>
    <row r="3183" spans="8:8">
      <c r="H3183" s="680" t="s">
        <v>6153</v>
      </c>
    </row>
    <row r="3184" spans="8:8">
      <c r="H3184" s="680" t="s">
        <v>6153</v>
      </c>
    </row>
    <row r="3185" spans="8:8">
      <c r="H3185" s="680" t="s">
        <v>6153</v>
      </c>
    </row>
    <row r="3186" spans="8:8">
      <c r="H3186" s="680" t="s">
        <v>6153</v>
      </c>
    </row>
    <row r="3187" spans="8:8">
      <c r="H3187" s="680" t="s">
        <v>6153</v>
      </c>
    </row>
    <row r="3188" spans="8:8">
      <c r="H3188" s="680" t="s">
        <v>6153</v>
      </c>
    </row>
    <row r="3189" spans="8:8">
      <c r="H3189" s="680" t="s">
        <v>6153</v>
      </c>
    </row>
    <row r="3190" spans="8:8">
      <c r="H3190" s="680" t="s">
        <v>6153</v>
      </c>
    </row>
    <row r="3191" spans="8:8">
      <c r="H3191" s="680" t="s">
        <v>6153</v>
      </c>
    </row>
    <row r="3192" spans="8:8">
      <c r="H3192" s="680" t="s">
        <v>6153</v>
      </c>
    </row>
    <row r="3193" spans="8:8">
      <c r="H3193" s="680" t="s">
        <v>6153</v>
      </c>
    </row>
    <row r="3194" spans="8:8">
      <c r="H3194" s="680" t="s">
        <v>6153</v>
      </c>
    </row>
    <row r="3195" spans="8:8">
      <c r="H3195" s="680" t="s">
        <v>6153</v>
      </c>
    </row>
    <row r="3196" spans="8:8">
      <c r="H3196" s="680" t="s">
        <v>6153</v>
      </c>
    </row>
    <row r="3197" spans="8:8">
      <c r="H3197" s="680" t="s">
        <v>6153</v>
      </c>
    </row>
    <row r="3198" spans="8:8">
      <c r="H3198" s="680" t="s">
        <v>6153</v>
      </c>
    </row>
    <row r="3199" spans="8:8">
      <c r="H3199" s="680" t="s">
        <v>6153</v>
      </c>
    </row>
    <row r="3200" spans="8:8">
      <c r="H3200" s="680" t="s">
        <v>6153</v>
      </c>
    </row>
    <row r="3201" spans="8:8">
      <c r="H3201" s="680" t="s">
        <v>6153</v>
      </c>
    </row>
    <row r="3202" spans="8:8">
      <c r="H3202" s="680" t="s">
        <v>6153</v>
      </c>
    </row>
    <row r="3203" spans="8:8">
      <c r="H3203" s="680" t="s">
        <v>6153</v>
      </c>
    </row>
    <row r="3204" spans="8:8">
      <c r="H3204" s="680" t="s">
        <v>6153</v>
      </c>
    </row>
    <row r="3205" spans="8:8">
      <c r="H3205" s="680" t="s">
        <v>6153</v>
      </c>
    </row>
    <row r="3206" spans="8:8">
      <c r="H3206" s="680" t="s">
        <v>6153</v>
      </c>
    </row>
    <row r="3207" spans="8:8">
      <c r="H3207" s="680" t="s">
        <v>6153</v>
      </c>
    </row>
    <row r="3208" spans="8:8">
      <c r="H3208" s="680" t="s">
        <v>6153</v>
      </c>
    </row>
    <row r="3209" spans="8:8">
      <c r="H3209" s="680" t="s">
        <v>6153</v>
      </c>
    </row>
    <row r="3210" spans="8:8">
      <c r="H3210" s="680" t="s">
        <v>6153</v>
      </c>
    </row>
    <row r="3211" spans="8:8">
      <c r="H3211" s="680" t="s">
        <v>6153</v>
      </c>
    </row>
    <row r="3212" spans="8:8">
      <c r="H3212" s="680" t="s">
        <v>6153</v>
      </c>
    </row>
    <row r="3213" spans="8:8">
      <c r="H3213" s="680" t="s">
        <v>6153</v>
      </c>
    </row>
    <row r="3214" spans="8:8">
      <c r="H3214" s="680" t="s">
        <v>6153</v>
      </c>
    </row>
    <row r="3215" spans="8:8">
      <c r="H3215" s="680" t="s">
        <v>6153</v>
      </c>
    </row>
    <row r="3216" spans="8:8">
      <c r="H3216" s="680" t="s">
        <v>6153</v>
      </c>
    </row>
    <row r="3217" spans="8:8">
      <c r="H3217" s="680" t="s">
        <v>6153</v>
      </c>
    </row>
    <row r="3218" spans="8:8">
      <c r="H3218" s="680" t="s">
        <v>6153</v>
      </c>
    </row>
    <row r="3219" spans="8:8">
      <c r="H3219" s="680" t="s">
        <v>6153</v>
      </c>
    </row>
    <row r="3220" spans="8:8">
      <c r="H3220" s="680" t="s">
        <v>6153</v>
      </c>
    </row>
    <row r="3221" spans="8:8">
      <c r="H3221" s="680" t="s">
        <v>6153</v>
      </c>
    </row>
    <row r="3222" spans="8:8">
      <c r="H3222" s="680" t="s">
        <v>6153</v>
      </c>
    </row>
    <row r="3223" spans="8:8">
      <c r="H3223" s="680" t="s">
        <v>6153</v>
      </c>
    </row>
    <row r="3224" spans="8:8">
      <c r="H3224" s="680" t="s">
        <v>6153</v>
      </c>
    </row>
    <row r="3225" spans="8:8">
      <c r="H3225" s="680" t="s">
        <v>6153</v>
      </c>
    </row>
    <row r="3226" spans="8:8">
      <c r="H3226" s="680" t="s">
        <v>6153</v>
      </c>
    </row>
    <row r="3227" spans="8:8">
      <c r="H3227" s="680" t="s">
        <v>6153</v>
      </c>
    </row>
    <row r="3228" spans="8:8">
      <c r="H3228" s="680" t="s">
        <v>6153</v>
      </c>
    </row>
    <row r="3229" spans="8:8">
      <c r="H3229" s="680" t="s">
        <v>6153</v>
      </c>
    </row>
    <row r="3230" spans="8:8">
      <c r="H3230" s="680" t="s">
        <v>6153</v>
      </c>
    </row>
    <row r="3231" spans="8:8">
      <c r="H3231" s="680" t="s">
        <v>6153</v>
      </c>
    </row>
    <row r="3232" spans="8:8">
      <c r="H3232" s="680" t="s">
        <v>6153</v>
      </c>
    </row>
    <row r="3233" spans="8:8">
      <c r="H3233" s="680" t="s">
        <v>6153</v>
      </c>
    </row>
    <row r="3234" spans="8:8">
      <c r="H3234" s="680" t="s">
        <v>6153</v>
      </c>
    </row>
    <row r="3235" spans="8:8">
      <c r="H3235" s="680" t="s">
        <v>6153</v>
      </c>
    </row>
    <row r="3236" spans="8:8">
      <c r="H3236" s="680" t="s">
        <v>6153</v>
      </c>
    </row>
    <row r="3237" spans="8:8">
      <c r="H3237" s="680" t="s">
        <v>6153</v>
      </c>
    </row>
    <row r="3238" spans="8:8">
      <c r="H3238" s="680" t="s">
        <v>6153</v>
      </c>
    </row>
    <row r="3239" spans="8:8">
      <c r="H3239" s="680" t="s">
        <v>6153</v>
      </c>
    </row>
    <row r="3240" spans="8:8">
      <c r="H3240" s="680" t="s">
        <v>6153</v>
      </c>
    </row>
    <row r="3241" spans="8:8">
      <c r="H3241" s="680" t="s">
        <v>6153</v>
      </c>
    </row>
    <row r="3242" spans="8:8">
      <c r="H3242" s="680" t="s">
        <v>6153</v>
      </c>
    </row>
    <row r="3243" spans="8:8">
      <c r="H3243" s="680" t="s">
        <v>6153</v>
      </c>
    </row>
    <row r="3244" spans="8:8">
      <c r="H3244" s="680" t="s">
        <v>6153</v>
      </c>
    </row>
    <row r="3245" spans="8:8">
      <c r="H3245" s="680" t="s">
        <v>6153</v>
      </c>
    </row>
    <row r="3246" spans="8:8">
      <c r="H3246" s="680" t="s">
        <v>6153</v>
      </c>
    </row>
    <row r="3247" spans="8:8">
      <c r="H3247" s="680" t="s">
        <v>6153</v>
      </c>
    </row>
    <row r="3248" spans="8:8">
      <c r="H3248" s="680" t="s">
        <v>6153</v>
      </c>
    </row>
    <row r="3249" spans="8:8">
      <c r="H3249" s="680" t="s">
        <v>6153</v>
      </c>
    </row>
    <row r="3250" spans="8:8">
      <c r="H3250" s="680" t="s">
        <v>6153</v>
      </c>
    </row>
    <row r="3251" spans="8:8">
      <c r="H3251" s="680" t="s">
        <v>6153</v>
      </c>
    </row>
    <row r="3252" spans="8:8">
      <c r="H3252" s="680" t="s">
        <v>6153</v>
      </c>
    </row>
    <row r="3253" spans="8:8">
      <c r="H3253" s="680" t="s">
        <v>6153</v>
      </c>
    </row>
    <row r="3254" spans="8:8">
      <c r="H3254" s="680" t="s">
        <v>6153</v>
      </c>
    </row>
    <row r="3255" spans="8:8">
      <c r="H3255" s="680" t="s">
        <v>6153</v>
      </c>
    </row>
    <row r="3256" spans="8:8">
      <c r="H3256" s="680" t="s">
        <v>6153</v>
      </c>
    </row>
    <row r="3257" spans="8:8">
      <c r="H3257" s="680" t="s">
        <v>6153</v>
      </c>
    </row>
    <row r="3258" spans="8:8">
      <c r="H3258" s="680" t="s">
        <v>6153</v>
      </c>
    </row>
    <row r="3259" spans="8:8">
      <c r="H3259" s="680" t="s">
        <v>6153</v>
      </c>
    </row>
    <row r="3260" spans="8:8">
      <c r="H3260" s="680" t="s">
        <v>6153</v>
      </c>
    </row>
    <row r="3261" spans="8:8">
      <c r="H3261" s="680" t="s">
        <v>6153</v>
      </c>
    </row>
    <row r="3262" spans="8:8">
      <c r="H3262" s="680" t="s">
        <v>6153</v>
      </c>
    </row>
    <row r="3263" spans="8:8">
      <c r="H3263" s="680" t="s">
        <v>6153</v>
      </c>
    </row>
    <row r="3264" spans="8:8">
      <c r="H3264" s="680" t="s">
        <v>6153</v>
      </c>
    </row>
    <row r="3265" spans="8:8">
      <c r="H3265" s="680" t="s">
        <v>6153</v>
      </c>
    </row>
    <row r="3266" spans="8:8">
      <c r="H3266" s="680" t="s">
        <v>6153</v>
      </c>
    </row>
    <row r="3267" spans="8:8">
      <c r="H3267" s="680" t="s">
        <v>6153</v>
      </c>
    </row>
    <row r="3268" spans="8:8">
      <c r="H3268" s="680" t="s">
        <v>6153</v>
      </c>
    </row>
    <row r="3269" spans="8:8">
      <c r="H3269" s="680" t="s">
        <v>6153</v>
      </c>
    </row>
    <row r="3270" spans="8:8">
      <c r="H3270" s="680" t="s">
        <v>6153</v>
      </c>
    </row>
    <row r="3271" spans="8:8">
      <c r="H3271" s="680" t="s">
        <v>6153</v>
      </c>
    </row>
    <row r="3272" spans="8:8">
      <c r="H3272" s="680" t="s">
        <v>6153</v>
      </c>
    </row>
    <row r="3273" spans="8:8">
      <c r="H3273" s="680" t="s">
        <v>6153</v>
      </c>
    </row>
    <row r="3274" spans="8:8">
      <c r="H3274" s="680" t="s">
        <v>6153</v>
      </c>
    </row>
    <row r="3275" spans="8:8">
      <c r="H3275" s="680" t="s">
        <v>6153</v>
      </c>
    </row>
    <row r="3276" spans="8:8">
      <c r="H3276" s="680" t="s">
        <v>6153</v>
      </c>
    </row>
    <row r="3277" spans="8:8">
      <c r="H3277" s="680" t="s">
        <v>6153</v>
      </c>
    </row>
    <row r="3278" spans="8:8">
      <c r="H3278" s="680" t="s">
        <v>6153</v>
      </c>
    </row>
    <row r="3279" spans="8:8">
      <c r="H3279" s="680" t="s">
        <v>6153</v>
      </c>
    </row>
    <row r="3280" spans="8:8">
      <c r="H3280" s="680" t="s">
        <v>6153</v>
      </c>
    </row>
    <row r="3281" spans="8:8">
      <c r="H3281" s="680" t="s">
        <v>6153</v>
      </c>
    </row>
    <row r="3282" spans="8:8">
      <c r="H3282" s="680" t="s">
        <v>6153</v>
      </c>
    </row>
    <row r="3283" spans="8:8">
      <c r="H3283" s="680" t="s">
        <v>6153</v>
      </c>
    </row>
    <row r="3284" spans="8:8">
      <c r="H3284" s="680" t="s">
        <v>6153</v>
      </c>
    </row>
    <row r="3285" spans="8:8">
      <c r="H3285" s="680" t="s">
        <v>6153</v>
      </c>
    </row>
    <row r="3286" spans="8:8">
      <c r="H3286" s="680" t="s">
        <v>6153</v>
      </c>
    </row>
    <row r="3287" spans="8:8">
      <c r="H3287" s="680" t="s">
        <v>6153</v>
      </c>
    </row>
    <row r="3288" spans="8:8">
      <c r="H3288" s="680" t="s">
        <v>6153</v>
      </c>
    </row>
    <row r="3289" spans="8:8">
      <c r="H3289" s="680" t="s">
        <v>6153</v>
      </c>
    </row>
    <row r="3290" spans="8:8">
      <c r="H3290" s="680" t="s">
        <v>6153</v>
      </c>
    </row>
    <row r="3291" spans="8:8">
      <c r="H3291" s="680" t="s">
        <v>6153</v>
      </c>
    </row>
    <row r="3292" spans="8:8">
      <c r="H3292" s="680" t="s">
        <v>6153</v>
      </c>
    </row>
    <row r="3293" spans="8:8">
      <c r="H3293" s="680" t="s">
        <v>6153</v>
      </c>
    </row>
    <row r="3294" spans="8:8">
      <c r="H3294" s="680" t="s">
        <v>6153</v>
      </c>
    </row>
    <row r="3295" spans="8:8">
      <c r="H3295" s="680" t="s">
        <v>6153</v>
      </c>
    </row>
    <row r="3296" spans="8:8">
      <c r="H3296" s="680" t="s">
        <v>6153</v>
      </c>
    </row>
    <row r="3297" spans="8:8">
      <c r="H3297" s="680" t="s">
        <v>6153</v>
      </c>
    </row>
    <row r="3298" spans="8:8">
      <c r="H3298" s="680" t="s">
        <v>6153</v>
      </c>
    </row>
    <row r="3299" spans="8:8">
      <c r="H3299" s="680" t="s">
        <v>6153</v>
      </c>
    </row>
    <row r="3300" spans="8:8">
      <c r="H3300" s="680" t="s">
        <v>6153</v>
      </c>
    </row>
    <row r="3301" spans="8:8">
      <c r="H3301" s="680" t="s">
        <v>6153</v>
      </c>
    </row>
    <row r="3302" spans="8:8">
      <c r="H3302" s="680" t="s">
        <v>6153</v>
      </c>
    </row>
    <row r="3303" spans="8:8">
      <c r="H3303" s="680" t="s">
        <v>6153</v>
      </c>
    </row>
    <row r="3304" spans="8:8">
      <c r="H3304" s="680" t="s">
        <v>6153</v>
      </c>
    </row>
    <row r="3305" spans="8:8">
      <c r="H3305" s="680" t="s">
        <v>6153</v>
      </c>
    </row>
    <row r="3306" spans="8:8">
      <c r="H3306" s="680" t="s">
        <v>6153</v>
      </c>
    </row>
    <row r="3307" spans="8:8">
      <c r="H3307" s="680" t="s">
        <v>6153</v>
      </c>
    </row>
    <row r="3308" spans="8:8">
      <c r="H3308" s="680" t="s">
        <v>6153</v>
      </c>
    </row>
    <row r="3309" spans="8:8">
      <c r="H3309" s="680" t="s">
        <v>6153</v>
      </c>
    </row>
    <row r="3310" spans="8:8">
      <c r="H3310" s="680" t="s">
        <v>6153</v>
      </c>
    </row>
    <row r="3311" spans="8:8">
      <c r="H3311" s="680" t="s">
        <v>6153</v>
      </c>
    </row>
    <row r="3312" spans="8:8">
      <c r="H3312" s="680" t="s">
        <v>6153</v>
      </c>
    </row>
    <row r="3313" spans="8:8">
      <c r="H3313" s="680" t="s">
        <v>6153</v>
      </c>
    </row>
    <row r="3314" spans="8:8">
      <c r="H3314" s="680" t="s">
        <v>6153</v>
      </c>
    </row>
    <row r="3315" spans="8:8">
      <c r="H3315" s="680" t="s">
        <v>6153</v>
      </c>
    </row>
    <row r="3316" spans="8:8">
      <c r="H3316" s="680" t="s">
        <v>6153</v>
      </c>
    </row>
    <row r="3317" spans="8:8">
      <c r="H3317" s="680" t="s">
        <v>6153</v>
      </c>
    </row>
    <row r="3318" spans="8:8">
      <c r="H3318" s="680" t="s">
        <v>6153</v>
      </c>
    </row>
    <row r="3319" spans="8:8">
      <c r="H3319" s="680" t="s">
        <v>6153</v>
      </c>
    </row>
    <row r="3320" spans="8:8">
      <c r="H3320" s="680" t="s">
        <v>6153</v>
      </c>
    </row>
    <row r="3321" spans="8:8">
      <c r="H3321" s="680" t="s">
        <v>6153</v>
      </c>
    </row>
    <row r="3322" spans="8:8">
      <c r="H3322" s="680" t="s">
        <v>6153</v>
      </c>
    </row>
    <row r="3323" spans="8:8">
      <c r="H3323" s="680" t="s">
        <v>6153</v>
      </c>
    </row>
    <row r="3324" spans="8:8">
      <c r="H3324" s="680" t="s">
        <v>6153</v>
      </c>
    </row>
    <row r="3325" spans="8:8">
      <c r="H3325" s="680" t="s">
        <v>6153</v>
      </c>
    </row>
    <row r="3326" spans="8:8">
      <c r="H3326" s="680" t="s">
        <v>6153</v>
      </c>
    </row>
    <row r="3327" spans="8:8">
      <c r="H3327" s="680" t="s">
        <v>6153</v>
      </c>
    </row>
    <row r="3328" spans="8:8">
      <c r="H3328" s="680" t="s">
        <v>6153</v>
      </c>
    </row>
    <row r="3329" spans="8:8">
      <c r="H3329" s="680" t="s">
        <v>6153</v>
      </c>
    </row>
    <row r="3330" spans="8:8">
      <c r="H3330" s="680" t="s">
        <v>6153</v>
      </c>
    </row>
    <row r="3331" spans="8:8">
      <c r="H3331" s="680" t="s">
        <v>6153</v>
      </c>
    </row>
    <row r="3332" spans="8:8">
      <c r="H3332" s="680" t="s">
        <v>6153</v>
      </c>
    </row>
    <row r="3333" spans="8:8">
      <c r="H3333" s="680" t="s">
        <v>6153</v>
      </c>
    </row>
    <row r="3334" spans="8:8">
      <c r="H3334" s="680" t="s">
        <v>6153</v>
      </c>
    </row>
    <row r="3335" spans="8:8">
      <c r="H3335" s="680" t="s">
        <v>6153</v>
      </c>
    </row>
    <row r="3336" spans="8:8">
      <c r="H3336" s="680" t="s">
        <v>6153</v>
      </c>
    </row>
    <row r="3337" spans="8:8">
      <c r="H3337" s="680" t="s">
        <v>6153</v>
      </c>
    </row>
    <row r="3338" spans="8:8">
      <c r="H3338" s="680" t="s">
        <v>6153</v>
      </c>
    </row>
    <row r="3339" spans="8:8">
      <c r="H3339" s="680" t="s">
        <v>6153</v>
      </c>
    </row>
    <row r="3340" spans="8:8">
      <c r="H3340" s="680" t="s">
        <v>6153</v>
      </c>
    </row>
    <row r="3341" spans="8:8">
      <c r="H3341" s="680" t="s">
        <v>6153</v>
      </c>
    </row>
    <row r="3342" spans="8:8">
      <c r="H3342" s="680" t="s">
        <v>6153</v>
      </c>
    </row>
    <row r="3343" spans="8:8">
      <c r="H3343" s="680" t="s">
        <v>6153</v>
      </c>
    </row>
    <row r="3344" spans="8:8">
      <c r="H3344" s="680" t="s">
        <v>6153</v>
      </c>
    </row>
    <row r="3345" spans="8:8">
      <c r="H3345" s="680" t="s">
        <v>6153</v>
      </c>
    </row>
    <row r="3346" spans="8:8">
      <c r="H3346" s="680" t="s">
        <v>6153</v>
      </c>
    </row>
    <row r="3347" spans="8:8">
      <c r="H3347" s="680" t="s">
        <v>6153</v>
      </c>
    </row>
    <row r="3348" spans="8:8">
      <c r="H3348" s="680" t="s">
        <v>6153</v>
      </c>
    </row>
    <row r="3349" spans="8:8">
      <c r="H3349" s="680" t="s">
        <v>6153</v>
      </c>
    </row>
    <row r="3350" spans="8:8">
      <c r="H3350" s="680" t="s">
        <v>6153</v>
      </c>
    </row>
    <row r="3351" spans="8:8">
      <c r="H3351" s="680" t="s">
        <v>6153</v>
      </c>
    </row>
    <row r="3352" spans="8:8">
      <c r="H3352" s="680" t="s">
        <v>6153</v>
      </c>
    </row>
    <row r="3353" spans="8:8">
      <c r="H3353" s="680" t="s">
        <v>6153</v>
      </c>
    </row>
    <row r="3354" spans="8:8">
      <c r="H3354" s="680" t="s">
        <v>6153</v>
      </c>
    </row>
    <row r="3355" spans="8:8">
      <c r="H3355" s="680" t="s">
        <v>6153</v>
      </c>
    </row>
    <row r="3356" spans="8:8">
      <c r="H3356" s="680" t="s">
        <v>6153</v>
      </c>
    </row>
    <row r="3357" spans="8:8">
      <c r="H3357" s="680" t="s">
        <v>6153</v>
      </c>
    </row>
    <row r="3358" spans="8:8">
      <c r="H3358" s="680" t="s">
        <v>6153</v>
      </c>
    </row>
    <row r="3359" spans="8:8">
      <c r="H3359" s="680" t="s">
        <v>6153</v>
      </c>
    </row>
    <row r="3360" spans="8:8">
      <c r="H3360" s="680" t="s">
        <v>6153</v>
      </c>
    </row>
    <row r="3361" spans="8:8">
      <c r="H3361" s="680" t="s">
        <v>6153</v>
      </c>
    </row>
    <row r="3362" spans="8:8">
      <c r="H3362" s="680" t="s">
        <v>6153</v>
      </c>
    </row>
    <row r="3363" spans="8:8">
      <c r="H3363" s="680" t="s">
        <v>6153</v>
      </c>
    </row>
    <row r="3364" spans="8:8">
      <c r="H3364" s="680" t="s">
        <v>6153</v>
      </c>
    </row>
    <row r="3365" spans="8:8">
      <c r="H3365" s="680" t="s">
        <v>6153</v>
      </c>
    </row>
    <row r="3366" spans="8:8">
      <c r="H3366" s="680" t="s">
        <v>6153</v>
      </c>
    </row>
    <row r="3367" spans="8:8">
      <c r="H3367" s="680" t="s">
        <v>6153</v>
      </c>
    </row>
    <row r="3368" spans="8:8">
      <c r="H3368" s="680" t="s">
        <v>6153</v>
      </c>
    </row>
    <row r="3369" spans="8:8">
      <c r="H3369" s="680" t="s">
        <v>6153</v>
      </c>
    </row>
    <row r="3370" spans="8:8">
      <c r="H3370" s="680" t="s">
        <v>6153</v>
      </c>
    </row>
    <row r="3371" spans="8:8">
      <c r="H3371" s="680" t="s">
        <v>6153</v>
      </c>
    </row>
    <row r="3372" spans="8:8">
      <c r="H3372" s="680" t="s">
        <v>6153</v>
      </c>
    </row>
    <row r="3373" spans="8:8">
      <c r="H3373" s="680" t="s">
        <v>6153</v>
      </c>
    </row>
    <row r="3374" spans="8:8">
      <c r="H3374" s="680" t="s">
        <v>6153</v>
      </c>
    </row>
    <row r="3375" spans="8:8">
      <c r="H3375" s="680" t="s">
        <v>6153</v>
      </c>
    </row>
    <row r="3376" spans="8:8">
      <c r="H3376" s="680" t="s">
        <v>6153</v>
      </c>
    </row>
    <row r="3377" spans="8:8">
      <c r="H3377" s="680" t="s">
        <v>6153</v>
      </c>
    </row>
    <row r="3378" spans="8:8">
      <c r="H3378" s="680" t="s">
        <v>6153</v>
      </c>
    </row>
    <row r="3379" spans="8:8">
      <c r="H3379" s="680" t="s">
        <v>6153</v>
      </c>
    </row>
    <row r="3380" spans="8:8">
      <c r="H3380" s="680" t="s">
        <v>6153</v>
      </c>
    </row>
    <row r="3381" spans="8:8">
      <c r="H3381" s="680" t="s">
        <v>6153</v>
      </c>
    </row>
    <row r="3382" spans="8:8">
      <c r="H3382" s="680" t="s">
        <v>6153</v>
      </c>
    </row>
    <row r="3383" spans="8:8">
      <c r="H3383" s="680" t="s">
        <v>6153</v>
      </c>
    </row>
    <row r="3384" spans="8:8">
      <c r="H3384" s="680" t="s">
        <v>6153</v>
      </c>
    </row>
    <row r="3385" spans="8:8">
      <c r="H3385" s="680" t="s">
        <v>6153</v>
      </c>
    </row>
    <row r="3386" spans="8:8">
      <c r="H3386" s="680" t="s">
        <v>6153</v>
      </c>
    </row>
    <row r="3387" spans="8:8">
      <c r="H3387" s="680" t="s">
        <v>6153</v>
      </c>
    </row>
    <row r="3388" spans="8:8">
      <c r="H3388" s="680" t="s">
        <v>6153</v>
      </c>
    </row>
    <row r="3389" spans="8:8">
      <c r="H3389" s="680" t="s">
        <v>6153</v>
      </c>
    </row>
    <row r="3390" spans="8:8">
      <c r="H3390" s="680" t="s">
        <v>6153</v>
      </c>
    </row>
    <row r="3391" spans="8:8">
      <c r="H3391" s="680" t="s">
        <v>6153</v>
      </c>
    </row>
    <row r="3392" spans="8:8">
      <c r="H3392" s="680" t="s">
        <v>6153</v>
      </c>
    </row>
    <row r="3393" spans="8:8">
      <c r="H3393" s="680" t="s">
        <v>6153</v>
      </c>
    </row>
    <row r="3394" spans="8:8">
      <c r="H3394" s="680" t="s">
        <v>6153</v>
      </c>
    </row>
    <row r="3395" spans="8:8">
      <c r="H3395" s="680" t="s">
        <v>6153</v>
      </c>
    </row>
    <row r="3396" spans="8:8">
      <c r="H3396" s="680" t="s">
        <v>6153</v>
      </c>
    </row>
    <row r="3397" spans="8:8">
      <c r="H3397" s="680" t="s">
        <v>6153</v>
      </c>
    </row>
    <row r="3398" spans="8:8">
      <c r="H3398" s="680" t="s">
        <v>6153</v>
      </c>
    </row>
    <row r="3399" spans="8:8">
      <c r="H3399" s="680" t="s">
        <v>6153</v>
      </c>
    </row>
    <row r="3400" spans="8:8">
      <c r="H3400" s="680" t="s">
        <v>6153</v>
      </c>
    </row>
    <row r="3401" spans="8:8">
      <c r="H3401" s="680" t="s">
        <v>6153</v>
      </c>
    </row>
    <row r="3402" spans="8:8">
      <c r="H3402" s="680" t="s">
        <v>6153</v>
      </c>
    </row>
    <row r="3403" spans="8:8">
      <c r="H3403" s="680" t="s">
        <v>6153</v>
      </c>
    </row>
    <row r="3404" spans="8:8">
      <c r="H3404" s="680" t="s">
        <v>6153</v>
      </c>
    </row>
    <row r="3405" spans="8:8">
      <c r="H3405" s="680" t="s">
        <v>6153</v>
      </c>
    </row>
    <row r="3406" spans="8:8">
      <c r="H3406" s="680" t="s">
        <v>6153</v>
      </c>
    </row>
    <row r="3407" spans="8:8">
      <c r="H3407" s="680" t="s">
        <v>6153</v>
      </c>
    </row>
    <row r="3408" spans="8:8">
      <c r="H3408" s="680" t="s">
        <v>6153</v>
      </c>
    </row>
    <row r="3409" spans="8:8">
      <c r="H3409" s="680" t="s">
        <v>6153</v>
      </c>
    </row>
    <row r="3410" spans="8:8">
      <c r="H3410" s="680" t="s">
        <v>6153</v>
      </c>
    </row>
    <row r="3411" spans="8:8">
      <c r="H3411" s="680" t="s">
        <v>6153</v>
      </c>
    </row>
    <row r="3412" spans="8:8">
      <c r="H3412" s="680" t="s">
        <v>6153</v>
      </c>
    </row>
    <row r="3413" spans="8:8">
      <c r="H3413" s="680" t="s">
        <v>6153</v>
      </c>
    </row>
    <row r="3414" spans="8:8">
      <c r="H3414" s="680" t="s">
        <v>6153</v>
      </c>
    </row>
    <row r="3415" spans="8:8">
      <c r="H3415" s="680" t="s">
        <v>6153</v>
      </c>
    </row>
    <row r="3416" spans="8:8">
      <c r="H3416" s="680" t="s">
        <v>6153</v>
      </c>
    </row>
    <row r="3417" spans="8:8">
      <c r="H3417" s="680" t="s">
        <v>6153</v>
      </c>
    </row>
    <row r="3418" spans="8:8">
      <c r="H3418" s="680" t="s">
        <v>6153</v>
      </c>
    </row>
    <row r="3419" spans="8:8">
      <c r="H3419" s="680" t="s">
        <v>6153</v>
      </c>
    </row>
    <row r="3420" spans="8:8">
      <c r="H3420" s="680" t="s">
        <v>6153</v>
      </c>
    </row>
    <row r="3421" spans="8:8">
      <c r="H3421" s="680" t="s">
        <v>6153</v>
      </c>
    </row>
    <row r="3422" spans="8:8">
      <c r="H3422" s="680" t="s">
        <v>6153</v>
      </c>
    </row>
    <row r="3423" spans="8:8">
      <c r="H3423" s="680" t="s">
        <v>6153</v>
      </c>
    </row>
    <row r="3424" spans="8:8">
      <c r="H3424" s="680" t="s">
        <v>6153</v>
      </c>
    </row>
    <row r="3425" spans="8:8">
      <c r="H3425" s="680" t="s">
        <v>6153</v>
      </c>
    </row>
    <row r="3426" spans="8:8">
      <c r="H3426" s="680" t="s">
        <v>6153</v>
      </c>
    </row>
    <row r="3427" spans="8:8">
      <c r="H3427" s="680" t="s">
        <v>6153</v>
      </c>
    </row>
    <row r="3428" spans="8:8">
      <c r="H3428" s="680" t="s">
        <v>6153</v>
      </c>
    </row>
    <row r="3429" spans="8:8">
      <c r="H3429" s="680" t="s">
        <v>6153</v>
      </c>
    </row>
    <row r="3430" spans="8:8">
      <c r="H3430" s="680" t="s">
        <v>6153</v>
      </c>
    </row>
    <row r="3431" spans="8:8">
      <c r="H3431" s="680" t="s">
        <v>6153</v>
      </c>
    </row>
    <row r="3432" spans="8:8">
      <c r="H3432" s="680" t="s">
        <v>6153</v>
      </c>
    </row>
    <row r="3433" spans="8:8">
      <c r="H3433" s="680" t="s">
        <v>6153</v>
      </c>
    </row>
    <row r="3434" spans="8:8">
      <c r="H3434" s="680" t="s">
        <v>6153</v>
      </c>
    </row>
    <row r="3435" spans="8:8">
      <c r="H3435" s="680" t="s">
        <v>6153</v>
      </c>
    </row>
    <row r="3436" spans="8:8">
      <c r="H3436" s="680" t="s">
        <v>6153</v>
      </c>
    </row>
    <row r="3437" spans="8:8">
      <c r="H3437" s="680" t="s">
        <v>6153</v>
      </c>
    </row>
    <row r="3438" spans="8:8">
      <c r="H3438" s="680" t="s">
        <v>6153</v>
      </c>
    </row>
    <row r="3439" spans="8:8">
      <c r="H3439" s="680" t="s">
        <v>6153</v>
      </c>
    </row>
    <row r="3440" spans="8:8">
      <c r="H3440" s="680" t="s">
        <v>6153</v>
      </c>
    </row>
    <row r="3441" spans="8:8">
      <c r="H3441" s="680" t="s">
        <v>6153</v>
      </c>
    </row>
    <row r="3442" spans="8:8">
      <c r="H3442" s="680" t="s">
        <v>6153</v>
      </c>
    </row>
    <row r="3443" spans="8:8">
      <c r="H3443" s="680" t="s">
        <v>6153</v>
      </c>
    </row>
    <row r="3444" spans="8:8">
      <c r="H3444" s="680" t="s">
        <v>6153</v>
      </c>
    </row>
    <row r="3445" spans="8:8">
      <c r="H3445" s="680" t="s">
        <v>6153</v>
      </c>
    </row>
    <row r="3446" spans="8:8">
      <c r="H3446" s="680" t="s">
        <v>6153</v>
      </c>
    </row>
    <row r="3447" spans="8:8">
      <c r="H3447" s="680" t="s">
        <v>6153</v>
      </c>
    </row>
    <row r="3448" spans="8:8">
      <c r="H3448" s="680" t="s">
        <v>6153</v>
      </c>
    </row>
    <row r="3449" spans="8:8">
      <c r="H3449" s="680" t="s">
        <v>6153</v>
      </c>
    </row>
    <row r="3450" spans="8:8">
      <c r="H3450" s="680" t="s">
        <v>6153</v>
      </c>
    </row>
    <row r="3451" spans="8:8">
      <c r="H3451" s="680" t="s">
        <v>6153</v>
      </c>
    </row>
    <row r="3452" spans="8:8">
      <c r="H3452" s="680" t="s">
        <v>6153</v>
      </c>
    </row>
    <row r="3453" spans="8:8">
      <c r="H3453" s="680" t="s">
        <v>6153</v>
      </c>
    </row>
    <row r="3454" spans="8:8">
      <c r="H3454" s="680" t="s">
        <v>6153</v>
      </c>
    </row>
    <row r="3455" spans="8:8">
      <c r="H3455" s="680" t="s">
        <v>6153</v>
      </c>
    </row>
    <row r="3456" spans="8:8">
      <c r="H3456" s="680" t="s">
        <v>6153</v>
      </c>
    </row>
    <row r="3457" spans="8:8">
      <c r="H3457" s="680" t="s">
        <v>6153</v>
      </c>
    </row>
    <row r="3458" spans="8:8">
      <c r="H3458" s="680" t="s">
        <v>6153</v>
      </c>
    </row>
    <row r="3459" spans="8:8">
      <c r="H3459" s="680" t="s">
        <v>6153</v>
      </c>
    </row>
    <row r="3460" spans="8:8">
      <c r="H3460" s="680" t="s">
        <v>6153</v>
      </c>
    </row>
    <row r="3461" spans="8:8">
      <c r="H3461" s="680" t="s">
        <v>6153</v>
      </c>
    </row>
    <row r="3462" spans="8:8">
      <c r="H3462" s="680" t="s">
        <v>6153</v>
      </c>
    </row>
    <row r="3463" spans="8:8">
      <c r="H3463" s="680" t="s">
        <v>6153</v>
      </c>
    </row>
    <row r="3464" spans="8:8">
      <c r="H3464" s="680" t="s">
        <v>6153</v>
      </c>
    </row>
    <row r="3465" spans="8:8">
      <c r="H3465" s="680" t="s">
        <v>6153</v>
      </c>
    </row>
    <row r="3466" spans="8:8">
      <c r="H3466" s="680" t="s">
        <v>6153</v>
      </c>
    </row>
    <row r="3467" spans="8:8">
      <c r="H3467" s="680" t="s">
        <v>6153</v>
      </c>
    </row>
    <row r="3468" spans="8:8">
      <c r="H3468" s="680" t="s">
        <v>6153</v>
      </c>
    </row>
    <row r="3469" spans="8:8">
      <c r="H3469" s="680" t="s">
        <v>6153</v>
      </c>
    </row>
    <row r="3470" spans="8:8">
      <c r="H3470" s="680" t="s">
        <v>6153</v>
      </c>
    </row>
    <row r="3471" spans="8:8">
      <c r="H3471" s="680" t="s">
        <v>6153</v>
      </c>
    </row>
    <row r="3472" spans="8:8">
      <c r="H3472" s="680" t="s">
        <v>6153</v>
      </c>
    </row>
    <row r="3473" spans="8:8">
      <c r="H3473" s="680" t="s">
        <v>6153</v>
      </c>
    </row>
    <row r="3474" spans="8:8">
      <c r="H3474" s="680" t="s">
        <v>6153</v>
      </c>
    </row>
    <row r="3475" spans="8:8">
      <c r="H3475" s="680" t="s">
        <v>6153</v>
      </c>
    </row>
    <row r="3476" spans="8:8">
      <c r="H3476" s="680" t="s">
        <v>6153</v>
      </c>
    </row>
    <row r="3477" spans="8:8">
      <c r="H3477" s="680" t="s">
        <v>6153</v>
      </c>
    </row>
    <row r="3478" spans="8:8">
      <c r="H3478" s="680" t="s">
        <v>6153</v>
      </c>
    </row>
    <row r="3479" spans="8:8">
      <c r="H3479" s="680" t="s">
        <v>6153</v>
      </c>
    </row>
    <row r="3480" spans="8:8">
      <c r="H3480" s="680" t="s">
        <v>6153</v>
      </c>
    </row>
    <row r="3481" spans="8:8">
      <c r="H3481" s="680" t="s">
        <v>6153</v>
      </c>
    </row>
    <row r="3482" spans="8:8">
      <c r="H3482" s="680" t="s">
        <v>6153</v>
      </c>
    </row>
    <row r="3483" spans="8:8">
      <c r="H3483" s="680" t="s">
        <v>6153</v>
      </c>
    </row>
    <row r="3484" spans="8:8">
      <c r="H3484" s="680" t="s">
        <v>6153</v>
      </c>
    </row>
    <row r="3485" spans="8:8">
      <c r="H3485" s="680" t="s">
        <v>6153</v>
      </c>
    </row>
    <row r="3486" spans="8:8">
      <c r="H3486" s="680" t="s">
        <v>6153</v>
      </c>
    </row>
    <row r="3487" spans="8:8">
      <c r="H3487" s="680" t="s">
        <v>6153</v>
      </c>
    </row>
    <row r="3488" spans="8:8">
      <c r="H3488" s="680" t="s">
        <v>6153</v>
      </c>
    </row>
    <row r="3489" spans="8:8">
      <c r="H3489" s="680" t="s">
        <v>6153</v>
      </c>
    </row>
    <row r="3490" spans="8:8">
      <c r="H3490" s="680" t="s">
        <v>6153</v>
      </c>
    </row>
    <row r="3491" spans="8:8">
      <c r="H3491" s="680" t="s">
        <v>6153</v>
      </c>
    </row>
    <row r="3492" spans="8:8">
      <c r="H3492" s="680" t="s">
        <v>6153</v>
      </c>
    </row>
    <row r="3493" spans="8:8">
      <c r="H3493" s="680" t="s">
        <v>6153</v>
      </c>
    </row>
    <row r="3494" spans="8:8">
      <c r="H3494" s="680" t="s">
        <v>6153</v>
      </c>
    </row>
    <row r="3495" spans="8:8">
      <c r="H3495" s="680" t="s">
        <v>6153</v>
      </c>
    </row>
    <row r="3496" spans="8:8">
      <c r="H3496" s="680" t="s">
        <v>6153</v>
      </c>
    </row>
    <row r="3497" spans="8:8">
      <c r="H3497" s="680" t="s">
        <v>6153</v>
      </c>
    </row>
    <row r="3498" spans="8:8">
      <c r="H3498" s="680" t="s">
        <v>6153</v>
      </c>
    </row>
    <row r="3499" spans="8:8">
      <c r="H3499" s="680" t="s">
        <v>6153</v>
      </c>
    </row>
    <row r="3500" spans="8:8">
      <c r="H3500" s="680" t="s">
        <v>6153</v>
      </c>
    </row>
    <row r="3501" spans="8:8">
      <c r="H3501" s="680" t="s">
        <v>6153</v>
      </c>
    </row>
    <row r="3502" spans="8:8">
      <c r="H3502" s="680" t="s">
        <v>6153</v>
      </c>
    </row>
    <row r="3503" spans="8:8">
      <c r="H3503" s="680" t="s">
        <v>6153</v>
      </c>
    </row>
    <row r="3504" spans="8:8">
      <c r="H3504" s="680" t="s">
        <v>6153</v>
      </c>
    </row>
    <row r="3505" spans="8:8">
      <c r="H3505" s="680" t="s">
        <v>6153</v>
      </c>
    </row>
    <row r="3506" spans="8:8">
      <c r="H3506" s="680" t="s">
        <v>6153</v>
      </c>
    </row>
    <row r="3507" spans="8:8">
      <c r="H3507" s="680" t="s">
        <v>6153</v>
      </c>
    </row>
    <row r="3508" spans="8:8">
      <c r="H3508" s="680" t="s">
        <v>6153</v>
      </c>
    </row>
    <row r="3509" spans="8:8">
      <c r="H3509" s="680" t="s">
        <v>6153</v>
      </c>
    </row>
    <row r="3510" spans="8:8">
      <c r="H3510" s="680" t="s">
        <v>6153</v>
      </c>
    </row>
    <row r="3511" spans="8:8">
      <c r="H3511" s="680" t="s">
        <v>6153</v>
      </c>
    </row>
    <row r="3512" spans="8:8">
      <c r="H3512" s="680" t="s">
        <v>6153</v>
      </c>
    </row>
    <row r="3513" spans="8:8">
      <c r="H3513" s="680" t="s">
        <v>6153</v>
      </c>
    </row>
    <row r="3514" spans="8:8">
      <c r="H3514" s="680" t="s">
        <v>6153</v>
      </c>
    </row>
    <row r="3515" spans="8:8">
      <c r="H3515" s="680" t="s">
        <v>6153</v>
      </c>
    </row>
    <row r="3516" spans="8:8">
      <c r="H3516" s="680" t="s">
        <v>6153</v>
      </c>
    </row>
    <row r="3517" spans="8:8">
      <c r="H3517" s="680" t="s">
        <v>6153</v>
      </c>
    </row>
    <row r="3518" spans="8:8">
      <c r="H3518" s="680" t="s">
        <v>6153</v>
      </c>
    </row>
    <row r="3519" spans="8:8">
      <c r="H3519" s="680" t="s">
        <v>6153</v>
      </c>
    </row>
    <row r="3520" spans="8:8">
      <c r="H3520" s="680" t="s">
        <v>6153</v>
      </c>
    </row>
    <row r="3521" spans="8:8">
      <c r="H3521" s="680" t="s">
        <v>6153</v>
      </c>
    </row>
    <row r="3522" spans="8:8">
      <c r="H3522" s="680" t="s">
        <v>6153</v>
      </c>
    </row>
    <row r="3523" spans="8:8">
      <c r="H3523" s="680" t="s">
        <v>6153</v>
      </c>
    </row>
    <row r="3524" spans="8:8">
      <c r="H3524" s="680" t="s">
        <v>6153</v>
      </c>
    </row>
    <row r="3525" spans="8:8">
      <c r="H3525" s="680" t="s">
        <v>6153</v>
      </c>
    </row>
    <row r="3526" spans="8:8">
      <c r="H3526" s="680" t="s">
        <v>6153</v>
      </c>
    </row>
    <row r="3527" spans="8:8">
      <c r="H3527" s="680" t="s">
        <v>6153</v>
      </c>
    </row>
    <row r="3528" spans="8:8">
      <c r="H3528" s="680" t="s">
        <v>6153</v>
      </c>
    </row>
    <row r="3529" spans="8:8">
      <c r="H3529" s="680" t="s">
        <v>6153</v>
      </c>
    </row>
    <row r="3530" spans="8:8">
      <c r="H3530" s="680" t="s">
        <v>6153</v>
      </c>
    </row>
    <row r="3531" spans="8:8">
      <c r="H3531" s="680" t="s">
        <v>6153</v>
      </c>
    </row>
    <row r="3532" spans="8:8">
      <c r="H3532" s="680" t="s">
        <v>6153</v>
      </c>
    </row>
    <row r="3533" spans="8:8">
      <c r="H3533" s="680" t="s">
        <v>6153</v>
      </c>
    </row>
    <row r="3534" spans="8:8">
      <c r="H3534" s="680" t="s">
        <v>6153</v>
      </c>
    </row>
    <row r="3535" spans="8:8">
      <c r="H3535" s="680" t="s">
        <v>6153</v>
      </c>
    </row>
    <row r="3536" spans="8:8">
      <c r="H3536" s="680" t="s">
        <v>6153</v>
      </c>
    </row>
    <row r="3537" spans="8:8">
      <c r="H3537" s="680" t="s">
        <v>6153</v>
      </c>
    </row>
    <row r="3538" spans="8:8">
      <c r="H3538" s="680" t="s">
        <v>6153</v>
      </c>
    </row>
    <row r="3539" spans="8:8">
      <c r="H3539" s="680" t="s">
        <v>6153</v>
      </c>
    </row>
    <row r="3540" spans="8:8">
      <c r="H3540" s="680" t="s">
        <v>6153</v>
      </c>
    </row>
    <row r="3541" spans="8:8">
      <c r="H3541" s="680" t="s">
        <v>6153</v>
      </c>
    </row>
    <row r="3542" spans="8:8">
      <c r="H3542" s="680" t="s">
        <v>6153</v>
      </c>
    </row>
    <row r="3543" spans="8:8">
      <c r="H3543" s="680" t="s">
        <v>6153</v>
      </c>
    </row>
    <row r="3544" spans="8:8">
      <c r="H3544" s="680" t="s">
        <v>6153</v>
      </c>
    </row>
    <row r="3545" spans="8:8">
      <c r="H3545" s="680" t="s">
        <v>6153</v>
      </c>
    </row>
    <row r="3546" spans="8:8">
      <c r="H3546" s="680" t="s">
        <v>6153</v>
      </c>
    </row>
    <row r="3547" spans="8:8">
      <c r="H3547" s="680" t="s">
        <v>6153</v>
      </c>
    </row>
    <row r="3548" spans="8:8">
      <c r="H3548" s="680" t="s">
        <v>6153</v>
      </c>
    </row>
    <row r="3549" spans="8:8">
      <c r="H3549" s="680" t="s">
        <v>6153</v>
      </c>
    </row>
    <row r="3550" spans="8:8">
      <c r="H3550" s="680" t="s">
        <v>6153</v>
      </c>
    </row>
    <row r="3551" spans="8:8">
      <c r="H3551" s="680" t="s">
        <v>6153</v>
      </c>
    </row>
    <row r="3552" spans="8:8">
      <c r="H3552" s="680" t="s">
        <v>6153</v>
      </c>
    </row>
    <row r="3553" spans="8:8">
      <c r="H3553" s="680" t="s">
        <v>6153</v>
      </c>
    </row>
    <row r="3554" spans="8:8">
      <c r="H3554" s="680" t="s">
        <v>6153</v>
      </c>
    </row>
    <row r="3555" spans="8:8">
      <c r="H3555" s="680" t="s">
        <v>6153</v>
      </c>
    </row>
    <row r="3556" spans="8:8">
      <c r="H3556" s="680" t="s">
        <v>6153</v>
      </c>
    </row>
    <row r="3557" spans="8:8">
      <c r="H3557" s="680" t="s">
        <v>6153</v>
      </c>
    </row>
    <row r="3558" spans="8:8">
      <c r="H3558" s="680" t="s">
        <v>6153</v>
      </c>
    </row>
    <row r="3559" spans="8:8">
      <c r="H3559" s="680" t="s">
        <v>6153</v>
      </c>
    </row>
    <row r="3560" spans="8:8">
      <c r="H3560" s="680" t="s">
        <v>6153</v>
      </c>
    </row>
    <row r="3561" spans="8:8">
      <c r="H3561" s="680" t="s">
        <v>6153</v>
      </c>
    </row>
    <row r="3562" spans="8:8">
      <c r="H3562" s="680" t="s">
        <v>6153</v>
      </c>
    </row>
    <row r="3563" spans="8:8">
      <c r="H3563" s="680" t="s">
        <v>6153</v>
      </c>
    </row>
    <row r="3564" spans="8:8">
      <c r="H3564" s="680" t="s">
        <v>6153</v>
      </c>
    </row>
    <row r="3565" spans="8:8">
      <c r="H3565" s="680" t="s">
        <v>6153</v>
      </c>
    </row>
    <row r="3566" spans="8:8">
      <c r="H3566" s="680" t="s">
        <v>6153</v>
      </c>
    </row>
    <row r="3567" spans="8:8">
      <c r="H3567" s="680" t="s">
        <v>6153</v>
      </c>
    </row>
    <row r="3568" spans="8:8">
      <c r="H3568" s="680" t="s">
        <v>6153</v>
      </c>
    </row>
    <row r="3569" spans="8:8">
      <c r="H3569" s="680" t="s">
        <v>6153</v>
      </c>
    </row>
    <row r="3570" spans="8:8">
      <c r="H3570" s="680" t="s">
        <v>6153</v>
      </c>
    </row>
    <row r="3571" spans="8:8">
      <c r="H3571" s="680" t="s">
        <v>6153</v>
      </c>
    </row>
    <row r="3572" spans="8:8">
      <c r="H3572" s="680" t="s">
        <v>6153</v>
      </c>
    </row>
    <row r="3573" spans="8:8">
      <c r="H3573" s="680" t="s">
        <v>6153</v>
      </c>
    </row>
    <row r="3574" spans="8:8">
      <c r="H3574" s="680" t="s">
        <v>6153</v>
      </c>
    </row>
    <row r="3575" spans="8:8">
      <c r="H3575" s="680" t="s">
        <v>6153</v>
      </c>
    </row>
    <row r="3576" spans="8:8">
      <c r="H3576" s="680" t="s">
        <v>6153</v>
      </c>
    </row>
    <row r="3577" spans="8:8">
      <c r="H3577" s="680" t="s">
        <v>6153</v>
      </c>
    </row>
    <row r="3578" spans="8:8">
      <c r="H3578" s="680" t="s">
        <v>6153</v>
      </c>
    </row>
    <row r="3579" spans="8:8">
      <c r="H3579" s="680" t="s">
        <v>6153</v>
      </c>
    </row>
    <row r="3580" spans="8:8">
      <c r="H3580" s="680" t="s">
        <v>6153</v>
      </c>
    </row>
    <row r="3581" spans="8:8">
      <c r="H3581" s="680" t="s">
        <v>6153</v>
      </c>
    </row>
    <row r="3582" spans="8:8">
      <c r="H3582" s="680" t="s">
        <v>6153</v>
      </c>
    </row>
    <row r="3583" spans="8:8">
      <c r="H3583" s="680" t="s">
        <v>6153</v>
      </c>
    </row>
    <row r="3584" spans="8:8">
      <c r="H3584" s="680" t="s">
        <v>6153</v>
      </c>
    </row>
    <row r="3585" spans="8:8">
      <c r="H3585" s="680" t="s">
        <v>6153</v>
      </c>
    </row>
    <row r="3586" spans="8:8">
      <c r="H3586" s="680" t="s">
        <v>6153</v>
      </c>
    </row>
    <row r="3587" spans="8:8">
      <c r="H3587" s="680" t="s">
        <v>6153</v>
      </c>
    </row>
    <row r="3588" spans="8:8">
      <c r="H3588" s="680" t="s">
        <v>6153</v>
      </c>
    </row>
    <row r="3589" spans="8:8">
      <c r="H3589" s="680" t="s">
        <v>6153</v>
      </c>
    </row>
    <row r="3590" spans="8:8">
      <c r="H3590" s="680" t="s">
        <v>6153</v>
      </c>
    </row>
    <row r="3591" spans="8:8">
      <c r="H3591" s="680" t="s">
        <v>6153</v>
      </c>
    </row>
    <row r="3592" spans="8:8">
      <c r="H3592" s="680" t="s">
        <v>6153</v>
      </c>
    </row>
    <row r="3593" spans="8:8">
      <c r="H3593" s="680" t="s">
        <v>6153</v>
      </c>
    </row>
    <row r="3594" spans="8:8">
      <c r="H3594" s="680" t="s">
        <v>6153</v>
      </c>
    </row>
    <row r="3595" spans="8:8">
      <c r="H3595" s="680" t="s">
        <v>6153</v>
      </c>
    </row>
    <row r="3596" spans="8:8">
      <c r="H3596" s="680" t="s">
        <v>6153</v>
      </c>
    </row>
    <row r="3597" spans="8:8">
      <c r="H3597" s="680" t="s">
        <v>6153</v>
      </c>
    </row>
    <row r="3598" spans="8:8">
      <c r="H3598" s="680" t="s">
        <v>6153</v>
      </c>
    </row>
    <row r="3599" spans="8:8">
      <c r="H3599" s="680" t="s">
        <v>6153</v>
      </c>
    </row>
    <row r="3600" spans="8:8">
      <c r="H3600" s="680" t="s">
        <v>6153</v>
      </c>
    </row>
    <row r="3601" spans="8:8">
      <c r="H3601" s="680" t="s">
        <v>6153</v>
      </c>
    </row>
    <row r="3602" spans="8:8">
      <c r="H3602" s="680" t="s">
        <v>6153</v>
      </c>
    </row>
    <row r="3603" spans="8:8">
      <c r="H3603" s="680" t="s">
        <v>6153</v>
      </c>
    </row>
    <row r="3604" spans="8:8">
      <c r="H3604" s="680" t="s">
        <v>6153</v>
      </c>
    </row>
    <row r="3605" spans="8:8">
      <c r="H3605" s="680" t="s">
        <v>6153</v>
      </c>
    </row>
    <row r="3606" spans="8:8">
      <c r="H3606" s="680" t="s">
        <v>6153</v>
      </c>
    </row>
    <row r="3607" spans="8:8">
      <c r="H3607" s="680" t="s">
        <v>6153</v>
      </c>
    </row>
    <row r="3608" spans="8:8">
      <c r="H3608" s="680" t="s">
        <v>6153</v>
      </c>
    </row>
    <row r="3609" spans="8:8">
      <c r="H3609" s="680" t="s">
        <v>6153</v>
      </c>
    </row>
    <row r="3610" spans="8:8">
      <c r="H3610" s="680" t="s">
        <v>6153</v>
      </c>
    </row>
    <row r="3611" spans="8:8">
      <c r="H3611" s="680" t="s">
        <v>6153</v>
      </c>
    </row>
    <row r="3612" spans="8:8">
      <c r="H3612" s="680" t="s">
        <v>6153</v>
      </c>
    </row>
    <row r="3613" spans="8:8">
      <c r="H3613" s="680" t="s">
        <v>6153</v>
      </c>
    </row>
    <row r="3614" spans="8:8">
      <c r="H3614" s="680" t="s">
        <v>6153</v>
      </c>
    </row>
    <row r="3615" spans="8:8">
      <c r="H3615" s="680" t="s">
        <v>6153</v>
      </c>
    </row>
    <row r="3616" spans="8:8">
      <c r="H3616" s="680" t="s">
        <v>6153</v>
      </c>
    </row>
    <row r="3617" spans="8:8">
      <c r="H3617" s="680" t="s">
        <v>6153</v>
      </c>
    </row>
    <row r="3618" spans="8:8">
      <c r="H3618" s="680" t="s">
        <v>6153</v>
      </c>
    </row>
    <row r="3619" spans="8:8">
      <c r="H3619" s="680" t="s">
        <v>6153</v>
      </c>
    </row>
    <row r="3620" spans="8:8">
      <c r="H3620" s="680" t="s">
        <v>6153</v>
      </c>
    </row>
    <row r="3621" spans="8:8">
      <c r="H3621" s="680" t="s">
        <v>6153</v>
      </c>
    </row>
    <row r="3622" spans="8:8">
      <c r="H3622" s="680" t="s">
        <v>6153</v>
      </c>
    </row>
    <row r="3623" spans="8:8">
      <c r="H3623" s="680" t="s">
        <v>6153</v>
      </c>
    </row>
    <row r="3624" spans="8:8">
      <c r="H3624" s="680" t="s">
        <v>6153</v>
      </c>
    </row>
    <row r="3625" spans="8:8">
      <c r="H3625" s="680" t="s">
        <v>6153</v>
      </c>
    </row>
    <row r="3626" spans="8:8">
      <c r="H3626" s="680" t="s">
        <v>6153</v>
      </c>
    </row>
    <row r="3627" spans="8:8">
      <c r="H3627" s="680" t="s">
        <v>6153</v>
      </c>
    </row>
    <row r="3628" spans="8:8">
      <c r="H3628" s="680" t="s">
        <v>6153</v>
      </c>
    </row>
    <row r="3629" spans="8:8">
      <c r="H3629" s="680" t="s">
        <v>6153</v>
      </c>
    </row>
    <row r="3630" spans="8:8">
      <c r="H3630" s="680" t="s">
        <v>6153</v>
      </c>
    </row>
    <row r="3631" spans="8:8">
      <c r="H3631" s="680" t="s">
        <v>6153</v>
      </c>
    </row>
    <row r="3632" spans="8:8">
      <c r="H3632" s="680" t="s">
        <v>6153</v>
      </c>
    </row>
    <row r="3633" spans="8:8">
      <c r="H3633" s="680" t="s">
        <v>6153</v>
      </c>
    </row>
    <row r="3634" spans="8:8">
      <c r="H3634" s="680" t="s">
        <v>6153</v>
      </c>
    </row>
    <row r="3635" spans="8:8">
      <c r="H3635" s="680" t="s">
        <v>6153</v>
      </c>
    </row>
    <row r="3636" spans="8:8">
      <c r="H3636" s="680" t="s">
        <v>6153</v>
      </c>
    </row>
    <row r="3637" spans="8:8">
      <c r="H3637" s="680" t="s">
        <v>6153</v>
      </c>
    </row>
    <row r="3638" spans="8:8">
      <c r="H3638" s="680" t="s">
        <v>6153</v>
      </c>
    </row>
    <row r="3639" spans="8:8">
      <c r="H3639" s="680" t="s">
        <v>6153</v>
      </c>
    </row>
    <row r="3640" spans="8:8">
      <c r="H3640" s="680" t="s">
        <v>6153</v>
      </c>
    </row>
    <row r="3641" spans="8:8">
      <c r="H3641" s="680" t="s">
        <v>6153</v>
      </c>
    </row>
    <row r="3642" spans="8:8">
      <c r="H3642" s="680" t="s">
        <v>6153</v>
      </c>
    </row>
    <row r="3643" spans="8:8">
      <c r="H3643" s="680" t="s">
        <v>6153</v>
      </c>
    </row>
    <row r="3644" spans="8:8">
      <c r="H3644" s="680" t="s">
        <v>6153</v>
      </c>
    </row>
    <row r="3645" spans="8:8">
      <c r="H3645" s="680" t="s">
        <v>6153</v>
      </c>
    </row>
    <row r="3646" spans="8:8">
      <c r="H3646" s="680" t="s">
        <v>6153</v>
      </c>
    </row>
    <row r="3647" spans="8:8">
      <c r="H3647" s="680" t="s">
        <v>6153</v>
      </c>
    </row>
    <row r="3648" spans="8:8">
      <c r="H3648" s="680" t="s">
        <v>6153</v>
      </c>
    </row>
    <row r="3649" spans="8:8">
      <c r="H3649" s="680" t="s">
        <v>6153</v>
      </c>
    </row>
    <row r="3650" spans="8:8">
      <c r="H3650" s="680" t="s">
        <v>6153</v>
      </c>
    </row>
    <row r="3651" spans="8:8">
      <c r="H3651" s="680" t="s">
        <v>6153</v>
      </c>
    </row>
    <row r="3652" spans="8:8">
      <c r="H3652" s="680" t="s">
        <v>6153</v>
      </c>
    </row>
    <row r="3653" spans="8:8">
      <c r="H3653" s="680" t="s">
        <v>6153</v>
      </c>
    </row>
    <row r="3654" spans="8:8">
      <c r="H3654" s="680" t="s">
        <v>6153</v>
      </c>
    </row>
    <row r="3655" spans="8:8">
      <c r="H3655" s="680" t="s">
        <v>6153</v>
      </c>
    </row>
    <row r="3656" spans="8:8">
      <c r="H3656" s="680" t="s">
        <v>6153</v>
      </c>
    </row>
    <row r="3657" spans="8:8">
      <c r="H3657" s="680" t="s">
        <v>6153</v>
      </c>
    </row>
    <row r="3658" spans="8:8">
      <c r="H3658" s="680" t="s">
        <v>6153</v>
      </c>
    </row>
    <row r="3659" spans="8:8">
      <c r="H3659" s="680" t="s">
        <v>6153</v>
      </c>
    </row>
    <row r="3660" spans="8:8">
      <c r="H3660" s="680" t="s">
        <v>6153</v>
      </c>
    </row>
    <row r="3661" spans="8:8">
      <c r="H3661" s="680" t="s">
        <v>6153</v>
      </c>
    </row>
    <row r="3662" spans="8:8">
      <c r="H3662" s="680" t="s">
        <v>6153</v>
      </c>
    </row>
    <row r="3663" spans="8:8">
      <c r="H3663" s="680" t="s">
        <v>6153</v>
      </c>
    </row>
    <row r="3664" spans="8:8">
      <c r="H3664" s="680" t="s">
        <v>6153</v>
      </c>
    </row>
    <row r="3665" spans="8:8">
      <c r="H3665" s="680" t="s">
        <v>6153</v>
      </c>
    </row>
    <row r="3666" spans="8:8">
      <c r="H3666" s="680" t="s">
        <v>6153</v>
      </c>
    </row>
    <row r="3667" spans="8:8">
      <c r="H3667" s="680" t="s">
        <v>6153</v>
      </c>
    </row>
    <row r="3668" spans="8:8">
      <c r="H3668" s="680" t="s">
        <v>6153</v>
      </c>
    </row>
    <row r="3669" spans="8:8">
      <c r="H3669" s="680" t="s">
        <v>6153</v>
      </c>
    </row>
    <row r="3670" spans="8:8">
      <c r="H3670" s="680" t="s">
        <v>6153</v>
      </c>
    </row>
    <row r="3671" spans="8:8">
      <c r="H3671" s="680" t="s">
        <v>6153</v>
      </c>
    </row>
    <row r="3672" spans="8:8">
      <c r="H3672" s="680" t="s">
        <v>6153</v>
      </c>
    </row>
    <row r="3673" spans="8:8">
      <c r="H3673" s="680" t="s">
        <v>6153</v>
      </c>
    </row>
    <row r="3674" spans="8:8">
      <c r="H3674" s="680" t="s">
        <v>6153</v>
      </c>
    </row>
    <row r="3675" spans="8:8">
      <c r="H3675" s="680" t="s">
        <v>6153</v>
      </c>
    </row>
    <row r="3676" spans="8:8">
      <c r="H3676" s="680" t="s">
        <v>6153</v>
      </c>
    </row>
    <row r="3677" spans="8:8">
      <c r="H3677" s="680" t="s">
        <v>6153</v>
      </c>
    </row>
    <row r="3678" spans="8:8">
      <c r="H3678" s="680" t="s">
        <v>6153</v>
      </c>
    </row>
    <row r="3679" spans="8:8">
      <c r="H3679" s="680" t="s">
        <v>6153</v>
      </c>
    </row>
    <row r="3680" spans="8:8">
      <c r="H3680" s="680" t="s">
        <v>6153</v>
      </c>
    </row>
    <row r="3681" spans="8:8">
      <c r="H3681" s="680" t="s">
        <v>6153</v>
      </c>
    </row>
    <row r="3682" spans="8:8">
      <c r="H3682" s="680" t="s">
        <v>6153</v>
      </c>
    </row>
    <row r="3683" spans="8:8">
      <c r="H3683" s="680" t="s">
        <v>6153</v>
      </c>
    </row>
    <row r="3684" spans="8:8">
      <c r="H3684" s="680" t="s">
        <v>6153</v>
      </c>
    </row>
    <row r="3685" spans="8:8">
      <c r="H3685" s="680" t="s">
        <v>6153</v>
      </c>
    </row>
    <row r="3686" spans="8:8">
      <c r="H3686" s="680" t="s">
        <v>6153</v>
      </c>
    </row>
    <row r="3687" spans="8:8">
      <c r="H3687" s="680" t="s">
        <v>6153</v>
      </c>
    </row>
    <row r="3688" spans="8:8">
      <c r="H3688" s="680" t="s">
        <v>6153</v>
      </c>
    </row>
    <row r="3689" spans="8:8">
      <c r="H3689" s="680" t="s">
        <v>6153</v>
      </c>
    </row>
    <row r="3690" spans="8:8">
      <c r="H3690" s="680" t="s">
        <v>6153</v>
      </c>
    </row>
    <row r="3691" spans="8:8">
      <c r="H3691" s="680" t="s">
        <v>6153</v>
      </c>
    </row>
    <row r="3692" spans="8:8">
      <c r="H3692" s="680" t="s">
        <v>6153</v>
      </c>
    </row>
    <row r="3693" spans="8:8">
      <c r="H3693" s="680" t="s">
        <v>6153</v>
      </c>
    </row>
    <row r="3694" spans="8:8">
      <c r="H3694" s="680" t="s">
        <v>6153</v>
      </c>
    </row>
    <row r="3695" spans="8:8">
      <c r="H3695" s="680" t="s">
        <v>6153</v>
      </c>
    </row>
    <row r="3696" spans="8:8">
      <c r="H3696" s="680" t="s">
        <v>6153</v>
      </c>
    </row>
    <row r="3697" spans="8:8">
      <c r="H3697" s="680" t="s">
        <v>6153</v>
      </c>
    </row>
    <row r="3698" spans="8:8">
      <c r="H3698" s="680" t="s">
        <v>6153</v>
      </c>
    </row>
    <row r="3699" spans="8:8">
      <c r="H3699" s="680" t="s">
        <v>6153</v>
      </c>
    </row>
    <row r="3700" spans="8:8">
      <c r="H3700" s="680" t="s">
        <v>6153</v>
      </c>
    </row>
    <row r="3701" spans="8:8">
      <c r="H3701" s="680" t="s">
        <v>6153</v>
      </c>
    </row>
    <row r="3702" spans="8:8">
      <c r="H3702" s="680" t="s">
        <v>6153</v>
      </c>
    </row>
    <row r="3703" spans="8:8">
      <c r="H3703" s="680" t="s">
        <v>6153</v>
      </c>
    </row>
    <row r="3704" spans="8:8">
      <c r="H3704" s="680" t="s">
        <v>6153</v>
      </c>
    </row>
    <row r="3705" spans="8:8">
      <c r="H3705" s="680" t="s">
        <v>6153</v>
      </c>
    </row>
    <row r="3706" spans="8:8">
      <c r="H3706" s="680" t="s">
        <v>6153</v>
      </c>
    </row>
    <row r="3707" spans="8:8">
      <c r="H3707" s="680" t="s">
        <v>6153</v>
      </c>
    </row>
    <row r="3708" spans="8:8">
      <c r="H3708" s="680" t="s">
        <v>6153</v>
      </c>
    </row>
    <row r="3709" spans="8:8">
      <c r="H3709" s="680" t="s">
        <v>6153</v>
      </c>
    </row>
    <row r="3710" spans="8:8">
      <c r="H3710" s="680" t="s">
        <v>6153</v>
      </c>
    </row>
    <row r="3711" spans="8:8">
      <c r="H3711" s="680" t="s">
        <v>6153</v>
      </c>
    </row>
    <row r="3712" spans="8:8">
      <c r="H3712" s="680" t="s">
        <v>6153</v>
      </c>
    </row>
    <row r="3713" spans="8:8">
      <c r="H3713" s="680" t="s">
        <v>6153</v>
      </c>
    </row>
    <row r="3714" spans="8:8">
      <c r="H3714" s="680" t="s">
        <v>6153</v>
      </c>
    </row>
    <row r="3715" spans="8:8">
      <c r="H3715" s="680" t="s">
        <v>6153</v>
      </c>
    </row>
    <row r="3716" spans="8:8">
      <c r="H3716" s="680" t="s">
        <v>6153</v>
      </c>
    </row>
    <row r="3717" spans="8:8">
      <c r="H3717" s="680" t="s">
        <v>6153</v>
      </c>
    </row>
    <row r="3718" spans="8:8">
      <c r="H3718" s="680" t="s">
        <v>6153</v>
      </c>
    </row>
    <row r="3719" spans="8:8">
      <c r="H3719" s="680" t="s">
        <v>6153</v>
      </c>
    </row>
    <row r="3720" spans="8:8">
      <c r="H3720" s="680" t="s">
        <v>6153</v>
      </c>
    </row>
    <row r="3721" spans="8:8">
      <c r="H3721" s="680" t="s">
        <v>6153</v>
      </c>
    </row>
    <row r="3722" spans="8:8">
      <c r="H3722" s="680" t="s">
        <v>6153</v>
      </c>
    </row>
    <row r="3723" spans="8:8">
      <c r="H3723" s="680" t="s">
        <v>6153</v>
      </c>
    </row>
    <row r="3724" spans="8:8">
      <c r="H3724" s="680" t="s">
        <v>6153</v>
      </c>
    </row>
    <row r="3725" spans="8:8">
      <c r="H3725" s="680" t="s">
        <v>6153</v>
      </c>
    </row>
    <row r="3726" spans="8:8">
      <c r="H3726" s="680" t="s">
        <v>6153</v>
      </c>
    </row>
    <row r="3727" spans="8:8">
      <c r="H3727" s="680" t="s">
        <v>6153</v>
      </c>
    </row>
    <row r="3728" spans="8:8">
      <c r="H3728" s="680" t="s">
        <v>6153</v>
      </c>
    </row>
    <row r="3729" spans="8:8">
      <c r="H3729" s="680" t="s">
        <v>6153</v>
      </c>
    </row>
    <row r="3730" spans="8:8">
      <c r="H3730" s="680" t="s">
        <v>6153</v>
      </c>
    </row>
    <row r="3731" spans="8:8">
      <c r="H3731" s="680" t="s">
        <v>6153</v>
      </c>
    </row>
    <row r="3732" spans="8:8">
      <c r="H3732" s="680" t="s">
        <v>6153</v>
      </c>
    </row>
    <row r="3733" spans="8:8">
      <c r="H3733" s="680" t="s">
        <v>6153</v>
      </c>
    </row>
    <row r="3734" spans="8:8">
      <c r="H3734" s="680" t="s">
        <v>6153</v>
      </c>
    </row>
    <row r="3735" spans="8:8">
      <c r="H3735" s="680" t="s">
        <v>6153</v>
      </c>
    </row>
    <row r="3736" spans="8:8">
      <c r="H3736" s="680" t="s">
        <v>6153</v>
      </c>
    </row>
    <row r="3737" spans="8:8">
      <c r="H3737" s="680" t="s">
        <v>6153</v>
      </c>
    </row>
    <row r="3738" spans="8:8">
      <c r="H3738" s="680" t="s">
        <v>6153</v>
      </c>
    </row>
    <row r="3739" spans="8:8">
      <c r="H3739" s="680" t="s">
        <v>6153</v>
      </c>
    </row>
    <row r="3740" spans="8:8">
      <c r="H3740" s="680" t="s">
        <v>6153</v>
      </c>
    </row>
    <row r="3741" spans="8:8">
      <c r="H3741" s="680" t="s">
        <v>6153</v>
      </c>
    </row>
    <row r="3742" spans="8:8">
      <c r="H3742" s="680" t="s">
        <v>6153</v>
      </c>
    </row>
    <row r="3743" spans="8:8">
      <c r="H3743" s="680" t="s">
        <v>6153</v>
      </c>
    </row>
    <row r="3744" spans="8:8">
      <c r="H3744" s="680" t="s">
        <v>6153</v>
      </c>
    </row>
    <row r="3745" spans="8:8">
      <c r="H3745" s="680" t="s">
        <v>6153</v>
      </c>
    </row>
    <row r="3746" spans="8:8">
      <c r="H3746" s="680" t="s">
        <v>6153</v>
      </c>
    </row>
    <row r="3747" spans="8:8">
      <c r="H3747" s="680" t="s">
        <v>6153</v>
      </c>
    </row>
    <row r="3748" spans="8:8">
      <c r="H3748" s="680" t="s">
        <v>6153</v>
      </c>
    </row>
    <row r="3749" spans="8:8">
      <c r="H3749" s="680" t="s">
        <v>6153</v>
      </c>
    </row>
    <row r="3750" spans="8:8">
      <c r="H3750" s="680" t="s">
        <v>6153</v>
      </c>
    </row>
    <row r="3751" spans="8:8">
      <c r="H3751" s="680" t="s">
        <v>6153</v>
      </c>
    </row>
    <row r="3752" spans="8:8">
      <c r="H3752" s="680" t="s">
        <v>6153</v>
      </c>
    </row>
    <row r="3753" spans="8:8">
      <c r="H3753" s="680" t="s">
        <v>6153</v>
      </c>
    </row>
    <row r="3754" spans="8:8">
      <c r="H3754" s="680" t="s">
        <v>6153</v>
      </c>
    </row>
    <row r="3755" spans="8:8">
      <c r="H3755" s="680" t="s">
        <v>6153</v>
      </c>
    </row>
    <row r="3756" spans="8:8">
      <c r="H3756" s="680" t="s">
        <v>6153</v>
      </c>
    </row>
    <row r="3757" spans="8:8">
      <c r="H3757" s="680" t="s">
        <v>6153</v>
      </c>
    </row>
    <row r="3758" spans="8:8">
      <c r="H3758" s="680" t="s">
        <v>6153</v>
      </c>
    </row>
    <row r="3759" spans="8:8">
      <c r="H3759" s="680" t="s">
        <v>6153</v>
      </c>
    </row>
    <row r="3760" spans="8:8">
      <c r="H3760" s="680" t="s">
        <v>6153</v>
      </c>
    </row>
    <row r="3761" spans="8:8">
      <c r="H3761" s="680" t="s">
        <v>6153</v>
      </c>
    </row>
    <row r="3762" spans="8:8">
      <c r="H3762" s="680" t="s">
        <v>6153</v>
      </c>
    </row>
    <row r="3763" spans="8:8">
      <c r="H3763" s="680" t="s">
        <v>6153</v>
      </c>
    </row>
    <row r="3764" spans="8:8">
      <c r="H3764" s="680" t="s">
        <v>6153</v>
      </c>
    </row>
    <row r="3765" spans="8:8">
      <c r="H3765" s="680" t="s">
        <v>6153</v>
      </c>
    </row>
    <row r="3766" spans="8:8">
      <c r="H3766" s="680" t="s">
        <v>6153</v>
      </c>
    </row>
    <row r="3767" spans="8:8">
      <c r="H3767" s="680" t="s">
        <v>6153</v>
      </c>
    </row>
    <row r="3768" spans="8:8">
      <c r="H3768" s="680" t="s">
        <v>6153</v>
      </c>
    </row>
    <row r="3769" spans="8:8">
      <c r="H3769" s="680" t="s">
        <v>6153</v>
      </c>
    </row>
    <row r="3770" spans="8:8">
      <c r="H3770" s="680" t="s">
        <v>6153</v>
      </c>
    </row>
    <row r="3771" spans="8:8">
      <c r="H3771" s="680" t="s">
        <v>6153</v>
      </c>
    </row>
    <row r="3772" spans="8:8">
      <c r="H3772" s="680" t="s">
        <v>6153</v>
      </c>
    </row>
    <row r="3773" spans="8:8">
      <c r="H3773" s="680" t="s">
        <v>6153</v>
      </c>
    </row>
    <row r="3774" spans="8:8">
      <c r="H3774" s="680" t="s">
        <v>6153</v>
      </c>
    </row>
    <row r="3775" spans="8:8">
      <c r="H3775" s="680" t="s">
        <v>6153</v>
      </c>
    </row>
    <row r="3776" spans="8:8">
      <c r="H3776" s="680" t="s">
        <v>6153</v>
      </c>
    </row>
    <row r="3777" spans="8:8">
      <c r="H3777" s="680" t="s">
        <v>6153</v>
      </c>
    </row>
    <row r="3778" spans="8:8">
      <c r="H3778" s="680" t="s">
        <v>6153</v>
      </c>
    </row>
    <row r="3779" spans="8:8">
      <c r="H3779" s="680" t="s">
        <v>6153</v>
      </c>
    </row>
    <row r="3780" spans="8:8">
      <c r="H3780" s="680" t="s">
        <v>6153</v>
      </c>
    </row>
    <row r="3781" spans="8:8">
      <c r="H3781" s="680" t="s">
        <v>6153</v>
      </c>
    </row>
    <row r="3782" spans="8:8">
      <c r="H3782" s="680" t="s">
        <v>6153</v>
      </c>
    </row>
    <row r="3783" spans="8:8">
      <c r="H3783" s="680" t="s">
        <v>6153</v>
      </c>
    </row>
    <row r="3784" spans="8:8">
      <c r="H3784" s="680" t="s">
        <v>6153</v>
      </c>
    </row>
    <row r="3785" spans="8:8">
      <c r="H3785" s="680" t="s">
        <v>6153</v>
      </c>
    </row>
    <row r="3786" spans="8:8">
      <c r="H3786" s="680" t="s">
        <v>6153</v>
      </c>
    </row>
    <row r="3787" spans="8:8">
      <c r="H3787" s="680" t="s">
        <v>6153</v>
      </c>
    </row>
    <row r="3788" spans="8:8">
      <c r="H3788" s="680" t="s">
        <v>6153</v>
      </c>
    </row>
    <row r="3789" spans="8:8">
      <c r="H3789" s="680" t="s">
        <v>6153</v>
      </c>
    </row>
    <row r="3790" spans="8:8">
      <c r="H3790" s="680" t="s">
        <v>6153</v>
      </c>
    </row>
    <row r="3791" spans="8:8">
      <c r="H3791" s="680" t="s">
        <v>6153</v>
      </c>
    </row>
    <row r="3792" spans="8:8">
      <c r="H3792" s="680" t="s">
        <v>6153</v>
      </c>
    </row>
    <row r="3793" spans="8:8">
      <c r="H3793" s="680" t="s">
        <v>6153</v>
      </c>
    </row>
    <row r="3794" spans="8:8">
      <c r="H3794" s="680" t="s">
        <v>6153</v>
      </c>
    </row>
    <row r="3795" spans="8:8">
      <c r="H3795" s="680" t="s">
        <v>6153</v>
      </c>
    </row>
    <row r="3796" spans="8:8">
      <c r="H3796" s="680" t="s">
        <v>6153</v>
      </c>
    </row>
    <row r="3797" spans="8:8">
      <c r="H3797" s="680" t="s">
        <v>6153</v>
      </c>
    </row>
    <row r="3798" spans="8:8">
      <c r="H3798" s="680" t="s">
        <v>6153</v>
      </c>
    </row>
    <row r="3799" spans="8:8">
      <c r="H3799" s="680" t="s">
        <v>6153</v>
      </c>
    </row>
    <row r="3800" spans="8:8">
      <c r="H3800" s="680" t="s">
        <v>6153</v>
      </c>
    </row>
    <row r="3801" spans="8:8">
      <c r="H3801" s="680" t="s">
        <v>6153</v>
      </c>
    </row>
    <row r="3802" spans="8:8">
      <c r="H3802" s="680" t="s">
        <v>6153</v>
      </c>
    </row>
    <row r="3803" spans="8:8">
      <c r="H3803" s="680" t="s">
        <v>6153</v>
      </c>
    </row>
    <row r="3804" spans="8:8">
      <c r="H3804" s="680" t="s">
        <v>6153</v>
      </c>
    </row>
    <row r="3805" spans="8:8">
      <c r="H3805" s="680" t="s">
        <v>6153</v>
      </c>
    </row>
    <row r="3806" spans="8:8">
      <c r="H3806" s="680" t="s">
        <v>6153</v>
      </c>
    </row>
    <row r="3807" spans="8:8">
      <c r="H3807" s="680" t="s">
        <v>6153</v>
      </c>
    </row>
    <row r="3808" spans="8:8">
      <c r="H3808" s="680" t="s">
        <v>6153</v>
      </c>
    </row>
    <row r="3809" spans="8:8">
      <c r="H3809" s="680" t="s">
        <v>6153</v>
      </c>
    </row>
    <row r="3810" spans="8:8">
      <c r="H3810" s="680" t="s">
        <v>6153</v>
      </c>
    </row>
    <row r="3811" spans="8:8">
      <c r="H3811" s="680" t="s">
        <v>6153</v>
      </c>
    </row>
    <row r="3812" spans="8:8">
      <c r="H3812" s="680" t="s">
        <v>6153</v>
      </c>
    </row>
    <row r="3813" spans="8:8">
      <c r="H3813" s="680" t="s">
        <v>6153</v>
      </c>
    </row>
    <row r="3814" spans="8:8">
      <c r="H3814" s="680" t="s">
        <v>6153</v>
      </c>
    </row>
    <row r="3815" spans="8:8">
      <c r="H3815" s="680" t="s">
        <v>6153</v>
      </c>
    </row>
    <row r="3816" spans="8:8">
      <c r="H3816" s="680" t="s">
        <v>6153</v>
      </c>
    </row>
    <row r="3817" spans="8:8">
      <c r="H3817" s="680" t="s">
        <v>6153</v>
      </c>
    </row>
    <row r="3818" spans="8:8">
      <c r="H3818" s="680" t="s">
        <v>6153</v>
      </c>
    </row>
    <row r="3819" spans="8:8">
      <c r="H3819" s="680" t="s">
        <v>6153</v>
      </c>
    </row>
    <row r="3820" spans="8:8">
      <c r="H3820" s="680" t="s">
        <v>6153</v>
      </c>
    </row>
    <row r="3821" spans="8:8">
      <c r="H3821" s="680" t="s">
        <v>6153</v>
      </c>
    </row>
    <row r="3822" spans="8:8">
      <c r="H3822" s="680" t="s">
        <v>6153</v>
      </c>
    </row>
    <row r="3823" spans="8:8">
      <c r="H3823" s="680" t="s">
        <v>6153</v>
      </c>
    </row>
    <row r="3824" spans="8:8">
      <c r="H3824" s="680" t="s">
        <v>6153</v>
      </c>
    </row>
    <row r="3825" spans="8:8">
      <c r="H3825" s="680" t="s">
        <v>6153</v>
      </c>
    </row>
    <row r="3826" spans="8:8">
      <c r="H3826" s="680" t="s">
        <v>6153</v>
      </c>
    </row>
    <row r="3827" spans="8:8">
      <c r="H3827" s="680" t="s">
        <v>6153</v>
      </c>
    </row>
    <row r="3828" spans="8:8">
      <c r="H3828" s="680" t="s">
        <v>6153</v>
      </c>
    </row>
    <row r="3829" spans="8:8">
      <c r="H3829" s="680" t="s">
        <v>6153</v>
      </c>
    </row>
    <row r="3830" spans="8:8">
      <c r="H3830" s="680" t="s">
        <v>6153</v>
      </c>
    </row>
    <row r="3831" spans="8:8">
      <c r="H3831" s="680" t="s">
        <v>6153</v>
      </c>
    </row>
    <row r="3832" spans="8:8">
      <c r="H3832" s="680" t="s">
        <v>6153</v>
      </c>
    </row>
    <row r="3833" spans="8:8">
      <c r="H3833" s="680" t="s">
        <v>6153</v>
      </c>
    </row>
    <row r="3834" spans="8:8">
      <c r="H3834" s="680" t="s">
        <v>6153</v>
      </c>
    </row>
    <row r="3835" spans="8:8">
      <c r="H3835" s="680" t="s">
        <v>6153</v>
      </c>
    </row>
    <row r="3836" spans="8:8">
      <c r="H3836" s="680" t="s">
        <v>6153</v>
      </c>
    </row>
    <row r="3837" spans="8:8">
      <c r="H3837" s="680" t="s">
        <v>6153</v>
      </c>
    </row>
    <row r="3838" spans="8:8">
      <c r="H3838" s="680" t="s">
        <v>6153</v>
      </c>
    </row>
    <row r="3839" spans="8:8">
      <c r="H3839" s="680" t="s">
        <v>6153</v>
      </c>
    </row>
    <row r="3840" spans="8:8">
      <c r="H3840" s="680" t="s">
        <v>6153</v>
      </c>
    </row>
    <row r="3841" spans="8:8">
      <c r="H3841" s="680" t="s">
        <v>6153</v>
      </c>
    </row>
    <row r="3842" spans="8:8">
      <c r="H3842" s="680" t="s">
        <v>6153</v>
      </c>
    </row>
    <row r="3843" spans="8:8">
      <c r="H3843" s="680" t="s">
        <v>6153</v>
      </c>
    </row>
    <row r="3844" spans="8:8">
      <c r="H3844" s="680" t="s">
        <v>6153</v>
      </c>
    </row>
    <row r="3845" spans="8:8">
      <c r="H3845" s="680" t="s">
        <v>6153</v>
      </c>
    </row>
    <row r="3846" spans="8:8">
      <c r="H3846" s="680" t="s">
        <v>6153</v>
      </c>
    </row>
    <row r="3847" spans="8:8">
      <c r="H3847" s="680" t="s">
        <v>6153</v>
      </c>
    </row>
    <row r="3848" spans="8:8">
      <c r="H3848" s="680" t="s">
        <v>6153</v>
      </c>
    </row>
    <row r="3849" spans="8:8">
      <c r="H3849" s="680" t="s">
        <v>6153</v>
      </c>
    </row>
    <row r="3850" spans="8:8">
      <c r="H3850" s="680" t="s">
        <v>6153</v>
      </c>
    </row>
    <row r="3851" spans="8:8">
      <c r="H3851" s="680" t="s">
        <v>6153</v>
      </c>
    </row>
    <row r="3852" spans="8:8">
      <c r="H3852" s="680" t="s">
        <v>6153</v>
      </c>
    </row>
    <row r="3853" spans="8:8">
      <c r="H3853" s="680" t="s">
        <v>6153</v>
      </c>
    </row>
    <row r="3854" spans="8:8">
      <c r="H3854" s="680" t="s">
        <v>6153</v>
      </c>
    </row>
    <row r="3855" spans="8:8">
      <c r="H3855" s="680" t="s">
        <v>6153</v>
      </c>
    </row>
    <row r="3856" spans="8:8">
      <c r="H3856" s="680" t="s">
        <v>6153</v>
      </c>
    </row>
    <row r="3857" spans="8:8">
      <c r="H3857" s="680" t="s">
        <v>6153</v>
      </c>
    </row>
    <row r="3858" spans="8:8">
      <c r="H3858" s="680" t="s">
        <v>6153</v>
      </c>
    </row>
    <row r="3859" spans="8:8">
      <c r="H3859" s="680" t="s">
        <v>6153</v>
      </c>
    </row>
    <row r="3860" spans="8:8">
      <c r="H3860" s="680" t="s">
        <v>6153</v>
      </c>
    </row>
    <row r="3861" spans="8:8">
      <c r="H3861" s="680" t="s">
        <v>6153</v>
      </c>
    </row>
    <row r="3862" spans="8:8">
      <c r="H3862" s="680" t="s">
        <v>6153</v>
      </c>
    </row>
    <row r="3863" spans="8:8">
      <c r="H3863" s="680" t="s">
        <v>6153</v>
      </c>
    </row>
    <row r="3864" spans="8:8">
      <c r="H3864" s="680" t="s">
        <v>6153</v>
      </c>
    </row>
    <row r="3865" spans="8:8">
      <c r="H3865" s="680" t="s">
        <v>6153</v>
      </c>
    </row>
    <row r="3866" spans="8:8">
      <c r="H3866" s="680" t="s">
        <v>6153</v>
      </c>
    </row>
    <row r="3867" spans="8:8">
      <c r="H3867" s="680" t="s">
        <v>6153</v>
      </c>
    </row>
    <row r="3868" spans="8:8">
      <c r="H3868" s="680" t="s">
        <v>6153</v>
      </c>
    </row>
    <row r="3869" spans="8:8">
      <c r="H3869" s="680" t="s">
        <v>6153</v>
      </c>
    </row>
    <row r="3870" spans="8:8">
      <c r="H3870" s="680" t="s">
        <v>6153</v>
      </c>
    </row>
    <row r="3871" spans="8:8">
      <c r="H3871" s="680" t="s">
        <v>6153</v>
      </c>
    </row>
    <row r="3872" spans="8:8">
      <c r="H3872" s="680" t="s">
        <v>6153</v>
      </c>
    </row>
    <row r="3873" spans="8:8">
      <c r="H3873" s="680" t="s">
        <v>6153</v>
      </c>
    </row>
    <row r="3874" spans="8:8">
      <c r="H3874" s="680" t="s">
        <v>6153</v>
      </c>
    </row>
    <row r="3875" spans="8:8">
      <c r="H3875" s="680" t="s">
        <v>6153</v>
      </c>
    </row>
    <row r="3876" spans="8:8">
      <c r="H3876" s="680" t="s">
        <v>6153</v>
      </c>
    </row>
    <row r="3877" spans="8:8">
      <c r="H3877" s="680" t="s">
        <v>6153</v>
      </c>
    </row>
    <row r="3878" spans="8:8">
      <c r="H3878" s="680" t="s">
        <v>6153</v>
      </c>
    </row>
    <row r="3879" spans="8:8">
      <c r="H3879" s="680" t="s">
        <v>6153</v>
      </c>
    </row>
    <row r="3880" spans="8:8">
      <c r="H3880" s="680" t="s">
        <v>6153</v>
      </c>
    </row>
    <row r="3881" spans="8:8">
      <c r="H3881" s="680" t="s">
        <v>6153</v>
      </c>
    </row>
    <row r="3882" spans="8:8">
      <c r="H3882" s="680" t="s">
        <v>6153</v>
      </c>
    </row>
    <row r="3883" spans="8:8">
      <c r="H3883" s="680" t="s">
        <v>6153</v>
      </c>
    </row>
    <row r="3884" spans="8:8">
      <c r="H3884" s="680" t="s">
        <v>6153</v>
      </c>
    </row>
    <row r="3885" spans="8:8">
      <c r="H3885" s="680" t="s">
        <v>6153</v>
      </c>
    </row>
    <row r="3886" spans="8:8">
      <c r="H3886" s="680" t="s">
        <v>6153</v>
      </c>
    </row>
    <row r="3887" spans="8:8">
      <c r="H3887" s="680" t="s">
        <v>6153</v>
      </c>
    </row>
    <row r="3888" spans="8:8">
      <c r="H3888" s="680" t="s">
        <v>6153</v>
      </c>
    </row>
    <row r="3889" spans="8:8">
      <c r="H3889" s="680" t="s">
        <v>6153</v>
      </c>
    </row>
    <row r="3890" spans="8:8">
      <c r="H3890" s="680" t="s">
        <v>6153</v>
      </c>
    </row>
    <row r="3891" spans="8:8">
      <c r="H3891" s="680" t="s">
        <v>6153</v>
      </c>
    </row>
    <row r="3892" spans="8:8">
      <c r="H3892" s="680" t="s">
        <v>6153</v>
      </c>
    </row>
    <row r="3893" spans="8:8">
      <c r="H3893" s="680" t="s">
        <v>6153</v>
      </c>
    </row>
    <row r="3894" spans="8:8">
      <c r="H3894" s="680" t="s">
        <v>6153</v>
      </c>
    </row>
    <row r="3895" spans="8:8">
      <c r="H3895" s="680" t="s">
        <v>6153</v>
      </c>
    </row>
    <row r="3896" spans="8:8">
      <c r="H3896" s="680" t="s">
        <v>6153</v>
      </c>
    </row>
    <row r="3897" spans="8:8">
      <c r="H3897" s="680" t="s">
        <v>6153</v>
      </c>
    </row>
    <row r="3898" spans="8:8">
      <c r="H3898" s="680" t="s">
        <v>6153</v>
      </c>
    </row>
    <row r="3899" spans="8:8">
      <c r="H3899" s="680" t="s">
        <v>6153</v>
      </c>
    </row>
    <row r="3900" spans="8:8">
      <c r="H3900" s="680" t="s">
        <v>6153</v>
      </c>
    </row>
    <row r="3901" spans="8:8">
      <c r="H3901" s="680" t="s">
        <v>6153</v>
      </c>
    </row>
    <row r="3902" spans="8:8">
      <c r="H3902" s="680" t="s">
        <v>6153</v>
      </c>
    </row>
    <row r="3903" spans="8:8">
      <c r="H3903" s="680" t="s">
        <v>6153</v>
      </c>
    </row>
    <row r="3904" spans="8:8">
      <c r="H3904" s="680" t="s">
        <v>6153</v>
      </c>
    </row>
    <row r="3905" spans="8:8">
      <c r="H3905" s="680" t="s">
        <v>6153</v>
      </c>
    </row>
    <row r="3906" spans="8:8">
      <c r="H3906" s="680" t="s">
        <v>6153</v>
      </c>
    </row>
    <row r="3907" spans="8:8">
      <c r="H3907" s="680" t="s">
        <v>6153</v>
      </c>
    </row>
    <row r="3908" spans="8:8">
      <c r="H3908" s="680" t="s">
        <v>6153</v>
      </c>
    </row>
    <row r="3909" spans="8:8">
      <c r="H3909" s="680" t="s">
        <v>6153</v>
      </c>
    </row>
    <row r="3910" spans="8:8">
      <c r="H3910" s="680" t="s">
        <v>6153</v>
      </c>
    </row>
    <row r="3911" spans="8:8">
      <c r="H3911" s="680" t="s">
        <v>6153</v>
      </c>
    </row>
    <row r="3912" spans="8:8">
      <c r="H3912" s="680" t="s">
        <v>6153</v>
      </c>
    </row>
    <row r="3913" spans="8:8">
      <c r="H3913" s="680" t="s">
        <v>6153</v>
      </c>
    </row>
    <row r="3914" spans="8:8">
      <c r="H3914" s="680" t="s">
        <v>6153</v>
      </c>
    </row>
    <row r="3915" spans="8:8">
      <c r="H3915" s="680" t="s">
        <v>6153</v>
      </c>
    </row>
    <row r="3916" spans="8:8">
      <c r="H3916" s="680" t="s">
        <v>6153</v>
      </c>
    </row>
    <row r="3917" spans="8:8">
      <c r="H3917" s="680" t="s">
        <v>6153</v>
      </c>
    </row>
    <row r="3918" spans="8:8">
      <c r="H3918" s="680" t="s">
        <v>6153</v>
      </c>
    </row>
    <row r="3919" spans="8:8">
      <c r="H3919" s="680" t="s">
        <v>6153</v>
      </c>
    </row>
    <row r="3920" spans="8:8">
      <c r="H3920" s="680" t="s">
        <v>6153</v>
      </c>
    </row>
    <row r="3921" spans="8:8">
      <c r="H3921" s="680" t="s">
        <v>6153</v>
      </c>
    </row>
    <row r="3922" spans="8:8">
      <c r="H3922" s="680" t="s">
        <v>6153</v>
      </c>
    </row>
    <row r="3923" spans="8:8">
      <c r="H3923" s="680" t="s">
        <v>6153</v>
      </c>
    </row>
    <row r="3924" spans="8:8">
      <c r="H3924" s="680" t="s">
        <v>6153</v>
      </c>
    </row>
    <row r="3925" spans="8:8">
      <c r="H3925" s="680" t="s">
        <v>6153</v>
      </c>
    </row>
    <row r="3926" spans="8:8">
      <c r="H3926" s="680" t="s">
        <v>6153</v>
      </c>
    </row>
    <row r="3927" spans="8:8">
      <c r="H3927" s="680" t="s">
        <v>6153</v>
      </c>
    </row>
    <row r="3928" spans="8:8">
      <c r="H3928" s="680" t="s">
        <v>6153</v>
      </c>
    </row>
    <row r="3929" spans="8:8">
      <c r="H3929" s="680" t="s">
        <v>6153</v>
      </c>
    </row>
    <row r="3930" spans="8:8">
      <c r="H3930" s="680" t="s">
        <v>6153</v>
      </c>
    </row>
    <row r="3931" spans="8:8">
      <c r="H3931" s="680" t="s">
        <v>6153</v>
      </c>
    </row>
    <row r="3932" spans="8:8">
      <c r="H3932" s="680" t="s">
        <v>6153</v>
      </c>
    </row>
    <row r="3933" spans="8:8">
      <c r="H3933" s="680" t="s">
        <v>6153</v>
      </c>
    </row>
    <row r="3934" spans="8:8">
      <c r="H3934" s="680" t="s">
        <v>6153</v>
      </c>
    </row>
    <row r="3935" spans="8:8">
      <c r="H3935" s="680" t="s">
        <v>6153</v>
      </c>
    </row>
    <row r="3936" spans="8:8">
      <c r="H3936" s="680" t="s">
        <v>6153</v>
      </c>
    </row>
    <row r="3937" spans="8:8">
      <c r="H3937" s="680" t="s">
        <v>6153</v>
      </c>
    </row>
    <row r="3938" spans="8:8">
      <c r="H3938" s="680" t="s">
        <v>6153</v>
      </c>
    </row>
    <row r="3939" spans="8:8">
      <c r="H3939" s="680" t="s">
        <v>6153</v>
      </c>
    </row>
    <row r="3940" spans="8:8">
      <c r="H3940" s="680" t="s">
        <v>6153</v>
      </c>
    </row>
    <row r="3941" spans="8:8">
      <c r="H3941" s="680" t="s">
        <v>6153</v>
      </c>
    </row>
    <row r="3942" spans="8:8">
      <c r="H3942" s="680" t="s">
        <v>6153</v>
      </c>
    </row>
    <row r="3943" spans="8:8">
      <c r="H3943" s="680" t="s">
        <v>6153</v>
      </c>
    </row>
    <row r="3944" spans="8:8">
      <c r="H3944" s="680" t="s">
        <v>6153</v>
      </c>
    </row>
    <row r="3945" spans="8:8">
      <c r="H3945" s="680" t="s">
        <v>6153</v>
      </c>
    </row>
    <row r="3946" spans="8:8">
      <c r="H3946" s="680" t="s">
        <v>6153</v>
      </c>
    </row>
    <row r="3947" spans="8:8">
      <c r="H3947" s="680" t="s">
        <v>6153</v>
      </c>
    </row>
    <row r="3948" spans="8:8">
      <c r="H3948" s="680" t="s">
        <v>6153</v>
      </c>
    </row>
    <row r="3949" spans="8:8">
      <c r="H3949" s="680" t="s">
        <v>6153</v>
      </c>
    </row>
    <row r="3950" spans="8:8">
      <c r="H3950" s="680" t="s">
        <v>6153</v>
      </c>
    </row>
    <row r="3951" spans="8:8">
      <c r="H3951" s="680" t="s">
        <v>6153</v>
      </c>
    </row>
    <row r="3952" spans="8:8">
      <c r="H3952" s="680" t="s">
        <v>6153</v>
      </c>
    </row>
    <row r="3953" spans="8:8">
      <c r="H3953" s="680" t="s">
        <v>6153</v>
      </c>
    </row>
    <row r="3954" spans="8:8">
      <c r="H3954" s="680" t="s">
        <v>6153</v>
      </c>
    </row>
    <row r="3955" spans="8:8">
      <c r="H3955" s="680" t="s">
        <v>6153</v>
      </c>
    </row>
    <row r="3956" spans="8:8">
      <c r="H3956" s="680" t="s">
        <v>6153</v>
      </c>
    </row>
    <row r="3957" spans="8:8">
      <c r="H3957" s="680" t="s">
        <v>6153</v>
      </c>
    </row>
    <row r="3958" spans="8:8">
      <c r="H3958" s="680" t="s">
        <v>6153</v>
      </c>
    </row>
    <row r="3959" spans="8:8">
      <c r="H3959" s="680" t="s">
        <v>6153</v>
      </c>
    </row>
    <row r="3960" spans="8:8">
      <c r="H3960" s="680" t="s">
        <v>6153</v>
      </c>
    </row>
    <row r="3961" spans="8:8">
      <c r="H3961" s="680" t="s">
        <v>6153</v>
      </c>
    </row>
    <row r="3962" spans="8:8">
      <c r="H3962" s="680" t="s">
        <v>6153</v>
      </c>
    </row>
    <row r="3963" spans="8:8">
      <c r="H3963" s="680" t="s">
        <v>6153</v>
      </c>
    </row>
    <row r="3964" spans="8:8">
      <c r="H3964" s="680" t="s">
        <v>6153</v>
      </c>
    </row>
    <row r="3965" spans="8:8">
      <c r="H3965" s="680" t="s">
        <v>6153</v>
      </c>
    </row>
    <row r="3966" spans="8:8">
      <c r="H3966" s="680" t="s">
        <v>6153</v>
      </c>
    </row>
    <row r="3967" spans="8:8">
      <c r="H3967" s="680" t="s">
        <v>6153</v>
      </c>
    </row>
    <row r="3968" spans="8:8">
      <c r="H3968" s="680" t="s">
        <v>6153</v>
      </c>
    </row>
    <row r="3969" spans="8:8">
      <c r="H3969" s="680" t="s">
        <v>6153</v>
      </c>
    </row>
    <row r="3970" spans="8:8">
      <c r="H3970" s="680" t="s">
        <v>6153</v>
      </c>
    </row>
    <row r="3971" spans="8:8">
      <c r="H3971" s="680" t="s">
        <v>6153</v>
      </c>
    </row>
    <row r="3972" spans="8:8">
      <c r="H3972" s="680" t="s">
        <v>6153</v>
      </c>
    </row>
    <row r="3973" spans="8:8">
      <c r="H3973" s="680" t="s">
        <v>6153</v>
      </c>
    </row>
    <row r="3974" spans="8:8">
      <c r="H3974" s="680" t="s">
        <v>6153</v>
      </c>
    </row>
    <row r="3975" spans="8:8">
      <c r="H3975" s="680" t="s">
        <v>6153</v>
      </c>
    </row>
    <row r="3976" spans="8:8">
      <c r="H3976" s="680" t="s">
        <v>6153</v>
      </c>
    </row>
    <row r="3977" spans="8:8">
      <c r="H3977" s="680" t="s">
        <v>6153</v>
      </c>
    </row>
    <row r="3978" spans="8:8">
      <c r="H3978" s="680" t="s">
        <v>6153</v>
      </c>
    </row>
    <row r="3979" spans="8:8">
      <c r="H3979" s="680" t="s">
        <v>6153</v>
      </c>
    </row>
    <row r="3980" spans="8:8">
      <c r="H3980" s="680" t="s">
        <v>6153</v>
      </c>
    </row>
    <row r="3981" spans="8:8">
      <c r="H3981" s="680" t="s">
        <v>6153</v>
      </c>
    </row>
    <row r="3982" spans="8:8">
      <c r="H3982" s="680" t="s">
        <v>6153</v>
      </c>
    </row>
    <row r="3983" spans="8:8">
      <c r="H3983" s="680" t="s">
        <v>6153</v>
      </c>
    </row>
    <row r="3984" spans="8:8">
      <c r="H3984" s="680" t="s">
        <v>6153</v>
      </c>
    </row>
    <row r="3985" spans="8:8">
      <c r="H3985" s="680" t="s">
        <v>6153</v>
      </c>
    </row>
    <row r="3986" spans="8:8">
      <c r="H3986" s="680" t="s">
        <v>6153</v>
      </c>
    </row>
    <row r="3987" spans="8:8">
      <c r="H3987" s="680" t="s">
        <v>6153</v>
      </c>
    </row>
    <row r="3988" spans="8:8">
      <c r="H3988" s="680" t="s">
        <v>6153</v>
      </c>
    </row>
    <row r="3989" spans="8:8">
      <c r="H3989" s="680" t="s">
        <v>6153</v>
      </c>
    </row>
    <row r="3990" spans="8:8">
      <c r="H3990" s="680" t="s">
        <v>6153</v>
      </c>
    </row>
    <row r="3991" spans="8:8">
      <c r="H3991" s="680" t="s">
        <v>6153</v>
      </c>
    </row>
    <row r="3992" spans="8:8">
      <c r="H3992" s="680" t="s">
        <v>6153</v>
      </c>
    </row>
    <row r="3993" spans="8:8">
      <c r="H3993" s="680" t="s">
        <v>6153</v>
      </c>
    </row>
    <row r="3994" spans="8:8">
      <c r="H3994" s="680" t="s">
        <v>6153</v>
      </c>
    </row>
    <row r="3995" spans="8:8">
      <c r="H3995" s="680" t="s">
        <v>6153</v>
      </c>
    </row>
    <row r="3996" spans="8:8">
      <c r="H3996" s="680" t="s">
        <v>6153</v>
      </c>
    </row>
    <row r="3997" spans="8:8">
      <c r="H3997" s="680" t="s">
        <v>6153</v>
      </c>
    </row>
    <row r="3998" spans="8:8">
      <c r="H3998" s="680" t="s">
        <v>6153</v>
      </c>
    </row>
    <row r="3999" spans="8:8">
      <c r="H3999" s="680" t="s">
        <v>6153</v>
      </c>
    </row>
    <row r="4000" spans="8:8">
      <c r="H4000" s="680" t="s">
        <v>6153</v>
      </c>
    </row>
    <row r="4001" spans="8:8">
      <c r="H4001" s="680" t="s">
        <v>6153</v>
      </c>
    </row>
    <row r="4002" spans="8:8">
      <c r="H4002" s="680" t="s">
        <v>6153</v>
      </c>
    </row>
    <row r="4003" spans="8:8">
      <c r="H4003" s="680" t="s">
        <v>6153</v>
      </c>
    </row>
    <row r="4004" spans="8:8">
      <c r="H4004" s="680" t="s">
        <v>6153</v>
      </c>
    </row>
    <row r="4005" spans="8:8">
      <c r="H4005" s="680" t="s">
        <v>6153</v>
      </c>
    </row>
    <row r="4006" spans="8:8">
      <c r="H4006" s="680" t="s">
        <v>6153</v>
      </c>
    </row>
    <row r="4007" spans="8:8">
      <c r="H4007" s="680" t="s">
        <v>6153</v>
      </c>
    </row>
    <row r="4008" spans="8:8">
      <c r="H4008" s="680" t="s">
        <v>6153</v>
      </c>
    </row>
    <row r="4009" spans="8:8">
      <c r="H4009" s="680" t="s">
        <v>6153</v>
      </c>
    </row>
    <row r="4010" spans="8:8">
      <c r="H4010" s="680" t="s">
        <v>6153</v>
      </c>
    </row>
    <row r="4011" spans="8:8">
      <c r="H4011" s="680" t="s">
        <v>6153</v>
      </c>
    </row>
    <row r="4012" spans="8:8">
      <c r="H4012" s="680" t="s">
        <v>6153</v>
      </c>
    </row>
    <row r="4013" spans="8:8">
      <c r="H4013" s="680" t="s">
        <v>6153</v>
      </c>
    </row>
    <row r="4014" spans="8:8">
      <c r="H4014" s="680" t="s">
        <v>6153</v>
      </c>
    </row>
    <row r="4015" spans="8:8">
      <c r="H4015" s="680" t="s">
        <v>6153</v>
      </c>
    </row>
    <row r="4016" spans="8:8">
      <c r="H4016" s="680" t="s">
        <v>6153</v>
      </c>
    </row>
    <row r="4017" spans="8:8">
      <c r="H4017" s="680" t="s">
        <v>6153</v>
      </c>
    </row>
    <row r="4018" spans="8:8">
      <c r="H4018" s="680" t="s">
        <v>6153</v>
      </c>
    </row>
    <row r="4019" spans="8:8">
      <c r="H4019" s="680" t="s">
        <v>6153</v>
      </c>
    </row>
    <row r="4020" spans="8:8">
      <c r="H4020" s="680" t="s">
        <v>6153</v>
      </c>
    </row>
    <row r="4021" spans="8:8">
      <c r="H4021" s="680" t="s">
        <v>6153</v>
      </c>
    </row>
    <row r="4022" spans="8:8">
      <c r="H4022" s="680" t="s">
        <v>6153</v>
      </c>
    </row>
    <row r="4023" spans="8:8">
      <c r="H4023" s="680" t="s">
        <v>6153</v>
      </c>
    </row>
    <row r="4024" spans="8:8">
      <c r="H4024" s="680" t="s">
        <v>6153</v>
      </c>
    </row>
    <row r="4025" spans="8:8">
      <c r="H4025" s="680" t="s">
        <v>6153</v>
      </c>
    </row>
    <row r="4026" spans="8:8">
      <c r="H4026" s="680" t="s">
        <v>6153</v>
      </c>
    </row>
    <row r="4027" spans="8:8">
      <c r="H4027" s="680" t="s">
        <v>6153</v>
      </c>
    </row>
    <row r="4028" spans="8:8">
      <c r="H4028" s="680" t="s">
        <v>6153</v>
      </c>
    </row>
    <row r="4029" spans="8:8">
      <c r="H4029" s="680" t="s">
        <v>6153</v>
      </c>
    </row>
    <row r="4030" spans="8:8">
      <c r="H4030" s="680" t="s">
        <v>6153</v>
      </c>
    </row>
    <row r="4031" spans="8:8">
      <c r="H4031" s="680" t="s">
        <v>6153</v>
      </c>
    </row>
    <row r="4032" spans="8:8">
      <c r="H4032" s="680" t="s">
        <v>6153</v>
      </c>
    </row>
    <row r="4033" spans="8:8">
      <c r="H4033" s="680" t="s">
        <v>6153</v>
      </c>
    </row>
    <row r="4034" spans="8:8">
      <c r="H4034" s="680" t="s">
        <v>6153</v>
      </c>
    </row>
    <row r="4035" spans="8:8">
      <c r="H4035" s="680" t="s">
        <v>6153</v>
      </c>
    </row>
    <row r="4036" spans="8:8">
      <c r="H4036" s="680" t="s">
        <v>6153</v>
      </c>
    </row>
    <row r="4037" spans="8:8">
      <c r="H4037" s="680" t="s">
        <v>6153</v>
      </c>
    </row>
    <row r="4038" spans="8:8">
      <c r="H4038" s="680" t="s">
        <v>6153</v>
      </c>
    </row>
    <row r="4039" spans="8:8">
      <c r="H4039" s="680" t="s">
        <v>6153</v>
      </c>
    </row>
    <row r="4040" spans="8:8">
      <c r="H4040" s="680" t="s">
        <v>6153</v>
      </c>
    </row>
    <row r="4041" spans="8:8">
      <c r="H4041" s="680" t="s">
        <v>6153</v>
      </c>
    </row>
    <row r="4042" spans="8:8">
      <c r="H4042" s="680" t="s">
        <v>6153</v>
      </c>
    </row>
    <row r="4043" spans="8:8">
      <c r="H4043" s="680" t="s">
        <v>6153</v>
      </c>
    </row>
    <row r="4044" spans="8:8">
      <c r="H4044" s="680" t="s">
        <v>6153</v>
      </c>
    </row>
    <row r="4045" spans="8:8">
      <c r="H4045" s="680" t="s">
        <v>6153</v>
      </c>
    </row>
    <row r="4046" spans="8:8">
      <c r="H4046" s="680" t="s">
        <v>6153</v>
      </c>
    </row>
    <row r="4047" spans="8:8">
      <c r="H4047" s="680" t="s">
        <v>6153</v>
      </c>
    </row>
    <row r="4048" spans="8:8">
      <c r="H4048" s="680" t="s">
        <v>6153</v>
      </c>
    </row>
    <row r="4049" spans="8:8">
      <c r="H4049" s="680" t="s">
        <v>6153</v>
      </c>
    </row>
    <row r="4050" spans="8:8">
      <c r="H4050" s="680" t="s">
        <v>6153</v>
      </c>
    </row>
    <row r="4051" spans="8:8">
      <c r="H4051" s="680" t="s">
        <v>6153</v>
      </c>
    </row>
    <row r="4052" spans="8:8">
      <c r="H4052" s="680" t="s">
        <v>6153</v>
      </c>
    </row>
    <row r="4053" spans="8:8">
      <c r="H4053" s="680" t="s">
        <v>6153</v>
      </c>
    </row>
    <row r="4054" spans="8:8">
      <c r="H4054" s="680" t="s">
        <v>6153</v>
      </c>
    </row>
    <row r="4055" spans="8:8">
      <c r="H4055" s="680" t="s">
        <v>6153</v>
      </c>
    </row>
    <row r="4056" spans="8:8">
      <c r="H4056" s="680" t="s">
        <v>6153</v>
      </c>
    </row>
    <row r="4057" spans="8:8">
      <c r="H4057" s="680" t="s">
        <v>6153</v>
      </c>
    </row>
    <row r="4058" spans="8:8">
      <c r="H4058" s="680" t="s">
        <v>6153</v>
      </c>
    </row>
    <row r="4059" spans="8:8">
      <c r="H4059" s="680" t="s">
        <v>6153</v>
      </c>
    </row>
    <row r="4060" spans="8:8">
      <c r="H4060" s="680" t="s">
        <v>6153</v>
      </c>
    </row>
    <row r="4061" spans="8:8">
      <c r="H4061" s="680" t="s">
        <v>6153</v>
      </c>
    </row>
    <row r="4062" spans="8:8">
      <c r="H4062" s="680" t="s">
        <v>6153</v>
      </c>
    </row>
    <row r="4063" spans="8:8">
      <c r="H4063" s="680" t="s">
        <v>6153</v>
      </c>
    </row>
    <row r="4064" spans="8:8">
      <c r="H4064" s="680" t="s">
        <v>6153</v>
      </c>
    </row>
    <row r="4065" spans="8:8">
      <c r="H4065" s="680" t="s">
        <v>6153</v>
      </c>
    </row>
    <row r="4066" spans="8:8">
      <c r="H4066" s="680" t="s">
        <v>6153</v>
      </c>
    </row>
    <row r="4067" spans="8:8">
      <c r="H4067" s="680" t="s">
        <v>6153</v>
      </c>
    </row>
    <row r="4068" spans="8:8">
      <c r="H4068" s="680" t="s">
        <v>6153</v>
      </c>
    </row>
    <row r="4069" spans="8:8">
      <c r="H4069" s="680" t="s">
        <v>6153</v>
      </c>
    </row>
    <row r="4070" spans="8:8">
      <c r="H4070" s="680" t="s">
        <v>6153</v>
      </c>
    </row>
    <row r="4071" spans="8:8">
      <c r="H4071" s="680" t="s">
        <v>6153</v>
      </c>
    </row>
    <row r="4072" spans="8:8">
      <c r="H4072" s="680" t="s">
        <v>6153</v>
      </c>
    </row>
    <row r="4073" spans="8:8">
      <c r="H4073" s="680" t="s">
        <v>6153</v>
      </c>
    </row>
    <row r="4074" spans="8:8">
      <c r="H4074" s="680" t="s">
        <v>6153</v>
      </c>
    </row>
    <row r="4075" spans="8:8">
      <c r="H4075" s="680" t="s">
        <v>6153</v>
      </c>
    </row>
    <row r="4076" spans="8:8">
      <c r="H4076" s="680" t="s">
        <v>6153</v>
      </c>
    </row>
    <row r="4077" spans="8:8">
      <c r="H4077" s="680" t="s">
        <v>6153</v>
      </c>
    </row>
    <row r="4078" spans="8:8">
      <c r="H4078" s="680" t="s">
        <v>6153</v>
      </c>
    </row>
    <row r="4079" spans="8:8">
      <c r="H4079" s="680" t="s">
        <v>6153</v>
      </c>
    </row>
    <row r="4080" spans="8:8">
      <c r="H4080" s="680" t="s">
        <v>6153</v>
      </c>
    </row>
    <row r="4081" spans="8:8">
      <c r="H4081" s="680" t="s">
        <v>6153</v>
      </c>
    </row>
    <row r="4082" spans="8:8">
      <c r="H4082" s="680" t="s">
        <v>6153</v>
      </c>
    </row>
    <row r="4083" spans="8:8">
      <c r="H4083" s="680" t="s">
        <v>6153</v>
      </c>
    </row>
    <row r="4084" spans="8:8">
      <c r="H4084" s="680" t="s">
        <v>6153</v>
      </c>
    </row>
    <row r="4085" spans="8:8">
      <c r="H4085" s="680" t="s">
        <v>6153</v>
      </c>
    </row>
    <row r="4086" spans="8:8">
      <c r="H4086" s="680" t="s">
        <v>6153</v>
      </c>
    </row>
    <row r="4087" spans="8:8">
      <c r="H4087" s="680" t="s">
        <v>6153</v>
      </c>
    </row>
    <row r="4088" spans="8:8">
      <c r="H4088" s="680" t="s">
        <v>6153</v>
      </c>
    </row>
    <row r="4089" spans="8:8">
      <c r="H4089" s="680" t="s">
        <v>6153</v>
      </c>
    </row>
    <row r="4090" spans="8:8">
      <c r="H4090" s="680" t="s">
        <v>6153</v>
      </c>
    </row>
    <row r="4091" spans="8:8">
      <c r="H4091" s="680" t="s">
        <v>6153</v>
      </c>
    </row>
    <row r="4092" spans="8:8">
      <c r="H4092" s="680" t="s">
        <v>6153</v>
      </c>
    </row>
    <row r="4093" spans="8:8">
      <c r="H4093" s="680" t="s">
        <v>6153</v>
      </c>
    </row>
    <row r="4094" spans="8:8">
      <c r="H4094" s="680" t="s">
        <v>6153</v>
      </c>
    </row>
    <row r="4095" spans="8:8">
      <c r="H4095" s="680" t="s">
        <v>6153</v>
      </c>
    </row>
    <row r="4096" spans="8:8">
      <c r="H4096" s="680" t="s">
        <v>6153</v>
      </c>
    </row>
    <row r="4097" spans="8:8">
      <c r="H4097" s="680" t="s">
        <v>6153</v>
      </c>
    </row>
    <row r="4098" spans="8:8">
      <c r="H4098" s="680" t="s">
        <v>6153</v>
      </c>
    </row>
    <row r="4099" spans="8:8">
      <c r="H4099" s="680" t="s">
        <v>6153</v>
      </c>
    </row>
    <row r="4100" spans="8:8">
      <c r="H4100" s="680" t="s">
        <v>6153</v>
      </c>
    </row>
    <row r="4101" spans="8:8">
      <c r="H4101" s="680" t="s">
        <v>6153</v>
      </c>
    </row>
    <row r="4102" spans="8:8">
      <c r="H4102" s="680" t="s">
        <v>6153</v>
      </c>
    </row>
    <row r="4103" spans="8:8">
      <c r="H4103" s="680" t="s">
        <v>6153</v>
      </c>
    </row>
    <row r="4104" spans="8:8">
      <c r="H4104" s="680" t="s">
        <v>6153</v>
      </c>
    </row>
    <row r="4105" spans="8:8">
      <c r="H4105" s="680" t="s">
        <v>6153</v>
      </c>
    </row>
    <row r="4106" spans="8:8">
      <c r="H4106" s="680" t="s">
        <v>6153</v>
      </c>
    </row>
    <row r="4107" spans="8:8">
      <c r="H4107" s="680" t="s">
        <v>6153</v>
      </c>
    </row>
    <row r="4108" spans="8:8">
      <c r="H4108" s="680" t="s">
        <v>6153</v>
      </c>
    </row>
    <row r="4109" spans="8:8">
      <c r="H4109" s="680" t="s">
        <v>6153</v>
      </c>
    </row>
    <row r="4110" spans="8:8">
      <c r="H4110" s="680" t="s">
        <v>6153</v>
      </c>
    </row>
    <row r="4111" spans="8:8">
      <c r="H4111" s="680" t="s">
        <v>6153</v>
      </c>
    </row>
    <row r="4112" spans="8:8">
      <c r="H4112" s="680" t="s">
        <v>6153</v>
      </c>
    </row>
    <row r="4113" spans="8:8">
      <c r="H4113" s="680" t="s">
        <v>6153</v>
      </c>
    </row>
    <row r="4114" spans="8:8">
      <c r="H4114" s="680" t="s">
        <v>6153</v>
      </c>
    </row>
    <row r="4115" spans="8:8">
      <c r="H4115" s="680" t="s">
        <v>6153</v>
      </c>
    </row>
    <row r="4116" spans="8:8">
      <c r="H4116" s="680" t="s">
        <v>6153</v>
      </c>
    </row>
    <row r="4117" spans="8:8">
      <c r="H4117" s="680" t="s">
        <v>6153</v>
      </c>
    </row>
    <row r="4118" spans="8:8">
      <c r="H4118" s="680" t="s">
        <v>6153</v>
      </c>
    </row>
    <row r="4119" spans="8:8">
      <c r="H4119" s="680" t="s">
        <v>6153</v>
      </c>
    </row>
    <row r="4120" spans="8:8">
      <c r="H4120" s="680" t="s">
        <v>6153</v>
      </c>
    </row>
    <row r="4121" spans="8:8">
      <c r="H4121" s="680" t="s">
        <v>6153</v>
      </c>
    </row>
    <row r="4122" spans="8:8">
      <c r="H4122" s="680" t="s">
        <v>6153</v>
      </c>
    </row>
    <row r="4123" spans="8:8">
      <c r="H4123" s="680" t="s">
        <v>6153</v>
      </c>
    </row>
    <row r="4124" spans="8:8">
      <c r="H4124" s="680" t="s">
        <v>6153</v>
      </c>
    </row>
    <row r="4125" spans="8:8">
      <c r="H4125" s="680" t="s">
        <v>6153</v>
      </c>
    </row>
    <row r="4126" spans="8:8">
      <c r="H4126" s="680" t="s">
        <v>6153</v>
      </c>
    </row>
    <row r="4127" spans="8:8">
      <c r="H4127" s="680" t="s">
        <v>6153</v>
      </c>
    </row>
    <row r="4128" spans="8:8">
      <c r="H4128" s="680" t="s">
        <v>6153</v>
      </c>
    </row>
    <row r="4129" spans="8:8">
      <c r="H4129" s="680" t="s">
        <v>6153</v>
      </c>
    </row>
    <row r="4130" spans="8:8">
      <c r="H4130" s="680" t="s">
        <v>6153</v>
      </c>
    </row>
    <row r="4131" spans="8:8">
      <c r="H4131" s="680" t="s">
        <v>6153</v>
      </c>
    </row>
    <row r="4132" spans="8:8">
      <c r="H4132" s="680" t="s">
        <v>6153</v>
      </c>
    </row>
    <row r="4133" spans="8:8">
      <c r="H4133" s="680" t="s">
        <v>6153</v>
      </c>
    </row>
    <row r="4134" spans="8:8">
      <c r="H4134" s="680" t="s">
        <v>6153</v>
      </c>
    </row>
    <row r="4135" spans="8:8">
      <c r="H4135" s="680" t="s">
        <v>6153</v>
      </c>
    </row>
    <row r="4136" spans="8:8">
      <c r="H4136" s="680" t="s">
        <v>6153</v>
      </c>
    </row>
    <row r="4137" spans="8:8">
      <c r="H4137" s="680" t="s">
        <v>6153</v>
      </c>
    </row>
    <row r="4138" spans="8:8">
      <c r="H4138" s="680" t="s">
        <v>6153</v>
      </c>
    </row>
    <row r="4139" spans="8:8">
      <c r="H4139" s="680" t="s">
        <v>6153</v>
      </c>
    </row>
    <row r="4140" spans="8:8">
      <c r="H4140" s="680" t="s">
        <v>6153</v>
      </c>
    </row>
    <row r="4141" spans="8:8">
      <c r="H4141" s="680" t="s">
        <v>6153</v>
      </c>
    </row>
    <row r="4142" spans="8:8">
      <c r="H4142" s="680" t="s">
        <v>6153</v>
      </c>
    </row>
    <row r="4143" spans="8:8">
      <c r="H4143" s="680" t="s">
        <v>6153</v>
      </c>
    </row>
    <row r="4144" spans="8:8">
      <c r="H4144" s="680" t="s">
        <v>6153</v>
      </c>
    </row>
    <row r="4145" spans="8:8">
      <c r="H4145" s="680" t="s">
        <v>6153</v>
      </c>
    </row>
    <row r="4146" spans="8:8">
      <c r="H4146" s="680" t="s">
        <v>6153</v>
      </c>
    </row>
    <row r="4147" spans="8:8">
      <c r="H4147" s="680" t="s">
        <v>6153</v>
      </c>
    </row>
    <row r="4148" spans="8:8">
      <c r="H4148" s="680" t="s">
        <v>6153</v>
      </c>
    </row>
    <row r="4149" spans="8:8">
      <c r="H4149" s="680" t="s">
        <v>6153</v>
      </c>
    </row>
    <row r="4150" spans="8:8">
      <c r="H4150" s="680" t="s">
        <v>6153</v>
      </c>
    </row>
    <row r="4151" spans="8:8">
      <c r="H4151" s="680" t="s">
        <v>6153</v>
      </c>
    </row>
    <row r="4152" spans="8:8">
      <c r="H4152" s="680" t="s">
        <v>6153</v>
      </c>
    </row>
    <row r="4153" spans="8:8">
      <c r="H4153" s="680" t="s">
        <v>6153</v>
      </c>
    </row>
    <row r="4154" spans="8:8">
      <c r="H4154" s="680" t="s">
        <v>6153</v>
      </c>
    </row>
    <row r="4155" spans="8:8">
      <c r="H4155" s="680" t="s">
        <v>6153</v>
      </c>
    </row>
    <row r="4156" spans="8:8">
      <c r="H4156" s="680" t="s">
        <v>6153</v>
      </c>
    </row>
    <row r="4157" spans="8:8">
      <c r="H4157" s="680" t="s">
        <v>6153</v>
      </c>
    </row>
    <row r="4158" spans="8:8">
      <c r="H4158" s="680" t="s">
        <v>6153</v>
      </c>
    </row>
    <row r="4159" spans="8:8">
      <c r="H4159" s="680" t="s">
        <v>6153</v>
      </c>
    </row>
    <row r="4160" spans="8:8">
      <c r="H4160" s="680" t="s">
        <v>6153</v>
      </c>
    </row>
    <row r="4161" spans="8:8">
      <c r="H4161" s="680" t="s">
        <v>6153</v>
      </c>
    </row>
    <row r="4162" spans="8:8">
      <c r="H4162" s="680" t="s">
        <v>6153</v>
      </c>
    </row>
    <row r="4163" spans="8:8">
      <c r="H4163" s="680" t="s">
        <v>6153</v>
      </c>
    </row>
    <row r="4164" spans="8:8">
      <c r="H4164" s="680" t="s">
        <v>6153</v>
      </c>
    </row>
    <row r="4165" spans="8:8">
      <c r="H4165" s="680" t="s">
        <v>6153</v>
      </c>
    </row>
    <row r="4166" spans="8:8">
      <c r="H4166" s="680" t="s">
        <v>6153</v>
      </c>
    </row>
    <row r="4167" spans="8:8">
      <c r="H4167" s="680" t="s">
        <v>6153</v>
      </c>
    </row>
    <row r="4168" spans="8:8">
      <c r="H4168" s="680" t="s">
        <v>6153</v>
      </c>
    </row>
    <row r="4169" spans="8:8">
      <c r="H4169" s="680" t="s">
        <v>6153</v>
      </c>
    </row>
    <row r="4170" spans="8:8">
      <c r="H4170" s="680" t="s">
        <v>6153</v>
      </c>
    </row>
    <row r="4171" spans="8:8">
      <c r="H4171" s="680" t="s">
        <v>6153</v>
      </c>
    </row>
    <row r="4172" spans="8:8">
      <c r="H4172" s="680" t="s">
        <v>6153</v>
      </c>
    </row>
    <row r="4173" spans="8:8">
      <c r="H4173" s="680" t="s">
        <v>6153</v>
      </c>
    </row>
    <row r="4174" spans="8:8">
      <c r="H4174" s="680" t="s">
        <v>6153</v>
      </c>
    </row>
    <row r="4175" spans="8:8">
      <c r="H4175" s="680" t="s">
        <v>6153</v>
      </c>
    </row>
    <row r="4176" spans="8:8">
      <c r="H4176" s="680" t="s">
        <v>6153</v>
      </c>
    </row>
    <row r="4177" spans="8:8">
      <c r="H4177" s="680" t="s">
        <v>6153</v>
      </c>
    </row>
    <row r="4178" spans="8:8">
      <c r="H4178" s="680" t="s">
        <v>6153</v>
      </c>
    </row>
    <row r="4179" spans="8:8">
      <c r="H4179" s="680" t="s">
        <v>6153</v>
      </c>
    </row>
    <row r="4180" spans="8:8">
      <c r="H4180" s="680" t="s">
        <v>6153</v>
      </c>
    </row>
    <row r="4181" spans="8:8">
      <c r="H4181" s="680" t="s">
        <v>6153</v>
      </c>
    </row>
    <row r="4182" spans="8:8">
      <c r="H4182" s="680" t="s">
        <v>6153</v>
      </c>
    </row>
    <row r="4183" spans="8:8">
      <c r="H4183" s="680" t="s">
        <v>6153</v>
      </c>
    </row>
    <row r="4184" spans="8:8">
      <c r="H4184" s="680" t="s">
        <v>6153</v>
      </c>
    </row>
    <row r="4185" spans="8:8">
      <c r="H4185" s="680" t="s">
        <v>6153</v>
      </c>
    </row>
    <row r="4186" spans="8:8">
      <c r="H4186" s="680" t="s">
        <v>6153</v>
      </c>
    </row>
    <row r="4187" spans="8:8">
      <c r="H4187" s="680" t="s">
        <v>6153</v>
      </c>
    </row>
    <row r="4188" spans="8:8">
      <c r="H4188" s="680" t="s">
        <v>6153</v>
      </c>
    </row>
    <row r="4189" spans="8:8">
      <c r="H4189" s="680" t="s">
        <v>6153</v>
      </c>
    </row>
    <row r="4190" spans="8:8">
      <c r="H4190" s="680" t="s">
        <v>6153</v>
      </c>
    </row>
    <row r="4191" spans="8:8">
      <c r="H4191" s="680" t="s">
        <v>6153</v>
      </c>
    </row>
    <row r="4192" spans="8:8">
      <c r="H4192" s="680" t="s">
        <v>6153</v>
      </c>
    </row>
    <row r="4193" spans="8:8">
      <c r="H4193" s="680" t="s">
        <v>6153</v>
      </c>
    </row>
    <row r="4194" spans="8:8">
      <c r="H4194" s="680" t="s">
        <v>6153</v>
      </c>
    </row>
    <row r="4195" spans="8:8">
      <c r="H4195" s="680" t="s">
        <v>6153</v>
      </c>
    </row>
    <row r="4196" spans="8:8">
      <c r="H4196" s="680" t="s">
        <v>6153</v>
      </c>
    </row>
    <row r="4197" spans="8:8">
      <c r="H4197" s="680" t="s">
        <v>6153</v>
      </c>
    </row>
    <row r="4198" spans="8:8">
      <c r="H4198" s="680" t="s">
        <v>6153</v>
      </c>
    </row>
    <row r="4199" spans="8:8">
      <c r="H4199" s="680" t="s">
        <v>6153</v>
      </c>
    </row>
    <row r="4200" spans="8:8">
      <c r="H4200" s="680" t="s">
        <v>6153</v>
      </c>
    </row>
    <row r="4201" spans="8:8">
      <c r="H4201" s="680" t="s">
        <v>6153</v>
      </c>
    </row>
    <row r="4202" spans="8:8">
      <c r="H4202" s="680" t="s">
        <v>6153</v>
      </c>
    </row>
    <row r="4203" spans="8:8">
      <c r="H4203" s="680" t="s">
        <v>6153</v>
      </c>
    </row>
    <row r="4204" spans="8:8">
      <c r="H4204" s="680" t="s">
        <v>6153</v>
      </c>
    </row>
    <row r="4205" spans="8:8">
      <c r="H4205" s="680" t="s">
        <v>6153</v>
      </c>
    </row>
    <row r="4206" spans="8:8">
      <c r="H4206" s="680" t="s">
        <v>6153</v>
      </c>
    </row>
    <row r="4207" spans="8:8">
      <c r="H4207" s="680" t="s">
        <v>6153</v>
      </c>
    </row>
    <row r="4208" spans="8:8">
      <c r="H4208" s="680" t="s">
        <v>6153</v>
      </c>
    </row>
    <row r="4209" spans="8:8">
      <c r="H4209" s="680" t="s">
        <v>6153</v>
      </c>
    </row>
    <row r="4210" spans="8:8">
      <c r="H4210" s="680" t="s">
        <v>6153</v>
      </c>
    </row>
    <row r="4211" spans="8:8">
      <c r="H4211" s="680" t="s">
        <v>6153</v>
      </c>
    </row>
    <row r="4212" spans="8:8">
      <c r="H4212" s="680" t="s">
        <v>6153</v>
      </c>
    </row>
    <row r="4213" spans="8:8">
      <c r="H4213" s="680" t="s">
        <v>6153</v>
      </c>
    </row>
    <row r="4214" spans="8:8">
      <c r="H4214" s="680" t="s">
        <v>6153</v>
      </c>
    </row>
    <row r="4215" spans="8:8">
      <c r="H4215" s="680" t="s">
        <v>6153</v>
      </c>
    </row>
    <row r="4216" spans="8:8">
      <c r="H4216" s="680" t="s">
        <v>6153</v>
      </c>
    </row>
    <row r="4217" spans="8:8">
      <c r="H4217" s="680" t="s">
        <v>6153</v>
      </c>
    </row>
    <row r="4218" spans="8:8">
      <c r="H4218" s="680" t="s">
        <v>6153</v>
      </c>
    </row>
    <row r="4219" spans="8:8">
      <c r="H4219" s="680" t="s">
        <v>6153</v>
      </c>
    </row>
    <row r="4220" spans="8:8">
      <c r="H4220" s="680" t="s">
        <v>6153</v>
      </c>
    </row>
    <row r="4221" spans="8:8">
      <c r="H4221" s="680" t="s">
        <v>6153</v>
      </c>
    </row>
    <row r="4222" spans="8:8">
      <c r="H4222" s="680" t="s">
        <v>6153</v>
      </c>
    </row>
    <row r="4223" spans="8:8">
      <c r="H4223" s="680" t="s">
        <v>6153</v>
      </c>
    </row>
    <row r="4224" spans="8:8">
      <c r="H4224" s="680" t="s">
        <v>6153</v>
      </c>
    </row>
    <row r="4225" spans="8:8">
      <c r="H4225" s="680" t="s">
        <v>6153</v>
      </c>
    </row>
    <row r="4226" spans="8:8">
      <c r="H4226" s="680" t="s">
        <v>6153</v>
      </c>
    </row>
    <row r="4227" spans="8:8">
      <c r="H4227" s="680" t="s">
        <v>6153</v>
      </c>
    </row>
    <row r="4228" spans="8:8">
      <c r="H4228" s="680" t="s">
        <v>6153</v>
      </c>
    </row>
    <row r="4229" spans="8:8">
      <c r="H4229" s="680" t="s">
        <v>6153</v>
      </c>
    </row>
    <row r="4230" spans="8:8">
      <c r="H4230" s="680" t="s">
        <v>6153</v>
      </c>
    </row>
    <row r="4231" spans="8:8">
      <c r="H4231" s="680" t="s">
        <v>6153</v>
      </c>
    </row>
    <row r="4232" spans="8:8">
      <c r="H4232" s="680" t="s">
        <v>6153</v>
      </c>
    </row>
    <row r="4233" spans="8:8">
      <c r="H4233" s="680" t="s">
        <v>6153</v>
      </c>
    </row>
    <row r="4234" spans="8:8">
      <c r="H4234" s="680" t="s">
        <v>6153</v>
      </c>
    </row>
    <row r="4235" spans="8:8">
      <c r="H4235" s="680" t="s">
        <v>6153</v>
      </c>
    </row>
    <row r="4236" spans="8:8">
      <c r="H4236" s="680" t="s">
        <v>6153</v>
      </c>
    </row>
    <row r="4237" spans="8:8">
      <c r="H4237" s="680" t="s">
        <v>6153</v>
      </c>
    </row>
    <row r="4238" spans="8:8">
      <c r="H4238" s="680" t="s">
        <v>6153</v>
      </c>
    </row>
    <row r="4239" spans="8:8">
      <c r="H4239" s="680" t="s">
        <v>6153</v>
      </c>
    </row>
    <row r="4240" spans="8:8">
      <c r="H4240" s="680" t="s">
        <v>6153</v>
      </c>
    </row>
    <row r="4241" spans="8:8">
      <c r="H4241" s="680" t="s">
        <v>6153</v>
      </c>
    </row>
    <row r="4242" spans="8:8">
      <c r="H4242" s="680" t="s">
        <v>6153</v>
      </c>
    </row>
    <row r="4243" spans="8:8">
      <c r="H4243" s="680" t="s">
        <v>6153</v>
      </c>
    </row>
    <row r="4244" spans="8:8">
      <c r="H4244" s="680" t="s">
        <v>6153</v>
      </c>
    </row>
    <row r="4245" spans="8:8">
      <c r="H4245" s="680" t="s">
        <v>6153</v>
      </c>
    </row>
    <row r="4246" spans="8:8">
      <c r="H4246" s="680" t="s">
        <v>6153</v>
      </c>
    </row>
    <row r="4247" spans="8:8">
      <c r="H4247" s="680" t="s">
        <v>6153</v>
      </c>
    </row>
    <row r="4248" spans="8:8">
      <c r="H4248" s="680" t="s">
        <v>6153</v>
      </c>
    </row>
    <row r="4249" spans="8:8">
      <c r="H4249" s="680" t="s">
        <v>6153</v>
      </c>
    </row>
    <row r="4250" spans="8:8">
      <c r="H4250" s="680" t="s">
        <v>6153</v>
      </c>
    </row>
    <row r="4251" spans="8:8">
      <c r="H4251" s="680" t="s">
        <v>6153</v>
      </c>
    </row>
    <row r="4252" spans="8:8">
      <c r="H4252" s="680" t="s">
        <v>6153</v>
      </c>
    </row>
    <row r="4253" spans="8:8">
      <c r="H4253" s="680" t="s">
        <v>6153</v>
      </c>
    </row>
    <row r="4254" spans="8:8">
      <c r="H4254" s="680" t="s">
        <v>6153</v>
      </c>
    </row>
    <row r="4255" spans="8:8">
      <c r="H4255" s="680" t="s">
        <v>6153</v>
      </c>
    </row>
    <row r="4256" spans="8:8">
      <c r="H4256" s="680" t="s">
        <v>6153</v>
      </c>
    </row>
    <row r="4257" spans="8:8">
      <c r="H4257" s="680" t="s">
        <v>6153</v>
      </c>
    </row>
    <row r="4258" spans="8:8">
      <c r="H4258" s="680" t="s">
        <v>6153</v>
      </c>
    </row>
    <row r="4259" spans="8:8">
      <c r="H4259" s="680" t="s">
        <v>6153</v>
      </c>
    </row>
    <row r="4260" spans="8:8">
      <c r="H4260" s="680" t="s">
        <v>6153</v>
      </c>
    </row>
    <row r="4261" spans="8:8">
      <c r="H4261" s="680" t="s">
        <v>6153</v>
      </c>
    </row>
    <row r="4262" spans="8:8">
      <c r="H4262" s="680" t="s">
        <v>6153</v>
      </c>
    </row>
    <row r="4263" spans="8:8">
      <c r="H4263" s="680" t="s">
        <v>6153</v>
      </c>
    </row>
    <row r="4264" spans="8:8">
      <c r="H4264" s="680" t="s">
        <v>6153</v>
      </c>
    </row>
    <row r="4265" spans="8:8">
      <c r="H4265" s="680" t="s">
        <v>6153</v>
      </c>
    </row>
    <row r="4266" spans="8:8">
      <c r="H4266" s="680" t="s">
        <v>6153</v>
      </c>
    </row>
    <row r="4267" spans="8:8">
      <c r="H4267" s="680" t="s">
        <v>6153</v>
      </c>
    </row>
    <row r="4268" spans="8:8">
      <c r="H4268" s="680" t="s">
        <v>6153</v>
      </c>
    </row>
    <row r="4269" spans="8:8">
      <c r="H4269" s="680" t="s">
        <v>6153</v>
      </c>
    </row>
    <row r="4270" spans="8:8">
      <c r="H4270" s="680" t="s">
        <v>6153</v>
      </c>
    </row>
    <row r="4271" spans="8:8">
      <c r="H4271" s="680" t="s">
        <v>6153</v>
      </c>
    </row>
    <row r="4272" spans="8:8">
      <c r="H4272" s="680" t="s">
        <v>6153</v>
      </c>
    </row>
    <row r="4273" spans="8:8">
      <c r="H4273" s="680" t="s">
        <v>6153</v>
      </c>
    </row>
    <row r="4274" spans="8:8">
      <c r="H4274" s="680" t="s">
        <v>6153</v>
      </c>
    </row>
    <row r="4275" spans="8:8">
      <c r="H4275" s="680" t="s">
        <v>6153</v>
      </c>
    </row>
    <row r="4276" spans="8:8">
      <c r="H4276" s="680" t="s">
        <v>6153</v>
      </c>
    </row>
    <row r="4277" spans="8:8">
      <c r="H4277" s="680" t="s">
        <v>6153</v>
      </c>
    </row>
    <row r="4278" spans="8:8">
      <c r="H4278" s="680" t="s">
        <v>6153</v>
      </c>
    </row>
    <row r="4279" spans="8:8">
      <c r="H4279" s="680" t="s">
        <v>6153</v>
      </c>
    </row>
    <row r="4280" spans="8:8">
      <c r="H4280" s="680" t="s">
        <v>6153</v>
      </c>
    </row>
    <row r="4281" spans="8:8">
      <c r="H4281" s="680" t="s">
        <v>6153</v>
      </c>
    </row>
    <row r="4282" spans="8:8">
      <c r="H4282" s="680" t="s">
        <v>6153</v>
      </c>
    </row>
    <row r="4283" spans="8:8">
      <c r="H4283" s="680" t="s">
        <v>6153</v>
      </c>
    </row>
    <row r="4284" spans="8:8">
      <c r="H4284" s="680" t="s">
        <v>6153</v>
      </c>
    </row>
    <row r="4285" spans="8:8">
      <c r="H4285" s="680" t="s">
        <v>6153</v>
      </c>
    </row>
    <row r="4286" spans="8:8">
      <c r="H4286" s="680" t="s">
        <v>6153</v>
      </c>
    </row>
    <row r="4287" spans="8:8">
      <c r="H4287" s="680" t="s">
        <v>6153</v>
      </c>
    </row>
    <row r="4288" spans="8:8">
      <c r="H4288" s="680" t="s">
        <v>6153</v>
      </c>
    </row>
    <row r="4289" spans="8:8">
      <c r="H4289" s="680" t="s">
        <v>6153</v>
      </c>
    </row>
    <row r="4290" spans="8:8">
      <c r="H4290" s="680" t="s">
        <v>6153</v>
      </c>
    </row>
    <row r="4291" spans="8:8">
      <c r="H4291" s="680" t="s">
        <v>6153</v>
      </c>
    </row>
    <row r="4292" spans="8:8">
      <c r="H4292" s="680" t="s">
        <v>6153</v>
      </c>
    </row>
    <row r="4293" spans="8:8">
      <c r="H4293" s="680" t="s">
        <v>6153</v>
      </c>
    </row>
    <row r="4294" spans="8:8">
      <c r="H4294" s="680" t="s">
        <v>6153</v>
      </c>
    </row>
    <row r="4295" spans="8:8">
      <c r="H4295" s="680" t="s">
        <v>6153</v>
      </c>
    </row>
    <row r="4296" spans="8:8">
      <c r="H4296" s="680" t="s">
        <v>6153</v>
      </c>
    </row>
    <row r="4297" spans="8:8">
      <c r="H4297" s="680" t="s">
        <v>6153</v>
      </c>
    </row>
    <row r="4298" spans="8:8">
      <c r="H4298" s="680" t="s">
        <v>6153</v>
      </c>
    </row>
    <row r="4299" spans="8:8">
      <c r="H4299" s="680" t="s">
        <v>6153</v>
      </c>
    </row>
    <row r="4300" spans="8:8">
      <c r="H4300" s="680" t="s">
        <v>6153</v>
      </c>
    </row>
    <row r="4301" spans="8:8">
      <c r="H4301" s="680" t="s">
        <v>6153</v>
      </c>
    </row>
    <row r="4302" spans="8:8">
      <c r="H4302" s="680" t="s">
        <v>6153</v>
      </c>
    </row>
    <row r="4303" spans="8:8">
      <c r="H4303" s="680" t="s">
        <v>6153</v>
      </c>
    </row>
    <row r="4304" spans="8:8">
      <c r="H4304" s="680" t="s">
        <v>6153</v>
      </c>
    </row>
    <row r="4305" spans="8:8">
      <c r="H4305" s="680" t="s">
        <v>6153</v>
      </c>
    </row>
    <row r="4306" spans="8:8">
      <c r="H4306" s="680" t="s">
        <v>6153</v>
      </c>
    </row>
    <row r="4307" spans="8:8">
      <c r="H4307" s="680" t="s">
        <v>6153</v>
      </c>
    </row>
    <row r="4308" spans="8:8">
      <c r="H4308" s="680" t="s">
        <v>6153</v>
      </c>
    </row>
    <row r="4309" spans="8:8">
      <c r="H4309" s="680" t="s">
        <v>6153</v>
      </c>
    </row>
    <row r="4310" spans="8:8">
      <c r="H4310" s="680" t="s">
        <v>6153</v>
      </c>
    </row>
    <row r="4311" spans="8:8">
      <c r="H4311" s="680" t="s">
        <v>6153</v>
      </c>
    </row>
    <row r="4312" spans="8:8">
      <c r="H4312" s="680" t="s">
        <v>6153</v>
      </c>
    </row>
    <row r="4313" spans="8:8">
      <c r="H4313" s="680" t="s">
        <v>6153</v>
      </c>
    </row>
    <row r="4314" spans="8:8">
      <c r="H4314" s="680" t="s">
        <v>6153</v>
      </c>
    </row>
    <row r="4315" spans="8:8">
      <c r="H4315" s="680" t="s">
        <v>6153</v>
      </c>
    </row>
    <row r="4316" spans="8:8">
      <c r="H4316" s="680" t="s">
        <v>6153</v>
      </c>
    </row>
    <row r="4317" spans="8:8">
      <c r="H4317" s="680" t="s">
        <v>6153</v>
      </c>
    </row>
    <row r="4318" spans="8:8">
      <c r="H4318" s="680" t="s">
        <v>6153</v>
      </c>
    </row>
    <row r="4319" spans="8:8">
      <c r="H4319" s="680" t="s">
        <v>6153</v>
      </c>
    </row>
    <row r="4320" spans="8:8">
      <c r="H4320" s="680" t="s">
        <v>6153</v>
      </c>
    </row>
    <row r="4321" spans="8:8">
      <c r="H4321" s="680" t="s">
        <v>6153</v>
      </c>
    </row>
    <row r="4322" spans="8:8">
      <c r="H4322" s="680" t="s">
        <v>6153</v>
      </c>
    </row>
    <row r="4323" spans="8:8">
      <c r="H4323" s="680" t="s">
        <v>6153</v>
      </c>
    </row>
    <row r="4324" spans="8:8">
      <c r="H4324" s="680" t="s">
        <v>6153</v>
      </c>
    </row>
    <row r="4325" spans="8:8">
      <c r="H4325" s="680" t="s">
        <v>6153</v>
      </c>
    </row>
    <row r="4326" spans="8:8">
      <c r="H4326" s="680" t="s">
        <v>6153</v>
      </c>
    </row>
    <row r="4327" spans="8:8">
      <c r="H4327" s="680" t="s">
        <v>6153</v>
      </c>
    </row>
    <row r="4328" spans="8:8">
      <c r="H4328" s="680" t="s">
        <v>6153</v>
      </c>
    </row>
    <row r="4329" spans="8:8">
      <c r="H4329" s="680" t="s">
        <v>6153</v>
      </c>
    </row>
    <row r="4330" spans="8:8">
      <c r="H4330" s="680" t="s">
        <v>6153</v>
      </c>
    </row>
    <row r="4331" spans="8:8">
      <c r="H4331" s="680" t="s">
        <v>6153</v>
      </c>
    </row>
    <row r="4332" spans="8:8">
      <c r="H4332" s="680" t="s">
        <v>6153</v>
      </c>
    </row>
    <row r="4333" spans="8:8">
      <c r="H4333" s="680" t="s">
        <v>6153</v>
      </c>
    </row>
    <row r="4334" spans="8:8">
      <c r="H4334" s="680" t="s">
        <v>6153</v>
      </c>
    </row>
    <row r="4335" spans="8:8">
      <c r="H4335" s="680" t="s">
        <v>6153</v>
      </c>
    </row>
    <row r="4336" spans="8:8">
      <c r="H4336" s="680" t="s">
        <v>6153</v>
      </c>
    </row>
    <row r="4337" spans="8:8">
      <c r="H4337" s="680" t="s">
        <v>6153</v>
      </c>
    </row>
    <row r="4338" spans="8:8">
      <c r="H4338" s="680" t="s">
        <v>6153</v>
      </c>
    </row>
    <row r="4339" spans="8:8">
      <c r="H4339" s="680" t="s">
        <v>6153</v>
      </c>
    </row>
    <row r="4340" spans="8:8">
      <c r="H4340" s="680" t="s">
        <v>6153</v>
      </c>
    </row>
    <row r="4341" spans="8:8">
      <c r="H4341" s="680" t="s">
        <v>6153</v>
      </c>
    </row>
    <row r="4342" spans="8:8">
      <c r="H4342" s="680" t="s">
        <v>6153</v>
      </c>
    </row>
    <row r="4343" spans="8:8">
      <c r="H4343" s="680" t="s">
        <v>6153</v>
      </c>
    </row>
    <row r="4344" spans="8:8">
      <c r="H4344" s="680" t="s">
        <v>6153</v>
      </c>
    </row>
    <row r="4345" spans="8:8">
      <c r="H4345" s="680" t="s">
        <v>6153</v>
      </c>
    </row>
    <row r="4346" spans="8:8">
      <c r="H4346" s="680" t="s">
        <v>6153</v>
      </c>
    </row>
    <row r="4347" spans="8:8">
      <c r="H4347" s="680" t="s">
        <v>6153</v>
      </c>
    </row>
    <row r="4348" spans="8:8">
      <c r="H4348" s="680" t="s">
        <v>6153</v>
      </c>
    </row>
    <row r="4349" spans="8:8">
      <c r="H4349" s="680" t="s">
        <v>6153</v>
      </c>
    </row>
    <row r="4350" spans="8:8">
      <c r="H4350" s="680" t="s">
        <v>6153</v>
      </c>
    </row>
    <row r="4351" spans="8:8">
      <c r="H4351" s="680" t="s">
        <v>6153</v>
      </c>
    </row>
    <row r="4352" spans="8:8">
      <c r="H4352" s="680" t="s">
        <v>6153</v>
      </c>
    </row>
    <row r="4353" spans="8:8">
      <c r="H4353" s="680" t="s">
        <v>6153</v>
      </c>
    </row>
    <row r="4354" spans="8:8">
      <c r="H4354" s="680" t="s">
        <v>6153</v>
      </c>
    </row>
    <row r="4355" spans="8:8">
      <c r="H4355" s="680" t="s">
        <v>6153</v>
      </c>
    </row>
    <row r="4356" spans="8:8">
      <c r="H4356" s="680" t="s">
        <v>6153</v>
      </c>
    </row>
    <row r="4357" spans="8:8">
      <c r="H4357" s="680" t="s">
        <v>6153</v>
      </c>
    </row>
    <row r="4358" spans="8:8">
      <c r="H4358" s="680" t="s">
        <v>6153</v>
      </c>
    </row>
    <row r="4359" spans="8:8">
      <c r="H4359" s="680" t="s">
        <v>6153</v>
      </c>
    </row>
    <row r="4360" spans="8:8">
      <c r="H4360" s="680" t="s">
        <v>6153</v>
      </c>
    </row>
    <row r="4361" spans="8:8">
      <c r="H4361" s="680" t="s">
        <v>6153</v>
      </c>
    </row>
    <row r="4362" spans="8:8">
      <c r="H4362" s="680" t="s">
        <v>6153</v>
      </c>
    </row>
    <row r="4363" spans="8:8">
      <c r="H4363" s="680" t="s">
        <v>6153</v>
      </c>
    </row>
    <row r="4364" spans="8:8">
      <c r="H4364" s="680" t="s">
        <v>6153</v>
      </c>
    </row>
    <row r="4365" spans="8:8">
      <c r="H4365" s="680" t="s">
        <v>6153</v>
      </c>
    </row>
    <row r="4366" spans="8:8">
      <c r="H4366" s="680" t="s">
        <v>6153</v>
      </c>
    </row>
    <row r="4367" spans="8:8">
      <c r="H4367" s="680" t="s">
        <v>6153</v>
      </c>
    </row>
    <row r="4368" spans="8:8">
      <c r="H4368" s="680" t="s">
        <v>6153</v>
      </c>
    </row>
    <row r="4369" spans="8:8">
      <c r="H4369" s="680" t="s">
        <v>6153</v>
      </c>
    </row>
    <row r="4370" spans="8:8">
      <c r="H4370" s="680" t="s">
        <v>6153</v>
      </c>
    </row>
    <row r="4371" spans="8:8">
      <c r="H4371" s="680" t="s">
        <v>6153</v>
      </c>
    </row>
    <row r="4372" spans="8:8">
      <c r="H4372" s="680" t="s">
        <v>6153</v>
      </c>
    </row>
    <row r="4373" spans="8:8">
      <c r="H4373" s="680" t="s">
        <v>6153</v>
      </c>
    </row>
    <row r="4374" spans="8:8">
      <c r="H4374" s="680" t="s">
        <v>6153</v>
      </c>
    </row>
    <row r="4375" spans="8:8">
      <c r="H4375" s="680" t="s">
        <v>6153</v>
      </c>
    </row>
    <row r="4376" spans="8:8">
      <c r="H4376" s="680" t="s">
        <v>6153</v>
      </c>
    </row>
    <row r="4377" spans="8:8">
      <c r="H4377" s="680" t="s">
        <v>6153</v>
      </c>
    </row>
    <row r="4378" spans="8:8">
      <c r="H4378" s="680" t="s">
        <v>6153</v>
      </c>
    </row>
    <row r="4379" spans="8:8">
      <c r="H4379" s="680" t="s">
        <v>6153</v>
      </c>
    </row>
    <row r="4380" spans="8:8">
      <c r="H4380" s="680" t="s">
        <v>6153</v>
      </c>
    </row>
    <row r="4381" spans="8:8">
      <c r="H4381" s="680" t="s">
        <v>6153</v>
      </c>
    </row>
    <row r="4382" spans="8:8">
      <c r="H4382" s="680" t="s">
        <v>6153</v>
      </c>
    </row>
    <row r="4383" spans="8:8">
      <c r="H4383" s="680" t="s">
        <v>6153</v>
      </c>
    </row>
    <row r="4384" spans="8:8">
      <c r="H4384" s="680" t="s">
        <v>6153</v>
      </c>
    </row>
    <row r="4385" spans="8:8">
      <c r="H4385" s="680" t="s">
        <v>6153</v>
      </c>
    </row>
    <row r="4386" spans="8:8">
      <c r="H4386" s="680" t="s">
        <v>6153</v>
      </c>
    </row>
    <row r="4387" spans="8:8">
      <c r="H4387" s="680" t="s">
        <v>6153</v>
      </c>
    </row>
    <row r="4388" spans="8:8">
      <c r="H4388" s="680" t="s">
        <v>6153</v>
      </c>
    </row>
    <row r="4389" spans="8:8">
      <c r="H4389" s="680" t="s">
        <v>6153</v>
      </c>
    </row>
    <row r="4390" spans="8:8">
      <c r="H4390" s="680" t="s">
        <v>6153</v>
      </c>
    </row>
    <row r="4391" spans="8:8">
      <c r="H4391" s="680" t="s">
        <v>6153</v>
      </c>
    </row>
    <row r="4392" spans="8:8">
      <c r="H4392" s="680" t="s">
        <v>6153</v>
      </c>
    </row>
    <row r="4393" spans="8:8">
      <c r="H4393" s="680" t="s">
        <v>6153</v>
      </c>
    </row>
    <row r="4394" spans="8:8">
      <c r="H4394" s="680" t="s">
        <v>6153</v>
      </c>
    </row>
    <row r="4395" spans="8:8">
      <c r="H4395" s="680" t="s">
        <v>6153</v>
      </c>
    </row>
    <row r="4396" spans="8:8">
      <c r="H4396" s="680" t="s">
        <v>6153</v>
      </c>
    </row>
    <row r="4397" spans="8:8">
      <c r="H4397" s="680" t="s">
        <v>6153</v>
      </c>
    </row>
    <row r="4398" spans="8:8">
      <c r="H4398" s="680" t="s">
        <v>6153</v>
      </c>
    </row>
    <row r="4399" spans="8:8">
      <c r="H4399" s="680" t="s">
        <v>6153</v>
      </c>
    </row>
    <row r="4400" spans="8:8">
      <c r="H4400" s="680" t="s">
        <v>6153</v>
      </c>
    </row>
    <row r="4401" spans="8:8">
      <c r="H4401" s="680" t="s">
        <v>6153</v>
      </c>
    </row>
    <row r="4402" spans="8:8">
      <c r="H4402" s="680" t="s">
        <v>6153</v>
      </c>
    </row>
    <row r="4403" spans="8:8">
      <c r="H4403" s="680" t="s">
        <v>6153</v>
      </c>
    </row>
    <row r="4404" spans="8:8">
      <c r="H4404" s="680" t="s">
        <v>6153</v>
      </c>
    </row>
    <row r="4405" spans="8:8">
      <c r="H4405" s="680" t="s">
        <v>6153</v>
      </c>
    </row>
    <row r="4406" spans="8:8">
      <c r="H4406" s="680" t="s">
        <v>6153</v>
      </c>
    </row>
    <row r="4407" spans="8:8">
      <c r="H4407" s="680" t="s">
        <v>6153</v>
      </c>
    </row>
    <row r="4408" spans="8:8">
      <c r="H4408" s="680" t="s">
        <v>6153</v>
      </c>
    </row>
    <row r="4409" spans="8:8">
      <c r="H4409" s="680" t="s">
        <v>6153</v>
      </c>
    </row>
    <row r="4410" spans="8:8">
      <c r="H4410" s="680" t="s">
        <v>6153</v>
      </c>
    </row>
    <row r="4411" spans="8:8">
      <c r="H4411" s="680" t="s">
        <v>6153</v>
      </c>
    </row>
    <row r="4412" spans="8:8">
      <c r="H4412" s="680" t="s">
        <v>6153</v>
      </c>
    </row>
    <row r="4413" spans="8:8">
      <c r="H4413" s="680" t="s">
        <v>6153</v>
      </c>
    </row>
    <row r="4414" spans="8:8">
      <c r="H4414" s="680" t="s">
        <v>6153</v>
      </c>
    </row>
    <row r="4415" spans="8:8">
      <c r="H4415" s="680" t="s">
        <v>6153</v>
      </c>
    </row>
    <row r="4416" spans="8:8">
      <c r="H4416" s="680" t="s">
        <v>6153</v>
      </c>
    </row>
    <row r="4417" spans="8:8">
      <c r="H4417" s="680" t="s">
        <v>6153</v>
      </c>
    </row>
    <row r="4418" spans="8:8">
      <c r="H4418" s="680" t="s">
        <v>6153</v>
      </c>
    </row>
    <row r="4419" spans="8:8">
      <c r="H4419" s="680" t="s">
        <v>6153</v>
      </c>
    </row>
    <row r="4420" spans="8:8">
      <c r="H4420" s="680" t="s">
        <v>6153</v>
      </c>
    </row>
    <row r="4421" spans="8:8">
      <c r="H4421" s="680" t="s">
        <v>6153</v>
      </c>
    </row>
    <row r="4422" spans="8:8">
      <c r="H4422" s="680" t="s">
        <v>6153</v>
      </c>
    </row>
    <row r="4423" spans="8:8">
      <c r="H4423" s="680" t="s">
        <v>6153</v>
      </c>
    </row>
    <row r="4424" spans="8:8">
      <c r="H4424" s="680" t="s">
        <v>6153</v>
      </c>
    </row>
    <row r="4425" spans="8:8">
      <c r="H4425" s="680" t="s">
        <v>6153</v>
      </c>
    </row>
    <row r="4426" spans="8:8">
      <c r="H4426" s="680" t="s">
        <v>6153</v>
      </c>
    </row>
    <row r="4427" spans="8:8">
      <c r="H4427" s="680" t="s">
        <v>6153</v>
      </c>
    </row>
    <row r="4428" spans="8:8">
      <c r="H4428" s="680" t="s">
        <v>6153</v>
      </c>
    </row>
    <row r="4429" spans="8:8">
      <c r="H4429" s="680" t="s">
        <v>6153</v>
      </c>
    </row>
    <row r="4430" spans="8:8">
      <c r="H4430" s="680" t="s">
        <v>6153</v>
      </c>
    </row>
    <row r="4431" spans="8:8">
      <c r="H4431" s="680" t="s">
        <v>6153</v>
      </c>
    </row>
    <row r="4432" spans="8:8">
      <c r="H4432" s="680" t="s">
        <v>6153</v>
      </c>
    </row>
    <row r="4433" spans="8:8">
      <c r="H4433" s="680" t="s">
        <v>6153</v>
      </c>
    </row>
    <row r="4434" spans="8:8">
      <c r="H4434" s="680" t="s">
        <v>6153</v>
      </c>
    </row>
    <row r="4435" spans="8:8">
      <c r="H4435" s="680" t="s">
        <v>6153</v>
      </c>
    </row>
    <row r="4436" spans="8:8">
      <c r="H4436" s="680" t="s">
        <v>6153</v>
      </c>
    </row>
    <row r="4437" spans="8:8">
      <c r="H4437" s="680" t="s">
        <v>6153</v>
      </c>
    </row>
    <row r="4438" spans="8:8">
      <c r="H4438" s="680" t="s">
        <v>6153</v>
      </c>
    </row>
    <row r="4439" spans="8:8">
      <c r="H4439" s="680" t="s">
        <v>6153</v>
      </c>
    </row>
    <row r="4440" spans="8:8">
      <c r="H4440" s="680" t="s">
        <v>6153</v>
      </c>
    </row>
    <row r="4441" spans="8:8">
      <c r="H4441" s="680" t="s">
        <v>6153</v>
      </c>
    </row>
    <row r="4442" spans="8:8">
      <c r="H4442" s="680" t="s">
        <v>6153</v>
      </c>
    </row>
    <row r="4443" spans="8:8">
      <c r="H4443" s="680" t="s">
        <v>6153</v>
      </c>
    </row>
    <row r="4444" spans="8:8">
      <c r="H4444" s="680" t="s">
        <v>6153</v>
      </c>
    </row>
    <row r="4445" spans="8:8">
      <c r="H4445" s="680" t="s">
        <v>6153</v>
      </c>
    </row>
    <row r="4446" spans="8:8">
      <c r="H4446" s="680" t="s">
        <v>6153</v>
      </c>
    </row>
    <row r="4447" spans="8:8">
      <c r="H4447" s="680" t="s">
        <v>6153</v>
      </c>
    </row>
    <row r="4448" spans="8:8">
      <c r="H4448" s="680" t="s">
        <v>6153</v>
      </c>
    </row>
    <row r="4449" spans="8:8">
      <c r="H4449" s="680" t="s">
        <v>6153</v>
      </c>
    </row>
    <row r="4450" spans="8:8">
      <c r="H4450" s="680" t="s">
        <v>6153</v>
      </c>
    </row>
    <row r="4451" spans="8:8">
      <c r="H4451" s="680" t="s">
        <v>6153</v>
      </c>
    </row>
    <row r="4452" spans="8:8">
      <c r="H4452" s="680" t="s">
        <v>6153</v>
      </c>
    </row>
    <row r="4453" spans="8:8">
      <c r="H4453" s="680" t="s">
        <v>6153</v>
      </c>
    </row>
    <row r="4454" spans="8:8">
      <c r="H4454" s="680" t="s">
        <v>6153</v>
      </c>
    </row>
    <row r="4455" spans="8:8">
      <c r="H4455" s="680" t="s">
        <v>6153</v>
      </c>
    </row>
    <row r="4456" spans="8:8">
      <c r="H4456" s="680" t="s">
        <v>6153</v>
      </c>
    </row>
    <row r="4457" spans="8:8">
      <c r="H4457" s="680" t="s">
        <v>6153</v>
      </c>
    </row>
    <row r="4458" spans="8:8">
      <c r="H4458" s="680" t="s">
        <v>6153</v>
      </c>
    </row>
    <row r="4459" spans="8:8">
      <c r="H4459" s="680" t="s">
        <v>6153</v>
      </c>
    </row>
    <row r="4460" spans="8:8">
      <c r="H4460" s="680" t="s">
        <v>6153</v>
      </c>
    </row>
    <row r="4461" spans="8:8">
      <c r="H4461" s="680" t="s">
        <v>6153</v>
      </c>
    </row>
    <row r="4462" spans="8:8">
      <c r="H4462" s="680" t="s">
        <v>6153</v>
      </c>
    </row>
    <row r="4463" spans="8:8">
      <c r="H4463" s="680" t="s">
        <v>6153</v>
      </c>
    </row>
    <row r="4464" spans="8:8">
      <c r="H4464" s="680" t="s">
        <v>6153</v>
      </c>
    </row>
    <row r="4465" spans="8:8">
      <c r="H4465" s="680" t="s">
        <v>6153</v>
      </c>
    </row>
    <row r="4466" spans="8:8">
      <c r="H4466" s="680" t="s">
        <v>6153</v>
      </c>
    </row>
    <row r="4467" spans="8:8">
      <c r="H4467" s="680" t="s">
        <v>6153</v>
      </c>
    </row>
    <row r="4468" spans="8:8">
      <c r="H4468" s="680" t="s">
        <v>6153</v>
      </c>
    </row>
    <row r="4469" spans="8:8">
      <c r="H4469" s="680" t="s">
        <v>6153</v>
      </c>
    </row>
    <row r="4470" spans="8:8">
      <c r="H4470" s="680" t="s">
        <v>6153</v>
      </c>
    </row>
    <row r="4471" spans="8:8">
      <c r="H4471" s="680" t="s">
        <v>6153</v>
      </c>
    </row>
    <row r="4472" spans="8:8">
      <c r="H4472" s="680" t="s">
        <v>6153</v>
      </c>
    </row>
    <row r="4473" spans="8:8">
      <c r="H4473" s="680" t="s">
        <v>6153</v>
      </c>
    </row>
    <row r="4474" spans="8:8">
      <c r="H4474" s="680" t="s">
        <v>6153</v>
      </c>
    </row>
    <row r="4475" spans="8:8">
      <c r="H4475" s="680" t="s">
        <v>6153</v>
      </c>
    </row>
    <row r="4476" spans="8:8">
      <c r="H4476" s="680" t="s">
        <v>6153</v>
      </c>
    </row>
    <row r="4477" spans="8:8">
      <c r="H4477" s="680" t="s">
        <v>6153</v>
      </c>
    </row>
    <row r="4478" spans="8:8">
      <c r="H4478" s="680" t="s">
        <v>6153</v>
      </c>
    </row>
    <row r="4479" spans="8:8">
      <c r="H4479" s="680" t="s">
        <v>6153</v>
      </c>
    </row>
    <row r="4480" spans="8:8">
      <c r="H4480" s="680" t="s">
        <v>6153</v>
      </c>
    </row>
    <row r="4481" spans="8:8">
      <c r="H4481" s="680" t="s">
        <v>6153</v>
      </c>
    </row>
    <row r="4482" spans="8:8">
      <c r="H4482" s="680" t="s">
        <v>6153</v>
      </c>
    </row>
    <row r="4483" spans="8:8">
      <c r="H4483" s="680" t="s">
        <v>6153</v>
      </c>
    </row>
    <row r="4484" spans="8:8">
      <c r="H4484" s="680" t="s">
        <v>6153</v>
      </c>
    </row>
    <row r="4485" spans="8:8">
      <c r="H4485" s="680" t="s">
        <v>6153</v>
      </c>
    </row>
    <row r="4486" spans="8:8">
      <c r="H4486" s="680" t="s">
        <v>6153</v>
      </c>
    </row>
    <row r="4487" spans="8:8">
      <c r="H4487" s="680" t="s">
        <v>6153</v>
      </c>
    </row>
    <row r="4488" spans="8:8">
      <c r="H4488" s="680" t="s">
        <v>6153</v>
      </c>
    </row>
    <row r="4489" spans="8:8">
      <c r="H4489" s="680" t="s">
        <v>6153</v>
      </c>
    </row>
    <row r="4490" spans="8:8">
      <c r="H4490" s="680" t="s">
        <v>6153</v>
      </c>
    </row>
    <row r="4491" spans="8:8">
      <c r="H4491" s="680" t="s">
        <v>6153</v>
      </c>
    </row>
    <row r="4492" spans="8:8">
      <c r="H4492" s="680" t="s">
        <v>6153</v>
      </c>
    </row>
    <row r="4493" spans="8:8">
      <c r="H4493" s="680" t="s">
        <v>6153</v>
      </c>
    </row>
    <row r="4494" spans="8:8">
      <c r="H4494" s="680" t="s">
        <v>6153</v>
      </c>
    </row>
    <row r="4495" spans="8:8">
      <c r="H4495" s="680" t="s">
        <v>6153</v>
      </c>
    </row>
    <row r="4496" spans="8:8">
      <c r="H4496" s="680" t="s">
        <v>6153</v>
      </c>
    </row>
    <row r="4497" spans="8:8">
      <c r="H4497" s="680" t="s">
        <v>6153</v>
      </c>
    </row>
    <row r="4498" spans="8:8">
      <c r="H4498" s="680" t="s">
        <v>6153</v>
      </c>
    </row>
    <row r="4499" spans="8:8">
      <c r="H4499" s="680" t="s">
        <v>6153</v>
      </c>
    </row>
    <row r="4500" spans="8:8">
      <c r="H4500" s="680" t="s">
        <v>6153</v>
      </c>
    </row>
    <row r="4501" spans="8:8">
      <c r="H4501" s="680" t="s">
        <v>6153</v>
      </c>
    </row>
    <row r="4502" spans="8:8">
      <c r="H4502" s="680" t="s">
        <v>6153</v>
      </c>
    </row>
    <row r="4503" spans="8:8">
      <c r="H4503" s="680" t="s">
        <v>6153</v>
      </c>
    </row>
    <row r="4504" spans="8:8">
      <c r="H4504" s="680" t="s">
        <v>6153</v>
      </c>
    </row>
    <row r="4505" spans="8:8">
      <c r="H4505" s="680" t="s">
        <v>6153</v>
      </c>
    </row>
    <row r="4506" spans="8:8">
      <c r="H4506" s="680" t="s">
        <v>6153</v>
      </c>
    </row>
    <row r="4507" spans="8:8">
      <c r="H4507" s="680" t="s">
        <v>6153</v>
      </c>
    </row>
    <row r="4508" spans="8:8">
      <c r="H4508" s="680" t="s">
        <v>6153</v>
      </c>
    </row>
    <row r="4509" spans="8:8">
      <c r="H4509" s="680" t="s">
        <v>6153</v>
      </c>
    </row>
    <row r="4510" spans="8:8">
      <c r="H4510" s="680" t="s">
        <v>6153</v>
      </c>
    </row>
    <row r="4511" spans="8:8">
      <c r="H4511" s="680" t="s">
        <v>6153</v>
      </c>
    </row>
    <row r="4512" spans="8:8">
      <c r="H4512" s="680" t="s">
        <v>6153</v>
      </c>
    </row>
    <row r="4513" spans="8:8">
      <c r="H4513" s="680" t="s">
        <v>6153</v>
      </c>
    </row>
    <row r="4514" spans="8:8">
      <c r="H4514" s="680" t="s">
        <v>6153</v>
      </c>
    </row>
    <row r="4515" spans="8:8">
      <c r="H4515" s="680" t="s">
        <v>6153</v>
      </c>
    </row>
    <row r="4516" spans="8:8">
      <c r="H4516" s="680" t="s">
        <v>6153</v>
      </c>
    </row>
    <row r="4517" spans="8:8">
      <c r="H4517" s="680" t="s">
        <v>6153</v>
      </c>
    </row>
    <row r="4518" spans="8:8">
      <c r="H4518" s="680" t="s">
        <v>6153</v>
      </c>
    </row>
    <row r="4519" spans="8:8">
      <c r="H4519" s="680" t="s">
        <v>6153</v>
      </c>
    </row>
    <row r="4520" spans="8:8">
      <c r="H4520" s="680" t="s">
        <v>6153</v>
      </c>
    </row>
    <row r="4521" spans="8:8">
      <c r="H4521" s="680" t="s">
        <v>6153</v>
      </c>
    </row>
    <row r="4522" spans="8:8">
      <c r="H4522" s="680" t="s">
        <v>6153</v>
      </c>
    </row>
    <row r="4523" spans="8:8">
      <c r="H4523" s="680" t="s">
        <v>6153</v>
      </c>
    </row>
    <row r="4524" spans="8:8">
      <c r="H4524" s="680" t="s">
        <v>6153</v>
      </c>
    </row>
    <row r="4525" spans="8:8">
      <c r="H4525" s="680" t="s">
        <v>6153</v>
      </c>
    </row>
    <row r="4526" spans="8:8">
      <c r="H4526" s="680" t="s">
        <v>6153</v>
      </c>
    </row>
    <row r="4527" spans="8:8">
      <c r="H4527" s="680" t="s">
        <v>6153</v>
      </c>
    </row>
    <row r="4528" spans="8:8">
      <c r="H4528" s="680" t="s">
        <v>6153</v>
      </c>
    </row>
    <row r="4529" spans="8:8">
      <c r="H4529" s="680" t="s">
        <v>6153</v>
      </c>
    </row>
    <row r="4530" spans="8:8">
      <c r="H4530" s="680" t="s">
        <v>6153</v>
      </c>
    </row>
    <row r="4531" spans="8:8">
      <c r="H4531" s="680" t="s">
        <v>6153</v>
      </c>
    </row>
    <row r="4532" spans="8:8">
      <c r="H4532" s="680" t="s">
        <v>6153</v>
      </c>
    </row>
    <row r="4533" spans="8:8">
      <c r="H4533" s="680" t="s">
        <v>6153</v>
      </c>
    </row>
    <row r="4534" spans="8:8">
      <c r="H4534" s="680" t="s">
        <v>6153</v>
      </c>
    </row>
    <row r="4535" spans="8:8">
      <c r="H4535" s="680" t="s">
        <v>6153</v>
      </c>
    </row>
    <row r="4536" spans="8:8">
      <c r="H4536" s="680" t="s">
        <v>6153</v>
      </c>
    </row>
    <row r="4537" spans="8:8">
      <c r="H4537" s="680" t="s">
        <v>6153</v>
      </c>
    </row>
    <row r="4538" spans="8:8">
      <c r="H4538" s="680" t="s">
        <v>6153</v>
      </c>
    </row>
    <row r="4539" spans="8:8">
      <c r="H4539" s="680" t="s">
        <v>6153</v>
      </c>
    </row>
    <row r="4540" spans="8:8">
      <c r="H4540" s="680" t="s">
        <v>6153</v>
      </c>
    </row>
    <row r="4541" spans="8:8">
      <c r="H4541" s="680" t="s">
        <v>6153</v>
      </c>
    </row>
    <row r="4542" spans="8:8">
      <c r="H4542" s="680" t="s">
        <v>6153</v>
      </c>
    </row>
    <row r="4543" spans="8:8">
      <c r="H4543" s="680" t="s">
        <v>6153</v>
      </c>
    </row>
    <row r="4544" spans="8:8">
      <c r="H4544" s="680" t="s">
        <v>6153</v>
      </c>
    </row>
    <row r="4545" spans="8:8">
      <c r="H4545" s="680" t="s">
        <v>6153</v>
      </c>
    </row>
    <row r="4546" spans="8:8">
      <c r="H4546" s="680" t="s">
        <v>6153</v>
      </c>
    </row>
    <row r="4547" spans="8:8">
      <c r="H4547" s="680" t="s">
        <v>6153</v>
      </c>
    </row>
    <row r="4548" spans="8:8">
      <c r="H4548" s="680" t="s">
        <v>6153</v>
      </c>
    </row>
    <row r="4549" spans="8:8">
      <c r="H4549" s="680" t="s">
        <v>6153</v>
      </c>
    </row>
    <row r="4550" spans="8:8">
      <c r="H4550" s="680" t="s">
        <v>6153</v>
      </c>
    </row>
    <row r="4551" spans="8:8">
      <c r="H4551" s="680" t="s">
        <v>6153</v>
      </c>
    </row>
    <row r="4552" spans="8:8">
      <c r="H4552" s="680" t="s">
        <v>6153</v>
      </c>
    </row>
    <row r="4553" spans="8:8">
      <c r="H4553" s="680" t="s">
        <v>6153</v>
      </c>
    </row>
    <row r="4554" spans="8:8">
      <c r="H4554" s="680" t="s">
        <v>6153</v>
      </c>
    </row>
    <row r="4555" spans="8:8">
      <c r="H4555" s="680" t="s">
        <v>6153</v>
      </c>
    </row>
    <row r="4556" spans="8:8">
      <c r="H4556" s="680" t="s">
        <v>6153</v>
      </c>
    </row>
    <row r="4557" spans="8:8">
      <c r="H4557" s="680" t="s">
        <v>6153</v>
      </c>
    </row>
    <row r="4558" spans="8:8">
      <c r="H4558" s="680" t="s">
        <v>6153</v>
      </c>
    </row>
    <row r="4559" spans="8:8">
      <c r="H4559" s="680" t="s">
        <v>6153</v>
      </c>
    </row>
    <row r="4560" spans="8:8">
      <c r="H4560" s="680" t="s">
        <v>6153</v>
      </c>
    </row>
    <row r="4561" spans="8:8">
      <c r="H4561" s="680" t="s">
        <v>6153</v>
      </c>
    </row>
    <row r="4562" spans="8:8">
      <c r="H4562" s="680" t="s">
        <v>6153</v>
      </c>
    </row>
    <row r="4563" spans="8:8">
      <c r="H4563" s="680" t="s">
        <v>6153</v>
      </c>
    </row>
    <row r="4564" spans="8:8">
      <c r="H4564" s="680" t="s">
        <v>6153</v>
      </c>
    </row>
    <row r="4565" spans="8:8">
      <c r="H4565" s="680" t="s">
        <v>6153</v>
      </c>
    </row>
    <row r="4566" spans="8:8">
      <c r="H4566" s="680" t="s">
        <v>6153</v>
      </c>
    </row>
    <row r="4567" spans="8:8">
      <c r="H4567" s="680" t="s">
        <v>6153</v>
      </c>
    </row>
    <row r="4568" spans="8:8">
      <c r="H4568" s="680" t="s">
        <v>6153</v>
      </c>
    </row>
    <row r="4569" spans="8:8">
      <c r="H4569" s="680" t="s">
        <v>6153</v>
      </c>
    </row>
    <row r="4570" spans="8:8">
      <c r="H4570" s="680" t="s">
        <v>6153</v>
      </c>
    </row>
    <row r="4571" spans="8:8">
      <c r="H4571" s="680" t="s">
        <v>6153</v>
      </c>
    </row>
    <row r="4572" spans="8:8">
      <c r="H4572" s="680" t="s">
        <v>6153</v>
      </c>
    </row>
    <row r="4573" spans="8:8">
      <c r="H4573" s="680" t="s">
        <v>6153</v>
      </c>
    </row>
    <row r="4574" spans="8:8">
      <c r="H4574" s="680" t="s">
        <v>6153</v>
      </c>
    </row>
    <row r="4575" spans="8:8">
      <c r="H4575" s="680" t="s">
        <v>6153</v>
      </c>
    </row>
    <row r="4576" spans="8:8">
      <c r="H4576" s="680" t="s">
        <v>6153</v>
      </c>
    </row>
    <row r="4577" spans="8:8">
      <c r="H4577" s="680" t="s">
        <v>6153</v>
      </c>
    </row>
    <row r="4578" spans="8:8">
      <c r="H4578" s="680" t="s">
        <v>6153</v>
      </c>
    </row>
    <row r="4579" spans="8:8">
      <c r="H4579" s="680" t="s">
        <v>6153</v>
      </c>
    </row>
    <row r="4580" spans="8:8">
      <c r="H4580" s="680" t="s">
        <v>6153</v>
      </c>
    </row>
    <row r="4581" spans="8:8">
      <c r="H4581" s="680" t="s">
        <v>6153</v>
      </c>
    </row>
    <row r="4582" spans="8:8">
      <c r="H4582" s="680" t="s">
        <v>6153</v>
      </c>
    </row>
    <row r="4583" spans="8:8">
      <c r="H4583" s="680" t="s">
        <v>6153</v>
      </c>
    </row>
    <row r="4584" spans="8:8">
      <c r="H4584" s="680" t="s">
        <v>6153</v>
      </c>
    </row>
    <row r="4585" spans="8:8">
      <c r="H4585" s="680" t="s">
        <v>6153</v>
      </c>
    </row>
    <row r="4586" spans="8:8">
      <c r="H4586" s="680" t="s">
        <v>6153</v>
      </c>
    </row>
    <row r="4587" spans="8:8">
      <c r="H4587" s="680" t="s">
        <v>6153</v>
      </c>
    </row>
    <row r="4588" spans="8:8">
      <c r="H4588" s="680" t="s">
        <v>6153</v>
      </c>
    </row>
    <row r="4589" spans="8:8">
      <c r="H4589" s="680" t="s">
        <v>6153</v>
      </c>
    </row>
    <row r="4590" spans="8:8">
      <c r="H4590" s="680" t="s">
        <v>6153</v>
      </c>
    </row>
    <row r="4591" spans="8:8">
      <c r="H4591" s="680" t="s">
        <v>6153</v>
      </c>
    </row>
    <row r="4592" spans="8:8">
      <c r="H4592" s="680" t="s">
        <v>6153</v>
      </c>
    </row>
    <row r="4593" spans="8:8">
      <c r="H4593" s="680" t="s">
        <v>6153</v>
      </c>
    </row>
    <row r="4594" spans="8:8">
      <c r="H4594" s="680" t="s">
        <v>6153</v>
      </c>
    </row>
    <row r="4595" spans="8:8">
      <c r="H4595" s="680" t="s">
        <v>6153</v>
      </c>
    </row>
    <row r="4596" spans="8:8">
      <c r="H4596" s="680" t="s">
        <v>6153</v>
      </c>
    </row>
    <row r="4597" spans="8:8">
      <c r="H4597" s="680" t="s">
        <v>6153</v>
      </c>
    </row>
    <row r="4598" spans="8:8">
      <c r="H4598" s="680" t="s">
        <v>6153</v>
      </c>
    </row>
    <row r="4599" spans="8:8">
      <c r="H4599" s="680" t="s">
        <v>6153</v>
      </c>
    </row>
    <row r="4600" spans="8:8">
      <c r="H4600" s="680" t="s">
        <v>6153</v>
      </c>
    </row>
    <row r="4601" spans="8:8">
      <c r="H4601" s="680" t="s">
        <v>6153</v>
      </c>
    </row>
    <row r="4602" spans="8:8">
      <c r="H4602" s="680" t="s">
        <v>6153</v>
      </c>
    </row>
    <row r="4603" spans="8:8">
      <c r="H4603" s="680" t="s">
        <v>6153</v>
      </c>
    </row>
    <row r="4604" spans="8:8">
      <c r="H4604" s="680" t="s">
        <v>6153</v>
      </c>
    </row>
    <row r="4605" spans="8:8">
      <c r="H4605" s="680" t="s">
        <v>6153</v>
      </c>
    </row>
    <row r="4606" spans="8:8">
      <c r="H4606" s="680" t="s">
        <v>6153</v>
      </c>
    </row>
    <row r="4607" spans="8:8">
      <c r="H4607" s="680" t="s">
        <v>6153</v>
      </c>
    </row>
    <row r="4608" spans="8:8">
      <c r="H4608" s="680" t="s">
        <v>6153</v>
      </c>
    </row>
    <row r="4609" spans="8:8">
      <c r="H4609" s="680" t="s">
        <v>6153</v>
      </c>
    </row>
    <row r="4610" spans="8:8">
      <c r="H4610" s="680" t="s">
        <v>6153</v>
      </c>
    </row>
    <row r="4611" spans="8:8">
      <c r="H4611" s="680" t="s">
        <v>6153</v>
      </c>
    </row>
    <row r="4612" spans="8:8">
      <c r="H4612" s="680" t="s">
        <v>6153</v>
      </c>
    </row>
    <row r="4613" spans="8:8">
      <c r="H4613" s="680" t="s">
        <v>6153</v>
      </c>
    </row>
    <row r="4614" spans="8:8">
      <c r="H4614" s="680" t="s">
        <v>6153</v>
      </c>
    </row>
    <row r="4615" spans="8:8">
      <c r="H4615" s="680" t="s">
        <v>6153</v>
      </c>
    </row>
    <row r="4616" spans="8:8">
      <c r="H4616" s="680" t="s">
        <v>6153</v>
      </c>
    </row>
    <row r="4617" spans="8:8">
      <c r="H4617" s="680" t="s">
        <v>6153</v>
      </c>
    </row>
    <row r="4618" spans="8:8">
      <c r="H4618" s="680" t="s">
        <v>6153</v>
      </c>
    </row>
    <row r="4619" spans="8:8">
      <c r="H4619" s="680" t="s">
        <v>6153</v>
      </c>
    </row>
    <row r="4620" spans="8:8">
      <c r="H4620" s="680" t="s">
        <v>6153</v>
      </c>
    </row>
    <row r="4621" spans="8:8">
      <c r="H4621" s="680" t="s">
        <v>6153</v>
      </c>
    </row>
    <row r="4622" spans="8:8">
      <c r="H4622" s="680" t="s">
        <v>6153</v>
      </c>
    </row>
    <row r="4623" spans="8:8">
      <c r="H4623" s="680" t="s">
        <v>6153</v>
      </c>
    </row>
    <row r="4624" spans="8:8">
      <c r="H4624" s="680" t="s">
        <v>6153</v>
      </c>
    </row>
    <row r="4625" spans="8:8">
      <c r="H4625" s="680" t="s">
        <v>6153</v>
      </c>
    </row>
    <row r="4626" spans="8:8">
      <c r="H4626" s="680" t="s">
        <v>6153</v>
      </c>
    </row>
    <row r="4627" spans="8:8">
      <c r="H4627" s="680" t="s">
        <v>6153</v>
      </c>
    </row>
    <row r="4628" spans="8:8">
      <c r="H4628" s="680" t="s">
        <v>6153</v>
      </c>
    </row>
    <row r="4629" spans="8:8">
      <c r="H4629" s="680" t="s">
        <v>6153</v>
      </c>
    </row>
    <row r="4630" spans="8:8">
      <c r="H4630" s="680" t="s">
        <v>6153</v>
      </c>
    </row>
    <row r="4631" spans="8:8">
      <c r="H4631" s="680" t="s">
        <v>6153</v>
      </c>
    </row>
    <row r="4632" spans="8:8">
      <c r="H4632" s="680" t="s">
        <v>6153</v>
      </c>
    </row>
    <row r="4633" spans="8:8">
      <c r="H4633" s="680" t="s">
        <v>6153</v>
      </c>
    </row>
    <row r="4634" spans="8:8">
      <c r="H4634" s="680" t="s">
        <v>6153</v>
      </c>
    </row>
    <row r="4635" spans="8:8">
      <c r="H4635" s="680" t="s">
        <v>6153</v>
      </c>
    </row>
    <row r="4636" spans="8:8">
      <c r="H4636" s="680" t="s">
        <v>6153</v>
      </c>
    </row>
    <row r="4637" spans="8:8">
      <c r="H4637" s="680" t="s">
        <v>6153</v>
      </c>
    </row>
    <row r="4638" spans="8:8">
      <c r="H4638" s="680" t="s">
        <v>6153</v>
      </c>
    </row>
    <row r="4639" spans="8:8">
      <c r="H4639" s="680" t="s">
        <v>6153</v>
      </c>
    </row>
    <row r="4640" spans="8:8">
      <c r="H4640" s="680" t="s">
        <v>6153</v>
      </c>
    </row>
    <row r="4641" spans="8:8">
      <c r="H4641" s="680" t="s">
        <v>6153</v>
      </c>
    </row>
    <row r="4642" spans="8:8">
      <c r="H4642" s="680" t="s">
        <v>6153</v>
      </c>
    </row>
    <row r="4643" spans="8:8">
      <c r="H4643" s="680" t="s">
        <v>6153</v>
      </c>
    </row>
    <row r="4644" spans="8:8">
      <c r="H4644" s="680" t="s">
        <v>6153</v>
      </c>
    </row>
    <row r="4645" spans="8:8">
      <c r="H4645" s="680" t="s">
        <v>6153</v>
      </c>
    </row>
    <row r="4646" spans="8:8">
      <c r="H4646" s="680" t="s">
        <v>6153</v>
      </c>
    </row>
    <row r="4647" spans="8:8">
      <c r="H4647" s="680" t="s">
        <v>6153</v>
      </c>
    </row>
    <row r="4648" spans="8:8">
      <c r="H4648" s="680" t="s">
        <v>6153</v>
      </c>
    </row>
    <row r="4649" spans="8:8">
      <c r="H4649" s="680" t="s">
        <v>6153</v>
      </c>
    </row>
    <row r="4650" spans="8:8">
      <c r="H4650" s="680" t="s">
        <v>6153</v>
      </c>
    </row>
    <row r="4651" spans="8:8">
      <c r="H4651" s="680" t="s">
        <v>6153</v>
      </c>
    </row>
    <row r="4652" spans="8:8">
      <c r="H4652" s="680" t="s">
        <v>6153</v>
      </c>
    </row>
    <row r="4653" spans="8:8">
      <c r="H4653" s="680" t="s">
        <v>6153</v>
      </c>
    </row>
    <row r="4654" spans="8:8">
      <c r="H4654" s="680" t="s">
        <v>6153</v>
      </c>
    </row>
    <row r="4655" spans="8:8">
      <c r="H4655" s="680" t="s">
        <v>6153</v>
      </c>
    </row>
    <row r="4656" spans="8:8">
      <c r="H4656" s="680" t="s">
        <v>6153</v>
      </c>
    </row>
    <row r="4657" spans="8:8">
      <c r="H4657" s="680" t="s">
        <v>6153</v>
      </c>
    </row>
    <row r="4658" spans="8:8">
      <c r="H4658" s="680" t="s">
        <v>6153</v>
      </c>
    </row>
    <row r="4659" spans="8:8">
      <c r="H4659" s="680" t="s">
        <v>6153</v>
      </c>
    </row>
    <row r="4660" spans="8:8">
      <c r="H4660" s="680" t="s">
        <v>6153</v>
      </c>
    </row>
    <row r="4661" spans="8:8">
      <c r="H4661" s="680" t="s">
        <v>6153</v>
      </c>
    </row>
    <row r="4662" spans="8:8">
      <c r="H4662" s="680" t="s">
        <v>6153</v>
      </c>
    </row>
    <row r="4663" spans="8:8">
      <c r="H4663" s="680" t="s">
        <v>6153</v>
      </c>
    </row>
    <row r="4664" spans="8:8">
      <c r="H4664" s="680" t="s">
        <v>6153</v>
      </c>
    </row>
    <row r="4665" spans="8:8">
      <c r="H4665" s="680" t="s">
        <v>6153</v>
      </c>
    </row>
    <row r="4666" spans="8:8">
      <c r="H4666" s="680" t="s">
        <v>6153</v>
      </c>
    </row>
    <row r="4667" spans="8:8">
      <c r="H4667" s="680" t="s">
        <v>6153</v>
      </c>
    </row>
    <row r="4668" spans="8:8">
      <c r="H4668" s="680" t="s">
        <v>6153</v>
      </c>
    </row>
    <row r="4669" spans="8:8">
      <c r="H4669" s="680" t="s">
        <v>6153</v>
      </c>
    </row>
    <row r="4670" spans="8:8">
      <c r="H4670" s="680" t="s">
        <v>6153</v>
      </c>
    </row>
    <row r="4671" spans="8:8">
      <c r="H4671" s="680" t="s">
        <v>6153</v>
      </c>
    </row>
    <row r="4672" spans="8:8">
      <c r="H4672" s="680" t="s">
        <v>6153</v>
      </c>
    </row>
    <row r="4673" spans="8:8">
      <c r="H4673" s="680" t="s">
        <v>6153</v>
      </c>
    </row>
    <row r="4674" spans="8:8">
      <c r="H4674" s="680" t="s">
        <v>6153</v>
      </c>
    </row>
    <row r="4675" spans="8:8">
      <c r="H4675" s="680" t="s">
        <v>6153</v>
      </c>
    </row>
    <row r="4676" spans="8:8">
      <c r="H4676" s="680" t="s">
        <v>6153</v>
      </c>
    </row>
    <row r="4677" spans="8:8">
      <c r="H4677" s="680" t="s">
        <v>6153</v>
      </c>
    </row>
    <row r="4678" spans="8:8">
      <c r="H4678" s="680" t="s">
        <v>6153</v>
      </c>
    </row>
    <row r="4679" spans="8:8">
      <c r="H4679" s="680" t="s">
        <v>6153</v>
      </c>
    </row>
    <row r="4680" spans="8:8">
      <c r="H4680" s="680" t="s">
        <v>6153</v>
      </c>
    </row>
    <row r="4681" spans="8:8">
      <c r="H4681" s="680" t="s">
        <v>6153</v>
      </c>
    </row>
    <row r="4682" spans="8:8">
      <c r="H4682" s="680" t="s">
        <v>6153</v>
      </c>
    </row>
    <row r="4683" spans="8:8">
      <c r="H4683" s="680" t="s">
        <v>6153</v>
      </c>
    </row>
    <row r="4684" spans="8:8">
      <c r="H4684" s="680" t="s">
        <v>6153</v>
      </c>
    </row>
    <row r="4685" spans="8:8">
      <c r="H4685" s="680" t="s">
        <v>6153</v>
      </c>
    </row>
    <row r="4686" spans="8:8">
      <c r="H4686" s="680" t="s">
        <v>6153</v>
      </c>
    </row>
    <row r="4687" spans="8:8">
      <c r="H4687" s="680" t="s">
        <v>6153</v>
      </c>
    </row>
    <row r="4688" spans="8:8">
      <c r="H4688" s="680" t="s">
        <v>6153</v>
      </c>
    </row>
    <row r="4689" spans="8:8">
      <c r="H4689" s="680" t="s">
        <v>6153</v>
      </c>
    </row>
    <row r="4690" spans="8:8">
      <c r="H4690" s="680" t="s">
        <v>6153</v>
      </c>
    </row>
    <row r="4691" spans="8:8">
      <c r="H4691" s="680" t="s">
        <v>6153</v>
      </c>
    </row>
    <row r="4692" spans="8:8">
      <c r="H4692" s="680" t="s">
        <v>6153</v>
      </c>
    </row>
    <row r="4693" spans="8:8">
      <c r="H4693" s="680" t="s">
        <v>6153</v>
      </c>
    </row>
    <row r="4694" spans="8:8">
      <c r="H4694" s="680" t="s">
        <v>6153</v>
      </c>
    </row>
    <row r="4695" spans="8:8">
      <c r="H4695" s="680" t="s">
        <v>6153</v>
      </c>
    </row>
    <row r="4696" spans="8:8">
      <c r="H4696" s="680" t="s">
        <v>6153</v>
      </c>
    </row>
    <row r="4697" spans="8:8">
      <c r="H4697" s="680" t="s">
        <v>6153</v>
      </c>
    </row>
    <row r="4698" spans="8:8">
      <c r="H4698" s="680" t="s">
        <v>6153</v>
      </c>
    </row>
    <row r="4699" spans="8:8">
      <c r="H4699" s="680" t="s">
        <v>6153</v>
      </c>
    </row>
    <row r="4700" spans="8:8">
      <c r="H4700" s="680" t="s">
        <v>6153</v>
      </c>
    </row>
    <row r="4701" spans="8:8">
      <c r="H4701" s="680" t="s">
        <v>6153</v>
      </c>
    </row>
    <row r="4702" spans="8:8">
      <c r="H4702" s="680" t="s">
        <v>6153</v>
      </c>
    </row>
    <row r="4703" spans="8:8">
      <c r="H4703" s="680" t="s">
        <v>6153</v>
      </c>
    </row>
    <row r="4704" spans="8:8">
      <c r="H4704" s="680" t="s">
        <v>6153</v>
      </c>
    </row>
    <row r="4705" spans="8:8">
      <c r="H4705" s="680" t="s">
        <v>6153</v>
      </c>
    </row>
    <row r="4706" spans="8:8">
      <c r="H4706" s="680" t="s">
        <v>6153</v>
      </c>
    </row>
    <row r="4707" spans="8:8">
      <c r="H4707" s="680" t="s">
        <v>6153</v>
      </c>
    </row>
    <row r="4708" spans="8:8">
      <c r="H4708" s="680" t="s">
        <v>6153</v>
      </c>
    </row>
    <row r="4709" spans="8:8">
      <c r="H4709" s="680" t="s">
        <v>6153</v>
      </c>
    </row>
    <row r="4710" spans="8:8">
      <c r="H4710" s="680" t="s">
        <v>6153</v>
      </c>
    </row>
    <row r="4711" spans="8:8">
      <c r="H4711" s="680" t="s">
        <v>6153</v>
      </c>
    </row>
    <row r="4712" spans="8:8">
      <c r="H4712" s="680" t="s">
        <v>6153</v>
      </c>
    </row>
    <row r="4713" spans="8:8">
      <c r="H4713" s="680" t="s">
        <v>6153</v>
      </c>
    </row>
    <row r="4714" spans="8:8">
      <c r="H4714" s="680" t="s">
        <v>6153</v>
      </c>
    </row>
    <row r="4715" spans="8:8">
      <c r="H4715" s="680" t="s">
        <v>6153</v>
      </c>
    </row>
    <row r="4716" spans="8:8">
      <c r="H4716" s="680" t="s">
        <v>6153</v>
      </c>
    </row>
    <row r="4717" spans="8:8">
      <c r="H4717" s="680" t="s">
        <v>6153</v>
      </c>
    </row>
    <row r="4718" spans="8:8">
      <c r="H4718" s="680" t="s">
        <v>6153</v>
      </c>
    </row>
    <row r="4719" spans="8:8">
      <c r="H4719" s="680" t="s">
        <v>6153</v>
      </c>
    </row>
    <row r="4720" spans="8:8">
      <c r="H4720" s="680" t="s">
        <v>6153</v>
      </c>
    </row>
    <row r="4721" spans="8:8">
      <c r="H4721" s="680" t="s">
        <v>6153</v>
      </c>
    </row>
    <row r="4722" spans="8:8">
      <c r="H4722" s="680" t="s">
        <v>6153</v>
      </c>
    </row>
    <row r="4723" spans="8:8">
      <c r="H4723" s="680" t="s">
        <v>6153</v>
      </c>
    </row>
    <row r="4724" spans="8:8">
      <c r="H4724" s="680" t="s">
        <v>6153</v>
      </c>
    </row>
    <row r="4725" spans="8:8">
      <c r="H4725" s="680" t="s">
        <v>6153</v>
      </c>
    </row>
    <row r="4726" spans="8:8">
      <c r="H4726" s="680" t="s">
        <v>6153</v>
      </c>
    </row>
    <row r="4727" spans="8:8">
      <c r="H4727" s="680" t="s">
        <v>6153</v>
      </c>
    </row>
    <row r="4728" spans="8:8">
      <c r="H4728" s="680" t="s">
        <v>6153</v>
      </c>
    </row>
    <row r="4729" spans="8:8">
      <c r="H4729" s="680" t="s">
        <v>6153</v>
      </c>
    </row>
    <row r="4730" spans="8:8">
      <c r="H4730" s="680" t="s">
        <v>6153</v>
      </c>
    </row>
    <row r="4731" spans="8:8">
      <c r="H4731" s="680" t="s">
        <v>6153</v>
      </c>
    </row>
    <row r="4732" spans="8:8">
      <c r="H4732" s="680" t="s">
        <v>6153</v>
      </c>
    </row>
    <row r="4733" spans="8:8">
      <c r="H4733" s="680" t="s">
        <v>6153</v>
      </c>
    </row>
    <row r="4734" spans="8:8">
      <c r="H4734" s="680" t="s">
        <v>6153</v>
      </c>
    </row>
    <row r="4735" spans="8:8">
      <c r="H4735" s="680" t="s">
        <v>6153</v>
      </c>
    </row>
    <row r="4736" spans="8:8">
      <c r="H4736" s="680" t="s">
        <v>6153</v>
      </c>
    </row>
    <row r="4737" spans="8:8">
      <c r="H4737" s="680" t="s">
        <v>6153</v>
      </c>
    </row>
    <row r="4738" spans="8:8">
      <c r="H4738" s="680" t="s">
        <v>6153</v>
      </c>
    </row>
    <row r="4739" spans="8:8">
      <c r="H4739" s="680" t="s">
        <v>6153</v>
      </c>
    </row>
    <row r="4740" spans="8:8">
      <c r="H4740" s="680" t="s">
        <v>6153</v>
      </c>
    </row>
    <row r="4741" spans="8:8">
      <c r="H4741" s="680" t="s">
        <v>6153</v>
      </c>
    </row>
    <row r="4742" spans="8:8">
      <c r="H4742" s="680" t="s">
        <v>6153</v>
      </c>
    </row>
    <row r="4743" spans="8:8">
      <c r="H4743" s="680" t="s">
        <v>6153</v>
      </c>
    </row>
    <row r="4744" spans="8:8">
      <c r="H4744" s="680" t="s">
        <v>6153</v>
      </c>
    </row>
    <row r="4745" spans="8:8">
      <c r="H4745" s="680" t="s">
        <v>6153</v>
      </c>
    </row>
    <row r="4746" spans="8:8">
      <c r="H4746" s="680" t="s">
        <v>6153</v>
      </c>
    </row>
    <row r="4747" spans="8:8">
      <c r="H4747" s="680" t="s">
        <v>6153</v>
      </c>
    </row>
    <row r="4748" spans="8:8">
      <c r="H4748" s="680" t="s">
        <v>6153</v>
      </c>
    </row>
    <row r="4749" spans="8:8">
      <c r="H4749" s="680" t="s">
        <v>6153</v>
      </c>
    </row>
    <row r="4750" spans="8:8">
      <c r="H4750" s="680" t="s">
        <v>6153</v>
      </c>
    </row>
    <row r="4751" spans="8:8">
      <c r="H4751" s="680" t="s">
        <v>6153</v>
      </c>
    </row>
    <row r="4752" spans="8:8">
      <c r="H4752" s="680" t="s">
        <v>6153</v>
      </c>
    </row>
    <row r="4753" spans="8:8">
      <c r="H4753" s="680" t="s">
        <v>6153</v>
      </c>
    </row>
    <row r="4754" spans="8:8">
      <c r="H4754" s="680" t="s">
        <v>6153</v>
      </c>
    </row>
    <row r="4755" spans="8:8">
      <c r="H4755" s="680" t="s">
        <v>6153</v>
      </c>
    </row>
    <row r="4756" spans="8:8">
      <c r="H4756" s="680" t="s">
        <v>6153</v>
      </c>
    </row>
    <row r="4757" spans="8:8">
      <c r="H4757" s="680" t="s">
        <v>6153</v>
      </c>
    </row>
    <row r="4758" spans="8:8">
      <c r="H4758" s="680" t="s">
        <v>6153</v>
      </c>
    </row>
    <row r="4759" spans="8:8">
      <c r="H4759" s="680" t="s">
        <v>6153</v>
      </c>
    </row>
    <row r="4760" spans="8:8">
      <c r="H4760" s="680" t="s">
        <v>6153</v>
      </c>
    </row>
    <row r="4761" spans="8:8">
      <c r="H4761" s="680" t="s">
        <v>6153</v>
      </c>
    </row>
    <row r="4762" spans="8:8">
      <c r="H4762" s="680" t="s">
        <v>6153</v>
      </c>
    </row>
    <row r="4763" spans="8:8">
      <c r="H4763" s="680" t="s">
        <v>6153</v>
      </c>
    </row>
    <row r="4764" spans="8:8">
      <c r="H4764" s="680" t="s">
        <v>6153</v>
      </c>
    </row>
    <row r="4765" spans="8:8">
      <c r="H4765" s="680" t="s">
        <v>6153</v>
      </c>
    </row>
    <row r="4766" spans="8:8">
      <c r="H4766" s="680" t="s">
        <v>6153</v>
      </c>
    </row>
    <row r="4767" spans="8:8">
      <c r="H4767" s="680" t="s">
        <v>6153</v>
      </c>
    </row>
    <row r="4768" spans="8:8">
      <c r="H4768" s="680" t="s">
        <v>6153</v>
      </c>
    </row>
    <row r="4769" spans="8:8">
      <c r="H4769" s="680" t="s">
        <v>6153</v>
      </c>
    </row>
    <row r="4770" spans="8:8">
      <c r="H4770" s="680" t="s">
        <v>6153</v>
      </c>
    </row>
    <row r="4771" spans="8:8">
      <c r="H4771" s="680" t="s">
        <v>6153</v>
      </c>
    </row>
    <row r="4772" spans="8:8">
      <c r="H4772" s="680" t="s">
        <v>6153</v>
      </c>
    </row>
    <row r="4773" spans="8:8">
      <c r="H4773" s="680" t="s">
        <v>6153</v>
      </c>
    </row>
    <row r="4774" spans="8:8">
      <c r="H4774" s="680" t="s">
        <v>6153</v>
      </c>
    </row>
    <row r="4775" spans="8:8">
      <c r="H4775" s="680" t="s">
        <v>6153</v>
      </c>
    </row>
    <row r="4776" spans="8:8">
      <c r="H4776" s="680" t="s">
        <v>6153</v>
      </c>
    </row>
    <row r="4777" spans="8:8">
      <c r="H4777" s="680" t="s">
        <v>6153</v>
      </c>
    </row>
    <row r="4778" spans="8:8">
      <c r="H4778" s="680" t="s">
        <v>6153</v>
      </c>
    </row>
    <row r="4779" spans="8:8">
      <c r="H4779" s="680" t="s">
        <v>6153</v>
      </c>
    </row>
    <row r="4780" spans="8:8">
      <c r="H4780" s="680" t="s">
        <v>6153</v>
      </c>
    </row>
    <row r="4781" spans="8:8">
      <c r="H4781" s="680" t="s">
        <v>6153</v>
      </c>
    </row>
    <row r="4782" spans="8:8">
      <c r="H4782" s="680" t="s">
        <v>6153</v>
      </c>
    </row>
    <row r="4783" spans="8:8">
      <c r="H4783" s="680" t="s">
        <v>6153</v>
      </c>
    </row>
    <row r="4784" spans="8:8">
      <c r="H4784" s="680" t="s">
        <v>6153</v>
      </c>
    </row>
    <row r="4785" spans="8:8">
      <c r="H4785" s="680" t="s">
        <v>6153</v>
      </c>
    </row>
    <row r="4786" spans="8:8">
      <c r="H4786" s="680" t="s">
        <v>6153</v>
      </c>
    </row>
    <row r="4787" spans="8:8">
      <c r="H4787" s="680" t="s">
        <v>6153</v>
      </c>
    </row>
    <row r="4788" spans="8:8">
      <c r="H4788" s="680" t="s">
        <v>6153</v>
      </c>
    </row>
    <row r="4789" spans="8:8">
      <c r="H4789" s="680" t="s">
        <v>6153</v>
      </c>
    </row>
    <row r="4790" spans="8:8">
      <c r="H4790" s="680" t="s">
        <v>6153</v>
      </c>
    </row>
    <row r="4791" spans="8:8">
      <c r="H4791" s="680" t="s">
        <v>6153</v>
      </c>
    </row>
    <row r="4792" spans="8:8">
      <c r="H4792" s="680" t="s">
        <v>6153</v>
      </c>
    </row>
    <row r="4793" spans="8:8">
      <c r="H4793" s="680" t="s">
        <v>6153</v>
      </c>
    </row>
    <row r="4794" spans="8:8">
      <c r="H4794" s="680" t="s">
        <v>6153</v>
      </c>
    </row>
    <row r="4795" spans="8:8">
      <c r="H4795" s="680" t="s">
        <v>6153</v>
      </c>
    </row>
    <row r="4796" spans="8:8">
      <c r="H4796" s="680" t="s">
        <v>6153</v>
      </c>
    </row>
    <row r="4797" spans="8:8">
      <c r="H4797" s="680" t="s">
        <v>6153</v>
      </c>
    </row>
    <row r="4798" spans="8:8">
      <c r="H4798" s="680" t="s">
        <v>6153</v>
      </c>
    </row>
    <row r="4799" spans="8:8">
      <c r="H4799" s="680" t="s">
        <v>6153</v>
      </c>
    </row>
    <row r="4800" spans="8:8">
      <c r="H4800" s="680" t="s">
        <v>6153</v>
      </c>
    </row>
    <row r="4801" spans="8:8">
      <c r="H4801" s="680" t="s">
        <v>6153</v>
      </c>
    </row>
    <row r="4802" spans="8:8">
      <c r="H4802" s="680" t="s">
        <v>6153</v>
      </c>
    </row>
    <row r="4803" spans="8:8">
      <c r="H4803" s="680" t="s">
        <v>6153</v>
      </c>
    </row>
    <row r="4804" spans="8:8">
      <c r="H4804" s="680" t="s">
        <v>6153</v>
      </c>
    </row>
    <row r="4805" spans="8:8">
      <c r="H4805" s="680" t="s">
        <v>6153</v>
      </c>
    </row>
    <row r="4806" spans="8:8">
      <c r="H4806" s="680" t="s">
        <v>6153</v>
      </c>
    </row>
    <row r="4807" spans="8:8">
      <c r="H4807" s="680" t="s">
        <v>6153</v>
      </c>
    </row>
    <row r="4808" spans="8:8">
      <c r="H4808" s="680" t="s">
        <v>6153</v>
      </c>
    </row>
    <row r="4809" spans="8:8">
      <c r="H4809" s="680" t="s">
        <v>6153</v>
      </c>
    </row>
    <row r="4810" spans="8:8">
      <c r="H4810" s="680" t="s">
        <v>6153</v>
      </c>
    </row>
    <row r="4811" spans="8:8">
      <c r="H4811" s="680" t="s">
        <v>6153</v>
      </c>
    </row>
    <row r="4812" spans="8:8">
      <c r="H4812" s="680" t="s">
        <v>6153</v>
      </c>
    </row>
    <row r="4813" spans="8:8">
      <c r="H4813" s="680" t="s">
        <v>6153</v>
      </c>
    </row>
    <row r="4814" spans="8:8">
      <c r="H4814" s="680" t="s">
        <v>6153</v>
      </c>
    </row>
    <row r="4815" spans="8:8">
      <c r="H4815" s="680" t="s">
        <v>6153</v>
      </c>
    </row>
    <row r="4816" spans="8:8">
      <c r="H4816" s="680" t="s">
        <v>6153</v>
      </c>
    </row>
    <row r="4817" spans="8:8">
      <c r="H4817" s="680" t="s">
        <v>6153</v>
      </c>
    </row>
    <row r="4818" spans="8:8">
      <c r="H4818" s="680" t="s">
        <v>6153</v>
      </c>
    </row>
    <row r="4819" spans="8:8">
      <c r="H4819" s="680" t="s">
        <v>6153</v>
      </c>
    </row>
    <row r="4820" spans="8:8">
      <c r="H4820" s="680" t="s">
        <v>6153</v>
      </c>
    </row>
    <row r="4821" spans="8:8">
      <c r="H4821" s="680" t="s">
        <v>6153</v>
      </c>
    </row>
    <row r="4822" spans="8:8">
      <c r="H4822" s="680" t="s">
        <v>6153</v>
      </c>
    </row>
    <row r="4823" spans="8:8">
      <c r="H4823" s="680" t="s">
        <v>6153</v>
      </c>
    </row>
    <row r="4824" spans="8:8">
      <c r="H4824" s="680" t="s">
        <v>6153</v>
      </c>
    </row>
    <row r="4825" spans="8:8">
      <c r="H4825" s="680" t="s">
        <v>6153</v>
      </c>
    </row>
    <row r="4826" spans="8:8">
      <c r="H4826" s="680" t="s">
        <v>6153</v>
      </c>
    </row>
    <row r="4827" spans="8:8">
      <c r="H4827" s="680" t="s">
        <v>6153</v>
      </c>
    </row>
    <row r="4828" spans="8:8">
      <c r="H4828" s="680" t="s">
        <v>6153</v>
      </c>
    </row>
    <row r="4829" spans="8:8">
      <c r="H4829" s="680" t="s">
        <v>6153</v>
      </c>
    </row>
    <row r="4830" spans="8:8">
      <c r="H4830" s="680" t="s">
        <v>6153</v>
      </c>
    </row>
    <row r="4831" spans="8:8">
      <c r="H4831" s="680" t="s">
        <v>6153</v>
      </c>
    </row>
    <row r="4832" spans="8:8">
      <c r="H4832" s="680" t="s">
        <v>6153</v>
      </c>
    </row>
    <row r="4833" spans="8:8">
      <c r="H4833" s="680" t="s">
        <v>6153</v>
      </c>
    </row>
    <row r="4834" spans="8:8">
      <c r="H4834" s="680" t="s">
        <v>6153</v>
      </c>
    </row>
    <row r="4835" spans="8:8">
      <c r="H4835" s="680" t="s">
        <v>6153</v>
      </c>
    </row>
    <row r="4836" spans="8:8">
      <c r="H4836" s="680" t="s">
        <v>6153</v>
      </c>
    </row>
    <row r="4837" spans="8:8">
      <c r="H4837" s="680" t="s">
        <v>6153</v>
      </c>
    </row>
    <row r="4838" spans="8:8">
      <c r="H4838" s="680" t="s">
        <v>6153</v>
      </c>
    </row>
    <row r="4839" spans="8:8">
      <c r="H4839" s="680" t="s">
        <v>6153</v>
      </c>
    </row>
    <row r="4840" spans="8:8">
      <c r="H4840" s="680" t="s">
        <v>6153</v>
      </c>
    </row>
    <row r="4841" spans="8:8">
      <c r="H4841" s="680" t="s">
        <v>6153</v>
      </c>
    </row>
    <row r="4842" spans="8:8">
      <c r="H4842" s="680" t="s">
        <v>6153</v>
      </c>
    </row>
    <row r="4843" spans="8:8">
      <c r="H4843" s="680" t="s">
        <v>6153</v>
      </c>
    </row>
    <row r="4844" spans="8:8">
      <c r="H4844" s="680" t="s">
        <v>6153</v>
      </c>
    </row>
    <row r="4845" spans="8:8">
      <c r="H4845" s="680" t="s">
        <v>6153</v>
      </c>
    </row>
    <row r="4846" spans="8:8">
      <c r="H4846" s="680" t="s">
        <v>6153</v>
      </c>
    </row>
    <row r="4847" spans="8:8">
      <c r="H4847" s="680" t="s">
        <v>6153</v>
      </c>
    </row>
    <row r="4848" spans="8:8">
      <c r="H4848" s="680" t="s">
        <v>6153</v>
      </c>
    </row>
    <row r="4849" spans="8:8">
      <c r="H4849" s="680" t="s">
        <v>6153</v>
      </c>
    </row>
    <row r="4850" spans="8:8">
      <c r="H4850" s="680" t="s">
        <v>6153</v>
      </c>
    </row>
    <row r="4851" spans="8:8">
      <c r="H4851" s="680" t="s">
        <v>6153</v>
      </c>
    </row>
    <row r="4852" spans="8:8">
      <c r="H4852" s="680" t="s">
        <v>6153</v>
      </c>
    </row>
    <row r="4853" spans="8:8">
      <c r="H4853" s="680" t="s">
        <v>6153</v>
      </c>
    </row>
    <row r="4854" spans="8:8">
      <c r="H4854" s="680" t="s">
        <v>6153</v>
      </c>
    </row>
    <row r="4855" spans="8:8">
      <c r="H4855" s="680" t="s">
        <v>6153</v>
      </c>
    </row>
    <row r="4856" spans="8:8">
      <c r="H4856" s="680" t="s">
        <v>6153</v>
      </c>
    </row>
    <row r="4857" spans="8:8">
      <c r="H4857" s="680" t="s">
        <v>6153</v>
      </c>
    </row>
    <row r="4858" spans="8:8">
      <c r="H4858" s="680" t="s">
        <v>6153</v>
      </c>
    </row>
    <row r="4859" spans="8:8">
      <c r="H4859" s="680" t="s">
        <v>6153</v>
      </c>
    </row>
    <row r="4860" spans="8:8">
      <c r="H4860" s="680" t="s">
        <v>6153</v>
      </c>
    </row>
    <row r="4861" spans="8:8">
      <c r="H4861" s="680" t="s">
        <v>6153</v>
      </c>
    </row>
    <row r="4862" spans="8:8">
      <c r="H4862" s="680" t="s">
        <v>6153</v>
      </c>
    </row>
    <row r="4863" spans="8:8">
      <c r="H4863" s="680" t="s">
        <v>6153</v>
      </c>
    </row>
    <row r="4864" spans="8:8">
      <c r="H4864" s="680" t="s">
        <v>6153</v>
      </c>
    </row>
    <row r="4865" spans="8:8">
      <c r="H4865" s="680" t="s">
        <v>6153</v>
      </c>
    </row>
    <row r="4866" spans="8:8">
      <c r="H4866" s="680" t="s">
        <v>6153</v>
      </c>
    </row>
    <row r="4867" spans="8:8">
      <c r="H4867" s="680" t="s">
        <v>6153</v>
      </c>
    </row>
    <row r="4868" spans="8:8">
      <c r="H4868" s="680" t="s">
        <v>6153</v>
      </c>
    </row>
    <row r="4869" spans="8:8">
      <c r="H4869" s="680" t="s">
        <v>6153</v>
      </c>
    </row>
    <row r="4870" spans="8:8">
      <c r="H4870" s="680" t="s">
        <v>6153</v>
      </c>
    </row>
    <row r="4871" spans="8:8">
      <c r="H4871" s="680" t="s">
        <v>6153</v>
      </c>
    </row>
    <row r="4872" spans="8:8">
      <c r="H4872" s="680" t="s">
        <v>6153</v>
      </c>
    </row>
    <row r="4873" spans="8:8">
      <c r="H4873" s="680" t="s">
        <v>6153</v>
      </c>
    </row>
    <row r="4874" spans="8:8">
      <c r="H4874" s="680" t="s">
        <v>6153</v>
      </c>
    </row>
    <row r="4875" spans="8:8">
      <c r="H4875" s="680" t="s">
        <v>6153</v>
      </c>
    </row>
    <row r="4876" spans="8:8">
      <c r="H4876" s="680" t="s">
        <v>6153</v>
      </c>
    </row>
    <row r="4877" spans="8:8">
      <c r="H4877" s="680" t="s">
        <v>6153</v>
      </c>
    </row>
    <row r="4878" spans="8:8">
      <c r="H4878" s="680" t="s">
        <v>6153</v>
      </c>
    </row>
    <row r="4879" spans="8:8">
      <c r="H4879" s="680" t="s">
        <v>6153</v>
      </c>
    </row>
    <row r="4880" spans="8:8">
      <c r="H4880" s="680" t="s">
        <v>6153</v>
      </c>
    </row>
    <row r="4881" spans="8:8">
      <c r="H4881" s="680" t="s">
        <v>6153</v>
      </c>
    </row>
    <row r="4882" spans="8:8">
      <c r="H4882" s="680" t="s">
        <v>6153</v>
      </c>
    </row>
    <row r="4883" spans="8:8">
      <c r="H4883" s="680" t="s">
        <v>6153</v>
      </c>
    </row>
    <row r="4884" spans="8:8">
      <c r="H4884" s="680" t="s">
        <v>6153</v>
      </c>
    </row>
    <row r="4885" spans="8:8">
      <c r="H4885" s="680" t="s">
        <v>6153</v>
      </c>
    </row>
    <row r="4886" spans="8:8">
      <c r="H4886" s="680" t="s">
        <v>6153</v>
      </c>
    </row>
    <row r="4887" spans="8:8">
      <c r="H4887" s="680" t="s">
        <v>6153</v>
      </c>
    </row>
    <row r="4888" spans="8:8">
      <c r="H4888" s="680" t="s">
        <v>6153</v>
      </c>
    </row>
    <row r="4889" spans="8:8">
      <c r="H4889" s="680" t="s">
        <v>6153</v>
      </c>
    </row>
    <row r="4890" spans="8:8">
      <c r="H4890" s="680" t="s">
        <v>6153</v>
      </c>
    </row>
    <row r="4891" spans="8:8">
      <c r="H4891" s="680" t="s">
        <v>6153</v>
      </c>
    </row>
    <row r="4892" spans="8:8">
      <c r="H4892" s="680" t="s">
        <v>6153</v>
      </c>
    </row>
    <row r="4893" spans="8:8">
      <c r="H4893" s="680" t="s">
        <v>6153</v>
      </c>
    </row>
    <row r="4894" spans="8:8">
      <c r="H4894" s="680" t="s">
        <v>6153</v>
      </c>
    </row>
    <row r="4895" spans="8:8">
      <c r="H4895" s="680" t="s">
        <v>6153</v>
      </c>
    </row>
    <row r="4896" spans="8:8">
      <c r="H4896" s="680" t="s">
        <v>6153</v>
      </c>
    </row>
    <row r="4897" spans="8:8">
      <c r="H4897" s="680" t="s">
        <v>6153</v>
      </c>
    </row>
    <row r="4898" spans="8:8">
      <c r="H4898" s="680" t="s">
        <v>6153</v>
      </c>
    </row>
    <row r="4899" spans="8:8">
      <c r="H4899" s="680" t="s">
        <v>6153</v>
      </c>
    </row>
    <row r="4900" spans="8:8">
      <c r="H4900" s="680" t="s">
        <v>6153</v>
      </c>
    </row>
    <row r="4901" spans="8:8">
      <c r="H4901" s="680" t="s">
        <v>6153</v>
      </c>
    </row>
    <row r="4902" spans="8:8">
      <c r="H4902" s="680" t="s">
        <v>6153</v>
      </c>
    </row>
    <row r="4903" spans="8:8">
      <c r="H4903" s="680" t="s">
        <v>6153</v>
      </c>
    </row>
    <row r="4904" spans="8:8">
      <c r="H4904" s="680" t="s">
        <v>6153</v>
      </c>
    </row>
    <row r="4905" spans="8:8">
      <c r="H4905" s="680" t="s">
        <v>6153</v>
      </c>
    </row>
    <row r="4906" spans="8:8">
      <c r="H4906" s="680" t="s">
        <v>6153</v>
      </c>
    </row>
    <row r="4907" spans="8:8">
      <c r="H4907" s="680" t="s">
        <v>6153</v>
      </c>
    </row>
    <row r="4908" spans="8:8">
      <c r="H4908" s="680" t="s">
        <v>6153</v>
      </c>
    </row>
    <row r="4909" spans="8:8">
      <c r="H4909" s="680" t="s">
        <v>6153</v>
      </c>
    </row>
    <row r="4910" spans="8:8">
      <c r="H4910" s="680" t="s">
        <v>6153</v>
      </c>
    </row>
    <row r="4911" spans="8:8">
      <c r="H4911" s="680" t="s">
        <v>6153</v>
      </c>
    </row>
    <row r="4912" spans="8:8">
      <c r="H4912" s="680" t="s">
        <v>6153</v>
      </c>
    </row>
    <row r="4913" spans="8:8">
      <c r="H4913" s="680" t="s">
        <v>6153</v>
      </c>
    </row>
    <row r="4914" spans="8:8">
      <c r="H4914" s="680" t="s">
        <v>6153</v>
      </c>
    </row>
    <row r="4915" spans="8:8">
      <c r="H4915" s="680" t="s">
        <v>6153</v>
      </c>
    </row>
    <row r="4916" spans="8:8">
      <c r="H4916" s="680" t="s">
        <v>6153</v>
      </c>
    </row>
    <row r="4917" spans="8:8">
      <c r="H4917" s="680" t="s">
        <v>6153</v>
      </c>
    </row>
    <row r="4918" spans="8:8">
      <c r="H4918" s="680" t="s">
        <v>6153</v>
      </c>
    </row>
    <row r="4919" spans="8:8">
      <c r="H4919" s="680" t="s">
        <v>6153</v>
      </c>
    </row>
    <row r="4920" spans="8:8">
      <c r="H4920" s="680" t="s">
        <v>6153</v>
      </c>
    </row>
    <row r="4921" spans="8:8">
      <c r="H4921" s="680" t="s">
        <v>6153</v>
      </c>
    </row>
    <row r="4922" spans="8:8">
      <c r="H4922" s="680" t="s">
        <v>6153</v>
      </c>
    </row>
    <row r="4923" spans="8:8">
      <c r="H4923" s="680" t="s">
        <v>6153</v>
      </c>
    </row>
    <row r="4924" spans="8:8">
      <c r="H4924" s="680" t="s">
        <v>6153</v>
      </c>
    </row>
    <row r="4925" spans="8:8">
      <c r="H4925" s="680" t="s">
        <v>6153</v>
      </c>
    </row>
    <row r="4926" spans="8:8">
      <c r="H4926" s="680" t="s">
        <v>6153</v>
      </c>
    </row>
    <row r="4927" spans="8:8">
      <c r="H4927" s="680" t="s">
        <v>6153</v>
      </c>
    </row>
    <row r="4928" spans="8:8">
      <c r="H4928" s="680" t="s">
        <v>6153</v>
      </c>
    </row>
    <row r="4929" spans="8:8">
      <c r="H4929" s="680" t="s">
        <v>6153</v>
      </c>
    </row>
    <row r="4930" spans="8:8">
      <c r="H4930" s="680" t="s">
        <v>6153</v>
      </c>
    </row>
    <row r="4931" spans="8:8">
      <c r="H4931" s="680" t="s">
        <v>6153</v>
      </c>
    </row>
    <row r="4932" spans="8:8">
      <c r="H4932" s="680" t="s">
        <v>6153</v>
      </c>
    </row>
    <row r="4933" spans="8:8">
      <c r="H4933" s="680" t="s">
        <v>6153</v>
      </c>
    </row>
    <row r="4934" spans="8:8">
      <c r="H4934" s="680" t="s">
        <v>6153</v>
      </c>
    </row>
    <row r="4935" spans="8:8">
      <c r="H4935" s="680" t="s">
        <v>6153</v>
      </c>
    </row>
    <row r="4936" spans="8:8">
      <c r="H4936" s="680" t="s">
        <v>6153</v>
      </c>
    </row>
    <row r="4937" spans="8:8">
      <c r="H4937" s="680" t="s">
        <v>6153</v>
      </c>
    </row>
    <row r="4938" spans="8:8">
      <c r="H4938" s="680" t="s">
        <v>6153</v>
      </c>
    </row>
    <row r="4939" spans="8:8">
      <c r="H4939" s="680" t="s">
        <v>6153</v>
      </c>
    </row>
    <row r="4940" spans="8:8">
      <c r="H4940" s="680" t="s">
        <v>6153</v>
      </c>
    </row>
    <row r="4941" spans="8:8">
      <c r="H4941" s="680" t="s">
        <v>6153</v>
      </c>
    </row>
    <row r="4942" spans="8:8">
      <c r="H4942" s="680" t="s">
        <v>6153</v>
      </c>
    </row>
    <row r="4943" spans="8:8">
      <c r="H4943" s="680" t="s">
        <v>6153</v>
      </c>
    </row>
    <row r="4944" spans="8:8">
      <c r="H4944" s="680" t="s">
        <v>6153</v>
      </c>
    </row>
    <row r="4945" spans="8:8">
      <c r="H4945" s="680" t="s">
        <v>6153</v>
      </c>
    </row>
    <row r="4946" spans="8:8">
      <c r="H4946" s="680" t="s">
        <v>6153</v>
      </c>
    </row>
    <row r="4947" spans="8:8">
      <c r="H4947" s="680" t="s">
        <v>6153</v>
      </c>
    </row>
    <row r="4948" spans="8:8">
      <c r="H4948" s="680" t="s">
        <v>6153</v>
      </c>
    </row>
    <row r="4949" spans="8:8">
      <c r="H4949" s="680" t="s">
        <v>6153</v>
      </c>
    </row>
    <row r="4950" spans="8:8">
      <c r="H4950" s="680" t="s">
        <v>6153</v>
      </c>
    </row>
    <row r="4951" spans="8:8">
      <c r="H4951" s="680" t="s">
        <v>6153</v>
      </c>
    </row>
    <row r="4952" spans="8:8">
      <c r="H4952" s="680" t="s">
        <v>6153</v>
      </c>
    </row>
    <row r="4953" spans="8:8">
      <c r="H4953" s="680" t="s">
        <v>6153</v>
      </c>
    </row>
    <row r="4954" spans="8:8">
      <c r="H4954" s="680" t="s">
        <v>6153</v>
      </c>
    </row>
    <row r="4955" spans="8:8">
      <c r="H4955" s="680" t="s">
        <v>6153</v>
      </c>
    </row>
    <row r="4956" spans="8:8">
      <c r="H4956" s="680" t="s">
        <v>6153</v>
      </c>
    </row>
    <row r="4957" spans="8:8">
      <c r="H4957" s="680" t="s">
        <v>6153</v>
      </c>
    </row>
    <row r="4958" spans="8:8">
      <c r="H4958" s="680" t="s">
        <v>6153</v>
      </c>
    </row>
    <row r="4959" spans="8:8">
      <c r="H4959" s="680" t="s">
        <v>6153</v>
      </c>
    </row>
    <row r="4960" spans="8:8">
      <c r="H4960" s="680" t="s">
        <v>6153</v>
      </c>
    </row>
    <row r="4961" spans="8:8">
      <c r="H4961" s="680" t="s">
        <v>6153</v>
      </c>
    </row>
    <row r="4962" spans="8:8">
      <c r="H4962" s="680" t="s">
        <v>6153</v>
      </c>
    </row>
    <row r="4963" spans="8:8">
      <c r="H4963" s="680" t="s">
        <v>6153</v>
      </c>
    </row>
    <row r="4964" spans="8:8">
      <c r="H4964" s="680" t="s">
        <v>6153</v>
      </c>
    </row>
    <row r="4965" spans="8:8">
      <c r="H4965" s="680" t="s">
        <v>6153</v>
      </c>
    </row>
    <row r="4966" spans="8:8">
      <c r="H4966" s="680" t="s">
        <v>6153</v>
      </c>
    </row>
    <row r="4967" spans="8:8">
      <c r="H4967" s="680" t="s">
        <v>6153</v>
      </c>
    </row>
    <row r="4968" spans="8:8">
      <c r="H4968" s="680" t="s">
        <v>6153</v>
      </c>
    </row>
    <row r="4969" spans="8:8">
      <c r="H4969" s="680" t="s">
        <v>6153</v>
      </c>
    </row>
    <row r="4970" spans="8:8">
      <c r="H4970" s="680" t="s">
        <v>6153</v>
      </c>
    </row>
    <row r="4971" spans="8:8">
      <c r="H4971" s="680" t="s">
        <v>6153</v>
      </c>
    </row>
    <row r="4972" spans="8:8">
      <c r="H4972" s="680" t="s">
        <v>6153</v>
      </c>
    </row>
    <row r="4973" spans="8:8">
      <c r="H4973" s="680" t="s">
        <v>6153</v>
      </c>
    </row>
    <row r="4974" spans="8:8">
      <c r="H4974" s="680" t="s">
        <v>6153</v>
      </c>
    </row>
    <row r="4975" spans="8:8">
      <c r="H4975" s="680" t="s">
        <v>6153</v>
      </c>
    </row>
    <row r="4976" spans="8:8">
      <c r="H4976" s="680" t="s">
        <v>6153</v>
      </c>
    </row>
    <row r="4977" spans="8:8">
      <c r="H4977" s="680" t="s">
        <v>6153</v>
      </c>
    </row>
    <row r="4978" spans="8:8">
      <c r="H4978" s="680" t="s">
        <v>6153</v>
      </c>
    </row>
    <row r="4979" spans="8:8">
      <c r="H4979" s="680" t="s">
        <v>6153</v>
      </c>
    </row>
    <row r="4980" spans="8:8">
      <c r="H4980" s="680" t="s">
        <v>6153</v>
      </c>
    </row>
    <row r="4981" spans="8:8">
      <c r="H4981" s="680" t="s">
        <v>6153</v>
      </c>
    </row>
    <row r="4982" spans="8:8">
      <c r="H4982" s="680" t="s">
        <v>6153</v>
      </c>
    </row>
    <row r="4983" spans="8:8">
      <c r="H4983" s="680" t="s">
        <v>6153</v>
      </c>
    </row>
    <row r="4984" spans="8:8">
      <c r="H4984" s="680" t="s">
        <v>6153</v>
      </c>
    </row>
    <row r="4985" spans="8:8">
      <c r="H4985" s="680" t="s">
        <v>6153</v>
      </c>
    </row>
    <row r="4986" spans="8:8">
      <c r="H4986" s="680" t="s">
        <v>6153</v>
      </c>
    </row>
    <row r="4987" spans="8:8">
      <c r="H4987" s="680" t="s">
        <v>6153</v>
      </c>
    </row>
    <row r="4988" spans="8:8">
      <c r="H4988" s="680" t="s">
        <v>6153</v>
      </c>
    </row>
    <row r="4989" spans="8:8">
      <c r="H4989" s="680" t="s">
        <v>6153</v>
      </c>
    </row>
    <row r="4990" spans="8:8">
      <c r="H4990" s="680" t="s">
        <v>6153</v>
      </c>
    </row>
    <row r="4991" spans="8:8">
      <c r="H4991" s="680" t="s">
        <v>6153</v>
      </c>
    </row>
    <row r="4992" spans="8:8">
      <c r="H4992" s="680" t="s">
        <v>6153</v>
      </c>
    </row>
    <row r="4993" spans="8:8">
      <c r="H4993" s="680" t="s">
        <v>6153</v>
      </c>
    </row>
    <row r="4994" spans="8:8">
      <c r="H4994" s="680" t="s">
        <v>6153</v>
      </c>
    </row>
    <row r="4995" spans="8:8">
      <c r="H4995" s="680" t="s">
        <v>6153</v>
      </c>
    </row>
    <row r="4996" spans="8:8">
      <c r="H4996" s="680" t="s">
        <v>6153</v>
      </c>
    </row>
    <row r="4997" spans="8:8">
      <c r="H4997" s="680" t="s">
        <v>6153</v>
      </c>
    </row>
    <row r="4998" spans="8:8">
      <c r="H4998" s="680" t="s">
        <v>6153</v>
      </c>
    </row>
    <row r="4999" spans="8:8">
      <c r="H4999" s="680" t="s">
        <v>6153</v>
      </c>
    </row>
    <row r="5000" spans="8:8">
      <c r="H5000" s="680" t="s">
        <v>6153</v>
      </c>
    </row>
    <row r="5001" spans="8:8">
      <c r="H5001" s="680" t="s">
        <v>6153</v>
      </c>
    </row>
    <row r="5002" spans="8:8">
      <c r="H5002" s="680" t="s">
        <v>6153</v>
      </c>
    </row>
    <row r="5003" spans="8:8">
      <c r="H5003" s="680" t="s">
        <v>6153</v>
      </c>
    </row>
    <row r="5004" spans="8:8">
      <c r="H5004" s="680" t="s">
        <v>6153</v>
      </c>
    </row>
    <row r="5005" spans="8:8">
      <c r="H5005" s="680" t="s">
        <v>6153</v>
      </c>
    </row>
    <row r="5006" spans="8:8">
      <c r="H5006" s="680" t="s">
        <v>6153</v>
      </c>
    </row>
    <row r="5007" spans="8:8">
      <c r="H5007" s="680" t="s">
        <v>6153</v>
      </c>
    </row>
    <row r="5008" spans="8:8">
      <c r="H5008" s="680" t="s">
        <v>6153</v>
      </c>
    </row>
    <row r="5009" spans="8:8">
      <c r="H5009" s="680" t="s">
        <v>6153</v>
      </c>
    </row>
    <row r="5010" spans="8:8">
      <c r="H5010" s="680" t="s">
        <v>6153</v>
      </c>
    </row>
    <row r="5011" spans="8:8">
      <c r="H5011" s="680" t="s">
        <v>6153</v>
      </c>
    </row>
    <row r="5012" spans="8:8">
      <c r="H5012" s="680" t="s">
        <v>6153</v>
      </c>
    </row>
    <row r="5013" spans="8:8">
      <c r="H5013" s="680" t="s">
        <v>6153</v>
      </c>
    </row>
    <row r="5014" spans="8:8">
      <c r="H5014" s="680" t="s">
        <v>6153</v>
      </c>
    </row>
    <row r="5015" spans="8:8">
      <c r="H5015" s="680" t="s">
        <v>6153</v>
      </c>
    </row>
    <row r="5016" spans="8:8">
      <c r="H5016" s="680" t="s">
        <v>6153</v>
      </c>
    </row>
    <row r="5017" spans="8:8">
      <c r="H5017" s="680" t="s">
        <v>6153</v>
      </c>
    </row>
    <row r="5018" spans="8:8">
      <c r="H5018" s="680" t="s">
        <v>6153</v>
      </c>
    </row>
    <row r="5019" spans="8:8">
      <c r="H5019" s="680" t="s">
        <v>6153</v>
      </c>
    </row>
    <row r="5020" spans="8:8">
      <c r="H5020" s="680" t="s">
        <v>6153</v>
      </c>
    </row>
    <row r="5021" spans="8:8">
      <c r="H5021" s="680" t="s">
        <v>6153</v>
      </c>
    </row>
    <row r="5022" spans="8:8">
      <c r="H5022" s="680" t="s">
        <v>6153</v>
      </c>
    </row>
    <row r="5023" spans="8:8">
      <c r="H5023" s="680" t="s">
        <v>6153</v>
      </c>
    </row>
    <row r="5024" spans="8:8">
      <c r="H5024" s="680" t="s">
        <v>6153</v>
      </c>
    </row>
    <row r="5025" spans="8:8">
      <c r="H5025" s="680" t="s">
        <v>6153</v>
      </c>
    </row>
    <row r="5026" spans="8:8">
      <c r="H5026" s="680" t="s">
        <v>6153</v>
      </c>
    </row>
    <row r="5027" spans="8:8">
      <c r="H5027" s="680" t="s">
        <v>6153</v>
      </c>
    </row>
    <row r="5028" spans="8:8">
      <c r="H5028" s="680" t="s">
        <v>6153</v>
      </c>
    </row>
    <row r="5029" spans="8:8">
      <c r="H5029" s="680" t="s">
        <v>6153</v>
      </c>
    </row>
    <row r="5030" spans="8:8">
      <c r="H5030" s="680" t="s">
        <v>6153</v>
      </c>
    </row>
    <row r="5031" spans="8:8">
      <c r="H5031" s="680" t="s">
        <v>6153</v>
      </c>
    </row>
    <row r="5032" spans="8:8">
      <c r="H5032" s="680" t="s">
        <v>6153</v>
      </c>
    </row>
    <row r="5033" spans="8:8">
      <c r="H5033" s="680" t="s">
        <v>6153</v>
      </c>
    </row>
    <row r="5034" spans="8:8">
      <c r="H5034" s="680" t="s">
        <v>6153</v>
      </c>
    </row>
    <row r="5035" spans="8:8">
      <c r="H5035" s="680" t="s">
        <v>6153</v>
      </c>
    </row>
    <row r="5036" spans="8:8">
      <c r="H5036" s="680" t="s">
        <v>6153</v>
      </c>
    </row>
    <row r="5037" spans="8:8">
      <c r="H5037" s="680" t="s">
        <v>6153</v>
      </c>
    </row>
    <row r="5038" spans="8:8">
      <c r="H5038" s="680" t="s">
        <v>6153</v>
      </c>
    </row>
    <row r="5039" spans="8:8">
      <c r="H5039" s="680" t="s">
        <v>6153</v>
      </c>
    </row>
    <row r="5040" spans="8:8">
      <c r="H5040" s="680" t="s">
        <v>6153</v>
      </c>
    </row>
    <row r="5041" spans="8:8">
      <c r="H5041" s="680" t="s">
        <v>6153</v>
      </c>
    </row>
    <row r="5042" spans="8:8">
      <c r="H5042" s="680" t="s">
        <v>6153</v>
      </c>
    </row>
    <row r="5043" spans="8:8">
      <c r="H5043" s="680" t="s">
        <v>6153</v>
      </c>
    </row>
    <row r="5044" spans="8:8">
      <c r="H5044" s="680" t="s">
        <v>6153</v>
      </c>
    </row>
    <row r="5045" spans="8:8">
      <c r="H5045" s="680" t="s">
        <v>6153</v>
      </c>
    </row>
    <row r="5046" spans="8:8">
      <c r="H5046" s="680" t="s">
        <v>6153</v>
      </c>
    </row>
    <row r="5047" spans="8:8">
      <c r="H5047" s="680" t="s">
        <v>6153</v>
      </c>
    </row>
    <row r="5048" spans="8:8">
      <c r="H5048" s="680" t="s">
        <v>6153</v>
      </c>
    </row>
    <row r="5049" spans="8:8">
      <c r="H5049" s="680" t="s">
        <v>6153</v>
      </c>
    </row>
    <row r="5050" spans="8:8">
      <c r="H5050" s="680" t="s">
        <v>6153</v>
      </c>
    </row>
    <row r="5051" spans="8:8">
      <c r="H5051" s="680" t="s">
        <v>6153</v>
      </c>
    </row>
    <row r="5052" spans="8:8">
      <c r="H5052" s="680" t="s">
        <v>6153</v>
      </c>
    </row>
    <row r="5053" spans="8:8">
      <c r="H5053" s="680" t="s">
        <v>6153</v>
      </c>
    </row>
    <row r="5054" spans="8:8">
      <c r="H5054" s="680" t="s">
        <v>6153</v>
      </c>
    </row>
    <row r="5055" spans="8:8">
      <c r="H5055" s="680" t="s">
        <v>6153</v>
      </c>
    </row>
    <row r="5056" spans="8:8">
      <c r="H5056" s="680" t="s">
        <v>6153</v>
      </c>
    </row>
    <row r="5057" spans="8:8">
      <c r="H5057" s="680" t="s">
        <v>6153</v>
      </c>
    </row>
    <row r="5058" spans="8:8">
      <c r="H5058" s="680" t="s">
        <v>6153</v>
      </c>
    </row>
    <row r="5059" spans="8:8">
      <c r="H5059" s="680" t="s">
        <v>6153</v>
      </c>
    </row>
    <row r="5060" spans="8:8">
      <c r="H5060" s="680" t="s">
        <v>6153</v>
      </c>
    </row>
    <row r="5061" spans="8:8">
      <c r="H5061" s="680" t="s">
        <v>6153</v>
      </c>
    </row>
    <row r="5062" spans="8:8">
      <c r="H5062" s="680" t="s">
        <v>6153</v>
      </c>
    </row>
    <row r="5063" spans="8:8">
      <c r="H5063" s="680" t="s">
        <v>6153</v>
      </c>
    </row>
    <row r="5064" spans="8:8">
      <c r="H5064" s="680" t="s">
        <v>6153</v>
      </c>
    </row>
    <row r="5065" spans="8:8">
      <c r="H5065" s="680" t="s">
        <v>6153</v>
      </c>
    </row>
    <row r="5066" spans="8:8">
      <c r="H5066" s="680" t="s">
        <v>6153</v>
      </c>
    </row>
    <row r="5067" spans="8:8">
      <c r="H5067" s="680" t="s">
        <v>6153</v>
      </c>
    </row>
    <row r="5068" spans="8:8">
      <c r="H5068" s="680" t="s">
        <v>6153</v>
      </c>
    </row>
    <row r="5069" spans="8:8">
      <c r="H5069" s="680" t="s">
        <v>6153</v>
      </c>
    </row>
    <row r="5070" spans="8:8">
      <c r="H5070" s="680" t="s">
        <v>6153</v>
      </c>
    </row>
    <row r="5071" spans="8:8">
      <c r="H5071" s="680" t="s">
        <v>6153</v>
      </c>
    </row>
    <row r="5072" spans="8:8">
      <c r="H5072" s="680" t="s">
        <v>6153</v>
      </c>
    </row>
    <row r="5073" spans="8:8">
      <c r="H5073" s="680" t="s">
        <v>6153</v>
      </c>
    </row>
    <row r="5074" spans="8:8">
      <c r="H5074" s="680" t="s">
        <v>6153</v>
      </c>
    </row>
    <row r="5075" spans="8:8">
      <c r="H5075" s="680" t="s">
        <v>6153</v>
      </c>
    </row>
    <row r="5076" spans="8:8">
      <c r="H5076" s="680" t="s">
        <v>6153</v>
      </c>
    </row>
    <row r="5077" spans="8:8">
      <c r="H5077" s="680" t="s">
        <v>6153</v>
      </c>
    </row>
    <row r="5078" spans="8:8">
      <c r="H5078" s="680" t="s">
        <v>6153</v>
      </c>
    </row>
    <row r="5079" spans="8:8">
      <c r="H5079" s="680" t="s">
        <v>6153</v>
      </c>
    </row>
    <row r="5080" spans="8:8">
      <c r="H5080" s="680" t="s">
        <v>6153</v>
      </c>
    </row>
    <row r="5081" spans="8:8">
      <c r="H5081" s="680" t="s">
        <v>6153</v>
      </c>
    </row>
    <row r="5082" spans="8:8">
      <c r="H5082" s="680" t="s">
        <v>6153</v>
      </c>
    </row>
    <row r="5083" spans="8:8">
      <c r="H5083" s="680" t="s">
        <v>6153</v>
      </c>
    </row>
    <row r="5084" spans="8:8">
      <c r="H5084" s="680" t="s">
        <v>6153</v>
      </c>
    </row>
    <row r="5085" spans="8:8">
      <c r="H5085" s="680" t="s">
        <v>6153</v>
      </c>
    </row>
    <row r="5086" spans="8:8">
      <c r="H5086" s="680" t="s">
        <v>6153</v>
      </c>
    </row>
    <row r="5087" spans="8:8">
      <c r="H5087" s="680" t="s">
        <v>6153</v>
      </c>
    </row>
    <row r="5088" spans="8:8">
      <c r="H5088" s="680" t="s">
        <v>6153</v>
      </c>
    </row>
    <row r="5089" spans="8:8">
      <c r="H5089" s="680" t="s">
        <v>6153</v>
      </c>
    </row>
    <row r="5090" spans="8:8">
      <c r="H5090" s="680" t="s">
        <v>6153</v>
      </c>
    </row>
    <row r="5091" spans="8:8">
      <c r="H5091" s="680" t="s">
        <v>6153</v>
      </c>
    </row>
    <row r="5092" spans="8:8">
      <c r="H5092" s="680" t="s">
        <v>6153</v>
      </c>
    </row>
    <row r="5093" spans="8:8">
      <c r="H5093" s="680" t="s">
        <v>6153</v>
      </c>
    </row>
    <row r="5094" spans="8:8">
      <c r="H5094" s="680" t="s">
        <v>6153</v>
      </c>
    </row>
    <row r="5095" spans="8:8">
      <c r="H5095" s="680" t="s">
        <v>6153</v>
      </c>
    </row>
    <row r="5096" spans="8:8">
      <c r="H5096" s="680" t="s">
        <v>6153</v>
      </c>
    </row>
    <row r="5097" spans="8:8">
      <c r="H5097" s="680" t="s">
        <v>6153</v>
      </c>
    </row>
    <row r="5098" spans="8:8">
      <c r="H5098" s="680" t="s">
        <v>6153</v>
      </c>
    </row>
    <row r="5099" spans="8:8">
      <c r="H5099" s="680" t="s">
        <v>6153</v>
      </c>
    </row>
    <row r="5100" spans="8:8">
      <c r="H5100" s="680" t="s">
        <v>6153</v>
      </c>
    </row>
    <row r="5101" spans="8:8">
      <c r="H5101" s="680" t="s">
        <v>6153</v>
      </c>
    </row>
    <row r="5102" spans="8:8">
      <c r="H5102" s="680" t="s">
        <v>6153</v>
      </c>
    </row>
    <row r="5103" spans="8:8">
      <c r="H5103" s="680" t="s">
        <v>6153</v>
      </c>
    </row>
    <row r="5104" spans="8:8">
      <c r="H5104" s="680" t="s">
        <v>6153</v>
      </c>
    </row>
    <row r="5105" spans="8:8">
      <c r="H5105" s="680" t="s">
        <v>6153</v>
      </c>
    </row>
    <row r="5106" spans="8:8">
      <c r="H5106" s="680" t="s">
        <v>6153</v>
      </c>
    </row>
    <row r="5107" spans="8:8">
      <c r="H5107" s="680" t="s">
        <v>6153</v>
      </c>
    </row>
    <row r="5108" spans="8:8">
      <c r="H5108" s="680" t="s">
        <v>6153</v>
      </c>
    </row>
    <row r="5109" spans="8:8">
      <c r="H5109" s="680" t="s">
        <v>6153</v>
      </c>
    </row>
    <row r="5110" spans="8:8">
      <c r="H5110" s="680" t="s">
        <v>6153</v>
      </c>
    </row>
    <row r="5111" spans="8:8">
      <c r="H5111" s="680" t="s">
        <v>6153</v>
      </c>
    </row>
    <row r="5112" spans="8:8">
      <c r="H5112" s="680" t="s">
        <v>6153</v>
      </c>
    </row>
    <row r="5113" spans="8:8">
      <c r="H5113" s="680" t="s">
        <v>6153</v>
      </c>
    </row>
    <row r="5114" spans="8:8">
      <c r="H5114" s="680" t="s">
        <v>6153</v>
      </c>
    </row>
    <row r="5115" spans="8:8">
      <c r="H5115" s="680" t="s">
        <v>6153</v>
      </c>
    </row>
    <row r="5116" spans="8:8">
      <c r="H5116" s="680" t="s">
        <v>6153</v>
      </c>
    </row>
    <row r="5117" spans="8:8">
      <c r="H5117" s="680" t="s">
        <v>6153</v>
      </c>
    </row>
    <row r="5118" spans="8:8">
      <c r="H5118" s="680" t="s">
        <v>6153</v>
      </c>
    </row>
    <row r="5119" spans="8:8">
      <c r="H5119" s="680" t="s">
        <v>6153</v>
      </c>
    </row>
    <row r="5120" spans="8:8">
      <c r="H5120" s="680" t="s">
        <v>6153</v>
      </c>
    </row>
    <row r="5121" spans="8:8">
      <c r="H5121" s="680" t="s">
        <v>6153</v>
      </c>
    </row>
    <row r="5122" spans="8:8">
      <c r="H5122" s="680" t="s">
        <v>6153</v>
      </c>
    </row>
    <row r="5123" spans="8:8">
      <c r="H5123" s="680" t="s">
        <v>6153</v>
      </c>
    </row>
    <row r="5124" spans="8:8">
      <c r="H5124" s="680" t="s">
        <v>6153</v>
      </c>
    </row>
    <row r="5125" spans="8:8">
      <c r="H5125" s="680" t="s">
        <v>6153</v>
      </c>
    </row>
    <row r="5126" spans="8:8">
      <c r="H5126" s="680" t="s">
        <v>6153</v>
      </c>
    </row>
    <row r="5127" spans="8:8">
      <c r="H5127" s="680" t="s">
        <v>6153</v>
      </c>
    </row>
    <row r="5128" spans="8:8">
      <c r="H5128" s="680" t="s">
        <v>6153</v>
      </c>
    </row>
    <row r="5129" spans="8:8">
      <c r="H5129" s="680" t="s">
        <v>6153</v>
      </c>
    </row>
    <row r="5130" spans="8:8">
      <c r="H5130" s="680" t="s">
        <v>6153</v>
      </c>
    </row>
    <row r="5131" spans="8:8">
      <c r="H5131" s="680" t="s">
        <v>6153</v>
      </c>
    </row>
    <row r="5132" spans="8:8">
      <c r="H5132" s="680" t="s">
        <v>6153</v>
      </c>
    </row>
    <row r="5133" spans="8:8">
      <c r="H5133" s="680" t="s">
        <v>6153</v>
      </c>
    </row>
    <row r="5134" spans="8:8">
      <c r="H5134" s="680" t="s">
        <v>6153</v>
      </c>
    </row>
    <row r="5135" spans="8:8">
      <c r="H5135" s="680" t="s">
        <v>6153</v>
      </c>
    </row>
    <row r="5136" spans="8:8">
      <c r="H5136" s="680" t="s">
        <v>6153</v>
      </c>
    </row>
    <row r="5137" spans="8:8">
      <c r="H5137" s="680" t="s">
        <v>6153</v>
      </c>
    </row>
    <row r="5138" spans="8:8">
      <c r="H5138" s="680" t="s">
        <v>6153</v>
      </c>
    </row>
    <row r="5139" spans="8:8">
      <c r="H5139" s="680" t="s">
        <v>6153</v>
      </c>
    </row>
    <row r="5140" spans="8:8">
      <c r="H5140" s="680" t="s">
        <v>6153</v>
      </c>
    </row>
    <row r="5141" spans="8:8">
      <c r="H5141" s="680" t="s">
        <v>6153</v>
      </c>
    </row>
    <row r="5142" spans="8:8">
      <c r="H5142" s="680" t="s">
        <v>6153</v>
      </c>
    </row>
    <row r="5143" spans="8:8">
      <c r="H5143" s="680" t="s">
        <v>6153</v>
      </c>
    </row>
    <row r="5144" spans="8:8">
      <c r="H5144" s="680" t="s">
        <v>6153</v>
      </c>
    </row>
    <row r="5145" spans="8:8">
      <c r="H5145" s="680" t="s">
        <v>6153</v>
      </c>
    </row>
    <row r="5146" spans="8:8">
      <c r="H5146" s="680" t="s">
        <v>6153</v>
      </c>
    </row>
    <row r="5147" spans="8:8">
      <c r="H5147" s="680" t="s">
        <v>6153</v>
      </c>
    </row>
    <row r="5148" spans="8:8">
      <c r="H5148" s="680" t="s">
        <v>6153</v>
      </c>
    </row>
    <row r="5149" spans="8:8">
      <c r="H5149" s="680" t="s">
        <v>6153</v>
      </c>
    </row>
    <row r="5150" spans="8:8">
      <c r="H5150" s="680" t="s">
        <v>6153</v>
      </c>
    </row>
    <row r="5151" spans="8:8">
      <c r="H5151" s="680" t="s">
        <v>6153</v>
      </c>
    </row>
    <row r="5152" spans="8:8">
      <c r="H5152" s="680" t="s">
        <v>6153</v>
      </c>
    </row>
    <row r="5153" spans="8:8">
      <c r="H5153" s="680" t="s">
        <v>6153</v>
      </c>
    </row>
    <row r="5154" spans="8:8">
      <c r="H5154" s="680" t="s">
        <v>6153</v>
      </c>
    </row>
    <row r="5155" spans="8:8">
      <c r="H5155" s="680" t="s">
        <v>6153</v>
      </c>
    </row>
    <row r="5156" spans="8:8">
      <c r="H5156" s="680" t="s">
        <v>6153</v>
      </c>
    </row>
    <row r="5157" spans="8:8">
      <c r="H5157" s="680" t="s">
        <v>6153</v>
      </c>
    </row>
    <row r="5158" spans="8:8">
      <c r="H5158" s="680" t="s">
        <v>6153</v>
      </c>
    </row>
    <row r="5159" spans="8:8">
      <c r="H5159" s="680" t="s">
        <v>6153</v>
      </c>
    </row>
    <row r="5160" spans="8:8">
      <c r="H5160" s="680" t="s">
        <v>6153</v>
      </c>
    </row>
    <row r="5161" spans="8:8">
      <c r="H5161" s="680" t="s">
        <v>6153</v>
      </c>
    </row>
    <row r="5162" spans="8:8">
      <c r="H5162" s="680" t="s">
        <v>6153</v>
      </c>
    </row>
    <row r="5163" spans="8:8">
      <c r="H5163" s="680" t="s">
        <v>6153</v>
      </c>
    </row>
    <row r="5164" spans="8:8">
      <c r="H5164" s="680" t="s">
        <v>6153</v>
      </c>
    </row>
    <row r="5165" spans="8:8">
      <c r="H5165" s="680" t="s">
        <v>6153</v>
      </c>
    </row>
    <row r="5166" spans="8:8">
      <c r="H5166" s="680" t="s">
        <v>6153</v>
      </c>
    </row>
    <row r="5167" spans="8:8">
      <c r="H5167" s="680" t="s">
        <v>6153</v>
      </c>
    </row>
    <row r="5168" spans="8:8">
      <c r="H5168" s="680" t="s">
        <v>6153</v>
      </c>
    </row>
    <row r="5169" spans="8:8">
      <c r="H5169" s="680" t="s">
        <v>6153</v>
      </c>
    </row>
    <row r="5170" spans="8:8">
      <c r="H5170" s="680" t="s">
        <v>6153</v>
      </c>
    </row>
    <row r="5171" spans="8:8">
      <c r="H5171" s="680" t="s">
        <v>6153</v>
      </c>
    </row>
    <row r="5172" spans="8:8">
      <c r="H5172" s="680" t="s">
        <v>6153</v>
      </c>
    </row>
    <row r="5173" spans="8:8">
      <c r="H5173" s="680" t="s">
        <v>6153</v>
      </c>
    </row>
    <row r="5174" spans="8:8">
      <c r="H5174" s="680" t="s">
        <v>6153</v>
      </c>
    </row>
    <row r="5175" spans="8:8">
      <c r="H5175" s="680" t="s">
        <v>6153</v>
      </c>
    </row>
    <row r="5176" spans="8:8">
      <c r="H5176" s="680" t="s">
        <v>6153</v>
      </c>
    </row>
    <row r="5177" spans="8:8">
      <c r="H5177" s="680" t="s">
        <v>6153</v>
      </c>
    </row>
    <row r="5178" spans="8:8">
      <c r="H5178" s="680" t="s">
        <v>6153</v>
      </c>
    </row>
    <row r="5179" spans="8:8">
      <c r="H5179" s="680" t="s">
        <v>6153</v>
      </c>
    </row>
    <row r="5180" spans="8:8">
      <c r="H5180" s="680" t="s">
        <v>6153</v>
      </c>
    </row>
    <row r="5181" spans="8:8">
      <c r="H5181" s="680" t="s">
        <v>6153</v>
      </c>
    </row>
    <row r="5182" spans="8:8">
      <c r="H5182" s="680" t="s">
        <v>6153</v>
      </c>
    </row>
    <row r="5183" spans="8:8">
      <c r="H5183" s="680" t="s">
        <v>6153</v>
      </c>
    </row>
    <row r="5184" spans="8:8">
      <c r="H5184" s="680" t="s">
        <v>6153</v>
      </c>
    </row>
    <row r="5185" spans="8:8">
      <c r="H5185" s="680" t="s">
        <v>6153</v>
      </c>
    </row>
    <row r="5186" spans="8:8">
      <c r="H5186" s="680" t="s">
        <v>6153</v>
      </c>
    </row>
    <row r="5187" spans="8:8">
      <c r="H5187" s="680" t="s">
        <v>6153</v>
      </c>
    </row>
    <row r="5188" spans="8:8">
      <c r="H5188" s="680" t="s">
        <v>6153</v>
      </c>
    </row>
    <row r="5189" spans="8:8">
      <c r="H5189" s="680" t="s">
        <v>6153</v>
      </c>
    </row>
    <row r="5190" spans="8:8">
      <c r="H5190" s="680" t="s">
        <v>6153</v>
      </c>
    </row>
    <row r="5191" spans="8:8">
      <c r="H5191" s="680" t="s">
        <v>6153</v>
      </c>
    </row>
    <row r="5192" spans="8:8">
      <c r="H5192" s="680" t="s">
        <v>6153</v>
      </c>
    </row>
    <row r="5193" spans="8:8">
      <c r="H5193" s="680" t="s">
        <v>6153</v>
      </c>
    </row>
    <row r="5194" spans="8:8">
      <c r="H5194" s="680" t="s">
        <v>6153</v>
      </c>
    </row>
    <row r="5195" spans="8:8">
      <c r="H5195" s="680" t="s">
        <v>6153</v>
      </c>
    </row>
    <row r="5196" spans="8:8">
      <c r="H5196" s="680" t="s">
        <v>6153</v>
      </c>
    </row>
    <row r="5197" spans="8:8">
      <c r="H5197" s="680" t="s">
        <v>6153</v>
      </c>
    </row>
    <row r="5198" spans="8:8">
      <c r="H5198" s="680" t="s">
        <v>6153</v>
      </c>
    </row>
    <row r="5199" spans="8:8">
      <c r="H5199" s="680" t="s">
        <v>6153</v>
      </c>
    </row>
    <row r="5200" spans="8:8">
      <c r="H5200" s="680" t="s">
        <v>6153</v>
      </c>
    </row>
    <row r="5201" spans="8:8">
      <c r="H5201" s="680" t="s">
        <v>6153</v>
      </c>
    </row>
    <row r="5202" spans="8:8">
      <c r="H5202" s="680" t="s">
        <v>6153</v>
      </c>
    </row>
    <row r="5203" spans="8:8">
      <c r="H5203" s="680" t="s">
        <v>6153</v>
      </c>
    </row>
    <row r="5204" spans="8:8">
      <c r="H5204" s="680" t="s">
        <v>6153</v>
      </c>
    </row>
    <row r="5205" spans="8:8">
      <c r="H5205" s="680" t="s">
        <v>6153</v>
      </c>
    </row>
    <row r="5206" spans="8:8">
      <c r="H5206" s="680" t="s">
        <v>6153</v>
      </c>
    </row>
    <row r="5207" spans="8:8">
      <c r="H5207" s="680" t="s">
        <v>6153</v>
      </c>
    </row>
    <row r="5208" spans="8:8">
      <c r="H5208" s="680" t="s">
        <v>6153</v>
      </c>
    </row>
    <row r="5209" spans="8:8">
      <c r="H5209" s="680" t="s">
        <v>6153</v>
      </c>
    </row>
    <row r="5210" spans="8:8">
      <c r="H5210" s="680" t="s">
        <v>6153</v>
      </c>
    </row>
    <row r="5211" spans="8:8">
      <c r="H5211" s="680" t="s">
        <v>6153</v>
      </c>
    </row>
    <row r="5212" spans="8:8">
      <c r="H5212" s="680" t="s">
        <v>6153</v>
      </c>
    </row>
    <row r="5213" spans="8:8">
      <c r="H5213" s="680" t="s">
        <v>6153</v>
      </c>
    </row>
    <row r="5214" spans="8:8">
      <c r="H5214" s="680" t="s">
        <v>6153</v>
      </c>
    </row>
    <row r="5215" spans="8:8">
      <c r="H5215" s="680" t="s">
        <v>6153</v>
      </c>
    </row>
    <row r="5216" spans="8:8">
      <c r="H5216" s="680" t="s">
        <v>6153</v>
      </c>
    </row>
    <row r="5217" spans="8:8">
      <c r="H5217" s="680" t="s">
        <v>6153</v>
      </c>
    </row>
    <row r="5218" spans="8:8">
      <c r="H5218" s="680" t="s">
        <v>6153</v>
      </c>
    </row>
    <row r="5219" spans="8:8">
      <c r="H5219" s="680" t="s">
        <v>6153</v>
      </c>
    </row>
    <row r="5220" spans="8:8">
      <c r="H5220" s="680" t="s">
        <v>6153</v>
      </c>
    </row>
    <row r="5221" spans="8:8">
      <c r="H5221" s="680" t="s">
        <v>6153</v>
      </c>
    </row>
    <row r="5222" spans="8:8">
      <c r="H5222" s="680" t="s">
        <v>6153</v>
      </c>
    </row>
    <row r="5223" spans="8:8">
      <c r="H5223" s="680" t="s">
        <v>6153</v>
      </c>
    </row>
    <row r="5224" spans="8:8">
      <c r="H5224" s="680" t="s">
        <v>6153</v>
      </c>
    </row>
    <row r="5225" spans="8:8">
      <c r="H5225" s="680" t="s">
        <v>6153</v>
      </c>
    </row>
    <row r="5226" spans="8:8">
      <c r="H5226" s="680" t="s">
        <v>6153</v>
      </c>
    </row>
    <row r="5227" spans="8:8">
      <c r="H5227" s="680" t="s">
        <v>6153</v>
      </c>
    </row>
    <row r="5228" spans="8:8">
      <c r="H5228" s="680" t="s">
        <v>6153</v>
      </c>
    </row>
    <row r="5229" spans="8:8">
      <c r="H5229" s="680" t="s">
        <v>6153</v>
      </c>
    </row>
    <row r="5230" spans="8:8">
      <c r="H5230" s="680" t="s">
        <v>6153</v>
      </c>
    </row>
    <row r="5231" spans="8:8">
      <c r="H5231" s="680" t="s">
        <v>6153</v>
      </c>
    </row>
    <row r="5232" spans="8:8">
      <c r="H5232" s="680" t="s">
        <v>6153</v>
      </c>
    </row>
    <row r="5233" spans="8:8">
      <c r="H5233" s="680" t="s">
        <v>6153</v>
      </c>
    </row>
    <row r="5234" spans="8:8">
      <c r="H5234" s="680" t="s">
        <v>6153</v>
      </c>
    </row>
    <row r="5235" spans="8:8">
      <c r="H5235" s="680" t="s">
        <v>6153</v>
      </c>
    </row>
    <row r="5236" spans="8:8">
      <c r="H5236" s="680" t="s">
        <v>6153</v>
      </c>
    </row>
    <row r="5237" spans="8:8">
      <c r="H5237" s="680" t="s">
        <v>6153</v>
      </c>
    </row>
    <row r="5238" spans="8:8">
      <c r="H5238" s="680" t="s">
        <v>6153</v>
      </c>
    </row>
    <row r="5239" spans="8:8">
      <c r="H5239" s="680" t="s">
        <v>6153</v>
      </c>
    </row>
    <row r="5240" spans="8:8">
      <c r="H5240" s="680" t="s">
        <v>6153</v>
      </c>
    </row>
    <row r="5241" spans="8:8">
      <c r="H5241" s="680" t="s">
        <v>6153</v>
      </c>
    </row>
    <row r="5242" spans="8:8">
      <c r="H5242" s="680" t="s">
        <v>6153</v>
      </c>
    </row>
    <row r="5243" spans="8:8">
      <c r="H5243" s="680" t="s">
        <v>6153</v>
      </c>
    </row>
    <row r="5244" spans="8:8">
      <c r="H5244" s="680" t="s">
        <v>6153</v>
      </c>
    </row>
    <row r="5245" spans="8:8">
      <c r="H5245" s="680" t="s">
        <v>6153</v>
      </c>
    </row>
    <row r="5246" spans="8:8">
      <c r="H5246" s="680" t="s">
        <v>6153</v>
      </c>
    </row>
    <row r="5247" spans="8:8">
      <c r="H5247" s="680" t="s">
        <v>6153</v>
      </c>
    </row>
    <row r="5248" spans="8:8">
      <c r="H5248" s="680" t="s">
        <v>6153</v>
      </c>
    </row>
    <row r="5249" spans="8:8">
      <c r="H5249" s="680" t="s">
        <v>6153</v>
      </c>
    </row>
    <row r="5250" spans="8:8">
      <c r="H5250" s="680" t="s">
        <v>6153</v>
      </c>
    </row>
    <row r="5251" spans="8:8">
      <c r="H5251" s="680" t="s">
        <v>6153</v>
      </c>
    </row>
    <row r="5252" spans="8:8">
      <c r="H5252" s="680" t="s">
        <v>6153</v>
      </c>
    </row>
    <row r="5253" spans="8:8">
      <c r="H5253" s="680" t="s">
        <v>6153</v>
      </c>
    </row>
    <row r="5254" spans="8:8">
      <c r="H5254" s="680" t="s">
        <v>6153</v>
      </c>
    </row>
    <row r="5255" spans="8:8">
      <c r="H5255" s="680" t="s">
        <v>6153</v>
      </c>
    </row>
    <row r="5256" spans="8:8">
      <c r="H5256" s="680" t="s">
        <v>6153</v>
      </c>
    </row>
    <row r="5257" spans="8:8">
      <c r="H5257" s="680" t="s">
        <v>6153</v>
      </c>
    </row>
    <row r="5258" spans="8:8">
      <c r="H5258" s="680" t="s">
        <v>6153</v>
      </c>
    </row>
    <row r="5259" spans="8:8">
      <c r="H5259" s="680" t="s">
        <v>6153</v>
      </c>
    </row>
    <row r="5260" spans="8:8">
      <c r="H5260" s="680" t="s">
        <v>6153</v>
      </c>
    </row>
    <row r="5261" spans="8:8">
      <c r="H5261" s="680" t="s">
        <v>6153</v>
      </c>
    </row>
    <row r="5262" spans="8:8">
      <c r="H5262" s="680" t="s">
        <v>6153</v>
      </c>
    </row>
    <row r="5263" spans="8:8">
      <c r="H5263" s="680" t="s">
        <v>6153</v>
      </c>
    </row>
    <row r="5264" spans="8:8">
      <c r="H5264" s="680" t="s">
        <v>6153</v>
      </c>
    </row>
    <row r="5265" spans="8:8">
      <c r="H5265" s="680" t="s">
        <v>6153</v>
      </c>
    </row>
    <row r="5266" spans="8:8">
      <c r="H5266" s="680" t="s">
        <v>6153</v>
      </c>
    </row>
    <row r="5267" spans="8:8">
      <c r="H5267" s="680" t="s">
        <v>6153</v>
      </c>
    </row>
    <row r="5268" spans="8:8">
      <c r="H5268" s="680" t="s">
        <v>6153</v>
      </c>
    </row>
    <row r="5269" spans="8:8">
      <c r="H5269" s="680" t="s">
        <v>6153</v>
      </c>
    </row>
    <row r="5270" spans="8:8">
      <c r="H5270" s="680" t="s">
        <v>6153</v>
      </c>
    </row>
    <row r="5271" spans="8:8">
      <c r="H5271" s="680" t="s">
        <v>6153</v>
      </c>
    </row>
    <row r="5272" spans="8:8">
      <c r="H5272" s="680" t="s">
        <v>6153</v>
      </c>
    </row>
    <row r="5273" spans="8:8">
      <c r="H5273" s="680" t="s">
        <v>6153</v>
      </c>
    </row>
    <row r="5274" spans="8:8">
      <c r="H5274" s="680" t="s">
        <v>6153</v>
      </c>
    </row>
    <row r="5275" spans="8:8">
      <c r="H5275" s="680" t="s">
        <v>6153</v>
      </c>
    </row>
    <row r="5276" spans="8:8">
      <c r="H5276" s="680" t="s">
        <v>6153</v>
      </c>
    </row>
    <row r="5277" spans="8:8">
      <c r="H5277" s="680" t="s">
        <v>6153</v>
      </c>
    </row>
    <row r="5278" spans="8:8">
      <c r="H5278" s="680" t="s">
        <v>6153</v>
      </c>
    </row>
    <row r="5279" spans="8:8">
      <c r="H5279" s="680" t="s">
        <v>6153</v>
      </c>
    </row>
    <row r="5280" spans="8:8">
      <c r="H5280" s="680" t="s">
        <v>6153</v>
      </c>
    </row>
    <row r="5281" spans="8:8">
      <c r="H5281" s="680" t="s">
        <v>6153</v>
      </c>
    </row>
    <row r="5282" spans="8:8">
      <c r="H5282" s="680" t="s">
        <v>6153</v>
      </c>
    </row>
    <row r="5283" spans="8:8">
      <c r="H5283" s="680" t="s">
        <v>6153</v>
      </c>
    </row>
    <row r="5284" spans="8:8">
      <c r="H5284" s="680" t="s">
        <v>6153</v>
      </c>
    </row>
    <row r="5285" spans="8:8">
      <c r="H5285" s="680" t="s">
        <v>6153</v>
      </c>
    </row>
    <row r="5286" spans="8:8">
      <c r="H5286" s="680" t="s">
        <v>6153</v>
      </c>
    </row>
    <row r="5287" spans="8:8">
      <c r="H5287" s="680" t="s">
        <v>6153</v>
      </c>
    </row>
    <row r="5288" spans="8:8">
      <c r="H5288" s="680" t="s">
        <v>6153</v>
      </c>
    </row>
    <row r="5289" spans="8:8">
      <c r="H5289" s="680" t="s">
        <v>6153</v>
      </c>
    </row>
    <row r="5290" spans="8:8">
      <c r="H5290" s="680" t="s">
        <v>6153</v>
      </c>
    </row>
    <row r="5291" spans="8:8">
      <c r="H5291" s="680" t="s">
        <v>6153</v>
      </c>
    </row>
    <row r="5292" spans="8:8">
      <c r="H5292" s="680" t="s">
        <v>6153</v>
      </c>
    </row>
    <row r="5293" spans="8:8">
      <c r="H5293" s="680" t="s">
        <v>6153</v>
      </c>
    </row>
    <row r="5294" spans="8:8">
      <c r="H5294" s="680" t="s">
        <v>6153</v>
      </c>
    </row>
    <row r="5295" spans="8:8">
      <c r="H5295" s="680" t="s">
        <v>6153</v>
      </c>
    </row>
    <row r="5296" spans="8:8">
      <c r="H5296" s="680" t="s">
        <v>6153</v>
      </c>
    </row>
    <row r="5297" spans="8:8">
      <c r="H5297" s="680" t="s">
        <v>6153</v>
      </c>
    </row>
    <row r="5298" spans="8:8">
      <c r="H5298" s="680" t="s">
        <v>6153</v>
      </c>
    </row>
    <row r="5299" spans="8:8">
      <c r="H5299" s="680" t="s">
        <v>6153</v>
      </c>
    </row>
    <row r="5300" spans="8:8">
      <c r="H5300" s="680" t="s">
        <v>6153</v>
      </c>
    </row>
    <row r="5301" spans="8:8">
      <c r="H5301" s="680" t="s">
        <v>6153</v>
      </c>
    </row>
    <row r="5302" spans="8:8">
      <c r="H5302" s="680" t="s">
        <v>6153</v>
      </c>
    </row>
    <row r="5303" spans="8:8">
      <c r="H5303" s="680" t="s">
        <v>6153</v>
      </c>
    </row>
    <row r="5304" spans="8:8">
      <c r="H5304" s="680" t="s">
        <v>6153</v>
      </c>
    </row>
    <row r="5305" spans="8:8">
      <c r="H5305" s="680" t="s">
        <v>6153</v>
      </c>
    </row>
    <row r="5306" spans="8:8">
      <c r="H5306" s="680" t="s">
        <v>6153</v>
      </c>
    </row>
    <row r="5307" spans="8:8">
      <c r="H5307" s="680" t="s">
        <v>6153</v>
      </c>
    </row>
    <row r="5308" spans="8:8">
      <c r="H5308" s="680" t="s">
        <v>6153</v>
      </c>
    </row>
    <row r="5309" spans="8:8">
      <c r="H5309" s="680" t="s">
        <v>6153</v>
      </c>
    </row>
    <row r="5310" spans="8:8">
      <c r="H5310" s="680" t="s">
        <v>6153</v>
      </c>
    </row>
    <row r="5311" spans="8:8">
      <c r="H5311" s="680" t="s">
        <v>6153</v>
      </c>
    </row>
    <row r="5312" spans="8:8">
      <c r="H5312" s="680" t="s">
        <v>6153</v>
      </c>
    </row>
    <row r="5313" spans="8:8">
      <c r="H5313" s="680" t="s">
        <v>6153</v>
      </c>
    </row>
    <row r="5314" spans="8:8">
      <c r="H5314" s="680" t="s">
        <v>6153</v>
      </c>
    </row>
    <row r="5315" spans="8:8">
      <c r="H5315" s="680" t="s">
        <v>6153</v>
      </c>
    </row>
    <row r="5316" spans="8:8">
      <c r="H5316" s="680" t="s">
        <v>6153</v>
      </c>
    </row>
    <row r="5317" spans="8:8">
      <c r="H5317" s="680" t="s">
        <v>6153</v>
      </c>
    </row>
    <row r="5318" spans="8:8">
      <c r="H5318" s="680" t="s">
        <v>6153</v>
      </c>
    </row>
    <row r="5319" spans="8:8">
      <c r="H5319" s="680" t="s">
        <v>6153</v>
      </c>
    </row>
    <row r="5320" spans="8:8">
      <c r="H5320" s="680" t="s">
        <v>6153</v>
      </c>
    </row>
    <row r="5321" spans="8:8">
      <c r="H5321" s="680" t="s">
        <v>6153</v>
      </c>
    </row>
    <row r="5322" spans="8:8">
      <c r="H5322" s="680" t="s">
        <v>6153</v>
      </c>
    </row>
    <row r="5323" spans="8:8">
      <c r="H5323" s="680" t="s">
        <v>6153</v>
      </c>
    </row>
    <row r="5324" spans="8:8">
      <c r="H5324" s="680" t="s">
        <v>6153</v>
      </c>
    </row>
    <row r="5325" spans="8:8">
      <c r="H5325" s="680" t="s">
        <v>6153</v>
      </c>
    </row>
    <row r="5326" spans="8:8">
      <c r="H5326" s="680" t="s">
        <v>6153</v>
      </c>
    </row>
    <row r="5327" spans="8:8">
      <c r="H5327" s="680" t="s">
        <v>6153</v>
      </c>
    </row>
    <row r="5328" spans="8:8">
      <c r="H5328" s="680" t="s">
        <v>6153</v>
      </c>
    </row>
    <row r="5329" spans="8:8">
      <c r="H5329" s="680" t="s">
        <v>6153</v>
      </c>
    </row>
    <row r="5330" spans="8:8">
      <c r="H5330" s="680" t="s">
        <v>6153</v>
      </c>
    </row>
    <row r="5331" spans="8:8">
      <c r="H5331" s="680" t="s">
        <v>6153</v>
      </c>
    </row>
    <row r="5332" spans="8:8">
      <c r="H5332" s="680" t="s">
        <v>6153</v>
      </c>
    </row>
    <row r="5333" spans="8:8">
      <c r="H5333" s="680" t="s">
        <v>6153</v>
      </c>
    </row>
    <row r="5334" spans="8:8">
      <c r="H5334" s="680" t="s">
        <v>6153</v>
      </c>
    </row>
    <row r="5335" spans="8:8">
      <c r="H5335" s="680" t="s">
        <v>6153</v>
      </c>
    </row>
    <row r="5336" spans="8:8">
      <c r="H5336" s="680" t="s">
        <v>6153</v>
      </c>
    </row>
    <row r="5337" spans="8:8">
      <c r="H5337" s="680" t="s">
        <v>6153</v>
      </c>
    </row>
    <row r="5338" spans="8:8">
      <c r="H5338" s="680" t="s">
        <v>6153</v>
      </c>
    </row>
    <row r="5339" spans="8:8">
      <c r="H5339" s="680" t="s">
        <v>6153</v>
      </c>
    </row>
    <row r="5340" spans="8:8">
      <c r="H5340" s="680" t="s">
        <v>6153</v>
      </c>
    </row>
    <row r="5341" spans="8:8">
      <c r="H5341" s="680" t="s">
        <v>6153</v>
      </c>
    </row>
    <row r="5342" spans="8:8">
      <c r="H5342" s="680" t="s">
        <v>6153</v>
      </c>
    </row>
    <row r="5343" spans="8:8">
      <c r="H5343" s="680" t="s">
        <v>6153</v>
      </c>
    </row>
    <row r="5344" spans="8:8">
      <c r="H5344" s="680" t="s">
        <v>6153</v>
      </c>
    </row>
    <row r="5345" spans="8:8">
      <c r="H5345" s="680" t="s">
        <v>6153</v>
      </c>
    </row>
    <row r="5346" spans="8:8">
      <c r="H5346" s="680" t="s">
        <v>6153</v>
      </c>
    </row>
    <row r="5347" spans="8:8">
      <c r="H5347" s="680" t="s">
        <v>6153</v>
      </c>
    </row>
    <row r="5348" spans="8:8">
      <c r="H5348" s="680" t="s">
        <v>6153</v>
      </c>
    </row>
    <row r="5349" spans="8:8">
      <c r="H5349" s="680" t="s">
        <v>6153</v>
      </c>
    </row>
    <row r="5350" spans="8:8">
      <c r="H5350" s="680" t="s">
        <v>6153</v>
      </c>
    </row>
    <row r="5351" spans="8:8">
      <c r="H5351" s="680" t="s">
        <v>6153</v>
      </c>
    </row>
    <row r="5352" spans="8:8">
      <c r="H5352" s="680" t="s">
        <v>6153</v>
      </c>
    </row>
    <row r="5353" spans="8:8">
      <c r="H5353" s="680" t="s">
        <v>6153</v>
      </c>
    </row>
    <row r="5354" spans="8:8">
      <c r="H5354" s="680" t="s">
        <v>6153</v>
      </c>
    </row>
    <row r="5355" spans="8:8">
      <c r="H5355" s="680" t="s">
        <v>6153</v>
      </c>
    </row>
    <row r="5356" spans="8:8">
      <c r="H5356" s="680" t="s">
        <v>6153</v>
      </c>
    </row>
    <row r="5357" spans="8:8">
      <c r="H5357" s="680" t="s">
        <v>6153</v>
      </c>
    </row>
    <row r="5358" spans="8:8">
      <c r="H5358" s="680" t="s">
        <v>6153</v>
      </c>
    </row>
    <row r="5359" spans="8:8">
      <c r="H5359" s="680" t="s">
        <v>6153</v>
      </c>
    </row>
    <row r="5360" spans="8:8">
      <c r="H5360" s="680" t="s">
        <v>6153</v>
      </c>
    </row>
    <row r="5361" spans="8:8">
      <c r="H5361" s="680" t="s">
        <v>6153</v>
      </c>
    </row>
    <row r="5362" spans="8:8">
      <c r="H5362" s="680" t="s">
        <v>6153</v>
      </c>
    </row>
    <row r="5363" spans="8:8">
      <c r="H5363" s="680" t="s">
        <v>6153</v>
      </c>
    </row>
    <row r="5364" spans="8:8">
      <c r="H5364" s="680" t="s">
        <v>6153</v>
      </c>
    </row>
    <row r="5365" spans="8:8">
      <c r="H5365" s="680" t="s">
        <v>6153</v>
      </c>
    </row>
    <row r="5366" spans="8:8">
      <c r="H5366" s="680" t="s">
        <v>6153</v>
      </c>
    </row>
    <row r="5367" spans="8:8">
      <c r="H5367" s="680" t="s">
        <v>6153</v>
      </c>
    </row>
    <row r="5368" spans="8:8">
      <c r="H5368" s="680" t="s">
        <v>6153</v>
      </c>
    </row>
    <row r="5369" spans="8:8">
      <c r="H5369" s="680" t="s">
        <v>6153</v>
      </c>
    </row>
    <row r="5370" spans="8:8">
      <c r="H5370" s="680" t="s">
        <v>6153</v>
      </c>
    </row>
    <row r="5371" spans="8:8">
      <c r="H5371" s="680" t="s">
        <v>6153</v>
      </c>
    </row>
    <row r="5372" spans="8:8">
      <c r="H5372" s="680" t="s">
        <v>6153</v>
      </c>
    </row>
    <row r="5373" spans="8:8">
      <c r="H5373" s="680" t="s">
        <v>6153</v>
      </c>
    </row>
    <row r="5374" spans="8:8">
      <c r="H5374" s="680" t="s">
        <v>6153</v>
      </c>
    </row>
    <row r="5375" spans="8:8">
      <c r="H5375" s="680" t="s">
        <v>6153</v>
      </c>
    </row>
    <row r="5376" spans="8:8">
      <c r="H5376" s="680" t="s">
        <v>6153</v>
      </c>
    </row>
    <row r="5377" spans="8:8">
      <c r="H5377" s="680" t="s">
        <v>6153</v>
      </c>
    </row>
    <row r="5378" spans="8:8">
      <c r="H5378" s="680" t="s">
        <v>6153</v>
      </c>
    </row>
    <row r="5379" spans="8:8">
      <c r="H5379" s="680" t="s">
        <v>6153</v>
      </c>
    </row>
    <row r="5380" spans="8:8">
      <c r="H5380" s="680" t="s">
        <v>6153</v>
      </c>
    </row>
    <row r="5381" spans="8:8">
      <c r="H5381" s="680" t="s">
        <v>6153</v>
      </c>
    </row>
    <row r="5382" spans="8:8">
      <c r="H5382" s="680" t="s">
        <v>6153</v>
      </c>
    </row>
    <row r="5383" spans="8:8">
      <c r="H5383" s="680" t="s">
        <v>6153</v>
      </c>
    </row>
    <row r="5384" spans="8:8">
      <c r="H5384" s="680" t="s">
        <v>6153</v>
      </c>
    </row>
    <row r="5385" spans="8:8">
      <c r="H5385" s="680" t="s">
        <v>6153</v>
      </c>
    </row>
    <row r="5386" spans="8:8">
      <c r="H5386" s="680" t="s">
        <v>6153</v>
      </c>
    </row>
    <row r="5387" spans="8:8">
      <c r="H5387" s="680" t="s">
        <v>6153</v>
      </c>
    </row>
    <row r="5388" spans="8:8">
      <c r="H5388" s="680" t="s">
        <v>6153</v>
      </c>
    </row>
    <row r="5389" spans="8:8">
      <c r="H5389" s="680" t="s">
        <v>6153</v>
      </c>
    </row>
    <row r="5390" spans="8:8">
      <c r="H5390" s="680" t="s">
        <v>6153</v>
      </c>
    </row>
    <row r="5391" spans="8:8">
      <c r="H5391" s="680" t="s">
        <v>6153</v>
      </c>
    </row>
    <row r="5392" spans="8:8">
      <c r="H5392" s="680" t="s">
        <v>6153</v>
      </c>
    </row>
    <row r="5393" spans="8:8">
      <c r="H5393" s="680" t="s">
        <v>6153</v>
      </c>
    </row>
    <row r="5394" spans="8:8">
      <c r="H5394" s="680" t="s">
        <v>6153</v>
      </c>
    </row>
    <row r="5395" spans="8:8">
      <c r="H5395" s="680" t="s">
        <v>6153</v>
      </c>
    </row>
    <row r="5396" spans="8:8">
      <c r="H5396" s="680" t="s">
        <v>6153</v>
      </c>
    </row>
    <row r="5397" spans="8:8">
      <c r="H5397" s="680" t="s">
        <v>6153</v>
      </c>
    </row>
    <row r="5398" spans="8:8">
      <c r="H5398" s="680" t="s">
        <v>6153</v>
      </c>
    </row>
    <row r="5399" spans="8:8">
      <c r="H5399" s="680" t="s">
        <v>6153</v>
      </c>
    </row>
    <row r="5400" spans="8:8">
      <c r="H5400" s="680" t="s">
        <v>6153</v>
      </c>
    </row>
    <row r="5401" spans="8:8">
      <c r="H5401" s="680" t="s">
        <v>6153</v>
      </c>
    </row>
    <row r="5402" spans="8:8">
      <c r="H5402" s="680" t="s">
        <v>6153</v>
      </c>
    </row>
    <row r="5403" spans="8:8">
      <c r="H5403" s="680" t="s">
        <v>6153</v>
      </c>
    </row>
    <row r="5404" spans="8:8">
      <c r="H5404" s="680" t="s">
        <v>6153</v>
      </c>
    </row>
    <row r="5405" spans="8:8">
      <c r="H5405" s="680" t="s">
        <v>6153</v>
      </c>
    </row>
    <row r="5406" spans="8:8">
      <c r="H5406" s="680" t="s">
        <v>6153</v>
      </c>
    </row>
    <row r="5407" spans="8:8">
      <c r="H5407" s="680" t="s">
        <v>6153</v>
      </c>
    </row>
    <row r="5408" spans="8:8">
      <c r="H5408" s="680" t="s">
        <v>6153</v>
      </c>
    </row>
    <row r="5409" spans="8:8">
      <c r="H5409" s="680" t="s">
        <v>6153</v>
      </c>
    </row>
    <row r="5410" spans="8:8">
      <c r="H5410" s="680" t="s">
        <v>6153</v>
      </c>
    </row>
    <row r="5411" spans="8:8">
      <c r="H5411" s="680" t="s">
        <v>6153</v>
      </c>
    </row>
    <row r="5412" spans="8:8">
      <c r="H5412" s="680" t="s">
        <v>6153</v>
      </c>
    </row>
    <row r="5413" spans="8:8">
      <c r="H5413" s="680" t="s">
        <v>6153</v>
      </c>
    </row>
    <row r="5414" spans="8:8">
      <c r="H5414" s="680" t="s">
        <v>6153</v>
      </c>
    </row>
    <row r="5415" spans="8:8">
      <c r="H5415" s="680" t="s">
        <v>6153</v>
      </c>
    </row>
    <row r="5416" spans="8:8">
      <c r="H5416" s="680" t="s">
        <v>6153</v>
      </c>
    </row>
    <row r="5417" spans="8:8">
      <c r="H5417" s="680" t="s">
        <v>6153</v>
      </c>
    </row>
    <row r="5418" spans="8:8">
      <c r="H5418" s="680" t="s">
        <v>6153</v>
      </c>
    </row>
    <row r="5419" spans="8:8">
      <c r="H5419" s="680" t="s">
        <v>6153</v>
      </c>
    </row>
    <row r="5420" spans="8:8">
      <c r="H5420" s="680" t="s">
        <v>6153</v>
      </c>
    </row>
    <row r="5421" spans="8:8">
      <c r="H5421" s="680" t="s">
        <v>6153</v>
      </c>
    </row>
    <row r="5422" spans="8:8">
      <c r="H5422" s="680" t="s">
        <v>6153</v>
      </c>
    </row>
    <row r="5423" spans="8:8">
      <c r="H5423" s="680" t="s">
        <v>6153</v>
      </c>
    </row>
    <row r="5424" spans="8:8">
      <c r="H5424" s="680" t="s">
        <v>6153</v>
      </c>
    </row>
    <row r="5425" spans="8:8">
      <c r="H5425" s="680" t="s">
        <v>6153</v>
      </c>
    </row>
    <row r="5426" spans="8:8">
      <c r="H5426" s="680" t="s">
        <v>6153</v>
      </c>
    </row>
    <row r="5427" spans="8:8">
      <c r="H5427" s="680" t="s">
        <v>6153</v>
      </c>
    </row>
    <row r="5428" spans="8:8">
      <c r="H5428" s="680" t="s">
        <v>6153</v>
      </c>
    </row>
    <row r="5429" spans="8:8">
      <c r="H5429" s="680" t="s">
        <v>6153</v>
      </c>
    </row>
    <row r="5430" spans="8:8">
      <c r="H5430" s="680" t="s">
        <v>6153</v>
      </c>
    </row>
    <row r="5431" spans="8:8">
      <c r="H5431" s="680" t="s">
        <v>6153</v>
      </c>
    </row>
    <row r="5432" spans="8:8">
      <c r="H5432" s="680" t="s">
        <v>6153</v>
      </c>
    </row>
    <row r="5433" spans="8:8">
      <c r="H5433" s="680" t="s">
        <v>6153</v>
      </c>
    </row>
    <row r="5434" spans="8:8">
      <c r="H5434" s="680" t="s">
        <v>6153</v>
      </c>
    </row>
    <row r="5435" spans="8:8">
      <c r="H5435" s="680" t="s">
        <v>6153</v>
      </c>
    </row>
    <row r="5436" spans="8:8">
      <c r="H5436" s="680" t="s">
        <v>6153</v>
      </c>
    </row>
    <row r="5437" spans="8:8">
      <c r="H5437" s="680" t="s">
        <v>6153</v>
      </c>
    </row>
    <row r="5438" spans="8:8">
      <c r="H5438" s="680" t="s">
        <v>6153</v>
      </c>
    </row>
    <row r="5439" spans="8:8">
      <c r="H5439" s="680" t="s">
        <v>6153</v>
      </c>
    </row>
    <row r="5440" spans="8:8">
      <c r="H5440" s="680" t="s">
        <v>6153</v>
      </c>
    </row>
    <row r="5441" spans="8:8">
      <c r="H5441" s="680" t="s">
        <v>6153</v>
      </c>
    </row>
    <row r="5442" spans="8:8">
      <c r="H5442" s="680" t="s">
        <v>6153</v>
      </c>
    </row>
    <row r="5443" spans="8:8">
      <c r="H5443" s="680" t="s">
        <v>6153</v>
      </c>
    </row>
    <row r="5444" spans="8:8">
      <c r="H5444" s="680" t="s">
        <v>6153</v>
      </c>
    </row>
    <row r="5445" spans="8:8">
      <c r="H5445" s="680" t="s">
        <v>6153</v>
      </c>
    </row>
    <row r="5446" spans="8:8">
      <c r="H5446" s="680" t="s">
        <v>6153</v>
      </c>
    </row>
    <row r="5447" spans="8:8">
      <c r="H5447" s="680" t="s">
        <v>6153</v>
      </c>
    </row>
    <row r="5448" spans="8:8">
      <c r="H5448" s="680" t="s">
        <v>6153</v>
      </c>
    </row>
    <row r="5449" spans="8:8">
      <c r="H5449" s="680" t="s">
        <v>6153</v>
      </c>
    </row>
    <row r="5450" spans="8:8">
      <c r="H5450" s="680" t="s">
        <v>6153</v>
      </c>
    </row>
    <row r="5451" spans="8:8">
      <c r="H5451" s="680" t="s">
        <v>6153</v>
      </c>
    </row>
    <row r="5452" spans="8:8">
      <c r="H5452" s="680" t="s">
        <v>6153</v>
      </c>
    </row>
    <row r="5453" spans="8:8">
      <c r="H5453" s="680" t="s">
        <v>6153</v>
      </c>
    </row>
    <row r="5454" spans="8:8">
      <c r="H5454" s="680" t="s">
        <v>6153</v>
      </c>
    </row>
    <row r="5455" spans="8:8">
      <c r="H5455" s="680" t="s">
        <v>6153</v>
      </c>
    </row>
    <row r="5456" spans="8:8">
      <c r="H5456" s="680" t="s">
        <v>6153</v>
      </c>
    </row>
    <row r="5457" spans="8:8">
      <c r="H5457" s="680" t="s">
        <v>6153</v>
      </c>
    </row>
    <row r="5458" spans="8:8">
      <c r="H5458" s="680" t="s">
        <v>6153</v>
      </c>
    </row>
    <row r="5459" spans="8:8">
      <c r="H5459" s="680" t="s">
        <v>6153</v>
      </c>
    </row>
    <row r="5460" spans="8:8">
      <c r="H5460" s="680" t="s">
        <v>6153</v>
      </c>
    </row>
    <row r="5461" spans="8:8">
      <c r="H5461" s="680" t="s">
        <v>6153</v>
      </c>
    </row>
    <row r="5462" spans="8:8">
      <c r="H5462" s="680" t="s">
        <v>6153</v>
      </c>
    </row>
    <row r="5463" spans="8:8">
      <c r="H5463" s="680" t="s">
        <v>6153</v>
      </c>
    </row>
    <row r="5464" spans="8:8">
      <c r="H5464" s="680" t="s">
        <v>6153</v>
      </c>
    </row>
    <row r="5465" spans="8:8">
      <c r="H5465" s="680" t="s">
        <v>6153</v>
      </c>
    </row>
    <row r="5466" spans="8:8">
      <c r="H5466" s="680" t="s">
        <v>6153</v>
      </c>
    </row>
    <row r="5467" spans="8:8">
      <c r="H5467" s="680" t="s">
        <v>6153</v>
      </c>
    </row>
    <row r="5468" spans="8:8">
      <c r="H5468" s="680" t="s">
        <v>6153</v>
      </c>
    </row>
    <row r="5469" spans="8:8">
      <c r="H5469" s="680" t="s">
        <v>6153</v>
      </c>
    </row>
    <row r="5470" spans="8:8">
      <c r="H5470" s="680" t="s">
        <v>6153</v>
      </c>
    </row>
    <row r="5471" spans="8:8">
      <c r="H5471" s="680" t="s">
        <v>6153</v>
      </c>
    </row>
    <row r="5472" spans="8:8">
      <c r="H5472" s="680" t="s">
        <v>6153</v>
      </c>
    </row>
    <row r="5473" spans="8:8">
      <c r="H5473" s="680" t="s">
        <v>6153</v>
      </c>
    </row>
    <row r="5474" spans="8:8">
      <c r="H5474" s="680" t="s">
        <v>6153</v>
      </c>
    </row>
    <row r="5475" spans="8:8">
      <c r="H5475" s="680" t="s">
        <v>6153</v>
      </c>
    </row>
    <row r="5476" spans="8:8">
      <c r="H5476" s="680" t="s">
        <v>6153</v>
      </c>
    </row>
    <row r="5477" spans="8:8">
      <c r="H5477" s="680" t="s">
        <v>6153</v>
      </c>
    </row>
    <row r="5478" spans="8:8">
      <c r="H5478" s="680" t="s">
        <v>6153</v>
      </c>
    </row>
    <row r="5479" spans="8:8">
      <c r="H5479" s="680" t="s">
        <v>6153</v>
      </c>
    </row>
    <row r="5480" spans="8:8">
      <c r="H5480" s="680" t="s">
        <v>6153</v>
      </c>
    </row>
    <row r="5481" spans="8:8">
      <c r="H5481" s="680" t="s">
        <v>6153</v>
      </c>
    </row>
    <row r="5482" spans="8:8">
      <c r="H5482" s="680" t="s">
        <v>6153</v>
      </c>
    </row>
    <row r="5483" spans="8:8">
      <c r="H5483" s="680" t="s">
        <v>6153</v>
      </c>
    </row>
    <row r="5484" spans="8:8">
      <c r="H5484" s="680" t="s">
        <v>6153</v>
      </c>
    </row>
    <row r="5485" spans="8:8">
      <c r="H5485" s="680" t="s">
        <v>6153</v>
      </c>
    </row>
    <row r="5486" spans="8:8">
      <c r="H5486" s="680" t="s">
        <v>6153</v>
      </c>
    </row>
    <row r="5487" spans="8:8">
      <c r="H5487" s="680" t="s">
        <v>6153</v>
      </c>
    </row>
    <row r="5488" spans="8:8">
      <c r="H5488" s="680" t="s">
        <v>6153</v>
      </c>
    </row>
    <row r="5489" spans="8:8">
      <c r="H5489" s="680" t="s">
        <v>6153</v>
      </c>
    </row>
    <row r="5490" spans="8:8">
      <c r="H5490" s="680" t="s">
        <v>6153</v>
      </c>
    </row>
    <row r="5491" spans="8:8">
      <c r="H5491" s="680" t="s">
        <v>6153</v>
      </c>
    </row>
    <row r="5492" spans="8:8">
      <c r="H5492" s="680" t="s">
        <v>6153</v>
      </c>
    </row>
    <row r="5493" spans="8:8">
      <c r="H5493" s="680" t="s">
        <v>6153</v>
      </c>
    </row>
    <row r="5494" spans="8:8">
      <c r="H5494" s="680" t="s">
        <v>6153</v>
      </c>
    </row>
    <row r="5495" spans="8:8">
      <c r="H5495" s="680" t="s">
        <v>6153</v>
      </c>
    </row>
    <row r="5496" spans="8:8">
      <c r="H5496" s="680" t="s">
        <v>6153</v>
      </c>
    </row>
    <row r="5497" spans="8:8">
      <c r="H5497" s="680" t="s">
        <v>6153</v>
      </c>
    </row>
    <row r="5498" spans="8:8">
      <c r="H5498" s="680" t="s">
        <v>6153</v>
      </c>
    </row>
    <row r="5499" spans="8:8">
      <c r="H5499" s="680" t="s">
        <v>6153</v>
      </c>
    </row>
    <row r="5500" spans="8:8">
      <c r="H5500" s="680" t="s">
        <v>6153</v>
      </c>
    </row>
    <row r="5501" spans="8:8">
      <c r="H5501" s="680" t="s">
        <v>6153</v>
      </c>
    </row>
    <row r="5502" spans="8:8">
      <c r="H5502" s="680" t="s">
        <v>6153</v>
      </c>
    </row>
    <row r="5503" spans="8:8">
      <c r="H5503" s="680" t="s">
        <v>6153</v>
      </c>
    </row>
    <row r="5504" spans="8:8">
      <c r="H5504" s="680" t="s">
        <v>6153</v>
      </c>
    </row>
    <row r="5505" spans="8:8">
      <c r="H5505" s="680" t="s">
        <v>6153</v>
      </c>
    </row>
    <row r="5506" spans="8:8">
      <c r="H5506" s="680" t="s">
        <v>6153</v>
      </c>
    </row>
    <row r="5507" spans="8:8">
      <c r="H5507" s="680" t="s">
        <v>6153</v>
      </c>
    </row>
    <row r="5508" spans="8:8">
      <c r="H5508" s="680" t="s">
        <v>6153</v>
      </c>
    </row>
    <row r="5509" spans="8:8">
      <c r="H5509" s="680" t="s">
        <v>6153</v>
      </c>
    </row>
    <row r="5510" spans="8:8">
      <c r="H5510" s="680" t="s">
        <v>6153</v>
      </c>
    </row>
    <row r="5511" spans="8:8">
      <c r="H5511" s="680" t="s">
        <v>6153</v>
      </c>
    </row>
    <row r="5512" spans="8:8">
      <c r="H5512" s="680" t="s">
        <v>6153</v>
      </c>
    </row>
    <row r="5513" spans="8:8">
      <c r="H5513" s="680" t="s">
        <v>6153</v>
      </c>
    </row>
    <row r="5514" spans="8:8">
      <c r="H5514" s="680" t="s">
        <v>6153</v>
      </c>
    </row>
    <row r="5515" spans="8:8">
      <c r="H5515" s="680" t="s">
        <v>6153</v>
      </c>
    </row>
    <row r="5516" spans="8:8">
      <c r="H5516" s="680" t="s">
        <v>6153</v>
      </c>
    </row>
    <row r="5517" spans="8:8">
      <c r="H5517" s="680" t="s">
        <v>6153</v>
      </c>
    </row>
    <row r="5518" spans="8:8">
      <c r="H5518" s="680" t="s">
        <v>6153</v>
      </c>
    </row>
    <row r="5519" spans="8:8">
      <c r="H5519" s="680" t="s">
        <v>6153</v>
      </c>
    </row>
    <row r="5520" spans="8:8">
      <c r="H5520" s="680" t="s">
        <v>6153</v>
      </c>
    </row>
    <row r="5521" spans="8:8">
      <c r="H5521" s="680" t="s">
        <v>6153</v>
      </c>
    </row>
    <row r="5522" spans="8:8">
      <c r="H5522" s="680" t="s">
        <v>6153</v>
      </c>
    </row>
    <row r="5523" spans="8:8">
      <c r="H5523" s="680" t="s">
        <v>6153</v>
      </c>
    </row>
    <row r="5524" spans="8:8">
      <c r="H5524" s="680" t="s">
        <v>6153</v>
      </c>
    </row>
    <row r="5525" spans="8:8">
      <c r="H5525" s="680" t="s">
        <v>6153</v>
      </c>
    </row>
    <row r="5526" spans="8:8">
      <c r="H5526" s="680" t="s">
        <v>6153</v>
      </c>
    </row>
    <row r="5527" spans="8:8">
      <c r="H5527" s="680" t="s">
        <v>6153</v>
      </c>
    </row>
    <row r="5528" spans="8:8">
      <c r="H5528" s="680" t="s">
        <v>6153</v>
      </c>
    </row>
    <row r="5529" spans="8:8">
      <c r="H5529" s="680" t="s">
        <v>6153</v>
      </c>
    </row>
    <row r="5530" spans="8:8">
      <c r="H5530" s="680" t="s">
        <v>6153</v>
      </c>
    </row>
    <row r="5531" spans="8:8">
      <c r="H5531" s="680" t="s">
        <v>6153</v>
      </c>
    </row>
    <row r="5532" spans="8:8">
      <c r="H5532" s="680" t="s">
        <v>6153</v>
      </c>
    </row>
    <row r="5533" spans="8:8">
      <c r="H5533" s="680" t="s">
        <v>6153</v>
      </c>
    </row>
    <row r="5534" spans="8:8">
      <c r="H5534" s="680" t="s">
        <v>6153</v>
      </c>
    </row>
    <row r="5535" spans="8:8">
      <c r="H5535" s="680" t="s">
        <v>6153</v>
      </c>
    </row>
    <row r="5536" spans="8:8">
      <c r="H5536" s="680" t="s">
        <v>6153</v>
      </c>
    </row>
    <row r="5537" spans="8:8">
      <c r="H5537" s="680" t="s">
        <v>6153</v>
      </c>
    </row>
    <row r="5538" spans="8:8">
      <c r="H5538" s="680" t="s">
        <v>6153</v>
      </c>
    </row>
    <row r="5539" spans="8:8">
      <c r="H5539" s="680" t="s">
        <v>6153</v>
      </c>
    </row>
    <row r="5540" spans="8:8">
      <c r="H5540" s="680" t="s">
        <v>6153</v>
      </c>
    </row>
    <row r="5541" spans="8:8">
      <c r="H5541" s="680" t="s">
        <v>6153</v>
      </c>
    </row>
    <row r="5542" spans="8:8">
      <c r="H5542" s="680" t="s">
        <v>6153</v>
      </c>
    </row>
    <row r="5543" spans="8:8">
      <c r="H5543" s="680" t="s">
        <v>6153</v>
      </c>
    </row>
    <row r="5544" spans="8:8">
      <c r="H5544" s="680" t="s">
        <v>6153</v>
      </c>
    </row>
    <row r="5545" spans="8:8">
      <c r="H5545" s="680" t="s">
        <v>6153</v>
      </c>
    </row>
    <row r="5546" spans="8:8">
      <c r="H5546" s="680" t="s">
        <v>6153</v>
      </c>
    </row>
    <row r="5547" spans="8:8">
      <c r="H5547" s="680" t="s">
        <v>6153</v>
      </c>
    </row>
    <row r="5548" spans="8:8">
      <c r="H5548" s="680" t="s">
        <v>6153</v>
      </c>
    </row>
    <row r="5549" spans="8:8">
      <c r="H5549" s="680" t="s">
        <v>6153</v>
      </c>
    </row>
    <row r="5550" spans="8:8">
      <c r="H5550" s="680" t="s">
        <v>6153</v>
      </c>
    </row>
    <row r="5551" spans="8:8">
      <c r="H5551" s="680" t="s">
        <v>6153</v>
      </c>
    </row>
    <row r="5552" spans="8:8">
      <c r="H5552" s="680" t="s">
        <v>6153</v>
      </c>
    </row>
    <row r="5553" spans="8:8">
      <c r="H5553" s="680" t="s">
        <v>6153</v>
      </c>
    </row>
    <row r="5554" spans="8:8">
      <c r="H5554" s="680" t="s">
        <v>6153</v>
      </c>
    </row>
    <row r="5555" spans="8:8">
      <c r="H5555" s="680" t="s">
        <v>6153</v>
      </c>
    </row>
    <row r="5556" spans="8:8">
      <c r="H5556" s="680" t="s">
        <v>6153</v>
      </c>
    </row>
    <row r="5557" spans="8:8">
      <c r="H5557" s="680" t="s">
        <v>6153</v>
      </c>
    </row>
    <row r="5558" spans="8:8">
      <c r="H5558" s="680" t="s">
        <v>6153</v>
      </c>
    </row>
    <row r="5559" spans="8:8">
      <c r="H5559" s="680" t="s">
        <v>6153</v>
      </c>
    </row>
    <row r="5560" spans="8:8">
      <c r="H5560" s="680" t="s">
        <v>6153</v>
      </c>
    </row>
    <row r="5561" spans="8:8">
      <c r="H5561" s="680" t="s">
        <v>6153</v>
      </c>
    </row>
    <row r="5562" spans="8:8">
      <c r="H5562" s="680" t="s">
        <v>6153</v>
      </c>
    </row>
    <row r="5563" spans="8:8">
      <c r="H5563" s="680" t="s">
        <v>6153</v>
      </c>
    </row>
    <row r="5564" spans="8:8">
      <c r="H5564" s="680" t="s">
        <v>6153</v>
      </c>
    </row>
    <row r="5565" spans="8:8">
      <c r="H5565" s="680" t="s">
        <v>6153</v>
      </c>
    </row>
    <row r="5566" spans="8:8">
      <c r="H5566" s="680" t="s">
        <v>6153</v>
      </c>
    </row>
    <row r="5567" spans="8:8">
      <c r="H5567" s="680" t="s">
        <v>6153</v>
      </c>
    </row>
    <row r="5568" spans="8:8">
      <c r="H5568" s="680" t="s">
        <v>6153</v>
      </c>
    </row>
    <row r="5569" spans="8:8">
      <c r="H5569" s="680" t="s">
        <v>6153</v>
      </c>
    </row>
    <row r="5570" spans="8:8">
      <c r="H5570" s="680" t="s">
        <v>6153</v>
      </c>
    </row>
    <row r="5571" spans="8:8">
      <c r="H5571" s="680" t="s">
        <v>6153</v>
      </c>
    </row>
    <row r="5572" spans="8:8">
      <c r="H5572" s="680" t="s">
        <v>6153</v>
      </c>
    </row>
    <row r="5573" spans="8:8">
      <c r="H5573" s="680" t="s">
        <v>6153</v>
      </c>
    </row>
    <row r="5574" spans="8:8">
      <c r="H5574" s="680" t="s">
        <v>6153</v>
      </c>
    </row>
    <row r="5575" spans="8:8">
      <c r="H5575" s="680" t="s">
        <v>6153</v>
      </c>
    </row>
    <row r="5576" spans="8:8">
      <c r="H5576" s="680" t="s">
        <v>6153</v>
      </c>
    </row>
    <row r="5577" spans="8:8">
      <c r="H5577" s="680" t="s">
        <v>6153</v>
      </c>
    </row>
    <row r="5578" spans="8:8">
      <c r="H5578" s="680" t="s">
        <v>6153</v>
      </c>
    </row>
    <row r="5579" spans="8:8">
      <c r="H5579" s="680" t="s">
        <v>6153</v>
      </c>
    </row>
    <row r="5580" spans="8:8">
      <c r="H5580" s="680" t="s">
        <v>6153</v>
      </c>
    </row>
    <row r="5581" spans="8:8">
      <c r="H5581" s="680" t="s">
        <v>6153</v>
      </c>
    </row>
    <row r="5582" spans="8:8">
      <c r="H5582" s="680" t="s">
        <v>6153</v>
      </c>
    </row>
    <row r="5583" spans="8:8">
      <c r="H5583" s="680" t="s">
        <v>6153</v>
      </c>
    </row>
    <row r="5584" spans="8:8">
      <c r="H5584" s="680" t="s">
        <v>6153</v>
      </c>
    </row>
    <row r="5585" spans="8:8">
      <c r="H5585" s="680" t="s">
        <v>6153</v>
      </c>
    </row>
    <row r="5586" spans="8:8">
      <c r="H5586" s="680" t="s">
        <v>6153</v>
      </c>
    </row>
    <row r="5587" spans="8:8">
      <c r="H5587" s="680" t="s">
        <v>6153</v>
      </c>
    </row>
    <row r="5588" spans="8:8">
      <c r="H5588" s="680" t="s">
        <v>6153</v>
      </c>
    </row>
    <row r="5589" spans="8:8">
      <c r="H5589" s="680" t="s">
        <v>6153</v>
      </c>
    </row>
    <row r="5590" spans="8:8">
      <c r="H5590" s="680" t="s">
        <v>6153</v>
      </c>
    </row>
    <row r="5591" spans="8:8">
      <c r="H5591" s="680" t="s">
        <v>6153</v>
      </c>
    </row>
    <row r="5592" spans="8:8">
      <c r="H5592" s="680" t="s">
        <v>6153</v>
      </c>
    </row>
    <row r="5593" spans="8:8">
      <c r="H5593" s="680" t="s">
        <v>6153</v>
      </c>
    </row>
    <row r="5594" spans="8:8">
      <c r="H5594" s="680" t="s">
        <v>6153</v>
      </c>
    </row>
    <row r="5595" spans="8:8">
      <c r="H5595" s="680" t="s">
        <v>6153</v>
      </c>
    </row>
    <row r="5596" spans="8:8">
      <c r="H5596" s="680" t="s">
        <v>6153</v>
      </c>
    </row>
    <row r="5597" spans="8:8">
      <c r="H5597" s="680" t="s">
        <v>6153</v>
      </c>
    </row>
    <row r="5598" spans="8:8">
      <c r="H5598" s="680" t="s">
        <v>6153</v>
      </c>
    </row>
    <row r="5599" spans="8:8">
      <c r="H5599" s="680" t="s">
        <v>6153</v>
      </c>
    </row>
    <row r="5600" spans="8:8">
      <c r="H5600" s="680" t="s">
        <v>6153</v>
      </c>
    </row>
    <row r="5601" spans="8:8">
      <c r="H5601" s="680" t="s">
        <v>6153</v>
      </c>
    </row>
    <row r="5602" spans="8:8">
      <c r="H5602" s="680" t="s">
        <v>6153</v>
      </c>
    </row>
    <row r="5603" spans="8:8">
      <c r="H5603" s="680" t="s">
        <v>6153</v>
      </c>
    </row>
    <row r="5604" spans="8:8">
      <c r="H5604" s="680" t="s">
        <v>6153</v>
      </c>
    </row>
    <row r="5605" spans="8:8">
      <c r="H5605" s="680" t="s">
        <v>6153</v>
      </c>
    </row>
    <row r="5606" spans="8:8">
      <c r="H5606" s="680" t="s">
        <v>6153</v>
      </c>
    </row>
    <row r="5607" spans="8:8">
      <c r="H5607" s="680" t="s">
        <v>6153</v>
      </c>
    </row>
    <row r="5608" spans="8:8">
      <c r="H5608" s="680" t="s">
        <v>6153</v>
      </c>
    </row>
    <row r="5609" spans="8:8">
      <c r="H5609" s="680" t="s">
        <v>6153</v>
      </c>
    </row>
    <row r="5610" spans="8:8">
      <c r="H5610" s="680" t="s">
        <v>6153</v>
      </c>
    </row>
    <row r="5611" spans="8:8">
      <c r="H5611" s="680" t="s">
        <v>6153</v>
      </c>
    </row>
    <row r="5612" spans="8:8">
      <c r="H5612" s="680" t="s">
        <v>6153</v>
      </c>
    </row>
    <row r="5613" spans="8:8">
      <c r="H5613" s="680" t="s">
        <v>6153</v>
      </c>
    </row>
    <row r="5614" spans="8:8">
      <c r="H5614" s="680" t="s">
        <v>6153</v>
      </c>
    </row>
    <row r="5615" spans="8:8">
      <c r="H5615" s="680" t="s">
        <v>6153</v>
      </c>
    </row>
    <row r="5616" spans="8:8">
      <c r="H5616" s="680" t="s">
        <v>6153</v>
      </c>
    </row>
    <row r="5617" spans="8:8">
      <c r="H5617" s="680" t="s">
        <v>6153</v>
      </c>
    </row>
    <row r="5618" spans="8:8">
      <c r="H5618" s="680" t="s">
        <v>6153</v>
      </c>
    </row>
    <row r="5619" spans="8:8">
      <c r="H5619" s="680" t="s">
        <v>6153</v>
      </c>
    </row>
    <row r="5620" spans="8:8">
      <c r="H5620" s="680" t="s">
        <v>6153</v>
      </c>
    </row>
    <row r="5621" spans="8:8">
      <c r="H5621" s="680" t="s">
        <v>6153</v>
      </c>
    </row>
    <row r="5622" spans="8:8">
      <c r="H5622" s="680" t="s">
        <v>6153</v>
      </c>
    </row>
    <row r="5623" spans="8:8">
      <c r="H5623" s="680" t="s">
        <v>6153</v>
      </c>
    </row>
    <row r="5624" spans="8:8">
      <c r="H5624" s="680" t="s">
        <v>6153</v>
      </c>
    </row>
    <row r="5625" spans="8:8">
      <c r="H5625" s="680" t="s">
        <v>6153</v>
      </c>
    </row>
    <row r="5626" spans="8:8">
      <c r="H5626" s="680" t="s">
        <v>6153</v>
      </c>
    </row>
    <row r="5627" spans="8:8">
      <c r="H5627" s="680" t="s">
        <v>6153</v>
      </c>
    </row>
    <row r="5628" spans="8:8">
      <c r="H5628" s="680" t="s">
        <v>6153</v>
      </c>
    </row>
    <row r="5629" spans="8:8">
      <c r="H5629" s="680" t="s">
        <v>6153</v>
      </c>
    </row>
    <row r="5630" spans="8:8">
      <c r="H5630" s="680" t="s">
        <v>6153</v>
      </c>
    </row>
    <row r="5631" spans="8:8">
      <c r="H5631" s="680" t="s">
        <v>6153</v>
      </c>
    </row>
    <row r="5632" spans="8:8">
      <c r="H5632" s="680" t="s">
        <v>6153</v>
      </c>
    </row>
    <row r="5633" spans="8:8">
      <c r="H5633" s="680" t="s">
        <v>6153</v>
      </c>
    </row>
    <row r="5634" spans="8:8">
      <c r="H5634" s="680" t="s">
        <v>6153</v>
      </c>
    </row>
    <row r="5635" spans="8:8">
      <c r="H5635" s="680" t="s">
        <v>6153</v>
      </c>
    </row>
    <row r="5636" spans="8:8">
      <c r="H5636" s="680" t="s">
        <v>6153</v>
      </c>
    </row>
    <row r="5637" spans="8:8">
      <c r="H5637" s="680" t="s">
        <v>6153</v>
      </c>
    </row>
    <row r="5638" spans="8:8">
      <c r="H5638" s="680" t="s">
        <v>6153</v>
      </c>
    </row>
    <row r="5639" spans="8:8">
      <c r="H5639" s="680" t="s">
        <v>6153</v>
      </c>
    </row>
    <row r="5640" spans="8:8">
      <c r="H5640" s="680" t="s">
        <v>6153</v>
      </c>
    </row>
    <row r="5641" spans="8:8">
      <c r="H5641" s="680" t="s">
        <v>6153</v>
      </c>
    </row>
    <row r="5642" spans="8:8">
      <c r="H5642" s="680" t="s">
        <v>6153</v>
      </c>
    </row>
    <row r="5643" spans="8:8">
      <c r="H5643" s="680" t="s">
        <v>6153</v>
      </c>
    </row>
    <row r="5644" spans="8:8">
      <c r="H5644" s="680" t="s">
        <v>6153</v>
      </c>
    </row>
    <row r="5645" spans="8:8">
      <c r="H5645" s="680" t="s">
        <v>6153</v>
      </c>
    </row>
    <row r="5646" spans="8:8">
      <c r="H5646" s="680" t="s">
        <v>6153</v>
      </c>
    </row>
    <row r="5647" spans="8:8">
      <c r="H5647" s="680" t="s">
        <v>6153</v>
      </c>
    </row>
    <row r="5648" spans="8:8">
      <c r="H5648" s="680" t="s">
        <v>6153</v>
      </c>
    </row>
    <row r="5649" spans="8:8">
      <c r="H5649" s="680" t="s">
        <v>6153</v>
      </c>
    </row>
    <row r="5650" spans="8:8">
      <c r="H5650" s="680" t="s">
        <v>6153</v>
      </c>
    </row>
    <row r="5651" spans="8:8">
      <c r="H5651" s="680" t="s">
        <v>6153</v>
      </c>
    </row>
    <row r="5652" spans="8:8">
      <c r="H5652" s="680" t="s">
        <v>6153</v>
      </c>
    </row>
    <row r="5653" spans="8:8">
      <c r="H5653" s="680" t="s">
        <v>6153</v>
      </c>
    </row>
    <row r="5654" spans="8:8">
      <c r="H5654" s="680" t="s">
        <v>6153</v>
      </c>
    </row>
    <row r="5655" spans="8:8">
      <c r="H5655" s="680" t="s">
        <v>6153</v>
      </c>
    </row>
    <row r="5656" spans="8:8">
      <c r="H5656" s="680" t="s">
        <v>6153</v>
      </c>
    </row>
    <row r="5657" spans="8:8">
      <c r="H5657" s="680" t="s">
        <v>6153</v>
      </c>
    </row>
    <row r="5658" spans="8:8">
      <c r="H5658" s="680" t="s">
        <v>6153</v>
      </c>
    </row>
    <row r="5659" spans="8:8">
      <c r="H5659" s="680" t="s">
        <v>6153</v>
      </c>
    </row>
    <row r="5660" spans="8:8">
      <c r="H5660" s="680" t="s">
        <v>6153</v>
      </c>
    </row>
    <row r="5661" spans="8:8">
      <c r="H5661" s="680" t="s">
        <v>6153</v>
      </c>
    </row>
    <row r="5662" spans="8:8">
      <c r="H5662" s="680" t="s">
        <v>6153</v>
      </c>
    </row>
    <row r="5663" spans="8:8">
      <c r="H5663" s="680" t="s">
        <v>6153</v>
      </c>
    </row>
    <row r="5664" spans="8:8">
      <c r="H5664" s="680" t="s">
        <v>6153</v>
      </c>
    </row>
    <row r="5665" spans="8:8">
      <c r="H5665" s="680" t="s">
        <v>6153</v>
      </c>
    </row>
    <row r="5666" spans="8:8">
      <c r="H5666" s="680" t="s">
        <v>6153</v>
      </c>
    </row>
    <row r="5667" spans="8:8">
      <c r="H5667" s="680" t="s">
        <v>6153</v>
      </c>
    </row>
    <row r="5668" spans="8:8">
      <c r="H5668" s="680" t="s">
        <v>6153</v>
      </c>
    </row>
    <row r="5669" spans="8:8">
      <c r="H5669" s="680" t="s">
        <v>6153</v>
      </c>
    </row>
    <row r="5670" spans="8:8">
      <c r="H5670" s="680" t="s">
        <v>6153</v>
      </c>
    </row>
    <row r="5671" spans="8:8">
      <c r="H5671" s="680" t="s">
        <v>6153</v>
      </c>
    </row>
    <row r="5672" spans="8:8">
      <c r="H5672" s="680" t="s">
        <v>6153</v>
      </c>
    </row>
    <row r="5673" spans="8:8">
      <c r="H5673" s="680" t="s">
        <v>6153</v>
      </c>
    </row>
    <row r="5674" spans="8:8">
      <c r="H5674" s="680" t="s">
        <v>6153</v>
      </c>
    </row>
    <row r="5675" spans="8:8">
      <c r="H5675" s="680" t="s">
        <v>6153</v>
      </c>
    </row>
    <row r="5676" spans="8:8">
      <c r="H5676" s="680" t="s">
        <v>6153</v>
      </c>
    </row>
    <row r="5677" spans="8:8">
      <c r="H5677" s="680" t="s">
        <v>6153</v>
      </c>
    </row>
    <row r="5678" spans="8:8">
      <c r="H5678" s="680" t="s">
        <v>6153</v>
      </c>
    </row>
    <row r="5679" spans="8:8">
      <c r="H5679" s="680" t="s">
        <v>6153</v>
      </c>
    </row>
    <row r="5680" spans="8:8">
      <c r="H5680" s="680" t="s">
        <v>6153</v>
      </c>
    </row>
    <row r="5681" spans="8:8">
      <c r="H5681" s="680" t="s">
        <v>6153</v>
      </c>
    </row>
    <row r="5682" spans="8:8">
      <c r="H5682" s="680" t="s">
        <v>6153</v>
      </c>
    </row>
    <row r="5683" spans="8:8">
      <c r="H5683" s="680" t="s">
        <v>6153</v>
      </c>
    </row>
    <row r="5684" spans="8:8">
      <c r="H5684" s="680" t="s">
        <v>6153</v>
      </c>
    </row>
    <row r="5685" spans="8:8">
      <c r="H5685" s="680" t="s">
        <v>6153</v>
      </c>
    </row>
    <row r="5686" spans="8:8">
      <c r="H5686" s="680" t="s">
        <v>6153</v>
      </c>
    </row>
    <row r="5687" spans="8:8">
      <c r="H5687" s="680" t="s">
        <v>6153</v>
      </c>
    </row>
    <row r="5688" spans="8:8">
      <c r="H5688" s="680" t="s">
        <v>6153</v>
      </c>
    </row>
    <row r="5689" spans="8:8">
      <c r="H5689" s="680" t="s">
        <v>6153</v>
      </c>
    </row>
    <row r="5690" spans="8:8">
      <c r="H5690" s="680" t="s">
        <v>6153</v>
      </c>
    </row>
    <row r="5691" spans="8:8">
      <c r="H5691" s="680" t="s">
        <v>6153</v>
      </c>
    </row>
    <row r="5692" spans="8:8">
      <c r="H5692" s="680" t="s">
        <v>6153</v>
      </c>
    </row>
    <row r="5693" spans="8:8">
      <c r="H5693" s="680" t="s">
        <v>6153</v>
      </c>
    </row>
    <row r="5694" spans="8:8">
      <c r="H5694" s="680" t="s">
        <v>6153</v>
      </c>
    </row>
    <row r="5695" spans="8:8">
      <c r="H5695" s="680" t="s">
        <v>6153</v>
      </c>
    </row>
    <row r="5696" spans="8:8">
      <c r="H5696" s="680" t="s">
        <v>6153</v>
      </c>
    </row>
    <row r="5697" spans="8:8">
      <c r="H5697" s="680" t="s">
        <v>6153</v>
      </c>
    </row>
    <row r="5698" spans="8:8">
      <c r="H5698" s="680" t="s">
        <v>6153</v>
      </c>
    </row>
    <row r="5699" spans="8:8">
      <c r="H5699" s="680" t="s">
        <v>6153</v>
      </c>
    </row>
    <row r="5700" spans="8:8">
      <c r="H5700" s="680" t="s">
        <v>6153</v>
      </c>
    </row>
    <row r="5701" spans="8:8">
      <c r="H5701" s="680" t="s">
        <v>6153</v>
      </c>
    </row>
    <row r="5702" spans="8:8">
      <c r="H5702" s="680" t="s">
        <v>6153</v>
      </c>
    </row>
    <row r="5703" spans="8:8">
      <c r="H5703" s="680" t="s">
        <v>6153</v>
      </c>
    </row>
    <row r="5704" spans="8:8">
      <c r="H5704" s="680" t="s">
        <v>6153</v>
      </c>
    </row>
    <row r="5705" spans="8:8">
      <c r="H5705" s="680" t="s">
        <v>6153</v>
      </c>
    </row>
    <row r="5706" spans="8:8">
      <c r="H5706" s="680" t="s">
        <v>6153</v>
      </c>
    </row>
    <row r="5707" spans="8:8">
      <c r="H5707" s="680" t="s">
        <v>6153</v>
      </c>
    </row>
    <row r="5708" spans="8:8">
      <c r="H5708" s="680" t="s">
        <v>6153</v>
      </c>
    </row>
    <row r="5709" spans="8:8">
      <c r="H5709" s="680" t="s">
        <v>6153</v>
      </c>
    </row>
    <row r="5710" spans="8:8">
      <c r="H5710" s="680" t="s">
        <v>6153</v>
      </c>
    </row>
    <row r="5711" spans="8:8">
      <c r="H5711" s="680" t="s">
        <v>6153</v>
      </c>
    </row>
    <row r="5712" spans="8:8">
      <c r="H5712" s="680" t="s">
        <v>6153</v>
      </c>
    </row>
    <row r="5713" spans="8:8">
      <c r="H5713" s="680" t="s">
        <v>6153</v>
      </c>
    </row>
    <row r="5714" spans="8:8">
      <c r="H5714" s="680" t="s">
        <v>6153</v>
      </c>
    </row>
    <row r="5715" spans="8:8">
      <c r="H5715" s="680" t="s">
        <v>6153</v>
      </c>
    </row>
    <row r="5716" spans="8:8">
      <c r="H5716" s="680" t="s">
        <v>6153</v>
      </c>
    </row>
    <row r="5717" spans="8:8">
      <c r="H5717" s="680" t="s">
        <v>6153</v>
      </c>
    </row>
    <row r="5718" spans="8:8">
      <c r="H5718" s="680" t="s">
        <v>6153</v>
      </c>
    </row>
    <row r="5719" spans="8:8">
      <c r="H5719" s="680" t="s">
        <v>6153</v>
      </c>
    </row>
    <row r="5720" spans="8:8">
      <c r="H5720" s="680" t="s">
        <v>6153</v>
      </c>
    </row>
    <row r="5721" spans="8:8">
      <c r="H5721" s="680" t="s">
        <v>6153</v>
      </c>
    </row>
    <row r="5722" spans="8:8">
      <c r="H5722" s="680" t="s">
        <v>6153</v>
      </c>
    </row>
    <row r="5723" spans="8:8">
      <c r="H5723" s="680" t="s">
        <v>6153</v>
      </c>
    </row>
    <row r="5724" spans="8:8">
      <c r="H5724" s="680" t="s">
        <v>6153</v>
      </c>
    </row>
    <row r="5725" spans="8:8">
      <c r="H5725" s="680" t="s">
        <v>6153</v>
      </c>
    </row>
    <row r="5726" spans="8:8">
      <c r="H5726" s="680" t="s">
        <v>6153</v>
      </c>
    </row>
    <row r="5727" spans="8:8">
      <c r="H5727" s="680" t="s">
        <v>6153</v>
      </c>
    </row>
    <row r="5728" spans="8:8">
      <c r="H5728" s="680" t="s">
        <v>6153</v>
      </c>
    </row>
    <row r="5729" spans="8:8">
      <c r="H5729" s="680" t="s">
        <v>6153</v>
      </c>
    </row>
    <row r="5730" spans="8:8">
      <c r="H5730" s="680" t="s">
        <v>6153</v>
      </c>
    </row>
    <row r="5731" spans="8:8">
      <c r="H5731" s="680" t="s">
        <v>6153</v>
      </c>
    </row>
    <row r="5732" spans="8:8">
      <c r="H5732" s="680" t="s">
        <v>6153</v>
      </c>
    </row>
    <row r="5733" spans="8:8">
      <c r="H5733" s="680" t="s">
        <v>6153</v>
      </c>
    </row>
    <row r="5734" spans="8:8">
      <c r="H5734" s="680" t="s">
        <v>6153</v>
      </c>
    </row>
    <row r="5735" spans="8:8">
      <c r="H5735" s="680" t="s">
        <v>6153</v>
      </c>
    </row>
    <row r="5736" spans="8:8">
      <c r="H5736" s="680" t="s">
        <v>6153</v>
      </c>
    </row>
    <row r="5737" spans="8:8">
      <c r="H5737" s="680" t="s">
        <v>6153</v>
      </c>
    </row>
    <row r="5738" spans="8:8">
      <c r="H5738" s="680" t="s">
        <v>6153</v>
      </c>
    </row>
    <row r="5739" spans="8:8">
      <c r="H5739" s="680" t="s">
        <v>6153</v>
      </c>
    </row>
    <row r="5740" spans="8:8">
      <c r="H5740" s="680" t="s">
        <v>6153</v>
      </c>
    </row>
    <row r="5741" spans="8:8">
      <c r="H5741" s="680" t="s">
        <v>6153</v>
      </c>
    </row>
    <row r="5742" spans="8:8">
      <c r="H5742" s="680" t="s">
        <v>6153</v>
      </c>
    </row>
    <row r="5743" spans="8:8">
      <c r="H5743" s="680" t="s">
        <v>6153</v>
      </c>
    </row>
    <row r="5744" spans="8:8">
      <c r="H5744" s="680" t="s">
        <v>6153</v>
      </c>
    </row>
    <row r="5745" spans="8:8">
      <c r="H5745" s="680" t="s">
        <v>6153</v>
      </c>
    </row>
    <row r="5746" spans="8:8">
      <c r="H5746" s="680" t="s">
        <v>6153</v>
      </c>
    </row>
    <row r="5747" spans="8:8">
      <c r="H5747" s="680" t="s">
        <v>6153</v>
      </c>
    </row>
    <row r="5748" spans="8:8">
      <c r="H5748" s="680" t="s">
        <v>6153</v>
      </c>
    </row>
    <row r="5749" spans="8:8">
      <c r="H5749" s="680" t="s">
        <v>6153</v>
      </c>
    </row>
    <row r="5750" spans="8:8">
      <c r="H5750" s="680" t="s">
        <v>6153</v>
      </c>
    </row>
    <row r="5751" spans="8:8">
      <c r="H5751" s="680" t="s">
        <v>6153</v>
      </c>
    </row>
    <row r="5752" spans="8:8">
      <c r="H5752" s="680" t="s">
        <v>6153</v>
      </c>
    </row>
    <row r="5753" spans="8:8">
      <c r="H5753" s="680" t="s">
        <v>6153</v>
      </c>
    </row>
    <row r="5754" spans="8:8">
      <c r="H5754" s="680" t="s">
        <v>6153</v>
      </c>
    </row>
    <row r="5755" spans="8:8">
      <c r="H5755" s="680" t="s">
        <v>6153</v>
      </c>
    </row>
    <row r="5756" spans="8:8">
      <c r="H5756" s="680" t="s">
        <v>6153</v>
      </c>
    </row>
    <row r="5757" spans="8:8">
      <c r="H5757" s="680" t="s">
        <v>6153</v>
      </c>
    </row>
    <row r="5758" spans="8:8">
      <c r="H5758" s="680" t="s">
        <v>6153</v>
      </c>
    </row>
    <row r="5759" spans="8:8">
      <c r="H5759" s="680" t="s">
        <v>6153</v>
      </c>
    </row>
    <row r="5760" spans="8:8">
      <c r="H5760" s="680" t="s">
        <v>6153</v>
      </c>
    </row>
    <row r="5761" spans="8:8">
      <c r="H5761" s="680" t="s">
        <v>6153</v>
      </c>
    </row>
    <row r="5762" spans="8:8">
      <c r="H5762" s="680" t="s">
        <v>6153</v>
      </c>
    </row>
    <row r="5763" spans="8:8">
      <c r="H5763" s="680" t="s">
        <v>6153</v>
      </c>
    </row>
    <row r="5764" spans="8:8">
      <c r="H5764" s="680" t="s">
        <v>6153</v>
      </c>
    </row>
    <row r="5765" spans="8:8">
      <c r="H5765" s="680" t="s">
        <v>6153</v>
      </c>
    </row>
    <row r="5766" spans="8:8">
      <c r="H5766" s="680" t="s">
        <v>6153</v>
      </c>
    </row>
    <row r="5767" spans="8:8">
      <c r="H5767" s="680" t="s">
        <v>6153</v>
      </c>
    </row>
    <row r="5768" spans="8:8">
      <c r="H5768" s="680" t="s">
        <v>6153</v>
      </c>
    </row>
    <row r="5769" spans="8:8">
      <c r="H5769" s="680" t="s">
        <v>6153</v>
      </c>
    </row>
    <row r="5770" spans="8:8">
      <c r="H5770" s="680" t="s">
        <v>6153</v>
      </c>
    </row>
    <row r="5771" spans="8:8">
      <c r="H5771" s="680" t="s">
        <v>6153</v>
      </c>
    </row>
    <row r="5772" spans="8:8">
      <c r="H5772" s="680" t="s">
        <v>6153</v>
      </c>
    </row>
    <row r="5773" spans="8:8">
      <c r="H5773" s="680" t="s">
        <v>6153</v>
      </c>
    </row>
    <row r="5774" spans="8:8">
      <c r="H5774" s="680" t="s">
        <v>6153</v>
      </c>
    </row>
    <row r="5775" spans="8:8">
      <c r="H5775" s="680" t="s">
        <v>6153</v>
      </c>
    </row>
    <row r="5776" spans="8:8">
      <c r="H5776" s="680" t="s">
        <v>6153</v>
      </c>
    </row>
    <row r="5777" spans="8:8">
      <c r="H5777" s="680" t="s">
        <v>6153</v>
      </c>
    </row>
    <row r="5778" spans="8:8">
      <c r="H5778" s="680" t="s">
        <v>6153</v>
      </c>
    </row>
    <row r="5779" spans="8:8">
      <c r="H5779" s="680" t="s">
        <v>6153</v>
      </c>
    </row>
    <row r="5780" spans="8:8">
      <c r="H5780" s="680" t="s">
        <v>6153</v>
      </c>
    </row>
    <row r="5781" spans="8:8">
      <c r="H5781" s="680" t="s">
        <v>6153</v>
      </c>
    </row>
    <row r="5782" spans="8:8">
      <c r="H5782" s="680" t="s">
        <v>6153</v>
      </c>
    </row>
    <row r="5783" spans="8:8">
      <c r="H5783" s="680" t="s">
        <v>6153</v>
      </c>
    </row>
    <row r="5784" spans="8:8">
      <c r="H5784" s="680" t="s">
        <v>6153</v>
      </c>
    </row>
    <row r="5785" spans="8:8">
      <c r="H5785" s="680" t="s">
        <v>6153</v>
      </c>
    </row>
    <row r="5786" spans="8:8">
      <c r="H5786" s="680" t="s">
        <v>6153</v>
      </c>
    </row>
    <row r="5787" spans="8:8">
      <c r="H5787" s="680" t="s">
        <v>6153</v>
      </c>
    </row>
    <row r="5788" spans="8:8">
      <c r="H5788" s="680" t="s">
        <v>6153</v>
      </c>
    </row>
    <row r="5789" spans="8:8">
      <c r="H5789" s="680" t="s">
        <v>6153</v>
      </c>
    </row>
    <row r="5790" spans="8:8">
      <c r="H5790" s="680" t="s">
        <v>6153</v>
      </c>
    </row>
    <row r="5791" spans="8:8">
      <c r="H5791" s="680" t="s">
        <v>6153</v>
      </c>
    </row>
    <row r="5792" spans="8:8">
      <c r="H5792" s="680" t="s">
        <v>6153</v>
      </c>
    </row>
    <row r="5793" spans="8:8">
      <c r="H5793" s="680" t="s">
        <v>6153</v>
      </c>
    </row>
    <row r="5794" spans="8:8">
      <c r="H5794" s="680" t="s">
        <v>6153</v>
      </c>
    </row>
    <row r="5795" spans="8:8">
      <c r="H5795" s="680" t="s">
        <v>6153</v>
      </c>
    </row>
    <row r="5796" spans="8:8">
      <c r="H5796" s="680" t="s">
        <v>6153</v>
      </c>
    </row>
    <row r="5797" spans="8:8">
      <c r="H5797" s="680" t="s">
        <v>6153</v>
      </c>
    </row>
    <row r="5798" spans="8:8">
      <c r="H5798" s="680" t="s">
        <v>6153</v>
      </c>
    </row>
    <row r="5799" spans="8:8">
      <c r="H5799" s="680" t="s">
        <v>6153</v>
      </c>
    </row>
    <row r="5800" spans="8:8">
      <c r="H5800" s="680" t="s">
        <v>6153</v>
      </c>
    </row>
    <row r="5801" spans="8:8">
      <c r="H5801" s="680" t="s">
        <v>6153</v>
      </c>
    </row>
    <row r="5802" spans="8:8">
      <c r="H5802" s="680" t="s">
        <v>6153</v>
      </c>
    </row>
    <row r="5803" spans="8:8">
      <c r="H5803" s="680" t="s">
        <v>6153</v>
      </c>
    </row>
    <row r="5804" spans="8:8">
      <c r="H5804" s="680" t="s">
        <v>6153</v>
      </c>
    </row>
    <row r="5805" spans="8:8">
      <c r="H5805" s="680" t="s">
        <v>6153</v>
      </c>
    </row>
    <row r="5806" spans="8:8">
      <c r="H5806" s="680" t="s">
        <v>6153</v>
      </c>
    </row>
    <row r="5807" spans="8:8">
      <c r="H5807" s="680" t="s">
        <v>6153</v>
      </c>
    </row>
    <row r="5808" spans="8:8">
      <c r="H5808" s="680" t="s">
        <v>6153</v>
      </c>
    </row>
    <row r="5809" spans="8:8">
      <c r="H5809" s="680" t="s">
        <v>6153</v>
      </c>
    </row>
    <row r="5810" spans="8:8">
      <c r="H5810" s="680" t="s">
        <v>6153</v>
      </c>
    </row>
    <row r="5811" spans="8:8">
      <c r="H5811" s="680" t="s">
        <v>6153</v>
      </c>
    </row>
    <row r="5812" spans="8:8">
      <c r="H5812" s="680" t="s">
        <v>6153</v>
      </c>
    </row>
    <row r="5813" spans="8:8">
      <c r="H5813" s="680" t="s">
        <v>6153</v>
      </c>
    </row>
    <row r="5814" spans="8:8">
      <c r="H5814" s="680" t="s">
        <v>6153</v>
      </c>
    </row>
    <row r="5815" spans="8:8">
      <c r="H5815" s="680" t="s">
        <v>6153</v>
      </c>
    </row>
    <row r="5816" spans="8:8">
      <c r="H5816" s="680" t="s">
        <v>6153</v>
      </c>
    </row>
    <row r="5817" spans="8:8">
      <c r="H5817" s="680" t="s">
        <v>6153</v>
      </c>
    </row>
    <row r="5818" spans="8:8">
      <c r="H5818" s="680" t="s">
        <v>6153</v>
      </c>
    </row>
    <row r="5819" spans="8:8">
      <c r="H5819" s="680" t="s">
        <v>6153</v>
      </c>
    </row>
    <row r="5820" spans="8:8">
      <c r="H5820" s="680" t="s">
        <v>6153</v>
      </c>
    </row>
    <row r="5821" spans="8:8">
      <c r="H5821" s="680" t="s">
        <v>6153</v>
      </c>
    </row>
    <row r="5822" spans="8:8">
      <c r="H5822" s="680" t="s">
        <v>6153</v>
      </c>
    </row>
    <row r="5823" spans="8:8">
      <c r="H5823" s="680" t="s">
        <v>6153</v>
      </c>
    </row>
    <row r="5824" spans="8:8">
      <c r="H5824" s="680" t="s">
        <v>6153</v>
      </c>
    </row>
    <row r="5825" spans="8:8">
      <c r="H5825" s="680" t="s">
        <v>6153</v>
      </c>
    </row>
    <row r="5826" spans="8:8">
      <c r="H5826" s="680" t="s">
        <v>6153</v>
      </c>
    </row>
    <row r="5827" spans="8:8">
      <c r="H5827" s="680" t="s">
        <v>6153</v>
      </c>
    </row>
    <row r="5828" spans="8:8">
      <c r="H5828" s="680" t="s">
        <v>6153</v>
      </c>
    </row>
    <row r="5829" spans="8:8">
      <c r="H5829" s="680" t="s">
        <v>6153</v>
      </c>
    </row>
    <row r="5830" spans="8:8">
      <c r="H5830" s="680" t="s">
        <v>6153</v>
      </c>
    </row>
    <row r="5831" spans="8:8">
      <c r="H5831" s="680" t="s">
        <v>6153</v>
      </c>
    </row>
    <row r="5832" spans="8:8">
      <c r="H5832" s="680" t="s">
        <v>6153</v>
      </c>
    </row>
    <row r="5833" spans="8:8">
      <c r="H5833" s="680" t="s">
        <v>6153</v>
      </c>
    </row>
    <row r="5834" spans="8:8">
      <c r="H5834" s="680" t="s">
        <v>6153</v>
      </c>
    </row>
    <row r="5835" spans="8:8">
      <c r="H5835" s="680" t="s">
        <v>6153</v>
      </c>
    </row>
    <row r="5836" spans="8:8">
      <c r="H5836" s="680" t="s">
        <v>6153</v>
      </c>
    </row>
    <row r="5837" spans="8:8">
      <c r="H5837" s="680" t="s">
        <v>6153</v>
      </c>
    </row>
    <row r="5838" spans="8:8">
      <c r="H5838" s="680" t="s">
        <v>6153</v>
      </c>
    </row>
    <row r="5839" spans="8:8">
      <c r="H5839" s="680" t="s">
        <v>6153</v>
      </c>
    </row>
    <row r="5840" spans="8:8">
      <c r="H5840" s="680" t="s">
        <v>6153</v>
      </c>
    </row>
    <row r="5841" spans="8:8">
      <c r="H5841" s="680" t="s">
        <v>6153</v>
      </c>
    </row>
    <row r="5842" spans="8:8">
      <c r="H5842" s="680" t="s">
        <v>6153</v>
      </c>
    </row>
    <row r="5843" spans="8:8">
      <c r="H5843" s="680" t="s">
        <v>6153</v>
      </c>
    </row>
    <row r="5844" spans="8:8">
      <c r="H5844" s="680" t="s">
        <v>6153</v>
      </c>
    </row>
    <row r="5845" spans="8:8">
      <c r="H5845" s="680" t="s">
        <v>6153</v>
      </c>
    </row>
    <row r="5846" spans="8:8">
      <c r="H5846" s="680" t="s">
        <v>6153</v>
      </c>
    </row>
    <row r="5847" spans="8:8">
      <c r="H5847" s="680" t="s">
        <v>6153</v>
      </c>
    </row>
    <row r="5848" spans="8:8">
      <c r="H5848" s="680" t="s">
        <v>6153</v>
      </c>
    </row>
    <row r="5849" spans="8:8">
      <c r="H5849" s="680" t="s">
        <v>6153</v>
      </c>
    </row>
    <row r="5850" spans="8:8">
      <c r="H5850" s="680" t="s">
        <v>6153</v>
      </c>
    </row>
    <row r="5851" spans="8:8">
      <c r="H5851" s="680" t="s">
        <v>6153</v>
      </c>
    </row>
    <row r="5852" spans="8:8">
      <c r="H5852" s="680" t="s">
        <v>6153</v>
      </c>
    </row>
    <row r="5853" spans="8:8">
      <c r="H5853" s="680" t="s">
        <v>6153</v>
      </c>
    </row>
    <row r="5854" spans="8:8">
      <c r="H5854" s="680" t="s">
        <v>6153</v>
      </c>
    </row>
    <row r="5855" spans="8:8">
      <c r="H5855" s="680" t="s">
        <v>6153</v>
      </c>
    </row>
    <row r="5856" spans="8:8">
      <c r="H5856" s="680" t="s">
        <v>6153</v>
      </c>
    </row>
    <row r="5857" spans="8:8">
      <c r="H5857" s="680" t="s">
        <v>6153</v>
      </c>
    </row>
    <row r="5858" spans="8:8">
      <c r="H5858" s="680" t="s">
        <v>6153</v>
      </c>
    </row>
    <row r="5859" spans="8:8">
      <c r="H5859" s="680" t="s">
        <v>6153</v>
      </c>
    </row>
    <row r="5860" spans="8:8">
      <c r="H5860" s="680" t="s">
        <v>6153</v>
      </c>
    </row>
    <row r="5861" spans="8:8">
      <c r="H5861" s="680" t="s">
        <v>6153</v>
      </c>
    </row>
    <row r="5862" spans="8:8">
      <c r="H5862" s="680" t="s">
        <v>6153</v>
      </c>
    </row>
    <row r="5863" spans="8:8">
      <c r="H5863" s="680" t="s">
        <v>6153</v>
      </c>
    </row>
    <row r="5864" spans="8:8">
      <c r="H5864" s="680" t="s">
        <v>6153</v>
      </c>
    </row>
    <row r="5865" spans="8:8">
      <c r="H5865" s="680" t="s">
        <v>6153</v>
      </c>
    </row>
    <row r="5866" spans="8:8">
      <c r="H5866" s="680" t="s">
        <v>6153</v>
      </c>
    </row>
    <row r="5867" spans="8:8">
      <c r="H5867" s="680" t="s">
        <v>6153</v>
      </c>
    </row>
    <row r="5868" spans="8:8">
      <c r="H5868" s="680" t="s">
        <v>6153</v>
      </c>
    </row>
    <row r="5869" spans="8:8">
      <c r="H5869" s="680" t="s">
        <v>6153</v>
      </c>
    </row>
    <row r="5870" spans="8:8">
      <c r="H5870" s="680" t="s">
        <v>6153</v>
      </c>
    </row>
    <row r="5871" spans="8:8">
      <c r="H5871" s="680" t="s">
        <v>6153</v>
      </c>
    </row>
    <row r="5872" spans="8:8">
      <c r="H5872" s="680" t="s">
        <v>6153</v>
      </c>
    </row>
    <row r="5873" spans="8:8">
      <c r="H5873" s="680" t="s">
        <v>6153</v>
      </c>
    </row>
    <row r="5874" spans="8:8">
      <c r="H5874" s="680" t="s">
        <v>6153</v>
      </c>
    </row>
    <row r="5875" spans="8:8">
      <c r="H5875" s="680" t="s">
        <v>6153</v>
      </c>
    </row>
    <row r="5876" spans="8:8">
      <c r="H5876" s="680" t="s">
        <v>6153</v>
      </c>
    </row>
    <row r="5877" spans="8:8">
      <c r="H5877" s="680" t="s">
        <v>6153</v>
      </c>
    </row>
    <row r="5878" spans="8:8">
      <c r="H5878" s="680" t="s">
        <v>6153</v>
      </c>
    </row>
    <row r="5879" spans="8:8">
      <c r="H5879" s="680" t="s">
        <v>6153</v>
      </c>
    </row>
    <row r="5880" spans="8:8">
      <c r="H5880" s="680" t="s">
        <v>6153</v>
      </c>
    </row>
    <row r="5881" spans="8:8">
      <c r="H5881" s="680" t="s">
        <v>6153</v>
      </c>
    </row>
    <row r="5882" spans="8:8">
      <c r="H5882" s="680" t="s">
        <v>6153</v>
      </c>
    </row>
    <row r="5883" spans="8:8">
      <c r="H5883" s="680" t="s">
        <v>6153</v>
      </c>
    </row>
    <row r="5884" spans="8:8">
      <c r="H5884" s="680" t="s">
        <v>6153</v>
      </c>
    </row>
    <row r="5885" spans="8:8">
      <c r="H5885" s="680" t="s">
        <v>6153</v>
      </c>
    </row>
    <row r="5886" spans="8:8">
      <c r="H5886" s="680" t="s">
        <v>6153</v>
      </c>
    </row>
    <row r="5887" spans="8:8">
      <c r="H5887" s="680" t="s">
        <v>6153</v>
      </c>
    </row>
    <row r="5888" spans="8:8">
      <c r="H5888" s="680" t="s">
        <v>6153</v>
      </c>
    </row>
    <row r="5889" spans="8:8">
      <c r="H5889" s="680" t="s">
        <v>6153</v>
      </c>
    </row>
    <row r="5890" spans="8:8">
      <c r="H5890" s="680" t="s">
        <v>6153</v>
      </c>
    </row>
    <row r="5891" spans="8:8">
      <c r="H5891" s="680" t="s">
        <v>6153</v>
      </c>
    </row>
    <row r="5892" spans="8:8">
      <c r="H5892" s="680" t="s">
        <v>6153</v>
      </c>
    </row>
    <row r="5893" spans="8:8">
      <c r="H5893" s="680" t="s">
        <v>6153</v>
      </c>
    </row>
    <row r="5894" spans="8:8">
      <c r="H5894" s="680" t="s">
        <v>6153</v>
      </c>
    </row>
    <row r="5895" spans="8:8">
      <c r="H5895" s="680" t="s">
        <v>6153</v>
      </c>
    </row>
    <row r="5896" spans="8:8">
      <c r="H5896" s="680" t="s">
        <v>6153</v>
      </c>
    </row>
    <row r="5897" spans="8:8">
      <c r="H5897" s="680" t="s">
        <v>6153</v>
      </c>
    </row>
    <row r="5898" spans="8:8">
      <c r="H5898" s="680" t="s">
        <v>6153</v>
      </c>
    </row>
    <row r="5899" spans="8:8">
      <c r="H5899" s="680" t="s">
        <v>6153</v>
      </c>
    </row>
    <row r="5900" spans="8:8">
      <c r="H5900" s="680" t="s">
        <v>6153</v>
      </c>
    </row>
    <row r="5901" spans="8:8">
      <c r="H5901" s="680" t="s">
        <v>6153</v>
      </c>
    </row>
    <row r="5902" spans="8:8">
      <c r="H5902" s="680" t="s">
        <v>6153</v>
      </c>
    </row>
    <row r="5903" spans="8:8">
      <c r="H5903" s="680" t="s">
        <v>6153</v>
      </c>
    </row>
    <row r="5904" spans="8:8">
      <c r="H5904" s="680" t="s">
        <v>6153</v>
      </c>
    </row>
    <row r="5905" spans="8:8">
      <c r="H5905" s="680" t="s">
        <v>6153</v>
      </c>
    </row>
    <row r="5906" spans="8:8">
      <c r="H5906" s="680" t="s">
        <v>6153</v>
      </c>
    </row>
    <row r="5907" spans="8:8">
      <c r="H5907" s="680" t="s">
        <v>6153</v>
      </c>
    </row>
    <row r="5908" spans="8:8">
      <c r="H5908" s="680" t="s">
        <v>6153</v>
      </c>
    </row>
    <row r="5909" spans="8:8">
      <c r="H5909" s="680" t="s">
        <v>6153</v>
      </c>
    </row>
    <row r="5910" spans="8:8">
      <c r="H5910" s="680" t="s">
        <v>6153</v>
      </c>
    </row>
    <row r="5911" spans="8:8">
      <c r="H5911" s="680" t="s">
        <v>6153</v>
      </c>
    </row>
    <row r="5912" spans="8:8">
      <c r="H5912" s="680" t="s">
        <v>6153</v>
      </c>
    </row>
    <row r="5913" spans="8:8">
      <c r="H5913" s="680" t="s">
        <v>6153</v>
      </c>
    </row>
    <row r="5914" spans="8:8">
      <c r="H5914" s="680" t="s">
        <v>6153</v>
      </c>
    </row>
    <row r="5915" spans="8:8">
      <c r="H5915" s="680" t="s">
        <v>6153</v>
      </c>
    </row>
    <row r="5916" spans="8:8">
      <c r="H5916" s="680" t="s">
        <v>6153</v>
      </c>
    </row>
    <row r="5917" spans="8:8">
      <c r="H5917" s="680" t="s">
        <v>6153</v>
      </c>
    </row>
    <row r="5918" spans="8:8">
      <c r="H5918" s="680" t="s">
        <v>6153</v>
      </c>
    </row>
    <row r="5919" spans="8:8">
      <c r="H5919" s="680" t="s">
        <v>6153</v>
      </c>
    </row>
    <row r="5920" spans="8:8">
      <c r="H5920" s="680" t="s">
        <v>6153</v>
      </c>
    </row>
    <row r="5921" spans="8:8">
      <c r="H5921" s="680" t="s">
        <v>6153</v>
      </c>
    </row>
    <row r="5922" spans="8:8">
      <c r="H5922" s="680" t="s">
        <v>6153</v>
      </c>
    </row>
    <row r="5923" spans="8:8">
      <c r="H5923" s="680" t="s">
        <v>6153</v>
      </c>
    </row>
    <row r="5924" spans="8:8">
      <c r="H5924" s="680" t="s">
        <v>6153</v>
      </c>
    </row>
    <row r="5925" spans="8:8">
      <c r="H5925" s="680" t="s">
        <v>6153</v>
      </c>
    </row>
    <row r="5926" spans="8:8">
      <c r="H5926" s="680" t="s">
        <v>6153</v>
      </c>
    </row>
    <row r="5927" spans="8:8">
      <c r="H5927" s="680" t="s">
        <v>6153</v>
      </c>
    </row>
    <row r="5928" spans="8:8">
      <c r="H5928" s="680" t="s">
        <v>6153</v>
      </c>
    </row>
    <row r="5929" spans="8:8">
      <c r="H5929" s="680" t="s">
        <v>6153</v>
      </c>
    </row>
    <row r="5930" spans="8:8">
      <c r="H5930" s="680" t="s">
        <v>6153</v>
      </c>
    </row>
    <row r="5931" spans="8:8">
      <c r="H5931" s="680" t="s">
        <v>6153</v>
      </c>
    </row>
    <row r="5932" spans="8:8">
      <c r="H5932" s="680" t="s">
        <v>6153</v>
      </c>
    </row>
    <row r="5933" spans="8:8">
      <c r="H5933" s="680" t="s">
        <v>6153</v>
      </c>
    </row>
    <row r="5934" spans="8:8">
      <c r="H5934" s="680" t="s">
        <v>6153</v>
      </c>
    </row>
    <row r="5935" spans="8:8">
      <c r="H5935" s="680" t="s">
        <v>6153</v>
      </c>
    </row>
    <row r="5936" spans="8:8">
      <c r="H5936" s="680" t="s">
        <v>6153</v>
      </c>
    </row>
    <row r="5937" spans="8:8">
      <c r="H5937" s="680" t="s">
        <v>6153</v>
      </c>
    </row>
    <row r="5938" spans="8:8">
      <c r="H5938" s="680" t="s">
        <v>6153</v>
      </c>
    </row>
    <row r="5939" spans="8:8">
      <c r="H5939" s="680" t="s">
        <v>6153</v>
      </c>
    </row>
    <row r="5940" spans="8:8">
      <c r="H5940" s="680" t="s">
        <v>6153</v>
      </c>
    </row>
    <row r="5941" spans="8:8">
      <c r="H5941" s="680" t="s">
        <v>6153</v>
      </c>
    </row>
    <row r="5942" spans="8:8">
      <c r="H5942" s="680" t="s">
        <v>6153</v>
      </c>
    </row>
    <row r="5943" spans="8:8">
      <c r="H5943" s="680" t="s">
        <v>6153</v>
      </c>
    </row>
    <row r="5944" spans="8:8">
      <c r="H5944" s="680" t="s">
        <v>6153</v>
      </c>
    </row>
    <row r="5945" spans="8:8">
      <c r="H5945" s="680" t="s">
        <v>6153</v>
      </c>
    </row>
    <row r="5946" spans="8:8">
      <c r="H5946" s="680" t="s">
        <v>6153</v>
      </c>
    </row>
    <row r="5947" spans="8:8">
      <c r="H5947" s="680" t="s">
        <v>6153</v>
      </c>
    </row>
    <row r="5948" spans="8:8">
      <c r="H5948" s="680" t="s">
        <v>6153</v>
      </c>
    </row>
    <row r="5949" spans="8:8">
      <c r="H5949" s="680" t="s">
        <v>6153</v>
      </c>
    </row>
    <row r="5950" spans="8:8">
      <c r="H5950" s="680" t="s">
        <v>6153</v>
      </c>
    </row>
    <row r="5951" spans="8:8">
      <c r="H5951" s="680" t="s">
        <v>6153</v>
      </c>
    </row>
    <row r="5952" spans="8:8">
      <c r="H5952" s="680" t="s">
        <v>6153</v>
      </c>
    </row>
    <row r="5953" spans="8:8">
      <c r="H5953" s="680" t="s">
        <v>6153</v>
      </c>
    </row>
    <row r="5954" spans="8:8">
      <c r="H5954" s="680" t="s">
        <v>6153</v>
      </c>
    </row>
    <row r="5955" spans="8:8">
      <c r="H5955" s="680" t="s">
        <v>6153</v>
      </c>
    </row>
    <row r="5956" spans="8:8">
      <c r="H5956" s="680" t="s">
        <v>6153</v>
      </c>
    </row>
    <row r="5957" spans="8:8">
      <c r="H5957" s="680" t="s">
        <v>6153</v>
      </c>
    </row>
    <row r="5958" spans="8:8">
      <c r="H5958" s="680" t="s">
        <v>6153</v>
      </c>
    </row>
    <row r="5959" spans="8:8">
      <c r="H5959" s="680" t="s">
        <v>6153</v>
      </c>
    </row>
    <row r="5960" spans="8:8">
      <c r="H5960" s="680" t="s">
        <v>6153</v>
      </c>
    </row>
    <row r="5961" spans="8:8">
      <c r="H5961" s="680" t="s">
        <v>6153</v>
      </c>
    </row>
    <row r="5962" spans="8:8">
      <c r="H5962" s="680" t="s">
        <v>6153</v>
      </c>
    </row>
    <row r="5963" spans="8:8">
      <c r="H5963" s="680" t="s">
        <v>6153</v>
      </c>
    </row>
    <row r="5964" spans="8:8">
      <c r="H5964" s="680" t="s">
        <v>6153</v>
      </c>
    </row>
    <row r="5965" spans="8:8">
      <c r="H5965" s="680" t="s">
        <v>6153</v>
      </c>
    </row>
    <row r="5966" spans="8:8">
      <c r="H5966" s="680" t="s">
        <v>6153</v>
      </c>
    </row>
    <row r="5967" spans="8:8">
      <c r="H5967" s="680" t="s">
        <v>6153</v>
      </c>
    </row>
    <row r="5968" spans="8:8">
      <c r="H5968" s="680" t="s">
        <v>6153</v>
      </c>
    </row>
    <row r="5969" spans="8:8">
      <c r="H5969" s="680" t="s">
        <v>6153</v>
      </c>
    </row>
    <row r="5970" spans="8:8">
      <c r="H5970" s="680" t="s">
        <v>6153</v>
      </c>
    </row>
    <row r="5971" spans="8:8">
      <c r="H5971" s="680" t="s">
        <v>6153</v>
      </c>
    </row>
    <row r="5972" spans="8:8">
      <c r="H5972" s="680" t="s">
        <v>6153</v>
      </c>
    </row>
    <row r="5973" spans="8:8">
      <c r="H5973" s="680" t="s">
        <v>6153</v>
      </c>
    </row>
    <row r="5974" spans="8:8">
      <c r="H5974" s="680" t="s">
        <v>6153</v>
      </c>
    </row>
    <row r="5975" spans="8:8">
      <c r="H5975" s="680" t="s">
        <v>6153</v>
      </c>
    </row>
    <row r="5976" spans="8:8">
      <c r="H5976" s="680" t="s">
        <v>6153</v>
      </c>
    </row>
    <row r="5977" spans="8:8">
      <c r="H5977" s="680" t="s">
        <v>6153</v>
      </c>
    </row>
    <row r="5978" spans="8:8">
      <c r="H5978" s="680" t="s">
        <v>6153</v>
      </c>
    </row>
    <row r="5979" spans="8:8">
      <c r="H5979" s="680" t="s">
        <v>6153</v>
      </c>
    </row>
    <row r="5980" spans="8:8">
      <c r="H5980" s="680" t="s">
        <v>6153</v>
      </c>
    </row>
    <row r="5981" spans="8:8">
      <c r="H5981" s="680" t="s">
        <v>6153</v>
      </c>
    </row>
    <row r="5982" spans="8:8">
      <c r="H5982" s="680" t="s">
        <v>6153</v>
      </c>
    </row>
    <row r="5983" spans="8:8">
      <c r="H5983" s="680" t="s">
        <v>6153</v>
      </c>
    </row>
    <row r="5984" spans="8:8">
      <c r="H5984" s="680" t="s">
        <v>6153</v>
      </c>
    </row>
    <row r="5985" spans="8:8">
      <c r="H5985" s="680" t="s">
        <v>6153</v>
      </c>
    </row>
    <row r="5986" spans="8:8">
      <c r="H5986" s="680" t="s">
        <v>6153</v>
      </c>
    </row>
    <row r="5987" spans="8:8">
      <c r="H5987" s="680" t="s">
        <v>6153</v>
      </c>
    </row>
    <row r="5988" spans="8:8">
      <c r="H5988" s="680" t="s">
        <v>6153</v>
      </c>
    </row>
    <row r="5989" spans="8:8">
      <c r="H5989" s="680" t="s">
        <v>6153</v>
      </c>
    </row>
    <row r="5990" spans="8:8">
      <c r="H5990" s="680" t="s">
        <v>6153</v>
      </c>
    </row>
    <row r="5991" spans="8:8">
      <c r="H5991" s="680" t="s">
        <v>6153</v>
      </c>
    </row>
    <row r="5992" spans="8:8">
      <c r="H5992" s="680" t="s">
        <v>6153</v>
      </c>
    </row>
    <row r="5993" spans="8:8">
      <c r="H5993" s="680" t="s">
        <v>6153</v>
      </c>
    </row>
    <row r="5994" spans="8:8">
      <c r="H5994" s="680" t="s">
        <v>6153</v>
      </c>
    </row>
    <row r="5995" spans="8:8">
      <c r="H5995" s="680" t="s">
        <v>6153</v>
      </c>
    </row>
    <row r="5996" spans="8:8">
      <c r="H5996" s="680" t="s">
        <v>6153</v>
      </c>
    </row>
    <row r="5997" spans="8:8">
      <c r="H5997" s="680" t="s">
        <v>6153</v>
      </c>
    </row>
    <row r="5998" spans="8:8">
      <c r="H5998" s="680" t="s">
        <v>6153</v>
      </c>
    </row>
    <row r="5999" spans="8:8">
      <c r="H5999" s="680" t="s">
        <v>6153</v>
      </c>
    </row>
    <row r="6000" spans="8:8">
      <c r="H6000" s="680" t="s">
        <v>6153</v>
      </c>
    </row>
    <row r="6001" spans="8:8">
      <c r="H6001" s="680" t="s">
        <v>6153</v>
      </c>
    </row>
    <row r="6002" spans="8:8">
      <c r="H6002" s="680" t="s">
        <v>6153</v>
      </c>
    </row>
    <row r="6003" spans="8:8">
      <c r="H6003" s="680" t="s">
        <v>6153</v>
      </c>
    </row>
    <row r="6004" spans="8:8">
      <c r="H6004" s="680" t="s">
        <v>6153</v>
      </c>
    </row>
    <row r="6005" spans="8:8">
      <c r="H6005" s="680" t="s">
        <v>6153</v>
      </c>
    </row>
    <row r="6006" spans="8:8">
      <c r="H6006" s="680" t="s">
        <v>6153</v>
      </c>
    </row>
    <row r="6007" spans="8:8">
      <c r="H6007" s="680" t="s">
        <v>6153</v>
      </c>
    </row>
    <row r="6008" spans="8:8">
      <c r="H6008" s="680" t="s">
        <v>6153</v>
      </c>
    </row>
    <row r="6009" spans="8:8">
      <c r="H6009" s="680" t="s">
        <v>6153</v>
      </c>
    </row>
    <row r="6010" spans="8:8">
      <c r="H6010" s="680" t="s">
        <v>6153</v>
      </c>
    </row>
    <row r="6011" spans="8:8">
      <c r="H6011" s="680" t="s">
        <v>6153</v>
      </c>
    </row>
    <row r="6012" spans="8:8">
      <c r="H6012" s="680" t="s">
        <v>6153</v>
      </c>
    </row>
    <row r="6013" spans="8:8">
      <c r="H6013" s="680" t="s">
        <v>6153</v>
      </c>
    </row>
    <row r="6014" spans="8:8">
      <c r="H6014" s="680" t="s">
        <v>6153</v>
      </c>
    </row>
    <row r="6015" spans="8:8">
      <c r="H6015" s="680" t="s">
        <v>6153</v>
      </c>
    </row>
    <row r="6016" spans="8:8">
      <c r="H6016" s="680" t="s">
        <v>6153</v>
      </c>
    </row>
    <row r="6017" spans="8:8">
      <c r="H6017" s="680" t="s">
        <v>6153</v>
      </c>
    </row>
    <row r="6018" spans="8:8">
      <c r="H6018" s="680" t="s">
        <v>6153</v>
      </c>
    </row>
    <row r="6019" spans="8:8">
      <c r="H6019" s="680" t="s">
        <v>6153</v>
      </c>
    </row>
    <row r="6020" spans="8:8">
      <c r="H6020" s="680" t="s">
        <v>6153</v>
      </c>
    </row>
    <row r="6021" spans="8:8">
      <c r="H6021" s="680" t="s">
        <v>6153</v>
      </c>
    </row>
    <row r="6022" spans="8:8">
      <c r="H6022" s="680" t="s">
        <v>6153</v>
      </c>
    </row>
    <row r="6023" spans="8:8">
      <c r="H6023" s="680" t="s">
        <v>6153</v>
      </c>
    </row>
    <row r="6024" spans="8:8">
      <c r="H6024" s="680" t="s">
        <v>6153</v>
      </c>
    </row>
    <row r="6025" spans="8:8">
      <c r="H6025" s="680" t="s">
        <v>6153</v>
      </c>
    </row>
    <row r="6026" spans="8:8">
      <c r="H6026" s="680" t="s">
        <v>6153</v>
      </c>
    </row>
    <row r="6027" spans="8:8">
      <c r="H6027" s="680" t="s">
        <v>6153</v>
      </c>
    </row>
    <row r="6028" spans="8:8">
      <c r="H6028" s="680" t="s">
        <v>6153</v>
      </c>
    </row>
    <row r="6029" spans="8:8">
      <c r="H6029" s="680" t="s">
        <v>6153</v>
      </c>
    </row>
    <row r="6030" spans="8:8">
      <c r="H6030" s="680" t="s">
        <v>6153</v>
      </c>
    </row>
    <row r="6031" spans="8:8">
      <c r="H6031" s="680" t="s">
        <v>6153</v>
      </c>
    </row>
    <row r="6032" spans="8:8">
      <c r="H6032" s="680" t="s">
        <v>6153</v>
      </c>
    </row>
    <row r="6033" spans="8:8">
      <c r="H6033" s="680" t="s">
        <v>6153</v>
      </c>
    </row>
    <row r="6034" spans="8:8">
      <c r="H6034" s="680" t="s">
        <v>6153</v>
      </c>
    </row>
    <row r="6035" spans="8:8">
      <c r="H6035" s="680" t="s">
        <v>6153</v>
      </c>
    </row>
    <row r="6036" spans="8:8">
      <c r="H6036" s="680" t="s">
        <v>6153</v>
      </c>
    </row>
    <row r="6037" spans="8:8">
      <c r="H6037" s="680" t="s">
        <v>6153</v>
      </c>
    </row>
    <row r="6038" spans="8:8">
      <c r="H6038" s="680" t="s">
        <v>6153</v>
      </c>
    </row>
    <row r="6039" spans="8:8">
      <c r="H6039" s="680" t="s">
        <v>6153</v>
      </c>
    </row>
    <row r="6040" spans="8:8">
      <c r="H6040" s="680" t="s">
        <v>6153</v>
      </c>
    </row>
    <row r="6041" spans="8:8">
      <c r="H6041" s="680" t="s">
        <v>6153</v>
      </c>
    </row>
    <row r="6042" spans="8:8">
      <c r="H6042" s="680" t="s">
        <v>6153</v>
      </c>
    </row>
    <row r="6043" spans="8:8">
      <c r="H6043" s="680" t="s">
        <v>6153</v>
      </c>
    </row>
    <row r="6044" spans="8:8">
      <c r="H6044" s="680" t="s">
        <v>6153</v>
      </c>
    </row>
    <row r="6045" spans="8:8">
      <c r="H6045" s="680" t="s">
        <v>6153</v>
      </c>
    </row>
    <row r="6046" spans="8:8">
      <c r="H6046" s="680" t="s">
        <v>6153</v>
      </c>
    </row>
    <row r="6047" spans="8:8">
      <c r="H6047" s="680" t="s">
        <v>6153</v>
      </c>
    </row>
    <row r="6048" spans="8:8">
      <c r="H6048" s="680" t="s">
        <v>6153</v>
      </c>
    </row>
    <row r="6049" spans="8:8">
      <c r="H6049" s="680" t="s">
        <v>6153</v>
      </c>
    </row>
    <row r="6050" spans="8:8">
      <c r="H6050" s="680" t="s">
        <v>6153</v>
      </c>
    </row>
    <row r="6051" spans="8:8">
      <c r="H6051" s="680" t="s">
        <v>6153</v>
      </c>
    </row>
    <row r="6052" spans="8:8">
      <c r="H6052" s="680" t="s">
        <v>6153</v>
      </c>
    </row>
    <row r="6053" spans="8:8">
      <c r="H6053" s="680" t="s">
        <v>6153</v>
      </c>
    </row>
    <row r="6054" spans="8:8">
      <c r="H6054" s="680" t="s">
        <v>6153</v>
      </c>
    </row>
    <row r="6055" spans="8:8">
      <c r="H6055" s="680" t="s">
        <v>6153</v>
      </c>
    </row>
    <row r="6056" spans="8:8">
      <c r="H6056" s="680" t="s">
        <v>6153</v>
      </c>
    </row>
    <row r="6057" spans="8:8">
      <c r="H6057" s="680" t="s">
        <v>6153</v>
      </c>
    </row>
    <row r="6058" spans="8:8">
      <c r="H6058" s="680" t="s">
        <v>6153</v>
      </c>
    </row>
    <row r="6059" spans="8:8">
      <c r="H6059" s="680" t="s">
        <v>6153</v>
      </c>
    </row>
    <row r="6060" spans="8:8">
      <c r="H6060" s="680" t="s">
        <v>6153</v>
      </c>
    </row>
    <row r="6061" spans="8:8">
      <c r="H6061" s="680" t="s">
        <v>6153</v>
      </c>
    </row>
    <row r="6062" spans="8:8">
      <c r="H6062" s="680" t="s">
        <v>6153</v>
      </c>
    </row>
    <row r="6063" spans="8:8">
      <c r="H6063" s="680" t="s">
        <v>6153</v>
      </c>
    </row>
    <row r="6064" spans="8:8">
      <c r="H6064" s="680" t="s">
        <v>6153</v>
      </c>
    </row>
    <row r="6065" spans="8:8">
      <c r="H6065" s="680" t="s">
        <v>6153</v>
      </c>
    </row>
    <row r="6066" spans="8:8">
      <c r="H6066" s="680" t="s">
        <v>6153</v>
      </c>
    </row>
    <row r="6067" spans="8:8">
      <c r="H6067" s="680" t="s">
        <v>6153</v>
      </c>
    </row>
    <row r="6068" spans="8:8">
      <c r="H6068" s="680" t="s">
        <v>6153</v>
      </c>
    </row>
    <row r="6069" spans="8:8">
      <c r="H6069" s="680" t="s">
        <v>6153</v>
      </c>
    </row>
    <row r="6070" spans="8:8">
      <c r="H6070" s="680" t="s">
        <v>6153</v>
      </c>
    </row>
    <row r="6071" spans="8:8">
      <c r="H6071" s="680" t="s">
        <v>6153</v>
      </c>
    </row>
    <row r="6072" spans="8:8">
      <c r="H6072" s="680" t="s">
        <v>6153</v>
      </c>
    </row>
    <row r="6073" spans="8:8">
      <c r="H6073" s="680" t="s">
        <v>6153</v>
      </c>
    </row>
    <row r="6074" spans="8:8">
      <c r="H6074" s="680" t="s">
        <v>6153</v>
      </c>
    </row>
    <row r="6075" spans="8:8">
      <c r="H6075" s="680" t="s">
        <v>6153</v>
      </c>
    </row>
    <row r="6076" spans="8:8">
      <c r="H6076" s="680" t="s">
        <v>6153</v>
      </c>
    </row>
    <row r="6077" spans="8:8">
      <c r="H6077" s="680" t="s">
        <v>6153</v>
      </c>
    </row>
    <row r="6078" spans="8:8">
      <c r="H6078" s="680" t="s">
        <v>6153</v>
      </c>
    </row>
    <row r="6079" spans="8:8">
      <c r="H6079" s="680" t="s">
        <v>6153</v>
      </c>
    </row>
    <row r="6080" spans="8:8">
      <c r="H6080" s="680" t="s">
        <v>6153</v>
      </c>
    </row>
    <row r="6081" spans="8:8">
      <c r="H6081" s="680" t="s">
        <v>6153</v>
      </c>
    </row>
    <row r="6082" spans="8:8">
      <c r="H6082" s="680" t="s">
        <v>6153</v>
      </c>
    </row>
    <row r="6083" spans="8:8">
      <c r="H6083" s="680" t="s">
        <v>6153</v>
      </c>
    </row>
    <row r="6084" spans="8:8">
      <c r="H6084" s="680" t="s">
        <v>6153</v>
      </c>
    </row>
    <row r="6085" spans="8:8">
      <c r="H6085" s="680" t="s">
        <v>6153</v>
      </c>
    </row>
    <row r="6086" spans="8:8">
      <c r="H6086" s="680" t="s">
        <v>6153</v>
      </c>
    </row>
    <row r="6087" spans="8:8">
      <c r="H6087" s="680" t="s">
        <v>6153</v>
      </c>
    </row>
    <row r="6088" spans="8:8">
      <c r="H6088" s="680" t="s">
        <v>6153</v>
      </c>
    </row>
    <row r="6089" spans="8:8">
      <c r="H6089" s="680" t="s">
        <v>6153</v>
      </c>
    </row>
    <row r="6090" spans="8:8">
      <c r="H6090" s="680" t="s">
        <v>6153</v>
      </c>
    </row>
    <row r="6091" spans="8:8">
      <c r="H6091" s="680" t="s">
        <v>6153</v>
      </c>
    </row>
    <row r="6092" spans="8:8">
      <c r="H6092" s="680" t="s">
        <v>6153</v>
      </c>
    </row>
    <row r="6093" spans="8:8">
      <c r="H6093" s="680" t="s">
        <v>6153</v>
      </c>
    </row>
    <row r="6094" spans="8:8">
      <c r="H6094" s="680" t="s">
        <v>6153</v>
      </c>
    </row>
    <row r="6095" spans="8:8">
      <c r="H6095" s="680" t="s">
        <v>6153</v>
      </c>
    </row>
    <row r="6096" spans="8:8">
      <c r="H6096" s="680" t="s">
        <v>6153</v>
      </c>
    </row>
    <row r="6097" spans="8:8">
      <c r="H6097" s="680" t="s">
        <v>6153</v>
      </c>
    </row>
    <row r="6098" spans="8:8">
      <c r="H6098" s="680" t="s">
        <v>6153</v>
      </c>
    </row>
    <row r="6099" spans="8:8">
      <c r="H6099" s="680" t="s">
        <v>6153</v>
      </c>
    </row>
    <row r="6100" spans="8:8">
      <c r="H6100" s="680" t="s">
        <v>6153</v>
      </c>
    </row>
    <row r="6101" spans="8:8">
      <c r="H6101" s="680" t="s">
        <v>6153</v>
      </c>
    </row>
    <row r="6102" spans="8:8">
      <c r="H6102" s="680" t="s">
        <v>6153</v>
      </c>
    </row>
    <row r="6103" spans="8:8">
      <c r="H6103" s="680" t="s">
        <v>6153</v>
      </c>
    </row>
    <row r="6104" spans="8:8">
      <c r="H6104" s="680" t="s">
        <v>6153</v>
      </c>
    </row>
    <row r="6105" spans="8:8">
      <c r="H6105" s="680" t="s">
        <v>6153</v>
      </c>
    </row>
    <row r="6106" spans="8:8">
      <c r="H6106" s="680" t="s">
        <v>6153</v>
      </c>
    </row>
    <row r="6107" spans="8:8">
      <c r="H6107" s="680" t="s">
        <v>6153</v>
      </c>
    </row>
    <row r="6108" spans="8:8">
      <c r="H6108" s="680" t="s">
        <v>6153</v>
      </c>
    </row>
    <row r="6109" spans="8:8">
      <c r="H6109" s="680" t="s">
        <v>6153</v>
      </c>
    </row>
    <row r="6110" spans="8:8">
      <c r="H6110" s="680" t="s">
        <v>6153</v>
      </c>
    </row>
    <row r="6111" spans="8:8">
      <c r="H6111" s="680" t="s">
        <v>6153</v>
      </c>
    </row>
    <row r="6112" spans="8:8">
      <c r="H6112" s="680" t="s">
        <v>6153</v>
      </c>
    </row>
    <row r="6113" spans="8:8">
      <c r="H6113" s="680" t="s">
        <v>6153</v>
      </c>
    </row>
    <row r="6114" spans="8:8">
      <c r="H6114" s="680" t="s">
        <v>6153</v>
      </c>
    </row>
    <row r="6115" spans="8:8">
      <c r="H6115" s="680" t="s">
        <v>6153</v>
      </c>
    </row>
    <row r="6116" spans="8:8">
      <c r="H6116" s="680" t="s">
        <v>6153</v>
      </c>
    </row>
    <row r="6117" spans="8:8">
      <c r="H6117" s="680" t="s">
        <v>6153</v>
      </c>
    </row>
    <row r="6118" spans="8:8">
      <c r="H6118" s="680" t="s">
        <v>6153</v>
      </c>
    </row>
    <row r="6119" spans="8:8">
      <c r="H6119" s="680" t="s">
        <v>6153</v>
      </c>
    </row>
    <row r="6120" spans="8:8">
      <c r="H6120" s="680" t="s">
        <v>6153</v>
      </c>
    </row>
    <row r="6121" spans="8:8">
      <c r="H6121" s="680" t="s">
        <v>6153</v>
      </c>
    </row>
    <row r="6122" spans="8:8">
      <c r="H6122" s="680" t="s">
        <v>6153</v>
      </c>
    </row>
    <row r="6123" spans="8:8">
      <c r="H6123" s="680" t="s">
        <v>6153</v>
      </c>
    </row>
    <row r="6124" spans="8:8">
      <c r="H6124" s="680" t="s">
        <v>6153</v>
      </c>
    </row>
    <row r="6125" spans="8:8">
      <c r="H6125" s="680" t="s">
        <v>6153</v>
      </c>
    </row>
    <row r="6126" spans="8:8">
      <c r="H6126" s="680" t="s">
        <v>6153</v>
      </c>
    </row>
    <row r="6127" spans="8:8">
      <c r="H6127" s="680" t="s">
        <v>6153</v>
      </c>
    </row>
    <row r="6128" spans="8:8">
      <c r="H6128" s="680" t="s">
        <v>6153</v>
      </c>
    </row>
    <row r="6129" spans="8:8">
      <c r="H6129" s="680" t="s">
        <v>6153</v>
      </c>
    </row>
    <row r="6130" spans="8:8">
      <c r="H6130" s="680" t="s">
        <v>6153</v>
      </c>
    </row>
    <row r="6131" spans="8:8">
      <c r="H6131" s="680" t="s">
        <v>6153</v>
      </c>
    </row>
    <row r="6132" spans="8:8">
      <c r="H6132" s="680" t="s">
        <v>6153</v>
      </c>
    </row>
    <row r="6133" spans="8:8">
      <c r="H6133" s="680" t="s">
        <v>6153</v>
      </c>
    </row>
    <row r="6134" spans="8:8">
      <c r="H6134" s="680" t="s">
        <v>6153</v>
      </c>
    </row>
    <row r="6135" spans="8:8">
      <c r="H6135" s="680" t="s">
        <v>6153</v>
      </c>
    </row>
    <row r="6136" spans="8:8">
      <c r="H6136" s="680" t="s">
        <v>6153</v>
      </c>
    </row>
    <row r="6137" spans="8:8">
      <c r="H6137" s="680" t="s">
        <v>6153</v>
      </c>
    </row>
    <row r="6138" spans="8:8">
      <c r="H6138" s="680" t="s">
        <v>6153</v>
      </c>
    </row>
    <row r="6139" spans="8:8">
      <c r="H6139" s="680" t="s">
        <v>6153</v>
      </c>
    </row>
    <row r="6140" spans="8:8">
      <c r="H6140" s="680" t="s">
        <v>6153</v>
      </c>
    </row>
    <row r="6141" spans="8:8">
      <c r="H6141" s="680" t="s">
        <v>6153</v>
      </c>
    </row>
    <row r="6142" spans="8:8">
      <c r="H6142" s="680" t="s">
        <v>6153</v>
      </c>
    </row>
    <row r="6143" spans="8:8">
      <c r="H6143" s="680" t="s">
        <v>6153</v>
      </c>
    </row>
    <row r="6144" spans="8:8">
      <c r="H6144" s="680" t="s">
        <v>6153</v>
      </c>
    </row>
    <row r="6145" spans="8:8">
      <c r="H6145" s="680" t="s">
        <v>6153</v>
      </c>
    </row>
    <row r="6146" spans="8:8">
      <c r="H6146" s="680" t="s">
        <v>6153</v>
      </c>
    </row>
    <row r="6147" spans="8:8">
      <c r="H6147" s="680" t="s">
        <v>6153</v>
      </c>
    </row>
    <row r="6148" spans="8:8">
      <c r="H6148" s="680" t="s">
        <v>6153</v>
      </c>
    </row>
    <row r="6149" spans="8:8">
      <c r="H6149" s="680" t="s">
        <v>6153</v>
      </c>
    </row>
    <row r="6150" spans="8:8">
      <c r="H6150" s="680" t="s">
        <v>6153</v>
      </c>
    </row>
    <row r="6151" spans="8:8">
      <c r="H6151" s="680" t="s">
        <v>6153</v>
      </c>
    </row>
    <row r="6152" spans="8:8">
      <c r="H6152" s="680" t="s">
        <v>6153</v>
      </c>
    </row>
    <row r="6153" spans="8:8">
      <c r="H6153" s="680" t="s">
        <v>6153</v>
      </c>
    </row>
    <row r="6154" spans="8:8">
      <c r="H6154" s="680" t="s">
        <v>6153</v>
      </c>
    </row>
    <row r="6155" spans="8:8">
      <c r="H6155" s="680" t="s">
        <v>6153</v>
      </c>
    </row>
    <row r="6156" spans="8:8">
      <c r="H6156" s="680" t="s">
        <v>6153</v>
      </c>
    </row>
    <row r="6157" spans="8:8">
      <c r="H6157" s="680" t="s">
        <v>6153</v>
      </c>
    </row>
    <row r="6158" spans="8:8">
      <c r="H6158" s="680" t="s">
        <v>6153</v>
      </c>
    </row>
    <row r="6159" spans="8:8">
      <c r="H6159" s="680" t="s">
        <v>6153</v>
      </c>
    </row>
    <row r="6160" spans="8:8">
      <c r="H6160" s="680" t="s">
        <v>6153</v>
      </c>
    </row>
    <row r="6161" spans="8:8">
      <c r="H6161" s="680" t="s">
        <v>6153</v>
      </c>
    </row>
    <row r="6162" spans="8:8">
      <c r="H6162" s="680" t="s">
        <v>6153</v>
      </c>
    </row>
    <row r="6163" spans="8:8">
      <c r="H6163" s="680" t="s">
        <v>6153</v>
      </c>
    </row>
    <row r="6164" spans="8:8">
      <c r="H6164" s="680" t="s">
        <v>6153</v>
      </c>
    </row>
    <row r="6165" spans="8:8">
      <c r="H6165" s="680" t="s">
        <v>6153</v>
      </c>
    </row>
    <row r="6166" spans="8:8">
      <c r="H6166" s="680" t="s">
        <v>6153</v>
      </c>
    </row>
    <row r="6167" spans="8:8">
      <c r="H6167" s="680" t="s">
        <v>6153</v>
      </c>
    </row>
    <row r="6168" spans="8:8">
      <c r="H6168" s="680" t="s">
        <v>6153</v>
      </c>
    </row>
    <row r="6169" spans="8:8">
      <c r="H6169" s="680" t="s">
        <v>6153</v>
      </c>
    </row>
    <row r="6170" spans="8:8">
      <c r="H6170" s="680" t="s">
        <v>6153</v>
      </c>
    </row>
    <row r="6171" spans="8:8">
      <c r="H6171" s="680" t="s">
        <v>6153</v>
      </c>
    </row>
    <row r="6172" spans="8:8">
      <c r="H6172" s="680" t="s">
        <v>6153</v>
      </c>
    </row>
    <row r="6173" spans="8:8">
      <c r="H6173" s="680" t="s">
        <v>6153</v>
      </c>
    </row>
    <row r="6174" spans="8:8">
      <c r="H6174" s="680" t="s">
        <v>6153</v>
      </c>
    </row>
    <row r="6175" spans="8:8">
      <c r="H6175" s="680" t="s">
        <v>6153</v>
      </c>
    </row>
    <row r="6176" spans="8:8">
      <c r="H6176" s="680" t="s">
        <v>6153</v>
      </c>
    </row>
    <row r="6177" spans="8:8">
      <c r="H6177" s="680" t="s">
        <v>6153</v>
      </c>
    </row>
    <row r="6178" spans="8:8">
      <c r="H6178" s="680" t="s">
        <v>6153</v>
      </c>
    </row>
    <row r="6179" spans="8:8">
      <c r="H6179" s="680" t="s">
        <v>6153</v>
      </c>
    </row>
    <row r="6180" spans="8:8">
      <c r="H6180" s="680" t="s">
        <v>6153</v>
      </c>
    </row>
    <row r="6181" spans="8:8">
      <c r="H6181" s="680" t="s">
        <v>6153</v>
      </c>
    </row>
    <row r="6182" spans="8:8">
      <c r="H6182" s="680" t="s">
        <v>6153</v>
      </c>
    </row>
    <row r="6183" spans="8:8">
      <c r="H6183" s="680" t="s">
        <v>6153</v>
      </c>
    </row>
    <row r="6184" spans="8:8">
      <c r="H6184" s="680" t="s">
        <v>6153</v>
      </c>
    </row>
    <row r="6185" spans="8:8">
      <c r="H6185" s="680" t="s">
        <v>6153</v>
      </c>
    </row>
    <row r="6186" spans="8:8">
      <c r="H6186" s="680" t="s">
        <v>6153</v>
      </c>
    </row>
    <row r="6187" spans="8:8">
      <c r="H6187" s="680" t="s">
        <v>6153</v>
      </c>
    </row>
    <row r="6188" spans="8:8">
      <c r="H6188" s="680" t="s">
        <v>6153</v>
      </c>
    </row>
    <row r="6189" spans="8:8">
      <c r="H6189" s="680" t="s">
        <v>6153</v>
      </c>
    </row>
    <row r="6190" spans="8:8">
      <c r="H6190" s="680" t="s">
        <v>6153</v>
      </c>
    </row>
    <row r="6191" spans="8:8">
      <c r="H6191" s="680" t="s">
        <v>6153</v>
      </c>
    </row>
    <row r="6192" spans="8:8">
      <c r="H6192" s="680" t="s">
        <v>6153</v>
      </c>
    </row>
    <row r="6193" spans="8:8">
      <c r="H6193" s="680" t="s">
        <v>6153</v>
      </c>
    </row>
    <row r="6194" spans="8:8">
      <c r="H6194" s="680" t="s">
        <v>6153</v>
      </c>
    </row>
    <row r="6195" spans="8:8">
      <c r="H6195" s="680" t="s">
        <v>6153</v>
      </c>
    </row>
    <row r="6196" spans="8:8">
      <c r="H6196" s="680" t="s">
        <v>6153</v>
      </c>
    </row>
    <row r="6197" spans="8:8">
      <c r="H6197" s="680" t="s">
        <v>6153</v>
      </c>
    </row>
    <row r="6198" spans="8:8">
      <c r="H6198" s="680" t="s">
        <v>6153</v>
      </c>
    </row>
    <row r="6199" spans="8:8">
      <c r="H6199" s="680" t="s">
        <v>6153</v>
      </c>
    </row>
    <row r="6200" spans="8:8">
      <c r="H6200" s="680" t="s">
        <v>6153</v>
      </c>
    </row>
    <row r="6201" spans="8:8">
      <c r="H6201" s="680" t="s">
        <v>6153</v>
      </c>
    </row>
    <row r="6202" spans="8:8">
      <c r="H6202" s="680" t="s">
        <v>6153</v>
      </c>
    </row>
    <row r="6203" spans="8:8">
      <c r="H6203" s="680" t="s">
        <v>6153</v>
      </c>
    </row>
    <row r="6204" spans="8:8">
      <c r="H6204" s="680" t="s">
        <v>6153</v>
      </c>
    </row>
    <row r="6205" spans="8:8">
      <c r="H6205" s="680" t="s">
        <v>6153</v>
      </c>
    </row>
    <row r="6206" spans="8:8">
      <c r="H6206" s="680" t="s">
        <v>6153</v>
      </c>
    </row>
    <row r="6207" spans="8:8">
      <c r="H6207" s="680" t="s">
        <v>6153</v>
      </c>
    </row>
    <row r="6208" spans="8:8">
      <c r="H6208" s="680" t="s">
        <v>6153</v>
      </c>
    </row>
    <row r="6209" spans="8:8">
      <c r="H6209" s="680" t="s">
        <v>6153</v>
      </c>
    </row>
    <row r="6210" spans="8:8">
      <c r="H6210" s="680" t="s">
        <v>6153</v>
      </c>
    </row>
    <row r="6211" spans="8:8">
      <c r="H6211" s="680" t="s">
        <v>6153</v>
      </c>
    </row>
    <row r="6212" spans="8:8">
      <c r="H6212" s="680" t="s">
        <v>6153</v>
      </c>
    </row>
    <row r="6213" spans="8:8">
      <c r="H6213" s="680" t="s">
        <v>6153</v>
      </c>
    </row>
    <row r="6214" spans="8:8">
      <c r="H6214" s="680" t="s">
        <v>6153</v>
      </c>
    </row>
    <row r="6215" spans="8:8">
      <c r="H6215" s="680" t="s">
        <v>6153</v>
      </c>
    </row>
    <row r="6216" spans="8:8">
      <c r="H6216" s="680" t="s">
        <v>6153</v>
      </c>
    </row>
    <row r="6217" spans="8:8">
      <c r="H6217" s="680" t="s">
        <v>6153</v>
      </c>
    </row>
    <row r="6218" spans="8:8">
      <c r="H6218" s="680" t="s">
        <v>6153</v>
      </c>
    </row>
    <row r="6219" spans="8:8">
      <c r="H6219" s="680" t="s">
        <v>6153</v>
      </c>
    </row>
    <row r="6220" spans="8:8">
      <c r="H6220" s="680" t="s">
        <v>6153</v>
      </c>
    </row>
    <row r="6221" spans="8:8">
      <c r="H6221" s="680" t="s">
        <v>6153</v>
      </c>
    </row>
    <row r="6222" spans="8:8">
      <c r="H6222" s="680" t="s">
        <v>6153</v>
      </c>
    </row>
    <row r="6223" spans="8:8">
      <c r="H6223" s="680" t="s">
        <v>6153</v>
      </c>
    </row>
    <row r="6224" spans="8:8">
      <c r="H6224" s="680" t="s">
        <v>6153</v>
      </c>
    </row>
    <row r="6225" spans="8:8">
      <c r="H6225" s="680" t="s">
        <v>6153</v>
      </c>
    </row>
    <row r="6226" spans="8:8">
      <c r="H6226" s="680" t="s">
        <v>6153</v>
      </c>
    </row>
    <row r="6227" spans="8:8">
      <c r="H6227" s="680" t="s">
        <v>6153</v>
      </c>
    </row>
    <row r="6228" spans="8:8">
      <c r="H6228" s="680" t="s">
        <v>6153</v>
      </c>
    </row>
    <row r="6229" spans="8:8">
      <c r="H6229" s="680" t="s">
        <v>6153</v>
      </c>
    </row>
    <row r="6230" spans="8:8">
      <c r="H6230" s="680" t="s">
        <v>6153</v>
      </c>
    </row>
    <row r="6231" spans="8:8">
      <c r="H6231" s="680" t="s">
        <v>6153</v>
      </c>
    </row>
    <row r="6232" spans="8:8">
      <c r="H6232" s="680" t="s">
        <v>6153</v>
      </c>
    </row>
    <row r="6233" spans="8:8">
      <c r="H6233" s="680" t="s">
        <v>6153</v>
      </c>
    </row>
    <row r="6234" spans="8:8">
      <c r="H6234" s="680" t="s">
        <v>6153</v>
      </c>
    </row>
    <row r="6235" spans="8:8">
      <c r="H6235" s="680" t="s">
        <v>6153</v>
      </c>
    </row>
    <row r="6236" spans="8:8">
      <c r="H6236" s="680" t="s">
        <v>6153</v>
      </c>
    </row>
    <row r="6237" spans="8:8">
      <c r="H6237" s="680" t="s">
        <v>6153</v>
      </c>
    </row>
    <row r="6238" spans="8:8">
      <c r="H6238" s="680" t="s">
        <v>6153</v>
      </c>
    </row>
    <row r="6239" spans="8:8">
      <c r="H6239" s="680" t="s">
        <v>6153</v>
      </c>
    </row>
    <row r="6240" spans="8:8">
      <c r="H6240" s="680" t="s">
        <v>6153</v>
      </c>
    </row>
    <row r="6241" spans="8:8">
      <c r="H6241" s="680" t="s">
        <v>6153</v>
      </c>
    </row>
    <row r="6242" spans="8:8">
      <c r="H6242" s="680" t="s">
        <v>6153</v>
      </c>
    </row>
    <row r="6243" spans="8:8">
      <c r="H6243" s="680" t="s">
        <v>6153</v>
      </c>
    </row>
    <row r="6244" spans="8:8">
      <c r="H6244" s="680" t="s">
        <v>6153</v>
      </c>
    </row>
    <row r="6245" spans="8:8">
      <c r="H6245" s="680" t="s">
        <v>6153</v>
      </c>
    </row>
    <row r="6246" spans="8:8">
      <c r="H6246" s="680" t="s">
        <v>6153</v>
      </c>
    </row>
    <row r="6247" spans="8:8">
      <c r="H6247" s="680" t="s">
        <v>6153</v>
      </c>
    </row>
    <row r="6248" spans="8:8">
      <c r="H6248" s="680" t="s">
        <v>6153</v>
      </c>
    </row>
    <row r="6249" spans="8:8">
      <c r="H6249" s="680" t="s">
        <v>6153</v>
      </c>
    </row>
    <row r="6250" spans="8:8">
      <c r="H6250" s="680" t="s">
        <v>6153</v>
      </c>
    </row>
    <row r="6251" spans="8:8">
      <c r="H6251" s="680" t="s">
        <v>6153</v>
      </c>
    </row>
    <row r="6252" spans="8:8">
      <c r="H6252" s="680" t="s">
        <v>6153</v>
      </c>
    </row>
    <row r="6253" spans="8:8">
      <c r="H6253" s="680" t="s">
        <v>6153</v>
      </c>
    </row>
    <row r="6254" spans="8:8">
      <c r="H6254" s="680" t="s">
        <v>6153</v>
      </c>
    </row>
    <row r="6255" spans="8:8">
      <c r="H6255" s="680" t="s">
        <v>6153</v>
      </c>
    </row>
    <row r="6256" spans="8:8">
      <c r="H6256" s="680" t="s">
        <v>6153</v>
      </c>
    </row>
    <row r="6257" spans="8:8">
      <c r="H6257" s="680" t="s">
        <v>6153</v>
      </c>
    </row>
    <row r="6258" spans="8:8">
      <c r="H6258" s="680" t="s">
        <v>6153</v>
      </c>
    </row>
    <row r="6259" spans="8:8">
      <c r="H6259" s="680" t="s">
        <v>6153</v>
      </c>
    </row>
    <row r="6260" spans="8:8">
      <c r="H6260" s="680" t="s">
        <v>6153</v>
      </c>
    </row>
    <row r="6261" spans="8:8">
      <c r="H6261" s="680" t="s">
        <v>6153</v>
      </c>
    </row>
    <row r="6262" spans="8:8">
      <c r="H6262" s="680" t="s">
        <v>6153</v>
      </c>
    </row>
    <row r="6263" spans="8:8">
      <c r="H6263" s="680" t="s">
        <v>6153</v>
      </c>
    </row>
    <row r="6264" spans="8:8">
      <c r="H6264" s="680" t="s">
        <v>6153</v>
      </c>
    </row>
    <row r="6265" spans="8:8">
      <c r="H6265" s="680" t="s">
        <v>6153</v>
      </c>
    </row>
    <row r="6266" spans="8:8">
      <c r="H6266" s="680" t="s">
        <v>6153</v>
      </c>
    </row>
    <row r="6267" spans="8:8">
      <c r="H6267" s="680" t="s">
        <v>6153</v>
      </c>
    </row>
    <row r="6268" spans="8:8">
      <c r="H6268" s="680" t="s">
        <v>6153</v>
      </c>
    </row>
    <row r="6269" spans="8:8">
      <c r="H6269" s="680" t="s">
        <v>6153</v>
      </c>
    </row>
    <row r="6270" spans="8:8">
      <c r="H6270" s="680" t="s">
        <v>6153</v>
      </c>
    </row>
    <row r="6271" spans="8:8">
      <c r="H6271" s="680" t="s">
        <v>6153</v>
      </c>
    </row>
    <row r="6272" spans="8:8">
      <c r="H6272" s="680" t="s">
        <v>6153</v>
      </c>
    </row>
    <row r="6273" spans="8:8">
      <c r="H6273" s="680" t="s">
        <v>6153</v>
      </c>
    </row>
    <row r="6274" spans="8:8">
      <c r="H6274" s="680" t="s">
        <v>6153</v>
      </c>
    </row>
    <row r="6275" spans="8:8">
      <c r="H6275" s="680" t="s">
        <v>6153</v>
      </c>
    </row>
    <row r="6276" spans="8:8">
      <c r="H6276" s="680" t="s">
        <v>6153</v>
      </c>
    </row>
    <row r="6277" spans="8:8">
      <c r="H6277" s="680" t="s">
        <v>6153</v>
      </c>
    </row>
    <row r="6278" spans="8:8">
      <c r="H6278" s="680" t="s">
        <v>6153</v>
      </c>
    </row>
    <row r="6279" spans="8:8">
      <c r="H6279" s="680" t="s">
        <v>6153</v>
      </c>
    </row>
    <row r="6280" spans="8:8">
      <c r="H6280" s="680" t="s">
        <v>6153</v>
      </c>
    </row>
    <row r="6281" spans="8:8">
      <c r="H6281" s="680" t="s">
        <v>6153</v>
      </c>
    </row>
    <row r="6282" spans="8:8">
      <c r="H6282" s="680" t="s">
        <v>6153</v>
      </c>
    </row>
    <row r="6283" spans="8:8">
      <c r="H6283" s="680" t="s">
        <v>6153</v>
      </c>
    </row>
    <row r="6284" spans="8:8">
      <c r="H6284" s="680" t="s">
        <v>6153</v>
      </c>
    </row>
    <row r="6285" spans="8:8">
      <c r="H6285" s="680" t="s">
        <v>6153</v>
      </c>
    </row>
    <row r="6286" spans="8:8">
      <c r="H6286" s="680" t="s">
        <v>6153</v>
      </c>
    </row>
    <row r="6287" spans="8:8">
      <c r="H6287" s="680" t="s">
        <v>6153</v>
      </c>
    </row>
    <row r="6288" spans="8:8">
      <c r="H6288" s="680" t="s">
        <v>6153</v>
      </c>
    </row>
    <row r="6289" spans="8:8">
      <c r="H6289" s="680" t="s">
        <v>6153</v>
      </c>
    </row>
    <row r="6290" spans="8:8">
      <c r="H6290" s="680" t="s">
        <v>6153</v>
      </c>
    </row>
    <row r="6291" spans="8:8">
      <c r="H6291" s="680" t="s">
        <v>6153</v>
      </c>
    </row>
    <row r="6292" spans="8:8">
      <c r="H6292" s="680" t="s">
        <v>6153</v>
      </c>
    </row>
    <row r="6293" spans="8:8">
      <c r="H6293" s="680" t="s">
        <v>6153</v>
      </c>
    </row>
    <row r="6294" spans="8:8">
      <c r="H6294" s="680" t="s">
        <v>6153</v>
      </c>
    </row>
    <row r="6295" spans="8:8">
      <c r="H6295" s="680" t="s">
        <v>6153</v>
      </c>
    </row>
    <row r="6296" spans="8:8">
      <c r="H6296" s="680" t="s">
        <v>6153</v>
      </c>
    </row>
    <row r="6297" spans="8:8">
      <c r="H6297" s="680" t="s">
        <v>6153</v>
      </c>
    </row>
    <row r="6298" spans="8:8">
      <c r="H6298" s="680" t="s">
        <v>6153</v>
      </c>
    </row>
    <row r="6299" spans="8:8">
      <c r="H6299" s="680" t="s">
        <v>6153</v>
      </c>
    </row>
    <row r="6300" spans="8:8">
      <c r="H6300" s="680" t="s">
        <v>6153</v>
      </c>
    </row>
    <row r="6301" spans="8:8">
      <c r="H6301" s="680" t="s">
        <v>6153</v>
      </c>
    </row>
    <row r="6302" spans="8:8">
      <c r="H6302" s="680" t="s">
        <v>6153</v>
      </c>
    </row>
    <row r="6303" spans="8:8">
      <c r="H6303" s="680" t="s">
        <v>6153</v>
      </c>
    </row>
    <row r="6304" spans="8:8">
      <c r="H6304" s="680" t="s">
        <v>6153</v>
      </c>
    </row>
    <row r="6305" spans="8:8">
      <c r="H6305" s="680" t="s">
        <v>6153</v>
      </c>
    </row>
    <row r="6306" spans="8:8">
      <c r="H6306" s="680" t="s">
        <v>6153</v>
      </c>
    </row>
    <row r="6307" spans="8:8">
      <c r="H6307" s="680" t="s">
        <v>6153</v>
      </c>
    </row>
    <row r="6308" spans="8:8">
      <c r="H6308" s="680" t="s">
        <v>6153</v>
      </c>
    </row>
    <row r="6309" spans="8:8">
      <c r="H6309" s="680" t="s">
        <v>6153</v>
      </c>
    </row>
    <row r="6310" spans="8:8">
      <c r="H6310" s="680" t="s">
        <v>6153</v>
      </c>
    </row>
    <row r="6311" spans="8:8">
      <c r="H6311" s="680" t="s">
        <v>6153</v>
      </c>
    </row>
    <row r="6312" spans="8:8">
      <c r="H6312" s="680" t="s">
        <v>6153</v>
      </c>
    </row>
    <row r="6313" spans="8:8">
      <c r="H6313" s="680" t="s">
        <v>6153</v>
      </c>
    </row>
    <row r="6314" spans="8:8">
      <c r="H6314" s="680" t="s">
        <v>6153</v>
      </c>
    </row>
    <row r="6315" spans="8:8">
      <c r="H6315" s="680" t="s">
        <v>6153</v>
      </c>
    </row>
    <row r="6316" spans="8:8">
      <c r="H6316" s="680" t="s">
        <v>6153</v>
      </c>
    </row>
    <row r="6317" spans="8:8">
      <c r="H6317" s="680" t="s">
        <v>6153</v>
      </c>
    </row>
    <row r="6318" spans="8:8">
      <c r="H6318" s="680" t="s">
        <v>6153</v>
      </c>
    </row>
    <row r="6319" spans="8:8">
      <c r="H6319" s="680" t="s">
        <v>6153</v>
      </c>
    </row>
    <row r="6320" spans="8:8">
      <c r="H6320" s="680" t="s">
        <v>6153</v>
      </c>
    </row>
    <row r="6321" spans="8:8">
      <c r="H6321" s="680" t="s">
        <v>6153</v>
      </c>
    </row>
    <row r="6322" spans="8:8">
      <c r="H6322" s="680" t="s">
        <v>6153</v>
      </c>
    </row>
    <row r="6323" spans="8:8">
      <c r="H6323" s="680" t="s">
        <v>6153</v>
      </c>
    </row>
    <row r="6324" spans="8:8">
      <c r="H6324" s="680" t="s">
        <v>6153</v>
      </c>
    </row>
    <row r="6325" spans="8:8">
      <c r="H6325" s="680" t="s">
        <v>6153</v>
      </c>
    </row>
    <row r="6326" spans="8:8">
      <c r="H6326" s="680" t="s">
        <v>6153</v>
      </c>
    </row>
    <row r="6327" spans="8:8">
      <c r="H6327" s="680" t="s">
        <v>6153</v>
      </c>
    </row>
    <row r="6328" spans="8:8">
      <c r="H6328" s="680" t="s">
        <v>6153</v>
      </c>
    </row>
    <row r="6329" spans="8:8">
      <c r="H6329" s="680" t="s">
        <v>6153</v>
      </c>
    </row>
    <row r="6330" spans="8:8">
      <c r="H6330" s="680" t="s">
        <v>6153</v>
      </c>
    </row>
    <row r="6331" spans="8:8">
      <c r="H6331" s="680" t="s">
        <v>6153</v>
      </c>
    </row>
    <row r="6332" spans="8:8">
      <c r="H6332" s="680" t="s">
        <v>6153</v>
      </c>
    </row>
    <row r="6333" spans="8:8">
      <c r="H6333" s="680" t="s">
        <v>6153</v>
      </c>
    </row>
    <row r="6334" spans="8:8">
      <c r="H6334" s="680" t="s">
        <v>6153</v>
      </c>
    </row>
    <row r="6335" spans="8:8">
      <c r="H6335" s="680" t="s">
        <v>6153</v>
      </c>
    </row>
    <row r="6336" spans="8:8">
      <c r="H6336" s="680" t="s">
        <v>6153</v>
      </c>
    </row>
    <row r="6337" spans="8:8">
      <c r="H6337" s="680" t="s">
        <v>6153</v>
      </c>
    </row>
    <row r="6338" spans="8:8">
      <c r="H6338" s="680" t="s">
        <v>6153</v>
      </c>
    </row>
    <row r="6339" spans="8:8">
      <c r="H6339" s="680" t="s">
        <v>6153</v>
      </c>
    </row>
    <row r="6340" spans="8:8">
      <c r="H6340" s="680" t="s">
        <v>6153</v>
      </c>
    </row>
    <row r="6341" spans="8:8">
      <c r="H6341" s="680" t="s">
        <v>6153</v>
      </c>
    </row>
    <row r="6342" spans="8:8">
      <c r="H6342" s="680" t="s">
        <v>6153</v>
      </c>
    </row>
    <row r="6343" spans="8:8">
      <c r="H6343" s="680" t="s">
        <v>6153</v>
      </c>
    </row>
    <row r="6344" spans="8:8">
      <c r="H6344" s="680" t="s">
        <v>6153</v>
      </c>
    </row>
    <row r="6345" spans="8:8">
      <c r="H6345" s="680" t="s">
        <v>6153</v>
      </c>
    </row>
    <row r="6346" spans="8:8">
      <c r="H6346" s="680" t="s">
        <v>6153</v>
      </c>
    </row>
    <row r="6347" spans="8:8">
      <c r="H6347" s="680" t="s">
        <v>6153</v>
      </c>
    </row>
    <row r="6348" spans="8:8">
      <c r="H6348" s="680" t="s">
        <v>6153</v>
      </c>
    </row>
    <row r="6349" spans="8:8">
      <c r="H6349" s="680" t="s">
        <v>6153</v>
      </c>
    </row>
    <row r="6350" spans="8:8">
      <c r="H6350" s="680" t="s">
        <v>6153</v>
      </c>
    </row>
    <row r="6351" spans="8:8">
      <c r="H6351" s="680" t="s">
        <v>6153</v>
      </c>
    </row>
    <row r="6352" spans="8:8">
      <c r="H6352" s="680" t="s">
        <v>6153</v>
      </c>
    </row>
    <row r="6353" spans="8:8">
      <c r="H6353" s="680" t="s">
        <v>6153</v>
      </c>
    </row>
    <row r="6354" spans="8:8">
      <c r="H6354" s="680" t="s">
        <v>6153</v>
      </c>
    </row>
    <row r="6355" spans="8:8">
      <c r="H6355" s="680" t="s">
        <v>6153</v>
      </c>
    </row>
    <row r="6356" spans="8:8">
      <c r="H6356" s="680" t="s">
        <v>6153</v>
      </c>
    </row>
    <row r="6357" spans="8:8">
      <c r="H6357" s="680" t="s">
        <v>6153</v>
      </c>
    </row>
    <row r="6358" spans="8:8">
      <c r="H6358" s="680" t="s">
        <v>6153</v>
      </c>
    </row>
    <row r="6359" spans="8:8">
      <c r="H6359" s="680" t="s">
        <v>6153</v>
      </c>
    </row>
    <row r="6360" spans="8:8">
      <c r="H6360" s="680" t="s">
        <v>6153</v>
      </c>
    </row>
    <row r="6361" spans="8:8">
      <c r="H6361" s="680" t="s">
        <v>6153</v>
      </c>
    </row>
    <row r="6362" spans="8:8">
      <c r="H6362" s="680" t="s">
        <v>6153</v>
      </c>
    </row>
    <row r="6363" spans="8:8">
      <c r="H6363" s="680" t="s">
        <v>6153</v>
      </c>
    </row>
    <row r="6364" spans="8:8">
      <c r="H6364" s="680" t="s">
        <v>6153</v>
      </c>
    </row>
    <row r="6365" spans="8:8">
      <c r="H6365" s="680" t="s">
        <v>6153</v>
      </c>
    </row>
    <row r="6366" spans="8:8">
      <c r="H6366" s="680" t="s">
        <v>6153</v>
      </c>
    </row>
    <row r="6367" spans="8:8">
      <c r="H6367" s="680" t="s">
        <v>6153</v>
      </c>
    </row>
    <row r="6368" spans="8:8">
      <c r="H6368" s="680" t="s">
        <v>6153</v>
      </c>
    </row>
    <row r="6369" spans="8:8">
      <c r="H6369" s="680" t="s">
        <v>6153</v>
      </c>
    </row>
    <row r="6370" spans="8:8">
      <c r="H6370" s="680" t="s">
        <v>6153</v>
      </c>
    </row>
    <row r="6371" spans="8:8">
      <c r="H6371" s="680" t="s">
        <v>6153</v>
      </c>
    </row>
    <row r="6372" spans="8:8">
      <c r="H6372" s="680" t="s">
        <v>6153</v>
      </c>
    </row>
    <row r="6373" spans="8:8">
      <c r="H6373" s="680" t="s">
        <v>6153</v>
      </c>
    </row>
    <row r="6374" spans="8:8">
      <c r="H6374" s="680" t="s">
        <v>6153</v>
      </c>
    </row>
    <row r="6375" spans="8:8">
      <c r="H6375" s="680" t="s">
        <v>6153</v>
      </c>
    </row>
    <row r="6376" spans="8:8">
      <c r="H6376" s="680" t="s">
        <v>6153</v>
      </c>
    </row>
    <row r="6377" spans="8:8">
      <c r="H6377" s="680" t="s">
        <v>6153</v>
      </c>
    </row>
    <row r="6378" spans="8:8">
      <c r="H6378" s="680" t="s">
        <v>6153</v>
      </c>
    </row>
    <row r="6379" spans="8:8">
      <c r="H6379" s="680" t="s">
        <v>6153</v>
      </c>
    </row>
    <row r="6380" spans="8:8">
      <c r="H6380" s="680" t="s">
        <v>6153</v>
      </c>
    </row>
    <row r="6381" spans="8:8">
      <c r="H6381" s="680" t="s">
        <v>6153</v>
      </c>
    </row>
    <row r="6382" spans="8:8">
      <c r="H6382" s="680" t="s">
        <v>6153</v>
      </c>
    </row>
    <row r="6383" spans="8:8">
      <c r="H6383" s="680" t="s">
        <v>6153</v>
      </c>
    </row>
    <row r="6384" spans="8:8">
      <c r="H6384" s="680" t="s">
        <v>6153</v>
      </c>
    </row>
    <row r="6385" spans="8:8">
      <c r="H6385" s="680" t="s">
        <v>6153</v>
      </c>
    </row>
    <row r="6386" spans="8:8">
      <c r="H6386" s="680" t="s">
        <v>6153</v>
      </c>
    </row>
    <row r="6387" spans="8:8">
      <c r="H6387" s="680" t="s">
        <v>6153</v>
      </c>
    </row>
    <row r="6388" spans="8:8">
      <c r="H6388" s="680" t="s">
        <v>6153</v>
      </c>
    </row>
    <row r="6389" spans="8:8">
      <c r="H6389" s="680" t="s">
        <v>6153</v>
      </c>
    </row>
    <row r="6390" spans="8:8">
      <c r="H6390" s="680" t="s">
        <v>6153</v>
      </c>
    </row>
    <row r="6391" spans="8:8">
      <c r="H6391" s="680" t="s">
        <v>6153</v>
      </c>
    </row>
    <row r="6392" spans="8:8">
      <c r="H6392" s="680" t="s">
        <v>6153</v>
      </c>
    </row>
    <row r="6393" spans="8:8">
      <c r="H6393" s="680" t="s">
        <v>6153</v>
      </c>
    </row>
    <row r="6394" spans="8:8">
      <c r="H6394" s="680" t="s">
        <v>6153</v>
      </c>
    </row>
    <row r="6395" spans="8:8">
      <c r="H6395" s="680" t="s">
        <v>6153</v>
      </c>
    </row>
    <row r="6396" spans="8:8">
      <c r="H6396" s="680" t="s">
        <v>6153</v>
      </c>
    </row>
    <row r="6397" spans="8:8">
      <c r="H6397" s="680" t="s">
        <v>6153</v>
      </c>
    </row>
    <row r="6398" spans="8:8">
      <c r="H6398" s="680" t="s">
        <v>6153</v>
      </c>
    </row>
    <row r="6399" spans="8:8">
      <c r="H6399" s="680" t="s">
        <v>6153</v>
      </c>
    </row>
    <row r="6400" spans="8:8">
      <c r="H6400" s="680" t="s">
        <v>6153</v>
      </c>
    </row>
    <row r="6401" spans="8:8">
      <c r="H6401" s="680" t="s">
        <v>6153</v>
      </c>
    </row>
    <row r="6402" spans="8:8">
      <c r="H6402" s="680" t="s">
        <v>6153</v>
      </c>
    </row>
    <row r="6403" spans="8:8">
      <c r="H6403" s="680" t="s">
        <v>6153</v>
      </c>
    </row>
    <row r="6404" spans="8:8">
      <c r="H6404" s="680" t="s">
        <v>6153</v>
      </c>
    </row>
    <row r="6405" spans="8:8">
      <c r="H6405" s="680" t="s">
        <v>6153</v>
      </c>
    </row>
    <row r="6406" spans="8:8">
      <c r="H6406" s="680" t="s">
        <v>6153</v>
      </c>
    </row>
    <row r="6407" spans="8:8">
      <c r="H6407" s="680" t="s">
        <v>6153</v>
      </c>
    </row>
    <row r="6408" spans="8:8">
      <c r="H6408" s="680" t="s">
        <v>6153</v>
      </c>
    </row>
    <row r="6409" spans="8:8">
      <c r="H6409" s="680" t="s">
        <v>6153</v>
      </c>
    </row>
    <row r="6410" spans="8:8">
      <c r="H6410" s="680" t="s">
        <v>6153</v>
      </c>
    </row>
    <row r="6411" spans="8:8">
      <c r="H6411" s="680" t="s">
        <v>6153</v>
      </c>
    </row>
    <row r="6412" spans="8:8">
      <c r="H6412" s="680" t="s">
        <v>6153</v>
      </c>
    </row>
    <row r="6413" spans="8:8">
      <c r="H6413" s="680" t="s">
        <v>6153</v>
      </c>
    </row>
    <row r="6414" spans="8:8">
      <c r="H6414" s="680" t="s">
        <v>6153</v>
      </c>
    </row>
    <row r="6415" spans="8:8">
      <c r="H6415" s="680" t="s">
        <v>6153</v>
      </c>
    </row>
    <row r="6416" spans="8:8">
      <c r="H6416" s="680" t="s">
        <v>6153</v>
      </c>
    </row>
    <row r="6417" spans="8:8">
      <c r="H6417" s="680" t="s">
        <v>6153</v>
      </c>
    </row>
    <row r="6418" spans="8:8">
      <c r="H6418" s="680" t="s">
        <v>6153</v>
      </c>
    </row>
    <row r="6419" spans="8:8">
      <c r="H6419" s="680" t="s">
        <v>6153</v>
      </c>
    </row>
    <row r="6420" spans="8:8">
      <c r="H6420" s="680" t="s">
        <v>6153</v>
      </c>
    </row>
    <row r="6421" spans="8:8">
      <c r="H6421" s="680" t="s">
        <v>6153</v>
      </c>
    </row>
    <row r="6422" spans="8:8">
      <c r="H6422" s="680" t="s">
        <v>6153</v>
      </c>
    </row>
    <row r="6423" spans="8:8">
      <c r="H6423" s="680" t="s">
        <v>6153</v>
      </c>
    </row>
    <row r="6424" spans="8:8">
      <c r="H6424" s="680" t="s">
        <v>6153</v>
      </c>
    </row>
    <row r="6425" spans="8:8">
      <c r="H6425" s="680" t="s">
        <v>6153</v>
      </c>
    </row>
    <row r="6426" spans="8:8">
      <c r="H6426" s="680" t="s">
        <v>6153</v>
      </c>
    </row>
    <row r="6427" spans="8:8">
      <c r="H6427" s="680" t="s">
        <v>6153</v>
      </c>
    </row>
    <row r="6428" spans="8:8">
      <c r="H6428" s="680" t="s">
        <v>6153</v>
      </c>
    </row>
    <row r="6429" spans="8:8">
      <c r="H6429" s="680" t="s">
        <v>6153</v>
      </c>
    </row>
    <row r="6430" spans="8:8">
      <c r="H6430" s="680" t="s">
        <v>6153</v>
      </c>
    </row>
    <row r="6431" spans="8:8">
      <c r="H6431" s="680" t="s">
        <v>6153</v>
      </c>
    </row>
    <row r="6432" spans="8:8">
      <c r="H6432" s="680" t="s">
        <v>6153</v>
      </c>
    </row>
    <row r="6433" spans="8:8">
      <c r="H6433" s="680" t="s">
        <v>6153</v>
      </c>
    </row>
    <row r="6434" spans="8:8">
      <c r="H6434" s="680" t="s">
        <v>6153</v>
      </c>
    </row>
    <row r="6435" spans="8:8">
      <c r="H6435" s="680" t="s">
        <v>6153</v>
      </c>
    </row>
    <row r="6436" spans="8:8">
      <c r="H6436" s="680" t="s">
        <v>6153</v>
      </c>
    </row>
    <row r="6437" spans="8:8">
      <c r="H6437" s="680" t="s">
        <v>6153</v>
      </c>
    </row>
    <row r="6438" spans="8:8">
      <c r="H6438" s="680" t="s">
        <v>6153</v>
      </c>
    </row>
    <row r="6439" spans="8:8">
      <c r="H6439" s="680" t="s">
        <v>6153</v>
      </c>
    </row>
    <row r="6440" spans="8:8">
      <c r="H6440" s="680" t="s">
        <v>6153</v>
      </c>
    </row>
    <row r="6441" spans="8:8">
      <c r="H6441" s="680" t="s">
        <v>6153</v>
      </c>
    </row>
    <row r="6442" spans="8:8">
      <c r="H6442" s="680" t="s">
        <v>6153</v>
      </c>
    </row>
    <row r="6443" spans="8:8">
      <c r="H6443" s="680" t="s">
        <v>6153</v>
      </c>
    </row>
    <row r="6444" spans="8:8">
      <c r="H6444" s="680" t="s">
        <v>6153</v>
      </c>
    </row>
    <row r="6445" spans="8:8">
      <c r="H6445" s="680" t="s">
        <v>6153</v>
      </c>
    </row>
    <row r="6446" spans="8:8">
      <c r="H6446" s="680" t="s">
        <v>6153</v>
      </c>
    </row>
    <row r="6447" spans="8:8">
      <c r="H6447" s="680" t="s">
        <v>6153</v>
      </c>
    </row>
    <row r="6448" spans="8:8">
      <c r="H6448" s="680" t="s">
        <v>6153</v>
      </c>
    </row>
    <row r="6449" spans="8:8">
      <c r="H6449" s="680" t="s">
        <v>6153</v>
      </c>
    </row>
    <row r="6450" spans="8:8">
      <c r="H6450" s="680" t="s">
        <v>6153</v>
      </c>
    </row>
    <row r="6451" spans="8:8">
      <c r="H6451" s="680" t="s">
        <v>6153</v>
      </c>
    </row>
    <row r="6452" spans="8:8">
      <c r="H6452" s="680" t="s">
        <v>6153</v>
      </c>
    </row>
    <row r="6453" spans="8:8">
      <c r="H6453" s="680" t="s">
        <v>6153</v>
      </c>
    </row>
    <row r="6454" spans="8:8">
      <c r="H6454" s="680" t="s">
        <v>6153</v>
      </c>
    </row>
    <row r="6455" spans="8:8">
      <c r="H6455" s="680" t="s">
        <v>6153</v>
      </c>
    </row>
    <row r="6456" spans="8:8">
      <c r="H6456" s="680" t="s">
        <v>6153</v>
      </c>
    </row>
    <row r="6457" spans="8:8">
      <c r="H6457" s="680" t="s">
        <v>6153</v>
      </c>
    </row>
    <row r="6458" spans="8:8">
      <c r="H6458" s="680" t="s">
        <v>6153</v>
      </c>
    </row>
    <row r="6459" spans="8:8">
      <c r="H6459" s="680" t="s">
        <v>6153</v>
      </c>
    </row>
    <row r="6460" spans="8:8">
      <c r="H6460" s="680" t="s">
        <v>6153</v>
      </c>
    </row>
    <row r="6461" spans="8:8">
      <c r="H6461" s="680" t="s">
        <v>6153</v>
      </c>
    </row>
    <row r="6462" spans="8:8">
      <c r="H6462" s="680" t="s">
        <v>6153</v>
      </c>
    </row>
    <row r="6463" spans="8:8">
      <c r="H6463" s="680" t="s">
        <v>6153</v>
      </c>
    </row>
    <row r="6464" spans="8:8">
      <c r="H6464" s="680" t="s">
        <v>6153</v>
      </c>
    </row>
    <row r="6465" spans="8:8">
      <c r="H6465" s="680" t="s">
        <v>6153</v>
      </c>
    </row>
    <row r="6466" spans="8:8">
      <c r="H6466" s="680" t="s">
        <v>6153</v>
      </c>
    </row>
    <row r="6467" spans="8:8">
      <c r="H6467" s="680" t="s">
        <v>6153</v>
      </c>
    </row>
    <row r="6468" spans="8:8">
      <c r="H6468" s="680" t="s">
        <v>6153</v>
      </c>
    </row>
    <row r="6469" spans="8:8">
      <c r="H6469" s="680" t="s">
        <v>6153</v>
      </c>
    </row>
    <row r="6470" spans="8:8">
      <c r="H6470" s="680" t="s">
        <v>6153</v>
      </c>
    </row>
    <row r="6471" spans="8:8">
      <c r="H6471" s="680" t="s">
        <v>6153</v>
      </c>
    </row>
    <row r="6472" spans="8:8">
      <c r="H6472" s="680" t="s">
        <v>6153</v>
      </c>
    </row>
    <row r="6473" spans="8:8">
      <c r="H6473" s="680" t="s">
        <v>6153</v>
      </c>
    </row>
    <row r="6474" spans="8:8">
      <c r="H6474" s="680" t="s">
        <v>6153</v>
      </c>
    </row>
    <row r="6475" spans="8:8">
      <c r="H6475" s="680" t="s">
        <v>6153</v>
      </c>
    </row>
    <row r="6476" spans="8:8">
      <c r="H6476" s="680" t="s">
        <v>6153</v>
      </c>
    </row>
    <row r="6477" spans="8:8">
      <c r="H6477" s="680" t="s">
        <v>6153</v>
      </c>
    </row>
    <row r="6478" spans="8:8">
      <c r="H6478" s="680" t="s">
        <v>6153</v>
      </c>
    </row>
    <row r="6479" spans="8:8">
      <c r="H6479" s="680" t="s">
        <v>6153</v>
      </c>
    </row>
    <row r="6480" spans="8:8">
      <c r="H6480" s="680" t="s">
        <v>6153</v>
      </c>
    </row>
    <row r="6481" spans="8:8">
      <c r="H6481" s="680" t="s">
        <v>6153</v>
      </c>
    </row>
    <row r="6482" spans="8:8">
      <c r="H6482" s="680" t="s">
        <v>6153</v>
      </c>
    </row>
    <row r="6483" spans="8:8">
      <c r="H6483" s="680" t="s">
        <v>6153</v>
      </c>
    </row>
    <row r="6484" spans="8:8">
      <c r="H6484" s="680" t="s">
        <v>6153</v>
      </c>
    </row>
    <row r="6485" spans="8:8">
      <c r="H6485" s="680" t="s">
        <v>6153</v>
      </c>
    </row>
    <row r="6486" spans="8:8">
      <c r="H6486" s="680" t="s">
        <v>6153</v>
      </c>
    </row>
    <row r="6487" spans="8:8">
      <c r="H6487" s="680" t="s">
        <v>6153</v>
      </c>
    </row>
    <row r="6488" spans="8:8">
      <c r="H6488" s="680" t="s">
        <v>6153</v>
      </c>
    </row>
    <row r="6489" spans="8:8">
      <c r="H6489" s="680" t="s">
        <v>6153</v>
      </c>
    </row>
    <row r="6490" spans="8:8">
      <c r="H6490" s="680" t="s">
        <v>6153</v>
      </c>
    </row>
    <row r="6491" spans="8:8">
      <c r="H6491" s="680" t="s">
        <v>6153</v>
      </c>
    </row>
    <row r="6492" spans="8:8">
      <c r="H6492" s="680" t="s">
        <v>6153</v>
      </c>
    </row>
    <row r="6493" spans="8:8">
      <c r="H6493" s="680" t="s">
        <v>6153</v>
      </c>
    </row>
    <row r="6494" spans="8:8">
      <c r="H6494" s="680" t="s">
        <v>6153</v>
      </c>
    </row>
    <row r="6495" spans="8:8">
      <c r="H6495" s="680" t="s">
        <v>6153</v>
      </c>
    </row>
    <row r="6496" spans="8:8">
      <c r="H6496" s="680" t="s">
        <v>6153</v>
      </c>
    </row>
    <row r="6497" spans="8:8">
      <c r="H6497" s="680" t="s">
        <v>6153</v>
      </c>
    </row>
    <row r="6498" spans="8:8">
      <c r="H6498" s="680" t="s">
        <v>6153</v>
      </c>
    </row>
    <row r="6499" spans="8:8">
      <c r="H6499" s="680" t="s">
        <v>6153</v>
      </c>
    </row>
    <row r="6500" spans="8:8">
      <c r="H6500" s="680" t="s">
        <v>6153</v>
      </c>
    </row>
    <row r="6501" spans="8:8">
      <c r="H6501" s="680" t="s">
        <v>6153</v>
      </c>
    </row>
    <row r="6502" spans="8:8">
      <c r="H6502" s="680" t="s">
        <v>6153</v>
      </c>
    </row>
    <row r="6503" spans="8:8">
      <c r="H6503" s="680" t="s">
        <v>6153</v>
      </c>
    </row>
    <row r="6504" spans="8:8">
      <c r="H6504" s="680" t="s">
        <v>6153</v>
      </c>
    </row>
    <row r="6505" spans="8:8">
      <c r="H6505" s="680" t="s">
        <v>6153</v>
      </c>
    </row>
    <row r="6506" spans="8:8">
      <c r="H6506" s="680" t="s">
        <v>6153</v>
      </c>
    </row>
    <row r="6507" spans="8:8">
      <c r="H6507" s="680" t="s">
        <v>6153</v>
      </c>
    </row>
    <row r="6508" spans="8:8">
      <c r="H6508" s="680" t="s">
        <v>6153</v>
      </c>
    </row>
    <row r="6509" spans="8:8">
      <c r="H6509" s="680" t="s">
        <v>6153</v>
      </c>
    </row>
    <row r="6510" spans="8:8">
      <c r="H6510" s="680" t="s">
        <v>6153</v>
      </c>
    </row>
    <row r="6511" spans="8:8">
      <c r="H6511" s="680" t="s">
        <v>6153</v>
      </c>
    </row>
    <row r="6512" spans="8:8">
      <c r="H6512" s="680" t="s">
        <v>6153</v>
      </c>
    </row>
    <row r="6513" spans="8:8">
      <c r="H6513" s="680" t="s">
        <v>6153</v>
      </c>
    </row>
    <row r="6514" spans="8:8">
      <c r="H6514" s="680" t="s">
        <v>6153</v>
      </c>
    </row>
    <row r="6515" spans="8:8">
      <c r="H6515" s="680" t="s">
        <v>6153</v>
      </c>
    </row>
    <row r="6516" spans="8:8">
      <c r="H6516" s="680" t="s">
        <v>6153</v>
      </c>
    </row>
    <row r="6517" spans="8:8">
      <c r="H6517" s="680" t="s">
        <v>6153</v>
      </c>
    </row>
    <row r="6518" spans="8:8">
      <c r="H6518" s="680" t="s">
        <v>6153</v>
      </c>
    </row>
    <row r="6519" spans="8:8">
      <c r="H6519" s="680" t="s">
        <v>6153</v>
      </c>
    </row>
    <row r="6520" spans="8:8">
      <c r="H6520" s="680" t="s">
        <v>6153</v>
      </c>
    </row>
    <row r="6521" spans="8:8">
      <c r="H6521" s="680" t="s">
        <v>6153</v>
      </c>
    </row>
    <row r="6522" spans="8:8">
      <c r="H6522" s="680" t="s">
        <v>6153</v>
      </c>
    </row>
    <row r="6523" spans="8:8">
      <c r="H6523" s="680" t="s">
        <v>6153</v>
      </c>
    </row>
    <row r="6524" spans="8:8">
      <c r="H6524" s="680" t="s">
        <v>6153</v>
      </c>
    </row>
    <row r="6525" spans="8:8">
      <c r="H6525" s="680" t="s">
        <v>6153</v>
      </c>
    </row>
    <row r="6526" spans="8:8">
      <c r="H6526" s="680" t="s">
        <v>6153</v>
      </c>
    </row>
    <row r="6527" spans="8:8">
      <c r="H6527" s="680" t="s">
        <v>6153</v>
      </c>
    </row>
    <row r="6528" spans="8:8">
      <c r="H6528" s="680" t="s">
        <v>6153</v>
      </c>
    </row>
    <row r="6529" spans="8:8">
      <c r="H6529" s="680" t="s">
        <v>6153</v>
      </c>
    </row>
    <row r="6530" spans="8:8">
      <c r="H6530" s="680" t="s">
        <v>6153</v>
      </c>
    </row>
    <row r="6531" spans="8:8">
      <c r="H6531" s="680" t="s">
        <v>6153</v>
      </c>
    </row>
    <row r="6532" spans="8:8">
      <c r="H6532" s="680" t="s">
        <v>6153</v>
      </c>
    </row>
    <row r="6533" spans="8:8">
      <c r="H6533" s="680" t="s">
        <v>6153</v>
      </c>
    </row>
    <row r="6534" spans="8:8">
      <c r="H6534" s="680" t="s">
        <v>6153</v>
      </c>
    </row>
    <row r="6535" spans="8:8">
      <c r="H6535" s="680" t="s">
        <v>6153</v>
      </c>
    </row>
    <row r="6536" spans="8:8">
      <c r="H6536" s="680" t="s">
        <v>6153</v>
      </c>
    </row>
    <row r="6537" spans="8:8">
      <c r="H6537" s="680" t="s">
        <v>6153</v>
      </c>
    </row>
    <row r="6538" spans="8:8">
      <c r="H6538" s="680" t="s">
        <v>6153</v>
      </c>
    </row>
    <row r="6539" spans="8:8">
      <c r="H6539" s="680" t="s">
        <v>6153</v>
      </c>
    </row>
    <row r="6540" spans="8:8">
      <c r="H6540" s="680" t="s">
        <v>6153</v>
      </c>
    </row>
    <row r="6541" spans="8:8">
      <c r="H6541" s="680" t="s">
        <v>6153</v>
      </c>
    </row>
    <row r="6542" spans="8:8">
      <c r="H6542" s="680" t="s">
        <v>6153</v>
      </c>
    </row>
    <row r="6543" spans="8:8">
      <c r="H6543" s="680" t="s">
        <v>6153</v>
      </c>
    </row>
    <row r="6544" spans="8:8">
      <c r="H6544" s="680" t="s">
        <v>6153</v>
      </c>
    </row>
    <row r="6545" spans="8:8">
      <c r="H6545" s="680" t="s">
        <v>6153</v>
      </c>
    </row>
    <row r="6546" spans="8:8">
      <c r="H6546" s="680" t="s">
        <v>6153</v>
      </c>
    </row>
    <row r="6547" spans="8:8">
      <c r="H6547" s="680" t="s">
        <v>6153</v>
      </c>
    </row>
    <row r="6548" spans="8:8">
      <c r="H6548" s="680" t="s">
        <v>6153</v>
      </c>
    </row>
    <row r="6549" spans="8:8">
      <c r="H6549" s="680" t="s">
        <v>6153</v>
      </c>
    </row>
    <row r="6550" spans="8:8">
      <c r="H6550" s="680" t="s">
        <v>6153</v>
      </c>
    </row>
    <row r="6551" spans="8:8">
      <c r="H6551" s="680" t="s">
        <v>6153</v>
      </c>
    </row>
    <row r="6552" spans="8:8">
      <c r="H6552" s="680" t="s">
        <v>6153</v>
      </c>
    </row>
    <row r="6553" spans="8:8">
      <c r="H6553" s="680" t="s">
        <v>6153</v>
      </c>
    </row>
    <row r="6554" spans="8:8">
      <c r="H6554" s="680" t="s">
        <v>6153</v>
      </c>
    </row>
    <row r="6555" spans="8:8">
      <c r="H6555" s="680" t="s">
        <v>6153</v>
      </c>
    </row>
    <row r="6556" spans="8:8">
      <c r="H6556" s="680" t="s">
        <v>6153</v>
      </c>
    </row>
    <row r="6557" spans="8:8">
      <c r="H6557" s="680" t="s">
        <v>6153</v>
      </c>
    </row>
    <row r="6558" spans="8:8">
      <c r="H6558" s="680" t="s">
        <v>6153</v>
      </c>
    </row>
    <row r="6559" spans="8:8">
      <c r="H6559" s="680" t="s">
        <v>6153</v>
      </c>
    </row>
    <row r="6560" spans="8:8">
      <c r="H6560" s="680" t="s">
        <v>6153</v>
      </c>
    </row>
    <row r="6561" spans="8:8">
      <c r="H6561" s="680" t="s">
        <v>6153</v>
      </c>
    </row>
    <row r="6562" spans="8:8">
      <c r="H6562" s="680" t="s">
        <v>6153</v>
      </c>
    </row>
    <row r="6563" spans="8:8">
      <c r="H6563" s="680" t="s">
        <v>6153</v>
      </c>
    </row>
    <row r="6564" spans="8:8">
      <c r="H6564" s="680" t="s">
        <v>6153</v>
      </c>
    </row>
    <row r="6565" spans="8:8">
      <c r="H6565" s="680" t="s">
        <v>6153</v>
      </c>
    </row>
    <row r="6566" spans="8:8">
      <c r="H6566" s="680" t="s">
        <v>6153</v>
      </c>
    </row>
    <row r="6567" spans="8:8">
      <c r="H6567" s="680" t="s">
        <v>6153</v>
      </c>
    </row>
    <row r="6568" spans="8:8">
      <c r="H6568" s="680" t="s">
        <v>6153</v>
      </c>
    </row>
    <row r="6569" spans="8:8">
      <c r="H6569" s="680" t="s">
        <v>6153</v>
      </c>
    </row>
    <row r="6570" spans="8:8">
      <c r="H6570" s="680" t="s">
        <v>6153</v>
      </c>
    </row>
    <row r="6571" spans="8:8">
      <c r="H6571" s="680" t="s">
        <v>6153</v>
      </c>
    </row>
    <row r="6572" spans="8:8">
      <c r="H6572" s="680" t="s">
        <v>6153</v>
      </c>
    </row>
    <row r="6573" spans="8:8">
      <c r="H6573" s="680" t="s">
        <v>6153</v>
      </c>
    </row>
    <row r="6574" spans="8:8">
      <c r="H6574" s="680" t="s">
        <v>6153</v>
      </c>
    </row>
    <row r="6575" spans="8:8">
      <c r="H6575" s="680" t="s">
        <v>6153</v>
      </c>
    </row>
    <row r="6576" spans="8:8">
      <c r="H6576" s="680" t="s">
        <v>6153</v>
      </c>
    </row>
    <row r="6577" spans="8:8">
      <c r="H6577" s="680" t="s">
        <v>6153</v>
      </c>
    </row>
    <row r="6578" spans="8:8">
      <c r="H6578" s="680" t="s">
        <v>6153</v>
      </c>
    </row>
    <row r="6579" spans="8:8">
      <c r="H6579" s="680" t="s">
        <v>6153</v>
      </c>
    </row>
    <row r="6580" spans="8:8">
      <c r="H6580" s="680" t="s">
        <v>6153</v>
      </c>
    </row>
    <row r="6581" spans="8:8">
      <c r="H6581" s="680" t="s">
        <v>6153</v>
      </c>
    </row>
    <row r="6582" spans="8:8">
      <c r="H6582" s="680" t="s">
        <v>6153</v>
      </c>
    </row>
    <row r="6583" spans="8:8">
      <c r="H6583" s="680" t="s">
        <v>6153</v>
      </c>
    </row>
    <row r="6584" spans="8:8">
      <c r="H6584" s="680" t="s">
        <v>6153</v>
      </c>
    </row>
    <row r="6585" spans="8:8">
      <c r="H6585" s="680" t="s">
        <v>6153</v>
      </c>
    </row>
    <row r="6586" spans="8:8">
      <c r="H6586" s="680" t="s">
        <v>6153</v>
      </c>
    </row>
    <row r="6587" spans="8:8">
      <c r="H6587" s="680" t="s">
        <v>6153</v>
      </c>
    </row>
    <row r="6588" spans="8:8">
      <c r="H6588" s="680" t="s">
        <v>6153</v>
      </c>
    </row>
    <row r="6589" spans="8:8">
      <c r="H6589" s="680" t="s">
        <v>6153</v>
      </c>
    </row>
    <row r="6590" spans="8:8">
      <c r="H6590" s="680" t="s">
        <v>6153</v>
      </c>
    </row>
    <row r="6591" spans="8:8">
      <c r="H6591" s="680" t="s">
        <v>6153</v>
      </c>
    </row>
    <row r="6592" spans="8:8">
      <c r="H6592" s="680" t="s">
        <v>6153</v>
      </c>
    </row>
    <row r="6593" spans="8:8">
      <c r="H6593" s="680" t="s">
        <v>6153</v>
      </c>
    </row>
    <row r="6594" spans="8:8">
      <c r="H6594" s="680" t="s">
        <v>6153</v>
      </c>
    </row>
    <row r="6595" spans="8:8">
      <c r="H6595" s="680" t="s">
        <v>6153</v>
      </c>
    </row>
    <row r="6596" spans="8:8">
      <c r="H6596" s="680" t="s">
        <v>6153</v>
      </c>
    </row>
    <row r="6597" spans="8:8">
      <c r="H6597" s="680" t="s">
        <v>6153</v>
      </c>
    </row>
    <row r="6598" spans="8:8">
      <c r="H6598" s="680" t="s">
        <v>6153</v>
      </c>
    </row>
    <row r="6599" spans="8:8">
      <c r="H6599" s="680" t="s">
        <v>6153</v>
      </c>
    </row>
    <row r="6600" spans="8:8">
      <c r="H6600" s="680" t="s">
        <v>6153</v>
      </c>
    </row>
    <row r="6601" spans="8:8">
      <c r="H6601" s="680" t="s">
        <v>6153</v>
      </c>
    </row>
    <row r="6602" spans="8:8">
      <c r="H6602" s="680" t="s">
        <v>6153</v>
      </c>
    </row>
    <row r="6603" spans="8:8">
      <c r="H6603" s="680" t="s">
        <v>6153</v>
      </c>
    </row>
    <row r="6604" spans="8:8">
      <c r="H6604" s="680" t="s">
        <v>6153</v>
      </c>
    </row>
    <row r="6605" spans="8:8">
      <c r="H6605" s="680" t="s">
        <v>6153</v>
      </c>
    </row>
    <row r="6606" spans="8:8">
      <c r="H6606" s="680" t="s">
        <v>6153</v>
      </c>
    </row>
    <row r="6607" spans="8:8">
      <c r="H6607" s="680" t="s">
        <v>6153</v>
      </c>
    </row>
    <row r="6608" spans="8:8">
      <c r="H6608" s="680" t="s">
        <v>6153</v>
      </c>
    </row>
    <row r="6609" spans="8:8">
      <c r="H6609" s="680" t="s">
        <v>6153</v>
      </c>
    </row>
    <row r="6610" spans="8:8">
      <c r="H6610" s="680" t="s">
        <v>6153</v>
      </c>
    </row>
    <row r="6611" spans="8:8">
      <c r="H6611" s="680" t="s">
        <v>6153</v>
      </c>
    </row>
    <row r="6612" spans="8:8">
      <c r="H6612" s="680" t="s">
        <v>6153</v>
      </c>
    </row>
    <row r="6613" spans="8:8">
      <c r="H6613" s="680" t="s">
        <v>6153</v>
      </c>
    </row>
    <row r="6614" spans="8:8">
      <c r="H6614" s="680" t="s">
        <v>6153</v>
      </c>
    </row>
    <row r="6615" spans="8:8">
      <c r="H6615" s="680" t="s">
        <v>6153</v>
      </c>
    </row>
    <row r="6616" spans="8:8">
      <c r="H6616" s="680" t="s">
        <v>6153</v>
      </c>
    </row>
    <row r="6617" spans="8:8">
      <c r="H6617" s="680" t="s">
        <v>6153</v>
      </c>
    </row>
    <row r="6618" spans="8:8">
      <c r="H6618" s="680" t="s">
        <v>6153</v>
      </c>
    </row>
    <row r="6619" spans="8:8">
      <c r="H6619" s="680" t="s">
        <v>6153</v>
      </c>
    </row>
    <row r="6620" spans="8:8">
      <c r="H6620" s="680" t="s">
        <v>6153</v>
      </c>
    </row>
    <row r="6621" spans="8:8">
      <c r="H6621" s="680" t="s">
        <v>6153</v>
      </c>
    </row>
    <row r="6622" spans="8:8">
      <c r="H6622" s="680" t="s">
        <v>6153</v>
      </c>
    </row>
    <row r="6623" spans="8:8">
      <c r="H6623" s="680" t="s">
        <v>6153</v>
      </c>
    </row>
    <row r="6624" spans="8:8">
      <c r="H6624" s="680" t="s">
        <v>6153</v>
      </c>
    </row>
    <row r="6625" spans="8:8">
      <c r="H6625" s="680" t="s">
        <v>6153</v>
      </c>
    </row>
    <row r="6626" spans="8:8">
      <c r="H6626" s="680" t="s">
        <v>6153</v>
      </c>
    </row>
    <row r="6627" spans="8:8">
      <c r="H6627" s="680" t="s">
        <v>6153</v>
      </c>
    </row>
    <row r="6628" spans="8:8">
      <c r="H6628" s="680" t="s">
        <v>6153</v>
      </c>
    </row>
    <row r="6629" spans="8:8">
      <c r="H6629" s="680" t="s">
        <v>6153</v>
      </c>
    </row>
    <row r="6630" spans="8:8">
      <c r="H6630" s="680" t="s">
        <v>6153</v>
      </c>
    </row>
    <row r="6631" spans="8:8">
      <c r="H6631" s="680" t="s">
        <v>6153</v>
      </c>
    </row>
    <row r="6632" spans="8:8">
      <c r="H6632" s="680" t="s">
        <v>6153</v>
      </c>
    </row>
    <row r="6633" spans="8:8">
      <c r="H6633" s="680" t="s">
        <v>6153</v>
      </c>
    </row>
    <row r="6634" spans="8:8">
      <c r="H6634" s="680" t="s">
        <v>6153</v>
      </c>
    </row>
    <row r="6635" spans="8:8">
      <c r="H6635" s="680" t="s">
        <v>6153</v>
      </c>
    </row>
    <row r="6636" spans="8:8">
      <c r="H6636" s="680" t="s">
        <v>6153</v>
      </c>
    </row>
    <row r="6637" spans="8:8">
      <c r="H6637" s="680" t="s">
        <v>6153</v>
      </c>
    </row>
    <row r="6638" spans="8:8">
      <c r="H6638" s="680" t="s">
        <v>6153</v>
      </c>
    </row>
    <row r="6639" spans="8:8">
      <c r="H6639" s="680" t="s">
        <v>6153</v>
      </c>
    </row>
    <row r="6640" spans="8:8">
      <c r="H6640" s="680" t="s">
        <v>6153</v>
      </c>
    </row>
    <row r="6641" spans="8:8">
      <c r="H6641" s="680" t="s">
        <v>6153</v>
      </c>
    </row>
    <row r="6642" spans="8:8">
      <c r="H6642" s="680" t="s">
        <v>6153</v>
      </c>
    </row>
    <row r="6643" spans="8:8">
      <c r="H6643" s="680" t="s">
        <v>6153</v>
      </c>
    </row>
    <row r="6644" spans="8:8">
      <c r="H6644" s="680" t="s">
        <v>6153</v>
      </c>
    </row>
    <row r="6645" spans="8:8">
      <c r="H6645" s="680" t="s">
        <v>6153</v>
      </c>
    </row>
    <row r="6646" spans="8:8">
      <c r="H6646" s="680" t="s">
        <v>6153</v>
      </c>
    </row>
    <row r="6647" spans="8:8">
      <c r="H6647" s="680" t="s">
        <v>6153</v>
      </c>
    </row>
    <row r="6648" spans="8:8">
      <c r="H6648" s="680" t="s">
        <v>6153</v>
      </c>
    </row>
    <row r="6649" spans="8:8">
      <c r="H6649" s="680" t="s">
        <v>6153</v>
      </c>
    </row>
    <row r="6650" spans="8:8">
      <c r="H6650" s="680" t="s">
        <v>6153</v>
      </c>
    </row>
    <row r="6651" spans="8:8">
      <c r="H6651" s="680" t="s">
        <v>6153</v>
      </c>
    </row>
    <row r="6652" spans="8:8">
      <c r="H6652" s="680" t="s">
        <v>6153</v>
      </c>
    </row>
    <row r="6653" spans="8:8">
      <c r="H6653" s="680" t="s">
        <v>6153</v>
      </c>
    </row>
    <row r="6654" spans="8:8">
      <c r="H6654" s="680" t="s">
        <v>6153</v>
      </c>
    </row>
    <row r="6655" spans="8:8">
      <c r="H6655" s="680" t="s">
        <v>6153</v>
      </c>
    </row>
    <row r="6656" spans="8:8">
      <c r="H6656" s="680" t="s">
        <v>6153</v>
      </c>
    </row>
    <row r="6657" spans="8:8">
      <c r="H6657" s="680" t="s">
        <v>6153</v>
      </c>
    </row>
    <row r="6658" spans="8:8">
      <c r="H6658" s="680" t="s">
        <v>6153</v>
      </c>
    </row>
    <row r="6659" spans="8:8">
      <c r="H6659" s="680" t="s">
        <v>6153</v>
      </c>
    </row>
    <row r="6660" spans="8:8">
      <c r="H6660" s="680" t="s">
        <v>6153</v>
      </c>
    </row>
    <row r="6661" spans="8:8">
      <c r="H6661" s="680" t="s">
        <v>6153</v>
      </c>
    </row>
    <row r="6662" spans="8:8">
      <c r="H6662" s="680" t="s">
        <v>6153</v>
      </c>
    </row>
    <row r="6663" spans="8:8">
      <c r="H6663" s="680" t="s">
        <v>6153</v>
      </c>
    </row>
    <row r="6664" spans="8:8">
      <c r="H6664" s="680" t="s">
        <v>6153</v>
      </c>
    </row>
    <row r="6665" spans="8:8">
      <c r="H6665" s="680" t="s">
        <v>6153</v>
      </c>
    </row>
    <row r="6666" spans="8:8">
      <c r="H6666" s="680" t="s">
        <v>6153</v>
      </c>
    </row>
    <row r="6667" spans="8:8">
      <c r="H6667" s="680" t="s">
        <v>6153</v>
      </c>
    </row>
    <row r="6668" spans="8:8">
      <c r="H6668" s="680" t="s">
        <v>6153</v>
      </c>
    </row>
    <row r="6669" spans="8:8">
      <c r="H6669" s="680" t="s">
        <v>6153</v>
      </c>
    </row>
    <row r="6670" spans="8:8">
      <c r="H6670" s="680" t="s">
        <v>6153</v>
      </c>
    </row>
    <row r="6671" spans="8:8">
      <c r="H6671" s="680" t="s">
        <v>6153</v>
      </c>
    </row>
    <row r="6672" spans="8:8">
      <c r="H6672" s="680" t="s">
        <v>6153</v>
      </c>
    </row>
    <row r="6673" spans="8:8">
      <c r="H6673" s="680" t="s">
        <v>6153</v>
      </c>
    </row>
    <row r="6674" spans="8:8">
      <c r="H6674" s="680" t="s">
        <v>6153</v>
      </c>
    </row>
    <row r="6675" spans="8:8">
      <c r="H6675" s="680" t="s">
        <v>6153</v>
      </c>
    </row>
    <row r="6676" spans="8:8">
      <c r="H6676" s="680" t="s">
        <v>6153</v>
      </c>
    </row>
    <row r="6677" spans="8:8">
      <c r="H6677" s="680" t="s">
        <v>6153</v>
      </c>
    </row>
    <row r="6678" spans="8:8">
      <c r="H6678" s="680" t="s">
        <v>6153</v>
      </c>
    </row>
    <row r="6679" spans="8:8">
      <c r="H6679" s="680" t="s">
        <v>6153</v>
      </c>
    </row>
    <row r="6680" spans="8:8">
      <c r="H6680" s="680" t="s">
        <v>6153</v>
      </c>
    </row>
    <row r="6681" spans="8:8">
      <c r="H6681" s="680" t="s">
        <v>6153</v>
      </c>
    </row>
    <row r="6682" spans="8:8">
      <c r="H6682" s="680" t="s">
        <v>6153</v>
      </c>
    </row>
    <row r="6683" spans="8:8">
      <c r="H6683" s="680" t="s">
        <v>6153</v>
      </c>
    </row>
    <row r="6684" spans="8:8">
      <c r="H6684" s="680" t="s">
        <v>6153</v>
      </c>
    </row>
    <row r="6685" spans="8:8">
      <c r="H6685" s="680" t="s">
        <v>6153</v>
      </c>
    </row>
    <row r="6686" spans="8:8">
      <c r="H6686" s="680" t="s">
        <v>6153</v>
      </c>
    </row>
    <row r="6687" spans="8:8">
      <c r="H6687" s="680" t="s">
        <v>6153</v>
      </c>
    </row>
    <row r="6688" spans="8:8">
      <c r="H6688" s="680" t="s">
        <v>6153</v>
      </c>
    </row>
    <row r="6689" spans="8:8">
      <c r="H6689" s="680" t="s">
        <v>6153</v>
      </c>
    </row>
    <row r="6690" spans="8:8">
      <c r="H6690" s="680" t="s">
        <v>6153</v>
      </c>
    </row>
    <row r="6691" spans="8:8">
      <c r="H6691" s="680" t="s">
        <v>6153</v>
      </c>
    </row>
    <row r="6692" spans="8:8">
      <c r="H6692" s="680" t="s">
        <v>6153</v>
      </c>
    </row>
    <row r="6693" spans="8:8">
      <c r="H6693" s="680" t="s">
        <v>6153</v>
      </c>
    </row>
    <row r="6694" spans="8:8">
      <c r="H6694" s="680" t="s">
        <v>6153</v>
      </c>
    </row>
    <row r="6695" spans="8:8">
      <c r="H6695" s="680" t="s">
        <v>6153</v>
      </c>
    </row>
    <row r="6696" spans="8:8">
      <c r="H6696" s="680" t="s">
        <v>6153</v>
      </c>
    </row>
    <row r="6697" spans="8:8">
      <c r="H6697" s="680" t="s">
        <v>6153</v>
      </c>
    </row>
    <row r="6698" spans="8:8">
      <c r="H6698" s="680" t="s">
        <v>6153</v>
      </c>
    </row>
    <row r="6699" spans="8:8">
      <c r="H6699" s="680" t="s">
        <v>6153</v>
      </c>
    </row>
    <row r="6700" spans="8:8">
      <c r="H6700" s="680" t="s">
        <v>6153</v>
      </c>
    </row>
    <row r="6701" spans="8:8">
      <c r="H6701" s="680" t="s">
        <v>6153</v>
      </c>
    </row>
    <row r="6702" spans="8:8">
      <c r="H6702" s="680" t="s">
        <v>6153</v>
      </c>
    </row>
    <row r="6703" spans="8:8">
      <c r="H6703" s="680" t="s">
        <v>6153</v>
      </c>
    </row>
    <row r="6704" spans="8:8">
      <c r="H6704" s="680" t="s">
        <v>6153</v>
      </c>
    </row>
    <row r="6705" spans="8:8">
      <c r="H6705" s="680" t="s">
        <v>6153</v>
      </c>
    </row>
    <row r="6706" spans="8:8">
      <c r="H6706" s="680" t="s">
        <v>6153</v>
      </c>
    </row>
    <row r="6707" spans="8:8">
      <c r="H6707" s="680" t="s">
        <v>6153</v>
      </c>
    </row>
    <row r="6708" spans="8:8">
      <c r="H6708" s="680" t="s">
        <v>6153</v>
      </c>
    </row>
    <row r="6709" spans="8:8">
      <c r="H6709" s="680" t="s">
        <v>6153</v>
      </c>
    </row>
    <row r="6710" spans="8:8">
      <c r="H6710" s="680" t="s">
        <v>6153</v>
      </c>
    </row>
    <row r="6711" spans="8:8">
      <c r="H6711" s="680" t="s">
        <v>6153</v>
      </c>
    </row>
    <row r="6712" spans="8:8">
      <c r="H6712" s="680" t="s">
        <v>6153</v>
      </c>
    </row>
    <row r="6713" spans="8:8">
      <c r="H6713" s="680" t="s">
        <v>6153</v>
      </c>
    </row>
    <row r="6714" spans="8:8">
      <c r="H6714" s="680" t="s">
        <v>6153</v>
      </c>
    </row>
    <row r="6715" spans="8:8">
      <c r="H6715" s="680" t="s">
        <v>6153</v>
      </c>
    </row>
    <row r="6716" spans="8:8">
      <c r="H6716" s="680" t="s">
        <v>6153</v>
      </c>
    </row>
    <row r="6717" spans="8:8">
      <c r="H6717" s="680" t="s">
        <v>6153</v>
      </c>
    </row>
    <row r="6718" spans="8:8">
      <c r="H6718" s="680" t="s">
        <v>6153</v>
      </c>
    </row>
    <row r="6719" spans="8:8">
      <c r="H6719" s="680" t="s">
        <v>6153</v>
      </c>
    </row>
    <row r="6720" spans="8:8">
      <c r="H6720" s="680" t="s">
        <v>6153</v>
      </c>
    </row>
    <row r="6721" spans="8:8">
      <c r="H6721" s="680" t="s">
        <v>6153</v>
      </c>
    </row>
    <row r="6722" spans="8:8">
      <c r="H6722" s="680" t="s">
        <v>6153</v>
      </c>
    </row>
    <row r="6723" spans="8:8">
      <c r="H6723" s="680" t="s">
        <v>6153</v>
      </c>
    </row>
    <row r="6724" spans="8:8">
      <c r="H6724" s="680" t="s">
        <v>6153</v>
      </c>
    </row>
    <row r="6725" spans="8:8">
      <c r="H6725" s="680" t="s">
        <v>6153</v>
      </c>
    </row>
    <row r="6726" spans="8:8">
      <c r="H6726" s="680" t="s">
        <v>6153</v>
      </c>
    </row>
    <row r="6727" spans="8:8">
      <c r="H6727" s="680" t="s">
        <v>6153</v>
      </c>
    </row>
    <row r="6728" spans="8:8">
      <c r="H6728" s="680" t="s">
        <v>6153</v>
      </c>
    </row>
    <row r="6729" spans="8:8">
      <c r="H6729" s="680" t="s">
        <v>6153</v>
      </c>
    </row>
    <row r="6730" spans="8:8">
      <c r="H6730" s="680" t="s">
        <v>6153</v>
      </c>
    </row>
    <row r="6731" spans="8:8">
      <c r="H6731" s="680" t="s">
        <v>6153</v>
      </c>
    </row>
    <row r="6732" spans="8:8">
      <c r="H6732" s="680" t="s">
        <v>6153</v>
      </c>
    </row>
    <row r="6733" spans="8:8">
      <c r="H6733" s="680" t="s">
        <v>6153</v>
      </c>
    </row>
    <row r="6734" spans="8:8">
      <c r="H6734" s="680" t="s">
        <v>6153</v>
      </c>
    </row>
    <row r="6735" spans="8:8">
      <c r="H6735" s="680" t="s">
        <v>6153</v>
      </c>
    </row>
    <row r="6736" spans="8:8">
      <c r="H6736" s="680" t="s">
        <v>6153</v>
      </c>
    </row>
    <row r="6737" spans="8:8">
      <c r="H6737" s="680" t="s">
        <v>6153</v>
      </c>
    </row>
    <row r="6738" spans="8:8">
      <c r="H6738" s="680" t="s">
        <v>6153</v>
      </c>
    </row>
    <row r="6739" spans="8:8">
      <c r="H6739" s="680" t="s">
        <v>6153</v>
      </c>
    </row>
    <row r="6740" spans="8:8">
      <c r="H6740" s="680" t="s">
        <v>6153</v>
      </c>
    </row>
    <row r="6741" spans="8:8">
      <c r="H6741" s="680" t="s">
        <v>6153</v>
      </c>
    </row>
    <row r="6742" spans="8:8">
      <c r="H6742" s="680" t="s">
        <v>6153</v>
      </c>
    </row>
    <row r="6743" spans="8:8">
      <c r="H6743" s="680" t="s">
        <v>6153</v>
      </c>
    </row>
    <row r="6744" spans="8:8">
      <c r="H6744" s="680" t="s">
        <v>6153</v>
      </c>
    </row>
    <row r="6745" spans="8:8">
      <c r="H6745" s="680" t="s">
        <v>6153</v>
      </c>
    </row>
    <row r="6746" spans="8:8">
      <c r="H6746" s="680" t="s">
        <v>6153</v>
      </c>
    </row>
    <row r="6747" spans="8:8">
      <c r="H6747" s="680" t="s">
        <v>6153</v>
      </c>
    </row>
    <row r="6748" spans="8:8">
      <c r="H6748" s="680" t="s">
        <v>6153</v>
      </c>
    </row>
    <row r="6749" spans="8:8">
      <c r="H6749" s="680" t="s">
        <v>6153</v>
      </c>
    </row>
    <row r="6750" spans="8:8">
      <c r="H6750" s="680" t="s">
        <v>6153</v>
      </c>
    </row>
    <row r="6751" spans="8:8">
      <c r="H6751" s="680" t="s">
        <v>6153</v>
      </c>
    </row>
    <row r="6752" spans="8:8">
      <c r="H6752" s="680" t="s">
        <v>6153</v>
      </c>
    </row>
    <row r="6753" spans="8:8">
      <c r="H6753" s="680" t="s">
        <v>6153</v>
      </c>
    </row>
    <row r="6754" spans="8:8">
      <c r="H6754" s="680" t="s">
        <v>6153</v>
      </c>
    </row>
    <row r="6755" spans="8:8">
      <c r="H6755" s="680" t="s">
        <v>6153</v>
      </c>
    </row>
    <row r="6756" spans="8:8">
      <c r="H6756" s="680" t="s">
        <v>6153</v>
      </c>
    </row>
    <row r="6757" spans="8:8">
      <c r="H6757" s="680" t="s">
        <v>6153</v>
      </c>
    </row>
    <row r="6758" spans="8:8">
      <c r="H6758" s="680" t="s">
        <v>6153</v>
      </c>
    </row>
    <row r="6759" spans="8:8">
      <c r="H6759" s="680" t="s">
        <v>6153</v>
      </c>
    </row>
    <row r="6760" spans="8:8">
      <c r="H6760" s="680" t="s">
        <v>6153</v>
      </c>
    </row>
    <row r="6761" spans="8:8">
      <c r="H6761" s="680" t="s">
        <v>6153</v>
      </c>
    </row>
    <row r="6762" spans="8:8">
      <c r="H6762" s="680" t="s">
        <v>6153</v>
      </c>
    </row>
    <row r="6763" spans="8:8">
      <c r="H6763" s="680" t="s">
        <v>6153</v>
      </c>
    </row>
    <row r="6764" spans="8:8">
      <c r="H6764" s="680" t="s">
        <v>6153</v>
      </c>
    </row>
    <row r="6765" spans="8:8">
      <c r="H6765" s="680" t="s">
        <v>6153</v>
      </c>
    </row>
    <row r="6766" spans="8:8">
      <c r="H6766" s="680" t="s">
        <v>6153</v>
      </c>
    </row>
    <row r="6767" spans="8:8">
      <c r="H6767" s="680" t="s">
        <v>6153</v>
      </c>
    </row>
    <row r="6768" spans="8:8">
      <c r="H6768" s="680" t="s">
        <v>6153</v>
      </c>
    </row>
    <row r="6769" spans="8:8">
      <c r="H6769" s="680" t="s">
        <v>6153</v>
      </c>
    </row>
    <row r="6770" spans="8:8">
      <c r="H6770" s="680" t="s">
        <v>6153</v>
      </c>
    </row>
    <row r="6771" spans="8:8">
      <c r="H6771" s="680" t="s">
        <v>6153</v>
      </c>
    </row>
    <row r="6772" spans="8:8">
      <c r="H6772" s="680" t="s">
        <v>6153</v>
      </c>
    </row>
    <row r="6773" spans="8:8">
      <c r="H6773" s="680" t="s">
        <v>6153</v>
      </c>
    </row>
    <row r="6774" spans="8:8">
      <c r="H6774" s="680" t="s">
        <v>6153</v>
      </c>
    </row>
    <row r="6775" spans="8:8">
      <c r="H6775" s="680" t="s">
        <v>6153</v>
      </c>
    </row>
    <row r="6776" spans="8:8">
      <c r="H6776" s="680" t="s">
        <v>6153</v>
      </c>
    </row>
    <row r="6777" spans="8:8">
      <c r="H6777" s="680" t="s">
        <v>6153</v>
      </c>
    </row>
    <row r="6778" spans="8:8">
      <c r="H6778" s="680" t="s">
        <v>6153</v>
      </c>
    </row>
    <row r="6779" spans="8:8">
      <c r="H6779" s="680" t="s">
        <v>6153</v>
      </c>
    </row>
    <row r="6780" spans="8:8">
      <c r="H6780" s="680" t="s">
        <v>6153</v>
      </c>
    </row>
    <row r="6781" spans="8:8">
      <c r="H6781" s="680" t="s">
        <v>6153</v>
      </c>
    </row>
    <row r="6782" spans="8:8">
      <c r="H6782" s="680" t="s">
        <v>6153</v>
      </c>
    </row>
    <row r="6783" spans="8:8">
      <c r="H6783" s="680" t="s">
        <v>6153</v>
      </c>
    </row>
    <row r="6784" spans="8:8">
      <c r="H6784" s="680" t="s">
        <v>6153</v>
      </c>
    </row>
    <row r="6785" spans="8:8">
      <c r="H6785" s="680" t="s">
        <v>6153</v>
      </c>
    </row>
    <row r="6786" spans="8:8">
      <c r="H6786" s="680" t="s">
        <v>6153</v>
      </c>
    </row>
    <row r="6787" spans="8:8">
      <c r="H6787" s="680" t="s">
        <v>6153</v>
      </c>
    </row>
    <row r="6788" spans="8:8">
      <c r="H6788" s="680" t="s">
        <v>6153</v>
      </c>
    </row>
    <row r="6789" spans="8:8">
      <c r="H6789" s="680" t="s">
        <v>6153</v>
      </c>
    </row>
    <row r="6790" spans="8:8">
      <c r="H6790" s="680" t="s">
        <v>6153</v>
      </c>
    </row>
    <row r="6791" spans="8:8">
      <c r="H6791" s="680" t="s">
        <v>6153</v>
      </c>
    </row>
    <row r="6792" spans="8:8">
      <c r="H6792" s="680" t="s">
        <v>6153</v>
      </c>
    </row>
    <row r="6793" spans="8:8">
      <c r="H6793" s="680" t="s">
        <v>6153</v>
      </c>
    </row>
    <row r="6794" spans="8:8">
      <c r="H6794" s="680" t="s">
        <v>6153</v>
      </c>
    </row>
    <row r="6795" spans="8:8">
      <c r="H6795" s="680" t="s">
        <v>6153</v>
      </c>
    </row>
    <row r="6796" spans="8:8">
      <c r="H6796" s="680" t="s">
        <v>6153</v>
      </c>
    </row>
    <row r="6797" spans="8:8">
      <c r="H6797" s="680" t="s">
        <v>6153</v>
      </c>
    </row>
    <row r="6798" spans="8:8">
      <c r="H6798" s="680" t="s">
        <v>6153</v>
      </c>
    </row>
    <row r="6799" spans="8:8">
      <c r="H6799" s="680" t="s">
        <v>6153</v>
      </c>
    </row>
    <row r="6800" spans="8:8">
      <c r="H6800" s="680" t="s">
        <v>6153</v>
      </c>
    </row>
    <row r="6801" spans="8:8">
      <c r="H6801" s="680" t="s">
        <v>6153</v>
      </c>
    </row>
    <row r="6802" spans="8:8">
      <c r="H6802" s="680" t="s">
        <v>6153</v>
      </c>
    </row>
    <row r="6803" spans="8:8">
      <c r="H6803" s="680" t="s">
        <v>6153</v>
      </c>
    </row>
    <row r="6804" spans="8:8">
      <c r="H6804" s="680" t="s">
        <v>6153</v>
      </c>
    </row>
    <row r="6805" spans="8:8">
      <c r="H6805" s="680" t="s">
        <v>6153</v>
      </c>
    </row>
    <row r="6806" spans="8:8">
      <c r="H6806" s="680" t="s">
        <v>6153</v>
      </c>
    </row>
    <row r="6807" spans="8:8">
      <c r="H6807" s="680" t="s">
        <v>6153</v>
      </c>
    </row>
    <row r="6808" spans="8:8">
      <c r="H6808" s="680" t="s">
        <v>6153</v>
      </c>
    </row>
    <row r="6809" spans="8:8">
      <c r="H6809" s="680" t="s">
        <v>6153</v>
      </c>
    </row>
    <row r="6810" spans="8:8">
      <c r="H6810" s="680" t="s">
        <v>6153</v>
      </c>
    </row>
    <row r="6811" spans="8:8">
      <c r="H6811" s="680" t="s">
        <v>6153</v>
      </c>
    </row>
    <row r="6812" spans="8:8">
      <c r="H6812" s="680" t="s">
        <v>6153</v>
      </c>
    </row>
    <row r="6813" spans="8:8">
      <c r="H6813" s="680" t="s">
        <v>6153</v>
      </c>
    </row>
    <row r="6814" spans="8:8">
      <c r="H6814" s="680" t="s">
        <v>6153</v>
      </c>
    </row>
    <row r="6815" spans="8:8">
      <c r="H6815" s="680" t="s">
        <v>6153</v>
      </c>
    </row>
    <row r="6816" spans="8:8">
      <c r="H6816" s="680" t="s">
        <v>6153</v>
      </c>
    </row>
    <row r="6817" spans="8:8">
      <c r="H6817" s="680" t="s">
        <v>6153</v>
      </c>
    </row>
    <row r="6818" spans="8:8">
      <c r="H6818" s="680" t="s">
        <v>6153</v>
      </c>
    </row>
    <row r="6819" spans="8:8">
      <c r="H6819" s="680" t="s">
        <v>6153</v>
      </c>
    </row>
    <row r="6820" spans="8:8">
      <c r="H6820" s="680" t="s">
        <v>6153</v>
      </c>
    </row>
    <row r="6821" spans="8:8">
      <c r="H6821" s="680" t="s">
        <v>6153</v>
      </c>
    </row>
    <row r="6822" spans="8:8">
      <c r="H6822" s="680" t="s">
        <v>6153</v>
      </c>
    </row>
    <row r="6823" spans="8:8">
      <c r="H6823" s="680" t="s">
        <v>6153</v>
      </c>
    </row>
    <row r="6824" spans="8:8">
      <c r="H6824" s="680" t="s">
        <v>6153</v>
      </c>
    </row>
    <row r="6825" spans="8:8">
      <c r="H6825" s="680" t="s">
        <v>6153</v>
      </c>
    </row>
    <row r="6826" spans="8:8">
      <c r="H6826" s="680" t="s">
        <v>6153</v>
      </c>
    </row>
    <row r="6827" spans="8:8">
      <c r="H6827" s="680" t="s">
        <v>6153</v>
      </c>
    </row>
    <row r="6828" spans="8:8">
      <c r="H6828" s="680" t="s">
        <v>6153</v>
      </c>
    </row>
    <row r="6829" spans="8:8">
      <c r="H6829" s="680" t="s">
        <v>6153</v>
      </c>
    </row>
    <row r="6830" spans="8:8">
      <c r="H6830" s="680" t="s">
        <v>6153</v>
      </c>
    </row>
    <row r="6831" spans="8:8">
      <c r="H6831" s="680" t="s">
        <v>6153</v>
      </c>
    </row>
    <row r="6832" spans="8:8">
      <c r="H6832" s="680" t="s">
        <v>6153</v>
      </c>
    </row>
    <row r="6833" spans="8:8">
      <c r="H6833" s="680" t="s">
        <v>6153</v>
      </c>
    </row>
    <row r="6834" spans="8:8">
      <c r="H6834" s="680" t="s">
        <v>6153</v>
      </c>
    </row>
    <row r="6835" spans="8:8">
      <c r="H6835" s="680" t="s">
        <v>6153</v>
      </c>
    </row>
    <row r="6836" spans="8:8">
      <c r="H6836" s="680" t="s">
        <v>6153</v>
      </c>
    </row>
    <row r="6837" spans="8:8">
      <c r="H6837" s="680" t="s">
        <v>6153</v>
      </c>
    </row>
    <row r="6838" spans="8:8">
      <c r="H6838" s="680" t="s">
        <v>6153</v>
      </c>
    </row>
    <row r="6839" spans="8:8">
      <c r="H6839" s="680" t="s">
        <v>6153</v>
      </c>
    </row>
    <row r="6840" spans="8:8">
      <c r="H6840" s="680" t="s">
        <v>6153</v>
      </c>
    </row>
    <row r="6841" spans="8:8">
      <c r="H6841" s="680" t="s">
        <v>6153</v>
      </c>
    </row>
    <row r="6842" spans="8:8">
      <c r="H6842" s="680" t="s">
        <v>6153</v>
      </c>
    </row>
    <row r="6843" spans="8:8">
      <c r="H6843" s="680" t="s">
        <v>6153</v>
      </c>
    </row>
    <row r="6844" spans="8:8">
      <c r="H6844" s="680" t="s">
        <v>6153</v>
      </c>
    </row>
    <row r="6845" spans="8:8">
      <c r="H6845" s="680" t="s">
        <v>6153</v>
      </c>
    </row>
    <row r="6846" spans="8:8">
      <c r="H6846" s="680" t="s">
        <v>6153</v>
      </c>
    </row>
    <row r="6847" spans="8:8">
      <c r="H6847" s="680" t="s">
        <v>6153</v>
      </c>
    </row>
    <row r="6848" spans="8:8">
      <c r="H6848" s="680" t="s">
        <v>6153</v>
      </c>
    </row>
    <row r="6849" spans="8:8">
      <c r="H6849" s="680" t="s">
        <v>6153</v>
      </c>
    </row>
    <row r="6850" spans="8:8">
      <c r="H6850" s="680" t="s">
        <v>6153</v>
      </c>
    </row>
    <row r="6851" spans="8:8">
      <c r="H6851" s="680" t="s">
        <v>6153</v>
      </c>
    </row>
    <row r="6852" spans="8:8">
      <c r="H6852" s="680" t="s">
        <v>6153</v>
      </c>
    </row>
    <row r="6853" spans="8:8">
      <c r="H6853" s="680" t="s">
        <v>6153</v>
      </c>
    </row>
    <row r="6854" spans="8:8">
      <c r="H6854" s="680" t="s">
        <v>6153</v>
      </c>
    </row>
    <row r="6855" spans="8:8">
      <c r="H6855" s="680" t="s">
        <v>6153</v>
      </c>
    </row>
    <row r="6856" spans="8:8">
      <c r="H6856" s="680" t="s">
        <v>6153</v>
      </c>
    </row>
    <row r="6857" spans="8:8">
      <c r="H6857" s="680" t="s">
        <v>6153</v>
      </c>
    </row>
    <row r="6858" spans="8:8">
      <c r="H6858" s="680" t="s">
        <v>6153</v>
      </c>
    </row>
    <row r="6859" spans="8:8">
      <c r="H6859" s="680" t="s">
        <v>6153</v>
      </c>
    </row>
    <row r="6860" spans="8:8">
      <c r="H6860" s="680" t="s">
        <v>6153</v>
      </c>
    </row>
    <row r="6861" spans="8:8">
      <c r="H6861" s="680" t="s">
        <v>6153</v>
      </c>
    </row>
    <row r="6862" spans="8:8">
      <c r="H6862" s="680" t="s">
        <v>6153</v>
      </c>
    </row>
    <row r="6863" spans="8:8">
      <c r="H6863" s="680" t="s">
        <v>6153</v>
      </c>
    </row>
    <row r="6864" spans="8:8">
      <c r="H6864" s="680" t="s">
        <v>6153</v>
      </c>
    </row>
    <row r="6865" spans="8:8">
      <c r="H6865" s="680" t="s">
        <v>6153</v>
      </c>
    </row>
    <row r="6866" spans="8:8">
      <c r="H6866" s="680" t="s">
        <v>6153</v>
      </c>
    </row>
    <row r="6867" spans="8:8">
      <c r="H6867" s="680" t="s">
        <v>6153</v>
      </c>
    </row>
    <row r="6868" spans="8:8">
      <c r="H6868" s="680" t="s">
        <v>6153</v>
      </c>
    </row>
    <row r="6869" spans="8:8">
      <c r="H6869" s="680" t="s">
        <v>6153</v>
      </c>
    </row>
    <row r="6870" spans="8:8">
      <c r="H6870" s="680" t="s">
        <v>6153</v>
      </c>
    </row>
    <row r="6871" spans="8:8">
      <c r="H6871" s="680" t="s">
        <v>6153</v>
      </c>
    </row>
    <row r="6872" spans="8:8">
      <c r="H6872" s="680" t="s">
        <v>6153</v>
      </c>
    </row>
    <row r="6873" spans="8:8">
      <c r="H6873" s="680" t="s">
        <v>6153</v>
      </c>
    </row>
    <row r="6874" spans="8:8">
      <c r="H6874" s="680" t="s">
        <v>6153</v>
      </c>
    </row>
    <row r="6875" spans="8:8">
      <c r="H6875" s="680" t="s">
        <v>6153</v>
      </c>
    </row>
    <row r="6876" spans="8:8">
      <c r="H6876" s="680" t="s">
        <v>6153</v>
      </c>
    </row>
    <row r="6877" spans="8:8">
      <c r="H6877" s="680" t="s">
        <v>6153</v>
      </c>
    </row>
    <row r="6878" spans="8:8">
      <c r="H6878" s="680" t="s">
        <v>6153</v>
      </c>
    </row>
    <row r="6879" spans="8:8">
      <c r="H6879" s="680" t="s">
        <v>6153</v>
      </c>
    </row>
    <row r="6880" spans="8:8">
      <c r="H6880" s="680" t="s">
        <v>6153</v>
      </c>
    </row>
    <row r="6881" spans="8:8">
      <c r="H6881" s="680" t="s">
        <v>6153</v>
      </c>
    </row>
    <row r="6882" spans="8:8">
      <c r="H6882" s="680" t="s">
        <v>6153</v>
      </c>
    </row>
    <row r="6883" spans="8:8">
      <c r="H6883" s="680" t="s">
        <v>6153</v>
      </c>
    </row>
    <row r="6884" spans="8:8">
      <c r="H6884" s="680" t="s">
        <v>6153</v>
      </c>
    </row>
    <row r="6885" spans="8:8">
      <c r="H6885" s="680" t="s">
        <v>6153</v>
      </c>
    </row>
    <row r="6886" spans="8:8">
      <c r="H6886" s="680" t="s">
        <v>6153</v>
      </c>
    </row>
    <row r="6887" spans="8:8">
      <c r="H6887" s="680" t="s">
        <v>6153</v>
      </c>
    </row>
    <row r="6888" spans="8:8">
      <c r="H6888" s="680" t="s">
        <v>6153</v>
      </c>
    </row>
    <row r="6889" spans="8:8">
      <c r="H6889" s="680" t="s">
        <v>6153</v>
      </c>
    </row>
    <row r="6890" spans="8:8">
      <c r="H6890" s="680" t="s">
        <v>6153</v>
      </c>
    </row>
    <row r="6891" spans="8:8">
      <c r="H6891" s="680" t="s">
        <v>6153</v>
      </c>
    </row>
    <row r="6892" spans="8:8">
      <c r="H6892" s="680" t="s">
        <v>6153</v>
      </c>
    </row>
    <row r="6893" spans="8:8">
      <c r="H6893" s="680" t="s">
        <v>6153</v>
      </c>
    </row>
    <row r="6894" spans="8:8">
      <c r="H6894" s="680" t="s">
        <v>6153</v>
      </c>
    </row>
    <row r="6895" spans="8:8">
      <c r="H6895" s="680" t="s">
        <v>6153</v>
      </c>
    </row>
    <row r="6896" spans="8:8">
      <c r="H6896" s="680" t="s">
        <v>6153</v>
      </c>
    </row>
    <row r="6897" spans="8:8">
      <c r="H6897" s="680" t="s">
        <v>6153</v>
      </c>
    </row>
    <row r="6898" spans="8:8">
      <c r="H6898" s="680" t="s">
        <v>6153</v>
      </c>
    </row>
    <row r="6899" spans="8:8">
      <c r="H6899" s="680" t="s">
        <v>6153</v>
      </c>
    </row>
    <row r="6900" spans="8:8">
      <c r="H6900" s="680" t="s">
        <v>6153</v>
      </c>
    </row>
    <row r="6901" spans="8:8">
      <c r="H6901" s="680" t="s">
        <v>6153</v>
      </c>
    </row>
    <row r="6902" spans="8:8">
      <c r="H6902" s="680" t="s">
        <v>6153</v>
      </c>
    </row>
    <row r="6903" spans="8:8">
      <c r="H6903" s="680" t="s">
        <v>6153</v>
      </c>
    </row>
    <row r="6904" spans="8:8">
      <c r="H6904" s="680" t="s">
        <v>6153</v>
      </c>
    </row>
    <row r="6905" spans="8:8">
      <c r="H6905" s="680" t="s">
        <v>6153</v>
      </c>
    </row>
    <row r="6906" spans="8:8">
      <c r="H6906" s="680" t="s">
        <v>6153</v>
      </c>
    </row>
    <row r="6907" spans="8:8">
      <c r="H6907" s="680" t="s">
        <v>6153</v>
      </c>
    </row>
    <row r="6908" spans="8:8">
      <c r="H6908" s="680" t="s">
        <v>6153</v>
      </c>
    </row>
    <row r="6909" spans="8:8">
      <c r="H6909" s="680" t="s">
        <v>6153</v>
      </c>
    </row>
    <row r="6910" spans="8:8">
      <c r="H6910" s="680" t="s">
        <v>6153</v>
      </c>
    </row>
    <row r="6911" spans="8:8">
      <c r="H6911" s="680" t="s">
        <v>6153</v>
      </c>
    </row>
    <row r="6912" spans="8:8">
      <c r="H6912" s="680" t="s">
        <v>6153</v>
      </c>
    </row>
    <row r="6913" spans="8:8">
      <c r="H6913" s="680" t="s">
        <v>6153</v>
      </c>
    </row>
    <row r="6914" spans="8:8">
      <c r="H6914" s="680" t="s">
        <v>6153</v>
      </c>
    </row>
    <row r="6915" spans="8:8">
      <c r="H6915" s="680" t="s">
        <v>6153</v>
      </c>
    </row>
    <row r="6916" spans="8:8">
      <c r="H6916" s="680" t="s">
        <v>6153</v>
      </c>
    </row>
    <row r="6917" spans="8:8">
      <c r="H6917" s="680" t="s">
        <v>6153</v>
      </c>
    </row>
    <row r="6918" spans="8:8">
      <c r="H6918" s="680" t="s">
        <v>6153</v>
      </c>
    </row>
    <row r="6919" spans="8:8">
      <c r="H6919" s="680" t="s">
        <v>6153</v>
      </c>
    </row>
    <row r="6920" spans="8:8">
      <c r="H6920" s="680" t="s">
        <v>6153</v>
      </c>
    </row>
    <row r="6921" spans="8:8">
      <c r="H6921" s="680" t="s">
        <v>6153</v>
      </c>
    </row>
    <row r="6922" spans="8:8">
      <c r="H6922" s="680" t="s">
        <v>6153</v>
      </c>
    </row>
    <row r="6923" spans="8:8">
      <c r="H6923" s="680" t="s">
        <v>6153</v>
      </c>
    </row>
    <row r="6924" spans="8:8">
      <c r="H6924" s="680" t="s">
        <v>6153</v>
      </c>
    </row>
    <row r="6925" spans="8:8">
      <c r="H6925" s="680" t="s">
        <v>6153</v>
      </c>
    </row>
    <row r="6926" spans="8:8">
      <c r="H6926" s="680" t="s">
        <v>6153</v>
      </c>
    </row>
    <row r="6927" spans="8:8">
      <c r="H6927" s="680" t="s">
        <v>6153</v>
      </c>
    </row>
    <row r="6928" spans="8:8">
      <c r="H6928" s="680" t="s">
        <v>6153</v>
      </c>
    </row>
    <row r="6929" spans="8:8">
      <c r="H6929" s="680" t="s">
        <v>6153</v>
      </c>
    </row>
    <row r="6930" spans="8:8">
      <c r="H6930" s="680" t="s">
        <v>6153</v>
      </c>
    </row>
    <row r="6931" spans="8:8">
      <c r="H6931" s="680" t="s">
        <v>6153</v>
      </c>
    </row>
    <row r="6932" spans="8:8">
      <c r="H6932" s="680" t="s">
        <v>6153</v>
      </c>
    </row>
    <row r="6933" spans="8:8">
      <c r="H6933" s="680" t="s">
        <v>6153</v>
      </c>
    </row>
    <row r="6934" spans="8:8">
      <c r="H6934" s="680" t="s">
        <v>6153</v>
      </c>
    </row>
    <row r="6935" spans="8:8">
      <c r="H6935" s="680" t="s">
        <v>6153</v>
      </c>
    </row>
    <row r="6936" spans="8:8">
      <c r="H6936" s="680" t="s">
        <v>6153</v>
      </c>
    </row>
    <row r="6937" spans="8:8">
      <c r="H6937" s="680" t="s">
        <v>6153</v>
      </c>
    </row>
    <row r="6938" spans="8:8">
      <c r="H6938" s="680" t="s">
        <v>6153</v>
      </c>
    </row>
    <row r="6939" spans="8:8">
      <c r="H6939" s="680" t="s">
        <v>6153</v>
      </c>
    </row>
    <row r="6940" spans="8:8">
      <c r="H6940" s="680" t="s">
        <v>6153</v>
      </c>
    </row>
    <row r="6941" spans="8:8">
      <c r="H6941" s="680" t="s">
        <v>6153</v>
      </c>
    </row>
    <row r="6942" spans="8:8">
      <c r="H6942" s="680" t="s">
        <v>6153</v>
      </c>
    </row>
    <row r="6943" spans="8:8">
      <c r="H6943" s="680" t="s">
        <v>6153</v>
      </c>
    </row>
    <row r="6944" spans="8:8">
      <c r="H6944" s="680" t="s">
        <v>6153</v>
      </c>
    </row>
    <row r="6945" spans="8:8">
      <c r="H6945" s="680" t="s">
        <v>6153</v>
      </c>
    </row>
    <row r="6946" spans="8:8">
      <c r="H6946" s="680" t="s">
        <v>6153</v>
      </c>
    </row>
    <row r="6947" spans="8:8">
      <c r="H6947" s="680" t="s">
        <v>6153</v>
      </c>
    </row>
    <row r="6948" spans="8:8">
      <c r="H6948" s="680" t="s">
        <v>6153</v>
      </c>
    </row>
    <row r="6949" spans="8:8">
      <c r="H6949" s="680" t="s">
        <v>6153</v>
      </c>
    </row>
    <row r="6950" spans="8:8">
      <c r="H6950" s="680" t="s">
        <v>6153</v>
      </c>
    </row>
    <row r="6951" spans="8:8">
      <c r="H6951" s="680" t="s">
        <v>6153</v>
      </c>
    </row>
    <row r="6952" spans="8:8">
      <c r="H6952" s="680" t="s">
        <v>6153</v>
      </c>
    </row>
    <row r="6953" spans="8:8">
      <c r="H6953" s="680" t="s">
        <v>6153</v>
      </c>
    </row>
    <row r="6954" spans="8:8">
      <c r="H6954" s="680" t="s">
        <v>6153</v>
      </c>
    </row>
    <row r="6955" spans="8:8">
      <c r="H6955" s="680" t="s">
        <v>6153</v>
      </c>
    </row>
    <row r="6956" spans="8:8">
      <c r="H6956" s="680" t="s">
        <v>6153</v>
      </c>
    </row>
    <row r="6957" spans="8:8">
      <c r="H6957" s="680" t="s">
        <v>6153</v>
      </c>
    </row>
    <row r="6958" spans="8:8">
      <c r="H6958" s="680" t="s">
        <v>6153</v>
      </c>
    </row>
    <row r="6959" spans="8:8">
      <c r="H6959" s="680" t="s">
        <v>6153</v>
      </c>
    </row>
    <row r="6960" spans="8:8">
      <c r="H6960" s="680" t="s">
        <v>6153</v>
      </c>
    </row>
    <row r="6961" spans="8:8">
      <c r="H6961" s="680" t="s">
        <v>6153</v>
      </c>
    </row>
    <row r="6962" spans="8:8">
      <c r="H6962" s="680" t="s">
        <v>6153</v>
      </c>
    </row>
    <row r="6963" spans="8:8">
      <c r="H6963" s="680" t="s">
        <v>6153</v>
      </c>
    </row>
    <row r="6964" spans="8:8">
      <c r="H6964" s="680" t="s">
        <v>6153</v>
      </c>
    </row>
    <row r="6965" spans="8:8">
      <c r="H6965" s="680" t="s">
        <v>6153</v>
      </c>
    </row>
    <row r="6966" spans="8:8">
      <c r="H6966" s="680" t="s">
        <v>6153</v>
      </c>
    </row>
    <row r="6967" spans="8:8">
      <c r="H6967" s="680" t="s">
        <v>6153</v>
      </c>
    </row>
    <row r="6968" spans="8:8">
      <c r="H6968" s="680" t="s">
        <v>6153</v>
      </c>
    </row>
    <row r="6969" spans="8:8">
      <c r="H6969" s="680" t="s">
        <v>6153</v>
      </c>
    </row>
    <row r="6970" spans="8:8">
      <c r="H6970" s="680" t="s">
        <v>6153</v>
      </c>
    </row>
    <row r="6971" spans="8:8">
      <c r="H6971" s="680" t="s">
        <v>6153</v>
      </c>
    </row>
    <row r="6972" spans="8:8">
      <c r="H6972" s="680" t="s">
        <v>6153</v>
      </c>
    </row>
    <row r="6973" spans="8:8">
      <c r="H6973" s="680" t="s">
        <v>6153</v>
      </c>
    </row>
    <row r="6974" spans="8:8">
      <c r="H6974" s="680" t="s">
        <v>6153</v>
      </c>
    </row>
    <row r="6975" spans="8:8">
      <c r="H6975" s="680" t="s">
        <v>6153</v>
      </c>
    </row>
    <row r="6976" spans="8:8">
      <c r="H6976" s="680" t="s">
        <v>6153</v>
      </c>
    </row>
    <row r="6977" spans="8:8">
      <c r="H6977" s="680" t="s">
        <v>6153</v>
      </c>
    </row>
    <row r="6978" spans="8:8">
      <c r="H6978" s="680" t="s">
        <v>6153</v>
      </c>
    </row>
    <row r="6979" spans="8:8">
      <c r="H6979" s="680" t="s">
        <v>6153</v>
      </c>
    </row>
    <row r="6980" spans="8:8">
      <c r="H6980" s="680" t="s">
        <v>6153</v>
      </c>
    </row>
    <row r="6981" spans="8:8">
      <c r="H6981" s="680" t="s">
        <v>6153</v>
      </c>
    </row>
    <row r="6982" spans="8:8">
      <c r="H6982" s="680" t="s">
        <v>6153</v>
      </c>
    </row>
    <row r="6983" spans="8:8">
      <c r="H6983" s="680" t="s">
        <v>6153</v>
      </c>
    </row>
    <row r="6984" spans="8:8">
      <c r="H6984" s="680" t="s">
        <v>6153</v>
      </c>
    </row>
    <row r="6985" spans="8:8">
      <c r="H6985" s="680" t="s">
        <v>6153</v>
      </c>
    </row>
    <row r="6986" spans="8:8">
      <c r="H6986" s="680" t="s">
        <v>6153</v>
      </c>
    </row>
    <row r="6987" spans="8:8">
      <c r="H6987" s="680" t="s">
        <v>6153</v>
      </c>
    </row>
    <row r="6988" spans="8:8">
      <c r="H6988" s="680" t="s">
        <v>6153</v>
      </c>
    </row>
    <row r="6989" spans="8:8">
      <c r="H6989" s="680" t="s">
        <v>6153</v>
      </c>
    </row>
    <row r="6990" spans="8:8">
      <c r="H6990" s="680" t="s">
        <v>6153</v>
      </c>
    </row>
    <row r="6991" spans="8:8">
      <c r="H6991" s="680" t="s">
        <v>6153</v>
      </c>
    </row>
    <row r="6992" spans="8:8">
      <c r="H6992" s="680" t="s">
        <v>6153</v>
      </c>
    </row>
    <row r="6993" spans="8:8">
      <c r="H6993" s="680" t="s">
        <v>6153</v>
      </c>
    </row>
    <row r="6994" spans="8:8">
      <c r="H6994" s="680" t="s">
        <v>6153</v>
      </c>
    </row>
    <row r="6995" spans="8:8">
      <c r="H6995" s="680" t="s">
        <v>6153</v>
      </c>
    </row>
    <row r="6996" spans="8:8">
      <c r="H6996" s="680" t="s">
        <v>6153</v>
      </c>
    </row>
    <row r="6997" spans="8:8">
      <c r="H6997" s="680" t="s">
        <v>6153</v>
      </c>
    </row>
    <row r="6998" spans="8:8">
      <c r="H6998" s="680" t="s">
        <v>6153</v>
      </c>
    </row>
    <row r="6999" spans="8:8">
      <c r="H6999" s="680" t="s">
        <v>6153</v>
      </c>
    </row>
    <row r="7000" spans="8:8">
      <c r="H7000" s="680" t="s">
        <v>6153</v>
      </c>
    </row>
    <row r="7001" spans="8:8">
      <c r="H7001" s="680" t="s">
        <v>6153</v>
      </c>
    </row>
    <row r="7002" spans="8:8">
      <c r="H7002" s="680" t="s">
        <v>6153</v>
      </c>
    </row>
    <row r="7003" spans="8:8">
      <c r="H7003" s="680" t="s">
        <v>6153</v>
      </c>
    </row>
    <row r="7004" spans="8:8">
      <c r="H7004" s="680" t="s">
        <v>6153</v>
      </c>
    </row>
    <row r="7005" spans="8:8">
      <c r="H7005" s="680" t="s">
        <v>6153</v>
      </c>
    </row>
    <row r="7006" spans="8:8">
      <c r="H7006" s="680" t="s">
        <v>6153</v>
      </c>
    </row>
    <row r="7007" spans="8:8">
      <c r="H7007" s="680" t="s">
        <v>6153</v>
      </c>
    </row>
    <row r="7008" spans="8:8">
      <c r="H7008" s="680" t="s">
        <v>6153</v>
      </c>
    </row>
    <row r="7009" spans="8:8">
      <c r="H7009" s="680" t="s">
        <v>6153</v>
      </c>
    </row>
    <row r="7010" spans="8:8">
      <c r="H7010" s="680" t="s">
        <v>6153</v>
      </c>
    </row>
    <row r="7011" spans="8:8">
      <c r="H7011" s="680" t="s">
        <v>6153</v>
      </c>
    </row>
    <row r="7012" spans="8:8">
      <c r="H7012" s="680" t="s">
        <v>6153</v>
      </c>
    </row>
    <row r="7013" spans="8:8">
      <c r="H7013" s="680" t="s">
        <v>6153</v>
      </c>
    </row>
    <row r="7014" spans="8:8">
      <c r="H7014" s="680" t="s">
        <v>6153</v>
      </c>
    </row>
    <row r="7015" spans="8:8">
      <c r="H7015" s="680" t="s">
        <v>6153</v>
      </c>
    </row>
    <row r="7016" spans="8:8">
      <c r="H7016" s="680" t="s">
        <v>6153</v>
      </c>
    </row>
    <row r="7017" spans="8:8">
      <c r="H7017" s="680" t="s">
        <v>6153</v>
      </c>
    </row>
    <row r="7018" spans="8:8">
      <c r="H7018" s="680" t="s">
        <v>6153</v>
      </c>
    </row>
    <row r="7019" spans="8:8">
      <c r="H7019" s="680" t="s">
        <v>6153</v>
      </c>
    </row>
    <row r="7020" spans="8:8">
      <c r="H7020" s="680" t="s">
        <v>6153</v>
      </c>
    </row>
    <row r="7021" spans="8:8">
      <c r="H7021" s="680" t="s">
        <v>6153</v>
      </c>
    </row>
    <row r="7022" spans="8:8">
      <c r="H7022" s="680" t="s">
        <v>6153</v>
      </c>
    </row>
    <row r="7023" spans="8:8">
      <c r="H7023" s="680" t="s">
        <v>6153</v>
      </c>
    </row>
    <row r="7024" spans="8:8">
      <c r="H7024" s="680" t="s">
        <v>6153</v>
      </c>
    </row>
    <row r="7025" spans="8:8">
      <c r="H7025" s="680" t="s">
        <v>6153</v>
      </c>
    </row>
    <row r="7026" spans="8:8">
      <c r="H7026" s="680" t="s">
        <v>6153</v>
      </c>
    </row>
    <row r="7027" spans="8:8">
      <c r="H7027" s="680" t="s">
        <v>6153</v>
      </c>
    </row>
    <row r="7028" spans="8:8">
      <c r="H7028" s="680" t="s">
        <v>6153</v>
      </c>
    </row>
    <row r="7029" spans="8:8">
      <c r="H7029" s="680" t="s">
        <v>6153</v>
      </c>
    </row>
    <row r="7030" spans="8:8">
      <c r="H7030" s="680" t="s">
        <v>6153</v>
      </c>
    </row>
    <row r="7031" spans="8:8">
      <c r="H7031" s="680" t="s">
        <v>6153</v>
      </c>
    </row>
    <row r="7032" spans="8:8">
      <c r="H7032" s="680" t="s">
        <v>6153</v>
      </c>
    </row>
    <row r="7033" spans="8:8">
      <c r="H7033" s="680" t="s">
        <v>6153</v>
      </c>
    </row>
    <row r="7034" spans="8:8">
      <c r="H7034" s="680" t="s">
        <v>6153</v>
      </c>
    </row>
    <row r="7035" spans="8:8">
      <c r="H7035" s="680" t="s">
        <v>6153</v>
      </c>
    </row>
    <row r="7036" spans="8:8">
      <c r="H7036" s="680" t="s">
        <v>6153</v>
      </c>
    </row>
    <row r="7037" spans="8:8">
      <c r="H7037" s="680" t="s">
        <v>6153</v>
      </c>
    </row>
    <row r="7038" spans="8:8">
      <c r="H7038" s="680" t="s">
        <v>6153</v>
      </c>
    </row>
    <row r="7039" spans="8:8">
      <c r="H7039" s="680" t="s">
        <v>6153</v>
      </c>
    </row>
    <row r="7040" spans="8:8">
      <c r="H7040" s="680" t="s">
        <v>6153</v>
      </c>
    </row>
    <row r="7041" spans="8:8">
      <c r="H7041" s="680" t="s">
        <v>6153</v>
      </c>
    </row>
    <row r="7042" spans="8:8">
      <c r="H7042" s="680" t="s">
        <v>6153</v>
      </c>
    </row>
    <row r="7043" spans="8:8">
      <c r="H7043" s="680" t="s">
        <v>6153</v>
      </c>
    </row>
    <row r="7044" spans="8:8">
      <c r="H7044" s="680" t="s">
        <v>6153</v>
      </c>
    </row>
    <row r="7045" spans="8:8">
      <c r="H7045" s="680" t="s">
        <v>6153</v>
      </c>
    </row>
    <row r="7046" spans="8:8">
      <c r="H7046" s="680" t="s">
        <v>6153</v>
      </c>
    </row>
    <row r="7047" spans="8:8">
      <c r="H7047" s="680" t="s">
        <v>6153</v>
      </c>
    </row>
    <row r="7048" spans="8:8">
      <c r="H7048" s="680" t="s">
        <v>6153</v>
      </c>
    </row>
    <row r="7049" spans="8:8">
      <c r="H7049" s="680" t="s">
        <v>6153</v>
      </c>
    </row>
    <row r="7050" spans="8:8">
      <c r="H7050" s="680" t="s">
        <v>6153</v>
      </c>
    </row>
    <row r="7051" spans="8:8">
      <c r="H7051" s="680" t="s">
        <v>6153</v>
      </c>
    </row>
    <row r="7052" spans="8:8">
      <c r="H7052" s="680" t="s">
        <v>6153</v>
      </c>
    </row>
    <row r="7053" spans="8:8">
      <c r="H7053" s="680" t="s">
        <v>6153</v>
      </c>
    </row>
    <row r="7054" spans="8:8">
      <c r="H7054" s="680" t="s">
        <v>6153</v>
      </c>
    </row>
    <row r="7055" spans="8:8">
      <c r="H7055" s="680" t="s">
        <v>6153</v>
      </c>
    </row>
    <row r="7056" spans="8:8">
      <c r="H7056" s="680" t="s">
        <v>6153</v>
      </c>
    </row>
    <row r="7057" spans="8:8">
      <c r="H7057" s="680" t="s">
        <v>6153</v>
      </c>
    </row>
    <row r="7058" spans="8:8">
      <c r="H7058" s="680" t="s">
        <v>6153</v>
      </c>
    </row>
    <row r="7059" spans="8:8">
      <c r="H7059" s="680" t="s">
        <v>6153</v>
      </c>
    </row>
    <row r="7060" spans="8:8">
      <c r="H7060" s="680" t="s">
        <v>6153</v>
      </c>
    </row>
    <row r="7061" spans="8:8">
      <c r="H7061" s="680" t="s">
        <v>6153</v>
      </c>
    </row>
    <row r="7062" spans="8:8">
      <c r="H7062" s="680" t="s">
        <v>6153</v>
      </c>
    </row>
    <row r="7063" spans="8:8">
      <c r="H7063" s="680" t="s">
        <v>6153</v>
      </c>
    </row>
    <row r="7064" spans="8:8">
      <c r="H7064" s="680" t="s">
        <v>6153</v>
      </c>
    </row>
    <row r="7065" spans="8:8">
      <c r="H7065" s="680" t="s">
        <v>6153</v>
      </c>
    </row>
    <row r="7066" spans="8:8">
      <c r="H7066" s="680" t="s">
        <v>6153</v>
      </c>
    </row>
    <row r="7067" spans="8:8">
      <c r="H7067" s="680" t="s">
        <v>6153</v>
      </c>
    </row>
    <row r="7068" spans="8:8">
      <c r="H7068" s="680" t="s">
        <v>6153</v>
      </c>
    </row>
    <row r="7069" spans="8:8">
      <c r="H7069" s="680" t="s">
        <v>6153</v>
      </c>
    </row>
    <row r="7070" spans="8:8">
      <c r="H7070" s="680" t="s">
        <v>6153</v>
      </c>
    </row>
    <row r="7071" spans="8:8">
      <c r="H7071" s="680" t="s">
        <v>6153</v>
      </c>
    </row>
    <row r="7072" spans="8:8">
      <c r="H7072" s="680" t="s">
        <v>6153</v>
      </c>
    </row>
    <row r="7073" spans="8:8">
      <c r="H7073" s="680" t="s">
        <v>6153</v>
      </c>
    </row>
    <row r="7074" spans="8:8">
      <c r="H7074" s="680" t="s">
        <v>6153</v>
      </c>
    </row>
    <row r="7075" spans="8:8">
      <c r="H7075" s="680" t="s">
        <v>6153</v>
      </c>
    </row>
    <row r="7076" spans="8:8">
      <c r="H7076" s="680" t="s">
        <v>6153</v>
      </c>
    </row>
    <row r="7077" spans="8:8">
      <c r="H7077" s="680" t="s">
        <v>6153</v>
      </c>
    </row>
    <row r="7078" spans="8:8">
      <c r="H7078" s="680" t="s">
        <v>6153</v>
      </c>
    </row>
    <row r="7079" spans="8:8">
      <c r="H7079" s="680" t="s">
        <v>6153</v>
      </c>
    </row>
    <row r="7080" spans="8:8">
      <c r="H7080" s="680" t="s">
        <v>6153</v>
      </c>
    </row>
    <row r="7081" spans="8:8">
      <c r="H7081" s="680" t="s">
        <v>6153</v>
      </c>
    </row>
    <row r="7082" spans="8:8">
      <c r="H7082" s="680" t="s">
        <v>6153</v>
      </c>
    </row>
    <row r="7083" spans="8:8">
      <c r="H7083" s="680" t="s">
        <v>6153</v>
      </c>
    </row>
    <row r="7084" spans="8:8">
      <c r="H7084" s="680" t="s">
        <v>6153</v>
      </c>
    </row>
    <row r="7085" spans="8:8">
      <c r="H7085" s="680" t="s">
        <v>6153</v>
      </c>
    </row>
    <row r="7086" spans="8:8">
      <c r="H7086" s="680" t="s">
        <v>6153</v>
      </c>
    </row>
    <row r="7087" spans="8:8">
      <c r="H7087" s="680" t="s">
        <v>6153</v>
      </c>
    </row>
    <row r="7088" spans="8:8">
      <c r="H7088" s="680" t="s">
        <v>6153</v>
      </c>
    </row>
    <row r="7089" spans="8:8">
      <c r="H7089" s="680" t="s">
        <v>6153</v>
      </c>
    </row>
    <row r="7090" spans="8:8">
      <c r="H7090" s="680" t="s">
        <v>6153</v>
      </c>
    </row>
    <row r="7091" spans="8:8">
      <c r="H7091" s="680" t="s">
        <v>6153</v>
      </c>
    </row>
    <row r="7092" spans="8:8">
      <c r="H7092" s="680" t="s">
        <v>6153</v>
      </c>
    </row>
    <row r="7093" spans="8:8">
      <c r="H7093" s="680" t="s">
        <v>6153</v>
      </c>
    </row>
    <row r="7094" spans="8:8">
      <c r="H7094" s="680" t="s">
        <v>6153</v>
      </c>
    </row>
    <row r="7095" spans="8:8">
      <c r="H7095" s="680" t="s">
        <v>6153</v>
      </c>
    </row>
    <row r="7096" spans="8:8">
      <c r="H7096" s="680" t="s">
        <v>6153</v>
      </c>
    </row>
    <row r="7097" spans="8:8">
      <c r="H7097" s="680" t="s">
        <v>6153</v>
      </c>
    </row>
    <row r="7098" spans="8:8">
      <c r="H7098" s="680" t="s">
        <v>6153</v>
      </c>
    </row>
    <row r="7099" spans="8:8">
      <c r="H7099" s="680" t="s">
        <v>6153</v>
      </c>
    </row>
    <row r="7100" spans="8:8">
      <c r="H7100" s="680" t="s">
        <v>6153</v>
      </c>
    </row>
    <row r="7101" spans="8:8">
      <c r="H7101" s="680" t="s">
        <v>6153</v>
      </c>
    </row>
    <row r="7102" spans="8:8">
      <c r="H7102" s="680" t="s">
        <v>6153</v>
      </c>
    </row>
    <row r="7103" spans="8:8">
      <c r="H7103" s="680" t="s">
        <v>6153</v>
      </c>
    </row>
    <row r="7104" spans="8:8">
      <c r="H7104" s="680" t="s">
        <v>6153</v>
      </c>
    </row>
    <row r="7105" spans="8:8">
      <c r="H7105" s="680" t="s">
        <v>6153</v>
      </c>
    </row>
    <row r="7106" spans="8:8">
      <c r="H7106" s="680" t="s">
        <v>6153</v>
      </c>
    </row>
    <row r="7107" spans="8:8">
      <c r="H7107" s="680" t="s">
        <v>6153</v>
      </c>
    </row>
    <row r="7108" spans="8:8">
      <c r="H7108" s="680" t="s">
        <v>6153</v>
      </c>
    </row>
    <row r="7109" spans="8:8">
      <c r="H7109" s="680" t="s">
        <v>6153</v>
      </c>
    </row>
    <row r="7110" spans="8:8">
      <c r="H7110" s="680" t="s">
        <v>6153</v>
      </c>
    </row>
    <row r="7111" spans="8:8">
      <c r="H7111" s="680" t="s">
        <v>6153</v>
      </c>
    </row>
    <row r="7112" spans="8:8">
      <c r="H7112" s="680" t="s">
        <v>6153</v>
      </c>
    </row>
    <row r="7113" spans="8:8">
      <c r="H7113" s="680" t="s">
        <v>6153</v>
      </c>
    </row>
    <row r="7114" spans="8:8">
      <c r="H7114" s="680" t="s">
        <v>6153</v>
      </c>
    </row>
    <row r="7115" spans="8:8">
      <c r="H7115" s="680" t="s">
        <v>6153</v>
      </c>
    </row>
    <row r="7116" spans="8:8">
      <c r="H7116" s="680" t="s">
        <v>6153</v>
      </c>
    </row>
    <row r="7117" spans="8:8">
      <c r="H7117" s="680" t="s">
        <v>6153</v>
      </c>
    </row>
    <row r="7118" spans="8:8">
      <c r="H7118" s="680" t="s">
        <v>6153</v>
      </c>
    </row>
    <row r="7119" spans="8:8">
      <c r="H7119" s="680" t="s">
        <v>6153</v>
      </c>
    </row>
    <row r="7120" spans="8:8">
      <c r="H7120" s="680" t="s">
        <v>6153</v>
      </c>
    </row>
    <row r="7121" spans="8:8">
      <c r="H7121" s="680" t="s">
        <v>6153</v>
      </c>
    </row>
    <row r="7122" spans="8:8">
      <c r="H7122" s="680" t="s">
        <v>6153</v>
      </c>
    </row>
    <row r="7123" spans="8:8">
      <c r="H7123" s="680" t="s">
        <v>6153</v>
      </c>
    </row>
    <row r="7124" spans="8:8">
      <c r="H7124" s="680" t="s">
        <v>6153</v>
      </c>
    </row>
    <row r="7125" spans="8:8">
      <c r="H7125" s="680" t="s">
        <v>6153</v>
      </c>
    </row>
    <row r="7126" spans="8:8">
      <c r="H7126" s="680" t="s">
        <v>6153</v>
      </c>
    </row>
    <row r="7127" spans="8:8">
      <c r="H7127" s="680" t="s">
        <v>6153</v>
      </c>
    </row>
    <row r="7128" spans="8:8">
      <c r="H7128" s="680" t="s">
        <v>6153</v>
      </c>
    </row>
    <row r="7129" spans="8:8">
      <c r="H7129" s="680" t="s">
        <v>6153</v>
      </c>
    </row>
    <row r="7130" spans="8:8">
      <c r="H7130" s="680" t="s">
        <v>6153</v>
      </c>
    </row>
    <row r="7131" spans="8:8">
      <c r="H7131" s="680" t="s">
        <v>6153</v>
      </c>
    </row>
    <row r="7132" spans="8:8">
      <c r="H7132" s="680" t="s">
        <v>6153</v>
      </c>
    </row>
    <row r="7133" spans="8:8">
      <c r="H7133" s="680" t="s">
        <v>6153</v>
      </c>
    </row>
    <row r="7134" spans="8:8">
      <c r="H7134" s="680" t="s">
        <v>6153</v>
      </c>
    </row>
    <row r="7135" spans="8:8">
      <c r="H7135" s="680" t="s">
        <v>6153</v>
      </c>
    </row>
    <row r="7136" spans="8:8">
      <c r="H7136" s="680" t="s">
        <v>6153</v>
      </c>
    </row>
    <row r="7137" spans="8:8">
      <c r="H7137" s="680" t="s">
        <v>6153</v>
      </c>
    </row>
    <row r="7138" spans="8:8">
      <c r="H7138" s="680" t="s">
        <v>6153</v>
      </c>
    </row>
    <row r="7139" spans="8:8">
      <c r="H7139" s="680" t="s">
        <v>6153</v>
      </c>
    </row>
    <row r="7140" spans="8:8">
      <c r="H7140" s="680" t="s">
        <v>6153</v>
      </c>
    </row>
    <row r="7141" spans="8:8">
      <c r="H7141" s="680" t="s">
        <v>6153</v>
      </c>
    </row>
    <row r="7142" spans="8:8">
      <c r="H7142" s="680" t="s">
        <v>6153</v>
      </c>
    </row>
    <row r="7143" spans="8:8">
      <c r="H7143" s="680" t="s">
        <v>6153</v>
      </c>
    </row>
    <row r="7144" spans="8:8">
      <c r="H7144" s="680" t="s">
        <v>6153</v>
      </c>
    </row>
    <row r="7145" spans="8:8">
      <c r="H7145" s="680" t="s">
        <v>6153</v>
      </c>
    </row>
    <row r="7146" spans="8:8">
      <c r="H7146" s="680" t="s">
        <v>6153</v>
      </c>
    </row>
    <row r="7147" spans="8:8">
      <c r="H7147" s="680" t="s">
        <v>6153</v>
      </c>
    </row>
    <row r="7148" spans="8:8">
      <c r="H7148" s="680" t="s">
        <v>6153</v>
      </c>
    </row>
    <row r="7149" spans="8:8">
      <c r="H7149" s="680" t="s">
        <v>6153</v>
      </c>
    </row>
    <row r="7150" spans="8:8">
      <c r="H7150" s="680" t="s">
        <v>6153</v>
      </c>
    </row>
    <row r="7151" spans="8:8">
      <c r="H7151" s="680" t="s">
        <v>6153</v>
      </c>
    </row>
    <row r="7152" spans="8:8">
      <c r="H7152" s="680" t="s">
        <v>6153</v>
      </c>
    </row>
    <row r="7153" spans="8:8">
      <c r="H7153" s="680" t="s">
        <v>6153</v>
      </c>
    </row>
    <row r="7154" spans="8:8">
      <c r="H7154" s="680" t="s">
        <v>6153</v>
      </c>
    </row>
    <row r="7155" spans="8:8">
      <c r="H7155" s="680" t="s">
        <v>6153</v>
      </c>
    </row>
    <row r="7156" spans="8:8">
      <c r="H7156" s="680" t="s">
        <v>6153</v>
      </c>
    </row>
    <row r="7157" spans="8:8">
      <c r="H7157" s="680" t="s">
        <v>6153</v>
      </c>
    </row>
    <row r="7158" spans="8:8">
      <c r="H7158" s="680" t="s">
        <v>6153</v>
      </c>
    </row>
    <row r="7159" spans="8:8">
      <c r="H7159" s="680" t="s">
        <v>6153</v>
      </c>
    </row>
    <row r="7160" spans="8:8">
      <c r="H7160" s="680" t="s">
        <v>6153</v>
      </c>
    </row>
    <row r="7161" spans="8:8">
      <c r="H7161" s="680" t="s">
        <v>6153</v>
      </c>
    </row>
    <row r="7162" spans="8:8">
      <c r="H7162" s="680" t="s">
        <v>6153</v>
      </c>
    </row>
    <row r="7163" spans="8:8">
      <c r="H7163" s="680" t="s">
        <v>6153</v>
      </c>
    </row>
    <row r="7164" spans="8:8">
      <c r="H7164" s="680" t="s">
        <v>6153</v>
      </c>
    </row>
    <row r="7165" spans="8:8">
      <c r="H7165" s="680" t="s">
        <v>6153</v>
      </c>
    </row>
    <row r="7166" spans="8:8">
      <c r="H7166" s="680" t="s">
        <v>6153</v>
      </c>
    </row>
    <row r="7167" spans="8:8">
      <c r="H7167" s="680" t="s">
        <v>6153</v>
      </c>
    </row>
    <row r="7168" spans="8:8">
      <c r="H7168" s="680" t="s">
        <v>6153</v>
      </c>
    </row>
    <row r="7169" spans="8:8">
      <c r="H7169" s="680" t="s">
        <v>6153</v>
      </c>
    </row>
    <row r="7170" spans="8:8">
      <c r="H7170" s="680" t="s">
        <v>6153</v>
      </c>
    </row>
    <row r="7171" spans="8:8">
      <c r="H7171" s="680" t="s">
        <v>6153</v>
      </c>
    </row>
    <row r="7172" spans="8:8">
      <c r="H7172" s="680" t="s">
        <v>6153</v>
      </c>
    </row>
    <row r="7173" spans="8:8">
      <c r="H7173" s="680" t="s">
        <v>6153</v>
      </c>
    </row>
    <row r="7174" spans="8:8">
      <c r="H7174" s="680" t="s">
        <v>6153</v>
      </c>
    </row>
    <row r="7175" spans="8:8">
      <c r="H7175" s="680" t="s">
        <v>6153</v>
      </c>
    </row>
    <row r="7176" spans="8:8">
      <c r="H7176" s="680" t="s">
        <v>6153</v>
      </c>
    </row>
    <row r="7177" spans="8:8">
      <c r="H7177" s="680" t="s">
        <v>6153</v>
      </c>
    </row>
    <row r="7178" spans="8:8">
      <c r="H7178" s="680" t="s">
        <v>6153</v>
      </c>
    </row>
    <row r="7179" spans="8:8">
      <c r="H7179" s="680" t="s">
        <v>6153</v>
      </c>
    </row>
    <row r="7180" spans="8:8">
      <c r="H7180" s="680" t="s">
        <v>6153</v>
      </c>
    </row>
    <row r="7181" spans="8:8">
      <c r="H7181" s="680" t="s">
        <v>6153</v>
      </c>
    </row>
    <row r="7182" spans="8:8">
      <c r="H7182" s="680" t="s">
        <v>6153</v>
      </c>
    </row>
    <row r="7183" spans="8:8">
      <c r="H7183" s="680" t="s">
        <v>6153</v>
      </c>
    </row>
    <row r="7184" spans="8:8">
      <c r="H7184" s="680" t="s">
        <v>6153</v>
      </c>
    </row>
    <row r="7185" spans="8:8">
      <c r="H7185" s="680" t="s">
        <v>6153</v>
      </c>
    </row>
    <row r="7186" spans="8:8">
      <c r="H7186" s="680" t="s">
        <v>6153</v>
      </c>
    </row>
    <row r="7187" spans="8:8">
      <c r="H7187" s="680" t="s">
        <v>6153</v>
      </c>
    </row>
    <row r="7188" spans="8:8">
      <c r="H7188" s="680" t="s">
        <v>6153</v>
      </c>
    </row>
    <row r="7189" spans="8:8">
      <c r="H7189" s="680" t="s">
        <v>6153</v>
      </c>
    </row>
    <row r="7190" spans="8:8">
      <c r="H7190" s="680" t="s">
        <v>6153</v>
      </c>
    </row>
    <row r="7191" spans="8:8">
      <c r="H7191" s="680" t="s">
        <v>6153</v>
      </c>
    </row>
    <row r="7192" spans="8:8">
      <c r="H7192" s="680" t="s">
        <v>6153</v>
      </c>
    </row>
    <row r="7193" spans="8:8">
      <c r="H7193" s="680" t="s">
        <v>6153</v>
      </c>
    </row>
    <row r="7194" spans="8:8">
      <c r="H7194" s="680" t="s">
        <v>6153</v>
      </c>
    </row>
    <row r="7195" spans="8:8">
      <c r="H7195" s="680" t="s">
        <v>6153</v>
      </c>
    </row>
    <row r="7196" spans="8:8">
      <c r="H7196" s="680" t="s">
        <v>6153</v>
      </c>
    </row>
    <row r="7197" spans="8:8">
      <c r="H7197" s="680" t="s">
        <v>6153</v>
      </c>
    </row>
    <row r="7198" spans="8:8">
      <c r="H7198" s="680" t="s">
        <v>6153</v>
      </c>
    </row>
    <row r="7199" spans="8:8">
      <c r="H7199" s="680" t="s">
        <v>6153</v>
      </c>
    </row>
    <row r="7200" spans="8:8">
      <c r="H7200" s="680" t="s">
        <v>6153</v>
      </c>
    </row>
    <row r="7201" spans="8:8">
      <c r="H7201" s="680" t="s">
        <v>6153</v>
      </c>
    </row>
    <row r="7202" spans="8:8">
      <c r="H7202" s="680" t="s">
        <v>6153</v>
      </c>
    </row>
    <row r="7203" spans="8:8">
      <c r="H7203" s="680" t="s">
        <v>6153</v>
      </c>
    </row>
    <row r="7204" spans="8:8">
      <c r="H7204" s="680" t="s">
        <v>6153</v>
      </c>
    </row>
    <row r="7205" spans="8:8">
      <c r="H7205" s="680" t="s">
        <v>6153</v>
      </c>
    </row>
    <row r="7206" spans="8:8">
      <c r="H7206" s="680" t="s">
        <v>6153</v>
      </c>
    </row>
    <row r="7207" spans="8:8">
      <c r="H7207" s="680" t="s">
        <v>6153</v>
      </c>
    </row>
    <row r="7208" spans="8:8">
      <c r="H7208" s="680" t="s">
        <v>6153</v>
      </c>
    </row>
    <row r="7209" spans="8:8">
      <c r="H7209" s="680" t="s">
        <v>6153</v>
      </c>
    </row>
    <row r="7210" spans="8:8">
      <c r="H7210" s="680" t="s">
        <v>6153</v>
      </c>
    </row>
    <row r="7211" spans="8:8">
      <c r="H7211" s="680" t="s">
        <v>6153</v>
      </c>
    </row>
    <row r="7212" spans="8:8">
      <c r="H7212" s="680" t="s">
        <v>6153</v>
      </c>
    </row>
    <row r="7213" spans="8:8">
      <c r="H7213" s="680" t="s">
        <v>6153</v>
      </c>
    </row>
    <row r="7214" spans="8:8">
      <c r="H7214" s="680" t="s">
        <v>6153</v>
      </c>
    </row>
    <row r="7215" spans="8:8">
      <c r="H7215" s="680" t="s">
        <v>6153</v>
      </c>
    </row>
    <row r="7216" spans="8:8">
      <c r="H7216" s="680" t="s">
        <v>6153</v>
      </c>
    </row>
    <row r="7217" spans="8:8">
      <c r="H7217" s="680" t="s">
        <v>6153</v>
      </c>
    </row>
    <row r="7218" spans="8:8">
      <c r="H7218" s="680" t="s">
        <v>6153</v>
      </c>
    </row>
    <row r="7219" spans="8:8">
      <c r="H7219" s="680" t="s">
        <v>6153</v>
      </c>
    </row>
    <row r="7220" spans="8:8">
      <c r="H7220" s="680" t="s">
        <v>6153</v>
      </c>
    </row>
    <row r="7221" spans="8:8">
      <c r="H7221" s="680" t="s">
        <v>6153</v>
      </c>
    </row>
    <row r="7222" spans="8:8">
      <c r="H7222" s="680" t="s">
        <v>6153</v>
      </c>
    </row>
    <row r="7223" spans="8:8">
      <c r="H7223" s="680" t="s">
        <v>6153</v>
      </c>
    </row>
    <row r="7224" spans="8:8">
      <c r="H7224" s="680" t="s">
        <v>6153</v>
      </c>
    </row>
    <row r="7225" spans="8:8">
      <c r="H7225" s="680" t="s">
        <v>6153</v>
      </c>
    </row>
    <row r="7226" spans="8:8">
      <c r="H7226" s="680" t="s">
        <v>6153</v>
      </c>
    </row>
    <row r="7227" spans="8:8">
      <c r="H7227" s="680" t="s">
        <v>6153</v>
      </c>
    </row>
    <row r="7228" spans="8:8">
      <c r="H7228" s="680" t="s">
        <v>6153</v>
      </c>
    </row>
    <row r="7229" spans="8:8">
      <c r="H7229" s="680" t="s">
        <v>6153</v>
      </c>
    </row>
    <row r="7230" spans="8:8">
      <c r="H7230" s="680" t="s">
        <v>6153</v>
      </c>
    </row>
    <row r="7231" spans="8:8">
      <c r="H7231" s="680" t="s">
        <v>6153</v>
      </c>
    </row>
    <row r="7232" spans="8:8">
      <c r="H7232" s="680" t="s">
        <v>6153</v>
      </c>
    </row>
    <row r="7233" spans="8:8">
      <c r="H7233" s="680" t="s">
        <v>6153</v>
      </c>
    </row>
    <row r="7234" spans="8:8">
      <c r="H7234" s="680" t="s">
        <v>6153</v>
      </c>
    </row>
    <row r="7235" spans="8:8">
      <c r="H7235" s="680" t="s">
        <v>6153</v>
      </c>
    </row>
    <row r="7236" spans="8:8">
      <c r="H7236" s="680" t="s">
        <v>6153</v>
      </c>
    </row>
    <row r="7237" spans="8:8">
      <c r="H7237" s="680" t="s">
        <v>6153</v>
      </c>
    </row>
    <row r="7238" spans="8:8">
      <c r="H7238" s="680" t="s">
        <v>6153</v>
      </c>
    </row>
    <row r="7239" spans="8:8">
      <c r="H7239" s="680" t="s">
        <v>6153</v>
      </c>
    </row>
    <row r="7240" spans="8:8">
      <c r="H7240" s="680" t="s">
        <v>6153</v>
      </c>
    </row>
    <row r="7241" spans="8:8">
      <c r="H7241" s="680" t="s">
        <v>6153</v>
      </c>
    </row>
    <row r="7242" spans="8:8">
      <c r="H7242" s="680" t="s">
        <v>6153</v>
      </c>
    </row>
    <row r="7243" spans="8:8">
      <c r="H7243" s="680" t="s">
        <v>6153</v>
      </c>
    </row>
    <row r="7244" spans="8:8">
      <c r="H7244" s="680" t="s">
        <v>6153</v>
      </c>
    </row>
    <row r="7245" spans="8:8">
      <c r="H7245" s="680" t="s">
        <v>6153</v>
      </c>
    </row>
    <row r="7246" spans="8:8">
      <c r="H7246" s="680" t="s">
        <v>6153</v>
      </c>
    </row>
    <row r="7247" spans="8:8">
      <c r="H7247" s="680" t="s">
        <v>6153</v>
      </c>
    </row>
    <row r="7248" spans="8:8">
      <c r="H7248" s="680" t="s">
        <v>6153</v>
      </c>
    </row>
    <row r="7249" spans="8:8">
      <c r="H7249" s="680" t="s">
        <v>6153</v>
      </c>
    </row>
    <row r="7250" spans="8:8">
      <c r="H7250" s="680" t="s">
        <v>6153</v>
      </c>
    </row>
    <row r="7251" spans="8:8">
      <c r="H7251" s="680" t="s">
        <v>6153</v>
      </c>
    </row>
    <row r="7252" spans="8:8">
      <c r="H7252" s="680" t="s">
        <v>6153</v>
      </c>
    </row>
    <row r="7253" spans="8:8">
      <c r="H7253" s="680" t="s">
        <v>6153</v>
      </c>
    </row>
    <row r="7254" spans="8:8">
      <c r="H7254" s="680" t="s">
        <v>6153</v>
      </c>
    </row>
    <row r="7255" spans="8:8">
      <c r="H7255" s="680" t="s">
        <v>6153</v>
      </c>
    </row>
    <row r="7256" spans="8:8">
      <c r="H7256" s="680" t="s">
        <v>6153</v>
      </c>
    </row>
    <row r="7257" spans="8:8">
      <c r="H7257" s="680" t="s">
        <v>6153</v>
      </c>
    </row>
    <row r="7258" spans="8:8">
      <c r="H7258" s="680" t="s">
        <v>6153</v>
      </c>
    </row>
    <row r="7259" spans="8:8">
      <c r="H7259" s="680" t="s">
        <v>6153</v>
      </c>
    </row>
    <row r="7260" spans="8:8">
      <c r="H7260" s="680" t="s">
        <v>6153</v>
      </c>
    </row>
    <row r="7261" spans="8:8">
      <c r="H7261" s="680" t="s">
        <v>6153</v>
      </c>
    </row>
    <row r="7262" spans="8:8">
      <c r="H7262" s="680" t="s">
        <v>6153</v>
      </c>
    </row>
    <row r="7263" spans="8:8">
      <c r="H7263" s="680" t="s">
        <v>6153</v>
      </c>
    </row>
    <row r="7264" spans="8:8">
      <c r="H7264" s="680" t="s">
        <v>6153</v>
      </c>
    </row>
    <row r="7265" spans="8:8">
      <c r="H7265" s="680" t="s">
        <v>6153</v>
      </c>
    </row>
    <row r="7266" spans="8:8">
      <c r="H7266" s="680" t="s">
        <v>6153</v>
      </c>
    </row>
    <row r="7267" spans="8:8">
      <c r="H7267" s="680" t="s">
        <v>6153</v>
      </c>
    </row>
    <row r="7268" spans="8:8">
      <c r="H7268" s="680" t="s">
        <v>6153</v>
      </c>
    </row>
    <row r="7269" spans="8:8">
      <c r="H7269" s="680" t="s">
        <v>6153</v>
      </c>
    </row>
    <row r="7270" spans="8:8">
      <c r="H7270" s="680" t="s">
        <v>6153</v>
      </c>
    </row>
    <row r="7271" spans="8:8">
      <c r="H7271" s="680" t="s">
        <v>6153</v>
      </c>
    </row>
    <row r="7272" spans="8:8">
      <c r="H7272" s="680" t="s">
        <v>6153</v>
      </c>
    </row>
    <row r="7273" spans="8:8">
      <c r="H7273" s="680" t="s">
        <v>6153</v>
      </c>
    </row>
    <row r="7274" spans="8:8">
      <c r="H7274" s="680" t="s">
        <v>6153</v>
      </c>
    </row>
    <row r="7275" spans="8:8">
      <c r="H7275" s="680" t="s">
        <v>6153</v>
      </c>
    </row>
    <row r="7276" spans="8:8">
      <c r="H7276" s="680" t="s">
        <v>6153</v>
      </c>
    </row>
    <row r="7277" spans="8:8">
      <c r="H7277" s="680" t="s">
        <v>6153</v>
      </c>
    </row>
    <row r="7278" spans="8:8">
      <c r="H7278" s="680" t="s">
        <v>6153</v>
      </c>
    </row>
    <row r="7279" spans="8:8">
      <c r="H7279" s="680" t="s">
        <v>6153</v>
      </c>
    </row>
    <row r="7280" spans="8:8">
      <c r="H7280" s="680" t="s">
        <v>6153</v>
      </c>
    </row>
    <row r="7281" spans="8:8">
      <c r="H7281" s="680" t="s">
        <v>6153</v>
      </c>
    </row>
    <row r="7282" spans="8:8">
      <c r="H7282" s="680" t="s">
        <v>6153</v>
      </c>
    </row>
    <row r="7283" spans="8:8">
      <c r="H7283" s="680" t="s">
        <v>6153</v>
      </c>
    </row>
    <row r="7284" spans="8:8">
      <c r="H7284" s="680" t="s">
        <v>6153</v>
      </c>
    </row>
    <row r="7285" spans="8:8">
      <c r="H7285" s="680" t="s">
        <v>6153</v>
      </c>
    </row>
    <row r="7286" spans="8:8">
      <c r="H7286" s="680" t="s">
        <v>6153</v>
      </c>
    </row>
    <row r="7287" spans="8:8">
      <c r="H7287" s="680" t="s">
        <v>6153</v>
      </c>
    </row>
    <row r="7288" spans="8:8">
      <c r="H7288" s="680" t="s">
        <v>6153</v>
      </c>
    </row>
    <row r="7289" spans="8:8">
      <c r="H7289" s="680" t="s">
        <v>6153</v>
      </c>
    </row>
    <row r="7290" spans="8:8">
      <c r="H7290" s="680" t="s">
        <v>6153</v>
      </c>
    </row>
    <row r="7291" spans="8:8">
      <c r="H7291" s="680" t="s">
        <v>6153</v>
      </c>
    </row>
    <row r="7292" spans="8:8">
      <c r="H7292" s="680" t="s">
        <v>6153</v>
      </c>
    </row>
    <row r="7293" spans="8:8">
      <c r="H7293" s="680" t="s">
        <v>6153</v>
      </c>
    </row>
    <row r="7294" spans="8:8">
      <c r="H7294" s="680" t="s">
        <v>6153</v>
      </c>
    </row>
    <row r="7295" spans="8:8">
      <c r="H7295" s="680" t="s">
        <v>6153</v>
      </c>
    </row>
    <row r="7296" spans="8:8">
      <c r="H7296" s="680" t="s">
        <v>6153</v>
      </c>
    </row>
    <row r="7297" spans="8:8">
      <c r="H7297" s="680" t="s">
        <v>6153</v>
      </c>
    </row>
    <row r="7298" spans="8:8">
      <c r="H7298" s="680" t="s">
        <v>6153</v>
      </c>
    </row>
    <row r="7299" spans="8:8">
      <c r="H7299" s="680" t="s">
        <v>6153</v>
      </c>
    </row>
    <row r="7300" spans="8:8">
      <c r="H7300" s="680" t="s">
        <v>6153</v>
      </c>
    </row>
    <row r="7301" spans="8:8">
      <c r="H7301" s="680" t="s">
        <v>6153</v>
      </c>
    </row>
    <row r="7302" spans="8:8">
      <c r="H7302" s="680" t="s">
        <v>6153</v>
      </c>
    </row>
    <row r="7303" spans="8:8">
      <c r="H7303" s="680" t="s">
        <v>6153</v>
      </c>
    </row>
    <row r="7304" spans="8:8">
      <c r="H7304" s="680" t="s">
        <v>6153</v>
      </c>
    </row>
    <row r="7305" spans="8:8">
      <c r="H7305" s="680" t="s">
        <v>6153</v>
      </c>
    </row>
    <row r="7306" spans="8:8">
      <c r="H7306" s="680" t="s">
        <v>6153</v>
      </c>
    </row>
    <row r="7307" spans="8:8">
      <c r="H7307" s="680" t="s">
        <v>6153</v>
      </c>
    </row>
    <row r="7308" spans="8:8">
      <c r="H7308" s="680" t="s">
        <v>6153</v>
      </c>
    </row>
    <row r="7309" spans="8:8">
      <c r="H7309" s="680" t="s">
        <v>6153</v>
      </c>
    </row>
    <row r="7310" spans="8:8">
      <c r="H7310" s="680" t="s">
        <v>6153</v>
      </c>
    </row>
    <row r="7311" spans="8:8">
      <c r="H7311" s="680" t="s">
        <v>6153</v>
      </c>
    </row>
    <row r="7312" spans="8:8">
      <c r="H7312" s="680" t="s">
        <v>6153</v>
      </c>
    </row>
    <row r="7313" spans="8:8">
      <c r="H7313" s="680" t="s">
        <v>6153</v>
      </c>
    </row>
    <row r="7314" spans="8:8">
      <c r="H7314" s="680" t="s">
        <v>6153</v>
      </c>
    </row>
    <row r="7315" spans="8:8">
      <c r="H7315" s="680" t="s">
        <v>6153</v>
      </c>
    </row>
    <row r="7316" spans="8:8">
      <c r="H7316" s="680" t="s">
        <v>6153</v>
      </c>
    </row>
    <row r="7317" spans="8:8">
      <c r="H7317" s="680" t="s">
        <v>6153</v>
      </c>
    </row>
    <row r="7318" spans="8:8">
      <c r="H7318" s="680" t="s">
        <v>6153</v>
      </c>
    </row>
    <row r="7319" spans="8:8">
      <c r="H7319" s="680" t="s">
        <v>6153</v>
      </c>
    </row>
    <row r="7320" spans="8:8">
      <c r="H7320" s="680" t="s">
        <v>6153</v>
      </c>
    </row>
    <row r="7321" spans="8:8">
      <c r="H7321" s="680" t="s">
        <v>6153</v>
      </c>
    </row>
    <row r="7322" spans="8:8">
      <c r="H7322" s="680" t="s">
        <v>6153</v>
      </c>
    </row>
    <row r="7323" spans="8:8">
      <c r="H7323" s="680" t="s">
        <v>6153</v>
      </c>
    </row>
    <row r="7324" spans="8:8">
      <c r="H7324" s="680" t="s">
        <v>6153</v>
      </c>
    </row>
    <row r="7325" spans="8:8">
      <c r="H7325" s="680" t="s">
        <v>6153</v>
      </c>
    </row>
    <row r="7326" spans="8:8">
      <c r="H7326" s="680" t="s">
        <v>6153</v>
      </c>
    </row>
    <row r="7327" spans="8:8">
      <c r="H7327" s="680" t="s">
        <v>6153</v>
      </c>
    </row>
    <row r="7328" spans="8:8">
      <c r="H7328" s="680" t="s">
        <v>6153</v>
      </c>
    </row>
    <row r="7329" spans="8:8">
      <c r="H7329" s="680" t="s">
        <v>6153</v>
      </c>
    </row>
    <row r="7330" spans="8:8">
      <c r="H7330" s="680" t="s">
        <v>6153</v>
      </c>
    </row>
    <row r="7331" spans="8:8">
      <c r="H7331" s="680" t="s">
        <v>6153</v>
      </c>
    </row>
    <row r="7332" spans="8:8">
      <c r="H7332" s="680" t="s">
        <v>6153</v>
      </c>
    </row>
    <row r="7333" spans="8:8">
      <c r="H7333" s="680" t="s">
        <v>6153</v>
      </c>
    </row>
    <row r="7334" spans="8:8">
      <c r="H7334" s="680" t="s">
        <v>6153</v>
      </c>
    </row>
    <row r="7335" spans="8:8">
      <c r="H7335" s="680" t="s">
        <v>6153</v>
      </c>
    </row>
    <row r="7336" spans="8:8">
      <c r="H7336" s="680" t="s">
        <v>6153</v>
      </c>
    </row>
    <row r="7337" spans="8:8">
      <c r="H7337" s="680" t="s">
        <v>6153</v>
      </c>
    </row>
    <row r="7338" spans="8:8">
      <c r="H7338" s="680" t="s">
        <v>6153</v>
      </c>
    </row>
    <row r="7339" spans="8:8">
      <c r="H7339" s="680" t="s">
        <v>6153</v>
      </c>
    </row>
    <row r="7340" spans="8:8">
      <c r="H7340" s="680" t="s">
        <v>6153</v>
      </c>
    </row>
    <row r="7341" spans="8:8">
      <c r="H7341" s="680" t="s">
        <v>6153</v>
      </c>
    </row>
    <row r="7342" spans="8:8">
      <c r="H7342" s="680" t="s">
        <v>6153</v>
      </c>
    </row>
    <row r="7343" spans="8:8">
      <c r="H7343" s="680" t="s">
        <v>6153</v>
      </c>
    </row>
    <row r="7344" spans="8:8">
      <c r="H7344" s="680" t="s">
        <v>6153</v>
      </c>
    </row>
    <row r="7345" spans="8:8">
      <c r="H7345" s="680" t="s">
        <v>6153</v>
      </c>
    </row>
    <row r="7346" spans="8:8">
      <c r="H7346" s="680" t="s">
        <v>6153</v>
      </c>
    </row>
    <row r="7347" spans="8:8">
      <c r="H7347" s="680" t="s">
        <v>6153</v>
      </c>
    </row>
    <row r="7348" spans="8:8">
      <c r="H7348" s="680" t="s">
        <v>6153</v>
      </c>
    </row>
    <row r="7349" spans="8:8">
      <c r="H7349" s="680" t="s">
        <v>6153</v>
      </c>
    </row>
    <row r="7350" spans="8:8">
      <c r="H7350" s="680" t="s">
        <v>6153</v>
      </c>
    </row>
    <row r="7351" spans="8:8">
      <c r="H7351" s="680" t="s">
        <v>6153</v>
      </c>
    </row>
    <row r="7352" spans="8:8">
      <c r="H7352" s="680" t="s">
        <v>6153</v>
      </c>
    </row>
    <row r="7353" spans="8:8">
      <c r="H7353" s="680" t="s">
        <v>6153</v>
      </c>
    </row>
    <row r="7354" spans="8:8">
      <c r="H7354" s="680" t="s">
        <v>6153</v>
      </c>
    </row>
    <row r="7355" spans="8:8">
      <c r="H7355" s="680" t="s">
        <v>6153</v>
      </c>
    </row>
    <row r="7356" spans="8:8">
      <c r="H7356" s="680" t="s">
        <v>6153</v>
      </c>
    </row>
    <row r="7357" spans="8:8">
      <c r="H7357" s="680" t="s">
        <v>6153</v>
      </c>
    </row>
    <row r="7358" spans="8:8">
      <c r="H7358" s="680" t="s">
        <v>6153</v>
      </c>
    </row>
    <row r="7359" spans="8:8">
      <c r="H7359" s="680" t="s">
        <v>6153</v>
      </c>
    </row>
    <row r="7360" spans="8:8">
      <c r="H7360" s="680" t="s">
        <v>6153</v>
      </c>
    </row>
    <row r="7361" spans="8:8">
      <c r="H7361" s="680" t="s">
        <v>6153</v>
      </c>
    </row>
    <row r="7362" spans="8:8">
      <c r="H7362" s="680" t="s">
        <v>6153</v>
      </c>
    </row>
    <row r="7363" spans="8:8">
      <c r="H7363" s="680" t="s">
        <v>6153</v>
      </c>
    </row>
    <row r="7364" spans="8:8">
      <c r="H7364" s="680" t="s">
        <v>6153</v>
      </c>
    </row>
    <row r="7365" spans="8:8">
      <c r="H7365" s="680" t="s">
        <v>6153</v>
      </c>
    </row>
    <row r="7366" spans="8:8">
      <c r="H7366" s="680" t="s">
        <v>6153</v>
      </c>
    </row>
    <row r="7367" spans="8:8">
      <c r="H7367" s="680" t="s">
        <v>6153</v>
      </c>
    </row>
    <row r="7368" spans="8:8">
      <c r="H7368" s="680" t="s">
        <v>6153</v>
      </c>
    </row>
    <row r="7369" spans="8:8">
      <c r="H7369" s="680" t="s">
        <v>6153</v>
      </c>
    </row>
    <row r="7370" spans="8:8">
      <c r="H7370" s="680" t="s">
        <v>6153</v>
      </c>
    </row>
    <row r="7371" spans="8:8">
      <c r="H7371" s="680" t="s">
        <v>6153</v>
      </c>
    </row>
    <row r="7372" spans="8:8">
      <c r="H7372" s="680" t="s">
        <v>6153</v>
      </c>
    </row>
    <row r="7373" spans="8:8">
      <c r="H7373" s="680" t="s">
        <v>6153</v>
      </c>
    </row>
    <row r="7374" spans="8:8">
      <c r="H7374" s="680" t="s">
        <v>6153</v>
      </c>
    </row>
    <row r="7375" spans="8:8">
      <c r="H7375" s="680" t="s">
        <v>6153</v>
      </c>
    </row>
    <row r="7376" spans="8:8">
      <c r="H7376" s="680" t="s">
        <v>6153</v>
      </c>
    </row>
    <row r="7377" spans="8:8">
      <c r="H7377" s="680" t="s">
        <v>6153</v>
      </c>
    </row>
    <row r="7378" spans="8:8">
      <c r="H7378" s="680" t="s">
        <v>6153</v>
      </c>
    </row>
    <row r="7379" spans="8:8">
      <c r="H7379" s="680" t="s">
        <v>6153</v>
      </c>
    </row>
    <row r="7380" spans="8:8">
      <c r="H7380" s="680" t="s">
        <v>6153</v>
      </c>
    </row>
    <row r="7381" spans="8:8">
      <c r="H7381" s="680" t="s">
        <v>6153</v>
      </c>
    </row>
    <row r="7382" spans="8:8">
      <c r="H7382" s="680" t="s">
        <v>6153</v>
      </c>
    </row>
    <row r="7383" spans="8:8">
      <c r="H7383" s="680" t="s">
        <v>6153</v>
      </c>
    </row>
    <row r="7384" spans="8:8">
      <c r="H7384" s="680" t="s">
        <v>6153</v>
      </c>
    </row>
    <row r="7385" spans="8:8">
      <c r="H7385" s="680" t="s">
        <v>6153</v>
      </c>
    </row>
    <row r="7386" spans="8:8">
      <c r="H7386" s="680" t="s">
        <v>6153</v>
      </c>
    </row>
    <row r="7387" spans="8:8">
      <c r="H7387" s="680" t="s">
        <v>6153</v>
      </c>
    </row>
    <row r="7388" spans="8:8">
      <c r="H7388" s="680" t="s">
        <v>6153</v>
      </c>
    </row>
    <row r="7389" spans="8:8">
      <c r="H7389" s="680" t="s">
        <v>6153</v>
      </c>
    </row>
    <row r="7390" spans="8:8">
      <c r="H7390" s="680" t="s">
        <v>6153</v>
      </c>
    </row>
    <row r="7391" spans="8:8">
      <c r="H7391" s="680" t="s">
        <v>6153</v>
      </c>
    </row>
    <row r="7392" spans="8:8">
      <c r="H7392" s="680" t="s">
        <v>6153</v>
      </c>
    </row>
    <row r="7393" spans="8:8">
      <c r="H7393" s="680" t="s">
        <v>6153</v>
      </c>
    </row>
    <row r="7394" spans="8:8">
      <c r="H7394" s="680" t="s">
        <v>6153</v>
      </c>
    </row>
    <row r="7395" spans="8:8">
      <c r="H7395" s="680" t="s">
        <v>6153</v>
      </c>
    </row>
    <row r="7396" spans="8:8">
      <c r="H7396" s="680" t="s">
        <v>6153</v>
      </c>
    </row>
    <row r="7397" spans="8:8">
      <c r="H7397" s="680" t="s">
        <v>6153</v>
      </c>
    </row>
    <row r="7398" spans="8:8">
      <c r="H7398" s="680" t="s">
        <v>6153</v>
      </c>
    </row>
    <row r="7399" spans="8:8">
      <c r="H7399" s="680" t="s">
        <v>6153</v>
      </c>
    </row>
    <row r="7400" spans="8:8">
      <c r="H7400" s="680" t="s">
        <v>6153</v>
      </c>
    </row>
    <row r="7401" spans="8:8">
      <c r="H7401" s="680" t="s">
        <v>6153</v>
      </c>
    </row>
    <row r="7402" spans="8:8">
      <c r="H7402" s="680" t="s">
        <v>6153</v>
      </c>
    </row>
    <row r="7403" spans="8:8">
      <c r="H7403" s="680" t="s">
        <v>6153</v>
      </c>
    </row>
    <row r="7404" spans="8:8">
      <c r="H7404" s="680" t="s">
        <v>6153</v>
      </c>
    </row>
    <row r="7405" spans="8:8">
      <c r="H7405" s="680" t="s">
        <v>6153</v>
      </c>
    </row>
    <row r="7406" spans="8:8">
      <c r="H7406" s="680" t="s">
        <v>6153</v>
      </c>
    </row>
    <row r="7407" spans="8:8">
      <c r="H7407" s="680" t="s">
        <v>6153</v>
      </c>
    </row>
    <row r="7408" spans="8:8">
      <c r="H7408" s="680" t="s">
        <v>6153</v>
      </c>
    </row>
    <row r="7409" spans="8:8">
      <c r="H7409" s="680" t="s">
        <v>6153</v>
      </c>
    </row>
    <row r="7410" spans="8:8">
      <c r="H7410" s="680" t="s">
        <v>6153</v>
      </c>
    </row>
    <row r="7411" spans="8:8">
      <c r="H7411" s="680" t="s">
        <v>6153</v>
      </c>
    </row>
    <row r="7412" spans="8:8">
      <c r="H7412" s="680" t="s">
        <v>6153</v>
      </c>
    </row>
    <row r="7413" spans="8:8">
      <c r="H7413" s="680" t="s">
        <v>6153</v>
      </c>
    </row>
    <row r="7414" spans="8:8">
      <c r="H7414" s="680" t="s">
        <v>6153</v>
      </c>
    </row>
    <row r="7415" spans="8:8">
      <c r="H7415" s="680" t="s">
        <v>6153</v>
      </c>
    </row>
    <row r="7416" spans="8:8">
      <c r="H7416" s="680" t="s">
        <v>6153</v>
      </c>
    </row>
    <row r="7417" spans="8:8">
      <c r="H7417" s="680" t="s">
        <v>6153</v>
      </c>
    </row>
    <row r="7418" spans="8:8">
      <c r="H7418" s="680" t="s">
        <v>6153</v>
      </c>
    </row>
    <row r="7419" spans="8:8">
      <c r="H7419" s="680" t="s">
        <v>6153</v>
      </c>
    </row>
    <row r="7420" spans="8:8">
      <c r="H7420" s="680" t="s">
        <v>6153</v>
      </c>
    </row>
    <row r="7421" spans="8:8">
      <c r="H7421" s="680" t="s">
        <v>6153</v>
      </c>
    </row>
    <row r="7422" spans="8:8">
      <c r="H7422" s="680" t="s">
        <v>6153</v>
      </c>
    </row>
    <row r="7423" spans="8:8">
      <c r="H7423" s="680" t="s">
        <v>6153</v>
      </c>
    </row>
    <row r="7424" spans="8:8">
      <c r="H7424" s="680" t="s">
        <v>6153</v>
      </c>
    </row>
    <row r="7425" spans="8:8">
      <c r="H7425" s="680" t="s">
        <v>6153</v>
      </c>
    </row>
    <row r="7426" spans="8:8">
      <c r="H7426" s="680" t="s">
        <v>6153</v>
      </c>
    </row>
    <row r="7427" spans="8:8">
      <c r="H7427" s="680" t="s">
        <v>6153</v>
      </c>
    </row>
    <row r="7428" spans="8:8">
      <c r="H7428" s="680" t="s">
        <v>6153</v>
      </c>
    </row>
    <row r="7429" spans="8:8">
      <c r="H7429" s="680" t="s">
        <v>6153</v>
      </c>
    </row>
    <row r="7430" spans="8:8">
      <c r="H7430" s="680" t="s">
        <v>6153</v>
      </c>
    </row>
    <row r="7431" spans="8:8">
      <c r="H7431" s="680" t="s">
        <v>6153</v>
      </c>
    </row>
    <row r="7432" spans="8:8">
      <c r="H7432" s="680" t="s">
        <v>6153</v>
      </c>
    </row>
    <row r="7433" spans="8:8">
      <c r="H7433" s="680" t="s">
        <v>6153</v>
      </c>
    </row>
    <row r="7434" spans="8:8">
      <c r="H7434" s="680" t="s">
        <v>6153</v>
      </c>
    </row>
    <row r="7435" spans="8:8">
      <c r="H7435" s="680" t="s">
        <v>6153</v>
      </c>
    </row>
    <row r="7436" spans="8:8">
      <c r="H7436" s="680" t="s">
        <v>6153</v>
      </c>
    </row>
    <row r="7437" spans="8:8">
      <c r="H7437" s="680" t="s">
        <v>6153</v>
      </c>
    </row>
    <row r="7438" spans="8:8">
      <c r="H7438" s="680" t="s">
        <v>6153</v>
      </c>
    </row>
    <row r="7439" spans="8:8">
      <c r="H7439" s="680" t="s">
        <v>6153</v>
      </c>
    </row>
    <row r="7440" spans="8:8">
      <c r="H7440" s="680" t="s">
        <v>6153</v>
      </c>
    </row>
    <row r="7441" spans="8:8">
      <c r="H7441" s="680" t="s">
        <v>6153</v>
      </c>
    </row>
    <row r="7442" spans="8:8">
      <c r="H7442" s="680" t="s">
        <v>6153</v>
      </c>
    </row>
    <row r="7443" spans="8:8">
      <c r="H7443" s="680" t="s">
        <v>6153</v>
      </c>
    </row>
    <row r="7444" spans="8:8">
      <c r="H7444" s="680" t="s">
        <v>6153</v>
      </c>
    </row>
    <row r="7445" spans="8:8">
      <c r="H7445" s="680" t="s">
        <v>6153</v>
      </c>
    </row>
    <row r="7446" spans="8:8">
      <c r="H7446" s="680" t="s">
        <v>6153</v>
      </c>
    </row>
    <row r="7447" spans="8:8">
      <c r="H7447" s="680" t="s">
        <v>6153</v>
      </c>
    </row>
    <row r="7448" spans="8:8">
      <c r="H7448" s="680" t="s">
        <v>6153</v>
      </c>
    </row>
    <row r="7449" spans="8:8">
      <c r="H7449" s="680" t="s">
        <v>6153</v>
      </c>
    </row>
    <row r="7450" spans="8:8">
      <c r="H7450" s="680" t="s">
        <v>6153</v>
      </c>
    </row>
    <row r="7451" spans="8:8">
      <c r="H7451" s="680" t="s">
        <v>6153</v>
      </c>
    </row>
    <row r="7452" spans="8:8">
      <c r="H7452" s="680" t="s">
        <v>6153</v>
      </c>
    </row>
    <row r="7453" spans="8:8">
      <c r="H7453" s="680" t="s">
        <v>6153</v>
      </c>
    </row>
    <row r="7454" spans="8:8">
      <c r="H7454" s="680" t="s">
        <v>6153</v>
      </c>
    </row>
    <row r="7455" spans="8:8">
      <c r="H7455" s="680" t="s">
        <v>6153</v>
      </c>
    </row>
    <row r="7456" spans="8:8">
      <c r="H7456" s="680" t="s">
        <v>6153</v>
      </c>
    </row>
    <row r="7457" spans="8:8">
      <c r="H7457" s="680" t="s">
        <v>6153</v>
      </c>
    </row>
    <row r="7458" spans="8:8">
      <c r="H7458" s="680" t="s">
        <v>6153</v>
      </c>
    </row>
    <row r="7459" spans="8:8">
      <c r="H7459" s="680" t="s">
        <v>6153</v>
      </c>
    </row>
    <row r="7460" spans="8:8">
      <c r="H7460" s="680" t="s">
        <v>6153</v>
      </c>
    </row>
    <row r="7461" spans="8:8">
      <c r="H7461" s="680" t="s">
        <v>6153</v>
      </c>
    </row>
    <row r="7462" spans="8:8">
      <c r="H7462" s="680" t="s">
        <v>6153</v>
      </c>
    </row>
    <row r="7463" spans="8:8">
      <c r="H7463" s="680" t="s">
        <v>6153</v>
      </c>
    </row>
    <row r="7464" spans="8:8">
      <c r="H7464" s="680" t="s">
        <v>6153</v>
      </c>
    </row>
    <row r="7465" spans="8:8">
      <c r="H7465" s="680" t="s">
        <v>6153</v>
      </c>
    </row>
    <row r="7466" spans="8:8">
      <c r="H7466" s="680" t="s">
        <v>6153</v>
      </c>
    </row>
    <row r="7467" spans="8:8">
      <c r="H7467" s="680" t="s">
        <v>6153</v>
      </c>
    </row>
    <row r="7468" spans="8:8">
      <c r="H7468" s="680" t="s">
        <v>6153</v>
      </c>
    </row>
    <row r="7469" spans="8:8">
      <c r="H7469" s="680" t="s">
        <v>6153</v>
      </c>
    </row>
    <row r="7470" spans="8:8">
      <c r="H7470" s="680" t="s">
        <v>6153</v>
      </c>
    </row>
    <row r="7471" spans="8:8">
      <c r="H7471" s="680" t="s">
        <v>6153</v>
      </c>
    </row>
    <row r="7472" spans="8:8">
      <c r="H7472" s="680" t="s">
        <v>6153</v>
      </c>
    </row>
    <row r="7473" spans="8:8">
      <c r="H7473" s="680" t="s">
        <v>6153</v>
      </c>
    </row>
    <row r="7474" spans="8:8">
      <c r="H7474" s="680" t="s">
        <v>6153</v>
      </c>
    </row>
    <row r="7475" spans="8:8">
      <c r="H7475" s="680" t="s">
        <v>6153</v>
      </c>
    </row>
    <row r="7476" spans="8:8">
      <c r="H7476" s="680" t="s">
        <v>6153</v>
      </c>
    </row>
    <row r="7477" spans="8:8">
      <c r="H7477" s="680" t="s">
        <v>6153</v>
      </c>
    </row>
    <row r="7478" spans="8:8">
      <c r="H7478" s="680" t="s">
        <v>6153</v>
      </c>
    </row>
    <row r="7479" spans="8:8">
      <c r="H7479" s="680" t="s">
        <v>6153</v>
      </c>
    </row>
    <row r="7480" spans="8:8">
      <c r="H7480" s="680" t="s">
        <v>6153</v>
      </c>
    </row>
    <row r="7481" spans="8:8">
      <c r="H7481" s="680" t="s">
        <v>6153</v>
      </c>
    </row>
    <row r="7482" spans="8:8">
      <c r="H7482" s="680" t="s">
        <v>6153</v>
      </c>
    </row>
    <row r="7483" spans="8:8">
      <c r="H7483" s="680" t="s">
        <v>6153</v>
      </c>
    </row>
    <row r="7484" spans="8:8">
      <c r="H7484" s="680" t="s">
        <v>6153</v>
      </c>
    </row>
    <row r="7485" spans="8:8">
      <c r="H7485" s="680" t="s">
        <v>6153</v>
      </c>
    </row>
    <row r="7486" spans="8:8">
      <c r="H7486" s="680" t="s">
        <v>6153</v>
      </c>
    </row>
    <row r="7487" spans="8:8">
      <c r="H7487" s="680" t="s">
        <v>6153</v>
      </c>
    </row>
    <row r="7488" spans="8:8">
      <c r="H7488" s="680" t="s">
        <v>6153</v>
      </c>
    </row>
    <row r="7489" spans="8:8">
      <c r="H7489" s="680" t="s">
        <v>6153</v>
      </c>
    </row>
    <row r="7490" spans="8:8">
      <c r="H7490" s="680" t="s">
        <v>6153</v>
      </c>
    </row>
    <row r="7491" spans="8:8">
      <c r="H7491" s="680" t="s">
        <v>6153</v>
      </c>
    </row>
    <row r="7492" spans="8:8">
      <c r="H7492" s="680" t="s">
        <v>6153</v>
      </c>
    </row>
    <row r="7493" spans="8:8">
      <c r="H7493" s="680" t="s">
        <v>6153</v>
      </c>
    </row>
    <row r="7494" spans="8:8">
      <c r="H7494" s="680" t="s">
        <v>6153</v>
      </c>
    </row>
    <row r="7495" spans="8:8">
      <c r="H7495" s="680" t="s">
        <v>6153</v>
      </c>
    </row>
    <row r="7496" spans="8:8">
      <c r="H7496" s="680" t="s">
        <v>6153</v>
      </c>
    </row>
    <row r="7497" spans="8:8">
      <c r="H7497" s="680" t="s">
        <v>6153</v>
      </c>
    </row>
    <row r="7498" spans="8:8">
      <c r="H7498" s="680" t="s">
        <v>6153</v>
      </c>
    </row>
    <row r="7499" spans="8:8">
      <c r="H7499" s="680" t="s">
        <v>6153</v>
      </c>
    </row>
    <row r="7500" spans="8:8">
      <c r="H7500" s="680" t="s">
        <v>6153</v>
      </c>
    </row>
    <row r="7501" spans="8:8">
      <c r="H7501" s="680" t="s">
        <v>6153</v>
      </c>
    </row>
    <row r="7502" spans="8:8">
      <c r="H7502" s="680" t="s">
        <v>6153</v>
      </c>
    </row>
    <row r="7503" spans="8:8">
      <c r="H7503" s="680" t="s">
        <v>6153</v>
      </c>
    </row>
    <row r="7504" spans="8:8">
      <c r="H7504" s="680" t="s">
        <v>6153</v>
      </c>
    </row>
    <row r="7505" spans="8:8">
      <c r="H7505" s="680" t="s">
        <v>6153</v>
      </c>
    </row>
    <row r="7506" spans="8:8">
      <c r="H7506" s="680" t="s">
        <v>6153</v>
      </c>
    </row>
    <row r="7507" spans="8:8">
      <c r="H7507" s="680" t="s">
        <v>6153</v>
      </c>
    </row>
    <row r="7508" spans="8:8">
      <c r="H7508" s="680" t="s">
        <v>6153</v>
      </c>
    </row>
    <row r="7509" spans="8:8">
      <c r="H7509" s="680" t="s">
        <v>6153</v>
      </c>
    </row>
    <row r="7510" spans="8:8">
      <c r="H7510" s="680" t="s">
        <v>6153</v>
      </c>
    </row>
    <row r="7511" spans="8:8">
      <c r="H7511" s="680" t="s">
        <v>6153</v>
      </c>
    </row>
    <row r="7512" spans="8:8">
      <c r="H7512" s="680" t="s">
        <v>6153</v>
      </c>
    </row>
    <row r="7513" spans="8:8">
      <c r="H7513" s="680" t="s">
        <v>6153</v>
      </c>
    </row>
    <row r="7514" spans="8:8">
      <c r="H7514" s="680" t="s">
        <v>6153</v>
      </c>
    </row>
    <row r="7515" spans="8:8">
      <c r="H7515" s="680" t="s">
        <v>6153</v>
      </c>
    </row>
    <row r="7516" spans="8:8">
      <c r="H7516" s="680" t="s">
        <v>6153</v>
      </c>
    </row>
    <row r="7517" spans="8:8">
      <c r="H7517" s="680" t="s">
        <v>6153</v>
      </c>
    </row>
    <row r="7518" spans="8:8">
      <c r="H7518" s="680" t="s">
        <v>6153</v>
      </c>
    </row>
    <row r="7519" spans="8:8">
      <c r="H7519" s="680" t="s">
        <v>6153</v>
      </c>
    </row>
    <row r="7520" spans="8:8">
      <c r="H7520" s="680" t="s">
        <v>6153</v>
      </c>
    </row>
    <row r="7521" spans="8:8">
      <c r="H7521" s="680" t="s">
        <v>6153</v>
      </c>
    </row>
    <row r="7522" spans="8:8">
      <c r="H7522" s="680" t="s">
        <v>6153</v>
      </c>
    </row>
    <row r="7523" spans="8:8">
      <c r="H7523" s="680" t="s">
        <v>6153</v>
      </c>
    </row>
    <row r="7524" spans="8:8">
      <c r="H7524" s="680" t="s">
        <v>6153</v>
      </c>
    </row>
    <row r="7525" spans="8:8">
      <c r="H7525" s="680" t="s">
        <v>6153</v>
      </c>
    </row>
    <row r="7526" spans="8:8">
      <c r="H7526" s="680" t="s">
        <v>6153</v>
      </c>
    </row>
    <row r="7527" spans="8:8">
      <c r="H7527" s="680" t="s">
        <v>6153</v>
      </c>
    </row>
    <row r="7528" spans="8:8">
      <c r="H7528" s="680" t="s">
        <v>6153</v>
      </c>
    </row>
    <row r="7529" spans="8:8">
      <c r="H7529" s="680" t="s">
        <v>6153</v>
      </c>
    </row>
    <row r="7530" spans="8:8">
      <c r="H7530" s="680" t="s">
        <v>6153</v>
      </c>
    </row>
    <row r="7531" spans="8:8">
      <c r="H7531" s="680" t="s">
        <v>6153</v>
      </c>
    </row>
    <row r="7532" spans="8:8">
      <c r="H7532" s="680" t="s">
        <v>6153</v>
      </c>
    </row>
    <row r="7533" spans="8:8">
      <c r="H7533" s="680" t="s">
        <v>6153</v>
      </c>
    </row>
    <row r="7534" spans="8:8">
      <c r="H7534" s="680" t="s">
        <v>6153</v>
      </c>
    </row>
    <row r="7535" spans="8:8">
      <c r="H7535" s="680" t="s">
        <v>6153</v>
      </c>
    </row>
    <row r="7536" spans="8:8">
      <c r="H7536" s="680" t="s">
        <v>6153</v>
      </c>
    </row>
    <row r="7537" spans="8:8">
      <c r="H7537" s="680" t="s">
        <v>6153</v>
      </c>
    </row>
    <row r="7538" spans="8:8">
      <c r="H7538" s="680" t="s">
        <v>6153</v>
      </c>
    </row>
    <row r="7539" spans="8:8">
      <c r="H7539" s="680" t="s">
        <v>6153</v>
      </c>
    </row>
    <row r="7540" spans="8:8">
      <c r="H7540" s="680" t="s">
        <v>6153</v>
      </c>
    </row>
    <row r="7541" spans="8:8">
      <c r="H7541" s="680" t="s">
        <v>6153</v>
      </c>
    </row>
    <row r="7542" spans="8:8">
      <c r="H7542" s="680" t="s">
        <v>6153</v>
      </c>
    </row>
    <row r="7543" spans="8:8">
      <c r="H7543" s="680" t="s">
        <v>6153</v>
      </c>
    </row>
    <row r="7544" spans="8:8">
      <c r="H7544" s="680" t="s">
        <v>6153</v>
      </c>
    </row>
    <row r="7545" spans="8:8">
      <c r="H7545" s="680" t="s">
        <v>6153</v>
      </c>
    </row>
    <row r="7546" spans="8:8">
      <c r="H7546" s="680" t="s">
        <v>6153</v>
      </c>
    </row>
    <row r="7547" spans="8:8">
      <c r="H7547" s="680" t="s">
        <v>6153</v>
      </c>
    </row>
    <row r="7548" spans="8:8">
      <c r="H7548" s="680" t="s">
        <v>6153</v>
      </c>
    </row>
    <row r="7549" spans="8:8">
      <c r="H7549" s="680" t="s">
        <v>6153</v>
      </c>
    </row>
    <row r="7550" spans="8:8">
      <c r="H7550" s="680" t="s">
        <v>6153</v>
      </c>
    </row>
    <row r="7551" spans="8:8">
      <c r="H7551" s="680" t="s">
        <v>6153</v>
      </c>
    </row>
    <row r="7552" spans="8:8">
      <c r="H7552" s="680" t="s">
        <v>6153</v>
      </c>
    </row>
    <row r="7553" spans="8:8">
      <c r="H7553" s="680" t="s">
        <v>6153</v>
      </c>
    </row>
    <row r="7554" spans="8:8">
      <c r="H7554" s="680" t="s">
        <v>6153</v>
      </c>
    </row>
    <row r="7555" spans="8:8">
      <c r="H7555" s="680" t="s">
        <v>6153</v>
      </c>
    </row>
    <row r="7556" spans="8:8">
      <c r="H7556" s="680" t="s">
        <v>6153</v>
      </c>
    </row>
    <row r="7557" spans="8:8">
      <c r="H7557" s="680" t="s">
        <v>6153</v>
      </c>
    </row>
    <row r="7558" spans="8:8">
      <c r="H7558" s="680" t="s">
        <v>6153</v>
      </c>
    </row>
    <row r="7559" spans="8:8">
      <c r="H7559" s="680" t="s">
        <v>6153</v>
      </c>
    </row>
    <row r="7560" spans="8:8">
      <c r="H7560" s="680" t="s">
        <v>6153</v>
      </c>
    </row>
    <row r="7561" spans="8:8">
      <c r="H7561" s="680" t="s">
        <v>6153</v>
      </c>
    </row>
    <row r="7562" spans="8:8">
      <c r="H7562" s="680" t="s">
        <v>6153</v>
      </c>
    </row>
    <row r="7563" spans="8:8">
      <c r="H7563" s="680" t="s">
        <v>6153</v>
      </c>
    </row>
    <row r="7564" spans="8:8">
      <c r="H7564" s="680" t="s">
        <v>6153</v>
      </c>
    </row>
    <row r="7565" spans="8:8">
      <c r="H7565" s="680" t="s">
        <v>6153</v>
      </c>
    </row>
    <row r="7566" spans="8:8">
      <c r="H7566" s="680" t="s">
        <v>6153</v>
      </c>
    </row>
    <row r="7567" spans="8:8">
      <c r="H7567" s="680" t="s">
        <v>6153</v>
      </c>
    </row>
    <row r="7568" spans="8:8">
      <c r="H7568" s="680" t="s">
        <v>6153</v>
      </c>
    </row>
    <row r="7569" spans="8:8">
      <c r="H7569" s="680" t="s">
        <v>6153</v>
      </c>
    </row>
    <row r="7570" spans="8:8">
      <c r="H7570" s="680" t="s">
        <v>6153</v>
      </c>
    </row>
    <row r="7571" spans="8:8">
      <c r="H7571" s="680" t="s">
        <v>6153</v>
      </c>
    </row>
    <row r="7572" spans="8:8">
      <c r="H7572" s="680" t="s">
        <v>6153</v>
      </c>
    </row>
    <row r="7573" spans="8:8">
      <c r="H7573" s="680" t="s">
        <v>6153</v>
      </c>
    </row>
    <row r="7574" spans="8:8">
      <c r="H7574" s="680" t="s">
        <v>6153</v>
      </c>
    </row>
    <row r="7575" spans="8:8">
      <c r="H7575" s="680" t="s">
        <v>6153</v>
      </c>
    </row>
    <row r="7576" spans="8:8">
      <c r="H7576" s="680" t="s">
        <v>6153</v>
      </c>
    </row>
    <row r="7577" spans="8:8">
      <c r="H7577" s="680" t="s">
        <v>6153</v>
      </c>
    </row>
    <row r="7578" spans="8:8">
      <c r="H7578" s="680" t="s">
        <v>6153</v>
      </c>
    </row>
    <row r="7579" spans="8:8">
      <c r="H7579" s="680" t="s">
        <v>6153</v>
      </c>
    </row>
    <row r="7580" spans="8:8">
      <c r="H7580" s="680" t="s">
        <v>6153</v>
      </c>
    </row>
    <row r="7581" spans="8:8">
      <c r="H7581" s="680" t="s">
        <v>6153</v>
      </c>
    </row>
    <row r="7582" spans="8:8">
      <c r="H7582" s="680" t="s">
        <v>6153</v>
      </c>
    </row>
    <row r="7583" spans="8:8">
      <c r="H7583" s="680" t="s">
        <v>6153</v>
      </c>
    </row>
    <row r="7584" spans="8:8">
      <c r="H7584" s="680" t="s">
        <v>6153</v>
      </c>
    </row>
    <row r="7585" spans="8:8">
      <c r="H7585" s="680" t="s">
        <v>6153</v>
      </c>
    </row>
    <row r="7586" spans="8:8">
      <c r="H7586" s="680" t="s">
        <v>6153</v>
      </c>
    </row>
    <row r="7587" spans="8:8">
      <c r="H7587" s="680" t="s">
        <v>6153</v>
      </c>
    </row>
    <row r="7588" spans="8:8">
      <c r="H7588" s="680" t="s">
        <v>6153</v>
      </c>
    </row>
    <row r="7589" spans="8:8">
      <c r="H7589" s="680" t="s">
        <v>6153</v>
      </c>
    </row>
    <row r="7590" spans="8:8">
      <c r="H7590" s="680" t="s">
        <v>6153</v>
      </c>
    </row>
    <row r="7591" spans="8:8">
      <c r="H7591" s="680" t="s">
        <v>6153</v>
      </c>
    </row>
    <row r="7592" spans="8:8">
      <c r="H7592" s="680" t="s">
        <v>6153</v>
      </c>
    </row>
    <row r="7593" spans="8:8">
      <c r="H7593" s="680" t="s">
        <v>6153</v>
      </c>
    </row>
    <row r="7594" spans="8:8">
      <c r="H7594" s="680" t="s">
        <v>6153</v>
      </c>
    </row>
    <row r="7595" spans="8:8">
      <c r="H7595" s="680" t="s">
        <v>6153</v>
      </c>
    </row>
    <row r="7596" spans="8:8">
      <c r="H7596" s="680" t="s">
        <v>6153</v>
      </c>
    </row>
    <row r="7597" spans="8:8">
      <c r="H7597" s="680" t="s">
        <v>6153</v>
      </c>
    </row>
    <row r="7598" spans="8:8">
      <c r="H7598" s="680" t="s">
        <v>6153</v>
      </c>
    </row>
    <row r="7599" spans="8:8">
      <c r="H7599" s="680" t="s">
        <v>6153</v>
      </c>
    </row>
    <row r="7600" spans="8:8">
      <c r="H7600" s="680" t="s">
        <v>6153</v>
      </c>
    </row>
    <row r="7601" spans="8:8">
      <c r="H7601" s="680" t="s">
        <v>6153</v>
      </c>
    </row>
    <row r="7602" spans="8:8">
      <c r="H7602" s="680" t="s">
        <v>6153</v>
      </c>
    </row>
    <row r="7603" spans="8:8">
      <c r="H7603" s="680" t="s">
        <v>6153</v>
      </c>
    </row>
    <row r="7604" spans="8:8">
      <c r="H7604" s="680" t="s">
        <v>6153</v>
      </c>
    </row>
    <row r="7605" spans="8:8">
      <c r="H7605" s="680" t="s">
        <v>6153</v>
      </c>
    </row>
    <row r="7606" spans="8:8">
      <c r="H7606" s="680" t="s">
        <v>6153</v>
      </c>
    </row>
    <row r="7607" spans="8:8">
      <c r="H7607" s="680" t="s">
        <v>6153</v>
      </c>
    </row>
    <row r="7608" spans="8:8">
      <c r="H7608" s="680" t="s">
        <v>6153</v>
      </c>
    </row>
    <row r="7609" spans="8:8">
      <c r="H7609" s="680" t="s">
        <v>6153</v>
      </c>
    </row>
    <row r="7610" spans="8:8">
      <c r="H7610" s="680" t="s">
        <v>6153</v>
      </c>
    </row>
    <row r="7611" spans="8:8">
      <c r="H7611" s="680" t="s">
        <v>6153</v>
      </c>
    </row>
    <row r="7612" spans="8:8">
      <c r="H7612" s="680" t="s">
        <v>6153</v>
      </c>
    </row>
    <row r="7613" spans="8:8">
      <c r="H7613" s="680" t="s">
        <v>6153</v>
      </c>
    </row>
    <row r="7614" spans="8:8">
      <c r="H7614" s="680" t="s">
        <v>6153</v>
      </c>
    </row>
    <row r="7615" spans="8:8">
      <c r="H7615" s="680" t="s">
        <v>6153</v>
      </c>
    </row>
    <row r="7616" spans="8:8">
      <c r="H7616" s="680" t="s">
        <v>6153</v>
      </c>
    </row>
    <row r="7617" spans="8:8">
      <c r="H7617" s="680" t="s">
        <v>6153</v>
      </c>
    </row>
    <row r="7618" spans="8:8">
      <c r="H7618" s="680" t="s">
        <v>6153</v>
      </c>
    </row>
    <row r="7619" spans="8:8">
      <c r="H7619" s="680" t="s">
        <v>6153</v>
      </c>
    </row>
    <row r="7620" spans="8:8">
      <c r="H7620" s="680" t="s">
        <v>6153</v>
      </c>
    </row>
    <row r="7621" spans="8:8">
      <c r="H7621" s="680" t="s">
        <v>6153</v>
      </c>
    </row>
    <row r="7622" spans="8:8">
      <c r="H7622" s="680" t="s">
        <v>6153</v>
      </c>
    </row>
    <row r="7623" spans="8:8">
      <c r="H7623" s="680" t="s">
        <v>6153</v>
      </c>
    </row>
    <row r="7624" spans="8:8">
      <c r="H7624" s="680" t="s">
        <v>6153</v>
      </c>
    </row>
    <row r="7625" spans="8:8">
      <c r="H7625" s="680" t="s">
        <v>6153</v>
      </c>
    </row>
    <row r="7626" spans="8:8">
      <c r="H7626" s="680" t="s">
        <v>6153</v>
      </c>
    </row>
    <row r="7627" spans="8:8">
      <c r="H7627" s="680" t="s">
        <v>6153</v>
      </c>
    </row>
    <row r="7628" spans="8:8">
      <c r="H7628" s="680" t="s">
        <v>6153</v>
      </c>
    </row>
    <row r="7629" spans="8:8">
      <c r="H7629" s="680" t="s">
        <v>6153</v>
      </c>
    </row>
    <row r="7630" spans="8:8">
      <c r="H7630" s="680" t="s">
        <v>6153</v>
      </c>
    </row>
    <row r="7631" spans="8:8">
      <c r="H7631" s="680" t="s">
        <v>6153</v>
      </c>
    </row>
    <row r="7632" spans="8:8">
      <c r="H7632" s="680" t="s">
        <v>6153</v>
      </c>
    </row>
    <row r="7633" spans="8:8">
      <c r="H7633" s="680" t="s">
        <v>6153</v>
      </c>
    </row>
    <row r="7634" spans="8:8">
      <c r="H7634" s="680" t="s">
        <v>6153</v>
      </c>
    </row>
    <row r="7635" spans="8:8">
      <c r="H7635" s="680" t="s">
        <v>6153</v>
      </c>
    </row>
    <row r="7636" spans="8:8">
      <c r="H7636" s="680" t="s">
        <v>6153</v>
      </c>
    </row>
    <row r="7637" spans="8:8">
      <c r="H7637" s="680" t="s">
        <v>6153</v>
      </c>
    </row>
    <row r="7638" spans="8:8">
      <c r="H7638" s="680" t="s">
        <v>6153</v>
      </c>
    </row>
    <row r="7639" spans="8:8">
      <c r="H7639" s="680" t="s">
        <v>6153</v>
      </c>
    </row>
    <row r="7640" spans="8:8">
      <c r="H7640" s="680" t="s">
        <v>6153</v>
      </c>
    </row>
    <row r="7641" spans="8:8">
      <c r="H7641" s="680" t="s">
        <v>6153</v>
      </c>
    </row>
    <row r="7642" spans="8:8">
      <c r="H7642" s="680" t="s">
        <v>6153</v>
      </c>
    </row>
    <row r="7643" spans="8:8">
      <c r="H7643" s="680" t="s">
        <v>6153</v>
      </c>
    </row>
    <row r="7644" spans="8:8">
      <c r="H7644" s="680" t="s">
        <v>6153</v>
      </c>
    </row>
    <row r="7645" spans="8:8">
      <c r="H7645" s="680" t="s">
        <v>6153</v>
      </c>
    </row>
    <row r="7646" spans="8:8">
      <c r="H7646" s="680" t="s">
        <v>6153</v>
      </c>
    </row>
    <row r="7647" spans="8:8">
      <c r="H7647" s="680" t="s">
        <v>6153</v>
      </c>
    </row>
    <row r="7648" spans="8:8">
      <c r="H7648" s="680" t="s">
        <v>6153</v>
      </c>
    </row>
    <row r="7649" spans="8:8">
      <c r="H7649" s="680" t="s">
        <v>6153</v>
      </c>
    </row>
    <row r="7650" spans="8:8">
      <c r="H7650" s="680" t="s">
        <v>6153</v>
      </c>
    </row>
    <row r="7651" spans="8:8">
      <c r="H7651" s="680" t="s">
        <v>6153</v>
      </c>
    </row>
    <row r="7652" spans="8:8">
      <c r="H7652" s="680" t="s">
        <v>6153</v>
      </c>
    </row>
    <row r="7653" spans="8:8">
      <c r="H7653" s="680" t="s">
        <v>6153</v>
      </c>
    </row>
    <row r="7654" spans="8:8">
      <c r="H7654" s="680" t="s">
        <v>6153</v>
      </c>
    </row>
    <row r="7655" spans="8:8">
      <c r="H7655" s="680" t="s">
        <v>6153</v>
      </c>
    </row>
    <row r="7656" spans="8:8">
      <c r="H7656" s="680" t="s">
        <v>6153</v>
      </c>
    </row>
    <row r="7657" spans="8:8">
      <c r="H7657" s="680" t="s">
        <v>6153</v>
      </c>
    </row>
    <row r="7658" spans="8:8">
      <c r="H7658" s="680" t="s">
        <v>6153</v>
      </c>
    </row>
    <row r="7659" spans="8:8">
      <c r="H7659" s="680" t="s">
        <v>6153</v>
      </c>
    </row>
    <row r="7660" spans="8:8">
      <c r="H7660" s="680" t="s">
        <v>6153</v>
      </c>
    </row>
    <row r="7661" spans="8:8">
      <c r="H7661" s="680" t="s">
        <v>6153</v>
      </c>
    </row>
    <row r="7662" spans="8:8">
      <c r="H7662" s="680" t="s">
        <v>6153</v>
      </c>
    </row>
    <row r="7663" spans="8:8">
      <c r="H7663" s="680" t="s">
        <v>6153</v>
      </c>
    </row>
    <row r="7664" spans="8:8">
      <c r="H7664" s="680" t="s">
        <v>6153</v>
      </c>
    </row>
    <row r="7665" spans="8:8">
      <c r="H7665" s="680" t="s">
        <v>6153</v>
      </c>
    </row>
    <row r="7666" spans="8:8">
      <c r="H7666" s="680" t="s">
        <v>6153</v>
      </c>
    </row>
    <row r="7667" spans="8:8">
      <c r="H7667" s="680" t="s">
        <v>6153</v>
      </c>
    </row>
    <row r="7668" spans="8:8">
      <c r="H7668" s="680" t="s">
        <v>6153</v>
      </c>
    </row>
    <row r="7669" spans="8:8">
      <c r="H7669" s="680" t="s">
        <v>6153</v>
      </c>
    </row>
    <row r="7670" spans="8:8">
      <c r="H7670" s="680" t="s">
        <v>6153</v>
      </c>
    </row>
    <row r="7671" spans="8:8">
      <c r="H7671" s="680" t="s">
        <v>6153</v>
      </c>
    </row>
    <row r="7672" spans="8:8">
      <c r="H7672" s="680" t="s">
        <v>6153</v>
      </c>
    </row>
    <row r="7673" spans="8:8">
      <c r="H7673" s="680" t="s">
        <v>6153</v>
      </c>
    </row>
    <row r="7674" spans="8:8">
      <c r="H7674" s="680" t="s">
        <v>6153</v>
      </c>
    </row>
    <row r="7675" spans="8:8">
      <c r="H7675" s="680" t="s">
        <v>6153</v>
      </c>
    </row>
    <row r="7676" spans="8:8">
      <c r="H7676" s="680" t="s">
        <v>6153</v>
      </c>
    </row>
    <row r="7677" spans="8:8">
      <c r="H7677" s="680" t="s">
        <v>6153</v>
      </c>
    </row>
    <row r="7678" spans="8:8">
      <c r="H7678" s="680" t="s">
        <v>6153</v>
      </c>
    </row>
    <row r="7679" spans="8:8">
      <c r="H7679" s="680" t="s">
        <v>6153</v>
      </c>
    </row>
    <row r="7680" spans="8:8">
      <c r="H7680" s="680" t="s">
        <v>6153</v>
      </c>
    </row>
    <row r="7681" spans="8:8">
      <c r="H7681" s="680" t="s">
        <v>6153</v>
      </c>
    </row>
    <row r="7682" spans="8:8">
      <c r="H7682" s="680" t="s">
        <v>6153</v>
      </c>
    </row>
    <row r="7683" spans="8:8">
      <c r="H7683" s="680" t="s">
        <v>6153</v>
      </c>
    </row>
    <row r="7684" spans="8:8">
      <c r="H7684" s="680" t="s">
        <v>6153</v>
      </c>
    </row>
    <row r="7685" spans="8:8">
      <c r="H7685" s="680" t="s">
        <v>6153</v>
      </c>
    </row>
    <row r="7686" spans="8:8">
      <c r="H7686" s="680" t="s">
        <v>6153</v>
      </c>
    </row>
    <row r="7687" spans="8:8">
      <c r="H7687" s="680" t="s">
        <v>6153</v>
      </c>
    </row>
    <row r="7688" spans="8:8">
      <c r="H7688" s="680" t="s">
        <v>6153</v>
      </c>
    </row>
    <row r="7689" spans="8:8">
      <c r="H7689" s="680" t="s">
        <v>6153</v>
      </c>
    </row>
    <row r="7690" spans="8:8">
      <c r="H7690" s="680" t="s">
        <v>6153</v>
      </c>
    </row>
    <row r="7691" spans="8:8">
      <c r="H7691" s="680" t="s">
        <v>6153</v>
      </c>
    </row>
    <row r="7692" spans="8:8">
      <c r="H7692" s="680" t="s">
        <v>6153</v>
      </c>
    </row>
    <row r="7693" spans="8:8">
      <c r="H7693" s="680" t="s">
        <v>6153</v>
      </c>
    </row>
    <row r="7694" spans="8:8">
      <c r="H7694" s="680" t="s">
        <v>6153</v>
      </c>
    </row>
    <row r="7695" spans="8:8">
      <c r="H7695" s="680" t="s">
        <v>6153</v>
      </c>
    </row>
    <row r="7696" spans="8:8">
      <c r="H7696" s="680" t="s">
        <v>6153</v>
      </c>
    </row>
    <row r="7697" spans="8:8">
      <c r="H7697" s="680" t="s">
        <v>6153</v>
      </c>
    </row>
    <row r="7698" spans="8:8">
      <c r="H7698" s="680" t="s">
        <v>6153</v>
      </c>
    </row>
    <row r="7699" spans="8:8">
      <c r="H7699" s="680" t="s">
        <v>6153</v>
      </c>
    </row>
    <row r="7700" spans="8:8">
      <c r="H7700" s="680" t="s">
        <v>6153</v>
      </c>
    </row>
    <row r="7701" spans="8:8">
      <c r="H7701" s="680" t="s">
        <v>6153</v>
      </c>
    </row>
    <row r="7702" spans="8:8">
      <c r="H7702" s="680" t="s">
        <v>6153</v>
      </c>
    </row>
    <row r="7703" spans="8:8">
      <c r="H7703" s="680" t="s">
        <v>6153</v>
      </c>
    </row>
    <row r="7704" spans="8:8">
      <c r="H7704" s="680" t="s">
        <v>6153</v>
      </c>
    </row>
    <row r="7705" spans="8:8">
      <c r="H7705" s="680" t="s">
        <v>6153</v>
      </c>
    </row>
    <row r="7706" spans="8:8">
      <c r="H7706" s="680" t="s">
        <v>6153</v>
      </c>
    </row>
    <row r="7707" spans="8:8">
      <c r="H7707" s="680" t="s">
        <v>6153</v>
      </c>
    </row>
    <row r="7708" spans="8:8">
      <c r="H7708" s="680" t="s">
        <v>6153</v>
      </c>
    </row>
    <row r="7709" spans="8:8">
      <c r="H7709" s="680" t="s">
        <v>6153</v>
      </c>
    </row>
    <row r="7710" spans="8:8">
      <c r="H7710" s="680" t="s">
        <v>6153</v>
      </c>
    </row>
    <row r="7711" spans="8:8">
      <c r="H7711" s="680" t="s">
        <v>6153</v>
      </c>
    </row>
    <row r="7712" spans="8:8">
      <c r="H7712" s="680" t="s">
        <v>6153</v>
      </c>
    </row>
    <row r="7713" spans="8:8">
      <c r="H7713" s="680" t="s">
        <v>6153</v>
      </c>
    </row>
    <row r="7714" spans="8:8">
      <c r="H7714" s="680" t="s">
        <v>6153</v>
      </c>
    </row>
    <row r="7715" spans="8:8">
      <c r="H7715" s="680" t="s">
        <v>6153</v>
      </c>
    </row>
    <row r="7716" spans="8:8">
      <c r="H7716" s="680" t="s">
        <v>6153</v>
      </c>
    </row>
    <row r="7717" spans="8:8">
      <c r="H7717" s="680" t="s">
        <v>6153</v>
      </c>
    </row>
    <row r="7718" spans="8:8">
      <c r="H7718" s="680" t="s">
        <v>6153</v>
      </c>
    </row>
    <row r="7719" spans="8:8">
      <c r="H7719" s="680" t="s">
        <v>6153</v>
      </c>
    </row>
    <row r="7720" spans="8:8">
      <c r="H7720" s="680" t="s">
        <v>6153</v>
      </c>
    </row>
    <row r="7721" spans="8:8">
      <c r="H7721" s="680" t="s">
        <v>6153</v>
      </c>
    </row>
    <row r="7722" spans="8:8">
      <c r="H7722" s="680" t="s">
        <v>6153</v>
      </c>
    </row>
    <row r="7723" spans="8:8">
      <c r="H7723" s="680" t="s">
        <v>6153</v>
      </c>
    </row>
    <row r="7724" spans="8:8">
      <c r="H7724" s="680" t="s">
        <v>6153</v>
      </c>
    </row>
    <row r="7725" spans="8:8">
      <c r="H7725" s="680" t="s">
        <v>6153</v>
      </c>
    </row>
    <row r="7726" spans="8:8">
      <c r="H7726" s="680" t="s">
        <v>6153</v>
      </c>
    </row>
    <row r="7727" spans="8:8">
      <c r="H7727" s="680" t="s">
        <v>6153</v>
      </c>
    </row>
    <row r="7728" spans="8:8">
      <c r="H7728" s="680" t="s">
        <v>6153</v>
      </c>
    </row>
    <row r="7729" spans="8:8">
      <c r="H7729" s="680" t="s">
        <v>6153</v>
      </c>
    </row>
    <row r="7730" spans="8:8">
      <c r="H7730" s="680" t="s">
        <v>6153</v>
      </c>
    </row>
    <row r="7731" spans="8:8">
      <c r="H7731" s="680" t="s">
        <v>6153</v>
      </c>
    </row>
    <row r="7732" spans="8:8">
      <c r="H7732" s="680" t="s">
        <v>6153</v>
      </c>
    </row>
    <row r="7733" spans="8:8">
      <c r="H7733" s="680" t="s">
        <v>6153</v>
      </c>
    </row>
    <row r="7734" spans="8:8">
      <c r="H7734" s="680" t="s">
        <v>6153</v>
      </c>
    </row>
    <row r="7735" spans="8:8">
      <c r="H7735" s="680" t="s">
        <v>6153</v>
      </c>
    </row>
    <row r="7736" spans="8:8">
      <c r="H7736" s="680" t="s">
        <v>6153</v>
      </c>
    </row>
    <row r="7737" spans="8:8">
      <c r="H7737" s="680" t="s">
        <v>6153</v>
      </c>
    </row>
    <row r="7738" spans="8:8">
      <c r="H7738" s="680" t="s">
        <v>6153</v>
      </c>
    </row>
    <row r="7739" spans="8:8">
      <c r="H7739" s="680" t="s">
        <v>6153</v>
      </c>
    </row>
    <row r="7740" spans="8:8">
      <c r="H7740" s="680" t="s">
        <v>6153</v>
      </c>
    </row>
    <row r="7741" spans="8:8">
      <c r="H7741" s="680" t="s">
        <v>6153</v>
      </c>
    </row>
    <row r="7742" spans="8:8">
      <c r="H7742" s="680" t="s">
        <v>6153</v>
      </c>
    </row>
    <row r="7743" spans="8:8">
      <c r="H7743" s="680" t="s">
        <v>6153</v>
      </c>
    </row>
    <row r="7744" spans="8:8">
      <c r="H7744" s="680" t="s">
        <v>6153</v>
      </c>
    </row>
    <row r="7745" spans="8:8">
      <c r="H7745" s="680" t="s">
        <v>6153</v>
      </c>
    </row>
    <row r="7746" spans="8:8">
      <c r="H7746" s="680" t="s">
        <v>6153</v>
      </c>
    </row>
    <row r="7747" spans="8:8">
      <c r="H7747" s="680" t="s">
        <v>6153</v>
      </c>
    </row>
    <row r="7748" spans="8:8">
      <c r="H7748" s="680" t="s">
        <v>6153</v>
      </c>
    </row>
    <row r="7749" spans="8:8">
      <c r="H7749" s="680" t="s">
        <v>6153</v>
      </c>
    </row>
    <row r="7750" spans="8:8">
      <c r="H7750" s="680" t="s">
        <v>6153</v>
      </c>
    </row>
    <row r="7751" spans="8:8">
      <c r="H7751" s="680" t="s">
        <v>6153</v>
      </c>
    </row>
    <row r="7752" spans="8:8">
      <c r="H7752" s="680" t="s">
        <v>6153</v>
      </c>
    </row>
    <row r="7753" spans="8:8">
      <c r="H7753" s="680" t="s">
        <v>6153</v>
      </c>
    </row>
    <row r="7754" spans="8:8">
      <c r="H7754" s="680" t="s">
        <v>6153</v>
      </c>
    </row>
    <row r="7755" spans="8:8">
      <c r="H7755" s="680" t="s">
        <v>6153</v>
      </c>
    </row>
    <row r="7756" spans="8:8">
      <c r="H7756" s="680" t="s">
        <v>6153</v>
      </c>
    </row>
    <row r="7757" spans="8:8">
      <c r="H7757" s="680" t="s">
        <v>6153</v>
      </c>
    </row>
    <row r="7758" spans="8:8">
      <c r="H7758" s="680" t="s">
        <v>6153</v>
      </c>
    </row>
    <row r="7759" spans="8:8">
      <c r="H7759" s="680" t="s">
        <v>6153</v>
      </c>
    </row>
    <row r="7760" spans="8:8">
      <c r="H7760" s="680" t="s">
        <v>6153</v>
      </c>
    </row>
    <row r="7761" spans="8:8">
      <c r="H7761" s="680" t="s">
        <v>6153</v>
      </c>
    </row>
    <row r="7762" spans="8:8">
      <c r="H7762" s="680" t="s">
        <v>6153</v>
      </c>
    </row>
    <row r="7763" spans="8:8">
      <c r="H7763" s="680" t="s">
        <v>6153</v>
      </c>
    </row>
    <row r="7764" spans="8:8">
      <c r="H7764" s="680" t="s">
        <v>6153</v>
      </c>
    </row>
    <row r="7765" spans="8:8">
      <c r="H7765" s="680" t="s">
        <v>6153</v>
      </c>
    </row>
    <row r="7766" spans="8:8">
      <c r="H7766" s="680" t="s">
        <v>6153</v>
      </c>
    </row>
    <row r="7767" spans="8:8">
      <c r="H7767" s="680" t="s">
        <v>6153</v>
      </c>
    </row>
    <row r="7768" spans="8:8">
      <c r="H7768" s="680" t="s">
        <v>6153</v>
      </c>
    </row>
    <row r="7769" spans="8:8">
      <c r="H7769" s="680" t="s">
        <v>6153</v>
      </c>
    </row>
    <row r="7770" spans="8:8">
      <c r="H7770" s="680" t="s">
        <v>6153</v>
      </c>
    </row>
    <row r="7771" spans="8:8">
      <c r="H7771" s="680" t="s">
        <v>6153</v>
      </c>
    </row>
    <row r="7772" spans="8:8">
      <c r="H7772" s="680" t="s">
        <v>6153</v>
      </c>
    </row>
    <row r="7773" spans="8:8">
      <c r="H7773" s="680" t="s">
        <v>6153</v>
      </c>
    </row>
    <row r="7774" spans="8:8">
      <c r="H7774" s="680" t="s">
        <v>6153</v>
      </c>
    </row>
    <row r="7775" spans="8:8">
      <c r="H7775" s="680" t="s">
        <v>6153</v>
      </c>
    </row>
    <row r="7776" spans="8:8">
      <c r="H7776" s="680" t="s">
        <v>6153</v>
      </c>
    </row>
    <row r="7777" spans="8:8">
      <c r="H7777" s="680" t="s">
        <v>6153</v>
      </c>
    </row>
    <row r="7778" spans="8:8">
      <c r="H7778" s="680" t="s">
        <v>6153</v>
      </c>
    </row>
    <row r="7779" spans="8:8">
      <c r="H7779" s="680" t="s">
        <v>6153</v>
      </c>
    </row>
    <row r="7780" spans="8:8">
      <c r="H7780" s="680" t="s">
        <v>6153</v>
      </c>
    </row>
    <row r="7781" spans="8:8">
      <c r="H7781" s="680" t="s">
        <v>6153</v>
      </c>
    </row>
    <row r="7782" spans="8:8">
      <c r="H7782" s="680" t="s">
        <v>6153</v>
      </c>
    </row>
    <row r="7783" spans="8:8">
      <c r="H7783" s="680" t="s">
        <v>6153</v>
      </c>
    </row>
    <row r="7784" spans="8:8">
      <c r="H7784" s="680" t="s">
        <v>6153</v>
      </c>
    </row>
    <row r="7785" spans="8:8">
      <c r="H7785" s="680" t="s">
        <v>6153</v>
      </c>
    </row>
    <row r="7786" spans="8:8">
      <c r="H7786" s="680" t="s">
        <v>6153</v>
      </c>
    </row>
    <row r="7787" spans="8:8">
      <c r="H7787" s="680" t="s">
        <v>6153</v>
      </c>
    </row>
    <row r="7788" spans="8:8">
      <c r="H7788" s="680" t="s">
        <v>6153</v>
      </c>
    </row>
    <row r="7789" spans="8:8">
      <c r="H7789" s="680" t="s">
        <v>6153</v>
      </c>
    </row>
    <row r="7790" spans="8:8">
      <c r="H7790" s="680" t="s">
        <v>6153</v>
      </c>
    </row>
    <row r="7791" spans="8:8">
      <c r="H7791" s="680" t="s">
        <v>6153</v>
      </c>
    </row>
    <row r="7792" spans="8:8">
      <c r="H7792" s="680" t="s">
        <v>6153</v>
      </c>
    </row>
    <row r="7793" spans="8:8">
      <c r="H7793" s="680" t="s">
        <v>6153</v>
      </c>
    </row>
    <row r="7794" spans="8:8">
      <c r="H7794" s="680" t="s">
        <v>6153</v>
      </c>
    </row>
    <row r="7795" spans="8:8">
      <c r="H7795" s="680" t="s">
        <v>6153</v>
      </c>
    </row>
    <row r="7796" spans="8:8">
      <c r="H7796" s="680" t="s">
        <v>6153</v>
      </c>
    </row>
    <row r="7797" spans="8:8">
      <c r="H7797" s="680" t="s">
        <v>6153</v>
      </c>
    </row>
    <row r="7798" spans="8:8">
      <c r="H7798" s="680" t="s">
        <v>6153</v>
      </c>
    </row>
    <row r="7799" spans="8:8">
      <c r="H7799" s="680" t="s">
        <v>6153</v>
      </c>
    </row>
    <row r="7800" spans="8:8">
      <c r="H7800" s="680" t="s">
        <v>6153</v>
      </c>
    </row>
    <row r="7801" spans="8:8">
      <c r="H7801" s="680" t="s">
        <v>6153</v>
      </c>
    </row>
    <row r="7802" spans="8:8">
      <c r="H7802" s="680" t="s">
        <v>6153</v>
      </c>
    </row>
    <row r="7803" spans="8:8">
      <c r="H7803" s="680" t="s">
        <v>6153</v>
      </c>
    </row>
    <row r="7804" spans="8:8">
      <c r="H7804" s="680" t="s">
        <v>6153</v>
      </c>
    </row>
    <row r="7805" spans="8:8">
      <c r="H7805" s="680" t="s">
        <v>6153</v>
      </c>
    </row>
    <row r="7806" spans="8:8">
      <c r="H7806" s="680" t="s">
        <v>6153</v>
      </c>
    </row>
    <row r="7807" spans="8:8">
      <c r="H7807" s="680" t="s">
        <v>6153</v>
      </c>
    </row>
    <row r="7808" spans="8:8">
      <c r="H7808" s="680" t="s">
        <v>6153</v>
      </c>
    </row>
    <row r="7809" spans="8:8">
      <c r="H7809" s="680" t="s">
        <v>6153</v>
      </c>
    </row>
    <row r="7810" spans="8:8">
      <c r="H7810" s="680" t="s">
        <v>6153</v>
      </c>
    </row>
    <row r="7811" spans="8:8">
      <c r="H7811" s="680" t="s">
        <v>6153</v>
      </c>
    </row>
    <row r="7812" spans="8:8">
      <c r="H7812" s="680" t="s">
        <v>6153</v>
      </c>
    </row>
    <row r="7813" spans="8:8">
      <c r="H7813" s="680" t="s">
        <v>6153</v>
      </c>
    </row>
    <row r="7814" spans="8:8">
      <c r="H7814" s="680" t="s">
        <v>6153</v>
      </c>
    </row>
    <row r="7815" spans="8:8">
      <c r="H7815" s="680" t="s">
        <v>6153</v>
      </c>
    </row>
    <row r="7816" spans="8:8">
      <c r="H7816" s="680" t="s">
        <v>6153</v>
      </c>
    </row>
    <row r="7817" spans="8:8">
      <c r="H7817" s="680" t="s">
        <v>6153</v>
      </c>
    </row>
    <row r="7818" spans="8:8">
      <c r="H7818" s="680" t="s">
        <v>6153</v>
      </c>
    </row>
    <row r="7819" spans="8:8">
      <c r="H7819" s="680" t="s">
        <v>6153</v>
      </c>
    </row>
    <row r="7820" spans="8:8">
      <c r="H7820" s="680" t="s">
        <v>6153</v>
      </c>
    </row>
    <row r="7821" spans="8:8">
      <c r="H7821" s="680" t="s">
        <v>6153</v>
      </c>
    </row>
    <row r="7822" spans="8:8">
      <c r="H7822" s="680" t="s">
        <v>6153</v>
      </c>
    </row>
    <row r="7823" spans="8:8">
      <c r="H7823" s="680" t="s">
        <v>6153</v>
      </c>
    </row>
    <row r="7824" spans="8:8">
      <c r="H7824" s="680" t="s">
        <v>6153</v>
      </c>
    </row>
    <row r="7825" spans="8:8">
      <c r="H7825" s="680" t="s">
        <v>6153</v>
      </c>
    </row>
    <row r="7826" spans="8:8">
      <c r="H7826" s="680" t="s">
        <v>6153</v>
      </c>
    </row>
    <row r="7827" spans="8:8">
      <c r="H7827" s="680" t="s">
        <v>6153</v>
      </c>
    </row>
    <row r="7828" spans="8:8">
      <c r="H7828" s="680" t="s">
        <v>6153</v>
      </c>
    </row>
    <row r="7829" spans="8:8">
      <c r="H7829" s="680" t="s">
        <v>6153</v>
      </c>
    </row>
    <row r="7830" spans="8:8">
      <c r="H7830" s="680" t="s">
        <v>6153</v>
      </c>
    </row>
    <row r="7831" spans="8:8">
      <c r="H7831" s="680" t="s">
        <v>6153</v>
      </c>
    </row>
    <row r="7832" spans="8:8">
      <c r="H7832" s="680" t="s">
        <v>6153</v>
      </c>
    </row>
    <row r="7833" spans="8:8">
      <c r="H7833" s="680" t="s">
        <v>6153</v>
      </c>
    </row>
    <row r="7834" spans="8:8">
      <c r="H7834" s="680" t="s">
        <v>6153</v>
      </c>
    </row>
    <row r="7835" spans="8:8">
      <c r="H7835" s="680" t="s">
        <v>6153</v>
      </c>
    </row>
    <row r="7836" spans="8:8">
      <c r="H7836" s="680" t="s">
        <v>6153</v>
      </c>
    </row>
    <row r="7837" spans="8:8">
      <c r="H7837" s="680" t="s">
        <v>6153</v>
      </c>
    </row>
    <row r="7838" spans="8:8">
      <c r="H7838" s="680" t="s">
        <v>6153</v>
      </c>
    </row>
    <row r="7839" spans="8:8">
      <c r="H7839" s="680" t="s">
        <v>6153</v>
      </c>
    </row>
    <row r="7840" spans="8:8">
      <c r="H7840" s="680" t="s">
        <v>6153</v>
      </c>
    </row>
    <row r="7841" spans="8:8">
      <c r="H7841" s="680" t="s">
        <v>6153</v>
      </c>
    </row>
    <row r="7842" spans="8:8">
      <c r="H7842" s="680" t="s">
        <v>6153</v>
      </c>
    </row>
    <row r="7843" spans="8:8">
      <c r="H7843" s="680" t="s">
        <v>6153</v>
      </c>
    </row>
    <row r="7844" spans="8:8">
      <c r="H7844" s="680" t="s">
        <v>6153</v>
      </c>
    </row>
    <row r="7845" spans="8:8">
      <c r="H7845" s="680" t="s">
        <v>6153</v>
      </c>
    </row>
    <row r="7846" spans="8:8">
      <c r="H7846" s="680" t="s">
        <v>6153</v>
      </c>
    </row>
    <row r="7847" spans="8:8">
      <c r="H7847" s="680" t="s">
        <v>6153</v>
      </c>
    </row>
    <row r="7848" spans="8:8">
      <c r="H7848" s="680" t="s">
        <v>6153</v>
      </c>
    </row>
    <row r="7849" spans="8:8">
      <c r="H7849" s="680" t="s">
        <v>6153</v>
      </c>
    </row>
    <row r="7850" spans="8:8">
      <c r="H7850" s="680" t="s">
        <v>6153</v>
      </c>
    </row>
    <row r="7851" spans="8:8">
      <c r="H7851" s="680" t="s">
        <v>6153</v>
      </c>
    </row>
    <row r="7852" spans="8:8">
      <c r="H7852" s="680" t="s">
        <v>6153</v>
      </c>
    </row>
    <row r="7853" spans="8:8">
      <c r="H7853" s="680" t="s">
        <v>6153</v>
      </c>
    </row>
    <row r="7854" spans="8:8">
      <c r="H7854" s="680" t="s">
        <v>6153</v>
      </c>
    </row>
    <row r="7855" spans="8:8">
      <c r="H7855" s="680" t="s">
        <v>6153</v>
      </c>
    </row>
    <row r="7856" spans="8:8">
      <c r="H7856" s="680" t="s">
        <v>6153</v>
      </c>
    </row>
    <row r="7857" spans="8:8">
      <c r="H7857" s="680" t="s">
        <v>6153</v>
      </c>
    </row>
    <row r="7858" spans="8:8">
      <c r="H7858" s="680" t="s">
        <v>6153</v>
      </c>
    </row>
    <row r="7859" spans="8:8">
      <c r="H7859" s="680" t="s">
        <v>6153</v>
      </c>
    </row>
    <row r="7860" spans="8:8">
      <c r="H7860" s="680" t="s">
        <v>6153</v>
      </c>
    </row>
    <row r="7861" spans="8:8">
      <c r="H7861" s="680" t="s">
        <v>6153</v>
      </c>
    </row>
    <row r="7862" spans="8:8">
      <c r="H7862" s="680" t="s">
        <v>6153</v>
      </c>
    </row>
    <row r="7863" spans="8:8">
      <c r="H7863" s="680" t="s">
        <v>6153</v>
      </c>
    </row>
    <row r="7864" spans="8:8">
      <c r="H7864" s="680" t="s">
        <v>6153</v>
      </c>
    </row>
    <row r="7865" spans="8:8">
      <c r="H7865" s="680" t="s">
        <v>6153</v>
      </c>
    </row>
    <row r="7866" spans="8:8">
      <c r="H7866" s="680" t="s">
        <v>6153</v>
      </c>
    </row>
    <row r="7867" spans="8:8">
      <c r="H7867" s="680" t="s">
        <v>6153</v>
      </c>
    </row>
    <row r="7868" spans="8:8">
      <c r="H7868" s="680" t="s">
        <v>6153</v>
      </c>
    </row>
    <row r="7869" spans="8:8">
      <c r="H7869" s="680" t="s">
        <v>6153</v>
      </c>
    </row>
    <row r="7870" spans="8:8">
      <c r="H7870" s="680" t="s">
        <v>6153</v>
      </c>
    </row>
    <row r="7871" spans="8:8">
      <c r="H7871" s="680" t="s">
        <v>6153</v>
      </c>
    </row>
    <row r="7872" spans="8:8">
      <c r="H7872" s="680" t="s">
        <v>6153</v>
      </c>
    </row>
    <row r="7873" spans="8:8">
      <c r="H7873" s="680" t="s">
        <v>6153</v>
      </c>
    </row>
    <row r="7874" spans="8:8">
      <c r="H7874" s="680" t="s">
        <v>6153</v>
      </c>
    </row>
    <row r="7875" spans="8:8">
      <c r="H7875" s="680" t="s">
        <v>6153</v>
      </c>
    </row>
    <row r="7876" spans="8:8">
      <c r="H7876" s="680" t="s">
        <v>6153</v>
      </c>
    </row>
    <row r="7877" spans="8:8">
      <c r="H7877" s="680" t="s">
        <v>6153</v>
      </c>
    </row>
    <row r="7878" spans="8:8">
      <c r="H7878" s="680" t="s">
        <v>6153</v>
      </c>
    </row>
    <row r="7879" spans="8:8">
      <c r="H7879" s="680" t="s">
        <v>6153</v>
      </c>
    </row>
    <row r="7880" spans="8:8">
      <c r="H7880" s="680" t="s">
        <v>6153</v>
      </c>
    </row>
    <row r="7881" spans="8:8">
      <c r="H7881" s="680" t="s">
        <v>6153</v>
      </c>
    </row>
    <row r="7882" spans="8:8">
      <c r="H7882" s="680" t="s">
        <v>6153</v>
      </c>
    </row>
    <row r="7883" spans="8:8">
      <c r="H7883" s="680" t="s">
        <v>6153</v>
      </c>
    </row>
    <row r="7884" spans="8:8">
      <c r="H7884" s="680" t="s">
        <v>6153</v>
      </c>
    </row>
    <row r="7885" spans="8:8">
      <c r="H7885" s="680" t="s">
        <v>6153</v>
      </c>
    </row>
    <row r="7886" spans="8:8">
      <c r="H7886" s="680" t="s">
        <v>6153</v>
      </c>
    </row>
    <row r="7887" spans="8:8">
      <c r="H7887" s="680" t="s">
        <v>6153</v>
      </c>
    </row>
    <row r="7888" spans="8:8">
      <c r="H7888" s="680" t="s">
        <v>6153</v>
      </c>
    </row>
    <row r="7889" spans="8:8">
      <c r="H7889" s="680" t="s">
        <v>6153</v>
      </c>
    </row>
    <row r="7890" spans="8:8">
      <c r="H7890" s="680" t="s">
        <v>6153</v>
      </c>
    </row>
    <row r="7891" spans="8:8">
      <c r="H7891" s="680" t="s">
        <v>6153</v>
      </c>
    </row>
    <row r="7892" spans="8:8">
      <c r="H7892" s="680" t="s">
        <v>6153</v>
      </c>
    </row>
    <row r="7893" spans="8:8">
      <c r="H7893" s="680" t="s">
        <v>6153</v>
      </c>
    </row>
    <row r="7894" spans="8:8">
      <c r="H7894" s="680" t="s">
        <v>6153</v>
      </c>
    </row>
    <row r="7895" spans="8:8">
      <c r="H7895" s="680" t="s">
        <v>6153</v>
      </c>
    </row>
    <row r="7896" spans="8:8">
      <c r="H7896" s="680" t="s">
        <v>6153</v>
      </c>
    </row>
    <row r="7897" spans="8:8">
      <c r="H7897" s="680" t="s">
        <v>6153</v>
      </c>
    </row>
    <row r="7898" spans="8:8">
      <c r="H7898" s="680" t="s">
        <v>6153</v>
      </c>
    </row>
    <row r="7899" spans="8:8">
      <c r="H7899" s="680" t="s">
        <v>6153</v>
      </c>
    </row>
    <row r="7900" spans="8:8">
      <c r="H7900" s="680" t="s">
        <v>6153</v>
      </c>
    </row>
    <row r="7901" spans="8:8">
      <c r="H7901" s="680" t="s">
        <v>6153</v>
      </c>
    </row>
    <row r="7902" spans="8:8">
      <c r="H7902" s="680" t="s">
        <v>6153</v>
      </c>
    </row>
    <row r="7903" spans="8:8">
      <c r="H7903" s="680" t="s">
        <v>6153</v>
      </c>
    </row>
    <row r="7904" spans="8:8">
      <c r="H7904" s="680" t="s">
        <v>6153</v>
      </c>
    </row>
    <row r="7905" spans="8:8">
      <c r="H7905" s="680" t="s">
        <v>6153</v>
      </c>
    </row>
    <row r="7906" spans="8:8">
      <c r="H7906" s="680" t="s">
        <v>6153</v>
      </c>
    </row>
    <row r="7907" spans="8:8">
      <c r="H7907" s="680" t="s">
        <v>6153</v>
      </c>
    </row>
    <row r="7908" spans="8:8">
      <c r="H7908" s="680" t="s">
        <v>6153</v>
      </c>
    </row>
    <row r="7909" spans="8:8">
      <c r="H7909" s="680" t="s">
        <v>6153</v>
      </c>
    </row>
    <row r="7910" spans="8:8">
      <c r="H7910" s="680" t="s">
        <v>6153</v>
      </c>
    </row>
    <row r="7911" spans="8:8">
      <c r="H7911" s="680" t="s">
        <v>6153</v>
      </c>
    </row>
    <row r="7912" spans="8:8">
      <c r="H7912" s="680" t="s">
        <v>6153</v>
      </c>
    </row>
    <row r="7913" spans="8:8">
      <c r="H7913" s="680" t="s">
        <v>6153</v>
      </c>
    </row>
    <row r="7914" spans="8:8">
      <c r="H7914" s="680" t="s">
        <v>6153</v>
      </c>
    </row>
    <row r="7915" spans="8:8">
      <c r="H7915" s="680" t="s">
        <v>6153</v>
      </c>
    </row>
    <row r="7916" spans="8:8">
      <c r="H7916" s="680" t="s">
        <v>6153</v>
      </c>
    </row>
    <row r="7917" spans="8:8">
      <c r="H7917" s="680" t="s">
        <v>6153</v>
      </c>
    </row>
    <row r="7918" spans="8:8">
      <c r="H7918" s="680" t="s">
        <v>6153</v>
      </c>
    </row>
    <row r="7919" spans="8:8">
      <c r="H7919" s="680" t="s">
        <v>6153</v>
      </c>
    </row>
    <row r="7920" spans="8:8">
      <c r="H7920" s="680" t="s">
        <v>6153</v>
      </c>
    </row>
    <row r="7921" spans="8:8">
      <c r="H7921" s="680" t="s">
        <v>6153</v>
      </c>
    </row>
    <row r="7922" spans="8:8">
      <c r="H7922" s="680" t="s">
        <v>6153</v>
      </c>
    </row>
    <row r="7923" spans="8:8">
      <c r="H7923" s="680" t="s">
        <v>6153</v>
      </c>
    </row>
    <row r="7924" spans="8:8">
      <c r="H7924" s="680" t="s">
        <v>6153</v>
      </c>
    </row>
    <row r="7925" spans="8:8">
      <c r="H7925" s="680" t="s">
        <v>6153</v>
      </c>
    </row>
    <row r="7926" spans="8:8">
      <c r="H7926" s="680" t="s">
        <v>6153</v>
      </c>
    </row>
    <row r="7927" spans="8:8">
      <c r="H7927" s="680" t="s">
        <v>6153</v>
      </c>
    </row>
    <row r="7928" spans="8:8">
      <c r="H7928" s="680" t="s">
        <v>6153</v>
      </c>
    </row>
    <row r="7929" spans="8:8">
      <c r="H7929" s="680" t="s">
        <v>6153</v>
      </c>
    </row>
    <row r="7930" spans="8:8">
      <c r="H7930" s="680" t="s">
        <v>6153</v>
      </c>
    </row>
    <row r="7931" spans="8:8">
      <c r="H7931" s="680" t="s">
        <v>6153</v>
      </c>
    </row>
    <row r="7932" spans="8:8">
      <c r="H7932" s="680" t="s">
        <v>6153</v>
      </c>
    </row>
    <row r="7933" spans="8:8">
      <c r="H7933" s="680" t="s">
        <v>6153</v>
      </c>
    </row>
    <row r="7934" spans="8:8">
      <c r="H7934" s="680" t="s">
        <v>6153</v>
      </c>
    </row>
    <row r="7935" spans="8:8">
      <c r="H7935" s="680" t="s">
        <v>6153</v>
      </c>
    </row>
    <row r="7936" spans="8:8">
      <c r="H7936" s="680" t="s">
        <v>6153</v>
      </c>
    </row>
    <row r="7937" spans="8:8">
      <c r="H7937" s="680" t="s">
        <v>6153</v>
      </c>
    </row>
    <row r="7938" spans="8:8">
      <c r="H7938" s="680" t="s">
        <v>6153</v>
      </c>
    </row>
    <row r="7939" spans="8:8">
      <c r="H7939" s="680" t="s">
        <v>6153</v>
      </c>
    </row>
    <row r="7940" spans="8:8">
      <c r="H7940" s="680" t="s">
        <v>6153</v>
      </c>
    </row>
    <row r="7941" spans="8:8">
      <c r="H7941" s="680" t="s">
        <v>6153</v>
      </c>
    </row>
    <row r="7942" spans="8:8">
      <c r="H7942" s="680" t="s">
        <v>6153</v>
      </c>
    </row>
    <row r="7943" spans="8:8">
      <c r="H7943" s="680" t="s">
        <v>6153</v>
      </c>
    </row>
    <row r="7944" spans="8:8">
      <c r="H7944" s="680" t="s">
        <v>6153</v>
      </c>
    </row>
    <row r="7945" spans="8:8">
      <c r="H7945" s="680" t="s">
        <v>6153</v>
      </c>
    </row>
    <row r="7946" spans="8:8">
      <c r="H7946" s="680" t="s">
        <v>6153</v>
      </c>
    </row>
    <row r="7947" spans="8:8">
      <c r="H7947" s="680" t="s">
        <v>6153</v>
      </c>
    </row>
    <row r="7948" spans="8:8">
      <c r="H7948" s="680" t="s">
        <v>6153</v>
      </c>
    </row>
    <row r="7949" spans="8:8">
      <c r="H7949" s="680" t="s">
        <v>6153</v>
      </c>
    </row>
    <row r="7950" spans="8:8">
      <c r="H7950" s="680" t="s">
        <v>6153</v>
      </c>
    </row>
    <row r="7951" spans="8:8">
      <c r="H7951" s="680" t="s">
        <v>6153</v>
      </c>
    </row>
    <row r="7952" spans="8:8">
      <c r="H7952" s="680" t="s">
        <v>6153</v>
      </c>
    </row>
    <row r="7953" spans="8:8">
      <c r="H7953" s="680" t="s">
        <v>6153</v>
      </c>
    </row>
    <row r="7954" spans="8:8">
      <c r="H7954" s="680" t="s">
        <v>6153</v>
      </c>
    </row>
    <row r="7955" spans="8:8">
      <c r="H7955" s="680" t="s">
        <v>6153</v>
      </c>
    </row>
    <row r="7956" spans="8:8">
      <c r="H7956" s="680" t="s">
        <v>6153</v>
      </c>
    </row>
    <row r="7957" spans="8:8">
      <c r="H7957" s="680" t="s">
        <v>6153</v>
      </c>
    </row>
    <row r="7958" spans="8:8">
      <c r="H7958" s="680" t="s">
        <v>6153</v>
      </c>
    </row>
    <row r="7959" spans="8:8">
      <c r="H7959" s="680" t="s">
        <v>6153</v>
      </c>
    </row>
    <row r="7960" spans="8:8">
      <c r="H7960" s="680" t="s">
        <v>6153</v>
      </c>
    </row>
    <row r="7961" spans="8:8">
      <c r="H7961" s="680" t="s">
        <v>6153</v>
      </c>
    </row>
    <row r="7962" spans="8:8">
      <c r="H7962" s="680" t="s">
        <v>6153</v>
      </c>
    </row>
    <row r="7963" spans="8:8">
      <c r="H7963" s="680" t="s">
        <v>6153</v>
      </c>
    </row>
    <row r="7964" spans="8:8">
      <c r="H7964" s="680" t="s">
        <v>6153</v>
      </c>
    </row>
    <row r="7965" spans="8:8">
      <c r="H7965" s="680" t="s">
        <v>6153</v>
      </c>
    </row>
    <row r="7966" spans="8:8">
      <c r="H7966" s="680" t="s">
        <v>6153</v>
      </c>
    </row>
    <row r="7967" spans="8:8">
      <c r="H7967" s="680" t="s">
        <v>6153</v>
      </c>
    </row>
    <row r="7968" spans="8:8">
      <c r="H7968" s="680" t="s">
        <v>6153</v>
      </c>
    </row>
    <row r="7969" spans="8:8">
      <c r="H7969" s="680" t="s">
        <v>6153</v>
      </c>
    </row>
    <row r="7970" spans="8:8">
      <c r="H7970" s="680" t="s">
        <v>6153</v>
      </c>
    </row>
    <row r="7971" spans="8:8">
      <c r="H7971" s="680" t="s">
        <v>6153</v>
      </c>
    </row>
    <row r="7972" spans="8:8">
      <c r="H7972" s="680" t="s">
        <v>6153</v>
      </c>
    </row>
    <row r="7973" spans="8:8">
      <c r="H7973" s="680" t="s">
        <v>6153</v>
      </c>
    </row>
    <row r="7974" spans="8:8">
      <c r="H7974" s="680" t="s">
        <v>6153</v>
      </c>
    </row>
    <row r="7975" spans="8:8">
      <c r="H7975" s="680" t="s">
        <v>6153</v>
      </c>
    </row>
    <row r="7976" spans="8:8">
      <c r="H7976" s="680" t="s">
        <v>6153</v>
      </c>
    </row>
    <row r="7977" spans="8:8">
      <c r="H7977" s="680" t="s">
        <v>6153</v>
      </c>
    </row>
    <row r="7978" spans="8:8">
      <c r="H7978" s="680" t="s">
        <v>6153</v>
      </c>
    </row>
    <row r="7979" spans="8:8">
      <c r="H7979" s="680" t="s">
        <v>6153</v>
      </c>
    </row>
    <row r="7980" spans="8:8">
      <c r="H7980" s="680" t="s">
        <v>6153</v>
      </c>
    </row>
    <row r="7981" spans="8:8">
      <c r="H7981" s="680" t="s">
        <v>6153</v>
      </c>
    </row>
    <row r="7982" spans="8:8">
      <c r="H7982" s="680" t="s">
        <v>6153</v>
      </c>
    </row>
    <row r="7983" spans="8:8">
      <c r="H7983" s="680" t="s">
        <v>6153</v>
      </c>
    </row>
    <row r="7984" spans="8:8">
      <c r="H7984" s="680" t="s">
        <v>6153</v>
      </c>
    </row>
    <row r="7985" spans="8:8">
      <c r="H7985" s="680" t="s">
        <v>6153</v>
      </c>
    </row>
    <row r="7986" spans="8:8">
      <c r="H7986" s="680" t="s">
        <v>6153</v>
      </c>
    </row>
    <row r="7987" spans="8:8">
      <c r="H7987" s="680" t="s">
        <v>6153</v>
      </c>
    </row>
    <row r="7988" spans="8:8">
      <c r="H7988" s="680" t="s">
        <v>6153</v>
      </c>
    </row>
    <row r="7989" spans="8:8">
      <c r="H7989" s="680" t="s">
        <v>6153</v>
      </c>
    </row>
    <row r="7990" spans="8:8">
      <c r="H7990" s="680" t="s">
        <v>6153</v>
      </c>
    </row>
    <row r="7991" spans="8:8">
      <c r="H7991" s="680" t="s">
        <v>6153</v>
      </c>
    </row>
    <row r="7992" spans="8:8">
      <c r="H7992" s="680" t="s">
        <v>6153</v>
      </c>
    </row>
    <row r="7993" spans="8:8">
      <c r="H7993" s="680" t="s">
        <v>6153</v>
      </c>
    </row>
    <row r="7994" spans="8:8">
      <c r="H7994" s="680" t="s">
        <v>6153</v>
      </c>
    </row>
    <row r="7995" spans="8:8">
      <c r="H7995" s="680" t="s">
        <v>6153</v>
      </c>
    </row>
    <row r="7996" spans="8:8">
      <c r="H7996" s="680" t="s">
        <v>6153</v>
      </c>
    </row>
    <row r="7997" spans="8:8">
      <c r="H7997" s="680" t="s">
        <v>6153</v>
      </c>
    </row>
    <row r="7998" spans="8:8">
      <c r="H7998" s="680" t="s">
        <v>6153</v>
      </c>
    </row>
    <row r="7999" spans="8:8">
      <c r="H7999" s="680" t="s">
        <v>6153</v>
      </c>
    </row>
    <row r="8000" spans="8:8">
      <c r="H8000" s="680" t="s">
        <v>6153</v>
      </c>
    </row>
    <row r="8001" spans="8:8">
      <c r="H8001" s="680" t="s">
        <v>6153</v>
      </c>
    </row>
    <row r="8002" spans="8:8">
      <c r="H8002" s="680" t="s">
        <v>6153</v>
      </c>
    </row>
    <row r="8003" spans="8:8">
      <c r="H8003" s="680" t="s">
        <v>6153</v>
      </c>
    </row>
    <row r="8004" spans="8:8">
      <c r="H8004" s="680" t="s">
        <v>6153</v>
      </c>
    </row>
    <row r="8005" spans="8:8">
      <c r="H8005" s="680" t="s">
        <v>6153</v>
      </c>
    </row>
    <row r="8006" spans="8:8">
      <c r="H8006" s="680" t="s">
        <v>6153</v>
      </c>
    </row>
    <row r="8007" spans="8:8">
      <c r="H8007" s="680" t="s">
        <v>6153</v>
      </c>
    </row>
    <row r="8008" spans="8:8">
      <c r="H8008" s="680" t="s">
        <v>6153</v>
      </c>
    </row>
    <row r="8009" spans="8:8">
      <c r="H8009" s="680" t="s">
        <v>6153</v>
      </c>
    </row>
    <row r="8010" spans="8:8">
      <c r="H8010" s="680" t="s">
        <v>6153</v>
      </c>
    </row>
    <row r="8011" spans="8:8">
      <c r="H8011" s="680" t="s">
        <v>6153</v>
      </c>
    </row>
    <row r="8012" spans="8:8">
      <c r="H8012" s="680" t="s">
        <v>6153</v>
      </c>
    </row>
    <row r="8013" spans="8:8">
      <c r="H8013" s="680" t="s">
        <v>6153</v>
      </c>
    </row>
    <row r="8014" spans="8:8">
      <c r="H8014" s="680" t="s">
        <v>6153</v>
      </c>
    </row>
    <row r="8015" spans="8:8">
      <c r="H8015" s="680" t="s">
        <v>6153</v>
      </c>
    </row>
    <row r="8016" spans="8:8">
      <c r="H8016" s="680" t="s">
        <v>6153</v>
      </c>
    </row>
    <row r="8017" spans="8:8">
      <c r="H8017" s="680" t="s">
        <v>6153</v>
      </c>
    </row>
    <row r="8018" spans="8:8">
      <c r="H8018" s="680" t="s">
        <v>6153</v>
      </c>
    </row>
    <row r="8019" spans="8:8">
      <c r="H8019" s="680" t="s">
        <v>6153</v>
      </c>
    </row>
    <row r="8020" spans="8:8">
      <c r="H8020" s="680" t="s">
        <v>6153</v>
      </c>
    </row>
    <row r="8021" spans="8:8">
      <c r="H8021" s="680" t="s">
        <v>6153</v>
      </c>
    </row>
    <row r="8022" spans="8:8">
      <c r="H8022" s="680" t="s">
        <v>6153</v>
      </c>
    </row>
    <row r="8023" spans="8:8">
      <c r="H8023" s="680" t="s">
        <v>6153</v>
      </c>
    </row>
    <row r="8024" spans="8:8">
      <c r="H8024" s="680" t="s">
        <v>6153</v>
      </c>
    </row>
    <row r="8025" spans="8:8">
      <c r="H8025" s="680" t="s">
        <v>6153</v>
      </c>
    </row>
    <row r="8026" spans="8:8">
      <c r="H8026" s="680" t="s">
        <v>6153</v>
      </c>
    </row>
    <row r="8027" spans="8:8">
      <c r="H8027" s="680" t="s">
        <v>6153</v>
      </c>
    </row>
    <row r="8028" spans="8:8">
      <c r="H8028" s="680" t="s">
        <v>6153</v>
      </c>
    </row>
    <row r="8029" spans="8:8">
      <c r="H8029" s="680" t="s">
        <v>6153</v>
      </c>
    </row>
    <row r="8030" spans="8:8">
      <c r="H8030" s="680" t="s">
        <v>6153</v>
      </c>
    </row>
    <row r="8031" spans="8:8">
      <c r="H8031" s="680" t="s">
        <v>6153</v>
      </c>
    </row>
    <row r="8032" spans="8:8">
      <c r="H8032" s="680" t="s">
        <v>6153</v>
      </c>
    </row>
    <row r="8033" spans="8:8">
      <c r="H8033" s="680" t="s">
        <v>6153</v>
      </c>
    </row>
    <row r="8034" spans="8:8">
      <c r="H8034" s="680" t="s">
        <v>6153</v>
      </c>
    </row>
    <row r="8035" spans="8:8">
      <c r="H8035" s="680" t="s">
        <v>6153</v>
      </c>
    </row>
    <row r="8036" spans="8:8">
      <c r="H8036" s="680" t="s">
        <v>6153</v>
      </c>
    </row>
    <row r="8037" spans="8:8">
      <c r="H8037" s="680" t="s">
        <v>6153</v>
      </c>
    </row>
    <row r="8038" spans="8:8">
      <c r="H8038" s="680" t="s">
        <v>6153</v>
      </c>
    </row>
    <row r="8039" spans="8:8">
      <c r="H8039" s="680" t="s">
        <v>6153</v>
      </c>
    </row>
    <row r="8040" spans="8:8">
      <c r="H8040" s="680" t="s">
        <v>6153</v>
      </c>
    </row>
    <row r="8041" spans="8:8">
      <c r="H8041" s="680" t="s">
        <v>6153</v>
      </c>
    </row>
    <row r="8042" spans="8:8">
      <c r="H8042" s="680" t="s">
        <v>6153</v>
      </c>
    </row>
    <row r="8043" spans="8:8">
      <c r="H8043" s="680" t="s">
        <v>6153</v>
      </c>
    </row>
    <row r="8044" spans="8:8">
      <c r="H8044" s="680" t="s">
        <v>6153</v>
      </c>
    </row>
    <row r="8045" spans="8:8">
      <c r="H8045" s="680" t="s">
        <v>6153</v>
      </c>
    </row>
    <row r="8046" spans="8:8">
      <c r="H8046" s="680" t="s">
        <v>6153</v>
      </c>
    </row>
    <row r="8047" spans="8:8">
      <c r="H8047" s="680" t="s">
        <v>6153</v>
      </c>
    </row>
    <row r="8048" spans="8:8">
      <c r="H8048" s="680" t="s">
        <v>6153</v>
      </c>
    </row>
    <row r="8049" spans="8:8">
      <c r="H8049" s="680" t="s">
        <v>6153</v>
      </c>
    </row>
    <row r="8050" spans="8:8">
      <c r="H8050" s="680" t="s">
        <v>6153</v>
      </c>
    </row>
    <row r="8051" spans="8:8">
      <c r="H8051" s="680" t="s">
        <v>6153</v>
      </c>
    </row>
    <row r="8052" spans="8:8">
      <c r="H8052" s="680" t="s">
        <v>6153</v>
      </c>
    </row>
    <row r="8053" spans="8:8">
      <c r="H8053" s="680" t="s">
        <v>6153</v>
      </c>
    </row>
    <row r="8054" spans="8:8">
      <c r="H8054" s="680" t="s">
        <v>6153</v>
      </c>
    </row>
    <row r="8055" spans="8:8">
      <c r="H8055" s="680" t="s">
        <v>6153</v>
      </c>
    </row>
    <row r="8056" spans="8:8">
      <c r="H8056" s="680" t="s">
        <v>6153</v>
      </c>
    </row>
    <row r="8057" spans="8:8">
      <c r="H8057" s="680" t="s">
        <v>6153</v>
      </c>
    </row>
    <row r="8058" spans="8:8">
      <c r="H8058" s="680" t="s">
        <v>6153</v>
      </c>
    </row>
    <row r="8059" spans="8:8">
      <c r="H8059" s="680" t="s">
        <v>6153</v>
      </c>
    </row>
    <row r="8060" spans="8:8">
      <c r="H8060" s="680" t="s">
        <v>6153</v>
      </c>
    </row>
    <row r="8061" spans="8:8">
      <c r="H8061" s="680" t="s">
        <v>6153</v>
      </c>
    </row>
    <row r="8062" spans="8:8">
      <c r="H8062" s="680" t="s">
        <v>6153</v>
      </c>
    </row>
    <row r="8063" spans="8:8">
      <c r="H8063" s="680" t="s">
        <v>6153</v>
      </c>
    </row>
    <row r="8064" spans="8:8">
      <c r="H8064" s="680" t="s">
        <v>6153</v>
      </c>
    </row>
    <row r="8065" spans="8:8">
      <c r="H8065" s="680" t="s">
        <v>6153</v>
      </c>
    </row>
    <row r="8066" spans="8:8">
      <c r="H8066" s="680" t="s">
        <v>6153</v>
      </c>
    </row>
    <row r="8067" spans="8:8">
      <c r="H8067" s="680" t="s">
        <v>6153</v>
      </c>
    </row>
    <row r="8068" spans="8:8">
      <c r="H8068" s="680" t="s">
        <v>6153</v>
      </c>
    </row>
    <row r="8069" spans="8:8">
      <c r="H8069" s="680" t="s">
        <v>6153</v>
      </c>
    </row>
    <row r="8070" spans="8:8">
      <c r="H8070" s="680" t="s">
        <v>6153</v>
      </c>
    </row>
    <row r="8071" spans="8:8">
      <c r="H8071" s="680" t="s">
        <v>6153</v>
      </c>
    </row>
    <row r="8072" spans="8:8">
      <c r="H8072" s="680" t="s">
        <v>6153</v>
      </c>
    </row>
    <row r="8073" spans="8:8">
      <c r="H8073" s="680" t="s">
        <v>6153</v>
      </c>
    </row>
    <row r="8074" spans="8:8">
      <c r="H8074" s="680" t="s">
        <v>6153</v>
      </c>
    </row>
    <row r="8075" spans="8:8">
      <c r="H8075" s="680" t="s">
        <v>6153</v>
      </c>
    </row>
    <row r="8076" spans="8:8">
      <c r="H8076" s="680" t="s">
        <v>6153</v>
      </c>
    </row>
    <row r="8077" spans="8:8">
      <c r="H8077" s="680" t="s">
        <v>6153</v>
      </c>
    </row>
    <row r="8078" spans="8:8">
      <c r="H8078" s="680" t="s">
        <v>6153</v>
      </c>
    </row>
    <row r="8079" spans="8:8">
      <c r="H8079" s="680" t="s">
        <v>6153</v>
      </c>
    </row>
    <row r="8080" spans="8:8">
      <c r="H8080" s="680" t="s">
        <v>6153</v>
      </c>
    </row>
    <row r="8081" spans="8:8">
      <c r="H8081" s="680" t="s">
        <v>6153</v>
      </c>
    </row>
    <row r="8082" spans="8:8">
      <c r="H8082" s="680" t="s">
        <v>6153</v>
      </c>
    </row>
    <row r="8083" spans="8:8">
      <c r="H8083" s="680" t="s">
        <v>6153</v>
      </c>
    </row>
    <row r="8084" spans="8:8">
      <c r="H8084" s="680" t="s">
        <v>6153</v>
      </c>
    </row>
    <row r="8085" spans="8:8">
      <c r="H8085" s="680" t="s">
        <v>6153</v>
      </c>
    </row>
    <row r="8086" spans="8:8">
      <c r="H8086" s="680" t="s">
        <v>6153</v>
      </c>
    </row>
    <row r="8087" spans="8:8">
      <c r="H8087" s="680" t="s">
        <v>6153</v>
      </c>
    </row>
    <row r="8088" spans="8:8">
      <c r="H8088" s="680" t="s">
        <v>6153</v>
      </c>
    </row>
    <row r="8089" spans="8:8">
      <c r="H8089" s="680" t="s">
        <v>6153</v>
      </c>
    </row>
    <row r="8090" spans="8:8">
      <c r="H8090" s="680" t="s">
        <v>6153</v>
      </c>
    </row>
    <row r="8091" spans="8:8">
      <c r="H8091" s="680" t="s">
        <v>6153</v>
      </c>
    </row>
    <row r="8092" spans="8:8">
      <c r="H8092" s="680" t="s">
        <v>6153</v>
      </c>
    </row>
    <row r="8093" spans="8:8">
      <c r="H8093" s="680" t="s">
        <v>6153</v>
      </c>
    </row>
    <row r="8094" spans="8:8">
      <c r="H8094" s="680" t="s">
        <v>6153</v>
      </c>
    </row>
    <row r="8095" spans="8:8">
      <c r="H8095" s="680" t="s">
        <v>6153</v>
      </c>
    </row>
    <row r="8096" spans="8:8">
      <c r="H8096" s="680" t="s">
        <v>6153</v>
      </c>
    </row>
    <row r="8097" spans="8:8">
      <c r="H8097" s="680" t="s">
        <v>6153</v>
      </c>
    </row>
    <row r="8098" spans="8:8">
      <c r="H8098" s="680" t="s">
        <v>6153</v>
      </c>
    </row>
    <row r="8099" spans="8:8">
      <c r="H8099" s="680" t="s">
        <v>6153</v>
      </c>
    </row>
    <row r="8100" spans="8:8">
      <c r="H8100" s="680" t="s">
        <v>6153</v>
      </c>
    </row>
    <row r="8101" spans="8:8">
      <c r="H8101" s="680" t="s">
        <v>6153</v>
      </c>
    </row>
    <row r="8102" spans="8:8">
      <c r="H8102" s="680" t="s">
        <v>6153</v>
      </c>
    </row>
    <row r="8103" spans="8:8">
      <c r="H8103" s="680" t="s">
        <v>6153</v>
      </c>
    </row>
    <row r="8104" spans="8:8">
      <c r="H8104" s="680" t="s">
        <v>6153</v>
      </c>
    </row>
    <row r="8105" spans="8:8">
      <c r="H8105" s="680" t="s">
        <v>6153</v>
      </c>
    </row>
    <row r="8106" spans="8:8">
      <c r="H8106" s="680" t="s">
        <v>6153</v>
      </c>
    </row>
    <row r="8107" spans="8:8">
      <c r="H8107" s="680" t="s">
        <v>6153</v>
      </c>
    </row>
    <row r="8108" spans="8:8">
      <c r="H8108" s="680" t="s">
        <v>6153</v>
      </c>
    </row>
    <row r="8109" spans="8:8">
      <c r="H8109" s="680" t="s">
        <v>6153</v>
      </c>
    </row>
    <row r="8110" spans="8:8">
      <c r="H8110" s="680" t="s">
        <v>6153</v>
      </c>
    </row>
    <row r="8111" spans="8:8">
      <c r="H8111" s="680" t="s">
        <v>6153</v>
      </c>
    </row>
    <row r="8112" spans="8:8">
      <c r="H8112" s="680" t="s">
        <v>6153</v>
      </c>
    </row>
    <row r="8113" spans="8:8">
      <c r="H8113" s="680" t="s">
        <v>6153</v>
      </c>
    </row>
    <row r="8114" spans="8:8">
      <c r="H8114" s="680" t="s">
        <v>6153</v>
      </c>
    </row>
    <row r="8115" spans="8:8">
      <c r="H8115" s="680" t="s">
        <v>6153</v>
      </c>
    </row>
    <row r="8116" spans="8:8">
      <c r="H8116" s="680" t="s">
        <v>6153</v>
      </c>
    </row>
    <row r="8117" spans="8:8">
      <c r="H8117" s="680" t="s">
        <v>6153</v>
      </c>
    </row>
    <row r="8118" spans="8:8">
      <c r="H8118" s="680" t="s">
        <v>6153</v>
      </c>
    </row>
    <row r="8119" spans="8:8">
      <c r="H8119" s="680" t="s">
        <v>6153</v>
      </c>
    </row>
    <row r="8120" spans="8:8">
      <c r="H8120" s="680" t="s">
        <v>6153</v>
      </c>
    </row>
    <row r="8121" spans="8:8">
      <c r="H8121" s="680" t="s">
        <v>6153</v>
      </c>
    </row>
    <row r="8122" spans="8:8">
      <c r="H8122" s="680" t="s">
        <v>6153</v>
      </c>
    </row>
    <row r="8123" spans="8:8">
      <c r="H8123" s="680" t="s">
        <v>6153</v>
      </c>
    </row>
    <row r="8124" spans="8:8">
      <c r="H8124" s="680" t="s">
        <v>6153</v>
      </c>
    </row>
    <row r="8125" spans="8:8">
      <c r="H8125" s="680" t="s">
        <v>6153</v>
      </c>
    </row>
    <row r="8126" spans="8:8">
      <c r="H8126" s="680" t="s">
        <v>6153</v>
      </c>
    </row>
    <row r="8127" spans="8:8">
      <c r="H8127" s="680" t="s">
        <v>6153</v>
      </c>
    </row>
    <row r="8128" spans="8:8">
      <c r="H8128" s="680" t="s">
        <v>6153</v>
      </c>
    </row>
    <row r="8129" spans="8:8">
      <c r="H8129" s="680" t="s">
        <v>6153</v>
      </c>
    </row>
    <row r="8130" spans="8:8">
      <c r="H8130" s="680" t="s">
        <v>6153</v>
      </c>
    </row>
    <row r="8131" spans="8:8">
      <c r="H8131" s="680" t="s">
        <v>6153</v>
      </c>
    </row>
    <row r="8132" spans="8:8">
      <c r="H8132" s="680" t="s">
        <v>6153</v>
      </c>
    </row>
    <row r="8133" spans="8:8">
      <c r="H8133" s="680" t="s">
        <v>6153</v>
      </c>
    </row>
    <row r="8134" spans="8:8">
      <c r="H8134" s="680" t="s">
        <v>6153</v>
      </c>
    </row>
    <row r="8135" spans="8:8">
      <c r="H8135" s="680" t="s">
        <v>6153</v>
      </c>
    </row>
    <row r="8136" spans="8:8">
      <c r="H8136" s="680" t="s">
        <v>6153</v>
      </c>
    </row>
    <row r="8137" spans="8:8">
      <c r="H8137" s="680" t="s">
        <v>6153</v>
      </c>
    </row>
    <row r="8138" spans="8:8">
      <c r="H8138" s="680" t="s">
        <v>6153</v>
      </c>
    </row>
    <row r="8139" spans="8:8">
      <c r="H8139" s="680" t="s">
        <v>6153</v>
      </c>
    </row>
    <row r="8140" spans="8:8">
      <c r="H8140" s="680" t="s">
        <v>6153</v>
      </c>
    </row>
    <row r="8141" spans="8:8">
      <c r="H8141" s="680" t="s">
        <v>6153</v>
      </c>
    </row>
    <row r="8142" spans="8:8">
      <c r="H8142" s="680" t="s">
        <v>6153</v>
      </c>
    </row>
    <row r="8143" spans="8:8">
      <c r="H8143" s="680" t="s">
        <v>6153</v>
      </c>
    </row>
    <row r="8144" spans="8:8">
      <c r="H8144" s="680" t="s">
        <v>6153</v>
      </c>
    </row>
    <row r="8145" spans="8:8">
      <c r="H8145" s="680" t="s">
        <v>6153</v>
      </c>
    </row>
    <row r="8146" spans="8:8">
      <c r="H8146" s="680" t="s">
        <v>6153</v>
      </c>
    </row>
    <row r="8147" spans="8:8">
      <c r="H8147" s="680" t="s">
        <v>6153</v>
      </c>
    </row>
    <row r="8148" spans="8:8">
      <c r="H8148" s="680" t="s">
        <v>6153</v>
      </c>
    </row>
    <row r="8149" spans="8:8">
      <c r="H8149" s="680" t="s">
        <v>6153</v>
      </c>
    </row>
    <row r="8150" spans="8:8">
      <c r="H8150" s="680" t="s">
        <v>6153</v>
      </c>
    </row>
    <row r="8151" spans="8:8">
      <c r="H8151" s="680" t="s">
        <v>6153</v>
      </c>
    </row>
    <row r="8152" spans="8:8">
      <c r="H8152" s="680" t="s">
        <v>6153</v>
      </c>
    </row>
    <row r="8153" spans="8:8">
      <c r="H8153" s="680" t="s">
        <v>6153</v>
      </c>
    </row>
    <row r="8154" spans="8:8">
      <c r="H8154" s="680" t="s">
        <v>6153</v>
      </c>
    </row>
    <row r="8155" spans="8:8">
      <c r="H8155" s="680" t="s">
        <v>6153</v>
      </c>
    </row>
    <row r="8156" spans="8:8">
      <c r="H8156" s="680" t="s">
        <v>6153</v>
      </c>
    </row>
    <row r="8157" spans="8:8">
      <c r="H8157" s="680" t="s">
        <v>6153</v>
      </c>
    </row>
    <row r="8158" spans="8:8">
      <c r="H8158" s="680" t="s">
        <v>6153</v>
      </c>
    </row>
    <row r="8159" spans="8:8">
      <c r="H8159" s="680" t="s">
        <v>6153</v>
      </c>
    </row>
    <row r="8160" spans="8:8">
      <c r="H8160" s="680" t="s">
        <v>6153</v>
      </c>
    </row>
    <row r="8161" spans="8:8">
      <c r="H8161" s="680" t="s">
        <v>6153</v>
      </c>
    </row>
    <row r="8162" spans="8:8">
      <c r="H8162" s="680" t="s">
        <v>6153</v>
      </c>
    </row>
    <row r="8163" spans="8:8">
      <c r="H8163" s="680" t="s">
        <v>6153</v>
      </c>
    </row>
    <row r="8164" spans="8:8">
      <c r="H8164" s="680" t="s">
        <v>6153</v>
      </c>
    </row>
    <row r="8165" spans="8:8">
      <c r="H8165" s="680" t="s">
        <v>6153</v>
      </c>
    </row>
    <row r="8166" spans="8:8">
      <c r="H8166" s="680" t="s">
        <v>6153</v>
      </c>
    </row>
    <row r="8167" spans="8:8">
      <c r="H8167" s="680" t="s">
        <v>6153</v>
      </c>
    </row>
    <row r="8168" spans="8:8">
      <c r="H8168" s="680" t="s">
        <v>6153</v>
      </c>
    </row>
    <row r="8169" spans="8:8">
      <c r="H8169" s="680" t="s">
        <v>6153</v>
      </c>
    </row>
    <row r="8170" spans="8:8">
      <c r="H8170" s="680" t="s">
        <v>6153</v>
      </c>
    </row>
    <row r="8171" spans="8:8">
      <c r="H8171" s="680" t="s">
        <v>6153</v>
      </c>
    </row>
    <row r="8172" spans="8:8">
      <c r="H8172" s="680" t="s">
        <v>6153</v>
      </c>
    </row>
    <row r="8173" spans="8:8">
      <c r="H8173" s="680" t="s">
        <v>6153</v>
      </c>
    </row>
    <row r="8174" spans="8:8">
      <c r="H8174" s="680" t="s">
        <v>6153</v>
      </c>
    </row>
    <row r="8175" spans="8:8">
      <c r="H8175" s="680" t="s">
        <v>6153</v>
      </c>
    </row>
    <row r="8176" spans="8:8">
      <c r="H8176" s="680" t="s">
        <v>6153</v>
      </c>
    </row>
    <row r="8177" spans="8:8">
      <c r="H8177" s="680" t="s">
        <v>6153</v>
      </c>
    </row>
    <row r="8178" spans="8:8">
      <c r="H8178" s="680" t="s">
        <v>6153</v>
      </c>
    </row>
    <row r="8179" spans="8:8">
      <c r="H8179" s="680" t="s">
        <v>6153</v>
      </c>
    </row>
    <row r="8180" spans="8:8">
      <c r="H8180" s="680" t="s">
        <v>6153</v>
      </c>
    </row>
    <row r="8181" spans="8:8">
      <c r="H8181" s="680" t="s">
        <v>6153</v>
      </c>
    </row>
    <row r="8182" spans="8:8">
      <c r="H8182" s="680" t="s">
        <v>6153</v>
      </c>
    </row>
    <row r="8183" spans="8:8">
      <c r="H8183" s="680" t="s">
        <v>6153</v>
      </c>
    </row>
    <row r="8184" spans="8:8">
      <c r="H8184" s="680" t="s">
        <v>6153</v>
      </c>
    </row>
    <row r="8185" spans="8:8">
      <c r="H8185" s="680" t="s">
        <v>6153</v>
      </c>
    </row>
    <row r="8186" spans="8:8">
      <c r="H8186" s="680" t="s">
        <v>6153</v>
      </c>
    </row>
    <row r="8187" spans="8:8">
      <c r="H8187" s="680" t="s">
        <v>6153</v>
      </c>
    </row>
    <row r="8188" spans="8:8">
      <c r="H8188" s="680" t="s">
        <v>6153</v>
      </c>
    </row>
    <row r="8189" spans="8:8">
      <c r="H8189" s="680" t="s">
        <v>6153</v>
      </c>
    </row>
    <row r="8190" spans="8:8">
      <c r="H8190" s="680" t="s">
        <v>6153</v>
      </c>
    </row>
    <row r="8191" spans="8:8">
      <c r="H8191" s="680" t="s">
        <v>6153</v>
      </c>
    </row>
    <row r="8192" spans="8:8">
      <c r="H8192" s="680" t="s">
        <v>6153</v>
      </c>
    </row>
    <row r="8193" spans="8:8">
      <c r="H8193" s="680" t="s">
        <v>6153</v>
      </c>
    </row>
    <row r="8194" spans="8:8">
      <c r="H8194" s="680" t="s">
        <v>6153</v>
      </c>
    </row>
    <row r="8195" spans="8:8">
      <c r="H8195" s="680" t="s">
        <v>6153</v>
      </c>
    </row>
    <row r="8196" spans="8:8">
      <c r="H8196" s="680" t="s">
        <v>6153</v>
      </c>
    </row>
    <row r="8197" spans="8:8">
      <c r="H8197" s="680" t="s">
        <v>6153</v>
      </c>
    </row>
    <row r="8198" spans="8:8">
      <c r="H8198" s="680" t="s">
        <v>6153</v>
      </c>
    </row>
    <row r="8199" spans="8:8">
      <c r="H8199" s="680" t="s">
        <v>6153</v>
      </c>
    </row>
    <row r="8200" spans="8:8">
      <c r="H8200" s="680" t="s">
        <v>6153</v>
      </c>
    </row>
    <row r="8201" spans="8:8">
      <c r="H8201" s="680" t="s">
        <v>6153</v>
      </c>
    </row>
    <row r="8202" spans="8:8">
      <c r="H8202" s="680" t="s">
        <v>6153</v>
      </c>
    </row>
    <row r="8203" spans="8:8">
      <c r="H8203" s="680" t="s">
        <v>6153</v>
      </c>
    </row>
    <row r="8204" spans="8:8">
      <c r="H8204" s="680" t="s">
        <v>6153</v>
      </c>
    </row>
    <row r="8205" spans="8:8">
      <c r="H8205" s="680" t="s">
        <v>6153</v>
      </c>
    </row>
    <row r="8206" spans="8:8">
      <c r="H8206" s="680" t="s">
        <v>6153</v>
      </c>
    </row>
    <row r="8207" spans="8:8">
      <c r="H8207" s="680" t="s">
        <v>6153</v>
      </c>
    </row>
    <row r="8208" spans="8:8">
      <c r="H8208" s="680" t="s">
        <v>6153</v>
      </c>
    </row>
    <row r="8209" spans="8:8">
      <c r="H8209" s="680" t="s">
        <v>6153</v>
      </c>
    </row>
    <row r="8210" spans="8:8">
      <c r="H8210" s="680" t="s">
        <v>6153</v>
      </c>
    </row>
    <row r="8211" spans="8:8">
      <c r="H8211" s="680" t="s">
        <v>6153</v>
      </c>
    </row>
    <row r="8212" spans="8:8">
      <c r="H8212" s="680" t="s">
        <v>6153</v>
      </c>
    </row>
    <row r="8213" spans="8:8">
      <c r="H8213" s="680" t="s">
        <v>6153</v>
      </c>
    </row>
    <row r="8214" spans="8:8">
      <c r="H8214" s="680" t="s">
        <v>6153</v>
      </c>
    </row>
    <row r="8215" spans="8:8">
      <c r="H8215" s="680" t="s">
        <v>6153</v>
      </c>
    </row>
    <row r="8216" spans="8:8">
      <c r="H8216" s="680" t="s">
        <v>6153</v>
      </c>
    </row>
    <row r="8217" spans="8:8">
      <c r="H8217" s="680" t="s">
        <v>6153</v>
      </c>
    </row>
    <row r="8218" spans="8:8">
      <c r="H8218" s="680" t="s">
        <v>6153</v>
      </c>
    </row>
    <row r="8219" spans="8:8">
      <c r="H8219" s="680" t="s">
        <v>6153</v>
      </c>
    </row>
    <row r="8220" spans="8:8">
      <c r="H8220" s="680" t="s">
        <v>6153</v>
      </c>
    </row>
    <row r="8221" spans="8:8">
      <c r="H8221" s="680" t="s">
        <v>6153</v>
      </c>
    </row>
    <row r="8222" spans="8:8">
      <c r="H8222" s="680" t="s">
        <v>6153</v>
      </c>
    </row>
    <row r="8223" spans="8:8">
      <c r="H8223" s="680" t="s">
        <v>6153</v>
      </c>
    </row>
    <row r="8224" spans="8:8">
      <c r="H8224" s="680" t="s">
        <v>6153</v>
      </c>
    </row>
    <row r="8225" spans="8:8">
      <c r="H8225" s="680" t="s">
        <v>6153</v>
      </c>
    </row>
    <row r="8226" spans="8:8">
      <c r="H8226" s="680" t="s">
        <v>6153</v>
      </c>
    </row>
    <row r="8227" spans="8:8">
      <c r="H8227" s="680" t="s">
        <v>6153</v>
      </c>
    </row>
    <row r="8228" spans="8:8">
      <c r="H8228" s="680" t="s">
        <v>6153</v>
      </c>
    </row>
    <row r="8229" spans="8:8">
      <c r="H8229" s="680" t="s">
        <v>6153</v>
      </c>
    </row>
    <row r="8230" spans="8:8">
      <c r="H8230" s="680" t="s">
        <v>6153</v>
      </c>
    </row>
    <row r="8231" spans="8:8">
      <c r="H8231" s="680" t="s">
        <v>6153</v>
      </c>
    </row>
    <row r="8232" spans="8:8">
      <c r="H8232" s="680" t="s">
        <v>6153</v>
      </c>
    </row>
    <row r="8233" spans="8:8">
      <c r="H8233" s="680" t="s">
        <v>6153</v>
      </c>
    </row>
    <row r="8234" spans="8:8">
      <c r="H8234" s="680" t="s">
        <v>6153</v>
      </c>
    </row>
    <row r="8235" spans="8:8">
      <c r="H8235" s="680" t="s">
        <v>6153</v>
      </c>
    </row>
    <row r="8236" spans="8:8">
      <c r="H8236" s="680" t="s">
        <v>6153</v>
      </c>
    </row>
    <row r="8237" spans="8:8">
      <c r="H8237" s="680" t="s">
        <v>6153</v>
      </c>
    </row>
    <row r="8238" spans="8:8">
      <c r="H8238" s="680" t="s">
        <v>6153</v>
      </c>
    </row>
    <row r="8239" spans="8:8">
      <c r="H8239" s="680" t="s">
        <v>6153</v>
      </c>
    </row>
    <row r="8240" spans="8:8">
      <c r="H8240" s="680" t="s">
        <v>6153</v>
      </c>
    </row>
    <row r="8241" spans="8:8">
      <c r="H8241" s="680" t="s">
        <v>6153</v>
      </c>
    </row>
    <row r="8242" spans="8:8">
      <c r="H8242" s="680" t="s">
        <v>6153</v>
      </c>
    </row>
    <row r="8243" spans="8:8">
      <c r="H8243" s="680" t="s">
        <v>6153</v>
      </c>
    </row>
    <row r="8244" spans="8:8">
      <c r="H8244" s="680" t="s">
        <v>6153</v>
      </c>
    </row>
    <row r="8245" spans="8:8">
      <c r="H8245" s="680" t="s">
        <v>6153</v>
      </c>
    </row>
    <row r="8246" spans="8:8">
      <c r="H8246" s="680" t="s">
        <v>6153</v>
      </c>
    </row>
    <row r="8247" spans="8:8">
      <c r="H8247" s="680" t="s">
        <v>6153</v>
      </c>
    </row>
    <row r="8248" spans="8:8">
      <c r="H8248" s="680" t="s">
        <v>6153</v>
      </c>
    </row>
    <row r="8249" spans="8:8">
      <c r="H8249" s="680" t="s">
        <v>6153</v>
      </c>
    </row>
    <row r="8250" spans="8:8">
      <c r="H8250" s="680" t="s">
        <v>6153</v>
      </c>
    </row>
    <row r="8251" spans="8:8">
      <c r="H8251" s="680" t="s">
        <v>6153</v>
      </c>
    </row>
    <row r="8252" spans="8:8">
      <c r="H8252" s="680" t="s">
        <v>6153</v>
      </c>
    </row>
    <row r="8253" spans="8:8">
      <c r="H8253" s="680" t="s">
        <v>6153</v>
      </c>
    </row>
    <row r="8254" spans="8:8">
      <c r="H8254" s="680" t="s">
        <v>6153</v>
      </c>
    </row>
    <row r="8255" spans="8:8">
      <c r="H8255" s="680" t="s">
        <v>6153</v>
      </c>
    </row>
    <row r="8256" spans="8:8">
      <c r="H8256" s="680" t="s">
        <v>6153</v>
      </c>
    </row>
    <row r="8257" spans="8:8">
      <c r="H8257" s="680" t="s">
        <v>6153</v>
      </c>
    </row>
    <row r="8258" spans="8:8">
      <c r="H8258" s="680" t="s">
        <v>6153</v>
      </c>
    </row>
    <row r="8259" spans="8:8">
      <c r="H8259" s="680" t="s">
        <v>6153</v>
      </c>
    </row>
    <row r="8260" spans="8:8">
      <c r="H8260" s="680" t="s">
        <v>6153</v>
      </c>
    </row>
    <row r="8261" spans="8:8">
      <c r="H8261" s="680" t="s">
        <v>6153</v>
      </c>
    </row>
    <row r="8262" spans="8:8">
      <c r="H8262" s="680" t="s">
        <v>6153</v>
      </c>
    </row>
    <row r="8263" spans="8:8">
      <c r="H8263" s="680" t="s">
        <v>6153</v>
      </c>
    </row>
    <row r="8264" spans="8:8">
      <c r="H8264" s="680" t="s">
        <v>6153</v>
      </c>
    </row>
    <row r="8265" spans="8:8">
      <c r="H8265" s="680" t="s">
        <v>6153</v>
      </c>
    </row>
    <row r="8266" spans="8:8">
      <c r="H8266" s="680" t="s">
        <v>6153</v>
      </c>
    </row>
    <row r="8267" spans="8:8">
      <c r="H8267" s="680" t="s">
        <v>6153</v>
      </c>
    </row>
    <row r="8268" spans="8:8">
      <c r="H8268" s="680" t="s">
        <v>6153</v>
      </c>
    </row>
    <row r="8269" spans="8:8">
      <c r="H8269" s="680" t="s">
        <v>6153</v>
      </c>
    </row>
    <row r="8270" spans="8:8">
      <c r="H8270" s="680" t="s">
        <v>6153</v>
      </c>
    </row>
    <row r="8271" spans="8:8">
      <c r="H8271" s="680" t="s">
        <v>6153</v>
      </c>
    </row>
    <row r="8272" spans="8:8">
      <c r="H8272" s="680" t="s">
        <v>6153</v>
      </c>
    </row>
    <row r="8273" spans="8:8">
      <c r="H8273" s="680" t="s">
        <v>6153</v>
      </c>
    </row>
    <row r="8274" spans="8:8">
      <c r="H8274" s="680" t="s">
        <v>6153</v>
      </c>
    </row>
    <row r="8275" spans="8:8">
      <c r="H8275" s="680" t="s">
        <v>6153</v>
      </c>
    </row>
    <row r="8276" spans="8:8">
      <c r="H8276" s="680" t="s">
        <v>6153</v>
      </c>
    </row>
    <row r="8277" spans="8:8">
      <c r="H8277" s="680" t="s">
        <v>6153</v>
      </c>
    </row>
    <row r="8278" spans="8:8">
      <c r="H8278" s="680" t="s">
        <v>6153</v>
      </c>
    </row>
    <row r="8279" spans="8:8">
      <c r="H8279" s="680" t="s">
        <v>6153</v>
      </c>
    </row>
    <row r="8280" spans="8:8">
      <c r="H8280" s="680" t="s">
        <v>6153</v>
      </c>
    </row>
    <row r="8281" spans="8:8">
      <c r="H8281" s="680" t="s">
        <v>6153</v>
      </c>
    </row>
    <row r="8282" spans="8:8">
      <c r="H8282" s="680" t="s">
        <v>6153</v>
      </c>
    </row>
    <row r="8283" spans="8:8">
      <c r="H8283" s="680" t="s">
        <v>6153</v>
      </c>
    </row>
    <row r="8284" spans="8:8">
      <c r="H8284" s="680" t="s">
        <v>6153</v>
      </c>
    </row>
    <row r="8285" spans="8:8">
      <c r="H8285" s="680" t="s">
        <v>6153</v>
      </c>
    </row>
    <row r="8286" spans="8:8">
      <c r="H8286" s="680" t="s">
        <v>6153</v>
      </c>
    </row>
    <row r="8287" spans="8:8">
      <c r="H8287" s="680" t="s">
        <v>6153</v>
      </c>
    </row>
    <row r="8288" spans="8:8">
      <c r="H8288" s="680" t="s">
        <v>6153</v>
      </c>
    </row>
    <row r="8289" spans="8:8">
      <c r="H8289" s="680" t="s">
        <v>6153</v>
      </c>
    </row>
    <row r="8290" spans="8:8">
      <c r="H8290" s="680" t="s">
        <v>6153</v>
      </c>
    </row>
    <row r="8291" spans="8:8">
      <c r="H8291" s="680" t="s">
        <v>6153</v>
      </c>
    </row>
    <row r="8292" spans="8:8">
      <c r="H8292" s="680" t="s">
        <v>6153</v>
      </c>
    </row>
    <row r="8293" spans="8:8">
      <c r="H8293" s="680" t="s">
        <v>6153</v>
      </c>
    </row>
    <row r="8294" spans="8:8">
      <c r="H8294" s="680" t="s">
        <v>6153</v>
      </c>
    </row>
    <row r="8295" spans="8:8">
      <c r="H8295" s="680" t="s">
        <v>6153</v>
      </c>
    </row>
    <row r="8296" spans="8:8">
      <c r="H8296" s="680" t="s">
        <v>6153</v>
      </c>
    </row>
    <row r="8297" spans="8:8">
      <c r="H8297" s="680" t="s">
        <v>6153</v>
      </c>
    </row>
    <row r="8298" spans="8:8">
      <c r="H8298" s="680" t="s">
        <v>6153</v>
      </c>
    </row>
    <row r="8299" spans="8:8">
      <c r="H8299" s="680" t="s">
        <v>6153</v>
      </c>
    </row>
    <row r="8300" spans="8:8">
      <c r="H8300" s="680" t="s">
        <v>6153</v>
      </c>
    </row>
    <row r="8301" spans="8:8">
      <c r="H8301" s="680" t="s">
        <v>6153</v>
      </c>
    </row>
    <row r="8302" spans="8:8">
      <c r="H8302" s="680" t="s">
        <v>6153</v>
      </c>
    </row>
    <row r="8303" spans="8:8">
      <c r="H8303" s="680" t="s">
        <v>6153</v>
      </c>
    </row>
    <row r="8304" spans="8:8">
      <c r="H8304" s="680" t="s">
        <v>6153</v>
      </c>
    </row>
    <row r="8305" spans="8:8">
      <c r="H8305" s="680" t="s">
        <v>6153</v>
      </c>
    </row>
    <row r="8306" spans="8:8">
      <c r="H8306" s="680" t="s">
        <v>6153</v>
      </c>
    </row>
    <row r="8307" spans="8:8">
      <c r="H8307" s="680" t="s">
        <v>6153</v>
      </c>
    </row>
    <row r="8308" spans="8:8">
      <c r="H8308" s="680" t="s">
        <v>6153</v>
      </c>
    </row>
    <row r="8309" spans="8:8">
      <c r="H8309" s="680" t="s">
        <v>6153</v>
      </c>
    </row>
    <row r="8310" spans="8:8">
      <c r="H8310" s="680" t="s">
        <v>6153</v>
      </c>
    </row>
    <row r="8311" spans="8:8">
      <c r="H8311" s="680" t="s">
        <v>6153</v>
      </c>
    </row>
    <row r="8312" spans="8:8">
      <c r="H8312" s="680" t="s">
        <v>6153</v>
      </c>
    </row>
    <row r="8313" spans="8:8">
      <c r="H8313" s="680" t="s">
        <v>6153</v>
      </c>
    </row>
    <row r="8314" spans="8:8">
      <c r="H8314" s="680" t="s">
        <v>6153</v>
      </c>
    </row>
    <row r="8315" spans="8:8">
      <c r="H8315" s="680" t="s">
        <v>6153</v>
      </c>
    </row>
    <row r="8316" spans="8:8">
      <c r="H8316" s="680" t="s">
        <v>6153</v>
      </c>
    </row>
    <row r="8317" spans="8:8">
      <c r="H8317" s="680" t="s">
        <v>6153</v>
      </c>
    </row>
    <row r="8318" spans="8:8">
      <c r="H8318" s="680" t="s">
        <v>6153</v>
      </c>
    </row>
    <row r="8319" spans="8:8">
      <c r="H8319" s="680" t="s">
        <v>6153</v>
      </c>
    </row>
    <row r="8320" spans="8:8">
      <c r="H8320" s="680" t="s">
        <v>6153</v>
      </c>
    </row>
    <row r="8321" spans="8:8">
      <c r="H8321" s="680" t="s">
        <v>6153</v>
      </c>
    </row>
    <row r="8322" spans="8:8">
      <c r="H8322" s="680" t="s">
        <v>6153</v>
      </c>
    </row>
    <row r="8323" spans="8:8">
      <c r="H8323" s="680" t="s">
        <v>6153</v>
      </c>
    </row>
    <row r="8324" spans="8:8">
      <c r="H8324" s="680" t="s">
        <v>6153</v>
      </c>
    </row>
    <row r="8325" spans="8:8">
      <c r="H8325" s="680" t="s">
        <v>6153</v>
      </c>
    </row>
    <row r="8326" spans="8:8">
      <c r="H8326" s="680" t="s">
        <v>6153</v>
      </c>
    </row>
    <row r="8327" spans="8:8">
      <c r="H8327" s="680" t="s">
        <v>6153</v>
      </c>
    </row>
    <row r="8328" spans="8:8">
      <c r="H8328" s="680" t="s">
        <v>6153</v>
      </c>
    </row>
    <row r="8329" spans="8:8">
      <c r="H8329" s="680" t="s">
        <v>6153</v>
      </c>
    </row>
    <row r="8330" spans="8:8">
      <c r="H8330" s="680" t="s">
        <v>6153</v>
      </c>
    </row>
    <row r="8331" spans="8:8">
      <c r="H8331" s="680" t="s">
        <v>6153</v>
      </c>
    </row>
    <row r="8332" spans="8:8">
      <c r="H8332" s="680" t="s">
        <v>6153</v>
      </c>
    </row>
    <row r="8333" spans="8:8">
      <c r="H8333" s="680" t="s">
        <v>6153</v>
      </c>
    </row>
    <row r="8334" spans="8:8">
      <c r="H8334" s="680" t="s">
        <v>6153</v>
      </c>
    </row>
    <row r="8335" spans="8:8">
      <c r="H8335" s="680" t="s">
        <v>6153</v>
      </c>
    </row>
    <row r="8336" spans="8:8">
      <c r="H8336" s="680" t="s">
        <v>6153</v>
      </c>
    </row>
    <row r="8337" spans="8:8">
      <c r="H8337" s="680" t="s">
        <v>6153</v>
      </c>
    </row>
    <row r="8338" spans="8:8">
      <c r="H8338" s="680" t="s">
        <v>6153</v>
      </c>
    </row>
    <row r="8339" spans="8:8">
      <c r="H8339" s="680" t="s">
        <v>6153</v>
      </c>
    </row>
    <row r="8340" spans="8:8">
      <c r="H8340" s="680" t="s">
        <v>6153</v>
      </c>
    </row>
    <row r="8341" spans="8:8">
      <c r="H8341" s="680" t="s">
        <v>6153</v>
      </c>
    </row>
    <row r="8342" spans="8:8">
      <c r="H8342" s="680" t="s">
        <v>6153</v>
      </c>
    </row>
    <row r="8343" spans="8:8">
      <c r="H8343" s="680" t="s">
        <v>6153</v>
      </c>
    </row>
    <row r="8344" spans="8:8">
      <c r="H8344" s="680" t="s">
        <v>6153</v>
      </c>
    </row>
    <row r="8345" spans="8:8">
      <c r="H8345" s="680" t="s">
        <v>6153</v>
      </c>
    </row>
    <row r="8346" spans="8:8">
      <c r="H8346" s="680" t="s">
        <v>6153</v>
      </c>
    </row>
    <row r="8347" spans="8:8">
      <c r="H8347" s="680" t="s">
        <v>6153</v>
      </c>
    </row>
    <row r="8348" spans="8:8">
      <c r="H8348" s="680" t="s">
        <v>6153</v>
      </c>
    </row>
    <row r="8349" spans="8:8">
      <c r="H8349" s="680" t="s">
        <v>6153</v>
      </c>
    </row>
    <row r="8350" spans="8:8">
      <c r="H8350" s="680" t="s">
        <v>6153</v>
      </c>
    </row>
    <row r="8351" spans="8:8">
      <c r="H8351" s="680" t="s">
        <v>6153</v>
      </c>
    </row>
    <row r="8352" spans="8:8">
      <c r="H8352" s="680" t="s">
        <v>6153</v>
      </c>
    </row>
    <row r="8353" spans="8:8">
      <c r="H8353" s="680" t="s">
        <v>6153</v>
      </c>
    </row>
    <row r="8354" spans="8:8">
      <c r="H8354" s="680" t="s">
        <v>6153</v>
      </c>
    </row>
    <row r="8355" spans="8:8">
      <c r="H8355" s="680" t="s">
        <v>6153</v>
      </c>
    </row>
    <row r="8356" spans="8:8">
      <c r="H8356" s="680" t="s">
        <v>6153</v>
      </c>
    </row>
    <row r="8357" spans="8:8">
      <c r="H8357" s="680" t="s">
        <v>6153</v>
      </c>
    </row>
    <row r="8358" spans="8:8">
      <c r="H8358" s="680" t="s">
        <v>6153</v>
      </c>
    </row>
    <row r="8359" spans="8:8">
      <c r="H8359" s="680" t="s">
        <v>6153</v>
      </c>
    </row>
    <row r="8360" spans="8:8">
      <c r="H8360" s="680" t="s">
        <v>6153</v>
      </c>
    </row>
    <row r="8361" spans="8:8">
      <c r="H8361" s="680" t="s">
        <v>6153</v>
      </c>
    </row>
    <row r="8362" spans="8:8">
      <c r="H8362" s="680" t="s">
        <v>6153</v>
      </c>
    </row>
    <row r="8363" spans="8:8">
      <c r="H8363" s="680" t="s">
        <v>6153</v>
      </c>
    </row>
    <row r="8364" spans="8:8">
      <c r="H8364" s="680" t="s">
        <v>6153</v>
      </c>
    </row>
    <row r="8365" spans="8:8">
      <c r="H8365" s="680" t="s">
        <v>6153</v>
      </c>
    </row>
    <row r="8366" spans="8:8">
      <c r="H8366" s="680" t="s">
        <v>6153</v>
      </c>
    </row>
    <row r="8367" spans="8:8">
      <c r="H8367" s="680" t="s">
        <v>6153</v>
      </c>
    </row>
    <row r="8368" spans="8:8">
      <c r="H8368" s="680" t="s">
        <v>6153</v>
      </c>
    </row>
    <row r="8369" spans="8:8">
      <c r="H8369" s="680" t="s">
        <v>6153</v>
      </c>
    </row>
    <row r="8370" spans="8:8">
      <c r="H8370" s="680" t="s">
        <v>6153</v>
      </c>
    </row>
    <row r="8371" spans="8:8">
      <c r="H8371" s="680" t="s">
        <v>6153</v>
      </c>
    </row>
    <row r="8372" spans="8:8">
      <c r="H8372" s="680" t="s">
        <v>6153</v>
      </c>
    </row>
    <row r="8373" spans="8:8">
      <c r="H8373" s="680" t="s">
        <v>6153</v>
      </c>
    </row>
    <row r="8374" spans="8:8">
      <c r="H8374" s="680" t="s">
        <v>6153</v>
      </c>
    </row>
    <row r="8375" spans="8:8">
      <c r="H8375" s="680" t="s">
        <v>6153</v>
      </c>
    </row>
    <row r="8376" spans="8:8">
      <c r="H8376" s="680" t="s">
        <v>6153</v>
      </c>
    </row>
    <row r="8377" spans="8:8">
      <c r="H8377" s="680" t="s">
        <v>6153</v>
      </c>
    </row>
    <row r="8378" spans="8:8">
      <c r="H8378" s="680" t="s">
        <v>6153</v>
      </c>
    </row>
    <row r="8379" spans="8:8">
      <c r="H8379" s="680" t="s">
        <v>6153</v>
      </c>
    </row>
    <row r="8380" spans="8:8">
      <c r="H8380" s="680" t="s">
        <v>6153</v>
      </c>
    </row>
    <row r="8381" spans="8:8">
      <c r="H8381" s="680" t="s">
        <v>6153</v>
      </c>
    </row>
    <row r="8382" spans="8:8">
      <c r="H8382" s="680" t="s">
        <v>6153</v>
      </c>
    </row>
    <row r="8383" spans="8:8">
      <c r="H8383" s="680" t="s">
        <v>6153</v>
      </c>
    </row>
    <row r="8384" spans="8:8">
      <c r="H8384" s="680" t="s">
        <v>6153</v>
      </c>
    </row>
    <row r="8385" spans="8:8">
      <c r="H8385" s="680" t="s">
        <v>6153</v>
      </c>
    </row>
    <row r="8386" spans="8:8">
      <c r="H8386" s="680" t="s">
        <v>6153</v>
      </c>
    </row>
    <row r="8387" spans="8:8">
      <c r="H8387" s="680" t="s">
        <v>6153</v>
      </c>
    </row>
    <row r="8388" spans="8:8">
      <c r="H8388" s="680" t="s">
        <v>6153</v>
      </c>
    </row>
    <row r="8389" spans="8:8">
      <c r="H8389" s="680" t="s">
        <v>6153</v>
      </c>
    </row>
    <row r="8390" spans="8:8">
      <c r="H8390" s="680" t="s">
        <v>6153</v>
      </c>
    </row>
    <row r="8391" spans="8:8">
      <c r="H8391" s="680" t="s">
        <v>6153</v>
      </c>
    </row>
    <row r="8392" spans="8:8">
      <c r="H8392" s="680" t="s">
        <v>6153</v>
      </c>
    </row>
    <row r="8393" spans="8:8">
      <c r="H8393" s="680" t="s">
        <v>6153</v>
      </c>
    </row>
    <row r="8394" spans="8:8">
      <c r="H8394" s="680" t="s">
        <v>6153</v>
      </c>
    </row>
    <row r="8395" spans="8:8">
      <c r="H8395" s="680" t="s">
        <v>6153</v>
      </c>
    </row>
    <row r="8396" spans="8:8">
      <c r="H8396" s="680" t="s">
        <v>6153</v>
      </c>
    </row>
    <row r="8397" spans="8:8">
      <c r="H8397" s="680" t="s">
        <v>6153</v>
      </c>
    </row>
    <row r="8398" spans="8:8">
      <c r="H8398" s="680" t="s">
        <v>6153</v>
      </c>
    </row>
    <row r="8399" spans="8:8">
      <c r="H8399" s="680" t="s">
        <v>6153</v>
      </c>
    </row>
    <row r="8400" spans="8:8">
      <c r="H8400" s="680" t="s">
        <v>6153</v>
      </c>
    </row>
    <row r="8401" spans="8:8">
      <c r="H8401" s="680" t="s">
        <v>6153</v>
      </c>
    </row>
    <row r="8402" spans="8:8">
      <c r="H8402" s="680" t="s">
        <v>6153</v>
      </c>
    </row>
    <row r="8403" spans="8:8">
      <c r="H8403" s="680" t="s">
        <v>6153</v>
      </c>
    </row>
    <row r="8404" spans="8:8">
      <c r="H8404" s="680" t="s">
        <v>6153</v>
      </c>
    </row>
    <row r="8405" spans="8:8">
      <c r="H8405" s="680" t="s">
        <v>6153</v>
      </c>
    </row>
    <row r="8406" spans="8:8">
      <c r="H8406" s="680" t="s">
        <v>6153</v>
      </c>
    </row>
    <row r="8407" spans="8:8">
      <c r="H8407" s="680" t="s">
        <v>6153</v>
      </c>
    </row>
    <row r="8408" spans="8:8">
      <c r="H8408" s="680" t="s">
        <v>6153</v>
      </c>
    </row>
    <row r="8409" spans="8:8">
      <c r="H8409" s="680" t="s">
        <v>6153</v>
      </c>
    </row>
    <row r="8410" spans="8:8">
      <c r="H8410" s="680" t="s">
        <v>6153</v>
      </c>
    </row>
    <row r="8411" spans="8:8">
      <c r="H8411" s="680" t="s">
        <v>6153</v>
      </c>
    </row>
    <row r="8412" spans="8:8">
      <c r="H8412" s="680" t="s">
        <v>6153</v>
      </c>
    </row>
    <row r="8413" spans="8:8">
      <c r="H8413" s="680" t="s">
        <v>6153</v>
      </c>
    </row>
    <row r="8414" spans="8:8">
      <c r="H8414" s="680" t="s">
        <v>6153</v>
      </c>
    </row>
    <row r="8415" spans="8:8">
      <c r="H8415" s="680" t="s">
        <v>6153</v>
      </c>
    </row>
    <row r="8416" spans="8:8">
      <c r="H8416" s="680" t="s">
        <v>6153</v>
      </c>
    </row>
    <row r="8417" spans="8:8">
      <c r="H8417" s="680" t="s">
        <v>6153</v>
      </c>
    </row>
    <row r="8418" spans="8:8">
      <c r="H8418" s="680" t="s">
        <v>6153</v>
      </c>
    </row>
    <row r="8419" spans="8:8">
      <c r="H8419" s="680" t="s">
        <v>6153</v>
      </c>
    </row>
    <row r="8420" spans="8:8">
      <c r="H8420" s="680" t="s">
        <v>6153</v>
      </c>
    </row>
    <row r="8421" spans="8:8">
      <c r="H8421" s="680" t="s">
        <v>6153</v>
      </c>
    </row>
    <row r="8422" spans="8:8">
      <c r="H8422" s="680" t="s">
        <v>6153</v>
      </c>
    </row>
    <row r="8423" spans="8:8">
      <c r="H8423" s="680" t="s">
        <v>6153</v>
      </c>
    </row>
    <row r="8424" spans="8:8">
      <c r="H8424" s="680" t="s">
        <v>6153</v>
      </c>
    </row>
    <row r="8425" spans="8:8">
      <c r="H8425" s="680" t="s">
        <v>6153</v>
      </c>
    </row>
    <row r="8426" spans="8:8">
      <c r="H8426" s="680" t="s">
        <v>6153</v>
      </c>
    </row>
    <row r="8427" spans="8:8">
      <c r="H8427" s="680" t="s">
        <v>6153</v>
      </c>
    </row>
    <row r="8428" spans="8:8">
      <c r="H8428" s="680" t="s">
        <v>6153</v>
      </c>
    </row>
    <row r="8429" spans="8:8">
      <c r="H8429" s="680" t="s">
        <v>6153</v>
      </c>
    </row>
    <row r="8430" spans="8:8">
      <c r="H8430" s="680" t="s">
        <v>6153</v>
      </c>
    </row>
    <row r="8431" spans="8:8">
      <c r="H8431" s="680" t="s">
        <v>6153</v>
      </c>
    </row>
    <row r="8432" spans="8:8">
      <c r="H8432" s="680" t="s">
        <v>6153</v>
      </c>
    </row>
    <row r="8433" spans="8:8">
      <c r="H8433" s="680" t="s">
        <v>6153</v>
      </c>
    </row>
    <row r="8434" spans="8:8">
      <c r="H8434" s="680" t="s">
        <v>6153</v>
      </c>
    </row>
    <row r="8435" spans="8:8">
      <c r="H8435" s="680" t="s">
        <v>6153</v>
      </c>
    </row>
    <row r="8436" spans="8:8">
      <c r="H8436" s="680" t="s">
        <v>6153</v>
      </c>
    </row>
    <row r="8437" spans="8:8">
      <c r="H8437" s="680" t="s">
        <v>6153</v>
      </c>
    </row>
    <row r="8438" spans="8:8">
      <c r="H8438" s="680" t="s">
        <v>6153</v>
      </c>
    </row>
    <row r="8439" spans="8:8">
      <c r="H8439" s="680" t="s">
        <v>6153</v>
      </c>
    </row>
    <row r="8440" spans="8:8">
      <c r="H8440" s="680" t="s">
        <v>6153</v>
      </c>
    </row>
    <row r="8441" spans="8:8">
      <c r="H8441" s="680" t="s">
        <v>6153</v>
      </c>
    </row>
    <row r="8442" spans="8:8">
      <c r="H8442" s="680" t="s">
        <v>6153</v>
      </c>
    </row>
    <row r="8443" spans="8:8">
      <c r="H8443" s="680" t="s">
        <v>6153</v>
      </c>
    </row>
    <row r="8444" spans="8:8">
      <c r="H8444" s="680" t="s">
        <v>6153</v>
      </c>
    </row>
    <row r="8445" spans="8:8">
      <c r="H8445" s="680" t="s">
        <v>6153</v>
      </c>
    </row>
    <row r="8446" spans="8:8">
      <c r="H8446" s="680" t="s">
        <v>6153</v>
      </c>
    </row>
    <row r="8447" spans="8:8">
      <c r="H8447" s="680" t="s">
        <v>6153</v>
      </c>
    </row>
    <row r="8448" spans="8:8">
      <c r="H8448" s="680" t="s">
        <v>6153</v>
      </c>
    </row>
    <row r="8449" spans="8:8">
      <c r="H8449" s="680" t="s">
        <v>6153</v>
      </c>
    </row>
    <row r="8450" spans="8:8">
      <c r="H8450" s="680" t="s">
        <v>6153</v>
      </c>
    </row>
    <row r="8451" spans="8:8">
      <c r="H8451" s="680" t="s">
        <v>6153</v>
      </c>
    </row>
    <row r="8452" spans="8:8">
      <c r="H8452" s="680" t="s">
        <v>6153</v>
      </c>
    </row>
    <row r="8453" spans="8:8">
      <c r="H8453" s="680" t="s">
        <v>6153</v>
      </c>
    </row>
    <row r="8454" spans="8:8">
      <c r="H8454" s="680" t="s">
        <v>6153</v>
      </c>
    </row>
    <row r="8455" spans="8:8">
      <c r="H8455" s="680" t="s">
        <v>6153</v>
      </c>
    </row>
    <row r="8456" spans="8:8">
      <c r="H8456" s="680" t="s">
        <v>6153</v>
      </c>
    </row>
    <row r="8457" spans="8:8">
      <c r="H8457" s="680" t="s">
        <v>6153</v>
      </c>
    </row>
    <row r="8458" spans="8:8">
      <c r="H8458" s="680" t="s">
        <v>6153</v>
      </c>
    </row>
    <row r="8459" spans="8:8">
      <c r="H8459" s="680" t="s">
        <v>6153</v>
      </c>
    </row>
    <row r="8460" spans="8:8">
      <c r="H8460" s="680" t="s">
        <v>6153</v>
      </c>
    </row>
    <row r="8461" spans="8:8">
      <c r="H8461" s="680" t="s">
        <v>6153</v>
      </c>
    </row>
    <row r="8462" spans="8:8">
      <c r="H8462" s="680" t="s">
        <v>6153</v>
      </c>
    </row>
    <row r="8463" spans="8:8">
      <c r="H8463" s="680" t="s">
        <v>6153</v>
      </c>
    </row>
    <row r="8464" spans="8:8">
      <c r="H8464" s="680" t="s">
        <v>6153</v>
      </c>
    </row>
    <row r="8465" spans="8:8">
      <c r="H8465" s="680" t="s">
        <v>6153</v>
      </c>
    </row>
    <row r="8466" spans="8:8">
      <c r="H8466" s="680" t="s">
        <v>6153</v>
      </c>
    </row>
    <row r="8467" spans="8:8">
      <c r="H8467" s="680" t="s">
        <v>6153</v>
      </c>
    </row>
    <row r="8468" spans="8:8">
      <c r="H8468" s="680" t="s">
        <v>6153</v>
      </c>
    </row>
    <row r="8469" spans="8:8">
      <c r="H8469" s="680" t="s">
        <v>6153</v>
      </c>
    </row>
    <row r="8470" spans="8:8">
      <c r="H8470" s="680" t="s">
        <v>6153</v>
      </c>
    </row>
    <row r="8471" spans="8:8">
      <c r="H8471" s="680" t="s">
        <v>6153</v>
      </c>
    </row>
    <row r="8472" spans="8:8">
      <c r="H8472" s="680" t="s">
        <v>6153</v>
      </c>
    </row>
    <row r="8473" spans="8:8">
      <c r="H8473" s="680" t="s">
        <v>6153</v>
      </c>
    </row>
    <row r="8474" spans="8:8">
      <c r="H8474" s="680" t="s">
        <v>6153</v>
      </c>
    </row>
    <row r="8475" spans="8:8">
      <c r="H8475" s="680" t="s">
        <v>6153</v>
      </c>
    </row>
    <row r="8476" spans="8:8">
      <c r="H8476" s="680" t="s">
        <v>6153</v>
      </c>
    </row>
    <row r="8477" spans="8:8">
      <c r="H8477" s="680" t="s">
        <v>6153</v>
      </c>
    </row>
    <row r="8478" spans="8:8">
      <c r="H8478" s="680" t="s">
        <v>6153</v>
      </c>
    </row>
    <row r="8479" spans="8:8">
      <c r="H8479" s="680" t="s">
        <v>6153</v>
      </c>
    </row>
    <row r="8480" spans="8:8">
      <c r="H8480" s="680" t="s">
        <v>6153</v>
      </c>
    </row>
    <row r="8481" spans="8:8">
      <c r="H8481" s="680" t="s">
        <v>6153</v>
      </c>
    </row>
    <row r="8482" spans="8:8">
      <c r="H8482" s="680" t="s">
        <v>6153</v>
      </c>
    </row>
    <row r="8483" spans="8:8">
      <c r="H8483" s="680" t="s">
        <v>6153</v>
      </c>
    </row>
    <row r="8484" spans="8:8">
      <c r="H8484" s="680" t="s">
        <v>6153</v>
      </c>
    </row>
    <row r="8485" spans="8:8">
      <c r="H8485" s="680" t="s">
        <v>6153</v>
      </c>
    </row>
    <row r="8486" spans="8:8">
      <c r="H8486" s="680" t="s">
        <v>6153</v>
      </c>
    </row>
    <row r="8487" spans="8:8">
      <c r="H8487" s="680" t="s">
        <v>6153</v>
      </c>
    </row>
    <row r="8488" spans="8:8">
      <c r="H8488" s="680" t="s">
        <v>6153</v>
      </c>
    </row>
    <row r="8489" spans="8:8">
      <c r="H8489" s="680" t="s">
        <v>6153</v>
      </c>
    </row>
    <row r="8490" spans="8:8">
      <c r="H8490" s="680" t="s">
        <v>6153</v>
      </c>
    </row>
    <row r="8491" spans="8:8">
      <c r="H8491" s="680" t="s">
        <v>6153</v>
      </c>
    </row>
    <row r="8492" spans="8:8">
      <c r="H8492" s="680" t="s">
        <v>6153</v>
      </c>
    </row>
    <row r="8493" spans="8:8">
      <c r="H8493" s="680" t="s">
        <v>6153</v>
      </c>
    </row>
    <row r="8494" spans="8:8">
      <c r="H8494" s="680" t="s">
        <v>6153</v>
      </c>
    </row>
    <row r="8495" spans="8:8">
      <c r="H8495" s="680" t="s">
        <v>6153</v>
      </c>
    </row>
    <row r="8496" spans="8:8">
      <c r="H8496" s="680" t="s">
        <v>6153</v>
      </c>
    </row>
    <row r="8497" spans="8:8">
      <c r="H8497" s="680" t="s">
        <v>6153</v>
      </c>
    </row>
    <row r="8498" spans="8:8">
      <c r="H8498" s="680" t="s">
        <v>6153</v>
      </c>
    </row>
    <row r="8499" spans="8:8">
      <c r="H8499" s="680" t="s">
        <v>6153</v>
      </c>
    </row>
    <row r="8500" spans="8:8">
      <c r="H8500" s="680" t="s">
        <v>6153</v>
      </c>
    </row>
    <row r="8501" spans="8:8">
      <c r="H8501" s="680" t="s">
        <v>6153</v>
      </c>
    </row>
    <row r="8502" spans="8:8">
      <c r="H8502" s="680" t="s">
        <v>6153</v>
      </c>
    </row>
    <row r="8503" spans="8:8">
      <c r="H8503" s="680" t="s">
        <v>6153</v>
      </c>
    </row>
    <row r="8504" spans="8:8">
      <c r="H8504" s="680" t="s">
        <v>6153</v>
      </c>
    </row>
    <row r="8505" spans="8:8">
      <c r="H8505" s="680" t="s">
        <v>6153</v>
      </c>
    </row>
    <row r="8506" spans="8:8">
      <c r="H8506" s="680" t="s">
        <v>6153</v>
      </c>
    </row>
    <row r="8507" spans="8:8">
      <c r="H8507" s="680" t="s">
        <v>6153</v>
      </c>
    </row>
    <row r="8508" spans="8:8">
      <c r="H8508" s="680" t="s">
        <v>6153</v>
      </c>
    </row>
    <row r="8509" spans="8:8">
      <c r="H8509" s="680" t="s">
        <v>6153</v>
      </c>
    </row>
    <row r="8510" spans="8:8">
      <c r="H8510" s="680" t="s">
        <v>6153</v>
      </c>
    </row>
    <row r="8511" spans="8:8">
      <c r="H8511" s="680" t="s">
        <v>6153</v>
      </c>
    </row>
    <row r="8512" spans="8:8">
      <c r="H8512" s="680" t="s">
        <v>6153</v>
      </c>
    </row>
    <row r="8513" spans="8:8">
      <c r="H8513" s="680" t="s">
        <v>6153</v>
      </c>
    </row>
    <row r="8514" spans="8:8">
      <c r="H8514" s="680" t="s">
        <v>6153</v>
      </c>
    </row>
    <row r="8515" spans="8:8">
      <c r="H8515" s="680" t="s">
        <v>6153</v>
      </c>
    </row>
    <row r="8516" spans="8:8">
      <c r="H8516" s="680" t="s">
        <v>6153</v>
      </c>
    </row>
    <row r="8517" spans="8:8">
      <c r="H8517" s="680" t="s">
        <v>6153</v>
      </c>
    </row>
    <row r="8518" spans="8:8">
      <c r="H8518" s="680" t="s">
        <v>6153</v>
      </c>
    </row>
    <row r="8519" spans="8:8">
      <c r="H8519" s="680" t="s">
        <v>6153</v>
      </c>
    </row>
    <row r="8520" spans="8:8">
      <c r="H8520" s="680" t="s">
        <v>6153</v>
      </c>
    </row>
    <row r="8521" spans="8:8">
      <c r="H8521" s="680" t="s">
        <v>6153</v>
      </c>
    </row>
    <row r="8522" spans="8:8">
      <c r="H8522" s="680" t="s">
        <v>6153</v>
      </c>
    </row>
    <row r="8523" spans="8:8">
      <c r="H8523" s="680" t="s">
        <v>6153</v>
      </c>
    </row>
    <row r="8524" spans="8:8">
      <c r="H8524" s="680" t="s">
        <v>6153</v>
      </c>
    </row>
    <row r="8525" spans="8:8">
      <c r="H8525" s="680" t="s">
        <v>6153</v>
      </c>
    </row>
    <row r="8526" spans="8:8">
      <c r="H8526" s="680" t="s">
        <v>6153</v>
      </c>
    </row>
    <row r="8527" spans="8:8">
      <c r="H8527" s="680" t="s">
        <v>6153</v>
      </c>
    </row>
    <row r="8528" spans="8:8">
      <c r="H8528" s="680" t="s">
        <v>6153</v>
      </c>
    </row>
    <row r="8529" spans="8:8">
      <c r="H8529" s="680" t="s">
        <v>6153</v>
      </c>
    </row>
    <row r="8530" spans="8:8">
      <c r="H8530" s="680" t="s">
        <v>6153</v>
      </c>
    </row>
    <row r="8531" spans="8:8">
      <c r="H8531" s="680" t="s">
        <v>6153</v>
      </c>
    </row>
    <row r="8532" spans="8:8">
      <c r="H8532" s="680" t="s">
        <v>6153</v>
      </c>
    </row>
    <row r="8533" spans="8:8">
      <c r="H8533" s="680" t="s">
        <v>6153</v>
      </c>
    </row>
    <row r="8534" spans="8:8">
      <c r="H8534" s="680" t="s">
        <v>6153</v>
      </c>
    </row>
    <row r="8535" spans="8:8">
      <c r="H8535" s="680" t="s">
        <v>6153</v>
      </c>
    </row>
    <row r="8536" spans="8:8">
      <c r="H8536" s="680" t="s">
        <v>6153</v>
      </c>
    </row>
    <row r="8537" spans="8:8">
      <c r="H8537" s="680" t="s">
        <v>6153</v>
      </c>
    </row>
    <row r="8538" spans="8:8">
      <c r="H8538" s="680" t="s">
        <v>6153</v>
      </c>
    </row>
    <row r="8539" spans="8:8">
      <c r="H8539" s="680" t="s">
        <v>6153</v>
      </c>
    </row>
    <row r="8540" spans="8:8">
      <c r="H8540" s="680" t="s">
        <v>6153</v>
      </c>
    </row>
    <row r="8541" spans="8:8">
      <c r="H8541" s="680" t="s">
        <v>6153</v>
      </c>
    </row>
    <row r="8542" spans="8:8">
      <c r="H8542" s="680" t="s">
        <v>6153</v>
      </c>
    </row>
    <row r="8543" spans="8:8">
      <c r="H8543" s="680" t="s">
        <v>6153</v>
      </c>
    </row>
    <row r="8544" spans="8:8">
      <c r="H8544" s="680" t="s">
        <v>6153</v>
      </c>
    </row>
    <row r="8545" spans="8:8">
      <c r="H8545" s="680" t="s">
        <v>6153</v>
      </c>
    </row>
    <row r="8546" spans="8:8">
      <c r="H8546" s="680" t="s">
        <v>6153</v>
      </c>
    </row>
    <row r="8547" spans="8:8">
      <c r="H8547" s="680" t="s">
        <v>6153</v>
      </c>
    </row>
    <row r="8548" spans="8:8">
      <c r="H8548" s="680" t="s">
        <v>6153</v>
      </c>
    </row>
    <row r="8549" spans="8:8">
      <c r="H8549" s="680" t="s">
        <v>6153</v>
      </c>
    </row>
    <row r="8550" spans="8:8">
      <c r="H8550" s="680" t="s">
        <v>6153</v>
      </c>
    </row>
    <row r="8551" spans="8:8">
      <c r="H8551" s="680" t="s">
        <v>6153</v>
      </c>
    </row>
    <row r="8552" spans="8:8">
      <c r="H8552" s="680" t="s">
        <v>6153</v>
      </c>
    </row>
    <row r="8553" spans="8:8">
      <c r="H8553" s="680" t="s">
        <v>6153</v>
      </c>
    </row>
    <row r="8554" spans="8:8">
      <c r="H8554" s="680" t="s">
        <v>6153</v>
      </c>
    </row>
    <row r="8555" spans="8:8">
      <c r="H8555" s="680" t="s">
        <v>6153</v>
      </c>
    </row>
    <row r="8556" spans="8:8">
      <c r="H8556" s="680" t="s">
        <v>6153</v>
      </c>
    </row>
    <row r="8557" spans="8:8">
      <c r="H8557" s="680" t="s">
        <v>6153</v>
      </c>
    </row>
    <row r="8558" spans="8:8">
      <c r="H8558" s="680" t="s">
        <v>6153</v>
      </c>
    </row>
    <row r="8559" spans="8:8">
      <c r="H8559" s="680" t="s">
        <v>6153</v>
      </c>
    </row>
    <row r="8560" spans="8:8">
      <c r="H8560" s="680" t="s">
        <v>6153</v>
      </c>
    </row>
    <row r="8561" spans="8:8">
      <c r="H8561" s="680" t="s">
        <v>6153</v>
      </c>
    </row>
    <row r="8562" spans="8:8">
      <c r="H8562" s="680" t="s">
        <v>6153</v>
      </c>
    </row>
    <row r="8563" spans="8:8">
      <c r="H8563" s="680" t="s">
        <v>6153</v>
      </c>
    </row>
    <row r="8564" spans="8:8">
      <c r="H8564" s="680" t="s">
        <v>6153</v>
      </c>
    </row>
    <row r="8565" spans="8:8">
      <c r="H8565" s="680" t="s">
        <v>6153</v>
      </c>
    </row>
    <row r="8566" spans="8:8">
      <c r="H8566" s="680" t="s">
        <v>6153</v>
      </c>
    </row>
    <row r="8567" spans="8:8">
      <c r="H8567" s="680" t="s">
        <v>6153</v>
      </c>
    </row>
    <row r="8568" spans="8:8">
      <c r="H8568" s="680" t="s">
        <v>6153</v>
      </c>
    </row>
    <row r="8569" spans="8:8">
      <c r="H8569" s="680" t="s">
        <v>6153</v>
      </c>
    </row>
    <row r="8570" spans="8:8">
      <c r="H8570" s="680" t="s">
        <v>6153</v>
      </c>
    </row>
    <row r="8571" spans="8:8">
      <c r="H8571" s="680" t="s">
        <v>6153</v>
      </c>
    </row>
    <row r="8572" spans="8:8">
      <c r="H8572" s="680" t="s">
        <v>6153</v>
      </c>
    </row>
    <row r="8573" spans="8:8">
      <c r="H8573" s="680" t="s">
        <v>6153</v>
      </c>
    </row>
    <row r="8574" spans="8:8">
      <c r="H8574" s="680" t="s">
        <v>6153</v>
      </c>
    </row>
    <row r="8575" spans="8:8">
      <c r="H8575" s="680" t="s">
        <v>6153</v>
      </c>
    </row>
    <row r="8576" spans="8:8">
      <c r="H8576" s="680" t="s">
        <v>6153</v>
      </c>
    </row>
    <row r="8577" spans="8:8">
      <c r="H8577" s="680" t="s">
        <v>6153</v>
      </c>
    </row>
    <row r="8578" spans="8:8">
      <c r="H8578" s="680" t="s">
        <v>6153</v>
      </c>
    </row>
    <row r="8579" spans="8:8">
      <c r="H8579" s="680" t="s">
        <v>6153</v>
      </c>
    </row>
    <row r="8580" spans="8:8">
      <c r="H8580" s="680" t="s">
        <v>6153</v>
      </c>
    </row>
    <row r="8581" spans="8:8">
      <c r="H8581" s="680" t="s">
        <v>6153</v>
      </c>
    </row>
    <row r="8582" spans="8:8">
      <c r="H8582" s="680" t="s">
        <v>6153</v>
      </c>
    </row>
    <row r="8583" spans="8:8">
      <c r="H8583" s="680" t="s">
        <v>6153</v>
      </c>
    </row>
    <row r="8584" spans="8:8">
      <c r="H8584" s="680" t="s">
        <v>6153</v>
      </c>
    </row>
    <row r="8585" spans="8:8">
      <c r="H8585" s="680" t="s">
        <v>6153</v>
      </c>
    </row>
    <row r="8586" spans="8:8">
      <c r="H8586" s="680" t="s">
        <v>6153</v>
      </c>
    </row>
    <row r="8587" spans="8:8">
      <c r="H8587" s="680" t="s">
        <v>6153</v>
      </c>
    </row>
    <row r="8588" spans="8:8">
      <c r="H8588" s="680" t="s">
        <v>6153</v>
      </c>
    </row>
    <row r="8589" spans="8:8">
      <c r="H8589" s="680" t="s">
        <v>6153</v>
      </c>
    </row>
    <row r="8590" spans="8:8">
      <c r="H8590" s="680" t="s">
        <v>6153</v>
      </c>
    </row>
    <row r="8591" spans="8:8">
      <c r="H8591" s="680" t="s">
        <v>6153</v>
      </c>
    </row>
    <row r="8592" spans="8:8">
      <c r="H8592" s="680" t="s">
        <v>6153</v>
      </c>
    </row>
    <row r="8593" spans="8:8">
      <c r="H8593" s="680" t="s">
        <v>6153</v>
      </c>
    </row>
    <row r="8594" spans="8:8">
      <c r="H8594" s="680" t="s">
        <v>6153</v>
      </c>
    </row>
    <row r="8595" spans="8:8">
      <c r="H8595" s="680" t="s">
        <v>6153</v>
      </c>
    </row>
    <row r="8596" spans="8:8">
      <c r="H8596" s="680" t="s">
        <v>6153</v>
      </c>
    </row>
    <row r="8597" spans="8:8">
      <c r="H8597" s="680" t="s">
        <v>6153</v>
      </c>
    </row>
    <row r="8598" spans="8:8">
      <c r="H8598" s="680" t="s">
        <v>6153</v>
      </c>
    </row>
    <row r="8599" spans="8:8">
      <c r="H8599" s="680" t="s">
        <v>6153</v>
      </c>
    </row>
    <row r="8600" spans="8:8">
      <c r="H8600" s="680" t="s">
        <v>6153</v>
      </c>
    </row>
    <row r="8601" spans="8:8">
      <c r="H8601" s="680" t="s">
        <v>6153</v>
      </c>
    </row>
    <row r="8602" spans="8:8">
      <c r="H8602" s="680" t="s">
        <v>6153</v>
      </c>
    </row>
    <row r="8603" spans="8:8">
      <c r="H8603" s="680" t="s">
        <v>6153</v>
      </c>
    </row>
    <row r="8604" spans="8:8">
      <c r="H8604" s="680" t="s">
        <v>6153</v>
      </c>
    </row>
    <row r="8605" spans="8:8">
      <c r="H8605" s="680" t="s">
        <v>6153</v>
      </c>
    </row>
    <row r="8606" spans="8:8">
      <c r="H8606" s="680" t="s">
        <v>6153</v>
      </c>
    </row>
    <row r="8607" spans="8:8">
      <c r="H8607" s="680" t="s">
        <v>6153</v>
      </c>
    </row>
    <row r="8608" spans="8:8">
      <c r="H8608" s="680" t="s">
        <v>6153</v>
      </c>
    </row>
    <row r="8609" spans="8:8">
      <c r="H8609" s="680" t="s">
        <v>6153</v>
      </c>
    </row>
    <row r="8610" spans="8:8">
      <c r="H8610" s="680" t="s">
        <v>6153</v>
      </c>
    </row>
    <row r="8611" spans="8:8">
      <c r="H8611" s="680" t="s">
        <v>6153</v>
      </c>
    </row>
    <row r="8612" spans="8:8">
      <c r="H8612" s="680" t="s">
        <v>6153</v>
      </c>
    </row>
    <row r="8613" spans="8:8">
      <c r="H8613" s="680" t="s">
        <v>6153</v>
      </c>
    </row>
    <row r="8614" spans="8:8">
      <c r="H8614" s="680" t="s">
        <v>6153</v>
      </c>
    </row>
    <row r="8615" spans="8:8">
      <c r="H8615" s="680" t="s">
        <v>6153</v>
      </c>
    </row>
    <row r="8616" spans="8:8">
      <c r="H8616" s="680" t="s">
        <v>6153</v>
      </c>
    </row>
    <row r="8617" spans="8:8">
      <c r="H8617" s="680" t="s">
        <v>6153</v>
      </c>
    </row>
    <row r="8618" spans="8:8">
      <c r="H8618" s="680" t="s">
        <v>6153</v>
      </c>
    </row>
    <row r="8619" spans="8:8">
      <c r="H8619" s="680" t="s">
        <v>6153</v>
      </c>
    </row>
    <row r="8620" spans="8:8">
      <c r="H8620" s="680" t="s">
        <v>6153</v>
      </c>
    </row>
    <row r="8621" spans="8:8">
      <c r="H8621" s="680" t="s">
        <v>6153</v>
      </c>
    </row>
    <row r="8622" spans="8:8">
      <c r="H8622" s="680" t="s">
        <v>6153</v>
      </c>
    </row>
    <row r="8623" spans="8:8">
      <c r="H8623" s="680" t="s">
        <v>6153</v>
      </c>
    </row>
    <row r="8624" spans="8:8">
      <c r="H8624" s="680" t="s">
        <v>6153</v>
      </c>
    </row>
    <row r="8625" spans="8:8">
      <c r="H8625" s="680" t="s">
        <v>6153</v>
      </c>
    </row>
    <row r="8626" spans="8:8">
      <c r="H8626" s="680" t="s">
        <v>6153</v>
      </c>
    </row>
    <row r="8627" spans="8:8">
      <c r="H8627" s="680" t="s">
        <v>6153</v>
      </c>
    </row>
    <row r="8628" spans="8:8">
      <c r="H8628" s="680" t="s">
        <v>6153</v>
      </c>
    </row>
    <row r="8629" spans="8:8">
      <c r="H8629" s="680" t="s">
        <v>6153</v>
      </c>
    </row>
    <row r="8630" spans="8:8">
      <c r="H8630" s="680" t="s">
        <v>6153</v>
      </c>
    </row>
    <row r="8631" spans="8:8">
      <c r="H8631" s="680" t="s">
        <v>6153</v>
      </c>
    </row>
    <row r="8632" spans="8:8">
      <c r="H8632" s="680" t="s">
        <v>6153</v>
      </c>
    </row>
    <row r="8633" spans="8:8">
      <c r="H8633" s="680" t="s">
        <v>6153</v>
      </c>
    </row>
    <row r="8634" spans="8:8">
      <c r="H8634" s="680" t="s">
        <v>6153</v>
      </c>
    </row>
    <row r="8635" spans="8:8">
      <c r="H8635" s="680" t="s">
        <v>6153</v>
      </c>
    </row>
    <row r="8636" spans="8:8">
      <c r="H8636" s="680" t="s">
        <v>6153</v>
      </c>
    </row>
    <row r="8637" spans="8:8">
      <c r="H8637" s="680" t="s">
        <v>6153</v>
      </c>
    </row>
    <row r="8638" spans="8:8">
      <c r="H8638" s="680" t="s">
        <v>6153</v>
      </c>
    </row>
    <row r="8639" spans="8:8">
      <c r="H8639" s="680" t="s">
        <v>6153</v>
      </c>
    </row>
    <row r="8640" spans="8:8">
      <c r="H8640" s="680" t="s">
        <v>6153</v>
      </c>
    </row>
    <row r="8641" spans="8:8">
      <c r="H8641" s="680" t="s">
        <v>6153</v>
      </c>
    </row>
    <row r="8642" spans="8:8">
      <c r="H8642" s="680" t="s">
        <v>6153</v>
      </c>
    </row>
    <row r="8643" spans="8:8">
      <c r="H8643" s="680" t="s">
        <v>6153</v>
      </c>
    </row>
    <row r="8644" spans="8:8">
      <c r="H8644" s="680" t="s">
        <v>6153</v>
      </c>
    </row>
    <row r="8645" spans="8:8">
      <c r="H8645" s="680" t="s">
        <v>6153</v>
      </c>
    </row>
    <row r="8646" spans="8:8">
      <c r="H8646" s="680" t="s">
        <v>6153</v>
      </c>
    </row>
    <row r="8647" spans="8:8">
      <c r="H8647" s="680" t="s">
        <v>6153</v>
      </c>
    </row>
    <row r="8648" spans="8:8">
      <c r="H8648" s="680" t="s">
        <v>6153</v>
      </c>
    </row>
    <row r="8649" spans="8:8">
      <c r="H8649" s="680" t="s">
        <v>6153</v>
      </c>
    </row>
    <row r="8650" spans="8:8">
      <c r="H8650" s="680" t="s">
        <v>6153</v>
      </c>
    </row>
    <row r="8651" spans="8:8">
      <c r="H8651" s="680" t="s">
        <v>6153</v>
      </c>
    </row>
    <row r="8652" spans="8:8">
      <c r="H8652" s="680" t="s">
        <v>6153</v>
      </c>
    </row>
    <row r="8653" spans="8:8">
      <c r="H8653" s="680" t="s">
        <v>6153</v>
      </c>
    </row>
    <row r="8654" spans="8:8">
      <c r="H8654" s="680" t="s">
        <v>6153</v>
      </c>
    </row>
    <row r="8655" spans="8:8">
      <c r="H8655" s="680" t="s">
        <v>6153</v>
      </c>
    </row>
    <row r="8656" spans="8:8">
      <c r="H8656" s="680" t="s">
        <v>6153</v>
      </c>
    </row>
    <row r="8657" spans="8:8">
      <c r="H8657" s="680" t="s">
        <v>6153</v>
      </c>
    </row>
    <row r="8658" spans="8:8">
      <c r="H8658" s="680" t="s">
        <v>6153</v>
      </c>
    </row>
    <row r="8659" spans="8:8">
      <c r="H8659" s="680" t="s">
        <v>6153</v>
      </c>
    </row>
    <row r="8660" spans="8:8">
      <c r="H8660" s="680" t="s">
        <v>6153</v>
      </c>
    </row>
    <row r="8661" spans="8:8">
      <c r="H8661" s="680" t="s">
        <v>6153</v>
      </c>
    </row>
    <row r="8662" spans="8:8">
      <c r="H8662" s="680" t="s">
        <v>6153</v>
      </c>
    </row>
    <row r="8663" spans="8:8">
      <c r="H8663" s="680" t="s">
        <v>6153</v>
      </c>
    </row>
    <row r="8664" spans="8:8">
      <c r="H8664" s="680" t="s">
        <v>6153</v>
      </c>
    </row>
    <row r="8665" spans="8:8">
      <c r="H8665" s="680" t="s">
        <v>6153</v>
      </c>
    </row>
    <row r="8666" spans="8:8">
      <c r="H8666" s="680" t="s">
        <v>6153</v>
      </c>
    </row>
    <row r="8667" spans="8:8">
      <c r="H8667" s="680" t="s">
        <v>6153</v>
      </c>
    </row>
    <row r="8668" spans="8:8">
      <c r="H8668" s="680" t="s">
        <v>6153</v>
      </c>
    </row>
    <row r="8669" spans="8:8">
      <c r="H8669" s="680" t="s">
        <v>6153</v>
      </c>
    </row>
    <row r="8670" spans="8:8">
      <c r="H8670" s="680" t="s">
        <v>6153</v>
      </c>
    </row>
    <row r="8671" spans="8:8">
      <c r="H8671" s="680" t="s">
        <v>6153</v>
      </c>
    </row>
    <row r="8672" spans="8:8">
      <c r="H8672" s="680" t="s">
        <v>6153</v>
      </c>
    </row>
    <row r="8673" spans="8:8">
      <c r="H8673" s="680" t="s">
        <v>6153</v>
      </c>
    </row>
    <row r="8674" spans="8:8">
      <c r="H8674" s="680" t="s">
        <v>6153</v>
      </c>
    </row>
    <row r="8675" spans="8:8">
      <c r="H8675" s="680" t="s">
        <v>6153</v>
      </c>
    </row>
    <row r="8676" spans="8:8">
      <c r="H8676" s="680" t="s">
        <v>6153</v>
      </c>
    </row>
    <row r="8677" spans="8:8">
      <c r="H8677" s="680" t="s">
        <v>6153</v>
      </c>
    </row>
    <row r="8678" spans="8:8">
      <c r="H8678" s="680" t="s">
        <v>6153</v>
      </c>
    </row>
    <row r="8679" spans="8:8">
      <c r="H8679" s="680" t="s">
        <v>6153</v>
      </c>
    </row>
    <row r="8680" spans="8:8">
      <c r="H8680" s="680" t="s">
        <v>6153</v>
      </c>
    </row>
    <row r="8681" spans="8:8">
      <c r="H8681" s="680" t="s">
        <v>6153</v>
      </c>
    </row>
    <row r="8682" spans="8:8">
      <c r="H8682" s="680" t="s">
        <v>6153</v>
      </c>
    </row>
    <row r="8683" spans="8:8">
      <c r="H8683" s="680" t="s">
        <v>6153</v>
      </c>
    </row>
    <row r="8684" spans="8:8">
      <c r="H8684" s="680" t="s">
        <v>6153</v>
      </c>
    </row>
    <row r="8685" spans="8:8">
      <c r="H8685" s="680" t="s">
        <v>6153</v>
      </c>
    </row>
    <row r="8686" spans="8:8">
      <c r="H8686" s="680" t="s">
        <v>6153</v>
      </c>
    </row>
    <row r="8687" spans="8:8">
      <c r="H8687" s="680" t="s">
        <v>6153</v>
      </c>
    </row>
    <row r="8688" spans="8:8">
      <c r="H8688" s="680" t="s">
        <v>6153</v>
      </c>
    </row>
    <row r="8689" spans="8:8">
      <c r="H8689" s="680" t="s">
        <v>6153</v>
      </c>
    </row>
    <row r="8690" spans="8:8">
      <c r="H8690" s="680" t="s">
        <v>6153</v>
      </c>
    </row>
    <row r="8691" spans="8:8">
      <c r="H8691" s="680" t="s">
        <v>6153</v>
      </c>
    </row>
    <row r="8692" spans="8:8">
      <c r="H8692" s="680" t="s">
        <v>6153</v>
      </c>
    </row>
    <row r="8693" spans="8:8">
      <c r="H8693" s="680" t="s">
        <v>6153</v>
      </c>
    </row>
    <row r="8694" spans="8:8">
      <c r="H8694" s="680" t="s">
        <v>6153</v>
      </c>
    </row>
    <row r="8695" spans="8:8">
      <c r="H8695" s="680" t="s">
        <v>6153</v>
      </c>
    </row>
    <row r="8696" spans="8:8">
      <c r="H8696" s="680" t="s">
        <v>6153</v>
      </c>
    </row>
    <row r="8697" spans="8:8">
      <c r="H8697" s="680" t="s">
        <v>6153</v>
      </c>
    </row>
    <row r="8698" spans="8:8">
      <c r="H8698" s="680" t="s">
        <v>6153</v>
      </c>
    </row>
    <row r="8699" spans="8:8">
      <c r="H8699" s="680" t="s">
        <v>6153</v>
      </c>
    </row>
    <row r="8700" spans="8:8">
      <c r="H8700" s="680" t="s">
        <v>6153</v>
      </c>
    </row>
    <row r="8701" spans="8:8">
      <c r="H8701" s="680" t="s">
        <v>6153</v>
      </c>
    </row>
    <row r="8702" spans="8:8">
      <c r="H8702" s="680" t="s">
        <v>6153</v>
      </c>
    </row>
    <row r="8703" spans="8:8">
      <c r="H8703" s="680" t="s">
        <v>6153</v>
      </c>
    </row>
    <row r="8704" spans="8:8">
      <c r="H8704" s="680" t="s">
        <v>6153</v>
      </c>
    </row>
    <row r="8705" spans="8:8">
      <c r="H8705" s="680" t="s">
        <v>6153</v>
      </c>
    </row>
    <row r="8706" spans="8:8">
      <c r="H8706" s="680" t="s">
        <v>6153</v>
      </c>
    </row>
    <row r="8707" spans="8:8">
      <c r="H8707" s="680" t="s">
        <v>6153</v>
      </c>
    </row>
    <row r="8708" spans="8:8">
      <c r="H8708" s="680" t="s">
        <v>6153</v>
      </c>
    </row>
    <row r="8709" spans="8:8">
      <c r="H8709" s="680" t="s">
        <v>6153</v>
      </c>
    </row>
    <row r="8710" spans="8:8">
      <c r="H8710" s="680" t="s">
        <v>6153</v>
      </c>
    </row>
    <row r="8711" spans="8:8">
      <c r="H8711" s="680" t="s">
        <v>6153</v>
      </c>
    </row>
    <row r="8712" spans="8:8">
      <c r="H8712" s="680" t="s">
        <v>6153</v>
      </c>
    </row>
    <row r="8713" spans="8:8">
      <c r="H8713" s="680" t="s">
        <v>6153</v>
      </c>
    </row>
    <row r="8714" spans="8:8">
      <c r="H8714" s="680" t="s">
        <v>6153</v>
      </c>
    </row>
    <row r="8715" spans="8:8">
      <c r="H8715" s="680" t="s">
        <v>6153</v>
      </c>
    </row>
    <row r="8716" spans="8:8">
      <c r="H8716" s="680" t="s">
        <v>6153</v>
      </c>
    </row>
    <row r="8717" spans="8:8">
      <c r="H8717" s="680" t="s">
        <v>6153</v>
      </c>
    </row>
    <row r="8718" spans="8:8">
      <c r="H8718" s="680" t="s">
        <v>6153</v>
      </c>
    </row>
    <row r="8719" spans="8:8">
      <c r="H8719" s="680" t="s">
        <v>6153</v>
      </c>
    </row>
    <row r="8720" spans="8:8">
      <c r="H8720" s="680" t="s">
        <v>6153</v>
      </c>
    </row>
    <row r="8721" spans="8:8">
      <c r="H8721" s="680" t="s">
        <v>6153</v>
      </c>
    </row>
    <row r="8722" spans="8:8">
      <c r="H8722" s="680" t="s">
        <v>6153</v>
      </c>
    </row>
    <row r="8723" spans="8:8">
      <c r="H8723" s="680" t="s">
        <v>6153</v>
      </c>
    </row>
    <row r="8724" spans="8:8">
      <c r="H8724" s="680" t="s">
        <v>6153</v>
      </c>
    </row>
    <row r="8725" spans="8:8">
      <c r="H8725" s="680" t="s">
        <v>6153</v>
      </c>
    </row>
    <row r="8726" spans="8:8">
      <c r="H8726" s="680" t="s">
        <v>6153</v>
      </c>
    </row>
    <row r="8727" spans="8:8">
      <c r="H8727" s="680" t="s">
        <v>6153</v>
      </c>
    </row>
    <row r="8728" spans="8:8">
      <c r="H8728" s="680" t="s">
        <v>6153</v>
      </c>
    </row>
    <row r="8729" spans="8:8">
      <c r="H8729" s="680" t="s">
        <v>6153</v>
      </c>
    </row>
    <row r="8730" spans="8:8">
      <c r="H8730" s="680" t="s">
        <v>6153</v>
      </c>
    </row>
    <row r="8731" spans="8:8">
      <c r="H8731" s="680" t="s">
        <v>6153</v>
      </c>
    </row>
    <row r="8732" spans="8:8">
      <c r="H8732" s="680" t="s">
        <v>6153</v>
      </c>
    </row>
    <row r="8733" spans="8:8">
      <c r="H8733" s="680" t="s">
        <v>6153</v>
      </c>
    </row>
    <row r="8734" spans="8:8">
      <c r="H8734" s="680" t="s">
        <v>6153</v>
      </c>
    </row>
    <row r="8735" spans="8:8">
      <c r="H8735" s="680" t="s">
        <v>6153</v>
      </c>
    </row>
    <row r="8736" spans="8:8">
      <c r="H8736" s="680" t="s">
        <v>6153</v>
      </c>
    </row>
    <row r="8737" spans="8:8">
      <c r="H8737" s="680" t="s">
        <v>6153</v>
      </c>
    </row>
    <row r="8738" spans="8:8">
      <c r="H8738" s="680" t="s">
        <v>6153</v>
      </c>
    </row>
    <row r="8739" spans="8:8">
      <c r="H8739" s="680" t="s">
        <v>6153</v>
      </c>
    </row>
    <row r="8740" spans="8:8">
      <c r="H8740" s="680" t="s">
        <v>6153</v>
      </c>
    </row>
    <row r="8741" spans="8:8">
      <c r="H8741" s="680" t="s">
        <v>6153</v>
      </c>
    </row>
    <row r="8742" spans="8:8">
      <c r="H8742" s="680" t="s">
        <v>6153</v>
      </c>
    </row>
    <row r="8743" spans="8:8">
      <c r="H8743" s="680" t="s">
        <v>6153</v>
      </c>
    </row>
    <row r="8744" spans="8:8">
      <c r="H8744" s="680" t="s">
        <v>6153</v>
      </c>
    </row>
    <row r="8745" spans="8:8">
      <c r="H8745" s="680" t="s">
        <v>6153</v>
      </c>
    </row>
    <row r="8746" spans="8:8">
      <c r="H8746" s="680" t="s">
        <v>6153</v>
      </c>
    </row>
    <row r="8747" spans="8:8">
      <c r="H8747" s="680" t="s">
        <v>6153</v>
      </c>
    </row>
    <row r="8748" spans="8:8">
      <c r="H8748" s="680" t="s">
        <v>6153</v>
      </c>
    </row>
    <row r="8749" spans="8:8">
      <c r="H8749" s="680" t="s">
        <v>6153</v>
      </c>
    </row>
    <row r="8750" spans="8:8">
      <c r="H8750" s="680" t="s">
        <v>6153</v>
      </c>
    </row>
    <row r="8751" spans="8:8">
      <c r="H8751" s="680" t="s">
        <v>6153</v>
      </c>
    </row>
    <row r="8752" spans="8:8">
      <c r="H8752" s="680" t="s">
        <v>6153</v>
      </c>
    </row>
    <row r="8753" spans="8:8">
      <c r="H8753" s="680" t="s">
        <v>6153</v>
      </c>
    </row>
    <row r="8754" spans="8:8">
      <c r="H8754" s="680" t="s">
        <v>6153</v>
      </c>
    </row>
    <row r="8755" spans="8:8">
      <c r="H8755" s="680" t="s">
        <v>6153</v>
      </c>
    </row>
    <row r="8756" spans="8:8">
      <c r="H8756" s="680" t="s">
        <v>6153</v>
      </c>
    </row>
    <row r="8757" spans="8:8">
      <c r="H8757" s="680" t="s">
        <v>6153</v>
      </c>
    </row>
    <row r="8758" spans="8:8">
      <c r="H8758" s="680" t="s">
        <v>6153</v>
      </c>
    </row>
    <row r="8759" spans="8:8">
      <c r="H8759" s="680" t="s">
        <v>6153</v>
      </c>
    </row>
    <row r="8760" spans="8:8">
      <c r="H8760" s="680" t="s">
        <v>6153</v>
      </c>
    </row>
    <row r="8761" spans="8:8">
      <c r="H8761" s="680" t="s">
        <v>6153</v>
      </c>
    </row>
    <row r="8762" spans="8:8">
      <c r="H8762" s="680" t="s">
        <v>6153</v>
      </c>
    </row>
    <row r="8763" spans="8:8">
      <c r="H8763" s="680" t="s">
        <v>6153</v>
      </c>
    </row>
    <row r="8764" spans="8:8">
      <c r="H8764" s="680" t="s">
        <v>6153</v>
      </c>
    </row>
    <row r="8765" spans="8:8">
      <c r="H8765" s="680" t="s">
        <v>6153</v>
      </c>
    </row>
    <row r="8766" spans="8:8">
      <c r="H8766" s="680" t="s">
        <v>6153</v>
      </c>
    </row>
    <row r="8767" spans="8:8">
      <c r="H8767" s="680" t="s">
        <v>6153</v>
      </c>
    </row>
    <row r="8768" spans="8:8">
      <c r="H8768" s="680" t="s">
        <v>6153</v>
      </c>
    </row>
    <row r="8769" spans="8:8">
      <c r="H8769" s="680" t="s">
        <v>6153</v>
      </c>
    </row>
    <row r="8770" spans="8:8">
      <c r="H8770" s="680" t="s">
        <v>6153</v>
      </c>
    </row>
    <row r="8771" spans="8:8">
      <c r="H8771" s="680" t="s">
        <v>6153</v>
      </c>
    </row>
    <row r="8772" spans="8:8">
      <c r="H8772" s="680" t="s">
        <v>6153</v>
      </c>
    </row>
    <row r="8773" spans="8:8">
      <c r="H8773" s="680" t="s">
        <v>6153</v>
      </c>
    </row>
    <row r="8774" spans="8:8">
      <c r="H8774" s="680" t="s">
        <v>6153</v>
      </c>
    </row>
    <row r="8775" spans="8:8">
      <c r="H8775" s="680" t="s">
        <v>6153</v>
      </c>
    </row>
    <row r="8776" spans="8:8">
      <c r="H8776" s="680" t="s">
        <v>6153</v>
      </c>
    </row>
    <row r="8777" spans="8:8">
      <c r="H8777" s="680" t="s">
        <v>6153</v>
      </c>
    </row>
    <row r="8778" spans="8:8">
      <c r="H8778" s="680" t="s">
        <v>6153</v>
      </c>
    </row>
    <row r="8779" spans="8:8">
      <c r="H8779" s="680" t="s">
        <v>6153</v>
      </c>
    </row>
    <row r="8780" spans="8:8">
      <c r="H8780" s="680" t="s">
        <v>6153</v>
      </c>
    </row>
    <row r="8781" spans="8:8">
      <c r="H8781" s="680" t="s">
        <v>6153</v>
      </c>
    </row>
    <row r="8782" spans="8:8">
      <c r="H8782" s="680" t="s">
        <v>6153</v>
      </c>
    </row>
    <row r="8783" spans="8:8">
      <c r="H8783" s="680" t="s">
        <v>6153</v>
      </c>
    </row>
    <row r="8784" spans="8:8">
      <c r="H8784" s="680" t="s">
        <v>6153</v>
      </c>
    </row>
    <row r="8785" spans="8:8">
      <c r="H8785" s="680" t="s">
        <v>6153</v>
      </c>
    </row>
    <row r="8786" spans="8:8">
      <c r="H8786" s="680" t="s">
        <v>6153</v>
      </c>
    </row>
    <row r="8787" spans="8:8">
      <c r="H8787" s="680" t="s">
        <v>6153</v>
      </c>
    </row>
    <row r="8788" spans="8:8">
      <c r="H8788" s="680" t="s">
        <v>6153</v>
      </c>
    </row>
    <row r="8789" spans="8:8">
      <c r="H8789" s="680" t="s">
        <v>6153</v>
      </c>
    </row>
    <row r="8790" spans="8:8">
      <c r="H8790" s="680" t="s">
        <v>6153</v>
      </c>
    </row>
    <row r="8791" spans="8:8">
      <c r="H8791" s="680" t="s">
        <v>6153</v>
      </c>
    </row>
    <row r="8792" spans="8:8">
      <c r="H8792" s="680" t="s">
        <v>6153</v>
      </c>
    </row>
    <row r="8793" spans="8:8">
      <c r="H8793" s="680" t="s">
        <v>6153</v>
      </c>
    </row>
    <row r="8794" spans="8:8">
      <c r="H8794" s="680" t="s">
        <v>6153</v>
      </c>
    </row>
    <row r="8795" spans="8:8">
      <c r="H8795" s="680" t="s">
        <v>6153</v>
      </c>
    </row>
    <row r="8796" spans="8:8">
      <c r="H8796" s="680" t="s">
        <v>6153</v>
      </c>
    </row>
    <row r="8797" spans="8:8">
      <c r="H8797" s="680" t="s">
        <v>6153</v>
      </c>
    </row>
    <row r="8798" spans="8:8">
      <c r="H8798" s="680" t="s">
        <v>6153</v>
      </c>
    </row>
    <row r="8799" spans="8:8">
      <c r="H8799" s="680" t="s">
        <v>6153</v>
      </c>
    </row>
    <row r="8800" spans="8:8">
      <c r="H8800" s="680" t="s">
        <v>6153</v>
      </c>
    </row>
    <row r="8801" spans="8:8">
      <c r="H8801" s="680" t="s">
        <v>6153</v>
      </c>
    </row>
    <row r="8802" spans="8:8">
      <c r="H8802" s="680" t="s">
        <v>6153</v>
      </c>
    </row>
    <row r="8803" spans="8:8">
      <c r="H8803" s="680" t="s">
        <v>6153</v>
      </c>
    </row>
    <row r="8804" spans="8:8">
      <c r="H8804" s="680" t="s">
        <v>6153</v>
      </c>
    </row>
    <row r="8805" spans="8:8">
      <c r="H8805" s="680" t="s">
        <v>6153</v>
      </c>
    </row>
    <row r="8806" spans="8:8">
      <c r="H8806" s="680" t="s">
        <v>6153</v>
      </c>
    </row>
    <row r="8807" spans="8:8">
      <c r="H8807" s="680" t="s">
        <v>6153</v>
      </c>
    </row>
    <row r="8808" spans="8:8">
      <c r="H8808" s="680" t="s">
        <v>6153</v>
      </c>
    </row>
    <row r="8809" spans="8:8">
      <c r="H8809" s="680" t="s">
        <v>6153</v>
      </c>
    </row>
    <row r="8810" spans="8:8">
      <c r="H8810" s="680" t="s">
        <v>6153</v>
      </c>
    </row>
    <row r="8811" spans="8:8">
      <c r="H8811" s="680" t="s">
        <v>6153</v>
      </c>
    </row>
    <row r="8812" spans="8:8">
      <c r="H8812" s="680" t="s">
        <v>6153</v>
      </c>
    </row>
    <row r="8813" spans="8:8">
      <c r="H8813" s="680" t="s">
        <v>6153</v>
      </c>
    </row>
    <row r="8814" spans="8:8">
      <c r="H8814" s="680" t="s">
        <v>6153</v>
      </c>
    </row>
    <row r="8815" spans="8:8">
      <c r="H8815" s="680" t="s">
        <v>6153</v>
      </c>
    </row>
    <row r="8816" spans="8:8">
      <c r="H8816" s="680" t="s">
        <v>6153</v>
      </c>
    </row>
    <row r="8817" spans="8:8">
      <c r="H8817" s="680" t="s">
        <v>6153</v>
      </c>
    </row>
    <row r="8818" spans="8:8">
      <c r="H8818" s="680" t="s">
        <v>6153</v>
      </c>
    </row>
    <row r="8819" spans="8:8">
      <c r="H8819" s="680" t="s">
        <v>6153</v>
      </c>
    </row>
    <row r="8820" spans="8:8">
      <c r="H8820" s="680" t="s">
        <v>6153</v>
      </c>
    </row>
    <row r="8821" spans="8:8">
      <c r="H8821" s="680" t="s">
        <v>6153</v>
      </c>
    </row>
    <row r="8822" spans="8:8">
      <c r="H8822" s="680" t="s">
        <v>6153</v>
      </c>
    </row>
    <row r="8823" spans="8:8">
      <c r="H8823" s="680" t="s">
        <v>6153</v>
      </c>
    </row>
    <row r="8824" spans="8:8">
      <c r="H8824" s="680" t="s">
        <v>6153</v>
      </c>
    </row>
    <row r="8825" spans="8:8">
      <c r="H8825" s="680" t="s">
        <v>6153</v>
      </c>
    </row>
    <row r="8826" spans="8:8">
      <c r="H8826" s="680" t="s">
        <v>6153</v>
      </c>
    </row>
    <row r="8827" spans="8:8">
      <c r="H8827" s="680" t="s">
        <v>6153</v>
      </c>
    </row>
    <row r="8828" spans="8:8">
      <c r="H8828" s="680" t="s">
        <v>6153</v>
      </c>
    </row>
    <row r="8829" spans="8:8">
      <c r="H8829" s="680" t="s">
        <v>6153</v>
      </c>
    </row>
    <row r="8830" spans="8:8">
      <c r="H8830" s="680" t="s">
        <v>6153</v>
      </c>
    </row>
    <row r="8831" spans="8:8">
      <c r="H8831" s="680" t="s">
        <v>6153</v>
      </c>
    </row>
    <row r="8832" spans="8:8">
      <c r="H8832" s="680" t="s">
        <v>6153</v>
      </c>
    </row>
    <row r="8833" spans="8:8">
      <c r="H8833" s="680" t="s">
        <v>6153</v>
      </c>
    </row>
    <row r="8834" spans="8:8">
      <c r="H8834" s="680" t="s">
        <v>6153</v>
      </c>
    </row>
    <row r="8835" spans="8:8">
      <c r="H8835" s="680" t="s">
        <v>6153</v>
      </c>
    </row>
    <row r="8836" spans="8:8">
      <c r="H8836" s="680" t="s">
        <v>6153</v>
      </c>
    </row>
    <row r="8837" spans="8:8">
      <c r="H8837" s="680" t="s">
        <v>6153</v>
      </c>
    </row>
    <row r="8838" spans="8:8">
      <c r="H8838" s="680" t="s">
        <v>6153</v>
      </c>
    </row>
    <row r="8839" spans="8:8">
      <c r="H8839" s="680" t="s">
        <v>6153</v>
      </c>
    </row>
    <row r="8840" spans="8:8">
      <c r="H8840" s="680" t="s">
        <v>6153</v>
      </c>
    </row>
    <row r="8841" spans="8:8">
      <c r="H8841" s="680" t="s">
        <v>6153</v>
      </c>
    </row>
    <row r="8842" spans="8:8">
      <c r="H8842" s="680" t="s">
        <v>6153</v>
      </c>
    </row>
    <row r="8843" spans="8:8">
      <c r="H8843" s="680" t="s">
        <v>6153</v>
      </c>
    </row>
    <row r="8844" spans="8:8">
      <c r="H8844" s="680" t="s">
        <v>6153</v>
      </c>
    </row>
    <row r="8845" spans="8:8">
      <c r="H8845" s="680" t="s">
        <v>6153</v>
      </c>
    </row>
    <row r="8846" spans="8:8">
      <c r="H8846" s="680" t="s">
        <v>6153</v>
      </c>
    </row>
    <row r="8847" spans="8:8">
      <c r="H8847" s="680" t="s">
        <v>6153</v>
      </c>
    </row>
    <row r="8848" spans="8:8">
      <c r="H8848" s="680" t="s">
        <v>6153</v>
      </c>
    </row>
    <row r="8849" spans="8:8">
      <c r="H8849" s="680" t="s">
        <v>6153</v>
      </c>
    </row>
    <row r="8850" spans="8:8">
      <c r="H8850" s="680" t="s">
        <v>6153</v>
      </c>
    </row>
    <row r="8851" spans="8:8">
      <c r="H8851" s="680" t="s">
        <v>6153</v>
      </c>
    </row>
    <row r="8852" spans="8:8">
      <c r="H8852" s="680" t="s">
        <v>6153</v>
      </c>
    </row>
    <row r="8853" spans="8:8">
      <c r="H8853" s="680" t="s">
        <v>6153</v>
      </c>
    </row>
    <row r="8854" spans="8:8">
      <c r="H8854" s="680" t="s">
        <v>6153</v>
      </c>
    </row>
    <row r="8855" spans="8:8">
      <c r="H8855" s="680" t="s">
        <v>6153</v>
      </c>
    </row>
    <row r="8856" spans="8:8">
      <c r="H8856" s="680" t="s">
        <v>6153</v>
      </c>
    </row>
    <row r="8857" spans="8:8">
      <c r="H8857" s="680" t="s">
        <v>6153</v>
      </c>
    </row>
    <row r="8858" spans="8:8">
      <c r="H8858" s="680" t="s">
        <v>6153</v>
      </c>
    </row>
    <row r="8859" spans="8:8">
      <c r="H8859" s="680" t="s">
        <v>6153</v>
      </c>
    </row>
    <row r="8860" spans="8:8">
      <c r="H8860" s="680" t="s">
        <v>6153</v>
      </c>
    </row>
    <row r="8861" spans="8:8">
      <c r="H8861" s="680" t="s">
        <v>6153</v>
      </c>
    </row>
    <row r="8862" spans="8:8">
      <c r="H8862" s="680" t="s">
        <v>6153</v>
      </c>
    </row>
    <row r="8863" spans="8:8">
      <c r="H8863" s="680" t="s">
        <v>6153</v>
      </c>
    </row>
    <row r="8864" spans="8:8">
      <c r="H8864" s="680" t="s">
        <v>6153</v>
      </c>
    </row>
    <row r="8865" spans="8:8">
      <c r="H8865" s="680" t="s">
        <v>6153</v>
      </c>
    </row>
    <row r="8866" spans="8:8">
      <c r="H8866" s="680" t="s">
        <v>6153</v>
      </c>
    </row>
    <row r="8867" spans="8:8">
      <c r="H8867" s="680" t="s">
        <v>6153</v>
      </c>
    </row>
    <row r="8868" spans="8:8">
      <c r="H8868" s="680" t="s">
        <v>6153</v>
      </c>
    </row>
    <row r="8869" spans="8:8">
      <c r="H8869" s="680" t="s">
        <v>6153</v>
      </c>
    </row>
    <row r="8870" spans="8:8">
      <c r="H8870" s="680" t="s">
        <v>6153</v>
      </c>
    </row>
    <row r="8871" spans="8:8">
      <c r="H8871" s="680" t="s">
        <v>6153</v>
      </c>
    </row>
    <row r="8872" spans="8:8">
      <c r="H8872" s="680" t="s">
        <v>6153</v>
      </c>
    </row>
    <row r="8873" spans="8:8">
      <c r="H8873" s="680" t="s">
        <v>6153</v>
      </c>
    </row>
    <row r="8874" spans="8:8">
      <c r="H8874" s="680" t="s">
        <v>6153</v>
      </c>
    </row>
    <row r="8875" spans="8:8">
      <c r="H8875" s="680" t="s">
        <v>6153</v>
      </c>
    </row>
    <row r="8876" spans="8:8">
      <c r="H8876" s="680" t="s">
        <v>6153</v>
      </c>
    </row>
    <row r="8877" spans="8:8">
      <c r="H8877" s="680" t="s">
        <v>6153</v>
      </c>
    </row>
    <row r="8878" spans="8:8">
      <c r="H8878" s="680" t="s">
        <v>6153</v>
      </c>
    </row>
    <row r="8879" spans="8:8">
      <c r="H8879" s="680" t="s">
        <v>6153</v>
      </c>
    </row>
    <row r="8880" spans="8:8">
      <c r="H8880" s="680" t="s">
        <v>6153</v>
      </c>
    </row>
    <row r="8881" spans="8:8">
      <c r="H8881" s="680" t="s">
        <v>6153</v>
      </c>
    </row>
    <row r="8882" spans="8:8">
      <c r="H8882" s="680" t="s">
        <v>6153</v>
      </c>
    </row>
    <row r="8883" spans="8:8">
      <c r="H8883" s="680" t="s">
        <v>6153</v>
      </c>
    </row>
    <row r="8884" spans="8:8">
      <c r="H8884" s="680" t="s">
        <v>6153</v>
      </c>
    </row>
    <row r="8885" spans="8:8">
      <c r="H8885" s="680" t="s">
        <v>6153</v>
      </c>
    </row>
    <row r="8886" spans="8:8">
      <c r="H8886" s="680" t="s">
        <v>6153</v>
      </c>
    </row>
    <row r="8887" spans="8:8">
      <c r="H8887" s="680" t="s">
        <v>6153</v>
      </c>
    </row>
    <row r="8888" spans="8:8">
      <c r="H8888" s="680" t="s">
        <v>6153</v>
      </c>
    </row>
    <row r="8889" spans="8:8">
      <c r="H8889" s="680" t="s">
        <v>6153</v>
      </c>
    </row>
    <row r="8890" spans="8:8">
      <c r="H8890" s="680" t="s">
        <v>6153</v>
      </c>
    </row>
    <row r="8891" spans="8:8">
      <c r="H8891" s="680" t="s">
        <v>6153</v>
      </c>
    </row>
    <row r="8892" spans="8:8">
      <c r="H8892" s="680" t="s">
        <v>6153</v>
      </c>
    </row>
    <row r="8893" spans="8:8">
      <c r="H8893" s="680" t="s">
        <v>6153</v>
      </c>
    </row>
    <row r="8894" spans="8:8">
      <c r="H8894" s="680" t="s">
        <v>6153</v>
      </c>
    </row>
    <row r="8895" spans="8:8">
      <c r="H8895" s="680" t="s">
        <v>6153</v>
      </c>
    </row>
    <row r="8896" spans="8:8">
      <c r="H8896" s="680" t="s">
        <v>6153</v>
      </c>
    </row>
    <row r="8897" spans="8:8">
      <c r="H8897" s="680" t="s">
        <v>6153</v>
      </c>
    </row>
    <row r="8898" spans="8:8">
      <c r="H8898" s="680" t="s">
        <v>6153</v>
      </c>
    </row>
    <row r="8899" spans="8:8">
      <c r="H8899" s="680" t="s">
        <v>6153</v>
      </c>
    </row>
    <row r="8900" spans="8:8">
      <c r="H8900" s="680" t="s">
        <v>6153</v>
      </c>
    </row>
    <row r="8901" spans="8:8">
      <c r="H8901" s="680" t="s">
        <v>6153</v>
      </c>
    </row>
    <row r="8902" spans="8:8">
      <c r="H8902" s="680" t="s">
        <v>6153</v>
      </c>
    </row>
    <row r="8903" spans="8:8">
      <c r="H8903" s="680" t="s">
        <v>6153</v>
      </c>
    </row>
    <row r="8904" spans="8:8">
      <c r="H8904" s="680" t="s">
        <v>6153</v>
      </c>
    </row>
    <row r="8905" spans="8:8">
      <c r="H8905" s="680" t="s">
        <v>6153</v>
      </c>
    </row>
    <row r="8906" spans="8:8">
      <c r="H8906" s="680" t="s">
        <v>6153</v>
      </c>
    </row>
    <row r="8907" spans="8:8">
      <c r="H8907" s="680" t="s">
        <v>6153</v>
      </c>
    </row>
    <row r="8908" spans="8:8">
      <c r="H8908" s="680" t="s">
        <v>6153</v>
      </c>
    </row>
    <row r="8909" spans="8:8">
      <c r="H8909" s="680" t="s">
        <v>6153</v>
      </c>
    </row>
    <row r="8910" spans="8:8">
      <c r="H8910" s="680" t="s">
        <v>6153</v>
      </c>
    </row>
    <row r="8911" spans="8:8">
      <c r="H8911" s="680" t="s">
        <v>6153</v>
      </c>
    </row>
    <row r="8912" spans="8:8">
      <c r="H8912" s="680" t="s">
        <v>6153</v>
      </c>
    </row>
    <row r="8913" spans="8:8">
      <c r="H8913" s="680" t="s">
        <v>6153</v>
      </c>
    </row>
    <row r="8914" spans="8:8">
      <c r="H8914" s="680" t="s">
        <v>6153</v>
      </c>
    </row>
    <row r="8915" spans="8:8">
      <c r="H8915" s="680" t="s">
        <v>6153</v>
      </c>
    </row>
    <row r="8916" spans="8:8">
      <c r="H8916" s="680" t="s">
        <v>6153</v>
      </c>
    </row>
    <row r="8917" spans="8:8">
      <c r="H8917" s="680" t="s">
        <v>6153</v>
      </c>
    </row>
    <row r="8918" spans="8:8">
      <c r="H8918" s="680" t="s">
        <v>6153</v>
      </c>
    </row>
    <row r="8919" spans="8:8">
      <c r="H8919" s="680" t="s">
        <v>6153</v>
      </c>
    </row>
    <row r="8920" spans="8:8">
      <c r="H8920" s="680" t="s">
        <v>6153</v>
      </c>
    </row>
    <row r="8921" spans="8:8">
      <c r="H8921" s="680" t="s">
        <v>6153</v>
      </c>
    </row>
    <row r="8922" spans="8:8">
      <c r="H8922" s="680" t="s">
        <v>6153</v>
      </c>
    </row>
    <row r="8923" spans="8:8">
      <c r="H8923" s="680" t="s">
        <v>6153</v>
      </c>
    </row>
    <row r="8924" spans="8:8">
      <c r="H8924" s="680" t="s">
        <v>6153</v>
      </c>
    </row>
    <row r="8925" spans="8:8">
      <c r="H8925" s="680" t="s">
        <v>6153</v>
      </c>
    </row>
    <row r="8926" spans="8:8">
      <c r="H8926" s="680" t="s">
        <v>6153</v>
      </c>
    </row>
    <row r="8927" spans="8:8">
      <c r="H8927" s="680" t="s">
        <v>6153</v>
      </c>
    </row>
    <row r="8928" spans="8:8">
      <c r="H8928" s="680" t="s">
        <v>6153</v>
      </c>
    </row>
    <row r="8929" spans="8:8">
      <c r="H8929" s="680" t="s">
        <v>6153</v>
      </c>
    </row>
    <row r="8930" spans="8:8">
      <c r="H8930" s="680" t="s">
        <v>6153</v>
      </c>
    </row>
    <row r="8931" spans="8:8">
      <c r="H8931" s="680" t="s">
        <v>6153</v>
      </c>
    </row>
    <row r="8932" spans="8:8">
      <c r="H8932" s="680" t="s">
        <v>6153</v>
      </c>
    </row>
    <row r="8933" spans="8:8">
      <c r="H8933" s="680" t="s">
        <v>6153</v>
      </c>
    </row>
    <row r="8934" spans="8:8">
      <c r="H8934" s="680" t="s">
        <v>6153</v>
      </c>
    </row>
    <row r="8935" spans="8:8">
      <c r="H8935" s="680" t="s">
        <v>6153</v>
      </c>
    </row>
    <row r="8936" spans="8:8">
      <c r="H8936" s="680" t="s">
        <v>6153</v>
      </c>
    </row>
    <row r="8937" spans="8:8">
      <c r="H8937" s="680" t="s">
        <v>6153</v>
      </c>
    </row>
    <row r="8938" spans="8:8">
      <c r="H8938" s="680" t="s">
        <v>6153</v>
      </c>
    </row>
    <row r="8939" spans="8:8">
      <c r="H8939" s="680" t="s">
        <v>6153</v>
      </c>
    </row>
    <row r="8940" spans="8:8">
      <c r="H8940" s="680" t="s">
        <v>6153</v>
      </c>
    </row>
    <row r="8941" spans="8:8">
      <c r="H8941" s="680" t="s">
        <v>6153</v>
      </c>
    </row>
    <row r="8942" spans="8:8">
      <c r="H8942" s="680" t="s">
        <v>6153</v>
      </c>
    </row>
    <row r="8943" spans="8:8">
      <c r="H8943" s="680" t="s">
        <v>6153</v>
      </c>
    </row>
    <row r="8944" spans="8:8">
      <c r="H8944" s="680" t="s">
        <v>6153</v>
      </c>
    </row>
    <row r="8945" spans="8:8">
      <c r="H8945" s="680" t="s">
        <v>6153</v>
      </c>
    </row>
    <row r="8946" spans="8:8">
      <c r="H8946" s="680" t="s">
        <v>6153</v>
      </c>
    </row>
    <row r="8947" spans="8:8">
      <c r="H8947" s="680" t="s">
        <v>6153</v>
      </c>
    </row>
    <row r="8948" spans="8:8">
      <c r="H8948" s="680" t="s">
        <v>6153</v>
      </c>
    </row>
    <row r="8949" spans="8:8">
      <c r="H8949" s="680" t="s">
        <v>6153</v>
      </c>
    </row>
    <row r="8950" spans="8:8">
      <c r="H8950" s="680" t="s">
        <v>6153</v>
      </c>
    </row>
    <row r="8951" spans="8:8">
      <c r="H8951" s="680" t="s">
        <v>6153</v>
      </c>
    </row>
    <row r="8952" spans="8:8">
      <c r="H8952" s="680" t="s">
        <v>6153</v>
      </c>
    </row>
    <row r="8953" spans="8:8">
      <c r="H8953" s="680" t="s">
        <v>6153</v>
      </c>
    </row>
    <row r="8954" spans="8:8">
      <c r="H8954" s="680" t="s">
        <v>6153</v>
      </c>
    </row>
    <row r="8955" spans="8:8">
      <c r="H8955" s="680" t="s">
        <v>6153</v>
      </c>
    </row>
    <row r="8956" spans="8:8">
      <c r="H8956" s="680" t="s">
        <v>6153</v>
      </c>
    </row>
    <row r="8957" spans="8:8">
      <c r="H8957" s="680" t="s">
        <v>6153</v>
      </c>
    </row>
    <row r="8958" spans="8:8">
      <c r="H8958" s="680" t="s">
        <v>6153</v>
      </c>
    </row>
    <row r="8959" spans="8:8">
      <c r="H8959" s="680" t="s">
        <v>6153</v>
      </c>
    </row>
    <row r="8960" spans="8:8">
      <c r="H8960" s="680" t="s">
        <v>6153</v>
      </c>
    </row>
    <row r="8961" spans="8:8">
      <c r="H8961" s="680" t="s">
        <v>6153</v>
      </c>
    </row>
    <row r="8962" spans="8:8">
      <c r="H8962" s="680" t="s">
        <v>6153</v>
      </c>
    </row>
    <row r="8963" spans="8:8">
      <c r="H8963" s="680" t="s">
        <v>6153</v>
      </c>
    </row>
    <row r="8964" spans="8:8">
      <c r="H8964" s="680" t="s">
        <v>6153</v>
      </c>
    </row>
    <row r="8965" spans="8:8">
      <c r="H8965" s="680" t="s">
        <v>6153</v>
      </c>
    </row>
    <row r="8966" spans="8:8">
      <c r="H8966" s="680" t="s">
        <v>6153</v>
      </c>
    </row>
    <row r="8967" spans="8:8">
      <c r="H8967" s="680" t="s">
        <v>6153</v>
      </c>
    </row>
    <row r="8968" spans="8:8">
      <c r="H8968" s="680" t="s">
        <v>6153</v>
      </c>
    </row>
    <row r="8969" spans="8:8">
      <c r="H8969" s="680" t="s">
        <v>6153</v>
      </c>
    </row>
    <row r="8970" spans="8:8">
      <c r="H8970" s="680" t="s">
        <v>6153</v>
      </c>
    </row>
    <row r="8971" spans="8:8">
      <c r="H8971" s="680" t="s">
        <v>6153</v>
      </c>
    </row>
    <row r="8972" spans="8:8">
      <c r="H8972" s="680" t="s">
        <v>6153</v>
      </c>
    </row>
    <row r="8973" spans="8:8">
      <c r="H8973" s="680" t="s">
        <v>6153</v>
      </c>
    </row>
    <row r="8974" spans="8:8">
      <c r="H8974" s="680" t="s">
        <v>6153</v>
      </c>
    </row>
    <row r="8975" spans="8:8">
      <c r="H8975" s="680" t="s">
        <v>6153</v>
      </c>
    </row>
    <row r="8976" spans="8:8">
      <c r="H8976" s="680" t="s">
        <v>6153</v>
      </c>
    </row>
    <row r="8977" spans="8:8">
      <c r="H8977" s="680" t="s">
        <v>6153</v>
      </c>
    </row>
    <row r="8978" spans="8:8">
      <c r="H8978" s="680" t="s">
        <v>6153</v>
      </c>
    </row>
    <row r="8979" spans="8:8">
      <c r="H8979" s="680" t="s">
        <v>6153</v>
      </c>
    </row>
    <row r="8980" spans="8:8">
      <c r="H8980" s="680" t="s">
        <v>6153</v>
      </c>
    </row>
    <row r="8981" spans="8:8">
      <c r="H8981" s="680" t="s">
        <v>6153</v>
      </c>
    </row>
    <row r="8982" spans="8:8">
      <c r="H8982" s="680" t="s">
        <v>6153</v>
      </c>
    </row>
    <row r="8983" spans="8:8">
      <c r="H8983" s="680" t="s">
        <v>6153</v>
      </c>
    </row>
    <row r="8984" spans="8:8">
      <c r="H8984" s="680" t="s">
        <v>6153</v>
      </c>
    </row>
    <row r="8985" spans="8:8">
      <c r="H8985" s="680" t="s">
        <v>6153</v>
      </c>
    </row>
    <row r="8986" spans="8:8">
      <c r="H8986" s="680" t="s">
        <v>6153</v>
      </c>
    </row>
    <row r="8987" spans="8:8">
      <c r="H8987" s="680" t="s">
        <v>6153</v>
      </c>
    </row>
    <row r="8988" spans="8:8">
      <c r="H8988" s="680" t="s">
        <v>6153</v>
      </c>
    </row>
    <row r="8989" spans="8:8">
      <c r="H8989" s="680" t="s">
        <v>6153</v>
      </c>
    </row>
    <row r="8990" spans="8:8">
      <c r="H8990" s="680" t="s">
        <v>6153</v>
      </c>
    </row>
    <row r="8991" spans="8:8">
      <c r="H8991" s="680" t="s">
        <v>6153</v>
      </c>
    </row>
    <row r="8992" spans="8:8">
      <c r="H8992" s="680" t="s">
        <v>6153</v>
      </c>
    </row>
    <row r="8993" spans="8:8">
      <c r="H8993" s="680" t="s">
        <v>6153</v>
      </c>
    </row>
    <row r="8994" spans="8:8">
      <c r="H8994" s="680" t="s">
        <v>6153</v>
      </c>
    </row>
    <row r="8995" spans="8:8">
      <c r="H8995" s="680" t="s">
        <v>6153</v>
      </c>
    </row>
    <row r="8996" spans="8:8">
      <c r="H8996" s="680" t="s">
        <v>6153</v>
      </c>
    </row>
    <row r="8997" spans="8:8">
      <c r="H8997" s="680" t="s">
        <v>6153</v>
      </c>
    </row>
    <row r="8998" spans="8:8">
      <c r="H8998" s="680" t="s">
        <v>6153</v>
      </c>
    </row>
    <row r="8999" spans="8:8">
      <c r="H8999" s="680" t="s">
        <v>6153</v>
      </c>
    </row>
    <row r="9000" spans="8:8">
      <c r="H9000" s="680" t="s">
        <v>6153</v>
      </c>
    </row>
    <row r="9001" spans="8:8">
      <c r="H9001" s="680" t="s">
        <v>6153</v>
      </c>
    </row>
    <row r="9002" spans="8:8">
      <c r="H9002" s="680" t="s">
        <v>6153</v>
      </c>
    </row>
    <row r="9003" spans="8:8">
      <c r="H9003" s="680" t="s">
        <v>6153</v>
      </c>
    </row>
    <row r="9004" spans="8:8">
      <c r="H9004" s="680" t="s">
        <v>6153</v>
      </c>
    </row>
    <row r="9005" spans="8:8">
      <c r="H9005" s="680" t="s">
        <v>6153</v>
      </c>
    </row>
    <row r="9006" spans="8:8">
      <c r="H9006" s="680" t="s">
        <v>6153</v>
      </c>
    </row>
    <row r="9007" spans="8:8">
      <c r="H9007" s="680" t="s">
        <v>6153</v>
      </c>
    </row>
    <row r="9008" spans="8:8">
      <c r="H9008" s="680" t="s">
        <v>6153</v>
      </c>
    </row>
    <row r="9009" spans="8:8">
      <c r="H9009" s="680" t="s">
        <v>6153</v>
      </c>
    </row>
    <row r="9010" spans="8:8">
      <c r="H9010" s="680" t="s">
        <v>6153</v>
      </c>
    </row>
    <row r="9011" spans="8:8">
      <c r="H9011" s="680" t="s">
        <v>6153</v>
      </c>
    </row>
    <row r="9012" spans="8:8">
      <c r="H9012" s="680" t="s">
        <v>6153</v>
      </c>
    </row>
    <row r="9013" spans="8:8">
      <c r="H9013" s="680" t="s">
        <v>6153</v>
      </c>
    </row>
    <row r="9014" spans="8:8">
      <c r="H9014" s="680" t="s">
        <v>6153</v>
      </c>
    </row>
    <row r="9015" spans="8:8">
      <c r="H9015" s="680" t="s">
        <v>6153</v>
      </c>
    </row>
    <row r="9016" spans="8:8">
      <c r="H9016" s="680" t="s">
        <v>6153</v>
      </c>
    </row>
    <row r="9017" spans="8:8">
      <c r="H9017" s="680" t="s">
        <v>6153</v>
      </c>
    </row>
    <row r="9018" spans="8:8">
      <c r="H9018" s="680" t="s">
        <v>6153</v>
      </c>
    </row>
    <row r="9019" spans="8:8">
      <c r="H9019" s="680" t="s">
        <v>6153</v>
      </c>
    </row>
    <row r="9020" spans="8:8">
      <c r="H9020" s="680" t="s">
        <v>6153</v>
      </c>
    </row>
    <row r="9021" spans="8:8">
      <c r="H9021" s="680" t="s">
        <v>6153</v>
      </c>
    </row>
    <row r="9022" spans="8:8">
      <c r="H9022" s="680" t="s">
        <v>6153</v>
      </c>
    </row>
    <row r="9023" spans="8:8">
      <c r="H9023" s="680" t="s">
        <v>6153</v>
      </c>
    </row>
    <row r="9024" spans="8:8">
      <c r="H9024" s="680" t="s">
        <v>6153</v>
      </c>
    </row>
    <row r="9025" spans="8:8">
      <c r="H9025" s="680" t="s">
        <v>6153</v>
      </c>
    </row>
    <row r="9026" spans="8:8">
      <c r="H9026" s="680" t="s">
        <v>6153</v>
      </c>
    </row>
    <row r="9027" spans="8:8">
      <c r="H9027" s="680" t="s">
        <v>6153</v>
      </c>
    </row>
    <row r="9028" spans="8:8">
      <c r="H9028" s="680" t="s">
        <v>6153</v>
      </c>
    </row>
    <row r="9029" spans="8:8">
      <c r="H9029" s="680" t="s">
        <v>6153</v>
      </c>
    </row>
    <row r="9030" spans="8:8">
      <c r="H9030" s="680" t="s">
        <v>6153</v>
      </c>
    </row>
    <row r="9031" spans="8:8">
      <c r="H9031" s="680" t="s">
        <v>6153</v>
      </c>
    </row>
    <row r="9032" spans="8:8">
      <c r="H9032" s="680" t="s">
        <v>6153</v>
      </c>
    </row>
    <row r="9033" spans="8:8">
      <c r="H9033" s="680" t="s">
        <v>6153</v>
      </c>
    </row>
    <row r="9034" spans="8:8">
      <c r="H9034" s="680" t="s">
        <v>6153</v>
      </c>
    </row>
    <row r="9035" spans="8:8">
      <c r="H9035" s="680" t="s">
        <v>6153</v>
      </c>
    </row>
    <row r="9036" spans="8:8">
      <c r="H9036" s="680" t="s">
        <v>6153</v>
      </c>
    </row>
    <row r="9037" spans="8:8">
      <c r="H9037" s="680" t="s">
        <v>6153</v>
      </c>
    </row>
    <row r="9038" spans="8:8">
      <c r="H9038" s="680" t="s">
        <v>6153</v>
      </c>
    </row>
    <row r="9039" spans="8:8">
      <c r="H9039" s="680" t="s">
        <v>6153</v>
      </c>
    </row>
    <row r="9040" spans="8:8">
      <c r="H9040" s="680" t="s">
        <v>6153</v>
      </c>
    </row>
    <row r="9041" spans="8:8">
      <c r="H9041" s="680" t="s">
        <v>6153</v>
      </c>
    </row>
    <row r="9042" spans="8:8">
      <c r="H9042" s="680" t="s">
        <v>6153</v>
      </c>
    </row>
    <row r="9043" spans="8:8">
      <c r="H9043" s="680" t="s">
        <v>6153</v>
      </c>
    </row>
    <row r="9044" spans="8:8">
      <c r="H9044" s="680" t="s">
        <v>6153</v>
      </c>
    </row>
    <row r="9045" spans="8:8">
      <c r="H9045" s="680" t="s">
        <v>6153</v>
      </c>
    </row>
    <row r="9046" spans="8:8">
      <c r="H9046" s="680" t="s">
        <v>6153</v>
      </c>
    </row>
    <row r="9047" spans="8:8">
      <c r="H9047" s="680" t="s">
        <v>6153</v>
      </c>
    </row>
    <row r="9048" spans="8:8">
      <c r="H9048" s="680" t="s">
        <v>6153</v>
      </c>
    </row>
    <row r="9049" spans="8:8">
      <c r="H9049" s="680" t="s">
        <v>6153</v>
      </c>
    </row>
    <row r="9050" spans="8:8">
      <c r="H9050" s="680" t="s">
        <v>6153</v>
      </c>
    </row>
    <row r="9051" spans="8:8">
      <c r="H9051" s="680" t="s">
        <v>6153</v>
      </c>
    </row>
    <row r="9052" spans="8:8">
      <c r="H9052" s="680" t="s">
        <v>6153</v>
      </c>
    </row>
    <row r="9053" spans="8:8">
      <c r="H9053" s="680" t="s">
        <v>6153</v>
      </c>
    </row>
    <row r="9054" spans="8:8">
      <c r="H9054" s="680" t="s">
        <v>6153</v>
      </c>
    </row>
    <row r="9055" spans="8:8">
      <c r="H9055" s="680" t="s">
        <v>6153</v>
      </c>
    </row>
    <row r="9056" spans="8:8">
      <c r="H9056" s="680" t="s">
        <v>6153</v>
      </c>
    </row>
    <row r="9057" spans="8:8">
      <c r="H9057" s="680" t="s">
        <v>6153</v>
      </c>
    </row>
    <row r="9058" spans="8:8">
      <c r="H9058" s="680" t="s">
        <v>6153</v>
      </c>
    </row>
    <row r="9059" spans="8:8">
      <c r="H9059" s="680" t="s">
        <v>6153</v>
      </c>
    </row>
    <row r="9060" spans="8:8">
      <c r="H9060" s="680" t="s">
        <v>6153</v>
      </c>
    </row>
    <row r="9061" spans="8:8">
      <c r="H9061" s="680" t="s">
        <v>6153</v>
      </c>
    </row>
    <row r="9062" spans="8:8">
      <c r="H9062" s="680" t="s">
        <v>6153</v>
      </c>
    </row>
    <row r="9063" spans="8:8">
      <c r="H9063" s="680" t="s">
        <v>6153</v>
      </c>
    </row>
    <row r="9064" spans="8:8">
      <c r="H9064" s="680" t="s">
        <v>6153</v>
      </c>
    </row>
    <row r="9065" spans="8:8">
      <c r="H9065" s="680" t="s">
        <v>6153</v>
      </c>
    </row>
    <row r="9066" spans="8:8">
      <c r="H9066" s="680" t="s">
        <v>6153</v>
      </c>
    </row>
    <row r="9067" spans="8:8">
      <c r="H9067" s="680" t="s">
        <v>6153</v>
      </c>
    </row>
    <row r="9068" spans="8:8">
      <c r="H9068" s="680" t="s">
        <v>6153</v>
      </c>
    </row>
    <row r="9069" spans="8:8">
      <c r="H9069" s="680" t="s">
        <v>6153</v>
      </c>
    </row>
    <row r="9070" spans="8:8">
      <c r="H9070" s="680" t="s">
        <v>6153</v>
      </c>
    </row>
    <row r="9071" spans="8:8">
      <c r="H9071" s="680" t="s">
        <v>6153</v>
      </c>
    </row>
    <row r="9072" spans="8:8">
      <c r="H9072" s="680" t="s">
        <v>6153</v>
      </c>
    </row>
    <row r="9073" spans="8:8">
      <c r="H9073" s="680" t="s">
        <v>6153</v>
      </c>
    </row>
    <row r="9074" spans="8:8">
      <c r="H9074" s="680" t="s">
        <v>6153</v>
      </c>
    </row>
    <row r="9075" spans="8:8">
      <c r="H9075" s="680" t="s">
        <v>6153</v>
      </c>
    </row>
    <row r="9076" spans="8:8">
      <c r="H9076" s="680" t="s">
        <v>6153</v>
      </c>
    </row>
    <row r="9077" spans="8:8">
      <c r="H9077" s="680" t="s">
        <v>6153</v>
      </c>
    </row>
    <row r="9078" spans="8:8">
      <c r="H9078" s="680" t="s">
        <v>6153</v>
      </c>
    </row>
    <row r="9079" spans="8:8">
      <c r="H9079" s="680" t="s">
        <v>6153</v>
      </c>
    </row>
    <row r="9080" spans="8:8">
      <c r="H9080" s="680" t="s">
        <v>6153</v>
      </c>
    </row>
    <row r="9081" spans="8:8">
      <c r="H9081" s="680" t="s">
        <v>6153</v>
      </c>
    </row>
    <row r="9082" spans="8:8">
      <c r="H9082" s="680" t="s">
        <v>6153</v>
      </c>
    </row>
    <row r="9083" spans="8:8">
      <c r="H9083" s="680" t="s">
        <v>6153</v>
      </c>
    </row>
    <row r="9084" spans="8:8">
      <c r="H9084" s="680" t="s">
        <v>6153</v>
      </c>
    </row>
    <row r="9085" spans="8:8">
      <c r="H9085" s="680" t="s">
        <v>6153</v>
      </c>
    </row>
    <row r="9086" spans="8:8">
      <c r="H9086" s="680" t="s">
        <v>6153</v>
      </c>
    </row>
    <row r="9087" spans="8:8">
      <c r="H9087" s="680" t="s">
        <v>6153</v>
      </c>
    </row>
    <row r="9088" spans="8:8">
      <c r="H9088" s="680" t="s">
        <v>6153</v>
      </c>
    </row>
    <row r="9089" spans="8:8">
      <c r="H9089" s="680" t="s">
        <v>6153</v>
      </c>
    </row>
    <row r="9090" spans="8:8">
      <c r="H9090" s="680" t="s">
        <v>6153</v>
      </c>
    </row>
    <row r="9091" spans="8:8">
      <c r="H9091" s="680" t="s">
        <v>6153</v>
      </c>
    </row>
    <row r="9092" spans="8:8">
      <c r="H9092" s="680" t="s">
        <v>6153</v>
      </c>
    </row>
    <row r="9093" spans="8:8">
      <c r="H9093" s="680" t="s">
        <v>6153</v>
      </c>
    </row>
    <row r="9094" spans="8:8">
      <c r="H9094" s="680" t="s">
        <v>6153</v>
      </c>
    </row>
    <row r="9095" spans="8:8">
      <c r="H9095" s="680" t="s">
        <v>6153</v>
      </c>
    </row>
    <row r="9096" spans="8:8">
      <c r="H9096" s="680" t="s">
        <v>6153</v>
      </c>
    </row>
    <row r="9097" spans="8:8">
      <c r="H9097" s="680" t="s">
        <v>6153</v>
      </c>
    </row>
    <row r="9098" spans="8:8">
      <c r="H9098" s="680" t="s">
        <v>6153</v>
      </c>
    </row>
    <row r="9099" spans="8:8">
      <c r="H9099" s="680" t="s">
        <v>6153</v>
      </c>
    </row>
    <row r="9100" spans="8:8">
      <c r="H9100" s="680" t="s">
        <v>6153</v>
      </c>
    </row>
    <row r="9101" spans="8:8">
      <c r="H9101" s="680" t="s">
        <v>6153</v>
      </c>
    </row>
    <row r="9102" spans="8:8">
      <c r="H9102" s="680" t="s">
        <v>6153</v>
      </c>
    </row>
    <row r="9103" spans="8:8">
      <c r="H9103" s="680" t="s">
        <v>6153</v>
      </c>
    </row>
    <row r="9104" spans="8:8">
      <c r="H9104" s="680" t="s">
        <v>6153</v>
      </c>
    </row>
    <row r="9105" spans="8:8">
      <c r="H9105" s="680" t="s">
        <v>6153</v>
      </c>
    </row>
    <row r="9106" spans="8:8">
      <c r="H9106" s="680" t="s">
        <v>6153</v>
      </c>
    </row>
    <row r="9107" spans="8:8">
      <c r="H9107" s="680" t="s">
        <v>6153</v>
      </c>
    </row>
    <row r="9108" spans="8:8">
      <c r="H9108" s="680" t="s">
        <v>6153</v>
      </c>
    </row>
    <row r="9109" spans="8:8">
      <c r="H9109" s="680" t="s">
        <v>6153</v>
      </c>
    </row>
    <row r="9110" spans="8:8">
      <c r="H9110" s="680" t="s">
        <v>6153</v>
      </c>
    </row>
    <row r="9111" spans="8:8">
      <c r="H9111" s="680" t="s">
        <v>6153</v>
      </c>
    </row>
    <row r="9112" spans="8:8">
      <c r="H9112" s="680" t="s">
        <v>6153</v>
      </c>
    </row>
    <row r="9113" spans="8:8">
      <c r="H9113" s="680" t="s">
        <v>6153</v>
      </c>
    </row>
    <row r="9114" spans="8:8">
      <c r="H9114" s="680" t="s">
        <v>6153</v>
      </c>
    </row>
    <row r="9115" spans="8:8">
      <c r="H9115" s="680" t="s">
        <v>6153</v>
      </c>
    </row>
    <row r="9116" spans="8:8">
      <c r="H9116" s="680" t="s">
        <v>6153</v>
      </c>
    </row>
    <row r="9117" spans="8:8">
      <c r="H9117" s="680" t="s">
        <v>6153</v>
      </c>
    </row>
    <row r="9118" spans="8:8">
      <c r="H9118" s="680" t="s">
        <v>6153</v>
      </c>
    </row>
    <row r="9119" spans="8:8">
      <c r="H9119" s="680" t="s">
        <v>6153</v>
      </c>
    </row>
    <row r="9120" spans="8:8">
      <c r="H9120" s="680" t="s">
        <v>6153</v>
      </c>
    </row>
    <row r="9121" spans="8:8">
      <c r="H9121" s="680" t="s">
        <v>6153</v>
      </c>
    </row>
    <row r="9122" spans="8:8">
      <c r="H9122" s="680" t="s">
        <v>6153</v>
      </c>
    </row>
    <row r="9123" spans="8:8">
      <c r="H9123" s="680" t="s">
        <v>6153</v>
      </c>
    </row>
    <row r="9124" spans="8:8">
      <c r="H9124" s="680" t="s">
        <v>6153</v>
      </c>
    </row>
    <row r="9125" spans="8:8">
      <c r="H9125" s="680" t="s">
        <v>6153</v>
      </c>
    </row>
    <row r="9126" spans="8:8">
      <c r="H9126" s="680" t="s">
        <v>6153</v>
      </c>
    </row>
    <row r="9127" spans="8:8">
      <c r="H9127" s="680" t="s">
        <v>6153</v>
      </c>
    </row>
    <row r="9128" spans="8:8">
      <c r="H9128" s="680" t="s">
        <v>6153</v>
      </c>
    </row>
    <row r="9129" spans="8:8">
      <c r="H9129" s="680" t="s">
        <v>6153</v>
      </c>
    </row>
    <row r="9130" spans="8:8">
      <c r="H9130" s="680" t="s">
        <v>6153</v>
      </c>
    </row>
    <row r="9131" spans="8:8">
      <c r="H9131" s="680" t="s">
        <v>6153</v>
      </c>
    </row>
    <row r="9132" spans="8:8">
      <c r="H9132" s="680" t="s">
        <v>6153</v>
      </c>
    </row>
    <row r="9133" spans="8:8">
      <c r="H9133" s="680" t="s">
        <v>6153</v>
      </c>
    </row>
    <row r="9134" spans="8:8">
      <c r="H9134" s="680" t="s">
        <v>6153</v>
      </c>
    </row>
    <row r="9135" spans="8:8">
      <c r="H9135" s="680" t="s">
        <v>6153</v>
      </c>
    </row>
    <row r="9136" spans="8:8">
      <c r="H9136" s="680" t="s">
        <v>6153</v>
      </c>
    </row>
    <row r="9137" spans="8:8">
      <c r="H9137" s="680" t="s">
        <v>6153</v>
      </c>
    </row>
    <row r="9138" spans="8:8">
      <c r="H9138" s="680" t="s">
        <v>6153</v>
      </c>
    </row>
    <row r="9139" spans="8:8">
      <c r="H9139" s="680" t="s">
        <v>6153</v>
      </c>
    </row>
    <row r="9140" spans="8:8">
      <c r="H9140" s="680" t="s">
        <v>6153</v>
      </c>
    </row>
    <row r="9141" spans="8:8">
      <c r="H9141" s="680" t="s">
        <v>6153</v>
      </c>
    </row>
    <row r="9142" spans="8:8">
      <c r="H9142" s="680" t="s">
        <v>6153</v>
      </c>
    </row>
    <row r="9143" spans="8:8">
      <c r="H9143" s="680" t="s">
        <v>6153</v>
      </c>
    </row>
    <row r="9144" spans="8:8">
      <c r="H9144" s="680" t="s">
        <v>6153</v>
      </c>
    </row>
    <row r="9145" spans="8:8">
      <c r="H9145" s="680" t="s">
        <v>6153</v>
      </c>
    </row>
    <row r="9146" spans="8:8">
      <c r="H9146" s="680" t="s">
        <v>6153</v>
      </c>
    </row>
    <row r="9147" spans="8:8">
      <c r="H9147" s="680" t="s">
        <v>6153</v>
      </c>
    </row>
    <row r="9148" spans="8:8">
      <c r="H9148" s="680" t="s">
        <v>6153</v>
      </c>
    </row>
    <row r="9149" spans="8:8">
      <c r="H9149" s="680" t="s">
        <v>6153</v>
      </c>
    </row>
    <row r="9150" spans="8:8">
      <c r="H9150" s="680" t="s">
        <v>6153</v>
      </c>
    </row>
    <row r="9151" spans="8:8">
      <c r="H9151" s="680" t="s">
        <v>6153</v>
      </c>
    </row>
    <row r="9152" spans="8:8">
      <c r="H9152" s="680" t="s">
        <v>6153</v>
      </c>
    </row>
    <row r="9153" spans="8:8">
      <c r="H9153" s="680" t="s">
        <v>6153</v>
      </c>
    </row>
    <row r="9154" spans="8:8">
      <c r="H9154" s="680" t="s">
        <v>6153</v>
      </c>
    </row>
    <row r="9155" spans="8:8">
      <c r="H9155" s="680" t="s">
        <v>6153</v>
      </c>
    </row>
    <row r="9156" spans="8:8">
      <c r="H9156" s="680" t="s">
        <v>6153</v>
      </c>
    </row>
    <row r="9157" spans="8:8">
      <c r="H9157" s="680" t="s">
        <v>6153</v>
      </c>
    </row>
    <row r="9158" spans="8:8">
      <c r="H9158" s="680" t="s">
        <v>6153</v>
      </c>
    </row>
    <row r="9159" spans="8:8">
      <c r="H9159" s="680" t="s">
        <v>6153</v>
      </c>
    </row>
    <row r="9160" spans="8:8">
      <c r="H9160" s="680" t="s">
        <v>6153</v>
      </c>
    </row>
    <row r="9161" spans="8:8">
      <c r="H9161" s="680" t="s">
        <v>6153</v>
      </c>
    </row>
    <row r="9162" spans="8:8">
      <c r="H9162" s="680" t="s">
        <v>6153</v>
      </c>
    </row>
    <row r="9163" spans="8:8">
      <c r="H9163" s="680" t="s">
        <v>6153</v>
      </c>
    </row>
    <row r="9164" spans="8:8">
      <c r="H9164" s="680" t="s">
        <v>6153</v>
      </c>
    </row>
    <row r="9165" spans="8:8">
      <c r="H9165" s="680" t="s">
        <v>6153</v>
      </c>
    </row>
    <row r="9166" spans="8:8">
      <c r="H9166" s="680" t="s">
        <v>6153</v>
      </c>
    </row>
    <row r="9167" spans="8:8">
      <c r="H9167" s="680" t="s">
        <v>6153</v>
      </c>
    </row>
    <row r="9168" spans="8:8">
      <c r="H9168" s="680" t="s">
        <v>6153</v>
      </c>
    </row>
    <row r="9169" spans="8:8">
      <c r="H9169" s="680" t="s">
        <v>6153</v>
      </c>
    </row>
    <row r="9170" spans="8:8">
      <c r="H9170" s="680" t="s">
        <v>6153</v>
      </c>
    </row>
    <row r="9171" spans="8:8">
      <c r="H9171" s="680" t="s">
        <v>6153</v>
      </c>
    </row>
    <row r="9172" spans="8:8">
      <c r="H9172" s="680" t="s">
        <v>6153</v>
      </c>
    </row>
    <row r="9173" spans="8:8">
      <c r="H9173" s="680" t="s">
        <v>6153</v>
      </c>
    </row>
    <row r="9174" spans="8:8">
      <c r="H9174" s="680" t="s">
        <v>6153</v>
      </c>
    </row>
    <row r="9175" spans="8:8">
      <c r="H9175" s="680" t="s">
        <v>6153</v>
      </c>
    </row>
    <row r="9176" spans="8:8">
      <c r="H9176" s="680" t="s">
        <v>6153</v>
      </c>
    </row>
    <row r="9177" spans="8:8">
      <c r="H9177" s="680" t="s">
        <v>6153</v>
      </c>
    </row>
    <row r="9178" spans="8:8">
      <c r="H9178" s="680" t="s">
        <v>6153</v>
      </c>
    </row>
    <row r="9179" spans="8:8">
      <c r="H9179" s="680" t="s">
        <v>6153</v>
      </c>
    </row>
    <row r="9180" spans="8:8">
      <c r="H9180" s="680" t="s">
        <v>6153</v>
      </c>
    </row>
    <row r="9181" spans="8:8">
      <c r="H9181" s="680" t="s">
        <v>6153</v>
      </c>
    </row>
    <row r="9182" spans="8:8">
      <c r="H9182" s="680" t="s">
        <v>6153</v>
      </c>
    </row>
    <row r="9183" spans="8:8">
      <c r="H9183" s="680" t="s">
        <v>6153</v>
      </c>
    </row>
    <row r="9184" spans="8:8">
      <c r="H9184" s="680" t="s">
        <v>6153</v>
      </c>
    </row>
    <row r="9185" spans="8:8">
      <c r="H9185" s="680" t="s">
        <v>6153</v>
      </c>
    </row>
    <row r="9186" spans="8:8">
      <c r="H9186" s="680" t="s">
        <v>6153</v>
      </c>
    </row>
    <row r="9187" spans="8:8">
      <c r="H9187" s="680" t="s">
        <v>6153</v>
      </c>
    </row>
    <row r="9188" spans="8:8">
      <c r="H9188" s="680" t="s">
        <v>6153</v>
      </c>
    </row>
    <row r="9189" spans="8:8">
      <c r="H9189" s="680" t="s">
        <v>6153</v>
      </c>
    </row>
    <row r="9190" spans="8:8">
      <c r="H9190" s="680" t="s">
        <v>6153</v>
      </c>
    </row>
    <row r="9191" spans="8:8">
      <c r="H9191" s="680" t="s">
        <v>6153</v>
      </c>
    </row>
    <row r="9192" spans="8:8">
      <c r="H9192" s="680" t="s">
        <v>6153</v>
      </c>
    </row>
    <row r="9193" spans="8:8">
      <c r="H9193" s="680" t="s">
        <v>6153</v>
      </c>
    </row>
    <row r="9194" spans="8:8">
      <c r="H9194" s="680" t="s">
        <v>6153</v>
      </c>
    </row>
    <row r="9195" spans="8:8">
      <c r="H9195" s="680" t="s">
        <v>6153</v>
      </c>
    </row>
    <row r="9196" spans="8:8">
      <c r="H9196" s="680" t="s">
        <v>6153</v>
      </c>
    </row>
    <row r="9197" spans="8:8">
      <c r="H9197" s="680" t="s">
        <v>6153</v>
      </c>
    </row>
    <row r="9198" spans="8:8">
      <c r="H9198" s="680" t="s">
        <v>6153</v>
      </c>
    </row>
    <row r="9199" spans="8:8">
      <c r="H9199" s="680" t="s">
        <v>6153</v>
      </c>
    </row>
    <row r="9200" spans="8:8">
      <c r="H9200" s="680" t="s">
        <v>6153</v>
      </c>
    </row>
    <row r="9201" spans="8:8">
      <c r="H9201" s="680" t="s">
        <v>6153</v>
      </c>
    </row>
    <row r="9202" spans="8:8">
      <c r="H9202" s="680" t="s">
        <v>6153</v>
      </c>
    </row>
    <row r="9203" spans="8:8">
      <c r="H9203" s="680" t="s">
        <v>6153</v>
      </c>
    </row>
    <row r="9204" spans="8:8">
      <c r="H9204" s="680" t="s">
        <v>6153</v>
      </c>
    </row>
    <row r="9205" spans="8:8">
      <c r="H9205" s="680" t="s">
        <v>6153</v>
      </c>
    </row>
    <row r="9206" spans="8:8">
      <c r="H9206" s="680" t="s">
        <v>6153</v>
      </c>
    </row>
    <row r="9207" spans="8:8">
      <c r="H9207" s="680" t="s">
        <v>6153</v>
      </c>
    </row>
    <row r="9208" spans="8:8">
      <c r="H9208" s="680" t="s">
        <v>6153</v>
      </c>
    </row>
    <row r="9209" spans="8:8">
      <c r="H9209" s="680" t="s">
        <v>6153</v>
      </c>
    </row>
    <row r="9210" spans="8:8">
      <c r="H9210" s="680" t="s">
        <v>6153</v>
      </c>
    </row>
    <row r="9211" spans="8:8">
      <c r="H9211" s="680" t="s">
        <v>6153</v>
      </c>
    </row>
    <row r="9212" spans="8:8">
      <c r="H9212" s="680" t="s">
        <v>6153</v>
      </c>
    </row>
    <row r="9213" spans="8:8">
      <c r="H9213" s="680" t="s">
        <v>6153</v>
      </c>
    </row>
    <row r="9214" spans="8:8">
      <c r="H9214" s="680" t="s">
        <v>6153</v>
      </c>
    </row>
    <row r="9215" spans="8:8">
      <c r="H9215" s="680" t="s">
        <v>6153</v>
      </c>
    </row>
    <row r="9216" spans="8:8">
      <c r="H9216" s="680" t="s">
        <v>6153</v>
      </c>
    </row>
    <row r="9217" spans="8:8">
      <c r="H9217" s="680" t="s">
        <v>6153</v>
      </c>
    </row>
    <row r="9218" spans="8:8">
      <c r="H9218" s="680" t="s">
        <v>6153</v>
      </c>
    </row>
    <row r="9219" spans="8:8">
      <c r="H9219" s="680" t="s">
        <v>6153</v>
      </c>
    </row>
    <row r="9220" spans="8:8">
      <c r="H9220" s="680" t="s">
        <v>6153</v>
      </c>
    </row>
    <row r="9221" spans="8:8">
      <c r="H9221" s="680" t="s">
        <v>6153</v>
      </c>
    </row>
    <row r="9222" spans="8:8">
      <c r="H9222" s="680" t="s">
        <v>6153</v>
      </c>
    </row>
    <row r="9223" spans="8:8">
      <c r="H9223" s="680" t="s">
        <v>6153</v>
      </c>
    </row>
    <row r="9224" spans="8:8">
      <c r="H9224" s="680" t="s">
        <v>6153</v>
      </c>
    </row>
    <row r="9225" spans="8:8">
      <c r="H9225" s="680" t="s">
        <v>6153</v>
      </c>
    </row>
    <row r="9226" spans="8:8">
      <c r="H9226" s="680" t="s">
        <v>6153</v>
      </c>
    </row>
    <row r="9227" spans="8:8">
      <c r="H9227" s="680" t="s">
        <v>6153</v>
      </c>
    </row>
    <row r="9228" spans="8:8">
      <c r="H9228" s="680" t="s">
        <v>6153</v>
      </c>
    </row>
    <row r="9229" spans="8:8">
      <c r="H9229" s="680" t="s">
        <v>6153</v>
      </c>
    </row>
    <row r="9230" spans="8:8">
      <c r="H9230" s="680" t="s">
        <v>6153</v>
      </c>
    </row>
    <row r="9231" spans="8:8">
      <c r="H9231" s="680" t="s">
        <v>6153</v>
      </c>
    </row>
    <row r="9232" spans="8:8">
      <c r="H9232" s="680" t="s">
        <v>6153</v>
      </c>
    </row>
    <row r="9233" spans="8:8">
      <c r="H9233" s="680" t="s">
        <v>6153</v>
      </c>
    </row>
    <row r="9234" spans="8:8">
      <c r="H9234" s="680" t="s">
        <v>6153</v>
      </c>
    </row>
    <row r="9235" spans="8:8">
      <c r="H9235" s="680" t="s">
        <v>6153</v>
      </c>
    </row>
    <row r="9236" spans="8:8">
      <c r="H9236" s="680" t="s">
        <v>6153</v>
      </c>
    </row>
    <row r="9237" spans="8:8">
      <c r="H9237" s="680" t="s">
        <v>6153</v>
      </c>
    </row>
    <row r="9238" spans="8:8">
      <c r="H9238" s="680" t="s">
        <v>6153</v>
      </c>
    </row>
    <row r="9239" spans="8:8">
      <c r="H9239" s="680" t="s">
        <v>6153</v>
      </c>
    </row>
    <row r="9240" spans="8:8">
      <c r="H9240" s="680" t="s">
        <v>6153</v>
      </c>
    </row>
    <row r="9241" spans="8:8">
      <c r="H9241" s="680" t="s">
        <v>6153</v>
      </c>
    </row>
    <row r="9242" spans="8:8">
      <c r="H9242" s="680" t="s">
        <v>6153</v>
      </c>
    </row>
    <row r="9243" spans="8:8">
      <c r="H9243" s="680" t="s">
        <v>6153</v>
      </c>
    </row>
    <row r="9244" spans="8:8">
      <c r="H9244" s="680" t="s">
        <v>6153</v>
      </c>
    </row>
    <row r="9245" spans="8:8">
      <c r="H9245" s="680" t="s">
        <v>6153</v>
      </c>
    </row>
    <row r="9246" spans="8:8">
      <c r="H9246" s="680" t="s">
        <v>6153</v>
      </c>
    </row>
    <row r="9247" spans="8:8">
      <c r="H9247" s="680" t="s">
        <v>6153</v>
      </c>
    </row>
    <row r="9248" spans="8:8">
      <c r="H9248" s="680" t="s">
        <v>6153</v>
      </c>
    </row>
    <row r="9249" spans="8:8">
      <c r="H9249" s="680" t="s">
        <v>6153</v>
      </c>
    </row>
    <row r="9250" spans="8:8">
      <c r="H9250" s="680" t="s">
        <v>6153</v>
      </c>
    </row>
    <row r="9251" spans="8:8">
      <c r="H9251" s="680" t="s">
        <v>6153</v>
      </c>
    </row>
    <row r="9252" spans="8:8">
      <c r="H9252" s="680" t="s">
        <v>6153</v>
      </c>
    </row>
    <row r="9253" spans="8:8">
      <c r="H9253" s="680" t="s">
        <v>6153</v>
      </c>
    </row>
    <row r="9254" spans="8:8">
      <c r="H9254" s="680" t="s">
        <v>6153</v>
      </c>
    </row>
    <row r="9255" spans="8:8">
      <c r="H9255" s="680" t="s">
        <v>6153</v>
      </c>
    </row>
    <row r="9256" spans="8:8">
      <c r="H9256" s="680" t="s">
        <v>6153</v>
      </c>
    </row>
    <row r="9257" spans="8:8">
      <c r="H9257" s="680" t="s">
        <v>6153</v>
      </c>
    </row>
    <row r="9258" spans="8:8">
      <c r="H9258" s="680" t="s">
        <v>6153</v>
      </c>
    </row>
    <row r="9259" spans="8:8">
      <c r="H9259" s="680" t="s">
        <v>6153</v>
      </c>
    </row>
    <row r="9260" spans="8:8">
      <c r="H9260" s="680" t="s">
        <v>6153</v>
      </c>
    </row>
    <row r="9261" spans="8:8">
      <c r="H9261" s="680" t="s">
        <v>6153</v>
      </c>
    </row>
    <row r="9262" spans="8:8">
      <c r="H9262" s="680" t="s">
        <v>6153</v>
      </c>
    </row>
    <row r="9263" spans="8:8">
      <c r="H9263" s="680" t="s">
        <v>6153</v>
      </c>
    </row>
    <row r="9264" spans="8:8">
      <c r="H9264" s="680" t="s">
        <v>6153</v>
      </c>
    </row>
    <row r="9265" spans="8:8">
      <c r="H9265" s="680" t="s">
        <v>6153</v>
      </c>
    </row>
    <row r="9266" spans="8:8">
      <c r="H9266" s="680" t="s">
        <v>6153</v>
      </c>
    </row>
    <row r="9267" spans="8:8">
      <c r="H9267" s="680" t="s">
        <v>6153</v>
      </c>
    </row>
    <row r="9268" spans="8:8">
      <c r="H9268" s="680" t="s">
        <v>6153</v>
      </c>
    </row>
    <row r="9269" spans="8:8">
      <c r="H9269" s="680" t="s">
        <v>6153</v>
      </c>
    </row>
    <row r="9270" spans="8:8">
      <c r="H9270" s="680" t="s">
        <v>6153</v>
      </c>
    </row>
    <row r="9271" spans="8:8">
      <c r="H9271" s="680" t="s">
        <v>6153</v>
      </c>
    </row>
    <row r="9272" spans="8:8">
      <c r="H9272" s="680" t="s">
        <v>6153</v>
      </c>
    </row>
    <row r="9273" spans="8:8">
      <c r="H9273" s="680" t="s">
        <v>6153</v>
      </c>
    </row>
    <row r="9274" spans="8:8">
      <c r="H9274" s="680" t="s">
        <v>6153</v>
      </c>
    </row>
    <row r="9275" spans="8:8">
      <c r="H9275" s="680" t="s">
        <v>6153</v>
      </c>
    </row>
    <row r="9276" spans="8:8">
      <c r="H9276" s="680" t="s">
        <v>6153</v>
      </c>
    </row>
    <row r="9277" spans="8:8">
      <c r="H9277" s="680" t="s">
        <v>6153</v>
      </c>
    </row>
    <row r="9278" spans="8:8">
      <c r="H9278" s="680" t="s">
        <v>6153</v>
      </c>
    </row>
    <row r="9279" spans="8:8">
      <c r="H9279" s="680" t="s">
        <v>6153</v>
      </c>
    </row>
    <row r="9280" spans="8:8">
      <c r="H9280" s="680" t="s">
        <v>6153</v>
      </c>
    </row>
    <row r="9281" spans="8:8">
      <c r="H9281" s="680" t="s">
        <v>6153</v>
      </c>
    </row>
    <row r="9282" spans="8:8">
      <c r="H9282" s="680" t="s">
        <v>6153</v>
      </c>
    </row>
    <row r="9283" spans="8:8">
      <c r="H9283" s="680" t="s">
        <v>6153</v>
      </c>
    </row>
    <row r="9284" spans="8:8">
      <c r="H9284" s="680" t="s">
        <v>6153</v>
      </c>
    </row>
    <row r="9285" spans="8:8">
      <c r="H9285" s="680" t="s">
        <v>6153</v>
      </c>
    </row>
    <row r="9286" spans="8:8">
      <c r="H9286" s="680" t="s">
        <v>6153</v>
      </c>
    </row>
    <row r="9287" spans="8:8">
      <c r="H9287" s="680" t="s">
        <v>6153</v>
      </c>
    </row>
    <row r="9288" spans="8:8">
      <c r="H9288" s="680" t="s">
        <v>6153</v>
      </c>
    </row>
    <row r="9289" spans="8:8">
      <c r="H9289" s="680" t="s">
        <v>6153</v>
      </c>
    </row>
    <row r="9290" spans="8:8">
      <c r="H9290" s="680" t="s">
        <v>6153</v>
      </c>
    </row>
    <row r="9291" spans="8:8">
      <c r="H9291" s="680" t="s">
        <v>6153</v>
      </c>
    </row>
    <row r="9292" spans="8:8">
      <c r="H9292" s="680" t="s">
        <v>6153</v>
      </c>
    </row>
    <row r="9293" spans="8:8">
      <c r="H9293" s="680" t="s">
        <v>6153</v>
      </c>
    </row>
    <row r="9294" spans="8:8">
      <c r="H9294" s="680" t="s">
        <v>6153</v>
      </c>
    </row>
    <row r="9295" spans="8:8">
      <c r="H9295" s="680" t="s">
        <v>6153</v>
      </c>
    </row>
    <row r="9296" spans="8:8">
      <c r="H9296" s="680" t="s">
        <v>6153</v>
      </c>
    </row>
    <row r="9297" spans="8:8">
      <c r="H9297" s="680" t="s">
        <v>6153</v>
      </c>
    </row>
    <row r="9298" spans="8:8">
      <c r="H9298" s="680" t="s">
        <v>6153</v>
      </c>
    </row>
    <row r="9299" spans="8:8">
      <c r="H9299" s="680" t="s">
        <v>6153</v>
      </c>
    </row>
    <row r="9300" spans="8:8">
      <c r="H9300" s="680" t="s">
        <v>6153</v>
      </c>
    </row>
    <row r="9301" spans="8:8">
      <c r="H9301" s="680" t="s">
        <v>6153</v>
      </c>
    </row>
    <row r="9302" spans="8:8">
      <c r="H9302" s="680" t="s">
        <v>6153</v>
      </c>
    </row>
    <row r="9303" spans="8:8">
      <c r="H9303" s="680" t="s">
        <v>6153</v>
      </c>
    </row>
    <row r="9304" spans="8:8">
      <c r="H9304" s="680" t="s">
        <v>6153</v>
      </c>
    </row>
    <row r="9305" spans="8:8">
      <c r="H9305" s="680" t="s">
        <v>6153</v>
      </c>
    </row>
    <row r="9306" spans="8:8">
      <c r="H9306" s="680" t="s">
        <v>6153</v>
      </c>
    </row>
    <row r="9307" spans="8:8">
      <c r="H9307" s="680" t="s">
        <v>6153</v>
      </c>
    </row>
    <row r="9308" spans="8:8">
      <c r="H9308" s="680" t="s">
        <v>6153</v>
      </c>
    </row>
    <row r="9309" spans="8:8">
      <c r="H9309" s="680" t="s">
        <v>6153</v>
      </c>
    </row>
    <row r="9310" spans="8:8">
      <c r="H9310" s="680" t="s">
        <v>6153</v>
      </c>
    </row>
    <row r="9311" spans="8:8">
      <c r="H9311" s="680" t="s">
        <v>6153</v>
      </c>
    </row>
    <row r="9312" spans="8:8">
      <c r="H9312" s="680" t="s">
        <v>6153</v>
      </c>
    </row>
    <row r="9313" spans="8:8">
      <c r="H9313" s="680" t="s">
        <v>6153</v>
      </c>
    </row>
    <row r="9314" spans="8:8">
      <c r="H9314" s="680" t="s">
        <v>6153</v>
      </c>
    </row>
    <row r="9315" spans="8:8">
      <c r="H9315" s="680" t="s">
        <v>6153</v>
      </c>
    </row>
    <row r="9316" spans="8:8">
      <c r="H9316" s="680" t="s">
        <v>6153</v>
      </c>
    </row>
    <row r="9317" spans="8:8">
      <c r="H9317" s="680" t="s">
        <v>6153</v>
      </c>
    </row>
    <row r="9318" spans="8:8">
      <c r="H9318" s="680" t="s">
        <v>6153</v>
      </c>
    </row>
    <row r="9319" spans="8:8">
      <c r="H9319" s="680" t="s">
        <v>6153</v>
      </c>
    </row>
    <row r="9320" spans="8:8">
      <c r="H9320" s="680" t="s">
        <v>6153</v>
      </c>
    </row>
    <row r="9321" spans="8:8">
      <c r="H9321" s="680" t="s">
        <v>6153</v>
      </c>
    </row>
    <row r="9322" spans="8:8">
      <c r="H9322" s="680" t="s">
        <v>6153</v>
      </c>
    </row>
    <row r="9323" spans="8:8">
      <c r="H9323" s="680" t="s">
        <v>6153</v>
      </c>
    </row>
    <row r="9324" spans="8:8">
      <c r="H9324" s="680" t="s">
        <v>6153</v>
      </c>
    </row>
    <row r="9325" spans="8:8">
      <c r="H9325" s="680" t="s">
        <v>6153</v>
      </c>
    </row>
    <row r="9326" spans="8:8">
      <c r="H9326" s="680" t="s">
        <v>6153</v>
      </c>
    </row>
    <row r="9327" spans="8:8">
      <c r="H9327" s="680" t="s">
        <v>6153</v>
      </c>
    </row>
    <row r="9328" spans="8:8">
      <c r="H9328" s="680" t="s">
        <v>6153</v>
      </c>
    </row>
    <row r="9329" spans="8:8">
      <c r="H9329" s="680" t="s">
        <v>6153</v>
      </c>
    </row>
    <row r="9330" spans="8:8">
      <c r="H9330" s="680" t="s">
        <v>6153</v>
      </c>
    </row>
    <row r="9331" spans="8:8">
      <c r="H9331" s="680" t="s">
        <v>6153</v>
      </c>
    </row>
    <row r="9332" spans="8:8">
      <c r="H9332" s="680" t="s">
        <v>6153</v>
      </c>
    </row>
    <row r="9333" spans="8:8">
      <c r="H9333" s="680" t="s">
        <v>6153</v>
      </c>
    </row>
    <row r="9334" spans="8:8">
      <c r="H9334" s="680" t="s">
        <v>6153</v>
      </c>
    </row>
    <row r="9335" spans="8:8">
      <c r="H9335" s="680" t="s">
        <v>6153</v>
      </c>
    </row>
    <row r="9336" spans="8:8">
      <c r="H9336" s="680" t="s">
        <v>6153</v>
      </c>
    </row>
    <row r="9337" spans="8:8">
      <c r="H9337" s="680" t="s">
        <v>6153</v>
      </c>
    </row>
    <row r="9338" spans="8:8">
      <c r="H9338" s="680" t="s">
        <v>6153</v>
      </c>
    </row>
    <row r="9339" spans="8:8">
      <c r="H9339" s="680" t="s">
        <v>6153</v>
      </c>
    </row>
    <row r="9340" spans="8:8">
      <c r="H9340" s="680" t="s">
        <v>6153</v>
      </c>
    </row>
    <row r="9341" spans="8:8">
      <c r="H9341" s="680" t="s">
        <v>6153</v>
      </c>
    </row>
    <row r="9342" spans="8:8">
      <c r="H9342" s="680" t="s">
        <v>6153</v>
      </c>
    </row>
    <row r="9343" spans="8:8">
      <c r="H9343" s="680" t="s">
        <v>6153</v>
      </c>
    </row>
    <row r="9344" spans="8:8">
      <c r="H9344" s="680" t="s">
        <v>6153</v>
      </c>
    </row>
    <row r="9345" spans="8:8">
      <c r="H9345" s="680" t="s">
        <v>6153</v>
      </c>
    </row>
    <row r="9346" spans="8:8">
      <c r="H9346" s="680" t="s">
        <v>6153</v>
      </c>
    </row>
    <row r="9347" spans="8:8">
      <c r="H9347" s="680" t="s">
        <v>6153</v>
      </c>
    </row>
    <row r="9348" spans="8:8">
      <c r="H9348" s="680" t="s">
        <v>6153</v>
      </c>
    </row>
    <row r="9349" spans="8:8">
      <c r="H9349" s="680" t="s">
        <v>6153</v>
      </c>
    </row>
    <row r="9350" spans="8:8">
      <c r="H9350" s="680" t="s">
        <v>6153</v>
      </c>
    </row>
    <row r="9351" spans="8:8">
      <c r="H9351" s="680" t="s">
        <v>6153</v>
      </c>
    </row>
    <row r="9352" spans="8:8">
      <c r="H9352" s="680" t="s">
        <v>6153</v>
      </c>
    </row>
    <row r="9353" spans="8:8">
      <c r="H9353" s="680" t="s">
        <v>6153</v>
      </c>
    </row>
    <row r="9354" spans="8:8">
      <c r="H9354" s="680" t="s">
        <v>6153</v>
      </c>
    </row>
    <row r="9355" spans="8:8">
      <c r="H9355" s="680" t="s">
        <v>6153</v>
      </c>
    </row>
    <row r="9356" spans="8:8">
      <c r="H9356" s="680" t="s">
        <v>6153</v>
      </c>
    </row>
    <row r="9357" spans="8:8">
      <c r="H9357" s="680" t="s">
        <v>6153</v>
      </c>
    </row>
    <row r="9358" spans="8:8">
      <c r="H9358" s="680" t="s">
        <v>6153</v>
      </c>
    </row>
    <row r="9359" spans="8:8">
      <c r="H9359" s="680" t="s">
        <v>6153</v>
      </c>
    </row>
    <row r="9360" spans="8:8">
      <c r="H9360" s="680" t="s">
        <v>6153</v>
      </c>
    </row>
    <row r="9361" spans="8:8">
      <c r="H9361" s="680" t="s">
        <v>6153</v>
      </c>
    </row>
    <row r="9362" spans="8:8">
      <c r="H9362" s="680" t="s">
        <v>6153</v>
      </c>
    </row>
    <row r="9363" spans="8:8">
      <c r="H9363" s="680" t="s">
        <v>6153</v>
      </c>
    </row>
    <row r="9364" spans="8:8">
      <c r="H9364" s="680" t="s">
        <v>6153</v>
      </c>
    </row>
    <row r="9365" spans="8:8">
      <c r="H9365" s="680" t="s">
        <v>6153</v>
      </c>
    </row>
    <row r="9366" spans="8:8">
      <c r="H9366" s="680" t="s">
        <v>6153</v>
      </c>
    </row>
    <row r="9367" spans="8:8">
      <c r="H9367" s="680" t="s">
        <v>6153</v>
      </c>
    </row>
    <row r="9368" spans="8:8">
      <c r="H9368" s="680" t="s">
        <v>6153</v>
      </c>
    </row>
    <row r="9369" spans="8:8">
      <c r="H9369" s="680" t="s">
        <v>6153</v>
      </c>
    </row>
    <row r="9370" spans="8:8">
      <c r="H9370" s="680" t="s">
        <v>6153</v>
      </c>
    </row>
    <row r="9371" spans="8:8">
      <c r="H9371" s="680" t="s">
        <v>6153</v>
      </c>
    </row>
    <row r="9372" spans="8:8">
      <c r="H9372" s="680" t="s">
        <v>6153</v>
      </c>
    </row>
    <row r="9373" spans="8:8">
      <c r="H9373" s="680" t="s">
        <v>6153</v>
      </c>
    </row>
    <row r="9374" spans="8:8">
      <c r="H9374" s="680" t="s">
        <v>6153</v>
      </c>
    </row>
    <row r="9375" spans="8:8">
      <c r="H9375" s="680" t="s">
        <v>6153</v>
      </c>
    </row>
    <row r="9376" spans="8:8">
      <c r="H9376" s="680" t="s">
        <v>6153</v>
      </c>
    </row>
    <row r="9377" spans="8:8">
      <c r="H9377" s="680" t="s">
        <v>6153</v>
      </c>
    </row>
    <row r="9378" spans="8:8">
      <c r="H9378" s="680" t="s">
        <v>6153</v>
      </c>
    </row>
    <row r="9379" spans="8:8">
      <c r="H9379" s="680" t="s">
        <v>6153</v>
      </c>
    </row>
    <row r="9380" spans="8:8">
      <c r="H9380" s="680" t="s">
        <v>6153</v>
      </c>
    </row>
    <row r="9381" spans="8:8">
      <c r="H9381" s="680" t="s">
        <v>6153</v>
      </c>
    </row>
    <row r="9382" spans="8:8">
      <c r="H9382" s="680" t="s">
        <v>6153</v>
      </c>
    </row>
    <row r="9383" spans="8:8">
      <c r="H9383" s="680" t="s">
        <v>6153</v>
      </c>
    </row>
    <row r="9384" spans="8:8">
      <c r="H9384" s="680" t="s">
        <v>6153</v>
      </c>
    </row>
    <row r="9385" spans="8:8">
      <c r="H9385" s="680" t="s">
        <v>6153</v>
      </c>
    </row>
    <row r="9386" spans="8:8">
      <c r="H9386" s="680" t="s">
        <v>6153</v>
      </c>
    </row>
    <row r="9387" spans="8:8">
      <c r="H9387" s="680" t="s">
        <v>6153</v>
      </c>
    </row>
    <row r="9388" spans="8:8">
      <c r="H9388" s="680" t="s">
        <v>6153</v>
      </c>
    </row>
    <row r="9389" spans="8:8">
      <c r="H9389" s="680" t="s">
        <v>6153</v>
      </c>
    </row>
    <row r="9390" spans="8:8">
      <c r="H9390" s="680" t="s">
        <v>6153</v>
      </c>
    </row>
    <row r="9391" spans="8:8">
      <c r="H9391" s="680" t="s">
        <v>6153</v>
      </c>
    </row>
    <row r="9392" spans="8:8">
      <c r="H9392" s="680" t="s">
        <v>6153</v>
      </c>
    </row>
    <row r="9393" spans="8:8">
      <c r="H9393" s="680" t="s">
        <v>6153</v>
      </c>
    </row>
    <row r="9394" spans="8:8">
      <c r="H9394" s="680" t="s">
        <v>6153</v>
      </c>
    </row>
    <row r="9395" spans="8:8">
      <c r="H9395" s="680" t="s">
        <v>6153</v>
      </c>
    </row>
    <row r="9396" spans="8:8">
      <c r="H9396" s="680" t="s">
        <v>6153</v>
      </c>
    </row>
    <row r="9397" spans="8:8">
      <c r="H9397" s="680" t="s">
        <v>6153</v>
      </c>
    </row>
    <row r="9398" spans="8:8">
      <c r="H9398" s="680" t="s">
        <v>6153</v>
      </c>
    </row>
    <row r="9399" spans="8:8">
      <c r="H9399" s="680" t="s">
        <v>6153</v>
      </c>
    </row>
    <row r="9400" spans="8:8">
      <c r="H9400" s="680" t="s">
        <v>6153</v>
      </c>
    </row>
    <row r="9401" spans="8:8">
      <c r="H9401" s="680" t="s">
        <v>6153</v>
      </c>
    </row>
    <row r="9402" spans="8:8">
      <c r="H9402" s="680" t="s">
        <v>6153</v>
      </c>
    </row>
    <row r="9403" spans="8:8">
      <c r="H9403" s="680" t="s">
        <v>6153</v>
      </c>
    </row>
    <row r="9404" spans="8:8">
      <c r="H9404" s="680" t="s">
        <v>6153</v>
      </c>
    </row>
    <row r="9405" spans="8:8">
      <c r="H9405" s="680" t="s">
        <v>6153</v>
      </c>
    </row>
    <row r="9406" spans="8:8">
      <c r="H9406" s="680" t="s">
        <v>6153</v>
      </c>
    </row>
    <row r="9407" spans="8:8">
      <c r="H9407" s="680" t="s">
        <v>6153</v>
      </c>
    </row>
    <row r="9408" spans="8:8">
      <c r="H9408" s="680" t="s">
        <v>6153</v>
      </c>
    </row>
    <row r="9409" spans="8:8">
      <c r="H9409" s="680" t="s">
        <v>6153</v>
      </c>
    </row>
    <row r="9410" spans="8:8">
      <c r="H9410" s="680" t="s">
        <v>6153</v>
      </c>
    </row>
    <row r="9411" spans="8:8">
      <c r="H9411" s="680" t="s">
        <v>6153</v>
      </c>
    </row>
    <row r="9412" spans="8:8">
      <c r="H9412" s="680" t="s">
        <v>6153</v>
      </c>
    </row>
    <row r="9413" spans="8:8">
      <c r="H9413" s="680" t="s">
        <v>6153</v>
      </c>
    </row>
    <row r="9414" spans="8:8">
      <c r="H9414" s="680" t="s">
        <v>6153</v>
      </c>
    </row>
    <row r="9415" spans="8:8">
      <c r="H9415" s="680" t="s">
        <v>6153</v>
      </c>
    </row>
    <row r="9416" spans="8:8">
      <c r="H9416" s="680" t="s">
        <v>6153</v>
      </c>
    </row>
    <row r="9417" spans="8:8">
      <c r="H9417" s="680" t="s">
        <v>6153</v>
      </c>
    </row>
    <row r="9418" spans="8:8">
      <c r="H9418" s="680" t="s">
        <v>6153</v>
      </c>
    </row>
    <row r="9419" spans="8:8">
      <c r="H9419" s="680" t="s">
        <v>6153</v>
      </c>
    </row>
    <row r="9420" spans="8:8">
      <c r="H9420" s="680" t="s">
        <v>6153</v>
      </c>
    </row>
    <row r="9421" spans="8:8">
      <c r="H9421" s="680" t="s">
        <v>6153</v>
      </c>
    </row>
    <row r="9422" spans="8:8">
      <c r="H9422" s="680" t="s">
        <v>6153</v>
      </c>
    </row>
    <row r="9423" spans="8:8">
      <c r="H9423" s="680" t="s">
        <v>6153</v>
      </c>
    </row>
    <row r="9424" spans="8:8">
      <c r="H9424" s="680" t="s">
        <v>6153</v>
      </c>
    </row>
    <row r="9425" spans="8:8">
      <c r="H9425" s="680" t="s">
        <v>6153</v>
      </c>
    </row>
    <row r="9426" spans="8:8">
      <c r="H9426" s="680" t="s">
        <v>6153</v>
      </c>
    </row>
    <row r="9427" spans="8:8">
      <c r="H9427" s="680" t="s">
        <v>6153</v>
      </c>
    </row>
    <row r="9428" spans="8:8">
      <c r="H9428" s="680" t="s">
        <v>6153</v>
      </c>
    </row>
    <row r="9429" spans="8:8">
      <c r="H9429" s="680" t="s">
        <v>6153</v>
      </c>
    </row>
    <row r="9430" spans="8:8">
      <c r="H9430" s="680" t="s">
        <v>6153</v>
      </c>
    </row>
    <row r="9431" spans="8:8">
      <c r="H9431" s="680" t="s">
        <v>6153</v>
      </c>
    </row>
    <row r="9432" spans="8:8">
      <c r="H9432" s="680" t="s">
        <v>6153</v>
      </c>
    </row>
    <row r="9433" spans="8:8">
      <c r="H9433" s="680" t="s">
        <v>6153</v>
      </c>
    </row>
    <row r="9434" spans="8:8">
      <c r="H9434" s="680" t="s">
        <v>6153</v>
      </c>
    </row>
    <row r="9435" spans="8:8">
      <c r="H9435" s="680" t="s">
        <v>6153</v>
      </c>
    </row>
    <row r="9436" spans="8:8">
      <c r="H9436" s="680" t="s">
        <v>6153</v>
      </c>
    </row>
    <row r="9437" spans="8:8">
      <c r="H9437" s="680" t="s">
        <v>6153</v>
      </c>
    </row>
    <row r="9438" spans="8:8">
      <c r="H9438" s="680" t="s">
        <v>6153</v>
      </c>
    </row>
    <row r="9439" spans="8:8">
      <c r="H9439" s="680" t="s">
        <v>6153</v>
      </c>
    </row>
    <row r="9440" spans="8:8">
      <c r="H9440" s="680" t="s">
        <v>6153</v>
      </c>
    </row>
    <row r="9441" spans="8:8">
      <c r="H9441" s="680" t="s">
        <v>6153</v>
      </c>
    </row>
    <row r="9442" spans="8:8">
      <c r="H9442" s="680" t="s">
        <v>6153</v>
      </c>
    </row>
    <row r="9443" spans="8:8">
      <c r="H9443" s="680" t="s">
        <v>6153</v>
      </c>
    </row>
    <row r="9444" spans="8:8">
      <c r="H9444" s="680" t="s">
        <v>6153</v>
      </c>
    </row>
    <row r="9445" spans="8:8">
      <c r="H9445" s="680" t="s">
        <v>6153</v>
      </c>
    </row>
    <row r="9446" spans="8:8">
      <c r="H9446" s="680" t="s">
        <v>6153</v>
      </c>
    </row>
    <row r="9447" spans="8:8">
      <c r="H9447" s="680" t="s">
        <v>6153</v>
      </c>
    </row>
    <row r="9448" spans="8:8">
      <c r="H9448" s="680" t="s">
        <v>6153</v>
      </c>
    </row>
    <row r="9449" spans="8:8">
      <c r="H9449" s="680" t="s">
        <v>6153</v>
      </c>
    </row>
    <row r="9450" spans="8:8">
      <c r="H9450" s="680" t="s">
        <v>6153</v>
      </c>
    </row>
    <row r="9451" spans="8:8">
      <c r="H9451" s="680" t="s">
        <v>6153</v>
      </c>
    </row>
    <row r="9452" spans="8:8">
      <c r="H9452" s="680" t="s">
        <v>6153</v>
      </c>
    </row>
    <row r="9453" spans="8:8">
      <c r="H9453" s="680" t="s">
        <v>6153</v>
      </c>
    </row>
    <row r="9454" spans="8:8">
      <c r="H9454" s="680" t="s">
        <v>6153</v>
      </c>
    </row>
    <row r="9455" spans="8:8">
      <c r="H9455" s="680" t="s">
        <v>6153</v>
      </c>
    </row>
    <row r="9456" spans="8:8">
      <c r="H9456" s="680" t="s">
        <v>6153</v>
      </c>
    </row>
    <row r="9457" spans="8:8">
      <c r="H9457" s="680" t="s">
        <v>6153</v>
      </c>
    </row>
    <row r="9458" spans="8:8">
      <c r="H9458" s="680" t="s">
        <v>6153</v>
      </c>
    </row>
    <row r="9459" spans="8:8">
      <c r="H9459" s="680" t="s">
        <v>6153</v>
      </c>
    </row>
    <row r="9460" spans="8:8">
      <c r="H9460" s="680" t="s">
        <v>6153</v>
      </c>
    </row>
    <row r="9461" spans="8:8">
      <c r="H9461" s="680" t="s">
        <v>6153</v>
      </c>
    </row>
    <row r="9462" spans="8:8">
      <c r="H9462" s="680" t="s">
        <v>6153</v>
      </c>
    </row>
    <row r="9463" spans="8:8">
      <c r="H9463" s="680" t="s">
        <v>6153</v>
      </c>
    </row>
    <row r="9464" spans="8:8">
      <c r="H9464" s="680" t="s">
        <v>6153</v>
      </c>
    </row>
    <row r="9465" spans="8:8">
      <c r="H9465" s="680" t="s">
        <v>6153</v>
      </c>
    </row>
    <row r="9466" spans="8:8">
      <c r="H9466" s="680" t="s">
        <v>6153</v>
      </c>
    </row>
    <row r="9467" spans="8:8">
      <c r="H9467" s="680" t="s">
        <v>6153</v>
      </c>
    </row>
    <row r="9468" spans="8:8">
      <c r="H9468" s="680" t="s">
        <v>6153</v>
      </c>
    </row>
    <row r="9469" spans="8:8">
      <c r="H9469" s="680" t="s">
        <v>6153</v>
      </c>
    </row>
    <row r="9470" spans="8:8">
      <c r="H9470" s="680" t="s">
        <v>6153</v>
      </c>
    </row>
    <row r="9471" spans="8:8">
      <c r="H9471" s="680" t="s">
        <v>6153</v>
      </c>
    </row>
    <row r="9472" spans="8:8">
      <c r="H9472" s="680" t="s">
        <v>6153</v>
      </c>
    </row>
    <row r="9473" spans="8:8">
      <c r="H9473" s="680" t="s">
        <v>6153</v>
      </c>
    </row>
    <row r="9474" spans="8:8">
      <c r="H9474" s="680" t="s">
        <v>6153</v>
      </c>
    </row>
    <row r="9475" spans="8:8">
      <c r="H9475" s="680" t="s">
        <v>6153</v>
      </c>
    </row>
    <row r="9476" spans="8:8">
      <c r="H9476" s="680" t="s">
        <v>6153</v>
      </c>
    </row>
    <row r="9477" spans="8:8">
      <c r="H9477" s="680" t="s">
        <v>6153</v>
      </c>
    </row>
    <row r="9478" spans="8:8">
      <c r="H9478" s="680" t="s">
        <v>6153</v>
      </c>
    </row>
    <row r="9479" spans="8:8">
      <c r="H9479" s="680" t="s">
        <v>6153</v>
      </c>
    </row>
    <row r="9480" spans="8:8">
      <c r="H9480" s="680" t="s">
        <v>6153</v>
      </c>
    </row>
    <row r="9481" spans="8:8">
      <c r="H9481" s="680" t="s">
        <v>6153</v>
      </c>
    </row>
    <row r="9482" spans="8:8">
      <c r="H9482" s="680" t="s">
        <v>6153</v>
      </c>
    </row>
    <row r="9483" spans="8:8">
      <c r="H9483" s="680" t="s">
        <v>6153</v>
      </c>
    </row>
    <row r="9484" spans="8:8">
      <c r="H9484" s="680" t="s">
        <v>6153</v>
      </c>
    </row>
    <row r="9485" spans="8:8">
      <c r="H9485" s="680" t="s">
        <v>6153</v>
      </c>
    </row>
    <row r="9486" spans="8:8">
      <c r="H9486" s="680" t="s">
        <v>6153</v>
      </c>
    </row>
    <row r="9487" spans="8:8">
      <c r="H9487" s="680" t="s">
        <v>6153</v>
      </c>
    </row>
    <row r="9488" spans="8:8">
      <c r="H9488" s="680" t="s">
        <v>6153</v>
      </c>
    </row>
    <row r="9489" spans="8:8">
      <c r="H9489" s="680" t="s">
        <v>6153</v>
      </c>
    </row>
    <row r="9490" spans="8:8">
      <c r="H9490" s="680" t="s">
        <v>6153</v>
      </c>
    </row>
    <row r="9491" spans="8:8">
      <c r="H9491" s="680" t="s">
        <v>6153</v>
      </c>
    </row>
    <row r="9492" spans="8:8">
      <c r="H9492" s="680" t="s">
        <v>6153</v>
      </c>
    </row>
    <row r="9493" spans="8:8">
      <c r="H9493" s="680" t="s">
        <v>6153</v>
      </c>
    </row>
    <row r="9494" spans="8:8">
      <c r="H9494" s="680" t="s">
        <v>6153</v>
      </c>
    </row>
    <row r="9495" spans="8:8">
      <c r="H9495" s="680" t="s">
        <v>6153</v>
      </c>
    </row>
    <row r="9496" spans="8:8">
      <c r="H9496" s="680" t="s">
        <v>6153</v>
      </c>
    </row>
    <row r="9497" spans="8:8">
      <c r="H9497" s="680" t="s">
        <v>6153</v>
      </c>
    </row>
    <row r="9498" spans="8:8">
      <c r="H9498" s="680" t="s">
        <v>6153</v>
      </c>
    </row>
    <row r="9499" spans="8:8">
      <c r="H9499" s="680" t="s">
        <v>6153</v>
      </c>
    </row>
    <row r="9500" spans="8:8">
      <c r="H9500" s="680" t="s">
        <v>6153</v>
      </c>
    </row>
    <row r="9501" spans="8:8">
      <c r="H9501" s="680" t="s">
        <v>6153</v>
      </c>
    </row>
    <row r="9502" spans="8:8">
      <c r="H9502" s="680" t="s">
        <v>6153</v>
      </c>
    </row>
    <row r="9503" spans="8:8">
      <c r="H9503" s="680" t="s">
        <v>6153</v>
      </c>
    </row>
    <row r="9504" spans="8:8">
      <c r="H9504" s="680" t="s">
        <v>6153</v>
      </c>
    </row>
    <row r="9505" spans="8:8">
      <c r="H9505" s="680" t="s">
        <v>6153</v>
      </c>
    </row>
    <row r="9506" spans="8:8">
      <c r="H9506" s="680" t="s">
        <v>6153</v>
      </c>
    </row>
    <row r="9507" spans="8:8">
      <c r="H9507" s="680" t="s">
        <v>6153</v>
      </c>
    </row>
    <row r="9508" spans="8:8">
      <c r="H9508" s="680" t="s">
        <v>6153</v>
      </c>
    </row>
    <row r="9509" spans="8:8">
      <c r="H9509" s="680" t="s">
        <v>6153</v>
      </c>
    </row>
    <row r="9510" spans="8:8">
      <c r="H9510" s="680" t="s">
        <v>6153</v>
      </c>
    </row>
    <row r="9511" spans="8:8">
      <c r="H9511" s="680" t="s">
        <v>6153</v>
      </c>
    </row>
    <row r="9512" spans="8:8">
      <c r="H9512" s="680" t="s">
        <v>6153</v>
      </c>
    </row>
    <row r="9513" spans="8:8">
      <c r="H9513" s="680" t="s">
        <v>6153</v>
      </c>
    </row>
    <row r="9514" spans="8:8">
      <c r="H9514" s="680" t="s">
        <v>6153</v>
      </c>
    </row>
    <row r="9515" spans="8:8">
      <c r="H9515" s="680" t="s">
        <v>6153</v>
      </c>
    </row>
    <row r="9516" spans="8:8">
      <c r="H9516" s="680" t="s">
        <v>6153</v>
      </c>
    </row>
    <row r="9517" spans="8:8">
      <c r="H9517" s="680" t="s">
        <v>6153</v>
      </c>
    </row>
    <row r="9518" spans="8:8">
      <c r="H9518" s="680" t="s">
        <v>6153</v>
      </c>
    </row>
    <row r="9519" spans="8:8">
      <c r="H9519" s="680" t="s">
        <v>6153</v>
      </c>
    </row>
    <row r="9520" spans="8:8">
      <c r="H9520" s="680" t="s">
        <v>6153</v>
      </c>
    </row>
    <row r="9521" spans="8:8">
      <c r="H9521" s="680" t="s">
        <v>6153</v>
      </c>
    </row>
    <row r="9522" spans="8:8">
      <c r="H9522" s="680" t="s">
        <v>6153</v>
      </c>
    </row>
    <row r="9523" spans="8:8">
      <c r="H9523" s="680" t="s">
        <v>6153</v>
      </c>
    </row>
    <row r="9524" spans="8:8">
      <c r="H9524" s="680" t="s">
        <v>6153</v>
      </c>
    </row>
    <row r="9525" spans="8:8">
      <c r="H9525" s="680" t="s">
        <v>6153</v>
      </c>
    </row>
    <row r="9526" spans="8:8">
      <c r="H9526" s="680" t="s">
        <v>6153</v>
      </c>
    </row>
    <row r="9527" spans="8:8">
      <c r="H9527" s="680" t="s">
        <v>6153</v>
      </c>
    </row>
    <row r="9528" spans="8:8">
      <c r="H9528" s="680" t="s">
        <v>6153</v>
      </c>
    </row>
    <row r="9529" spans="8:8">
      <c r="H9529" s="680" t="s">
        <v>6153</v>
      </c>
    </row>
    <row r="9530" spans="8:8">
      <c r="H9530" s="680" t="s">
        <v>6153</v>
      </c>
    </row>
    <row r="9531" spans="8:8">
      <c r="H9531" s="680" t="s">
        <v>6153</v>
      </c>
    </row>
    <row r="9532" spans="8:8">
      <c r="H9532" s="680" t="s">
        <v>6153</v>
      </c>
    </row>
    <row r="9533" spans="8:8">
      <c r="H9533" s="680" t="s">
        <v>6153</v>
      </c>
    </row>
    <row r="9534" spans="8:8">
      <c r="H9534" s="680" t="s">
        <v>6153</v>
      </c>
    </row>
    <row r="9535" spans="8:8">
      <c r="H9535" s="680" t="s">
        <v>6153</v>
      </c>
    </row>
    <row r="9536" spans="8:8">
      <c r="H9536" s="680" t="s">
        <v>6153</v>
      </c>
    </row>
    <row r="9537" spans="8:8">
      <c r="H9537" s="680" t="s">
        <v>6153</v>
      </c>
    </row>
    <row r="9538" spans="8:8">
      <c r="H9538" s="680" t="s">
        <v>6153</v>
      </c>
    </row>
    <row r="9539" spans="8:8">
      <c r="H9539" s="680" t="s">
        <v>6153</v>
      </c>
    </row>
    <row r="9540" spans="8:8">
      <c r="H9540" s="680" t="s">
        <v>6153</v>
      </c>
    </row>
    <row r="9541" spans="8:8">
      <c r="H9541" s="680" t="s">
        <v>6153</v>
      </c>
    </row>
    <row r="9542" spans="8:8">
      <c r="H9542" s="680" t="s">
        <v>6153</v>
      </c>
    </row>
    <row r="9543" spans="8:8">
      <c r="H9543" s="680" t="s">
        <v>6153</v>
      </c>
    </row>
    <row r="9544" spans="8:8">
      <c r="H9544" s="680" t="s">
        <v>6153</v>
      </c>
    </row>
    <row r="9545" spans="8:8">
      <c r="H9545" s="680" t="s">
        <v>6153</v>
      </c>
    </row>
    <row r="9546" spans="8:8">
      <c r="H9546" s="680" t="s">
        <v>6153</v>
      </c>
    </row>
    <row r="9547" spans="8:8">
      <c r="H9547" s="680" t="s">
        <v>6153</v>
      </c>
    </row>
    <row r="9548" spans="8:8">
      <c r="H9548" s="680" t="s">
        <v>6153</v>
      </c>
    </row>
    <row r="9549" spans="8:8">
      <c r="H9549" s="680" t="s">
        <v>6153</v>
      </c>
    </row>
    <row r="9550" spans="8:8">
      <c r="H9550" s="680" t="s">
        <v>6153</v>
      </c>
    </row>
    <row r="9551" spans="8:8">
      <c r="H9551" s="680" t="s">
        <v>6153</v>
      </c>
    </row>
    <row r="9552" spans="8:8">
      <c r="H9552" s="680" t="s">
        <v>6153</v>
      </c>
    </row>
    <row r="9553" spans="8:8">
      <c r="H9553" s="680" t="s">
        <v>6153</v>
      </c>
    </row>
    <row r="9554" spans="8:8">
      <c r="H9554" s="680" t="s">
        <v>6153</v>
      </c>
    </row>
    <row r="9555" spans="8:8">
      <c r="H9555" s="680" t="s">
        <v>6153</v>
      </c>
    </row>
    <row r="9556" spans="8:8">
      <c r="H9556" s="680" t="s">
        <v>6153</v>
      </c>
    </row>
    <row r="9557" spans="8:8">
      <c r="H9557" s="680" t="s">
        <v>6153</v>
      </c>
    </row>
    <row r="9558" spans="8:8">
      <c r="H9558" s="680" t="s">
        <v>6153</v>
      </c>
    </row>
    <row r="9559" spans="8:8">
      <c r="H9559" s="680" t="s">
        <v>6153</v>
      </c>
    </row>
    <row r="9560" spans="8:8">
      <c r="H9560" s="680" t="s">
        <v>6153</v>
      </c>
    </row>
    <row r="9561" spans="8:8">
      <c r="H9561" s="680" t="s">
        <v>6153</v>
      </c>
    </row>
    <row r="9562" spans="8:8">
      <c r="H9562" s="680" t="s">
        <v>6153</v>
      </c>
    </row>
    <row r="9563" spans="8:8">
      <c r="H9563" s="680" t="s">
        <v>6153</v>
      </c>
    </row>
    <row r="9564" spans="8:8">
      <c r="H9564" s="680" t="s">
        <v>6153</v>
      </c>
    </row>
    <row r="9565" spans="8:8">
      <c r="H9565" s="680" t="s">
        <v>6153</v>
      </c>
    </row>
    <row r="9566" spans="8:8">
      <c r="H9566" s="680" t="s">
        <v>6153</v>
      </c>
    </row>
    <row r="9567" spans="8:8">
      <c r="H9567" s="680" t="s">
        <v>6153</v>
      </c>
    </row>
    <row r="9568" spans="8:8">
      <c r="H9568" s="680" t="s">
        <v>6153</v>
      </c>
    </row>
    <row r="9569" spans="8:8">
      <c r="H9569" s="680" t="s">
        <v>6153</v>
      </c>
    </row>
    <row r="9570" spans="8:8">
      <c r="H9570" s="680" t="s">
        <v>6153</v>
      </c>
    </row>
    <row r="9571" spans="8:8">
      <c r="H9571" s="680" t="s">
        <v>6153</v>
      </c>
    </row>
    <row r="9572" spans="8:8">
      <c r="H9572" s="680" t="s">
        <v>6153</v>
      </c>
    </row>
    <row r="9573" spans="8:8">
      <c r="H9573" s="680" t="s">
        <v>6153</v>
      </c>
    </row>
    <row r="9574" spans="8:8">
      <c r="H9574" s="680" t="s">
        <v>6153</v>
      </c>
    </row>
    <row r="9575" spans="8:8">
      <c r="H9575" s="680" t="s">
        <v>6153</v>
      </c>
    </row>
    <row r="9576" spans="8:8">
      <c r="H9576" s="680" t="s">
        <v>6153</v>
      </c>
    </row>
    <row r="9577" spans="8:8">
      <c r="H9577" s="680" t="s">
        <v>6153</v>
      </c>
    </row>
    <row r="9578" spans="8:8">
      <c r="H9578" s="680" t="s">
        <v>6153</v>
      </c>
    </row>
    <row r="9579" spans="8:8">
      <c r="H9579" s="680" t="s">
        <v>6153</v>
      </c>
    </row>
    <row r="9580" spans="8:8">
      <c r="H9580" s="680" t="s">
        <v>6153</v>
      </c>
    </row>
    <row r="9581" spans="8:8">
      <c r="H9581" s="680" t="s">
        <v>6153</v>
      </c>
    </row>
    <row r="9582" spans="8:8">
      <c r="H9582" s="680" t="s">
        <v>6153</v>
      </c>
    </row>
    <row r="9583" spans="8:8">
      <c r="H9583" s="680" t="s">
        <v>6153</v>
      </c>
    </row>
    <row r="9584" spans="8:8">
      <c r="H9584" s="680" t="s">
        <v>6153</v>
      </c>
    </row>
    <row r="9585" spans="8:8">
      <c r="H9585" s="680" t="s">
        <v>6153</v>
      </c>
    </row>
    <row r="9586" spans="8:8">
      <c r="H9586" s="680" t="s">
        <v>6153</v>
      </c>
    </row>
    <row r="9587" spans="8:8">
      <c r="H9587" s="680" t="s">
        <v>6153</v>
      </c>
    </row>
    <row r="9588" spans="8:8">
      <c r="H9588" s="680" t="s">
        <v>6153</v>
      </c>
    </row>
    <row r="9589" spans="8:8">
      <c r="H9589" s="680" t="s">
        <v>6153</v>
      </c>
    </row>
    <row r="9590" spans="8:8">
      <c r="H9590" s="680" t="s">
        <v>6153</v>
      </c>
    </row>
    <row r="9591" spans="8:8">
      <c r="H9591" s="680" t="s">
        <v>6153</v>
      </c>
    </row>
    <row r="9592" spans="8:8">
      <c r="H9592" s="680" t="s">
        <v>6153</v>
      </c>
    </row>
    <row r="9593" spans="8:8">
      <c r="H9593" s="680" t="s">
        <v>6153</v>
      </c>
    </row>
    <row r="9594" spans="8:8">
      <c r="H9594" s="680" t="s">
        <v>6153</v>
      </c>
    </row>
    <row r="9595" spans="8:8">
      <c r="H9595" s="680" t="s">
        <v>6153</v>
      </c>
    </row>
    <row r="9596" spans="8:8">
      <c r="H9596" s="680" t="s">
        <v>6153</v>
      </c>
    </row>
    <row r="9597" spans="8:8">
      <c r="H9597" s="680" t="s">
        <v>6153</v>
      </c>
    </row>
    <row r="9598" spans="8:8">
      <c r="H9598" s="680" t="s">
        <v>6153</v>
      </c>
    </row>
    <row r="9599" spans="8:8">
      <c r="H9599" s="680" t="s">
        <v>6153</v>
      </c>
    </row>
    <row r="9600" spans="8:8">
      <c r="H9600" s="680" t="s">
        <v>6153</v>
      </c>
    </row>
    <row r="9601" spans="8:8">
      <c r="H9601" s="680" t="s">
        <v>6153</v>
      </c>
    </row>
    <row r="9602" spans="8:8">
      <c r="H9602" s="680" t="s">
        <v>6153</v>
      </c>
    </row>
    <row r="9603" spans="8:8">
      <c r="H9603" s="680" t="s">
        <v>6153</v>
      </c>
    </row>
    <row r="9604" spans="8:8">
      <c r="H9604" s="680" t="s">
        <v>6153</v>
      </c>
    </row>
    <row r="9605" spans="8:8">
      <c r="H9605" s="680" t="s">
        <v>6153</v>
      </c>
    </row>
    <row r="9606" spans="8:8">
      <c r="H9606" s="680" t="s">
        <v>6153</v>
      </c>
    </row>
    <row r="9607" spans="8:8">
      <c r="H9607" s="680" t="s">
        <v>6153</v>
      </c>
    </row>
    <row r="9608" spans="8:8">
      <c r="H9608" s="680" t="s">
        <v>6153</v>
      </c>
    </row>
    <row r="9609" spans="8:8">
      <c r="H9609" s="680" t="s">
        <v>6153</v>
      </c>
    </row>
    <row r="9610" spans="8:8">
      <c r="H9610" s="680" t="s">
        <v>6153</v>
      </c>
    </row>
    <row r="9611" spans="8:8">
      <c r="H9611" s="680" t="s">
        <v>6153</v>
      </c>
    </row>
    <row r="9612" spans="8:8">
      <c r="H9612" s="680" t="s">
        <v>6153</v>
      </c>
    </row>
    <row r="9613" spans="8:8">
      <c r="H9613" s="680" t="s">
        <v>6153</v>
      </c>
    </row>
    <row r="9614" spans="8:8">
      <c r="H9614" s="680" t="s">
        <v>6153</v>
      </c>
    </row>
    <row r="9615" spans="8:8">
      <c r="H9615" s="680" t="s">
        <v>6153</v>
      </c>
    </row>
    <row r="9616" spans="8:8">
      <c r="H9616" s="680" t="s">
        <v>6153</v>
      </c>
    </row>
    <row r="9617" spans="8:8">
      <c r="H9617" s="680" t="s">
        <v>6153</v>
      </c>
    </row>
    <row r="9618" spans="8:8">
      <c r="H9618" s="680" t="s">
        <v>6153</v>
      </c>
    </row>
    <row r="9619" spans="8:8">
      <c r="H9619" s="680" t="s">
        <v>6153</v>
      </c>
    </row>
    <row r="9620" spans="8:8">
      <c r="H9620" s="680" t="s">
        <v>6153</v>
      </c>
    </row>
    <row r="9621" spans="8:8">
      <c r="H9621" s="680" t="s">
        <v>6153</v>
      </c>
    </row>
    <row r="9622" spans="8:8">
      <c r="H9622" s="680" t="s">
        <v>6153</v>
      </c>
    </row>
    <row r="9623" spans="8:8">
      <c r="H9623" s="680" t="s">
        <v>6153</v>
      </c>
    </row>
    <row r="9624" spans="8:8">
      <c r="H9624" s="680" t="s">
        <v>6153</v>
      </c>
    </row>
    <row r="9625" spans="8:8">
      <c r="H9625" s="680" t="s">
        <v>6153</v>
      </c>
    </row>
    <row r="9626" spans="8:8">
      <c r="H9626" s="680" t="s">
        <v>6153</v>
      </c>
    </row>
    <row r="9627" spans="8:8">
      <c r="H9627" s="680" t="s">
        <v>6153</v>
      </c>
    </row>
    <row r="9628" spans="8:8">
      <c r="H9628" s="680" t="s">
        <v>6153</v>
      </c>
    </row>
    <row r="9629" spans="8:8">
      <c r="H9629" s="680" t="s">
        <v>6153</v>
      </c>
    </row>
    <row r="9630" spans="8:8">
      <c r="H9630" s="680" t="s">
        <v>6153</v>
      </c>
    </row>
    <row r="9631" spans="8:8">
      <c r="H9631" s="680" t="s">
        <v>6153</v>
      </c>
    </row>
    <row r="9632" spans="8:8">
      <c r="H9632" s="680" t="s">
        <v>6153</v>
      </c>
    </row>
    <row r="9633" spans="8:8">
      <c r="H9633" s="680" t="s">
        <v>6153</v>
      </c>
    </row>
    <row r="9634" spans="8:8">
      <c r="H9634" s="680" t="s">
        <v>6153</v>
      </c>
    </row>
    <row r="9635" spans="8:8">
      <c r="H9635" s="680" t="s">
        <v>6153</v>
      </c>
    </row>
    <row r="9636" spans="8:8">
      <c r="H9636" s="680" t="s">
        <v>6153</v>
      </c>
    </row>
    <row r="9637" spans="8:8">
      <c r="H9637" s="680" t="s">
        <v>6153</v>
      </c>
    </row>
    <row r="9638" spans="8:8">
      <c r="H9638" s="680" t="s">
        <v>6153</v>
      </c>
    </row>
    <row r="9639" spans="8:8">
      <c r="H9639" s="680" t="s">
        <v>6153</v>
      </c>
    </row>
    <row r="9640" spans="8:8">
      <c r="H9640" s="680" t="s">
        <v>6153</v>
      </c>
    </row>
    <row r="9641" spans="8:8">
      <c r="H9641" s="680" t="s">
        <v>6153</v>
      </c>
    </row>
    <row r="9642" spans="8:8">
      <c r="H9642" s="680" t="s">
        <v>6153</v>
      </c>
    </row>
    <row r="9643" spans="8:8">
      <c r="H9643" s="680" t="s">
        <v>6153</v>
      </c>
    </row>
    <row r="9644" spans="8:8">
      <c r="H9644" s="680" t="s">
        <v>6153</v>
      </c>
    </row>
    <row r="9645" spans="8:8">
      <c r="H9645" s="680" t="s">
        <v>6153</v>
      </c>
    </row>
    <row r="9646" spans="8:8">
      <c r="H9646" s="680" t="s">
        <v>6153</v>
      </c>
    </row>
    <row r="9647" spans="8:8">
      <c r="H9647" s="680" t="s">
        <v>6153</v>
      </c>
    </row>
    <row r="9648" spans="8:8">
      <c r="H9648" s="680" t="s">
        <v>6153</v>
      </c>
    </row>
    <row r="9649" spans="8:8">
      <c r="H9649" s="680" t="s">
        <v>6153</v>
      </c>
    </row>
    <row r="9650" spans="8:8">
      <c r="H9650" s="680" t="s">
        <v>6153</v>
      </c>
    </row>
    <row r="9651" spans="8:8">
      <c r="H9651" s="680" t="s">
        <v>6153</v>
      </c>
    </row>
    <row r="9652" spans="8:8">
      <c r="H9652" s="680" t="s">
        <v>6153</v>
      </c>
    </row>
    <row r="9653" spans="8:8">
      <c r="H9653" s="680" t="s">
        <v>6153</v>
      </c>
    </row>
    <row r="9654" spans="8:8">
      <c r="H9654" s="680" t="s">
        <v>6153</v>
      </c>
    </row>
    <row r="9655" spans="8:8">
      <c r="H9655" s="680" t="s">
        <v>6153</v>
      </c>
    </row>
    <row r="9656" spans="8:8">
      <c r="H9656" s="680" t="s">
        <v>6153</v>
      </c>
    </row>
    <row r="9657" spans="8:8">
      <c r="H9657" s="680" t="s">
        <v>6153</v>
      </c>
    </row>
    <row r="9658" spans="8:8">
      <c r="H9658" s="680" t="s">
        <v>6153</v>
      </c>
    </row>
    <row r="9659" spans="8:8">
      <c r="H9659" s="680" t="s">
        <v>6153</v>
      </c>
    </row>
    <row r="9660" spans="8:8">
      <c r="H9660" s="680" t="s">
        <v>6153</v>
      </c>
    </row>
    <row r="9661" spans="8:8">
      <c r="H9661" s="680" t="s">
        <v>6153</v>
      </c>
    </row>
    <row r="9662" spans="8:8">
      <c r="H9662" s="680" t="s">
        <v>6153</v>
      </c>
    </row>
    <row r="9663" spans="8:8">
      <c r="H9663" s="680" t="s">
        <v>6153</v>
      </c>
    </row>
    <row r="9664" spans="8:8">
      <c r="H9664" s="680" t="s">
        <v>6153</v>
      </c>
    </row>
    <row r="9665" spans="8:8">
      <c r="H9665" s="680" t="s">
        <v>6153</v>
      </c>
    </row>
    <row r="9666" spans="8:8">
      <c r="H9666" s="680" t="s">
        <v>6153</v>
      </c>
    </row>
    <row r="9667" spans="8:8">
      <c r="H9667" s="680" t="s">
        <v>6153</v>
      </c>
    </row>
    <row r="9668" spans="8:8">
      <c r="H9668" s="680" t="s">
        <v>6153</v>
      </c>
    </row>
    <row r="9669" spans="8:8">
      <c r="H9669" s="680" t="s">
        <v>6153</v>
      </c>
    </row>
    <row r="9670" spans="8:8">
      <c r="H9670" s="680" t="s">
        <v>6153</v>
      </c>
    </row>
    <row r="9671" spans="8:8">
      <c r="H9671" s="680" t="s">
        <v>6153</v>
      </c>
    </row>
    <row r="9672" spans="8:8">
      <c r="H9672" s="680" t="s">
        <v>6153</v>
      </c>
    </row>
    <row r="9673" spans="8:8">
      <c r="H9673" s="680" t="s">
        <v>6153</v>
      </c>
    </row>
    <row r="9674" spans="8:8">
      <c r="H9674" s="680" t="s">
        <v>6153</v>
      </c>
    </row>
    <row r="9675" spans="8:8">
      <c r="H9675" s="680" t="s">
        <v>6153</v>
      </c>
    </row>
    <row r="9676" spans="8:8">
      <c r="H9676" s="680" t="s">
        <v>6153</v>
      </c>
    </row>
    <row r="9677" spans="8:8">
      <c r="H9677" s="680" t="s">
        <v>6153</v>
      </c>
    </row>
    <row r="9678" spans="8:8">
      <c r="H9678" s="680" t="s">
        <v>6153</v>
      </c>
    </row>
    <row r="9679" spans="8:8">
      <c r="H9679" s="680" t="s">
        <v>6153</v>
      </c>
    </row>
    <row r="9680" spans="8:8">
      <c r="H9680" s="680" t="s">
        <v>6153</v>
      </c>
    </row>
    <row r="9681" spans="8:8">
      <c r="H9681" s="680" t="s">
        <v>6153</v>
      </c>
    </row>
    <row r="9682" spans="8:8">
      <c r="H9682" s="680" t="s">
        <v>6153</v>
      </c>
    </row>
    <row r="9683" spans="8:8">
      <c r="H9683" s="680" t="s">
        <v>6153</v>
      </c>
    </row>
    <row r="9684" spans="8:8">
      <c r="H9684" s="680" t="s">
        <v>6153</v>
      </c>
    </row>
    <row r="9685" spans="8:8">
      <c r="H9685" s="680" t="s">
        <v>6153</v>
      </c>
    </row>
    <row r="9686" spans="8:8">
      <c r="H9686" s="680" t="s">
        <v>6153</v>
      </c>
    </row>
    <row r="9687" spans="8:8">
      <c r="H9687" s="680" t="s">
        <v>6153</v>
      </c>
    </row>
    <row r="9688" spans="8:8">
      <c r="H9688" s="680" t="s">
        <v>6153</v>
      </c>
    </row>
    <row r="9689" spans="8:8">
      <c r="H9689" s="680" t="s">
        <v>6153</v>
      </c>
    </row>
    <row r="9690" spans="8:8">
      <c r="H9690" s="680" t="s">
        <v>6153</v>
      </c>
    </row>
    <row r="9691" spans="8:8">
      <c r="H9691" s="680" t="s">
        <v>6153</v>
      </c>
    </row>
    <row r="9692" spans="8:8">
      <c r="H9692" s="680" t="s">
        <v>6153</v>
      </c>
    </row>
    <row r="9693" spans="8:8">
      <c r="H9693" s="680" t="s">
        <v>6153</v>
      </c>
    </row>
    <row r="9694" spans="8:8">
      <c r="H9694" s="680" t="s">
        <v>6153</v>
      </c>
    </row>
    <row r="9695" spans="8:8">
      <c r="H9695" s="680" t="s">
        <v>6153</v>
      </c>
    </row>
    <row r="9696" spans="8:8">
      <c r="H9696" s="680" t="s">
        <v>6153</v>
      </c>
    </row>
    <row r="9697" spans="8:8">
      <c r="H9697" s="680" t="s">
        <v>6153</v>
      </c>
    </row>
    <row r="9698" spans="8:8">
      <c r="H9698" s="680" t="s">
        <v>6153</v>
      </c>
    </row>
    <row r="9699" spans="8:8">
      <c r="H9699" s="680" t="s">
        <v>6153</v>
      </c>
    </row>
    <row r="9700" spans="8:8">
      <c r="H9700" s="680" t="s">
        <v>6153</v>
      </c>
    </row>
    <row r="9701" spans="8:8">
      <c r="H9701" s="680" t="s">
        <v>6153</v>
      </c>
    </row>
    <row r="9702" spans="8:8">
      <c r="H9702" s="680" t="s">
        <v>6153</v>
      </c>
    </row>
    <row r="9703" spans="8:8">
      <c r="H9703" s="680" t="s">
        <v>6153</v>
      </c>
    </row>
    <row r="9704" spans="8:8">
      <c r="H9704" s="680" t="s">
        <v>6153</v>
      </c>
    </row>
    <row r="9705" spans="8:8">
      <c r="H9705" s="680" t="s">
        <v>6153</v>
      </c>
    </row>
    <row r="9706" spans="8:8">
      <c r="H9706" s="680" t="s">
        <v>6153</v>
      </c>
    </row>
    <row r="9707" spans="8:8">
      <c r="H9707" s="680" t="s">
        <v>6153</v>
      </c>
    </row>
    <row r="9708" spans="8:8">
      <c r="H9708" s="680" t="s">
        <v>6153</v>
      </c>
    </row>
    <row r="9709" spans="8:8">
      <c r="H9709" s="680" t="s">
        <v>6153</v>
      </c>
    </row>
    <row r="9710" spans="8:8">
      <c r="H9710" s="680" t="s">
        <v>6153</v>
      </c>
    </row>
    <row r="9711" spans="8:8">
      <c r="H9711" s="680" t="s">
        <v>6153</v>
      </c>
    </row>
    <row r="9712" spans="8:8">
      <c r="H9712" s="680" t="s">
        <v>6153</v>
      </c>
    </row>
    <row r="9713" spans="8:8">
      <c r="H9713" s="680" t="s">
        <v>6153</v>
      </c>
    </row>
    <row r="9714" spans="8:8">
      <c r="H9714" s="680" t="s">
        <v>6153</v>
      </c>
    </row>
    <row r="9715" spans="8:8">
      <c r="H9715" s="680" t="s">
        <v>6153</v>
      </c>
    </row>
    <row r="9716" spans="8:8">
      <c r="H9716" s="680" t="s">
        <v>6153</v>
      </c>
    </row>
    <row r="9717" spans="8:8">
      <c r="H9717" s="680" t="s">
        <v>6153</v>
      </c>
    </row>
    <row r="9718" spans="8:8">
      <c r="H9718" s="680" t="s">
        <v>6153</v>
      </c>
    </row>
    <row r="9719" spans="8:8">
      <c r="H9719" s="680" t="s">
        <v>6153</v>
      </c>
    </row>
    <row r="9720" spans="8:8">
      <c r="H9720" s="680" t="s">
        <v>6153</v>
      </c>
    </row>
    <row r="9721" spans="8:8">
      <c r="H9721" s="680" t="s">
        <v>6153</v>
      </c>
    </row>
    <row r="9722" spans="8:8">
      <c r="H9722" s="680" t="s">
        <v>6153</v>
      </c>
    </row>
    <row r="9723" spans="8:8">
      <c r="H9723" s="680" t="s">
        <v>6153</v>
      </c>
    </row>
    <row r="9724" spans="8:8">
      <c r="H9724" s="680" t="s">
        <v>6153</v>
      </c>
    </row>
    <row r="9725" spans="8:8">
      <c r="H9725" s="680" t="s">
        <v>6153</v>
      </c>
    </row>
    <row r="9726" spans="8:8">
      <c r="H9726" s="680" t="s">
        <v>6153</v>
      </c>
    </row>
    <row r="9727" spans="8:8">
      <c r="H9727" s="680" t="s">
        <v>6153</v>
      </c>
    </row>
    <row r="9728" spans="8:8">
      <c r="H9728" s="680" t="s">
        <v>6153</v>
      </c>
    </row>
    <row r="9729" spans="8:8">
      <c r="H9729" s="680" t="s">
        <v>6153</v>
      </c>
    </row>
    <row r="9730" spans="8:8">
      <c r="H9730" s="680" t="s">
        <v>6153</v>
      </c>
    </row>
    <row r="9731" spans="8:8">
      <c r="H9731" s="680" t="s">
        <v>6153</v>
      </c>
    </row>
    <row r="9732" spans="8:8">
      <c r="H9732" s="680" t="s">
        <v>6153</v>
      </c>
    </row>
    <row r="9733" spans="8:8">
      <c r="H9733" s="680" t="s">
        <v>6153</v>
      </c>
    </row>
    <row r="9734" spans="8:8">
      <c r="H9734" s="680" t="s">
        <v>6153</v>
      </c>
    </row>
    <row r="9735" spans="8:8">
      <c r="H9735" s="680" t="s">
        <v>6153</v>
      </c>
    </row>
    <row r="9736" spans="8:8">
      <c r="H9736" s="680" t="s">
        <v>6153</v>
      </c>
    </row>
    <row r="9737" spans="8:8">
      <c r="H9737" s="680" t="s">
        <v>6153</v>
      </c>
    </row>
    <row r="9738" spans="8:8">
      <c r="H9738" s="680" t="s">
        <v>6153</v>
      </c>
    </row>
    <row r="9739" spans="8:8">
      <c r="H9739" s="680" t="s">
        <v>6153</v>
      </c>
    </row>
    <row r="9740" spans="8:8">
      <c r="H9740" s="680" t="s">
        <v>6153</v>
      </c>
    </row>
    <row r="9741" spans="8:8">
      <c r="H9741" s="680" t="s">
        <v>6153</v>
      </c>
    </row>
    <row r="9742" spans="8:8">
      <c r="H9742" s="680" t="s">
        <v>6153</v>
      </c>
    </row>
    <row r="9743" spans="8:8">
      <c r="H9743" s="680" t="s">
        <v>6153</v>
      </c>
    </row>
    <row r="9744" spans="8:8">
      <c r="H9744" s="680" t="s">
        <v>6153</v>
      </c>
    </row>
    <row r="9745" spans="8:8">
      <c r="H9745" s="680" t="s">
        <v>6153</v>
      </c>
    </row>
    <row r="9746" spans="8:8">
      <c r="H9746" s="680" t="s">
        <v>6153</v>
      </c>
    </row>
    <row r="9747" spans="8:8">
      <c r="H9747" s="680" t="s">
        <v>6153</v>
      </c>
    </row>
    <row r="9748" spans="8:8">
      <c r="H9748" s="680" t="s">
        <v>6153</v>
      </c>
    </row>
    <row r="9749" spans="8:8">
      <c r="H9749" s="680" t="s">
        <v>6153</v>
      </c>
    </row>
    <row r="9750" spans="8:8">
      <c r="H9750" s="680" t="s">
        <v>6153</v>
      </c>
    </row>
    <row r="9751" spans="8:8">
      <c r="H9751" s="680" t="s">
        <v>6153</v>
      </c>
    </row>
    <row r="9752" spans="8:8">
      <c r="H9752" s="680" t="s">
        <v>6153</v>
      </c>
    </row>
    <row r="9753" spans="8:8">
      <c r="H9753" s="680" t="s">
        <v>6153</v>
      </c>
    </row>
    <row r="9754" spans="8:8">
      <c r="H9754" s="680" t="s">
        <v>6153</v>
      </c>
    </row>
    <row r="9755" spans="8:8">
      <c r="H9755" s="680" t="s">
        <v>6153</v>
      </c>
    </row>
    <row r="9756" spans="8:8">
      <c r="H9756" s="680" t="s">
        <v>6153</v>
      </c>
    </row>
    <row r="9757" spans="8:8">
      <c r="H9757" s="680" t="s">
        <v>6153</v>
      </c>
    </row>
    <row r="9758" spans="8:8">
      <c r="H9758" s="680" t="s">
        <v>6153</v>
      </c>
    </row>
    <row r="9759" spans="8:8">
      <c r="H9759" s="680" t="s">
        <v>6153</v>
      </c>
    </row>
    <row r="9760" spans="8:8">
      <c r="H9760" s="680" t="s">
        <v>6153</v>
      </c>
    </row>
    <row r="9761" spans="8:8">
      <c r="H9761" s="680" t="s">
        <v>6153</v>
      </c>
    </row>
    <row r="9762" spans="8:8">
      <c r="H9762" s="680" t="s">
        <v>6153</v>
      </c>
    </row>
    <row r="9763" spans="8:8">
      <c r="H9763" s="680" t="s">
        <v>6153</v>
      </c>
    </row>
    <row r="9764" spans="8:8">
      <c r="H9764" s="680" t="s">
        <v>6153</v>
      </c>
    </row>
    <row r="9765" spans="8:8">
      <c r="H9765" s="680" t="s">
        <v>6153</v>
      </c>
    </row>
    <row r="9766" spans="8:8">
      <c r="H9766" s="680" t="s">
        <v>6153</v>
      </c>
    </row>
    <row r="9767" spans="8:8">
      <c r="H9767" s="680" t="s">
        <v>6153</v>
      </c>
    </row>
    <row r="9768" spans="8:8">
      <c r="H9768" s="680" t="s">
        <v>6153</v>
      </c>
    </row>
    <row r="9769" spans="8:8">
      <c r="H9769" s="680" t="s">
        <v>6153</v>
      </c>
    </row>
    <row r="9770" spans="8:8">
      <c r="H9770" s="680" t="s">
        <v>6153</v>
      </c>
    </row>
    <row r="9771" spans="8:8">
      <c r="H9771" s="680" t="s">
        <v>6153</v>
      </c>
    </row>
    <row r="9772" spans="8:8">
      <c r="H9772" s="680" t="s">
        <v>6153</v>
      </c>
    </row>
    <row r="9773" spans="8:8">
      <c r="H9773" s="680" t="s">
        <v>6153</v>
      </c>
    </row>
    <row r="9774" spans="8:8">
      <c r="H9774" s="680" t="s">
        <v>6153</v>
      </c>
    </row>
    <row r="9775" spans="8:8">
      <c r="H9775" s="680" t="s">
        <v>6153</v>
      </c>
    </row>
    <row r="9776" spans="8:8">
      <c r="H9776" s="680" t="s">
        <v>6153</v>
      </c>
    </row>
    <row r="9777" spans="8:8">
      <c r="H9777" s="680" t="s">
        <v>6153</v>
      </c>
    </row>
    <row r="9778" spans="8:8">
      <c r="H9778" s="680" t="s">
        <v>6153</v>
      </c>
    </row>
    <row r="9779" spans="8:8">
      <c r="H9779" s="680" t="s">
        <v>6153</v>
      </c>
    </row>
    <row r="9780" spans="8:8">
      <c r="H9780" s="680" t="s">
        <v>6153</v>
      </c>
    </row>
    <row r="9781" spans="8:8">
      <c r="H9781" s="680" t="s">
        <v>6153</v>
      </c>
    </row>
    <row r="9782" spans="8:8">
      <c r="H9782" s="680" t="s">
        <v>6153</v>
      </c>
    </row>
    <row r="9783" spans="8:8">
      <c r="H9783" s="680" t="s">
        <v>6153</v>
      </c>
    </row>
    <row r="9784" spans="8:8">
      <c r="H9784" s="680" t="s">
        <v>6153</v>
      </c>
    </row>
    <row r="9785" spans="8:8">
      <c r="H9785" s="680" t="s">
        <v>6153</v>
      </c>
    </row>
    <row r="9786" spans="8:8">
      <c r="H9786" s="680" t="s">
        <v>6153</v>
      </c>
    </row>
    <row r="9787" spans="8:8">
      <c r="H9787" s="680" t="s">
        <v>6153</v>
      </c>
    </row>
    <row r="9788" spans="8:8">
      <c r="H9788" s="680" t="s">
        <v>6153</v>
      </c>
    </row>
    <row r="9789" spans="8:8">
      <c r="H9789" s="680" t="s">
        <v>6153</v>
      </c>
    </row>
    <row r="9790" spans="8:8">
      <c r="H9790" s="680" t="s">
        <v>6153</v>
      </c>
    </row>
    <row r="9791" spans="8:8">
      <c r="H9791" s="680" t="s">
        <v>6153</v>
      </c>
    </row>
    <row r="9792" spans="8:8">
      <c r="H9792" s="680" t="s">
        <v>6153</v>
      </c>
    </row>
    <row r="9793" spans="8:8">
      <c r="H9793" s="680" t="s">
        <v>6153</v>
      </c>
    </row>
    <row r="9794" spans="8:8">
      <c r="H9794" s="680" t="s">
        <v>6153</v>
      </c>
    </row>
    <row r="9795" spans="8:8">
      <c r="H9795" s="680" t="s">
        <v>6153</v>
      </c>
    </row>
    <row r="9796" spans="8:8">
      <c r="H9796" s="680" t="s">
        <v>6153</v>
      </c>
    </row>
    <row r="9797" spans="8:8">
      <c r="H9797" s="680" t="s">
        <v>6153</v>
      </c>
    </row>
    <row r="9798" spans="8:8">
      <c r="H9798" s="680" t="s">
        <v>6153</v>
      </c>
    </row>
    <row r="9799" spans="8:8">
      <c r="H9799" s="680" t="s">
        <v>6153</v>
      </c>
    </row>
    <row r="9800" spans="8:8">
      <c r="H9800" s="680" t="s">
        <v>6153</v>
      </c>
    </row>
    <row r="9801" spans="8:8">
      <c r="H9801" s="680" t="s">
        <v>6153</v>
      </c>
    </row>
    <row r="9802" spans="8:8">
      <c r="H9802" s="680" t="s">
        <v>6153</v>
      </c>
    </row>
    <row r="9803" spans="8:8">
      <c r="H9803" s="680" t="s">
        <v>6153</v>
      </c>
    </row>
    <row r="9804" spans="8:8">
      <c r="H9804" s="680" t="s">
        <v>6153</v>
      </c>
    </row>
    <row r="9805" spans="8:8">
      <c r="H9805" s="680" t="s">
        <v>6153</v>
      </c>
    </row>
    <row r="9806" spans="8:8">
      <c r="H9806" s="680" t="s">
        <v>6153</v>
      </c>
    </row>
    <row r="9807" spans="8:8">
      <c r="H9807" s="680" t="s">
        <v>6153</v>
      </c>
    </row>
    <row r="9808" spans="8:8">
      <c r="H9808" s="680" t="s">
        <v>6153</v>
      </c>
    </row>
    <row r="9809" spans="8:8">
      <c r="H9809" s="680" t="s">
        <v>6153</v>
      </c>
    </row>
    <row r="9810" spans="8:8">
      <c r="H9810" s="680" t="s">
        <v>6153</v>
      </c>
    </row>
    <row r="9811" spans="8:8">
      <c r="H9811" s="680" t="s">
        <v>6153</v>
      </c>
    </row>
    <row r="9812" spans="8:8">
      <c r="H9812" s="680" t="s">
        <v>6153</v>
      </c>
    </row>
    <row r="9813" spans="8:8">
      <c r="H9813" s="680" t="s">
        <v>6153</v>
      </c>
    </row>
    <row r="9814" spans="8:8">
      <c r="H9814" s="680" t="s">
        <v>6153</v>
      </c>
    </row>
    <row r="9815" spans="8:8">
      <c r="H9815" s="680" t="s">
        <v>6153</v>
      </c>
    </row>
    <row r="9816" spans="8:8">
      <c r="H9816" s="680" t="s">
        <v>6153</v>
      </c>
    </row>
    <row r="9817" spans="8:8">
      <c r="H9817" s="680" t="s">
        <v>6153</v>
      </c>
    </row>
    <row r="9818" spans="8:8">
      <c r="H9818" s="680" t="s">
        <v>6153</v>
      </c>
    </row>
    <row r="9819" spans="8:8">
      <c r="H9819" s="680" t="s">
        <v>6153</v>
      </c>
    </row>
    <row r="9820" spans="8:8">
      <c r="H9820" s="680" t="s">
        <v>6153</v>
      </c>
    </row>
    <row r="9821" spans="8:8">
      <c r="H9821" s="680" t="s">
        <v>6153</v>
      </c>
    </row>
    <row r="9822" spans="8:8">
      <c r="H9822" s="680" t="s">
        <v>6153</v>
      </c>
    </row>
    <row r="9823" spans="8:8">
      <c r="H9823" s="680" t="s">
        <v>6153</v>
      </c>
    </row>
    <row r="9824" spans="8:8">
      <c r="H9824" s="680" t="s">
        <v>6153</v>
      </c>
    </row>
    <row r="9825" spans="8:8">
      <c r="H9825" s="680" t="s">
        <v>6153</v>
      </c>
    </row>
    <row r="9826" spans="8:8">
      <c r="H9826" s="680" t="s">
        <v>6153</v>
      </c>
    </row>
    <row r="9827" spans="8:8">
      <c r="H9827" s="680" t="s">
        <v>6153</v>
      </c>
    </row>
    <row r="9828" spans="8:8">
      <c r="H9828" s="680" t="s">
        <v>6153</v>
      </c>
    </row>
    <row r="9829" spans="8:8">
      <c r="H9829" s="680" t="s">
        <v>6153</v>
      </c>
    </row>
    <row r="9830" spans="8:8">
      <c r="H9830" s="680" t="s">
        <v>6153</v>
      </c>
    </row>
    <row r="9831" spans="8:8">
      <c r="H9831" s="680" t="s">
        <v>6153</v>
      </c>
    </row>
    <row r="9832" spans="8:8">
      <c r="H9832" s="680" t="s">
        <v>6153</v>
      </c>
    </row>
    <row r="9833" spans="8:8">
      <c r="H9833" s="680" t="s">
        <v>6153</v>
      </c>
    </row>
    <row r="9834" spans="8:8">
      <c r="H9834" s="680" t="s">
        <v>6153</v>
      </c>
    </row>
    <row r="9835" spans="8:8">
      <c r="H9835" s="680" t="s">
        <v>6153</v>
      </c>
    </row>
    <row r="9836" spans="8:8">
      <c r="H9836" s="680" t="s">
        <v>6153</v>
      </c>
    </row>
    <row r="9837" spans="8:8">
      <c r="H9837" s="680" t="s">
        <v>6153</v>
      </c>
    </row>
    <row r="9838" spans="8:8">
      <c r="H9838" s="680" t="s">
        <v>6153</v>
      </c>
    </row>
    <row r="9839" spans="8:8">
      <c r="H9839" s="680" t="s">
        <v>6153</v>
      </c>
    </row>
    <row r="9840" spans="8:8">
      <c r="H9840" s="680" t="s">
        <v>6153</v>
      </c>
    </row>
    <row r="9841" spans="8:8">
      <c r="H9841" s="680" t="s">
        <v>6153</v>
      </c>
    </row>
    <row r="9842" spans="8:8">
      <c r="H9842" s="680" t="s">
        <v>6153</v>
      </c>
    </row>
    <row r="9843" spans="8:8">
      <c r="H9843" s="680" t="s">
        <v>6153</v>
      </c>
    </row>
    <row r="9844" spans="8:8">
      <c r="H9844" s="680" t="s">
        <v>6153</v>
      </c>
    </row>
    <row r="9845" spans="8:8">
      <c r="H9845" s="680" t="s">
        <v>6153</v>
      </c>
    </row>
    <row r="9846" spans="8:8">
      <c r="H9846" s="680" t="s">
        <v>6153</v>
      </c>
    </row>
    <row r="9847" spans="8:8">
      <c r="H9847" s="680" t="s">
        <v>6153</v>
      </c>
    </row>
    <row r="9848" spans="8:8">
      <c r="H9848" s="680" t="s">
        <v>6153</v>
      </c>
    </row>
    <row r="9849" spans="8:8">
      <c r="H9849" s="680" t="s">
        <v>6153</v>
      </c>
    </row>
    <row r="9850" spans="8:8">
      <c r="H9850" s="680" t="s">
        <v>6153</v>
      </c>
    </row>
    <row r="9851" spans="8:8">
      <c r="H9851" s="680" t="s">
        <v>6153</v>
      </c>
    </row>
    <row r="9852" spans="8:8">
      <c r="H9852" s="680" t="s">
        <v>6153</v>
      </c>
    </row>
    <row r="9853" spans="8:8">
      <c r="H9853" s="680" t="s">
        <v>6153</v>
      </c>
    </row>
    <row r="9854" spans="8:8">
      <c r="H9854" s="680" t="s">
        <v>6153</v>
      </c>
    </row>
    <row r="9855" spans="8:8">
      <c r="H9855" s="680" t="s">
        <v>6153</v>
      </c>
    </row>
    <row r="9856" spans="8:8">
      <c r="H9856" s="680" t="s">
        <v>6153</v>
      </c>
    </row>
    <row r="9857" spans="8:8">
      <c r="H9857" s="680" t="s">
        <v>6153</v>
      </c>
    </row>
    <row r="9858" spans="8:8">
      <c r="H9858" s="680" t="s">
        <v>6153</v>
      </c>
    </row>
    <row r="9859" spans="8:8">
      <c r="H9859" s="680" t="s">
        <v>6153</v>
      </c>
    </row>
    <row r="9860" spans="8:8">
      <c r="H9860" s="680" t="s">
        <v>6153</v>
      </c>
    </row>
    <row r="9861" spans="8:8">
      <c r="H9861" s="680" t="s">
        <v>6153</v>
      </c>
    </row>
    <row r="9862" spans="8:8">
      <c r="H9862" s="680" t="s">
        <v>6153</v>
      </c>
    </row>
    <row r="9863" spans="8:8">
      <c r="H9863" s="680" t="s">
        <v>6153</v>
      </c>
    </row>
    <row r="9864" spans="8:8">
      <c r="H9864" s="680" t="s">
        <v>6153</v>
      </c>
    </row>
    <row r="9865" spans="8:8">
      <c r="H9865" s="680" t="s">
        <v>6153</v>
      </c>
    </row>
    <row r="9866" spans="8:8">
      <c r="H9866" s="680" t="s">
        <v>6153</v>
      </c>
    </row>
    <row r="9867" spans="8:8">
      <c r="H9867" s="680" t="s">
        <v>6153</v>
      </c>
    </row>
    <row r="9868" spans="8:8">
      <c r="H9868" s="680" t="s">
        <v>6153</v>
      </c>
    </row>
    <row r="9869" spans="8:8">
      <c r="H9869" s="680" t="s">
        <v>6153</v>
      </c>
    </row>
    <row r="9870" spans="8:8">
      <c r="H9870" s="680" t="s">
        <v>6153</v>
      </c>
    </row>
    <row r="9871" spans="8:8">
      <c r="H9871" s="680" t="s">
        <v>6153</v>
      </c>
    </row>
    <row r="9872" spans="8:8">
      <c r="H9872" s="680" t="s">
        <v>6153</v>
      </c>
    </row>
    <row r="9873" spans="8:8">
      <c r="H9873" s="680" t="s">
        <v>6153</v>
      </c>
    </row>
    <row r="9874" spans="8:8">
      <c r="H9874" s="680" t="s">
        <v>6153</v>
      </c>
    </row>
    <row r="9875" spans="8:8">
      <c r="H9875" s="680" t="s">
        <v>6153</v>
      </c>
    </row>
    <row r="9876" spans="8:8">
      <c r="H9876" s="680" t="s">
        <v>6153</v>
      </c>
    </row>
    <row r="9877" spans="8:8">
      <c r="H9877" s="680" t="s">
        <v>6153</v>
      </c>
    </row>
    <row r="9878" spans="8:8">
      <c r="H9878" s="680" t="s">
        <v>6153</v>
      </c>
    </row>
    <row r="9879" spans="8:8">
      <c r="H9879" s="680" t="s">
        <v>6153</v>
      </c>
    </row>
    <row r="9880" spans="8:8">
      <c r="H9880" s="680" t="s">
        <v>6153</v>
      </c>
    </row>
    <row r="9881" spans="8:8">
      <c r="H9881" s="680" t="s">
        <v>6153</v>
      </c>
    </row>
    <row r="9882" spans="8:8">
      <c r="H9882" s="680" t="s">
        <v>6153</v>
      </c>
    </row>
    <row r="9883" spans="8:8">
      <c r="H9883" s="680" t="s">
        <v>6153</v>
      </c>
    </row>
    <row r="9884" spans="8:8">
      <c r="H9884" s="680" t="s">
        <v>6153</v>
      </c>
    </row>
    <row r="9885" spans="8:8">
      <c r="H9885" s="680" t="s">
        <v>6153</v>
      </c>
    </row>
    <row r="9886" spans="8:8">
      <c r="H9886" s="680" t="s">
        <v>6153</v>
      </c>
    </row>
    <row r="9887" spans="8:8">
      <c r="H9887" s="680" t="s">
        <v>6153</v>
      </c>
    </row>
    <row r="9888" spans="8:8">
      <c r="H9888" s="680" t="s">
        <v>6153</v>
      </c>
    </row>
    <row r="9889" spans="8:8">
      <c r="H9889" s="680" t="s">
        <v>6153</v>
      </c>
    </row>
    <row r="9890" spans="8:8">
      <c r="H9890" s="680" t="s">
        <v>6153</v>
      </c>
    </row>
    <row r="9891" spans="8:8">
      <c r="H9891" s="680" t="s">
        <v>6153</v>
      </c>
    </row>
    <row r="9892" spans="8:8">
      <c r="H9892" s="680" t="s">
        <v>6153</v>
      </c>
    </row>
    <row r="9893" spans="8:8">
      <c r="H9893" s="680" t="s">
        <v>6153</v>
      </c>
    </row>
    <row r="9894" spans="8:8">
      <c r="H9894" s="680" t="s">
        <v>6153</v>
      </c>
    </row>
    <row r="9895" spans="8:8">
      <c r="H9895" s="680" t="s">
        <v>6153</v>
      </c>
    </row>
    <row r="9896" spans="8:8">
      <c r="H9896" s="680" t="s">
        <v>6153</v>
      </c>
    </row>
    <row r="9897" spans="8:8">
      <c r="H9897" s="680" t="s">
        <v>6153</v>
      </c>
    </row>
    <row r="9898" spans="8:8">
      <c r="H9898" s="680" t="s">
        <v>6153</v>
      </c>
    </row>
    <row r="9899" spans="8:8">
      <c r="H9899" s="680" t="s">
        <v>6153</v>
      </c>
    </row>
    <row r="9900" spans="8:8">
      <c r="H9900" s="680" t="s">
        <v>6153</v>
      </c>
    </row>
    <row r="9901" spans="8:8">
      <c r="H9901" s="680" t="s">
        <v>6153</v>
      </c>
    </row>
    <row r="9902" spans="8:8">
      <c r="H9902" s="680" t="s">
        <v>6153</v>
      </c>
    </row>
    <row r="9903" spans="8:8">
      <c r="H9903" s="680" t="s">
        <v>6153</v>
      </c>
    </row>
    <row r="9904" spans="8:8">
      <c r="H9904" s="680" t="s">
        <v>6153</v>
      </c>
    </row>
    <row r="9905" spans="8:8">
      <c r="H9905" s="680" t="s">
        <v>6153</v>
      </c>
    </row>
    <row r="9906" spans="8:8">
      <c r="H9906" s="680" t="s">
        <v>6153</v>
      </c>
    </row>
    <row r="9907" spans="8:8">
      <c r="H9907" s="680" t="s">
        <v>6153</v>
      </c>
    </row>
    <row r="9908" spans="8:8">
      <c r="H9908" s="680" t="s">
        <v>6153</v>
      </c>
    </row>
    <row r="9909" spans="8:8">
      <c r="H9909" s="680" t="s">
        <v>6153</v>
      </c>
    </row>
    <row r="9910" spans="8:8">
      <c r="H9910" s="680" t="s">
        <v>6153</v>
      </c>
    </row>
    <row r="9911" spans="8:8">
      <c r="H9911" s="680" t="s">
        <v>6153</v>
      </c>
    </row>
    <row r="9912" spans="8:8">
      <c r="H9912" s="680" t="s">
        <v>6153</v>
      </c>
    </row>
    <row r="9913" spans="8:8">
      <c r="H9913" s="680" t="s">
        <v>6153</v>
      </c>
    </row>
    <row r="9914" spans="8:8">
      <c r="H9914" s="680" t="s">
        <v>6153</v>
      </c>
    </row>
    <row r="9915" spans="8:8">
      <c r="H9915" s="680" t="s">
        <v>6153</v>
      </c>
    </row>
    <row r="9916" spans="8:8">
      <c r="H9916" s="680" t="s">
        <v>6153</v>
      </c>
    </row>
    <row r="9917" spans="8:8">
      <c r="H9917" s="680" t="s">
        <v>6153</v>
      </c>
    </row>
    <row r="9918" spans="8:8">
      <c r="H9918" s="680" t="s">
        <v>6153</v>
      </c>
    </row>
    <row r="9919" spans="8:8">
      <c r="H9919" s="680" t="s">
        <v>6153</v>
      </c>
    </row>
    <row r="9920" spans="8:8">
      <c r="H9920" s="680" t="s">
        <v>6153</v>
      </c>
    </row>
    <row r="9921" spans="8:8">
      <c r="H9921" s="680" t="s">
        <v>6153</v>
      </c>
    </row>
    <row r="9922" spans="8:8">
      <c r="H9922" s="680" t="s">
        <v>6153</v>
      </c>
    </row>
    <row r="9923" spans="8:8">
      <c r="H9923" s="680" t="s">
        <v>6153</v>
      </c>
    </row>
    <row r="9924" spans="8:8">
      <c r="H9924" s="680" t="s">
        <v>6153</v>
      </c>
    </row>
    <row r="9925" spans="8:8">
      <c r="H9925" s="680" t="s">
        <v>6153</v>
      </c>
    </row>
    <row r="9926" spans="8:8">
      <c r="H9926" s="680" t="s">
        <v>6153</v>
      </c>
    </row>
    <row r="9927" spans="8:8">
      <c r="H9927" s="680" t="s">
        <v>6153</v>
      </c>
    </row>
    <row r="9928" spans="8:8">
      <c r="H9928" s="680" t="s">
        <v>6153</v>
      </c>
    </row>
    <row r="9929" spans="8:8">
      <c r="H9929" s="680" t="s">
        <v>6153</v>
      </c>
    </row>
    <row r="9930" spans="8:8">
      <c r="H9930" s="680" t="s">
        <v>6153</v>
      </c>
    </row>
    <row r="9931" spans="8:8">
      <c r="H9931" s="680" t="s">
        <v>6153</v>
      </c>
    </row>
    <row r="9932" spans="8:8">
      <c r="H9932" s="680" t="s">
        <v>6153</v>
      </c>
    </row>
    <row r="9933" spans="8:8">
      <c r="H9933" s="680" t="s">
        <v>6153</v>
      </c>
    </row>
    <row r="9934" spans="8:8">
      <c r="H9934" s="680" t="s">
        <v>6153</v>
      </c>
    </row>
    <row r="9935" spans="8:8">
      <c r="H9935" s="680" t="s">
        <v>6153</v>
      </c>
    </row>
    <row r="9936" spans="8:8">
      <c r="H9936" s="680" t="s">
        <v>6153</v>
      </c>
    </row>
    <row r="9937" spans="8:8">
      <c r="H9937" s="680" t="s">
        <v>6153</v>
      </c>
    </row>
    <row r="9938" spans="8:8">
      <c r="H9938" s="680" t="s">
        <v>6153</v>
      </c>
    </row>
    <row r="9939" spans="8:8">
      <c r="H9939" s="680" t="s">
        <v>6153</v>
      </c>
    </row>
    <row r="9940" spans="8:8">
      <c r="H9940" s="680" t="s">
        <v>6153</v>
      </c>
    </row>
    <row r="9941" spans="8:8">
      <c r="H9941" s="680" t="s">
        <v>6153</v>
      </c>
    </row>
    <row r="9942" spans="8:8">
      <c r="H9942" s="680" t="s">
        <v>6153</v>
      </c>
    </row>
    <row r="9943" spans="8:8">
      <c r="H9943" s="680" t="s">
        <v>6153</v>
      </c>
    </row>
    <row r="9944" spans="8:8">
      <c r="H9944" s="680" t="s">
        <v>6153</v>
      </c>
    </row>
    <row r="9945" spans="8:8">
      <c r="H9945" s="680" t="s">
        <v>6153</v>
      </c>
    </row>
    <row r="9946" spans="8:8">
      <c r="H9946" s="680" t="s">
        <v>6153</v>
      </c>
    </row>
    <row r="9947" spans="8:8">
      <c r="H9947" s="680" t="s">
        <v>6153</v>
      </c>
    </row>
    <row r="9948" spans="8:8">
      <c r="H9948" s="680" t="s">
        <v>6153</v>
      </c>
    </row>
    <row r="9949" spans="8:8">
      <c r="H9949" s="680" t="s">
        <v>6153</v>
      </c>
    </row>
    <row r="9950" spans="8:8">
      <c r="H9950" s="680" t="s">
        <v>6153</v>
      </c>
    </row>
    <row r="9951" spans="8:8">
      <c r="H9951" s="680" t="s">
        <v>6153</v>
      </c>
    </row>
    <row r="9952" spans="8:8">
      <c r="H9952" s="680" t="s">
        <v>6153</v>
      </c>
    </row>
    <row r="9953" spans="8:8">
      <c r="H9953" s="680" t="s">
        <v>6153</v>
      </c>
    </row>
    <row r="9954" spans="8:8">
      <c r="H9954" s="680" t="s">
        <v>6153</v>
      </c>
    </row>
    <row r="9955" spans="8:8">
      <c r="H9955" s="680" t="s">
        <v>6153</v>
      </c>
    </row>
    <row r="9956" spans="8:8">
      <c r="H9956" s="680" t="s">
        <v>6153</v>
      </c>
    </row>
    <row r="9957" spans="8:8">
      <c r="H9957" s="680" t="s">
        <v>6153</v>
      </c>
    </row>
    <row r="9958" spans="8:8">
      <c r="H9958" s="680" t="s">
        <v>6153</v>
      </c>
    </row>
    <row r="9959" spans="8:8">
      <c r="H9959" s="680" t="s">
        <v>6153</v>
      </c>
    </row>
    <row r="9960" spans="8:8">
      <c r="H9960" s="680" t="s">
        <v>6153</v>
      </c>
    </row>
    <row r="9961" spans="8:8">
      <c r="H9961" s="680" t="s">
        <v>6153</v>
      </c>
    </row>
    <row r="9962" spans="8:8">
      <c r="H9962" s="680" t="s">
        <v>6153</v>
      </c>
    </row>
    <row r="9963" spans="8:8">
      <c r="H9963" s="680" t="s">
        <v>6153</v>
      </c>
    </row>
    <row r="9964" spans="8:8">
      <c r="H9964" s="680" t="s">
        <v>6153</v>
      </c>
    </row>
    <row r="9965" spans="8:8">
      <c r="H9965" s="680" t="s">
        <v>6153</v>
      </c>
    </row>
    <row r="9966" spans="8:8">
      <c r="H9966" s="680" t="s">
        <v>6153</v>
      </c>
    </row>
    <row r="9967" spans="8:8">
      <c r="H9967" s="680" t="s">
        <v>6153</v>
      </c>
    </row>
    <row r="9968" spans="8:8">
      <c r="H9968" s="680" t="s">
        <v>6153</v>
      </c>
    </row>
    <row r="9969" spans="8:8">
      <c r="H9969" s="680" t="s">
        <v>6153</v>
      </c>
    </row>
    <row r="9970" spans="8:8">
      <c r="H9970" s="680" t="s">
        <v>6153</v>
      </c>
    </row>
    <row r="9971" spans="8:8">
      <c r="H9971" s="680" t="s">
        <v>6153</v>
      </c>
    </row>
    <row r="9972" spans="8:8">
      <c r="H9972" s="680" t="s">
        <v>6153</v>
      </c>
    </row>
    <row r="9973" spans="8:8">
      <c r="H9973" s="680" t="s">
        <v>6153</v>
      </c>
    </row>
    <row r="9974" spans="8:8">
      <c r="H9974" s="680" t="s">
        <v>6153</v>
      </c>
    </row>
    <row r="9975" spans="8:8">
      <c r="H9975" s="680" t="s">
        <v>6153</v>
      </c>
    </row>
    <row r="9976" spans="8:8">
      <c r="H9976" s="680" t="s">
        <v>6153</v>
      </c>
    </row>
    <row r="9977" spans="8:8">
      <c r="H9977" s="680" t="s">
        <v>6153</v>
      </c>
    </row>
    <row r="9978" spans="8:8">
      <c r="H9978" s="680" t="s">
        <v>6153</v>
      </c>
    </row>
    <row r="9979" spans="8:8">
      <c r="H9979" s="680" t="s">
        <v>6153</v>
      </c>
    </row>
    <row r="9980" spans="8:8">
      <c r="H9980" s="680" t="s">
        <v>6153</v>
      </c>
    </row>
    <row r="9981" spans="8:8">
      <c r="H9981" s="680" t="s">
        <v>6153</v>
      </c>
    </row>
    <row r="9982" spans="8:8">
      <c r="H9982" s="680" t="s">
        <v>6153</v>
      </c>
    </row>
    <row r="9983" spans="8:8">
      <c r="H9983" s="680" t="s">
        <v>6153</v>
      </c>
    </row>
    <row r="9984" spans="8:8">
      <c r="H9984" s="680" t="s">
        <v>6153</v>
      </c>
    </row>
    <row r="9985" spans="8:8">
      <c r="H9985" s="680" t="s">
        <v>6153</v>
      </c>
    </row>
    <row r="9986" spans="8:8">
      <c r="H9986" s="680" t="s">
        <v>6153</v>
      </c>
    </row>
    <row r="9987" spans="8:8">
      <c r="H9987" s="680" t="s">
        <v>6153</v>
      </c>
    </row>
    <row r="9988" spans="8:8">
      <c r="H9988" s="680" t="s">
        <v>6153</v>
      </c>
    </row>
    <row r="9989" spans="8:8">
      <c r="H9989" s="680" t="s">
        <v>6153</v>
      </c>
    </row>
    <row r="9990" spans="8:8">
      <c r="H9990" s="680" t="s">
        <v>6153</v>
      </c>
    </row>
    <row r="9991" spans="8:8">
      <c r="H9991" s="680" t="s">
        <v>6153</v>
      </c>
    </row>
    <row r="9992" spans="8:8">
      <c r="H9992" s="680" t="s">
        <v>6153</v>
      </c>
    </row>
    <row r="9993" spans="8:8">
      <c r="H9993" s="680" t="s">
        <v>6153</v>
      </c>
    </row>
    <row r="9994" spans="8:8">
      <c r="H9994" s="680" t="s">
        <v>6153</v>
      </c>
    </row>
    <row r="9995" spans="8:8">
      <c r="H9995" s="680" t="s">
        <v>6153</v>
      </c>
    </row>
    <row r="9996" spans="8:8">
      <c r="H9996" s="680" t="s">
        <v>6153</v>
      </c>
    </row>
    <row r="9997" spans="8:8">
      <c r="H9997" s="680" t="s">
        <v>6153</v>
      </c>
    </row>
    <row r="9998" spans="8:8">
      <c r="H9998" s="680" t="s">
        <v>6153</v>
      </c>
    </row>
    <row r="9999" spans="8:8">
      <c r="H9999" s="680" t="s">
        <v>6153</v>
      </c>
    </row>
    <row r="10000" spans="8:8">
      <c r="H10000" s="680" t="s">
        <v>6153</v>
      </c>
    </row>
    <row r="10001" spans="8:8">
      <c r="H10001" s="680" t="s">
        <v>6153</v>
      </c>
    </row>
    <row r="10002" spans="8:8">
      <c r="H10002" s="680" t="s">
        <v>6153</v>
      </c>
    </row>
    <row r="10003" spans="8:8">
      <c r="H10003" s="680" t="s">
        <v>6153</v>
      </c>
    </row>
    <row r="10004" spans="8:8">
      <c r="H10004" s="680" t="s">
        <v>6153</v>
      </c>
    </row>
    <row r="10005" spans="8:8">
      <c r="H10005" s="680" t="s">
        <v>6153</v>
      </c>
    </row>
    <row r="10006" spans="8:8">
      <c r="H10006" s="680" t="s">
        <v>6153</v>
      </c>
    </row>
    <row r="10007" spans="8:8">
      <c r="H10007" s="680" t="s">
        <v>6153</v>
      </c>
    </row>
    <row r="10008" spans="8:8">
      <c r="H10008" s="680" t="s">
        <v>6153</v>
      </c>
    </row>
    <row r="10009" spans="8:8">
      <c r="H10009" s="680" t="s">
        <v>6153</v>
      </c>
    </row>
    <row r="10010" spans="8:8">
      <c r="H10010" s="680" t="s">
        <v>6153</v>
      </c>
    </row>
    <row r="10011" spans="8:8">
      <c r="H10011" s="680" t="s">
        <v>6153</v>
      </c>
    </row>
    <row r="10012" spans="8:8">
      <c r="H10012" s="680" t="s">
        <v>6153</v>
      </c>
    </row>
    <row r="10013" spans="8:8">
      <c r="H10013" s="680" t="s">
        <v>6153</v>
      </c>
    </row>
    <row r="10014" spans="8:8">
      <c r="H10014" s="680" t="s">
        <v>6153</v>
      </c>
    </row>
    <row r="10015" spans="8:8">
      <c r="H10015" s="680" t="s">
        <v>6153</v>
      </c>
    </row>
    <row r="10016" spans="8:8">
      <c r="H10016" s="680" t="s">
        <v>6153</v>
      </c>
    </row>
    <row r="10017" spans="8:8">
      <c r="H10017" s="680" t="s">
        <v>6153</v>
      </c>
    </row>
    <row r="10018" spans="8:8">
      <c r="H10018" s="680" t="s">
        <v>6153</v>
      </c>
    </row>
    <row r="10019" spans="8:8">
      <c r="H10019" s="680" t="s">
        <v>6153</v>
      </c>
    </row>
    <row r="10020" spans="8:8">
      <c r="H10020" s="680" t="s">
        <v>6153</v>
      </c>
    </row>
    <row r="10021" spans="8:8">
      <c r="H10021" s="680" t="s">
        <v>6153</v>
      </c>
    </row>
    <row r="10022" spans="8:8">
      <c r="H10022" s="680" t="s">
        <v>6153</v>
      </c>
    </row>
    <row r="10023" spans="8:8">
      <c r="H10023" s="680" t="s">
        <v>6153</v>
      </c>
    </row>
    <row r="10024" spans="8:8">
      <c r="H10024" s="680" t="s">
        <v>6153</v>
      </c>
    </row>
    <row r="10025" spans="8:8">
      <c r="H10025" s="680" t="s">
        <v>6153</v>
      </c>
    </row>
    <row r="10026" spans="8:8">
      <c r="H10026" s="680" t="s">
        <v>6153</v>
      </c>
    </row>
    <row r="10027" spans="8:8">
      <c r="H10027" s="680" t="s">
        <v>6153</v>
      </c>
    </row>
    <row r="10028" spans="8:8">
      <c r="H10028" s="680" t="s">
        <v>6153</v>
      </c>
    </row>
    <row r="10029" spans="8:8">
      <c r="H10029" s="680" t="s">
        <v>6153</v>
      </c>
    </row>
    <row r="10030" spans="8:8">
      <c r="H10030" s="680" t="s">
        <v>6153</v>
      </c>
    </row>
    <row r="10031" spans="8:8">
      <c r="H10031" s="680" t="s">
        <v>6153</v>
      </c>
    </row>
    <row r="10032" spans="8:8">
      <c r="H10032" s="680" t="s">
        <v>6153</v>
      </c>
    </row>
    <row r="10033" spans="8:8">
      <c r="H10033" s="680" t="s">
        <v>6153</v>
      </c>
    </row>
    <row r="10034" spans="8:8">
      <c r="H10034" s="680" t="s">
        <v>6153</v>
      </c>
    </row>
    <row r="10035" spans="8:8">
      <c r="H10035" s="680" t="s">
        <v>6153</v>
      </c>
    </row>
    <row r="10036" spans="8:8">
      <c r="H10036" s="680" t="s">
        <v>6153</v>
      </c>
    </row>
    <row r="10037" spans="8:8">
      <c r="H10037" s="680" t="s">
        <v>6153</v>
      </c>
    </row>
    <row r="10038" spans="8:8">
      <c r="H10038" s="680" t="s">
        <v>6153</v>
      </c>
    </row>
    <row r="10039" spans="8:8">
      <c r="H10039" s="680" t="s">
        <v>6153</v>
      </c>
    </row>
    <row r="10040" spans="8:8">
      <c r="H10040" s="680" t="s">
        <v>6153</v>
      </c>
    </row>
    <row r="10041" spans="8:8">
      <c r="H10041" s="680" t="s">
        <v>6153</v>
      </c>
    </row>
    <row r="10042" spans="8:8">
      <c r="H10042" s="680" t="s">
        <v>6153</v>
      </c>
    </row>
    <row r="10043" spans="8:8">
      <c r="H10043" s="680" t="s">
        <v>6153</v>
      </c>
    </row>
    <row r="10044" spans="8:8">
      <c r="H10044" s="680" t="s">
        <v>6153</v>
      </c>
    </row>
    <row r="10045" spans="8:8">
      <c r="H10045" s="680" t="s">
        <v>6153</v>
      </c>
    </row>
    <row r="10046" spans="8:8">
      <c r="H10046" s="680" t="s">
        <v>6153</v>
      </c>
    </row>
    <row r="10047" spans="8:8">
      <c r="H10047" s="680" t="s">
        <v>6153</v>
      </c>
    </row>
    <row r="10048" spans="8:8">
      <c r="H10048" s="680" t="s">
        <v>6153</v>
      </c>
    </row>
    <row r="10049" spans="8:8">
      <c r="H10049" s="680" t="s">
        <v>6153</v>
      </c>
    </row>
    <row r="10050" spans="8:8">
      <c r="H10050" s="680" t="s">
        <v>6153</v>
      </c>
    </row>
    <row r="10051" spans="8:8">
      <c r="H10051" s="680" t="s">
        <v>6153</v>
      </c>
    </row>
    <row r="10052" spans="8:8">
      <c r="H10052" s="680" t="s">
        <v>6153</v>
      </c>
    </row>
    <row r="10053" spans="8:8">
      <c r="H10053" s="680" t="s">
        <v>6153</v>
      </c>
    </row>
    <row r="10054" spans="8:8">
      <c r="H10054" s="680" t="s">
        <v>6153</v>
      </c>
    </row>
    <row r="10055" spans="8:8">
      <c r="H10055" s="680" t="s">
        <v>6153</v>
      </c>
    </row>
    <row r="10056" spans="8:8">
      <c r="H10056" s="680" t="s">
        <v>6153</v>
      </c>
    </row>
    <row r="10057" spans="8:8">
      <c r="H10057" s="680" t="s">
        <v>6153</v>
      </c>
    </row>
    <row r="10058" spans="8:8">
      <c r="H10058" s="680" t="s">
        <v>6153</v>
      </c>
    </row>
    <row r="10059" spans="8:8">
      <c r="H10059" s="680" t="s">
        <v>6153</v>
      </c>
    </row>
    <row r="10060" spans="8:8">
      <c r="H10060" s="680" t="s">
        <v>6153</v>
      </c>
    </row>
    <row r="10061" spans="8:8">
      <c r="H10061" s="680" t="s">
        <v>6153</v>
      </c>
    </row>
    <row r="10062" spans="8:8">
      <c r="H10062" s="680" t="s">
        <v>6153</v>
      </c>
    </row>
    <row r="10063" spans="8:8">
      <c r="H10063" s="680" t="s">
        <v>6153</v>
      </c>
    </row>
    <row r="10064" spans="8:8">
      <c r="H10064" s="680" t="s">
        <v>6153</v>
      </c>
    </row>
    <row r="10065" spans="8:8">
      <c r="H10065" s="680" t="s">
        <v>6153</v>
      </c>
    </row>
    <row r="10066" spans="8:8">
      <c r="H10066" s="680" t="s">
        <v>6153</v>
      </c>
    </row>
    <row r="10067" spans="8:8">
      <c r="H10067" s="680" t="s">
        <v>6153</v>
      </c>
    </row>
    <row r="10068" spans="8:8">
      <c r="H10068" s="680" t="s">
        <v>6153</v>
      </c>
    </row>
    <row r="10069" spans="8:8">
      <c r="H10069" s="680" t="s">
        <v>6153</v>
      </c>
    </row>
    <row r="10070" spans="8:8">
      <c r="H10070" s="680" t="s">
        <v>6153</v>
      </c>
    </row>
    <row r="10071" spans="8:8">
      <c r="H10071" s="680" t="s">
        <v>6153</v>
      </c>
    </row>
    <row r="10072" spans="8:8">
      <c r="H10072" s="680" t="s">
        <v>6153</v>
      </c>
    </row>
    <row r="10073" spans="8:8">
      <c r="H10073" s="680" t="s">
        <v>6153</v>
      </c>
    </row>
    <row r="10074" spans="8:8">
      <c r="H10074" s="680" t="s">
        <v>6153</v>
      </c>
    </row>
    <row r="10075" spans="8:8">
      <c r="H10075" s="680" t="s">
        <v>6153</v>
      </c>
    </row>
    <row r="10076" spans="8:8">
      <c r="H10076" s="680" t="s">
        <v>6153</v>
      </c>
    </row>
    <row r="10077" spans="8:8">
      <c r="H10077" s="680" t="s">
        <v>6153</v>
      </c>
    </row>
    <row r="10078" spans="8:8">
      <c r="H10078" s="680" t="s">
        <v>6153</v>
      </c>
    </row>
    <row r="10079" spans="8:8">
      <c r="H10079" s="680" t="s">
        <v>6153</v>
      </c>
    </row>
    <row r="10080" spans="8:8">
      <c r="H10080" s="680" t="s">
        <v>6153</v>
      </c>
    </row>
    <row r="10081" spans="8:8">
      <c r="H10081" s="680" t="s">
        <v>6153</v>
      </c>
    </row>
    <row r="10082" spans="8:8">
      <c r="H10082" s="680" t="s">
        <v>6153</v>
      </c>
    </row>
    <row r="10083" spans="8:8">
      <c r="H10083" s="680" t="s">
        <v>6153</v>
      </c>
    </row>
    <row r="10084" spans="8:8">
      <c r="H10084" s="680" t="s">
        <v>6153</v>
      </c>
    </row>
    <row r="10085" spans="8:8">
      <c r="H10085" s="680" t="s">
        <v>6153</v>
      </c>
    </row>
    <row r="10086" spans="8:8">
      <c r="H10086" s="680" t="s">
        <v>6153</v>
      </c>
    </row>
    <row r="10087" spans="8:8">
      <c r="H10087" s="680" t="s">
        <v>6153</v>
      </c>
    </row>
    <row r="10088" spans="8:8">
      <c r="H10088" s="680" t="s">
        <v>6153</v>
      </c>
    </row>
    <row r="10089" spans="8:8">
      <c r="H10089" s="680" t="s">
        <v>6153</v>
      </c>
    </row>
    <row r="10090" spans="8:8">
      <c r="H10090" s="680" t="s">
        <v>6153</v>
      </c>
    </row>
    <row r="10091" spans="8:8">
      <c r="H10091" s="680" t="s">
        <v>6153</v>
      </c>
    </row>
    <row r="10092" spans="8:8">
      <c r="H10092" s="680" t="s">
        <v>6153</v>
      </c>
    </row>
    <row r="10093" spans="8:8">
      <c r="H10093" s="680" t="s">
        <v>6153</v>
      </c>
    </row>
    <row r="10094" spans="8:8">
      <c r="H10094" s="680" t="s">
        <v>6153</v>
      </c>
    </row>
    <row r="10095" spans="8:8">
      <c r="H10095" s="680" t="s">
        <v>6153</v>
      </c>
    </row>
    <row r="10096" spans="8:8">
      <c r="H10096" s="680" t="s">
        <v>6153</v>
      </c>
    </row>
    <row r="10097" spans="8:8">
      <c r="H10097" s="680" t="s">
        <v>6153</v>
      </c>
    </row>
    <row r="10098" spans="8:8">
      <c r="H10098" s="680" t="s">
        <v>6153</v>
      </c>
    </row>
    <row r="10099" spans="8:8">
      <c r="H10099" s="680" t="s">
        <v>6153</v>
      </c>
    </row>
    <row r="10100" spans="8:8">
      <c r="H10100" s="680" t="s">
        <v>6153</v>
      </c>
    </row>
    <row r="10101" spans="8:8">
      <c r="H10101" s="680" t="s">
        <v>6153</v>
      </c>
    </row>
    <row r="10102" spans="8:8">
      <c r="H10102" s="680" t="s">
        <v>6153</v>
      </c>
    </row>
    <row r="10103" spans="8:8">
      <c r="H10103" s="680" t="s">
        <v>6153</v>
      </c>
    </row>
    <row r="10104" spans="8:8">
      <c r="H10104" s="680" t="s">
        <v>6153</v>
      </c>
    </row>
    <row r="10105" spans="8:8">
      <c r="H10105" s="680" t="s">
        <v>6153</v>
      </c>
    </row>
    <row r="10106" spans="8:8">
      <c r="H10106" s="680" t="s">
        <v>6153</v>
      </c>
    </row>
    <row r="10107" spans="8:8">
      <c r="H10107" s="680" t="s">
        <v>6153</v>
      </c>
    </row>
    <row r="10108" spans="8:8">
      <c r="H10108" s="680" t="s">
        <v>6153</v>
      </c>
    </row>
    <row r="10109" spans="8:8">
      <c r="H10109" s="680" t="s">
        <v>6153</v>
      </c>
    </row>
    <row r="10110" spans="8:8">
      <c r="H10110" s="680" t="s">
        <v>6153</v>
      </c>
    </row>
    <row r="10111" spans="8:8">
      <c r="H10111" s="680" t="s">
        <v>6153</v>
      </c>
    </row>
    <row r="10112" spans="8:8">
      <c r="H10112" s="680" t="s">
        <v>6153</v>
      </c>
    </row>
    <row r="10113" spans="8:8">
      <c r="H10113" s="680" t="s">
        <v>6153</v>
      </c>
    </row>
    <row r="10114" spans="8:8">
      <c r="H10114" s="680" t="s">
        <v>6153</v>
      </c>
    </row>
    <row r="10115" spans="8:8">
      <c r="H10115" s="680" t="s">
        <v>6153</v>
      </c>
    </row>
    <row r="10116" spans="8:8">
      <c r="H10116" s="680" t="s">
        <v>6153</v>
      </c>
    </row>
    <row r="10117" spans="8:8">
      <c r="H10117" s="680" t="s">
        <v>6153</v>
      </c>
    </row>
    <row r="10118" spans="8:8">
      <c r="H10118" s="680" t="s">
        <v>6153</v>
      </c>
    </row>
    <row r="10119" spans="8:8">
      <c r="H10119" s="680" t="s">
        <v>6153</v>
      </c>
    </row>
    <row r="10120" spans="8:8">
      <c r="H10120" s="680" t="s">
        <v>6153</v>
      </c>
    </row>
    <row r="10121" spans="8:8">
      <c r="H10121" s="680" t="s">
        <v>6153</v>
      </c>
    </row>
    <row r="10122" spans="8:8">
      <c r="H10122" s="680" t="s">
        <v>6153</v>
      </c>
    </row>
    <row r="10123" spans="8:8">
      <c r="H10123" s="680" t="s">
        <v>6153</v>
      </c>
    </row>
    <row r="10124" spans="8:8">
      <c r="H10124" s="680" t="s">
        <v>6153</v>
      </c>
    </row>
    <row r="10125" spans="8:8">
      <c r="H10125" s="680" t="s">
        <v>6153</v>
      </c>
    </row>
    <row r="10126" spans="8:8">
      <c r="H10126" s="680" t="s">
        <v>6153</v>
      </c>
    </row>
    <row r="10127" spans="8:8">
      <c r="H10127" s="680" t="s">
        <v>6153</v>
      </c>
    </row>
    <row r="10128" spans="8:8">
      <c r="H10128" s="680" t="s">
        <v>6153</v>
      </c>
    </row>
    <row r="10129" spans="8:8">
      <c r="H10129" s="680" t="s">
        <v>6153</v>
      </c>
    </row>
    <row r="10130" spans="8:8">
      <c r="H10130" s="680" t="s">
        <v>6153</v>
      </c>
    </row>
    <row r="10131" spans="8:8">
      <c r="H10131" s="680" t="s">
        <v>6153</v>
      </c>
    </row>
    <row r="10132" spans="8:8">
      <c r="H10132" s="680" t="s">
        <v>6153</v>
      </c>
    </row>
    <row r="10133" spans="8:8">
      <c r="H10133" s="680" t="s">
        <v>6153</v>
      </c>
    </row>
    <row r="10134" spans="8:8">
      <c r="H10134" s="680" t="s">
        <v>6153</v>
      </c>
    </row>
    <row r="10135" spans="8:8">
      <c r="H10135" s="680" t="s">
        <v>6153</v>
      </c>
    </row>
    <row r="10136" spans="8:8">
      <c r="H10136" s="680" t="s">
        <v>6153</v>
      </c>
    </row>
    <row r="10137" spans="8:8">
      <c r="H10137" s="680" t="s">
        <v>6153</v>
      </c>
    </row>
    <row r="10138" spans="8:8">
      <c r="H10138" s="680" t="s">
        <v>6153</v>
      </c>
    </row>
    <row r="10139" spans="8:8">
      <c r="H10139" s="680" t="s">
        <v>6153</v>
      </c>
    </row>
    <row r="10140" spans="8:8">
      <c r="H10140" s="680" t="s">
        <v>6153</v>
      </c>
    </row>
    <row r="10141" spans="8:8">
      <c r="H10141" s="680" t="s">
        <v>6153</v>
      </c>
    </row>
    <row r="10142" spans="8:8">
      <c r="H10142" s="680" t="s">
        <v>6153</v>
      </c>
    </row>
    <row r="10143" spans="8:8">
      <c r="H10143" s="680" t="s">
        <v>6153</v>
      </c>
    </row>
    <row r="10144" spans="8:8">
      <c r="H10144" s="680" t="s">
        <v>6153</v>
      </c>
    </row>
    <row r="10145" spans="8:8">
      <c r="H10145" s="680" t="s">
        <v>6153</v>
      </c>
    </row>
    <row r="10146" spans="8:8">
      <c r="H10146" s="680" t="s">
        <v>6153</v>
      </c>
    </row>
    <row r="10147" spans="8:8">
      <c r="H10147" s="680" t="s">
        <v>6153</v>
      </c>
    </row>
    <row r="10148" spans="8:8">
      <c r="H10148" s="680" t="s">
        <v>6153</v>
      </c>
    </row>
    <row r="10149" spans="8:8">
      <c r="H10149" s="680" t="s">
        <v>6153</v>
      </c>
    </row>
    <row r="10150" spans="8:8">
      <c r="H10150" s="680" t="s">
        <v>6153</v>
      </c>
    </row>
    <row r="10151" spans="8:8">
      <c r="H10151" s="680" t="s">
        <v>6153</v>
      </c>
    </row>
    <row r="10152" spans="8:8">
      <c r="H10152" s="680" t="s">
        <v>6153</v>
      </c>
    </row>
    <row r="10153" spans="8:8">
      <c r="H10153" s="680" t="s">
        <v>6153</v>
      </c>
    </row>
    <row r="10154" spans="8:8">
      <c r="H10154" s="680" t="s">
        <v>6153</v>
      </c>
    </row>
    <row r="10155" spans="8:8">
      <c r="H10155" s="680" t="s">
        <v>6153</v>
      </c>
    </row>
    <row r="10156" spans="8:8">
      <c r="H10156" s="680" t="s">
        <v>6153</v>
      </c>
    </row>
    <row r="10157" spans="8:8">
      <c r="H10157" s="680" t="s">
        <v>6153</v>
      </c>
    </row>
    <row r="10158" spans="8:8">
      <c r="H10158" s="680" t="s">
        <v>6153</v>
      </c>
    </row>
    <row r="10159" spans="8:8">
      <c r="H10159" s="680" t="s">
        <v>6153</v>
      </c>
    </row>
    <row r="10160" spans="8:8">
      <c r="H10160" s="680" t="s">
        <v>6153</v>
      </c>
    </row>
    <row r="10161" spans="8:8">
      <c r="H10161" s="680" t="s">
        <v>6153</v>
      </c>
    </row>
    <row r="10162" spans="8:8">
      <c r="H10162" s="680" t="s">
        <v>6153</v>
      </c>
    </row>
    <row r="10163" spans="8:8">
      <c r="H10163" s="680" t="s">
        <v>6153</v>
      </c>
    </row>
    <row r="10164" spans="8:8">
      <c r="H10164" s="680" t="s">
        <v>6153</v>
      </c>
    </row>
    <row r="10165" spans="8:8">
      <c r="H10165" s="680" t="s">
        <v>6153</v>
      </c>
    </row>
    <row r="10166" spans="8:8">
      <c r="H10166" s="680" t="s">
        <v>6153</v>
      </c>
    </row>
    <row r="10167" spans="8:8">
      <c r="H10167" s="680" t="s">
        <v>6153</v>
      </c>
    </row>
    <row r="10168" spans="8:8">
      <c r="H10168" s="680" t="s">
        <v>6153</v>
      </c>
    </row>
    <row r="10169" spans="8:8">
      <c r="H10169" s="680" t="s">
        <v>6153</v>
      </c>
    </row>
    <row r="10170" spans="8:8">
      <c r="H10170" s="680" t="s">
        <v>6153</v>
      </c>
    </row>
    <row r="10171" spans="8:8">
      <c r="H10171" s="680" t="s">
        <v>6153</v>
      </c>
    </row>
    <row r="10172" spans="8:8">
      <c r="H10172" s="680" t="s">
        <v>6153</v>
      </c>
    </row>
    <row r="10173" spans="8:8">
      <c r="H10173" s="680" t="s">
        <v>6153</v>
      </c>
    </row>
    <row r="10174" spans="8:8">
      <c r="H10174" s="680" t="s">
        <v>6153</v>
      </c>
    </row>
    <row r="10175" spans="8:8">
      <c r="H10175" s="680" t="s">
        <v>6153</v>
      </c>
    </row>
    <row r="10176" spans="8:8">
      <c r="H10176" s="680" t="s">
        <v>6153</v>
      </c>
    </row>
    <row r="10177" spans="8:8">
      <c r="H10177" s="680" t="s">
        <v>6153</v>
      </c>
    </row>
    <row r="10178" spans="8:8">
      <c r="H10178" s="680" t="s">
        <v>6153</v>
      </c>
    </row>
    <row r="10179" spans="8:8">
      <c r="H10179" s="680" t="s">
        <v>6153</v>
      </c>
    </row>
    <row r="10180" spans="8:8">
      <c r="H10180" s="680" t="s">
        <v>6153</v>
      </c>
    </row>
    <row r="10181" spans="8:8">
      <c r="H10181" s="680" t="s">
        <v>6153</v>
      </c>
    </row>
    <row r="10182" spans="8:8">
      <c r="H10182" s="680" t="s">
        <v>6153</v>
      </c>
    </row>
    <row r="10183" spans="8:8">
      <c r="H10183" s="680" t="s">
        <v>6153</v>
      </c>
    </row>
    <row r="10184" spans="8:8">
      <c r="H10184" s="680" t="s">
        <v>6153</v>
      </c>
    </row>
    <row r="10185" spans="8:8">
      <c r="H10185" s="680" t="s">
        <v>6153</v>
      </c>
    </row>
    <row r="10186" spans="8:8">
      <c r="H10186" s="680" t="s">
        <v>6153</v>
      </c>
    </row>
    <row r="10187" spans="8:8">
      <c r="H10187" s="680" t="s">
        <v>6153</v>
      </c>
    </row>
    <row r="10188" spans="8:8">
      <c r="H10188" s="680" t="s">
        <v>6153</v>
      </c>
    </row>
    <row r="10189" spans="8:8">
      <c r="H10189" s="680" t="s">
        <v>6153</v>
      </c>
    </row>
    <row r="10190" spans="8:8">
      <c r="H10190" s="680" t="s">
        <v>6153</v>
      </c>
    </row>
    <row r="10191" spans="8:8">
      <c r="H10191" s="680" t="s">
        <v>6153</v>
      </c>
    </row>
    <row r="10192" spans="8:8">
      <c r="H10192" s="680" t="s">
        <v>6153</v>
      </c>
    </row>
    <row r="10193" spans="8:8">
      <c r="H10193" s="680" t="s">
        <v>6153</v>
      </c>
    </row>
    <row r="10194" spans="8:8">
      <c r="H10194" s="680" t="s">
        <v>6153</v>
      </c>
    </row>
    <row r="10195" spans="8:8">
      <c r="H10195" s="680" t="s">
        <v>6153</v>
      </c>
    </row>
    <row r="10196" spans="8:8">
      <c r="H10196" s="680" t="s">
        <v>6153</v>
      </c>
    </row>
    <row r="10197" spans="8:8">
      <c r="H10197" s="680" t="s">
        <v>6153</v>
      </c>
    </row>
    <row r="10198" spans="8:8">
      <c r="H10198" s="680" t="s">
        <v>6153</v>
      </c>
    </row>
    <row r="10199" spans="8:8">
      <c r="H10199" s="680" t="s">
        <v>6153</v>
      </c>
    </row>
    <row r="10200" spans="8:8">
      <c r="H10200" s="680" t="s">
        <v>6153</v>
      </c>
    </row>
    <row r="10201" spans="8:8">
      <c r="H10201" s="680" t="s">
        <v>6153</v>
      </c>
    </row>
    <row r="10202" spans="8:8">
      <c r="H10202" s="680" t="s">
        <v>6153</v>
      </c>
    </row>
    <row r="10203" spans="8:8">
      <c r="H10203" s="680" t="s">
        <v>6153</v>
      </c>
    </row>
    <row r="10204" spans="8:8">
      <c r="H10204" s="680" t="s">
        <v>6153</v>
      </c>
    </row>
    <row r="10205" spans="8:8">
      <c r="H10205" s="680" t="s">
        <v>6153</v>
      </c>
    </row>
    <row r="10206" spans="8:8">
      <c r="H10206" s="680" t="s">
        <v>6153</v>
      </c>
    </row>
    <row r="10207" spans="8:8">
      <c r="H10207" s="680" t="s">
        <v>6153</v>
      </c>
    </row>
    <row r="10208" spans="8:8">
      <c r="H10208" s="680" t="s">
        <v>6153</v>
      </c>
    </row>
    <row r="10209" spans="8:8">
      <c r="H10209" s="680" t="s">
        <v>6153</v>
      </c>
    </row>
    <row r="10210" spans="8:8">
      <c r="H10210" s="680" t="s">
        <v>6153</v>
      </c>
    </row>
    <row r="10211" spans="8:8">
      <c r="H10211" s="680" t="s">
        <v>6153</v>
      </c>
    </row>
    <row r="10212" spans="8:8">
      <c r="H10212" s="680" t="s">
        <v>6153</v>
      </c>
    </row>
    <row r="10213" spans="8:8">
      <c r="H10213" s="680" t="s">
        <v>6153</v>
      </c>
    </row>
    <row r="10214" spans="8:8">
      <c r="H10214" s="680" t="s">
        <v>6153</v>
      </c>
    </row>
    <row r="10215" spans="8:8">
      <c r="H10215" s="680" t="s">
        <v>6153</v>
      </c>
    </row>
    <row r="10216" spans="8:8">
      <c r="H10216" s="680" t="s">
        <v>6153</v>
      </c>
    </row>
    <row r="10217" spans="8:8">
      <c r="H10217" s="680" t="s">
        <v>6153</v>
      </c>
    </row>
    <row r="10218" spans="8:8">
      <c r="H10218" s="680" t="s">
        <v>6153</v>
      </c>
    </row>
    <row r="10219" spans="8:8">
      <c r="H10219" s="680" t="s">
        <v>6153</v>
      </c>
    </row>
    <row r="10220" spans="8:8">
      <c r="H10220" s="680" t="s">
        <v>6153</v>
      </c>
    </row>
    <row r="10221" spans="8:8">
      <c r="H10221" s="680" t="s">
        <v>6153</v>
      </c>
    </row>
    <row r="10222" spans="8:8">
      <c r="H10222" s="680" t="s">
        <v>6153</v>
      </c>
    </row>
    <row r="10223" spans="8:8">
      <c r="H10223" s="680" t="s">
        <v>6153</v>
      </c>
    </row>
    <row r="10224" spans="8:8">
      <c r="H10224" s="680" t="s">
        <v>6153</v>
      </c>
    </row>
    <row r="10225" spans="8:8">
      <c r="H10225" s="680" t="s">
        <v>6153</v>
      </c>
    </row>
    <row r="10226" spans="8:8">
      <c r="H10226" s="680" t="s">
        <v>6153</v>
      </c>
    </row>
    <row r="10227" spans="8:8">
      <c r="H10227" s="680" t="s">
        <v>6153</v>
      </c>
    </row>
    <row r="10228" spans="8:8">
      <c r="H10228" s="680" t="s">
        <v>6153</v>
      </c>
    </row>
    <row r="10229" spans="8:8">
      <c r="H10229" s="680" t="s">
        <v>6153</v>
      </c>
    </row>
    <row r="10230" spans="8:8">
      <c r="H10230" s="680" t="s">
        <v>6153</v>
      </c>
    </row>
    <row r="10231" spans="8:8">
      <c r="H10231" s="680" t="s">
        <v>6153</v>
      </c>
    </row>
    <row r="10232" spans="8:8">
      <c r="H10232" s="680" t="s">
        <v>6153</v>
      </c>
    </row>
    <row r="10233" spans="8:8">
      <c r="H10233" s="680" t="s">
        <v>6153</v>
      </c>
    </row>
    <row r="10234" spans="8:8">
      <c r="H10234" s="680" t="s">
        <v>6153</v>
      </c>
    </row>
    <row r="10235" spans="8:8">
      <c r="H10235" s="680" t="s">
        <v>6153</v>
      </c>
    </row>
    <row r="10236" spans="8:8">
      <c r="H10236" s="680" t="s">
        <v>6153</v>
      </c>
    </row>
    <row r="10237" spans="8:8">
      <c r="H10237" s="680" t="s">
        <v>6153</v>
      </c>
    </row>
    <row r="10238" spans="8:8">
      <c r="H10238" s="680" t="s">
        <v>6153</v>
      </c>
    </row>
    <row r="10239" spans="8:8">
      <c r="H10239" s="680" t="s">
        <v>6153</v>
      </c>
    </row>
    <row r="10240" spans="8:8">
      <c r="H10240" s="680" t="s">
        <v>6153</v>
      </c>
    </row>
    <row r="10241" spans="8:8">
      <c r="H10241" s="680" t="s">
        <v>6153</v>
      </c>
    </row>
    <row r="10242" spans="8:8">
      <c r="H10242" s="680" t="s">
        <v>6153</v>
      </c>
    </row>
    <row r="10243" spans="8:8">
      <c r="H10243" s="680" t="s">
        <v>6153</v>
      </c>
    </row>
    <row r="10244" spans="8:8">
      <c r="H10244" s="680" t="s">
        <v>6153</v>
      </c>
    </row>
    <row r="10245" spans="8:8">
      <c r="H10245" s="680" t="s">
        <v>6153</v>
      </c>
    </row>
    <row r="10246" spans="8:8">
      <c r="H10246" s="680" t="s">
        <v>6153</v>
      </c>
    </row>
    <row r="10247" spans="8:8">
      <c r="H10247" s="680" t="s">
        <v>6153</v>
      </c>
    </row>
    <row r="10248" spans="8:8">
      <c r="H10248" s="680" t="s">
        <v>6153</v>
      </c>
    </row>
    <row r="10249" spans="8:8">
      <c r="H10249" s="680" t="s">
        <v>6153</v>
      </c>
    </row>
    <row r="10250" spans="8:8">
      <c r="H10250" s="680" t="s">
        <v>6153</v>
      </c>
    </row>
    <row r="10251" spans="8:8">
      <c r="H10251" s="680" t="s">
        <v>6153</v>
      </c>
    </row>
    <row r="10252" spans="8:8">
      <c r="H10252" s="680" t="s">
        <v>6153</v>
      </c>
    </row>
    <row r="10253" spans="8:8">
      <c r="H10253" s="680" t="s">
        <v>6153</v>
      </c>
    </row>
    <row r="10254" spans="8:8">
      <c r="H10254" s="680" t="s">
        <v>6153</v>
      </c>
    </row>
    <row r="10255" spans="8:8">
      <c r="H10255" s="680" t="s">
        <v>6153</v>
      </c>
    </row>
    <row r="10256" spans="8:8">
      <c r="H10256" s="680" t="s">
        <v>6153</v>
      </c>
    </row>
    <row r="10257" spans="8:8">
      <c r="H10257" s="680" t="s">
        <v>6153</v>
      </c>
    </row>
    <row r="10258" spans="8:8">
      <c r="H10258" s="680" t="s">
        <v>6153</v>
      </c>
    </row>
    <row r="10259" spans="8:8">
      <c r="H10259" s="680" t="s">
        <v>6153</v>
      </c>
    </row>
    <row r="10260" spans="8:8">
      <c r="H10260" s="680" t="s">
        <v>6153</v>
      </c>
    </row>
    <row r="10261" spans="8:8">
      <c r="H10261" s="680" t="s">
        <v>6153</v>
      </c>
    </row>
    <row r="10262" spans="8:8">
      <c r="H10262" s="680" t="s">
        <v>6153</v>
      </c>
    </row>
    <row r="10263" spans="8:8">
      <c r="H10263" s="680" t="s">
        <v>6153</v>
      </c>
    </row>
    <row r="10264" spans="8:8">
      <c r="H10264" s="680" t="s">
        <v>6153</v>
      </c>
    </row>
    <row r="10265" spans="8:8">
      <c r="H10265" s="680" t="s">
        <v>6153</v>
      </c>
    </row>
    <row r="10266" spans="8:8">
      <c r="H10266" s="680" t="s">
        <v>6153</v>
      </c>
    </row>
    <row r="10267" spans="8:8">
      <c r="H10267" s="680" t="s">
        <v>6153</v>
      </c>
    </row>
    <row r="10268" spans="8:8">
      <c r="H10268" s="680" t="s">
        <v>6153</v>
      </c>
    </row>
    <row r="10269" spans="8:8">
      <c r="H10269" s="680" t="s">
        <v>6153</v>
      </c>
    </row>
    <row r="10270" spans="8:8">
      <c r="H10270" s="680" t="s">
        <v>6153</v>
      </c>
    </row>
    <row r="10271" spans="8:8">
      <c r="H10271" s="680" t="s">
        <v>6153</v>
      </c>
    </row>
    <row r="10272" spans="8:8">
      <c r="H10272" s="680" t="s">
        <v>6153</v>
      </c>
    </row>
    <row r="10273" spans="8:8">
      <c r="H10273" s="680" t="s">
        <v>6153</v>
      </c>
    </row>
    <row r="10274" spans="8:8">
      <c r="H10274" s="680" t="s">
        <v>6153</v>
      </c>
    </row>
    <row r="10275" spans="8:8">
      <c r="H10275" s="680" t="s">
        <v>6153</v>
      </c>
    </row>
    <row r="10276" spans="8:8">
      <c r="H10276" s="680" t="s">
        <v>6153</v>
      </c>
    </row>
    <row r="10277" spans="8:8">
      <c r="H10277" s="680" t="s">
        <v>6153</v>
      </c>
    </row>
    <row r="10278" spans="8:8">
      <c r="H10278" s="680" t="s">
        <v>6153</v>
      </c>
    </row>
    <row r="10279" spans="8:8">
      <c r="H10279" s="680" t="s">
        <v>6153</v>
      </c>
    </row>
    <row r="10280" spans="8:8">
      <c r="H10280" s="680" t="s">
        <v>6153</v>
      </c>
    </row>
    <row r="10281" spans="8:8">
      <c r="H10281" s="680" t="s">
        <v>6153</v>
      </c>
    </row>
    <row r="10282" spans="8:8">
      <c r="H10282" s="680" t="s">
        <v>6153</v>
      </c>
    </row>
    <row r="10283" spans="8:8">
      <c r="H10283" s="680" t="s">
        <v>6153</v>
      </c>
    </row>
    <row r="10284" spans="8:8">
      <c r="H10284" s="680" t="s">
        <v>6153</v>
      </c>
    </row>
    <row r="10285" spans="8:8">
      <c r="H10285" s="680" t="s">
        <v>6153</v>
      </c>
    </row>
    <row r="10286" spans="8:8">
      <c r="H10286" s="680" t="s">
        <v>6153</v>
      </c>
    </row>
    <row r="10287" spans="8:8">
      <c r="H10287" s="680" t="s">
        <v>6153</v>
      </c>
    </row>
    <row r="10288" spans="8:8">
      <c r="H10288" s="680" t="s">
        <v>6153</v>
      </c>
    </row>
    <row r="10289" spans="8:8">
      <c r="H10289" s="680" t="s">
        <v>6153</v>
      </c>
    </row>
    <row r="10290" spans="8:8">
      <c r="H10290" s="680" t="s">
        <v>6153</v>
      </c>
    </row>
    <row r="10291" spans="8:8">
      <c r="H10291" s="680" t="s">
        <v>6153</v>
      </c>
    </row>
    <row r="10292" spans="8:8">
      <c r="H10292" s="680" t="s">
        <v>6153</v>
      </c>
    </row>
    <row r="10293" spans="8:8">
      <c r="H10293" s="680" t="s">
        <v>6153</v>
      </c>
    </row>
    <row r="10294" spans="8:8">
      <c r="H10294" s="680" t="s">
        <v>6153</v>
      </c>
    </row>
    <row r="10295" spans="8:8">
      <c r="H10295" s="680" t="s">
        <v>6153</v>
      </c>
    </row>
    <row r="10296" spans="8:8">
      <c r="H10296" s="680" t="s">
        <v>6153</v>
      </c>
    </row>
    <row r="10297" spans="8:8">
      <c r="H10297" s="680" t="s">
        <v>6153</v>
      </c>
    </row>
    <row r="10298" spans="8:8">
      <c r="H10298" s="680" t="s">
        <v>6153</v>
      </c>
    </row>
    <row r="10299" spans="8:8">
      <c r="H10299" s="680" t="s">
        <v>6153</v>
      </c>
    </row>
    <row r="10300" spans="8:8">
      <c r="H10300" s="680" t="s">
        <v>6153</v>
      </c>
    </row>
    <row r="10301" spans="8:8">
      <c r="H10301" s="680" t="s">
        <v>6153</v>
      </c>
    </row>
    <row r="10302" spans="8:8">
      <c r="H10302" s="680" t="s">
        <v>6153</v>
      </c>
    </row>
    <row r="10303" spans="8:8">
      <c r="H10303" s="680" t="s">
        <v>6153</v>
      </c>
    </row>
    <row r="10304" spans="8:8">
      <c r="H10304" s="680" t="s">
        <v>6153</v>
      </c>
    </row>
    <row r="10305" spans="8:8">
      <c r="H10305" s="680" t="s">
        <v>6153</v>
      </c>
    </row>
    <row r="10306" spans="8:8">
      <c r="H10306" s="680" t="s">
        <v>6153</v>
      </c>
    </row>
    <row r="10307" spans="8:8">
      <c r="H10307" s="680" t="s">
        <v>6153</v>
      </c>
    </row>
    <row r="10308" spans="8:8">
      <c r="H10308" s="680" t="s">
        <v>6153</v>
      </c>
    </row>
    <row r="10309" spans="8:8">
      <c r="H10309" s="680" t="s">
        <v>6153</v>
      </c>
    </row>
    <row r="10310" spans="8:8">
      <c r="H10310" s="680" t="s">
        <v>6153</v>
      </c>
    </row>
    <row r="10311" spans="8:8">
      <c r="H10311" s="680" t="s">
        <v>6153</v>
      </c>
    </row>
    <row r="10312" spans="8:8">
      <c r="H10312" s="680" t="s">
        <v>6153</v>
      </c>
    </row>
    <row r="10313" spans="8:8">
      <c r="H10313" s="680" t="s">
        <v>6153</v>
      </c>
    </row>
    <row r="10314" spans="8:8">
      <c r="H10314" s="680" t="s">
        <v>6153</v>
      </c>
    </row>
    <row r="10315" spans="8:8">
      <c r="H10315" s="680" t="s">
        <v>6153</v>
      </c>
    </row>
    <row r="10316" spans="8:8">
      <c r="H10316" s="680" t="s">
        <v>6153</v>
      </c>
    </row>
    <row r="10317" spans="8:8">
      <c r="H10317" s="680" t="s">
        <v>6153</v>
      </c>
    </row>
    <row r="10318" spans="8:8">
      <c r="H10318" s="680" t="s">
        <v>6153</v>
      </c>
    </row>
    <row r="10319" spans="8:8">
      <c r="H10319" s="680" t="s">
        <v>6153</v>
      </c>
    </row>
    <row r="10320" spans="8:8">
      <c r="H10320" s="680" t="s">
        <v>6153</v>
      </c>
    </row>
    <row r="10321" spans="8:8">
      <c r="H10321" s="680" t="s">
        <v>6153</v>
      </c>
    </row>
    <row r="10322" spans="8:8">
      <c r="H10322" s="680" t="s">
        <v>6153</v>
      </c>
    </row>
    <row r="10323" spans="8:8">
      <c r="H10323" s="680" t="s">
        <v>6153</v>
      </c>
    </row>
    <row r="10324" spans="8:8">
      <c r="H10324" s="680" t="s">
        <v>6153</v>
      </c>
    </row>
    <row r="10325" spans="8:8">
      <c r="H10325" s="680" t="s">
        <v>6153</v>
      </c>
    </row>
    <row r="10326" spans="8:8">
      <c r="H10326" s="680" t="s">
        <v>6153</v>
      </c>
    </row>
    <row r="10327" spans="8:8">
      <c r="H10327" s="680" t="s">
        <v>6153</v>
      </c>
    </row>
    <row r="10328" spans="8:8">
      <c r="H10328" s="680" t="s">
        <v>6153</v>
      </c>
    </row>
    <row r="10329" spans="8:8">
      <c r="H10329" s="680" t="s">
        <v>6153</v>
      </c>
    </row>
    <row r="10330" spans="8:8">
      <c r="H10330" s="680" t="s">
        <v>6153</v>
      </c>
    </row>
    <row r="10331" spans="8:8">
      <c r="H10331" s="680" t="s">
        <v>6153</v>
      </c>
    </row>
    <row r="10332" spans="8:8">
      <c r="H10332" s="680" t="s">
        <v>6153</v>
      </c>
    </row>
    <row r="10333" spans="8:8">
      <c r="H10333" s="680" t="s">
        <v>6153</v>
      </c>
    </row>
    <row r="10334" spans="8:8">
      <c r="H10334" s="680" t="s">
        <v>6153</v>
      </c>
    </row>
    <row r="10335" spans="8:8">
      <c r="H10335" s="680" t="s">
        <v>6153</v>
      </c>
    </row>
    <row r="10336" spans="8:8">
      <c r="H10336" s="680" t="s">
        <v>6153</v>
      </c>
    </row>
    <row r="10337" spans="8:8">
      <c r="H10337" s="680" t="s">
        <v>6153</v>
      </c>
    </row>
    <row r="10338" spans="8:8">
      <c r="H10338" s="680" t="s">
        <v>6153</v>
      </c>
    </row>
    <row r="10339" spans="8:8">
      <c r="H10339" s="680" t="s">
        <v>6153</v>
      </c>
    </row>
    <row r="10340" spans="8:8">
      <c r="H10340" s="680" t="s">
        <v>6153</v>
      </c>
    </row>
    <row r="10341" spans="8:8">
      <c r="H10341" s="680" t="s">
        <v>6153</v>
      </c>
    </row>
    <row r="10342" spans="8:8">
      <c r="H10342" s="680" t="s">
        <v>6153</v>
      </c>
    </row>
    <row r="10343" spans="8:8">
      <c r="H10343" s="680" t="s">
        <v>6153</v>
      </c>
    </row>
    <row r="10344" spans="8:8">
      <c r="H10344" s="680" t="s">
        <v>6153</v>
      </c>
    </row>
    <row r="10345" spans="8:8">
      <c r="H10345" s="680" t="s">
        <v>6153</v>
      </c>
    </row>
    <row r="10346" spans="8:8">
      <c r="H10346" s="680" t="s">
        <v>6153</v>
      </c>
    </row>
    <row r="10347" spans="8:8">
      <c r="H10347" s="680" t="s">
        <v>6153</v>
      </c>
    </row>
    <row r="10348" spans="8:8">
      <c r="H10348" s="680" t="s">
        <v>6153</v>
      </c>
    </row>
    <row r="10349" spans="8:8">
      <c r="H10349" s="680" t="s">
        <v>6153</v>
      </c>
    </row>
    <row r="10350" spans="8:8">
      <c r="H10350" s="680" t="s">
        <v>6153</v>
      </c>
    </row>
    <row r="10351" spans="8:8">
      <c r="H10351" s="680" t="s">
        <v>6153</v>
      </c>
    </row>
    <row r="10352" spans="8:8">
      <c r="H10352" s="680" t="s">
        <v>6153</v>
      </c>
    </row>
    <row r="10353" spans="8:8">
      <c r="H10353" s="680" t="s">
        <v>6153</v>
      </c>
    </row>
    <row r="10354" spans="8:8">
      <c r="H10354" s="680" t="s">
        <v>6153</v>
      </c>
    </row>
    <row r="10355" spans="8:8">
      <c r="H10355" s="680" t="s">
        <v>6153</v>
      </c>
    </row>
    <row r="10356" spans="8:8">
      <c r="H10356" s="680" t="s">
        <v>6153</v>
      </c>
    </row>
    <row r="10357" spans="8:8">
      <c r="H10357" s="680" t="s">
        <v>6153</v>
      </c>
    </row>
    <row r="10358" spans="8:8">
      <c r="H10358" s="680" t="s">
        <v>6153</v>
      </c>
    </row>
    <row r="10359" spans="8:8">
      <c r="H10359" s="680" t="s">
        <v>6153</v>
      </c>
    </row>
    <row r="10360" spans="8:8">
      <c r="H10360" s="680" t="s">
        <v>6153</v>
      </c>
    </row>
    <row r="10361" spans="8:8">
      <c r="H10361" s="680" t="s">
        <v>6153</v>
      </c>
    </row>
    <row r="10362" spans="8:8">
      <c r="H10362" s="680" t="s">
        <v>6153</v>
      </c>
    </row>
    <row r="10363" spans="8:8">
      <c r="H10363" s="680" t="s">
        <v>6153</v>
      </c>
    </row>
    <row r="10364" spans="8:8">
      <c r="H10364" s="680" t="s">
        <v>6153</v>
      </c>
    </row>
    <row r="10365" spans="8:8">
      <c r="H10365" s="680" t="s">
        <v>6153</v>
      </c>
    </row>
    <row r="10366" spans="8:8">
      <c r="H10366" s="680" t="s">
        <v>6153</v>
      </c>
    </row>
    <row r="10367" spans="8:8">
      <c r="H10367" s="680" t="s">
        <v>6153</v>
      </c>
    </row>
    <row r="10368" spans="8:8">
      <c r="H10368" s="680" t="s">
        <v>6153</v>
      </c>
    </row>
    <row r="10369" spans="8:8">
      <c r="H10369" s="680" t="s">
        <v>6153</v>
      </c>
    </row>
    <row r="10370" spans="8:8">
      <c r="H10370" s="680" t="s">
        <v>6153</v>
      </c>
    </row>
    <row r="10371" spans="8:8">
      <c r="H10371" s="680" t="s">
        <v>6153</v>
      </c>
    </row>
    <row r="10372" spans="8:8">
      <c r="H10372" s="680" t="s">
        <v>6153</v>
      </c>
    </row>
    <row r="10373" spans="8:8">
      <c r="H10373" s="680" t="s">
        <v>6153</v>
      </c>
    </row>
    <row r="10374" spans="8:8">
      <c r="H10374" s="680" t="s">
        <v>6153</v>
      </c>
    </row>
    <row r="10375" spans="8:8">
      <c r="H10375" s="680" t="s">
        <v>6153</v>
      </c>
    </row>
    <row r="10376" spans="8:8">
      <c r="H10376" s="680" t="s">
        <v>6153</v>
      </c>
    </row>
    <row r="10377" spans="8:8">
      <c r="H10377" s="680" t="s">
        <v>6153</v>
      </c>
    </row>
    <row r="10378" spans="8:8">
      <c r="H10378" s="680" t="s">
        <v>6153</v>
      </c>
    </row>
    <row r="10379" spans="8:8">
      <c r="H10379" s="680" t="s">
        <v>6153</v>
      </c>
    </row>
    <row r="10380" spans="8:8">
      <c r="H10380" s="680" t="s">
        <v>6153</v>
      </c>
    </row>
    <row r="10381" spans="8:8">
      <c r="H10381" s="680" t="s">
        <v>6153</v>
      </c>
    </row>
    <row r="10382" spans="8:8">
      <c r="H10382" s="680" t="s">
        <v>6153</v>
      </c>
    </row>
    <row r="10383" spans="8:8">
      <c r="H10383" s="680" t="s">
        <v>6153</v>
      </c>
    </row>
    <row r="10384" spans="8:8">
      <c r="H10384" s="680" t="s">
        <v>6153</v>
      </c>
    </row>
    <row r="10385" spans="8:8">
      <c r="H10385" s="680" t="s">
        <v>6153</v>
      </c>
    </row>
    <row r="10386" spans="8:8">
      <c r="H10386" s="680" t="s">
        <v>6153</v>
      </c>
    </row>
    <row r="10387" spans="8:8">
      <c r="H10387" s="680" t="s">
        <v>6153</v>
      </c>
    </row>
    <row r="10388" spans="8:8">
      <c r="H10388" s="680" t="s">
        <v>6153</v>
      </c>
    </row>
    <row r="10389" spans="8:8">
      <c r="H10389" s="680" t="s">
        <v>6153</v>
      </c>
    </row>
    <row r="10390" spans="8:8">
      <c r="H10390" s="680" t="s">
        <v>6153</v>
      </c>
    </row>
    <row r="10391" spans="8:8">
      <c r="H10391" s="680" t="s">
        <v>6153</v>
      </c>
    </row>
    <row r="10392" spans="8:8">
      <c r="H10392" s="680" t="s">
        <v>6153</v>
      </c>
    </row>
    <row r="10393" spans="8:8">
      <c r="H10393" s="680" t="s">
        <v>6153</v>
      </c>
    </row>
    <row r="10394" spans="8:8">
      <c r="H10394" s="680" t="s">
        <v>6153</v>
      </c>
    </row>
    <row r="10395" spans="8:8">
      <c r="H10395" s="680" t="s">
        <v>6153</v>
      </c>
    </row>
    <row r="10396" spans="8:8">
      <c r="H10396" s="680" t="s">
        <v>6153</v>
      </c>
    </row>
    <row r="10397" spans="8:8">
      <c r="H10397" s="680" t="s">
        <v>6153</v>
      </c>
    </row>
    <row r="10398" spans="8:8">
      <c r="H10398" s="680" t="s">
        <v>6153</v>
      </c>
    </row>
    <row r="10399" spans="8:8">
      <c r="H10399" s="680" t="s">
        <v>6153</v>
      </c>
    </row>
    <row r="10400" spans="8:8">
      <c r="H10400" s="680" t="s">
        <v>6153</v>
      </c>
    </row>
    <row r="10401" spans="8:8">
      <c r="H10401" s="680" t="s">
        <v>6153</v>
      </c>
    </row>
    <row r="10402" spans="8:8">
      <c r="H10402" s="680" t="s">
        <v>6153</v>
      </c>
    </row>
    <row r="10403" spans="8:8">
      <c r="H10403" s="680" t="s">
        <v>6153</v>
      </c>
    </row>
    <row r="10404" spans="8:8">
      <c r="H10404" s="680" t="s">
        <v>6153</v>
      </c>
    </row>
    <row r="10405" spans="8:8">
      <c r="H10405" s="680" t="s">
        <v>6153</v>
      </c>
    </row>
    <row r="10406" spans="8:8">
      <c r="H10406" s="680" t="s">
        <v>6153</v>
      </c>
    </row>
    <row r="10407" spans="8:8">
      <c r="H10407" s="680" t="s">
        <v>6153</v>
      </c>
    </row>
    <row r="10408" spans="8:8">
      <c r="H10408" s="680" t="s">
        <v>6153</v>
      </c>
    </row>
    <row r="10409" spans="8:8">
      <c r="H10409" s="680" t="s">
        <v>6153</v>
      </c>
    </row>
    <row r="10410" spans="8:8">
      <c r="H10410" s="680" t="s">
        <v>6153</v>
      </c>
    </row>
    <row r="10411" spans="8:8">
      <c r="H10411" s="680" t="s">
        <v>6153</v>
      </c>
    </row>
    <row r="10412" spans="8:8">
      <c r="H10412" s="680" t="s">
        <v>6153</v>
      </c>
    </row>
    <row r="10413" spans="8:8">
      <c r="H10413" s="680" t="s">
        <v>6153</v>
      </c>
    </row>
    <row r="10414" spans="8:8">
      <c r="H10414" s="680" t="s">
        <v>6153</v>
      </c>
    </row>
    <row r="10415" spans="8:8">
      <c r="H10415" s="680" t="s">
        <v>6153</v>
      </c>
    </row>
    <row r="10416" spans="8:8">
      <c r="H10416" s="680" t="s">
        <v>6153</v>
      </c>
    </row>
    <row r="10417" spans="8:8">
      <c r="H10417" s="680" t="s">
        <v>6153</v>
      </c>
    </row>
    <row r="10418" spans="8:8">
      <c r="H10418" s="680" t="s">
        <v>6153</v>
      </c>
    </row>
    <row r="10419" spans="8:8">
      <c r="H10419" s="680" t="s">
        <v>6153</v>
      </c>
    </row>
    <row r="10420" spans="8:8">
      <c r="H10420" s="680" t="s">
        <v>6153</v>
      </c>
    </row>
    <row r="10421" spans="8:8">
      <c r="H10421" s="680" t="s">
        <v>6153</v>
      </c>
    </row>
    <row r="10422" spans="8:8">
      <c r="H10422" s="680" t="s">
        <v>6153</v>
      </c>
    </row>
    <row r="10423" spans="8:8">
      <c r="H10423" s="680" t="s">
        <v>6153</v>
      </c>
    </row>
    <row r="10424" spans="8:8">
      <c r="H10424" s="680" t="s">
        <v>6153</v>
      </c>
    </row>
    <row r="10425" spans="8:8">
      <c r="H10425" s="680" t="s">
        <v>6153</v>
      </c>
    </row>
    <row r="10426" spans="8:8">
      <c r="H10426" s="680" t="s">
        <v>6153</v>
      </c>
    </row>
    <row r="10427" spans="8:8">
      <c r="H10427" s="680" t="s">
        <v>6153</v>
      </c>
    </row>
    <row r="10428" spans="8:8">
      <c r="H10428" s="680" t="s">
        <v>6153</v>
      </c>
    </row>
    <row r="10429" spans="8:8">
      <c r="H10429" s="680" t="s">
        <v>6153</v>
      </c>
    </row>
    <row r="10430" spans="8:8">
      <c r="H10430" s="680" t="s">
        <v>6153</v>
      </c>
    </row>
    <row r="10431" spans="8:8">
      <c r="H10431" s="680" t="s">
        <v>6153</v>
      </c>
    </row>
    <row r="10432" spans="8:8">
      <c r="H10432" s="680" t="s">
        <v>6153</v>
      </c>
    </row>
    <row r="10433" spans="8:8">
      <c r="H10433" s="680" t="s">
        <v>6153</v>
      </c>
    </row>
    <row r="10434" spans="8:8">
      <c r="H10434" s="680" t="s">
        <v>6153</v>
      </c>
    </row>
    <row r="10435" spans="8:8">
      <c r="H10435" s="680" t="s">
        <v>6153</v>
      </c>
    </row>
    <row r="10436" spans="8:8">
      <c r="H10436" s="680" t="s">
        <v>6153</v>
      </c>
    </row>
    <row r="10437" spans="8:8">
      <c r="H10437" s="680" t="s">
        <v>6153</v>
      </c>
    </row>
    <row r="10438" spans="8:8">
      <c r="H10438" s="680" t="s">
        <v>6153</v>
      </c>
    </row>
    <row r="10439" spans="8:8">
      <c r="H10439" s="680" t="s">
        <v>6153</v>
      </c>
    </row>
    <row r="10440" spans="8:8">
      <c r="H10440" s="680" t="s">
        <v>6153</v>
      </c>
    </row>
    <row r="10441" spans="8:8">
      <c r="H10441" s="680" t="s">
        <v>6153</v>
      </c>
    </row>
    <row r="10442" spans="8:8">
      <c r="H10442" s="680" t="s">
        <v>6153</v>
      </c>
    </row>
    <row r="10443" spans="8:8">
      <c r="H10443" s="680" t="s">
        <v>6153</v>
      </c>
    </row>
    <row r="10444" spans="8:8">
      <c r="H10444" s="680" t="s">
        <v>6153</v>
      </c>
    </row>
    <row r="10445" spans="8:8">
      <c r="H10445" s="680" t="s">
        <v>6153</v>
      </c>
    </row>
    <row r="10446" spans="8:8">
      <c r="H10446" s="680" t="s">
        <v>6153</v>
      </c>
    </row>
    <row r="10447" spans="8:8">
      <c r="H10447" s="680" t="s">
        <v>6153</v>
      </c>
    </row>
    <row r="10448" spans="8:8">
      <c r="H10448" s="680" t="s">
        <v>6153</v>
      </c>
    </row>
    <row r="10449" spans="8:8">
      <c r="H10449" s="680" t="s">
        <v>6153</v>
      </c>
    </row>
    <row r="10450" spans="8:8">
      <c r="H10450" s="680" t="s">
        <v>6153</v>
      </c>
    </row>
    <row r="10451" spans="8:8">
      <c r="H10451" s="680" t="s">
        <v>6153</v>
      </c>
    </row>
    <row r="10452" spans="8:8">
      <c r="H10452" s="680" t="s">
        <v>6153</v>
      </c>
    </row>
    <row r="10453" spans="8:8">
      <c r="H10453" s="680" t="s">
        <v>6153</v>
      </c>
    </row>
    <row r="10454" spans="8:8">
      <c r="H10454" s="680" t="s">
        <v>6153</v>
      </c>
    </row>
    <row r="10455" spans="8:8">
      <c r="H10455" s="680" t="s">
        <v>6153</v>
      </c>
    </row>
    <row r="10456" spans="8:8">
      <c r="H10456" s="680" t="s">
        <v>6153</v>
      </c>
    </row>
    <row r="10457" spans="8:8">
      <c r="H10457" s="680" t="s">
        <v>6153</v>
      </c>
    </row>
    <row r="10458" spans="8:8">
      <c r="H10458" s="680" t="s">
        <v>6153</v>
      </c>
    </row>
    <row r="10459" spans="8:8">
      <c r="H10459" s="680" t="s">
        <v>6153</v>
      </c>
    </row>
    <row r="10460" spans="8:8">
      <c r="H10460" s="680" t="s">
        <v>6153</v>
      </c>
    </row>
    <row r="10461" spans="8:8">
      <c r="H10461" s="680" t="s">
        <v>6153</v>
      </c>
    </row>
    <row r="10462" spans="8:8">
      <c r="H10462" s="680" t="s">
        <v>6153</v>
      </c>
    </row>
    <row r="10463" spans="8:8">
      <c r="H10463" s="680" t="s">
        <v>6153</v>
      </c>
    </row>
    <row r="10464" spans="8:8">
      <c r="H10464" s="680" t="s">
        <v>6153</v>
      </c>
    </row>
    <row r="10465" spans="8:8">
      <c r="H10465" s="680" t="s">
        <v>6153</v>
      </c>
    </row>
    <row r="10466" spans="8:8">
      <c r="H10466" s="680" t="s">
        <v>6153</v>
      </c>
    </row>
    <row r="10467" spans="8:8">
      <c r="H10467" s="680" t="s">
        <v>6153</v>
      </c>
    </row>
    <row r="10468" spans="8:8">
      <c r="H10468" s="680" t="s">
        <v>6153</v>
      </c>
    </row>
    <row r="10469" spans="8:8">
      <c r="H10469" s="680" t="s">
        <v>6153</v>
      </c>
    </row>
    <row r="10470" spans="8:8">
      <c r="H10470" s="680" t="s">
        <v>6153</v>
      </c>
    </row>
    <row r="10471" spans="8:8">
      <c r="H10471" s="680" t="s">
        <v>6153</v>
      </c>
    </row>
    <row r="10472" spans="8:8">
      <c r="H10472" s="680" t="s">
        <v>6153</v>
      </c>
    </row>
    <row r="10473" spans="8:8">
      <c r="H10473" s="680" t="s">
        <v>6153</v>
      </c>
    </row>
    <row r="10474" spans="8:8">
      <c r="H10474" s="680" t="s">
        <v>6153</v>
      </c>
    </row>
    <row r="10475" spans="8:8">
      <c r="H10475" s="680" t="s">
        <v>6153</v>
      </c>
    </row>
    <row r="10476" spans="8:8">
      <c r="H10476" s="680" t="s">
        <v>6153</v>
      </c>
    </row>
    <row r="10477" spans="8:8">
      <c r="H10477" s="680" t="s">
        <v>6153</v>
      </c>
    </row>
    <row r="10478" spans="8:8">
      <c r="H10478" s="680" t="s">
        <v>6153</v>
      </c>
    </row>
    <row r="10479" spans="8:8">
      <c r="H10479" s="680" t="s">
        <v>6153</v>
      </c>
    </row>
    <row r="10480" spans="8:8">
      <c r="H10480" s="680" t="s">
        <v>6153</v>
      </c>
    </row>
    <row r="10481" spans="8:8">
      <c r="H10481" s="680" t="s">
        <v>6153</v>
      </c>
    </row>
    <row r="10482" spans="8:8">
      <c r="H10482" s="680" t="s">
        <v>6153</v>
      </c>
    </row>
    <row r="10483" spans="8:8">
      <c r="H10483" s="680" t="s">
        <v>6153</v>
      </c>
    </row>
    <row r="10484" spans="8:8">
      <c r="H10484" s="680" t="s">
        <v>6153</v>
      </c>
    </row>
    <row r="10485" spans="8:8">
      <c r="H10485" s="680" t="s">
        <v>6153</v>
      </c>
    </row>
    <row r="10486" spans="8:8">
      <c r="H10486" s="680" t="s">
        <v>6153</v>
      </c>
    </row>
    <row r="10487" spans="8:8">
      <c r="H10487" s="680" t="s">
        <v>6153</v>
      </c>
    </row>
    <row r="10488" spans="8:8">
      <c r="H10488" s="680" t="s">
        <v>6153</v>
      </c>
    </row>
    <row r="10489" spans="8:8">
      <c r="H10489" s="680" t="s">
        <v>6153</v>
      </c>
    </row>
    <row r="10490" spans="8:8">
      <c r="H10490" s="680" t="s">
        <v>6153</v>
      </c>
    </row>
    <row r="10491" spans="8:8">
      <c r="H10491" s="680" t="s">
        <v>6153</v>
      </c>
    </row>
    <row r="10492" spans="8:8">
      <c r="H10492" s="680" t="s">
        <v>6153</v>
      </c>
    </row>
    <row r="10493" spans="8:8">
      <c r="H10493" s="680" t="s">
        <v>6153</v>
      </c>
    </row>
    <row r="10494" spans="8:8">
      <c r="H10494" s="680" t="s">
        <v>6153</v>
      </c>
    </row>
    <row r="10495" spans="8:8">
      <c r="H10495" s="680" t="s">
        <v>6153</v>
      </c>
    </row>
    <row r="10496" spans="8:8">
      <c r="H10496" s="680" t="s">
        <v>6153</v>
      </c>
    </row>
    <row r="10497" spans="8:8">
      <c r="H10497" s="680" t="s">
        <v>6153</v>
      </c>
    </row>
    <row r="10498" spans="8:8">
      <c r="H10498" s="680" t="s">
        <v>6153</v>
      </c>
    </row>
    <row r="10499" spans="8:8">
      <c r="H10499" s="680" t="s">
        <v>6153</v>
      </c>
    </row>
    <row r="10500" spans="8:8">
      <c r="H10500" s="680" t="s">
        <v>6153</v>
      </c>
    </row>
    <row r="10501" spans="8:8">
      <c r="H10501" s="680" t="s">
        <v>6153</v>
      </c>
    </row>
    <row r="10502" spans="8:8">
      <c r="H10502" s="680" t="s">
        <v>6153</v>
      </c>
    </row>
    <row r="10503" spans="8:8">
      <c r="H10503" s="680" t="s">
        <v>6153</v>
      </c>
    </row>
    <row r="10504" spans="8:8">
      <c r="H10504" s="680" t="s">
        <v>6153</v>
      </c>
    </row>
    <row r="10505" spans="8:8">
      <c r="H10505" s="680" t="s">
        <v>6153</v>
      </c>
    </row>
    <row r="10506" spans="8:8">
      <c r="H10506" s="680" t="s">
        <v>6153</v>
      </c>
    </row>
    <row r="10507" spans="8:8">
      <c r="H10507" s="680" t="s">
        <v>6153</v>
      </c>
    </row>
    <row r="10508" spans="8:8">
      <c r="H10508" s="680" t="s">
        <v>6153</v>
      </c>
    </row>
    <row r="10509" spans="8:8">
      <c r="H10509" s="680" t="s">
        <v>6153</v>
      </c>
    </row>
    <row r="10510" spans="8:8">
      <c r="H10510" s="680" t="s">
        <v>6153</v>
      </c>
    </row>
    <row r="10511" spans="8:8">
      <c r="H10511" s="680" t="s">
        <v>6153</v>
      </c>
    </row>
    <row r="10512" spans="8:8">
      <c r="H10512" s="680" t="s">
        <v>6153</v>
      </c>
    </row>
    <row r="10513" spans="8:8">
      <c r="H10513" s="680" t="s">
        <v>6153</v>
      </c>
    </row>
    <row r="10514" spans="8:8">
      <c r="H10514" s="680" t="s">
        <v>6153</v>
      </c>
    </row>
    <row r="10515" spans="8:8">
      <c r="H10515" s="680" t="s">
        <v>6153</v>
      </c>
    </row>
    <row r="10516" spans="8:8">
      <c r="H10516" s="680" t="s">
        <v>6153</v>
      </c>
    </row>
    <row r="10517" spans="8:8">
      <c r="H10517" s="680" t="s">
        <v>6153</v>
      </c>
    </row>
    <row r="10518" spans="8:8">
      <c r="H10518" s="680" t="s">
        <v>6153</v>
      </c>
    </row>
    <row r="10519" spans="8:8">
      <c r="H10519" s="680" t="s">
        <v>6153</v>
      </c>
    </row>
    <row r="10520" spans="8:8">
      <c r="H10520" s="680" t="s">
        <v>6153</v>
      </c>
    </row>
    <row r="10521" spans="8:8">
      <c r="H10521" s="680" t="s">
        <v>6153</v>
      </c>
    </row>
    <row r="10522" spans="8:8">
      <c r="H10522" s="680" t="s">
        <v>6153</v>
      </c>
    </row>
    <row r="10523" spans="8:8">
      <c r="H10523" s="680" t="s">
        <v>6153</v>
      </c>
    </row>
    <row r="10524" spans="8:8">
      <c r="H10524" s="680" t="s">
        <v>6153</v>
      </c>
    </row>
    <row r="10525" spans="8:8">
      <c r="H10525" s="680" t="s">
        <v>6153</v>
      </c>
    </row>
    <row r="10526" spans="8:8">
      <c r="H10526" s="680" t="s">
        <v>6153</v>
      </c>
    </row>
    <row r="10527" spans="8:8">
      <c r="H10527" s="680" t="s">
        <v>6153</v>
      </c>
    </row>
    <row r="10528" spans="8:8">
      <c r="H10528" s="680" t="s">
        <v>6153</v>
      </c>
    </row>
    <row r="10529" spans="8:8">
      <c r="H10529" s="680" t="s">
        <v>6153</v>
      </c>
    </row>
    <row r="10530" spans="8:8">
      <c r="H10530" s="680" t="s">
        <v>6153</v>
      </c>
    </row>
    <row r="10531" spans="8:8">
      <c r="H10531" s="680" t="s">
        <v>6153</v>
      </c>
    </row>
    <row r="10532" spans="8:8">
      <c r="H10532" s="680" t="s">
        <v>6153</v>
      </c>
    </row>
    <row r="10533" spans="8:8">
      <c r="H10533" s="680" t="s">
        <v>6153</v>
      </c>
    </row>
    <row r="10534" spans="8:8">
      <c r="H10534" s="680" t="s">
        <v>6153</v>
      </c>
    </row>
    <row r="10535" spans="8:8">
      <c r="H10535" s="680" t="s">
        <v>6153</v>
      </c>
    </row>
    <row r="10536" spans="8:8">
      <c r="H10536" s="680" t="s">
        <v>6153</v>
      </c>
    </row>
    <row r="10537" spans="8:8">
      <c r="H10537" s="680" t="s">
        <v>6153</v>
      </c>
    </row>
    <row r="10538" spans="8:8">
      <c r="H10538" s="680" t="s">
        <v>6153</v>
      </c>
    </row>
    <row r="10539" spans="8:8">
      <c r="H10539" s="680" t="s">
        <v>6153</v>
      </c>
    </row>
    <row r="10540" spans="8:8">
      <c r="H10540" s="680" t="s">
        <v>6153</v>
      </c>
    </row>
    <row r="10541" spans="8:8">
      <c r="H10541" s="680" t="s">
        <v>6153</v>
      </c>
    </row>
    <row r="10542" spans="8:8">
      <c r="H10542" s="680" t="s">
        <v>6153</v>
      </c>
    </row>
    <row r="10543" spans="8:8">
      <c r="H10543" s="680" t="s">
        <v>6153</v>
      </c>
    </row>
    <row r="10544" spans="8:8">
      <c r="H10544" s="680" t="s">
        <v>6153</v>
      </c>
    </row>
    <row r="10545" spans="8:8">
      <c r="H10545" s="680" t="s">
        <v>6153</v>
      </c>
    </row>
    <row r="10546" spans="8:8">
      <c r="H10546" s="680" t="s">
        <v>6153</v>
      </c>
    </row>
    <row r="10547" spans="8:8">
      <c r="H10547" s="680" t="s">
        <v>6153</v>
      </c>
    </row>
    <row r="10548" spans="8:8">
      <c r="H10548" s="680" t="s">
        <v>6153</v>
      </c>
    </row>
    <row r="10549" spans="8:8">
      <c r="H10549" s="680" t="s">
        <v>6153</v>
      </c>
    </row>
    <row r="10550" spans="8:8">
      <c r="H10550" s="680" t="s">
        <v>6153</v>
      </c>
    </row>
    <row r="10551" spans="8:8">
      <c r="H10551" s="680" t="s">
        <v>6153</v>
      </c>
    </row>
    <row r="10552" spans="8:8">
      <c r="H10552" s="680" t="s">
        <v>6153</v>
      </c>
    </row>
    <row r="10553" spans="8:8">
      <c r="H10553" s="680" t="s">
        <v>6153</v>
      </c>
    </row>
    <row r="10554" spans="8:8">
      <c r="H10554" s="680" t="s">
        <v>6153</v>
      </c>
    </row>
    <row r="10555" spans="8:8">
      <c r="H10555" s="680" t="s">
        <v>6153</v>
      </c>
    </row>
    <row r="10556" spans="8:8">
      <c r="H10556" s="680" t="s">
        <v>6153</v>
      </c>
    </row>
    <row r="10557" spans="8:8">
      <c r="H10557" s="680" t="s">
        <v>6153</v>
      </c>
    </row>
    <row r="10558" spans="8:8">
      <c r="H10558" s="680" t="s">
        <v>6153</v>
      </c>
    </row>
    <row r="10559" spans="8:8">
      <c r="H10559" s="680" t="s">
        <v>6153</v>
      </c>
    </row>
    <row r="10560" spans="8:8">
      <c r="H10560" s="680" t="s">
        <v>6153</v>
      </c>
    </row>
    <row r="10561" spans="8:8">
      <c r="H10561" s="680" t="s">
        <v>6153</v>
      </c>
    </row>
    <row r="10562" spans="8:8">
      <c r="H10562" s="680" t="s">
        <v>6153</v>
      </c>
    </row>
    <row r="10563" spans="8:8">
      <c r="H10563" s="680" t="s">
        <v>6153</v>
      </c>
    </row>
    <row r="10564" spans="8:8">
      <c r="H10564" s="680" t="s">
        <v>6153</v>
      </c>
    </row>
    <row r="10565" spans="8:8">
      <c r="H10565" s="680" t="s">
        <v>6153</v>
      </c>
    </row>
    <row r="10566" spans="8:8">
      <c r="H10566" s="680" t="s">
        <v>6153</v>
      </c>
    </row>
    <row r="10567" spans="8:8">
      <c r="H10567" s="680" t="s">
        <v>6153</v>
      </c>
    </row>
    <row r="10568" spans="8:8">
      <c r="H10568" s="680" t="s">
        <v>6153</v>
      </c>
    </row>
    <row r="10569" spans="8:8">
      <c r="H10569" s="680" t="s">
        <v>6153</v>
      </c>
    </row>
    <row r="10570" spans="8:8">
      <c r="H10570" s="680" t="s">
        <v>6153</v>
      </c>
    </row>
    <row r="10571" spans="8:8">
      <c r="H10571" s="680" t="s">
        <v>6153</v>
      </c>
    </row>
    <row r="10572" spans="8:8">
      <c r="H10572" s="680" t="s">
        <v>6153</v>
      </c>
    </row>
    <row r="10573" spans="8:8">
      <c r="H10573" s="680" t="s">
        <v>6153</v>
      </c>
    </row>
    <row r="10574" spans="8:8">
      <c r="H10574" s="680" t="s">
        <v>6153</v>
      </c>
    </row>
    <row r="10575" spans="8:8">
      <c r="H10575" s="680" t="s">
        <v>6153</v>
      </c>
    </row>
    <row r="10576" spans="8:8">
      <c r="H10576" s="680" t="s">
        <v>6153</v>
      </c>
    </row>
    <row r="10577" spans="8:8">
      <c r="H10577" s="680" t="s">
        <v>6153</v>
      </c>
    </row>
    <row r="10578" spans="8:8">
      <c r="H10578" s="680" t="s">
        <v>6153</v>
      </c>
    </row>
    <row r="10579" spans="8:8">
      <c r="H10579" s="680" t="s">
        <v>6153</v>
      </c>
    </row>
    <row r="10580" spans="8:8">
      <c r="H10580" s="680" t="s">
        <v>6153</v>
      </c>
    </row>
    <row r="10581" spans="8:8">
      <c r="H10581" s="680" t="s">
        <v>6153</v>
      </c>
    </row>
    <row r="10582" spans="8:8">
      <c r="H10582" s="680" t="s">
        <v>6153</v>
      </c>
    </row>
    <row r="10583" spans="8:8">
      <c r="H10583" s="680" t="s">
        <v>6153</v>
      </c>
    </row>
    <row r="10584" spans="8:8">
      <c r="H10584" s="680" t="s">
        <v>6153</v>
      </c>
    </row>
    <row r="10585" spans="8:8">
      <c r="H10585" s="680" t="s">
        <v>6153</v>
      </c>
    </row>
    <row r="10586" spans="8:8">
      <c r="H10586" s="680" t="s">
        <v>6153</v>
      </c>
    </row>
    <row r="10587" spans="8:8">
      <c r="H10587" s="680" t="s">
        <v>6153</v>
      </c>
    </row>
    <row r="10588" spans="8:8">
      <c r="H10588" s="680" t="s">
        <v>6153</v>
      </c>
    </row>
    <row r="10589" spans="8:8">
      <c r="H10589" s="680" t="s">
        <v>6153</v>
      </c>
    </row>
    <row r="10590" spans="8:8">
      <c r="H10590" s="680" t="s">
        <v>6153</v>
      </c>
    </row>
    <row r="10591" spans="8:8">
      <c r="H10591" s="680" t="s">
        <v>6153</v>
      </c>
    </row>
    <row r="10592" spans="8:8">
      <c r="H10592" s="680" t="s">
        <v>6153</v>
      </c>
    </row>
    <row r="10593" spans="8:8">
      <c r="H10593" s="680" t="s">
        <v>6153</v>
      </c>
    </row>
    <row r="10594" spans="8:8">
      <c r="H10594" s="680" t="s">
        <v>6153</v>
      </c>
    </row>
    <row r="10595" spans="8:8">
      <c r="H10595" s="680" t="s">
        <v>6153</v>
      </c>
    </row>
    <row r="10596" spans="8:8">
      <c r="H10596" s="680" t="s">
        <v>6153</v>
      </c>
    </row>
    <row r="10597" spans="8:8">
      <c r="H10597" s="680" t="s">
        <v>6153</v>
      </c>
    </row>
    <row r="10598" spans="8:8">
      <c r="H10598" s="680" t="s">
        <v>6153</v>
      </c>
    </row>
    <row r="10599" spans="8:8">
      <c r="H10599" s="680" t="s">
        <v>6153</v>
      </c>
    </row>
    <row r="10600" spans="8:8">
      <c r="H10600" s="680" t="s">
        <v>6153</v>
      </c>
    </row>
    <row r="10601" spans="8:8">
      <c r="H10601" s="680" t="s">
        <v>6153</v>
      </c>
    </row>
    <row r="10602" spans="8:8">
      <c r="H10602" s="680" t="s">
        <v>6153</v>
      </c>
    </row>
    <row r="10603" spans="8:8">
      <c r="H10603" s="680" t="s">
        <v>6153</v>
      </c>
    </row>
    <row r="10604" spans="8:8">
      <c r="H10604" s="680" t="s">
        <v>6153</v>
      </c>
    </row>
    <row r="10605" spans="8:8">
      <c r="H10605" s="680" t="s">
        <v>6153</v>
      </c>
    </row>
    <row r="10606" spans="8:8">
      <c r="H10606" s="680" t="s">
        <v>6153</v>
      </c>
    </row>
    <row r="10607" spans="8:8">
      <c r="H10607" s="680" t="s">
        <v>6153</v>
      </c>
    </row>
    <row r="10608" spans="8:8">
      <c r="H10608" s="680" t="s">
        <v>6153</v>
      </c>
    </row>
    <row r="10609" spans="8:8">
      <c r="H10609" s="680" t="s">
        <v>6153</v>
      </c>
    </row>
    <row r="10610" spans="8:8">
      <c r="H10610" s="680" t="s">
        <v>6153</v>
      </c>
    </row>
    <row r="10611" spans="8:8">
      <c r="H10611" s="680" t="s">
        <v>6153</v>
      </c>
    </row>
    <row r="10612" spans="8:8">
      <c r="H10612" s="680" t="s">
        <v>6153</v>
      </c>
    </row>
    <row r="10613" spans="8:8">
      <c r="H10613" s="680" t="s">
        <v>6153</v>
      </c>
    </row>
    <row r="10614" spans="8:8">
      <c r="H10614" s="680" t="s">
        <v>6153</v>
      </c>
    </row>
    <row r="10615" spans="8:8">
      <c r="H10615" s="680" t="s">
        <v>6153</v>
      </c>
    </row>
    <row r="10616" spans="8:8">
      <c r="H10616" s="680" t="s">
        <v>6153</v>
      </c>
    </row>
    <row r="10617" spans="8:8">
      <c r="H10617" s="680" t="s">
        <v>6153</v>
      </c>
    </row>
    <row r="10618" spans="8:8">
      <c r="H10618" s="680" t="s">
        <v>6153</v>
      </c>
    </row>
    <row r="10619" spans="8:8">
      <c r="H10619" s="680" t="s">
        <v>6153</v>
      </c>
    </row>
    <row r="10620" spans="8:8">
      <c r="H10620" s="680" t="s">
        <v>6153</v>
      </c>
    </row>
    <row r="10621" spans="8:8">
      <c r="H10621" s="680" t="s">
        <v>6153</v>
      </c>
    </row>
    <row r="10622" spans="8:8">
      <c r="H10622" s="680" t="s">
        <v>6153</v>
      </c>
    </row>
    <row r="10623" spans="8:8">
      <c r="H10623" s="680" t="s">
        <v>6153</v>
      </c>
    </row>
    <row r="10624" spans="8:8">
      <c r="H10624" s="680" t="s">
        <v>6153</v>
      </c>
    </row>
    <row r="10625" spans="8:8">
      <c r="H10625" s="680" t="s">
        <v>6153</v>
      </c>
    </row>
    <row r="10626" spans="8:8">
      <c r="H10626" s="680" t="s">
        <v>6153</v>
      </c>
    </row>
    <row r="10627" spans="8:8">
      <c r="H10627" s="680" t="s">
        <v>6153</v>
      </c>
    </row>
    <row r="10628" spans="8:8">
      <c r="H10628" s="680" t="s">
        <v>6153</v>
      </c>
    </row>
    <row r="10629" spans="8:8">
      <c r="H10629" s="680" t="s">
        <v>6153</v>
      </c>
    </row>
    <row r="10630" spans="8:8">
      <c r="H10630" s="680" t="s">
        <v>6153</v>
      </c>
    </row>
    <row r="10631" spans="8:8">
      <c r="H10631" s="680" t="s">
        <v>6153</v>
      </c>
    </row>
    <row r="10632" spans="8:8">
      <c r="H10632" s="680" t="s">
        <v>6153</v>
      </c>
    </row>
    <row r="10633" spans="8:8">
      <c r="H10633" s="680" t="s">
        <v>6153</v>
      </c>
    </row>
    <row r="10634" spans="8:8">
      <c r="H10634" s="680" t="s">
        <v>6153</v>
      </c>
    </row>
    <row r="10635" spans="8:8">
      <c r="H10635" s="680" t="s">
        <v>6153</v>
      </c>
    </row>
    <row r="10636" spans="8:8">
      <c r="H10636" s="680" t="s">
        <v>6153</v>
      </c>
    </row>
    <row r="10637" spans="8:8">
      <c r="H10637" s="680" t="s">
        <v>6153</v>
      </c>
    </row>
    <row r="10638" spans="8:8">
      <c r="H10638" s="680" t="s">
        <v>6153</v>
      </c>
    </row>
    <row r="10639" spans="8:8">
      <c r="H10639" s="680" t="s">
        <v>6153</v>
      </c>
    </row>
    <row r="10640" spans="8:8">
      <c r="H10640" s="680" t="s">
        <v>6153</v>
      </c>
    </row>
    <row r="10641" spans="8:8">
      <c r="H10641" s="680" t="s">
        <v>6153</v>
      </c>
    </row>
    <row r="10642" spans="8:8">
      <c r="H10642" s="680" t="s">
        <v>6153</v>
      </c>
    </row>
    <row r="10643" spans="8:8">
      <c r="H10643" s="680" t="s">
        <v>6153</v>
      </c>
    </row>
    <row r="10644" spans="8:8">
      <c r="H10644" s="680" t="s">
        <v>6153</v>
      </c>
    </row>
    <row r="10645" spans="8:8">
      <c r="H10645" s="680" t="s">
        <v>6153</v>
      </c>
    </row>
    <row r="10646" spans="8:8">
      <c r="H10646" s="680" t="s">
        <v>6153</v>
      </c>
    </row>
    <row r="10647" spans="8:8">
      <c r="H10647" s="680" t="s">
        <v>6153</v>
      </c>
    </row>
    <row r="10648" spans="8:8">
      <c r="H10648" s="680" t="s">
        <v>6153</v>
      </c>
    </row>
    <row r="10649" spans="8:8">
      <c r="H10649" s="680" t="s">
        <v>6153</v>
      </c>
    </row>
    <row r="10650" spans="8:8">
      <c r="H10650" s="680" t="s">
        <v>6153</v>
      </c>
    </row>
    <row r="10651" spans="8:8">
      <c r="H10651" s="680" t="s">
        <v>6153</v>
      </c>
    </row>
    <row r="10652" spans="8:8">
      <c r="H10652" s="680" t="s">
        <v>6153</v>
      </c>
    </row>
    <row r="10653" spans="8:8">
      <c r="H10653" s="680" t="s">
        <v>6153</v>
      </c>
    </row>
    <row r="10654" spans="8:8">
      <c r="H10654" s="680" t="s">
        <v>6153</v>
      </c>
    </row>
    <row r="10655" spans="8:8">
      <c r="H10655" s="680" t="s">
        <v>6153</v>
      </c>
    </row>
    <row r="10656" spans="8:8">
      <c r="H10656" s="680" t="s">
        <v>6153</v>
      </c>
    </row>
    <row r="10657" spans="8:8">
      <c r="H10657" s="680" t="s">
        <v>6153</v>
      </c>
    </row>
    <row r="10658" spans="8:8">
      <c r="H10658" s="680" t="s">
        <v>6153</v>
      </c>
    </row>
    <row r="10659" spans="8:8">
      <c r="H10659" s="680" t="s">
        <v>6153</v>
      </c>
    </row>
    <row r="10660" spans="8:8">
      <c r="H10660" s="680" t="s">
        <v>6153</v>
      </c>
    </row>
    <row r="10661" spans="8:8">
      <c r="H10661" s="680" t="s">
        <v>6153</v>
      </c>
    </row>
    <row r="10662" spans="8:8">
      <c r="H10662" s="680" t="s">
        <v>6153</v>
      </c>
    </row>
    <row r="10663" spans="8:8">
      <c r="H10663" s="680" t="s">
        <v>6153</v>
      </c>
    </row>
    <row r="10664" spans="8:8">
      <c r="H10664" s="680" t="s">
        <v>6153</v>
      </c>
    </row>
    <row r="10665" spans="8:8">
      <c r="H10665" s="680" t="s">
        <v>6153</v>
      </c>
    </row>
    <row r="10666" spans="8:8">
      <c r="H10666" s="680" t="s">
        <v>6153</v>
      </c>
    </row>
    <row r="10667" spans="8:8">
      <c r="H10667" s="680" t="s">
        <v>6153</v>
      </c>
    </row>
    <row r="10668" spans="8:8">
      <c r="H10668" s="680" t="s">
        <v>6153</v>
      </c>
    </row>
    <row r="10669" spans="8:8">
      <c r="H10669" s="680" t="s">
        <v>6153</v>
      </c>
    </row>
    <row r="10670" spans="8:8">
      <c r="H10670" s="680" t="s">
        <v>6153</v>
      </c>
    </row>
    <row r="10671" spans="8:8">
      <c r="H10671" s="680" t="s">
        <v>6153</v>
      </c>
    </row>
    <row r="10672" spans="8:8">
      <c r="H10672" s="680" t="s">
        <v>6153</v>
      </c>
    </row>
    <row r="10673" spans="8:8">
      <c r="H10673" s="680" t="s">
        <v>6153</v>
      </c>
    </row>
    <row r="10674" spans="8:8">
      <c r="H10674" s="680" t="s">
        <v>6153</v>
      </c>
    </row>
    <row r="10675" spans="8:8">
      <c r="H10675" s="680" t="s">
        <v>6153</v>
      </c>
    </row>
    <row r="10676" spans="8:8">
      <c r="H10676" s="680" t="s">
        <v>6153</v>
      </c>
    </row>
    <row r="10677" spans="8:8">
      <c r="H10677" s="680" t="s">
        <v>6153</v>
      </c>
    </row>
    <row r="10678" spans="8:8">
      <c r="H10678" s="680" t="s">
        <v>6153</v>
      </c>
    </row>
    <row r="10679" spans="8:8">
      <c r="H10679" s="680" t="s">
        <v>6153</v>
      </c>
    </row>
    <row r="10680" spans="8:8">
      <c r="H10680" s="680" t="s">
        <v>6153</v>
      </c>
    </row>
    <row r="10681" spans="8:8">
      <c r="H10681" s="680" t="s">
        <v>6153</v>
      </c>
    </row>
    <row r="10682" spans="8:8">
      <c r="H10682" s="680" t="s">
        <v>6153</v>
      </c>
    </row>
    <row r="10683" spans="8:8">
      <c r="H10683" s="680" t="s">
        <v>6153</v>
      </c>
    </row>
    <row r="10684" spans="8:8">
      <c r="H10684" s="680" t="s">
        <v>6153</v>
      </c>
    </row>
    <row r="10685" spans="8:8">
      <c r="H10685" s="680" t="s">
        <v>6153</v>
      </c>
    </row>
    <row r="10686" spans="8:8">
      <c r="H10686" s="680" t="s">
        <v>6153</v>
      </c>
    </row>
    <row r="10687" spans="8:8">
      <c r="H10687" s="680" t="s">
        <v>6153</v>
      </c>
    </row>
    <row r="10688" spans="8:8">
      <c r="H10688" s="680" t="s">
        <v>6153</v>
      </c>
    </row>
    <row r="10689" spans="8:8">
      <c r="H10689" s="680" t="s">
        <v>6153</v>
      </c>
    </row>
    <row r="10690" spans="8:8">
      <c r="H10690" s="680" t="s">
        <v>6153</v>
      </c>
    </row>
    <row r="10691" spans="8:8">
      <c r="H10691" s="680" t="s">
        <v>6153</v>
      </c>
    </row>
    <row r="10692" spans="8:8">
      <c r="H10692" s="680" t="s">
        <v>6153</v>
      </c>
    </row>
    <row r="10693" spans="8:8">
      <c r="H10693" s="680" t="s">
        <v>6153</v>
      </c>
    </row>
    <row r="10694" spans="8:8">
      <c r="H10694" s="680" t="s">
        <v>6153</v>
      </c>
    </row>
    <row r="10695" spans="8:8">
      <c r="H10695" s="680" t="s">
        <v>6153</v>
      </c>
    </row>
    <row r="10696" spans="8:8">
      <c r="H10696" s="680" t="s">
        <v>6153</v>
      </c>
    </row>
    <row r="10697" spans="8:8">
      <c r="H10697" s="680" t="s">
        <v>6153</v>
      </c>
    </row>
    <row r="10698" spans="8:8">
      <c r="H10698" s="680" t="s">
        <v>6153</v>
      </c>
    </row>
    <row r="10699" spans="8:8">
      <c r="H10699" s="680" t="s">
        <v>6153</v>
      </c>
    </row>
    <row r="10700" spans="8:8">
      <c r="H10700" s="680" t="s">
        <v>6153</v>
      </c>
    </row>
    <row r="10701" spans="8:8">
      <c r="H10701" s="680" t="s">
        <v>6153</v>
      </c>
    </row>
    <row r="10702" spans="8:8">
      <c r="H10702" s="680" t="s">
        <v>6153</v>
      </c>
    </row>
    <row r="10703" spans="8:8">
      <c r="H10703" s="680" t="s">
        <v>6153</v>
      </c>
    </row>
    <row r="10704" spans="8:8">
      <c r="H10704" s="680" t="s">
        <v>6153</v>
      </c>
    </row>
    <row r="10705" spans="8:8">
      <c r="H10705" s="680" t="s">
        <v>6153</v>
      </c>
    </row>
    <row r="10706" spans="8:8">
      <c r="H10706" s="680" t="s">
        <v>6153</v>
      </c>
    </row>
    <row r="10707" spans="8:8">
      <c r="H10707" s="680" t="s">
        <v>6153</v>
      </c>
    </row>
    <row r="10708" spans="8:8">
      <c r="H10708" s="680" t="s">
        <v>6153</v>
      </c>
    </row>
    <row r="10709" spans="8:8">
      <c r="H10709" s="680" t="s">
        <v>6153</v>
      </c>
    </row>
    <row r="10710" spans="8:8">
      <c r="H10710" s="680" t="s">
        <v>6153</v>
      </c>
    </row>
    <row r="10711" spans="8:8">
      <c r="H10711" s="680" t="s">
        <v>6153</v>
      </c>
    </row>
    <row r="10712" spans="8:8">
      <c r="H10712" s="680" t="s">
        <v>6153</v>
      </c>
    </row>
    <row r="10713" spans="8:8">
      <c r="H10713" s="680" t="s">
        <v>6153</v>
      </c>
    </row>
    <row r="10714" spans="8:8">
      <c r="H10714" s="680" t="s">
        <v>6153</v>
      </c>
    </row>
    <row r="10715" spans="8:8">
      <c r="H10715" s="680" t="s">
        <v>6153</v>
      </c>
    </row>
    <row r="10716" spans="8:8">
      <c r="H10716" s="680" t="s">
        <v>6153</v>
      </c>
    </row>
    <row r="10717" spans="8:8">
      <c r="H10717" s="680" t="s">
        <v>6153</v>
      </c>
    </row>
    <row r="10718" spans="8:8">
      <c r="H10718" s="680" t="s">
        <v>6153</v>
      </c>
    </row>
    <row r="10719" spans="8:8">
      <c r="H10719" s="680" t="s">
        <v>6153</v>
      </c>
    </row>
    <row r="10720" spans="8:8">
      <c r="H10720" s="680" t="s">
        <v>6153</v>
      </c>
    </row>
    <row r="10721" spans="8:8">
      <c r="H10721" s="680" t="s">
        <v>6153</v>
      </c>
    </row>
    <row r="10722" spans="8:8">
      <c r="H10722" s="680" t="s">
        <v>6153</v>
      </c>
    </row>
    <row r="10723" spans="8:8">
      <c r="H10723" s="680" t="s">
        <v>6153</v>
      </c>
    </row>
    <row r="10724" spans="8:8">
      <c r="H10724" s="680" t="s">
        <v>6153</v>
      </c>
    </row>
    <row r="10725" spans="8:8">
      <c r="H10725" s="680" t="s">
        <v>6153</v>
      </c>
    </row>
    <row r="10726" spans="8:8">
      <c r="H10726" s="680" t="s">
        <v>6153</v>
      </c>
    </row>
    <row r="10727" spans="8:8">
      <c r="H10727" s="680" t="s">
        <v>6153</v>
      </c>
    </row>
    <row r="10728" spans="8:8">
      <c r="H10728" s="680" t="s">
        <v>6153</v>
      </c>
    </row>
    <row r="10729" spans="8:8">
      <c r="H10729" s="680" t="s">
        <v>6153</v>
      </c>
    </row>
    <row r="10730" spans="8:8">
      <c r="H10730" s="680" t="s">
        <v>6153</v>
      </c>
    </row>
    <row r="10731" spans="8:8">
      <c r="H10731" s="680" t="s">
        <v>6153</v>
      </c>
    </row>
    <row r="10732" spans="8:8">
      <c r="H10732" s="680" t="s">
        <v>6153</v>
      </c>
    </row>
    <row r="10733" spans="8:8">
      <c r="H10733" s="680" t="s">
        <v>6153</v>
      </c>
    </row>
    <row r="10734" spans="8:8">
      <c r="H10734" s="680" t="s">
        <v>6153</v>
      </c>
    </row>
    <row r="10735" spans="8:8">
      <c r="H10735" s="680" t="s">
        <v>6153</v>
      </c>
    </row>
    <row r="10736" spans="8:8">
      <c r="H10736" s="680" t="s">
        <v>6153</v>
      </c>
    </row>
    <row r="10737" spans="8:8">
      <c r="H10737" s="680" t="s">
        <v>6153</v>
      </c>
    </row>
    <row r="10738" spans="8:8">
      <c r="H10738" s="680" t="s">
        <v>6153</v>
      </c>
    </row>
    <row r="10739" spans="8:8">
      <c r="H10739" s="680" t="s">
        <v>6153</v>
      </c>
    </row>
    <row r="10740" spans="8:8">
      <c r="H10740" s="680" t="s">
        <v>6153</v>
      </c>
    </row>
    <row r="10741" spans="8:8">
      <c r="H10741" s="680" t="s">
        <v>6153</v>
      </c>
    </row>
    <row r="10742" spans="8:8">
      <c r="H10742" s="680" t="s">
        <v>6153</v>
      </c>
    </row>
    <row r="10743" spans="8:8">
      <c r="H10743" s="680" t="s">
        <v>6153</v>
      </c>
    </row>
    <row r="10744" spans="8:8">
      <c r="H10744" s="680" t="s">
        <v>6153</v>
      </c>
    </row>
    <row r="10745" spans="8:8">
      <c r="H10745" s="680" t="s">
        <v>6153</v>
      </c>
    </row>
    <row r="10746" spans="8:8">
      <c r="H10746" s="680" t="s">
        <v>6153</v>
      </c>
    </row>
    <row r="10747" spans="8:8">
      <c r="H10747" s="680" t="s">
        <v>6153</v>
      </c>
    </row>
    <row r="10748" spans="8:8">
      <c r="H10748" s="680" t="s">
        <v>6153</v>
      </c>
    </row>
    <row r="10749" spans="8:8">
      <c r="H10749" s="680" t="s">
        <v>6153</v>
      </c>
    </row>
    <row r="10750" spans="8:8">
      <c r="H10750" s="680" t="s">
        <v>6153</v>
      </c>
    </row>
    <row r="10751" spans="8:8">
      <c r="H10751" s="680" t="s">
        <v>6153</v>
      </c>
    </row>
    <row r="10752" spans="8:8">
      <c r="H10752" s="680" t="s">
        <v>6153</v>
      </c>
    </row>
    <row r="10753" spans="8:8">
      <c r="H10753" s="680" t="s">
        <v>6153</v>
      </c>
    </row>
    <row r="10754" spans="8:8">
      <c r="H10754" s="680" t="s">
        <v>6153</v>
      </c>
    </row>
    <row r="10755" spans="8:8">
      <c r="H10755" s="680" t="s">
        <v>6153</v>
      </c>
    </row>
    <row r="10756" spans="8:8">
      <c r="H10756" s="680" t="s">
        <v>6153</v>
      </c>
    </row>
    <row r="10757" spans="8:8">
      <c r="H10757" s="680" t="s">
        <v>6153</v>
      </c>
    </row>
    <row r="10758" spans="8:8">
      <c r="H10758" s="680" t="s">
        <v>6153</v>
      </c>
    </row>
    <row r="10759" spans="8:8">
      <c r="H10759" s="680" t="s">
        <v>6153</v>
      </c>
    </row>
    <row r="10760" spans="8:8">
      <c r="H10760" s="680" t="s">
        <v>6153</v>
      </c>
    </row>
    <row r="10761" spans="8:8">
      <c r="H10761" s="680" t="s">
        <v>6153</v>
      </c>
    </row>
    <row r="10762" spans="8:8">
      <c r="H10762" s="680" t="s">
        <v>6153</v>
      </c>
    </row>
    <row r="10763" spans="8:8">
      <c r="H10763" s="680" t="s">
        <v>6153</v>
      </c>
    </row>
    <row r="10764" spans="8:8">
      <c r="H10764" s="680" t="s">
        <v>6153</v>
      </c>
    </row>
    <row r="10765" spans="8:8">
      <c r="H10765" s="680" t="s">
        <v>6153</v>
      </c>
    </row>
    <row r="10766" spans="8:8">
      <c r="H10766" s="680" t="s">
        <v>6153</v>
      </c>
    </row>
    <row r="10767" spans="8:8">
      <c r="H10767" s="680" t="s">
        <v>6153</v>
      </c>
    </row>
    <row r="10768" spans="8:8">
      <c r="H10768" s="680" t="s">
        <v>6153</v>
      </c>
    </row>
    <row r="10769" spans="8:8">
      <c r="H10769" s="680" t="s">
        <v>6153</v>
      </c>
    </row>
    <row r="10770" spans="8:8">
      <c r="H10770" s="680" t="s">
        <v>6153</v>
      </c>
    </row>
    <row r="10771" spans="8:8">
      <c r="H10771" s="680" t="s">
        <v>6153</v>
      </c>
    </row>
    <row r="10772" spans="8:8">
      <c r="H10772" s="680" t="s">
        <v>6153</v>
      </c>
    </row>
    <row r="10773" spans="8:8">
      <c r="H10773" s="680" t="s">
        <v>6153</v>
      </c>
    </row>
    <row r="10774" spans="8:8">
      <c r="H10774" s="680" t="s">
        <v>6153</v>
      </c>
    </row>
    <row r="10775" spans="8:8">
      <c r="H10775" s="680" t="s">
        <v>6153</v>
      </c>
    </row>
    <row r="10776" spans="8:8">
      <c r="H10776" s="680" t="s">
        <v>6153</v>
      </c>
    </row>
    <row r="10777" spans="8:8">
      <c r="H10777" s="680" t="s">
        <v>6153</v>
      </c>
    </row>
    <row r="10778" spans="8:8">
      <c r="H10778" s="680" t="s">
        <v>6153</v>
      </c>
    </row>
    <row r="10779" spans="8:8">
      <c r="H10779" s="680" t="s">
        <v>6153</v>
      </c>
    </row>
    <row r="10780" spans="8:8">
      <c r="H10780" s="680" t="s">
        <v>6153</v>
      </c>
    </row>
    <row r="10781" spans="8:8">
      <c r="H10781" s="680" t="s">
        <v>6153</v>
      </c>
    </row>
    <row r="10782" spans="8:8">
      <c r="H10782" s="680" t="s">
        <v>6153</v>
      </c>
    </row>
    <row r="10783" spans="8:8">
      <c r="H10783" s="680" t="s">
        <v>6153</v>
      </c>
    </row>
    <row r="10784" spans="8:8">
      <c r="H10784" s="680" t="s">
        <v>6153</v>
      </c>
    </row>
    <row r="10785" spans="8:8">
      <c r="H10785" s="680" t="s">
        <v>6153</v>
      </c>
    </row>
    <row r="10786" spans="8:8">
      <c r="H10786" s="680" t="s">
        <v>6153</v>
      </c>
    </row>
    <row r="10787" spans="8:8">
      <c r="H10787" s="680" t="s">
        <v>6153</v>
      </c>
    </row>
    <row r="10788" spans="8:8">
      <c r="H10788" s="680" t="s">
        <v>6153</v>
      </c>
    </row>
    <row r="10789" spans="8:8">
      <c r="H10789" s="680" t="s">
        <v>6153</v>
      </c>
    </row>
    <row r="10790" spans="8:8">
      <c r="H10790" s="680" t="s">
        <v>6153</v>
      </c>
    </row>
    <row r="10791" spans="8:8">
      <c r="H10791" s="680" t="s">
        <v>6153</v>
      </c>
    </row>
    <row r="10792" spans="8:8">
      <c r="H10792" s="680" t="s">
        <v>6153</v>
      </c>
    </row>
    <row r="10793" spans="8:8">
      <c r="H10793" s="680" t="s">
        <v>6153</v>
      </c>
    </row>
    <row r="10794" spans="8:8">
      <c r="H10794" s="680" t="s">
        <v>6153</v>
      </c>
    </row>
    <row r="10795" spans="8:8">
      <c r="H10795" s="680" t="s">
        <v>6153</v>
      </c>
    </row>
    <row r="10796" spans="8:8">
      <c r="H10796" s="680" t="s">
        <v>6153</v>
      </c>
    </row>
    <row r="10797" spans="8:8">
      <c r="H10797" s="680" t="s">
        <v>6153</v>
      </c>
    </row>
    <row r="10798" spans="8:8">
      <c r="H10798" s="680" t="s">
        <v>6153</v>
      </c>
    </row>
    <row r="10799" spans="8:8">
      <c r="H10799" s="680" t="s">
        <v>6153</v>
      </c>
    </row>
    <row r="10800" spans="8:8">
      <c r="H10800" s="680" t="s">
        <v>6153</v>
      </c>
    </row>
    <row r="10801" spans="8:8">
      <c r="H10801" s="680" t="s">
        <v>6153</v>
      </c>
    </row>
    <row r="10802" spans="8:8">
      <c r="H10802" s="680" t="s">
        <v>6153</v>
      </c>
    </row>
    <row r="10803" spans="8:8">
      <c r="H10803" s="680" t="s">
        <v>6153</v>
      </c>
    </row>
    <row r="10804" spans="8:8">
      <c r="H10804" s="680" t="s">
        <v>6153</v>
      </c>
    </row>
    <row r="10805" spans="8:8">
      <c r="H10805" s="680" t="s">
        <v>6153</v>
      </c>
    </row>
    <row r="10806" spans="8:8">
      <c r="H10806" s="680" t="s">
        <v>6153</v>
      </c>
    </row>
    <row r="10807" spans="8:8">
      <c r="H10807" s="680" t="s">
        <v>6153</v>
      </c>
    </row>
    <row r="10808" spans="8:8">
      <c r="H10808" s="680" t="s">
        <v>6153</v>
      </c>
    </row>
    <row r="10809" spans="8:8">
      <c r="H10809" s="680" t="s">
        <v>6153</v>
      </c>
    </row>
    <row r="10810" spans="8:8">
      <c r="H10810" s="680" t="s">
        <v>6153</v>
      </c>
    </row>
    <row r="10811" spans="8:8">
      <c r="H10811" s="680" t="s">
        <v>6153</v>
      </c>
    </row>
    <row r="10812" spans="8:8">
      <c r="H10812" s="680" t="s">
        <v>6153</v>
      </c>
    </row>
    <row r="10813" spans="8:8">
      <c r="H10813" s="680" t="s">
        <v>6153</v>
      </c>
    </row>
    <row r="10814" spans="8:8">
      <c r="H10814" s="680" t="s">
        <v>6153</v>
      </c>
    </row>
    <row r="10815" spans="8:8">
      <c r="H10815" s="680" t="s">
        <v>6153</v>
      </c>
    </row>
    <row r="10816" spans="8:8">
      <c r="H10816" s="680" t="s">
        <v>6153</v>
      </c>
    </row>
    <row r="10817" spans="8:8">
      <c r="H10817" s="680" t="s">
        <v>6153</v>
      </c>
    </row>
    <row r="10818" spans="8:8">
      <c r="H10818" s="680" t="s">
        <v>6153</v>
      </c>
    </row>
    <row r="10819" spans="8:8">
      <c r="H10819" s="680" t="s">
        <v>6153</v>
      </c>
    </row>
    <row r="10820" spans="8:8">
      <c r="H10820" s="680" t="s">
        <v>6153</v>
      </c>
    </row>
    <row r="10821" spans="8:8">
      <c r="H10821" s="680" t="s">
        <v>6153</v>
      </c>
    </row>
    <row r="10822" spans="8:8">
      <c r="H10822" s="680" t="s">
        <v>6153</v>
      </c>
    </row>
    <row r="10823" spans="8:8">
      <c r="H10823" s="680" t="s">
        <v>6153</v>
      </c>
    </row>
    <row r="10824" spans="8:8">
      <c r="H10824" s="680" t="s">
        <v>6153</v>
      </c>
    </row>
    <row r="10825" spans="8:8">
      <c r="H10825" s="680" t="s">
        <v>6153</v>
      </c>
    </row>
    <row r="10826" spans="8:8">
      <c r="H10826" s="680" t="s">
        <v>6153</v>
      </c>
    </row>
    <row r="10827" spans="8:8">
      <c r="H10827" s="680" t="s">
        <v>6153</v>
      </c>
    </row>
    <row r="10828" spans="8:8">
      <c r="H10828" s="680" t="s">
        <v>6153</v>
      </c>
    </row>
    <row r="10829" spans="8:8">
      <c r="H10829" s="680" t="s">
        <v>6153</v>
      </c>
    </row>
    <row r="10830" spans="8:8">
      <c r="H10830" s="680" t="s">
        <v>6153</v>
      </c>
    </row>
    <row r="10831" spans="8:8">
      <c r="H10831" s="680" t="s">
        <v>6153</v>
      </c>
    </row>
    <row r="10832" spans="8:8">
      <c r="H10832" s="680" t="s">
        <v>6153</v>
      </c>
    </row>
    <row r="10833" spans="8:8">
      <c r="H10833" s="680" t="s">
        <v>6153</v>
      </c>
    </row>
    <row r="10834" spans="8:8">
      <c r="H10834" s="680" t="s">
        <v>6153</v>
      </c>
    </row>
    <row r="10835" spans="8:8">
      <c r="H10835" s="680" t="s">
        <v>6153</v>
      </c>
    </row>
    <row r="10836" spans="8:8">
      <c r="H10836" s="680" t="s">
        <v>6153</v>
      </c>
    </row>
    <row r="10837" spans="8:8">
      <c r="H10837" s="680" t="s">
        <v>6153</v>
      </c>
    </row>
    <row r="10838" spans="8:8">
      <c r="H10838" s="680" t="s">
        <v>6153</v>
      </c>
    </row>
    <row r="10839" spans="8:8">
      <c r="H10839" s="680" t="s">
        <v>6153</v>
      </c>
    </row>
    <row r="10840" spans="8:8">
      <c r="H10840" s="680" t="s">
        <v>6153</v>
      </c>
    </row>
    <row r="10841" spans="8:8">
      <c r="H10841" s="680" t="s">
        <v>6153</v>
      </c>
    </row>
    <row r="10842" spans="8:8">
      <c r="H10842" s="680" t="s">
        <v>6153</v>
      </c>
    </row>
    <row r="10843" spans="8:8">
      <c r="H10843" s="680" t="s">
        <v>6153</v>
      </c>
    </row>
    <row r="10844" spans="8:8">
      <c r="H10844" s="680" t="s">
        <v>6153</v>
      </c>
    </row>
    <row r="10845" spans="8:8">
      <c r="H10845" s="680" t="s">
        <v>6153</v>
      </c>
    </row>
    <row r="10846" spans="8:8">
      <c r="H10846" s="680" t="s">
        <v>6153</v>
      </c>
    </row>
    <row r="10847" spans="8:8">
      <c r="H10847" s="680" t="s">
        <v>6153</v>
      </c>
    </row>
    <row r="10848" spans="8:8">
      <c r="H10848" s="680" t="s">
        <v>6153</v>
      </c>
    </row>
    <row r="10849" spans="8:8">
      <c r="H10849" s="680" t="s">
        <v>6153</v>
      </c>
    </row>
    <row r="10850" spans="8:8">
      <c r="H10850" s="680" t="s">
        <v>6153</v>
      </c>
    </row>
    <row r="10851" spans="8:8">
      <c r="H10851" s="680" t="s">
        <v>6153</v>
      </c>
    </row>
    <row r="10852" spans="8:8">
      <c r="H10852" s="680" t="s">
        <v>6153</v>
      </c>
    </row>
    <row r="10853" spans="8:8">
      <c r="H10853" s="680" t="s">
        <v>6153</v>
      </c>
    </row>
    <row r="10854" spans="8:8">
      <c r="H10854" s="680" t="s">
        <v>6153</v>
      </c>
    </row>
    <row r="10855" spans="8:8">
      <c r="H10855" s="680" t="s">
        <v>6153</v>
      </c>
    </row>
    <row r="10856" spans="8:8">
      <c r="H10856" s="680" t="s">
        <v>6153</v>
      </c>
    </row>
    <row r="10857" spans="8:8">
      <c r="H10857" s="680" t="s">
        <v>6153</v>
      </c>
    </row>
    <row r="10858" spans="8:8">
      <c r="H10858" s="680" t="s">
        <v>6153</v>
      </c>
    </row>
    <row r="10859" spans="8:8">
      <c r="H10859" s="680" t="s">
        <v>6153</v>
      </c>
    </row>
    <row r="10860" spans="8:8">
      <c r="H10860" s="680" t="s">
        <v>6153</v>
      </c>
    </row>
    <row r="10861" spans="8:8">
      <c r="H10861" s="680" t="s">
        <v>6153</v>
      </c>
    </row>
    <row r="10862" spans="8:8">
      <c r="H10862" s="680" t="s">
        <v>6153</v>
      </c>
    </row>
    <row r="10863" spans="8:8">
      <c r="H10863" s="680" t="s">
        <v>6153</v>
      </c>
    </row>
    <row r="10864" spans="8:8">
      <c r="H10864" s="680" t="s">
        <v>6153</v>
      </c>
    </row>
    <row r="10865" spans="8:8">
      <c r="H10865" s="680" t="s">
        <v>6153</v>
      </c>
    </row>
    <row r="10866" spans="8:8">
      <c r="H10866" s="680" t="s">
        <v>6153</v>
      </c>
    </row>
    <row r="10867" spans="8:8">
      <c r="H10867" s="680" t="s">
        <v>6153</v>
      </c>
    </row>
    <row r="10868" spans="8:8">
      <c r="H10868" s="680" t="s">
        <v>6153</v>
      </c>
    </row>
    <row r="10869" spans="8:8">
      <c r="H10869" s="680" t="s">
        <v>6153</v>
      </c>
    </row>
    <row r="10870" spans="8:8">
      <c r="H10870" s="680" t="s">
        <v>6153</v>
      </c>
    </row>
    <row r="10871" spans="8:8">
      <c r="H10871" s="680" t="s">
        <v>6153</v>
      </c>
    </row>
    <row r="10872" spans="8:8">
      <c r="H10872" s="680" t="s">
        <v>6153</v>
      </c>
    </row>
    <row r="10873" spans="8:8">
      <c r="H10873" s="680" t="s">
        <v>6153</v>
      </c>
    </row>
    <row r="10874" spans="8:8">
      <c r="H10874" s="680" t="s">
        <v>6153</v>
      </c>
    </row>
    <row r="10875" spans="8:8">
      <c r="H10875" s="680" t="s">
        <v>6153</v>
      </c>
    </row>
    <row r="10876" spans="8:8">
      <c r="H10876" s="680" t="s">
        <v>6153</v>
      </c>
    </row>
    <row r="10877" spans="8:8">
      <c r="H10877" s="680" t="s">
        <v>6153</v>
      </c>
    </row>
    <row r="10878" spans="8:8">
      <c r="H10878" s="680" t="s">
        <v>6153</v>
      </c>
    </row>
    <row r="10879" spans="8:8">
      <c r="H10879" s="680" t="s">
        <v>6153</v>
      </c>
    </row>
    <row r="10880" spans="8:8">
      <c r="H10880" s="680" t="s">
        <v>6153</v>
      </c>
    </row>
    <row r="10881" spans="8:8">
      <c r="H10881" s="680" t="s">
        <v>6153</v>
      </c>
    </row>
    <row r="10882" spans="8:8">
      <c r="H10882" s="680" t="s">
        <v>6153</v>
      </c>
    </row>
    <row r="10883" spans="8:8">
      <c r="H10883" s="680" t="s">
        <v>6153</v>
      </c>
    </row>
    <row r="10884" spans="8:8">
      <c r="H10884" s="680" t="s">
        <v>6153</v>
      </c>
    </row>
    <row r="10885" spans="8:8">
      <c r="H10885" s="680" t="s">
        <v>6153</v>
      </c>
    </row>
    <row r="10886" spans="8:8">
      <c r="H10886" s="680" t="s">
        <v>6153</v>
      </c>
    </row>
    <row r="10887" spans="8:8">
      <c r="H10887" s="680" t="s">
        <v>6153</v>
      </c>
    </row>
    <row r="10888" spans="8:8">
      <c r="H10888" s="680" t="s">
        <v>6153</v>
      </c>
    </row>
    <row r="10889" spans="8:8">
      <c r="H10889" s="680" t="s">
        <v>6153</v>
      </c>
    </row>
    <row r="10890" spans="8:8">
      <c r="H10890" s="680" t="s">
        <v>6153</v>
      </c>
    </row>
    <row r="10891" spans="8:8">
      <c r="H10891" s="680" t="s">
        <v>6153</v>
      </c>
    </row>
    <row r="10892" spans="8:8">
      <c r="H10892" s="680" t="s">
        <v>6153</v>
      </c>
    </row>
    <row r="10893" spans="8:8">
      <c r="H10893" s="680" t="s">
        <v>6153</v>
      </c>
    </row>
    <row r="10894" spans="8:8">
      <c r="H10894" s="680" t="s">
        <v>6153</v>
      </c>
    </row>
    <row r="10895" spans="8:8">
      <c r="H10895" s="680" t="s">
        <v>6153</v>
      </c>
    </row>
    <row r="10896" spans="8:8">
      <c r="H10896" s="680" t="s">
        <v>6153</v>
      </c>
    </row>
    <row r="10897" spans="8:8">
      <c r="H10897" s="680" t="s">
        <v>6153</v>
      </c>
    </row>
    <row r="10898" spans="8:8">
      <c r="H10898" s="680" t="s">
        <v>6153</v>
      </c>
    </row>
    <row r="10899" spans="8:8">
      <c r="H10899" s="680" t="s">
        <v>6153</v>
      </c>
    </row>
    <row r="10900" spans="8:8">
      <c r="H10900" s="680" t="s">
        <v>6153</v>
      </c>
    </row>
    <row r="10901" spans="8:8">
      <c r="H10901" s="680" t="s">
        <v>6153</v>
      </c>
    </row>
    <row r="10902" spans="8:8">
      <c r="H10902" s="680" t="s">
        <v>6153</v>
      </c>
    </row>
    <row r="10903" spans="8:8">
      <c r="H10903" s="680" t="s">
        <v>6153</v>
      </c>
    </row>
    <row r="10904" spans="8:8">
      <c r="H10904" s="680" t="s">
        <v>6153</v>
      </c>
    </row>
    <row r="10905" spans="8:8">
      <c r="H10905" s="680" t="s">
        <v>6153</v>
      </c>
    </row>
    <row r="10906" spans="8:8">
      <c r="H10906" s="680" t="s">
        <v>6153</v>
      </c>
    </row>
    <row r="10907" spans="8:8">
      <c r="H10907" s="680" t="s">
        <v>6153</v>
      </c>
    </row>
    <row r="10908" spans="8:8">
      <c r="H10908" s="680" t="s">
        <v>6153</v>
      </c>
    </row>
    <row r="10909" spans="8:8">
      <c r="H10909" s="680" t="s">
        <v>6153</v>
      </c>
    </row>
    <row r="10910" spans="8:8">
      <c r="H10910" s="680" t="s">
        <v>6153</v>
      </c>
    </row>
    <row r="10911" spans="8:8">
      <c r="H10911" s="680" t="s">
        <v>6153</v>
      </c>
    </row>
    <row r="10912" spans="8:8">
      <c r="H10912" s="680" t="s">
        <v>6153</v>
      </c>
    </row>
    <row r="10913" spans="8:8">
      <c r="H10913" s="680" t="s">
        <v>6153</v>
      </c>
    </row>
    <row r="10914" spans="8:8">
      <c r="H10914" s="680" t="s">
        <v>6153</v>
      </c>
    </row>
    <row r="10915" spans="8:8">
      <c r="H10915" s="680" t="s">
        <v>6153</v>
      </c>
    </row>
    <row r="10916" spans="8:8">
      <c r="H10916" s="680" t="s">
        <v>6153</v>
      </c>
    </row>
    <row r="10917" spans="8:8">
      <c r="H10917" s="680" t="s">
        <v>6153</v>
      </c>
    </row>
    <row r="10918" spans="8:8">
      <c r="H10918" s="680" t="s">
        <v>6153</v>
      </c>
    </row>
    <row r="10919" spans="8:8">
      <c r="H10919" s="680" t="s">
        <v>6153</v>
      </c>
    </row>
    <row r="10920" spans="8:8">
      <c r="H10920" s="680" t="s">
        <v>6153</v>
      </c>
    </row>
    <row r="10921" spans="8:8">
      <c r="H10921" s="680" t="s">
        <v>6153</v>
      </c>
    </row>
    <row r="10922" spans="8:8">
      <c r="H10922" s="680" t="s">
        <v>6153</v>
      </c>
    </row>
    <row r="10923" spans="8:8">
      <c r="H10923" s="680" t="s">
        <v>6153</v>
      </c>
    </row>
    <row r="10924" spans="8:8">
      <c r="H10924" s="680" t="s">
        <v>6153</v>
      </c>
    </row>
    <row r="10925" spans="8:8">
      <c r="H10925" s="680" t="s">
        <v>6153</v>
      </c>
    </row>
    <row r="10926" spans="8:8">
      <c r="H10926" s="680" t="s">
        <v>6153</v>
      </c>
    </row>
    <row r="10927" spans="8:8">
      <c r="H10927" s="680" t="s">
        <v>6153</v>
      </c>
    </row>
    <row r="10928" spans="8:8">
      <c r="H10928" s="680" t="s">
        <v>6153</v>
      </c>
    </row>
    <row r="10929" spans="8:8">
      <c r="H10929" s="680" t="s">
        <v>6153</v>
      </c>
    </row>
    <row r="10930" spans="8:8">
      <c r="H10930" s="680" t="s">
        <v>6153</v>
      </c>
    </row>
    <row r="10931" spans="8:8">
      <c r="H10931" s="680" t="s">
        <v>6153</v>
      </c>
    </row>
    <row r="10932" spans="8:8">
      <c r="H10932" s="680" t="s">
        <v>6153</v>
      </c>
    </row>
    <row r="10933" spans="8:8">
      <c r="H10933" s="680" t="s">
        <v>6153</v>
      </c>
    </row>
    <row r="10934" spans="8:8">
      <c r="H10934" s="680" t="s">
        <v>6153</v>
      </c>
    </row>
    <row r="10935" spans="8:8">
      <c r="H10935" s="680" t="s">
        <v>6153</v>
      </c>
    </row>
    <row r="10936" spans="8:8">
      <c r="H10936" s="680" t="s">
        <v>6153</v>
      </c>
    </row>
    <row r="10937" spans="8:8">
      <c r="H10937" s="680" t="s">
        <v>6153</v>
      </c>
    </row>
    <row r="10938" spans="8:8">
      <c r="H10938" s="680" t="s">
        <v>6153</v>
      </c>
    </row>
    <row r="10939" spans="8:8">
      <c r="H10939" s="680" t="s">
        <v>6153</v>
      </c>
    </row>
    <row r="10940" spans="8:8">
      <c r="H10940" s="680" t="s">
        <v>6153</v>
      </c>
    </row>
    <row r="10941" spans="8:8">
      <c r="H10941" s="680" t="s">
        <v>6153</v>
      </c>
    </row>
    <row r="10942" spans="8:8">
      <c r="H10942" s="680" t="s">
        <v>6153</v>
      </c>
    </row>
    <row r="10943" spans="8:8">
      <c r="H10943" s="680" t="s">
        <v>6153</v>
      </c>
    </row>
    <row r="10944" spans="8:8">
      <c r="H10944" s="680" t="s">
        <v>6153</v>
      </c>
    </row>
    <row r="10945" spans="8:8">
      <c r="H10945" s="680" t="s">
        <v>6153</v>
      </c>
    </row>
    <row r="10946" spans="8:8">
      <c r="H10946" s="680" t="s">
        <v>6153</v>
      </c>
    </row>
    <row r="10947" spans="8:8">
      <c r="H10947" s="680" t="s">
        <v>6153</v>
      </c>
    </row>
    <row r="10948" spans="8:8">
      <c r="H10948" s="680" t="s">
        <v>6153</v>
      </c>
    </row>
    <row r="10949" spans="8:8">
      <c r="H10949" s="680" t="s">
        <v>6153</v>
      </c>
    </row>
    <row r="10950" spans="8:8">
      <c r="H10950" s="680" t="s">
        <v>6153</v>
      </c>
    </row>
    <row r="10951" spans="8:8">
      <c r="H10951" s="680" t="s">
        <v>6153</v>
      </c>
    </row>
    <row r="10952" spans="8:8">
      <c r="H10952" s="680" t="s">
        <v>6153</v>
      </c>
    </row>
    <row r="10953" spans="8:8">
      <c r="H10953" s="680" t="s">
        <v>6153</v>
      </c>
    </row>
    <row r="10954" spans="8:8">
      <c r="H10954" s="680" t="s">
        <v>6153</v>
      </c>
    </row>
    <row r="10955" spans="8:8">
      <c r="H10955" s="680" t="s">
        <v>6153</v>
      </c>
    </row>
    <row r="10956" spans="8:8">
      <c r="H10956" s="680" t="s">
        <v>6153</v>
      </c>
    </row>
    <row r="10957" spans="8:8">
      <c r="H10957" s="680" t="s">
        <v>6153</v>
      </c>
    </row>
    <row r="10958" spans="8:8">
      <c r="H10958" s="680" t="s">
        <v>6153</v>
      </c>
    </row>
    <row r="10959" spans="8:8">
      <c r="H10959" s="680" t="s">
        <v>6153</v>
      </c>
    </row>
    <row r="10960" spans="8:8">
      <c r="H10960" s="680" t="s">
        <v>6153</v>
      </c>
    </row>
    <row r="10961" spans="8:8">
      <c r="H10961" s="680" t="s">
        <v>6153</v>
      </c>
    </row>
    <row r="10962" spans="8:8">
      <c r="H10962" s="680" t="s">
        <v>6153</v>
      </c>
    </row>
    <row r="10963" spans="8:8">
      <c r="H10963" s="680" t="s">
        <v>6153</v>
      </c>
    </row>
    <row r="10964" spans="8:8">
      <c r="H10964" s="680" t="s">
        <v>6153</v>
      </c>
    </row>
    <row r="10965" spans="8:8">
      <c r="H10965" s="680" t="s">
        <v>6153</v>
      </c>
    </row>
    <row r="10966" spans="8:8">
      <c r="H10966" s="680" t="s">
        <v>6153</v>
      </c>
    </row>
    <row r="10967" spans="8:8">
      <c r="H10967" s="680" t="s">
        <v>6153</v>
      </c>
    </row>
    <row r="10968" spans="8:8">
      <c r="H10968" s="680" t="s">
        <v>6153</v>
      </c>
    </row>
    <row r="10969" spans="8:8">
      <c r="H10969" s="680" t="s">
        <v>6153</v>
      </c>
    </row>
    <row r="10970" spans="8:8">
      <c r="H10970" s="680" t="s">
        <v>6153</v>
      </c>
    </row>
    <row r="10971" spans="8:8">
      <c r="H10971" s="680" t="s">
        <v>6153</v>
      </c>
    </row>
    <row r="10972" spans="8:8">
      <c r="H10972" s="680" t="s">
        <v>6153</v>
      </c>
    </row>
    <row r="10973" spans="8:8">
      <c r="H10973" s="680" t="s">
        <v>6153</v>
      </c>
    </row>
    <row r="10974" spans="8:8">
      <c r="H10974" s="680" t="s">
        <v>6153</v>
      </c>
    </row>
    <row r="10975" spans="8:8">
      <c r="H10975" s="680" t="s">
        <v>6153</v>
      </c>
    </row>
    <row r="10976" spans="8:8">
      <c r="H10976" s="680" t="s">
        <v>6153</v>
      </c>
    </row>
    <row r="10977" spans="8:8">
      <c r="H10977" s="680" t="s">
        <v>6153</v>
      </c>
    </row>
    <row r="10978" spans="8:8">
      <c r="H10978" s="680" t="s">
        <v>6153</v>
      </c>
    </row>
    <row r="10979" spans="8:8">
      <c r="H10979" s="680" t="s">
        <v>6153</v>
      </c>
    </row>
    <row r="10980" spans="8:8">
      <c r="H10980" s="680" t="s">
        <v>6153</v>
      </c>
    </row>
    <row r="10981" spans="8:8">
      <c r="H10981" s="680" t="s">
        <v>6153</v>
      </c>
    </row>
    <row r="10982" spans="8:8">
      <c r="H10982" s="680" t="s">
        <v>6153</v>
      </c>
    </row>
    <row r="10983" spans="8:8">
      <c r="H10983" s="680" t="s">
        <v>6153</v>
      </c>
    </row>
    <row r="10984" spans="8:8">
      <c r="H10984" s="680" t="s">
        <v>6153</v>
      </c>
    </row>
    <row r="10985" spans="8:8">
      <c r="H10985" s="680" t="s">
        <v>6153</v>
      </c>
    </row>
    <row r="10986" spans="8:8">
      <c r="H10986" s="680" t="s">
        <v>6153</v>
      </c>
    </row>
    <row r="10987" spans="8:8">
      <c r="H10987" s="680" t="s">
        <v>6153</v>
      </c>
    </row>
    <row r="10988" spans="8:8">
      <c r="H10988" s="680" t="s">
        <v>6153</v>
      </c>
    </row>
    <row r="10989" spans="8:8">
      <c r="H10989" s="680" t="s">
        <v>6153</v>
      </c>
    </row>
    <row r="10990" spans="8:8">
      <c r="H10990" s="680" t="s">
        <v>6153</v>
      </c>
    </row>
    <row r="10991" spans="8:8">
      <c r="H10991" s="680" t="s">
        <v>6153</v>
      </c>
    </row>
    <row r="10992" spans="8:8">
      <c r="H10992" s="680" t="s">
        <v>6153</v>
      </c>
    </row>
    <row r="10993" spans="8:8">
      <c r="H10993" s="680" t="s">
        <v>6153</v>
      </c>
    </row>
    <row r="10994" spans="8:8">
      <c r="H10994" s="680" t="s">
        <v>6153</v>
      </c>
    </row>
    <row r="10995" spans="8:8">
      <c r="H10995" s="680" t="s">
        <v>6153</v>
      </c>
    </row>
    <row r="10996" spans="8:8">
      <c r="H10996" s="680" t="s">
        <v>6153</v>
      </c>
    </row>
    <row r="10997" spans="8:8">
      <c r="H10997" s="680" t="s">
        <v>6153</v>
      </c>
    </row>
    <row r="10998" spans="8:8">
      <c r="H10998" s="680" t="s">
        <v>6153</v>
      </c>
    </row>
    <row r="10999" spans="8:8">
      <c r="H10999" s="680" t="s">
        <v>6153</v>
      </c>
    </row>
    <row r="11000" spans="8:8">
      <c r="H11000" s="680" t="s">
        <v>6153</v>
      </c>
    </row>
    <row r="11001" spans="8:8">
      <c r="H11001" s="680" t="s">
        <v>6153</v>
      </c>
    </row>
    <row r="11002" spans="8:8">
      <c r="H11002" s="680" t="s">
        <v>6153</v>
      </c>
    </row>
    <row r="11003" spans="8:8">
      <c r="H11003" s="680" t="s">
        <v>6153</v>
      </c>
    </row>
    <row r="11004" spans="8:8">
      <c r="H11004" s="680" t="s">
        <v>6153</v>
      </c>
    </row>
    <row r="11005" spans="8:8">
      <c r="H11005" s="680" t="s">
        <v>6153</v>
      </c>
    </row>
    <row r="11006" spans="8:8">
      <c r="H11006" s="680" t="s">
        <v>6153</v>
      </c>
    </row>
    <row r="11007" spans="8:8">
      <c r="H11007" s="680" t="s">
        <v>6153</v>
      </c>
    </row>
    <row r="11008" spans="8:8">
      <c r="H11008" s="680" t="s">
        <v>6153</v>
      </c>
    </row>
    <row r="11009" spans="8:8">
      <c r="H11009" s="680" t="s">
        <v>6153</v>
      </c>
    </row>
    <row r="11010" spans="8:8">
      <c r="H11010" s="680" t="s">
        <v>6153</v>
      </c>
    </row>
    <row r="11011" spans="8:8">
      <c r="H11011" s="680" t="s">
        <v>6153</v>
      </c>
    </row>
    <row r="11012" spans="8:8">
      <c r="H11012" s="680" t="s">
        <v>6153</v>
      </c>
    </row>
    <row r="11013" spans="8:8">
      <c r="H11013" s="680" t="s">
        <v>6153</v>
      </c>
    </row>
    <row r="11014" spans="8:8">
      <c r="H11014" s="680" t="s">
        <v>6153</v>
      </c>
    </row>
    <row r="11015" spans="8:8">
      <c r="H11015" s="680" t="s">
        <v>6153</v>
      </c>
    </row>
    <row r="11016" spans="8:8">
      <c r="H11016" s="680" t="s">
        <v>6153</v>
      </c>
    </row>
    <row r="11017" spans="8:8">
      <c r="H11017" s="680" t="s">
        <v>6153</v>
      </c>
    </row>
    <row r="11018" spans="8:8">
      <c r="H11018" s="680" t="s">
        <v>6153</v>
      </c>
    </row>
    <row r="11019" spans="8:8">
      <c r="H11019" s="680" t="s">
        <v>6153</v>
      </c>
    </row>
    <row r="11020" spans="8:8">
      <c r="H11020" s="680" t="s">
        <v>6153</v>
      </c>
    </row>
    <row r="11021" spans="8:8">
      <c r="H11021" s="680" t="s">
        <v>6153</v>
      </c>
    </row>
    <row r="11022" spans="8:8">
      <c r="H11022" s="680" t="s">
        <v>6153</v>
      </c>
    </row>
    <row r="11023" spans="8:8">
      <c r="H11023" s="680" t="s">
        <v>6153</v>
      </c>
    </row>
    <row r="11024" spans="8:8">
      <c r="H11024" s="680" t="s">
        <v>6153</v>
      </c>
    </row>
    <row r="11025" spans="8:8">
      <c r="H11025" s="680" t="s">
        <v>6153</v>
      </c>
    </row>
    <row r="11026" spans="8:8">
      <c r="H11026" s="680" t="s">
        <v>6153</v>
      </c>
    </row>
    <row r="11027" spans="8:8">
      <c r="H11027" s="680" t="s">
        <v>6153</v>
      </c>
    </row>
    <row r="11028" spans="8:8">
      <c r="H11028" s="680" t="s">
        <v>6153</v>
      </c>
    </row>
    <row r="11029" spans="8:8">
      <c r="H11029" s="680" t="s">
        <v>6153</v>
      </c>
    </row>
    <row r="11030" spans="8:8">
      <c r="H11030" s="680" t="s">
        <v>6153</v>
      </c>
    </row>
    <row r="11031" spans="8:8">
      <c r="H11031" s="680" t="s">
        <v>6153</v>
      </c>
    </row>
    <row r="11032" spans="8:8">
      <c r="H11032" s="680" t="s">
        <v>6153</v>
      </c>
    </row>
    <row r="11033" spans="8:8">
      <c r="H11033" s="680" t="s">
        <v>6153</v>
      </c>
    </row>
    <row r="11034" spans="8:8">
      <c r="H11034" s="680" t="s">
        <v>6153</v>
      </c>
    </row>
    <row r="11035" spans="8:8">
      <c r="H11035" s="680" t="s">
        <v>6153</v>
      </c>
    </row>
    <row r="11036" spans="8:8">
      <c r="H11036" s="680" t="s">
        <v>6153</v>
      </c>
    </row>
    <row r="11037" spans="8:8">
      <c r="H11037" s="680" t="s">
        <v>6153</v>
      </c>
    </row>
    <row r="11038" spans="8:8">
      <c r="H11038" s="680" t="s">
        <v>6153</v>
      </c>
    </row>
    <row r="11039" spans="8:8">
      <c r="H11039" s="680" t="s">
        <v>6153</v>
      </c>
    </row>
    <row r="11040" spans="8:8">
      <c r="H11040" s="680" t="s">
        <v>6153</v>
      </c>
    </row>
    <row r="11041" spans="8:8">
      <c r="H11041" s="680" t="s">
        <v>6153</v>
      </c>
    </row>
    <row r="11042" spans="8:8">
      <c r="H11042" s="680" t="s">
        <v>6153</v>
      </c>
    </row>
    <row r="11043" spans="8:8">
      <c r="H11043" s="680" t="s">
        <v>6153</v>
      </c>
    </row>
    <row r="11044" spans="8:8">
      <c r="H11044" s="680" t="s">
        <v>6153</v>
      </c>
    </row>
    <row r="11045" spans="8:8">
      <c r="H11045" s="680" t="s">
        <v>6153</v>
      </c>
    </row>
    <row r="11046" spans="8:8">
      <c r="H11046" s="680" t="s">
        <v>6153</v>
      </c>
    </row>
    <row r="11047" spans="8:8">
      <c r="H11047" s="680" t="s">
        <v>6153</v>
      </c>
    </row>
    <row r="11048" spans="8:8">
      <c r="H11048" s="680" t="s">
        <v>6153</v>
      </c>
    </row>
    <row r="11049" spans="8:8">
      <c r="H11049" s="680" t="s">
        <v>6153</v>
      </c>
    </row>
    <row r="11050" spans="8:8">
      <c r="H11050" s="680" t="s">
        <v>6153</v>
      </c>
    </row>
    <row r="11051" spans="8:8">
      <c r="H11051" s="680" t="s">
        <v>6153</v>
      </c>
    </row>
    <row r="11052" spans="8:8">
      <c r="H11052" s="680" t="s">
        <v>6153</v>
      </c>
    </row>
    <row r="11053" spans="8:8">
      <c r="H11053" s="680" t="s">
        <v>6153</v>
      </c>
    </row>
    <row r="11054" spans="8:8">
      <c r="H11054" s="680" t="s">
        <v>6153</v>
      </c>
    </row>
    <row r="11055" spans="8:8">
      <c r="H11055" s="680" t="s">
        <v>6153</v>
      </c>
    </row>
    <row r="11056" spans="8:8">
      <c r="H11056" s="680" t="s">
        <v>6153</v>
      </c>
    </row>
    <row r="11057" spans="8:8">
      <c r="H11057" s="680" t="s">
        <v>6153</v>
      </c>
    </row>
    <row r="11058" spans="8:8">
      <c r="H11058" s="680" t="s">
        <v>6153</v>
      </c>
    </row>
    <row r="11059" spans="8:8">
      <c r="H11059" s="680" t="s">
        <v>6153</v>
      </c>
    </row>
    <row r="11060" spans="8:8">
      <c r="H11060" s="680" t="s">
        <v>6153</v>
      </c>
    </row>
    <row r="11061" spans="8:8">
      <c r="H11061" s="680" t="s">
        <v>6153</v>
      </c>
    </row>
    <row r="11062" spans="8:8">
      <c r="H11062" s="680" t="s">
        <v>6153</v>
      </c>
    </row>
    <row r="11063" spans="8:8">
      <c r="H11063" s="680" t="s">
        <v>6153</v>
      </c>
    </row>
    <row r="11064" spans="8:8">
      <c r="H11064" s="680" t="s">
        <v>6153</v>
      </c>
    </row>
    <row r="11065" spans="8:8">
      <c r="H11065" s="680" t="s">
        <v>6153</v>
      </c>
    </row>
    <row r="11066" spans="8:8">
      <c r="H11066" s="680" t="s">
        <v>6153</v>
      </c>
    </row>
    <row r="11067" spans="8:8">
      <c r="H11067" s="680" t="s">
        <v>6153</v>
      </c>
    </row>
    <row r="11068" spans="8:8">
      <c r="H11068" s="680" t="s">
        <v>6153</v>
      </c>
    </row>
    <row r="11069" spans="8:8">
      <c r="H11069" s="680" t="s">
        <v>6153</v>
      </c>
    </row>
    <row r="11070" spans="8:8">
      <c r="H11070" s="680" t="s">
        <v>6153</v>
      </c>
    </row>
    <row r="11071" spans="8:8">
      <c r="H11071" s="680" t="s">
        <v>6153</v>
      </c>
    </row>
    <row r="11072" spans="8:8">
      <c r="H11072" s="680" t="s">
        <v>6153</v>
      </c>
    </row>
    <row r="11073" spans="8:8">
      <c r="H11073" s="680" t="s">
        <v>6153</v>
      </c>
    </row>
    <row r="11074" spans="8:8">
      <c r="H11074" s="680" t="s">
        <v>6153</v>
      </c>
    </row>
    <row r="11075" spans="8:8">
      <c r="H11075" s="680" t="s">
        <v>6153</v>
      </c>
    </row>
    <row r="11076" spans="8:8">
      <c r="H11076" s="680" t="s">
        <v>6153</v>
      </c>
    </row>
    <row r="11077" spans="8:8">
      <c r="H11077" s="680" t="s">
        <v>6153</v>
      </c>
    </row>
    <row r="11078" spans="8:8">
      <c r="H11078" s="680" t="s">
        <v>6153</v>
      </c>
    </row>
    <row r="11079" spans="8:8">
      <c r="H11079" s="680" t="s">
        <v>6153</v>
      </c>
    </row>
    <row r="11080" spans="8:8">
      <c r="H11080" s="680" t="s">
        <v>6153</v>
      </c>
    </row>
    <row r="11081" spans="8:8">
      <c r="H11081" s="680" t="s">
        <v>6153</v>
      </c>
    </row>
    <row r="11082" spans="8:8">
      <c r="H11082" s="680" t="s">
        <v>6153</v>
      </c>
    </row>
    <row r="11083" spans="8:8">
      <c r="H11083" s="680" t="s">
        <v>6153</v>
      </c>
    </row>
    <row r="11084" spans="8:8">
      <c r="H11084" s="680" t="s">
        <v>6153</v>
      </c>
    </row>
    <row r="11085" spans="8:8">
      <c r="H11085" s="680" t="s">
        <v>6153</v>
      </c>
    </row>
    <row r="11086" spans="8:8">
      <c r="H11086" s="680" t="s">
        <v>6153</v>
      </c>
    </row>
    <row r="11087" spans="8:8">
      <c r="H11087" s="680" t="s">
        <v>6153</v>
      </c>
    </row>
    <row r="11088" spans="8:8">
      <c r="H11088" s="680" t="s">
        <v>6153</v>
      </c>
    </row>
    <row r="11089" spans="8:8">
      <c r="H11089" s="680" t="s">
        <v>6153</v>
      </c>
    </row>
    <row r="11090" spans="8:8">
      <c r="H11090" s="680" t="s">
        <v>6153</v>
      </c>
    </row>
    <row r="11091" spans="8:8">
      <c r="H11091" s="680" t="s">
        <v>6153</v>
      </c>
    </row>
    <row r="11092" spans="8:8">
      <c r="H11092" s="680" t="s">
        <v>6153</v>
      </c>
    </row>
    <row r="11093" spans="8:8">
      <c r="H11093" s="680" t="s">
        <v>6153</v>
      </c>
    </row>
    <row r="11094" spans="8:8">
      <c r="H11094" s="680" t="s">
        <v>6153</v>
      </c>
    </row>
    <row r="11095" spans="8:8">
      <c r="H11095" s="680" t="s">
        <v>6153</v>
      </c>
    </row>
    <row r="11096" spans="8:8">
      <c r="H11096" s="680" t="s">
        <v>6153</v>
      </c>
    </row>
    <row r="11097" spans="8:8">
      <c r="H11097" s="680" t="s">
        <v>6153</v>
      </c>
    </row>
    <row r="11098" spans="8:8">
      <c r="H11098" s="680" t="s">
        <v>6153</v>
      </c>
    </row>
    <row r="11099" spans="8:8">
      <c r="H11099" s="680" t="s">
        <v>6153</v>
      </c>
    </row>
    <row r="11100" spans="8:8">
      <c r="H11100" s="680" t="s">
        <v>6153</v>
      </c>
    </row>
    <row r="11101" spans="8:8">
      <c r="H11101" s="680" t="s">
        <v>6153</v>
      </c>
    </row>
    <row r="11102" spans="8:8">
      <c r="H11102" s="680" t="s">
        <v>6153</v>
      </c>
    </row>
    <row r="11103" spans="8:8">
      <c r="H11103" s="680" t="s">
        <v>6153</v>
      </c>
    </row>
    <row r="11104" spans="8:8">
      <c r="H11104" s="680" t="s">
        <v>6153</v>
      </c>
    </row>
    <row r="11105" spans="8:8">
      <c r="H11105" s="680" t="s">
        <v>6153</v>
      </c>
    </row>
    <row r="11106" spans="8:8">
      <c r="H11106" s="680" t="s">
        <v>6153</v>
      </c>
    </row>
    <row r="11107" spans="8:8">
      <c r="H11107" s="680" t="s">
        <v>6153</v>
      </c>
    </row>
    <row r="11108" spans="8:8">
      <c r="H11108" s="680" t="s">
        <v>6153</v>
      </c>
    </row>
    <row r="11109" spans="8:8">
      <c r="H11109" s="680" t="s">
        <v>6153</v>
      </c>
    </row>
    <row r="11110" spans="8:8">
      <c r="H11110" s="680" t="s">
        <v>6153</v>
      </c>
    </row>
    <row r="11111" spans="8:8">
      <c r="H11111" s="680" t="s">
        <v>6153</v>
      </c>
    </row>
    <row r="11112" spans="8:8">
      <c r="H11112" s="680" t="s">
        <v>6153</v>
      </c>
    </row>
    <row r="11113" spans="8:8">
      <c r="H11113" s="680" t="s">
        <v>6153</v>
      </c>
    </row>
    <row r="11114" spans="8:8">
      <c r="H11114" s="680" t="s">
        <v>6153</v>
      </c>
    </row>
    <row r="11115" spans="8:8">
      <c r="H11115" s="680" t="s">
        <v>6153</v>
      </c>
    </row>
    <row r="11116" spans="8:8">
      <c r="H11116" s="680" t="s">
        <v>6153</v>
      </c>
    </row>
    <row r="11117" spans="8:8">
      <c r="H11117" s="680" t="s">
        <v>6153</v>
      </c>
    </row>
    <row r="11118" spans="8:8">
      <c r="H11118" s="680" t="s">
        <v>6153</v>
      </c>
    </row>
    <row r="11119" spans="8:8">
      <c r="H11119" s="680" t="s">
        <v>6153</v>
      </c>
    </row>
    <row r="11120" spans="8:8">
      <c r="H11120" s="680" t="s">
        <v>6153</v>
      </c>
    </row>
    <row r="11121" spans="8:8">
      <c r="H11121" s="680" t="s">
        <v>6153</v>
      </c>
    </row>
    <row r="11122" spans="8:8">
      <c r="H11122" s="680" t="s">
        <v>6153</v>
      </c>
    </row>
    <row r="11123" spans="8:8">
      <c r="H11123" s="680" t="s">
        <v>6153</v>
      </c>
    </row>
    <row r="11124" spans="8:8">
      <c r="H11124" s="680" t="s">
        <v>6153</v>
      </c>
    </row>
    <row r="11125" spans="8:8">
      <c r="H11125" s="680" t="s">
        <v>6153</v>
      </c>
    </row>
    <row r="11126" spans="8:8">
      <c r="H11126" s="680" t="s">
        <v>6153</v>
      </c>
    </row>
    <row r="11127" spans="8:8">
      <c r="H11127" s="680" t="s">
        <v>6153</v>
      </c>
    </row>
    <row r="11128" spans="8:8">
      <c r="H11128" s="680" t="s">
        <v>6153</v>
      </c>
    </row>
    <row r="11129" spans="8:8">
      <c r="H11129" s="680" t="s">
        <v>6153</v>
      </c>
    </row>
    <row r="11130" spans="8:8">
      <c r="H11130" s="680" t="s">
        <v>6153</v>
      </c>
    </row>
    <row r="11131" spans="8:8">
      <c r="H11131" s="680" t="s">
        <v>6153</v>
      </c>
    </row>
    <row r="11132" spans="8:8">
      <c r="H11132" s="680" t="s">
        <v>6153</v>
      </c>
    </row>
    <row r="11133" spans="8:8">
      <c r="H11133" s="680" t="s">
        <v>6153</v>
      </c>
    </row>
    <row r="11134" spans="8:8">
      <c r="H11134" s="680" t="s">
        <v>6153</v>
      </c>
    </row>
    <row r="11135" spans="8:8">
      <c r="H11135" s="680" t="s">
        <v>6153</v>
      </c>
    </row>
    <row r="11136" spans="8:8">
      <c r="H11136" s="680" t="s">
        <v>6153</v>
      </c>
    </row>
    <row r="11137" spans="8:8">
      <c r="H11137" s="680" t="s">
        <v>6153</v>
      </c>
    </row>
    <row r="11138" spans="8:8">
      <c r="H11138" s="680" t="s">
        <v>6153</v>
      </c>
    </row>
    <row r="11139" spans="8:8">
      <c r="H11139" s="680" t="s">
        <v>6153</v>
      </c>
    </row>
    <row r="11140" spans="8:8">
      <c r="H11140" s="680" t="s">
        <v>6153</v>
      </c>
    </row>
    <row r="11141" spans="8:8">
      <c r="H11141" s="680" t="s">
        <v>6153</v>
      </c>
    </row>
    <row r="11142" spans="8:8">
      <c r="H11142" s="680" t="s">
        <v>6153</v>
      </c>
    </row>
    <row r="11143" spans="8:8">
      <c r="H11143" s="680" t="s">
        <v>6153</v>
      </c>
    </row>
    <row r="11144" spans="8:8">
      <c r="H11144" s="680" t="s">
        <v>6153</v>
      </c>
    </row>
    <row r="11145" spans="8:8">
      <c r="H11145" s="680" t="s">
        <v>6153</v>
      </c>
    </row>
    <row r="11146" spans="8:8">
      <c r="H11146" s="680" t="s">
        <v>6153</v>
      </c>
    </row>
    <row r="11147" spans="8:8">
      <c r="H11147" s="680" t="s">
        <v>6153</v>
      </c>
    </row>
    <row r="11148" spans="8:8">
      <c r="H11148" s="680" t="s">
        <v>6153</v>
      </c>
    </row>
    <row r="11149" spans="8:8">
      <c r="H11149" s="680" t="s">
        <v>6153</v>
      </c>
    </row>
    <row r="11150" spans="8:8">
      <c r="H11150" s="680" t="s">
        <v>6153</v>
      </c>
    </row>
    <row r="11151" spans="8:8">
      <c r="H11151" s="680" t="s">
        <v>6153</v>
      </c>
    </row>
    <row r="11152" spans="8:8">
      <c r="H11152" s="680" t="s">
        <v>6153</v>
      </c>
    </row>
    <row r="11153" spans="8:8">
      <c r="H11153" s="680" t="s">
        <v>6153</v>
      </c>
    </row>
    <row r="11154" spans="8:8">
      <c r="H11154" s="680" t="s">
        <v>6153</v>
      </c>
    </row>
    <row r="11155" spans="8:8">
      <c r="H11155" s="680" t="s">
        <v>6153</v>
      </c>
    </row>
    <row r="11156" spans="8:8">
      <c r="H11156" s="680" t="s">
        <v>6153</v>
      </c>
    </row>
    <row r="11157" spans="8:8">
      <c r="H11157" s="680" t="s">
        <v>6153</v>
      </c>
    </row>
    <row r="11158" spans="8:8">
      <c r="H11158" s="680" t="s">
        <v>6153</v>
      </c>
    </row>
    <row r="11159" spans="8:8">
      <c r="H11159" s="680" t="s">
        <v>6153</v>
      </c>
    </row>
    <row r="11160" spans="8:8">
      <c r="H11160" s="680" t="s">
        <v>6153</v>
      </c>
    </row>
    <row r="11161" spans="8:8">
      <c r="H11161" s="680" t="s">
        <v>6153</v>
      </c>
    </row>
    <row r="11162" spans="8:8">
      <c r="H11162" s="680" t="s">
        <v>6153</v>
      </c>
    </row>
    <row r="11163" spans="8:8">
      <c r="H11163" s="680" t="s">
        <v>6153</v>
      </c>
    </row>
    <row r="11164" spans="8:8">
      <c r="H11164" s="680" t="s">
        <v>6153</v>
      </c>
    </row>
    <row r="11165" spans="8:8">
      <c r="H11165" s="680" t="s">
        <v>6153</v>
      </c>
    </row>
    <row r="11166" spans="8:8">
      <c r="H11166" s="680" t="s">
        <v>6153</v>
      </c>
    </row>
    <row r="11167" spans="8:8">
      <c r="H11167" s="680" t="s">
        <v>6153</v>
      </c>
    </row>
    <row r="11168" spans="8:8">
      <c r="H11168" s="680" t="s">
        <v>6153</v>
      </c>
    </row>
    <row r="11169" spans="8:8">
      <c r="H11169" s="680" t="s">
        <v>6153</v>
      </c>
    </row>
    <row r="11170" spans="8:8">
      <c r="H11170" s="680" t="s">
        <v>6153</v>
      </c>
    </row>
    <row r="11171" spans="8:8">
      <c r="H11171" s="680" t="s">
        <v>6153</v>
      </c>
    </row>
    <row r="11172" spans="8:8">
      <c r="H11172" s="680" t="s">
        <v>6153</v>
      </c>
    </row>
    <row r="11173" spans="8:8">
      <c r="H11173" s="680" t="s">
        <v>6153</v>
      </c>
    </row>
    <row r="11174" spans="8:8">
      <c r="H11174" s="680" t="s">
        <v>6153</v>
      </c>
    </row>
    <row r="11175" spans="8:8">
      <c r="H11175" s="680" t="s">
        <v>6153</v>
      </c>
    </row>
    <row r="11176" spans="8:8">
      <c r="H11176" s="680" t="s">
        <v>6153</v>
      </c>
    </row>
    <row r="11177" spans="8:8">
      <c r="H11177" s="680" t="s">
        <v>6153</v>
      </c>
    </row>
    <row r="11178" spans="8:8">
      <c r="H11178" s="680" t="s">
        <v>6153</v>
      </c>
    </row>
    <row r="11179" spans="8:8">
      <c r="H11179" s="680" t="s">
        <v>6153</v>
      </c>
    </row>
    <row r="11180" spans="8:8">
      <c r="H11180" s="680" t="s">
        <v>6153</v>
      </c>
    </row>
    <row r="11181" spans="8:8">
      <c r="H11181" s="680" t="s">
        <v>6153</v>
      </c>
    </row>
    <row r="11182" spans="8:8">
      <c r="H11182" s="680" t="s">
        <v>6153</v>
      </c>
    </row>
    <row r="11183" spans="8:8">
      <c r="H11183" s="680" t="s">
        <v>6153</v>
      </c>
    </row>
    <row r="11184" spans="8:8">
      <c r="H11184" s="680" t="s">
        <v>6153</v>
      </c>
    </row>
    <row r="11185" spans="8:8">
      <c r="H11185" s="680" t="s">
        <v>6153</v>
      </c>
    </row>
    <row r="11186" spans="8:8">
      <c r="H11186" s="680" t="s">
        <v>6153</v>
      </c>
    </row>
    <row r="11187" spans="8:8">
      <c r="H11187" s="680" t="s">
        <v>6153</v>
      </c>
    </row>
    <row r="11188" spans="8:8">
      <c r="H11188" s="680" t="s">
        <v>6153</v>
      </c>
    </row>
    <row r="11189" spans="8:8">
      <c r="H11189" s="680" t="s">
        <v>6153</v>
      </c>
    </row>
    <row r="11190" spans="8:8">
      <c r="H11190" s="680" t="s">
        <v>6153</v>
      </c>
    </row>
    <row r="11191" spans="8:8">
      <c r="H11191" s="680" t="s">
        <v>6153</v>
      </c>
    </row>
    <row r="11192" spans="8:8">
      <c r="H11192" s="680" t="s">
        <v>6153</v>
      </c>
    </row>
    <row r="11193" spans="8:8">
      <c r="H11193" s="680" t="s">
        <v>6153</v>
      </c>
    </row>
    <row r="11194" spans="8:8">
      <c r="H11194" s="680" t="s">
        <v>6153</v>
      </c>
    </row>
    <row r="11195" spans="8:8">
      <c r="H11195" s="680" t="s">
        <v>6153</v>
      </c>
    </row>
    <row r="11196" spans="8:8">
      <c r="H11196" s="680" t="s">
        <v>6153</v>
      </c>
    </row>
    <row r="11197" spans="8:8">
      <c r="H11197" s="680" t="s">
        <v>6153</v>
      </c>
    </row>
    <row r="11198" spans="8:8">
      <c r="H11198" s="680" t="s">
        <v>6153</v>
      </c>
    </row>
    <row r="11199" spans="8:8">
      <c r="H11199" s="680" t="s">
        <v>6153</v>
      </c>
    </row>
    <row r="11200" spans="8:8">
      <c r="H11200" s="680" t="s">
        <v>6153</v>
      </c>
    </row>
    <row r="11201" spans="8:8">
      <c r="H11201" s="680" t="s">
        <v>6153</v>
      </c>
    </row>
    <row r="11202" spans="8:8">
      <c r="H11202" s="680" t="s">
        <v>6153</v>
      </c>
    </row>
    <row r="11203" spans="8:8">
      <c r="H11203" s="680" t="s">
        <v>6153</v>
      </c>
    </row>
    <row r="11204" spans="8:8">
      <c r="H11204" s="680" t="s">
        <v>6153</v>
      </c>
    </row>
    <row r="11205" spans="8:8">
      <c r="H11205" s="680" t="s">
        <v>6153</v>
      </c>
    </row>
    <row r="11206" spans="8:8">
      <c r="H11206" s="680" t="s">
        <v>6153</v>
      </c>
    </row>
    <row r="11207" spans="8:8">
      <c r="H11207" s="680" t="s">
        <v>6153</v>
      </c>
    </row>
    <row r="11208" spans="8:8">
      <c r="H11208" s="680" t="s">
        <v>6153</v>
      </c>
    </row>
    <row r="11209" spans="8:8">
      <c r="H11209" s="680" t="s">
        <v>6153</v>
      </c>
    </row>
    <row r="11210" spans="8:8">
      <c r="H11210" s="680" t="s">
        <v>6153</v>
      </c>
    </row>
    <row r="11211" spans="8:8">
      <c r="H11211" s="680" t="s">
        <v>6153</v>
      </c>
    </row>
    <row r="11212" spans="8:8">
      <c r="H11212" s="680" t="s">
        <v>6153</v>
      </c>
    </row>
    <row r="11213" spans="8:8">
      <c r="H11213" s="680" t="s">
        <v>6153</v>
      </c>
    </row>
    <row r="11214" spans="8:8">
      <c r="H11214" s="680" t="s">
        <v>6153</v>
      </c>
    </row>
    <row r="11215" spans="8:8">
      <c r="H11215" s="680" t="s">
        <v>6153</v>
      </c>
    </row>
    <row r="11216" spans="8:8">
      <c r="H11216" s="680" t="s">
        <v>6153</v>
      </c>
    </row>
    <row r="11217" spans="8:8">
      <c r="H11217" s="680" t="s">
        <v>6153</v>
      </c>
    </row>
    <row r="11218" spans="8:8">
      <c r="H11218" s="680" t="s">
        <v>6153</v>
      </c>
    </row>
    <row r="11219" spans="8:8">
      <c r="H11219" s="680" t="s">
        <v>6153</v>
      </c>
    </row>
    <row r="11220" spans="8:8">
      <c r="H11220" s="680" t="s">
        <v>6153</v>
      </c>
    </row>
    <row r="11221" spans="8:8">
      <c r="H11221" s="680" t="s">
        <v>6153</v>
      </c>
    </row>
    <row r="11222" spans="8:8">
      <c r="H11222" s="680" t="s">
        <v>6153</v>
      </c>
    </row>
    <row r="11223" spans="8:8">
      <c r="H11223" s="680" t="s">
        <v>6153</v>
      </c>
    </row>
    <row r="11224" spans="8:8">
      <c r="H11224" s="680" t="s">
        <v>6153</v>
      </c>
    </row>
    <row r="11225" spans="8:8">
      <c r="H11225" s="680" t="s">
        <v>6153</v>
      </c>
    </row>
    <row r="11226" spans="8:8">
      <c r="H11226" s="680" t="s">
        <v>6153</v>
      </c>
    </row>
    <row r="11227" spans="8:8">
      <c r="H11227" s="680" t="s">
        <v>6153</v>
      </c>
    </row>
    <row r="11228" spans="8:8">
      <c r="H11228" s="680" t="s">
        <v>6153</v>
      </c>
    </row>
    <row r="11229" spans="8:8">
      <c r="H11229" s="680" t="s">
        <v>6153</v>
      </c>
    </row>
    <row r="11230" spans="8:8">
      <c r="H11230" s="680" t="s">
        <v>6153</v>
      </c>
    </row>
    <row r="11231" spans="8:8">
      <c r="H11231" s="680" t="s">
        <v>6153</v>
      </c>
    </row>
    <row r="11232" spans="8:8">
      <c r="H11232" s="680" t="s">
        <v>6153</v>
      </c>
    </row>
    <row r="11233" spans="8:8">
      <c r="H11233" s="680" t="s">
        <v>6153</v>
      </c>
    </row>
    <row r="11234" spans="8:8">
      <c r="H11234" s="680" t="s">
        <v>6153</v>
      </c>
    </row>
    <row r="11235" spans="8:8">
      <c r="H11235" s="680" t="s">
        <v>6153</v>
      </c>
    </row>
    <row r="11236" spans="8:8">
      <c r="H11236" s="680" t="s">
        <v>6153</v>
      </c>
    </row>
    <row r="11237" spans="8:8">
      <c r="H11237" s="680" t="s">
        <v>6153</v>
      </c>
    </row>
    <row r="11238" spans="8:8">
      <c r="H11238" s="680" t="s">
        <v>6153</v>
      </c>
    </row>
    <row r="11239" spans="8:8">
      <c r="H11239" s="680" t="s">
        <v>6153</v>
      </c>
    </row>
    <row r="11240" spans="8:8">
      <c r="H11240" s="680" t="s">
        <v>6153</v>
      </c>
    </row>
    <row r="11241" spans="8:8">
      <c r="H11241" s="680" t="s">
        <v>6153</v>
      </c>
    </row>
    <row r="11242" spans="8:8">
      <c r="H11242" s="680" t="s">
        <v>6153</v>
      </c>
    </row>
    <row r="11243" spans="8:8">
      <c r="H11243" s="680" t="s">
        <v>6153</v>
      </c>
    </row>
    <row r="11244" spans="8:8">
      <c r="H11244" s="680" t="s">
        <v>6153</v>
      </c>
    </row>
    <row r="11245" spans="8:8">
      <c r="H11245" s="680" t="s">
        <v>6153</v>
      </c>
    </row>
    <row r="11246" spans="8:8">
      <c r="H11246" s="680" t="s">
        <v>6153</v>
      </c>
    </row>
    <row r="11247" spans="8:8">
      <c r="H11247" s="680" t="s">
        <v>6153</v>
      </c>
    </row>
    <row r="11248" spans="8:8">
      <c r="H11248" s="680" t="s">
        <v>6153</v>
      </c>
    </row>
    <row r="11249" spans="8:8">
      <c r="H11249" s="680" t="s">
        <v>6153</v>
      </c>
    </row>
    <row r="11250" spans="8:8">
      <c r="H11250" s="680" t="s">
        <v>6153</v>
      </c>
    </row>
    <row r="11251" spans="8:8">
      <c r="H11251" s="680" t="s">
        <v>6153</v>
      </c>
    </row>
    <row r="11252" spans="8:8">
      <c r="H11252" s="680" t="s">
        <v>6153</v>
      </c>
    </row>
    <row r="11253" spans="8:8">
      <c r="H11253" s="680" t="s">
        <v>6153</v>
      </c>
    </row>
    <row r="11254" spans="8:8">
      <c r="H11254" s="680" t="s">
        <v>6153</v>
      </c>
    </row>
    <row r="11255" spans="8:8">
      <c r="H11255" s="680" t="s">
        <v>6153</v>
      </c>
    </row>
    <row r="11256" spans="8:8">
      <c r="H11256" s="680" t="s">
        <v>6153</v>
      </c>
    </row>
    <row r="11257" spans="8:8">
      <c r="H11257" s="680" t="s">
        <v>6153</v>
      </c>
    </row>
    <row r="11258" spans="8:8">
      <c r="H11258" s="680" t="s">
        <v>6153</v>
      </c>
    </row>
    <row r="11259" spans="8:8">
      <c r="H11259" s="680" t="s">
        <v>6153</v>
      </c>
    </row>
    <row r="11260" spans="8:8">
      <c r="H11260" s="680" t="s">
        <v>6153</v>
      </c>
    </row>
    <row r="11261" spans="8:8">
      <c r="H11261" s="680" t="s">
        <v>6153</v>
      </c>
    </row>
    <row r="11262" spans="8:8">
      <c r="H11262" s="680" t="s">
        <v>6153</v>
      </c>
    </row>
    <row r="11263" spans="8:8">
      <c r="H11263" s="680" t="s">
        <v>6153</v>
      </c>
    </row>
    <row r="11264" spans="8:8">
      <c r="H11264" s="680" t="s">
        <v>6153</v>
      </c>
    </row>
    <row r="11265" spans="8:8">
      <c r="H11265" s="680" t="s">
        <v>6153</v>
      </c>
    </row>
    <row r="11266" spans="8:8">
      <c r="H11266" s="680" t="s">
        <v>6153</v>
      </c>
    </row>
    <row r="11267" spans="8:8">
      <c r="H11267" s="680" t="s">
        <v>6153</v>
      </c>
    </row>
    <row r="11268" spans="8:8">
      <c r="H11268" s="680" t="s">
        <v>6153</v>
      </c>
    </row>
    <row r="11269" spans="8:8">
      <c r="H11269" s="680" t="s">
        <v>6153</v>
      </c>
    </row>
    <row r="11270" spans="8:8">
      <c r="H11270" s="680" t="s">
        <v>6153</v>
      </c>
    </row>
    <row r="11271" spans="8:8">
      <c r="H11271" s="680" t="s">
        <v>6153</v>
      </c>
    </row>
    <row r="11272" spans="8:8">
      <c r="H11272" s="680" t="s">
        <v>6153</v>
      </c>
    </row>
    <row r="11273" spans="8:8">
      <c r="H11273" s="680" t="s">
        <v>6153</v>
      </c>
    </row>
    <row r="11274" spans="8:8">
      <c r="H11274" s="680" t="s">
        <v>6153</v>
      </c>
    </row>
    <row r="11275" spans="8:8">
      <c r="H11275" s="680" t="s">
        <v>6153</v>
      </c>
    </row>
    <row r="11276" spans="8:8">
      <c r="H11276" s="680" t="s">
        <v>6153</v>
      </c>
    </row>
    <row r="11277" spans="8:8">
      <c r="H11277" s="680" t="s">
        <v>6153</v>
      </c>
    </row>
    <row r="11278" spans="8:8">
      <c r="H11278" s="680" t="s">
        <v>6153</v>
      </c>
    </row>
    <row r="11279" spans="8:8">
      <c r="H11279" s="680" t="s">
        <v>6153</v>
      </c>
    </row>
    <row r="11280" spans="8:8">
      <c r="H11280" s="680" t="s">
        <v>6153</v>
      </c>
    </row>
    <row r="11281" spans="8:8">
      <c r="H11281" s="680" t="s">
        <v>6153</v>
      </c>
    </row>
    <row r="11282" spans="8:8">
      <c r="H11282" s="680" t="s">
        <v>6153</v>
      </c>
    </row>
    <row r="11283" spans="8:8">
      <c r="H11283" s="680" t="s">
        <v>6153</v>
      </c>
    </row>
    <row r="11284" spans="8:8">
      <c r="H11284" s="680" t="s">
        <v>6153</v>
      </c>
    </row>
    <row r="11285" spans="8:8">
      <c r="H11285" s="680" t="s">
        <v>6153</v>
      </c>
    </row>
    <row r="11286" spans="8:8">
      <c r="H11286" s="680" t="s">
        <v>6153</v>
      </c>
    </row>
    <row r="11287" spans="8:8">
      <c r="H11287" s="680" t="s">
        <v>6153</v>
      </c>
    </row>
    <row r="11288" spans="8:8">
      <c r="H11288" s="680" t="s">
        <v>6153</v>
      </c>
    </row>
    <row r="11289" spans="8:8">
      <c r="H11289" s="680" t="s">
        <v>6153</v>
      </c>
    </row>
    <row r="11290" spans="8:8">
      <c r="H11290" s="680" t="s">
        <v>6153</v>
      </c>
    </row>
    <row r="11291" spans="8:8">
      <c r="H11291" s="680" t="s">
        <v>6153</v>
      </c>
    </row>
    <row r="11292" spans="8:8">
      <c r="H11292" s="680" t="s">
        <v>6153</v>
      </c>
    </row>
    <row r="11293" spans="8:8">
      <c r="H11293" s="680" t="s">
        <v>6153</v>
      </c>
    </row>
    <row r="11294" spans="8:8">
      <c r="H11294" s="680" t="s">
        <v>6153</v>
      </c>
    </row>
    <row r="11295" spans="8:8">
      <c r="H11295" s="680" t="s">
        <v>6153</v>
      </c>
    </row>
    <row r="11296" spans="8:8">
      <c r="H11296" s="680" t="s">
        <v>6153</v>
      </c>
    </row>
    <row r="11297" spans="8:8">
      <c r="H11297" s="680" t="s">
        <v>6153</v>
      </c>
    </row>
    <row r="11298" spans="8:8">
      <c r="H11298" s="680" t="s">
        <v>6153</v>
      </c>
    </row>
    <row r="11299" spans="8:8">
      <c r="H11299" s="680" t="s">
        <v>6153</v>
      </c>
    </row>
    <row r="11300" spans="8:8">
      <c r="H11300" s="680" t="s">
        <v>6153</v>
      </c>
    </row>
    <row r="11301" spans="8:8">
      <c r="H11301" s="680" t="s">
        <v>6153</v>
      </c>
    </row>
    <row r="11302" spans="8:8">
      <c r="H11302" s="680" t="s">
        <v>6153</v>
      </c>
    </row>
    <row r="11303" spans="8:8">
      <c r="H11303" s="680" t="s">
        <v>6153</v>
      </c>
    </row>
    <row r="11304" spans="8:8">
      <c r="H11304" s="680" t="s">
        <v>6153</v>
      </c>
    </row>
    <row r="11305" spans="8:8">
      <c r="H11305" s="680" t="s">
        <v>6153</v>
      </c>
    </row>
    <row r="11306" spans="8:8">
      <c r="H11306" s="680" t="s">
        <v>6153</v>
      </c>
    </row>
    <row r="11307" spans="8:8">
      <c r="H11307" s="680" t="s">
        <v>6153</v>
      </c>
    </row>
    <row r="11308" spans="8:8">
      <c r="H11308" s="680" t="s">
        <v>6153</v>
      </c>
    </row>
    <row r="11309" spans="8:8">
      <c r="H11309" s="680" t="s">
        <v>6153</v>
      </c>
    </row>
    <row r="11310" spans="8:8">
      <c r="H11310" s="680" t="s">
        <v>6153</v>
      </c>
    </row>
    <row r="11311" spans="8:8">
      <c r="H11311" s="680" t="s">
        <v>6153</v>
      </c>
    </row>
    <row r="11312" spans="8:8">
      <c r="H11312" s="680" t="s">
        <v>6153</v>
      </c>
    </row>
    <row r="11313" spans="8:8">
      <c r="H11313" s="680" t="s">
        <v>6153</v>
      </c>
    </row>
    <row r="11314" spans="8:8">
      <c r="H11314" s="680" t="s">
        <v>6153</v>
      </c>
    </row>
    <row r="11315" spans="8:8">
      <c r="H11315" s="680" t="s">
        <v>6153</v>
      </c>
    </row>
    <row r="11316" spans="8:8">
      <c r="H11316" s="680" t="s">
        <v>6153</v>
      </c>
    </row>
    <row r="11317" spans="8:8">
      <c r="H11317" s="680" t="s">
        <v>6153</v>
      </c>
    </row>
    <row r="11318" spans="8:8">
      <c r="H11318" s="680" t="s">
        <v>6153</v>
      </c>
    </row>
    <row r="11319" spans="8:8">
      <c r="H11319" s="680" t="s">
        <v>6153</v>
      </c>
    </row>
    <row r="11320" spans="8:8">
      <c r="H11320" s="680" t="s">
        <v>6153</v>
      </c>
    </row>
    <row r="11321" spans="8:8">
      <c r="H11321" s="680" t="s">
        <v>6153</v>
      </c>
    </row>
    <row r="11322" spans="8:8">
      <c r="H11322" s="680" t="s">
        <v>6153</v>
      </c>
    </row>
    <row r="11323" spans="8:8">
      <c r="H11323" s="680" t="s">
        <v>6153</v>
      </c>
    </row>
    <row r="11324" spans="8:8">
      <c r="H11324" s="680" t="s">
        <v>6153</v>
      </c>
    </row>
    <row r="11325" spans="8:8">
      <c r="H11325" s="680" t="s">
        <v>6153</v>
      </c>
    </row>
    <row r="11326" spans="8:8">
      <c r="H11326" s="680" t="s">
        <v>6153</v>
      </c>
    </row>
    <row r="11327" spans="8:8">
      <c r="H11327" s="680" t="s">
        <v>6153</v>
      </c>
    </row>
    <row r="11328" spans="8:8">
      <c r="H11328" s="680" t="s">
        <v>6153</v>
      </c>
    </row>
    <row r="11329" spans="8:8">
      <c r="H11329" s="680" t="s">
        <v>6153</v>
      </c>
    </row>
    <row r="11330" spans="8:8">
      <c r="H11330" s="680" t="s">
        <v>6153</v>
      </c>
    </row>
    <row r="11331" spans="8:8">
      <c r="H11331" s="680" t="s">
        <v>6153</v>
      </c>
    </row>
    <row r="11332" spans="8:8">
      <c r="H11332" s="680" t="s">
        <v>6153</v>
      </c>
    </row>
    <row r="11333" spans="8:8">
      <c r="H11333" s="680" t="s">
        <v>6153</v>
      </c>
    </row>
    <row r="11334" spans="8:8">
      <c r="H11334" s="680" t="s">
        <v>6153</v>
      </c>
    </row>
    <row r="11335" spans="8:8">
      <c r="H11335" s="680" t="s">
        <v>6153</v>
      </c>
    </row>
    <row r="11336" spans="8:8">
      <c r="H11336" s="680" t="s">
        <v>6153</v>
      </c>
    </row>
    <row r="11337" spans="8:8">
      <c r="H11337" s="680" t="s">
        <v>6153</v>
      </c>
    </row>
    <row r="11338" spans="8:8">
      <c r="H11338" s="680" t="s">
        <v>6153</v>
      </c>
    </row>
    <row r="11339" spans="8:8">
      <c r="H11339" s="680" t="s">
        <v>6153</v>
      </c>
    </row>
    <row r="11340" spans="8:8">
      <c r="H11340" s="680" t="s">
        <v>6153</v>
      </c>
    </row>
    <row r="11341" spans="8:8">
      <c r="H11341" s="680" t="s">
        <v>6153</v>
      </c>
    </row>
    <row r="11342" spans="8:8">
      <c r="H11342" s="680" t="s">
        <v>6153</v>
      </c>
    </row>
    <row r="11343" spans="8:8">
      <c r="H11343" s="680" t="s">
        <v>6153</v>
      </c>
    </row>
    <row r="11344" spans="8:8">
      <c r="H11344" s="680" t="s">
        <v>6153</v>
      </c>
    </row>
    <row r="11345" spans="8:8">
      <c r="H11345" s="680" t="s">
        <v>6153</v>
      </c>
    </row>
    <row r="11346" spans="8:8">
      <c r="H11346" s="680" t="s">
        <v>6153</v>
      </c>
    </row>
    <row r="11347" spans="8:8">
      <c r="H11347" s="680" t="s">
        <v>6153</v>
      </c>
    </row>
    <row r="11348" spans="8:8">
      <c r="H11348" s="680" t="s">
        <v>6153</v>
      </c>
    </row>
    <row r="11349" spans="8:8">
      <c r="H11349" s="680" t="s">
        <v>6153</v>
      </c>
    </row>
    <row r="11350" spans="8:8">
      <c r="H11350" s="680" t="s">
        <v>6153</v>
      </c>
    </row>
    <row r="11351" spans="8:8">
      <c r="H11351" s="680" t="s">
        <v>6153</v>
      </c>
    </row>
    <row r="11352" spans="8:8">
      <c r="H11352" s="680" t="s">
        <v>6153</v>
      </c>
    </row>
    <row r="11353" spans="8:8">
      <c r="H11353" s="680" t="s">
        <v>6153</v>
      </c>
    </row>
    <row r="11354" spans="8:8">
      <c r="H11354" s="680" t="s">
        <v>6153</v>
      </c>
    </row>
    <row r="11355" spans="8:8">
      <c r="H11355" s="680" t="s">
        <v>6153</v>
      </c>
    </row>
    <row r="11356" spans="8:8">
      <c r="H11356" s="680" t="s">
        <v>6153</v>
      </c>
    </row>
    <row r="11357" spans="8:8">
      <c r="H11357" s="680" t="s">
        <v>6153</v>
      </c>
    </row>
    <row r="11358" spans="8:8">
      <c r="H11358" s="680" t="s">
        <v>6153</v>
      </c>
    </row>
    <row r="11359" spans="8:8">
      <c r="H11359" s="680" t="s">
        <v>6153</v>
      </c>
    </row>
    <row r="11360" spans="8:8">
      <c r="H11360" s="680" t="s">
        <v>6153</v>
      </c>
    </row>
    <row r="11361" spans="8:8">
      <c r="H11361" s="680" t="s">
        <v>6153</v>
      </c>
    </row>
    <row r="11362" spans="8:8">
      <c r="H11362" s="680" t="s">
        <v>6153</v>
      </c>
    </row>
    <row r="11363" spans="8:8">
      <c r="H11363" s="680" t="s">
        <v>6153</v>
      </c>
    </row>
    <row r="11364" spans="8:8">
      <c r="H11364" s="680" t="s">
        <v>6153</v>
      </c>
    </row>
    <row r="11365" spans="8:8">
      <c r="H11365" s="680" t="s">
        <v>6153</v>
      </c>
    </row>
    <row r="11366" spans="8:8">
      <c r="H11366" s="680" t="s">
        <v>6153</v>
      </c>
    </row>
    <row r="11367" spans="8:8">
      <c r="H11367" s="680" t="s">
        <v>6153</v>
      </c>
    </row>
    <row r="11368" spans="8:8">
      <c r="H11368" s="680" t="s">
        <v>6153</v>
      </c>
    </row>
    <row r="11369" spans="8:8">
      <c r="H11369" s="680" t="s">
        <v>6153</v>
      </c>
    </row>
    <row r="11370" spans="8:8">
      <c r="H11370" s="680" t="s">
        <v>6153</v>
      </c>
    </row>
    <row r="11371" spans="8:8">
      <c r="H11371" s="680" t="s">
        <v>6153</v>
      </c>
    </row>
    <row r="11372" spans="8:8">
      <c r="H11372" s="680" t="s">
        <v>6153</v>
      </c>
    </row>
    <row r="11373" spans="8:8">
      <c r="H11373" s="680" t="s">
        <v>6153</v>
      </c>
    </row>
    <row r="11374" spans="8:8">
      <c r="H11374" s="680" t="s">
        <v>6153</v>
      </c>
    </row>
    <row r="11375" spans="8:8">
      <c r="H11375" s="680" t="s">
        <v>6153</v>
      </c>
    </row>
    <row r="11376" spans="8:8">
      <c r="H11376" s="680" t="s">
        <v>6153</v>
      </c>
    </row>
    <row r="11377" spans="8:8">
      <c r="H11377" s="680" t="s">
        <v>6153</v>
      </c>
    </row>
    <row r="11378" spans="8:8">
      <c r="H11378" s="680" t="s">
        <v>6153</v>
      </c>
    </row>
    <row r="11379" spans="8:8">
      <c r="H11379" s="680" t="s">
        <v>6153</v>
      </c>
    </row>
    <row r="11380" spans="8:8">
      <c r="H11380" s="680" t="s">
        <v>6153</v>
      </c>
    </row>
    <row r="11381" spans="8:8">
      <c r="H11381" s="680" t="s">
        <v>6153</v>
      </c>
    </row>
    <row r="11382" spans="8:8">
      <c r="H11382" s="680" t="s">
        <v>6153</v>
      </c>
    </row>
    <row r="11383" spans="8:8">
      <c r="H11383" s="680" t="s">
        <v>6153</v>
      </c>
    </row>
    <row r="11384" spans="8:8">
      <c r="H11384" s="680" t="s">
        <v>6153</v>
      </c>
    </row>
    <row r="11385" spans="8:8">
      <c r="H11385" s="680" t="s">
        <v>6153</v>
      </c>
    </row>
    <row r="11386" spans="8:8">
      <c r="H11386" s="680" t="s">
        <v>6153</v>
      </c>
    </row>
    <row r="11387" spans="8:8">
      <c r="H11387" s="680" t="s">
        <v>6153</v>
      </c>
    </row>
    <row r="11388" spans="8:8">
      <c r="H11388" s="680" t="s">
        <v>6153</v>
      </c>
    </row>
    <row r="11389" spans="8:8">
      <c r="H11389" s="680" t="s">
        <v>6153</v>
      </c>
    </row>
    <row r="11390" spans="8:8">
      <c r="H11390" s="680" t="s">
        <v>6153</v>
      </c>
    </row>
    <row r="11391" spans="8:8">
      <c r="H11391" s="680" t="s">
        <v>6153</v>
      </c>
    </row>
    <row r="11392" spans="8:8">
      <c r="H11392" s="680" t="s">
        <v>6153</v>
      </c>
    </row>
    <row r="11393" spans="8:8">
      <c r="H11393" s="680" t="s">
        <v>6153</v>
      </c>
    </row>
    <row r="11394" spans="8:8">
      <c r="H11394" s="680" t="s">
        <v>6153</v>
      </c>
    </row>
    <row r="11395" spans="8:8">
      <c r="H11395" s="680" t="s">
        <v>6153</v>
      </c>
    </row>
    <row r="11396" spans="8:8">
      <c r="H11396" s="680" t="s">
        <v>6153</v>
      </c>
    </row>
    <row r="11397" spans="8:8">
      <c r="H11397" s="680" t="s">
        <v>6153</v>
      </c>
    </row>
    <row r="11398" spans="8:8">
      <c r="H11398" s="680" t="s">
        <v>6153</v>
      </c>
    </row>
    <row r="11399" spans="8:8">
      <c r="H11399" s="680" t="s">
        <v>6153</v>
      </c>
    </row>
    <row r="11400" spans="8:8">
      <c r="H11400" s="680" t="s">
        <v>6153</v>
      </c>
    </row>
    <row r="11401" spans="8:8">
      <c r="H11401" s="680" t="s">
        <v>6153</v>
      </c>
    </row>
    <row r="11402" spans="8:8">
      <c r="H11402" s="680" t="s">
        <v>6153</v>
      </c>
    </row>
    <row r="11403" spans="8:8">
      <c r="H11403" s="680" t="s">
        <v>6153</v>
      </c>
    </row>
    <row r="11404" spans="8:8">
      <c r="H11404" s="680" t="s">
        <v>6153</v>
      </c>
    </row>
    <row r="11405" spans="8:8">
      <c r="H11405" s="680" t="s">
        <v>6153</v>
      </c>
    </row>
    <row r="11406" spans="8:8">
      <c r="H11406" s="680" t="s">
        <v>6153</v>
      </c>
    </row>
    <row r="11407" spans="8:8">
      <c r="H11407" s="680" t="s">
        <v>6153</v>
      </c>
    </row>
    <row r="11408" spans="8:8">
      <c r="H11408" s="680" t="s">
        <v>6153</v>
      </c>
    </row>
    <row r="11409" spans="8:8">
      <c r="H11409" s="680" t="s">
        <v>6153</v>
      </c>
    </row>
    <row r="11410" spans="8:8">
      <c r="H11410" s="680" t="s">
        <v>6153</v>
      </c>
    </row>
    <row r="11411" spans="8:8">
      <c r="H11411" s="680" t="s">
        <v>6153</v>
      </c>
    </row>
    <row r="11412" spans="8:8">
      <c r="H11412" s="680" t="s">
        <v>6153</v>
      </c>
    </row>
    <row r="11413" spans="8:8">
      <c r="H11413" s="680" t="s">
        <v>6153</v>
      </c>
    </row>
    <row r="11414" spans="8:8">
      <c r="H11414" s="680" t="s">
        <v>6153</v>
      </c>
    </row>
    <row r="11415" spans="8:8">
      <c r="H11415" s="680" t="s">
        <v>6153</v>
      </c>
    </row>
    <row r="11416" spans="8:8">
      <c r="H11416" s="680" t="s">
        <v>6153</v>
      </c>
    </row>
    <row r="11417" spans="8:8">
      <c r="H11417" s="680" t="s">
        <v>6153</v>
      </c>
    </row>
    <row r="11418" spans="8:8">
      <c r="H11418" s="680" t="s">
        <v>6153</v>
      </c>
    </row>
    <row r="11419" spans="8:8">
      <c r="H11419" s="680" t="s">
        <v>6153</v>
      </c>
    </row>
    <row r="11420" spans="8:8">
      <c r="H11420" s="680" t="s">
        <v>6153</v>
      </c>
    </row>
    <row r="11421" spans="8:8">
      <c r="H11421" s="680" t="s">
        <v>6153</v>
      </c>
    </row>
    <row r="11422" spans="8:8">
      <c r="H11422" s="680" t="s">
        <v>6153</v>
      </c>
    </row>
    <row r="11423" spans="8:8">
      <c r="H11423" s="680" t="s">
        <v>6153</v>
      </c>
    </row>
    <row r="11424" spans="8:8">
      <c r="H11424" s="680" t="s">
        <v>6153</v>
      </c>
    </row>
    <row r="11425" spans="8:8">
      <c r="H11425" s="680" t="s">
        <v>6153</v>
      </c>
    </row>
    <row r="11426" spans="8:8">
      <c r="H11426" s="680" t="s">
        <v>6153</v>
      </c>
    </row>
    <row r="11427" spans="8:8">
      <c r="H11427" s="680" t="s">
        <v>6153</v>
      </c>
    </row>
    <row r="11428" spans="8:8">
      <c r="H11428" s="680" t="s">
        <v>6153</v>
      </c>
    </row>
    <row r="11429" spans="8:8">
      <c r="H11429" s="680" t="s">
        <v>6153</v>
      </c>
    </row>
    <row r="11430" spans="8:8">
      <c r="H11430" s="680" t="s">
        <v>6153</v>
      </c>
    </row>
    <row r="11431" spans="8:8">
      <c r="H11431" s="680" t="s">
        <v>6153</v>
      </c>
    </row>
    <row r="11432" spans="8:8">
      <c r="H11432" s="680" t="s">
        <v>6153</v>
      </c>
    </row>
    <row r="11433" spans="8:8">
      <c r="H11433" s="680" t="s">
        <v>6153</v>
      </c>
    </row>
    <row r="11434" spans="8:8">
      <c r="H11434" s="680" t="s">
        <v>6153</v>
      </c>
    </row>
    <row r="11435" spans="8:8">
      <c r="H11435" s="680" t="s">
        <v>6153</v>
      </c>
    </row>
    <row r="11436" spans="8:8">
      <c r="H11436" s="680" t="s">
        <v>6153</v>
      </c>
    </row>
    <row r="11437" spans="8:8">
      <c r="H11437" s="680" t="s">
        <v>6153</v>
      </c>
    </row>
    <row r="11438" spans="8:8">
      <c r="H11438" s="680" t="s">
        <v>6153</v>
      </c>
    </row>
    <row r="11439" spans="8:8">
      <c r="H11439" s="680" t="s">
        <v>6153</v>
      </c>
    </row>
    <row r="11440" spans="8:8">
      <c r="H11440" s="680" t="s">
        <v>6153</v>
      </c>
    </row>
    <row r="11441" spans="8:8">
      <c r="H11441" s="680" t="s">
        <v>6153</v>
      </c>
    </row>
    <row r="11442" spans="8:8">
      <c r="H11442" s="680" t="s">
        <v>6153</v>
      </c>
    </row>
    <row r="11443" spans="8:8">
      <c r="H11443" s="680" t="s">
        <v>6153</v>
      </c>
    </row>
    <row r="11444" spans="8:8">
      <c r="H11444" s="680" t="s">
        <v>6153</v>
      </c>
    </row>
    <row r="11445" spans="8:8">
      <c r="H11445" s="680" t="s">
        <v>6153</v>
      </c>
    </row>
    <row r="11446" spans="8:8">
      <c r="H11446" s="680" t="s">
        <v>6153</v>
      </c>
    </row>
    <row r="11447" spans="8:8">
      <c r="H11447" s="680" t="s">
        <v>6153</v>
      </c>
    </row>
    <row r="11448" spans="8:8">
      <c r="H11448" s="680" t="s">
        <v>6153</v>
      </c>
    </row>
    <row r="11449" spans="8:8">
      <c r="H11449" s="680" t="s">
        <v>6153</v>
      </c>
    </row>
    <row r="11450" spans="8:8">
      <c r="H11450" s="680" t="s">
        <v>6153</v>
      </c>
    </row>
    <row r="11451" spans="8:8">
      <c r="H11451" s="680" t="s">
        <v>6153</v>
      </c>
    </row>
    <row r="11452" spans="8:8">
      <c r="H11452" s="680" t="s">
        <v>6153</v>
      </c>
    </row>
    <row r="11453" spans="8:8">
      <c r="H11453" s="680" t="s">
        <v>6153</v>
      </c>
    </row>
    <row r="11454" spans="8:8">
      <c r="H11454" s="680" t="s">
        <v>6153</v>
      </c>
    </row>
    <row r="11455" spans="8:8">
      <c r="H11455" s="680" t="s">
        <v>6153</v>
      </c>
    </row>
    <row r="11456" spans="8:8">
      <c r="H11456" s="680" t="s">
        <v>6153</v>
      </c>
    </row>
    <row r="11457" spans="8:8">
      <c r="H11457" s="680" t="s">
        <v>6153</v>
      </c>
    </row>
    <row r="11458" spans="8:8">
      <c r="H11458" s="680" t="s">
        <v>6153</v>
      </c>
    </row>
    <row r="11459" spans="8:8">
      <c r="H11459" s="680" t="s">
        <v>6153</v>
      </c>
    </row>
    <row r="11460" spans="8:8">
      <c r="H11460" s="680" t="s">
        <v>6153</v>
      </c>
    </row>
    <row r="11461" spans="8:8">
      <c r="H11461" s="680" t="s">
        <v>6153</v>
      </c>
    </row>
    <row r="11462" spans="8:8">
      <c r="H11462" s="680" t="s">
        <v>6153</v>
      </c>
    </row>
    <row r="11463" spans="8:8">
      <c r="H11463" s="680" t="s">
        <v>6153</v>
      </c>
    </row>
    <row r="11464" spans="8:8">
      <c r="H11464" s="680" t="s">
        <v>6153</v>
      </c>
    </row>
    <row r="11465" spans="8:8">
      <c r="H11465" s="680" t="s">
        <v>6153</v>
      </c>
    </row>
    <row r="11466" spans="8:8">
      <c r="H11466" s="680" t="s">
        <v>6153</v>
      </c>
    </row>
    <row r="11467" spans="8:8">
      <c r="H11467" s="680" t="s">
        <v>6153</v>
      </c>
    </row>
    <row r="11468" spans="8:8">
      <c r="H11468" s="680" t="s">
        <v>6153</v>
      </c>
    </row>
    <row r="11469" spans="8:8">
      <c r="H11469" s="680" t="s">
        <v>6153</v>
      </c>
    </row>
    <row r="11470" spans="8:8">
      <c r="H11470" s="680" t="s">
        <v>6153</v>
      </c>
    </row>
    <row r="11471" spans="8:8">
      <c r="H11471" s="680" t="s">
        <v>6153</v>
      </c>
    </row>
    <row r="11472" spans="8:8">
      <c r="H11472" s="680" t="s">
        <v>6153</v>
      </c>
    </row>
    <row r="11473" spans="8:8">
      <c r="H11473" s="680" t="s">
        <v>6153</v>
      </c>
    </row>
    <row r="11474" spans="8:8">
      <c r="H11474" s="680" t="s">
        <v>6153</v>
      </c>
    </row>
    <row r="11475" spans="8:8">
      <c r="H11475" s="680" t="s">
        <v>6153</v>
      </c>
    </row>
    <row r="11476" spans="8:8">
      <c r="H11476" s="680" t="s">
        <v>6153</v>
      </c>
    </row>
    <row r="11477" spans="8:8">
      <c r="H11477" s="680" t="s">
        <v>6153</v>
      </c>
    </row>
    <row r="11478" spans="8:8">
      <c r="H11478" s="680" t="s">
        <v>6153</v>
      </c>
    </row>
    <row r="11479" spans="8:8">
      <c r="H11479" s="680" t="s">
        <v>6153</v>
      </c>
    </row>
    <row r="11480" spans="8:8">
      <c r="H11480" s="680" t="s">
        <v>6153</v>
      </c>
    </row>
    <row r="11481" spans="8:8">
      <c r="H11481" s="680" t="s">
        <v>6153</v>
      </c>
    </row>
    <row r="11482" spans="8:8">
      <c r="H11482" s="680" t="s">
        <v>6153</v>
      </c>
    </row>
    <row r="11483" spans="8:8">
      <c r="H11483" s="680" t="s">
        <v>6153</v>
      </c>
    </row>
    <row r="11484" spans="8:8">
      <c r="H11484" s="680" t="s">
        <v>6153</v>
      </c>
    </row>
    <row r="11485" spans="8:8">
      <c r="H11485" s="680" t="s">
        <v>6153</v>
      </c>
    </row>
    <row r="11486" spans="8:8">
      <c r="H11486" s="680" t="s">
        <v>6153</v>
      </c>
    </row>
    <row r="11487" spans="8:8">
      <c r="H11487" s="680" t="s">
        <v>6153</v>
      </c>
    </row>
    <row r="11488" spans="8:8">
      <c r="H11488" s="680" t="s">
        <v>6153</v>
      </c>
    </row>
    <row r="11489" spans="8:8">
      <c r="H11489" s="680" t="s">
        <v>6153</v>
      </c>
    </row>
    <row r="11490" spans="8:8">
      <c r="H11490" s="680" t="s">
        <v>6153</v>
      </c>
    </row>
    <row r="11491" spans="8:8">
      <c r="H11491" s="680" t="s">
        <v>6153</v>
      </c>
    </row>
    <row r="11492" spans="8:8">
      <c r="H11492" s="680" t="s">
        <v>6153</v>
      </c>
    </row>
    <row r="11493" spans="8:8">
      <c r="H11493" s="680" t="s">
        <v>6153</v>
      </c>
    </row>
    <row r="11494" spans="8:8">
      <c r="H11494" s="680" t="s">
        <v>6153</v>
      </c>
    </row>
    <row r="11495" spans="8:8">
      <c r="H11495" s="680" t="s">
        <v>6153</v>
      </c>
    </row>
    <row r="11496" spans="8:8">
      <c r="H11496" s="680" t="s">
        <v>6153</v>
      </c>
    </row>
    <row r="11497" spans="8:8">
      <c r="H11497" s="680" t="s">
        <v>6153</v>
      </c>
    </row>
    <row r="11498" spans="8:8">
      <c r="H11498" s="680" t="s">
        <v>6153</v>
      </c>
    </row>
    <row r="11499" spans="8:8">
      <c r="H11499" s="680" t="s">
        <v>6153</v>
      </c>
    </row>
    <row r="11500" spans="8:8">
      <c r="H11500" s="680" t="s">
        <v>6153</v>
      </c>
    </row>
    <row r="11501" spans="8:8">
      <c r="H11501" s="680" t="s">
        <v>6153</v>
      </c>
    </row>
    <row r="11502" spans="8:8">
      <c r="H11502" s="680" t="s">
        <v>6153</v>
      </c>
    </row>
    <row r="11503" spans="8:8">
      <c r="H11503" s="680" t="s">
        <v>6153</v>
      </c>
    </row>
    <row r="11504" spans="8:8">
      <c r="H11504" s="680" t="s">
        <v>6153</v>
      </c>
    </row>
    <row r="11505" spans="8:8">
      <c r="H11505" s="680" t="s">
        <v>6153</v>
      </c>
    </row>
    <row r="11506" spans="8:8">
      <c r="H11506" s="680" t="s">
        <v>6153</v>
      </c>
    </row>
    <row r="11507" spans="8:8">
      <c r="H11507" s="680" t="s">
        <v>6153</v>
      </c>
    </row>
    <row r="11508" spans="8:8">
      <c r="H11508" s="680" t="s">
        <v>6153</v>
      </c>
    </row>
    <row r="11509" spans="8:8">
      <c r="H11509" s="680" t="s">
        <v>6153</v>
      </c>
    </row>
    <row r="11510" spans="8:8">
      <c r="H11510" s="680" t="s">
        <v>6153</v>
      </c>
    </row>
    <row r="11511" spans="8:8">
      <c r="H11511" s="680" t="s">
        <v>6153</v>
      </c>
    </row>
    <row r="11512" spans="8:8">
      <c r="H11512" s="680" t="s">
        <v>6153</v>
      </c>
    </row>
    <row r="11513" spans="8:8">
      <c r="H11513" s="680" t="s">
        <v>6153</v>
      </c>
    </row>
    <row r="11514" spans="8:8">
      <c r="H11514" s="680" t="s">
        <v>6153</v>
      </c>
    </row>
    <row r="11515" spans="8:8">
      <c r="H11515" s="680" t="s">
        <v>6153</v>
      </c>
    </row>
    <row r="11516" spans="8:8">
      <c r="H11516" s="680" t="s">
        <v>6153</v>
      </c>
    </row>
    <row r="11517" spans="8:8">
      <c r="H11517" s="680" t="s">
        <v>6153</v>
      </c>
    </row>
    <row r="11518" spans="8:8">
      <c r="H11518" s="680" t="s">
        <v>6153</v>
      </c>
    </row>
    <row r="11519" spans="8:8">
      <c r="H11519" s="680" t="s">
        <v>6153</v>
      </c>
    </row>
    <row r="11520" spans="8:8">
      <c r="H11520" s="680" t="s">
        <v>6153</v>
      </c>
    </row>
    <row r="11521" spans="8:8">
      <c r="H11521" s="680" t="s">
        <v>6153</v>
      </c>
    </row>
    <row r="11522" spans="8:8">
      <c r="H11522" s="680" t="s">
        <v>6153</v>
      </c>
    </row>
    <row r="11523" spans="8:8">
      <c r="H11523" s="680" t="s">
        <v>6153</v>
      </c>
    </row>
    <row r="11524" spans="8:8">
      <c r="H11524" s="680" t="s">
        <v>6153</v>
      </c>
    </row>
    <row r="11525" spans="8:8">
      <c r="H11525" s="680" t="s">
        <v>6153</v>
      </c>
    </row>
    <row r="11526" spans="8:8">
      <c r="H11526" s="680" t="s">
        <v>6153</v>
      </c>
    </row>
    <row r="11527" spans="8:8">
      <c r="H11527" s="680" t="s">
        <v>6153</v>
      </c>
    </row>
    <row r="11528" spans="8:8">
      <c r="H11528" s="680" t="s">
        <v>6153</v>
      </c>
    </row>
    <row r="11529" spans="8:8">
      <c r="H11529" s="680" t="s">
        <v>6153</v>
      </c>
    </row>
    <row r="11530" spans="8:8">
      <c r="H11530" s="680" t="s">
        <v>6153</v>
      </c>
    </row>
    <row r="11531" spans="8:8">
      <c r="H11531" s="680" t="s">
        <v>6153</v>
      </c>
    </row>
    <row r="11532" spans="8:8">
      <c r="H11532" s="680" t="s">
        <v>6153</v>
      </c>
    </row>
    <row r="11533" spans="8:8">
      <c r="H11533" s="680" t="s">
        <v>6153</v>
      </c>
    </row>
    <row r="11534" spans="8:8">
      <c r="H11534" s="680" t="s">
        <v>6153</v>
      </c>
    </row>
    <row r="11535" spans="8:8">
      <c r="H11535" s="680" t="s">
        <v>6153</v>
      </c>
    </row>
    <row r="11536" spans="8:8">
      <c r="H11536" s="680" t="s">
        <v>6153</v>
      </c>
    </row>
    <row r="11537" spans="8:8">
      <c r="H11537" s="680" t="s">
        <v>6153</v>
      </c>
    </row>
    <row r="11538" spans="8:8">
      <c r="H11538" s="680" t="s">
        <v>6153</v>
      </c>
    </row>
    <row r="11539" spans="8:8">
      <c r="H11539" s="680" t="s">
        <v>6153</v>
      </c>
    </row>
    <row r="11540" spans="8:8">
      <c r="H11540" s="680" t="s">
        <v>6153</v>
      </c>
    </row>
    <row r="11541" spans="8:8">
      <c r="H11541" s="680" t="s">
        <v>6153</v>
      </c>
    </row>
    <row r="11542" spans="8:8">
      <c r="H11542" s="680" t="s">
        <v>6153</v>
      </c>
    </row>
    <row r="11543" spans="8:8">
      <c r="H11543" s="680" t="s">
        <v>6153</v>
      </c>
    </row>
    <row r="11544" spans="8:8">
      <c r="H11544" s="680" t="s">
        <v>6153</v>
      </c>
    </row>
    <row r="11545" spans="8:8">
      <c r="H11545" s="680" t="s">
        <v>6153</v>
      </c>
    </row>
    <row r="11546" spans="8:8">
      <c r="H11546" s="680" t="s">
        <v>6153</v>
      </c>
    </row>
    <row r="11547" spans="8:8">
      <c r="H11547" s="680" t="s">
        <v>6153</v>
      </c>
    </row>
    <row r="11548" spans="8:8">
      <c r="H11548" s="680" t="s">
        <v>6153</v>
      </c>
    </row>
    <row r="11549" spans="8:8">
      <c r="H11549" s="680" t="s">
        <v>6153</v>
      </c>
    </row>
    <row r="11550" spans="8:8">
      <c r="H11550" s="680" t="s">
        <v>6153</v>
      </c>
    </row>
    <row r="11551" spans="8:8">
      <c r="H11551" s="680" t="s">
        <v>6153</v>
      </c>
    </row>
    <row r="11552" spans="8:8">
      <c r="H11552" s="680" t="s">
        <v>6153</v>
      </c>
    </row>
    <row r="11553" spans="8:8">
      <c r="H11553" s="680" t="s">
        <v>6153</v>
      </c>
    </row>
    <row r="11554" spans="8:8">
      <c r="H11554" s="680" t="s">
        <v>6153</v>
      </c>
    </row>
    <row r="11555" spans="8:8">
      <c r="H11555" s="680" t="s">
        <v>6153</v>
      </c>
    </row>
    <row r="11556" spans="8:8">
      <c r="H11556" s="680" t="s">
        <v>6153</v>
      </c>
    </row>
    <row r="11557" spans="8:8">
      <c r="H11557" s="680" t="s">
        <v>6153</v>
      </c>
    </row>
    <row r="11558" spans="8:8">
      <c r="H11558" s="680" t="s">
        <v>6153</v>
      </c>
    </row>
    <row r="11559" spans="8:8">
      <c r="H11559" s="680" t="s">
        <v>6153</v>
      </c>
    </row>
    <row r="11560" spans="8:8">
      <c r="H11560" s="680" t="s">
        <v>6153</v>
      </c>
    </row>
    <row r="11561" spans="8:8">
      <c r="H11561" s="680" t="s">
        <v>6153</v>
      </c>
    </row>
    <row r="11562" spans="8:8">
      <c r="H11562" s="680" t="s">
        <v>6153</v>
      </c>
    </row>
    <row r="11563" spans="8:8">
      <c r="H11563" s="680" t="s">
        <v>6153</v>
      </c>
    </row>
    <row r="11564" spans="8:8">
      <c r="H11564" s="680" t="s">
        <v>6153</v>
      </c>
    </row>
    <row r="11565" spans="8:8">
      <c r="H11565" s="680" t="s">
        <v>6153</v>
      </c>
    </row>
    <row r="11566" spans="8:8">
      <c r="H11566" s="680" t="s">
        <v>6153</v>
      </c>
    </row>
    <row r="11567" spans="8:8">
      <c r="H11567" s="680" t="s">
        <v>6153</v>
      </c>
    </row>
    <row r="11568" spans="8:8">
      <c r="H11568" s="680" t="s">
        <v>6153</v>
      </c>
    </row>
    <row r="11569" spans="8:8">
      <c r="H11569" s="680" t="s">
        <v>6153</v>
      </c>
    </row>
    <row r="11570" spans="8:8">
      <c r="H11570" s="680" t="s">
        <v>6153</v>
      </c>
    </row>
    <row r="11571" spans="8:8">
      <c r="H11571" s="680" t="s">
        <v>6153</v>
      </c>
    </row>
    <row r="11572" spans="8:8">
      <c r="H11572" s="680" t="s">
        <v>6153</v>
      </c>
    </row>
    <row r="11573" spans="8:8">
      <c r="H11573" s="680" t="s">
        <v>6153</v>
      </c>
    </row>
    <row r="11574" spans="8:8">
      <c r="H11574" s="680" t="s">
        <v>6153</v>
      </c>
    </row>
    <row r="11575" spans="8:8">
      <c r="H11575" s="680" t="s">
        <v>6153</v>
      </c>
    </row>
    <row r="11576" spans="8:8">
      <c r="H11576" s="680" t="s">
        <v>6153</v>
      </c>
    </row>
    <row r="11577" spans="8:8">
      <c r="H11577" s="680" t="s">
        <v>6153</v>
      </c>
    </row>
    <row r="11578" spans="8:8">
      <c r="H11578" s="680" t="s">
        <v>6153</v>
      </c>
    </row>
    <row r="11579" spans="8:8">
      <c r="H11579" s="680" t="s">
        <v>6153</v>
      </c>
    </row>
    <row r="11580" spans="8:8">
      <c r="H11580" s="680" t="s">
        <v>6153</v>
      </c>
    </row>
    <row r="11581" spans="8:8">
      <c r="H11581" s="680" t="s">
        <v>6153</v>
      </c>
    </row>
    <row r="11582" spans="8:8">
      <c r="H11582" s="680" t="s">
        <v>6153</v>
      </c>
    </row>
    <row r="11583" spans="8:8">
      <c r="H11583" s="680" t="s">
        <v>6153</v>
      </c>
    </row>
    <row r="11584" spans="8:8">
      <c r="H11584" s="680" t="s">
        <v>6153</v>
      </c>
    </row>
    <row r="11585" spans="8:8">
      <c r="H11585" s="680" t="s">
        <v>6153</v>
      </c>
    </row>
    <row r="11586" spans="8:8">
      <c r="H11586" s="680" t="s">
        <v>6153</v>
      </c>
    </row>
    <row r="11587" spans="8:8">
      <c r="H11587" s="680" t="s">
        <v>6153</v>
      </c>
    </row>
    <row r="11588" spans="8:8">
      <c r="H11588" s="680" t="s">
        <v>6153</v>
      </c>
    </row>
    <row r="11589" spans="8:8">
      <c r="H11589" s="680" t="s">
        <v>6153</v>
      </c>
    </row>
    <row r="11590" spans="8:8">
      <c r="H11590" s="680" t="s">
        <v>6153</v>
      </c>
    </row>
    <row r="11591" spans="8:8">
      <c r="H11591" s="680" t="s">
        <v>6153</v>
      </c>
    </row>
    <row r="11592" spans="8:8">
      <c r="H11592" s="680" t="s">
        <v>6153</v>
      </c>
    </row>
    <row r="11593" spans="8:8">
      <c r="H11593" s="680" t="s">
        <v>6153</v>
      </c>
    </row>
    <row r="11594" spans="8:8">
      <c r="H11594" s="680" t="s">
        <v>6153</v>
      </c>
    </row>
    <row r="11595" spans="8:8">
      <c r="H11595" s="680" t="s">
        <v>6153</v>
      </c>
    </row>
    <row r="11596" spans="8:8">
      <c r="H11596" s="680" t="s">
        <v>6153</v>
      </c>
    </row>
    <row r="11597" spans="8:8">
      <c r="H11597" s="680" t="s">
        <v>6153</v>
      </c>
    </row>
    <row r="11598" spans="8:8">
      <c r="H11598" s="680" t="s">
        <v>6153</v>
      </c>
    </row>
    <row r="11599" spans="8:8">
      <c r="H11599" s="680" t="s">
        <v>6153</v>
      </c>
    </row>
    <row r="11600" spans="8:8">
      <c r="H11600" s="680" t="s">
        <v>6153</v>
      </c>
    </row>
    <row r="11601" spans="8:8">
      <c r="H11601" s="680" t="s">
        <v>6153</v>
      </c>
    </row>
    <row r="11602" spans="8:8">
      <c r="H11602" s="680" t="s">
        <v>6153</v>
      </c>
    </row>
    <row r="11603" spans="8:8">
      <c r="H11603" s="680" t="s">
        <v>6153</v>
      </c>
    </row>
    <row r="11604" spans="8:8">
      <c r="H11604" s="680" t="s">
        <v>6153</v>
      </c>
    </row>
    <row r="11605" spans="8:8">
      <c r="H11605" s="680" t="s">
        <v>6153</v>
      </c>
    </row>
    <row r="11606" spans="8:8">
      <c r="H11606" s="680" t="s">
        <v>6153</v>
      </c>
    </row>
    <row r="11607" spans="8:8">
      <c r="H11607" s="680" t="s">
        <v>6153</v>
      </c>
    </row>
    <row r="11608" spans="8:8">
      <c r="H11608" s="680" t="s">
        <v>6153</v>
      </c>
    </row>
    <row r="11609" spans="8:8">
      <c r="H11609" s="680" t="s">
        <v>6153</v>
      </c>
    </row>
    <row r="11610" spans="8:8">
      <c r="H11610" s="680" t="s">
        <v>6153</v>
      </c>
    </row>
    <row r="11611" spans="8:8">
      <c r="H11611" s="680" t="s">
        <v>6153</v>
      </c>
    </row>
    <row r="11612" spans="8:8">
      <c r="H11612" s="680" t="s">
        <v>6153</v>
      </c>
    </row>
    <row r="11613" spans="8:8">
      <c r="H11613" s="680" t="s">
        <v>6153</v>
      </c>
    </row>
    <row r="11614" spans="8:8">
      <c r="H11614" s="680" t="s">
        <v>6153</v>
      </c>
    </row>
    <row r="11615" spans="8:8">
      <c r="H11615" s="680" t="s">
        <v>6153</v>
      </c>
    </row>
    <row r="11616" spans="8:8">
      <c r="H11616" s="680" t="s">
        <v>6153</v>
      </c>
    </row>
    <row r="11617" spans="8:8">
      <c r="H11617" s="680" t="s">
        <v>6153</v>
      </c>
    </row>
    <row r="11618" spans="8:8">
      <c r="H11618" s="680" t="s">
        <v>6153</v>
      </c>
    </row>
    <row r="11619" spans="8:8">
      <c r="H11619" s="680" t="s">
        <v>6153</v>
      </c>
    </row>
    <row r="11620" spans="8:8">
      <c r="H11620" s="680" t="s">
        <v>6153</v>
      </c>
    </row>
    <row r="11621" spans="8:8">
      <c r="H11621" s="680" t="s">
        <v>6153</v>
      </c>
    </row>
    <row r="11622" spans="8:8">
      <c r="H11622" s="680" t="s">
        <v>6153</v>
      </c>
    </row>
    <row r="11623" spans="8:8">
      <c r="H11623" s="680" t="s">
        <v>6153</v>
      </c>
    </row>
    <row r="11624" spans="8:8">
      <c r="H11624" s="680" t="s">
        <v>6153</v>
      </c>
    </row>
    <row r="11625" spans="8:8">
      <c r="H11625" s="680" t="s">
        <v>6153</v>
      </c>
    </row>
    <row r="11626" spans="8:8">
      <c r="H11626" s="680" t="s">
        <v>6153</v>
      </c>
    </row>
    <row r="11627" spans="8:8">
      <c r="H11627" s="680" t="s">
        <v>6153</v>
      </c>
    </row>
    <row r="11628" spans="8:8">
      <c r="H11628" s="680" t="s">
        <v>6153</v>
      </c>
    </row>
    <row r="11629" spans="8:8">
      <c r="H11629" s="680" t="s">
        <v>6153</v>
      </c>
    </row>
    <row r="11630" spans="8:8">
      <c r="H11630" s="680" t="s">
        <v>6153</v>
      </c>
    </row>
    <row r="11631" spans="8:8">
      <c r="H11631" s="680" t="s">
        <v>6153</v>
      </c>
    </row>
    <row r="11632" spans="8:8">
      <c r="H11632" s="680" t="s">
        <v>6153</v>
      </c>
    </row>
    <row r="11633" spans="8:8">
      <c r="H11633" s="680" t="s">
        <v>6153</v>
      </c>
    </row>
    <row r="11634" spans="8:8">
      <c r="H11634" s="680" t="s">
        <v>6153</v>
      </c>
    </row>
    <row r="11635" spans="8:8">
      <c r="H11635" s="680" t="s">
        <v>6153</v>
      </c>
    </row>
    <row r="11636" spans="8:8">
      <c r="H11636" s="680" t="s">
        <v>6153</v>
      </c>
    </row>
    <row r="11637" spans="8:8">
      <c r="H11637" s="680" t="s">
        <v>6153</v>
      </c>
    </row>
    <row r="11638" spans="8:8">
      <c r="H11638" s="680" t="s">
        <v>6153</v>
      </c>
    </row>
    <row r="11639" spans="8:8">
      <c r="H11639" s="680" t="s">
        <v>6153</v>
      </c>
    </row>
    <row r="11640" spans="8:8">
      <c r="H11640" s="680" t="s">
        <v>6153</v>
      </c>
    </row>
    <row r="11641" spans="8:8">
      <c r="H11641" s="680" t="s">
        <v>6153</v>
      </c>
    </row>
    <row r="11642" spans="8:8">
      <c r="H11642" s="680" t="s">
        <v>6153</v>
      </c>
    </row>
    <row r="11643" spans="8:8">
      <c r="H11643" s="680" t="s">
        <v>6153</v>
      </c>
    </row>
    <row r="11644" spans="8:8">
      <c r="H11644" s="680" t="s">
        <v>6153</v>
      </c>
    </row>
    <row r="11645" spans="8:8">
      <c r="H11645" s="680" t="s">
        <v>6153</v>
      </c>
    </row>
    <row r="11646" spans="8:8">
      <c r="H11646" s="680" t="s">
        <v>6153</v>
      </c>
    </row>
    <row r="11647" spans="8:8">
      <c r="H11647" s="680" t="s">
        <v>6153</v>
      </c>
    </row>
    <row r="11648" spans="8:8">
      <c r="H11648" s="680" t="s">
        <v>6153</v>
      </c>
    </row>
    <row r="11649" spans="8:8">
      <c r="H11649" s="680" t="s">
        <v>6153</v>
      </c>
    </row>
    <row r="11650" spans="8:8">
      <c r="H11650" s="680" t="s">
        <v>6153</v>
      </c>
    </row>
    <row r="11651" spans="8:8">
      <c r="H11651" s="680" t="s">
        <v>6153</v>
      </c>
    </row>
    <row r="11652" spans="8:8">
      <c r="H11652" s="680" t="s">
        <v>6153</v>
      </c>
    </row>
    <row r="11653" spans="8:8">
      <c r="H11653" s="680" t="s">
        <v>6153</v>
      </c>
    </row>
    <row r="11654" spans="8:8">
      <c r="H11654" s="680" t="s">
        <v>6153</v>
      </c>
    </row>
    <row r="11655" spans="8:8">
      <c r="H11655" s="680" t="s">
        <v>6153</v>
      </c>
    </row>
    <row r="11656" spans="8:8">
      <c r="H11656" s="680" t="s">
        <v>6153</v>
      </c>
    </row>
    <row r="11657" spans="8:8">
      <c r="H11657" s="680" t="s">
        <v>6153</v>
      </c>
    </row>
    <row r="11658" spans="8:8">
      <c r="H11658" s="680" t="s">
        <v>6153</v>
      </c>
    </row>
    <row r="11659" spans="8:8">
      <c r="H11659" s="680" t="s">
        <v>6153</v>
      </c>
    </row>
    <row r="11660" spans="8:8">
      <c r="H11660" s="680" t="s">
        <v>6153</v>
      </c>
    </row>
    <row r="11661" spans="8:8">
      <c r="H11661" s="680" t="s">
        <v>6153</v>
      </c>
    </row>
    <row r="11662" spans="8:8">
      <c r="H11662" s="680" t="s">
        <v>6153</v>
      </c>
    </row>
    <row r="11663" spans="8:8">
      <c r="H11663" s="680" t="s">
        <v>6153</v>
      </c>
    </row>
    <row r="11664" spans="8:8">
      <c r="H11664" s="680" t="s">
        <v>6153</v>
      </c>
    </row>
    <row r="11665" spans="8:8">
      <c r="H11665" s="680" t="s">
        <v>6153</v>
      </c>
    </row>
    <row r="11666" spans="8:8">
      <c r="H11666" s="680" t="s">
        <v>6153</v>
      </c>
    </row>
    <row r="11667" spans="8:8">
      <c r="H11667" s="680" t="s">
        <v>6153</v>
      </c>
    </row>
    <row r="11668" spans="8:8">
      <c r="H11668" s="680" t="s">
        <v>6153</v>
      </c>
    </row>
    <row r="11669" spans="8:8">
      <c r="H11669" s="680" t="s">
        <v>6153</v>
      </c>
    </row>
    <row r="11670" spans="8:8">
      <c r="H11670" s="680" t="s">
        <v>6153</v>
      </c>
    </row>
    <row r="11671" spans="8:8">
      <c r="H11671" s="680" t="s">
        <v>6153</v>
      </c>
    </row>
    <row r="11672" spans="8:8">
      <c r="H11672" s="680" t="s">
        <v>6153</v>
      </c>
    </row>
    <row r="11673" spans="8:8">
      <c r="H11673" s="680" t="s">
        <v>6153</v>
      </c>
    </row>
    <row r="11674" spans="8:8">
      <c r="H11674" s="680" t="s">
        <v>6153</v>
      </c>
    </row>
    <row r="11675" spans="8:8">
      <c r="H11675" s="680" t="s">
        <v>6153</v>
      </c>
    </row>
    <row r="11676" spans="8:8">
      <c r="H11676" s="680" t="s">
        <v>6153</v>
      </c>
    </row>
    <row r="11677" spans="8:8">
      <c r="H11677" s="680" t="s">
        <v>6153</v>
      </c>
    </row>
    <row r="11678" spans="8:8">
      <c r="H11678" s="680" t="s">
        <v>6153</v>
      </c>
    </row>
    <row r="11679" spans="8:8">
      <c r="H11679" s="680" t="s">
        <v>6153</v>
      </c>
    </row>
    <row r="11680" spans="8:8">
      <c r="H11680" s="680" t="s">
        <v>6153</v>
      </c>
    </row>
    <row r="11681" spans="8:8">
      <c r="H11681" s="680" t="s">
        <v>6153</v>
      </c>
    </row>
    <row r="11682" spans="8:8">
      <c r="H11682" s="680" t="s">
        <v>6153</v>
      </c>
    </row>
    <row r="11683" spans="8:8">
      <c r="H11683" s="680" t="s">
        <v>6153</v>
      </c>
    </row>
    <row r="11684" spans="8:8">
      <c r="H11684" s="680" t="s">
        <v>6153</v>
      </c>
    </row>
    <row r="11685" spans="8:8">
      <c r="H11685" s="680" t="s">
        <v>6153</v>
      </c>
    </row>
    <row r="11686" spans="8:8">
      <c r="H11686" s="680" t="s">
        <v>6153</v>
      </c>
    </row>
    <row r="11687" spans="8:8">
      <c r="H11687" s="680" t="s">
        <v>6153</v>
      </c>
    </row>
    <row r="11688" spans="8:8">
      <c r="H11688" s="680" t="s">
        <v>6153</v>
      </c>
    </row>
    <row r="11689" spans="8:8">
      <c r="H11689" s="680" t="s">
        <v>6153</v>
      </c>
    </row>
    <row r="11690" spans="8:8">
      <c r="H11690" s="680" t="s">
        <v>6153</v>
      </c>
    </row>
    <row r="11691" spans="8:8">
      <c r="H11691" s="680" t="s">
        <v>6153</v>
      </c>
    </row>
    <row r="11692" spans="8:8">
      <c r="H11692" s="680" t="s">
        <v>6153</v>
      </c>
    </row>
    <row r="11693" spans="8:8">
      <c r="H11693" s="680" t="s">
        <v>6153</v>
      </c>
    </row>
    <row r="11694" spans="8:8">
      <c r="H11694" s="680" t="s">
        <v>6153</v>
      </c>
    </row>
    <row r="11695" spans="8:8">
      <c r="H11695" s="680" t="s">
        <v>6153</v>
      </c>
    </row>
    <row r="11696" spans="8:8">
      <c r="H11696" s="680" t="s">
        <v>6153</v>
      </c>
    </row>
    <row r="11697" spans="8:8">
      <c r="H11697" s="680" t="s">
        <v>6153</v>
      </c>
    </row>
    <row r="11698" spans="8:8">
      <c r="H11698" s="680" t="s">
        <v>6153</v>
      </c>
    </row>
    <row r="11699" spans="8:8">
      <c r="H11699" s="680" t="s">
        <v>6153</v>
      </c>
    </row>
    <row r="11700" spans="8:8">
      <c r="H11700" s="680" t="s">
        <v>6153</v>
      </c>
    </row>
    <row r="11701" spans="8:8">
      <c r="H11701" s="680" t="s">
        <v>6153</v>
      </c>
    </row>
    <row r="11702" spans="8:8">
      <c r="H11702" s="680" t="s">
        <v>6153</v>
      </c>
    </row>
    <row r="11703" spans="8:8">
      <c r="H11703" s="680" t="s">
        <v>6153</v>
      </c>
    </row>
    <row r="11704" spans="8:8">
      <c r="H11704" s="680" t="s">
        <v>6153</v>
      </c>
    </row>
    <row r="11705" spans="8:8">
      <c r="H11705" s="680" t="s">
        <v>6153</v>
      </c>
    </row>
    <row r="11706" spans="8:8">
      <c r="H11706" s="680" t="s">
        <v>6153</v>
      </c>
    </row>
    <row r="11707" spans="8:8">
      <c r="H11707" s="680" t="s">
        <v>6153</v>
      </c>
    </row>
    <row r="11708" spans="8:8">
      <c r="H11708" s="680" t="s">
        <v>6153</v>
      </c>
    </row>
    <row r="11709" spans="8:8">
      <c r="H11709" s="680" t="s">
        <v>6153</v>
      </c>
    </row>
    <row r="11710" spans="8:8">
      <c r="H11710" s="680" t="s">
        <v>6153</v>
      </c>
    </row>
    <row r="11711" spans="8:8">
      <c r="H11711" s="680" t="s">
        <v>6153</v>
      </c>
    </row>
    <row r="11712" spans="8:8">
      <c r="H11712" s="680" t="s">
        <v>6153</v>
      </c>
    </row>
    <row r="11713" spans="8:8">
      <c r="H11713" s="680" t="s">
        <v>6153</v>
      </c>
    </row>
    <row r="11714" spans="8:8">
      <c r="H11714" s="680" t="s">
        <v>6153</v>
      </c>
    </row>
    <row r="11715" spans="8:8">
      <c r="H11715" s="680" t="s">
        <v>6153</v>
      </c>
    </row>
    <row r="11716" spans="8:8">
      <c r="H11716" s="680" t="s">
        <v>6153</v>
      </c>
    </row>
    <row r="11717" spans="8:8">
      <c r="H11717" s="680" t="s">
        <v>6153</v>
      </c>
    </row>
    <row r="11718" spans="8:8">
      <c r="H11718" s="680" t="s">
        <v>6153</v>
      </c>
    </row>
    <row r="11719" spans="8:8">
      <c r="H11719" s="680" t="s">
        <v>6153</v>
      </c>
    </row>
    <row r="11720" spans="8:8">
      <c r="H11720" s="680" t="s">
        <v>6153</v>
      </c>
    </row>
    <row r="11721" spans="8:8">
      <c r="H11721" s="680" t="s">
        <v>6153</v>
      </c>
    </row>
    <row r="11722" spans="8:8">
      <c r="H11722" s="680" t="s">
        <v>6153</v>
      </c>
    </row>
    <row r="11723" spans="8:8">
      <c r="H11723" s="680" t="s">
        <v>6153</v>
      </c>
    </row>
    <row r="11724" spans="8:8">
      <c r="H11724" s="680" t="s">
        <v>6153</v>
      </c>
    </row>
    <row r="11725" spans="8:8">
      <c r="H11725" s="680" t="s">
        <v>6153</v>
      </c>
    </row>
    <row r="11726" spans="8:8">
      <c r="H11726" s="680" t="s">
        <v>6153</v>
      </c>
    </row>
    <row r="11727" spans="8:8">
      <c r="H11727" s="680" t="s">
        <v>6153</v>
      </c>
    </row>
    <row r="11728" spans="8:8">
      <c r="H11728" s="680" t="s">
        <v>6153</v>
      </c>
    </row>
    <row r="11729" spans="8:8">
      <c r="H11729" s="680" t="s">
        <v>6153</v>
      </c>
    </row>
    <row r="11730" spans="8:8">
      <c r="H11730" s="680" t="s">
        <v>6153</v>
      </c>
    </row>
    <row r="11731" spans="8:8">
      <c r="H11731" s="680" t="s">
        <v>6153</v>
      </c>
    </row>
    <row r="11732" spans="8:8">
      <c r="H11732" s="680" t="s">
        <v>6153</v>
      </c>
    </row>
    <row r="11733" spans="8:8">
      <c r="H11733" s="680" t="s">
        <v>6153</v>
      </c>
    </row>
    <row r="11734" spans="8:8">
      <c r="H11734" s="680" t="s">
        <v>6153</v>
      </c>
    </row>
    <row r="11735" spans="8:8">
      <c r="H11735" s="680" t="s">
        <v>6153</v>
      </c>
    </row>
    <row r="11736" spans="8:8">
      <c r="H11736" s="680" t="s">
        <v>6153</v>
      </c>
    </row>
    <row r="11737" spans="8:8">
      <c r="H11737" s="680" t="s">
        <v>6153</v>
      </c>
    </row>
    <row r="11738" spans="8:8">
      <c r="H11738" s="680" t="s">
        <v>6153</v>
      </c>
    </row>
    <row r="11739" spans="8:8">
      <c r="H11739" s="680" t="s">
        <v>6153</v>
      </c>
    </row>
    <row r="11740" spans="8:8">
      <c r="H11740" s="680" t="s">
        <v>6153</v>
      </c>
    </row>
    <row r="11741" spans="8:8">
      <c r="H11741" s="680" t="s">
        <v>6153</v>
      </c>
    </row>
    <row r="11742" spans="8:8">
      <c r="H11742" s="680" t="s">
        <v>6153</v>
      </c>
    </row>
    <row r="11743" spans="8:8">
      <c r="H11743" s="680" t="s">
        <v>6153</v>
      </c>
    </row>
    <row r="11744" spans="8:8">
      <c r="H11744" s="680" t="s">
        <v>6153</v>
      </c>
    </row>
    <row r="11745" spans="8:8">
      <c r="H11745" s="680" t="s">
        <v>6153</v>
      </c>
    </row>
    <row r="11746" spans="8:8">
      <c r="H11746" s="680" t="s">
        <v>6153</v>
      </c>
    </row>
    <row r="11747" spans="8:8">
      <c r="H11747" s="680" t="s">
        <v>6153</v>
      </c>
    </row>
    <row r="11748" spans="8:8">
      <c r="H11748" s="680" t="s">
        <v>6153</v>
      </c>
    </row>
    <row r="11749" spans="8:8">
      <c r="H11749" s="680" t="s">
        <v>6153</v>
      </c>
    </row>
    <row r="11750" spans="8:8">
      <c r="H11750" s="680" t="s">
        <v>6153</v>
      </c>
    </row>
    <row r="11751" spans="8:8">
      <c r="H11751" s="680" t="s">
        <v>6153</v>
      </c>
    </row>
    <row r="11752" spans="8:8">
      <c r="H11752" s="680" t="s">
        <v>6153</v>
      </c>
    </row>
    <row r="11753" spans="8:8">
      <c r="H11753" s="680" t="s">
        <v>6153</v>
      </c>
    </row>
    <row r="11754" spans="8:8">
      <c r="H11754" s="680" t="s">
        <v>6153</v>
      </c>
    </row>
    <row r="11755" spans="8:8">
      <c r="H11755" s="680" t="s">
        <v>6153</v>
      </c>
    </row>
    <row r="11756" spans="8:8">
      <c r="H11756" s="680" t="s">
        <v>6153</v>
      </c>
    </row>
    <row r="11757" spans="8:8">
      <c r="H11757" s="680" t="s">
        <v>6153</v>
      </c>
    </row>
    <row r="11758" spans="8:8">
      <c r="H11758" s="680" t="s">
        <v>6153</v>
      </c>
    </row>
    <row r="11759" spans="8:8">
      <c r="H11759" s="680" t="s">
        <v>6153</v>
      </c>
    </row>
    <row r="11760" spans="8:8">
      <c r="H11760" s="680" t="s">
        <v>6153</v>
      </c>
    </row>
    <row r="11761" spans="8:8">
      <c r="H11761" s="680" t="s">
        <v>6153</v>
      </c>
    </row>
    <row r="11762" spans="8:8">
      <c r="H11762" s="680" t="s">
        <v>6153</v>
      </c>
    </row>
    <row r="11763" spans="8:8">
      <c r="H11763" s="680" t="s">
        <v>6153</v>
      </c>
    </row>
    <row r="11764" spans="8:8">
      <c r="H11764" s="680" t="s">
        <v>6153</v>
      </c>
    </row>
    <row r="11765" spans="8:8">
      <c r="H11765" s="680" t="s">
        <v>6153</v>
      </c>
    </row>
    <row r="11766" spans="8:8">
      <c r="H11766" s="680" t="s">
        <v>6153</v>
      </c>
    </row>
    <row r="11767" spans="8:8">
      <c r="H11767" s="680" t="s">
        <v>6153</v>
      </c>
    </row>
    <row r="11768" spans="8:8">
      <c r="H11768" s="680" t="s">
        <v>6153</v>
      </c>
    </row>
    <row r="11769" spans="8:8">
      <c r="H11769" s="680" t="s">
        <v>6153</v>
      </c>
    </row>
    <row r="11770" spans="8:8">
      <c r="H11770" s="680" t="s">
        <v>6153</v>
      </c>
    </row>
    <row r="11771" spans="8:8">
      <c r="H11771" s="680" t="s">
        <v>6153</v>
      </c>
    </row>
    <row r="11772" spans="8:8">
      <c r="H11772" s="680" t="s">
        <v>6153</v>
      </c>
    </row>
    <row r="11773" spans="8:8">
      <c r="H11773" s="680" t="s">
        <v>6153</v>
      </c>
    </row>
    <row r="11774" spans="8:8">
      <c r="H11774" s="680" t="s">
        <v>6153</v>
      </c>
    </row>
    <row r="11775" spans="8:8">
      <c r="H11775" s="680" t="s">
        <v>6153</v>
      </c>
    </row>
    <row r="11776" spans="8:8">
      <c r="H11776" s="680" t="s">
        <v>6153</v>
      </c>
    </row>
    <row r="11777" spans="8:8">
      <c r="H11777" s="680" t="s">
        <v>6153</v>
      </c>
    </row>
    <row r="11778" spans="8:8">
      <c r="H11778" s="680" t="s">
        <v>6153</v>
      </c>
    </row>
    <row r="11779" spans="8:8">
      <c r="H11779" s="680" t="s">
        <v>6153</v>
      </c>
    </row>
    <row r="11780" spans="8:8">
      <c r="H11780" s="680" t="s">
        <v>6153</v>
      </c>
    </row>
    <row r="11781" spans="8:8">
      <c r="H11781" s="680" t="s">
        <v>6153</v>
      </c>
    </row>
    <row r="11782" spans="8:8">
      <c r="H11782" s="680" t="s">
        <v>6153</v>
      </c>
    </row>
    <row r="11783" spans="8:8">
      <c r="H11783" s="680" t="s">
        <v>6153</v>
      </c>
    </row>
    <row r="11784" spans="8:8">
      <c r="H11784" s="680" t="s">
        <v>6153</v>
      </c>
    </row>
    <row r="11785" spans="8:8">
      <c r="H11785" s="680" t="s">
        <v>6153</v>
      </c>
    </row>
    <row r="11786" spans="8:8">
      <c r="H11786" s="680" t="s">
        <v>6153</v>
      </c>
    </row>
    <row r="11787" spans="8:8">
      <c r="H11787" s="680" t="s">
        <v>6153</v>
      </c>
    </row>
    <row r="11788" spans="8:8">
      <c r="H11788" s="680" t="s">
        <v>6153</v>
      </c>
    </row>
    <row r="11789" spans="8:8">
      <c r="H11789" s="680" t="s">
        <v>6153</v>
      </c>
    </row>
    <row r="11790" spans="8:8">
      <c r="H11790" s="680" t="s">
        <v>6153</v>
      </c>
    </row>
    <row r="11791" spans="8:8">
      <c r="H11791" s="680" t="s">
        <v>6153</v>
      </c>
    </row>
    <row r="11792" spans="8:8">
      <c r="H11792" s="680" t="s">
        <v>6153</v>
      </c>
    </row>
    <row r="11793" spans="8:8">
      <c r="H11793" s="680" t="s">
        <v>6153</v>
      </c>
    </row>
    <row r="11794" spans="8:8">
      <c r="H11794" s="680" t="s">
        <v>6153</v>
      </c>
    </row>
    <row r="11795" spans="8:8">
      <c r="H11795" s="680" t="s">
        <v>6153</v>
      </c>
    </row>
    <row r="11796" spans="8:8">
      <c r="H11796" s="680" t="s">
        <v>6153</v>
      </c>
    </row>
    <row r="11797" spans="8:8">
      <c r="H11797" s="680" t="s">
        <v>6153</v>
      </c>
    </row>
    <row r="11798" spans="8:8">
      <c r="H11798" s="680" t="s">
        <v>6153</v>
      </c>
    </row>
    <row r="11799" spans="8:8">
      <c r="H11799" s="680" t="s">
        <v>6153</v>
      </c>
    </row>
    <row r="11800" spans="8:8">
      <c r="H11800" s="680" t="s">
        <v>6153</v>
      </c>
    </row>
    <row r="11801" spans="8:8">
      <c r="H11801" s="680" t="s">
        <v>6153</v>
      </c>
    </row>
    <row r="11802" spans="8:8">
      <c r="H11802" s="680" t="s">
        <v>6153</v>
      </c>
    </row>
    <row r="11803" spans="8:8">
      <c r="H11803" s="680" t="s">
        <v>6153</v>
      </c>
    </row>
    <row r="11804" spans="8:8">
      <c r="H11804" s="680" t="s">
        <v>6153</v>
      </c>
    </row>
    <row r="11805" spans="8:8">
      <c r="H11805" s="680" t="s">
        <v>6153</v>
      </c>
    </row>
    <row r="11806" spans="8:8">
      <c r="H11806" s="680" t="s">
        <v>6153</v>
      </c>
    </row>
    <row r="11807" spans="8:8">
      <c r="H11807" s="680" t="s">
        <v>6153</v>
      </c>
    </row>
    <row r="11808" spans="8:8">
      <c r="H11808" s="680" t="s">
        <v>6153</v>
      </c>
    </row>
    <row r="11809" spans="8:8">
      <c r="H11809" s="680" t="s">
        <v>6153</v>
      </c>
    </row>
    <row r="11810" spans="8:8">
      <c r="H11810" s="680" t="s">
        <v>6153</v>
      </c>
    </row>
    <row r="11811" spans="8:8">
      <c r="H11811" s="680" t="s">
        <v>6153</v>
      </c>
    </row>
    <row r="11812" spans="8:8">
      <c r="H11812" s="680" t="s">
        <v>6153</v>
      </c>
    </row>
    <row r="11813" spans="8:8">
      <c r="H11813" s="680" t="s">
        <v>6153</v>
      </c>
    </row>
    <row r="11814" spans="8:8">
      <c r="H11814" s="680" t="s">
        <v>6153</v>
      </c>
    </row>
    <row r="11815" spans="8:8">
      <c r="H11815" s="680" t="s">
        <v>6153</v>
      </c>
    </row>
    <row r="11816" spans="8:8">
      <c r="H11816" s="680" t="s">
        <v>6153</v>
      </c>
    </row>
    <row r="11817" spans="8:8">
      <c r="H11817" s="680" t="s">
        <v>6153</v>
      </c>
    </row>
    <row r="11818" spans="8:8">
      <c r="H11818" s="680" t="s">
        <v>6153</v>
      </c>
    </row>
    <row r="11819" spans="8:8">
      <c r="H11819" s="680" t="s">
        <v>6153</v>
      </c>
    </row>
    <row r="11820" spans="8:8">
      <c r="H11820" s="680" t="s">
        <v>6153</v>
      </c>
    </row>
    <row r="11821" spans="8:8">
      <c r="H11821" s="680" t="s">
        <v>6153</v>
      </c>
    </row>
    <row r="11822" spans="8:8">
      <c r="H11822" s="680" t="s">
        <v>6153</v>
      </c>
    </row>
    <row r="11823" spans="8:8">
      <c r="H11823" s="680" t="s">
        <v>6153</v>
      </c>
    </row>
    <row r="11824" spans="8:8">
      <c r="H11824" s="680" t="s">
        <v>6153</v>
      </c>
    </row>
    <row r="11825" spans="8:8">
      <c r="H11825" s="680" t="s">
        <v>6153</v>
      </c>
    </row>
    <row r="11826" spans="8:8">
      <c r="H11826" s="680" t="s">
        <v>6153</v>
      </c>
    </row>
    <row r="11827" spans="8:8">
      <c r="H11827" s="680" t="s">
        <v>6153</v>
      </c>
    </row>
    <row r="11828" spans="8:8">
      <c r="H11828" s="680" t="s">
        <v>6153</v>
      </c>
    </row>
    <row r="11829" spans="8:8">
      <c r="H11829" s="680" t="s">
        <v>6153</v>
      </c>
    </row>
    <row r="11830" spans="8:8">
      <c r="H11830" s="680" t="s">
        <v>6153</v>
      </c>
    </row>
    <row r="11831" spans="8:8">
      <c r="H11831" s="680" t="s">
        <v>6153</v>
      </c>
    </row>
    <row r="11832" spans="8:8">
      <c r="H11832" s="680" t="s">
        <v>6153</v>
      </c>
    </row>
    <row r="11833" spans="8:8">
      <c r="H11833" s="680" t="s">
        <v>6153</v>
      </c>
    </row>
    <row r="11834" spans="8:8">
      <c r="H11834" s="680" t="s">
        <v>6153</v>
      </c>
    </row>
    <row r="11835" spans="8:8">
      <c r="H11835" s="680" t="s">
        <v>6153</v>
      </c>
    </row>
    <row r="11836" spans="8:8">
      <c r="H11836" s="680" t="s">
        <v>6153</v>
      </c>
    </row>
    <row r="11837" spans="8:8">
      <c r="H11837" s="680" t="s">
        <v>6153</v>
      </c>
    </row>
    <row r="11838" spans="8:8">
      <c r="H11838" s="680" t="s">
        <v>6153</v>
      </c>
    </row>
    <row r="11839" spans="8:8">
      <c r="H11839" s="680" t="s">
        <v>6153</v>
      </c>
    </row>
    <row r="11840" spans="8:8">
      <c r="H11840" s="680" t="s">
        <v>6153</v>
      </c>
    </row>
    <row r="11841" spans="8:8">
      <c r="H11841" s="680" t="s">
        <v>6153</v>
      </c>
    </row>
    <row r="11842" spans="8:8">
      <c r="H11842" s="680" t="s">
        <v>6153</v>
      </c>
    </row>
    <row r="11843" spans="8:8">
      <c r="H11843" s="680" t="s">
        <v>6153</v>
      </c>
    </row>
    <row r="11844" spans="8:8">
      <c r="H11844" s="680" t="s">
        <v>6153</v>
      </c>
    </row>
    <row r="11845" spans="8:8">
      <c r="H11845" s="680" t="s">
        <v>6153</v>
      </c>
    </row>
    <row r="11846" spans="8:8">
      <c r="H11846" s="680" t="s">
        <v>6153</v>
      </c>
    </row>
    <row r="11847" spans="8:8">
      <c r="H11847" s="680" t="s">
        <v>6153</v>
      </c>
    </row>
    <row r="11848" spans="8:8">
      <c r="H11848" s="680" t="s">
        <v>6153</v>
      </c>
    </row>
    <row r="11849" spans="8:8">
      <c r="H11849" s="680" t="s">
        <v>6153</v>
      </c>
    </row>
    <row r="11850" spans="8:8">
      <c r="H11850" s="680" t="s">
        <v>6153</v>
      </c>
    </row>
    <row r="11851" spans="8:8">
      <c r="H11851" s="680" t="s">
        <v>6153</v>
      </c>
    </row>
    <row r="11852" spans="8:8">
      <c r="H11852" s="680" t="s">
        <v>6153</v>
      </c>
    </row>
    <row r="11853" spans="8:8">
      <c r="H11853" s="680" t="s">
        <v>6153</v>
      </c>
    </row>
    <row r="11854" spans="8:8">
      <c r="H11854" s="680" t="s">
        <v>6153</v>
      </c>
    </row>
    <row r="11855" spans="8:8">
      <c r="H11855" s="680" t="s">
        <v>6153</v>
      </c>
    </row>
    <row r="11856" spans="8:8">
      <c r="H11856" s="680" t="s">
        <v>6153</v>
      </c>
    </row>
    <row r="11857" spans="8:8">
      <c r="H11857" s="680" t="s">
        <v>6153</v>
      </c>
    </row>
    <row r="11858" spans="8:8">
      <c r="H11858" s="680" t="s">
        <v>6153</v>
      </c>
    </row>
    <row r="11859" spans="8:8">
      <c r="H11859" s="680" t="s">
        <v>6153</v>
      </c>
    </row>
    <row r="11860" spans="8:8">
      <c r="H11860" s="680" t="s">
        <v>6153</v>
      </c>
    </row>
    <row r="11861" spans="8:8">
      <c r="H11861" s="680" t="s">
        <v>6153</v>
      </c>
    </row>
    <row r="11862" spans="8:8">
      <c r="H11862" s="680" t="s">
        <v>6153</v>
      </c>
    </row>
    <row r="11863" spans="8:8">
      <c r="H11863" s="680" t="s">
        <v>6153</v>
      </c>
    </row>
    <row r="11864" spans="8:8">
      <c r="H11864" s="680" t="s">
        <v>6153</v>
      </c>
    </row>
    <row r="11865" spans="8:8">
      <c r="H11865" s="680" t="s">
        <v>6153</v>
      </c>
    </row>
    <row r="11866" spans="8:8">
      <c r="H11866" s="680" t="s">
        <v>6153</v>
      </c>
    </row>
    <row r="11867" spans="8:8">
      <c r="H11867" s="680" t="s">
        <v>6153</v>
      </c>
    </row>
    <row r="11868" spans="8:8">
      <c r="H11868" s="680" t="s">
        <v>6153</v>
      </c>
    </row>
    <row r="11869" spans="8:8">
      <c r="H11869" s="680" t="s">
        <v>6153</v>
      </c>
    </row>
    <row r="11870" spans="8:8">
      <c r="H11870" s="680" t="s">
        <v>6153</v>
      </c>
    </row>
    <row r="11871" spans="8:8">
      <c r="H11871" s="680" t="s">
        <v>6153</v>
      </c>
    </row>
    <row r="11872" spans="8:8">
      <c r="H11872" s="680" t="s">
        <v>6153</v>
      </c>
    </row>
    <row r="11873" spans="8:8">
      <c r="H11873" s="680" t="s">
        <v>6153</v>
      </c>
    </row>
    <row r="11874" spans="8:8">
      <c r="H11874" s="680" t="s">
        <v>6153</v>
      </c>
    </row>
    <row r="11875" spans="8:8">
      <c r="H11875" s="680" t="s">
        <v>6153</v>
      </c>
    </row>
    <row r="11876" spans="8:8">
      <c r="H11876" s="680" t="s">
        <v>6153</v>
      </c>
    </row>
    <row r="11877" spans="8:8">
      <c r="H11877" s="680" t="s">
        <v>6153</v>
      </c>
    </row>
    <row r="11878" spans="8:8">
      <c r="H11878" s="680" t="s">
        <v>6153</v>
      </c>
    </row>
    <row r="11879" spans="8:8">
      <c r="H11879" s="680" t="s">
        <v>6153</v>
      </c>
    </row>
    <row r="11880" spans="8:8">
      <c r="H11880" s="680" t="s">
        <v>6153</v>
      </c>
    </row>
    <row r="11881" spans="8:8">
      <c r="H11881" s="680" t="s">
        <v>6153</v>
      </c>
    </row>
    <row r="11882" spans="8:8">
      <c r="H11882" s="680" t="s">
        <v>6153</v>
      </c>
    </row>
    <row r="11883" spans="8:8">
      <c r="H11883" s="680" t="s">
        <v>6153</v>
      </c>
    </row>
    <row r="11884" spans="8:8">
      <c r="H11884" s="680" t="s">
        <v>6153</v>
      </c>
    </row>
    <row r="11885" spans="8:8">
      <c r="H11885" s="680" t="s">
        <v>6153</v>
      </c>
    </row>
    <row r="11886" spans="8:8">
      <c r="H11886" s="680" t="s">
        <v>6153</v>
      </c>
    </row>
    <row r="11887" spans="8:8">
      <c r="H11887" s="680" t="s">
        <v>6153</v>
      </c>
    </row>
    <row r="11888" spans="8:8">
      <c r="H11888" s="680" t="s">
        <v>6153</v>
      </c>
    </row>
    <row r="11889" spans="8:8">
      <c r="H11889" s="680" t="s">
        <v>6153</v>
      </c>
    </row>
    <row r="11890" spans="8:8">
      <c r="H11890" s="680" t="s">
        <v>6153</v>
      </c>
    </row>
    <row r="11891" spans="8:8">
      <c r="H11891" s="680" t="s">
        <v>6153</v>
      </c>
    </row>
    <row r="11892" spans="8:8">
      <c r="H11892" s="680" t="s">
        <v>6153</v>
      </c>
    </row>
    <row r="11893" spans="8:8">
      <c r="H11893" s="680" t="s">
        <v>6153</v>
      </c>
    </row>
    <row r="11894" spans="8:8">
      <c r="H11894" s="680" t="s">
        <v>6153</v>
      </c>
    </row>
    <row r="11895" spans="8:8">
      <c r="H11895" s="680" t="s">
        <v>6153</v>
      </c>
    </row>
    <row r="11896" spans="8:8">
      <c r="H11896" s="680" t="s">
        <v>6153</v>
      </c>
    </row>
    <row r="11897" spans="8:8">
      <c r="H11897" s="680" t="s">
        <v>6153</v>
      </c>
    </row>
    <row r="11898" spans="8:8">
      <c r="H11898" s="680" t="s">
        <v>6153</v>
      </c>
    </row>
    <row r="11899" spans="8:8">
      <c r="H11899" s="680" t="s">
        <v>6153</v>
      </c>
    </row>
    <row r="11900" spans="8:8">
      <c r="H11900" s="680" t="s">
        <v>6153</v>
      </c>
    </row>
    <row r="11901" spans="8:8">
      <c r="H11901" s="680" t="s">
        <v>6153</v>
      </c>
    </row>
    <row r="11902" spans="8:8">
      <c r="H11902" s="680" t="s">
        <v>6153</v>
      </c>
    </row>
    <row r="11903" spans="8:8">
      <c r="H11903" s="680" t="s">
        <v>6153</v>
      </c>
    </row>
    <row r="11904" spans="8:8">
      <c r="H11904" s="680" t="s">
        <v>6153</v>
      </c>
    </row>
    <row r="11905" spans="8:8">
      <c r="H11905" s="680" t="s">
        <v>6153</v>
      </c>
    </row>
    <row r="11906" spans="8:8">
      <c r="H11906" s="680" t="s">
        <v>6153</v>
      </c>
    </row>
    <row r="11907" spans="8:8">
      <c r="H11907" s="680" t="s">
        <v>6153</v>
      </c>
    </row>
    <row r="11908" spans="8:8">
      <c r="H11908" s="680" t="s">
        <v>6153</v>
      </c>
    </row>
    <row r="11909" spans="8:8">
      <c r="H11909" s="680" t="s">
        <v>6153</v>
      </c>
    </row>
    <row r="11910" spans="8:8">
      <c r="H11910" s="680" t="s">
        <v>6153</v>
      </c>
    </row>
    <row r="11911" spans="8:8">
      <c r="H11911" s="680" t="s">
        <v>6153</v>
      </c>
    </row>
    <row r="11912" spans="8:8">
      <c r="H11912" s="680" t="s">
        <v>6153</v>
      </c>
    </row>
    <row r="11913" spans="8:8">
      <c r="H11913" s="680" t="s">
        <v>6153</v>
      </c>
    </row>
    <row r="11914" spans="8:8">
      <c r="H11914" s="680" t="s">
        <v>6153</v>
      </c>
    </row>
    <row r="11915" spans="8:8">
      <c r="H11915" s="680" t="s">
        <v>6153</v>
      </c>
    </row>
    <row r="11916" spans="8:8">
      <c r="H11916" s="680" t="s">
        <v>6153</v>
      </c>
    </row>
    <row r="11917" spans="8:8">
      <c r="H11917" s="680" t="s">
        <v>6153</v>
      </c>
    </row>
    <row r="11918" spans="8:8">
      <c r="H11918" s="680" t="s">
        <v>6153</v>
      </c>
    </row>
    <row r="11919" spans="8:8">
      <c r="H11919" s="680" t="s">
        <v>6153</v>
      </c>
    </row>
    <row r="11920" spans="8:8">
      <c r="H11920" s="680" t="s">
        <v>6153</v>
      </c>
    </row>
    <row r="11921" spans="8:8">
      <c r="H11921" s="680" t="s">
        <v>6153</v>
      </c>
    </row>
    <row r="11922" spans="8:8">
      <c r="H11922" s="680" t="s">
        <v>6153</v>
      </c>
    </row>
    <row r="11923" spans="8:8">
      <c r="H11923" s="680" t="s">
        <v>6153</v>
      </c>
    </row>
    <row r="11924" spans="8:8">
      <c r="H11924" s="680" t="s">
        <v>6153</v>
      </c>
    </row>
    <row r="11925" spans="8:8">
      <c r="H11925" s="680" t="s">
        <v>6153</v>
      </c>
    </row>
    <row r="11926" spans="8:8">
      <c r="H11926" s="680" t="s">
        <v>6153</v>
      </c>
    </row>
    <row r="11927" spans="8:8">
      <c r="H11927" s="680" t="s">
        <v>6153</v>
      </c>
    </row>
    <row r="11928" spans="8:8">
      <c r="H11928" s="680" t="s">
        <v>6153</v>
      </c>
    </row>
    <row r="11929" spans="8:8">
      <c r="H11929" s="680" t="s">
        <v>6153</v>
      </c>
    </row>
    <row r="11930" spans="8:8">
      <c r="H11930" s="680" t="s">
        <v>6153</v>
      </c>
    </row>
    <row r="11931" spans="8:8">
      <c r="H11931" s="680" t="s">
        <v>6153</v>
      </c>
    </row>
    <row r="11932" spans="8:8">
      <c r="H11932" s="680" t="s">
        <v>6153</v>
      </c>
    </row>
    <row r="11933" spans="8:8">
      <c r="H11933" s="680" t="s">
        <v>6153</v>
      </c>
    </row>
    <row r="11934" spans="8:8">
      <c r="H11934" s="680" t="s">
        <v>6153</v>
      </c>
    </row>
    <row r="11935" spans="8:8">
      <c r="H11935" s="680" t="s">
        <v>6153</v>
      </c>
    </row>
    <row r="11936" spans="8:8">
      <c r="H11936" s="680" t="s">
        <v>6153</v>
      </c>
    </row>
    <row r="11937" spans="8:8">
      <c r="H11937" s="680" t="s">
        <v>6153</v>
      </c>
    </row>
    <row r="11938" spans="8:8">
      <c r="H11938" s="680" t="s">
        <v>6153</v>
      </c>
    </row>
    <row r="11939" spans="8:8">
      <c r="H11939" s="680" t="s">
        <v>6153</v>
      </c>
    </row>
    <row r="11940" spans="8:8">
      <c r="H11940" s="680" t="s">
        <v>6153</v>
      </c>
    </row>
    <row r="11941" spans="8:8">
      <c r="H11941" s="680" t="s">
        <v>6153</v>
      </c>
    </row>
    <row r="11942" spans="8:8">
      <c r="H11942" s="680" t="s">
        <v>6153</v>
      </c>
    </row>
    <row r="11943" spans="8:8">
      <c r="H11943" s="680" t="s">
        <v>6153</v>
      </c>
    </row>
    <row r="11944" spans="8:8">
      <c r="H11944" s="680" t="s">
        <v>6153</v>
      </c>
    </row>
    <row r="11945" spans="8:8">
      <c r="H11945" s="680" t="s">
        <v>6153</v>
      </c>
    </row>
    <row r="11946" spans="8:8">
      <c r="H11946" s="680" t="s">
        <v>6153</v>
      </c>
    </row>
    <row r="11947" spans="8:8">
      <c r="H11947" s="680" t="s">
        <v>6153</v>
      </c>
    </row>
    <row r="11948" spans="8:8">
      <c r="H11948" s="680" t="s">
        <v>6153</v>
      </c>
    </row>
    <row r="11949" spans="8:8">
      <c r="H11949" s="680" t="s">
        <v>6153</v>
      </c>
    </row>
    <row r="11950" spans="8:8">
      <c r="H11950" s="680" t="s">
        <v>6153</v>
      </c>
    </row>
    <row r="11951" spans="8:8">
      <c r="H11951" s="680" t="s">
        <v>6153</v>
      </c>
    </row>
    <row r="11952" spans="8:8">
      <c r="H11952" s="680" t="s">
        <v>6153</v>
      </c>
    </row>
    <row r="11953" spans="8:8">
      <c r="H11953" s="680" t="s">
        <v>6153</v>
      </c>
    </row>
    <row r="11954" spans="8:8">
      <c r="H11954" s="680" t="s">
        <v>6153</v>
      </c>
    </row>
    <row r="11955" spans="8:8">
      <c r="H11955" s="680" t="s">
        <v>6153</v>
      </c>
    </row>
    <row r="11956" spans="8:8">
      <c r="H11956" s="680" t="s">
        <v>6153</v>
      </c>
    </row>
    <row r="11957" spans="8:8">
      <c r="H11957" s="680" t="s">
        <v>6153</v>
      </c>
    </row>
    <row r="11958" spans="8:8">
      <c r="H11958" s="680" t="s">
        <v>6153</v>
      </c>
    </row>
    <row r="11959" spans="8:8">
      <c r="H11959" s="680" t="s">
        <v>6153</v>
      </c>
    </row>
    <row r="11960" spans="8:8">
      <c r="H11960" s="680" t="s">
        <v>6153</v>
      </c>
    </row>
    <row r="11961" spans="8:8">
      <c r="H11961" s="680" t="s">
        <v>6153</v>
      </c>
    </row>
    <row r="11962" spans="8:8">
      <c r="H11962" s="680" t="s">
        <v>6153</v>
      </c>
    </row>
    <row r="11963" spans="8:8">
      <c r="H11963" s="680" t="s">
        <v>6153</v>
      </c>
    </row>
    <row r="11964" spans="8:8">
      <c r="H11964" s="680" t="s">
        <v>6153</v>
      </c>
    </row>
    <row r="11965" spans="8:8">
      <c r="H11965" s="680" t="s">
        <v>6153</v>
      </c>
    </row>
    <row r="11966" spans="8:8">
      <c r="H11966" s="680" t="s">
        <v>6153</v>
      </c>
    </row>
    <row r="11967" spans="8:8">
      <c r="H11967" s="680" t="s">
        <v>6153</v>
      </c>
    </row>
    <row r="11968" spans="8:8">
      <c r="H11968" s="680" t="s">
        <v>6153</v>
      </c>
    </row>
    <row r="11969" spans="8:8">
      <c r="H11969" s="680" t="s">
        <v>6153</v>
      </c>
    </row>
    <row r="11970" spans="8:8">
      <c r="H11970" s="680" t="s">
        <v>6153</v>
      </c>
    </row>
    <row r="11971" spans="8:8">
      <c r="H11971" s="680" t="s">
        <v>6153</v>
      </c>
    </row>
    <row r="11972" spans="8:8">
      <c r="H11972" s="680" t="s">
        <v>6153</v>
      </c>
    </row>
    <row r="11973" spans="8:8">
      <c r="H11973" s="680" t="s">
        <v>6153</v>
      </c>
    </row>
    <row r="11974" spans="8:8">
      <c r="H11974" s="680" t="s">
        <v>6153</v>
      </c>
    </row>
    <row r="11975" spans="8:8">
      <c r="H11975" s="680" t="s">
        <v>6153</v>
      </c>
    </row>
    <row r="11976" spans="8:8">
      <c r="H11976" s="680" t="s">
        <v>6153</v>
      </c>
    </row>
    <row r="11977" spans="8:8">
      <c r="H11977" s="680" t="s">
        <v>6153</v>
      </c>
    </row>
    <row r="11978" spans="8:8">
      <c r="H11978" s="680" t="s">
        <v>6153</v>
      </c>
    </row>
    <row r="11979" spans="8:8">
      <c r="H11979" s="680" t="s">
        <v>6153</v>
      </c>
    </row>
    <row r="11980" spans="8:8">
      <c r="H11980" s="680" t="s">
        <v>6153</v>
      </c>
    </row>
    <row r="11981" spans="8:8">
      <c r="H11981" s="680" t="s">
        <v>6153</v>
      </c>
    </row>
    <row r="11982" spans="8:8">
      <c r="H11982" s="680" t="s">
        <v>6153</v>
      </c>
    </row>
    <row r="11983" spans="8:8">
      <c r="H11983" s="680" t="s">
        <v>6153</v>
      </c>
    </row>
    <row r="11984" spans="8:8">
      <c r="H11984" s="680" t="s">
        <v>6153</v>
      </c>
    </row>
    <row r="11985" spans="8:8">
      <c r="H11985" s="680" t="s">
        <v>6153</v>
      </c>
    </row>
    <row r="11986" spans="8:8">
      <c r="H11986" s="680" t="s">
        <v>6153</v>
      </c>
    </row>
    <row r="11987" spans="8:8">
      <c r="H11987" s="680" t="s">
        <v>6153</v>
      </c>
    </row>
    <row r="11988" spans="8:8">
      <c r="H11988" s="680" t="s">
        <v>6153</v>
      </c>
    </row>
    <row r="11989" spans="8:8">
      <c r="H11989" s="680" t="s">
        <v>6153</v>
      </c>
    </row>
    <row r="11990" spans="8:8">
      <c r="H11990" s="680" t="s">
        <v>6153</v>
      </c>
    </row>
    <row r="11991" spans="8:8">
      <c r="H11991" s="680" t="s">
        <v>6153</v>
      </c>
    </row>
    <row r="11992" spans="8:8">
      <c r="H11992" s="680" t="s">
        <v>6153</v>
      </c>
    </row>
    <row r="11993" spans="8:8">
      <c r="H11993" s="680" t="s">
        <v>6153</v>
      </c>
    </row>
    <row r="11994" spans="8:8">
      <c r="H11994" s="680" t="s">
        <v>6153</v>
      </c>
    </row>
    <row r="11995" spans="8:8">
      <c r="H11995" s="680" t="s">
        <v>6153</v>
      </c>
    </row>
    <row r="11996" spans="8:8">
      <c r="H11996" s="680" t="s">
        <v>6153</v>
      </c>
    </row>
    <row r="11997" spans="8:8">
      <c r="H11997" s="680" t="s">
        <v>6153</v>
      </c>
    </row>
    <row r="11998" spans="8:8">
      <c r="H11998" s="680" t="s">
        <v>6153</v>
      </c>
    </row>
    <row r="11999" spans="8:8">
      <c r="H11999" s="680" t="s">
        <v>6153</v>
      </c>
    </row>
    <row r="12000" spans="8:8">
      <c r="H12000" s="680" t="s">
        <v>6153</v>
      </c>
    </row>
    <row r="12001" spans="8:8">
      <c r="H12001" s="680" t="s">
        <v>6153</v>
      </c>
    </row>
    <row r="12002" spans="8:8">
      <c r="H12002" s="680" t="s">
        <v>6153</v>
      </c>
    </row>
    <row r="12003" spans="8:8">
      <c r="H12003" s="680" t="s">
        <v>6153</v>
      </c>
    </row>
    <row r="12004" spans="8:8">
      <c r="H12004" s="680" t="s">
        <v>6153</v>
      </c>
    </row>
    <row r="12005" spans="8:8">
      <c r="H12005" s="680" t="s">
        <v>6153</v>
      </c>
    </row>
    <row r="12006" spans="8:8">
      <c r="H12006" s="680" t="s">
        <v>6153</v>
      </c>
    </row>
    <row r="12007" spans="8:8">
      <c r="H12007" s="680" t="s">
        <v>6153</v>
      </c>
    </row>
    <row r="12008" spans="8:8">
      <c r="H12008" s="680" t="s">
        <v>6153</v>
      </c>
    </row>
    <row r="12009" spans="8:8">
      <c r="H12009" s="680" t="s">
        <v>6153</v>
      </c>
    </row>
    <row r="12010" spans="8:8">
      <c r="H12010" s="680" t="s">
        <v>6153</v>
      </c>
    </row>
    <row r="12011" spans="8:8">
      <c r="H12011" s="680" t="s">
        <v>6153</v>
      </c>
    </row>
    <row r="12012" spans="8:8">
      <c r="H12012" s="680" t="s">
        <v>6153</v>
      </c>
    </row>
    <row r="12013" spans="8:8">
      <c r="H12013" s="680" t="s">
        <v>6153</v>
      </c>
    </row>
    <row r="12014" spans="8:8">
      <c r="H12014" s="680" t="s">
        <v>6153</v>
      </c>
    </row>
    <row r="12015" spans="8:8">
      <c r="H12015" s="680" t="s">
        <v>6153</v>
      </c>
    </row>
    <row r="12016" spans="8:8">
      <c r="H12016" s="680" t="s">
        <v>6153</v>
      </c>
    </row>
    <row r="12017" spans="8:8">
      <c r="H12017" s="680" t="s">
        <v>6153</v>
      </c>
    </row>
    <row r="12018" spans="8:8">
      <c r="H12018" s="680" t="s">
        <v>6153</v>
      </c>
    </row>
    <row r="12019" spans="8:8">
      <c r="H12019" s="680" t="s">
        <v>6153</v>
      </c>
    </row>
    <row r="12020" spans="8:8">
      <c r="H12020" s="680" t="s">
        <v>6153</v>
      </c>
    </row>
    <row r="12021" spans="8:8">
      <c r="H12021" s="680" t="s">
        <v>6153</v>
      </c>
    </row>
    <row r="12022" spans="8:8">
      <c r="H12022" s="680" t="s">
        <v>6153</v>
      </c>
    </row>
    <row r="12023" spans="8:8">
      <c r="H12023" s="680" t="s">
        <v>6153</v>
      </c>
    </row>
    <row r="12024" spans="8:8">
      <c r="H12024" s="680" t="s">
        <v>6153</v>
      </c>
    </row>
    <row r="12025" spans="8:8">
      <c r="H12025" s="680" t="s">
        <v>6153</v>
      </c>
    </row>
    <row r="12026" spans="8:8">
      <c r="H12026" s="680" t="s">
        <v>6153</v>
      </c>
    </row>
    <row r="12027" spans="8:8">
      <c r="H12027" s="680" t="s">
        <v>6153</v>
      </c>
    </row>
    <row r="12028" spans="8:8">
      <c r="H12028" s="680" t="s">
        <v>6153</v>
      </c>
    </row>
    <row r="12029" spans="8:8">
      <c r="H12029" s="680" t="s">
        <v>6153</v>
      </c>
    </row>
    <row r="12030" spans="8:8">
      <c r="H12030" s="680" t="s">
        <v>6153</v>
      </c>
    </row>
    <row r="12031" spans="8:8">
      <c r="H12031" s="680" t="s">
        <v>6153</v>
      </c>
    </row>
    <row r="12032" spans="8:8">
      <c r="H12032" s="680" t="s">
        <v>6153</v>
      </c>
    </row>
    <row r="12033" spans="8:8">
      <c r="H12033" s="680" t="s">
        <v>6153</v>
      </c>
    </row>
    <row r="12034" spans="8:8">
      <c r="H12034" s="680" t="s">
        <v>6153</v>
      </c>
    </row>
    <row r="12035" spans="8:8">
      <c r="H12035" s="680" t="s">
        <v>6153</v>
      </c>
    </row>
    <row r="12036" spans="8:8">
      <c r="H12036" s="680" t="s">
        <v>6153</v>
      </c>
    </row>
    <row r="12037" spans="8:8">
      <c r="H12037" s="680" t="s">
        <v>6153</v>
      </c>
    </row>
    <row r="12038" spans="8:8">
      <c r="H12038" s="680" t="s">
        <v>6153</v>
      </c>
    </row>
    <row r="12039" spans="8:8">
      <c r="H12039" s="680" t="s">
        <v>6153</v>
      </c>
    </row>
    <row r="12040" spans="8:8">
      <c r="H12040" s="680" t="s">
        <v>6153</v>
      </c>
    </row>
    <row r="12041" spans="8:8">
      <c r="H12041" s="680" t="s">
        <v>6153</v>
      </c>
    </row>
    <row r="12042" spans="8:8">
      <c r="H12042" s="680" t="s">
        <v>6153</v>
      </c>
    </row>
    <row r="12043" spans="8:8">
      <c r="H12043" s="680" t="s">
        <v>6153</v>
      </c>
    </row>
    <row r="12044" spans="8:8">
      <c r="H12044" s="680" t="s">
        <v>6153</v>
      </c>
    </row>
    <row r="12045" spans="8:8">
      <c r="H12045" s="680" t="s">
        <v>6153</v>
      </c>
    </row>
    <row r="12046" spans="8:8">
      <c r="H12046" s="680" t="s">
        <v>6153</v>
      </c>
    </row>
    <row r="12047" spans="8:8">
      <c r="H12047" s="680" t="s">
        <v>6153</v>
      </c>
    </row>
    <row r="12048" spans="8:8">
      <c r="H12048" s="680" t="s">
        <v>6153</v>
      </c>
    </row>
    <row r="12049" spans="8:8">
      <c r="H12049" s="680" t="s">
        <v>6153</v>
      </c>
    </row>
    <row r="12050" spans="8:8">
      <c r="H12050" s="680" t="s">
        <v>6153</v>
      </c>
    </row>
    <row r="12051" spans="8:8">
      <c r="H12051" s="680" t="s">
        <v>6153</v>
      </c>
    </row>
    <row r="12052" spans="8:8">
      <c r="H12052" s="680" t="s">
        <v>6153</v>
      </c>
    </row>
    <row r="12053" spans="8:8">
      <c r="H12053" s="680" t="s">
        <v>6153</v>
      </c>
    </row>
    <row r="12054" spans="8:8">
      <c r="H12054" s="680" t="s">
        <v>6153</v>
      </c>
    </row>
    <row r="12055" spans="8:8">
      <c r="H12055" s="680" t="s">
        <v>6153</v>
      </c>
    </row>
    <row r="12056" spans="8:8">
      <c r="H12056" s="680" t="s">
        <v>6153</v>
      </c>
    </row>
    <row r="12057" spans="8:8">
      <c r="H12057" s="680" t="s">
        <v>6153</v>
      </c>
    </row>
    <row r="12058" spans="8:8">
      <c r="H12058" s="680" t="s">
        <v>6153</v>
      </c>
    </row>
    <row r="12059" spans="8:8">
      <c r="H12059" s="680" t="s">
        <v>6153</v>
      </c>
    </row>
    <row r="12060" spans="8:8">
      <c r="H12060" s="680" t="s">
        <v>6153</v>
      </c>
    </row>
    <row r="12061" spans="8:8">
      <c r="H12061" s="680" t="s">
        <v>6153</v>
      </c>
    </row>
    <row r="12062" spans="8:8">
      <c r="H12062" s="680" t="s">
        <v>6153</v>
      </c>
    </row>
    <row r="12063" spans="8:8">
      <c r="H12063" s="680" t="s">
        <v>6153</v>
      </c>
    </row>
    <row r="12064" spans="8:8">
      <c r="H12064" s="680" t="s">
        <v>6153</v>
      </c>
    </row>
    <row r="12065" spans="8:8">
      <c r="H12065" s="680" t="s">
        <v>6153</v>
      </c>
    </row>
    <row r="12066" spans="8:8">
      <c r="H12066" s="680" t="s">
        <v>6153</v>
      </c>
    </row>
    <row r="12067" spans="8:8">
      <c r="H12067" s="680" t="s">
        <v>6153</v>
      </c>
    </row>
    <row r="12068" spans="8:8">
      <c r="H12068" s="680" t="s">
        <v>6153</v>
      </c>
    </row>
    <row r="12069" spans="8:8">
      <c r="H12069" s="680" t="s">
        <v>6153</v>
      </c>
    </row>
    <row r="12070" spans="8:8">
      <c r="H12070" s="680" t="s">
        <v>6153</v>
      </c>
    </row>
    <row r="12071" spans="8:8">
      <c r="H12071" s="680" t="s">
        <v>6153</v>
      </c>
    </row>
    <row r="12072" spans="8:8">
      <c r="H12072" s="680" t="s">
        <v>6153</v>
      </c>
    </row>
    <row r="12073" spans="8:8">
      <c r="H12073" s="680" t="s">
        <v>6153</v>
      </c>
    </row>
    <row r="12074" spans="8:8">
      <c r="H12074" s="680" t="s">
        <v>6153</v>
      </c>
    </row>
    <row r="12075" spans="8:8">
      <c r="H12075" s="680" t="s">
        <v>6153</v>
      </c>
    </row>
    <row r="12076" spans="8:8">
      <c r="H12076" s="680" t="s">
        <v>6153</v>
      </c>
    </row>
    <row r="12077" spans="8:8">
      <c r="H12077" s="680" t="s">
        <v>6153</v>
      </c>
    </row>
    <row r="12078" spans="8:8">
      <c r="H12078" s="680" t="s">
        <v>6153</v>
      </c>
    </row>
    <row r="12079" spans="8:8">
      <c r="H12079" s="680" t="s">
        <v>6153</v>
      </c>
    </row>
    <row r="12080" spans="8:8">
      <c r="H12080" s="680" t="s">
        <v>6153</v>
      </c>
    </row>
    <row r="12081" spans="8:8">
      <c r="H12081" s="680" t="s">
        <v>6153</v>
      </c>
    </row>
    <row r="12082" spans="8:8">
      <c r="H12082" s="680" t="s">
        <v>6153</v>
      </c>
    </row>
    <row r="12083" spans="8:8">
      <c r="H12083" s="680" t="s">
        <v>6153</v>
      </c>
    </row>
    <row r="12084" spans="8:8">
      <c r="H12084" s="680" t="s">
        <v>6153</v>
      </c>
    </row>
    <row r="12085" spans="8:8">
      <c r="H12085" s="680" t="s">
        <v>6153</v>
      </c>
    </row>
    <row r="12086" spans="8:8">
      <c r="H12086" s="680" t="s">
        <v>6153</v>
      </c>
    </row>
    <row r="12087" spans="8:8">
      <c r="H12087" s="680" t="s">
        <v>6153</v>
      </c>
    </row>
    <row r="12088" spans="8:8">
      <c r="H12088" s="680" t="s">
        <v>6153</v>
      </c>
    </row>
    <row r="12089" spans="8:8">
      <c r="H12089" s="680" t="s">
        <v>6153</v>
      </c>
    </row>
    <row r="12090" spans="8:8">
      <c r="H12090" s="680" t="s">
        <v>6153</v>
      </c>
    </row>
    <row r="12091" spans="8:8">
      <c r="H12091" s="680" t="s">
        <v>6153</v>
      </c>
    </row>
    <row r="12092" spans="8:8">
      <c r="H12092" s="680" t="s">
        <v>6153</v>
      </c>
    </row>
    <row r="12093" spans="8:8">
      <c r="H12093" s="680" t="s">
        <v>6153</v>
      </c>
    </row>
    <row r="12094" spans="8:8">
      <c r="H12094" s="680" t="s">
        <v>6153</v>
      </c>
    </row>
    <row r="12095" spans="8:8">
      <c r="H12095" s="680" t="s">
        <v>6153</v>
      </c>
    </row>
    <row r="12096" spans="8:8">
      <c r="H12096" s="680" t="s">
        <v>6153</v>
      </c>
    </row>
    <row r="12097" spans="8:8">
      <c r="H12097" s="680" t="s">
        <v>6153</v>
      </c>
    </row>
    <row r="12098" spans="8:8">
      <c r="H12098" s="680" t="s">
        <v>6153</v>
      </c>
    </row>
    <row r="12099" spans="8:8">
      <c r="H12099" s="680" t="s">
        <v>6153</v>
      </c>
    </row>
    <row r="12100" spans="8:8">
      <c r="H12100" s="680" t="s">
        <v>6153</v>
      </c>
    </row>
    <row r="12101" spans="8:8">
      <c r="H12101" s="680" t="s">
        <v>6153</v>
      </c>
    </row>
    <row r="12102" spans="8:8">
      <c r="H12102" s="680" t="s">
        <v>6153</v>
      </c>
    </row>
    <row r="12103" spans="8:8">
      <c r="H12103" s="680" t="s">
        <v>6153</v>
      </c>
    </row>
    <row r="12104" spans="8:8">
      <c r="H12104" s="680" t="s">
        <v>6153</v>
      </c>
    </row>
    <row r="12105" spans="8:8">
      <c r="H12105" s="680" t="s">
        <v>6153</v>
      </c>
    </row>
    <row r="12106" spans="8:8">
      <c r="H12106" s="680" t="s">
        <v>6153</v>
      </c>
    </row>
    <row r="12107" spans="8:8">
      <c r="H12107" s="680" t="s">
        <v>6153</v>
      </c>
    </row>
    <row r="12108" spans="8:8">
      <c r="H12108" s="680" t="s">
        <v>6153</v>
      </c>
    </row>
    <row r="12109" spans="8:8">
      <c r="H12109" s="680" t="s">
        <v>6153</v>
      </c>
    </row>
    <row r="12110" spans="8:8">
      <c r="H12110" s="680" t="s">
        <v>6153</v>
      </c>
    </row>
    <row r="12111" spans="8:8">
      <c r="H12111" s="680" t="s">
        <v>6153</v>
      </c>
    </row>
    <row r="12112" spans="8:8">
      <c r="H12112" s="680" t="s">
        <v>6153</v>
      </c>
    </row>
    <row r="12113" spans="8:8">
      <c r="H12113" s="680" t="s">
        <v>6153</v>
      </c>
    </row>
    <row r="12114" spans="8:8">
      <c r="H12114" s="680" t="s">
        <v>6153</v>
      </c>
    </row>
    <row r="12115" spans="8:8">
      <c r="H12115" s="680" t="s">
        <v>6153</v>
      </c>
    </row>
    <row r="12116" spans="8:8">
      <c r="H12116" s="680" t="s">
        <v>6153</v>
      </c>
    </row>
    <row r="12117" spans="8:8">
      <c r="H12117" s="680" t="s">
        <v>6153</v>
      </c>
    </row>
    <row r="12118" spans="8:8">
      <c r="H12118" s="680" t="s">
        <v>6153</v>
      </c>
    </row>
    <row r="12119" spans="8:8">
      <c r="H12119" s="680" t="s">
        <v>6153</v>
      </c>
    </row>
    <row r="12120" spans="8:8">
      <c r="H12120" s="680" t="s">
        <v>6153</v>
      </c>
    </row>
    <row r="12121" spans="8:8">
      <c r="H12121" s="680" t="s">
        <v>6153</v>
      </c>
    </row>
    <row r="12122" spans="8:8">
      <c r="H12122" s="680" t="s">
        <v>6153</v>
      </c>
    </row>
    <row r="12123" spans="8:8">
      <c r="H12123" s="680" t="s">
        <v>6153</v>
      </c>
    </row>
    <row r="12124" spans="8:8">
      <c r="H12124" s="680" t="s">
        <v>6153</v>
      </c>
    </row>
    <row r="12125" spans="8:8">
      <c r="H12125" s="680" t="s">
        <v>6153</v>
      </c>
    </row>
    <row r="12126" spans="8:8">
      <c r="H12126" s="680" t="s">
        <v>6153</v>
      </c>
    </row>
    <row r="12127" spans="8:8">
      <c r="H12127" s="680" t="s">
        <v>6153</v>
      </c>
    </row>
    <row r="12128" spans="8:8">
      <c r="H12128" s="680" t="s">
        <v>6153</v>
      </c>
    </row>
    <row r="12129" spans="8:8">
      <c r="H12129" s="680" t="s">
        <v>6153</v>
      </c>
    </row>
    <row r="12130" spans="8:8">
      <c r="H12130" s="680" t="s">
        <v>6153</v>
      </c>
    </row>
    <row r="12131" spans="8:8">
      <c r="H12131" s="680" t="s">
        <v>6153</v>
      </c>
    </row>
    <row r="12132" spans="8:8">
      <c r="H12132" s="680" t="s">
        <v>6153</v>
      </c>
    </row>
    <row r="12133" spans="8:8">
      <c r="H12133" s="680" t="s">
        <v>6153</v>
      </c>
    </row>
    <row r="12134" spans="8:8">
      <c r="H12134" s="680" t="s">
        <v>6153</v>
      </c>
    </row>
    <row r="12135" spans="8:8">
      <c r="H12135" s="680" t="s">
        <v>6153</v>
      </c>
    </row>
    <row r="12136" spans="8:8">
      <c r="H12136" s="680" t="s">
        <v>6153</v>
      </c>
    </row>
    <row r="12137" spans="8:8">
      <c r="H12137" s="680" t="s">
        <v>6153</v>
      </c>
    </row>
    <row r="12138" spans="8:8">
      <c r="H12138" s="680" t="s">
        <v>6153</v>
      </c>
    </row>
    <row r="12139" spans="8:8">
      <c r="H12139" s="680" t="s">
        <v>6153</v>
      </c>
    </row>
    <row r="12140" spans="8:8">
      <c r="H12140" s="680" t="s">
        <v>6153</v>
      </c>
    </row>
    <row r="12141" spans="8:8">
      <c r="H12141" s="680" t="s">
        <v>6153</v>
      </c>
    </row>
    <row r="12142" spans="8:8">
      <c r="H12142" s="680" t="s">
        <v>6153</v>
      </c>
    </row>
    <row r="12143" spans="8:8">
      <c r="H12143" s="680" t="s">
        <v>6153</v>
      </c>
    </row>
    <row r="12144" spans="8:8">
      <c r="H12144" s="680" t="s">
        <v>6153</v>
      </c>
    </row>
    <row r="12145" spans="8:8">
      <c r="H12145" s="680" t="s">
        <v>6153</v>
      </c>
    </row>
    <row r="12146" spans="8:8">
      <c r="H12146" s="680" t="s">
        <v>6153</v>
      </c>
    </row>
    <row r="12147" spans="8:8">
      <c r="H12147" s="680" t="s">
        <v>6153</v>
      </c>
    </row>
    <row r="12148" spans="8:8">
      <c r="H12148" s="680" t="s">
        <v>6153</v>
      </c>
    </row>
    <row r="12149" spans="8:8">
      <c r="H12149" s="680" t="s">
        <v>6153</v>
      </c>
    </row>
    <row r="12150" spans="8:8">
      <c r="H12150" s="680" t="s">
        <v>6153</v>
      </c>
    </row>
    <row r="12151" spans="8:8">
      <c r="H12151" s="680" t="s">
        <v>6153</v>
      </c>
    </row>
    <row r="12152" spans="8:8">
      <c r="H12152" s="680" t="s">
        <v>6153</v>
      </c>
    </row>
    <row r="12153" spans="8:8">
      <c r="H12153" s="680" t="s">
        <v>6153</v>
      </c>
    </row>
    <row r="12154" spans="8:8">
      <c r="H12154" s="680" t="s">
        <v>6153</v>
      </c>
    </row>
    <row r="12155" spans="8:8">
      <c r="H12155" s="680" t="s">
        <v>6153</v>
      </c>
    </row>
    <row r="12156" spans="8:8">
      <c r="H12156" s="680" t="s">
        <v>6153</v>
      </c>
    </row>
    <row r="12157" spans="8:8">
      <c r="H12157" s="680" t="s">
        <v>6153</v>
      </c>
    </row>
    <row r="12158" spans="8:8">
      <c r="H12158" s="680" t="s">
        <v>6153</v>
      </c>
    </row>
    <row r="12159" spans="8:8">
      <c r="H12159" s="680" t="s">
        <v>6153</v>
      </c>
    </row>
    <row r="12160" spans="8:8">
      <c r="H12160" s="680" t="s">
        <v>6153</v>
      </c>
    </row>
    <row r="12161" spans="8:8">
      <c r="H12161" s="680" t="s">
        <v>6153</v>
      </c>
    </row>
    <row r="12162" spans="8:8">
      <c r="H12162" s="680" t="s">
        <v>6153</v>
      </c>
    </row>
    <row r="12163" spans="8:8">
      <c r="H12163" s="680" t="s">
        <v>6153</v>
      </c>
    </row>
    <row r="12164" spans="8:8">
      <c r="H12164" s="680" t="s">
        <v>6153</v>
      </c>
    </row>
    <row r="12165" spans="8:8">
      <c r="H12165" s="680" t="s">
        <v>6153</v>
      </c>
    </row>
    <row r="12166" spans="8:8">
      <c r="H12166" s="680" t="s">
        <v>6153</v>
      </c>
    </row>
    <row r="12167" spans="8:8">
      <c r="H12167" s="680" t="s">
        <v>6153</v>
      </c>
    </row>
    <row r="12168" spans="8:8">
      <c r="H12168" s="680" t="s">
        <v>6153</v>
      </c>
    </row>
    <row r="12169" spans="8:8">
      <c r="H12169" s="680" t="s">
        <v>6153</v>
      </c>
    </row>
    <row r="12170" spans="8:8">
      <c r="H12170" s="680" t="s">
        <v>6153</v>
      </c>
    </row>
    <row r="12171" spans="8:8">
      <c r="H12171" s="680" t="s">
        <v>6153</v>
      </c>
    </row>
    <row r="12172" spans="8:8">
      <c r="H12172" s="680" t="s">
        <v>6153</v>
      </c>
    </row>
    <row r="12173" spans="8:8">
      <c r="H12173" s="680" t="s">
        <v>6153</v>
      </c>
    </row>
    <row r="12174" spans="8:8">
      <c r="H12174" s="680" t="s">
        <v>6153</v>
      </c>
    </row>
    <row r="12175" spans="8:8">
      <c r="H12175" s="680" t="s">
        <v>6153</v>
      </c>
    </row>
    <row r="12176" spans="8:8">
      <c r="H12176" s="680" t="s">
        <v>6153</v>
      </c>
    </row>
    <row r="12177" spans="8:8">
      <c r="H12177" s="680" t="s">
        <v>6153</v>
      </c>
    </row>
    <row r="12178" spans="8:8">
      <c r="H12178" s="680" t="s">
        <v>6153</v>
      </c>
    </row>
    <row r="12179" spans="8:8">
      <c r="H12179" s="680" t="s">
        <v>6153</v>
      </c>
    </row>
    <row r="12180" spans="8:8">
      <c r="H12180" s="680" t="s">
        <v>6153</v>
      </c>
    </row>
    <row r="12181" spans="8:8">
      <c r="H12181" s="680" t="s">
        <v>6153</v>
      </c>
    </row>
    <row r="12182" spans="8:8">
      <c r="H12182" s="680" t="s">
        <v>6153</v>
      </c>
    </row>
    <row r="12183" spans="8:8">
      <c r="H12183" s="680" t="s">
        <v>6153</v>
      </c>
    </row>
    <row r="12184" spans="8:8">
      <c r="H12184" s="680" t="s">
        <v>6153</v>
      </c>
    </row>
    <row r="12185" spans="8:8">
      <c r="H12185" s="680" t="s">
        <v>6153</v>
      </c>
    </row>
    <row r="12186" spans="8:8">
      <c r="H12186" s="680" t="s">
        <v>6153</v>
      </c>
    </row>
    <row r="12187" spans="8:8">
      <c r="H12187" s="680" t="s">
        <v>6153</v>
      </c>
    </row>
    <row r="12188" spans="8:8">
      <c r="H12188" s="680" t="s">
        <v>6153</v>
      </c>
    </row>
    <row r="12189" spans="8:8">
      <c r="H12189" s="680" t="s">
        <v>6153</v>
      </c>
    </row>
    <row r="12190" spans="8:8">
      <c r="H12190" s="680" t="s">
        <v>6153</v>
      </c>
    </row>
    <row r="12191" spans="8:8">
      <c r="H12191" s="680" t="s">
        <v>6153</v>
      </c>
    </row>
    <row r="12192" spans="8:8">
      <c r="H12192" s="680" t="s">
        <v>6153</v>
      </c>
    </row>
    <row r="12193" spans="8:8">
      <c r="H12193" s="680" t="s">
        <v>6153</v>
      </c>
    </row>
    <row r="12194" spans="8:8">
      <c r="H12194" s="680" t="s">
        <v>6153</v>
      </c>
    </row>
    <row r="12195" spans="8:8">
      <c r="H12195" s="680" t="s">
        <v>6153</v>
      </c>
    </row>
    <row r="12196" spans="8:8">
      <c r="H12196" s="680" t="s">
        <v>6153</v>
      </c>
    </row>
    <row r="12197" spans="8:8">
      <c r="H12197" s="680" t="s">
        <v>6153</v>
      </c>
    </row>
    <row r="12198" spans="8:8">
      <c r="H12198" s="680" t="s">
        <v>6153</v>
      </c>
    </row>
    <row r="12199" spans="8:8">
      <c r="H12199" s="680" t="s">
        <v>6153</v>
      </c>
    </row>
    <row r="12200" spans="8:8">
      <c r="H12200" s="680" t="s">
        <v>6153</v>
      </c>
    </row>
    <row r="12201" spans="8:8">
      <c r="H12201" s="680" t="s">
        <v>6153</v>
      </c>
    </row>
    <row r="12202" spans="8:8">
      <c r="H12202" s="680" t="s">
        <v>6153</v>
      </c>
    </row>
    <row r="12203" spans="8:8">
      <c r="H12203" s="680" t="s">
        <v>6153</v>
      </c>
    </row>
    <row r="12204" spans="8:8">
      <c r="H12204" s="680" t="s">
        <v>6153</v>
      </c>
    </row>
    <row r="12205" spans="8:8">
      <c r="H12205" s="680" t="s">
        <v>6153</v>
      </c>
    </row>
    <row r="12206" spans="8:8">
      <c r="H12206" s="680" t="s">
        <v>6153</v>
      </c>
    </row>
    <row r="12207" spans="8:8">
      <c r="H12207" s="680" t="s">
        <v>6153</v>
      </c>
    </row>
    <row r="12208" spans="8:8">
      <c r="H12208" s="680" t="s">
        <v>6153</v>
      </c>
    </row>
    <row r="12209" spans="8:8">
      <c r="H12209" s="680" t="s">
        <v>6153</v>
      </c>
    </row>
    <row r="12210" spans="8:8">
      <c r="H12210" s="680" t="s">
        <v>6153</v>
      </c>
    </row>
    <row r="12211" spans="8:8">
      <c r="H12211" s="680" t="s">
        <v>6153</v>
      </c>
    </row>
    <row r="12212" spans="8:8">
      <c r="H12212" s="680" t="s">
        <v>6153</v>
      </c>
    </row>
    <row r="12213" spans="8:8">
      <c r="H12213" s="680" t="s">
        <v>6153</v>
      </c>
    </row>
    <row r="12214" spans="8:8">
      <c r="H12214" s="680" t="s">
        <v>6153</v>
      </c>
    </row>
    <row r="12215" spans="8:8">
      <c r="H12215" s="680" t="s">
        <v>6153</v>
      </c>
    </row>
    <row r="12216" spans="8:8">
      <c r="H12216" s="680" t="s">
        <v>6153</v>
      </c>
    </row>
    <row r="12217" spans="8:8">
      <c r="H12217" s="680" t="s">
        <v>6153</v>
      </c>
    </row>
    <row r="12218" spans="8:8">
      <c r="H12218" s="680" t="s">
        <v>6153</v>
      </c>
    </row>
    <row r="12219" spans="8:8">
      <c r="H12219" s="680" t="s">
        <v>6153</v>
      </c>
    </row>
    <row r="12220" spans="8:8">
      <c r="H12220" s="680" t="s">
        <v>6153</v>
      </c>
    </row>
    <row r="12221" spans="8:8">
      <c r="H12221" s="680" t="s">
        <v>6153</v>
      </c>
    </row>
    <row r="12222" spans="8:8">
      <c r="H12222" s="680" t="s">
        <v>6153</v>
      </c>
    </row>
    <row r="12223" spans="8:8">
      <c r="H12223" s="680" t="s">
        <v>6153</v>
      </c>
    </row>
    <row r="12224" spans="8:8">
      <c r="H12224" s="680" t="s">
        <v>6153</v>
      </c>
    </row>
    <row r="12225" spans="8:8">
      <c r="H12225" s="680" t="s">
        <v>6153</v>
      </c>
    </row>
    <row r="12226" spans="8:8">
      <c r="H12226" s="680" t="s">
        <v>6153</v>
      </c>
    </row>
    <row r="12227" spans="8:8">
      <c r="H12227" s="680" t="s">
        <v>6153</v>
      </c>
    </row>
    <row r="12228" spans="8:8">
      <c r="H12228" s="680" t="s">
        <v>6153</v>
      </c>
    </row>
    <row r="12229" spans="8:8">
      <c r="H12229" s="680" t="s">
        <v>6153</v>
      </c>
    </row>
    <row r="12230" spans="8:8">
      <c r="H12230" s="680" t="s">
        <v>6153</v>
      </c>
    </row>
    <row r="12231" spans="8:8">
      <c r="H12231" s="680" t="s">
        <v>6153</v>
      </c>
    </row>
    <row r="12232" spans="8:8">
      <c r="H12232" s="680" t="s">
        <v>6153</v>
      </c>
    </row>
    <row r="12233" spans="8:8">
      <c r="H12233" s="680" t="s">
        <v>6153</v>
      </c>
    </row>
    <row r="12234" spans="8:8">
      <c r="H12234" s="680" t="s">
        <v>6153</v>
      </c>
    </row>
    <row r="12235" spans="8:8">
      <c r="H12235" s="680" t="s">
        <v>6153</v>
      </c>
    </row>
    <row r="12236" spans="8:8">
      <c r="H12236" s="680" t="s">
        <v>6153</v>
      </c>
    </row>
    <row r="12237" spans="8:8">
      <c r="H12237" s="680" t="s">
        <v>6153</v>
      </c>
    </row>
    <row r="12238" spans="8:8">
      <c r="H12238" s="680" t="s">
        <v>6153</v>
      </c>
    </row>
    <row r="12239" spans="8:8">
      <c r="H12239" s="680" t="s">
        <v>6153</v>
      </c>
    </row>
    <row r="12240" spans="8:8">
      <c r="H12240" s="680" t="s">
        <v>6153</v>
      </c>
    </row>
    <row r="12241" spans="8:8">
      <c r="H12241" s="680" t="s">
        <v>6153</v>
      </c>
    </row>
    <row r="12242" spans="8:8">
      <c r="H12242" s="680" t="s">
        <v>6153</v>
      </c>
    </row>
    <row r="12243" spans="8:8">
      <c r="H12243" s="680" t="s">
        <v>6153</v>
      </c>
    </row>
    <row r="12244" spans="8:8">
      <c r="H12244" s="680" t="s">
        <v>6153</v>
      </c>
    </row>
    <row r="12245" spans="8:8">
      <c r="H12245" s="680" t="s">
        <v>6153</v>
      </c>
    </row>
    <row r="12246" spans="8:8">
      <c r="H12246" s="680" t="s">
        <v>6153</v>
      </c>
    </row>
    <row r="12247" spans="8:8">
      <c r="H12247" s="680" t="s">
        <v>6153</v>
      </c>
    </row>
    <row r="12248" spans="8:8">
      <c r="H12248" s="680" t="s">
        <v>6153</v>
      </c>
    </row>
    <row r="12249" spans="8:8">
      <c r="H12249" s="680" t="s">
        <v>6153</v>
      </c>
    </row>
    <row r="12250" spans="8:8">
      <c r="H12250" s="680" t="s">
        <v>6153</v>
      </c>
    </row>
    <row r="12251" spans="8:8">
      <c r="H12251" s="680" t="s">
        <v>6153</v>
      </c>
    </row>
    <row r="12252" spans="8:8">
      <c r="H12252" s="680" t="s">
        <v>6153</v>
      </c>
    </row>
    <row r="12253" spans="8:8">
      <c r="H12253" s="680" t="s">
        <v>6153</v>
      </c>
    </row>
    <row r="12254" spans="8:8">
      <c r="H12254" s="680" t="s">
        <v>6153</v>
      </c>
    </row>
    <row r="12255" spans="8:8">
      <c r="H12255" s="680" t="s">
        <v>6153</v>
      </c>
    </row>
    <row r="12256" spans="8:8">
      <c r="H12256" s="680" t="s">
        <v>6153</v>
      </c>
    </row>
    <row r="12257" spans="8:8">
      <c r="H12257" s="680" t="s">
        <v>6153</v>
      </c>
    </row>
    <row r="12258" spans="8:8">
      <c r="H12258" s="680" t="s">
        <v>6153</v>
      </c>
    </row>
    <row r="12259" spans="8:8">
      <c r="H12259" s="680" t="s">
        <v>6153</v>
      </c>
    </row>
    <row r="12260" spans="8:8">
      <c r="H12260" s="680" t="s">
        <v>6153</v>
      </c>
    </row>
    <row r="12261" spans="8:8">
      <c r="H12261" s="680" t="s">
        <v>6153</v>
      </c>
    </row>
    <row r="12262" spans="8:8">
      <c r="H12262" s="680" t="s">
        <v>6153</v>
      </c>
    </row>
    <row r="12263" spans="8:8">
      <c r="H12263" s="680" t="s">
        <v>6153</v>
      </c>
    </row>
    <row r="12264" spans="8:8">
      <c r="H12264" s="680" t="s">
        <v>6153</v>
      </c>
    </row>
    <row r="12265" spans="8:8">
      <c r="H12265" s="680" t="s">
        <v>6153</v>
      </c>
    </row>
    <row r="12266" spans="8:8">
      <c r="H12266" s="680" t="s">
        <v>6153</v>
      </c>
    </row>
    <row r="12267" spans="8:8">
      <c r="H12267" s="680" t="s">
        <v>6153</v>
      </c>
    </row>
    <row r="12268" spans="8:8">
      <c r="H12268" s="680" t="s">
        <v>6153</v>
      </c>
    </row>
    <row r="12269" spans="8:8">
      <c r="H12269" s="680" t="s">
        <v>6153</v>
      </c>
    </row>
    <row r="12270" spans="8:8">
      <c r="H12270" s="680" t="s">
        <v>6153</v>
      </c>
    </row>
    <row r="12271" spans="8:8">
      <c r="H12271" s="680" t="s">
        <v>6153</v>
      </c>
    </row>
    <row r="12272" spans="8:8">
      <c r="H12272" s="680" t="s">
        <v>6153</v>
      </c>
    </row>
    <row r="12273" spans="8:8">
      <c r="H12273" s="680" t="s">
        <v>6153</v>
      </c>
    </row>
    <row r="12274" spans="8:8">
      <c r="H12274" s="680" t="s">
        <v>6153</v>
      </c>
    </row>
    <row r="12275" spans="8:8">
      <c r="H12275" s="680" t="s">
        <v>6153</v>
      </c>
    </row>
    <row r="12276" spans="8:8">
      <c r="H12276" s="680" t="s">
        <v>6153</v>
      </c>
    </row>
    <row r="12277" spans="8:8">
      <c r="H12277" s="680" t="s">
        <v>6153</v>
      </c>
    </row>
    <row r="12278" spans="8:8">
      <c r="H12278" s="680" t="s">
        <v>6153</v>
      </c>
    </row>
    <row r="12279" spans="8:8">
      <c r="H12279" s="680" t="s">
        <v>6153</v>
      </c>
    </row>
    <row r="12280" spans="8:8">
      <c r="H12280" s="680" t="s">
        <v>6153</v>
      </c>
    </row>
    <row r="12281" spans="8:8">
      <c r="H12281" s="680" t="s">
        <v>6153</v>
      </c>
    </row>
    <row r="12282" spans="8:8">
      <c r="H12282" s="680" t="s">
        <v>6153</v>
      </c>
    </row>
    <row r="12283" spans="8:8">
      <c r="H12283" s="680" t="s">
        <v>6153</v>
      </c>
    </row>
    <row r="12284" spans="8:8">
      <c r="H12284" s="680" t="s">
        <v>6153</v>
      </c>
    </row>
    <row r="12285" spans="8:8">
      <c r="H12285" s="680" t="s">
        <v>6153</v>
      </c>
    </row>
    <row r="12286" spans="8:8">
      <c r="H12286" s="680" t="s">
        <v>6153</v>
      </c>
    </row>
    <row r="12287" spans="8:8">
      <c r="H12287" s="680" t="s">
        <v>6153</v>
      </c>
    </row>
    <row r="12288" spans="8:8">
      <c r="H12288" s="680" t="s">
        <v>6153</v>
      </c>
    </row>
    <row r="12289" spans="8:8">
      <c r="H12289" s="680" t="s">
        <v>6153</v>
      </c>
    </row>
    <row r="12290" spans="8:8">
      <c r="H12290" s="680" t="s">
        <v>6153</v>
      </c>
    </row>
    <row r="12291" spans="8:8">
      <c r="H12291" s="680" t="s">
        <v>6153</v>
      </c>
    </row>
    <row r="12292" spans="8:8">
      <c r="H12292" s="680" t="s">
        <v>6153</v>
      </c>
    </row>
    <row r="12293" spans="8:8">
      <c r="H12293" s="680" t="s">
        <v>6153</v>
      </c>
    </row>
    <row r="12294" spans="8:8">
      <c r="H12294" s="680" t="s">
        <v>6153</v>
      </c>
    </row>
    <row r="12295" spans="8:8">
      <c r="H12295" s="680" t="s">
        <v>6153</v>
      </c>
    </row>
    <row r="12296" spans="8:8">
      <c r="H12296" s="680" t="s">
        <v>6153</v>
      </c>
    </row>
    <row r="12297" spans="8:8">
      <c r="H12297" s="680" t="s">
        <v>6153</v>
      </c>
    </row>
    <row r="12298" spans="8:8">
      <c r="H12298" s="680" t="s">
        <v>6153</v>
      </c>
    </row>
    <row r="12299" spans="8:8">
      <c r="H12299" s="680" t="s">
        <v>6153</v>
      </c>
    </row>
    <row r="12300" spans="8:8">
      <c r="H12300" s="680" t="s">
        <v>6153</v>
      </c>
    </row>
    <row r="12301" spans="8:8">
      <c r="H12301" s="680" t="s">
        <v>6153</v>
      </c>
    </row>
    <row r="12302" spans="8:8">
      <c r="H12302" s="680" t="s">
        <v>6153</v>
      </c>
    </row>
    <row r="12303" spans="8:8">
      <c r="H12303" s="680" t="s">
        <v>6153</v>
      </c>
    </row>
    <row r="12304" spans="8:8">
      <c r="H12304" s="680" t="s">
        <v>6153</v>
      </c>
    </row>
    <row r="12305" spans="8:8">
      <c r="H12305" s="680" t="s">
        <v>6153</v>
      </c>
    </row>
    <row r="12306" spans="8:8">
      <c r="H12306" s="680" t="s">
        <v>6153</v>
      </c>
    </row>
    <row r="12307" spans="8:8">
      <c r="H12307" s="680" t="s">
        <v>6153</v>
      </c>
    </row>
    <row r="12308" spans="8:8">
      <c r="H12308" s="680" t="s">
        <v>6153</v>
      </c>
    </row>
    <row r="12309" spans="8:8">
      <c r="H12309" s="680" t="s">
        <v>6153</v>
      </c>
    </row>
    <row r="12310" spans="8:8">
      <c r="H12310" s="680" t="s">
        <v>6153</v>
      </c>
    </row>
    <row r="12311" spans="8:8">
      <c r="H12311" s="680" t="s">
        <v>6153</v>
      </c>
    </row>
    <row r="12312" spans="8:8">
      <c r="H12312" s="680" t="s">
        <v>6153</v>
      </c>
    </row>
    <row r="12313" spans="8:8">
      <c r="H12313" s="680" t="s">
        <v>6153</v>
      </c>
    </row>
    <row r="12314" spans="8:8">
      <c r="H12314" s="680" t="s">
        <v>6153</v>
      </c>
    </row>
    <row r="12315" spans="8:8">
      <c r="H12315" s="680" t="s">
        <v>6153</v>
      </c>
    </row>
    <row r="12316" spans="8:8">
      <c r="H12316" s="680" t="s">
        <v>6153</v>
      </c>
    </row>
    <row r="12317" spans="8:8">
      <c r="H12317" s="680" t="s">
        <v>6153</v>
      </c>
    </row>
    <row r="12318" spans="8:8">
      <c r="H12318" s="680" t="s">
        <v>6153</v>
      </c>
    </row>
    <row r="12319" spans="8:8">
      <c r="H12319" s="680" t="s">
        <v>6153</v>
      </c>
    </row>
    <row r="12320" spans="8:8">
      <c r="H12320" s="680" t="s">
        <v>6153</v>
      </c>
    </row>
    <row r="12321" spans="8:8">
      <c r="H12321" s="680" t="s">
        <v>6153</v>
      </c>
    </row>
    <row r="12322" spans="8:8">
      <c r="H12322" s="680" t="s">
        <v>6153</v>
      </c>
    </row>
    <row r="12323" spans="8:8">
      <c r="H12323" s="680" t="s">
        <v>6153</v>
      </c>
    </row>
    <row r="12324" spans="8:8">
      <c r="H12324" s="680" t="s">
        <v>6153</v>
      </c>
    </row>
    <row r="12325" spans="8:8">
      <c r="H12325" s="680" t="s">
        <v>6153</v>
      </c>
    </row>
    <row r="12326" spans="8:8">
      <c r="H12326" s="680" t="s">
        <v>6153</v>
      </c>
    </row>
    <row r="12327" spans="8:8">
      <c r="H12327" s="680" t="s">
        <v>6153</v>
      </c>
    </row>
    <row r="12328" spans="8:8">
      <c r="H12328" s="680" t="s">
        <v>6153</v>
      </c>
    </row>
    <row r="12329" spans="8:8">
      <c r="H12329" s="680" t="s">
        <v>6153</v>
      </c>
    </row>
    <row r="12330" spans="8:8">
      <c r="H12330" s="680" t="s">
        <v>6153</v>
      </c>
    </row>
    <row r="12331" spans="8:8">
      <c r="H12331" s="680" t="s">
        <v>6153</v>
      </c>
    </row>
    <row r="12332" spans="8:8">
      <c r="H12332" s="680" t="s">
        <v>6153</v>
      </c>
    </row>
    <row r="12333" spans="8:8">
      <c r="H12333" s="680" t="s">
        <v>6153</v>
      </c>
    </row>
    <row r="12334" spans="8:8">
      <c r="H12334" s="680" t="s">
        <v>6153</v>
      </c>
    </row>
    <row r="12335" spans="8:8">
      <c r="H12335" s="680" t="s">
        <v>6153</v>
      </c>
    </row>
    <row r="12336" spans="8:8">
      <c r="H12336" s="680" t="s">
        <v>6153</v>
      </c>
    </row>
    <row r="12337" spans="8:8">
      <c r="H12337" s="680" t="s">
        <v>6153</v>
      </c>
    </row>
    <row r="12338" spans="8:8">
      <c r="H12338" s="680" t="s">
        <v>6153</v>
      </c>
    </row>
    <row r="12339" spans="8:8">
      <c r="H12339" s="680" t="s">
        <v>6153</v>
      </c>
    </row>
    <row r="12340" spans="8:8">
      <c r="H12340" s="680" t="s">
        <v>6153</v>
      </c>
    </row>
    <row r="12341" spans="8:8">
      <c r="H12341" s="680" t="s">
        <v>6153</v>
      </c>
    </row>
    <row r="12342" spans="8:8">
      <c r="H12342" s="680" t="s">
        <v>6153</v>
      </c>
    </row>
    <row r="12343" spans="8:8">
      <c r="H12343" s="680" t="s">
        <v>6153</v>
      </c>
    </row>
    <row r="12344" spans="8:8">
      <c r="H12344" s="680" t="s">
        <v>6153</v>
      </c>
    </row>
    <row r="12345" spans="8:8">
      <c r="H12345" s="680" t="s">
        <v>6153</v>
      </c>
    </row>
    <row r="12346" spans="8:8">
      <c r="H12346" s="680" t="s">
        <v>6153</v>
      </c>
    </row>
    <row r="12347" spans="8:8">
      <c r="H12347" s="680" t="s">
        <v>6153</v>
      </c>
    </row>
    <row r="12348" spans="8:8">
      <c r="H12348" s="680" t="s">
        <v>6153</v>
      </c>
    </row>
    <row r="12349" spans="8:8">
      <c r="H12349" s="680" t="s">
        <v>6153</v>
      </c>
    </row>
    <row r="12350" spans="8:8">
      <c r="H12350" s="680" t="s">
        <v>6153</v>
      </c>
    </row>
    <row r="12351" spans="8:8">
      <c r="H12351" s="680" t="s">
        <v>6153</v>
      </c>
    </row>
    <row r="12352" spans="8:8">
      <c r="H12352" s="680" t="s">
        <v>6153</v>
      </c>
    </row>
    <row r="12353" spans="8:8">
      <c r="H12353" s="680" t="s">
        <v>6153</v>
      </c>
    </row>
    <row r="12354" spans="8:8">
      <c r="H12354" s="680" t="s">
        <v>6153</v>
      </c>
    </row>
    <row r="12355" spans="8:8">
      <c r="H12355" s="680" t="s">
        <v>6153</v>
      </c>
    </row>
    <row r="12356" spans="8:8">
      <c r="H12356" s="680" t="s">
        <v>6153</v>
      </c>
    </row>
    <row r="12357" spans="8:8">
      <c r="H12357" s="680" t="s">
        <v>6153</v>
      </c>
    </row>
    <row r="12358" spans="8:8">
      <c r="H12358" s="680" t="s">
        <v>6153</v>
      </c>
    </row>
    <row r="12359" spans="8:8">
      <c r="H12359" s="680" t="s">
        <v>6153</v>
      </c>
    </row>
    <row r="12360" spans="8:8">
      <c r="H12360" s="680" t="s">
        <v>6153</v>
      </c>
    </row>
    <row r="12361" spans="8:8">
      <c r="H12361" s="680" t="s">
        <v>6153</v>
      </c>
    </row>
    <row r="12362" spans="8:8">
      <c r="H12362" s="680" t="s">
        <v>6153</v>
      </c>
    </row>
    <row r="12363" spans="8:8">
      <c r="H12363" s="680" t="s">
        <v>6153</v>
      </c>
    </row>
    <row r="12364" spans="8:8">
      <c r="H12364" s="680" t="s">
        <v>6153</v>
      </c>
    </row>
    <row r="12365" spans="8:8">
      <c r="H12365" s="680" t="s">
        <v>6153</v>
      </c>
    </row>
    <row r="12366" spans="8:8">
      <c r="H12366" s="680" t="s">
        <v>6153</v>
      </c>
    </row>
    <row r="12367" spans="8:8">
      <c r="H12367" s="680" t="s">
        <v>6153</v>
      </c>
    </row>
    <row r="12368" spans="8:8">
      <c r="H12368" s="680" t="s">
        <v>6153</v>
      </c>
    </row>
    <row r="12369" spans="8:8">
      <c r="H12369" s="680" t="s">
        <v>6153</v>
      </c>
    </row>
    <row r="12370" spans="8:8">
      <c r="H12370" s="680" t="s">
        <v>6153</v>
      </c>
    </row>
    <row r="12371" spans="8:8">
      <c r="H12371" s="680" t="s">
        <v>6153</v>
      </c>
    </row>
    <row r="12372" spans="8:8">
      <c r="H12372" s="680" t="s">
        <v>6153</v>
      </c>
    </row>
    <row r="12373" spans="8:8">
      <c r="H12373" s="680" t="s">
        <v>6153</v>
      </c>
    </row>
    <row r="12374" spans="8:8">
      <c r="H12374" s="680" t="s">
        <v>6153</v>
      </c>
    </row>
    <row r="12375" spans="8:8">
      <c r="H12375" s="680" t="s">
        <v>6153</v>
      </c>
    </row>
    <row r="12376" spans="8:8">
      <c r="H12376" s="680" t="s">
        <v>6153</v>
      </c>
    </row>
    <row r="12377" spans="8:8">
      <c r="H12377" s="680" t="s">
        <v>6153</v>
      </c>
    </row>
    <row r="12378" spans="8:8">
      <c r="H12378" s="680" t="s">
        <v>6153</v>
      </c>
    </row>
    <row r="12379" spans="8:8">
      <c r="H12379" s="680" t="s">
        <v>6153</v>
      </c>
    </row>
    <row r="12380" spans="8:8">
      <c r="H12380" s="680" t="s">
        <v>6153</v>
      </c>
    </row>
    <row r="12381" spans="8:8">
      <c r="H12381" s="680" t="s">
        <v>6153</v>
      </c>
    </row>
    <row r="12382" spans="8:8">
      <c r="H12382" s="680" t="s">
        <v>6153</v>
      </c>
    </row>
    <row r="12383" spans="8:8">
      <c r="H12383" s="680" t="s">
        <v>6153</v>
      </c>
    </row>
    <row r="12384" spans="8:8">
      <c r="H12384" s="680" t="s">
        <v>6153</v>
      </c>
    </row>
    <row r="12385" spans="8:8">
      <c r="H12385" s="680" t="s">
        <v>6153</v>
      </c>
    </row>
    <row r="12386" spans="8:8">
      <c r="H12386" s="680" t="s">
        <v>6153</v>
      </c>
    </row>
    <row r="12387" spans="8:8">
      <c r="H12387" s="680" t="s">
        <v>6153</v>
      </c>
    </row>
    <row r="12388" spans="8:8">
      <c r="H12388" s="680" t="s">
        <v>6153</v>
      </c>
    </row>
    <row r="12389" spans="8:8">
      <c r="H12389" s="680" t="s">
        <v>6153</v>
      </c>
    </row>
    <row r="12390" spans="8:8">
      <c r="H12390" s="680" t="s">
        <v>6153</v>
      </c>
    </row>
    <row r="12391" spans="8:8">
      <c r="H12391" s="680" t="s">
        <v>6153</v>
      </c>
    </row>
    <row r="12392" spans="8:8">
      <c r="H12392" s="680" t="s">
        <v>6153</v>
      </c>
    </row>
    <row r="12393" spans="8:8">
      <c r="H12393" s="680" t="s">
        <v>6153</v>
      </c>
    </row>
    <row r="12394" spans="8:8">
      <c r="H12394" s="680" t="s">
        <v>6153</v>
      </c>
    </row>
    <row r="12395" spans="8:8">
      <c r="H12395" s="680" t="s">
        <v>6153</v>
      </c>
    </row>
    <row r="12396" spans="8:8">
      <c r="H12396" s="680" t="s">
        <v>6153</v>
      </c>
    </row>
    <row r="12397" spans="8:8">
      <c r="H12397" s="680" t="s">
        <v>6153</v>
      </c>
    </row>
    <row r="12398" spans="8:8">
      <c r="H12398" s="680" t="s">
        <v>6153</v>
      </c>
    </row>
    <row r="12399" spans="8:8">
      <c r="H12399" s="680" t="s">
        <v>6153</v>
      </c>
    </row>
    <row r="12400" spans="8:8">
      <c r="H12400" s="680" t="s">
        <v>6153</v>
      </c>
    </row>
    <row r="12401" spans="8:8">
      <c r="H12401" s="680" t="s">
        <v>6153</v>
      </c>
    </row>
    <row r="12402" spans="8:8">
      <c r="H12402" s="680" t="s">
        <v>6153</v>
      </c>
    </row>
    <row r="12403" spans="8:8">
      <c r="H12403" s="680" t="s">
        <v>6153</v>
      </c>
    </row>
    <row r="12404" spans="8:8">
      <c r="H12404" s="680" t="s">
        <v>6153</v>
      </c>
    </row>
    <row r="12405" spans="8:8">
      <c r="H12405" s="680" t="s">
        <v>6153</v>
      </c>
    </row>
    <row r="12406" spans="8:8">
      <c r="H12406" s="680" t="s">
        <v>6153</v>
      </c>
    </row>
    <row r="12407" spans="8:8">
      <c r="H12407" s="680" t="s">
        <v>6153</v>
      </c>
    </row>
    <row r="12408" spans="8:8">
      <c r="H12408" s="680" t="s">
        <v>6153</v>
      </c>
    </row>
    <row r="12409" spans="8:8">
      <c r="H12409" s="680" t="s">
        <v>6153</v>
      </c>
    </row>
    <row r="12410" spans="8:8">
      <c r="H12410" s="680" t="s">
        <v>6153</v>
      </c>
    </row>
    <row r="12411" spans="8:8">
      <c r="H12411" s="680" t="s">
        <v>6153</v>
      </c>
    </row>
    <row r="12412" spans="8:8">
      <c r="H12412" s="680" t="s">
        <v>6153</v>
      </c>
    </row>
    <row r="12413" spans="8:8">
      <c r="H12413" s="680" t="s">
        <v>6153</v>
      </c>
    </row>
    <row r="12414" spans="8:8">
      <c r="H12414" s="680" t="s">
        <v>6153</v>
      </c>
    </row>
    <row r="12415" spans="8:8">
      <c r="H12415" s="680" t="s">
        <v>6153</v>
      </c>
    </row>
    <row r="12416" spans="8:8">
      <c r="H12416" s="680" t="s">
        <v>6153</v>
      </c>
    </row>
    <row r="12417" spans="8:8">
      <c r="H12417" s="680" t="s">
        <v>6153</v>
      </c>
    </row>
    <row r="12418" spans="8:8">
      <c r="H12418" s="680" t="s">
        <v>6153</v>
      </c>
    </row>
    <row r="12419" spans="8:8">
      <c r="H12419" s="680" t="s">
        <v>6153</v>
      </c>
    </row>
    <row r="12420" spans="8:8">
      <c r="H12420" s="680" t="s">
        <v>6153</v>
      </c>
    </row>
    <row r="12421" spans="8:8">
      <c r="H12421" s="680" t="s">
        <v>6153</v>
      </c>
    </row>
    <row r="12422" spans="8:8">
      <c r="H12422" s="680" t="s">
        <v>6153</v>
      </c>
    </row>
    <row r="12423" spans="8:8">
      <c r="H12423" s="680" t="s">
        <v>6153</v>
      </c>
    </row>
    <row r="12424" spans="8:8">
      <c r="H12424" s="680" t="s">
        <v>6153</v>
      </c>
    </row>
    <row r="12425" spans="8:8">
      <c r="H12425" s="680" t="s">
        <v>6153</v>
      </c>
    </row>
    <row r="12426" spans="8:8">
      <c r="H12426" s="680" t="s">
        <v>6153</v>
      </c>
    </row>
    <row r="12427" spans="8:8">
      <c r="H12427" s="680" t="s">
        <v>6153</v>
      </c>
    </row>
    <row r="12428" spans="8:8">
      <c r="H12428" s="680" t="s">
        <v>6153</v>
      </c>
    </row>
    <row r="12429" spans="8:8">
      <c r="H12429" s="680" t="s">
        <v>6153</v>
      </c>
    </row>
    <row r="12430" spans="8:8">
      <c r="H12430" s="680" t="s">
        <v>6153</v>
      </c>
    </row>
    <row r="12431" spans="8:8">
      <c r="H12431" s="680" t="s">
        <v>6153</v>
      </c>
    </row>
    <row r="12432" spans="8:8">
      <c r="H12432" s="680" t="s">
        <v>6153</v>
      </c>
    </row>
    <row r="12433" spans="8:8">
      <c r="H12433" s="680" t="s">
        <v>6153</v>
      </c>
    </row>
    <row r="12434" spans="8:8">
      <c r="H12434" s="680" t="s">
        <v>6153</v>
      </c>
    </row>
    <row r="12435" spans="8:8">
      <c r="H12435" s="680" t="s">
        <v>6153</v>
      </c>
    </row>
    <row r="12436" spans="8:8">
      <c r="H12436" s="680" t="s">
        <v>6153</v>
      </c>
    </row>
    <row r="12437" spans="8:8">
      <c r="H12437" s="680" t="s">
        <v>6153</v>
      </c>
    </row>
    <row r="12438" spans="8:8">
      <c r="H12438" s="680" t="s">
        <v>6153</v>
      </c>
    </row>
    <row r="12439" spans="8:8">
      <c r="H12439" s="680" t="s">
        <v>6153</v>
      </c>
    </row>
    <row r="12440" spans="8:8">
      <c r="H12440" s="680" t="s">
        <v>6153</v>
      </c>
    </row>
    <row r="12441" spans="8:8">
      <c r="H12441" s="680" t="s">
        <v>6153</v>
      </c>
    </row>
    <row r="12442" spans="8:8">
      <c r="H12442" s="680" t="s">
        <v>6153</v>
      </c>
    </row>
    <row r="12443" spans="8:8">
      <c r="H12443" s="680" t="s">
        <v>6153</v>
      </c>
    </row>
    <row r="12444" spans="8:8">
      <c r="H12444" s="680" t="s">
        <v>6153</v>
      </c>
    </row>
    <row r="12445" spans="8:8">
      <c r="H12445" s="680" t="s">
        <v>6153</v>
      </c>
    </row>
    <row r="12446" spans="8:8">
      <c r="H12446" s="680" t="s">
        <v>6153</v>
      </c>
    </row>
    <row r="12447" spans="8:8">
      <c r="H12447" s="680" t="s">
        <v>6153</v>
      </c>
    </row>
    <row r="12448" spans="8:8">
      <c r="H12448" s="680" t="s">
        <v>6153</v>
      </c>
    </row>
    <row r="12449" spans="8:8">
      <c r="H12449" s="680" t="s">
        <v>6153</v>
      </c>
    </row>
    <row r="12450" spans="8:8">
      <c r="H12450" s="680" t="s">
        <v>6153</v>
      </c>
    </row>
    <row r="12451" spans="8:8">
      <c r="H12451" s="680" t="s">
        <v>6153</v>
      </c>
    </row>
    <row r="12452" spans="8:8">
      <c r="H12452" s="680" t="s">
        <v>6153</v>
      </c>
    </row>
    <row r="12453" spans="8:8">
      <c r="H12453" s="680" t="s">
        <v>6153</v>
      </c>
    </row>
    <row r="12454" spans="8:8">
      <c r="H12454" s="680" t="s">
        <v>6153</v>
      </c>
    </row>
    <row r="12455" spans="8:8">
      <c r="H12455" s="680" t="s">
        <v>6153</v>
      </c>
    </row>
    <row r="12456" spans="8:8">
      <c r="H12456" s="680" t="s">
        <v>6153</v>
      </c>
    </row>
    <row r="12457" spans="8:8">
      <c r="H12457" s="680" t="s">
        <v>6153</v>
      </c>
    </row>
    <row r="12458" spans="8:8">
      <c r="H12458" s="680" t="s">
        <v>6153</v>
      </c>
    </row>
    <row r="12459" spans="8:8">
      <c r="H12459" s="680" t="s">
        <v>6153</v>
      </c>
    </row>
    <row r="12460" spans="8:8">
      <c r="H12460" s="680" t="s">
        <v>6153</v>
      </c>
    </row>
    <row r="12461" spans="8:8">
      <c r="H12461" s="680" t="s">
        <v>6153</v>
      </c>
    </row>
    <row r="12462" spans="8:8">
      <c r="H12462" s="680" t="s">
        <v>6153</v>
      </c>
    </row>
    <row r="12463" spans="8:8">
      <c r="H12463" s="680" t="s">
        <v>6153</v>
      </c>
    </row>
    <row r="12464" spans="8:8">
      <c r="H12464" s="680" t="s">
        <v>6153</v>
      </c>
    </row>
    <row r="12465" spans="8:8">
      <c r="H12465" s="680" t="s">
        <v>6153</v>
      </c>
    </row>
    <row r="12466" spans="8:8">
      <c r="H12466" s="680" t="s">
        <v>6153</v>
      </c>
    </row>
    <row r="12467" spans="8:8">
      <c r="H12467" s="680" t="s">
        <v>6153</v>
      </c>
    </row>
    <row r="12468" spans="8:8">
      <c r="H12468" s="680" t="s">
        <v>6153</v>
      </c>
    </row>
    <row r="12469" spans="8:8">
      <c r="H12469" s="680" t="s">
        <v>6153</v>
      </c>
    </row>
    <row r="12470" spans="8:8">
      <c r="H12470" s="680" t="s">
        <v>6153</v>
      </c>
    </row>
    <row r="12471" spans="8:8">
      <c r="H12471" s="680" t="s">
        <v>6153</v>
      </c>
    </row>
    <row r="12472" spans="8:8">
      <c r="H12472" s="680" t="s">
        <v>6153</v>
      </c>
    </row>
    <row r="12473" spans="8:8">
      <c r="H12473" s="680" t="s">
        <v>6153</v>
      </c>
    </row>
    <row r="12474" spans="8:8">
      <c r="H12474" s="680" t="s">
        <v>6153</v>
      </c>
    </row>
    <row r="12475" spans="8:8">
      <c r="H12475" s="680" t="s">
        <v>6153</v>
      </c>
    </row>
    <row r="12476" spans="8:8">
      <c r="H12476" s="680" t="s">
        <v>6153</v>
      </c>
    </row>
    <row r="12477" spans="8:8">
      <c r="H12477" s="680" t="s">
        <v>6153</v>
      </c>
    </row>
    <row r="12478" spans="8:8">
      <c r="H12478" s="680" t="s">
        <v>6153</v>
      </c>
    </row>
    <row r="12479" spans="8:8">
      <c r="H12479" s="680" t="s">
        <v>6153</v>
      </c>
    </row>
    <row r="12480" spans="8:8">
      <c r="H12480" s="680" t="s">
        <v>6153</v>
      </c>
    </row>
    <row r="12481" spans="8:8">
      <c r="H12481" s="680" t="s">
        <v>6153</v>
      </c>
    </row>
    <row r="12482" spans="8:8">
      <c r="H12482" s="680" t="s">
        <v>6153</v>
      </c>
    </row>
    <row r="12483" spans="8:8">
      <c r="H12483" s="680" t="s">
        <v>6153</v>
      </c>
    </row>
    <row r="12484" spans="8:8">
      <c r="H12484" s="680" t="s">
        <v>6153</v>
      </c>
    </row>
    <row r="12485" spans="8:8">
      <c r="H12485" s="680" t="s">
        <v>6153</v>
      </c>
    </row>
    <row r="12486" spans="8:8">
      <c r="H12486" s="680" t="s">
        <v>6153</v>
      </c>
    </row>
    <row r="12487" spans="8:8">
      <c r="H12487" s="680" t="s">
        <v>6153</v>
      </c>
    </row>
    <row r="12488" spans="8:8">
      <c r="H12488" s="680" t="s">
        <v>6153</v>
      </c>
    </row>
    <row r="12489" spans="8:8">
      <c r="H12489" s="680" t="s">
        <v>6153</v>
      </c>
    </row>
    <row r="12490" spans="8:8">
      <c r="H12490" s="680" t="s">
        <v>6153</v>
      </c>
    </row>
    <row r="12491" spans="8:8">
      <c r="H12491" s="680" t="s">
        <v>6153</v>
      </c>
    </row>
    <row r="12492" spans="8:8">
      <c r="H12492" s="680" t="s">
        <v>6153</v>
      </c>
    </row>
    <row r="12493" spans="8:8">
      <c r="H12493" s="680" t="s">
        <v>6153</v>
      </c>
    </row>
    <row r="12494" spans="8:8">
      <c r="H12494" s="680" t="s">
        <v>6153</v>
      </c>
    </row>
    <row r="12495" spans="8:8">
      <c r="H12495" s="680" t="s">
        <v>6153</v>
      </c>
    </row>
    <row r="12496" spans="8:8">
      <c r="H12496" s="680" t="s">
        <v>6153</v>
      </c>
    </row>
    <row r="12497" spans="8:8">
      <c r="H12497" s="680" t="s">
        <v>6153</v>
      </c>
    </row>
    <row r="12498" spans="8:8">
      <c r="H12498" s="680" t="s">
        <v>6153</v>
      </c>
    </row>
    <row r="12499" spans="8:8">
      <c r="H12499" s="680" t="s">
        <v>6153</v>
      </c>
    </row>
    <row r="12500" spans="8:8">
      <c r="H12500" s="680" t="s">
        <v>6153</v>
      </c>
    </row>
    <row r="12501" spans="8:8">
      <c r="H12501" s="680" t="s">
        <v>6153</v>
      </c>
    </row>
    <row r="12502" spans="8:8">
      <c r="H12502" s="680" t="s">
        <v>6153</v>
      </c>
    </row>
    <row r="12503" spans="8:8">
      <c r="H12503" s="680" t="s">
        <v>6153</v>
      </c>
    </row>
    <row r="12504" spans="8:8">
      <c r="H12504" s="680" t="s">
        <v>6153</v>
      </c>
    </row>
    <row r="12505" spans="8:8">
      <c r="H12505" s="680" t="s">
        <v>6153</v>
      </c>
    </row>
    <row r="12506" spans="8:8">
      <c r="H12506" s="680" t="s">
        <v>6153</v>
      </c>
    </row>
    <row r="12507" spans="8:8">
      <c r="H12507" s="680" t="s">
        <v>6153</v>
      </c>
    </row>
    <row r="12508" spans="8:8">
      <c r="H12508" s="680" t="s">
        <v>6153</v>
      </c>
    </row>
    <row r="12509" spans="8:8">
      <c r="H12509" s="680" t="s">
        <v>6153</v>
      </c>
    </row>
    <row r="12510" spans="8:8">
      <c r="H12510" s="680" t="s">
        <v>6153</v>
      </c>
    </row>
    <row r="12511" spans="8:8">
      <c r="H12511" s="680" t="s">
        <v>6153</v>
      </c>
    </row>
    <row r="12512" spans="8:8">
      <c r="H12512" s="680" t="s">
        <v>6153</v>
      </c>
    </row>
    <row r="12513" spans="8:8">
      <c r="H12513" s="680" t="s">
        <v>6153</v>
      </c>
    </row>
    <row r="12514" spans="8:8">
      <c r="H12514" s="680" t="s">
        <v>6153</v>
      </c>
    </row>
    <row r="12515" spans="8:8">
      <c r="H12515" s="680" t="s">
        <v>6153</v>
      </c>
    </row>
    <row r="12516" spans="8:8">
      <c r="H12516" s="680" t="s">
        <v>6153</v>
      </c>
    </row>
    <row r="12517" spans="8:8">
      <c r="H12517" s="680" t="s">
        <v>6153</v>
      </c>
    </row>
    <row r="12518" spans="8:8">
      <c r="H12518" s="680" t="s">
        <v>6153</v>
      </c>
    </row>
    <row r="12519" spans="8:8">
      <c r="H12519" s="680" t="s">
        <v>6153</v>
      </c>
    </row>
    <row r="12520" spans="8:8">
      <c r="H12520" s="680" t="s">
        <v>6153</v>
      </c>
    </row>
    <row r="12521" spans="8:8">
      <c r="H12521" s="680" t="s">
        <v>6153</v>
      </c>
    </row>
    <row r="12522" spans="8:8">
      <c r="H12522" s="680" t="s">
        <v>6153</v>
      </c>
    </row>
    <row r="12523" spans="8:8">
      <c r="H12523" s="680" t="s">
        <v>6153</v>
      </c>
    </row>
    <row r="12524" spans="8:8">
      <c r="H12524" s="680" t="s">
        <v>6153</v>
      </c>
    </row>
    <row r="12525" spans="8:8">
      <c r="H12525" s="680" t="s">
        <v>6153</v>
      </c>
    </row>
    <row r="12526" spans="8:8">
      <c r="H12526" s="680" t="s">
        <v>6153</v>
      </c>
    </row>
    <row r="12527" spans="8:8">
      <c r="H12527" s="680" t="s">
        <v>6153</v>
      </c>
    </row>
    <row r="12528" spans="8:8">
      <c r="H12528" s="680" t="s">
        <v>6153</v>
      </c>
    </row>
    <row r="12529" spans="8:8">
      <c r="H12529" s="680" t="s">
        <v>6153</v>
      </c>
    </row>
    <row r="12530" spans="8:8">
      <c r="H12530" s="680" t="s">
        <v>6153</v>
      </c>
    </row>
    <row r="12531" spans="8:8">
      <c r="H12531" s="680" t="s">
        <v>6153</v>
      </c>
    </row>
    <row r="12532" spans="8:8">
      <c r="H12532" s="680" t="s">
        <v>6153</v>
      </c>
    </row>
    <row r="12533" spans="8:8">
      <c r="H12533" s="680" t="s">
        <v>6153</v>
      </c>
    </row>
    <row r="12534" spans="8:8">
      <c r="H12534" s="680" t="s">
        <v>6153</v>
      </c>
    </row>
    <row r="12535" spans="8:8">
      <c r="H12535" s="680" t="s">
        <v>6153</v>
      </c>
    </row>
    <row r="12536" spans="8:8">
      <c r="H12536" s="680" t="s">
        <v>6153</v>
      </c>
    </row>
    <row r="12537" spans="8:8">
      <c r="H12537" s="680" t="s">
        <v>6153</v>
      </c>
    </row>
    <row r="12538" spans="8:8">
      <c r="H12538" s="680" t="s">
        <v>6153</v>
      </c>
    </row>
    <row r="12539" spans="8:8">
      <c r="H12539" s="680" t="s">
        <v>6153</v>
      </c>
    </row>
    <row r="12540" spans="8:8">
      <c r="H12540" s="680" t="s">
        <v>6153</v>
      </c>
    </row>
    <row r="12541" spans="8:8">
      <c r="H12541" s="680" t="s">
        <v>6153</v>
      </c>
    </row>
    <row r="12542" spans="8:8">
      <c r="H12542" s="680" t="s">
        <v>6153</v>
      </c>
    </row>
    <row r="12543" spans="8:8">
      <c r="H12543" s="680" t="s">
        <v>6153</v>
      </c>
    </row>
    <row r="12544" spans="8:8">
      <c r="H12544" s="680" t="s">
        <v>6153</v>
      </c>
    </row>
    <row r="12545" spans="8:8">
      <c r="H12545" s="680" t="s">
        <v>6153</v>
      </c>
    </row>
    <row r="12546" spans="8:8">
      <c r="H12546" s="680" t="s">
        <v>6153</v>
      </c>
    </row>
    <row r="12547" spans="8:8">
      <c r="H12547" s="680" t="s">
        <v>6153</v>
      </c>
    </row>
    <row r="12548" spans="8:8">
      <c r="H12548" s="680" t="s">
        <v>6153</v>
      </c>
    </row>
    <row r="12549" spans="8:8">
      <c r="H12549" s="680" t="s">
        <v>6153</v>
      </c>
    </row>
    <row r="12550" spans="8:8">
      <c r="H12550" s="680" t="s">
        <v>6153</v>
      </c>
    </row>
    <row r="12551" spans="8:8">
      <c r="H12551" s="680" t="s">
        <v>6153</v>
      </c>
    </row>
    <row r="12552" spans="8:8">
      <c r="H12552" s="680" t="s">
        <v>6153</v>
      </c>
    </row>
    <row r="12553" spans="8:8">
      <c r="H12553" s="680" t="s">
        <v>6153</v>
      </c>
    </row>
    <row r="12554" spans="8:8">
      <c r="H12554" s="680" t="s">
        <v>6153</v>
      </c>
    </row>
    <row r="12555" spans="8:8">
      <c r="H12555" s="680" t="s">
        <v>6153</v>
      </c>
    </row>
    <row r="12556" spans="8:8">
      <c r="H12556" s="680" t="s">
        <v>6153</v>
      </c>
    </row>
    <row r="12557" spans="8:8">
      <c r="H12557" s="680" t="s">
        <v>6153</v>
      </c>
    </row>
    <row r="12558" spans="8:8">
      <c r="H12558" s="680" t="s">
        <v>6153</v>
      </c>
    </row>
    <row r="12559" spans="8:8">
      <c r="H12559" s="680" t="s">
        <v>6153</v>
      </c>
    </row>
    <row r="12560" spans="8:8">
      <c r="H12560" s="680" t="s">
        <v>6153</v>
      </c>
    </row>
    <row r="12561" spans="8:8">
      <c r="H12561" s="680" t="s">
        <v>6153</v>
      </c>
    </row>
    <row r="12562" spans="8:8">
      <c r="H12562" s="680" t="s">
        <v>6153</v>
      </c>
    </row>
    <row r="12563" spans="8:8">
      <c r="H12563" s="680" t="s">
        <v>6153</v>
      </c>
    </row>
    <row r="12564" spans="8:8">
      <c r="H12564" s="680" t="s">
        <v>6153</v>
      </c>
    </row>
    <row r="12565" spans="8:8">
      <c r="H12565" s="680" t="s">
        <v>6153</v>
      </c>
    </row>
    <row r="12566" spans="8:8">
      <c r="H12566" s="680" t="s">
        <v>6153</v>
      </c>
    </row>
    <row r="12567" spans="8:8">
      <c r="H12567" s="680" t="s">
        <v>6153</v>
      </c>
    </row>
    <row r="12568" spans="8:8">
      <c r="H12568" s="680" t="s">
        <v>6153</v>
      </c>
    </row>
    <row r="12569" spans="8:8">
      <c r="H12569" s="680" t="s">
        <v>6153</v>
      </c>
    </row>
    <row r="12570" spans="8:8">
      <c r="H12570" s="680" t="s">
        <v>6153</v>
      </c>
    </row>
    <row r="12571" spans="8:8">
      <c r="H12571" s="680" t="s">
        <v>6153</v>
      </c>
    </row>
    <row r="12572" spans="8:8">
      <c r="H12572" s="680" t="s">
        <v>6153</v>
      </c>
    </row>
    <row r="12573" spans="8:8">
      <c r="H12573" s="680" t="s">
        <v>6153</v>
      </c>
    </row>
    <row r="12574" spans="8:8">
      <c r="H12574" s="680" t="s">
        <v>6153</v>
      </c>
    </row>
    <row r="12575" spans="8:8">
      <c r="H12575" s="680" t="s">
        <v>6153</v>
      </c>
    </row>
    <row r="12576" spans="8:8">
      <c r="H12576" s="680" t="s">
        <v>6153</v>
      </c>
    </row>
    <row r="12577" spans="8:8">
      <c r="H12577" s="680" t="s">
        <v>6153</v>
      </c>
    </row>
    <row r="12578" spans="8:8">
      <c r="H12578" s="680" t="s">
        <v>6153</v>
      </c>
    </row>
    <row r="12579" spans="8:8">
      <c r="H12579" s="680" t="s">
        <v>6153</v>
      </c>
    </row>
    <row r="12580" spans="8:8">
      <c r="H12580" s="680" t="s">
        <v>6153</v>
      </c>
    </row>
    <row r="12581" spans="8:8">
      <c r="H12581" s="680" t="s">
        <v>6153</v>
      </c>
    </row>
    <row r="12582" spans="8:8">
      <c r="H12582" s="680" t="s">
        <v>6153</v>
      </c>
    </row>
    <row r="12583" spans="8:8">
      <c r="H12583" s="680" t="s">
        <v>6153</v>
      </c>
    </row>
    <row r="12584" spans="8:8">
      <c r="H12584" s="680" t="s">
        <v>6153</v>
      </c>
    </row>
    <row r="12585" spans="8:8">
      <c r="H12585" s="680" t="s">
        <v>6153</v>
      </c>
    </row>
    <row r="12586" spans="8:8">
      <c r="H12586" s="680" t="s">
        <v>6153</v>
      </c>
    </row>
    <row r="12587" spans="8:8">
      <c r="H12587" s="680" t="s">
        <v>6153</v>
      </c>
    </row>
    <row r="12588" spans="8:8">
      <c r="H12588" s="680" t="s">
        <v>6153</v>
      </c>
    </row>
    <row r="12589" spans="8:8">
      <c r="H12589" s="680" t="s">
        <v>6153</v>
      </c>
    </row>
    <row r="12590" spans="8:8">
      <c r="H12590" s="680" t="s">
        <v>6153</v>
      </c>
    </row>
    <row r="12591" spans="8:8">
      <c r="H12591" s="680" t="s">
        <v>6153</v>
      </c>
    </row>
    <row r="12592" spans="8:8">
      <c r="H12592" s="680" t="s">
        <v>6153</v>
      </c>
    </row>
    <row r="12593" spans="8:8">
      <c r="H12593" s="680" t="s">
        <v>6153</v>
      </c>
    </row>
    <row r="12594" spans="8:8">
      <c r="H12594" s="680" t="s">
        <v>6153</v>
      </c>
    </row>
    <row r="12595" spans="8:8">
      <c r="H12595" s="680" t="s">
        <v>6153</v>
      </c>
    </row>
    <row r="12596" spans="8:8">
      <c r="H12596" s="680" t="s">
        <v>6153</v>
      </c>
    </row>
    <row r="12597" spans="8:8">
      <c r="H12597" s="680" t="s">
        <v>6153</v>
      </c>
    </row>
    <row r="12598" spans="8:8">
      <c r="H12598" s="680" t="s">
        <v>6153</v>
      </c>
    </row>
    <row r="12599" spans="8:8">
      <c r="H12599" s="680" t="s">
        <v>6153</v>
      </c>
    </row>
    <row r="12600" spans="8:8">
      <c r="H12600" s="680" t="s">
        <v>6153</v>
      </c>
    </row>
    <row r="12601" spans="8:8">
      <c r="H12601" s="680" t="s">
        <v>6153</v>
      </c>
    </row>
    <row r="12602" spans="8:8">
      <c r="H12602" s="680" t="s">
        <v>6153</v>
      </c>
    </row>
    <row r="12603" spans="8:8">
      <c r="H12603" s="680" t="s">
        <v>6153</v>
      </c>
    </row>
    <row r="12604" spans="8:8">
      <c r="H12604" s="680" t="s">
        <v>6153</v>
      </c>
    </row>
    <row r="12605" spans="8:8">
      <c r="H12605" s="680" t="s">
        <v>6153</v>
      </c>
    </row>
    <row r="12606" spans="8:8">
      <c r="H12606" s="680" t="s">
        <v>6153</v>
      </c>
    </row>
    <row r="12607" spans="8:8">
      <c r="H12607" s="680" t="s">
        <v>6153</v>
      </c>
    </row>
    <row r="12608" spans="8:8">
      <c r="H12608" s="680" t="s">
        <v>6153</v>
      </c>
    </row>
    <row r="12609" spans="8:8">
      <c r="H12609" s="680" t="s">
        <v>6153</v>
      </c>
    </row>
    <row r="12610" spans="8:8">
      <c r="H12610" s="680" t="s">
        <v>6153</v>
      </c>
    </row>
    <row r="12611" spans="8:8">
      <c r="H12611" s="680" t="s">
        <v>6153</v>
      </c>
    </row>
    <row r="12612" spans="8:8">
      <c r="H12612" s="680" t="s">
        <v>6153</v>
      </c>
    </row>
    <row r="12613" spans="8:8">
      <c r="H12613" s="680" t="s">
        <v>6153</v>
      </c>
    </row>
    <row r="12614" spans="8:8">
      <c r="H12614" s="680" t="s">
        <v>6153</v>
      </c>
    </row>
    <row r="12615" spans="8:8">
      <c r="H12615" s="680" t="s">
        <v>6153</v>
      </c>
    </row>
    <row r="12616" spans="8:8">
      <c r="H12616" s="680" t="s">
        <v>6153</v>
      </c>
    </row>
    <row r="12617" spans="8:8">
      <c r="H12617" s="680" t="s">
        <v>6153</v>
      </c>
    </row>
    <row r="12618" spans="8:8">
      <c r="H12618" s="680" t="s">
        <v>6153</v>
      </c>
    </row>
    <row r="12619" spans="8:8">
      <c r="H12619" s="680" t="s">
        <v>6153</v>
      </c>
    </row>
    <row r="12620" spans="8:8">
      <c r="H12620" s="680" t="s">
        <v>6153</v>
      </c>
    </row>
    <row r="12621" spans="8:8">
      <c r="H12621" s="680" t="s">
        <v>6153</v>
      </c>
    </row>
    <row r="12622" spans="8:8">
      <c r="H12622" s="680" t="s">
        <v>6153</v>
      </c>
    </row>
    <row r="12623" spans="8:8">
      <c r="H12623" s="680" t="s">
        <v>6153</v>
      </c>
    </row>
    <row r="12624" spans="8:8">
      <c r="H12624" s="680" t="s">
        <v>6153</v>
      </c>
    </row>
    <row r="12625" spans="8:8">
      <c r="H12625" s="680" t="s">
        <v>6153</v>
      </c>
    </row>
    <row r="12626" spans="8:8">
      <c r="H12626" s="680" t="s">
        <v>6153</v>
      </c>
    </row>
    <row r="12627" spans="8:8">
      <c r="H12627" s="680" t="s">
        <v>6153</v>
      </c>
    </row>
    <row r="12628" spans="8:8">
      <c r="H12628" s="680" t="s">
        <v>6153</v>
      </c>
    </row>
    <row r="12629" spans="8:8">
      <c r="H12629" s="680" t="s">
        <v>6153</v>
      </c>
    </row>
    <row r="12630" spans="8:8">
      <c r="H12630" s="680" t="s">
        <v>6153</v>
      </c>
    </row>
    <row r="12631" spans="8:8">
      <c r="H12631" s="680" t="s">
        <v>6153</v>
      </c>
    </row>
    <row r="12632" spans="8:8">
      <c r="H12632" s="680" t="s">
        <v>6153</v>
      </c>
    </row>
    <row r="12633" spans="8:8">
      <c r="H12633" s="680" t="s">
        <v>6153</v>
      </c>
    </row>
    <row r="12634" spans="8:8">
      <c r="H12634" s="680" t="s">
        <v>6153</v>
      </c>
    </row>
    <row r="12635" spans="8:8">
      <c r="H12635" s="680" t="s">
        <v>6153</v>
      </c>
    </row>
    <row r="12636" spans="8:8">
      <c r="H12636" s="680" t="s">
        <v>6153</v>
      </c>
    </row>
    <row r="12637" spans="8:8">
      <c r="H12637" s="680" t="s">
        <v>6153</v>
      </c>
    </row>
    <row r="12638" spans="8:8">
      <c r="H12638" s="680" t="s">
        <v>6153</v>
      </c>
    </row>
    <row r="12639" spans="8:8">
      <c r="H12639" s="680" t="s">
        <v>6153</v>
      </c>
    </row>
    <row r="12640" spans="8:8">
      <c r="H12640" s="680" t="s">
        <v>6153</v>
      </c>
    </row>
    <row r="12641" spans="8:8">
      <c r="H12641" s="680" t="s">
        <v>6153</v>
      </c>
    </row>
    <row r="12642" spans="8:8">
      <c r="H12642" s="680" t="s">
        <v>6153</v>
      </c>
    </row>
    <row r="12643" spans="8:8">
      <c r="H12643" s="680" t="s">
        <v>6153</v>
      </c>
    </row>
    <row r="12644" spans="8:8">
      <c r="H12644" s="680" t="s">
        <v>6153</v>
      </c>
    </row>
    <row r="12645" spans="8:8">
      <c r="H12645" s="680" t="s">
        <v>6153</v>
      </c>
    </row>
    <row r="12646" spans="8:8">
      <c r="H12646" s="680" t="s">
        <v>6153</v>
      </c>
    </row>
    <row r="12647" spans="8:8">
      <c r="H12647" s="680" t="s">
        <v>6153</v>
      </c>
    </row>
    <row r="12648" spans="8:8">
      <c r="H12648" s="680" t="s">
        <v>6153</v>
      </c>
    </row>
    <row r="12649" spans="8:8">
      <c r="H12649" s="680" t="s">
        <v>6153</v>
      </c>
    </row>
    <row r="12650" spans="8:8">
      <c r="H12650" s="680" t="s">
        <v>6153</v>
      </c>
    </row>
    <row r="12651" spans="8:8">
      <c r="H12651" s="680" t="s">
        <v>6153</v>
      </c>
    </row>
    <row r="12652" spans="8:8">
      <c r="H12652" s="680" t="s">
        <v>6153</v>
      </c>
    </row>
    <row r="12653" spans="8:8">
      <c r="H12653" s="680" t="s">
        <v>6153</v>
      </c>
    </row>
    <row r="12654" spans="8:8">
      <c r="H12654" s="680" t="s">
        <v>6153</v>
      </c>
    </row>
    <row r="12655" spans="8:8">
      <c r="H12655" s="680" t="s">
        <v>6153</v>
      </c>
    </row>
    <row r="12656" spans="8:8">
      <c r="H12656" s="680" t="s">
        <v>6153</v>
      </c>
    </row>
    <row r="12657" spans="8:8">
      <c r="H12657" s="680" t="s">
        <v>6153</v>
      </c>
    </row>
    <row r="12658" spans="8:8">
      <c r="H12658" s="680" t="s">
        <v>6153</v>
      </c>
    </row>
    <row r="12659" spans="8:8">
      <c r="H12659" s="680" t="s">
        <v>6153</v>
      </c>
    </row>
    <row r="12660" spans="8:8">
      <c r="H12660" s="680" t="s">
        <v>6153</v>
      </c>
    </row>
    <row r="12661" spans="8:8">
      <c r="H12661" s="680" t="s">
        <v>6153</v>
      </c>
    </row>
    <row r="12662" spans="8:8">
      <c r="H12662" s="680" t="s">
        <v>6153</v>
      </c>
    </row>
    <row r="12663" spans="8:8">
      <c r="H12663" s="680" t="s">
        <v>6153</v>
      </c>
    </row>
    <row r="12664" spans="8:8">
      <c r="H12664" s="680" t="s">
        <v>6153</v>
      </c>
    </row>
    <row r="12665" spans="8:8">
      <c r="H12665" s="680" t="s">
        <v>6153</v>
      </c>
    </row>
    <row r="12666" spans="8:8">
      <c r="H12666" s="680" t="s">
        <v>6153</v>
      </c>
    </row>
    <row r="12667" spans="8:8">
      <c r="H12667" s="680" t="s">
        <v>6153</v>
      </c>
    </row>
    <row r="12668" spans="8:8">
      <c r="H12668" s="680" t="s">
        <v>6153</v>
      </c>
    </row>
    <row r="12669" spans="8:8">
      <c r="H12669" s="680" t="s">
        <v>6153</v>
      </c>
    </row>
    <row r="12670" spans="8:8">
      <c r="H12670" s="680" t="s">
        <v>6153</v>
      </c>
    </row>
    <row r="12671" spans="8:8">
      <c r="H12671" s="680" t="s">
        <v>6153</v>
      </c>
    </row>
    <row r="12672" spans="8:8">
      <c r="H12672" s="680" t="s">
        <v>6153</v>
      </c>
    </row>
    <row r="12673" spans="8:8">
      <c r="H12673" s="680" t="s">
        <v>6153</v>
      </c>
    </row>
    <row r="12674" spans="8:8">
      <c r="H12674" s="680" t="s">
        <v>6153</v>
      </c>
    </row>
    <row r="12675" spans="8:8">
      <c r="H12675" s="680" t="s">
        <v>6153</v>
      </c>
    </row>
    <row r="12676" spans="8:8">
      <c r="H12676" s="680" t="s">
        <v>6153</v>
      </c>
    </row>
    <row r="12677" spans="8:8">
      <c r="H12677" s="680" t="s">
        <v>6153</v>
      </c>
    </row>
    <row r="12678" spans="8:8">
      <c r="H12678" s="680" t="s">
        <v>6153</v>
      </c>
    </row>
    <row r="12679" spans="8:8">
      <c r="H12679" s="680" t="s">
        <v>6153</v>
      </c>
    </row>
    <row r="12680" spans="8:8">
      <c r="H12680" s="680" t="s">
        <v>6153</v>
      </c>
    </row>
    <row r="12681" spans="8:8">
      <c r="H12681" s="680" t="s">
        <v>6153</v>
      </c>
    </row>
    <row r="12682" spans="8:8">
      <c r="H12682" s="680" t="s">
        <v>6153</v>
      </c>
    </row>
    <row r="12683" spans="8:8">
      <c r="H12683" s="680" t="s">
        <v>6153</v>
      </c>
    </row>
    <row r="12684" spans="8:8">
      <c r="H12684" s="680" t="s">
        <v>6153</v>
      </c>
    </row>
    <row r="12685" spans="8:8">
      <c r="H12685" s="680" t="s">
        <v>6153</v>
      </c>
    </row>
    <row r="12686" spans="8:8">
      <c r="H12686" s="680" t="s">
        <v>6153</v>
      </c>
    </row>
    <row r="12687" spans="8:8">
      <c r="H12687" s="680" t="s">
        <v>6153</v>
      </c>
    </row>
    <row r="12688" spans="8:8">
      <c r="H12688" s="680" t="s">
        <v>6153</v>
      </c>
    </row>
    <row r="12689" spans="8:8">
      <c r="H12689" s="680" t="s">
        <v>6153</v>
      </c>
    </row>
    <row r="12690" spans="8:8">
      <c r="H12690" s="680" t="s">
        <v>6153</v>
      </c>
    </row>
    <row r="12691" spans="8:8">
      <c r="H12691" s="680" t="s">
        <v>6153</v>
      </c>
    </row>
    <row r="12692" spans="8:8">
      <c r="H12692" s="680" t="s">
        <v>6153</v>
      </c>
    </row>
    <row r="12693" spans="8:8">
      <c r="H12693" s="680" t="s">
        <v>6153</v>
      </c>
    </row>
    <row r="12694" spans="8:8">
      <c r="H12694" s="680" t="s">
        <v>6153</v>
      </c>
    </row>
    <row r="12695" spans="8:8">
      <c r="H12695" s="680" t="s">
        <v>6153</v>
      </c>
    </row>
    <row r="12696" spans="8:8">
      <c r="H12696" s="680" t="s">
        <v>6153</v>
      </c>
    </row>
    <row r="12697" spans="8:8">
      <c r="H12697" s="680" t="s">
        <v>6153</v>
      </c>
    </row>
    <row r="12698" spans="8:8">
      <c r="H12698" s="680" t="s">
        <v>6153</v>
      </c>
    </row>
    <row r="12699" spans="8:8">
      <c r="H12699" s="680" t="s">
        <v>6153</v>
      </c>
    </row>
    <row r="12700" spans="8:8">
      <c r="H12700" s="680" t="s">
        <v>6153</v>
      </c>
    </row>
    <row r="12701" spans="8:8">
      <c r="H12701" s="680" t="s">
        <v>6153</v>
      </c>
    </row>
    <row r="12702" spans="8:8">
      <c r="H12702" s="680" t="s">
        <v>6153</v>
      </c>
    </row>
    <row r="12703" spans="8:8">
      <c r="H12703" s="680" t="s">
        <v>6153</v>
      </c>
    </row>
    <row r="12704" spans="8:8">
      <c r="H12704" s="680" t="s">
        <v>6153</v>
      </c>
    </row>
    <row r="12705" spans="8:8">
      <c r="H12705" s="680" t="s">
        <v>6153</v>
      </c>
    </row>
    <row r="12706" spans="8:8">
      <c r="H12706" s="680" t="s">
        <v>6153</v>
      </c>
    </row>
    <row r="12707" spans="8:8">
      <c r="H12707" s="680" t="s">
        <v>6153</v>
      </c>
    </row>
    <row r="12708" spans="8:8">
      <c r="H12708" s="680" t="s">
        <v>6153</v>
      </c>
    </row>
    <row r="12709" spans="8:8">
      <c r="H12709" s="680" t="s">
        <v>6153</v>
      </c>
    </row>
    <row r="12710" spans="8:8">
      <c r="H12710" s="680" t="s">
        <v>6153</v>
      </c>
    </row>
    <row r="12711" spans="8:8">
      <c r="H12711" s="680" t="s">
        <v>6153</v>
      </c>
    </row>
    <row r="12712" spans="8:8">
      <c r="H12712" s="680" t="s">
        <v>6153</v>
      </c>
    </row>
    <row r="12713" spans="8:8">
      <c r="H12713" s="680" t="s">
        <v>6153</v>
      </c>
    </row>
    <row r="12714" spans="8:8">
      <c r="H12714" s="680" t="s">
        <v>6153</v>
      </c>
    </row>
    <row r="12715" spans="8:8">
      <c r="H12715" s="680" t="s">
        <v>6153</v>
      </c>
    </row>
    <row r="12716" spans="8:8">
      <c r="H12716" s="680" t="s">
        <v>6153</v>
      </c>
    </row>
    <row r="12717" spans="8:8">
      <c r="H12717" s="680" t="s">
        <v>6153</v>
      </c>
    </row>
    <row r="12718" spans="8:8">
      <c r="H12718" s="680" t="s">
        <v>6153</v>
      </c>
    </row>
    <row r="12719" spans="8:8">
      <c r="H12719" s="680" t="s">
        <v>6153</v>
      </c>
    </row>
    <row r="12720" spans="8:8">
      <c r="H12720" s="680" t="s">
        <v>6153</v>
      </c>
    </row>
    <row r="12721" spans="8:8">
      <c r="H12721" s="680" t="s">
        <v>6153</v>
      </c>
    </row>
    <row r="12722" spans="8:8">
      <c r="H12722" s="680" t="s">
        <v>6153</v>
      </c>
    </row>
    <row r="12723" spans="8:8">
      <c r="H12723" s="680" t="s">
        <v>6153</v>
      </c>
    </row>
    <row r="12724" spans="8:8">
      <c r="H12724" s="680" t="s">
        <v>6153</v>
      </c>
    </row>
    <row r="12725" spans="8:8">
      <c r="H12725" s="680" t="s">
        <v>6153</v>
      </c>
    </row>
    <row r="12726" spans="8:8">
      <c r="H12726" s="680" t="s">
        <v>6153</v>
      </c>
    </row>
    <row r="12727" spans="8:8">
      <c r="H12727" s="680" t="s">
        <v>6153</v>
      </c>
    </row>
    <row r="12728" spans="8:8">
      <c r="H12728" s="680" t="s">
        <v>6153</v>
      </c>
    </row>
    <row r="12729" spans="8:8">
      <c r="H12729" s="680" t="s">
        <v>6153</v>
      </c>
    </row>
    <row r="12730" spans="8:8">
      <c r="H12730" s="680" t="s">
        <v>6153</v>
      </c>
    </row>
    <row r="12731" spans="8:8">
      <c r="H12731" s="680" t="s">
        <v>6153</v>
      </c>
    </row>
    <row r="12732" spans="8:8">
      <c r="H12732" s="680" t="s">
        <v>6153</v>
      </c>
    </row>
    <row r="12733" spans="8:8">
      <c r="H12733" s="680" t="s">
        <v>6153</v>
      </c>
    </row>
    <row r="12734" spans="8:8">
      <c r="H12734" s="680" t="s">
        <v>6153</v>
      </c>
    </row>
    <row r="12735" spans="8:8">
      <c r="H12735" s="680" t="s">
        <v>6153</v>
      </c>
    </row>
    <row r="12736" spans="8:8">
      <c r="H12736" s="680" t="s">
        <v>6153</v>
      </c>
    </row>
    <row r="12737" spans="8:8">
      <c r="H12737" s="680" t="s">
        <v>6153</v>
      </c>
    </row>
    <row r="12738" spans="8:8">
      <c r="H12738" s="680" t="s">
        <v>6153</v>
      </c>
    </row>
    <row r="12739" spans="8:8">
      <c r="H12739" s="680" t="s">
        <v>6153</v>
      </c>
    </row>
    <row r="12740" spans="8:8">
      <c r="H12740" s="680" t="s">
        <v>6153</v>
      </c>
    </row>
    <row r="12741" spans="8:8">
      <c r="H12741" s="680" t="s">
        <v>6153</v>
      </c>
    </row>
    <row r="12742" spans="8:8">
      <c r="H12742" s="680" t="s">
        <v>6153</v>
      </c>
    </row>
    <row r="12743" spans="8:8">
      <c r="H12743" s="680" t="s">
        <v>6153</v>
      </c>
    </row>
    <row r="12744" spans="8:8">
      <c r="H12744" s="680" t="s">
        <v>6153</v>
      </c>
    </row>
    <row r="12745" spans="8:8">
      <c r="H12745" s="680" t="s">
        <v>6153</v>
      </c>
    </row>
    <row r="12746" spans="8:8">
      <c r="H12746" s="680" t="s">
        <v>6153</v>
      </c>
    </row>
    <row r="12747" spans="8:8">
      <c r="H12747" s="680" t="s">
        <v>6153</v>
      </c>
    </row>
    <row r="12748" spans="8:8">
      <c r="H12748" s="680" t="s">
        <v>6153</v>
      </c>
    </row>
    <row r="12749" spans="8:8">
      <c r="H12749" s="680" t="s">
        <v>6153</v>
      </c>
    </row>
    <row r="12750" spans="8:8">
      <c r="H12750" s="680" t="s">
        <v>6153</v>
      </c>
    </row>
    <row r="12751" spans="8:8">
      <c r="H12751" s="680" t="s">
        <v>6153</v>
      </c>
    </row>
    <row r="12752" spans="8:8">
      <c r="H12752" s="680" t="s">
        <v>6153</v>
      </c>
    </row>
    <row r="12753" spans="8:8">
      <c r="H12753" s="680" t="s">
        <v>6153</v>
      </c>
    </row>
    <row r="12754" spans="8:8">
      <c r="H12754" s="680" t="s">
        <v>6153</v>
      </c>
    </row>
    <row r="12755" spans="8:8">
      <c r="H12755" s="680" t="s">
        <v>6153</v>
      </c>
    </row>
    <row r="12756" spans="8:8">
      <c r="H12756" s="680" t="s">
        <v>6153</v>
      </c>
    </row>
    <row r="12757" spans="8:8">
      <c r="H12757" s="680" t="s">
        <v>6153</v>
      </c>
    </row>
    <row r="12758" spans="8:8">
      <c r="H12758" s="680" t="s">
        <v>6153</v>
      </c>
    </row>
    <row r="12759" spans="8:8">
      <c r="H12759" s="680" t="s">
        <v>6153</v>
      </c>
    </row>
    <row r="12760" spans="8:8">
      <c r="H12760" s="680" t="s">
        <v>6153</v>
      </c>
    </row>
    <row r="12761" spans="8:8">
      <c r="H12761" s="680" t="s">
        <v>6153</v>
      </c>
    </row>
    <row r="12762" spans="8:8">
      <c r="H12762" s="680" t="s">
        <v>6153</v>
      </c>
    </row>
    <row r="12763" spans="8:8">
      <c r="H12763" s="680" t="s">
        <v>6153</v>
      </c>
    </row>
    <row r="12764" spans="8:8">
      <c r="H12764" s="680" t="s">
        <v>6153</v>
      </c>
    </row>
    <row r="12765" spans="8:8">
      <c r="H12765" s="680" t="s">
        <v>6153</v>
      </c>
    </row>
    <row r="12766" spans="8:8">
      <c r="H12766" s="680" t="s">
        <v>6153</v>
      </c>
    </row>
    <row r="12767" spans="8:8">
      <c r="H12767" s="680" t="s">
        <v>6153</v>
      </c>
    </row>
    <row r="12768" spans="8:8">
      <c r="H12768" s="680" t="s">
        <v>6153</v>
      </c>
    </row>
    <row r="12769" spans="8:8">
      <c r="H12769" s="680" t="s">
        <v>6153</v>
      </c>
    </row>
    <row r="12770" spans="8:8">
      <c r="H12770" s="680" t="s">
        <v>6153</v>
      </c>
    </row>
    <row r="12771" spans="8:8">
      <c r="H12771" s="680" t="s">
        <v>6153</v>
      </c>
    </row>
    <row r="12772" spans="8:8">
      <c r="H12772" s="680" t="s">
        <v>6153</v>
      </c>
    </row>
    <row r="12773" spans="8:8">
      <c r="H12773" s="680" t="s">
        <v>6153</v>
      </c>
    </row>
    <row r="12774" spans="8:8">
      <c r="H12774" s="680" t="s">
        <v>6153</v>
      </c>
    </row>
    <row r="12775" spans="8:8">
      <c r="H12775" s="680" t="s">
        <v>6153</v>
      </c>
    </row>
    <row r="12776" spans="8:8">
      <c r="H12776" s="680" t="s">
        <v>6153</v>
      </c>
    </row>
    <row r="12777" spans="8:8">
      <c r="H12777" s="680" t="s">
        <v>6153</v>
      </c>
    </row>
    <row r="12778" spans="8:8">
      <c r="H12778" s="680" t="s">
        <v>6153</v>
      </c>
    </row>
    <row r="12779" spans="8:8">
      <c r="H12779" s="680" t="s">
        <v>6153</v>
      </c>
    </row>
    <row r="12780" spans="8:8">
      <c r="H12780" s="680" t="s">
        <v>6153</v>
      </c>
    </row>
    <row r="12781" spans="8:8">
      <c r="H12781" s="680" t="s">
        <v>6153</v>
      </c>
    </row>
    <row r="12782" spans="8:8">
      <c r="H12782" s="680" t="s">
        <v>6153</v>
      </c>
    </row>
    <row r="12783" spans="8:8">
      <c r="H12783" s="680" t="s">
        <v>6153</v>
      </c>
    </row>
    <row r="12784" spans="8:8">
      <c r="H12784" s="680" t="s">
        <v>6153</v>
      </c>
    </row>
    <row r="12785" spans="8:8">
      <c r="H12785" s="680" t="s">
        <v>6153</v>
      </c>
    </row>
    <row r="12786" spans="8:8">
      <c r="H12786" s="680" t="s">
        <v>6153</v>
      </c>
    </row>
    <row r="12787" spans="8:8">
      <c r="H12787" s="680" t="s">
        <v>6153</v>
      </c>
    </row>
    <row r="12788" spans="8:8">
      <c r="H12788" s="680" t="s">
        <v>6153</v>
      </c>
    </row>
    <row r="12789" spans="8:8">
      <c r="H12789" s="680" t="s">
        <v>6153</v>
      </c>
    </row>
    <row r="12790" spans="8:8">
      <c r="H12790" s="680" t="s">
        <v>6153</v>
      </c>
    </row>
    <row r="12791" spans="8:8">
      <c r="H12791" s="680" t="s">
        <v>6153</v>
      </c>
    </row>
    <row r="12792" spans="8:8">
      <c r="H12792" s="680" t="s">
        <v>6153</v>
      </c>
    </row>
    <row r="12793" spans="8:8">
      <c r="H12793" s="680" t="s">
        <v>6153</v>
      </c>
    </row>
    <row r="12794" spans="8:8">
      <c r="H12794" s="680" t="s">
        <v>6153</v>
      </c>
    </row>
    <row r="12795" spans="8:8">
      <c r="H12795" s="680" t="s">
        <v>6153</v>
      </c>
    </row>
    <row r="12796" spans="8:8">
      <c r="H12796" s="680" t="s">
        <v>6153</v>
      </c>
    </row>
    <row r="12797" spans="8:8">
      <c r="H12797" s="680" t="s">
        <v>6153</v>
      </c>
    </row>
    <row r="12798" spans="8:8">
      <c r="H12798" s="680" t="s">
        <v>6153</v>
      </c>
    </row>
    <row r="12799" spans="8:8">
      <c r="H12799" s="680" t="s">
        <v>6153</v>
      </c>
    </row>
    <row r="12800" spans="8:8">
      <c r="H12800" s="680" t="s">
        <v>6153</v>
      </c>
    </row>
    <row r="12801" spans="8:8">
      <c r="H12801" s="680" t="s">
        <v>6153</v>
      </c>
    </row>
    <row r="12802" spans="8:8">
      <c r="H12802" s="680" t="s">
        <v>6153</v>
      </c>
    </row>
    <row r="12803" spans="8:8">
      <c r="H12803" s="680" t="s">
        <v>6153</v>
      </c>
    </row>
    <row r="12804" spans="8:8">
      <c r="H12804" s="680" t="s">
        <v>6153</v>
      </c>
    </row>
    <row r="12805" spans="8:8">
      <c r="H12805" s="680" t="s">
        <v>6153</v>
      </c>
    </row>
    <row r="12806" spans="8:8">
      <c r="H12806" s="680" t="s">
        <v>6153</v>
      </c>
    </row>
    <row r="12807" spans="8:8">
      <c r="H12807" s="680" t="s">
        <v>6153</v>
      </c>
    </row>
    <row r="12808" spans="8:8">
      <c r="H12808" s="680" t="s">
        <v>6153</v>
      </c>
    </row>
    <row r="12809" spans="8:8">
      <c r="H12809" s="680" t="s">
        <v>6153</v>
      </c>
    </row>
    <row r="12810" spans="8:8">
      <c r="H12810" s="680" t="s">
        <v>6153</v>
      </c>
    </row>
    <row r="12811" spans="8:8">
      <c r="H12811" s="680" t="s">
        <v>6153</v>
      </c>
    </row>
    <row r="12812" spans="8:8">
      <c r="H12812" s="680" t="s">
        <v>6153</v>
      </c>
    </row>
    <row r="12813" spans="8:8">
      <c r="H12813" s="680" t="s">
        <v>6153</v>
      </c>
    </row>
    <row r="12814" spans="8:8">
      <c r="H12814" s="680" t="s">
        <v>6153</v>
      </c>
    </row>
    <row r="12815" spans="8:8">
      <c r="H12815" s="680" t="s">
        <v>6153</v>
      </c>
    </row>
    <row r="12816" spans="8:8">
      <c r="H12816" s="680" t="s">
        <v>6153</v>
      </c>
    </row>
    <row r="12817" spans="8:8">
      <c r="H12817" s="680" t="s">
        <v>6153</v>
      </c>
    </row>
    <row r="12818" spans="8:8">
      <c r="H12818" s="680" t="s">
        <v>6153</v>
      </c>
    </row>
    <row r="12819" spans="8:8">
      <c r="H12819" s="680" t="s">
        <v>6153</v>
      </c>
    </row>
    <row r="12820" spans="8:8">
      <c r="H12820" s="680" t="s">
        <v>6153</v>
      </c>
    </row>
    <row r="12821" spans="8:8">
      <c r="H12821" s="680" t="s">
        <v>6153</v>
      </c>
    </row>
    <row r="12822" spans="8:8">
      <c r="H12822" s="680" t="s">
        <v>6153</v>
      </c>
    </row>
    <row r="12823" spans="8:8">
      <c r="H12823" s="680" t="s">
        <v>6153</v>
      </c>
    </row>
    <row r="12824" spans="8:8">
      <c r="H12824" s="680" t="s">
        <v>6153</v>
      </c>
    </row>
    <row r="12825" spans="8:8">
      <c r="H12825" s="680" t="s">
        <v>6153</v>
      </c>
    </row>
    <row r="12826" spans="8:8">
      <c r="H12826" s="680" t="s">
        <v>6153</v>
      </c>
    </row>
    <row r="12827" spans="8:8">
      <c r="H12827" s="680" t="s">
        <v>6153</v>
      </c>
    </row>
    <row r="12828" spans="8:8">
      <c r="H12828" s="680" t="s">
        <v>6153</v>
      </c>
    </row>
    <row r="12829" spans="8:8">
      <c r="H12829" s="680" t="s">
        <v>6153</v>
      </c>
    </row>
    <row r="12830" spans="8:8">
      <c r="H12830" s="680" t="s">
        <v>6153</v>
      </c>
    </row>
    <row r="12831" spans="8:8">
      <c r="H12831" s="680" t="s">
        <v>6153</v>
      </c>
    </row>
    <row r="12832" spans="8:8">
      <c r="H12832" s="680" t="s">
        <v>6153</v>
      </c>
    </row>
    <row r="12833" spans="8:8">
      <c r="H12833" s="680" t="s">
        <v>6153</v>
      </c>
    </row>
    <row r="12834" spans="8:8">
      <c r="H12834" s="680" t="s">
        <v>6153</v>
      </c>
    </row>
    <row r="12835" spans="8:8">
      <c r="H12835" s="680" t="s">
        <v>6153</v>
      </c>
    </row>
    <row r="12836" spans="8:8">
      <c r="H12836" s="680" t="s">
        <v>6153</v>
      </c>
    </row>
    <row r="12837" spans="8:8">
      <c r="H12837" s="680" t="s">
        <v>6153</v>
      </c>
    </row>
    <row r="12838" spans="8:8">
      <c r="H12838" s="680" t="s">
        <v>6153</v>
      </c>
    </row>
    <row r="12839" spans="8:8">
      <c r="H12839" s="680" t="s">
        <v>6153</v>
      </c>
    </row>
    <row r="12840" spans="8:8">
      <c r="H12840" s="680" t="s">
        <v>6153</v>
      </c>
    </row>
    <row r="12841" spans="8:8">
      <c r="H12841" s="680" t="s">
        <v>6153</v>
      </c>
    </row>
    <row r="12842" spans="8:8">
      <c r="H12842" s="680" t="s">
        <v>6153</v>
      </c>
    </row>
    <row r="12843" spans="8:8">
      <c r="H12843" s="680" t="s">
        <v>6153</v>
      </c>
    </row>
    <row r="12844" spans="8:8">
      <c r="H12844" s="680" t="s">
        <v>6153</v>
      </c>
    </row>
    <row r="12845" spans="8:8">
      <c r="H12845" s="680" t="s">
        <v>6153</v>
      </c>
    </row>
    <row r="12846" spans="8:8">
      <c r="H12846" s="680" t="s">
        <v>6153</v>
      </c>
    </row>
    <row r="12847" spans="8:8">
      <c r="H12847" s="680" t="s">
        <v>6153</v>
      </c>
    </row>
    <row r="12848" spans="8:8">
      <c r="H12848" s="680" t="s">
        <v>6153</v>
      </c>
    </row>
    <row r="12849" spans="8:8">
      <c r="H12849" s="680" t="s">
        <v>6153</v>
      </c>
    </row>
    <row r="12850" spans="8:8">
      <c r="H12850" s="680" t="s">
        <v>6153</v>
      </c>
    </row>
    <row r="12851" spans="8:8">
      <c r="H12851" s="680" t="s">
        <v>6153</v>
      </c>
    </row>
    <row r="12852" spans="8:8">
      <c r="H12852" s="680" t="s">
        <v>6153</v>
      </c>
    </row>
    <row r="12853" spans="8:8">
      <c r="H12853" s="680" t="s">
        <v>6153</v>
      </c>
    </row>
    <row r="12854" spans="8:8">
      <c r="H12854" s="680" t="s">
        <v>6153</v>
      </c>
    </row>
    <row r="12855" spans="8:8">
      <c r="H12855" s="680" t="s">
        <v>6153</v>
      </c>
    </row>
    <row r="12856" spans="8:8">
      <c r="H12856" s="680" t="s">
        <v>6153</v>
      </c>
    </row>
    <row r="12857" spans="8:8">
      <c r="H12857" s="680" t="s">
        <v>6153</v>
      </c>
    </row>
    <row r="12858" spans="8:8">
      <c r="H12858" s="680" t="s">
        <v>6153</v>
      </c>
    </row>
    <row r="12859" spans="8:8">
      <c r="H12859" s="680" t="s">
        <v>6153</v>
      </c>
    </row>
    <row r="12860" spans="8:8">
      <c r="H12860" s="680" t="s">
        <v>6153</v>
      </c>
    </row>
    <row r="12861" spans="8:8">
      <c r="H12861" s="680" t="s">
        <v>6153</v>
      </c>
    </row>
    <row r="12862" spans="8:8">
      <c r="H12862" s="680" t="s">
        <v>6153</v>
      </c>
    </row>
    <row r="12863" spans="8:8">
      <c r="H12863" s="680" t="s">
        <v>6153</v>
      </c>
    </row>
    <row r="12864" spans="8:8">
      <c r="H12864" s="680" t="s">
        <v>6153</v>
      </c>
    </row>
    <row r="12865" spans="8:8">
      <c r="H12865" s="680" t="s">
        <v>6153</v>
      </c>
    </row>
    <row r="12866" spans="8:8">
      <c r="H12866" s="680" t="s">
        <v>6153</v>
      </c>
    </row>
    <row r="12867" spans="8:8">
      <c r="H12867" s="680" t="s">
        <v>6153</v>
      </c>
    </row>
    <row r="12868" spans="8:8">
      <c r="H12868" s="680" t="s">
        <v>6153</v>
      </c>
    </row>
    <row r="12869" spans="8:8">
      <c r="H12869" s="680" t="s">
        <v>6153</v>
      </c>
    </row>
    <row r="12870" spans="8:8">
      <c r="H12870" s="680" t="s">
        <v>6153</v>
      </c>
    </row>
    <row r="12871" spans="8:8">
      <c r="H12871" s="680" t="s">
        <v>6153</v>
      </c>
    </row>
    <row r="12872" spans="8:8">
      <c r="H12872" s="680" t="s">
        <v>6153</v>
      </c>
    </row>
    <row r="12873" spans="8:8">
      <c r="H12873" s="680" t="s">
        <v>6153</v>
      </c>
    </row>
    <row r="12874" spans="8:8">
      <c r="H12874" s="680" t="s">
        <v>6153</v>
      </c>
    </row>
    <row r="12875" spans="8:8">
      <c r="H12875" s="680" t="s">
        <v>6153</v>
      </c>
    </row>
    <row r="12876" spans="8:8">
      <c r="H12876" s="680" t="s">
        <v>6153</v>
      </c>
    </row>
    <row r="12877" spans="8:8">
      <c r="H12877" s="680" t="s">
        <v>6153</v>
      </c>
    </row>
    <row r="12878" spans="8:8">
      <c r="H12878" s="680" t="s">
        <v>6153</v>
      </c>
    </row>
    <row r="12879" spans="8:8">
      <c r="H12879" s="680" t="s">
        <v>6153</v>
      </c>
    </row>
    <row r="12880" spans="8:8">
      <c r="H12880" s="680" t="s">
        <v>6153</v>
      </c>
    </row>
    <row r="12881" spans="8:8">
      <c r="H12881" s="680" t="s">
        <v>6153</v>
      </c>
    </row>
    <row r="12882" spans="8:8">
      <c r="H12882" s="680" t="s">
        <v>6153</v>
      </c>
    </row>
    <row r="12883" spans="8:8">
      <c r="H12883" s="680" t="s">
        <v>6153</v>
      </c>
    </row>
    <row r="12884" spans="8:8">
      <c r="H12884" s="680" t="s">
        <v>6153</v>
      </c>
    </row>
    <row r="12885" spans="8:8">
      <c r="H12885" s="680" t="s">
        <v>6153</v>
      </c>
    </row>
    <row r="12886" spans="8:8">
      <c r="H12886" s="680" t="s">
        <v>6153</v>
      </c>
    </row>
    <row r="12887" spans="8:8">
      <c r="H12887" s="680" t="s">
        <v>6153</v>
      </c>
    </row>
    <row r="12888" spans="8:8">
      <c r="H12888" s="680" t="s">
        <v>6153</v>
      </c>
    </row>
    <row r="12889" spans="8:8">
      <c r="H12889" s="680" t="s">
        <v>6153</v>
      </c>
    </row>
    <row r="12890" spans="8:8">
      <c r="H12890" s="680" t="s">
        <v>6153</v>
      </c>
    </row>
    <row r="12891" spans="8:8">
      <c r="H12891" s="680" t="s">
        <v>6153</v>
      </c>
    </row>
    <row r="12892" spans="8:8">
      <c r="H12892" s="680" t="s">
        <v>6153</v>
      </c>
    </row>
    <row r="12893" spans="8:8">
      <c r="H12893" s="680" t="s">
        <v>6153</v>
      </c>
    </row>
    <row r="12894" spans="8:8">
      <c r="H12894" s="680" t="s">
        <v>6153</v>
      </c>
    </row>
    <row r="12895" spans="8:8">
      <c r="H12895" s="680" t="s">
        <v>6153</v>
      </c>
    </row>
    <row r="12896" spans="8:8">
      <c r="H12896" s="680" t="s">
        <v>6153</v>
      </c>
    </row>
    <row r="12897" spans="8:8">
      <c r="H12897" s="680" t="s">
        <v>6153</v>
      </c>
    </row>
    <row r="12898" spans="8:8">
      <c r="H12898" s="680" t="s">
        <v>6153</v>
      </c>
    </row>
    <row r="12899" spans="8:8">
      <c r="H12899" s="680" t="s">
        <v>6153</v>
      </c>
    </row>
    <row r="12900" spans="8:8">
      <c r="H12900" s="680" t="s">
        <v>6153</v>
      </c>
    </row>
    <row r="12901" spans="8:8">
      <c r="H12901" s="680" t="s">
        <v>6153</v>
      </c>
    </row>
    <row r="12902" spans="8:8">
      <c r="H12902" s="680" t="s">
        <v>6153</v>
      </c>
    </row>
    <row r="12903" spans="8:8">
      <c r="H12903" s="680" t="s">
        <v>6153</v>
      </c>
    </row>
    <row r="12904" spans="8:8">
      <c r="H12904" s="680" t="s">
        <v>6153</v>
      </c>
    </row>
    <row r="12905" spans="8:8">
      <c r="H12905" s="680" t="s">
        <v>6153</v>
      </c>
    </row>
    <row r="12906" spans="8:8">
      <c r="H12906" s="680" t="s">
        <v>6153</v>
      </c>
    </row>
    <row r="12907" spans="8:8">
      <c r="H12907" s="680" t="s">
        <v>6153</v>
      </c>
    </row>
    <row r="12908" spans="8:8">
      <c r="H12908" s="680" t="s">
        <v>6153</v>
      </c>
    </row>
    <row r="12909" spans="8:8">
      <c r="H12909" s="680" t="s">
        <v>6153</v>
      </c>
    </row>
    <row r="12910" spans="8:8">
      <c r="H12910" s="680" t="s">
        <v>6153</v>
      </c>
    </row>
    <row r="12911" spans="8:8">
      <c r="H12911" s="680" t="s">
        <v>6153</v>
      </c>
    </row>
    <row r="12912" spans="8:8">
      <c r="H12912" s="680" t="s">
        <v>6153</v>
      </c>
    </row>
    <row r="12913" spans="8:8">
      <c r="H12913" s="680" t="s">
        <v>6153</v>
      </c>
    </row>
    <row r="12914" spans="8:8">
      <c r="H12914" s="680" t="s">
        <v>6153</v>
      </c>
    </row>
    <row r="12915" spans="8:8">
      <c r="H12915" s="680" t="s">
        <v>6153</v>
      </c>
    </row>
    <row r="12916" spans="8:8">
      <c r="H12916" s="680" t="s">
        <v>6153</v>
      </c>
    </row>
    <row r="12917" spans="8:8">
      <c r="H12917" s="680" t="s">
        <v>6153</v>
      </c>
    </row>
    <row r="12918" spans="8:8">
      <c r="H12918" s="680" t="s">
        <v>6153</v>
      </c>
    </row>
    <row r="12919" spans="8:8">
      <c r="H12919" s="680" t="s">
        <v>6153</v>
      </c>
    </row>
    <row r="12920" spans="8:8">
      <c r="H12920" s="680" t="s">
        <v>6153</v>
      </c>
    </row>
    <row r="12921" spans="8:8">
      <c r="H12921" s="680" t="s">
        <v>6153</v>
      </c>
    </row>
    <row r="12922" spans="8:8">
      <c r="H12922" s="680" t="s">
        <v>6153</v>
      </c>
    </row>
    <row r="12923" spans="8:8">
      <c r="H12923" s="680" t="s">
        <v>6153</v>
      </c>
    </row>
    <row r="12924" spans="8:8">
      <c r="H12924" s="680" t="s">
        <v>6153</v>
      </c>
    </row>
    <row r="12925" spans="8:8">
      <c r="H12925" s="680" t="s">
        <v>6153</v>
      </c>
    </row>
    <row r="12926" spans="8:8">
      <c r="H12926" s="680" t="s">
        <v>6153</v>
      </c>
    </row>
    <row r="12927" spans="8:8">
      <c r="H12927" s="680" t="s">
        <v>6153</v>
      </c>
    </row>
    <row r="12928" spans="8:8">
      <c r="H12928" s="680" t="s">
        <v>6153</v>
      </c>
    </row>
    <row r="12929" spans="8:8">
      <c r="H12929" s="680" t="s">
        <v>6153</v>
      </c>
    </row>
    <row r="12930" spans="8:8">
      <c r="H12930" s="680" t="s">
        <v>6153</v>
      </c>
    </row>
    <row r="12931" spans="8:8">
      <c r="H12931" s="680" t="s">
        <v>6153</v>
      </c>
    </row>
    <row r="12932" spans="8:8">
      <c r="H12932" s="680" t="s">
        <v>6153</v>
      </c>
    </row>
    <row r="12933" spans="8:8">
      <c r="H12933" s="680" t="s">
        <v>6153</v>
      </c>
    </row>
    <row r="12934" spans="8:8">
      <c r="H12934" s="680" t="s">
        <v>6153</v>
      </c>
    </row>
    <row r="12935" spans="8:8">
      <c r="H12935" s="680" t="s">
        <v>6153</v>
      </c>
    </row>
    <row r="12936" spans="8:8">
      <c r="H12936" s="680" t="s">
        <v>6153</v>
      </c>
    </row>
    <row r="12937" spans="8:8">
      <c r="H12937" s="680" t="s">
        <v>6153</v>
      </c>
    </row>
    <row r="12938" spans="8:8">
      <c r="H12938" s="680" t="s">
        <v>6153</v>
      </c>
    </row>
    <row r="12939" spans="8:8">
      <c r="H12939" s="680" t="s">
        <v>6153</v>
      </c>
    </row>
    <row r="12940" spans="8:8">
      <c r="H12940" s="680" t="s">
        <v>6153</v>
      </c>
    </row>
    <row r="12941" spans="8:8">
      <c r="H12941" s="680" t="s">
        <v>6153</v>
      </c>
    </row>
    <row r="12942" spans="8:8">
      <c r="H12942" s="680" t="s">
        <v>6153</v>
      </c>
    </row>
    <row r="12943" spans="8:8">
      <c r="H12943" s="680" t="s">
        <v>6153</v>
      </c>
    </row>
    <row r="12944" spans="8:8">
      <c r="H12944" s="680" t="s">
        <v>6153</v>
      </c>
    </row>
    <row r="12945" spans="8:8">
      <c r="H12945" s="680" t="s">
        <v>6153</v>
      </c>
    </row>
    <row r="12946" spans="8:8">
      <c r="H12946" s="680" t="s">
        <v>6153</v>
      </c>
    </row>
    <row r="12947" spans="8:8">
      <c r="H12947" s="680" t="s">
        <v>6153</v>
      </c>
    </row>
    <row r="12948" spans="8:8">
      <c r="H12948" s="680" t="s">
        <v>6153</v>
      </c>
    </row>
    <row r="12949" spans="8:8">
      <c r="H12949" s="680" t="s">
        <v>6153</v>
      </c>
    </row>
    <row r="12950" spans="8:8">
      <c r="H12950" s="680" t="s">
        <v>6153</v>
      </c>
    </row>
    <row r="12951" spans="8:8">
      <c r="H12951" s="680" t="s">
        <v>6153</v>
      </c>
    </row>
    <row r="12952" spans="8:8">
      <c r="H12952" s="680" t="s">
        <v>6153</v>
      </c>
    </row>
    <row r="12953" spans="8:8">
      <c r="H12953" s="680" t="s">
        <v>6153</v>
      </c>
    </row>
    <row r="12954" spans="8:8">
      <c r="H12954" s="680" t="s">
        <v>6153</v>
      </c>
    </row>
    <row r="12955" spans="8:8">
      <c r="H12955" s="680" t="s">
        <v>6153</v>
      </c>
    </row>
    <row r="12956" spans="8:8">
      <c r="H12956" s="680" t="s">
        <v>6153</v>
      </c>
    </row>
    <row r="12957" spans="8:8">
      <c r="H12957" s="680" t="s">
        <v>6153</v>
      </c>
    </row>
    <row r="12958" spans="8:8">
      <c r="H12958" s="680" t="s">
        <v>6153</v>
      </c>
    </row>
    <row r="12959" spans="8:8">
      <c r="H12959" s="680" t="s">
        <v>6153</v>
      </c>
    </row>
    <row r="12960" spans="8:8">
      <c r="H12960" s="680" t="s">
        <v>6153</v>
      </c>
    </row>
    <row r="12961" spans="8:8">
      <c r="H12961" s="680" t="s">
        <v>6153</v>
      </c>
    </row>
    <row r="12962" spans="8:8">
      <c r="H12962" s="680" t="s">
        <v>6153</v>
      </c>
    </row>
    <row r="12963" spans="8:8">
      <c r="H12963" s="680" t="s">
        <v>6153</v>
      </c>
    </row>
    <row r="12964" spans="8:8">
      <c r="H12964" s="680" t="s">
        <v>6153</v>
      </c>
    </row>
    <row r="12965" spans="8:8">
      <c r="H12965" s="680" t="s">
        <v>6153</v>
      </c>
    </row>
    <row r="12966" spans="8:8">
      <c r="H12966" s="680" t="s">
        <v>6153</v>
      </c>
    </row>
    <row r="12967" spans="8:8">
      <c r="H12967" s="680" t="s">
        <v>6153</v>
      </c>
    </row>
    <row r="12968" spans="8:8">
      <c r="H12968" s="680" t="s">
        <v>6153</v>
      </c>
    </row>
    <row r="12969" spans="8:8">
      <c r="H12969" s="680" t="s">
        <v>6153</v>
      </c>
    </row>
    <row r="12970" spans="8:8">
      <c r="H12970" s="680" t="s">
        <v>6153</v>
      </c>
    </row>
    <row r="12971" spans="8:8">
      <c r="H12971" s="680" t="s">
        <v>6153</v>
      </c>
    </row>
    <row r="12972" spans="8:8">
      <c r="H12972" s="680" t="s">
        <v>6153</v>
      </c>
    </row>
    <row r="12973" spans="8:8">
      <c r="H12973" s="680" t="s">
        <v>6153</v>
      </c>
    </row>
    <row r="12974" spans="8:8">
      <c r="H12974" s="680" t="s">
        <v>6153</v>
      </c>
    </row>
    <row r="12975" spans="8:8">
      <c r="H12975" s="680" t="s">
        <v>6153</v>
      </c>
    </row>
    <row r="12976" spans="8:8">
      <c r="H12976" s="680" t="s">
        <v>6153</v>
      </c>
    </row>
    <row r="12977" spans="8:8">
      <c r="H12977" s="680" t="s">
        <v>6153</v>
      </c>
    </row>
    <row r="12978" spans="8:8">
      <c r="H12978" s="680" t="s">
        <v>6153</v>
      </c>
    </row>
    <row r="12979" spans="8:8">
      <c r="H12979" s="680" t="s">
        <v>6153</v>
      </c>
    </row>
    <row r="12980" spans="8:8">
      <c r="H12980" s="680" t="s">
        <v>6153</v>
      </c>
    </row>
    <row r="12981" spans="8:8">
      <c r="H12981" s="680" t="s">
        <v>6153</v>
      </c>
    </row>
    <row r="12982" spans="8:8">
      <c r="H12982" s="680" t="s">
        <v>6153</v>
      </c>
    </row>
    <row r="12983" spans="8:8">
      <c r="H12983" s="680" t="s">
        <v>6153</v>
      </c>
    </row>
    <row r="12984" spans="8:8">
      <c r="H12984" s="680" t="s">
        <v>6153</v>
      </c>
    </row>
    <row r="12985" spans="8:8">
      <c r="H12985" s="680" t="s">
        <v>6153</v>
      </c>
    </row>
    <row r="12986" spans="8:8">
      <c r="H12986" s="680" t="s">
        <v>6153</v>
      </c>
    </row>
    <row r="12987" spans="8:8">
      <c r="H12987" s="680" t="s">
        <v>6153</v>
      </c>
    </row>
    <row r="12988" spans="8:8">
      <c r="H12988" s="680" t="s">
        <v>6153</v>
      </c>
    </row>
    <row r="12989" spans="8:8">
      <c r="H12989" s="680" t="s">
        <v>6153</v>
      </c>
    </row>
    <row r="12990" spans="8:8">
      <c r="H12990" s="680" t="s">
        <v>6153</v>
      </c>
    </row>
    <row r="12991" spans="8:8">
      <c r="H12991" s="680" t="s">
        <v>6153</v>
      </c>
    </row>
    <row r="12992" spans="8:8">
      <c r="H12992" s="680" t="s">
        <v>6153</v>
      </c>
    </row>
    <row r="12993" spans="8:8">
      <c r="H12993" s="680" t="s">
        <v>6153</v>
      </c>
    </row>
    <row r="12994" spans="8:8">
      <c r="H12994" s="680" t="s">
        <v>6153</v>
      </c>
    </row>
    <row r="12995" spans="8:8">
      <c r="H12995" s="680" t="s">
        <v>6153</v>
      </c>
    </row>
    <row r="12996" spans="8:8">
      <c r="H12996" s="680" t="s">
        <v>6153</v>
      </c>
    </row>
    <row r="12997" spans="8:8">
      <c r="H12997" s="680" t="s">
        <v>6153</v>
      </c>
    </row>
    <row r="12998" spans="8:8">
      <c r="H12998" s="680" t="s">
        <v>6153</v>
      </c>
    </row>
    <row r="12999" spans="8:8">
      <c r="H12999" s="680" t="s">
        <v>6153</v>
      </c>
    </row>
    <row r="13000" spans="8:8">
      <c r="H13000" s="680" t="s">
        <v>6153</v>
      </c>
    </row>
    <row r="13001" spans="8:8">
      <c r="H13001" s="680" t="s">
        <v>6153</v>
      </c>
    </row>
    <row r="13002" spans="8:8">
      <c r="H13002" s="680" t="s">
        <v>6153</v>
      </c>
    </row>
    <row r="13003" spans="8:8">
      <c r="H13003" s="680" t="s">
        <v>6153</v>
      </c>
    </row>
    <row r="13004" spans="8:8">
      <c r="H13004" s="680" t="s">
        <v>6153</v>
      </c>
    </row>
    <row r="13005" spans="8:8">
      <c r="H13005" s="680" t="s">
        <v>6153</v>
      </c>
    </row>
    <row r="13006" spans="8:8">
      <c r="H13006" s="680" t="s">
        <v>6153</v>
      </c>
    </row>
    <row r="13007" spans="8:8">
      <c r="H13007" s="680" t="s">
        <v>6153</v>
      </c>
    </row>
    <row r="13008" spans="8:8">
      <c r="H13008" s="680" t="s">
        <v>6153</v>
      </c>
    </row>
    <row r="13009" spans="8:8">
      <c r="H13009" s="680" t="s">
        <v>6153</v>
      </c>
    </row>
    <row r="13010" spans="8:8">
      <c r="H13010" s="680" t="s">
        <v>6153</v>
      </c>
    </row>
    <row r="13011" spans="8:8">
      <c r="H13011" s="680" t="s">
        <v>6153</v>
      </c>
    </row>
    <row r="13012" spans="8:8">
      <c r="H13012" s="680" t="s">
        <v>6153</v>
      </c>
    </row>
    <row r="13013" spans="8:8">
      <c r="H13013" s="680" t="s">
        <v>6153</v>
      </c>
    </row>
    <row r="13014" spans="8:8">
      <c r="H13014" s="680" t="s">
        <v>6153</v>
      </c>
    </row>
    <row r="13015" spans="8:8">
      <c r="H13015" s="680" t="s">
        <v>6153</v>
      </c>
    </row>
    <row r="13016" spans="8:8">
      <c r="H13016" s="680" t="s">
        <v>6153</v>
      </c>
    </row>
    <row r="13017" spans="8:8">
      <c r="H13017" s="680" t="s">
        <v>6153</v>
      </c>
    </row>
    <row r="13018" spans="8:8">
      <c r="H13018" s="680" t="s">
        <v>6153</v>
      </c>
    </row>
    <row r="13019" spans="8:8">
      <c r="H13019" s="680" t="s">
        <v>6153</v>
      </c>
    </row>
    <row r="13020" spans="8:8">
      <c r="H13020" s="680" t="s">
        <v>6153</v>
      </c>
    </row>
    <row r="13021" spans="8:8">
      <c r="H13021" s="680" t="s">
        <v>6153</v>
      </c>
    </row>
    <row r="13022" spans="8:8">
      <c r="H13022" s="680" t="s">
        <v>6153</v>
      </c>
    </row>
    <row r="13023" spans="8:8">
      <c r="H13023" s="680" t="s">
        <v>6153</v>
      </c>
    </row>
    <row r="13024" spans="8:8">
      <c r="H13024" s="680" t="s">
        <v>6153</v>
      </c>
    </row>
    <row r="13025" spans="8:8">
      <c r="H13025" s="680" t="s">
        <v>6153</v>
      </c>
    </row>
    <row r="13026" spans="8:8">
      <c r="H13026" s="680" t="s">
        <v>6153</v>
      </c>
    </row>
    <row r="13027" spans="8:8">
      <c r="H13027" s="680" t="s">
        <v>6153</v>
      </c>
    </row>
    <row r="13028" spans="8:8">
      <c r="H13028" s="680" t="s">
        <v>6153</v>
      </c>
    </row>
    <row r="13029" spans="8:8">
      <c r="H13029" s="680" t="s">
        <v>6153</v>
      </c>
    </row>
    <row r="13030" spans="8:8">
      <c r="H13030" s="680" t="s">
        <v>6153</v>
      </c>
    </row>
    <row r="13031" spans="8:8">
      <c r="H13031" s="680" t="s">
        <v>6153</v>
      </c>
    </row>
    <row r="13032" spans="8:8">
      <c r="H13032" s="680" t="s">
        <v>6153</v>
      </c>
    </row>
    <row r="13033" spans="8:8">
      <c r="H13033" s="680" t="s">
        <v>6153</v>
      </c>
    </row>
    <row r="13034" spans="8:8">
      <c r="H13034" s="680" t="s">
        <v>6153</v>
      </c>
    </row>
    <row r="13035" spans="8:8">
      <c r="H13035" s="680" t="s">
        <v>6153</v>
      </c>
    </row>
    <row r="13036" spans="8:8">
      <c r="H13036" s="680" t="s">
        <v>6153</v>
      </c>
    </row>
    <row r="13037" spans="8:8">
      <c r="H13037" s="680" t="s">
        <v>6153</v>
      </c>
    </row>
    <row r="13038" spans="8:8">
      <c r="H13038" s="680" t="s">
        <v>6153</v>
      </c>
    </row>
    <row r="13039" spans="8:8">
      <c r="H13039" s="680" t="s">
        <v>6153</v>
      </c>
    </row>
    <row r="13040" spans="8:8">
      <c r="H13040" s="680" t="s">
        <v>6153</v>
      </c>
    </row>
    <row r="13041" spans="8:8">
      <c r="H13041" s="680" t="s">
        <v>6153</v>
      </c>
    </row>
    <row r="13042" spans="8:8">
      <c r="H13042" s="680" t="s">
        <v>6153</v>
      </c>
    </row>
    <row r="13043" spans="8:8">
      <c r="H13043" s="680" t="s">
        <v>6153</v>
      </c>
    </row>
    <row r="13044" spans="8:8">
      <c r="H13044" s="680" t="s">
        <v>6153</v>
      </c>
    </row>
    <row r="13045" spans="8:8">
      <c r="H13045" s="680" t="s">
        <v>6153</v>
      </c>
    </row>
    <row r="13046" spans="8:8">
      <c r="H13046" s="680" t="s">
        <v>6153</v>
      </c>
    </row>
    <row r="13047" spans="8:8">
      <c r="H13047" s="680" t="s">
        <v>6153</v>
      </c>
    </row>
    <row r="13048" spans="8:8">
      <c r="H13048" s="680" t="s">
        <v>6153</v>
      </c>
    </row>
    <row r="13049" spans="8:8">
      <c r="H13049" s="680" t="s">
        <v>6153</v>
      </c>
    </row>
    <row r="13050" spans="8:8">
      <c r="H13050" s="680" t="s">
        <v>6153</v>
      </c>
    </row>
    <row r="13051" spans="8:8">
      <c r="H13051" s="680" t="s">
        <v>6153</v>
      </c>
    </row>
    <row r="13052" spans="8:8">
      <c r="H13052" s="680" t="s">
        <v>6153</v>
      </c>
    </row>
    <row r="13053" spans="8:8">
      <c r="H13053" s="680" t="s">
        <v>6153</v>
      </c>
    </row>
    <row r="13054" spans="8:8">
      <c r="H13054" s="680" t="s">
        <v>6153</v>
      </c>
    </row>
    <row r="13055" spans="8:8">
      <c r="H13055" s="680" t="s">
        <v>6153</v>
      </c>
    </row>
    <row r="13056" spans="8:8">
      <c r="H13056" s="680" t="s">
        <v>6153</v>
      </c>
    </row>
    <row r="13057" spans="8:8">
      <c r="H13057" s="680" t="s">
        <v>6153</v>
      </c>
    </row>
    <row r="13058" spans="8:8">
      <c r="H13058" s="680" t="s">
        <v>6153</v>
      </c>
    </row>
    <row r="13059" spans="8:8">
      <c r="H13059" s="680" t="s">
        <v>6153</v>
      </c>
    </row>
    <row r="13060" spans="8:8">
      <c r="H13060" s="680" t="s">
        <v>6153</v>
      </c>
    </row>
    <row r="13061" spans="8:8">
      <c r="H13061" s="680" t="s">
        <v>6153</v>
      </c>
    </row>
    <row r="13062" spans="8:8">
      <c r="H13062" s="680" t="s">
        <v>6153</v>
      </c>
    </row>
    <row r="13063" spans="8:8">
      <c r="H13063" s="680" t="s">
        <v>6153</v>
      </c>
    </row>
    <row r="13064" spans="8:8">
      <c r="H13064" s="680" t="s">
        <v>6153</v>
      </c>
    </row>
    <row r="13065" spans="8:8">
      <c r="H13065" s="680" t="s">
        <v>6153</v>
      </c>
    </row>
    <row r="13066" spans="8:8">
      <c r="H13066" s="680" t="s">
        <v>6153</v>
      </c>
    </row>
    <row r="13067" spans="8:8">
      <c r="H13067" s="680" t="s">
        <v>6153</v>
      </c>
    </row>
    <row r="13068" spans="8:8">
      <c r="H13068" s="680" t="s">
        <v>6153</v>
      </c>
    </row>
    <row r="13069" spans="8:8">
      <c r="H13069" s="680" t="s">
        <v>6153</v>
      </c>
    </row>
    <row r="13070" spans="8:8">
      <c r="H13070" s="680" t="s">
        <v>6153</v>
      </c>
    </row>
    <row r="13071" spans="8:8">
      <c r="H13071" s="680" t="s">
        <v>6153</v>
      </c>
    </row>
    <row r="13072" spans="8:8">
      <c r="H13072" s="680" t="s">
        <v>6153</v>
      </c>
    </row>
    <row r="13073" spans="8:8">
      <c r="H13073" s="680" t="s">
        <v>6153</v>
      </c>
    </row>
    <row r="13074" spans="8:8">
      <c r="H13074" s="680" t="s">
        <v>6153</v>
      </c>
    </row>
    <row r="13075" spans="8:8">
      <c r="H13075" s="680" t="s">
        <v>6153</v>
      </c>
    </row>
    <row r="13076" spans="8:8">
      <c r="H13076" s="680" t="s">
        <v>6153</v>
      </c>
    </row>
    <row r="13077" spans="8:8">
      <c r="H13077" s="680" t="s">
        <v>6153</v>
      </c>
    </row>
    <row r="13078" spans="8:8">
      <c r="H13078" s="680" t="s">
        <v>6153</v>
      </c>
    </row>
    <row r="13079" spans="8:8">
      <c r="H13079" s="680" t="s">
        <v>6153</v>
      </c>
    </row>
    <row r="13080" spans="8:8">
      <c r="H13080" s="680" t="s">
        <v>6153</v>
      </c>
    </row>
    <row r="13081" spans="8:8">
      <c r="H13081" s="680" t="s">
        <v>6153</v>
      </c>
    </row>
    <row r="13082" spans="8:8">
      <c r="H13082" s="680" t="s">
        <v>6153</v>
      </c>
    </row>
    <row r="13083" spans="8:8">
      <c r="H13083" s="680" t="s">
        <v>6153</v>
      </c>
    </row>
    <row r="13084" spans="8:8">
      <c r="H13084" s="680" t="s">
        <v>6153</v>
      </c>
    </row>
    <row r="13085" spans="8:8">
      <c r="H13085" s="680" t="s">
        <v>6153</v>
      </c>
    </row>
    <row r="13086" spans="8:8">
      <c r="H13086" s="680" t="s">
        <v>6153</v>
      </c>
    </row>
    <row r="13087" spans="8:8">
      <c r="H13087" s="680" t="s">
        <v>6153</v>
      </c>
    </row>
    <row r="13088" spans="8:8">
      <c r="H13088" s="680" t="s">
        <v>6153</v>
      </c>
    </row>
    <row r="13089" spans="8:8">
      <c r="H13089" s="680" t="s">
        <v>6153</v>
      </c>
    </row>
    <row r="13090" spans="8:8">
      <c r="H13090" s="680" t="s">
        <v>6153</v>
      </c>
    </row>
    <row r="13091" spans="8:8">
      <c r="H13091" s="680" t="s">
        <v>6153</v>
      </c>
    </row>
    <row r="13092" spans="8:8">
      <c r="H13092" s="680" t="s">
        <v>6153</v>
      </c>
    </row>
    <row r="13093" spans="8:8">
      <c r="H13093" s="680" t="s">
        <v>6153</v>
      </c>
    </row>
    <row r="13094" spans="8:8">
      <c r="H13094" s="680" t="s">
        <v>6153</v>
      </c>
    </row>
    <row r="13095" spans="8:8">
      <c r="H13095" s="680" t="s">
        <v>6153</v>
      </c>
    </row>
    <row r="13096" spans="8:8">
      <c r="H13096" s="680" t="s">
        <v>6153</v>
      </c>
    </row>
    <row r="13097" spans="8:8">
      <c r="H13097" s="680" t="s">
        <v>6153</v>
      </c>
    </row>
    <row r="13098" spans="8:8">
      <c r="H13098" s="680" t="s">
        <v>6153</v>
      </c>
    </row>
    <row r="13099" spans="8:8">
      <c r="H13099" s="680" t="s">
        <v>6153</v>
      </c>
    </row>
    <row r="13100" spans="8:8">
      <c r="H13100" s="680" t="s">
        <v>6153</v>
      </c>
    </row>
    <row r="13101" spans="8:8">
      <c r="H13101" s="680" t="s">
        <v>6153</v>
      </c>
    </row>
    <row r="13102" spans="8:8">
      <c r="H13102" s="680" t="s">
        <v>6153</v>
      </c>
    </row>
    <row r="13103" spans="8:8">
      <c r="H13103" s="680" t="s">
        <v>6153</v>
      </c>
    </row>
    <row r="13104" spans="8:8">
      <c r="H13104" s="680" t="s">
        <v>6153</v>
      </c>
    </row>
    <row r="13105" spans="8:8">
      <c r="H13105" s="680" t="s">
        <v>6153</v>
      </c>
    </row>
    <row r="13106" spans="8:8">
      <c r="H13106" s="680" t="s">
        <v>6153</v>
      </c>
    </row>
    <row r="13107" spans="8:8">
      <c r="H13107" s="680" t="s">
        <v>6153</v>
      </c>
    </row>
    <row r="13108" spans="8:8">
      <c r="H13108" s="680" t="s">
        <v>6153</v>
      </c>
    </row>
    <row r="13109" spans="8:8">
      <c r="H13109" s="680" t="s">
        <v>6153</v>
      </c>
    </row>
    <row r="13110" spans="8:8">
      <c r="H13110" s="680" t="s">
        <v>6153</v>
      </c>
    </row>
    <row r="13111" spans="8:8">
      <c r="H13111" s="680" t="s">
        <v>6153</v>
      </c>
    </row>
    <row r="13112" spans="8:8">
      <c r="H13112" s="680" t="s">
        <v>6153</v>
      </c>
    </row>
    <row r="13113" spans="8:8">
      <c r="H13113" s="680" t="s">
        <v>6153</v>
      </c>
    </row>
    <row r="13114" spans="8:8">
      <c r="H13114" s="680" t="s">
        <v>6153</v>
      </c>
    </row>
    <row r="13115" spans="8:8">
      <c r="H13115" s="680" t="s">
        <v>6153</v>
      </c>
    </row>
    <row r="13116" spans="8:8">
      <c r="H13116" s="680" t="s">
        <v>6153</v>
      </c>
    </row>
    <row r="13117" spans="8:8">
      <c r="H13117" s="680" t="s">
        <v>6153</v>
      </c>
    </row>
    <row r="13118" spans="8:8">
      <c r="H13118" s="680" t="s">
        <v>6153</v>
      </c>
    </row>
    <row r="13119" spans="8:8">
      <c r="H13119" s="680" t="s">
        <v>6153</v>
      </c>
    </row>
    <row r="13120" spans="8:8">
      <c r="H13120" s="680" t="s">
        <v>6153</v>
      </c>
    </row>
    <row r="13121" spans="8:8">
      <c r="H13121" s="680" t="s">
        <v>6153</v>
      </c>
    </row>
    <row r="13122" spans="8:8">
      <c r="H13122" s="680" t="s">
        <v>6153</v>
      </c>
    </row>
    <row r="13123" spans="8:8">
      <c r="H13123" s="680" t="s">
        <v>6153</v>
      </c>
    </row>
    <row r="13124" spans="8:8">
      <c r="H13124" s="680" t="s">
        <v>6153</v>
      </c>
    </row>
    <row r="13125" spans="8:8">
      <c r="H13125" s="680" t="s">
        <v>6153</v>
      </c>
    </row>
    <row r="13126" spans="8:8">
      <c r="H13126" s="680" t="s">
        <v>6153</v>
      </c>
    </row>
    <row r="13127" spans="8:8">
      <c r="H13127" s="680" t="s">
        <v>6153</v>
      </c>
    </row>
    <row r="13128" spans="8:8">
      <c r="H13128" s="680" t="s">
        <v>6153</v>
      </c>
    </row>
    <row r="13129" spans="8:8">
      <c r="H13129" s="680" t="s">
        <v>6153</v>
      </c>
    </row>
    <row r="13130" spans="8:8">
      <c r="H13130" s="680" t="s">
        <v>6153</v>
      </c>
    </row>
    <row r="13131" spans="8:8">
      <c r="H13131" s="680" t="s">
        <v>6153</v>
      </c>
    </row>
    <row r="13132" spans="8:8">
      <c r="H13132" s="680" t="s">
        <v>6153</v>
      </c>
    </row>
    <row r="13133" spans="8:8">
      <c r="H13133" s="680" t="s">
        <v>6153</v>
      </c>
    </row>
    <row r="13134" spans="8:8">
      <c r="H13134" s="680" t="s">
        <v>6153</v>
      </c>
    </row>
    <row r="13135" spans="8:8">
      <c r="H13135" s="680" t="s">
        <v>6153</v>
      </c>
    </row>
    <row r="13136" spans="8:8">
      <c r="H13136" s="680" t="s">
        <v>6153</v>
      </c>
    </row>
    <row r="13137" spans="8:8">
      <c r="H13137" s="680" t="s">
        <v>6153</v>
      </c>
    </row>
    <row r="13138" spans="8:8">
      <c r="H13138" s="680" t="s">
        <v>6153</v>
      </c>
    </row>
    <row r="13139" spans="8:8">
      <c r="H13139" s="680" t="s">
        <v>6153</v>
      </c>
    </row>
    <row r="13140" spans="8:8">
      <c r="H13140" s="680" t="s">
        <v>6153</v>
      </c>
    </row>
    <row r="13141" spans="8:8">
      <c r="H13141" s="680" t="s">
        <v>6153</v>
      </c>
    </row>
    <row r="13142" spans="8:8">
      <c r="H13142" s="680" t="s">
        <v>6153</v>
      </c>
    </row>
    <row r="13143" spans="8:8">
      <c r="H13143" s="680" t="s">
        <v>6153</v>
      </c>
    </row>
    <row r="13144" spans="8:8">
      <c r="H13144" s="680" t="s">
        <v>6153</v>
      </c>
    </row>
    <row r="13145" spans="8:8">
      <c r="H13145" s="680" t="s">
        <v>6153</v>
      </c>
    </row>
    <row r="13146" spans="8:8">
      <c r="H13146" s="680" t="s">
        <v>6153</v>
      </c>
    </row>
    <row r="13147" spans="8:8">
      <c r="H13147" s="680" t="s">
        <v>6153</v>
      </c>
    </row>
    <row r="13148" spans="8:8">
      <c r="H13148" s="680" t="s">
        <v>6153</v>
      </c>
    </row>
    <row r="13149" spans="8:8">
      <c r="H13149" s="680" t="s">
        <v>6153</v>
      </c>
    </row>
    <row r="13150" spans="8:8">
      <c r="H13150" s="680" t="s">
        <v>6153</v>
      </c>
    </row>
    <row r="13151" spans="8:8">
      <c r="H13151" s="680" t="s">
        <v>6153</v>
      </c>
    </row>
    <row r="13152" spans="8:8">
      <c r="H13152" s="680" t="s">
        <v>6153</v>
      </c>
    </row>
    <row r="13153" spans="8:8">
      <c r="H13153" s="680" t="s">
        <v>6153</v>
      </c>
    </row>
    <row r="13154" spans="8:8">
      <c r="H13154" s="680" t="s">
        <v>6153</v>
      </c>
    </row>
    <row r="13155" spans="8:8">
      <c r="H13155" s="680" t="s">
        <v>6153</v>
      </c>
    </row>
    <row r="13156" spans="8:8">
      <c r="H13156" s="680" t="s">
        <v>6153</v>
      </c>
    </row>
    <row r="13157" spans="8:8">
      <c r="H13157" s="680" t="s">
        <v>6153</v>
      </c>
    </row>
    <row r="13158" spans="8:8">
      <c r="H13158" s="680" t="s">
        <v>6153</v>
      </c>
    </row>
    <row r="13159" spans="8:8">
      <c r="H13159" s="680" t="s">
        <v>6153</v>
      </c>
    </row>
    <row r="13160" spans="8:8">
      <c r="H13160" s="680" t="s">
        <v>6153</v>
      </c>
    </row>
    <row r="13161" spans="8:8">
      <c r="H13161" s="680" t="s">
        <v>6153</v>
      </c>
    </row>
    <row r="13162" spans="8:8">
      <c r="H13162" s="680" t="s">
        <v>6153</v>
      </c>
    </row>
    <row r="13163" spans="8:8">
      <c r="H13163" s="680" t="s">
        <v>6153</v>
      </c>
    </row>
    <row r="13164" spans="8:8">
      <c r="H13164" s="680" t="s">
        <v>6153</v>
      </c>
    </row>
    <row r="13165" spans="8:8">
      <c r="H13165" s="680" t="s">
        <v>6153</v>
      </c>
    </row>
    <row r="13166" spans="8:8">
      <c r="H13166" s="680" t="s">
        <v>6153</v>
      </c>
    </row>
    <row r="13167" spans="8:8">
      <c r="H13167" s="680" t="s">
        <v>6153</v>
      </c>
    </row>
    <row r="13168" spans="8:8">
      <c r="H13168" s="680" t="s">
        <v>6153</v>
      </c>
    </row>
    <row r="13169" spans="8:8">
      <c r="H13169" s="680" t="s">
        <v>6153</v>
      </c>
    </row>
    <row r="13170" spans="8:8">
      <c r="H13170" s="680" t="s">
        <v>6153</v>
      </c>
    </row>
    <row r="13171" spans="8:8">
      <c r="H13171" s="680" t="s">
        <v>6153</v>
      </c>
    </row>
    <row r="13172" spans="8:8">
      <c r="H13172" s="680" t="s">
        <v>6153</v>
      </c>
    </row>
    <row r="13173" spans="8:8">
      <c r="H13173" s="680" t="s">
        <v>6153</v>
      </c>
    </row>
    <row r="13174" spans="8:8">
      <c r="H13174" s="680" t="s">
        <v>6153</v>
      </c>
    </row>
    <row r="13175" spans="8:8">
      <c r="H13175" s="680" t="s">
        <v>6153</v>
      </c>
    </row>
    <row r="13176" spans="8:8">
      <c r="H13176" s="680" t="s">
        <v>6153</v>
      </c>
    </row>
    <row r="13177" spans="8:8">
      <c r="H13177" s="680" t="s">
        <v>6153</v>
      </c>
    </row>
    <row r="13178" spans="8:8">
      <c r="H13178" s="680" t="s">
        <v>6153</v>
      </c>
    </row>
    <row r="13179" spans="8:8">
      <c r="H13179" s="680" t="s">
        <v>6153</v>
      </c>
    </row>
    <row r="13180" spans="8:8">
      <c r="H13180" s="680" t="s">
        <v>6153</v>
      </c>
    </row>
    <row r="13181" spans="8:8">
      <c r="H13181" s="680" t="s">
        <v>6153</v>
      </c>
    </row>
    <row r="13182" spans="8:8">
      <c r="H13182" s="680" t="s">
        <v>6153</v>
      </c>
    </row>
    <row r="13183" spans="8:8">
      <c r="H13183" s="680" t="s">
        <v>6153</v>
      </c>
    </row>
    <row r="13184" spans="8:8">
      <c r="H13184" s="680" t="s">
        <v>6153</v>
      </c>
    </row>
    <row r="13185" spans="8:8">
      <c r="H13185" s="680" t="s">
        <v>6153</v>
      </c>
    </row>
    <row r="13186" spans="8:8">
      <c r="H13186" s="680" t="s">
        <v>6153</v>
      </c>
    </row>
    <row r="13187" spans="8:8">
      <c r="H13187" s="680" t="s">
        <v>6153</v>
      </c>
    </row>
    <row r="13188" spans="8:8">
      <c r="H13188" s="680" t="s">
        <v>6153</v>
      </c>
    </row>
    <row r="13189" spans="8:8">
      <c r="H13189" s="680" t="s">
        <v>6153</v>
      </c>
    </row>
    <row r="13190" spans="8:8">
      <c r="H13190" s="680" t="s">
        <v>6153</v>
      </c>
    </row>
    <row r="13191" spans="8:8">
      <c r="H13191" s="680" t="s">
        <v>6153</v>
      </c>
    </row>
    <row r="13192" spans="8:8">
      <c r="H13192" s="680" t="s">
        <v>6153</v>
      </c>
    </row>
    <row r="13193" spans="8:8">
      <c r="H13193" s="680" t="s">
        <v>6153</v>
      </c>
    </row>
    <row r="13194" spans="8:8">
      <c r="H13194" s="680" t="s">
        <v>6153</v>
      </c>
    </row>
    <row r="13195" spans="8:8">
      <c r="H13195" s="680" t="s">
        <v>6153</v>
      </c>
    </row>
    <row r="13196" spans="8:8">
      <c r="H13196" s="680" t="s">
        <v>6153</v>
      </c>
    </row>
    <row r="13197" spans="8:8">
      <c r="H13197" s="680" t="s">
        <v>6153</v>
      </c>
    </row>
    <row r="13198" spans="8:8">
      <c r="H13198" s="680" t="s">
        <v>6153</v>
      </c>
    </row>
    <row r="13199" spans="8:8">
      <c r="H13199" s="680" t="s">
        <v>6153</v>
      </c>
    </row>
    <row r="13200" spans="8:8">
      <c r="H13200" s="680" t="s">
        <v>6153</v>
      </c>
    </row>
    <row r="13201" spans="8:8">
      <c r="H13201" s="680" t="s">
        <v>6153</v>
      </c>
    </row>
    <row r="13202" spans="8:8">
      <c r="H13202" s="680" t="s">
        <v>6153</v>
      </c>
    </row>
    <row r="13203" spans="8:8">
      <c r="H13203" s="680" t="s">
        <v>6153</v>
      </c>
    </row>
    <row r="13204" spans="8:8">
      <c r="H13204" s="680" t="s">
        <v>6153</v>
      </c>
    </row>
    <row r="13205" spans="8:8">
      <c r="H13205" s="680" t="s">
        <v>6153</v>
      </c>
    </row>
    <row r="13206" spans="8:8">
      <c r="H13206" s="680" t="s">
        <v>6153</v>
      </c>
    </row>
    <row r="13207" spans="8:8">
      <c r="H13207" s="680" t="s">
        <v>6153</v>
      </c>
    </row>
    <row r="13208" spans="8:8">
      <c r="H13208" s="680" t="s">
        <v>6153</v>
      </c>
    </row>
    <row r="13209" spans="8:8">
      <c r="H13209" s="680" t="s">
        <v>6153</v>
      </c>
    </row>
    <row r="13210" spans="8:8">
      <c r="H13210" s="680" t="s">
        <v>6153</v>
      </c>
    </row>
    <row r="13211" spans="8:8">
      <c r="H13211" s="680" t="s">
        <v>6153</v>
      </c>
    </row>
    <row r="13212" spans="8:8">
      <c r="H13212" s="680" t="s">
        <v>6153</v>
      </c>
    </row>
    <row r="13213" spans="8:8">
      <c r="H13213" s="680" t="s">
        <v>6153</v>
      </c>
    </row>
    <row r="13214" spans="8:8">
      <c r="H13214" s="680" t="s">
        <v>6153</v>
      </c>
    </row>
    <row r="13215" spans="8:8">
      <c r="H13215" s="680" t="s">
        <v>6153</v>
      </c>
    </row>
    <row r="13216" spans="8:8">
      <c r="H13216" s="680" t="s">
        <v>6153</v>
      </c>
    </row>
    <row r="13217" spans="8:8">
      <c r="H13217" s="680" t="s">
        <v>6153</v>
      </c>
    </row>
    <row r="13218" spans="8:8">
      <c r="H13218" s="680" t="s">
        <v>6153</v>
      </c>
    </row>
    <row r="13219" spans="8:8">
      <c r="H13219" s="680" t="s">
        <v>6153</v>
      </c>
    </row>
    <row r="13220" spans="8:8">
      <c r="H13220" s="680" t="s">
        <v>6153</v>
      </c>
    </row>
    <row r="13221" spans="8:8">
      <c r="H13221" s="680" t="s">
        <v>6153</v>
      </c>
    </row>
    <row r="13222" spans="8:8">
      <c r="H13222" s="680" t="s">
        <v>6153</v>
      </c>
    </row>
    <row r="13223" spans="8:8">
      <c r="H13223" s="680" t="s">
        <v>6153</v>
      </c>
    </row>
    <row r="13224" spans="8:8">
      <c r="H13224" s="680" t="s">
        <v>6153</v>
      </c>
    </row>
    <row r="13225" spans="8:8">
      <c r="H13225" s="680" t="s">
        <v>6153</v>
      </c>
    </row>
    <row r="13226" spans="8:8">
      <c r="H13226" s="680" t="s">
        <v>6153</v>
      </c>
    </row>
    <row r="13227" spans="8:8">
      <c r="H13227" s="680" t="s">
        <v>6153</v>
      </c>
    </row>
    <row r="13228" spans="8:8">
      <c r="H13228" s="680" t="s">
        <v>6153</v>
      </c>
    </row>
    <row r="13229" spans="8:8">
      <c r="H13229" s="680" t="s">
        <v>6153</v>
      </c>
    </row>
    <row r="13230" spans="8:8">
      <c r="H13230" s="680" t="s">
        <v>6153</v>
      </c>
    </row>
    <row r="13231" spans="8:8">
      <c r="H13231" s="680" t="s">
        <v>6153</v>
      </c>
    </row>
    <row r="13232" spans="8:8">
      <c r="H13232" s="680" t="s">
        <v>6153</v>
      </c>
    </row>
    <row r="13233" spans="8:8">
      <c r="H13233" s="680" t="s">
        <v>6153</v>
      </c>
    </row>
    <row r="13234" spans="8:8">
      <c r="H13234" s="680" t="s">
        <v>6153</v>
      </c>
    </row>
    <row r="13235" spans="8:8">
      <c r="H13235" s="680" t="s">
        <v>6153</v>
      </c>
    </row>
    <row r="13236" spans="8:8">
      <c r="H13236" s="680" t="s">
        <v>6153</v>
      </c>
    </row>
    <row r="13237" spans="8:8">
      <c r="H13237" s="680" t="s">
        <v>6153</v>
      </c>
    </row>
    <row r="13238" spans="8:8">
      <c r="H13238" s="680" t="s">
        <v>6153</v>
      </c>
    </row>
    <row r="13239" spans="8:8">
      <c r="H13239" s="680" t="s">
        <v>6153</v>
      </c>
    </row>
    <row r="13240" spans="8:8">
      <c r="H13240" s="680" t="s">
        <v>6153</v>
      </c>
    </row>
    <row r="13241" spans="8:8">
      <c r="H13241" s="680" t="s">
        <v>6153</v>
      </c>
    </row>
    <row r="13242" spans="8:8">
      <c r="H13242" s="680" t="s">
        <v>6153</v>
      </c>
    </row>
    <row r="13243" spans="8:8">
      <c r="H13243" s="680" t="s">
        <v>6153</v>
      </c>
    </row>
    <row r="13244" spans="8:8">
      <c r="H13244" s="680" t="s">
        <v>6153</v>
      </c>
    </row>
    <row r="13245" spans="8:8">
      <c r="H13245" s="680" t="s">
        <v>6153</v>
      </c>
    </row>
    <row r="13246" spans="8:8">
      <c r="H13246" s="680" t="s">
        <v>6153</v>
      </c>
    </row>
    <row r="13247" spans="8:8">
      <c r="H13247" s="680" t="s">
        <v>6153</v>
      </c>
    </row>
    <row r="13248" spans="8:8">
      <c r="H13248" s="680" t="s">
        <v>6153</v>
      </c>
    </row>
    <row r="13249" spans="8:8">
      <c r="H13249" s="680" t="s">
        <v>6153</v>
      </c>
    </row>
    <row r="13250" spans="8:8">
      <c r="H13250" s="680" t="s">
        <v>6153</v>
      </c>
    </row>
    <row r="13251" spans="8:8">
      <c r="H13251" s="680" t="s">
        <v>6153</v>
      </c>
    </row>
    <row r="13252" spans="8:8">
      <c r="H13252" s="680" t="s">
        <v>6153</v>
      </c>
    </row>
    <row r="13253" spans="8:8">
      <c r="H13253" s="680" t="s">
        <v>6153</v>
      </c>
    </row>
    <row r="13254" spans="8:8">
      <c r="H13254" s="680" t="s">
        <v>6153</v>
      </c>
    </row>
    <row r="13255" spans="8:8">
      <c r="H13255" s="680" t="s">
        <v>6153</v>
      </c>
    </row>
    <row r="13256" spans="8:8">
      <c r="H13256" s="680" t="s">
        <v>6153</v>
      </c>
    </row>
    <row r="13257" spans="8:8">
      <c r="H13257" s="680" t="s">
        <v>6153</v>
      </c>
    </row>
    <row r="13258" spans="8:8">
      <c r="H13258" s="680" t="s">
        <v>6153</v>
      </c>
    </row>
    <row r="13259" spans="8:8">
      <c r="H13259" s="680" t="s">
        <v>6153</v>
      </c>
    </row>
    <row r="13260" spans="8:8">
      <c r="H13260" s="680" t="s">
        <v>6153</v>
      </c>
    </row>
    <row r="13261" spans="8:8">
      <c r="H13261" s="680" t="s">
        <v>6153</v>
      </c>
    </row>
    <row r="13262" spans="8:8">
      <c r="H13262" s="680" t="s">
        <v>6153</v>
      </c>
    </row>
    <row r="13263" spans="8:8">
      <c r="H13263" s="680" t="s">
        <v>6153</v>
      </c>
    </row>
    <row r="13264" spans="8:8">
      <c r="H13264" s="680" t="s">
        <v>6153</v>
      </c>
    </row>
    <row r="13265" spans="8:8">
      <c r="H13265" s="680" t="s">
        <v>6153</v>
      </c>
    </row>
    <row r="13266" spans="8:8">
      <c r="H13266" s="680" t="s">
        <v>6153</v>
      </c>
    </row>
    <row r="13267" spans="8:8">
      <c r="H13267" s="680" t="s">
        <v>6153</v>
      </c>
    </row>
    <row r="13268" spans="8:8">
      <c r="H13268" s="680" t="s">
        <v>6153</v>
      </c>
    </row>
    <row r="13269" spans="8:8">
      <c r="H13269" s="680" t="s">
        <v>6153</v>
      </c>
    </row>
    <row r="13270" spans="8:8">
      <c r="H13270" s="680" t="s">
        <v>6153</v>
      </c>
    </row>
    <row r="13271" spans="8:8">
      <c r="H13271" s="680" t="s">
        <v>6153</v>
      </c>
    </row>
    <row r="13272" spans="8:8">
      <c r="H13272" s="680" t="s">
        <v>6153</v>
      </c>
    </row>
    <row r="13273" spans="8:8">
      <c r="H13273" s="680" t="s">
        <v>6153</v>
      </c>
    </row>
    <row r="13274" spans="8:8">
      <c r="H13274" s="680" t="s">
        <v>6153</v>
      </c>
    </row>
    <row r="13275" spans="8:8">
      <c r="H13275" s="680" t="s">
        <v>6153</v>
      </c>
    </row>
    <row r="13276" spans="8:8">
      <c r="H13276" s="680" t="s">
        <v>6153</v>
      </c>
    </row>
    <row r="13277" spans="8:8">
      <c r="H13277" s="680" t="s">
        <v>6153</v>
      </c>
    </row>
    <row r="13278" spans="8:8">
      <c r="H13278" s="680" t="s">
        <v>6153</v>
      </c>
    </row>
    <row r="13279" spans="8:8">
      <c r="H13279" s="680" t="s">
        <v>6153</v>
      </c>
    </row>
    <row r="13280" spans="8:8">
      <c r="H13280" s="680" t="s">
        <v>6153</v>
      </c>
    </row>
    <row r="13281" spans="8:8">
      <c r="H13281" s="680" t="s">
        <v>6153</v>
      </c>
    </row>
    <row r="13282" spans="8:8">
      <c r="H13282" s="680" t="s">
        <v>6153</v>
      </c>
    </row>
    <row r="13283" spans="8:8">
      <c r="H13283" s="680" t="s">
        <v>6153</v>
      </c>
    </row>
    <row r="13284" spans="8:8">
      <c r="H13284" s="680" t="s">
        <v>6153</v>
      </c>
    </row>
    <row r="13285" spans="8:8">
      <c r="H13285" s="680" t="s">
        <v>6153</v>
      </c>
    </row>
    <row r="13286" spans="8:8">
      <c r="H13286" s="680" t="s">
        <v>6153</v>
      </c>
    </row>
    <row r="13287" spans="8:8">
      <c r="H13287" s="680" t="s">
        <v>6153</v>
      </c>
    </row>
    <row r="13288" spans="8:8">
      <c r="H13288" s="680" t="s">
        <v>6153</v>
      </c>
    </row>
    <row r="13289" spans="8:8">
      <c r="H13289" s="680" t="s">
        <v>6153</v>
      </c>
    </row>
    <row r="13290" spans="8:8">
      <c r="H13290" s="680" t="s">
        <v>6153</v>
      </c>
    </row>
    <row r="13291" spans="8:8">
      <c r="H13291" s="680" t="s">
        <v>6153</v>
      </c>
    </row>
    <row r="13292" spans="8:8">
      <c r="H13292" s="680" t="s">
        <v>6153</v>
      </c>
    </row>
    <row r="13293" spans="8:8">
      <c r="H13293" s="680" t="s">
        <v>6153</v>
      </c>
    </row>
    <row r="13294" spans="8:8">
      <c r="H13294" s="680" t="s">
        <v>6153</v>
      </c>
    </row>
    <row r="13295" spans="8:8">
      <c r="H13295" s="680" t="s">
        <v>6153</v>
      </c>
    </row>
    <row r="13296" spans="8:8">
      <c r="H13296" s="680" t="s">
        <v>6153</v>
      </c>
    </row>
    <row r="13297" spans="8:8">
      <c r="H13297" s="680" t="s">
        <v>6153</v>
      </c>
    </row>
    <row r="13298" spans="8:8">
      <c r="H13298" s="680" t="s">
        <v>6153</v>
      </c>
    </row>
    <row r="13299" spans="8:8">
      <c r="H13299" s="680" t="s">
        <v>6153</v>
      </c>
    </row>
    <row r="13300" spans="8:8">
      <c r="H13300" s="680" t="s">
        <v>6153</v>
      </c>
    </row>
    <row r="13301" spans="8:8">
      <c r="H13301" s="680" t="s">
        <v>6153</v>
      </c>
    </row>
    <row r="13302" spans="8:8">
      <c r="H13302" s="680" t="s">
        <v>6153</v>
      </c>
    </row>
    <row r="13303" spans="8:8">
      <c r="H13303" s="680" t="s">
        <v>6153</v>
      </c>
    </row>
    <row r="13304" spans="8:8">
      <c r="H13304" s="680" t="s">
        <v>6153</v>
      </c>
    </row>
    <row r="13305" spans="8:8">
      <c r="H13305" s="680" t="s">
        <v>6153</v>
      </c>
    </row>
    <row r="13306" spans="8:8">
      <c r="H13306" s="680" t="s">
        <v>6153</v>
      </c>
    </row>
    <row r="13307" spans="8:8">
      <c r="H13307" s="680" t="s">
        <v>6153</v>
      </c>
    </row>
    <row r="13308" spans="8:8">
      <c r="H13308" s="680" t="s">
        <v>6153</v>
      </c>
    </row>
    <row r="13309" spans="8:8">
      <c r="H13309" s="680" t="s">
        <v>6153</v>
      </c>
    </row>
    <row r="13310" spans="8:8">
      <c r="H13310" s="680" t="s">
        <v>6153</v>
      </c>
    </row>
    <row r="13311" spans="8:8">
      <c r="H13311" s="680" t="s">
        <v>6153</v>
      </c>
    </row>
    <row r="13312" spans="8:8">
      <c r="H13312" s="680" t="s">
        <v>6153</v>
      </c>
    </row>
    <row r="13313" spans="8:8">
      <c r="H13313" s="680" t="s">
        <v>6153</v>
      </c>
    </row>
    <row r="13314" spans="8:8">
      <c r="H13314" s="680" t="s">
        <v>6153</v>
      </c>
    </row>
    <row r="13315" spans="8:8">
      <c r="H13315" s="680" t="s">
        <v>6153</v>
      </c>
    </row>
    <row r="13316" spans="8:8">
      <c r="H13316" s="680" t="s">
        <v>6153</v>
      </c>
    </row>
    <row r="13317" spans="8:8">
      <c r="H13317" s="680" t="s">
        <v>6153</v>
      </c>
    </row>
    <row r="13318" spans="8:8">
      <c r="H13318" s="680" t="s">
        <v>6153</v>
      </c>
    </row>
    <row r="13319" spans="8:8">
      <c r="H13319" s="680" t="s">
        <v>6153</v>
      </c>
    </row>
    <row r="13320" spans="8:8">
      <c r="H13320" s="680" t="s">
        <v>6153</v>
      </c>
    </row>
    <row r="13321" spans="8:8">
      <c r="H13321" s="680" t="s">
        <v>6153</v>
      </c>
    </row>
    <row r="13322" spans="8:8">
      <c r="H13322" s="680" t="s">
        <v>6153</v>
      </c>
    </row>
    <row r="13323" spans="8:8">
      <c r="H13323" s="680" t="s">
        <v>6153</v>
      </c>
    </row>
    <row r="13324" spans="8:8">
      <c r="H13324" s="680" t="s">
        <v>6153</v>
      </c>
    </row>
    <row r="13325" spans="8:8">
      <c r="H13325" s="680" t="s">
        <v>6153</v>
      </c>
    </row>
    <row r="13326" spans="8:8">
      <c r="H13326" s="680" t="s">
        <v>6153</v>
      </c>
    </row>
    <row r="13327" spans="8:8">
      <c r="H13327" s="680" t="s">
        <v>6153</v>
      </c>
    </row>
    <row r="13328" spans="8:8">
      <c r="H13328" s="680" t="s">
        <v>6153</v>
      </c>
    </row>
    <row r="13329" spans="8:8">
      <c r="H13329" s="680" t="s">
        <v>6153</v>
      </c>
    </row>
    <row r="13330" spans="8:8">
      <c r="H13330" s="680" t="s">
        <v>6153</v>
      </c>
    </row>
    <row r="13331" spans="8:8">
      <c r="H13331" s="680" t="s">
        <v>6153</v>
      </c>
    </row>
    <row r="13332" spans="8:8">
      <c r="H13332" s="680" t="s">
        <v>6153</v>
      </c>
    </row>
    <row r="13333" spans="8:8">
      <c r="H13333" s="680" t="s">
        <v>6153</v>
      </c>
    </row>
    <row r="13334" spans="8:8">
      <c r="H13334" s="680" t="s">
        <v>6153</v>
      </c>
    </row>
    <row r="13335" spans="8:8">
      <c r="H13335" s="680" t="s">
        <v>6153</v>
      </c>
    </row>
    <row r="13336" spans="8:8">
      <c r="H13336" s="680" t="s">
        <v>6153</v>
      </c>
    </row>
    <row r="13337" spans="8:8">
      <c r="H13337" s="680" t="s">
        <v>6153</v>
      </c>
    </row>
    <row r="13338" spans="8:8">
      <c r="H13338" s="680" t="s">
        <v>6153</v>
      </c>
    </row>
    <row r="13339" spans="8:8">
      <c r="H13339" s="680" t="s">
        <v>6153</v>
      </c>
    </row>
    <row r="13340" spans="8:8">
      <c r="H13340" s="680" t="s">
        <v>6153</v>
      </c>
    </row>
    <row r="13341" spans="8:8">
      <c r="H13341" s="680" t="s">
        <v>6153</v>
      </c>
    </row>
    <row r="13342" spans="8:8">
      <c r="H13342" s="680" t="s">
        <v>6153</v>
      </c>
    </row>
    <row r="13343" spans="8:8">
      <c r="H13343" s="680" t="s">
        <v>6153</v>
      </c>
    </row>
    <row r="13344" spans="8:8">
      <c r="H13344" s="680" t="s">
        <v>6153</v>
      </c>
    </row>
    <row r="13345" spans="8:8">
      <c r="H13345" s="680" t="s">
        <v>6153</v>
      </c>
    </row>
    <row r="13346" spans="8:8">
      <c r="H13346" s="680" t="s">
        <v>6153</v>
      </c>
    </row>
    <row r="13347" spans="8:8">
      <c r="H13347" s="680" t="s">
        <v>6153</v>
      </c>
    </row>
    <row r="13348" spans="8:8">
      <c r="H13348" s="680" t="s">
        <v>6153</v>
      </c>
    </row>
    <row r="13349" spans="8:8">
      <c r="H13349" s="680" t="s">
        <v>6153</v>
      </c>
    </row>
    <row r="13350" spans="8:8">
      <c r="H13350" s="680" t="s">
        <v>6153</v>
      </c>
    </row>
    <row r="13351" spans="8:8">
      <c r="H13351" s="680" t="s">
        <v>6153</v>
      </c>
    </row>
    <row r="13352" spans="8:8">
      <c r="H13352" s="680" t="s">
        <v>6153</v>
      </c>
    </row>
    <row r="13353" spans="8:8">
      <c r="H13353" s="680" t="s">
        <v>6153</v>
      </c>
    </row>
    <row r="13354" spans="8:8">
      <c r="H13354" s="680" t="s">
        <v>6153</v>
      </c>
    </row>
    <row r="13355" spans="8:8">
      <c r="H13355" s="680" t="s">
        <v>6153</v>
      </c>
    </row>
    <row r="13356" spans="8:8">
      <c r="H13356" s="680" t="s">
        <v>6153</v>
      </c>
    </row>
    <row r="13357" spans="8:8">
      <c r="H13357" s="680" t="s">
        <v>6153</v>
      </c>
    </row>
    <row r="13358" spans="8:8">
      <c r="H13358" s="680" t="s">
        <v>6153</v>
      </c>
    </row>
    <row r="13359" spans="8:8">
      <c r="H13359" s="680" t="s">
        <v>6153</v>
      </c>
    </row>
    <row r="13360" spans="8:8">
      <c r="H13360" s="680" t="s">
        <v>6153</v>
      </c>
    </row>
    <row r="13361" spans="8:8">
      <c r="H13361" s="680" t="s">
        <v>6153</v>
      </c>
    </row>
    <row r="13362" spans="8:8">
      <c r="H13362" s="680" t="s">
        <v>6153</v>
      </c>
    </row>
    <row r="13363" spans="8:8">
      <c r="H13363" s="680" t="s">
        <v>6153</v>
      </c>
    </row>
    <row r="13364" spans="8:8">
      <c r="H13364" s="680" t="s">
        <v>6153</v>
      </c>
    </row>
    <row r="13365" spans="8:8">
      <c r="H13365" s="680" t="s">
        <v>6153</v>
      </c>
    </row>
    <row r="13366" spans="8:8">
      <c r="H13366" s="680" t="s">
        <v>6153</v>
      </c>
    </row>
    <row r="13367" spans="8:8">
      <c r="H13367" s="680" t="s">
        <v>6153</v>
      </c>
    </row>
    <row r="13368" spans="8:8">
      <c r="H13368" s="680" t="s">
        <v>6153</v>
      </c>
    </row>
    <row r="13369" spans="8:8">
      <c r="H13369" s="680" t="s">
        <v>6153</v>
      </c>
    </row>
    <row r="13370" spans="8:8">
      <c r="H13370" s="680" t="s">
        <v>6153</v>
      </c>
    </row>
    <row r="13371" spans="8:8">
      <c r="H13371" s="680" t="s">
        <v>6153</v>
      </c>
    </row>
    <row r="13372" spans="8:8">
      <c r="H13372" s="680" t="s">
        <v>6153</v>
      </c>
    </row>
    <row r="13373" spans="8:8">
      <c r="H13373" s="680" t="s">
        <v>6153</v>
      </c>
    </row>
    <row r="13374" spans="8:8">
      <c r="H13374" s="680" t="s">
        <v>6153</v>
      </c>
    </row>
    <row r="13375" spans="8:8">
      <c r="H13375" s="680" t="s">
        <v>6153</v>
      </c>
    </row>
    <row r="13376" spans="8:8">
      <c r="H13376" s="680" t="s">
        <v>6153</v>
      </c>
    </row>
    <row r="13377" spans="8:8">
      <c r="H13377" s="680" t="s">
        <v>6153</v>
      </c>
    </row>
    <row r="13378" spans="8:8">
      <c r="H13378" s="680" t="s">
        <v>6153</v>
      </c>
    </row>
    <row r="13379" spans="8:8">
      <c r="H13379" s="680" t="s">
        <v>6153</v>
      </c>
    </row>
    <row r="13380" spans="8:8">
      <c r="H13380" s="680" t="s">
        <v>6153</v>
      </c>
    </row>
    <row r="13381" spans="8:8">
      <c r="H13381" s="680" t="s">
        <v>6153</v>
      </c>
    </row>
    <row r="13382" spans="8:8">
      <c r="H13382" s="680" t="s">
        <v>6153</v>
      </c>
    </row>
    <row r="13383" spans="8:8">
      <c r="H13383" s="680" t="s">
        <v>6153</v>
      </c>
    </row>
    <row r="13384" spans="8:8">
      <c r="H13384" s="680" t="s">
        <v>6153</v>
      </c>
    </row>
    <row r="13385" spans="8:8">
      <c r="H13385" s="680" t="s">
        <v>6153</v>
      </c>
    </row>
    <row r="13386" spans="8:8">
      <c r="H13386" s="680" t="s">
        <v>6153</v>
      </c>
    </row>
    <row r="13387" spans="8:8">
      <c r="H13387" s="680" t="s">
        <v>6153</v>
      </c>
    </row>
    <row r="13388" spans="8:8">
      <c r="H13388" s="680" t="s">
        <v>6153</v>
      </c>
    </row>
    <row r="13389" spans="8:8">
      <c r="H13389" s="680" t="s">
        <v>6153</v>
      </c>
    </row>
    <row r="13390" spans="8:8">
      <c r="H13390" s="680" t="s">
        <v>6153</v>
      </c>
    </row>
    <row r="13391" spans="8:8">
      <c r="H13391" s="680" t="s">
        <v>6153</v>
      </c>
    </row>
    <row r="13392" spans="8:8">
      <c r="H13392" s="680" t="s">
        <v>6153</v>
      </c>
    </row>
    <row r="13393" spans="8:8">
      <c r="H13393" s="680" t="s">
        <v>6153</v>
      </c>
    </row>
    <row r="13394" spans="8:8">
      <c r="H13394" s="680" t="s">
        <v>6153</v>
      </c>
    </row>
    <row r="13395" spans="8:8">
      <c r="H13395" s="680" t="s">
        <v>6153</v>
      </c>
    </row>
    <row r="13396" spans="8:8">
      <c r="H13396" s="680" t="s">
        <v>6153</v>
      </c>
    </row>
    <row r="13397" spans="8:8">
      <c r="H13397" s="680" t="s">
        <v>6153</v>
      </c>
    </row>
    <row r="13398" spans="8:8">
      <c r="H13398" s="680" t="s">
        <v>6153</v>
      </c>
    </row>
    <row r="13399" spans="8:8">
      <c r="H13399" s="680" t="s">
        <v>6153</v>
      </c>
    </row>
    <row r="13400" spans="8:8">
      <c r="H13400" s="680" t="s">
        <v>6153</v>
      </c>
    </row>
    <row r="13401" spans="8:8">
      <c r="H13401" s="680" t="s">
        <v>6153</v>
      </c>
    </row>
    <row r="13402" spans="8:8">
      <c r="H13402" s="680" t="s">
        <v>6153</v>
      </c>
    </row>
    <row r="13403" spans="8:8">
      <c r="H13403" s="680" t="s">
        <v>6153</v>
      </c>
    </row>
    <row r="13404" spans="8:8">
      <c r="H13404" s="680" t="s">
        <v>6153</v>
      </c>
    </row>
    <row r="13405" spans="8:8">
      <c r="H13405" s="680" t="s">
        <v>6153</v>
      </c>
    </row>
    <row r="13406" spans="8:8">
      <c r="H13406" s="680" t="s">
        <v>6153</v>
      </c>
    </row>
    <row r="13407" spans="8:8">
      <c r="H13407" s="680" t="s">
        <v>6153</v>
      </c>
    </row>
    <row r="13408" spans="8:8">
      <c r="H13408" s="680" t="s">
        <v>6153</v>
      </c>
    </row>
    <row r="13409" spans="8:8">
      <c r="H13409" s="680" t="s">
        <v>6153</v>
      </c>
    </row>
    <row r="13410" spans="8:8">
      <c r="H13410" s="680" t="s">
        <v>6153</v>
      </c>
    </row>
    <row r="13411" spans="8:8">
      <c r="H13411" s="680" t="s">
        <v>6153</v>
      </c>
    </row>
    <row r="13412" spans="8:8">
      <c r="H13412" s="680" t="s">
        <v>6153</v>
      </c>
    </row>
    <row r="13413" spans="8:8">
      <c r="H13413" s="680" t="s">
        <v>6153</v>
      </c>
    </row>
    <row r="13414" spans="8:8">
      <c r="H13414" s="680" t="s">
        <v>6153</v>
      </c>
    </row>
    <row r="13415" spans="8:8">
      <c r="H13415" s="680" t="s">
        <v>6153</v>
      </c>
    </row>
    <row r="13416" spans="8:8">
      <c r="H13416" s="680" t="s">
        <v>6153</v>
      </c>
    </row>
    <row r="13417" spans="8:8">
      <c r="H13417" s="680" t="s">
        <v>6153</v>
      </c>
    </row>
    <row r="13418" spans="8:8">
      <c r="H13418" s="680" t="s">
        <v>6153</v>
      </c>
    </row>
    <row r="13419" spans="8:8">
      <c r="H13419" s="680" t="s">
        <v>6153</v>
      </c>
    </row>
    <row r="13420" spans="8:8">
      <c r="H13420" s="680" t="s">
        <v>6153</v>
      </c>
    </row>
    <row r="13421" spans="8:8">
      <c r="H13421" s="680" t="s">
        <v>6153</v>
      </c>
    </row>
    <row r="13422" spans="8:8">
      <c r="H13422" s="680" t="s">
        <v>6153</v>
      </c>
    </row>
    <row r="13423" spans="8:8">
      <c r="H13423" s="680" t="s">
        <v>6153</v>
      </c>
    </row>
    <row r="13424" spans="8:8">
      <c r="H13424" s="680" t="s">
        <v>6153</v>
      </c>
    </row>
    <row r="13425" spans="8:8">
      <c r="H13425" s="680" t="s">
        <v>6153</v>
      </c>
    </row>
    <row r="13426" spans="8:8">
      <c r="H13426" s="680" t="s">
        <v>6153</v>
      </c>
    </row>
    <row r="13427" spans="8:8">
      <c r="H13427" s="680" t="s">
        <v>6153</v>
      </c>
    </row>
    <row r="13428" spans="8:8">
      <c r="H13428" s="680" t="s">
        <v>6153</v>
      </c>
    </row>
    <row r="13429" spans="8:8">
      <c r="H13429" s="680" t="s">
        <v>6153</v>
      </c>
    </row>
    <row r="13430" spans="8:8">
      <c r="H13430" s="680" t="s">
        <v>6153</v>
      </c>
    </row>
    <row r="13431" spans="8:8">
      <c r="H13431" s="680" t="s">
        <v>6153</v>
      </c>
    </row>
    <row r="13432" spans="8:8">
      <c r="H13432" s="680" t="s">
        <v>6153</v>
      </c>
    </row>
    <row r="13433" spans="8:8">
      <c r="H13433" s="680" t="s">
        <v>6153</v>
      </c>
    </row>
    <row r="13434" spans="8:8">
      <c r="H13434" s="680" t="s">
        <v>6153</v>
      </c>
    </row>
    <row r="13435" spans="8:8">
      <c r="H13435" s="680" t="s">
        <v>6153</v>
      </c>
    </row>
    <row r="13436" spans="8:8">
      <c r="H13436" s="680" t="s">
        <v>6153</v>
      </c>
    </row>
    <row r="13437" spans="8:8">
      <c r="H13437" s="680" t="s">
        <v>6153</v>
      </c>
    </row>
    <row r="13438" spans="8:8">
      <c r="H13438" s="680" t="s">
        <v>6153</v>
      </c>
    </row>
    <row r="13439" spans="8:8">
      <c r="H13439" s="680" t="s">
        <v>6153</v>
      </c>
    </row>
    <row r="13440" spans="8:8">
      <c r="H13440" s="680" t="s">
        <v>6153</v>
      </c>
    </row>
    <row r="13441" spans="8:8">
      <c r="H13441" s="680" t="s">
        <v>6153</v>
      </c>
    </row>
    <row r="13442" spans="8:8">
      <c r="H13442" s="680" t="s">
        <v>6153</v>
      </c>
    </row>
    <row r="13443" spans="8:8">
      <c r="H13443" s="680" t="s">
        <v>6153</v>
      </c>
    </row>
    <row r="13444" spans="8:8">
      <c r="H13444" s="680" t="s">
        <v>6153</v>
      </c>
    </row>
    <row r="13445" spans="8:8">
      <c r="H13445" s="680" t="s">
        <v>6153</v>
      </c>
    </row>
    <row r="13446" spans="8:8">
      <c r="H13446" s="680" t="s">
        <v>6153</v>
      </c>
    </row>
    <row r="13447" spans="8:8">
      <c r="H13447" s="680" t="s">
        <v>6153</v>
      </c>
    </row>
    <row r="13448" spans="8:8">
      <c r="H13448" s="680" t="s">
        <v>6153</v>
      </c>
    </row>
    <row r="13449" spans="8:8">
      <c r="H13449" s="680" t="s">
        <v>6153</v>
      </c>
    </row>
    <row r="13450" spans="8:8">
      <c r="H13450" s="680" t="s">
        <v>6153</v>
      </c>
    </row>
    <row r="13451" spans="8:8">
      <c r="H13451" s="680" t="s">
        <v>6153</v>
      </c>
    </row>
    <row r="13452" spans="8:8">
      <c r="H13452" s="680" t="s">
        <v>6153</v>
      </c>
    </row>
    <row r="13453" spans="8:8">
      <c r="H13453" s="680" t="s">
        <v>6153</v>
      </c>
    </row>
    <row r="13454" spans="8:8">
      <c r="H13454" s="680" t="s">
        <v>6153</v>
      </c>
    </row>
    <row r="13455" spans="8:8">
      <c r="H13455" s="680" t="s">
        <v>6153</v>
      </c>
    </row>
    <row r="13456" spans="8:8">
      <c r="H13456" s="680" t="s">
        <v>6153</v>
      </c>
    </row>
    <row r="13457" spans="8:8">
      <c r="H13457" s="680" t="s">
        <v>6153</v>
      </c>
    </row>
    <row r="13458" spans="8:8">
      <c r="H13458" s="680" t="s">
        <v>6153</v>
      </c>
    </row>
    <row r="13459" spans="8:8">
      <c r="H13459" s="680" t="s">
        <v>6153</v>
      </c>
    </row>
    <row r="13460" spans="8:8">
      <c r="H13460" s="680" t="s">
        <v>6153</v>
      </c>
    </row>
    <row r="13461" spans="8:8">
      <c r="H13461" s="680" t="s">
        <v>6153</v>
      </c>
    </row>
    <row r="13462" spans="8:8">
      <c r="H13462" s="680" t="s">
        <v>6153</v>
      </c>
    </row>
    <row r="13463" spans="8:8">
      <c r="H13463" s="680" t="s">
        <v>6153</v>
      </c>
    </row>
    <row r="13464" spans="8:8">
      <c r="H13464" s="680" t="s">
        <v>6153</v>
      </c>
    </row>
    <row r="13465" spans="8:8">
      <c r="H13465" s="680" t="s">
        <v>6153</v>
      </c>
    </row>
    <row r="13466" spans="8:8">
      <c r="H13466" s="680" t="s">
        <v>6153</v>
      </c>
    </row>
    <row r="13467" spans="8:8">
      <c r="H13467" s="680" t="s">
        <v>6153</v>
      </c>
    </row>
    <row r="13468" spans="8:8">
      <c r="H13468" s="680" t="s">
        <v>6153</v>
      </c>
    </row>
    <row r="13469" spans="8:8">
      <c r="H13469" s="680" t="s">
        <v>6153</v>
      </c>
    </row>
    <row r="13470" spans="8:8">
      <c r="H13470" s="680" t="s">
        <v>6153</v>
      </c>
    </row>
    <row r="13471" spans="8:8">
      <c r="H13471" s="680" t="s">
        <v>6153</v>
      </c>
    </row>
    <row r="13472" spans="8:8">
      <c r="H13472" s="680" t="s">
        <v>6153</v>
      </c>
    </row>
    <row r="13473" spans="8:8">
      <c r="H13473" s="680" t="s">
        <v>6153</v>
      </c>
    </row>
    <row r="13474" spans="8:8">
      <c r="H13474" s="680" t="s">
        <v>6153</v>
      </c>
    </row>
    <row r="13475" spans="8:8">
      <c r="H13475" s="680" t="s">
        <v>6153</v>
      </c>
    </row>
    <row r="13476" spans="8:8">
      <c r="H13476" s="680" t="s">
        <v>6153</v>
      </c>
    </row>
    <row r="13477" spans="8:8">
      <c r="H13477" s="680" t="s">
        <v>6153</v>
      </c>
    </row>
    <row r="13478" spans="8:8">
      <c r="H13478" s="680" t="s">
        <v>6153</v>
      </c>
    </row>
    <row r="13479" spans="8:8">
      <c r="H13479" s="680" t="s">
        <v>6153</v>
      </c>
    </row>
    <row r="13480" spans="8:8">
      <c r="H13480" s="680" t="s">
        <v>6153</v>
      </c>
    </row>
    <row r="13481" spans="8:8">
      <c r="H13481" s="680" t="s">
        <v>6153</v>
      </c>
    </row>
    <row r="13482" spans="8:8">
      <c r="H13482" s="680" t="s">
        <v>6153</v>
      </c>
    </row>
    <row r="13483" spans="8:8">
      <c r="H13483" s="680" t="s">
        <v>6153</v>
      </c>
    </row>
    <row r="13484" spans="8:8">
      <c r="H13484" s="680" t="s">
        <v>6153</v>
      </c>
    </row>
    <row r="13485" spans="8:8">
      <c r="H13485" s="680" t="s">
        <v>6153</v>
      </c>
    </row>
    <row r="13486" spans="8:8">
      <c r="H13486" s="680" t="s">
        <v>6153</v>
      </c>
    </row>
    <row r="13487" spans="8:8">
      <c r="H13487" s="680" t="s">
        <v>6153</v>
      </c>
    </row>
    <row r="13488" spans="8:8">
      <c r="H13488" s="680" t="s">
        <v>6153</v>
      </c>
    </row>
    <row r="13489" spans="8:8">
      <c r="H13489" s="680" t="s">
        <v>6153</v>
      </c>
    </row>
    <row r="13490" spans="8:8">
      <c r="H13490" s="680" t="s">
        <v>6153</v>
      </c>
    </row>
    <row r="13491" spans="8:8">
      <c r="H13491" s="680" t="s">
        <v>6153</v>
      </c>
    </row>
    <row r="13492" spans="8:8">
      <c r="H13492" s="680" t="s">
        <v>6153</v>
      </c>
    </row>
    <row r="13493" spans="8:8">
      <c r="H13493" s="680" t="s">
        <v>6153</v>
      </c>
    </row>
    <row r="13494" spans="8:8">
      <c r="H13494" s="680" t="s">
        <v>6153</v>
      </c>
    </row>
    <row r="13495" spans="8:8">
      <c r="H13495" s="680" t="s">
        <v>6153</v>
      </c>
    </row>
    <row r="13496" spans="8:8">
      <c r="H13496" s="680" t="s">
        <v>6153</v>
      </c>
    </row>
    <row r="13497" spans="8:8">
      <c r="H13497" s="680" t="s">
        <v>6153</v>
      </c>
    </row>
    <row r="13498" spans="8:8">
      <c r="H13498" s="680" t="s">
        <v>6153</v>
      </c>
    </row>
    <row r="13499" spans="8:8">
      <c r="H13499" s="680" t="s">
        <v>6153</v>
      </c>
    </row>
    <row r="13500" spans="8:8">
      <c r="H13500" s="680" t="s">
        <v>6153</v>
      </c>
    </row>
    <row r="13501" spans="8:8">
      <c r="H13501" s="680" t="s">
        <v>6153</v>
      </c>
    </row>
    <row r="13502" spans="8:8">
      <c r="H13502" s="680" t="s">
        <v>6153</v>
      </c>
    </row>
    <row r="13503" spans="8:8">
      <c r="H13503" s="680" t="s">
        <v>6153</v>
      </c>
    </row>
    <row r="13504" spans="8:8">
      <c r="H13504" s="680" t="s">
        <v>6153</v>
      </c>
    </row>
    <row r="13505" spans="8:8">
      <c r="H13505" s="680" t="s">
        <v>6153</v>
      </c>
    </row>
    <row r="13506" spans="8:8">
      <c r="H13506" s="680" t="s">
        <v>6153</v>
      </c>
    </row>
    <row r="13507" spans="8:8">
      <c r="H13507" s="680" t="s">
        <v>6153</v>
      </c>
    </row>
    <row r="13508" spans="8:8">
      <c r="H13508" s="680" t="s">
        <v>6153</v>
      </c>
    </row>
    <row r="13509" spans="8:8">
      <c r="H13509" s="680" t="s">
        <v>6153</v>
      </c>
    </row>
    <row r="13510" spans="8:8">
      <c r="H13510" s="680" t="s">
        <v>6153</v>
      </c>
    </row>
    <row r="13511" spans="8:8">
      <c r="H13511" s="680" t="s">
        <v>6153</v>
      </c>
    </row>
    <row r="13512" spans="8:8">
      <c r="H13512" s="680" t="s">
        <v>6153</v>
      </c>
    </row>
    <row r="13513" spans="8:8">
      <c r="H13513" s="680" t="s">
        <v>6153</v>
      </c>
    </row>
    <row r="13514" spans="8:8">
      <c r="H13514" s="680" t="s">
        <v>6153</v>
      </c>
    </row>
    <row r="13515" spans="8:8">
      <c r="H13515" s="680" t="s">
        <v>6153</v>
      </c>
    </row>
    <row r="13516" spans="8:8">
      <c r="H13516" s="680" t="s">
        <v>6153</v>
      </c>
    </row>
    <row r="13517" spans="8:8">
      <c r="H13517" s="680" t="s">
        <v>6153</v>
      </c>
    </row>
    <row r="13518" spans="8:8">
      <c r="H13518" s="680" t="s">
        <v>6153</v>
      </c>
    </row>
    <row r="13519" spans="8:8">
      <c r="H13519" s="680" t="s">
        <v>6153</v>
      </c>
    </row>
    <row r="13520" spans="8:8">
      <c r="H13520" s="680" t="s">
        <v>6153</v>
      </c>
    </row>
    <row r="13521" spans="8:8">
      <c r="H13521" s="680" t="s">
        <v>6153</v>
      </c>
    </row>
    <row r="13522" spans="8:8">
      <c r="H13522" s="680" t="s">
        <v>6153</v>
      </c>
    </row>
    <row r="13523" spans="8:8">
      <c r="H13523" s="680" t="s">
        <v>6153</v>
      </c>
    </row>
    <row r="13524" spans="8:8">
      <c r="H13524" s="680" t="s">
        <v>6153</v>
      </c>
    </row>
    <row r="13525" spans="8:8">
      <c r="H13525" s="680" t="s">
        <v>6153</v>
      </c>
    </row>
    <row r="13526" spans="8:8">
      <c r="H13526" s="680" t="s">
        <v>6153</v>
      </c>
    </row>
    <row r="13527" spans="8:8">
      <c r="H13527" s="680" t="s">
        <v>6153</v>
      </c>
    </row>
    <row r="13528" spans="8:8">
      <c r="H13528" s="680" t="s">
        <v>6153</v>
      </c>
    </row>
    <row r="13529" spans="8:8">
      <c r="H13529" s="680" t="s">
        <v>6153</v>
      </c>
    </row>
    <row r="13530" spans="8:8">
      <c r="H13530" s="680" t="s">
        <v>6153</v>
      </c>
    </row>
    <row r="13531" spans="8:8">
      <c r="H13531" s="680" t="s">
        <v>6153</v>
      </c>
    </row>
    <row r="13532" spans="8:8">
      <c r="H13532" s="680" t="s">
        <v>6153</v>
      </c>
    </row>
    <row r="13533" spans="8:8">
      <c r="H13533" s="680" t="s">
        <v>6153</v>
      </c>
    </row>
    <row r="13534" spans="8:8">
      <c r="H13534" s="680" t="s">
        <v>6153</v>
      </c>
    </row>
    <row r="13535" spans="8:8">
      <c r="H13535" s="680" t="s">
        <v>6153</v>
      </c>
    </row>
    <row r="13536" spans="8:8">
      <c r="H13536" s="680" t="s">
        <v>6153</v>
      </c>
    </row>
    <row r="13537" spans="8:8">
      <c r="H13537" s="680" t="s">
        <v>6153</v>
      </c>
    </row>
    <row r="13538" spans="8:8">
      <c r="H13538" s="680" t="s">
        <v>6153</v>
      </c>
    </row>
    <row r="13539" spans="8:8">
      <c r="H13539" s="680" t="s">
        <v>6153</v>
      </c>
    </row>
    <row r="13540" spans="8:8">
      <c r="H13540" s="680" t="s">
        <v>6153</v>
      </c>
    </row>
    <row r="13541" spans="8:8">
      <c r="H13541" s="680" t="s">
        <v>6153</v>
      </c>
    </row>
    <row r="13542" spans="8:8">
      <c r="H13542" s="680" t="s">
        <v>6153</v>
      </c>
    </row>
    <row r="13543" spans="8:8">
      <c r="H13543" s="680" t="s">
        <v>6153</v>
      </c>
    </row>
    <row r="13544" spans="8:8">
      <c r="H13544" s="680" t="s">
        <v>6153</v>
      </c>
    </row>
    <row r="13545" spans="8:8">
      <c r="H13545" s="680" t="s">
        <v>6153</v>
      </c>
    </row>
    <row r="13546" spans="8:8">
      <c r="H13546" s="680" t="s">
        <v>6153</v>
      </c>
    </row>
    <row r="13547" spans="8:8">
      <c r="H13547" s="680" t="s">
        <v>6153</v>
      </c>
    </row>
    <row r="13548" spans="8:8">
      <c r="H13548" s="680" t="s">
        <v>6153</v>
      </c>
    </row>
    <row r="13549" spans="8:8">
      <c r="H13549" s="680" t="s">
        <v>6153</v>
      </c>
    </row>
    <row r="13550" spans="8:8">
      <c r="H13550" s="680" t="s">
        <v>6153</v>
      </c>
    </row>
    <row r="13551" spans="8:8">
      <c r="H13551" s="680" t="s">
        <v>6153</v>
      </c>
    </row>
    <row r="13552" spans="8:8">
      <c r="H13552" s="680" t="s">
        <v>6153</v>
      </c>
    </row>
    <row r="13553" spans="8:8">
      <c r="H13553" s="680" t="s">
        <v>6153</v>
      </c>
    </row>
    <row r="13554" spans="8:8">
      <c r="H13554" s="680" t="s">
        <v>6153</v>
      </c>
    </row>
    <row r="13555" spans="8:8">
      <c r="H13555" s="680" t="s">
        <v>6153</v>
      </c>
    </row>
    <row r="13556" spans="8:8">
      <c r="H13556" s="680" t="s">
        <v>6153</v>
      </c>
    </row>
    <row r="13557" spans="8:8">
      <c r="H13557" s="680" t="s">
        <v>6153</v>
      </c>
    </row>
    <row r="13558" spans="8:8">
      <c r="H13558" s="680" t="s">
        <v>6153</v>
      </c>
    </row>
    <row r="13559" spans="8:8">
      <c r="H13559" s="680" t="s">
        <v>6153</v>
      </c>
    </row>
    <row r="13560" spans="8:8">
      <c r="H13560" s="680" t="s">
        <v>6153</v>
      </c>
    </row>
    <row r="13561" spans="8:8">
      <c r="H13561" s="680" t="s">
        <v>6153</v>
      </c>
    </row>
    <row r="13562" spans="8:8">
      <c r="H13562" s="680" t="s">
        <v>6153</v>
      </c>
    </row>
    <row r="13563" spans="8:8">
      <c r="H13563" s="680" t="s">
        <v>6153</v>
      </c>
    </row>
    <row r="13564" spans="8:8">
      <c r="H13564" s="680" t="s">
        <v>6153</v>
      </c>
    </row>
    <row r="13565" spans="8:8">
      <c r="H13565" s="680" t="s">
        <v>6153</v>
      </c>
    </row>
    <row r="13566" spans="8:8">
      <c r="H13566" s="680" t="s">
        <v>6153</v>
      </c>
    </row>
    <row r="13567" spans="8:8">
      <c r="H13567" s="680" t="s">
        <v>6153</v>
      </c>
    </row>
    <row r="13568" spans="8:8">
      <c r="H13568" s="680" t="s">
        <v>6153</v>
      </c>
    </row>
    <row r="13569" spans="8:8">
      <c r="H13569" s="680" t="s">
        <v>6153</v>
      </c>
    </row>
    <row r="13570" spans="8:8">
      <c r="H13570" s="680" t="s">
        <v>6153</v>
      </c>
    </row>
    <row r="13571" spans="8:8">
      <c r="H13571" s="680" t="s">
        <v>6153</v>
      </c>
    </row>
    <row r="13572" spans="8:8">
      <c r="H13572" s="680" t="s">
        <v>6153</v>
      </c>
    </row>
    <row r="13573" spans="8:8">
      <c r="H13573" s="680" t="s">
        <v>6153</v>
      </c>
    </row>
    <row r="13574" spans="8:8">
      <c r="H13574" s="680" t="s">
        <v>6153</v>
      </c>
    </row>
    <row r="13575" spans="8:8">
      <c r="H13575" s="680" t="s">
        <v>6153</v>
      </c>
    </row>
    <row r="13576" spans="8:8">
      <c r="H13576" s="680" t="s">
        <v>6153</v>
      </c>
    </row>
    <row r="13577" spans="8:8">
      <c r="H13577" s="680" t="s">
        <v>6153</v>
      </c>
    </row>
    <row r="13578" spans="8:8">
      <c r="H13578" s="680" t="s">
        <v>6153</v>
      </c>
    </row>
    <row r="13579" spans="8:8">
      <c r="H13579" s="680" t="s">
        <v>6153</v>
      </c>
    </row>
    <row r="13580" spans="8:8">
      <c r="H13580" s="680" t="s">
        <v>6153</v>
      </c>
    </row>
    <row r="13581" spans="8:8">
      <c r="H13581" s="680" t="s">
        <v>6153</v>
      </c>
    </row>
    <row r="13582" spans="8:8">
      <c r="H13582" s="680" t="s">
        <v>6153</v>
      </c>
    </row>
    <row r="13583" spans="8:8">
      <c r="H13583" s="680" t="s">
        <v>6153</v>
      </c>
    </row>
    <row r="13584" spans="8:8">
      <c r="H13584" s="680" t="s">
        <v>6153</v>
      </c>
    </row>
    <row r="13585" spans="8:8">
      <c r="H13585" s="680" t="s">
        <v>6153</v>
      </c>
    </row>
    <row r="13586" spans="8:8">
      <c r="H13586" s="680" t="s">
        <v>6153</v>
      </c>
    </row>
    <row r="13587" spans="8:8">
      <c r="H13587" s="680" t="s">
        <v>6153</v>
      </c>
    </row>
    <row r="13588" spans="8:8">
      <c r="H13588" s="680" t="s">
        <v>6153</v>
      </c>
    </row>
    <row r="13589" spans="8:8">
      <c r="H13589" s="680" t="s">
        <v>6153</v>
      </c>
    </row>
    <row r="13590" spans="8:8">
      <c r="H13590" s="680" t="s">
        <v>6153</v>
      </c>
    </row>
    <row r="13591" spans="8:8">
      <c r="H13591" s="680" t="s">
        <v>6153</v>
      </c>
    </row>
    <row r="13592" spans="8:8">
      <c r="H13592" s="680" t="s">
        <v>6153</v>
      </c>
    </row>
    <row r="13593" spans="8:8">
      <c r="H13593" s="680" t="s">
        <v>6153</v>
      </c>
    </row>
    <row r="13594" spans="8:8">
      <c r="H13594" s="680" t="s">
        <v>6153</v>
      </c>
    </row>
    <row r="13595" spans="8:8">
      <c r="H13595" s="680" t="s">
        <v>6153</v>
      </c>
    </row>
    <row r="13596" spans="8:8">
      <c r="H13596" s="680" t="s">
        <v>6153</v>
      </c>
    </row>
    <row r="13597" spans="8:8">
      <c r="H13597" s="680" t="s">
        <v>6153</v>
      </c>
    </row>
    <row r="13598" spans="8:8">
      <c r="H13598" s="680" t="s">
        <v>6153</v>
      </c>
    </row>
    <row r="13599" spans="8:8">
      <c r="H13599" s="680" t="s">
        <v>6153</v>
      </c>
    </row>
    <row r="13600" spans="8:8">
      <c r="H13600" s="680" t="s">
        <v>6153</v>
      </c>
    </row>
    <row r="13601" spans="8:8">
      <c r="H13601" s="680" t="s">
        <v>6153</v>
      </c>
    </row>
    <row r="13602" spans="8:8">
      <c r="H13602" s="680" t="s">
        <v>6153</v>
      </c>
    </row>
    <row r="13603" spans="8:8">
      <c r="H13603" s="680" t="s">
        <v>6153</v>
      </c>
    </row>
    <row r="13604" spans="8:8">
      <c r="H13604" s="680" t="s">
        <v>6153</v>
      </c>
    </row>
    <row r="13605" spans="8:8">
      <c r="H13605" s="680" t="s">
        <v>6153</v>
      </c>
    </row>
    <row r="13606" spans="8:8">
      <c r="H13606" s="680" t="s">
        <v>6153</v>
      </c>
    </row>
    <row r="13607" spans="8:8">
      <c r="H13607" s="680" t="s">
        <v>6153</v>
      </c>
    </row>
    <row r="13608" spans="8:8">
      <c r="H13608" s="680" t="s">
        <v>6153</v>
      </c>
    </row>
    <row r="13609" spans="8:8">
      <c r="H13609" s="680" t="s">
        <v>6153</v>
      </c>
    </row>
    <row r="13610" spans="8:8">
      <c r="H13610" s="680" t="s">
        <v>6153</v>
      </c>
    </row>
    <row r="13611" spans="8:8">
      <c r="H13611" s="680" t="s">
        <v>6153</v>
      </c>
    </row>
    <row r="13612" spans="8:8">
      <c r="H13612" s="680" t="s">
        <v>6153</v>
      </c>
    </row>
    <row r="13613" spans="8:8">
      <c r="H13613" s="680" t="s">
        <v>6153</v>
      </c>
    </row>
    <row r="13614" spans="8:8">
      <c r="H13614" s="680" t="s">
        <v>6153</v>
      </c>
    </row>
    <row r="13615" spans="8:8">
      <c r="H13615" s="680" t="s">
        <v>6153</v>
      </c>
    </row>
    <row r="13616" spans="8:8">
      <c r="H13616" s="680" t="s">
        <v>6153</v>
      </c>
    </row>
    <row r="13617" spans="8:8">
      <c r="H13617" s="680" t="s">
        <v>6153</v>
      </c>
    </row>
    <row r="13618" spans="8:8">
      <c r="H13618" s="680" t="s">
        <v>6153</v>
      </c>
    </row>
    <row r="13619" spans="8:8">
      <c r="H13619" s="680" t="s">
        <v>6153</v>
      </c>
    </row>
    <row r="13620" spans="8:8">
      <c r="H13620" s="680" t="s">
        <v>6153</v>
      </c>
    </row>
    <row r="13621" spans="8:8">
      <c r="H13621" s="680" t="s">
        <v>6153</v>
      </c>
    </row>
    <row r="13622" spans="8:8">
      <c r="H13622" s="680" t="s">
        <v>6153</v>
      </c>
    </row>
    <row r="13623" spans="8:8">
      <c r="H13623" s="680" t="s">
        <v>6153</v>
      </c>
    </row>
    <row r="13624" spans="8:8">
      <c r="H13624" s="680" t="s">
        <v>6153</v>
      </c>
    </row>
    <row r="13625" spans="8:8">
      <c r="H13625" s="680" t="s">
        <v>6153</v>
      </c>
    </row>
    <row r="13626" spans="8:8">
      <c r="H13626" s="680" t="s">
        <v>6153</v>
      </c>
    </row>
    <row r="13627" spans="8:8">
      <c r="H13627" s="680" t="s">
        <v>6153</v>
      </c>
    </row>
    <row r="13628" spans="8:8">
      <c r="H13628" s="680" t="s">
        <v>6153</v>
      </c>
    </row>
    <row r="13629" spans="8:8">
      <c r="H13629" s="680" t="s">
        <v>6153</v>
      </c>
    </row>
    <row r="13630" spans="8:8">
      <c r="H13630" s="680" t="s">
        <v>6153</v>
      </c>
    </row>
    <row r="13631" spans="8:8">
      <c r="H13631" s="680" t="s">
        <v>6153</v>
      </c>
    </row>
    <row r="13632" spans="8:8">
      <c r="H13632" s="680" t="s">
        <v>6153</v>
      </c>
    </row>
    <row r="13633" spans="8:8">
      <c r="H13633" s="680" t="s">
        <v>6153</v>
      </c>
    </row>
    <row r="13634" spans="8:8">
      <c r="H13634" s="680" t="s">
        <v>6153</v>
      </c>
    </row>
    <row r="13635" spans="8:8">
      <c r="H13635" s="680" t="s">
        <v>6153</v>
      </c>
    </row>
    <row r="13636" spans="8:8">
      <c r="H13636" s="680" t="s">
        <v>6153</v>
      </c>
    </row>
    <row r="13637" spans="8:8">
      <c r="H13637" s="680" t="s">
        <v>6153</v>
      </c>
    </row>
    <row r="13638" spans="8:8">
      <c r="H13638" s="680" t="s">
        <v>6153</v>
      </c>
    </row>
    <row r="13639" spans="8:8">
      <c r="H13639" s="680" t="s">
        <v>6153</v>
      </c>
    </row>
    <row r="13640" spans="8:8">
      <c r="H13640" s="680" t="s">
        <v>6153</v>
      </c>
    </row>
    <row r="13641" spans="8:8">
      <c r="H13641" s="680" t="s">
        <v>6153</v>
      </c>
    </row>
    <row r="13642" spans="8:8">
      <c r="H13642" s="680" t="s">
        <v>6153</v>
      </c>
    </row>
    <row r="13643" spans="8:8">
      <c r="H13643" s="680" t="s">
        <v>6153</v>
      </c>
    </row>
    <row r="13644" spans="8:8">
      <c r="H13644" s="680" t="s">
        <v>6153</v>
      </c>
    </row>
    <row r="13645" spans="8:8">
      <c r="H13645" s="680" t="s">
        <v>6153</v>
      </c>
    </row>
    <row r="13646" spans="8:8">
      <c r="H13646" s="680" t="s">
        <v>6153</v>
      </c>
    </row>
    <row r="13647" spans="8:8">
      <c r="H13647" s="680" t="s">
        <v>6153</v>
      </c>
    </row>
    <row r="13648" spans="8:8">
      <c r="H13648" s="680" t="s">
        <v>6153</v>
      </c>
    </row>
    <row r="13649" spans="8:8">
      <c r="H13649" s="680" t="s">
        <v>6153</v>
      </c>
    </row>
    <row r="13650" spans="8:8">
      <c r="H13650" s="680" t="s">
        <v>6153</v>
      </c>
    </row>
    <row r="13651" spans="8:8">
      <c r="H13651" s="680" t="s">
        <v>6153</v>
      </c>
    </row>
    <row r="13652" spans="8:8">
      <c r="H13652" s="680" t="s">
        <v>6153</v>
      </c>
    </row>
    <row r="13653" spans="8:8">
      <c r="H13653" s="680" t="s">
        <v>6153</v>
      </c>
    </row>
    <row r="13654" spans="8:8">
      <c r="H13654" s="680" t="s">
        <v>6153</v>
      </c>
    </row>
    <row r="13655" spans="8:8">
      <c r="H13655" s="680" t="s">
        <v>6153</v>
      </c>
    </row>
    <row r="13656" spans="8:8">
      <c r="H13656" s="680" t="s">
        <v>6153</v>
      </c>
    </row>
    <row r="13657" spans="8:8">
      <c r="H13657" s="680" t="s">
        <v>6153</v>
      </c>
    </row>
    <row r="13658" spans="8:8">
      <c r="H13658" s="680" t="s">
        <v>6153</v>
      </c>
    </row>
    <row r="13659" spans="8:8">
      <c r="H13659" s="680" t="s">
        <v>6153</v>
      </c>
    </row>
    <row r="13660" spans="8:8">
      <c r="H13660" s="680" t="s">
        <v>6153</v>
      </c>
    </row>
    <row r="13661" spans="8:8">
      <c r="H13661" s="680" t="s">
        <v>6153</v>
      </c>
    </row>
    <row r="13662" spans="8:8">
      <c r="H13662" s="680" t="s">
        <v>6153</v>
      </c>
    </row>
    <row r="13663" spans="8:8">
      <c r="H13663" s="680" t="s">
        <v>6153</v>
      </c>
    </row>
    <row r="13664" spans="8:8">
      <c r="H13664" s="680" t="s">
        <v>6153</v>
      </c>
    </row>
    <row r="13665" spans="8:8">
      <c r="H13665" s="680" t="s">
        <v>6153</v>
      </c>
    </row>
    <row r="13666" spans="8:8">
      <c r="H13666" s="680" t="s">
        <v>6153</v>
      </c>
    </row>
    <row r="13667" spans="8:8">
      <c r="H13667" s="680" t="s">
        <v>6153</v>
      </c>
    </row>
    <row r="13668" spans="8:8">
      <c r="H13668" s="680" t="s">
        <v>6153</v>
      </c>
    </row>
    <row r="13669" spans="8:8">
      <c r="H13669" s="680" t="s">
        <v>6153</v>
      </c>
    </row>
    <row r="13670" spans="8:8">
      <c r="H13670" s="680" t="s">
        <v>6153</v>
      </c>
    </row>
    <row r="13671" spans="8:8">
      <c r="H13671" s="680" t="s">
        <v>6153</v>
      </c>
    </row>
    <row r="13672" spans="8:8">
      <c r="H13672" s="680" t="s">
        <v>6153</v>
      </c>
    </row>
    <row r="13673" spans="8:8">
      <c r="H13673" s="680" t="s">
        <v>6153</v>
      </c>
    </row>
    <row r="13674" spans="8:8">
      <c r="H13674" s="680" t="s">
        <v>6153</v>
      </c>
    </row>
    <row r="13675" spans="8:8">
      <c r="H13675" s="680" t="s">
        <v>6153</v>
      </c>
    </row>
    <row r="13676" spans="8:8">
      <c r="H13676" s="680" t="s">
        <v>6153</v>
      </c>
    </row>
    <row r="13677" spans="8:8">
      <c r="H13677" s="680" t="s">
        <v>6153</v>
      </c>
    </row>
    <row r="13678" spans="8:8">
      <c r="H13678" s="680" t="s">
        <v>6153</v>
      </c>
    </row>
    <row r="13679" spans="8:8">
      <c r="H13679" s="680" t="s">
        <v>6153</v>
      </c>
    </row>
    <row r="13680" spans="8:8">
      <c r="H13680" s="680" t="s">
        <v>6153</v>
      </c>
    </row>
    <row r="13681" spans="8:8">
      <c r="H13681" s="680" t="s">
        <v>6153</v>
      </c>
    </row>
    <row r="13682" spans="8:8">
      <c r="H13682" s="680" t="s">
        <v>6153</v>
      </c>
    </row>
    <row r="13683" spans="8:8">
      <c r="H13683" s="680" t="s">
        <v>6153</v>
      </c>
    </row>
    <row r="13684" spans="8:8">
      <c r="H13684" s="680" t="s">
        <v>6153</v>
      </c>
    </row>
    <row r="13685" spans="8:8">
      <c r="H13685" s="680" t="s">
        <v>6153</v>
      </c>
    </row>
    <row r="13686" spans="8:8">
      <c r="H13686" s="680" t="s">
        <v>6153</v>
      </c>
    </row>
    <row r="13687" spans="8:8">
      <c r="H13687" s="680" t="s">
        <v>6153</v>
      </c>
    </row>
    <row r="13688" spans="8:8">
      <c r="H13688" s="680" t="s">
        <v>6153</v>
      </c>
    </row>
    <row r="13689" spans="8:8">
      <c r="H13689" s="680" t="s">
        <v>6153</v>
      </c>
    </row>
    <row r="13690" spans="8:8">
      <c r="H13690" s="680" t="s">
        <v>6153</v>
      </c>
    </row>
    <row r="13691" spans="8:8">
      <c r="H13691" s="680" t="s">
        <v>6153</v>
      </c>
    </row>
    <row r="13692" spans="8:8">
      <c r="H13692" s="680" t="s">
        <v>6153</v>
      </c>
    </row>
    <row r="13693" spans="8:8">
      <c r="H13693" s="680" t="s">
        <v>6153</v>
      </c>
    </row>
    <row r="13694" spans="8:8">
      <c r="H13694" s="680" t="s">
        <v>6153</v>
      </c>
    </row>
    <row r="13695" spans="8:8">
      <c r="H13695" s="680" t="s">
        <v>6153</v>
      </c>
    </row>
    <row r="13696" spans="8:8">
      <c r="H13696" s="680" t="s">
        <v>6153</v>
      </c>
    </row>
    <row r="13697" spans="8:8">
      <c r="H13697" s="680" t="s">
        <v>6153</v>
      </c>
    </row>
    <row r="13698" spans="8:8">
      <c r="H13698" s="680" t="s">
        <v>6153</v>
      </c>
    </row>
    <row r="13699" spans="8:8">
      <c r="H13699" s="680" t="s">
        <v>6153</v>
      </c>
    </row>
    <row r="13700" spans="8:8">
      <c r="H13700" s="680" t="s">
        <v>6153</v>
      </c>
    </row>
    <row r="13701" spans="8:8">
      <c r="H13701" s="680" t="s">
        <v>6153</v>
      </c>
    </row>
    <row r="13702" spans="8:8">
      <c r="H13702" s="680" t="s">
        <v>6153</v>
      </c>
    </row>
    <row r="13703" spans="8:8">
      <c r="H13703" s="680" t="s">
        <v>6153</v>
      </c>
    </row>
    <row r="13704" spans="8:8">
      <c r="H13704" s="680" t="s">
        <v>6153</v>
      </c>
    </row>
    <row r="13705" spans="8:8">
      <c r="H13705" s="680" t="s">
        <v>6153</v>
      </c>
    </row>
    <row r="13706" spans="8:8">
      <c r="H13706" s="680" t="s">
        <v>6153</v>
      </c>
    </row>
    <row r="13707" spans="8:8">
      <c r="H13707" s="680" t="s">
        <v>6153</v>
      </c>
    </row>
    <row r="13708" spans="8:8">
      <c r="H13708" s="680" t="s">
        <v>6153</v>
      </c>
    </row>
    <row r="13709" spans="8:8">
      <c r="H13709" s="680" t="s">
        <v>6153</v>
      </c>
    </row>
    <row r="13710" spans="8:8">
      <c r="H13710" s="680" t="s">
        <v>6153</v>
      </c>
    </row>
    <row r="13711" spans="8:8">
      <c r="H13711" s="680" t="s">
        <v>6153</v>
      </c>
    </row>
    <row r="13712" spans="8:8">
      <c r="H13712" s="680" t="s">
        <v>6153</v>
      </c>
    </row>
    <row r="13713" spans="8:8">
      <c r="H13713" s="680" t="s">
        <v>6153</v>
      </c>
    </row>
    <row r="13714" spans="8:8">
      <c r="H13714" s="680" t="s">
        <v>6153</v>
      </c>
    </row>
    <row r="13715" spans="8:8">
      <c r="H13715" s="680" t="s">
        <v>6153</v>
      </c>
    </row>
    <row r="13716" spans="8:8">
      <c r="H13716" s="680" t="s">
        <v>6153</v>
      </c>
    </row>
    <row r="13717" spans="8:8">
      <c r="H13717" s="680" t="s">
        <v>6153</v>
      </c>
    </row>
    <row r="13718" spans="8:8">
      <c r="H13718" s="680" t="s">
        <v>6153</v>
      </c>
    </row>
    <row r="13719" spans="8:8">
      <c r="H13719" s="680" t="s">
        <v>6153</v>
      </c>
    </row>
    <row r="13720" spans="8:8">
      <c r="H13720" s="680" t="s">
        <v>6153</v>
      </c>
    </row>
    <row r="13721" spans="8:8">
      <c r="H13721" s="680" t="s">
        <v>6153</v>
      </c>
    </row>
    <row r="13722" spans="8:8">
      <c r="H13722" s="680" t="s">
        <v>6153</v>
      </c>
    </row>
    <row r="13723" spans="8:8">
      <c r="H13723" s="680" t="s">
        <v>6153</v>
      </c>
    </row>
    <row r="13724" spans="8:8">
      <c r="H13724" s="680" t="s">
        <v>6153</v>
      </c>
    </row>
    <row r="13725" spans="8:8">
      <c r="H13725" s="680" t="s">
        <v>6153</v>
      </c>
    </row>
    <row r="13726" spans="8:8">
      <c r="H13726" s="680" t="s">
        <v>6153</v>
      </c>
    </row>
    <row r="13727" spans="8:8">
      <c r="H13727" s="680" t="s">
        <v>6153</v>
      </c>
    </row>
    <row r="13728" spans="8:8">
      <c r="H13728" s="680" t="s">
        <v>6153</v>
      </c>
    </row>
    <row r="13729" spans="8:8">
      <c r="H13729" s="680" t="s">
        <v>6153</v>
      </c>
    </row>
    <row r="13730" spans="8:8">
      <c r="H13730" s="680" t="s">
        <v>6153</v>
      </c>
    </row>
    <row r="13731" spans="8:8">
      <c r="H13731" s="680" t="s">
        <v>6153</v>
      </c>
    </row>
    <row r="13732" spans="8:8">
      <c r="H13732" s="680" t="s">
        <v>6153</v>
      </c>
    </row>
    <row r="13733" spans="8:8">
      <c r="H13733" s="680" t="s">
        <v>6153</v>
      </c>
    </row>
    <row r="13734" spans="8:8">
      <c r="H13734" s="680" t="s">
        <v>6153</v>
      </c>
    </row>
    <row r="13735" spans="8:8">
      <c r="H13735" s="680" t="s">
        <v>6153</v>
      </c>
    </row>
    <row r="13736" spans="8:8">
      <c r="H13736" s="680" t="s">
        <v>6153</v>
      </c>
    </row>
    <row r="13737" spans="8:8">
      <c r="H13737" s="680" t="s">
        <v>6153</v>
      </c>
    </row>
    <row r="13738" spans="8:8">
      <c r="H13738" s="680" t="s">
        <v>6153</v>
      </c>
    </row>
    <row r="13739" spans="8:8">
      <c r="H13739" s="680" t="s">
        <v>6153</v>
      </c>
    </row>
    <row r="13740" spans="8:8">
      <c r="H13740" s="680" t="s">
        <v>6153</v>
      </c>
    </row>
    <row r="13741" spans="8:8">
      <c r="H13741" s="680" t="s">
        <v>6153</v>
      </c>
    </row>
    <row r="13742" spans="8:8">
      <c r="H13742" s="680" t="s">
        <v>6153</v>
      </c>
    </row>
    <row r="13743" spans="8:8">
      <c r="H13743" s="680" t="s">
        <v>6153</v>
      </c>
    </row>
    <row r="13744" spans="8:8">
      <c r="H13744" s="680" t="s">
        <v>6153</v>
      </c>
    </row>
    <row r="13745" spans="8:8">
      <c r="H13745" s="680" t="s">
        <v>6153</v>
      </c>
    </row>
    <row r="13746" spans="8:8">
      <c r="H13746" s="680" t="s">
        <v>6153</v>
      </c>
    </row>
    <row r="13747" spans="8:8">
      <c r="H13747" s="680" t="s">
        <v>6153</v>
      </c>
    </row>
    <row r="13748" spans="8:8">
      <c r="H13748" s="680" t="s">
        <v>6153</v>
      </c>
    </row>
    <row r="13749" spans="8:8">
      <c r="H13749" s="680" t="s">
        <v>6153</v>
      </c>
    </row>
    <row r="13750" spans="8:8">
      <c r="H13750" s="680" t="s">
        <v>6153</v>
      </c>
    </row>
    <row r="13751" spans="8:8">
      <c r="H13751" s="680" t="s">
        <v>6153</v>
      </c>
    </row>
    <row r="13752" spans="8:8">
      <c r="H13752" s="680" t="s">
        <v>6153</v>
      </c>
    </row>
    <row r="13753" spans="8:8">
      <c r="H13753" s="680" t="s">
        <v>6153</v>
      </c>
    </row>
    <row r="13754" spans="8:8">
      <c r="H13754" s="680" t="s">
        <v>6153</v>
      </c>
    </row>
    <row r="13755" spans="8:8">
      <c r="H13755" s="680" t="s">
        <v>6153</v>
      </c>
    </row>
    <row r="13756" spans="8:8">
      <c r="H13756" s="680" t="s">
        <v>6153</v>
      </c>
    </row>
    <row r="13757" spans="8:8">
      <c r="H13757" s="680" t="s">
        <v>6153</v>
      </c>
    </row>
    <row r="13758" spans="8:8">
      <c r="H13758" s="680" t="s">
        <v>6153</v>
      </c>
    </row>
    <row r="13759" spans="8:8">
      <c r="H13759" s="680" t="s">
        <v>6153</v>
      </c>
    </row>
    <row r="13760" spans="8:8">
      <c r="H13760" s="680" t="s">
        <v>6153</v>
      </c>
    </row>
    <row r="13761" spans="8:8">
      <c r="H13761" s="680" t="s">
        <v>6153</v>
      </c>
    </row>
    <row r="13762" spans="8:8">
      <c r="H13762" s="680" t="s">
        <v>6153</v>
      </c>
    </row>
    <row r="13763" spans="8:8">
      <c r="H13763" s="680" t="s">
        <v>6153</v>
      </c>
    </row>
    <row r="13764" spans="8:8">
      <c r="H13764" s="680" t="s">
        <v>6153</v>
      </c>
    </row>
    <row r="13765" spans="8:8">
      <c r="H13765" s="680" t="s">
        <v>6153</v>
      </c>
    </row>
    <row r="13766" spans="8:8">
      <c r="H13766" s="680" t="s">
        <v>6153</v>
      </c>
    </row>
    <row r="13767" spans="8:8">
      <c r="H13767" s="680" t="s">
        <v>6153</v>
      </c>
    </row>
    <row r="13768" spans="8:8">
      <c r="H13768" s="680" t="s">
        <v>6153</v>
      </c>
    </row>
    <row r="13769" spans="8:8">
      <c r="H13769" s="680" t="s">
        <v>6153</v>
      </c>
    </row>
    <row r="13770" spans="8:8">
      <c r="H13770" s="680" t="s">
        <v>6153</v>
      </c>
    </row>
    <row r="13771" spans="8:8">
      <c r="H13771" s="680" t="s">
        <v>6153</v>
      </c>
    </row>
    <row r="13772" spans="8:8">
      <c r="H13772" s="680" t="s">
        <v>6153</v>
      </c>
    </row>
    <row r="13773" spans="8:8">
      <c r="H13773" s="680" t="s">
        <v>6153</v>
      </c>
    </row>
    <row r="13774" spans="8:8">
      <c r="H13774" s="680" t="s">
        <v>6153</v>
      </c>
    </row>
    <row r="13775" spans="8:8">
      <c r="H13775" s="680" t="s">
        <v>6153</v>
      </c>
    </row>
    <row r="13776" spans="8:8">
      <c r="H13776" s="680" t="s">
        <v>6153</v>
      </c>
    </row>
    <row r="13777" spans="8:8">
      <c r="H13777" s="680" t="s">
        <v>6153</v>
      </c>
    </row>
    <row r="13778" spans="8:8">
      <c r="H13778" s="680" t="s">
        <v>6153</v>
      </c>
    </row>
    <row r="13779" spans="8:8">
      <c r="H13779" s="680" t="s">
        <v>6153</v>
      </c>
    </row>
    <row r="13780" spans="8:8">
      <c r="H13780" s="680" t="s">
        <v>6153</v>
      </c>
    </row>
    <row r="13781" spans="8:8">
      <c r="H13781" s="680" t="s">
        <v>6153</v>
      </c>
    </row>
    <row r="13782" spans="8:8">
      <c r="H13782" s="680" t="s">
        <v>6153</v>
      </c>
    </row>
    <row r="13783" spans="8:8">
      <c r="H13783" s="680" t="s">
        <v>6153</v>
      </c>
    </row>
    <row r="13784" spans="8:8">
      <c r="H13784" s="680" t="s">
        <v>6153</v>
      </c>
    </row>
    <row r="13785" spans="8:8">
      <c r="H13785" s="680" t="s">
        <v>6153</v>
      </c>
    </row>
    <row r="13786" spans="8:8">
      <c r="H13786" s="680" t="s">
        <v>6153</v>
      </c>
    </row>
    <row r="13787" spans="8:8">
      <c r="H13787" s="680" t="s">
        <v>6153</v>
      </c>
    </row>
    <row r="13788" spans="8:8">
      <c r="H13788" s="680" t="s">
        <v>6153</v>
      </c>
    </row>
    <row r="13789" spans="8:8">
      <c r="H13789" s="680" t="s">
        <v>6153</v>
      </c>
    </row>
    <row r="13790" spans="8:8">
      <c r="H13790" s="680" t="s">
        <v>6153</v>
      </c>
    </row>
    <row r="13791" spans="8:8">
      <c r="H13791" s="680" t="s">
        <v>6153</v>
      </c>
    </row>
    <row r="13792" spans="8:8">
      <c r="H13792" s="680" t="s">
        <v>6153</v>
      </c>
    </row>
    <row r="13793" spans="8:8">
      <c r="H13793" s="680" t="s">
        <v>6153</v>
      </c>
    </row>
    <row r="13794" spans="8:8">
      <c r="H13794" s="680" t="s">
        <v>6153</v>
      </c>
    </row>
    <row r="13795" spans="8:8">
      <c r="H13795" s="680" t="s">
        <v>6153</v>
      </c>
    </row>
    <row r="13796" spans="8:8">
      <c r="H13796" s="680" t="s">
        <v>6153</v>
      </c>
    </row>
    <row r="13797" spans="8:8">
      <c r="H13797" s="680" t="s">
        <v>6153</v>
      </c>
    </row>
    <row r="13798" spans="8:8">
      <c r="H13798" s="680" t="s">
        <v>6153</v>
      </c>
    </row>
    <row r="13799" spans="8:8">
      <c r="H13799" s="680" t="s">
        <v>6153</v>
      </c>
    </row>
    <row r="13800" spans="8:8">
      <c r="H13800" s="680" t="s">
        <v>6153</v>
      </c>
    </row>
    <row r="13801" spans="8:8">
      <c r="H13801" s="680" t="s">
        <v>6153</v>
      </c>
    </row>
    <row r="13802" spans="8:8">
      <c r="H13802" s="680" t="s">
        <v>6153</v>
      </c>
    </row>
    <row r="13803" spans="8:8">
      <c r="H13803" s="680" t="s">
        <v>6153</v>
      </c>
    </row>
    <row r="13804" spans="8:8">
      <c r="H13804" s="680" t="s">
        <v>6153</v>
      </c>
    </row>
    <row r="13805" spans="8:8">
      <c r="H13805" s="680" t="s">
        <v>6153</v>
      </c>
    </row>
    <row r="13806" spans="8:8">
      <c r="H13806" s="680" t="s">
        <v>6153</v>
      </c>
    </row>
    <row r="13807" spans="8:8">
      <c r="H13807" s="680" t="s">
        <v>6153</v>
      </c>
    </row>
    <row r="13808" spans="8:8">
      <c r="H13808" s="680" t="s">
        <v>6153</v>
      </c>
    </row>
    <row r="13809" spans="8:8">
      <c r="H13809" s="680" t="s">
        <v>6153</v>
      </c>
    </row>
    <row r="13810" spans="8:8">
      <c r="H13810" s="680" t="s">
        <v>6153</v>
      </c>
    </row>
    <row r="13811" spans="8:8">
      <c r="H13811" s="680" t="s">
        <v>6153</v>
      </c>
    </row>
    <row r="13812" spans="8:8">
      <c r="H13812" s="680" t="s">
        <v>6153</v>
      </c>
    </row>
    <row r="13813" spans="8:8">
      <c r="H13813" s="680" t="s">
        <v>6153</v>
      </c>
    </row>
    <row r="13814" spans="8:8">
      <c r="H13814" s="680" t="s">
        <v>6153</v>
      </c>
    </row>
    <row r="13815" spans="8:8">
      <c r="H13815" s="680" t="s">
        <v>6153</v>
      </c>
    </row>
    <row r="13816" spans="8:8">
      <c r="H13816" s="680" t="s">
        <v>6153</v>
      </c>
    </row>
    <row r="13817" spans="8:8">
      <c r="H13817" s="680" t="s">
        <v>6153</v>
      </c>
    </row>
    <row r="13818" spans="8:8">
      <c r="H13818" s="680" t="s">
        <v>6153</v>
      </c>
    </row>
    <row r="13819" spans="8:8">
      <c r="H13819" s="680" t="s">
        <v>6153</v>
      </c>
    </row>
    <row r="13820" spans="8:8">
      <c r="H13820" s="680" t="s">
        <v>6153</v>
      </c>
    </row>
    <row r="13821" spans="8:8">
      <c r="H13821" s="680" t="s">
        <v>6153</v>
      </c>
    </row>
    <row r="13822" spans="8:8">
      <c r="H13822" s="680" t="s">
        <v>6153</v>
      </c>
    </row>
    <row r="13823" spans="8:8">
      <c r="H13823" s="680" t="s">
        <v>6153</v>
      </c>
    </row>
    <row r="13824" spans="8:8">
      <c r="H13824" s="680" t="s">
        <v>6153</v>
      </c>
    </row>
    <row r="13825" spans="8:8">
      <c r="H13825" s="680" t="s">
        <v>6153</v>
      </c>
    </row>
    <row r="13826" spans="8:8">
      <c r="H13826" s="680" t="s">
        <v>6153</v>
      </c>
    </row>
    <row r="13827" spans="8:8">
      <c r="H13827" s="680" t="s">
        <v>6153</v>
      </c>
    </row>
    <row r="13828" spans="8:8">
      <c r="H13828" s="680" t="s">
        <v>6153</v>
      </c>
    </row>
    <row r="13829" spans="8:8">
      <c r="H13829" s="680" t="s">
        <v>6153</v>
      </c>
    </row>
    <row r="13830" spans="8:8">
      <c r="H13830" s="680" t="s">
        <v>6153</v>
      </c>
    </row>
    <row r="13831" spans="8:8">
      <c r="H13831" s="680" t="s">
        <v>6153</v>
      </c>
    </row>
    <row r="13832" spans="8:8">
      <c r="H13832" s="680" t="s">
        <v>6153</v>
      </c>
    </row>
    <row r="13833" spans="8:8">
      <c r="H13833" s="680" t="s">
        <v>6153</v>
      </c>
    </row>
    <row r="13834" spans="8:8">
      <c r="H13834" s="680" t="s">
        <v>6153</v>
      </c>
    </row>
    <row r="13835" spans="8:8">
      <c r="H13835" s="680" t="s">
        <v>6153</v>
      </c>
    </row>
    <row r="13836" spans="8:8">
      <c r="H13836" s="680" t="s">
        <v>6153</v>
      </c>
    </row>
    <row r="13837" spans="8:8">
      <c r="H13837" s="680" t="s">
        <v>6153</v>
      </c>
    </row>
    <row r="13838" spans="8:8">
      <c r="H13838" s="680" t="s">
        <v>6153</v>
      </c>
    </row>
    <row r="13839" spans="8:8">
      <c r="H13839" s="680" t="s">
        <v>6153</v>
      </c>
    </row>
    <row r="13840" spans="8:8">
      <c r="H13840" s="680" t="s">
        <v>6153</v>
      </c>
    </row>
    <row r="13841" spans="8:8">
      <c r="H13841" s="680" t="s">
        <v>6153</v>
      </c>
    </row>
    <row r="13842" spans="8:8">
      <c r="H13842" s="680" t="s">
        <v>6153</v>
      </c>
    </row>
    <row r="13843" spans="8:8">
      <c r="H13843" s="680" t="s">
        <v>6153</v>
      </c>
    </row>
    <row r="13844" spans="8:8">
      <c r="H13844" s="680" t="s">
        <v>6153</v>
      </c>
    </row>
    <row r="13845" spans="8:8">
      <c r="H13845" s="680" t="s">
        <v>6153</v>
      </c>
    </row>
    <row r="13846" spans="8:8">
      <c r="H13846" s="680" t="s">
        <v>6153</v>
      </c>
    </row>
    <row r="13847" spans="8:8">
      <c r="H13847" s="680" t="s">
        <v>6153</v>
      </c>
    </row>
    <row r="13848" spans="8:8">
      <c r="H13848" s="680" t="s">
        <v>6153</v>
      </c>
    </row>
    <row r="13849" spans="8:8">
      <c r="H13849" s="680" t="s">
        <v>6153</v>
      </c>
    </row>
    <row r="13850" spans="8:8">
      <c r="H13850" s="680" t="s">
        <v>6153</v>
      </c>
    </row>
    <row r="13851" spans="8:8">
      <c r="H13851" s="680" t="s">
        <v>6153</v>
      </c>
    </row>
    <row r="13852" spans="8:8">
      <c r="H13852" s="680" t="s">
        <v>6153</v>
      </c>
    </row>
    <row r="13853" spans="8:8">
      <c r="H13853" s="680" t="s">
        <v>6153</v>
      </c>
    </row>
    <row r="13854" spans="8:8">
      <c r="H13854" s="680" t="s">
        <v>6153</v>
      </c>
    </row>
    <row r="13855" spans="8:8">
      <c r="H13855" s="680" t="s">
        <v>6153</v>
      </c>
    </row>
    <row r="13856" spans="8:8">
      <c r="H13856" s="680" t="s">
        <v>6153</v>
      </c>
    </row>
    <row r="13857" spans="8:8">
      <c r="H13857" s="680" t="s">
        <v>6153</v>
      </c>
    </row>
    <row r="13858" spans="8:8">
      <c r="H13858" s="680" t="s">
        <v>6153</v>
      </c>
    </row>
    <row r="13859" spans="8:8">
      <c r="H13859" s="680" t="s">
        <v>6153</v>
      </c>
    </row>
    <row r="13860" spans="8:8">
      <c r="H13860" s="680" t="s">
        <v>6153</v>
      </c>
    </row>
    <row r="13861" spans="8:8">
      <c r="H13861" s="680" t="s">
        <v>6153</v>
      </c>
    </row>
    <row r="13862" spans="8:8">
      <c r="H13862" s="680" t="s">
        <v>6153</v>
      </c>
    </row>
    <row r="13863" spans="8:8">
      <c r="H13863" s="680" t="s">
        <v>6153</v>
      </c>
    </row>
    <row r="13864" spans="8:8">
      <c r="H13864" s="680" t="s">
        <v>6153</v>
      </c>
    </row>
    <row r="13865" spans="8:8">
      <c r="H13865" s="680" t="s">
        <v>6153</v>
      </c>
    </row>
    <row r="13866" spans="8:8">
      <c r="H13866" s="680" t="s">
        <v>6153</v>
      </c>
    </row>
    <row r="13867" spans="8:8">
      <c r="H13867" s="680" t="s">
        <v>6153</v>
      </c>
    </row>
    <row r="13868" spans="8:8">
      <c r="H13868" s="680" t="s">
        <v>6153</v>
      </c>
    </row>
    <row r="13869" spans="8:8">
      <c r="H13869" s="680" t="s">
        <v>6153</v>
      </c>
    </row>
    <row r="13870" spans="8:8">
      <c r="H13870" s="680" t="s">
        <v>6153</v>
      </c>
    </row>
    <row r="13871" spans="8:8">
      <c r="H13871" s="680" t="s">
        <v>6153</v>
      </c>
    </row>
    <row r="13872" spans="8:8">
      <c r="H13872" s="680" t="s">
        <v>6153</v>
      </c>
    </row>
    <row r="13873" spans="8:8">
      <c r="H13873" s="680" t="s">
        <v>6153</v>
      </c>
    </row>
    <row r="13874" spans="8:8">
      <c r="H13874" s="680" t="s">
        <v>6153</v>
      </c>
    </row>
    <row r="13875" spans="8:8">
      <c r="H13875" s="680" t="s">
        <v>6153</v>
      </c>
    </row>
    <row r="13876" spans="8:8">
      <c r="H13876" s="680" t="s">
        <v>6153</v>
      </c>
    </row>
    <row r="13877" spans="8:8">
      <c r="H13877" s="680" t="s">
        <v>6153</v>
      </c>
    </row>
    <row r="13878" spans="8:8">
      <c r="H13878" s="680" t="s">
        <v>6153</v>
      </c>
    </row>
    <row r="13879" spans="8:8">
      <c r="H13879" s="680" t="s">
        <v>6153</v>
      </c>
    </row>
    <row r="13880" spans="8:8">
      <c r="H13880" s="680" t="s">
        <v>6153</v>
      </c>
    </row>
    <row r="13881" spans="8:8">
      <c r="H13881" s="680" t="s">
        <v>6153</v>
      </c>
    </row>
    <row r="13882" spans="8:8">
      <c r="H13882" s="680" t="s">
        <v>6153</v>
      </c>
    </row>
    <row r="13883" spans="8:8">
      <c r="H13883" s="680" t="s">
        <v>6153</v>
      </c>
    </row>
    <row r="13884" spans="8:8">
      <c r="H13884" s="680" t="s">
        <v>6153</v>
      </c>
    </row>
    <row r="13885" spans="8:8">
      <c r="H13885" s="680" t="s">
        <v>6153</v>
      </c>
    </row>
    <row r="13886" spans="8:8">
      <c r="H13886" s="680" t="s">
        <v>6153</v>
      </c>
    </row>
    <row r="13887" spans="8:8">
      <c r="H13887" s="680" t="s">
        <v>6153</v>
      </c>
    </row>
    <row r="13888" spans="8:8">
      <c r="H13888" s="680" t="s">
        <v>6153</v>
      </c>
    </row>
    <row r="13889" spans="8:8">
      <c r="H13889" s="680" t="s">
        <v>6153</v>
      </c>
    </row>
    <row r="13890" spans="8:8">
      <c r="H13890" s="680" t="s">
        <v>6153</v>
      </c>
    </row>
    <row r="13891" spans="8:8">
      <c r="H13891" s="680" t="s">
        <v>6153</v>
      </c>
    </row>
    <row r="13892" spans="8:8">
      <c r="H13892" s="680" t="s">
        <v>6153</v>
      </c>
    </row>
    <row r="13893" spans="8:8">
      <c r="H13893" s="680" t="s">
        <v>6153</v>
      </c>
    </row>
    <row r="13894" spans="8:8">
      <c r="H13894" s="680" t="s">
        <v>6153</v>
      </c>
    </row>
    <row r="13895" spans="8:8">
      <c r="H13895" s="680" t="s">
        <v>6153</v>
      </c>
    </row>
    <row r="13896" spans="8:8">
      <c r="H13896" s="680" t="s">
        <v>6153</v>
      </c>
    </row>
    <row r="13897" spans="8:8">
      <c r="H13897" s="680" t="s">
        <v>6153</v>
      </c>
    </row>
    <row r="13898" spans="8:8">
      <c r="H13898" s="680" t="s">
        <v>6153</v>
      </c>
    </row>
    <row r="13899" spans="8:8">
      <c r="H13899" s="680" t="s">
        <v>6153</v>
      </c>
    </row>
    <row r="13900" spans="8:8">
      <c r="H13900" s="680" t="s">
        <v>6153</v>
      </c>
    </row>
    <row r="13901" spans="8:8">
      <c r="H13901" s="680" t="s">
        <v>6153</v>
      </c>
    </row>
    <row r="13902" spans="8:8">
      <c r="H13902" s="680" t="s">
        <v>6153</v>
      </c>
    </row>
    <row r="13903" spans="8:8">
      <c r="H13903" s="680" t="s">
        <v>6153</v>
      </c>
    </row>
    <row r="13904" spans="8:8">
      <c r="H13904" s="680" t="s">
        <v>6153</v>
      </c>
    </row>
    <row r="13905" spans="8:8">
      <c r="H13905" s="680" t="s">
        <v>6153</v>
      </c>
    </row>
    <row r="13906" spans="8:8">
      <c r="H13906" s="680" t="s">
        <v>6153</v>
      </c>
    </row>
    <row r="13907" spans="8:8">
      <c r="H13907" s="680" t="s">
        <v>6153</v>
      </c>
    </row>
    <row r="13908" spans="8:8">
      <c r="H13908" s="680" t="s">
        <v>6153</v>
      </c>
    </row>
    <row r="13909" spans="8:8">
      <c r="H13909" s="680" t="s">
        <v>6153</v>
      </c>
    </row>
    <row r="13910" spans="8:8">
      <c r="H13910" s="680" t="s">
        <v>6153</v>
      </c>
    </row>
    <row r="13911" spans="8:8">
      <c r="H13911" s="680" t="s">
        <v>6153</v>
      </c>
    </row>
    <row r="13912" spans="8:8">
      <c r="H13912" s="680" t="s">
        <v>6153</v>
      </c>
    </row>
    <row r="13913" spans="8:8">
      <c r="H13913" s="680" t="s">
        <v>6153</v>
      </c>
    </row>
    <row r="13914" spans="8:8">
      <c r="H13914" s="680" t="s">
        <v>6153</v>
      </c>
    </row>
    <row r="13915" spans="8:8">
      <c r="H13915" s="680" t="s">
        <v>6153</v>
      </c>
    </row>
    <row r="13916" spans="8:8">
      <c r="H13916" s="680" t="s">
        <v>6153</v>
      </c>
    </row>
    <row r="13917" spans="8:8">
      <c r="H13917" s="680" t="s">
        <v>6153</v>
      </c>
    </row>
    <row r="13918" spans="8:8">
      <c r="H13918" s="680" t="s">
        <v>6153</v>
      </c>
    </row>
    <row r="13919" spans="8:8">
      <c r="H13919" s="680" t="s">
        <v>6153</v>
      </c>
    </row>
    <row r="13920" spans="8:8">
      <c r="H13920" s="680" t="s">
        <v>6153</v>
      </c>
    </row>
    <row r="13921" spans="8:8">
      <c r="H13921" s="680" t="s">
        <v>6153</v>
      </c>
    </row>
    <row r="13922" spans="8:8">
      <c r="H13922" s="680" t="s">
        <v>6153</v>
      </c>
    </row>
    <row r="13923" spans="8:8">
      <c r="H13923" s="680" t="s">
        <v>6153</v>
      </c>
    </row>
    <row r="13924" spans="8:8">
      <c r="H13924" s="680" t="s">
        <v>6153</v>
      </c>
    </row>
    <row r="13925" spans="8:8">
      <c r="H13925" s="680" t="s">
        <v>6153</v>
      </c>
    </row>
    <row r="13926" spans="8:8">
      <c r="H13926" s="680" t="s">
        <v>6153</v>
      </c>
    </row>
    <row r="13927" spans="8:8">
      <c r="H13927" s="680" t="s">
        <v>6153</v>
      </c>
    </row>
    <row r="13928" spans="8:8">
      <c r="H13928" s="680" t="s">
        <v>6153</v>
      </c>
    </row>
    <row r="13929" spans="8:8">
      <c r="H13929" s="680" t="s">
        <v>6153</v>
      </c>
    </row>
    <row r="13930" spans="8:8">
      <c r="H13930" s="680" t="s">
        <v>6153</v>
      </c>
    </row>
    <row r="13931" spans="8:8">
      <c r="H13931" s="680" t="s">
        <v>6153</v>
      </c>
    </row>
    <row r="13932" spans="8:8">
      <c r="H13932" s="680" t="s">
        <v>6153</v>
      </c>
    </row>
    <row r="13933" spans="8:8">
      <c r="H13933" s="680" t="s">
        <v>6153</v>
      </c>
    </row>
    <row r="13934" spans="8:8">
      <c r="H13934" s="680" t="s">
        <v>6153</v>
      </c>
    </row>
    <row r="13935" spans="8:8">
      <c r="H13935" s="680" t="s">
        <v>6153</v>
      </c>
    </row>
    <row r="13936" spans="8:8">
      <c r="H13936" s="680" t="s">
        <v>6153</v>
      </c>
    </row>
    <row r="13937" spans="8:8">
      <c r="H13937" s="680" t="s">
        <v>6153</v>
      </c>
    </row>
    <row r="13938" spans="8:8">
      <c r="H13938" s="680" t="s">
        <v>6153</v>
      </c>
    </row>
    <row r="13939" spans="8:8">
      <c r="H13939" s="680" t="s">
        <v>6153</v>
      </c>
    </row>
    <row r="13940" spans="8:8">
      <c r="H13940" s="680" t="s">
        <v>6153</v>
      </c>
    </row>
    <row r="13941" spans="8:8">
      <c r="H13941" s="680" t="s">
        <v>6153</v>
      </c>
    </row>
    <row r="13942" spans="8:8">
      <c r="H13942" s="680" t="s">
        <v>6153</v>
      </c>
    </row>
    <row r="13943" spans="8:8">
      <c r="H13943" s="680" t="s">
        <v>6153</v>
      </c>
    </row>
    <row r="13944" spans="8:8">
      <c r="H13944" s="680" t="s">
        <v>6153</v>
      </c>
    </row>
    <row r="13945" spans="8:8">
      <c r="H13945" s="680" t="s">
        <v>6153</v>
      </c>
    </row>
    <row r="13946" spans="8:8">
      <c r="H13946" s="680" t="s">
        <v>6153</v>
      </c>
    </row>
    <row r="13947" spans="8:8">
      <c r="H13947" s="680" t="s">
        <v>6153</v>
      </c>
    </row>
    <row r="13948" spans="8:8">
      <c r="H13948" s="680" t="s">
        <v>6153</v>
      </c>
    </row>
    <row r="13949" spans="8:8">
      <c r="H13949" s="680" t="s">
        <v>6153</v>
      </c>
    </row>
    <row r="13950" spans="8:8">
      <c r="H13950" s="680" t="s">
        <v>6153</v>
      </c>
    </row>
    <row r="13951" spans="8:8">
      <c r="H13951" s="680" t="s">
        <v>6153</v>
      </c>
    </row>
    <row r="13952" spans="8:8">
      <c r="H13952" s="680" t="s">
        <v>6153</v>
      </c>
    </row>
    <row r="13953" spans="8:8">
      <c r="H13953" s="680" t="s">
        <v>6153</v>
      </c>
    </row>
    <row r="13954" spans="8:8">
      <c r="H13954" s="680" t="s">
        <v>6153</v>
      </c>
    </row>
    <row r="13955" spans="8:8">
      <c r="H13955" s="680" t="s">
        <v>6153</v>
      </c>
    </row>
    <row r="13956" spans="8:8">
      <c r="H13956" s="680" t="s">
        <v>6153</v>
      </c>
    </row>
    <row r="13957" spans="8:8">
      <c r="H13957" s="680" t="s">
        <v>6153</v>
      </c>
    </row>
    <row r="13958" spans="8:8">
      <c r="H13958" s="680" t="s">
        <v>6153</v>
      </c>
    </row>
    <row r="13959" spans="8:8">
      <c r="H13959" s="680" t="s">
        <v>6153</v>
      </c>
    </row>
    <row r="13960" spans="8:8">
      <c r="H13960" s="680" t="s">
        <v>6153</v>
      </c>
    </row>
    <row r="13961" spans="8:8">
      <c r="H13961" s="680" t="s">
        <v>6153</v>
      </c>
    </row>
    <row r="13962" spans="8:8">
      <c r="H13962" s="680" t="s">
        <v>6153</v>
      </c>
    </row>
    <row r="13963" spans="8:8">
      <c r="H13963" s="680" t="s">
        <v>6153</v>
      </c>
    </row>
    <row r="13964" spans="8:8">
      <c r="H13964" s="680" t="s">
        <v>6153</v>
      </c>
    </row>
    <row r="13965" spans="8:8">
      <c r="H13965" s="680" t="s">
        <v>6153</v>
      </c>
    </row>
    <row r="13966" spans="8:8">
      <c r="H13966" s="680" t="s">
        <v>6153</v>
      </c>
    </row>
    <row r="13967" spans="8:8">
      <c r="H13967" s="680" t="s">
        <v>6153</v>
      </c>
    </row>
    <row r="13968" spans="8:8">
      <c r="H13968" s="680" t="s">
        <v>6153</v>
      </c>
    </row>
    <row r="13969" spans="8:8">
      <c r="H13969" s="680" t="s">
        <v>6153</v>
      </c>
    </row>
    <row r="13970" spans="8:8">
      <c r="H13970" s="680" t="s">
        <v>6153</v>
      </c>
    </row>
    <row r="13971" spans="8:8">
      <c r="H13971" s="680" t="s">
        <v>6153</v>
      </c>
    </row>
    <row r="13972" spans="8:8">
      <c r="H13972" s="680" t="s">
        <v>6153</v>
      </c>
    </row>
    <row r="13973" spans="8:8">
      <c r="H13973" s="680" t="s">
        <v>6153</v>
      </c>
    </row>
    <row r="13974" spans="8:8">
      <c r="H13974" s="680" t="s">
        <v>6153</v>
      </c>
    </row>
    <row r="13975" spans="8:8">
      <c r="H13975" s="680" t="s">
        <v>6153</v>
      </c>
    </row>
    <row r="13976" spans="8:8">
      <c r="H13976" s="680" t="s">
        <v>6153</v>
      </c>
    </row>
    <row r="13977" spans="8:8">
      <c r="H13977" s="680" t="s">
        <v>6153</v>
      </c>
    </row>
    <row r="13978" spans="8:8">
      <c r="H13978" s="680" t="s">
        <v>6153</v>
      </c>
    </row>
    <row r="13979" spans="8:8">
      <c r="H13979" s="680" t="s">
        <v>6153</v>
      </c>
    </row>
    <row r="13980" spans="8:8">
      <c r="H13980" s="680" t="s">
        <v>6153</v>
      </c>
    </row>
    <row r="13981" spans="8:8">
      <c r="H13981" s="680" t="s">
        <v>6153</v>
      </c>
    </row>
    <row r="13982" spans="8:8">
      <c r="H13982" s="680" t="s">
        <v>6153</v>
      </c>
    </row>
    <row r="13983" spans="8:8">
      <c r="H13983" s="680" t="s">
        <v>6153</v>
      </c>
    </row>
    <row r="13984" spans="8:8">
      <c r="H13984" s="680" t="s">
        <v>6153</v>
      </c>
    </row>
    <row r="13985" spans="8:8">
      <c r="H13985" s="680" t="s">
        <v>6153</v>
      </c>
    </row>
    <row r="13986" spans="8:8">
      <c r="H13986" s="680" t="s">
        <v>6153</v>
      </c>
    </row>
    <row r="13987" spans="8:8">
      <c r="H13987" s="680" t="s">
        <v>6153</v>
      </c>
    </row>
    <row r="13988" spans="8:8">
      <c r="H13988" s="680" t="s">
        <v>6153</v>
      </c>
    </row>
    <row r="13989" spans="8:8">
      <c r="H13989" s="680" t="s">
        <v>6153</v>
      </c>
    </row>
    <row r="13990" spans="8:8">
      <c r="H13990" s="680" t="s">
        <v>6153</v>
      </c>
    </row>
    <row r="13991" spans="8:8">
      <c r="H13991" s="680" t="s">
        <v>6153</v>
      </c>
    </row>
    <row r="13992" spans="8:8">
      <c r="H13992" s="680" t="s">
        <v>6153</v>
      </c>
    </row>
    <row r="13993" spans="8:8">
      <c r="H13993" s="680" t="s">
        <v>6153</v>
      </c>
    </row>
    <row r="13994" spans="8:8">
      <c r="H13994" s="680" t="s">
        <v>6153</v>
      </c>
    </row>
    <row r="13995" spans="8:8">
      <c r="H13995" s="680" t="s">
        <v>6153</v>
      </c>
    </row>
    <row r="13996" spans="8:8">
      <c r="H13996" s="680" t="s">
        <v>6153</v>
      </c>
    </row>
    <row r="13997" spans="8:8">
      <c r="H13997" s="680" t="s">
        <v>6153</v>
      </c>
    </row>
    <row r="13998" spans="8:8">
      <c r="H13998" s="680" t="s">
        <v>6153</v>
      </c>
    </row>
    <row r="13999" spans="8:8">
      <c r="H13999" s="680" t="s">
        <v>6153</v>
      </c>
    </row>
    <row r="14000" spans="8:8">
      <c r="H14000" s="680" t="s">
        <v>6153</v>
      </c>
    </row>
    <row r="14001" spans="8:8">
      <c r="H14001" s="680" t="s">
        <v>6153</v>
      </c>
    </row>
    <row r="14002" spans="8:8">
      <c r="H14002" s="680" t="s">
        <v>6153</v>
      </c>
    </row>
    <row r="14003" spans="8:8">
      <c r="H14003" s="680" t="s">
        <v>6153</v>
      </c>
    </row>
    <row r="14004" spans="8:8">
      <c r="H14004" s="680" t="s">
        <v>6153</v>
      </c>
    </row>
    <row r="14005" spans="8:8">
      <c r="H14005" s="680" t="s">
        <v>6153</v>
      </c>
    </row>
    <row r="14006" spans="8:8">
      <c r="H14006" s="680" t="s">
        <v>6153</v>
      </c>
    </row>
    <row r="14007" spans="8:8">
      <c r="H14007" s="680" t="s">
        <v>6153</v>
      </c>
    </row>
    <row r="14008" spans="8:8">
      <c r="H14008" s="680" t="s">
        <v>6153</v>
      </c>
    </row>
    <row r="14009" spans="8:8">
      <c r="H14009" s="680" t="s">
        <v>6153</v>
      </c>
    </row>
    <row r="14010" spans="8:8">
      <c r="H14010" s="680" t="s">
        <v>6153</v>
      </c>
    </row>
    <row r="14011" spans="8:8">
      <c r="H14011" s="680" t="s">
        <v>6153</v>
      </c>
    </row>
    <row r="14012" spans="8:8">
      <c r="H14012" s="680" t="s">
        <v>6153</v>
      </c>
    </row>
    <row r="14013" spans="8:8">
      <c r="H14013" s="680" t="s">
        <v>6153</v>
      </c>
    </row>
    <row r="14014" spans="8:8">
      <c r="H14014" s="680" t="s">
        <v>6153</v>
      </c>
    </row>
    <row r="14015" spans="8:8">
      <c r="H14015" s="680" t="s">
        <v>6153</v>
      </c>
    </row>
    <row r="14016" spans="8:8">
      <c r="H14016" s="680" t="s">
        <v>6153</v>
      </c>
    </row>
    <row r="14017" spans="8:8">
      <c r="H14017" s="680" t="s">
        <v>6153</v>
      </c>
    </row>
    <row r="14018" spans="8:8">
      <c r="H14018" s="680" t="s">
        <v>6153</v>
      </c>
    </row>
    <row r="14019" spans="8:8">
      <c r="H14019" s="680" t="s">
        <v>6153</v>
      </c>
    </row>
    <row r="14020" spans="8:8">
      <c r="H14020" s="680" t="s">
        <v>6153</v>
      </c>
    </row>
    <row r="14021" spans="8:8">
      <c r="H14021" s="680" t="s">
        <v>6153</v>
      </c>
    </row>
    <row r="14022" spans="8:8">
      <c r="H14022" s="680" t="s">
        <v>6153</v>
      </c>
    </row>
    <row r="14023" spans="8:8">
      <c r="H14023" s="680" t="s">
        <v>6153</v>
      </c>
    </row>
    <row r="14024" spans="8:8">
      <c r="H14024" s="680" t="s">
        <v>6153</v>
      </c>
    </row>
    <row r="14025" spans="8:8">
      <c r="H14025" s="680" t="s">
        <v>6153</v>
      </c>
    </row>
    <row r="14026" spans="8:8">
      <c r="H14026" s="680" t="s">
        <v>6153</v>
      </c>
    </row>
    <row r="14027" spans="8:8">
      <c r="H14027" s="680" t="s">
        <v>6153</v>
      </c>
    </row>
    <row r="14028" spans="8:8">
      <c r="H14028" s="680" t="s">
        <v>6153</v>
      </c>
    </row>
    <row r="14029" spans="8:8">
      <c r="H14029" s="680" t="s">
        <v>6153</v>
      </c>
    </row>
    <row r="14030" spans="8:8">
      <c r="H14030" s="680" t="s">
        <v>6153</v>
      </c>
    </row>
    <row r="14031" spans="8:8">
      <c r="H14031" s="680" t="s">
        <v>6153</v>
      </c>
    </row>
    <row r="14032" spans="8:8">
      <c r="H14032" s="680" t="s">
        <v>6153</v>
      </c>
    </row>
    <row r="14033" spans="8:8">
      <c r="H14033" s="680" t="s">
        <v>6153</v>
      </c>
    </row>
    <row r="14034" spans="8:8">
      <c r="H14034" s="680" t="s">
        <v>6153</v>
      </c>
    </row>
    <row r="14035" spans="8:8">
      <c r="H14035" s="680" t="s">
        <v>6153</v>
      </c>
    </row>
    <row r="14036" spans="8:8">
      <c r="H14036" s="680" t="s">
        <v>6153</v>
      </c>
    </row>
    <row r="14037" spans="8:8">
      <c r="H14037" s="680" t="s">
        <v>6153</v>
      </c>
    </row>
    <row r="14038" spans="8:8">
      <c r="H14038" s="680" t="s">
        <v>6153</v>
      </c>
    </row>
    <row r="14039" spans="8:8">
      <c r="H14039" s="680" t="s">
        <v>6153</v>
      </c>
    </row>
    <row r="14040" spans="8:8">
      <c r="H14040" s="680" t="s">
        <v>6153</v>
      </c>
    </row>
    <row r="14041" spans="8:8">
      <c r="H14041" s="680" t="s">
        <v>6153</v>
      </c>
    </row>
    <row r="14042" spans="8:8">
      <c r="H14042" s="680" t="s">
        <v>6153</v>
      </c>
    </row>
    <row r="14043" spans="8:8">
      <c r="H14043" s="680" t="s">
        <v>6153</v>
      </c>
    </row>
    <row r="14044" spans="8:8">
      <c r="H14044" s="680" t="s">
        <v>6153</v>
      </c>
    </row>
    <row r="14045" spans="8:8">
      <c r="H14045" s="680" t="s">
        <v>6153</v>
      </c>
    </row>
    <row r="14046" spans="8:8">
      <c r="H14046" s="680" t="s">
        <v>6153</v>
      </c>
    </row>
    <row r="14047" spans="8:8">
      <c r="H14047" s="680" t="s">
        <v>6153</v>
      </c>
    </row>
    <row r="14048" spans="8:8">
      <c r="H14048" s="680" t="s">
        <v>6153</v>
      </c>
    </row>
    <row r="14049" spans="8:8">
      <c r="H14049" s="680" t="s">
        <v>6153</v>
      </c>
    </row>
    <row r="14050" spans="8:8">
      <c r="H14050" s="680" t="s">
        <v>6153</v>
      </c>
    </row>
    <row r="14051" spans="8:8">
      <c r="H14051" s="680" t="s">
        <v>6153</v>
      </c>
    </row>
    <row r="14052" spans="8:8">
      <c r="H14052" s="680" t="s">
        <v>6153</v>
      </c>
    </row>
    <row r="14053" spans="8:8">
      <c r="H14053" s="680" t="s">
        <v>6153</v>
      </c>
    </row>
    <row r="14054" spans="8:8">
      <c r="H14054" s="680" t="s">
        <v>6153</v>
      </c>
    </row>
    <row r="14055" spans="8:8">
      <c r="H14055" s="680" t="s">
        <v>6153</v>
      </c>
    </row>
    <row r="14056" spans="8:8">
      <c r="H14056" s="680" t="s">
        <v>6153</v>
      </c>
    </row>
    <row r="14057" spans="8:8">
      <c r="H14057" s="680" t="s">
        <v>6153</v>
      </c>
    </row>
    <row r="14058" spans="8:8">
      <c r="H14058" s="680" t="s">
        <v>6153</v>
      </c>
    </row>
    <row r="14059" spans="8:8">
      <c r="H14059" s="680" t="s">
        <v>6153</v>
      </c>
    </row>
    <row r="14060" spans="8:8">
      <c r="H14060" s="680" t="s">
        <v>6153</v>
      </c>
    </row>
    <row r="14061" spans="8:8">
      <c r="H14061" s="680" t="s">
        <v>6153</v>
      </c>
    </row>
    <row r="14062" spans="8:8">
      <c r="H14062" s="680" t="s">
        <v>6153</v>
      </c>
    </row>
    <row r="14063" spans="8:8">
      <c r="H14063" s="680" t="s">
        <v>6153</v>
      </c>
    </row>
    <row r="14064" spans="8:8">
      <c r="H14064" s="680" t="s">
        <v>6153</v>
      </c>
    </row>
    <row r="14065" spans="8:8">
      <c r="H14065" s="680" t="s">
        <v>6153</v>
      </c>
    </row>
    <row r="14066" spans="8:8">
      <c r="H14066" s="680" t="s">
        <v>6153</v>
      </c>
    </row>
    <row r="14067" spans="8:8">
      <c r="H14067" s="680" t="s">
        <v>6153</v>
      </c>
    </row>
    <row r="14068" spans="8:8">
      <c r="H14068" s="680" t="s">
        <v>6153</v>
      </c>
    </row>
    <row r="14069" spans="8:8">
      <c r="H14069" s="680" t="s">
        <v>6153</v>
      </c>
    </row>
    <row r="14070" spans="8:8">
      <c r="H14070" s="680" t="s">
        <v>6153</v>
      </c>
    </row>
    <row r="14071" spans="8:8">
      <c r="H14071" s="680" t="s">
        <v>6153</v>
      </c>
    </row>
    <row r="14072" spans="8:8">
      <c r="H14072" s="680" t="s">
        <v>6153</v>
      </c>
    </row>
    <row r="14073" spans="8:8">
      <c r="H14073" s="680" t="s">
        <v>6153</v>
      </c>
    </row>
    <row r="14074" spans="8:8">
      <c r="H14074" s="680" t="s">
        <v>6153</v>
      </c>
    </row>
    <row r="14075" spans="8:8">
      <c r="H14075" s="680" t="s">
        <v>6153</v>
      </c>
    </row>
    <row r="14076" spans="8:8">
      <c r="H14076" s="680" t="s">
        <v>6153</v>
      </c>
    </row>
    <row r="14077" spans="8:8">
      <c r="H14077" s="680" t="s">
        <v>6153</v>
      </c>
    </row>
    <row r="14078" spans="8:8">
      <c r="H14078" s="680" t="s">
        <v>6153</v>
      </c>
    </row>
    <row r="14079" spans="8:8">
      <c r="H14079" s="680" t="s">
        <v>6153</v>
      </c>
    </row>
    <row r="14080" spans="8:8">
      <c r="H14080" s="680" t="s">
        <v>6153</v>
      </c>
    </row>
    <row r="14081" spans="8:8">
      <c r="H14081" s="680" t="s">
        <v>6153</v>
      </c>
    </row>
    <row r="14082" spans="8:8">
      <c r="H14082" s="680" t="s">
        <v>6153</v>
      </c>
    </row>
    <row r="14083" spans="8:8">
      <c r="H14083" s="680" t="s">
        <v>6153</v>
      </c>
    </row>
    <row r="14084" spans="8:8">
      <c r="H14084" s="680" t="s">
        <v>6153</v>
      </c>
    </row>
    <row r="14085" spans="8:8">
      <c r="H14085" s="680" t="s">
        <v>6153</v>
      </c>
    </row>
    <row r="14086" spans="8:8">
      <c r="H14086" s="680" t="s">
        <v>6153</v>
      </c>
    </row>
    <row r="14087" spans="8:8">
      <c r="H14087" s="680" t="s">
        <v>6153</v>
      </c>
    </row>
    <row r="14088" spans="8:8">
      <c r="H14088" s="680" t="s">
        <v>6153</v>
      </c>
    </row>
    <row r="14089" spans="8:8">
      <c r="H14089" s="680" t="s">
        <v>6153</v>
      </c>
    </row>
    <row r="14090" spans="8:8">
      <c r="H14090" s="680" t="s">
        <v>6153</v>
      </c>
    </row>
    <row r="14091" spans="8:8">
      <c r="H14091" s="680" t="s">
        <v>6153</v>
      </c>
    </row>
    <row r="14092" spans="8:8">
      <c r="H14092" s="680" t="s">
        <v>6153</v>
      </c>
    </row>
    <row r="14093" spans="8:8">
      <c r="H14093" s="680" t="s">
        <v>6153</v>
      </c>
    </row>
    <row r="14094" spans="8:8">
      <c r="H14094" s="680" t="s">
        <v>6153</v>
      </c>
    </row>
    <row r="14095" spans="8:8">
      <c r="H14095" s="680" t="s">
        <v>6153</v>
      </c>
    </row>
    <row r="14096" spans="8:8">
      <c r="H14096" s="680" t="s">
        <v>6153</v>
      </c>
    </row>
    <row r="14097" spans="8:8">
      <c r="H14097" s="680" t="s">
        <v>6153</v>
      </c>
    </row>
    <row r="14098" spans="8:8">
      <c r="H14098" s="680" t="s">
        <v>6153</v>
      </c>
    </row>
    <row r="14099" spans="8:8">
      <c r="H14099" s="680" t="s">
        <v>6153</v>
      </c>
    </row>
    <row r="14100" spans="8:8">
      <c r="H14100" s="680" t="s">
        <v>6153</v>
      </c>
    </row>
    <row r="14101" spans="8:8">
      <c r="H14101" s="680" t="s">
        <v>6153</v>
      </c>
    </row>
    <row r="14102" spans="8:8">
      <c r="H14102" s="680" t="s">
        <v>6153</v>
      </c>
    </row>
    <row r="14103" spans="8:8">
      <c r="H14103" s="680" t="s">
        <v>6153</v>
      </c>
    </row>
    <row r="14104" spans="8:8">
      <c r="H14104" s="680" t="s">
        <v>6153</v>
      </c>
    </row>
    <row r="14105" spans="8:8">
      <c r="H14105" s="680" t="s">
        <v>6153</v>
      </c>
    </row>
    <row r="14106" spans="8:8">
      <c r="H14106" s="680" t="s">
        <v>6153</v>
      </c>
    </row>
    <row r="14107" spans="8:8">
      <c r="H14107" s="680" t="s">
        <v>6153</v>
      </c>
    </row>
    <row r="14108" spans="8:8">
      <c r="H14108" s="680" t="s">
        <v>6153</v>
      </c>
    </row>
    <row r="14109" spans="8:8">
      <c r="H14109" s="680" t="s">
        <v>6153</v>
      </c>
    </row>
    <row r="14110" spans="8:8">
      <c r="H14110" s="680" t="s">
        <v>6153</v>
      </c>
    </row>
    <row r="14111" spans="8:8">
      <c r="H14111" s="680" t="s">
        <v>6153</v>
      </c>
    </row>
    <row r="14112" spans="8:8">
      <c r="H14112" s="680" t="s">
        <v>6153</v>
      </c>
    </row>
    <row r="14113" spans="8:8">
      <c r="H14113" s="680" t="s">
        <v>6153</v>
      </c>
    </row>
    <row r="14114" spans="8:8">
      <c r="H14114" s="680" t="s">
        <v>6153</v>
      </c>
    </row>
    <row r="14115" spans="8:8">
      <c r="H14115" s="680" t="s">
        <v>6153</v>
      </c>
    </row>
    <row r="14116" spans="8:8">
      <c r="H14116" s="680" t="s">
        <v>6153</v>
      </c>
    </row>
    <row r="14117" spans="8:8">
      <c r="H14117" s="680" t="s">
        <v>6153</v>
      </c>
    </row>
    <row r="14118" spans="8:8">
      <c r="H14118" s="680" t="s">
        <v>6153</v>
      </c>
    </row>
    <row r="14119" spans="8:8">
      <c r="H14119" s="680" t="s">
        <v>6153</v>
      </c>
    </row>
    <row r="14120" spans="8:8">
      <c r="H14120" s="680" t="s">
        <v>6153</v>
      </c>
    </row>
    <row r="14121" spans="8:8">
      <c r="H14121" s="680" t="s">
        <v>6153</v>
      </c>
    </row>
    <row r="14122" spans="8:8">
      <c r="H14122" s="680" t="s">
        <v>6153</v>
      </c>
    </row>
    <row r="14123" spans="8:8">
      <c r="H14123" s="680" t="s">
        <v>6153</v>
      </c>
    </row>
    <row r="14124" spans="8:8">
      <c r="H14124" s="680" t="s">
        <v>6153</v>
      </c>
    </row>
    <row r="14125" spans="8:8">
      <c r="H14125" s="680" t="s">
        <v>6153</v>
      </c>
    </row>
    <row r="14126" spans="8:8">
      <c r="H14126" s="680" t="s">
        <v>6153</v>
      </c>
    </row>
    <row r="14127" spans="8:8">
      <c r="H14127" s="680" t="s">
        <v>6153</v>
      </c>
    </row>
    <row r="14128" spans="8:8">
      <c r="H14128" s="680" t="s">
        <v>6153</v>
      </c>
    </row>
    <row r="14129" spans="8:8">
      <c r="H14129" s="680" t="s">
        <v>6153</v>
      </c>
    </row>
    <row r="14130" spans="8:8">
      <c r="H14130" s="680" t="s">
        <v>6153</v>
      </c>
    </row>
    <row r="14131" spans="8:8">
      <c r="H14131" s="680" t="s">
        <v>6153</v>
      </c>
    </row>
    <row r="14132" spans="8:8">
      <c r="H14132" s="680" t="s">
        <v>6153</v>
      </c>
    </row>
    <row r="14133" spans="8:8">
      <c r="H14133" s="680" t="s">
        <v>6153</v>
      </c>
    </row>
    <row r="14134" spans="8:8">
      <c r="H14134" s="680" t="s">
        <v>6153</v>
      </c>
    </row>
    <row r="14135" spans="8:8">
      <c r="H14135" s="680" t="s">
        <v>6153</v>
      </c>
    </row>
    <row r="14136" spans="8:8">
      <c r="H14136" s="680" t="s">
        <v>6153</v>
      </c>
    </row>
    <row r="14137" spans="8:8">
      <c r="H14137" s="680" t="s">
        <v>6153</v>
      </c>
    </row>
    <row r="14138" spans="8:8">
      <c r="H14138" s="680" t="s">
        <v>6153</v>
      </c>
    </row>
    <row r="14139" spans="8:8">
      <c r="H14139" s="680" t="s">
        <v>6153</v>
      </c>
    </row>
    <row r="14140" spans="8:8">
      <c r="H14140" s="680" t="s">
        <v>6153</v>
      </c>
    </row>
    <row r="14141" spans="8:8">
      <c r="H14141" s="680" t="s">
        <v>6153</v>
      </c>
    </row>
    <row r="14142" spans="8:8">
      <c r="H14142" s="680" t="s">
        <v>6153</v>
      </c>
    </row>
    <row r="14143" spans="8:8">
      <c r="H14143" s="680" t="s">
        <v>6153</v>
      </c>
    </row>
    <row r="14144" spans="8:8">
      <c r="H14144" s="680" t="s">
        <v>6153</v>
      </c>
    </row>
    <row r="14145" spans="8:8">
      <c r="H14145" s="680" t="s">
        <v>6153</v>
      </c>
    </row>
    <row r="14146" spans="8:8">
      <c r="H14146" s="680" t="s">
        <v>6153</v>
      </c>
    </row>
    <row r="14147" spans="8:8">
      <c r="H14147" s="680" t="s">
        <v>6153</v>
      </c>
    </row>
    <row r="14148" spans="8:8">
      <c r="H14148" s="680" t="s">
        <v>6153</v>
      </c>
    </row>
    <row r="14149" spans="8:8">
      <c r="H14149" s="680" t="s">
        <v>6153</v>
      </c>
    </row>
    <row r="14150" spans="8:8">
      <c r="H14150" s="680" t="s">
        <v>6153</v>
      </c>
    </row>
    <row r="14151" spans="8:8">
      <c r="H14151" s="680" t="s">
        <v>6153</v>
      </c>
    </row>
    <row r="14152" spans="8:8">
      <c r="H14152" s="680" t="s">
        <v>6153</v>
      </c>
    </row>
    <row r="14153" spans="8:8">
      <c r="H14153" s="680" t="s">
        <v>6153</v>
      </c>
    </row>
    <row r="14154" spans="8:8">
      <c r="H14154" s="680" t="s">
        <v>6153</v>
      </c>
    </row>
    <row r="14155" spans="8:8">
      <c r="H14155" s="680" t="s">
        <v>6153</v>
      </c>
    </row>
    <row r="14156" spans="8:8">
      <c r="H14156" s="680" t="s">
        <v>6153</v>
      </c>
    </row>
    <row r="14157" spans="8:8">
      <c r="H14157" s="680" t="s">
        <v>6153</v>
      </c>
    </row>
    <row r="14158" spans="8:8">
      <c r="H14158" s="680" t="s">
        <v>6153</v>
      </c>
    </row>
    <row r="14159" spans="8:8">
      <c r="H14159" s="680" t="s">
        <v>6153</v>
      </c>
    </row>
    <row r="14160" spans="8:8">
      <c r="H14160" s="680" t="s">
        <v>6153</v>
      </c>
    </row>
    <row r="14161" spans="8:8">
      <c r="H14161" s="680" t="s">
        <v>6153</v>
      </c>
    </row>
    <row r="14162" spans="8:8">
      <c r="H14162" s="680" t="s">
        <v>6153</v>
      </c>
    </row>
    <row r="14163" spans="8:8">
      <c r="H14163" s="680" t="s">
        <v>6153</v>
      </c>
    </row>
    <row r="14164" spans="8:8">
      <c r="H14164" s="680" t="s">
        <v>6153</v>
      </c>
    </row>
    <row r="14165" spans="8:8">
      <c r="H14165" s="680" t="s">
        <v>6153</v>
      </c>
    </row>
    <row r="14166" spans="8:8">
      <c r="H14166" s="680" t="s">
        <v>6153</v>
      </c>
    </row>
    <row r="14167" spans="8:8">
      <c r="H14167" s="680" t="s">
        <v>6153</v>
      </c>
    </row>
    <row r="14168" spans="8:8">
      <c r="H14168" s="680" t="s">
        <v>6153</v>
      </c>
    </row>
    <row r="14169" spans="8:8">
      <c r="H14169" s="680" t="s">
        <v>6153</v>
      </c>
    </row>
    <row r="14170" spans="8:8">
      <c r="H14170" s="680" t="s">
        <v>6153</v>
      </c>
    </row>
    <row r="14171" spans="8:8">
      <c r="H14171" s="680" t="s">
        <v>6153</v>
      </c>
    </row>
    <row r="14172" spans="8:8">
      <c r="H14172" s="680" t="s">
        <v>6153</v>
      </c>
    </row>
    <row r="14173" spans="8:8">
      <c r="H14173" s="680" t="s">
        <v>6153</v>
      </c>
    </row>
    <row r="14174" spans="8:8">
      <c r="H14174" s="680" t="s">
        <v>6153</v>
      </c>
    </row>
    <row r="14175" spans="8:8">
      <c r="H14175" s="680" t="s">
        <v>6153</v>
      </c>
    </row>
    <row r="14176" spans="8:8">
      <c r="H14176" s="680" t="s">
        <v>6153</v>
      </c>
    </row>
    <row r="14177" spans="8:8">
      <c r="H14177" s="680" t="s">
        <v>6153</v>
      </c>
    </row>
    <row r="14178" spans="8:8">
      <c r="H14178" s="680" t="s">
        <v>6153</v>
      </c>
    </row>
    <row r="14179" spans="8:8">
      <c r="H14179" s="680" t="s">
        <v>6153</v>
      </c>
    </row>
    <row r="14180" spans="8:8">
      <c r="H14180" s="680" t="s">
        <v>6153</v>
      </c>
    </row>
    <row r="14181" spans="8:8">
      <c r="H14181" s="680" t="s">
        <v>6153</v>
      </c>
    </row>
    <row r="14182" spans="8:8">
      <c r="H14182" s="680" t="s">
        <v>6153</v>
      </c>
    </row>
    <row r="14183" spans="8:8">
      <c r="H14183" s="680" t="s">
        <v>6153</v>
      </c>
    </row>
    <row r="14184" spans="8:8">
      <c r="H14184" s="680" t="s">
        <v>6153</v>
      </c>
    </row>
    <row r="14185" spans="8:8">
      <c r="H14185" s="680" t="s">
        <v>6153</v>
      </c>
    </row>
    <row r="14186" spans="8:8">
      <c r="H14186" s="680" t="s">
        <v>6153</v>
      </c>
    </row>
    <row r="14187" spans="8:8">
      <c r="H14187" s="680" t="s">
        <v>6153</v>
      </c>
    </row>
    <row r="14188" spans="8:8">
      <c r="H14188" s="680" t="s">
        <v>6153</v>
      </c>
    </row>
    <row r="14189" spans="8:8">
      <c r="H14189" s="680" t="s">
        <v>6153</v>
      </c>
    </row>
    <row r="14190" spans="8:8">
      <c r="H14190" s="680" t="s">
        <v>6153</v>
      </c>
    </row>
    <row r="14191" spans="8:8">
      <c r="H14191" s="680" t="s">
        <v>6153</v>
      </c>
    </row>
    <row r="14192" spans="8:8">
      <c r="H14192" s="680" t="s">
        <v>6153</v>
      </c>
    </row>
    <row r="14193" spans="8:8">
      <c r="H14193" s="680" t="s">
        <v>6153</v>
      </c>
    </row>
    <row r="14194" spans="8:8">
      <c r="H14194" s="680" t="s">
        <v>6153</v>
      </c>
    </row>
    <row r="14195" spans="8:8">
      <c r="H14195" s="680" t="s">
        <v>6153</v>
      </c>
    </row>
    <row r="14196" spans="8:8">
      <c r="H14196" s="680" t="s">
        <v>6153</v>
      </c>
    </row>
    <row r="14197" spans="8:8">
      <c r="H14197" s="680" t="s">
        <v>6153</v>
      </c>
    </row>
    <row r="14198" spans="8:8">
      <c r="H14198" s="680" t="s">
        <v>6153</v>
      </c>
    </row>
    <row r="14199" spans="8:8">
      <c r="H14199" s="680" t="s">
        <v>6153</v>
      </c>
    </row>
    <row r="14200" spans="8:8">
      <c r="H14200" s="680" t="s">
        <v>6153</v>
      </c>
    </row>
    <row r="14201" spans="8:8">
      <c r="H14201" s="680" t="s">
        <v>6153</v>
      </c>
    </row>
    <row r="14202" spans="8:8">
      <c r="H14202" s="680" t="s">
        <v>6153</v>
      </c>
    </row>
    <row r="14203" spans="8:8">
      <c r="H14203" s="680" t="s">
        <v>6153</v>
      </c>
    </row>
    <row r="14204" spans="8:8">
      <c r="H14204" s="680" t="s">
        <v>6153</v>
      </c>
    </row>
    <row r="14205" spans="8:8">
      <c r="H14205" s="680" t="s">
        <v>6153</v>
      </c>
    </row>
    <row r="14206" spans="8:8">
      <c r="H14206" s="680" t="s">
        <v>6153</v>
      </c>
    </row>
    <row r="14207" spans="8:8">
      <c r="H14207" s="680" t="s">
        <v>6153</v>
      </c>
    </row>
    <row r="14208" spans="8:8">
      <c r="H14208" s="680" t="s">
        <v>6153</v>
      </c>
    </row>
    <row r="14209" spans="8:8">
      <c r="H14209" s="680" t="s">
        <v>6153</v>
      </c>
    </row>
    <row r="14210" spans="8:8">
      <c r="H14210" s="680" t="s">
        <v>6153</v>
      </c>
    </row>
    <row r="14211" spans="8:8">
      <c r="H14211" s="680" t="s">
        <v>6153</v>
      </c>
    </row>
    <row r="14212" spans="8:8">
      <c r="H14212" s="680" t="s">
        <v>6153</v>
      </c>
    </row>
    <row r="14213" spans="8:8">
      <c r="H14213" s="680" t="s">
        <v>6153</v>
      </c>
    </row>
    <row r="14214" spans="8:8">
      <c r="H14214" s="680" t="s">
        <v>6153</v>
      </c>
    </row>
    <row r="14215" spans="8:8">
      <c r="H14215" s="680" t="s">
        <v>6153</v>
      </c>
    </row>
    <row r="14216" spans="8:8">
      <c r="H14216" s="680" t="s">
        <v>6153</v>
      </c>
    </row>
    <row r="14217" spans="8:8">
      <c r="H14217" s="680" t="s">
        <v>6153</v>
      </c>
    </row>
    <row r="14218" spans="8:8">
      <c r="H14218" s="680" t="s">
        <v>6153</v>
      </c>
    </row>
    <row r="14219" spans="8:8">
      <c r="H14219" s="680" t="s">
        <v>6153</v>
      </c>
    </row>
    <row r="14220" spans="8:8">
      <c r="H14220" s="680" t="s">
        <v>6153</v>
      </c>
    </row>
    <row r="14221" spans="8:8">
      <c r="H14221" s="680" t="s">
        <v>6153</v>
      </c>
    </row>
    <row r="14222" spans="8:8">
      <c r="H14222" s="680" t="s">
        <v>6153</v>
      </c>
    </row>
    <row r="14223" spans="8:8">
      <c r="H14223" s="680" t="s">
        <v>6153</v>
      </c>
    </row>
    <row r="14224" spans="8:8">
      <c r="H14224" s="680" t="s">
        <v>6153</v>
      </c>
    </row>
    <row r="14225" spans="8:8">
      <c r="H14225" s="680" t="s">
        <v>6153</v>
      </c>
    </row>
    <row r="14226" spans="8:8">
      <c r="H14226" s="680" t="s">
        <v>6153</v>
      </c>
    </row>
    <row r="14227" spans="8:8">
      <c r="H14227" s="680" t="s">
        <v>6153</v>
      </c>
    </row>
    <row r="14228" spans="8:8">
      <c r="H14228" s="680" t="s">
        <v>6153</v>
      </c>
    </row>
    <row r="14229" spans="8:8">
      <c r="H14229" s="680" t="s">
        <v>6153</v>
      </c>
    </row>
    <row r="14230" spans="8:8">
      <c r="H14230" s="680" t="s">
        <v>6153</v>
      </c>
    </row>
    <row r="14231" spans="8:8">
      <c r="H14231" s="680" t="s">
        <v>6153</v>
      </c>
    </row>
    <row r="14232" spans="8:8">
      <c r="H14232" s="680" t="s">
        <v>6153</v>
      </c>
    </row>
    <row r="14233" spans="8:8">
      <c r="H14233" s="680" t="s">
        <v>6153</v>
      </c>
    </row>
    <row r="14234" spans="8:8">
      <c r="H14234" s="680" t="s">
        <v>6153</v>
      </c>
    </row>
    <row r="14235" spans="8:8">
      <c r="H14235" s="680" t="s">
        <v>6153</v>
      </c>
    </row>
    <row r="14236" spans="8:8">
      <c r="H14236" s="680" t="s">
        <v>6153</v>
      </c>
    </row>
    <row r="14237" spans="8:8">
      <c r="H14237" s="680" t="s">
        <v>6153</v>
      </c>
    </row>
    <row r="14238" spans="8:8">
      <c r="H14238" s="680" t="s">
        <v>6153</v>
      </c>
    </row>
    <row r="14239" spans="8:8">
      <c r="H14239" s="680" t="s">
        <v>6153</v>
      </c>
    </row>
    <row r="14240" spans="8:8">
      <c r="H14240" s="680" t="s">
        <v>6153</v>
      </c>
    </row>
    <row r="14241" spans="8:8">
      <c r="H14241" s="680" t="s">
        <v>6153</v>
      </c>
    </row>
    <row r="14242" spans="8:8">
      <c r="H14242" s="680" t="s">
        <v>6153</v>
      </c>
    </row>
    <row r="14243" spans="8:8">
      <c r="H14243" s="680" t="s">
        <v>6153</v>
      </c>
    </row>
    <row r="14244" spans="8:8">
      <c r="H14244" s="680" t="s">
        <v>6153</v>
      </c>
    </row>
    <row r="14245" spans="8:8">
      <c r="H14245" s="680" t="s">
        <v>6153</v>
      </c>
    </row>
    <row r="14246" spans="8:8">
      <c r="H14246" s="680" t="s">
        <v>6153</v>
      </c>
    </row>
    <row r="14247" spans="8:8">
      <c r="H14247" s="680" t="s">
        <v>6153</v>
      </c>
    </row>
    <row r="14248" spans="8:8">
      <c r="H14248" s="680" t="s">
        <v>6153</v>
      </c>
    </row>
    <row r="14249" spans="8:8">
      <c r="H14249" s="680" t="s">
        <v>6153</v>
      </c>
    </row>
    <row r="14250" spans="8:8">
      <c r="H14250" s="680" t="s">
        <v>6153</v>
      </c>
    </row>
    <row r="14251" spans="8:8">
      <c r="H14251" s="680" t="s">
        <v>6153</v>
      </c>
    </row>
    <row r="14252" spans="8:8">
      <c r="H14252" s="680" t="s">
        <v>6153</v>
      </c>
    </row>
    <row r="14253" spans="8:8">
      <c r="H14253" s="680" t="s">
        <v>6153</v>
      </c>
    </row>
    <row r="14254" spans="8:8">
      <c r="H14254" s="680" t="s">
        <v>6153</v>
      </c>
    </row>
    <row r="14255" spans="8:8">
      <c r="H14255" s="680" t="s">
        <v>6153</v>
      </c>
    </row>
    <row r="14256" spans="8:8">
      <c r="H14256" s="680" t="s">
        <v>6153</v>
      </c>
    </row>
    <row r="14257" spans="8:8">
      <c r="H14257" s="680" t="s">
        <v>6153</v>
      </c>
    </row>
    <row r="14258" spans="8:8">
      <c r="H14258" s="680" t="s">
        <v>6153</v>
      </c>
    </row>
    <row r="14259" spans="8:8">
      <c r="H14259" s="680" t="s">
        <v>6153</v>
      </c>
    </row>
    <row r="14260" spans="8:8">
      <c r="H14260" s="680" t="s">
        <v>6153</v>
      </c>
    </row>
    <row r="14261" spans="8:8">
      <c r="H14261" s="680" t="s">
        <v>6153</v>
      </c>
    </row>
    <row r="14262" spans="8:8">
      <c r="H14262" s="680" t="s">
        <v>6153</v>
      </c>
    </row>
    <row r="14263" spans="8:8">
      <c r="H14263" s="680" t="s">
        <v>6153</v>
      </c>
    </row>
    <row r="14264" spans="8:8">
      <c r="H14264" s="680" t="s">
        <v>6153</v>
      </c>
    </row>
    <row r="14265" spans="8:8">
      <c r="H14265" s="680" t="s">
        <v>6153</v>
      </c>
    </row>
    <row r="14266" spans="8:8">
      <c r="H14266" s="680" t="s">
        <v>6153</v>
      </c>
    </row>
    <row r="14267" spans="8:8">
      <c r="H14267" s="680" t="s">
        <v>6153</v>
      </c>
    </row>
    <row r="14268" spans="8:8">
      <c r="H14268" s="680" t="s">
        <v>6153</v>
      </c>
    </row>
    <row r="14269" spans="8:8">
      <c r="H14269" s="680" t="s">
        <v>6153</v>
      </c>
    </row>
    <row r="14270" spans="8:8">
      <c r="H14270" s="680" t="s">
        <v>6153</v>
      </c>
    </row>
    <row r="14271" spans="8:8">
      <c r="H14271" s="680" t="s">
        <v>6153</v>
      </c>
    </row>
    <row r="14272" spans="8:8">
      <c r="H14272" s="680" t="s">
        <v>6153</v>
      </c>
    </row>
    <row r="14273" spans="8:8">
      <c r="H14273" s="680" t="s">
        <v>6153</v>
      </c>
    </row>
    <row r="14274" spans="8:8">
      <c r="H14274" s="680" t="s">
        <v>6153</v>
      </c>
    </row>
    <row r="14275" spans="8:8">
      <c r="H14275" s="680" t="s">
        <v>6153</v>
      </c>
    </row>
    <row r="14276" spans="8:8">
      <c r="H14276" s="680" t="s">
        <v>6153</v>
      </c>
    </row>
    <row r="14277" spans="8:8">
      <c r="H14277" s="680" t="s">
        <v>6153</v>
      </c>
    </row>
    <row r="14278" spans="8:8">
      <c r="H14278" s="680" t="s">
        <v>6153</v>
      </c>
    </row>
    <row r="14279" spans="8:8">
      <c r="H14279" s="680" t="s">
        <v>6153</v>
      </c>
    </row>
    <row r="14280" spans="8:8">
      <c r="H14280" s="680" t="s">
        <v>6153</v>
      </c>
    </row>
    <row r="14281" spans="8:8">
      <c r="H14281" s="680" t="s">
        <v>6153</v>
      </c>
    </row>
    <row r="14282" spans="8:8">
      <c r="H14282" s="680" t="s">
        <v>6153</v>
      </c>
    </row>
    <row r="14283" spans="8:8">
      <c r="H14283" s="680" t="s">
        <v>6153</v>
      </c>
    </row>
    <row r="14284" spans="8:8">
      <c r="H14284" s="680" t="s">
        <v>6153</v>
      </c>
    </row>
    <row r="14285" spans="8:8">
      <c r="H14285" s="680" t="s">
        <v>6153</v>
      </c>
    </row>
    <row r="14286" spans="8:8">
      <c r="H14286" s="680" t="s">
        <v>6153</v>
      </c>
    </row>
    <row r="14287" spans="8:8">
      <c r="H14287" s="680" t="s">
        <v>6153</v>
      </c>
    </row>
    <row r="14288" spans="8:8">
      <c r="H14288" s="680" t="s">
        <v>6153</v>
      </c>
    </row>
    <row r="14289" spans="8:8">
      <c r="H14289" s="680" t="s">
        <v>6153</v>
      </c>
    </row>
    <row r="14290" spans="8:8">
      <c r="H14290" s="680" t="s">
        <v>6153</v>
      </c>
    </row>
    <row r="14291" spans="8:8">
      <c r="H14291" s="680" t="s">
        <v>6153</v>
      </c>
    </row>
    <row r="14292" spans="8:8">
      <c r="H14292" s="680" t="s">
        <v>6153</v>
      </c>
    </row>
    <row r="14293" spans="8:8">
      <c r="H14293" s="680" t="s">
        <v>6153</v>
      </c>
    </row>
    <row r="14294" spans="8:8">
      <c r="H14294" s="680" t="s">
        <v>6153</v>
      </c>
    </row>
    <row r="14295" spans="8:8">
      <c r="H14295" s="680" t="s">
        <v>6153</v>
      </c>
    </row>
    <row r="14296" spans="8:8">
      <c r="H14296" s="680" t="s">
        <v>6153</v>
      </c>
    </row>
    <row r="14297" spans="8:8">
      <c r="H14297" s="680" t="s">
        <v>6153</v>
      </c>
    </row>
    <row r="14298" spans="8:8">
      <c r="H14298" s="680" t="s">
        <v>6153</v>
      </c>
    </row>
    <row r="14299" spans="8:8">
      <c r="H14299" s="680" t="s">
        <v>6153</v>
      </c>
    </row>
    <row r="14300" spans="8:8">
      <c r="H14300" s="680" t="s">
        <v>6153</v>
      </c>
    </row>
    <row r="14301" spans="8:8">
      <c r="H14301" s="680" t="s">
        <v>6153</v>
      </c>
    </row>
    <row r="14302" spans="8:8">
      <c r="H14302" s="680" t="s">
        <v>6153</v>
      </c>
    </row>
    <row r="14303" spans="8:8">
      <c r="H14303" s="680" t="s">
        <v>6153</v>
      </c>
    </row>
    <row r="14304" spans="8:8">
      <c r="H14304" s="680" t="s">
        <v>6153</v>
      </c>
    </row>
    <row r="14305" spans="8:8">
      <c r="H14305" s="680" t="s">
        <v>6153</v>
      </c>
    </row>
    <row r="14306" spans="8:8">
      <c r="H14306" s="680" t="s">
        <v>6153</v>
      </c>
    </row>
    <row r="14307" spans="8:8">
      <c r="H14307" s="680" t="s">
        <v>6153</v>
      </c>
    </row>
    <row r="14308" spans="8:8">
      <c r="H14308" s="680" t="s">
        <v>6153</v>
      </c>
    </row>
    <row r="14309" spans="8:8">
      <c r="H14309" s="680" t="s">
        <v>6153</v>
      </c>
    </row>
    <row r="14310" spans="8:8">
      <c r="H14310" s="680" t="s">
        <v>6153</v>
      </c>
    </row>
    <row r="14311" spans="8:8">
      <c r="H14311" s="680" t="s">
        <v>6153</v>
      </c>
    </row>
    <row r="14312" spans="8:8">
      <c r="H14312" s="680" t="s">
        <v>6153</v>
      </c>
    </row>
    <row r="14313" spans="8:8">
      <c r="H14313" s="680" t="s">
        <v>6153</v>
      </c>
    </row>
    <row r="14314" spans="8:8">
      <c r="H14314" s="680" t="s">
        <v>6153</v>
      </c>
    </row>
    <row r="14315" spans="8:8">
      <c r="H14315" s="680" t="s">
        <v>6153</v>
      </c>
    </row>
    <row r="14316" spans="8:8">
      <c r="H14316" s="680" t="s">
        <v>6153</v>
      </c>
    </row>
    <row r="14317" spans="8:8">
      <c r="H14317" s="680" t="s">
        <v>6153</v>
      </c>
    </row>
    <row r="14318" spans="8:8">
      <c r="H14318" s="680" t="s">
        <v>6153</v>
      </c>
    </row>
    <row r="14319" spans="8:8">
      <c r="H14319" s="680" t="s">
        <v>6153</v>
      </c>
    </row>
    <row r="14320" spans="8:8">
      <c r="H14320" s="680" t="s">
        <v>6153</v>
      </c>
    </row>
    <row r="14321" spans="8:8">
      <c r="H14321" s="680" t="s">
        <v>6153</v>
      </c>
    </row>
    <row r="14322" spans="8:8">
      <c r="H14322" s="680" t="s">
        <v>6153</v>
      </c>
    </row>
    <row r="14323" spans="8:8">
      <c r="H14323" s="680" t="s">
        <v>6153</v>
      </c>
    </row>
    <row r="14324" spans="8:8">
      <c r="H14324" s="680" t="s">
        <v>6153</v>
      </c>
    </row>
    <row r="14325" spans="8:8">
      <c r="H14325" s="680" t="s">
        <v>6153</v>
      </c>
    </row>
    <row r="14326" spans="8:8">
      <c r="H14326" s="680" t="s">
        <v>6153</v>
      </c>
    </row>
    <row r="14327" spans="8:8">
      <c r="H14327" s="680" t="s">
        <v>6153</v>
      </c>
    </row>
    <row r="14328" spans="8:8">
      <c r="H14328" s="680" t="s">
        <v>6153</v>
      </c>
    </row>
    <row r="14329" spans="8:8">
      <c r="H14329" s="680" t="s">
        <v>6153</v>
      </c>
    </row>
    <row r="14330" spans="8:8">
      <c r="H14330" s="680" t="s">
        <v>6153</v>
      </c>
    </row>
    <row r="14331" spans="8:8">
      <c r="H14331" s="680" t="s">
        <v>6153</v>
      </c>
    </row>
    <row r="14332" spans="8:8">
      <c r="H14332" s="680" t="s">
        <v>6153</v>
      </c>
    </row>
    <row r="14333" spans="8:8">
      <c r="H14333" s="680" t="s">
        <v>6153</v>
      </c>
    </row>
    <row r="14334" spans="8:8">
      <c r="H14334" s="680" t="s">
        <v>6153</v>
      </c>
    </row>
    <row r="14335" spans="8:8">
      <c r="H14335" s="680" t="s">
        <v>6153</v>
      </c>
    </row>
    <row r="14336" spans="8:8">
      <c r="H14336" s="680" t="s">
        <v>6153</v>
      </c>
    </row>
    <row r="14337" spans="8:8">
      <c r="H14337" s="680" t="s">
        <v>6153</v>
      </c>
    </row>
    <row r="14338" spans="8:8">
      <c r="H14338" s="680" t="s">
        <v>6153</v>
      </c>
    </row>
    <row r="14339" spans="8:8">
      <c r="H14339" s="680" t="s">
        <v>6153</v>
      </c>
    </row>
    <row r="14340" spans="8:8">
      <c r="H14340" s="680" t="s">
        <v>6153</v>
      </c>
    </row>
    <row r="14341" spans="8:8">
      <c r="H14341" s="680" t="s">
        <v>6153</v>
      </c>
    </row>
    <row r="14342" spans="8:8">
      <c r="H14342" s="680" t="s">
        <v>6153</v>
      </c>
    </row>
    <row r="14343" spans="8:8">
      <c r="H14343" s="680" t="s">
        <v>6153</v>
      </c>
    </row>
    <row r="14344" spans="8:8">
      <c r="H14344" s="680" t="s">
        <v>6153</v>
      </c>
    </row>
    <row r="14345" spans="8:8">
      <c r="H14345" s="680" t="s">
        <v>6153</v>
      </c>
    </row>
    <row r="14346" spans="8:8">
      <c r="H14346" s="680" t="s">
        <v>6153</v>
      </c>
    </row>
    <row r="14347" spans="8:8">
      <c r="H14347" s="680" t="s">
        <v>6153</v>
      </c>
    </row>
    <row r="14348" spans="8:8">
      <c r="H14348" s="680" t="s">
        <v>6153</v>
      </c>
    </row>
    <row r="14349" spans="8:8">
      <c r="H14349" s="680" t="s">
        <v>6153</v>
      </c>
    </row>
    <row r="14350" spans="8:8">
      <c r="H14350" s="680" t="s">
        <v>6153</v>
      </c>
    </row>
    <row r="14351" spans="8:8">
      <c r="H14351" s="680" t="s">
        <v>6153</v>
      </c>
    </row>
    <row r="14352" spans="8:8">
      <c r="H14352" s="680" t="s">
        <v>6153</v>
      </c>
    </row>
    <row r="14353" spans="8:8">
      <c r="H14353" s="680" t="s">
        <v>6153</v>
      </c>
    </row>
    <row r="14354" spans="8:8">
      <c r="H14354" s="680" t="s">
        <v>6153</v>
      </c>
    </row>
    <row r="14355" spans="8:8">
      <c r="H14355" s="680" t="s">
        <v>6153</v>
      </c>
    </row>
    <row r="14356" spans="8:8">
      <c r="H14356" s="680" t="s">
        <v>6153</v>
      </c>
    </row>
    <row r="14357" spans="8:8">
      <c r="H14357" s="680" t="s">
        <v>6153</v>
      </c>
    </row>
    <row r="14358" spans="8:8">
      <c r="H14358" s="680" t="s">
        <v>6153</v>
      </c>
    </row>
    <row r="14359" spans="8:8">
      <c r="H14359" s="680" t="s">
        <v>6153</v>
      </c>
    </row>
    <row r="14360" spans="8:8">
      <c r="H14360" s="680" t="s">
        <v>6153</v>
      </c>
    </row>
    <row r="14361" spans="8:8">
      <c r="H14361" s="680" t="s">
        <v>6153</v>
      </c>
    </row>
    <row r="14362" spans="8:8">
      <c r="H14362" s="680" t="s">
        <v>6153</v>
      </c>
    </row>
    <row r="14363" spans="8:8">
      <c r="H14363" s="680" t="s">
        <v>6153</v>
      </c>
    </row>
    <row r="14364" spans="8:8">
      <c r="H14364" s="680" t="s">
        <v>6153</v>
      </c>
    </row>
    <row r="14365" spans="8:8">
      <c r="H14365" s="680" t="s">
        <v>6153</v>
      </c>
    </row>
    <row r="14366" spans="8:8">
      <c r="H14366" s="680" t="s">
        <v>6153</v>
      </c>
    </row>
    <row r="14367" spans="8:8">
      <c r="H14367" s="680" t="s">
        <v>6153</v>
      </c>
    </row>
    <row r="14368" spans="8:8">
      <c r="H14368" s="680" t="s">
        <v>6153</v>
      </c>
    </row>
    <row r="14369" spans="8:8">
      <c r="H14369" s="680" t="s">
        <v>6153</v>
      </c>
    </row>
    <row r="14370" spans="8:8">
      <c r="H14370" s="680" t="s">
        <v>6153</v>
      </c>
    </row>
    <row r="14371" spans="8:8">
      <c r="H14371" s="680" t="s">
        <v>6153</v>
      </c>
    </row>
    <row r="14372" spans="8:8">
      <c r="H14372" s="680" t="s">
        <v>6153</v>
      </c>
    </row>
    <row r="14373" spans="8:8">
      <c r="H14373" s="680" t="s">
        <v>6153</v>
      </c>
    </row>
    <row r="14374" spans="8:8">
      <c r="H14374" s="680" t="s">
        <v>6153</v>
      </c>
    </row>
    <row r="14375" spans="8:8">
      <c r="H14375" s="680" t="s">
        <v>6153</v>
      </c>
    </row>
    <row r="14376" spans="8:8">
      <c r="H14376" s="680" t="s">
        <v>6153</v>
      </c>
    </row>
    <row r="14377" spans="8:8">
      <c r="H14377" s="680" t="s">
        <v>6153</v>
      </c>
    </row>
    <row r="14378" spans="8:8">
      <c r="H14378" s="680" t="s">
        <v>6153</v>
      </c>
    </row>
    <row r="14379" spans="8:8">
      <c r="H14379" s="680" t="s">
        <v>6153</v>
      </c>
    </row>
    <row r="14380" spans="8:8">
      <c r="H14380" s="680" t="s">
        <v>6153</v>
      </c>
    </row>
    <row r="14381" spans="8:8">
      <c r="H14381" s="680" t="s">
        <v>6153</v>
      </c>
    </row>
    <row r="14382" spans="8:8">
      <c r="H14382" s="680" t="s">
        <v>6153</v>
      </c>
    </row>
    <row r="14383" spans="8:8">
      <c r="H14383" s="680" t="s">
        <v>6153</v>
      </c>
    </row>
    <row r="14384" spans="8:8">
      <c r="H14384" s="680" t="s">
        <v>6153</v>
      </c>
    </row>
    <row r="14385" spans="8:8">
      <c r="H14385" s="680" t="s">
        <v>6153</v>
      </c>
    </row>
    <row r="14386" spans="8:8">
      <c r="H14386" s="680" t="s">
        <v>6153</v>
      </c>
    </row>
    <row r="14387" spans="8:8">
      <c r="H14387" s="680" t="s">
        <v>6153</v>
      </c>
    </row>
    <row r="14388" spans="8:8">
      <c r="H14388" s="680" t="s">
        <v>6153</v>
      </c>
    </row>
    <row r="14389" spans="8:8">
      <c r="H14389" s="680" t="s">
        <v>6153</v>
      </c>
    </row>
    <row r="14390" spans="8:8">
      <c r="H14390" s="680" t="s">
        <v>6153</v>
      </c>
    </row>
    <row r="14391" spans="8:8">
      <c r="H14391" s="680" t="s">
        <v>6153</v>
      </c>
    </row>
    <row r="14392" spans="8:8">
      <c r="H14392" s="680" t="s">
        <v>6153</v>
      </c>
    </row>
    <row r="14393" spans="8:8">
      <c r="H14393" s="680" t="s">
        <v>6153</v>
      </c>
    </row>
    <row r="14394" spans="8:8">
      <c r="H14394" s="680" t="s">
        <v>6153</v>
      </c>
    </row>
    <row r="14395" spans="8:8">
      <c r="H14395" s="680" t="s">
        <v>6153</v>
      </c>
    </row>
    <row r="14396" spans="8:8">
      <c r="H14396" s="680" t="s">
        <v>6153</v>
      </c>
    </row>
    <row r="14397" spans="8:8">
      <c r="H14397" s="680" t="s">
        <v>6153</v>
      </c>
    </row>
    <row r="14398" spans="8:8">
      <c r="H14398" s="680" t="s">
        <v>6153</v>
      </c>
    </row>
    <row r="14399" spans="8:8">
      <c r="H14399" s="680" t="s">
        <v>6153</v>
      </c>
    </row>
    <row r="14400" spans="8:8">
      <c r="H14400" s="680" t="s">
        <v>6153</v>
      </c>
    </row>
    <row r="14401" spans="8:8">
      <c r="H14401" s="680" t="s">
        <v>6153</v>
      </c>
    </row>
    <row r="14402" spans="8:8">
      <c r="H14402" s="680" t="s">
        <v>6153</v>
      </c>
    </row>
    <row r="14403" spans="8:8">
      <c r="H14403" s="680" t="s">
        <v>6153</v>
      </c>
    </row>
    <row r="14404" spans="8:8">
      <c r="H14404" s="680" t="s">
        <v>6153</v>
      </c>
    </row>
    <row r="14405" spans="8:8">
      <c r="H14405" s="680" t="s">
        <v>6153</v>
      </c>
    </row>
    <row r="14406" spans="8:8">
      <c r="H14406" s="680" t="s">
        <v>6153</v>
      </c>
    </row>
    <row r="14407" spans="8:8">
      <c r="H14407" s="680" t="s">
        <v>6153</v>
      </c>
    </row>
    <row r="14408" spans="8:8">
      <c r="H14408" s="680" t="s">
        <v>6153</v>
      </c>
    </row>
    <row r="14409" spans="8:8">
      <c r="H14409" s="680" t="s">
        <v>6153</v>
      </c>
    </row>
    <row r="14410" spans="8:8">
      <c r="H14410" s="680" t="s">
        <v>6153</v>
      </c>
    </row>
    <row r="14411" spans="8:8">
      <c r="H14411" s="680" t="s">
        <v>6153</v>
      </c>
    </row>
    <row r="14412" spans="8:8">
      <c r="H14412" s="680" t="s">
        <v>6153</v>
      </c>
    </row>
    <row r="14413" spans="8:8">
      <c r="H14413" s="680" t="s">
        <v>6153</v>
      </c>
    </row>
    <row r="14414" spans="8:8">
      <c r="H14414" s="680" t="s">
        <v>6153</v>
      </c>
    </row>
    <row r="14415" spans="8:8">
      <c r="H14415" s="680" t="s">
        <v>6153</v>
      </c>
    </row>
    <row r="14416" spans="8:8">
      <c r="H14416" s="680" t="s">
        <v>6153</v>
      </c>
    </row>
    <row r="14417" spans="8:8">
      <c r="H14417" s="680" t="s">
        <v>6153</v>
      </c>
    </row>
    <row r="14418" spans="8:8">
      <c r="H14418" s="680" t="s">
        <v>6153</v>
      </c>
    </row>
    <row r="14419" spans="8:8">
      <c r="H14419" s="680" t="s">
        <v>6153</v>
      </c>
    </row>
    <row r="14420" spans="8:8">
      <c r="H14420" s="680" t="s">
        <v>6153</v>
      </c>
    </row>
    <row r="14421" spans="8:8">
      <c r="H14421" s="680" t="s">
        <v>6153</v>
      </c>
    </row>
    <row r="14422" spans="8:8">
      <c r="H14422" s="680" t="s">
        <v>6153</v>
      </c>
    </row>
    <row r="14423" spans="8:8">
      <c r="H14423" s="680" t="s">
        <v>6153</v>
      </c>
    </row>
    <row r="14424" spans="8:8">
      <c r="H14424" s="680" t="s">
        <v>6153</v>
      </c>
    </row>
    <row r="14425" spans="8:8">
      <c r="H14425" s="680" t="s">
        <v>6153</v>
      </c>
    </row>
    <row r="14426" spans="8:8">
      <c r="H14426" s="680" t="s">
        <v>6153</v>
      </c>
    </row>
    <row r="14427" spans="8:8">
      <c r="H14427" s="680" t="s">
        <v>6153</v>
      </c>
    </row>
    <row r="14428" spans="8:8">
      <c r="H14428" s="680" t="s">
        <v>6153</v>
      </c>
    </row>
    <row r="14429" spans="8:8">
      <c r="H14429" s="680" t="s">
        <v>6153</v>
      </c>
    </row>
    <row r="14430" spans="8:8">
      <c r="H14430" s="680" t="s">
        <v>6153</v>
      </c>
    </row>
    <row r="14431" spans="8:8">
      <c r="H14431" s="680" t="s">
        <v>6153</v>
      </c>
    </row>
    <row r="14432" spans="8:8">
      <c r="H14432" s="680" t="s">
        <v>6153</v>
      </c>
    </row>
    <row r="14433" spans="8:8">
      <c r="H14433" s="680" t="s">
        <v>6153</v>
      </c>
    </row>
    <row r="14434" spans="8:8">
      <c r="H14434" s="680" t="s">
        <v>6153</v>
      </c>
    </row>
    <row r="14435" spans="8:8">
      <c r="H14435" s="680" t="s">
        <v>6153</v>
      </c>
    </row>
    <row r="14436" spans="8:8">
      <c r="H14436" s="680" t="s">
        <v>6153</v>
      </c>
    </row>
    <row r="14437" spans="8:8">
      <c r="H14437" s="680" t="s">
        <v>6153</v>
      </c>
    </row>
    <row r="14438" spans="8:8">
      <c r="H14438" s="680" t="s">
        <v>6153</v>
      </c>
    </row>
    <row r="14439" spans="8:8">
      <c r="H14439" s="680" t="s">
        <v>6153</v>
      </c>
    </row>
    <row r="14440" spans="8:8">
      <c r="H14440" s="680" t="s">
        <v>6153</v>
      </c>
    </row>
    <row r="14441" spans="8:8">
      <c r="H14441" s="680" t="s">
        <v>6153</v>
      </c>
    </row>
    <row r="14442" spans="8:8">
      <c r="H14442" s="680" t="s">
        <v>6153</v>
      </c>
    </row>
    <row r="14443" spans="8:8">
      <c r="H14443" s="680" t="s">
        <v>6153</v>
      </c>
    </row>
    <row r="14444" spans="8:8">
      <c r="H14444" s="680" t="s">
        <v>6153</v>
      </c>
    </row>
    <row r="14445" spans="8:8">
      <c r="H14445" s="680" t="s">
        <v>6153</v>
      </c>
    </row>
    <row r="14446" spans="8:8">
      <c r="H14446" s="680" t="s">
        <v>6153</v>
      </c>
    </row>
    <row r="14447" spans="8:8">
      <c r="H14447" s="680" t="s">
        <v>6153</v>
      </c>
    </row>
    <row r="14448" spans="8:8">
      <c r="H14448" s="680" t="s">
        <v>6153</v>
      </c>
    </row>
    <row r="14449" spans="8:8">
      <c r="H14449" s="680" t="s">
        <v>6153</v>
      </c>
    </row>
    <row r="14450" spans="8:8">
      <c r="H14450" s="680" t="s">
        <v>6153</v>
      </c>
    </row>
    <row r="14451" spans="8:8">
      <c r="H14451" s="680" t="s">
        <v>6153</v>
      </c>
    </row>
    <row r="14452" spans="8:8">
      <c r="H14452" s="680" t="s">
        <v>6153</v>
      </c>
    </row>
    <row r="14453" spans="8:8">
      <c r="H14453" s="680" t="s">
        <v>6153</v>
      </c>
    </row>
    <row r="14454" spans="8:8">
      <c r="H14454" s="680" t="s">
        <v>6153</v>
      </c>
    </row>
    <row r="14455" spans="8:8">
      <c r="H14455" s="680" t="s">
        <v>6153</v>
      </c>
    </row>
    <row r="14456" spans="8:8">
      <c r="H14456" s="680" t="s">
        <v>6153</v>
      </c>
    </row>
    <row r="14457" spans="8:8">
      <c r="H14457" s="680" t="s">
        <v>6153</v>
      </c>
    </row>
    <row r="14458" spans="8:8">
      <c r="H14458" s="680" t="s">
        <v>6153</v>
      </c>
    </row>
    <row r="14459" spans="8:8">
      <c r="H14459" s="680" t="s">
        <v>6153</v>
      </c>
    </row>
    <row r="14460" spans="8:8">
      <c r="H14460" s="680" t="s">
        <v>6153</v>
      </c>
    </row>
    <row r="14461" spans="8:8">
      <c r="H14461" s="680" t="s">
        <v>6153</v>
      </c>
    </row>
    <row r="14462" spans="8:8">
      <c r="H14462" s="680" t="s">
        <v>6153</v>
      </c>
    </row>
    <row r="14463" spans="8:8">
      <c r="H14463" s="680" t="s">
        <v>6153</v>
      </c>
    </row>
    <row r="14464" spans="8:8">
      <c r="H14464" s="680" t="s">
        <v>6153</v>
      </c>
    </row>
    <row r="14465" spans="8:8">
      <c r="H14465" s="680" t="s">
        <v>6153</v>
      </c>
    </row>
    <row r="14466" spans="8:8">
      <c r="H14466" s="680" t="s">
        <v>6153</v>
      </c>
    </row>
    <row r="14467" spans="8:8">
      <c r="H14467" s="680" t="s">
        <v>6153</v>
      </c>
    </row>
    <row r="14468" spans="8:8">
      <c r="H14468" s="680" t="s">
        <v>6153</v>
      </c>
    </row>
    <row r="14469" spans="8:8">
      <c r="H14469" s="680" t="s">
        <v>6153</v>
      </c>
    </row>
    <row r="14470" spans="8:8">
      <c r="H14470" s="680" t="s">
        <v>6153</v>
      </c>
    </row>
    <row r="14471" spans="8:8">
      <c r="H14471" s="680" t="s">
        <v>6153</v>
      </c>
    </row>
    <row r="14472" spans="8:8">
      <c r="H14472" s="680" t="s">
        <v>6153</v>
      </c>
    </row>
    <row r="14473" spans="8:8">
      <c r="H14473" s="680" t="s">
        <v>6153</v>
      </c>
    </row>
    <row r="14474" spans="8:8">
      <c r="H14474" s="680" t="s">
        <v>6153</v>
      </c>
    </row>
    <row r="14475" spans="8:8">
      <c r="H14475" s="680" t="s">
        <v>6153</v>
      </c>
    </row>
    <row r="14476" spans="8:8">
      <c r="H14476" s="680" t="s">
        <v>6153</v>
      </c>
    </row>
    <row r="14477" spans="8:8">
      <c r="H14477" s="680" t="s">
        <v>6153</v>
      </c>
    </row>
    <row r="14478" spans="8:8">
      <c r="H14478" s="680" t="s">
        <v>6153</v>
      </c>
    </row>
    <row r="14479" spans="8:8">
      <c r="H14479" s="680" t="s">
        <v>6153</v>
      </c>
    </row>
    <row r="14480" spans="8:8">
      <c r="H14480" s="680" t="s">
        <v>6153</v>
      </c>
    </row>
    <row r="14481" spans="8:8">
      <c r="H14481" s="680" t="s">
        <v>6153</v>
      </c>
    </row>
    <row r="14482" spans="8:8">
      <c r="H14482" s="680" t="s">
        <v>6153</v>
      </c>
    </row>
    <row r="14483" spans="8:8">
      <c r="H14483" s="680" t="s">
        <v>6153</v>
      </c>
    </row>
    <row r="14484" spans="8:8">
      <c r="H14484" s="680" t="s">
        <v>6153</v>
      </c>
    </row>
    <row r="14485" spans="8:8">
      <c r="H14485" s="680" t="s">
        <v>6153</v>
      </c>
    </row>
    <row r="14486" spans="8:8">
      <c r="H14486" s="680" t="s">
        <v>6153</v>
      </c>
    </row>
    <row r="14487" spans="8:8">
      <c r="H14487" s="680" t="s">
        <v>6153</v>
      </c>
    </row>
    <row r="14488" spans="8:8">
      <c r="H14488" s="680" t="s">
        <v>6153</v>
      </c>
    </row>
    <row r="14489" spans="8:8">
      <c r="H14489" s="680" t="s">
        <v>6153</v>
      </c>
    </row>
    <row r="14490" spans="8:8">
      <c r="H14490" s="680" t="s">
        <v>6153</v>
      </c>
    </row>
    <row r="14491" spans="8:8">
      <c r="H14491" s="680" t="s">
        <v>6153</v>
      </c>
    </row>
    <row r="14492" spans="8:8">
      <c r="H14492" s="680" t="s">
        <v>6153</v>
      </c>
    </row>
    <row r="14493" spans="8:8">
      <c r="H14493" s="680" t="s">
        <v>6153</v>
      </c>
    </row>
    <row r="14494" spans="8:8">
      <c r="H14494" s="680" t="s">
        <v>6153</v>
      </c>
    </row>
    <row r="14495" spans="8:8">
      <c r="H14495" s="680" t="s">
        <v>6153</v>
      </c>
    </row>
    <row r="14496" spans="8:8">
      <c r="H14496" s="680" t="s">
        <v>6153</v>
      </c>
    </row>
    <row r="14497" spans="8:8">
      <c r="H14497" s="680" t="s">
        <v>6153</v>
      </c>
    </row>
    <row r="14498" spans="8:8">
      <c r="H14498" s="680" t="s">
        <v>6153</v>
      </c>
    </row>
    <row r="14499" spans="8:8">
      <c r="H14499" s="680" t="s">
        <v>6153</v>
      </c>
    </row>
    <row r="14500" spans="8:8">
      <c r="H14500" s="680" t="s">
        <v>6153</v>
      </c>
    </row>
    <row r="14501" spans="8:8">
      <c r="H14501" s="680" t="s">
        <v>6153</v>
      </c>
    </row>
    <row r="14502" spans="8:8">
      <c r="H14502" s="680" t="s">
        <v>6153</v>
      </c>
    </row>
    <row r="14503" spans="8:8">
      <c r="H14503" s="680" t="s">
        <v>6153</v>
      </c>
    </row>
    <row r="14504" spans="8:8">
      <c r="H14504" s="680" t="s">
        <v>6153</v>
      </c>
    </row>
    <row r="14505" spans="8:8">
      <c r="H14505" s="680" t="s">
        <v>6153</v>
      </c>
    </row>
    <row r="14506" spans="8:8">
      <c r="H14506" s="680" t="s">
        <v>6153</v>
      </c>
    </row>
    <row r="14507" spans="8:8">
      <c r="H14507" s="680" t="s">
        <v>6153</v>
      </c>
    </row>
    <row r="14508" spans="8:8">
      <c r="H14508" s="680" t="s">
        <v>6153</v>
      </c>
    </row>
    <row r="14509" spans="8:8">
      <c r="H14509" s="680" t="s">
        <v>6153</v>
      </c>
    </row>
    <row r="14510" spans="8:8">
      <c r="H14510" s="680" t="s">
        <v>6153</v>
      </c>
    </row>
    <row r="14511" spans="8:8">
      <c r="H14511" s="680" t="s">
        <v>6153</v>
      </c>
    </row>
    <row r="14512" spans="8:8">
      <c r="H14512" s="680" t="s">
        <v>6153</v>
      </c>
    </row>
    <row r="14513" spans="8:8">
      <c r="H14513" s="680" t="s">
        <v>6153</v>
      </c>
    </row>
    <row r="14514" spans="8:8">
      <c r="H14514" s="680" t="s">
        <v>6153</v>
      </c>
    </row>
    <row r="14515" spans="8:8">
      <c r="H14515" s="680" t="s">
        <v>6153</v>
      </c>
    </row>
    <row r="14516" spans="8:8">
      <c r="H14516" s="680" t="s">
        <v>6153</v>
      </c>
    </row>
    <row r="14517" spans="8:8">
      <c r="H14517" s="680" t="s">
        <v>6153</v>
      </c>
    </row>
    <row r="14518" spans="8:8">
      <c r="H14518" s="680" t="s">
        <v>6153</v>
      </c>
    </row>
    <row r="14519" spans="8:8">
      <c r="H14519" s="680" t="s">
        <v>6153</v>
      </c>
    </row>
    <row r="14520" spans="8:8">
      <c r="H14520" s="680" t="s">
        <v>6153</v>
      </c>
    </row>
    <row r="14521" spans="8:8">
      <c r="H14521" s="680" t="s">
        <v>6153</v>
      </c>
    </row>
    <row r="14522" spans="8:8">
      <c r="H14522" s="680" t="s">
        <v>6153</v>
      </c>
    </row>
    <row r="14523" spans="8:8">
      <c r="H14523" s="680" t="s">
        <v>6153</v>
      </c>
    </row>
    <row r="14524" spans="8:8">
      <c r="H14524" s="680" t="s">
        <v>6153</v>
      </c>
    </row>
    <row r="14525" spans="8:8">
      <c r="H14525" s="680" t="s">
        <v>6153</v>
      </c>
    </row>
    <row r="14526" spans="8:8">
      <c r="H14526" s="680" t="s">
        <v>6153</v>
      </c>
    </row>
    <row r="14527" spans="8:8">
      <c r="H14527" s="680" t="s">
        <v>6153</v>
      </c>
    </row>
    <row r="14528" spans="8:8">
      <c r="H14528" s="680" t="s">
        <v>6153</v>
      </c>
    </row>
    <row r="14529" spans="8:8">
      <c r="H14529" s="680" t="s">
        <v>6153</v>
      </c>
    </row>
    <row r="14530" spans="8:8">
      <c r="H14530" s="680" t="s">
        <v>6153</v>
      </c>
    </row>
    <row r="14531" spans="8:8">
      <c r="H14531" s="680" t="s">
        <v>6153</v>
      </c>
    </row>
    <row r="14532" spans="8:8">
      <c r="H14532" s="680" t="s">
        <v>6153</v>
      </c>
    </row>
    <row r="14533" spans="8:8">
      <c r="H14533" s="680" t="s">
        <v>6153</v>
      </c>
    </row>
    <row r="14534" spans="8:8">
      <c r="H14534" s="680" t="s">
        <v>6153</v>
      </c>
    </row>
    <row r="14535" spans="8:8">
      <c r="H14535" s="680" t="s">
        <v>6153</v>
      </c>
    </row>
    <row r="14536" spans="8:8">
      <c r="H14536" s="680" t="s">
        <v>6153</v>
      </c>
    </row>
    <row r="14537" spans="8:8">
      <c r="H14537" s="680" t="s">
        <v>6153</v>
      </c>
    </row>
    <row r="14538" spans="8:8">
      <c r="H14538" s="680" t="s">
        <v>6153</v>
      </c>
    </row>
    <row r="14539" spans="8:8">
      <c r="H14539" s="680" t="s">
        <v>6153</v>
      </c>
    </row>
    <row r="14540" spans="8:8">
      <c r="H14540" s="680" t="s">
        <v>6153</v>
      </c>
    </row>
    <row r="14541" spans="8:8">
      <c r="H14541" s="680" t="s">
        <v>6153</v>
      </c>
    </row>
    <row r="14542" spans="8:8">
      <c r="H14542" s="680" t="s">
        <v>6153</v>
      </c>
    </row>
    <row r="14543" spans="8:8">
      <c r="H14543" s="680" t="s">
        <v>6153</v>
      </c>
    </row>
    <row r="14544" spans="8:8">
      <c r="H14544" s="680" t="s">
        <v>6153</v>
      </c>
    </row>
    <row r="14545" spans="8:8">
      <c r="H14545" s="680" t="s">
        <v>6153</v>
      </c>
    </row>
    <row r="14546" spans="8:8">
      <c r="H14546" s="680" t="s">
        <v>6153</v>
      </c>
    </row>
    <row r="14547" spans="8:8">
      <c r="H14547" s="680" t="s">
        <v>6153</v>
      </c>
    </row>
    <row r="14548" spans="8:8">
      <c r="H14548" s="680" t="s">
        <v>6153</v>
      </c>
    </row>
    <row r="14549" spans="8:8">
      <c r="H14549" s="680" t="s">
        <v>6153</v>
      </c>
    </row>
    <row r="14550" spans="8:8">
      <c r="H14550" s="680" t="s">
        <v>6153</v>
      </c>
    </row>
    <row r="14551" spans="8:8">
      <c r="H14551" s="680" t="s">
        <v>6153</v>
      </c>
    </row>
    <row r="14552" spans="8:8">
      <c r="H14552" s="680" t="s">
        <v>6153</v>
      </c>
    </row>
    <row r="14553" spans="8:8">
      <c r="H14553" s="680" t="s">
        <v>6153</v>
      </c>
    </row>
    <row r="14554" spans="8:8">
      <c r="H14554" s="680" t="s">
        <v>6153</v>
      </c>
    </row>
    <row r="14555" spans="8:8">
      <c r="H14555" s="680" t="s">
        <v>6153</v>
      </c>
    </row>
    <row r="14556" spans="8:8">
      <c r="H14556" s="680" t="s">
        <v>6153</v>
      </c>
    </row>
    <row r="14557" spans="8:8">
      <c r="H14557" s="680" t="s">
        <v>6153</v>
      </c>
    </row>
    <row r="14558" spans="8:8">
      <c r="H14558" s="680" t="s">
        <v>6153</v>
      </c>
    </row>
    <row r="14559" spans="8:8">
      <c r="H14559" s="680" t="s">
        <v>6153</v>
      </c>
    </row>
    <row r="14560" spans="8:8">
      <c r="H14560" s="680" t="s">
        <v>6153</v>
      </c>
    </row>
    <row r="14561" spans="8:8">
      <c r="H14561" s="680" t="s">
        <v>6153</v>
      </c>
    </row>
    <row r="14562" spans="8:8">
      <c r="H14562" s="680" t="s">
        <v>6153</v>
      </c>
    </row>
    <row r="14563" spans="8:8">
      <c r="H14563" s="680" t="s">
        <v>6153</v>
      </c>
    </row>
    <row r="14564" spans="8:8">
      <c r="H14564" s="680" t="s">
        <v>6153</v>
      </c>
    </row>
    <row r="14565" spans="8:8">
      <c r="H14565" s="680" t="s">
        <v>6153</v>
      </c>
    </row>
    <row r="14566" spans="8:8">
      <c r="H14566" s="680" t="s">
        <v>6153</v>
      </c>
    </row>
    <row r="14567" spans="8:8">
      <c r="H14567" s="680" t="s">
        <v>6153</v>
      </c>
    </row>
    <row r="14568" spans="8:8">
      <c r="H14568" s="680" t="s">
        <v>6153</v>
      </c>
    </row>
    <row r="14569" spans="8:8">
      <c r="H14569" s="680" t="s">
        <v>6153</v>
      </c>
    </row>
    <row r="14570" spans="8:8">
      <c r="H14570" s="680" t="s">
        <v>6153</v>
      </c>
    </row>
    <row r="14571" spans="8:8">
      <c r="H14571" s="680" t="s">
        <v>6153</v>
      </c>
    </row>
    <row r="14572" spans="8:8">
      <c r="H14572" s="680" t="s">
        <v>6153</v>
      </c>
    </row>
    <row r="14573" spans="8:8">
      <c r="H14573" s="680" t="s">
        <v>6153</v>
      </c>
    </row>
    <row r="14574" spans="8:8">
      <c r="H14574" s="680" t="s">
        <v>6153</v>
      </c>
    </row>
    <row r="14575" spans="8:8">
      <c r="H14575" s="680" t="s">
        <v>6153</v>
      </c>
    </row>
    <row r="14576" spans="8:8">
      <c r="H14576" s="680" t="s">
        <v>6153</v>
      </c>
    </row>
    <row r="14577" spans="8:8">
      <c r="H14577" s="680" t="s">
        <v>6153</v>
      </c>
    </row>
    <row r="14578" spans="8:8">
      <c r="H14578" s="680" t="s">
        <v>6153</v>
      </c>
    </row>
    <row r="14579" spans="8:8">
      <c r="H14579" s="680" t="s">
        <v>6153</v>
      </c>
    </row>
    <row r="14580" spans="8:8">
      <c r="H14580" s="680" t="s">
        <v>6153</v>
      </c>
    </row>
    <row r="14581" spans="8:8">
      <c r="H14581" s="680" t="s">
        <v>6153</v>
      </c>
    </row>
    <row r="14582" spans="8:8">
      <c r="H14582" s="680" t="s">
        <v>6153</v>
      </c>
    </row>
    <row r="14583" spans="8:8">
      <c r="H14583" s="680" t="s">
        <v>6153</v>
      </c>
    </row>
    <row r="14584" spans="8:8">
      <c r="H14584" s="680" t="s">
        <v>6153</v>
      </c>
    </row>
    <row r="14585" spans="8:8">
      <c r="H14585" s="680" t="s">
        <v>6153</v>
      </c>
    </row>
    <row r="14586" spans="8:8">
      <c r="H14586" s="680" t="s">
        <v>6153</v>
      </c>
    </row>
    <row r="14587" spans="8:8">
      <c r="H14587" s="680" t="s">
        <v>6153</v>
      </c>
    </row>
    <row r="14588" spans="8:8">
      <c r="H14588" s="680" t="s">
        <v>6153</v>
      </c>
    </row>
    <row r="14589" spans="8:8">
      <c r="H14589" s="680" t="s">
        <v>6153</v>
      </c>
    </row>
    <row r="14590" spans="8:8">
      <c r="H14590" s="680" t="s">
        <v>6153</v>
      </c>
    </row>
    <row r="14591" spans="8:8">
      <c r="H14591" s="680" t="s">
        <v>6153</v>
      </c>
    </row>
    <row r="14592" spans="8:8">
      <c r="H14592" s="680" t="s">
        <v>6153</v>
      </c>
    </row>
    <row r="14593" spans="8:8">
      <c r="H14593" s="680" t="s">
        <v>6153</v>
      </c>
    </row>
    <row r="14594" spans="8:8">
      <c r="H14594" s="680" t="s">
        <v>6153</v>
      </c>
    </row>
    <row r="14595" spans="8:8">
      <c r="H14595" s="680" t="s">
        <v>6153</v>
      </c>
    </row>
    <row r="14596" spans="8:8">
      <c r="H14596" s="680" t="s">
        <v>6153</v>
      </c>
    </row>
    <row r="14597" spans="8:8">
      <c r="H14597" s="680" t="s">
        <v>6153</v>
      </c>
    </row>
    <row r="14598" spans="8:8">
      <c r="H14598" s="680" t="s">
        <v>6153</v>
      </c>
    </row>
    <row r="14599" spans="8:8">
      <c r="H14599" s="680" t="s">
        <v>6153</v>
      </c>
    </row>
    <row r="14600" spans="8:8">
      <c r="H14600" s="680" t="s">
        <v>6153</v>
      </c>
    </row>
    <row r="14601" spans="8:8">
      <c r="H14601" s="680" t="s">
        <v>6153</v>
      </c>
    </row>
    <row r="14602" spans="8:8">
      <c r="H14602" s="680" t="s">
        <v>6153</v>
      </c>
    </row>
    <row r="14603" spans="8:8">
      <c r="H14603" s="680" t="s">
        <v>6153</v>
      </c>
    </row>
    <row r="14604" spans="8:8">
      <c r="H14604" s="680" t="s">
        <v>6153</v>
      </c>
    </row>
    <row r="14605" spans="8:8">
      <c r="H14605" s="680" t="s">
        <v>6153</v>
      </c>
    </row>
    <row r="14606" spans="8:8">
      <c r="H14606" s="680" t="s">
        <v>6153</v>
      </c>
    </row>
    <row r="14607" spans="8:8">
      <c r="H14607" s="680" t="s">
        <v>6153</v>
      </c>
    </row>
    <row r="14608" spans="8:8">
      <c r="H14608" s="680" t="s">
        <v>6153</v>
      </c>
    </row>
    <row r="14609" spans="8:8">
      <c r="H14609" s="680" t="s">
        <v>6153</v>
      </c>
    </row>
    <row r="14610" spans="8:8">
      <c r="H14610" s="680" t="s">
        <v>6153</v>
      </c>
    </row>
    <row r="14611" spans="8:8">
      <c r="H14611" s="680" t="s">
        <v>6153</v>
      </c>
    </row>
    <row r="14612" spans="8:8">
      <c r="H14612" s="680" t="s">
        <v>6153</v>
      </c>
    </row>
    <row r="14613" spans="8:8">
      <c r="H14613" s="680" t="s">
        <v>6153</v>
      </c>
    </row>
    <row r="14614" spans="8:8">
      <c r="H14614" s="680" t="s">
        <v>6153</v>
      </c>
    </row>
    <row r="14615" spans="8:8">
      <c r="H14615" s="680" t="s">
        <v>6153</v>
      </c>
    </row>
    <row r="14616" spans="8:8">
      <c r="H14616" s="680" t="s">
        <v>6153</v>
      </c>
    </row>
    <row r="14617" spans="8:8">
      <c r="H14617" s="680" t="s">
        <v>6153</v>
      </c>
    </row>
    <row r="14618" spans="8:8">
      <c r="H14618" s="680" t="s">
        <v>6153</v>
      </c>
    </row>
    <row r="14619" spans="8:8">
      <c r="H14619" s="680" t="s">
        <v>6153</v>
      </c>
    </row>
    <row r="14620" spans="8:8">
      <c r="H14620" s="680" t="s">
        <v>6153</v>
      </c>
    </row>
    <row r="14621" spans="8:8">
      <c r="H14621" s="680" t="s">
        <v>6153</v>
      </c>
    </row>
    <row r="14622" spans="8:8">
      <c r="H14622" s="680" t="s">
        <v>6153</v>
      </c>
    </row>
    <row r="14623" spans="8:8">
      <c r="H14623" s="680" t="s">
        <v>6153</v>
      </c>
    </row>
    <row r="14624" spans="8:8">
      <c r="H14624" s="680" t="s">
        <v>6153</v>
      </c>
    </row>
    <row r="14625" spans="8:8">
      <c r="H14625" s="680" t="s">
        <v>6153</v>
      </c>
    </row>
    <row r="14626" spans="8:8">
      <c r="H14626" s="680" t="s">
        <v>6153</v>
      </c>
    </row>
    <row r="14627" spans="8:8">
      <c r="H14627" s="680" t="s">
        <v>6153</v>
      </c>
    </row>
    <row r="14628" spans="8:8">
      <c r="H14628" s="680" t="s">
        <v>6153</v>
      </c>
    </row>
    <row r="14629" spans="8:8">
      <c r="H14629" s="680" t="s">
        <v>6153</v>
      </c>
    </row>
    <row r="14630" spans="8:8">
      <c r="H14630" s="680" t="s">
        <v>6153</v>
      </c>
    </row>
    <row r="14631" spans="8:8">
      <c r="H14631" s="680" t="s">
        <v>6153</v>
      </c>
    </row>
    <row r="14632" spans="8:8">
      <c r="H14632" s="680" t="s">
        <v>6153</v>
      </c>
    </row>
    <row r="14633" spans="8:8">
      <c r="H14633" s="680" t="s">
        <v>6153</v>
      </c>
    </row>
    <row r="14634" spans="8:8">
      <c r="H14634" s="680" t="s">
        <v>6153</v>
      </c>
    </row>
    <row r="14635" spans="8:8">
      <c r="H14635" s="680" t="s">
        <v>6153</v>
      </c>
    </row>
    <row r="14636" spans="8:8">
      <c r="H14636" s="680" t="s">
        <v>6153</v>
      </c>
    </row>
    <row r="14637" spans="8:8">
      <c r="H14637" s="680" t="s">
        <v>6153</v>
      </c>
    </row>
    <row r="14638" spans="8:8">
      <c r="H14638" s="680" t="s">
        <v>6153</v>
      </c>
    </row>
    <row r="14639" spans="8:8">
      <c r="H14639" s="680" t="s">
        <v>6153</v>
      </c>
    </row>
    <row r="14640" spans="8:8">
      <c r="H14640" s="680" t="s">
        <v>6153</v>
      </c>
    </row>
    <row r="14641" spans="8:8">
      <c r="H14641" s="680" t="s">
        <v>6153</v>
      </c>
    </row>
    <row r="14642" spans="8:8">
      <c r="H14642" s="680" t="s">
        <v>6153</v>
      </c>
    </row>
    <row r="14643" spans="8:8">
      <c r="H14643" s="680" t="s">
        <v>6153</v>
      </c>
    </row>
    <row r="14644" spans="8:8">
      <c r="H14644" s="680" t="s">
        <v>6153</v>
      </c>
    </row>
    <row r="14645" spans="8:8">
      <c r="H14645" s="680" t="s">
        <v>6153</v>
      </c>
    </row>
    <row r="14646" spans="8:8">
      <c r="H14646" s="680" t="s">
        <v>6153</v>
      </c>
    </row>
    <row r="14647" spans="8:8">
      <c r="H14647" s="680" t="s">
        <v>6153</v>
      </c>
    </row>
    <row r="14648" spans="8:8">
      <c r="H14648" s="680" t="s">
        <v>6153</v>
      </c>
    </row>
    <row r="14649" spans="8:8">
      <c r="H14649" s="680" t="s">
        <v>6153</v>
      </c>
    </row>
    <row r="14650" spans="8:8">
      <c r="H14650" s="680" t="s">
        <v>6153</v>
      </c>
    </row>
    <row r="14651" spans="8:8">
      <c r="H14651" s="680" t="s">
        <v>6153</v>
      </c>
    </row>
    <row r="14652" spans="8:8">
      <c r="H14652" s="680" t="s">
        <v>6153</v>
      </c>
    </row>
    <row r="14653" spans="8:8">
      <c r="H14653" s="680" t="s">
        <v>6153</v>
      </c>
    </row>
    <row r="14654" spans="8:8">
      <c r="H14654" s="680" t="s">
        <v>6153</v>
      </c>
    </row>
    <row r="14655" spans="8:8">
      <c r="H14655" s="680" t="s">
        <v>6153</v>
      </c>
    </row>
    <row r="14656" spans="8:8">
      <c r="H14656" s="680" t="s">
        <v>6153</v>
      </c>
    </row>
    <row r="14657" spans="8:8">
      <c r="H14657" s="680" t="s">
        <v>6153</v>
      </c>
    </row>
    <row r="14658" spans="8:8">
      <c r="H14658" s="680" t="s">
        <v>6153</v>
      </c>
    </row>
    <row r="14659" spans="8:8">
      <c r="H14659" s="680" t="s">
        <v>6153</v>
      </c>
    </row>
    <row r="14660" spans="8:8">
      <c r="H14660" s="680" t="s">
        <v>6153</v>
      </c>
    </row>
    <row r="14661" spans="8:8">
      <c r="H14661" s="680" t="s">
        <v>6153</v>
      </c>
    </row>
    <row r="14662" spans="8:8">
      <c r="H14662" s="680" t="s">
        <v>6153</v>
      </c>
    </row>
    <row r="14663" spans="8:8">
      <c r="H14663" s="680" t="s">
        <v>6153</v>
      </c>
    </row>
    <row r="14664" spans="8:8">
      <c r="H14664" s="680" t="s">
        <v>6153</v>
      </c>
    </row>
    <row r="14665" spans="8:8">
      <c r="H14665" s="680" t="s">
        <v>6153</v>
      </c>
    </row>
    <row r="14666" spans="8:8">
      <c r="H14666" s="680" t="s">
        <v>6153</v>
      </c>
    </row>
    <row r="14667" spans="8:8">
      <c r="H14667" s="680" t="s">
        <v>6153</v>
      </c>
    </row>
    <row r="14668" spans="8:8">
      <c r="H14668" s="680" t="s">
        <v>6153</v>
      </c>
    </row>
    <row r="14669" spans="8:8">
      <c r="H14669" s="680" t="s">
        <v>6153</v>
      </c>
    </row>
    <row r="14670" spans="8:8">
      <c r="H14670" s="680" t="s">
        <v>6153</v>
      </c>
    </row>
    <row r="14671" spans="8:8">
      <c r="H14671" s="680" t="s">
        <v>6153</v>
      </c>
    </row>
    <row r="14672" spans="8:8">
      <c r="H14672" s="680" t="s">
        <v>6153</v>
      </c>
    </row>
    <row r="14673" spans="8:8">
      <c r="H14673" s="680" t="s">
        <v>6153</v>
      </c>
    </row>
    <row r="14674" spans="8:8">
      <c r="H14674" s="680" t="s">
        <v>6153</v>
      </c>
    </row>
    <row r="14675" spans="8:8">
      <c r="H14675" s="680" t="s">
        <v>6153</v>
      </c>
    </row>
    <row r="14676" spans="8:8">
      <c r="H14676" s="680" t="s">
        <v>6153</v>
      </c>
    </row>
    <row r="14677" spans="8:8">
      <c r="H14677" s="680" t="s">
        <v>6153</v>
      </c>
    </row>
    <row r="14678" spans="8:8">
      <c r="H14678" s="680" t="s">
        <v>6153</v>
      </c>
    </row>
    <row r="14679" spans="8:8">
      <c r="H14679" s="680" t="s">
        <v>6153</v>
      </c>
    </row>
    <row r="14680" spans="8:8">
      <c r="H14680" s="680" t="s">
        <v>6153</v>
      </c>
    </row>
    <row r="14681" spans="8:8">
      <c r="H14681" s="680" t="s">
        <v>6153</v>
      </c>
    </row>
    <row r="14682" spans="8:8">
      <c r="H14682" s="680" t="s">
        <v>6153</v>
      </c>
    </row>
    <row r="14683" spans="8:8">
      <c r="H14683" s="680" t="s">
        <v>6153</v>
      </c>
    </row>
    <row r="14684" spans="8:8">
      <c r="H14684" s="680" t="s">
        <v>6153</v>
      </c>
    </row>
    <row r="14685" spans="8:8">
      <c r="H14685" s="680" t="s">
        <v>6153</v>
      </c>
    </row>
    <row r="14686" spans="8:8">
      <c r="H14686" s="680" t="s">
        <v>6153</v>
      </c>
    </row>
    <row r="14687" spans="8:8">
      <c r="H14687" s="680" t="s">
        <v>6153</v>
      </c>
    </row>
    <row r="14688" spans="8:8">
      <c r="H14688" s="680" t="s">
        <v>6153</v>
      </c>
    </row>
    <row r="14689" spans="8:8">
      <c r="H14689" s="680" t="s">
        <v>6153</v>
      </c>
    </row>
    <row r="14690" spans="8:8">
      <c r="H14690" s="680" t="s">
        <v>6153</v>
      </c>
    </row>
    <row r="14691" spans="8:8">
      <c r="H14691" s="680" t="s">
        <v>6153</v>
      </c>
    </row>
    <row r="14692" spans="8:8">
      <c r="H14692" s="680" t="s">
        <v>6153</v>
      </c>
    </row>
    <row r="14693" spans="8:8">
      <c r="H14693" s="680" t="s">
        <v>6153</v>
      </c>
    </row>
    <row r="14694" spans="8:8">
      <c r="H14694" s="680" t="s">
        <v>6153</v>
      </c>
    </row>
    <row r="14695" spans="8:8">
      <c r="H14695" s="680" t="s">
        <v>6153</v>
      </c>
    </row>
    <row r="14696" spans="8:8">
      <c r="H14696" s="680" t="s">
        <v>6153</v>
      </c>
    </row>
    <row r="14697" spans="8:8">
      <c r="H14697" s="680" t="s">
        <v>6153</v>
      </c>
    </row>
    <row r="14698" spans="8:8">
      <c r="H14698" s="680" t="s">
        <v>6153</v>
      </c>
    </row>
    <row r="14699" spans="8:8">
      <c r="H14699" s="680" t="s">
        <v>6153</v>
      </c>
    </row>
    <row r="14700" spans="8:8">
      <c r="H14700" s="680" t="s">
        <v>6153</v>
      </c>
    </row>
    <row r="14701" spans="8:8">
      <c r="H14701" s="680" t="s">
        <v>6153</v>
      </c>
    </row>
    <row r="14702" spans="8:8">
      <c r="H14702" s="680" t="s">
        <v>6153</v>
      </c>
    </row>
    <row r="14703" spans="8:8">
      <c r="H14703" s="680" t="s">
        <v>6153</v>
      </c>
    </row>
    <row r="14704" spans="8:8">
      <c r="H14704" s="680" t="s">
        <v>6153</v>
      </c>
    </row>
    <row r="14705" spans="8:8">
      <c r="H14705" s="680" t="s">
        <v>6153</v>
      </c>
    </row>
    <row r="14706" spans="8:8">
      <c r="H14706" s="680" t="s">
        <v>6153</v>
      </c>
    </row>
    <row r="14707" spans="8:8">
      <c r="H14707" s="680" t="s">
        <v>6153</v>
      </c>
    </row>
    <row r="14708" spans="8:8">
      <c r="H14708" s="680" t="s">
        <v>6153</v>
      </c>
    </row>
    <row r="14709" spans="8:8">
      <c r="H14709" s="680" t="s">
        <v>6153</v>
      </c>
    </row>
    <row r="14710" spans="8:8">
      <c r="H14710" s="680" t="s">
        <v>6153</v>
      </c>
    </row>
    <row r="14711" spans="8:8">
      <c r="H14711" s="680" t="s">
        <v>6153</v>
      </c>
    </row>
    <row r="14712" spans="8:8">
      <c r="H14712" s="680" t="s">
        <v>6153</v>
      </c>
    </row>
    <row r="14713" spans="8:8">
      <c r="H14713" s="680" t="s">
        <v>6153</v>
      </c>
    </row>
    <row r="14714" spans="8:8">
      <c r="H14714" s="680" t="s">
        <v>6153</v>
      </c>
    </row>
    <row r="14715" spans="8:8">
      <c r="H14715" s="680" t="s">
        <v>6153</v>
      </c>
    </row>
    <row r="14716" spans="8:8">
      <c r="H14716" s="680" t="s">
        <v>6153</v>
      </c>
    </row>
    <row r="14717" spans="8:8">
      <c r="H14717" s="680" t="s">
        <v>6153</v>
      </c>
    </row>
    <row r="14718" spans="8:8">
      <c r="H14718" s="680" t="s">
        <v>6153</v>
      </c>
    </row>
    <row r="14719" spans="8:8">
      <c r="H14719" s="680" t="s">
        <v>6153</v>
      </c>
    </row>
    <row r="14720" spans="8:8">
      <c r="H14720" s="680" t="s">
        <v>6153</v>
      </c>
    </row>
    <row r="14721" spans="8:8">
      <c r="H14721" s="680" t="s">
        <v>6153</v>
      </c>
    </row>
    <row r="14722" spans="8:8">
      <c r="H14722" s="680" t="s">
        <v>6153</v>
      </c>
    </row>
    <row r="14723" spans="8:8">
      <c r="H14723" s="680" t="s">
        <v>6153</v>
      </c>
    </row>
    <row r="14724" spans="8:8">
      <c r="H14724" s="680" t="s">
        <v>6153</v>
      </c>
    </row>
    <row r="14725" spans="8:8">
      <c r="H14725" s="680" t="s">
        <v>6153</v>
      </c>
    </row>
    <row r="14726" spans="8:8">
      <c r="H14726" s="680" t="s">
        <v>6153</v>
      </c>
    </row>
    <row r="14727" spans="8:8">
      <c r="H14727" s="680" t="s">
        <v>6153</v>
      </c>
    </row>
    <row r="14728" spans="8:8">
      <c r="H14728" s="680" t="s">
        <v>6153</v>
      </c>
    </row>
    <row r="14729" spans="8:8">
      <c r="H14729" s="680" t="s">
        <v>6153</v>
      </c>
    </row>
    <row r="14730" spans="8:8">
      <c r="H14730" s="680" t="s">
        <v>6153</v>
      </c>
    </row>
    <row r="14731" spans="8:8">
      <c r="H14731" s="680" t="s">
        <v>6153</v>
      </c>
    </row>
    <row r="14732" spans="8:8">
      <c r="H14732" s="680" t="s">
        <v>6153</v>
      </c>
    </row>
    <row r="14733" spans="8:8">
      <c r="H14733" s="680" t="s">
        <v>6153</v>
      </c>
    </row>
    <row r="14734" spans="8:8">
      <c r="H14734" s="680" t="s">
        <v>6153</v>
      </c>
    </row>
    <row r="14735" spans="8:8">
      <c r="H14735" s="680" t="s">
        <v>6153</v>
      </c>
    </row>
    <row r="14736" spans="8:8">
      <c r="H14736" s="680" t="s">
        <v>6153</v>
      </c>
    </row>
    <row r="14737" spans="8:8">
      <c r="H14737" s="680" t="s">
        <v>6153</v>
      </c>
    </row>
    <row r="14738" spans="8:8">
      <c r="H14738" s="680" t="s">
        <v>6153</v>
      </c>
    </row>
    <row r="14739" spans="8:8">
      <c r="H14739" s="680" t="s">
        <v>6153</v>
      </c>
    </row>
    <row r="14740" spans="8:8">
      <c r="H14740" s="680" t="s">
        <v>6153</v>
      </c>
    </row>
    <row r="14741" spans="8:8">
      <c r="H14741" s="680" t="s">
        <v>6153</v>
      </c>
    </row>
    <row r="14742" spans="8:8">
      <c r="H14742" s="680" t="s">
        <v>6153</v>
      </c>
    </row>
    <row r="14743" spans="8:8">
      <c r="H14743" s="680" t="s">
        <v>6153</v>
      </c>
    </row>
    <row r="14744" spans="8:8">
      <c r="H14744" s="680" t="s">
        <v>6153</v>
      </c>
    </row>
    <row r="14745" spans="8:8">
      <c r="H14745" s="680" t="s">
        <v>6153</v>
      </c>
    </row>
    <row r="14746" spans="8:8">
      <c r="H14746" s="680" t="s">
        <v>6153</v>
      </c>
    </row>
    <row r="14747" spans="8:8">
      <c r="H14747" s="680" t="s">
        <v>6153</v>
      </c>
    </row>
    <row r="14748" spans="8:8">
      <c r="H14748" s="680" t="s">
        <v>6153</v>
      </c>
    </row>
    <row r="14749" spans="8:8">
      <c r="H14749" s="680" t="s">
        <v>6153</v>
      </c>
    </row>
    <row r="14750" spans="8:8">
      <c r="H14750" s="680" t="s">
        <v>6153</v>
      </c>
    </row>
    <row r="14751" spans="8:8">
      <c r="H14751" s="680" t="s">
        <v>6153</v>
      </c>
    </row>
    <row r="14752" spans="8:8">
      <c r="H14752" s="680" t="s">
        <v>6153</v>
      </c>
    </row>
    <row r="14753" spans="8:8">
      <c r="H14753" s="680" t="s">
        <v>6153</v>
      </c>
    </row>
    <row r="14754" spans="8:8">
      <c r="H14754" s="680" t="s">
        <v>6153</v>
      </c>
    </row>
    <row r="14755" spans="8:8">
      <c r="H14755" s="680" t="s">
        <v>6153</v>
      </c>
    </row>
    <row r="14756" spans="8:8">
      <c r="H14756" s="680" t="s">
        <v>6153</v>
      </c>
    </row>
    <row r="14757" spans="8:8">
      <c r="H14757" s="680" t="s">
        <v>6153</v>
      </c>
    </row>
    <row r="14758" spans="8:8">
      <c r="H14758" s="680" t="s">
        <v>6153</v>
      </c>
    </row>
    <row r="14759" spans="8:8">
      <c r="H14759" s="680" t="s">
        <v>6153</v>
      </c>
    </row>
    <row r="14760" spans="8:8">
      <c r="H14760" s="680" t="s">
        <v>6153</v>
      </c>
    </row>
    <row r="14761" spans="8:8">
      <c r="H14761" s="680" t="s">
        <v>6153</v>
      </c>
    </row>
    <row r="14762" spans="8:8">
      <c r="H14762" s="680" t="s">
        <v>6153</v>
      </c>
    </row>
    <row r="14763" spans="8:8">
      <c r="H14763" s="680" t="s">
        <v>6153</v>
      </c>
    </row>
    <row r="14764" spans="8:8">
      <c r="H14764" s="680" t="s">
        <v>6153</v>
      </c>
    </row>
    <row r="14765" spans="8:8">
      <c r="H14765" s="680" t="s">
        <v>6153</v>
      </c>
    </row>
    <row r="14766" spans="8:8">
      <c r="H14766" s="680" t="s">
        <v>6153</v>
      </c>
    </row>
    <row r="14767" spans="8:8">
      <c r="H14767" s="680" t="s">
        <v>6153</v>
      </c>
    </row>
    <row r="14768" spans="8:8">
      <c r="H14768" s="680" t="s">
        <v>6153</v>
      </c>
    </row>
    <row r="14769" spans="8:8">
      <c r="H14769" s="680" t="s">
        <v>6153</v>
      </c>
    </row>
    <row r="14770" spans="8:8">
      <c r="H14770" s="680" t="s">
        <v>6153</v>
      </c>
    </row>
    <row r="14771" spans="8:8">
      <c r="H14771" s="680" t="s">
        <v>6153</v>
      </c>
    </row>
    <row r="14772" spans="8:8">
      <c r="H14772" s="680" t="s">
        <v>6153</v>
      </c>
    </row>
    <row r="14773" spans="8:8">
      <c r="H14773" s="680" t="s">
        <v>6153</v>
      </c>
    </row>
    <row r="14774" spans="8:8">
      <c r="H14774" s="680" t="s">
        <v>6153</v>
      </c>
    </row>
    <row r="14775" spans="8:8">
      <c r="H14775" s="680" t="s">
        <v>6153</v>
      </c>
    </row>
    <row r="14776" spans="8:8">
      <c r="H14776" s="680" t="s">
        <v>6153</v>
      </c>
    </row>
    <row r="14777" spans="8:8">
      <c r="H14777" s="680" t="s">
        <v>6153</v>
      </c>
    </row>
    <row r="14778" spans="8:8">
      <c r="H14778" s="680" t="s">
        <v>6153</v>
      </c>
    </row>
    <row r="14779" spans="8:8">
      <c r="H14779" s="680" t="s">
        <v>6153</v>
      </c>
    </row>
    <row r="14780" spans="8:8">
      <c r="H14780" s="680" t="s">
        <v>6153</v>
      </c>
    </row>
    <row r="14781" spans="8:8">
      <c r="H14781" s="680" t="s">
        <v>6153</v>
      </c>
    </row>
    <row r="14782" spans="8:8">
      <c r="H14782" s="680" t="s">
        <v>6153</v>
      </c>
    </row>
    <row r="14783" spans="8:8">
      <c r="H14783" s="680" t="s">
        <v>6153</v>
      </c>
    </row>
    <row r="14784" spans="8:8">
      <c r="H14784" s="680" t="s">
        <v>6153</v>
      </c>
    </row>
    <row r="14785" spans="8:8">
      <c r="H14785" s="680" t="s">
        <v>6153</v>
      </c>
    </row>
    <row r="14786" spans="8:8">
      <c r="H14786" s="680" t="s">
        <v>6153</v>
      </c>
    </row>
    <row r="14787" spans="8:8">
      <c r="H14787" s="680" t="s">
        <v>6153</v>
      </c>
    </row>
    <row r="14788" spans="8:8">
      <c r="H14788" s="680" t="s">
        <v>6153</v>
      </c>
    </row>
    <row r="14789" spans="8:8">
      <c r="H14789" s="680" t="s">
        <v>6153</v>
      </c>
    </row>
    <row r="14790" spans="8:8">
      <c r="H14790" s="680" t="s">
        <v>6153</v>
      </c>
    </row>
    <row r="14791" spans="8:8">
      <c r="H14791" s="680" t="s">
        <v>6153</v>
      </c>
    </row>
    <row r="14792" spans="8:8">
      <c r="H14792" s="680" t="s">
        <v>6153</v>
      </c>
    </row>
    <row r="14793" spans="8:8">
      <c r="H14793" s="680" t="s">
        <v>6153</v>
      </c>
    </row>
    <row r="14794" spans="8:8">
      <c r="H14794" s="680" t="s">
        <v>6153</v>
      </c>
    </row>
    <row r="14795" spans="8:8">
      <c r="H14795" s="680" t="s">
        <v>6153</v>
      </c>
    </row>
    <row r="14796" spans="8:8">
      <c r="H14796" s="680" t="s">
        <v>6153</v>
      </c>
    </row>
    <row r="14797" spans="8:8">
      <c r="H14797" s="680" t="s">
        <v>6153</v>
      </c>
    </row>
    <row r="14798" spans="8:8">
      <c r="H14798" s="680" t="s">
        <v>6153</v>
      </c>
    </row>
    <row r="14799" spans="8:8">
      <c r="H14799" s="680" t="s">
        <v>6153</v>
      </c>
    </row>
    <row r="14800" spans="8:8">
      <c r="H14800" s="680" t="s">
        <v>6153</v>
      </c>
    </row>
    <row r="14801" spans="8:8">
      <c r="H14801" s="680" t="s">
        <v>6153</v>
      </c>
    </row>
    <row r="14802" spans="8:8">
      <c r="H14802" s="680" t="s">
        <v>6153</v>
      </c>
    </row>
    <row r="14803" spans="8:8">
      <c r="H14803" s="680" t="s">
        <v>6153</v>
      </c>
    </row>
    <row r="14804" spans="8:8">
      <c r="H14804" s="680" t="s">
        <v>6153</v>
      </c>
    </row>
    <row r="14805" spans="8:8">
      <c r="H14805" s="680" t="s">
        <v>6153</v>
      </c>
    </row>
    <row r="14806" spans="8:8">
      <c r="H14806" s="680" t="s">
        <v>6153</v>
      </c>
    </row>
    <row r="14807" spans="8:8">
      <c r="H14807" s="680" t="s">
        <v>6153</v>
      </c>
    </row>
    <row r="14808" spans="8:8">
      <c r="H14808" s="680" t="s">
        <v>6153</v>
      </c>
    </row>
    <row r="14809" spans="8:8">
      <c r="H14809" s="680" t="s">
        <v>6153</v>
      </c>
    </row>
    <row r="14810" spans="8:8">
      <c r="H14810" s="680" t="s">
        <v>6153</v>
      </c>
    </row>
    <row r="14811" spans="8:8">
      <c r="H14811" s="680" t="s">
        <v>6153</v>
      </c>
    </row>
    <row r="14812" spans="8:8">
      <c r="H14812" s="680" t="s">
        <v>6153</v>
      </c>
    </row>
    <row r="14813" spans="8:8">
      <c r="H14813" s="680" t="s">
        <v>6153</v>
      </c>
    </row>
    <row r="14814" spans="8:8">
      <c r="H14814" s="680" t="s">
        <v>6153</v>
      </c>
    </row>
    <row r="14815" spans="8:8">
      <c r="H14815" s="680" t="s">
        <v>6153</v>
      </c>
    </row>
    <row r="14816" spans="8:8">
      <c r="H14816" s="680" t="s">
        <v>6153</v>
      </c>
    </row>
    <row r="14817" spans="8:8">
      <c r="H14817" s="680" t="s">
        <v>6153</v>
      </c>
    </row>
    <row r="14818" spans="8:8">
      <c r="H14818" s="680" t="s">
        <v>6153</v>
      </c>
    </row>
    <row r="14819" spans="8:8">
      <c r="H14819" s="680" t="s">
        <v>6153</v>
      </c>
    </row>
    <row r="14820" spans="8:8">
      <c r="H14820" s="680" t="s">
        <v>6153</v>
      </c>
    </row>
    <row r="14821" spans="8:8">
      <c r="H14821" s="680" t="s">
        <v>6153</v>
      </c>
    </row>
    <row r="14822" spans="8:8">
      <c r="H14822" s="680" t="s">
        <v>6153</v>
      </c>
    </row>
    <row r="14823" spans="8:8">
      <c r="H14823" s="680" t="s">
        <v>6153</v>
      </c>
    </row>
    <row r="14824" spans="8:8">
      <c r="H14824" s="680" t="s">
        <v>6153</v>
      </c>
    </row>
    <row r="14825" spans="8:8">
      <c r="H14825" s="680" t="s">
        <v>6153</v>
      </c>
    </row>
    <row r="14826" spans="8:8">
      <c r="H14826" s="680" t="s">
        <v>6153</v>
      </c>
    </row>
    <row r="14827" spans="8:8">
      <c r="H14827" s="680" t="s">
        <v>6153</v>
      </c>
    </row>
    <row r="14828" spans="8:8">
      <c r="H14828" s="680" t="s">
        <v>6153</v>
      </c>
    </row>
    <row r="14829" spans="8:8">
      <c r="H14829" s="680" t="s">
        <v>6153</v>
      </c>
    </row>
    <row r="14830" spans="8:8">
      <c r="H14830" s="680" t="s">
        <v>6153</v>
      </c>
    </row>
    <row r="14831" spans="8:8">
      <c r="H14831" s="680" t="s">
        <v>6153</v>
      </c>
    </row>
    <row r="14832" spans="8:8">
      <c r="H14832" s="680" t="s">
        <v>6153</v>
      </c>
    </row>
    <row r="14833" spans="8:8">
      <c r="H14833" s="680" t="s">
        <v>6153</v>
      </c>
    </row>
    <row r="14834" spans="8:8">
      <c r="H14834" s="680" t="s">
        <v>6153</v>
      </c>
    </row>
    <row r="14835" spans="8:8">
      <c r="H14835" s="680" t="s">
        <v>6153</v>
      </c>
    </row>
    <row r="14836" spans="8:8">
      <c r="H14836" s="680" t="s">
        <v>6153</v>
      </c>
    </row>
    <row r="14837" spans="8:8">
      <c r="H14837" s="680" t="s">
        <v>6153</v>
      </c>
    </row>
    <row r="14838" spans="8:8">
      <c r="H14838" s="680" t="s">
        <v>6153</v>
      </c>
    </row>
    <row r="14839" spans="8:8">
      <c r="H14839" s="680" t="s">
        <v>6153</v>
      </c>
    </row>
    <row r="14840" spans="8:8">
      <c r="H14840" s="680" t="s">
        <v>6153</v>
      </c>
    </row>
    <row r="14841" spans="8:8">
      <c r="H14841" s="680" t="s">
        <v>6153</v>
      </c>
    </row>
    <row r="14842" spans="8:8">
      <c r="H14842" s="680" t="s">
        <v>6153</v>
      </c>
    </row>
    <row r="14843" spans="8:8">
      <c r="H14843" s="680" t="s">
        <v>6153</v>
      </c>
    </row>
    <row r="14844" spans="8:8">
      <c r="H14844" s="680" t="s">
        <v>6153</v>
      </c>
    </row>
    <row r="14845" spans="8:8">
      <c r="H14845" s="680" t="s">
        <v>6153</v>
      </c>
    </row>
    <row r="14846" spans="8:8">
      <c r="H14846" s="680" t="s">
        <v>6153</v>
      </c>
    </row>
    <row r="14847" spans="8:8">
      <c r="H14847" s="680" t="s">
        <v>6153</v>
      </c>
    </row>
    <row r="14848" spans="8:8">
      <c r="H14848" s="680" t="s">
        <v>6153</v>
      </c>
    </row>
    <row r="14849" spans="8:8">
      <c r="H14849" s="680" t="s">
        <v>6153</v>
      </c>
    </row>
    <row r="14850" spans="8:8">
      <c r="H14850" s="680" t="s">
        <v>6153</v>
      </c>
    </row>
    <row r="14851" spans="8:8">
      <c r="H14851" s="680" t="s">
        <v>6153</v>
      </c>
    </row>
    <row r="14852" spans="8:8">
      <c r="H14852" s="680" t="s">
        <v>6153</v>
      </c>
    </row>
    <row r="14853" spans="8:8">
      <c r="H14853" s="680" t="s">
        <v>6153</v>
      </c>
    </row>
    <row r="14854" spans="8:8">
      <c r="H14854" s="680" t="s">
        <v>6153</v>
      </c>
    </row>
    <row r="14855" spans="8:8">
      <c r="H14855" s="680" t="s">
        <v>6153</v>
      </c>
    </row>
    <row r="14856" spans="8:8">
      <c r="H14856" s="680" t="s">
        <v>6153</v>
      </c>
    </row>
    <row r="14857" spans="8:8">
      <c r="H14857" s="680" t="s">
        <v>6153</v>
      </c>
    </row>
    <row r="14858" spans="8:8">
      <c r="H14858" s="680" t="s">
        <v>6153</v>
      </c>
    </row>
    <row r="14859" spans="8:8">
      <c r="H14859" s="680" t="s">
        <v>6153</v>
      </c>
    </row>
    <row r="14860" spans="8:8">
      <c r="H14860" s="680" t="s">
        <v>6153</v>
      </c>
    </row>
    <row r="14861" spans="8:8">
      <c r="H14861" s="680" t="s">
        <v>6153</v>
      </c>
    </row>
    <row r="14862" spans="8:8">
      <c r="H14862" s="680" t="s">
        <v>6153</v>
      </c>
    </row>
    <row r="14863" spans="8:8">
      <c r="H14863" s="680" t="s">
        <v>6153</v>
      </c>
    </row>
    <row r="14864" spans="8:8">
      <c r="H14864" s="680" t="s">
        <v>6153</v>
      </c>
    </row>
    <row r="14865" spans="8:8">
      <c r="H14865" s="680" t="s">
        <v>6153</v>
      </c>
    </row>
    <row r="14866" spans="8:8">
      <c r="H14866" s="680" t="s">
        <v>6153</v>
      </c>
    </row>
    <row r="14867" spans="8:8">
      <c r="H14867" s="680" t="s">
        <v>6153</v>
      </c>
    </row>
    <row r="14868" spans="8:8">
      <c r="H14868" s="680" t="s">
        <v>6153</v>
      </c>
    </row>
    <row r="14869" spans="8:8">
      <c r="H14869" s="680" t="s">
        <v>6153</v>
      </c>
    </row>
    <row r="14870" spans="8:8">
      <c r="H14870" s="680" t="s">
        <v>6153</v>
      </c>
    </row>
    <row r="14871" spans="8:8">
      <c r="H14871" s="680" t="s">
        <v>6153</v>
      </c>
    </row>
    <row r="14872" spans="8:8">
      <c r="H14872" s="680" t="s">
        <v>6153</v>
      </c>
    </row>
    <row r="14873" spans="8:8">
      <c r="H14873" s="680" t="s">
        <v>6153</v>
      </c>
    </row>
    <row r="14874" spans="8:8">
      <c r="H14874" s="680" t="s">
        <v>6153</v>
      </c>
    </row>
    <row r="14875" spans="8:8">
      <c r="H14875" s="680" t="s">
        <v>6153</v>
      </c>
    </row>
    <row r="14876" spans="8:8">
      <c r="H14876" s="680" t="s">
        <v>6153</v>
      </c>
    </row>
    <row r="14877" spans="8:8">
      <c r="H14877" s="680" t="s">
        <v>6153</v>
      </c>
    </row>
    <row r="14878" spans="8:8">
      <c r="H14878" s="680" t="s">
        <v>6153</v>
      </c>
    </row>
    <row r="14879" spans="8:8">
      <c r="H14879" s="680" t="s">
        <v>6153</v>
      </c>
    </row>
    <row r="14880" spans="8:8">
      <c r="H14880" s="680" t="s">
        <v>6153</v>
      </c>
    </row>
    <row r="14881" spans="8:8">
      <c r="H14881" s="680" t="s">
        <v>6153</v>
      </c>
    </row>
    <row r="14882" spans="8:8">
      <c r="H14882" s="680" t="s">
        <v>6153</v>
      </c>
    </row>
    <row r="14883" spans="8:8">
      <c r="H14883" s="680" t="s">
        <v>6153</v>
      </c>
    </row>
    <row r="14884" spans="8:8">
      <c r="H14884" s="680" t="s">
        <v>6153</v>
      </c>
    </row>
    <row r="14885" spans="8:8">
      <c r="H14885" s="680" t="s">
        <v>6153</v>
      </c>
    </row>
    <row r="14886" spans="8:8">
      <c r="H14886" s="680" t="s">
        <v>6153</v>
      </c>
    </row>
    <row r="14887" spans="8:8">
      <c r="H14887" s="680" t="s">
        <v>6153</v>
      </c>
    </row>
    <row r="14888" spans="8:8">
      <c r="H14888" s="680" t="s">
        <v>6153</v>
      </c>
    </row>
    <row r="14889" spans="8:8">
      <c r="H14889" s="680" t="s">
        <v>6153</v>
      </c>
    </row>
    <row r="14890" spans="8:8">
      <c r="H14890" s="680" t="s">
        <v>6153</v>
      </c>
    </row>
    <row r="14891" spans="8:8">
      <c r="H14891" s="680" t="s">
        <v>6153</v>
      </c>
    </row>
    <row r="14892" spans="8:8">
      <c r="H14892" s="680" t="s">
        <v>6153</v>
      </c>
    </row>
    <row r="14893" spans="8:8">
      <c r="H14893" s="680" t="s">
        <v>6153</v>
      </c>
    </row>
    <row r="14894" spans="8:8">
      <c r="H14894" s="680" t="s">
        <v>6153</v>
      </c>
    </row>
    <row r="14895" spans="8:8">
      <c r="H14895" s="680" t="s">
        <v>6153</v>
      </c>
    </row>
    <row r="14896" spans="8:8">
      <c r="H14896" s="680" t="s">
        <v>6153</v>
      </c>
    </row>
    <row r="14897" spans="8:8">
      <c r="H14897" s="680" t="s">
        <v>6153</v>
      </c>
    </row>
    <row r="14898" spans="8:8">
      <c r="H14898" s="680" t="s">
        <v>6153</v>
      </c>
    </row>
    <row r="14899" spans="8:8">
      <c r="H14899" s="680" t="s">
        <v>6153</v>
      </c>
    </row>
    <row r="14900" spans="8:8">
      <c r="H14900" s="680" t="s">
        <v>6153</v>
      </c>
    </row>
    <row r="14901" spans="8:8">
      <c r="H14901" s="680" t="s">
        <v>6153</v>
      </c>
    </row>
    <row r="14902" spans="8:8">
      <c r="H14902" s="680" t="s">
        <v>6153</v>
      </c>
    </row>
    <row r="14903" spans="8:8">
      <c r="H14903" s="680" t="s">
        <v>6153</v>
      </c>
    </row>
    <row r="14904" spans="8:8">
      <c r="H14904" s="680" t="s">
        <v>6153</v>
      </c>
    </row>
    <row r="14905" spans="8:8">
      <c r="H14905" s="680" t="s">
        <v>6153</v>
      </c>
    </row>
    <row r="14906" spans="8:8">
      <c r="H14906" s="680" t="s">
        <v>6153</v>
      </c>
    </row>
    <row r="14907" spans="8:8">
      <c r="H14907" s="680" t="s">
        <v>6153</v>
      </c>
    </row>
    <row r="14908" spans="8:8">
      <c r="H14908" s="680" t="s">
        <v>6153</v>
      </c>
    </row>
    <row r="14909" spans="8:8">
      <c r="H14909" s="680" t="s">
        <v>6153</v>
      </c>
    </row>
    <row r="14910" spans="8:8">
      <c r="H14910" s="680" t="s">
        <v>6153</v>
      </c>
    </row>
    <row r="14911" spans="8:8">
      <c r="H14911" s="680" t="s">
        <v>6153</v>
      </c>
    </row>
    <row r="14912" spans="8:8">
      <c r="H14912" s="680" t="s">
        <v>6153</v>
      </c>
    </row>
    <row r="14913" spans="8:8">
      <c r="H14913" s="680" t="s">
        <v>6153</v>
      </c>
    </row>
    <row r="14914" spans="8:8">
      <c r="H14914" s="680" t="s">
        <v>6153</v>
      </c>
    </row>
    <row r="14915" spans="8:8">
      <c r="H14915" s="680" t="s">
        <v>6153</v>
      </c>
    </row>
    <row r="14916" spans="8:8">
      <c r="H14916" s="680" t="s">
        <v>6153</v>
      </c>
    </row>
    <row r="14917" spans="8:8">
      <c r="H14917" s="680" t="s">
        <v>6153</v>
      </c>
    </row>
    <row r="14918" spans="8:8">
      <c r="H14918" s="680" t="s">
        <v>6153</v>
      </c>
    </row>
    <row r="14919" spans="8:8">
      <c r="H14919" s="680" t="s">
        <v>6153</v>
      </c>
    </row>
    <row r="14920" spans="8:8">
      <c r="H14920" s="680" t="s">
        <v>6153</v>
      </c>
    </row>
    <row r="14921" spans="8:8">
      <c r="H14921" s="680" t="s">
        <v>6153</v>
      </c>
    </row>
    <row r="14922" spans="8:8">
      <c r="H14922" s="680" t="s">
        <v>6153</v>
      </c>
    </row>
    <row r="14923" spans="8:8">
      <c r="H14923" s="680" t="s">
        <v>6153</v>
      </c>
    </row>
    <row r="14924" spans="8:8">
      <c r="H14924" s="680" t="s">
        <v>6153</v>
      </c>
    </row>
    <row r="14925" spans="8:8">
      <c r="H14925" s="680" t="s">
        <v>6153</v>
      </c>
    </row>
    <row r="14926" spans="8:8">
      <c r="H14926" s="680" t="s">
        <v>6153</v>
      </c>
    </row>
    <row r="14927" spans="8:8">
      <c r="H14927" s="680" t="s">
        <v>6153</v>
      </c>
    </row>
    <row r="14928" spans="8:8">
      <c r="H14928" s="680" t="s">
        <v>6153</v>
      </c>
    </row>
    <row r="14929" spans="8:8">
      <c r="H14929" s="680" t="s">
        <v>6153</v>
      </c>
    </row>
    <row r="14930" spans="8:8">
      <c r="H14930" s="680" t="s">
        <v>6153</v>
      </c>
    </row>
    <row r="14931" spans="8:8">
      <c r="H14931" s="680" t="s">
        <v>6153</v>
      </c>
    </row>
    <row r="14932" spans="8:8">
      <c r="H14932" s="680" t="s">
        <v>6153</v>
      </c>
    </row>
    <row r="14933" spans="8:8">
      <c r="H14933" s="680" t="s">
        <v>6153</v>
      </c>
    </row>
    <row r="14934" spans="8:8">
      <c r="H14934" s="680" t="s">
        <v>6153</v>
      </c>
    </row>
    <row r="14935" spans="8:8">
      <c r="H14935" s="680" t="s">
        <v>6153</v>
      </c>
    </row>
    <row r="14936" spans="8:8">
      <c r="H14936" s="680" t="s">
        <v>6153</v>
      </c>
    </row>
    <row r="14937" spans="8:8">
      <c r="H14937" s="680" t="s">
        <v>6153</v>
      </c>
    </row>
    <row r="14938" spans="8:8">
      <c r="H14938" s="680" t="s">
        <v>6153</v>
      </c>
    </row>
    <row r="14939" spans="8:8">
      <c r="H14939" s="680" t="s">
        <v>6153</v>
      </c>
    </row>
    <row r="14940" spans="8:8">
      <c r="H14940" s="680" t="s">
        <v>6153</v>
      </c>
    </row>
    <row r="14941" spans="8:8">
      <c r="H14941" s="680" t="s">
        <v>6153</v>
      </c>
    </row>
    <row r="14942" spans="8:8">
      <c r="H14942" s="680" t="s">
        <v>6153</v>
      </c>
    </row>
    <row r="14943" spans="8:8">
      <c r="H14943" s="680" t="s">
        <v>6153</v>
      </c>
    </row>
    <row r="14944" spans="8:8">
      <c r="H14944" s="680" t="s">
        <v>6153</v>
      </c>
    </row>
    <row r="14945" spans="8:8">
      <c r="H14945" s="680" t="s">
        <v>6153</v>
      </c>
    </row>
    <row r="14946" spans="8:8">
      <c r="H14946" s="680" t="s">
        <v>6153</v>
      </c>
    </row>
    <row r="14947" spans="8:8">
      <c r="H14947" s="680" t="s">
        <v>6153</v>
      </c>
    </row>
    <row r="14948" spans="8:8">
      <c r="H14948" s="680" t="s">
        <v>6153</v>
      </c>
    </row>
    <row r="14949" spans="8:8">
      <c r="H14949" s="680" t="s">
        <v>6153</v>
      </c>
    </row>
    <row r="14950" spans="8:8">
      <c r="H14950" s="680" t="s">
        <v>6153</v>
      </c>
    </row>
    <row r="14951" spans="8:8">
      <c r="H14951" s="680" t="s">
        <v>6153</v>
      </c>
    </row>
    <row r="14952" spans="8:8">
      <c r="H14952" s="680" t="s">
        <v>6153</v>
      </c>
    </row>
    <row r="14953" spans="8:8">
      <c r="H14953" s="680" t="s">
        <v>6153</v>
      </c>
    </row>
    <row r="14954" spans="8:8">
      <c r="H14954" s="680" t="s">
        <v>6153</v>
      </c>
    </row>
    <row r="14955" spans="8:8">
      <c r="H14955" s="680" t="s">
        <v>6153</v>
      </c>
    </row>
    <row r="14956" spans="8:8">
      <c r="H14956" s="680" t="s">
        <v>6153</v>
      </c>
    </row>
    <row r="14957" spans="8:8">
      <c r="H14957" s="680" t="s">
        <v>6153</v>
      </c>
    </row>
    <row r="14958" spans="8:8">
      <c r="H14958" s="680" t="s">
        <v>6153</v>
      </c>
    </row>
    <row r="14959" spans="8:8">
      <c r="H14959" s="680" t="s">
        <v>6153</v>
      </c>
    </row>
    <row r="14960" spans="8:8">
      <c r="H14960" s="680" t="s">
        <v>6153</v>
      </c>
    </row>
    <row r="14961" spans="8:8">
      <c r="H14961" s="680" t="s">
        <v>6153</v>
      </c>
    </row>
    <row r="14962" spans="8:8">
      <c r="H14962" s="680" t="s">
        <v>6153</v>
      </c>
    </row>
    <row r="14963" spans="8:8">
      <c r="H14963" s="680" t="s">
        <v>6153</v>
      </c>
    </row>
    <row r="14964" spans="8:8">
      <c r="H14964" s="680" t="s">
        <v>6153</v>
      </c>
    </row>
    <row r="14965" spans="8:8">
      <c r="H14965" s="680" t="s">
        <v>6153</v>
      </c>
    </row>
    <row r="14966" spans="8:8">
      <c r="H14966" s="680" t="s">
        <v>6153</v>
      </c>
    </row>
    <row r="14967" spans="8:8">
      <c r="H14967" s="680" t="s">
        <v>6153</v>
      </c>
    </row>
    <row r="14968" spans="8:8">
      <c r="H14968" s="680" t="s">
        <v>6153</v>
      </c>
    </row>
    <row r="14969" spans="8:8">
      <c r="H14969" s="680" t="s">
        <v>6153</v>
      </c>
    </row>
    <row r="14970" spans="8:8">
      <c r="H14970" s="680" t="s">
        <v>6153</v>
      </c>
    </row>
    <row r="14971" spans="8:8">
      <c r="H14971" s="680" t="s">
        <v>6153</v>
      </c>
    </row>
    <row r="14972" spans="8:8">
      <c r="H14972" s="680" t="s">
        <v>6153</v>
      </c>
    </row>
    <row r="14973" spans="8:8">
      <c r="H14973" s="680" t="s">
        <v>6153</v>
      </c>
    </row>
    <row r="14974" spans="8:8">
      <c r="H14974" s="680" t="s">
        <v>6153</v>
      </c>
    </row>
    <row r="14975" spans="8:8">
      <c r="H14975" s="680" t="s">
        <v>6153</v>
      </c>
    </row>
    <row r="14976" spans="8:8">
      <c r="H14976" s="680" t="s">
        <v>6153</v>
      </c>
    </row>
    <row r="14977" spans="8:8">
      <c r="H14977" s="680" t="s">
        <v>6153</v>
      </c>
    </row>
    <row r="14978" spans="8:8">
      <c r="H14978" s="680" t="s">
        <v>6153</v>
      </c>
    </row>
    <row r="14979" spans="8:8">
      <c r="H14979" s="680" t="s">
        <v>6153</v>
      </c>
    </row>
    <row r="14980" spans="8:8">
      <c r="H14980" s="680" t="s">
        <v>6153</v>
      </c>
    </row>
    <row r="14981" spans="8:8">
      <c r="H14981" s="680" t="s">
        <v>6153</v>
      </c>
    </row>
    <row r="14982" spans="8:8">
      <c r="H14982" s="680" t="s">
        <v>6153</v>
      </c>
    </row>
    <row r="14983" spans="8:8">
      <c r="H14983" s="680" t="s">
        <v>6153</v>
      </c>
    </row>
    <row r="14984" spans="8:8">
      <c r="H14984" s="680" t="s">
        <v>6153</v>
      </c>
    </row>
    <row r="14985" spans="8:8">
      <c r="H14985" s="680" t="s">
        <v>6153</v>
      </c>
    </row>
    <row r="14986" spans="8:8">
      <c r="H14986" s="680" t="s">
        <v>6153</v>
      </c>
    </row>
    <row r="14987" spans="8:8">
      <c r="H14987" s="680" t="s">
        <v>6153</v>
      </c>
    </row>
    <row r="14988" spans="8:8">
      <c r="H14988" s="680" t="s">
        <v>6153</v>
      </c>
    </row>
    <row r="14989" spans="8:8">
      <c r="H14989" s="680" t="s">
        <v>6153</v>
      </c>
    </row>
    <row r="14990" spans="8:8">
      <c r="H14990" s="680" t="s">
        <v>6153</v>
      </c>
    </row>
    <row r="14991" spans="8:8">
      <c r="H14991" s="680" t="s">
        <v>6153</v>
      </c>
    </row>
    <row r="14992" spans="8:8">
      <c r="H14992" s="680" t="s">
        <v>6153</v>
      </c>
    </row>
    <row r="14993" spans="8:8">
      <c r="H14993" s="680" t="s">
        <v>6153</v>
      </c>
    </row>
    <row r="14994" spans="8:8">
      <c r="H14994" s="680" t="s">
        <v>6153</v>
      </c>
    </row>
    <row r="14995" spans="8:8">
      <c r="H14995" s="680" t="s">
        <v>6153</v>
      </c>
    </row>
    <row r="14996" spans="8:8">
      <c r="H14996" s="680" t="s">
        <v>6153</v>
      </c>
    </row>
    <row r="14997" spans="8:8">
      <c r="H14997" s="680" t="s">
        <v>6153</v>
      </c>
    </row>
    <row r="14998" spans="8:8">
      <c r="H14998" s="680" t="s">
        <v>6153</v>
      </c>
    </row>
    <row r="14999" spans="8:8">
      <c r="H14999" s="680" t="s">
        <v>6153</v>
      </c>
    </row>
    <row r="15000" spans="8:8">
      <c r="H15000" s="680" t="s">
        <v>6153</v>
      </c>
    </row>
    <row r="15001" spans="8:8">
      <c r="H15001" s="680" t="s">
        <v>6153</v>
      </c>
    </row>
    <row r="15002" spans="8:8">
      <c r="H15002" s="680" t="s">
        <v>6153</v>
      </c>
    </row>
    <row r="15003" spans="8:8">
      <c r="H15003" s="680" t="s">
        <v>6153</v>
      </c>
    </row>
    <row r="15004" spans="8:8">
      <c r="H15004" s="680" t="s">
        <v>6153</v>
      </c>
    </row>
    <row r="15005" spans="8:8">
      <c r="H15005" s="680" t="s">
        <v>6153</v>
      </c>
    </row>
    <row r="15006" spans="8:8">
      <c r="H15006" s="680" t="s">
        <v>6153</v>
      </c>
    </row>
    <row r="15007" spans="8:8">
      <c r="H15007" s="680" t="s">
        <v>6153</v>
      </c>
    </row>
    <row r="15008" spans="8:8">
      <c r="H15008" s="680" t="s">
        <v>6153</v>
      </c>
    </row>
    <row r="15009" spans="8:8">
      <c r="H15009" s="680" t="s">
        <v>6153</v>
      </c>
    </row>
    <row r="15010" spans="8:8">
      <c r="H15010" s="680" t="s">
        <v>6153</v>
      </c>
    </row>
    <row r="15011" spans="8:8">
      <c r="H15011" s="680" t="s">
        <v>6153</v>
      </c>
    </row>
    <row r="15012" spans="8:8">
      <c r="H15012" s="680" t="s">
        <v>6153</v>
      </c>
    </row>
    <row r="15013" spans="8:8">
      <c r="H15013" s="680" t="s">
        <v>6153</v>
      </c>
    </row>
    <row r="15014" spans="8:8">
      <c r="H15014" s="680" t="s">
        <v>6153</v>
      </c>
    </row>
    <row r="15015" spans="8:8">
      <c r="H15015" s="680" t="s">
        <v>6153</v>
      </c>
    </row>
    <row r="15016" spans="8:8">
      <c r="H15016" s="680" t="s">
        <v>6153</v>
      </c>
    </row>
    <row r="15017" spans="8:8">
      <c r="H15017" s="680" t="s">
        <v>6153</v>
      </c>
    </row>
    <row r="15018" spans="8:8">
      <c r="H15018" s="680" t="s">
        <v>6153</v>
      </c>
    </row>
    <row r="15019" spans="8:8">
      <c r="H15019" s="680" t="s">
        <v>6153</v>
      </c>
    </row>
    <row r="15020" spans="8:8">
      <c r="H15020" s="680" t="s">
        <v>6153</v>
      </c>
    </row>
    <row r="15021" spans="8:8">
      <c r="H15021" s="680" t="s">
        <v>6153</v>
      </c>
    </row>
    <row r="15022" spans="8:8">
      <c r="H15022" s="680" t="s">
        <v>6153</v>
      </c>
    </row>
    <row r="15023" spans="8:8">
      <c r="H15023" s="680" t="s">
        <v>6153</v>
      </c>
    </row>
    <row r="15024" spans="8:8">
      <c r="H15024" s="680" t="s">
        <v>6153</v>
      </c>
    </row>
    <row r="15025" spans="8:8">
      <c r="H15025" s="680" t="s">
        <v>6153</v>
      </c>
    </row>
    <row r="15026" spans="8:8">
      <c r="H15026" s="680" t="s">
        <v>6153</v>
      </c>
    </row>
    <row r="15027" spans="8:8">
      <c r="H15027" s="680" t="s">
        <v>6153</v>
      </c>
    </row>
    <row r="15028" spans="8:8">
      <c r="H15028" s="680" t="s">
        <v>6153</v>
      </c>
    </row>
    <row r="15029" spans="8:8">
      <c r="H15029" s="680" t="s">
        <v>6153</v>
      </c>
    </row>
    <row r="15030" spans="8:8">
      <c r="H15030" s="680" t="s">
        <v>6153</v>
      </c>
    </row>
    <row r="15031" spans="8:8">
      <c r="H15031" s="680" t="s">
        <v>6153</v>
      </c>
    </row>
    <row r="15032" spans="8:8">
      <c r="H15032" s="680" t="s">
        <v>6153</v>
      </c>
    </row>
    <row r="15033" spans="8:8">
      <c r="H15033" s="680" t="s">
        <v>6153</v>
      </c>
    </row>
    <row r="15034" spans="8:8">
      <c r="H15034" s="680" t="s">
        <v>6153</v>
      </c>
    </row>
    <row r="15035" spans="8:8">
      <c r="H15035" s="680" t="s">
        <v>6153</v>
      </c>
    </row>
    <row r="15036" spans="8:8">
      <c r="H15036" s="680" t="s">
        <v>6153</v>
      </c>
    </row>
    <row r="15037" spans="8:8">
      <c r="H15037" s="680" t="s">
        <v>6153</v>
      </c>
    </row>
    <row r="15038" spans="8:8">
      <c r="H15038" s="680" t="s">
        <v>6153</v>
      </c>
    </row>
    <row r="15039" spans="8:8">
      <c r="H15039" s="680" t="s">
        <v>6153</v>
      </c>
    </row>
    <row r="15040" spans="8:8">
      <c r="H15040" s="680" t="s">
        <v>6153</v>
      </c>
    </row>
    <row r="15041" spans="8:8">
      <c r="H15041" s="680" t="s">
        <v>6153</v>
      </c>
    </row>
    <row r="15042" spans="8:8">
      <c r="H15042" s="680" t="s">
        <v>6153</v>
      </c>
    </row>
    <row r="15043" spans="8:8">
      <c r="H15043" s="680" t="s">
        <v>6153</v>
      </c>
    </row>
    <row r="15044" spans="8:8">
      <c r="H15044" s="680" t="s">
        <v>6153</v>
      </c>
    </row>
    <row r="15045" spans="8:8">
      <c r="H15045" s="680" t="s">
        <v>6153</v>
      </c>
    </row>
    <row r="15046" spans="8:8">
      <c r="H15046" s="680" t="s">
        <v>6153</v>
      </c>
    </row>
    <row r="15047" spans="8:8">
      <c r="H15047" s="680" t="s">
        <v>6153</v>
      </c>
    </row>
    <row r="15048" spans="8:8">
      <c r="H15048" s="680" t="s">
        <v>6153</v>
      </c>
    </row>
    <row r="15049" spans="8:8">
      <c r="H15049" s="680" t="s">
        <v>6153</v>
      </c>
    </row>
    <row r="15050" spans="8:8">
      <c r="H15050" s="680" t="s">
        <v>6153</v>
      </c>
    </row>
    <row r="15051" spans="8:8">
      <c r="H15051" s="680" t="s">
        <v>6153</v>
      </c>
    </row>
    <row r="15052" spans="8:8">
      <c r="H15052" s="680" t="s">
        <v>6153</v>
      </c>
    </row>
    <row r="15053" spans="8:8">
      <c r="H15053" s="680" t="s">
        <v>6153</v>
      </c>
    </row>
    <row r="15054" spans="8:8">
      <c r="H15054" s="680" t="s">
        <v>6153</v>
      </c>
    </row>
    <row r="15055" spans="8:8">
      <c r="H15055" s="680" t="s">
        <v>6153</v>
      </c>
    </row>
    <row r="15056" spans="8:8">
      <c r="H15056" s="680" t="s">
        <v>6153</v>
      </c>
    </row>
    <row r="15057" spans="8:8">
      <c r="H15057" s="680" t="s">
        <v>6153</v>
      </c>
    </row>
    <row r="15058" spans="8:8">
      <c r="H15058" s="680" t="s">
        <v>6153</v>
      </c>
    </row>
    <row r="15059" spans="8:8">
      <c r="H15059" s="680" t="s">
        <v>6153</v>
      </c>
    </row>
    <row r="15060" spans="8:8">
      <c r="H15060" s="680" t="s">
        <v>6153</v>
      </c>
    </row>
    <row r="15061" spans="8:8">
      <c r="H15061" s="680" t="s">
        <v>6153</v>
      </c>
    </row>
    <row r="15062" spans="8:8">
      <c r="H15062" s="680" t="s">
        <v>6153</v>
      </c>
    </row>
    <row r="15063" spans="8:8">
      <c r="H15063" s="680" t="s">
        <v>6153</v>
      </c>
    </row>
    <row r="15064" spans="8:8">
      <c r="H15064" s="680" t="s">
        <v>6153</v>
      </c>
    </row>
    <row r="15065" spans="8:8">
      <c r="H15065" s="680" t="s">
        <v>6153</v>
      </c>
    </row>
    <row r="15066" spans="8:8">
      <c r="H15066" s="680" t="s">
        <v>6153</v>
      </c>
    </row>
    <row r="15067" spans="8:8">
      <c r="H15067" s="680" t="s">
        <v>6153</v>
      </c>
    </row>
    <row r="15068" spans="8:8">
      <c r="H15068" s="680" t="s">
        <v>6153</v>
      </c>
    </row>
    <row r="15069" spans="8:8">
      <c r="H15069" s="680" t="s">
        <v>6153</v>
      </c>
    </row>
    <row r="15070" spans="8:8">
      <c r="H15070" s="680" t="s">
        <v>6153</v>
      </c>
    </row>
    <row r="15071" spans="8:8">
      <c r="H15071" s="680" t="s">
        <v>6153</v>
      </c>
    </row>
    <row r="15072" spans="8:8">
      <c r="H15072" s="680" t="s">
        <v>6153</v>
      </c>
    </row>
    <row r="15073" spans="8:8">
      <c r="H15073" s="680" t="s">
        <v>6153</v>
      </c>
    </row>
    <row r="15074" spans="8:8">
      <c r="H15074" s="680" t="s">
        <v>6153</v>
      </c>
    </row>
    <row r="15075" spans="8:8">
      <c r="H15075" s="680" t="s">
        <v>6153</v>
      </c>
    </row>
    <row r="15076" spans="8:8">
      <c r="H15076" s="680" t="s">
        <v>6153</v>
      </c>
    </row>
    <row r="15077" spans="8:8">
      <c r="H15077" s="680" t="s">
        <v>6153</v>
      </c>
    </row>
    <row r="15078" spans="8:8">
      <c r="H15078" s="680" t="s">
        <v>6153</v>
      </c>
    </row>
    <row r="15079" spans="8:8">
      <c r="H15079" s="680" t="s">
        <v>6153</v>
      </c>
    </row>
    <row r="15080" spans="8:8">
      <c r="H15080" s="680" t="s">
        <v>6153</v>
      </c>
    </row>
    <row r="15081" spans="8:8">
      <c r="H15081" s="680" t="s">
        <v>6153</v>
      </c>
    </row>
    <row r="15082" spans="8:8">
      <c r="H15082" s="680" t="s">
        <v>6153</v>
      </c>
    </row>
    <row r="15083" spans="8:8">
      <c r="H15083" s="680" t="s">
        <v>6153</v>
      </c>
    </row>
    <row r="15084" spans="8:8">
      <c r="H15084" s="680" t="s">
        <v>6153</v>
      </c>
    </row>
    <row r="15085" spans="8:8">
      <c r="H15085" s="680" t="s">
        <v>6153</v>
      </c>
    </row>
    <row r="15086" spans="8:8">
      <c r="H15086" s="680" t="s">
        <v>6153</v>
      </c>
    </row>
    <row r="15087" spans="8:8">
      <c r="H15087" s="680" t="s">
        <v>6153</v>
      </c>
    </row>
    <row r="15088" spans="8:8">
      <c r="H15088" s="680" t="s">
        <v>6153</v>
      </c>
    </row>
    <row r="15089" spans="8:8">
      <c r="H15089" s="680" t="s">
        <v>6153</v>
      </c>
    </row>
    <row r="15090" spans="8:8">
      <c r="H15090" s="680" t="s">
        <v>6153</v>
      </c>
    </row>
    <row r="15091" spans="8:8">
      <c r="H15091" s="680" t="s">
        <v>6153</v>
      </c>
    </row>
    <row r="15092" spans="8:8">
      <c r="H15092" s="680" t="s">
        <v>6153</v>
      </c>
    </row>
    <row r="15093" spans="8:8">
      <c r="H15093" s="680" t="s">
        <v>6153</v>
      </c>
    </row>
    <row r="15094" spans="8:8">
      <c r="H15094" s="680" t="s">
        <v>6153</v>
      </c>
    </row>
    <row r="15095" spans="8:8">
      <c r="H15095" s="680" t="s">
        <v>6153</v>
      </c>
    </row>
    <row r="15096" spans="8:8">
      <c r="H15096" s="680" t="s">
        <v>6153</v>
      </c>
    </row>
    <row r="15097" spans="8:8">
      <c r="H15097" s="680" t="s">
        <v>6153</v>
      </c>
    </row>
    <row r="15098" spans="8:8">
      <c r="H15098" s="680" t="s">
        <v>6153</v>
      </c>
    </row>
    <row r="15099" spans="8:8">
      <c r="H15099" s="680" t="s">
        <v>6153</v>
      </c>
    </row>
    <row r="15100" spans="8:8">
      <c r="H15100" s="680" t="s">
        <v>6153</v>
      </c>
    </row>
    <row r="15101" spans="8:8">
      <c r="H15101" s="680" t="s">
        <v>6153</v>
      </c>
    </row>
    <row r="15102" spans="8:8">
      <c r="H15102" s="680" t="s">
        <v>6153</v>
      </c>
    </row>
    <row r="15103" spans="8:8">
      <c r="H15103" s="680" t="s">
        <v>6153</v>
      </c>
    </row>
    <row r="15104" spans="8:8">
      <c r="H15104" s="680" t="s">
        <v>6153</v>
      </c>
    </row>
    <row r="15105" spans="8:8">
      <c r="H15105" s="680" t="s">
        <v>6153</v>
      </c>
    </row>
    <row r="15106" spans="8:8">
      <c r="H15106" s="680" t="s">
        <v>6153</v>
      </c>
    </row>
    <row r="15107" spans="8:8">
      <c r="H15107" s="680" t="s">
        <v>6153</v>
      </c>
    </row>
    <row r="15108" spans="8:8">
      <c r="H15108" s="680" t="s">
        <v>6153</v>
      </c>
    </row>
    <row r="15109" spans="8:8">
      <c r="H15109" s="680" t="s">
        <v>6153</v>
      </c>
    </row>
    <row r="15110" spans="8:8">
      <c r="H15110" s="680" t="s">
        <v>6153</v>
      </c>
    </row>
    <row r="15111" spans="8:8">
      <c r="H15111" s="680" t="s">
        <v>6153</v>
      </c>
    </row>
    <row r="15112" spans="8:8">
      <c r="H15112" s="680" t="s">
        <v>6153</v>
      </c>
    </row>
    <row r="15113" spans="8:8">
      <c r="H15113" s="680" t="s">
        <v>6153</v>
      </c>
    </row>
    <row r="15114" spans="8:8">
      <c r="H15114" s="680" t="s">
        <v>6153</v>
      </c>
    </row>
    <row r="15115" spans="8:8">
      <c r="H15115" s="680" t="s">
        <v>6153</v>
      </c>
    </row>
    <row r="15116" spans="8:8">
      <c r="H15116" s="680" t="s">
        <v>6153</v>
      </c>
    </row>
    <row r="15117" spans="8:8">
      <c r="H15117" s="680" t="s">
        <v>6153</v>
      </c>
    </row>
    <row r="15118" spans="8:8">
      <c r="H15118" s="680" t="s">
        <v>6153</v>
      </c>
    </row>
    <row r="15119" spans="8:8">
      <c r="H15119" s="680" t="s">
        <v>6153</v>
      </c>
    </row>
    <row r="15120" spans="8:8">
      <c r="H15120" s="680" t="s">
        <v>6153</v>
      </c>
    </row>
    <row r="15121" spans="8:8">
      <c r="H15121" s="680" t="s">
        <v>6153</v>
      </c>
    </row>
    <row r="15122" spans="8:8">
      <c r="H15122" s="680" t="s">
        <v>6153</v>
      </c>
    </row>
    <row r="15123" spans="8:8">
      <c r="H15123" s="680" t="s">
        <v>6153</v>
      </c>
    </row>
    <row r="15124" spans="8:8">
      <c r="H15124" s="680" t="s">
        <v>6153</v>
      </c>
    </row>
    <row r="15125" spans="8:8">
      <c r="H15125" s="680" t="s">
        <v>6153</v>
      </c>
    </row>
    <row r="15126" spans="8:8">
      <c r="H15126" s="680" t="s">
        <v>6153</v>
      </c>
    </row>
    <row r="15127" spans="8:8">
      <c r="H15127" s="680" t="s">
        <v>6153</v>
      </c>
    </row>
    <row r="15128" spans="8:8">
      <c r="H15128" s="680" t="s">
        <v>6153</v>
      </c>
    </row>
    <row r="15129" spans="8:8">
      <c r="H15129" s="680" t="s">
        <v>6153</v>
      </c>
    </row>
    <row r="15130" spans="8:8">
      <c r="H15130" s="680" t="s">
        <v>6153</v>
      </c>
    </row>
    <row r="15131" spans="8:8">
      <c r="H15131" s="680" t="s">
        <v>6153</v>
      </c>
    </row>
    <row r="15132" spans="8:8">
      <c r="H15132" s="680" t="s">
        <v>6153</v>
      </c>
    </row>
    <row r="15133" spans="8:8">
      <c r="H15133" s="680" t="s">
        <v>6153</v>
      </c>
    </row>
    <row r="15134" spans="8:8">
      <c r="H15134" s="680" t="s">
        <v>6153</v>
      </c>
    </row>
    <row r="15135" spans="8:8">
      <c r="H15135" s="680" t="s">
        <v>6153</v>
      </c>
    </row>
    <row r="15136" spans="8:8">
      <c r="H15136" s="680" t="s">
        <v>6153</v>
      </c>
    </row>
    <row r="15137" spans="8:8">
      <c r="H15137" s="680" t="s">
        <v>6153</v>
      </c>
    </row>
    <row r="15138" spans="8:8">
      <c r="H15138" s="680" t="s">
        <v>6153</v>
      </c>
    </row>
    <row r="15139" spans="8:8">
      <c r="H15139" s="680" t="s">
        <v>6153</v>
      </c>
    </row>
    <row r="15140" spans="8:8">
      <c r="H15140" s="680" t="s">
        <v>6153</v>
      </c>
    </row>
    <row r="15141" spans="8:8">
      <c r="H15141" s="680" t="s">
        <v>6153</v>
      </c>
    </row>
    <row r="15142" spans="8:8">
      <c r="H15142" s="680" t="s">
        <v>6153</v>
      </c>
    </row>
    <row r="15143" spans="8:8">
      <c r="H15143" s="680" t="s">
        <v>6153</v>
      </c>
    </row>
    <row r="15144" spans="8:8">
      <c r="H15144" s="680" t="s">
        <v>6153</v>
      </c>
    </row>
    <row r="15145" spans="8:8">
      <c r="H15145" s="680" t="s">
        <v>6153</v>
      </c>
    </row>
    <row r="15146" spans="8:8">
      <c r="H15146" s="680" t="s">
        <v>6153</v>
      </c>
    </row>
    <row r="15147" spans="8:8">
      <c r="H15147" s="680" t="s">
        <v>6153</v>
      </c>
    </row>
    <row r="15148" spans="8:8">
      <c r="H15148" s="680" t="s">
        <v>6153</v>
      </c>
    </row>
    <row r="15149" spans="8:8">
      <c r="H15149" s="680" t="s">
        <v>6153</v>
      </c>
    </row>
    <row r="15150" spans="8:8">
      <c r="H15150" s="680" t="s">
        <v>6153</v>
      </c>
    </row>
    <row r="15151" spans="8:8">
      <c r="H15151" s="680" t="s">
        <v>6153</v>
      </c>
    </row>
    <row r="15152" spans="8:8">
      <c r="H15152" s="680" t="s">
        <v>6153</v>
      </c>
    </row>
    <row r="15153" spans="8:8">
      <c r="H15153" s="680" t="s">
        <v>6153</v>
      </c>
    </row>
    <row r="15154" spans="8:8">
      <c r="H15154" s="680" t="s">
        <v>6153</v>
      </c>
    </row>
    <row r="15155" spans="8:8">
      <c r="H15155" s="680" t="s">
        <v>6153</v>
      </c>
    </row>
    <row r="15156" spans="8:8">
      <c r="H15156" s="680" t="s">
        <v>6153</v>
      </c>
    </row>
    <row r="15157" spans="8:8">
      <c r="H15157" s="680" t="s">
        <v>6153</v>
      </c>
    </row>
    <row r="15158" spans="8:8">
      <c r="H15158" s="680" t="s">
        <v>6153</v>
      </c>
    </row>
    <row r="15159" spans="8:8">
      <c r="H15159" s="680" t="s">
        <v>6153</v>
      </c>
    </row>
    <row r="15160" spans="8:8">
      <c r="H15160" s="680" t="s">
        <v>6153</v>
      </c>
    </row>
    <row r="15161" spans="8:8">
      <c r="H15161" s="680" t="s">
        <v>6153</v>
      </c>
    </row>
    <row r="15162" spans="8:8">
      <c r="H15162" s="680" t="s">
        <v>6153</v>
      </c>
    </row>
    <row r="15163" spans="8:8">
      <c r="H15163" s="680" t="s">
        <v>6153</v>
      </c>
    </row>
    <row r="15164" spans="8:8">
      <c r="H15164" s="680" t="s">
        <v>6153</v>
      </c>
    </row>
    <row r="15165" spans="8:8">
      <c r="H15165" s="680" t="s">
        <v>6153</v>
      </c>
    </row>
    <row r="15166" spans="8:8">
      <c r="H15166" s="680" t="s">
        <v>6153</v>
      </c>
    </row>
    <row r="15167" spans="8:8">
      <c r="H15167" s="680" t="s">
        <v>6153</v>
      </c>
    </row>
    <row r="15168" spans="8:8">
      <c r="H15168" s="680" t="s">
        <v>6153</v>
      </c>
    </row>
    <row r="15169" spans="8:8">
      <c r="H15169" s="680" t="s">
        <v>6153</v>
      </c>
    </row>
    <row r="15170" spans="8:8">
      <c r="H15170" s="680" t="s">
        <v>6153</v>
      </c>
    </row>
    <row r="15171" spans="8:8">
      <c r="H15171" s="680" t="s">
        <v>6153</v>
      </c>
    </row>
    <row r="15172" spans="8:8">
      <c r="H15172" s="680" t="s">
        <v>6153</v>
      </c>
    </row>
    <row r="15173" spans="8:8">
      <c r="H15173" s="680" t="s">
        <v>6153</v>
      </c>
    </row>
    <row r="15174" spans="8:8">
      <c r="H15174" s="680" t="s">
        <v>6153</v>
      </c>
    </row>
    <row r="15175" spans="8:8">
      <c r="H15175" s="680" t="s">
        <v>6153</v>
      </c>
    </row>
    <row r="15176" spans="8:8">
      <c r="H15176" s="680" t="s">
        <v>6153</v>
      </c>
    </row>
    <row r="15177" spans="8:8">
      <c r="H15177" s="680" t="s">
        <v>6153</v>
      </c>
    </row>
    <row r="15178" spans="8:8">
      <c r="H15178" s="680" t="s">
        <v>6153</v>
      </c>
    </row>
    <row r="15179" spans="8:8">
      <c r="H15179" s="680" t="s">
        <v>6153</v>
      </c>
    </row>
    <row r="15180" spans="8:8">
      <c r="H15180" s="680" t="s">
        <v>6153</v>
      </c>
    </row>
    <row r="15181" spans="8:8">
      <c r="H15181" s="680" t="s">
        <v>6153</v>
      </c>
    </row>
    <row r="15182" spans="8:8">
      <c r="H15182" s="680" t="s">
        <v>6153</v>
      </c>
    </row>
    <row r="15183" spans="8:8">
      <c r="H15183" s="680" t="s">
        <v>6153</v>
      </c>
    </row>
    <row r="15184" spans="8:8">
      <c r="H15184" s="680" t="s">
        <v>6153</v>
      </c>
    </row>
    <row r="15185" spans="8:8">
      <c r="H15185" s="680" t="s">
        <v>6153</v>
      </c>
    </row>
    <row r="15186" spans="8:8">
      <c r="H15186" s="680" t="s">
        <v>6153</v>
      </c>
    </row>
    <row r="15187" spans="8:8">
      <c r="H15187" s="680" t="s">
        <v>6153</v>
      </c>
    </row>
    <row r="15188" spans="8:8">
      <c r="H15188" s="680" t="s">
        <v>6153</v>
      </c>
    </row>
    <row r="15189" spans="8:8">
      <c r="H15189" s="680" t="s">
        <v>6153</v>
      </c>
    </row>
    <row r="15190" spans="8:8">
      <c r="H15190" s="680" t="s">
        <v>6153</v>
      </c>
    </row>
    <row r="15191" spans="8:8">
      <c r="H15191" s="680" t="s">
        <v>6153</v>
      </c>
    </row>
    <row r="15192" spans="8:8">
      <c r="H15192" s="680" t="s">
        <v>6153</v>
      </c>
    </row>
    <row r="15193" spans="8:8">
      <c r="H15193" s="680" t="s">
        <v>6153</v>
      </c>
    </row>
    <row r="15194" spans="8:8">
      <c r="H15194" s="680" t="s">
        <v>6153</v>
      </c>
    </row>
    <row r="15195" spans="8:8">
      <c r="H15195" s="680" t="s">
        <v>6153</v>
      </c>
    </row>
    <row r="15196" spans="8:8">
      <c r="H15196" s="680" t="s">
        <v>6153</v>
      </c>
    </row>
    <row r="15197" spans="8:8">
      <c r="H15197" s="680" t="s">
        <v>6153</v>
      </c>
    </row>
    <row r="15198" spans="8:8">
      <c r="H15198" s="680" t="s">
        <v>6153</v>
      </c>
    </row>
    <row r="15199" spans="8:8">
      <c r="H15199" s="680" t="s">
        <v>6153</v>
      </c>
    </row>
    <row r="15200" spans="8:8">
      <c r="H15200" s="680" t="s">
        <v>6153</v>
      </c>
    </row>
    <row r="15201" spans="8:8">
      <c r="H15201" s="680" t="s">
        <v>6153</v>
      </c>
    </row>
    <row r="15202" spans="8:8">
      <c r="H15202" s="680" t="s">
        <v>6153</v>
      </c>
    </row>
    <row r="15203" spans="8:8">
      <c r="H15203" s="680" t="s">
        <v>6153</v>
      </c>
    </row>
    <row r="15204" spans="8:8">
      <c r="H15204" s="680" t="s">
        <v>6153</v>
      </c>
    </row>
    <row r="15205" spans="8:8">
      <c r="H15205" s="680" t="s">
        <v>6153</v>
      </c>
    </row>
    <row r="15206" spans="8:8">
      <c r="H15206" s="680" t="s">
        <v>6153</v>
      </c>
    </row>
    <row r="15207" spans="8:8">
      <c r="H15207" s="680" t="s">
        <v>6153</v>
      </c>
    </row>
    <row r="15208" spans="8:8">
      <c r="H15208" s="680" t="s">
        <v>6153</v>
      </c>
    </row>
    <row r="15209" spans="8:8">
      <c r="H15209" s="680" t="s">
        <v>6153</v>
      </c>
    </row>
    <row r="15210" spans="8:8">
      <c r="H15210" s="680" t="s">
        <v>6153</v>
      </c>
    </row>
    <row r="15211" spans="8:8">
      <c r="H15211" s="680" t="s">
        <v>6153</v>
      </c>
    </row>
    <row r="15212" spans="8:8">
      <c r="H15212" s="680" t="s">
        <v>6153</v>
      </c>
    </row>
    <row r="15213" spans="8:8">
      <c r="H15213" s="680" t="s">
        <v>6153</v>
      </c>
    </row>
    <row r="15214" spans="8:8">
      <c r="H15214" s="680" t="s">
        <v>6153</v>
      </c>
    </row>
    <row r="15215" spans="8:8">
      <c r="H15215" s="680" t="s">
        <v>6153</v>
      </c>
    </row>
    <row r="15216" spans="8:8">
      <c r="H15216" s="680" t="s">
        <v>6153</v>
      </c>
    </row>
    <row r="15217" spans="8:8">
      <c r="H15217" s="680" t="s">
        <v>6153</v>
      </c>
    </row>
    <row r="15218" spans="8:8">
      <c r="H15218" s="680" t="s">
        <v>6153</v>
      </c>
    </row>
    <row r="15219" spans="8:8">
      <c r="H15219" s="680" t="s">
        <v>6153</v>
      </c>
    </row>
    <row r="15220" spans="8:8">
      <c r="H15220" s="680" t="s">
        <v>6153</v>
      </c>
    </row>
    <row r="15221" spans="8:8">
      <c r="H15221" s="680" t="s">
        <v>6153</v>
      </c>
    </row>
    <row r="15222" spans="8:8">
      <c r="H15222" s="680" t="s">
        <v>6153</v>
      </c>
    </row>
    <row r="15223" spans="8:8">
      <c r="H15223" s="680" t="s">
        <v>6153</v>
      </c>
    </row>
    <row r="15224" spans="8:8">
      <c r="H15224" s="680" t="s">
        <v>6153</v>
      </c>
    </row>
    <row r="15225" spans="8:8">
      <c r="H15225" s="680" t="s">
        <v>6153</v>
      </c>
    </row>
    <row r="15226" spans="8:8">
      <c r="H15226" s="680" t="s">
        <v>6153</v>
      </c>
    </row>
    <row r="15227" spans="8:8">
      <c r="H15227" s="680" t="s">
        <v>6153</v>
      </c>
    </row>
    <row r="15228" spans="8:8">
      <c r="H15228" s="680" t="s">
        <v>6153</v>
      </c>
    </row>
    <row r="15229" spans="8:8">
      <c r="H15229" s="680" t="s">
        <v>6153</v>
      </c>
    </row>
    <row r="15230" spans="8:8">
      <c r="H15230" s="680" t="s">
        <v>6153</v>
      </c>
    </row>
    <row r="15231" spans="8:8">
      <c r="H15231" s="680" t="s">
        <v>6153</v>
      </c>
    </row>
    <row r="15232" spans="8:8">
      <c r="H15232" s="680" t="s">
        <v>6153</v>
      </c>
    </row>
    <row r="15233" spans="8:8">
      <c r="H15233" s="680" t="s">
        <v>6153</v>
      </c>
    </row>
    <row r="15234" spans="8:8">
      <c r="H15234" s="680" t="s">
        <v>6153</v>
      </c>
    </row>
    <row r="15235" spans="8:8">
      <c r="H15235" s="680" t="s">
        <v>6153</v>
      </c>
    </row>
    <row r="15236" spans="8:8">
      <c r="H15236" s="680" t="s">
        <v>6153</v>
      </c>
    </row>
    <row r="15237" spans="8:8">
      <c r="H15237" s="680" t="s">
        <v>6153</v>
      </c>
    </row>
    <row r="15238" spans="8:8">
      <c r="H15238" s="680" t="s">
        <v>6153</v>
      </c>
    </row>
    <row r="15239" spans="8:8">
      <c r="H15239" s="680" t="s">
        <v>6153</v>
      </c>
    </row>
    <row r="15240" spans="8:8">
      <c r="H15240" s="680" t="s">
        <v>6153</v>
      </c>
    </row>
    <row r="15241" spans="8:8">
      <c r="H15241" s="680" t="s">
        <v>6153</v>
      </c>
    </row>
    <row r="15242" spans="8:8">
      <c r="H15242" s="680" t="s">
        <v>6153</v>
      </c>
    </row>
    <row r="15243" spans="8:8">
      <c r="H15243" s="680" t="s">
        <v>6153</v>
      </c>
    </row>
    <row r="15244" spans="8:8">
      <c r="H15244" s="680" t="s">
        <v>6153</v>
      </c>
    </row>
    <row r="15245" spans="8:8">
      <c r="H15245" s="680" t="s">
        <v>6153</v>
      </c>
    </row>
    <row r="15246" spans="8:8">
      <c r="H15246" s="680" t="s">
        <v>6153</v>
      </c>
    </row>
    <row r="15247" spans="8:8">
      <c r="H15247" s="680" t="s">
        <v>6153</v>
      </c>
    </row>
    <row r="15248" spans="8:8">
      <c r="H15248" s="680" t="s">
        <v>6153</v>
      </c>
    </row>
    <row r="15249" spans="8:8">
      <c r="H15249" s="680" t="s">
        <v>6153</v>
      </c>
    </row>
    <row r="15250" spans="8:8">
      <c r="H15250" s="680" t="s">
        <v>6153</v>
      </c>
    </row>
    <row r="15251" spans="8:8">
      <c r="H15251" s="680" t="s">
        <v>6153</v>
      </c>
    </row>
    <row r="15252" spans="8:8">
      <c r="H15252" s="680" t="s">
        <v>6153</v>
      </c>
    </row>
    <row r="15253" spans="8:8">
      <c r="H15253" s="680" t="s">
        <v>6153</v>
      </c>
    </row>
    <row r="15254" spans="8:8">
      <c r="H15254" s="680" t="s">
        <v>6153</v>
      </c>
    </row>
    <row r="15255" spans="8:8">
      <c r="H15255" s="680" t="s">
        <v>6153</v>
      </c>
    </row>
    <row r="15256" spans="8:8">
      <c r="H15256" s="680" t="s">
        <v>6153</v>
      </c>
    </row>
    <row r="15257" spans="8:8">
      <c r="H15257" s="680" t="s">
        <v>6153</v>
      </c>
    </row>
    <row r="15258" spans="8:8">
      <c r="H15258" s="680" t="s">
        <v>6153</v>
      </c>
    </row>
    <row r="15259" spans="8:8">
      <c r="H15259" s="680" t="s">
        <v>6153</v>
      </c>
    </row>
    <row r="15260" spans="8:8">
      <c r="H15260" s="680" t="s">
        <v>6153</v>
      </c>
    </row>
    <row r="15261" spans="8:8">
      <c r="H15261" s="680" t="s">
        <v>6153</v>
      </c>
    </row>
    <row r="15262" spans="8:8">
      <c r="H15262" s="680" t="s">
        <v>6153</v>
      </c>
    </row>
    <row r="15263" spans="8:8">
      <c r="H15263" s="680" t="s">
        <v>6153</v>
      </c>
    </row>
    <row r="15264" spans="8:8">
      <c r="H15264" s="680" t="s">
        <v>6153</v>
      </c>
    </row>
    <row r="15265" spans="8:8">
      <c r="H15265" s="680" t="s">
        <v>6153</v>
      </c>
    </row>
    <row r="15266" spans="8:8">
      <c r="H15266" s="680" t="s">
        <v>6153</v>
      </c>
    </row>
    <row r="15267" spans="8:8">
      <c r="H15267" s="680" t="s">
        <v>6153</v>
      </c>
    </row>
    <row r="15268" spans="8:8">
      <c r="H15268" s="680" t="s">
        <v>6153</v>
      </c>
    </row>
    <row r="15269" spans="8:8">
      <c r="H15269" s="680" t="s">
        <v>6153</v>
      </c>
    </row>
    <row r="15270" spans="8:8">
      <c r="H15270" s="680" t="s">
        <v>6153</v>
      </c>
    </row>
    <row r="15271" spans="8:8">
      <c r="H15271" s="680" t="s">
        <v>6153</v>
      </c>
    </row>
    <row r="15272" spans="8:8">
      <c r="H15272" s="680" t="s">
        <v>6153</v>
      </c>
    </row>
    <row r="15273" spans="8:8">
      <c r="H15273" s="680" t="s">
        <v>6153</v>
      </c>
    </row>
    <row r="15274" spans="8:8">
      <c r="H15274" s="680" t="s">
        <v>6153</v>
      </c>
    </row>
    <row r="15275" spans="8:8">
      <c r="H15275" s="680" t="s">
        <v>6153</v>
      </c>
    </row>
    <row r="15276" spans="8:8">
      <c r="H15276" s="680" t="s">
        <v>6153</v>
      </c>
    </row>
    <row r="15277" spans="8:8">
      <c r="H15277" s="680" t="s">
        <v>6153</v>
      </c>
    </row>
    <row r="15278" spans="8:8">
      <c r="H15278" s="680" t="s">
        <v>6153</v>
      </c>
    </row>
    <row r="15279" spans="8:8">
      <c r="H15279" s="680" t="s">
        <v>6153</v>
      </c>
    </row>
    <row r="15280" spans="8:8">
      <c r="H15280" s="680" t="s">
        <v>6153</v>
      </c>
    </row>
    <row r="15281" spans="8:8">
      <c r="H15281" s="680" t="s">
        <v>6153</v>
      </c>
    </row>
    <row r="15282" spans="8:8">
      <c r="H15282" s="680" t="s">
        <v>6153</v>
      </c>
    </row>
    <row r="15283" spans="8:8">
      <c r="H15283" s="680" t="s">
        <v>6153</v>
      </c>
    </row>
    <row r="15284" spans="8:8">
      <c r="H15284" s="680" t="s">
        <v>6153</v>
      </c>
    </row>
    <row r="15285" spans="8:8">
      <c r="H15285" s="680" t="s">
        <v>6153</v>
      </c>
    </row>
    <row r="15286" spans="8:8">
      <c r="H15286" s="680" t="s">
        <v>6153</v>
      </c>
    </row>
    <row r="15287" spans="8:8">
      <c r="H15287" s="680" t="s">
        <v>6153</v>
      </c>
    </row>
    <row r="15288" spans="8:8">
      <c r="H15288" s="680" t="s">
        <v>6153</v>
      </c>
    </row>
    <row r="15289" spans="8:8">
      <c r="H15289" s="680" t="s">
        <v>6153</v>
      </c>
    </row>
    <row r="15290" spans="8:8">
      <c r="H15290" s="680" t="s">
        <v>6153</v>
      </c>
    </row>
    <row r="15291" spans="8:8">
      <c r="H15291" s="680" t="s">
        <v>6153</v>
      </c>
    </row>
    <row r="15292" spans="8:8">
      <c r="H15292" s="680" t="s">
        <v>6153</v>
      </c>
    </row>
    <row r="15293" spans="8:8">
      <c r="H15293" s="680" t="s">
        <v>6153</v>
      </c>
    </row>
    <row r="15294" spans="8:8">
      <c r="H15294" s="680" t="s">
        <v>6153</v>
      </c>
    </row>
    <row r="15295" spans="8:8">
      <c r="H15295" s="680" t="s">
        <v>6153</v>
      </c>
    </row>
    <row r="15296" spans="8:8">
      <c r="H15296" s="680" t="s">
        <v>6153</v>
      </c>
    </row>
    <row r="15297" spans="8:8">
      <c r="H15297" s="680" t="s">
        <v>6153</v>
      </c>
    </row>
    <row r="15298" spans="8:8">
      <c r="H15298" s="680" t="s">
        <v>6153</v>
      </c>
    </row>
    <row r="15299" spans="8:8">
      <c r="H15299" s="680" t="s">
        <v>6153</v>
      </c>
    </row>
    <row r="15300" spans="8:8">
      <c r="H15300" s="680" t="s">
        <v>6153</v>
      </c>
    </row>
    <row r="15301" spans="8:8">
      <c r="H15301" s="680" t="s">
        <v>6153</v>
      </c>
    </row>
    <row r="15302" spans="8:8">
      <c r="H15302" s="680" t="s">
        <v>6153</v>
      </c>
    </row>
    <row r="15303" spans="8:8">
      <c r="H15303" s="680" t="s">
        <v>6153</v>
      </c>
    </row>
    <row r="15304" spans="8:8">
      <c r="H15304" s="680" t="s">
        <v>6153</v>
      </c>
    </row>
    <row r="15305" spans="8:8">
      <c r="H15305" s="680" t="s">
        <v>6153</v>
      </c>
    </row>
    <row r="15306" spans="8:8">
      <c r="H15306" s="680" t="s">
        <v>6153</v>
      </c>
    </row>
    <row r="15307" spans="8:8">
      <c r="H15307" s="680" t="s">
        <v>6153</v>
      </c>
    </row>
    <row r="15308" spans="8:8">
      <c r="H15308" s="680" t="s">
        <v>6153</v>
      </c>
    </row>
    <row r="15309" spans="8:8">
      <c r="H15309" s="680" t="s">
        <v>6153</v>
      </c>
    </row>
    <row r="15310" spans="8:8">
      <c r="H15310" s="680" t="s">
        <v>6153</v>
      </c>
    </row>
    <row r="15311" spans="8:8">
      <c r="H15311" s="680" t="s">
        <v>6153</v>
      </c>
    </row>
    <row r="15312" spans="8:8">
      <c r="H15312" s="680" t="s">
        <v>6153</v>
      </c>
    </row>
    <row r="15313" spans="8:8">
      <c r="H15313" s="680" t="s">
        <v>6153</v>
      </c>
    </row>
    <row r="15314" spans="8:8">
      <c r="H15314" s="680" t="s">
        <v>6153</v>
      </c>
    </row>
    <row r="15315" spans="8:8">
      <c r="H15315" s="680" t="s">
        <v>6153</v>
      </c>
    </row>
    <row r="15316" spans="8:8">
      <c r="H15316" s="680" t="s">
        <v>6153</v>
      </c>
    </row>
    <row r="15317" spans="8:8">
      <c r="H15317" s="680" t="s">
        <v>6153</v>
      </c>
    </row>
    <row r="15318" spans="8:8">
      <c r="H15318" s="680" t="s">
        <v>6153</v>
      </c>
    </row>
    <row r="15319" spans="8:8">
      <c r="H15319" s="680" t="s">
        <v>6153</v>
      </c>
    </row>
    <row r="15320" spans="8:8">
      <c r="H15320" s="680" t="s">
        <v>6153</v>
      </c>
    </row>
    <row r="15321" spans="8:8">
      <c r="H15321" s="680" t="s">
        <v>6153</v>
      </c>
    </row>
    <row r="15322" spans="8:8">
      <c r="H15322" s="680" t="s">
        <v>6153</v>
      </c>
    </row>
    <row r="15323" spans="8:8">
      <c r="H15323" s="680" t="s">
        <v>6153</v>
      </c>
    </row>
    <row r="15324" spans="8:8">
      <c r="H15324" s="680" t="s">
        <v>6153</v>
      </c>
    </row>
    <row r="15325" spans="8:8">
      <c r="H15325" s="680" t="s">
        <v>6153</v>
      </c>
    </row>
    <row r="15326" spans="8:8">
      <c r="H15326" s="680" t="s">
        <v>6153</v>
      </c>
    </row>
    <row r="15327" spans="8:8">
      <c r="H15327" s="680" t="s">
        <v>6153</v>
      </c>
    </row>
    <row r="15328" spans="8:8">
      <c r="H15328" s="680" t="s">
        <v>6153</v>
      </c>
    </row>
    <row r="15329" spans="8:8">
      <c r="H15329" s="680" t="s">
        <v>6153</v>
      </c>
    </row>
    <row r="15330" spans="8:8">
      <c r="H15330" s="680" t="s">
        <v>6153</v>
      </c>
    </row>
    <row r="15331" spans="8:8">
      <c r="H15331" s="680" t="s">
        <v>6153</v>
      </c>
    </row>
    <row r="15332" spans="8:8">
      <c r="H15332" s="680" t="s">
        <v>6153</v>
      </c>
    </row>
    <row r="15333" spans="8:8">
      <c r="H15333" s="680" t="s">
        <v>6153</v>
      </c>
    </row>
    <row r="15334" spans="8:8">
      <c r="H15334" s="680" t="s">
        <v>6153</v>
      </c>
    </row>
    <row r="15335" spans="8:8">
      <c r="H15335" s="680" t="s">
        <v>6153</v>
      </c>
    </row>
    <row r="15336" spans="8:8">
      <c r="H15336" s="680" t="s">
        <v>6153</v>
      </c>
    </row>
    <row r="15337" spans="8:8">
      <c r="H15337" s="680" t="s">
        <v>6153</v>
      </c>
    </row>
    <row r="15338" spans="8:8">
      <c r="H15338" s="680" t="s">
        <v>6153</v>
      </c>
    </row>
    <row r="15339" spans="8:8">
      <c r="H15339" s="680" t="s">
        <v>6153</v>
      </c>
    </row>
    <row r="15340" spans="8:8">
      <c r="H15340" s="680" t="s">
        <v>6153</v>
      </c>
    </row>
    <row r="15341" spans="8:8">
      <c r="H15341" s="680" t="s">
        <v>6153</v>
      </c>
    </row>
    <row r="15342" spans="8:8">
      <c r="H15342" s="680" t="s">
        <v>6153</v>
      </c>
    </row>
    <row r="15343" spans="8:8">
      <c r="H15343" s="680" t="s">
        <v>6153</v>
      </c>
    </row>
    <row r="15344" spans="8:8">
      <c r="H15344" s="680" t="s">
        <v>6153</v>
      </c>
    </row>
    <row r="15345" spans="8:8">
      <c r="H15345" s="680" t="s">
        <v>6153</v>
      </c>
    </row>
    <row r="15346" spans="8:8">
      <c r="H15346" s="680" t="s">
        <v>6153</v>
      </c>
    </row>
    <row r="15347" spans="8:8">
      <c r="H15347" s="680" t="s">
        <v>6153</v>
      </c>
    </row>
    <row r="15348" spans="8:8">
      <c r="H15348" s="680" t="s">
        <v>6153</v>
      </c>
    </row>
    <row r="15349" spans="8:8">
      <c r="H15349" s="680" t="s">
        <v>6153</v>
      </c>
    </row>
    <row r="15350" spans="8:8">
      <c r="H15350" s="680" t="s">
        <v>6153</v>
      </c>
    </row>
    <row r="15351" spans="8:8">
      <c r="H15351" s="680" t="s">
        <v>6153</v>
      </c>
    </row>
    <row r="15352" spans="8:8">
      <c r="H15352" s="680" t="s">
        <v>6153</v>
      </c>
    </row>
    <row r="15353" spans="8:8">
      <c r="H15353" s="680" t="s">
        <v>6153</v>
      </c>
    </row>
    <row r="15354" spans="8:8">
      <c r="H15354" s="680" t="s">
        <v>6153</v>
      </c>
    </row>
    <row r="15355" spans="8:8">
      <c r="H15355" s="680" t="s">
        <v>6153</v>
      </c>
    </row>
    <row r="15356" spans="8:8">
      <c r="H15356" s="680" t="s">
        <v>6153</v>
      </c>
    </row>
    <row r="15357" spans="8:8">
      <c r="H15357" s="680" t="s">
        <v>6153</v>
      </c>
    </row>
    <row r="15358" spans="8:8">
      <c r="H15358" s="680" t="s">
        <v>6153</v>
      </c>
    </row>
    <row r="15359" spans="8:8">
      <c r="H15359" s="680" t="s">
        <v>6153</v>
      </c>
    </row>
    <row r="15360" spans="8:8">
      <c r="H15360" s="680" t="s">
        <v>6153</v>
      </c>
    </row>
    <row r="15361" spans="8:8">
      <c r="H15361" s="680" t="s">
        <v>6153</v>
      </c>
    </row>
    <row r="15362" spans="8:8">
      <c r="H15362" s="680" t="s">
        <v>6153</v>
      </c>
    </row>
    <row r="15363" spans="8:8">
      <c r="H15363" s="680" t="s">
        <v>6153</v>
      </c>
    </row>
    <row r="15364" spans="8:8">
      <c r="H15364" s="680" t="s">
        <v>6153</v>
      </c>
    </row>
    <row r="15365" spans="8:8">
      <c r="H15365" s="680" t="s">
        <v>6153</v>
      </c>
    </row>
    <row r="15366" spans="8:8">
      <c r="H15366" s="680" t="s">
        <v>6153</v>
      </c>
    </row>
    <row r="15367" spans="8:8">
      <c r="H15367" s="680" t="s">
        <v>6153</v>
      </c>
    </row>
    <row r="15368" spans="8:8">
      <c r="H15368" s="680" t="s">
        <v>6153</v>
      </c>
    </row>
    <row r="15369" spans="8:8">
      <c r="H15369" s="680" t="s">
        <v>6153</v>
      </c>
    </row>
    <row r="15370" spans="8:8">
      <c r="H15370" s="680" t="s">
        <v>6153</v>
      </c>
    </row>
    <row r="15371" spans="8:8">
      <c r="H15371" s="680" t="s">
        <v>6153</v>
      </c>
    </row>
    <row r="15372" spans="8:8">
      <c r="H15372" s="680" t="s">
        <v>6153</v>
      </c>
    </row>
    <row r="15373" spans="8:8">
      <c r="H15373" s="680" t="s">
        <v>6153</v>
      </c>
    </row>
    <row r="15374" spans="8:8">
      <c r="H15374" s="680" t="s">
        <v>6153</v>
      </c>
    </row>
    <row r="15375" spans="8:8">
      <c r="H15375" s="680" t="s">
        <v>6153</v>
      </c>
    </row>
    <row r="15376" spans="8:8">
      <c r="H15376" s="680" t="s">
        <v>6153</v>
      </c>
    </row>
    <row r="15377" spans="8:8">
      <c r="H15377" s="680" t="s">
        <v>6153</v>
      </c>
    </row>
    <row r="15378" spans="8:8">
      <c r="H15378" s="680" t="s">
        <v>6153</v>
      </c>
    </row>
    <row r="15379" spans="8:8">
      <c r="H15379" s="680" t="s">
        <v>6153</v>
      </c>
    </row>
    <row r="15380" spans="8:8">
      <c r="H15380" s="680" t="s">
        <v>6153</v>
      </c>
    </row>
    <row r="15381" spans="8:8">
      <c r="H15381" s="680" t="s">
        <v>6153</v>
      </c>
    </row>
    <row r="15382" spans="8:8">
      <c r="H15382" s="680" t="s">
        <v>6153</v>
      </c>
    </row>
    <row r="15383" spans="8:8">
      <c r="H15383" s="680" t="s">
        <v>6153</v>
      </c>
    </row>
    <row r="15384" spans="8:8">
      <c r="H15384" s="680" t="s">
        <v>6153</v>
      </c>
    </row>
    <row r="15385" spans="8:8">
      <c r="H15385" s="680" t="s">
        <v>6153</v>
      </c>
    </row>
    <row r="15386" spans="8:8">
      <c r="H15386" s="680" t="s">
        <v>6153</v>
      </c>
    </row>
    <row r="15387" spans="8:8">
      <c r="H15387" s="680" t="s">
        <v>6153</v>
      </c>
    </row>
    <row r="15388" spans="8:8">
      <c r="H15388" s="680" t="s">
        <v>6153</v>
      </c>
    </row>
    <row r="15389" spans="8:8">
      <c r="H15389" s="680" t="s">
        <v>6153</v>
      </c>
    </row>
    <row r="15390" spans="8:8">
      <c r="H15390" s="680" t="s">
        <v>6153</v>
      </c>
    </row>
    <row r="15391" spans="8:8">
      <c r="H15391" s="680" t="s">
        <v>6153</v>
      </c>
    </row>
    <row r="15392" spans="8:8">
      <c r="H15392" s="680" t="s">
        <v>6153</v>
      </c>
    </row>
    <row r="15393" spans="8:8">
      <c r="H15393" s="680" t="s">
        <v>6153</v>
      </c>
    </row>
    <row r="15394" spans="8:8">
      <c r="H15394" s="680" t="s">
        <v>6153</v>
      </c>
    </row>
    <row r="15395" spans="8:8">
      <c r="H15395" s="680" t="s">
        <v>6153</v>
      </c>
    </row>
    <row r="15396" spans="8:8">
      <c r="H15396" s="680" t="s">
        <v>6153</v>
      </c>
    </row>
    <row r="15397" spans="8:8">
      <c r="H15397" s="680" t="s">
        <v>6153</v>
      </c>
    </row>
    <row r="15398" spans="8:8">
      <c r="H15398" s="680" t="s">
        <v>6153</v>
      </c>
    </row>
    <row r="15399" spans="8:8">
      <c r="H15399" s="680" t="s">
        <v>6153</v>
      </c>
    </row>
    <row r="15400" spans="8:8">
      <c r="H15400" s="680" t="s">
        <v>6153</v>
      </c>
    </row>
    <row r="15401" spans="8:8">
      <c r="H15401" s="680" t="s">
        <v>6153</v>
      </c>
    </row>
    <row r="15402" spans="8:8">
      <c r="H15402" s="680" t="s">
        <v>6153</v>
      </c>
    </row>
    <row r="15403" spans="8:8">
      <c r="H15403" s="680" t="s">
        <v>6153</v>
      </c>
    </row>
    <row r="15404" spans="8:8">
      <c r="H15404" s="680" t="s">
        <v>6153</v>
      </c>
    </row>
    <row r="15405" spans="8:8">
      <c r="H15405" s="680" t="s">
        <v>6153</v>
      </c>
    </row>
    <row r="15406" spans="8:8">
      <c r="H15406" s="680" t="s">
        <v>6153</v>
      </c>
    </row>
    <row r="15407" spans="8:8">
      <c r="H15407" s="680" t="s">
        <v>6153</v>
      </c>
    </row>
    <row r="15408" spans="8:8">
      <c r="H15408" s="680" t="s">
        <v>6153</v>
      </c>
    </row>
    <row r="15409" spans="8:8">
      <c r="H15409" s="680" t="s">
        <v>6153</v>
      </c>
    </row>
    <row r="15410" spans="8:8">
      <c r="H15410" s="680" t="s">
        <v>6153</v>
      </c>
    </row>
    <row r="15411" spans="8:8">
      <c r="H15411" s="680" t="s">
        <v>6153</v>
      </c>
    </row>
    <row r="15412" spans="8:8">
      <c r="H15412" s="680" t="s">
        <v>6153</v>
      </c>
    </row>
    <row r="15413" spans="8:8">
      <c r="H15413" s="680" t="s">
        <v>6153</v>
      </c>
    </row>
    <row r="15414" spans="8:8">
      <c r="H15414" s="680" t="s">
        <v>6153</v>
      </c>
    </row>
    <row r="15415" spans="8:8">
      <c r="H15415" s="680" t="s">
        <v>6153</v>
      </c>
    </row>
    <row r="15416" spans="8:8">
      <c r="H15416" s="680" t="s">
        <v>6153</v>
      </c>
    </row>
    <row r="15417" spans="8:8">
      <c r="H15417" s="680" t="s">
        <v>6153</v>
      </c>
    </row>
    <row r="15418" spans="8:8">
      <c r="H15418" s="680" t="s">
        <v>6153</v>
      </c>
    </row>
    <row r="15419" spans="8:8">
      <c r="H15419" s="680" t="s">
        <v>6153</v>
      </c>
    </row>
    <row r="15420" spans="8:8">
      <c r="H15420" s="680" t="s">
        <v>6153</v>
      </c>
    </row>
    <row r="15421" spans="8:8">
      <c r="H15421" s="680" t="s">
        <v>6153</v>
      </c>
    </row>
    <row r="15422" spans="8:8">
      <c r="H15422" s="680" t="s">
        <v>6153</v>
      </c>
    </row>
    <row r="15423" spans="8:8">
      <c r="H15423" s="680" t="s">
        <v>6153</v>
      </c>
    </row>
    <row r="15424" spans="8:8">
      <c r="H15424" s="680" t="s">
        <v>6153</v>
      </c>
    </row>
    <row r="15425" spans="8:8">
      <c r="H15425" s="680" t="s">
        <v>6153</v>
      </c>
    </row>
    <row r="15426" spans="8:8">
      <c r="H15426" s="680" t="s">
        <v>6153</v>
      </c>
    </row>
    <row r="15427" spans="8:8">
      <c r="H15427" s="680" t="s">
        <v>6153</v>
      </c>
    </row>
    <row r="15428" spans="8:8">
      <c r="H15428" s="680" t="s">
        <v>6153</v>
      </c>
    </row>
    <row r="15429" spans="8:8">
      <c r="H15429" s="680" t="s">
        <v>6153</v>
      </c>
    </row>
    <row r="15430" spans="8:8">
      <c r="H15430" s="680" t="s">
        <v>6153</v>
      </c>
    </row>
    <row r="15431" spans="8:8">
      <c r="H15431" s="680" t="s">
        <v>6153</v>
      </c>
    </row>
    <row r="15432" spans="8:8">
      <c r="H15432" s="680" t="s">
        <v>6153</v>
      </c>
    </row>
    <row r="15433" spans="8:8">
      <c r="H15433" s="680" t="s">
        <v>6153</v>
      </c>
    </row>
    <row r="15434" spans="8:8">
      <c r="H15434" s="680" t="s">
        <v>6153</v>
      </c>
    </row>
    <row r="15435" spans="8:8">
      <c r="H15435" s="680" t="s">
        <v>6153</v>
      </c>
    </row>
    <row r="15436" spans="8:8">
      <c r="H15436" s="680" t="s">
        <v>6153</v>
      </c>
    </row>
    <row r="15437" spans="8:8">
      <c r="H15437" s="680" t="s">
        <v>6153</v>
      </c>
    </row>
    <row r="15438" spans="8:8">
      <c r="H15438" s="680" t="s">
        <v>6153</v>
      </c>
    </row>
    <row r="15439" spans="8:8">
      <c r="H15439" s="680" t="s">
        <v>6153</v>
      </c>
    </row>
    <row r="15440" spans="8:8">
      <c r="H15440" s="680" t="s">
        <v>6153</v>
      </c>
    </row>
    <row r="15441" spans="8:8">
      <c r="H15441" s="680" t="s">
        <v>6153</v>
      </c>
    </row>
    <row r="15442" spans="8:8">
      <c r="H15442" s="680" t="s">
        <v>6153</v>
      </c>
    </row>
    <row r="15443" spans="8:8">
      <c r="H15443" s="680" t="s">
        <v>6153</v>
      </c>
    </row>
    <row r="15444" spans="8:8">
      <c r="H15444" s="680" t="s">
        <v>6153</v>
      </c>
    </row>
    <row r="15445" spans="8:8">
      <c r="H15445" s="680" t="s">
        <v>6153</v>
      </c>
    </row>
    <row r="15446" spans="8:8">
      <c r="H15446" s="680" t="s">
        <v>6153</v>
      </c>
    </row>
    <row r="15447" spans="8:8">
      <c r="H15447" s="680" t="s">
        <v>6153</v>
      </c>
    </row>
    <row r="15448" spans="8:8">
      <c r="H15448" s="680" t="s">
        <v>6153</v>
      </c>
    </row>
    <row r="15449" spans="8:8">
      <c r="H15449" s="680" t="s">
        <v>6153</v>
      </c>
    </row>
    <row r="15450" spans="8:8">
      <c r="H15450" s="680" t="s">
        <v>6153</v>
      </c>
    </row>
    <row r="15451" spans="8:8">
      <c r="H15451" s="680" t="s">
        <v>6153</v>
      </c>
    </row>
    <row r="15452" spans="8:8">
      <c r="H15452" s="680" t="s">
        <v>6153</v>
      </c>
    </row>
    <row r="15453" spans="8:8">
      <c r="H15453" s="680" t="s">
        <v>6153</v>
      </c>
    </row>
    <row r="15454" spans="8:8">
      <c r="H15454" s="680" t="s">
        <v>6153</v>
      </c>
    </row>
    <row r="15455" spans="8:8">
      <c r="H15455" s="680" t="s">
        <v>6153</v>
      </c>
    </row>
    <row r="15456" spans="8:8">
      <c r="H15456" s="680" t="s">
        <v>6153</v>
      </c>
    </row>
    <row r="15457" spans="8:8">
      <c r="H15457" s="680" t="s">
        <v>6153</v>
      </c>
    </row>
    <row r="15458" spans="8:8">
      <c r="H15458" s="680" t="s">
        <v>6153</v>
      </c>
    </row>
    <row r="15459" spans="8:8">
      <c r="H15459" s="680" t="s">
        <v>6153</v>
      </c>
    </row>
    <row r="15460" spans="8:8">
      <c r="H15460" s="680" t="s">
        <v>6153</v>
      </c>
    </row>
    <row r="15461" spans="8:8">
      <c r="H15461" s="680" t="s">
        <v>6153</v>
      </c>
    </row>
    <row r="15462" spans="8:8">
      <c r="H15462" s="680" t="s">
        <v>6153</v>
      </c>
    </row>
    <row r="15463" spans="8:8">
      <c r="H15463" s="680" t="s">
        <v>6153</v>
      </c>
    </row>
    <row r="15464" spans="8:8">
      <c r="H15464" s="680" t="s">
        <v>6153</v>
      </c>
    </row>
    <row r="15465" spans="8:8">
      <c r="H15465" s="680" t="s">
        <v>6153</v>
      </c>
    </row>
    <row r="15466" spans="8:8">
      <c r="H15466" s="680" t="s">
        <v>6153</v>
      </c>
    </row>
    <row r="15467" spans="8:8">
      <c r="H15467" s="680" t="s">
        <v>6153</v>
      </c>
    </row>
    <row r="15468" spans="8:8">
      <c r="H15468" s="680" t="s">
        <v>6153</v>
      </c>
    </row>
    <row r="15469" spans="8:8">
      <c r="H15469" s="680" t="s">
        <v>6153</v>
      </c>
    </row>
    <row r="15470" spans="8:8">
      <c r="H15470" s="680" t="s">
        <v>6153</v>
      </c>
    </row>
    <row r="15471" spans="8:8">
      <c r="H15471" s="680" t="s">
        <v>6153</v>
      </c>
    </row>
    <row r="15472" spans="8:8">
      <c r="H15472" s="680" t="s">
        <v>6153</v>
      </c>
    </row>
    <row r="15473" spans="8:8">
      <c r="H15473" s="680" t="s">
        <v>6153</v>
      </c>
    </row>
    <row r="15474" spans="8:8">
      <c r="H15474" s="680" t="s">
        <v>6153</v>
      </c>
    </row>
    <row r="15475" spans="8:8">
      <c r="H15475" s="680" t="s">
        <v>6153</v>
      </c>
    </row>
    <row r="15476" spans="8:8">
      <c r="H15476" s="680" t="s">
        <v>6153</v>
      </c>
    </row>
    <row r="15477" spans="8:8">
      <c r="H15477" s="680" t="s">
        <v>6153</v>
      </c>
    </row>
    <row r="15478" spans="8:8">
      <c r="H15478" s="680" t="s">
        <v>6153</v>
      </c>
    </row>
    <row r="15479" spans="8:8">
      <c r="H15479" s="680" t="s">
        <v>6153</v>
      </c>
    </row>
    <row r="15480" spans="8:8">
      <c r="H15480" s="680" t="s">
        <v>6153</v>
      </c>
    </row>
    <row r="15481" spans="8:8">
      <c r="H15481" s="680" t="s">
        <v>6153</v>
      </c>
    </row>
    <row r="15482" spans="8:8">
      <c r="H15482" s="680" t="s">
        <v>6153</v>
      </c>
    </row>
    <row r="15483" spans="8:8">
      <c r="H15483" s="680" t="s">
        <v>6153</v>
      </c>
    </row>
    <row r="15484" spans="8:8">
      <c r="H15484" s="680" t="s">
        <v>6153</v>
      </c>
    </row>
    <row r="15485" spans="8:8">
      <c r="H15485" s="680" t="s">
        <v>6153</v>
      </c>
    </row>
    <row r="15486" spans="8:8">
      <c r="H15486" s="680" t="s">
        <v>6153</v>
      </c>
    </row>
    <row r="15487" spans="8:8">
      <c r="H15487" s="680" t="s">
        <v>6153</v>
      </c>
    </row>
    <row r="15488" spans="8:8">
      <c r="H15488" s="680" t="s">
        <v>6153</v>
      </c>
    </row>
    <row r="15489" spans="8:8">
      <c r="H15489" s="680" t="s">
        <v>6153</v>
      </c>
    </row>
    <row r="15490" spans="8:8">
      <c r="H15490" s="680" t="s">
        <v>6153</v>
      </c>
    </row>
    <row r="15491" spans="8:8">
      <c r="H15491" s="680" t="s">
        <v>6153</v>
      </c>
    </row>
    <row r="15492" spans="8:8">
      <c r="H15492" s="680" t="s">
        <v>6153</v>
      </c>
    </row>
    <row r="15493" spans="8:8">
      <c r="H15493" s="680" t="s">
        <v>6153</v>
      </c>
    </row>
    <row r="15494" spans="8:8">
      <c r="H15494" s="680" t="s">
        <v>6153</v>
      </c>
    </row>
    <row r="15495" spans="8:8">
      <c r="H15495" s="680" t="s">
        <v>6153</v>
      </c>
    </row>
    <row r="15496" spans="8:8">
      <c r="H15496" s="680" t="s">
        <v>6153</v>
      </c>
    </row>
    <row r="15497" spans="8:8">
      <c r="H15497" s="680" t="s">
        <v>6153</v>
      </c>
    </row>
    <row r="15498" spans="8:8">
      <c r="H15498" s="680" t="s">
        <v>6153</v>
      </c>
    </row>
    <row r="15499" spans="8:8">
      <c r="H15499" s="680" t="s">
        <v>6153</v>
      </c>
    </row>
    <row r="15500" spans="8:8">
      <c r="H15500" s="680" t="s">
        <v>6153</v>
      </c>
    </row>
    <row r="15501" spans="8:8">
      <c r="H15501" s="680" t="s">
        <v>6153</v>
      </c>
    </row>
    <row r="15502" spans="8:8">
      <c r="H15502" s="680" t="s">
        <v>6153</v>
      </c>
    </row>
    <row r="15503" spans="8:8">
      <c r="H15503" s="680" t="s">
        <v>6153</v>
      </c>
    </row>
    <row r="15504" spans="8:8">
      <c r="H15504" s="680" t="s">
        <v>6153</v>
      </c>
    </row>
    <row r="15505" spans="8:8">
      <c r="H15505" s="680" t="s">
        <v>6153</v>
      </c>
    </row>
    <row r="15506" spans="8:8">
      <c r="H15506" s="680" t="s">
        <v>6153</v>
      </c>
    </row>
    <row r="15507" spans="8:8">
      <c r="H15507" s="680" t="s">
        <v>6153</v>
      </c>
    </row>
    <row r="15508" spans="8:8">
      <c r="H15508" s="680" t="s">
        <v>6153</v>
      </c>
    </row>
    <row r="15509" spans="8:8">
      <c r="H15509" s="680" t="s">
        <v>6153</v>
      </c>
    </row>
    <row r="15510" spans="8:8">
      <c r="H15510" s="680" t="s">
        <v>6153</v>
      </c>
    </row>
    <row r="15511" spans="8:8">
      <c r="H15511" s="680" t="s">
        <v>6153</v>
      </c>
    </row>
    <row r="15512" spans="8:8">
      <c r="H15512" s="680" t="s">
        <v>6153</v>
      </c>
    </row>
    <row r="15513" spans="8:8">
      <c r="H15513" s="680" t="s">
        <v>6153</v>
      </c>
    </row>
    <row r="15514" spans="8:8">
      <c r="H15514" s="680" t="s">
        <v>6153</v>
      </c>
    </row>
    <row r="15515" spans="8:8">
      <c r="H15515" s="680" t="s">
        <v>6153</v>
      </c>
    </row>
    <row r="15516" spans="8:8">
      <c r="H15516" s="680" t="s">
        <v>6153</v>
      </c>
    </row>
    <row r="15517" spans="8:8">
      <c r="H15517" s="680" t="s">
        <v>6153</v>
      </c>
    </row>
    <row r="15518" spans="8:8">
      <c r="H15518" s="680" t="s">
        <v>6153</v>
      </c>
    </row>
    <row r="15519" spans="8:8">
      <c r="H15519" s="680" t="s">
        <v>6153</v>
      </c>
    </row>
    <row r="15520" spans="8:8">
      <c r="H15520" s="680" t="s">
        <v>6153</v>
      </c>
    </row>
    <row r="15521" spans="8:8">
      <c r="H15521" s="680" t="s">
        <v>6153</v>
      </c>
    </row>
    <row r="15522" spans="8:8">
      <c r="H15522" s="680" t="s">
        <v>6153</v>
      </c>
    </row>
    <row r="15523" spans="8:8">
      <c r="H15523" s="680" t="s">
        <v>6153</v>
      </c>
    </row>
    <row r="15524" spans="8:8">
      <c r="H15524" s="680" t="s">
        <v>6153</v>
      </c>
    </row>
    <row r="15525" spans="8:8">
      <c r="H15525" s="680" t="s">
        <v>6153</v>
      </c>
    </row>
    <row r="15526" spans="8:8">
      <c r="H15526" s="680" t="s">
        <v>6153</v>
      </c>
    </row>
    <row r="15527" spans="8:8">
      <c r="H15527" s="680" t="s">
        <v>6153</v>
      </c>
    </row>
    <row r="15528" spans="8:8">
      <c r="H15528" s="680" t="s">
        <v>6153</v>
      </c>
    </row>
    <row r="15529" spans="8:8">
      <c r="H15529" s="680" t="s">
        <v>6153</v>
      </c>
    </row>
    <row r="15530" spans="8:8">
      <c r="H15530" s="680" t="s">
        <v>6153</v>
      </c>
    </row>
    <row r="15531" spans="8:8">
      <c r="H15531" s="680" t="s">
        <v>6153</v>
      </c>
    </row>
    <row r="15532" spans="8:8">
      <c r="H15532" s="680" t="s">
        <v>6153</v>
      </c>
    </row>
    <row r="15533" spans="8:8">
      <c r="H15533" s="680" t="s">
        <v>6153</v>
      </c>
    </row>
    <row r="15534" spans="8:8">
      <c r="H15534" s="680" t="s">
        <v>6153</v>
      </c>
    </row>
    <row r="15535" spans="8:8">
      <c r="H15535" s="680" t="s">
        <v>6153</v>
      </c>
    </row>
    <row r="15536" spans="8:8">
      <c r="H15536" s="680" t="s">
        <v>6153</v>
      </c>
    </row>
    <row r="15537" spans="8:8">
      <c r="H15537" s="680" t="s">
        <v>6153</v>
      </c>
    </row>
    <row r="15538" spans="8:8">
      <c r="H15538" s="680" t="s">
        <v>6153</v>
      </c>
    </row>
    <row r="15539" spans="8:8">
      <c r="H15539" s="680" t="s">
        <v>6153</v>
      </c>
    </row>
    <row r="15540" spans="8:8">
      <c r="H15540" s="680" t="s">
        <v>6153</v>
      </c>
    </row>
    <row r="15541" spans="8:8">
      <c r="H15541" s="680" t="s">
        <v>6153</v>
      </c>
    </row>
    <row r="15542" spans="8:8">
      <c r="H15542" s="680" t="s">
        <v>6153</v>
      </c>
    </row>
    <row r="15543" spans="8:8">
      <c r="H15543" s="680" t="s">
        <v>6153</v>
      </c>
    </row>
    <row r="15544" spans="8:8">
      <c r="H15544" s="680" t="s">
        <v>6153</v>
      </c>
    </row>
    <row r="15545" spans="8:8">
      <c r="H15545" s="680" t="s">
        <v>6153</v>
      </c>
    </row>
    <row r="15546" spans="8:8">
      <c r="H15546" s="680" t="s">
        <v>6153</v>
      </c>
    </row>
    <row r="15547" spans="8:8">
      <c r="H15547" s="680" t="s">
        <v>6153</v>
      </c>
    </row>
    <row r="15548" spans="8:8">
      <c r="H15548" s="680" t="s">
        <v>6153</v>
      </c>
    </row>
    <row r="15549" spans="8:8">
      <c r="H15549" s="680" t="s">
        <v>6153</v>
      </c>
    </row>
    <row r="15550" spans="8:8">
      <c r="H15550" s="680" t="s">
        <v>6153</v>
      </c>
    </row>
    <row r="15551" spans="8:8">
      <c r="H15551" s="680" t="s">
        <v>6153</v>
      </c>
    </row>
    <row r="15552" spans="8:8">
      <c r="H15552" s="680" t="s">
        <v>6153</v>
      </c>
    </row>
    <row r="15553" spans="8:8">
      <c r="H15553" s="680" t="s">
        <v>6153</v>
      </c>
    </row>
    <row r="15554" spans="8:8">
      <c r="H15554" s="680" t="s">
        <v>6153</v>
      </c>
    </row>
    <row r="15555" spans="8:8">
      <c r="H15555" s="680" t="s">
        <v>6153</v>
      </c>
    </row>
    <row r="15556" spans="8:8">
      <c r="H15556" s="680" t="s">
        <v>6153</v>
      </c>
    </row>
    <row r="15557" spans="8:8">
      <c r="H15557" s="680" t="s">
        <v>6153</v>
      </c>
    </row>
    <row r="15558" spans="8:8">
      <c r="H15558" s="680" t="s">
        <v>6153</v>
      </c>
    </row>
    <row r="15559" spans="8:8">
      <c r="H15559" s="680" t="s">
        <v>6153</v>
      </c>
    </row>
    <row r="15560" spans="8:8">
      <c r="H15560" s="680" t="s">
        <v>6153</v>
      </c>
    </row>
    <row r="15561" spans="8:8">
      <c r="H15561" s="680" t="s">
        <v>6153</v>
      </c>
    </row>
    <row r="15562" spans="8:8">
      <c r="H15562" s="680" t="s">
        <v>6153</v>
      </c>
    </row>
    <row r="15563" spans="8:8">
      <c r="H15563" s="680" t="s">
        <v>6153</v>
      </c>
    </row>
    <row r="15564" spans="8:8">
      <c r="H15564" s="680" t="s">
        <v>6153</v>
      </c>
    </row>
    <row r="15565" spans="8:8">
      <c r="H15565" s="680" t="s">
        <v>6153</v>
      </c>
    </row>
    <row r="15566" spans="8:8">
      <c r="H15566" s="680" t="s">
        <v>6153</v>
      </c>
    </row>
    <row r="15567" spans="8:8">
      <c r="H15567" s="680" t="s">
        <v>6153</v>
      </c>
    </row>
    <row r="15568" spans="8:8">
      <c r="H15568" s="680" t="s">
        <v>6153</v>
      </c>
    </row>
    <row r="15569" spans="8:8">
      <c r="H15569" s="680" t="s">
        <v>6153</v>
      </c>
    </row>
    <row r="15570" spans="8:8">
      <c r="H15570" s="680" t="s">
        <v>6153</v>
      </c>
    </row>
    <row r="15571" spans="8:8">
      <c r="H15571" s="680" t="s">
        <v>6153</v>
      </c>
    </row>
    <row r="15572" spans="8:8">
      <c r="H15572" s="680" t="s">
        <v>6153</v>
      </c>
    </row>
    <row r="15573" spans="8:8">
      <c r="H15573" s="680" t="s">
        <v>6153</v>
      </c>
    </row>
    <row r="15574" spans="8:8">
      <c r="H15574" s="680" t="s">
        <v>6153</v>
      </c>
    </row>
    <row r="15575" spans="8:8">
      <c r="H15575" s="680" t="s">
        <v>6153</v>
      </c>
    </row>
    <row r="15576" spans="8:8">
      <c r="H15576" s="680" t="s">
        <v>6153</v>
      </c>
    </row>
    <row r="15577" spans="8:8">
      <c r="H15577" s="680" t="s">
        <v>6153</v>
      </c>
    </row>
    <row r="15578" spans="8:8">
      <c r="H15578" s="680" t="s">
        <v>6153</v>
      </c>
    </row>
    <row r="15579" spans="8:8">
      <c r="H15579" s="680" t="s">
        <v>6153</v>
      </c>
    </row>
    <row r="15580" spans="8:8">
      <c r="H15580" s="680" t="s">
        <v>6153</v>
      </c>
    </row>
    <row r="15581" spans="8:8">
      <c r="H15581" s="680" t="s">
        <v>6153</v>
      </c>
    </row>
    <row r="15582" spans="8:8">
      <c r="H15582" s="680" t="s">
        <v>6153</v>
      </c>
    </row>
    <row r="15583" spans="8:8">
      <c r="H15583" s="680" t="s">
        <v>6153</v>
      </c>
    </row>
    <row r="15584" spans="8:8">
      <c r="H15584" s="680" t="s">
        <v>6153</v>
      </c>
    </row>
    <row r="15585" spans="8:8">
      <c r="H15585" s="680" t="s">
        <v>6153</v>
      </c>
    </row>
    <row r="15586" spans="8:8">
      <c r="H15586" s="680" t="s">
        <v>6153</v>
      </c>
    </row>
    <row r="15587" spans="8:8">
      <c r="H15587" s="680" t="s">
        <v>6153</v>
      </c>
    </row>
    <row r="15588" spans="8:8">
      <c r="H15588" s="680" t="s">
        <v>6153</v>
      </c>
    </row>
    <row r="15589" spans="8:8">
      <c r="H15589" s="680" t="s">
        <v>6153</v>
      </c>
    </row>
    <row r="15590" spans="8:8">
      <c r="H15590" s="680" t="s">
        <v>6153</v>
      </c>
    </row>
    <row r="15591" spans="8:8">
      <c r="H15591" s="680" t="s">
        <v>6153</v>
      </c>
    </row>
    <row r="15592" spans="8:8">
      <c r="H15592" s="680" t="s">
        <v>6153</v>
      </c>
    </row>
    <row r="15593" spans="8:8">
      <c r="H15593" s="680" t="s">
        <v>6153</v>
      </c>
    </row>
    <row r="15594" spans="8:8">
      <c r="H15594" s="680" t="s">
        <v>6153</v>
      </c>
    </row>
    <row r="15595" spans="8:8">
      <c r="H15595" s="680" t="s">
        <v>6153</v>
      </c>
    </row>
    <row r="15596" spans="8:8">
      <c r="H15596" s="680" t="s">
        <v>6153</v>
      </c>
    </row>
    <row r="15597" spans="8:8">
      <c r="H15597" s="680" t="s">
        <v>6153</v>
      </c>
    </row>
    <row r="15598" spans="8:8">
      <c r="H15598" s="680" t="s">
        <v>6153</v>
      </c>
    </row>
    <row r="15599" spans="8:8">
      <c r="H15599" s="680" t="s">
        <v>6153</v>
      </c>
    </row>
    <row r="15600" spans="8:8">
      <c r="H15600" s="680" t="s">
        <v>6153</v>
      </c>
    </row>
    <row r="15601" spans="8:8">
      <c r="H15601" s="680" t="s">
        <v>6153</v>
      </c>
    </row>
    <row r="15602" spans="8:8">
      <c r="H15602" s="680" t="s">
        <v>6153</v>
      </c>
    </row>
    <row r="15603" spans="8:8">
      <c r="H15603" s="680" t="s">
        <v>6153</v>
      </c>
    </row>
    <row r="15604" spans="8:8">
      <c r="H15604" s="680" t="s">
        <v>6153</v>
      </c>
    </row>
    <row r="15605" spans="8:8">
      <c r="H15605" s="680" t="s">
        <v>6153</v>
      </c>
    </row>
    <row r="15606" spans="8:8">
      <c r="H15606" s="680" t="s">
        <v>6153</v>
      </c>
    </row>
    <row r="15607" spans="8:8">
      <c r="H15607" s="680" t="s">
        <v>6153</v>
      </c>
    </row>
    <row r="15608" spans="8:8">
      <c r="H15608" s="680" t="s">
        <v>6153</v>
      </c>
    </row>
    <row r="15609" spans="8:8">
      <c r="H15609" s="680" t="s">
        <v>6153</v>
      </c>
    </row>
    <row r="15610" spans="8:8">
      <c r="H15610" s="680" t="s">
        <v>6153</v>
      </c>
    </row>
    <row r="15611" spans="8:8">
      <c r="H15611" s="680" t="s">
        <v>6153</v>
      </c>
    </row>
    <row r="15612" spans="8:8">
      <c r="H15612" s="680" t="s">
        <v>6153</v>
      </c>
    </row>
    <row r="15613" spans="8:8">
      <c r="H15613" s="680" t="s">
        <v>6153</v>
      </c>
    </row>
    <row r="15614" spans="8:8">
      <c r="H15614" s="680" t="s">
        <v>6153</v>
      </c>
    </row>
    <row r="15615" spans="8:8">
      <c r="H15615" s="680" t="s">
        <v>6153</v>
      </c>
    </row>
    <row r="15616" spans="8:8">
      <c r="H15616" s="680" t="s">
        <v>6153</v>
      </c>
    </row>
    <row r="15617" spans="8:8">
      <c r="H15617" s="680" t="s">
        <v>6153</v>
      </c>
    </row>
    <row r="15618" spans="8:8">
      <c r="H15618" s="680" t="s">
        <v>6153</v>
      </c>
    </row>
    <row r="15619" spans="8:8">
      <c r="H15619" s="680" t="s">
        <v>6153</v>
      </c>
    </row>
    <row r="15620" spans="8:8">
      <c r="H15620" s="680" t="s">
        <v>6153</v>
      </c>
    </row>
    <row r="15621" spans="8:8">
      <c r="H15621" s="680" t="s">
        <v>6153</v>
      </c>
    </row>
    <row r="15622" spans="8:8">
      <c r="H15622" s="680" t="s">
        <v>6153</v>
      </c>
    </row>
    <row r="15623" spans="8:8">
      <c r="H15623" s="680" t="s">
        <v>6153</v>
      </c>
    </row>
    <row r="15624" spans="8:8">
      <c r="H15624" s="680" t="s">
        <v>6153</v>
      </c>
    </row>
    <row r="15625" spans="8:8">
      <c r="H15625" s="680" t="s">
        <v>6153</v>
      </c>
    </row>
    <row r="15626" spans="8:8">
      <c r="H15626" s="680" t="s">
        <v>6153</v>
      </c>
    </row>
    <row r="15627" spans="8:8">
      <c r="H15627" s="680" t="s">
        <v>6153</v>
      </c>
    </row>
    <row r="15628" spans="8:8">
      <c r="H15628" s="680" t="s">
        <v>6153</v>
      </c>
    </row>
    <row r="15629" spans="8:8">
      <c r="H15629" s="680" t="s">
        <v>6153</v>
      </c>
    </row>
    <row r="15630" spans="8:8">
      <c r="H15630" s="680" t="s">
        <v>6153</v>
      </c>
    </row>
    <row r="15631" spans="8:8">
      <c r="H15631" s="680" t="s">
        <v>6153</v>
      </c>
    </row>
    <row r="15632" spans="8:8">
      <c r="H15632" s="680" t="s">
        <v>6153</v>
      </c>
    </row>
    <row r="15633" spans="8:8">
      <c r="H15633" s="680" t="s">
        <v>6153</v>
      </c>
    </row>
    <row r="15634" spans="8:8">
      <c r="H15634" s="680" t="s">
        <v>6153</v>
      </c>
    </row>
    <row r="15635" spans="8:8">
      <c r="H15635" s="680" t="s">
        <v>6153</v>
      </c>
    </row>
    <row r="15636" spans="8:8">
      <c r="H15636" s="680" t="s">
        <v>6153</v>
      </c>
    </row>
    <row r="15637" spans="8:8">
      <c r="H15637" s="680" t="s">
        <v>6153</v>
      </c>
    </row>
    <row r="15638" spans="8:8">
      <c r="H15638" s="680" t="s">
        <v>6153</v>
      </c>
    </row>
    <row r="15639" spans="8:8">
      <c r="H15639" s="680" t="s">
        <v>6153</v>
      </c>
    </row>
    <row r="15640" spans="8:8">
      <c r="H15640" s="680" t="s">
        <v>6153</v>
      </c>
    </row>
    <row r="15641" spans="8:8">
      <c r="H15641" s="680" t="s">
        <v>6153</v>
      </c>
    </row>
    <row r="15642" spans="8:8">
      <c r="H15642" s="680" t="s">
        <v>6153</v>
      </c>
    </row>
    <row r="15643" spans="8:8">
      <c r="H15643" s="680" t="s">
        <v>6153</v>
      </c>
    </row>
    <row r="15644" spans="8:8">
      <c r="H15644" s="680" t="s">
        <v>6153</v>
      </c>
    </row>
    <row r="15645" spans="8:8">
      <c r="H15645" s="680" t="s">
        <v>6153</v>
      </c>
    </row>
    <row r="15646" spans="8:8">
      <c r="H15646" s="680" t="s">
        <v>6153</v>
      </c>
    </row>
    <row r="15647" spans="8:8">
      <c r="H15647" s="680" t="s">
        <v>6153</v>
      </c>
    </row>
    <row r="15648" spans="8:8">
      <c r="H15648" s="680" t="s">
        <v>6153</v>
      </c>
    </row>
    <row r="15649" spans="8:8">
      <c r="H15649" s="680" t="s">
        <v>6153</v>
      </c>
    </row>
    <row r="15650" spans="8:8">
      <c r="H15650" s="680" t="s">
        <v>6153</v>
      </c>
    </row>
    <row r="15651" spans="8:8">
      <c r="H15651" s="680" t="s">
        <v>6153</v>
      </c>
    </row>
    <row r="15652" spans="8:8">
      <c r="H15652" s="680" t="s">
        <v>6153</v>
      </c>
    </row>
    <row r="15653" spans="8:8">
      <c r="H15653" s="680" t="s">
        <v>6153</v>
      </c>
    </row>
    <row r="15654" spans="8:8">
      <c r="H15654" s="680" t="s">
        <v>6153</v>
      </c>
    </row>
    <row r="15655" spans="8:8">
      <c r="H15655" s="680" t="s">
        <v>6153</v>
      </c>
    </row>
    <row r="15656" spans="8:8">
      <c r="H15656" s="680" t="s">
        <v>6153</v>
      </c>
    </row>
    <row r="15657" spans="8:8">
      <c r="H15657" s="680" t="s">
        <v>6153</v>
      </c>
    </row>
    <row r="15658" spans="8:8">
      <c r="H15658" s="680" t="s">
        <v>6153</v>
      </c>
    </row>
    <row r="15659" spans="8:8">
      <c r="H15659" s="680" t="s">
        <v>6153</v>
      </c>
    </row>
    <row r="15660" spans="8:8">
      <c r="H15660" s="680" t="s">
        <v>6153</v>
      </c>
    </row>
    <row r="15661" spans="8:8">
      <c r="H15661" s="680" t="s">
        <v>6153</v>
      </c>
    </row>
    <row r="15662" spans="8:8">
      <c r="H15662" s="680" t="s">
        <v>6153</v>
      </c>
    </row>
    <row r="15663" spans="8:8">
      <c r="H15663" s="680" t="s">
        <v>6153</v>
      </c>
    </row>
    <row r="15664" spans="8:8">
      <c r="H15664" s="680" t="s">
        <v>6153</v>
      </c>
    </row>
    <row r="15665" spans="8:8">
      <c r="H15665" s="680" t="s">
        <v>6153</v>
      </c>
    </row>
    <row r="15666" spans="8:8">
      <c r="H15666" s="680" t="s">
        <v>6153</v>
      </c>
    </row>
    <row r="15667" spans="8:8">
      <c r="H15667" s="680" t="s">
        <v>6153</v>
      </c>
    </row>
    <row r="15668" spans="8:8">
      <c r="H15668" s="680" t="s">
        <v>6153</v>
      </c>
    </row>
    <row r="15669" spans="8:8">
      <c r="H15669" s="680" t="s">
        <v>6153</v>
      </c>
    </row>
    <row r="15670" spans="8:8">
      <c r="H15670" s="680" t="s">
        <v>6153</v>
      </c>
    </row>
    <row r="15671" spans="8:8">
      <c r="H15671" s="680" t="s">
        <v>6153</v>
      </c>
    </row>
    <row r="15672" spans="8:8">
      <c r="H15672" s="680" t="s">
        <v>6153</v>
      </c>
    </row>
    <row r="15673" spans="8:8">
      <c r="H15673" s="680" t="s">
        <v>6153</v>
      </c>
    </row>
    <row r="15674" spans="8:8">
      <c r="H15674" s="680" t="s">
        <v>6153</v>
      </c>
    </row>
    <row r="15675" spans="8:8">
      <c r="H15675" s="680" t="s">
        <v>6153</v>
      </c>
    </row>
    <row r="15676" spans="8:8">
      <c r="H15676" s="680" t="s">
        <v>6153</v>
      </c>
    </row>
    <row r="15677" spans="8:8">
      <c r="H15677" s="680" t="s">
        <v>6153</v>
      </c>
    </row>
    <row r="15678" spans="8:8">
      <c r="H15678" s="680" t="s">
        <v>6153</v>
      </c>
    </row>
    <row r="15679" spans="8:8">
      <c r="H15679" s="680" t="s">
        <v>6153</v>
      </c>
    </row>
    <row r="15680" spans="8:8">
      <c r="H15680" s="680" t="s">
        <v>6153</v>
      </c>
    </row>
    <row r="15681" spans="8:8">
      <c r="H15681" s="680" t="s">
        <v>6153</v>
      </c>
    </row>
    <row r="15682" spans="8:8">
      <c r="H15682" s="680" t="s">
        <v>6153</v>
      </c>
    </row>
    <row r="15683" spans="8:8">
      <c r="H15683" s="680" t="s">
        <v>6153</v>
      </c>
    </row>
    <row r="15684" spans="8:8">
      <c r="H15684" s="680" t="s">
        <v>6153</v>
      </c>
    </row>
    <row r="15685" spans="8:8">
      <c r="H15685" s="680" t="s">
        <v>6153</v>
      </c>
    </row>
    <row r="15686" spans="8:8">
      <c r="H15686" s="680" t="s">
        <v>6153</v>
      </c>
    </row>
    <row r="15687" spans="8:8">
      <c r="H15687" s="680" t="s">
        <v>6153</v>
      </c>
    </row>
    <row r="15688" spans="8:8">
      <c r="H15688" s="680" t="s">
        <v>6153</v>
      </c>
    </row>
    <row r="15689" spans="8:8">
      <c r="H15689" s="680" t="s">
        <v>6153</v>
      </c>
    </row>
    <row r="15690" spans="8:8">
      <c r="H15690" s="680" t="s">
        <v>6153</v>
      </c>
    </row>
    <row r="15691" spans="8:8">
      <c r="H15691" s="680" t="s">
        <v>6153</v>
      </c>
    </row>
    <row r="15692" spans="8:8">
      <c r="H15692" s="680" t="s">
        <v>6153</v>
      </c>
    </row>
    <row r="15693" spans="8:8">
      <c r="H15693" s="680" t="s">
        <v>6153</v>
      </c>
    </row>
    <row r="15694" spans="8:8">
      <c r="H15694" s="680" t="s">
        <v>6153</v>
      </c>
    </row>
    <row r="15695" spans="8:8">
      <c r="H15695" s="680" t="s">
        <v>6153</v>
      </c>
    </row>
    <row r="15696" spans="8:8">
      <c r="H15696" s="680" t="s">
        <v>6153</v>
      </c>
    </row>
    <row r="15697" spans="8:8">
      <c r="H15697" s="680" t="s">
        <v>6153</v>
      </c>
    </row>
    <row r="15698" spans="8:8">
      <c r="H15698" s="680" t="s">
        <v>6153</v>
      </c>
    </row>
    <row r="15699" spans="8:8">
      <c r="H15699" s="680" t="s">
        <v>6153</v>
      </c>
    </row>
    <row r="15700" spans="8:8">
      <c r="H15700" s="680" t="s">
        <v>6153</v>
      </c>
    </row>
    <row r="15701" spans="8:8">
      <c r="H15701" s="680" t="s">
        <v>6153</v>
      </c>
    </row>
    <row r="15702" spans="8:8">
      <c r="H15702" s="680" t="s">
        <v>6153</v>
      </c>
    </row>
    <row r="15703" spans="8:8">
      <c r="H15703" s="680" t="s">
        <v>6153</v>
      </c>
    </row>
    <row r="15704" spans="8:8">
      <c r="H15704" s="680" t="s">
        <v>6153</v>
      </c>
    </row>
    <row r="15705" spans="8:8">
      <c r="H15705" s="680" t="s">
        <v>6153</v>
      </c>
    </row>
    <row r="15706" spans="8:8">
      <c r="H15706" s="680" t="s">
        <v>6153</v>
      </c>
    </row>
    <row r="15707" spans="8:8">
      <c r="H15707" s="680" t="s">
        <v>6153</v>
      </c>
    </row>
    <row r="15708" spans="8:8">
      <c r="H15708" s="680" t="s">
        <v>6153</v>
      </c>
    </row>
    <row r="15709" spans="8:8">
      <c r="H15709" s="680" t="s">
        <v>6153</v>
      </c>
    </row>
    <row r="15710" spans="8:8">
      <c r="H15710" s="680" t="s">
        <v>6153</v>
      </c>
    </row>
    <row r="15711" spans="8:8">
      <c r="H15711" s="680" t="s">
        <v>6153</v>
      </c>
    </row>
    <row r="15712" spans="8:8">
      <c r="H15712" s="680" t="s">
        <v>6153</v>
      </c>
    </row>
    <row r="15713" spans="8:8">
      <c r="H15713" s="680" t="s">
        <v>6153</v>
      </c>
    </row>
    <row r="15714" spans="8:8">
      <c r="H15714" s="680" t="s">
        <v>6153</v>
      </c>
    </row>
    <row r="15715" spans="8:8">
      <c r="H15715" s="680" t="s">
        <v>6153</v>
      </c>
    </row>
    <row r="15716" spans="8:8">
      <c r="H15716" s="680" t="s">
        <v>6153</v>
      </c>
    </row>
    <row r="15717" spans="8:8">
      <c r="H15717" s="680" t="s">
        <v>6153</v>
      </c>
    </row>
    <row r="15718" spans="8:8">
      <c r="H15718" s="680" t="s">
        <v>6153</v>
      </c>
    </row>
    <row r="15719" spans="8:8">
      <c r="H15719" s="680" t="s">
        <v>6153</v>
      </c>
    </row>
    <row r="15720" spans="8:8">
      <c r="H15720" s="680" t="s">
        <v>6153</v>
      </c>
    </row>
    <row r="15721" spans="8:8">
      <c r="H15721" s="680" t="s">
        <v>6153</v>
      </c>
    </row>
    <row r="15722" spans="8:8">
      <c r="H15722" s="680" t="s">
        <v>6153</v>
      </c>
    </row>
    <row r="15723" spans="8:8">
      <c r="H15723" s="680" t="s">
        <v>6153</v>
      </c>
    </row>
    <row r="15724" spans="8:8">
      <c r="H15724" s="680" t="s">
        <v>6153</v>
      </c>
    </row>
    <row r="15725" spans="8:8">
      <c r="H15725" s="680" t="s">
        <v>6153</v>
      </c>
    </row>
    <row r="15726" spans="8:8">
      <c r="H15726" s="680" t="s">
        <v>6153</v>
      </c>
    </row>
    <row r="15727" spans="8:8">
      <c r="H15727" s="680" t="s">
        <v>6153</v>
      </c>
    </row>
    <row r="15728" spans="8:8">
      <c r="H15728" s="680" t="s">
        <v>6153</v>
      </c>
    </row>
    <row r="15729" spans="8:8">
      <c r="H15729" s="680" t="s">
        <v>6153</v>
      </c>
    </row>
    <row r="15730" spans="8:8">
      <c r="H15730" s="680" t="s">
        <v>6153</v>
      </c>
    </row>
    <row r="15731" spans="8:8">
      <c r="H15731" s="680" t="s">
        <v>6153</v>
      </c>
    </row>
    <row r="15732" spans="8:8">
      <c r="H15732" s="680" t="s">
        <v>6153</v>
      </c>
    </row>
    <row r="15733" spans="8:8">
      <c r="H15733" s="680" t="s">
        <v>6153</v>
      </c>
    </row>
    <row r="15734" spans="8:8">
      <c r="H15734" s="680" t="s">
        <v>6153</v>
      </c>
    </row>
    <row r="15735" spans="8:8">
      <c r="H15735" s="680" t="s">
        <v>6153</v>
      </c>
    </row>
    <row r="15736" spans="8:8">
      <c r="H15736" s="680" t="s">
        <v>6153</v>
      </c>
    </row>
    <row r="15737" spans="8:8">
      <c r="H15737" s="680" t="s">
        <v>6153</v>
      </c>
    </row>
    <row r="15738" spans="8:8">
      <c r="H15738" s="680" t="s">
        <v>6153</v>
      </c>
    </row>
    <row r="15739" spans="8:8">
      <c r="H15739" s="680" t="s">
        <v>6153</v>
      </c>
    </row>
    <row r="15740" spans="8:8">
      <c r="H15740" s="680" t="s">
        <v>6153</v>
      </c>
    </row>
    <row r="15741" spans="8:8">
      <c r="H15741" s="680" t="s">
        <v>6153</v>
      </c>
    </row>
    <row r="15742" spans="8:8">
      <c r="H15742" s="680" t="s">
        <v>6153</v>
      </c>
    </row>
    <row r="15743" spans="8:8">
      <c r="H15743" s="680" t="s">
        <v>6153</v>
      </c>
    </row>
    <row r="15744" spans="8:8">
      <c r="H15744" s="680" t="s">
        <v>6153</v>
      </c>
    </row>
    <row r="15745" spans="8:8">
      <c r="H15745" s="680" t="s">
        <v>6153</v>
      </c>
    </row>
    <row r="15746" spans="8:8">
      <c r="H15746" s="680" t="s">
        <v>6153</v>
      </c>
    </row>
    <row r="15747" spans="8:8">
      <c r="H15747" s="680" t="s">
        <v>6153</v>
      </c>
    </row>
    <row r="15748" spans="8:8">
      <c r="H15748" s="680" t="s">
        <v>6153</v>
      </c>
    </row>
    <row r="15749" spans="8:8">
      <c r="H15749" s="680" t="s">
        <v>6153</v>
      </c>
    </row>
    <row r="15750" spans="8:8">
      <c r="H15750" s="680" t="s">
        <v>6153</v>
      </c>
    </row>
    <row r="15751" spans="8:8">
      <c r="H15751" s="680" t="s">
        <v>6153</v>
      </c>
    </row>
    <row r="15752" spans="8:8">
      <c r="H15752" s="680" t="s">
        <v>6153</v>
      </c>
    </row>
    <row r="15753" spans="8:8">
      <c r="H15753" s="680" t="s">
        <v>6153</v>
      </c>
    </row>
    <row r="15754" spans="8:8">
      <c r="H15754" s="680" t="s">
        <v>6153</v>
      </c>
    </row>
    <row r="15755" spans="8:8">
      <c r="H15755" s="680" t="s">
        <v>6153</v>
      </c>
    </row>
    <row r="15756" spans="8:8">
      <c r="H15756" s="680" t="s">
        <v>6153</v>
      </c>
    </row>
    <row r="15757" spans="8:8">
      <c r="H15757" s="680" t="s">
        <v>6153</v>
      </c>
    </row>
    <row r="15758" spans="8:8">
      <c r="H15758" s="680" t="s">
        <v>6153</v>
      </c>
    </row>
    <row r="15759" spans="8:8">
      <c r="H15759" s="680" t="s">
        <v>6153</v>
      </c>
    </row>
    <row r="15760" spans="8:8">
      <c r="H15760" s="680" t="s">
        <v>6153</v>
      </c>
    </row>
    <row r="15761" spans="8:8">
      <c r="H15761" s="680" t="s">
        <v>6153</v>
      </c>
    </row>
    <row r="15762" spans="8:8">
      <c r="H15762" s="680" t="s">
        <v>6153</v>
      </c>
    </row>
    <row r="15763" spans="8:8">
      <c r="H15763" s="680" t="s">
        <v>6153</v>
      </c>
    </row>
    <row r="15764" spans="8:8">
      <c r="H15764" s="680" t="s">
        <v>6153</v>
      </c>
    </row>
    <row r="15765" spans="8:8">
      <c r="H15765" s="680" t="s">
        <v>6153</v>
      </c>
    </row>
    <row r="15766" spans="8:8">
      <c r="H15766" s="680" t="s">
        <v>6153</v>
      </c>
    </row>
    <row r="15767" spans="8:8">
      <c r="H15767" s="680" t="s">
        <v>6153</v>
      </c>
    </row>
    <row r="15768" spans="8:8">
      <c r="H15768" s="680" t="s">
        <v>6153</v>
      </c>
    </row>
    <row r="15769" spans="8:8">
      <c r="H15769" s="680" t="s">
        <v>6153</v>
      </c>
    </row>
    <row r="15770" spans="8:8">
      <c r="H15770" s="680" t="s">
        <v>6153</v>
      </c>
    </row>
    <row r="15771" spans="8:8">
      <c r="H15771" s="680" t="s">
        <v>6153</v>
      </c>
    </row>
    <row r="15772" spans="8:8">
      <c r="H15772" s="680" t="s">
        <v>6153</v>
      </c>
    </row>
    <row r="15773" spans="8:8">
      <c r="H15773" s="680" t="s">
        <v>6153</v>
      </c>
    </row>
    <row r="15774" spans="8:8">
      <c r="H15774" s="680" t="s">
        <v>6153</v>
      </c>
    </row>
    <row r="15775" spans="8:8">
      <c r="H15775" s="680" t="s">
        <v>6153</v>
      </c>
    </row>
    <row r="15776" spans="8:8">
      <c r="H15776" s="680" t="s">
        <v>6153</v>
      </c>
    </row>
    <row r="15777" spans="8:8">
      <c r="H15777" s="680" t="s">
        <v>6153</v>
      </c>
    </row>
    <row r="15778" spans="8:8">
      <c r="H15778" s="680" t="s">
        <v>6153</v>
      </c>
    </row>
    <row r="15779" spans="8:8">
      <c r="H15779" s="680" t="s">
        <v>6153</v>
      </c>
    </row>
    <row r="15780" spans="8:8">
      <c r="H15780" s="680" t="s">
        <v>6153</v>
      </c>
    </row>
    <row r="15781" spans="8:8">
      <c r="H15781" s="680" t="s">
        <v>6153</v>
      </c>
    </row>
    <row r="15782" spans="8:8">
      <c r="H15782" s="680" t="s">
        <v>6153</v>
      </c>
    </row>
    <row r="15783" spans="8:8">
      <c r="H15783" s="680" t="s">
        <v>6153</v>
      </c>
    </row>
    <row r="15784" spans="8:8">
      <c r="H15784" s="680" t="s">
        <v>6153</v>
      </c>
    </row>
    <row r="15785" spans="8:8">
      <c r="H15785" s="680" t="s">
        <v>6153</v>
      </c>
    </row>
    <row r="15786" spans="8:8">
      <c r="H15786" s="680" t="s">
        <v>6153</v>
      </c>
    </row>
    <row r="15787" spans="8:8">
      <c r="H15787" s="680" t="s">
        <v>6153</v>
      </c>
    </row>
    <row r="15788" spans="8:8">
      <c r="H15788" s="680" t="s">
        <v>6153</v>
      </c>
    </row>
    <row r="15789" spans="8:8">
      <c r="H15789" s="680" t="s">
        <v>6153</v>
      </c>
    </row>
    <row r="15790" spans="8:8">
      <c r="H15790" s="680" t="s">
        <v>6153</v>
      </c>
    </row>
    <row r="15791" spans="8:8">
      <c r="H15791" s="680" t="s">
        <v>6153</v>
      </c>
    </row>
    <row r="15792" spans="8:8">
      <c r="H15792" s="680" t="s">
        <v>6153</v>
      </c>
    </row>
    <row r="15793" spans="8:8">
      <c r="H15793" s="680" t="s">
        <v>6153</v>
      </c>
    </row>
    <row r="15794" spans="8:8">
      <c r="H15794" s="680" t="s">
        <v>6153</v>
      </c>
    </row>
    <row r="15795" spans="8:8">
      <c r="H15795" s="680" t="s">
        <v>6153</v>
      </c>
    </row>
    <row r="15796" spans="8:8">
      <c r="H15796" s="680" t="s">
        <v>6153</v>
      </c>
    </row>
    <row r="15797" spans="8:8">
      <c r="H15797" s="680" t="s">
        <v>6153</v>
      </c>
    </row>
    <row r="15798" spans="8:8">
      <c r="H15798" s="680" t="s">
        <v>6153</v>
      </c>
    </row>
    <row r="15799" spans="8:8">
      <c r="H15799" s="680" t="s">
        <v>6153</v>
      </c>
    </row>
    <row r="15800" spans="8:8">
      <c r="H15800" s="680" t="s">
        <v>6153</v>
      </c>
    </row>
    <row r="15801" spans="8:8">
      <c r="H15801" s="680" t="s">
        <v>6153</v>
      </c>
    </row>
    <row r="15802" spans="8:8">
      <c r="H15802" s="680" t="s">
        <v>6153</v>
      </c>
    </row>
    <row r="15803" spans="8:8">
      <c r="H15803" s="680" t="s">
        <v>6153</v>
      </c>
    </row>
    <row r="15804" spans="8:8">
      <c r="H15804" s="680" t="s">
        <v>6153</v>
      </c>
    </row>
    <row r="15805" spans="8:8">
      <c r="H15805" s="680" t="s">
        <v>6153</v>
      </c>
    </row>
    <row r="15806" spans="8:8">
      <c r="H15806" s="680" t="s">
        <v>6153</v>
      </c>
    </row>
    <row r="15807" spans="8:8">
      <c r="H15807" s="680" t="s">
        <v>6153</v>
      </c>
    </row>
    <row r="15808" spans="8:8">
      <c r="H15808" s="680" t="s">
        <v>6153</v>
      </c>
    </row>
    <row r="15809" spans="8:8">
      <c r="H15809" s="680" t="s">
        <v>6153</v>
      </c>
    </row>
    <row r="15810" spans="8:8">
      <c r="H15810" s="680" t="s">
        <v>6153</v>
      </c>
    </row>
    <row r="15811" spans="8:8">
      <c r="H15811" s="680" t="s">
        <v>6153</v>
      </c>
    </row>
    <row r="15812" spans="8:8">
      <c r="H15812" s="680" t="s">
        <v>6153</v>
      </c>
    </row>
    <row r="15813" spans="8:8">
      <c r="H15813" s="680" t="s">
        <v>6153</v>
      </c>
    </row>
    <row r="15814" spans="8:8">
      <c r="H15814" s="680" t="s">
        <v>6153</v>
      </c>
    </row>
    <row r="15815" spans="8:8">
      <c r="H15815" s="680" t="s">
        <v>6153</v>
      </c>
    </row>
    <row r="15816" spans="8:8">
      <c r="H15816" s="680" t="s">
        <v>6153</v>
      </c>
    </row>
    <row r="15817" spans="8:8">
      <c r="H15817" s="680" t="s">
        <v>6153</v>
      </c>
    </row>
    <row r="15818" spans="8:8">
      <c r="H15818" s="680" t="s">
        <v>6153</v>
      </c>
    </row>
    <row r="15819" spans="8:8">
      <c r="H15819" s="680" t="s">
        <v>6153</v>
      </c>
    </row>
    <row r="15820" spans="8:8">
      <c r="H15820" s="680" t="s">
        <v>6153</v>
      </c>
    </row>
    <row r="15821" spans="8:8">
      <c r="H15821" s="680" t="s">
        <v>6153</v>
      </c>
    </row>
    <row r="15822" spans="8:8">
      <c r="H15822" s="680" t="s">
        <v>6153</v>
      </c>
    </row>
    <row r="15823" spans="8:8">
      <c r="H15823" s="680" t="s">
        <v>6153</v>
      </c>
    </row>
    <row r="15824" spans="8:8">
      <c r="H15824" s="680" t="s">
        <v>6153</v>
      </c>
    </row>
    <row r="15825" spans="8:8">
      <c r="H15825" s="680" t="s">
        <v>6153</v>
      </c>
    </row>
    <row r="15826" spans="8:8">
      <c r="H15826" s="680" t="s">
        <v>6153</v>
      </c>
    </row>
    <row r="15827" spans="8:8">
      <c r="H15827" s="680" t="s">
        <v>6153</v>
      </c>
    </row>
    <row r="15828" spans="8:8">
      <c r="H15828" s="680" t="s">
        <v>6153</v>
      </c>
    </row>
    <row r="15829" spans="8:8">
      <c r="H15829" s="680" t="s">
        <v>6153</v>
      </c>
    </row>
    <row r="15830" spans="8:8">
      <c r="H15830" s="680" t="s">
        <v>6153</v>
      </c>
    </row>
    <row r="15831" spans="8:8">
      <c r="H15831" s="680" t="s">
        <v>6153</v>
      </c>
    </row>
    <row r="15832" spans="8:8">
      <c r="H15832" s="680" t="s">
        <v>6153</v>
      </c>
    </row>
    <row r="15833" spans="8:8">
      <c r="H15833" s="680" t="s">
        <v>6153</v>
      </c>
    </row>
    <row r="15834" spans="8:8">
      <c r="H15834" s="680" t="s">
        <v>6153</v>
      </c>
    </row>
    <row r="15835" spans="8:8">
      <c r="H15835" s="680" t="s">
        <v>6153</v>
      </c>
    </row>
    <row r="15836" spans="8:8">
      <c r="H15836" s="680" t="s">
        <v>6153</v>
      </c>
    </row>
    <row r="15837" spans="8:8">
      <c r="H15837" s="680" t="s">
        <v>6153</v>
      </c>
    </row>
    <row r="15838" spans="8:8">
      <c r="H15838" s="680" t="s">
        <v>6153</v>
      </c>
    </row>
    <row r="15839" spans="8:8">
      <c r="H15839" s="680" t="s">
        <v>6153</v>
      </c>
    </row>
    <row r="15840" spans="8:8">
      <c r="H15840" s="680" t="s">
        <v>6153</v>
      </c>
    </row>
    <row r="15841" spans="8:8">
      <c r="H15841" s="680" t="s">
        <v>6153</v>
      </c>
    </row>
    <row r="15842" spans="8:8">
      <c r="H15842" s="680" t="s">
        <v>6153</v>
      </c>
    </row>
    <row r="15843" spans="8:8">
      <c r="H15843" s="680" t="s">
        <v>6153</v>
      </c>
    </row>
    <row r="15844" spans="8:8">
      <c r="H15844" s="680" t="s">
        <v>6153</v>
      </c>
    </row>
    <row r="15845" spans="8:8">
      <c r="H15845" s="680" t="s">
        <v>6153</v>
      </c>
    </row>
    <row r="15846" spans="8:8">
      <c r="H15846" s="680" t="s">
        <v>6153</v>
      </c>
    </row>
    <row r="15847" spans="8:8">
      <c r="H15847" s="680" t="s">
        <v>6153</v>
      </c>
    </row>
    <row r="15848" spans="8:8">
      <c r="H15848" s="680" t="s">
        <v>6153</v>
      </c>
    </row>
    <row r="15849" spans="8:8">
      <c r="H15849" s="680" t="s">
        <v>6153</v>
      </c>
    </row>
    <row r="15850" spans="8:8">
      <c r="H15850" s="680" t="s">
        <v>6153</v>
      </c>
    </row>
    <row r="15851" spans="8:8">
      <c r="H15851" s="680" t="s">
        <v>6153</v>
      </c>
    </row>
    <row r="15852" spans="8:8">
      <c r="H15852" s="680" t="s">
        <v>6153</v>
      </c>
    </row>
    <row r="15853" spans="8:8">
      <c r="H15853" s="680" t="s">
        <v>6153</v>
      </c>
    </row>
    <row r="15854" spans="8:8">
      <c r="H15854" s="680" t="s">
        <v>6153</v>
      </c>
    </row>
    <row r="15855" spans="8:8">
      <c r="H15855" s="680" t="s">
        <v>6153</v>
      </c>
    </row>
    <row r="15856" spans="8:8">
      <c r="H15856" s="680" t="s">
        <v>6153</v>
      </c>
    </row>
    <row r="15857" spans="8:8">
      <c r="H15857" s="680" t="s">
        <v>6153</v>
      </c>
    </row>
    <row r="15858" spans="8:8">
      <c r="H15858" s="680" t="s">
        <v>6153</v>
      </c>
    </row>
    <row r="15859" spans="8:8">
      <c r="H15859" s="680" t="s">
        <v>6153</v>
      </c>
    </row>
    <row r="15860" spans="8:8">
      <c r="H15860" s="680" t="s">
        <v>6153</v>
      </c>
    </row>
    <row r="15861" spans="8:8">
      <c r="H15861" s="680" t="s">
        <v>6153</v>
      </c>
    </row>
    <row r="15862" spans="8:8">
      <c r="H15862" s="680" t="s">
        <v>6153</v>
      </c>
    </row>
    <row r="15863" spans="8:8">
      <c r="H15863" s="680" t="s">
        <v>6153</v>
      </c>
    </row>
    <row r="15864" spans="8:8">
      <c r="H15864" s="680" t="s">
        <v>6153</v>
      </c>
    </row>
    <row r="15865" spans="8:8">
      <c r="H15865" s="680" t="s">
        <v>6153</v>
      </c>
    </row>
    <row r="15866" spans="8:8">
      <c r="H15866" s="680" t="s">
        <v>6153</v>
      </c>
    </row>
    <row r="15867" spans="8:8">
      <c r="H15867" s="680" t="s">
        <v>6153</v>
      </c>
    </row>
    <row r="15868" spans="8:8">
      <c r="H15868" s="680" t="s">
        <v>6153</v>
      </c>
    </row>
    <row r="15869" spans="8:8">
      <c r="H15869" s="680" t="s">
        <v>6153</v>
      </c>
    </row>
    <row r="15870" spans="8:8">
      <c r="H15870" s="680" t="s">
        <v>6153</v>
      </c>
    </row>
    <row r="15871" spans="8:8">
      <c r="H15871" s="680" t="s">
        <v>6153</v>
      </c>
    </row>
    <row r="15872" spans="8:8">
      <c r="H15872" s="680" t="s">
        <v>6153</v>
      </c>
    </row>
    <row r="15873" spans="8:8">
      <c r="H15873" s="680" t="s">
        <v>6153</v>
      </c>
    </row>
    <row r="15874" spans="8:8">
      <c r="H15874" s="680" t="s">
        <v>6153</v>
      </c>
    </row>
    <row r="15875" spans="8:8">
      <c r="H15875" s="680" t="s">
        <v>6153</v>
      </c>
    </row>
    <row r="15876" spans="8:8">
      <c r="H15876" s="680" t="s">
        <v>6153</v>
      </c>
    </row>
    <row r="15877" spans="8:8">
      <c r="H15877" s="680" t="s">
        <v>6153</v>
      </c>
    </row>
    <row r="15878" spans="8:8">
      <c r="H15878" s="680" t="s">
        <v>6153</v>
      </c>
    </row>
    <row r="15879" spans="8:8">
      <c r="H15879" s="680" t="s">
        <v>6153</v>
      </c>
    </row>
    <row r="15880" spans="8:8">
      <c r="H15880" s="680" t="s">
        <v>6153</v>
      </c>
    </row>
    <row r="15881" spans="8:8">
      <c r="H15881" s="680" t="s">
        <v>6153</v>
      </c>
    </row>
    <row r="15882" spans="8:8">
      <c r="H15882" s="680" t="s">
        <v>6153</v>
      </c>
    </row>
    <row r="15883" spans="8:8">
      <c r="H15883" s="680" t="s">
        <v>6153</v>
      </c>
    </row>
    <row r="15884" spans="8:8">
      <c r="H15884" s="680" t="s">
        <v>6153</v>
      </c>
    </row>
    <row r="15885" spans="8:8">
      <c r="H15885" s="680" t="s">
        <v>6153</v>
      </c>
    </row>
    <row r="15886" spans="8:8">
      <c r="H15886" s="680" t="s">
        <v>6153</v>
      </c>
    </row>
    <row r="15887" spans="8:8">
      <c r="H15887" s="680" t="s">
        <v>6153</v>
      </c>
    </row>
    <row r="15888" spans="8:8">
      <c r="H15888" s="680" t="s">
        <v>6153</v>
      </c>
    </row>
    <row r="15889" spans="8:8">
      <c r="H15889" s="680" t="s">
        <v>6153</v>
      </c>
    </row>
    <row r="15890" spans="8:8">
      <c r="H15890" s="680" t="s">
        <v>6153</v>
      </c>
    </row>
    <row r="15891" spans="8:8">
      <c r="H15891" s="680" t="s">
        <v>6153</v>
      </c>
    </row>
    <row r="15892" spans="8:8">
      <c r="H15892" s="680" t="s">
        <v>6153</v>
      </c>
    </row>
    <row r="15893" spans="8:8">
      <c r="H15893" s="680" t="s">
        <v>6153</v>
      </c>
    </row>
    <row r="15894" spans="8:8">
      <c r="H15894" s="680" t="s">
        <v>6153</v>
      </c>
    </row>
    <row r="15895" spans="8:8">
      <c r="H15895" s="680" t="s">
        <v>6153</v>
      </c>
    </row>
    <row r="15896" spans="8:8">
      <c r="H15896" s="680" t="s">
        <v>6153</v>
      </c>
    </row>
    <row r="15897" spans="8:8">
      <c r="H15897" s="680" t="s">
        <v>6153</v>
      </c>
    </row>
    <row r="15898" spans="8:8">
      <c r="H15898" s="680" t="s">
        <v>6153</v>
      </c>
    </row>
    <row r="15899" spans="8:8">
      <c r="H15899" s="680" t="s">
        <v>6153</v>
      </c>
    </row>
    <row r="15900" spans="8:8">
      <c r="H15900" s="680" t="s">
        <v>6153</v>
      </c>
    </row>
    <row r="15901" spans="8:8">
      <c r="H15901" s="680" t="s">
        <v>6153</v>
      </c>
    </row>
    <row r="15902" spans="8:8">
      <c r="H15902" s="680" t="s">
        <v>6153</v>
      </c>
    </row>
    <row r="15903" spans="8:8">
      <c r="H15903" s="680" t="s">
        <v>6153</v>
      </c>
    </row>
    <row r="15904" spans="8:8">
      <c r="H15904" s="680" t="s">
        <v>6153</v>
      </c>
    </row>
    <row r="15905" spans="8:8">
      <c r="H15905" s="680" t="s">
        <v>6153</v>
      </c>
    </row>
    <row r="15906" spans="8:8">
      <c r="H15906" s="680" t="s">
        <v>6153</v>
      </c>
    </row>
    <row r="15907" spans="8:8">
      <c r="H15907" s="680" t="s">
        <v>6153</v>
      </c>
    </row>
    <row r="15908" spans="8:8">
      <c r="H15908" s="680" t="s">
        <v>6153</v>
      </c>
    </row>
    <row r="15909" spans="8:8">
      <c r="H15909" s="680" t="s">
        <v>6153</v>
      </c>
    </row>
    <row r="15910" spans="8:8">
      <c r="H15910" s="680" t="s">
        <v>6153</v>
      </c>
    </row>
    <row r="15911" spans="8:8">
      <c r="H15911" s="680" t="s">
        <v>6153</v>
      </c>
    </row>
    <row r="15912" spans="8:8">
      <c r="H15912" s="680" t="s">
        <v>6153</v>
      </c>
    </row>
    <row r="15913" spans="8:8">
      <c r="H15913" s="680" t="s">
        <v>6153</v>
      </c>
    </row>
    <row r="15914" spans="8:8">
      <c r="H15914" s="680" t="s">
        <v>6153</v>
      </c>
    </row>
    <row r="15915" spans="8:8">
      <c r="H15915" s="680" t="s">
        <v>6153</v>
      </c>
    </row>
    <row r="15916" spans="8:8">
      <c r="H15916" s="680" t="s">
        <v>6153</v>
      </c>
    </row>
    <row r="15917" spans="8:8">
      <c r="H15917" s="680" t="s">
        <v>6153</v>
      </c>
    </row>
    <row r="15918" spans="8:8">
      <c r="H15918" s="680" t="s">
        <v>6153</v>
      </c>
    </row>
    <row r="15919" spans="8:8">
      <c r="H15919" s="680" t="s">
        <v>6153</v>
      </c>
    </row>
    <row r="15920" spans="8:8">
      <c r="H15920" s="680" t="s">
        <v>6153</v>
      </c>
    </row>
    <row r="15921" spans="8:8">
      <c r="H15921" s="680" t="s">
        <v>6153</v>
      </c>
    </row>
    <row r="15922" spans="8:8">
      <c r="H15922" s="680" t="s">
        <v>6153</v>
      </c>
    </row>
    <row r="15923" spans="8:8">
      <c r="H15923" s="680" t="s">
        <v>6153</v>
      </c>
    </row>
    <row r="15924" spans="8:8">
      <c r="H15924" s="680" t="s">
        <v>6153</v>
      </c>
    </row>
    <row r="15925" spans="8:8">
      <c r="H15925" s="680" t="s">
        <v>6153</v>
      </c>
    </row>
    <row r="15926" spans="8:8">
      <c r="H15926" s="680" t="s">
        <v>6153</v>
      </c>
    </row>
    <row r="15927" spans="8:8">
      <c r="H15927" s="680" t="s">
        <v>6153</v>
      </c>
    </row>
    <row r="15928" spans="8:8">
      <c r="H15928" s="680" t="s">
        <v>6153</v>
      </c>
    </row>
    <row r="15929" spans="8:8">
      <c r="H15929" s="680" t="s">
        <v>6153</v>
      </c>
    </row>
    <row r="15930" spans="8:8">
      <c r="H15930" s="680" t="s">
        <v>6153</v>
      </c>
    </row>
    <row r="15931" spans="8:8">
      <c r="H15931" s="680" t="s">
        <v>6153</v>
      </c>
    </row>
    <row r="15932" spans="8:8">
      <c r="H15932" s="680" t="s">
        <v>6153</v>
      </c>
    </row>
    <row r="15933" spans="8:8">
      <c r="H15933" s="680" t="s">
        <v>6153</v>
      </c>
    </row>
    <row r="15934" spans="8:8">
      <c r="H15934" s="680" t="s">
        <v>6153</v>
      </c>
    </row>
    <row r="15935" spans="8:8">
      <c r="H15935" s="680" t="s">
        <v>6153</v>
      </c>
    </row>
    <row r="15936" spans="8:8">
      <c r="H15936" s="680" t="s">
        <v>6153</v>
      </c>
    </row>
    <row r="15937" spans="8:8">
      <c r="H15937" s="680" t="s">
        <v>6153</v>
      </c>
    </row>
    <row r="15938" spans="8:8">
      <c r="H15938" s="680" t="s">
        <v>6153</v>
      </c>
    </row>
    <row r="15939" spans="8:8">
      <c r="H15939" s="680" t="s">
        <v>6153</v>
      </c>
    </row>
    <row r="15940" spans="8:8">
      <c r="H15940" s="680" t="s">
        <v>6153</v>
      </c>
    </row>
    <row r="15941" spans="8:8">
      <c r="H15941" s="680" t="s">
        <v>6153</v>
      </c>
    </row>
    <row r="15942" spans="8:8">
      <c r="H15942" s="680" t="s">
        <v>6153</v>
      </c>
    </row>
    <row r="15943" spans="8:8">
      <c r="H15943" s="680" t="s">
        <v>6153</v>
      </c>
    </row>
    <row r="15944" spans="8:8">
      <c r="H15944" s="680" t="s">
        <v>6153</v>
      </c>
    </row>
    <row r="15945" spans="8:8">
      <c r="H15945" s="680" t="s">
        <v>6153</v>
      </c>
    </row>
    <row r="15946" spans="8:8">
      <c r="H15946" s="680" t="s">
        <v>6153</v>
      </c>
    </row>
    <row r="15947" spans="8:8">
      <c r="H15947" s="680" t="s">
        <v>6153</v>
      </c>
    </row>
    <row r="15948" spans="8:8">
      <c r="H15948" s="680" t="s">
        <v>6153</v>
      </c>
    </row>
    <row r="15949" spans="8:8">
      <c r="H15949" s="680" t="s">
        <v>6153</v>
      </c>
    </row>
    <row r="15950" spans="8:8">
      <c r="H15950" s="680" t="s">
        <v>6153</v>
      </c>
    </row>
    <row r="15951" spans="8:8">
      <c r="H15951" s="680" t="s">
        <v>6153</v>
      </c>
    </row>
    <row r="15952" spans="8:8">
      <c r="H15952" s="680" t="s">
        <v>6153</v>
      </c>
    </row>
    <row r="15953" spans="8:8">
      <c r="H15953" s="680" t="s">
        <v>6153</v>
      </c>
    </row>
    <row r="15954" spans="8:8">
      <c r="H15954" s="680" t="s">
        <v>6153</v>
      </c>
    </row>
    <row r="15955" spans="8:8">
      <c r="H15955" s="680" t="s">
        <v>6153</v>
      </c>
    </row>
    <row r="15956" spans="8:8">
      <c r="H15956" s="680" t="s">
        <v>6153</v>
      </c>
    </row>
    <row r="15957" spans="8:8">
      <c r="H15957" s="680" t="s">
        <v>6153</v>
      </c>
    </row>
    <row r="15958" spans="8:8">
      <c r="H15958" s="680" t="s">
        <v>6153</v>
      </c>
    </row>
    <row r="15959" spans="8:8">
      <c r="H15959" s="680" t="s">
        <v>6153</v>
      </c>
    </row>
    <row r="15960" spans="8:8">
      <c r="H15960" s="680" t="s">
        <v>6153</v>
      </c>
    </row>
    <row r="15961" spans="8:8">
      <c r="H15961" s="680" t="s">
        <v>6153</v>
      </c>
    </row>
    <row r="15962" spans="8:8">
      <c r="H15962" s="680" t="s">
        <v>6153</v>
      </c>
    </row>
    <row r="15963" spans="8:8">
      <c r="H15963" s="680" t="s">
        <v>6153</v>
      </c>
    </row>
    <row r="15964" spans="8:8">
      <c r="H15964" s="680" t="s">
        <v>6153</v>
      </c>
    </row>
    <row r="15965" spans="8:8">
      <c r="H15965" s="680" t="s">
        <v>6153</v>
      </c>
    </row>
    <row r="15966" spans="8:8">
      <c r="H15966" s="680" t="s">
        <v>6153</v>
      </c>
    </row>
    <row r="15967" spans="8:8">
      <c r="H15967" s="680" t="s">
        <v>6153</v>
      </c>
    </row>
    <row r="15968" spans="8:8">
      <c r="H15968" s="680" t="s">
        <v>6153</v>
      </c>
    </row>
    <row r="15969" spans="8:8">
      <c r="H15969" s="680" t="s">
        <v>6153</v>
      </c>
    </row>
    <row r="15970" spans="8:8">
      <c r="H15970" s="680" t="s">
        <v>6153</v>
      </c>
    </row>
    <row r="15971" spans="8:8">
      <c r="H15971" s="680" t="s">
        <v>6153</v>
      </c>
    </row>
    <row r="15972" spans="8:8">
      <c r="H15972" s="680" t="s">
        <v>6153</v>
      </c>
    </row>
    <row r="15973" spans="8:8">
      <c r="H15973" s="680" t="s">
        <v>6153</v>
      </c>
    </row>
    <row r="15974" spans="8:8">
      <c r="H15974" s="680" t="s">
        <v>6153</v>
      </c>
    </row>
    <row r="15975" spans="8:8">
      <c r="H15975" s="680" t="s">
        <v>6153</v>
      </c>
    </row>
    <row r="15976" spans="8:8">
      <c r="H15976" s="680" t="s">
        <v>6153</v>
      </c>
    </row>
    <row r="15977" spans="8:8">
      <c r="H15977" s="680" t="s">
        <v>6153</v>
      </c>
    </row>
    <row r="15978" spans="8:8">
      <c r="H15978" s="680" t="s">
        <v>6153</v>
      </c>
    </row>
    <row r="15979" spans="8:8">
      <c r="H15979" s="680" t="s">
        <v>6153</v>
      </c>
    </row>
    <row r="15980" spans="8:8">
      <c r="H15980" s="680" t="s">
        <v>6153</v>
      </c>
    </row>
    <row r="15981" spans="8:8">
      <c r="H15981" s="680" t="s">
        <v>6153</v>
      </c>
    </row>
    <row r="15982" spans="8:8">
      <c r="H15982" s="680" t="s">
        <v>6153</v>
      </c>
    </row>
    <row r="15983" spans="8:8">
      <c r="H15983" s="680" t="s">
        <v>6153</v>
      </c>
    </row>
    <row r="15984" spans="8:8">
      <c r="H15984" s="680" t="s">
        <v>6153</v>
      </c>
    </row>
    <row r="15985" spans="8:8">
      <c r="H15985" s="680" t="s">
        <v>6153</v>
      </c>
    </row>
    <row r="15986" spans="8:8">
      <c r="H15986" s="680" t="s">
        <v>6153</v>
      </c>
    </row>
    <row r="15987" spans="8:8">
      <c r="H15987" s="680" t="s">
        <v>6153</v>
      </c>
    </row>
    <row r="15988" spans="8:8">
      <c r="H15988" s="680" t="s">
        <v>6153</v>
      </c>
    </row>
    <row r="15989" spans="8:8">
      <c r="H15989" s="680" t="s">
        <v>6153</v>
      </c>
    </row>
    <row r="15990" spans="8:8">
      <c r="H15990" s="680" t="s">
        <v>6153</v>
      </c>
    </row>
    <row r="15991" spans="8:8">
      <c r="H15991" s="680" t="s">
        <v>6153</v>
      </c>
    </row>
    <row r="15992" spans="8:8">
      <c r="H15992" s="680" t="s">
        <v>6153</v>
      </c>
    </row>
    <row r="15993" spans="8:8">
      <c r="H15993" s="680" t="s">
        <v>6153</v>
      </c>
    </row>
    <row r="15994" spans="8:8">
      <c r="H15994" s="680" t="s">
        <v>6153</v>
      </c>
    </row>
    <row r="15995" spans="8:8">
      <c r="H15995" s="680" t="s">
        <v>6153</v>
      </c>
    </row>
    <row r="15996" spans="8:8">
      <c r="H15996" s="680" t="s">
        <v>6153</v>
      </c>
    </row>
    <row r="15997" spans="8:8">
      <c r="H15997" s="680" t="s">
        <v>6153</v>
      </c>
    </row>
    <row r="15998" spans="8:8">
      <c r="H15998" s="680" t="s">
        <v>6153</v>
      </c>
    </row>
    <row r="15999" spans="8:8">
      <c r="H15999" s="680" t="s">
        <v>6153</v>
      </c>
    </row>
    <row r="16000" spans="8:8">
      <c r="H16000" s="680" t="s">
        <v>6153</v>
      </c>
    </row>
    <row r="16001" spans="8:8">
      <c r="H16001" s="680" t="s">
        <v>6153</v>
      </c>
    </row>
    <row r="16002" spans="8:8">
      <c r="H16002" s="680" t="s">
        <v>6153</v>
      </c>
    </row>
    <row r="16003" spans="8:8">
      <c r="H16003" s="680" t="s">
        <v>6153</v>
      </c>
    </row>
    <row r="16004" spans="8:8">
      <c r="H16004" s="680" t="s">
        <v>6153</v>
      </c>
    </row>
    <row r="16005" spans="8:8">
      <c r="H16005" s="680" t="s">
        <v>6153</v>
      </c>
    </row>
    <row r="16006" spans="8:8">
      <c r="H16006" s="680" t="s">
        <v>6153</v>
      </c>
    </row>
    <row r="16007" spans="8:8">
      <c r="H16007" s="680" t="s">
        <v>6153</v>
      </c>
    </row>
    <row r="16008" spans="8:8">
      <c r="H16008" s="680" t="s">
        <v>6153</v>
      </c>
    </row>
    <row r="16009" spans="8:8">
      <c r="H16009" s="680" t="s">
        <v>6153</v>
      </c>
    </row>
    <row r="16010" spans="8:8">
      <c r="H16010" s="680" t="s">
        <v>6153</v>
      </c>
    </row>
    <row r="16011" spans="8:8">
      <c r="H16011" s="680" t="s">
        <v>6153</v>
      </c>
    </row>
    <row r="16012" spans="8:8">
      <c r="H16012" s="680" t="s">
        <v>6153</v>
      </c>
    </row>
    <row r="16013" spans="8:8">
      <c r="H16013" s="680" t="s">
        <v>6153</v>
      </c>
    </row>
    <row r="16014" spans="8:8">
      <c r="H16014" s="680" t="s">
        <v>6153</v>
      </c>
    </row>
    <row r="16015" spans="8:8">
      <c r="H16015" s="680" t="s">
        <v>6153</v>
      </c>
    </row>
    <row r="16016" spans="8:8">
      <c r="H16016" s="680" t="s">
        <v>6153</v>
      </c>
    </row>
    <row r="16017" spans="8:8">
      <c r="H16017" s="680" t="s">
        <v>6153</v>
      </c>
    </row>
    <row r="16018" spans="8:8">
      <c r="H16018" s="680" t="s">
        <v>6153</v>
      </c>
    </row>
    <row r="16019" spans="8:8">
      <c r="H16019" s="680" t="s">
        <v>6153</v>
      </c>
    </row>
    <row r="16020" spans="8:8">
      <c r="H16020" s="680" t="s">
        <v>6153</v>
      </c>
    </row>
    <row r="16021" spans="8:8">
      <c r="H16021" s="680" t="s">
        <v>6153</v>
      </c>
    </row>
    <row r="16022" spans="8:8">
      <c r="H16022" s="680" t="s">
        <v>6153</v>
      </c>
    </row>
    <row r="16023" spans="8:8">
      <c r="H16023" s="680" t="s">
        <v>6153</v>
      </c>
    </row>
    <row r="16024" spans="8:8">
      <c r="H16024" s="680" t="s">
        <v>6153</v>
      </c>
    </row>
    <row r="16025" spans="8:8">
      <c r="H16025" s="680" t="s">
        <v>6153</v>
      </c>
    </row>
    <row r="16026" spans="8:8">
      <c r="H16026" s="680" t="s">
        <v>6153</v>
      </c>
    </row>
    <row r="16027" spans="8:8">
      <c r="H16027" s="680" t="s">
        <v>6153</v>
      </c>
    </row>
    <row r="16028" spans="8:8">
      <c r="H16028" s="680" t="s">
        <v>6153</v>
      </c>
    </row>
    <row r="16029" spans="8:8">
      <c r="H16029" s="680" t="s">
        <v>6153</v>
      </c>
    </row>
    <row r="16030" spans="8:8">
      <c r="H16030" s="680" t="s">
        <v>6153</v>
      </c>
    </row>
    <row r="16031" spans="8:8">
      <c r="H16031" s="680" t="s">
        <v>6153</v>
      </c>
    </row>
    <row r="16032" spans="8:8">
      <c r="H16032" s="680" t="s">
        <v>6153</v>
      </c>
    </row>
    <row r="16033" spans="8:8">
      <c r="H16033" s="680" t="s">
        <v>6153</v>
      </c>
    </row>
    <row r="16034" spans="8:8">
      <c r="H16034" s="680" t="s">
        <v>6153</v>
      </c>
    </row>
    <row r="16035" spans="8:8">
      <c r="H16035" s="680" t="s">
        <v>6153</v>
      </c>
    </row>
    <row r="16036" spans="8:8">
      <c r="H16036" s="680" t="s">
        <v>6153</v>
      </c>
    </row>
    <row r="16037" spans="8:8">
      <c r="H16037" s="680" t="s">
        <v>6153</v>
      </c>
    </row>
    <row r="16038" spans="8:8">
      <c r="H16038" s="680" t="s">
        <v>6153</v>
      </c>
    </row>
    <row r="16039" spans="8:8">
      <c r="H16039" s="680" t="s">
        <v>6153</v>
      </c>
    </row>
    <row r="16040" spans="8:8">
      <c r="H16040" s="680" t="s">
        <v>6153</v>
      </c>
    </row>
    <row r="16041" spans="8:8">
      <c r="H16041" s="680" t="s">
        <v>6153</v>
      </c>
    </row>
    <row r="16042" spans="8:8">
      <c r="H16042" s="680" t="s">
        <v>6153</v>
      </c>
    </row>
    <row r="16043" spans="8:8">
      <c r="H16043" s="680" t="s">
        <v>6153</v>
      </c>
    </row>
    <row r="16044" spans="8:8">
      <c r="H16044" s="680" t="s">
        <v>6153</v>
      </c>
    </row>
    <row r="16045" spans="8:8">
      <c r="H16045" s="680" t="s">
        <v>6153</v>
      </c>
    </row>
    <row r="16046" spans="8:8">
      <c r="H16046" s="680" t="s">
        <v>6153</v>
      </c>
    </row>
    <row r="16047" spans="8:8">
      <c r="H16047" s="680" t="s">
        <v>6153</v>
      </c>
    </row>
    <row r="16048" spans="8:8">
      <c r="H16048" s="680" t="s">
        <v>6153</v>
      </c>
    </row>
    <row r="16049" spans="8:8">
      <c r="H16049" s="680" t="s">
        <v>6153</v>
      </c>
    </row>
    <row r="16050" spans="8:8">
      <c r="H16050" s="680" t="s">
        <v>6153</v>
      </c>
    </row>
    <row r="16051" spans="8:8">
      <c r="H16051" s="680" t="s">
        <v>6153</v>
      </c>
    </row>
    <row r="16052" spans="8:8">
      <c r="H16052" s="680" t="s">
        <v>6153</v>
      </c>
    </row>
    <row r="16053" spans="8:8">
      <c r="H16053" s="680" t="s">
        <v>6153</v>
      </c>
    </row>
    <row r="16054" spans="8:8">
      <c r="H16054" s="680" t="s">
        <v>6153</v>
      </c>
    </row>
    <row r="16055" spans="8:8">
      <c r="H16055" s="680" t="s">
        <v>6153</v>
      </c>
    </row>
    <row r="16056" spans="8:8">
      <c r="H16056" s="680" t="s">
        <v>6153</v>
      </c>
    </row>
    <row r="16057" spans="8:8">
      <c r="H16057" s="680" t="s">
        <v>6153</v>
      </c>
    </row>
    <row r="16058" spans="8:8">
      <c r="H16058" s="680" t="s">
        <v>6153</v>
      </c>
    </row>
    <row r="16059" spans="8:8">
      <c r="H16059" s="680" t="s">
        <v>6153</v>
      </c>
    </row>
    <row r="16060" spans="8:8">
      <c r="H16060" s="680" t="s">
        <v>6153</v>
      </c>
    </row>
    <row r="16061" spans="8:8">
      <c r="H16061" s="680" t="s">
        <v>6153</v>
      </c>
    </row>
    <row r="16062" spans="8:8">
      <c r="H16062" s="680" t="s">
        <v>6153</v>
      </c>
    </row>
    <row r="16063" spans="8:8">
      <c r="H16063" s="680" t="s">
        <v>6153</v>
      </c>
    </row>
    <row r="16064" spans="8:8">
      <c r="H16064" s="680" t="s">
        <v>6153</v>
      </c>
    </row>
    <row r="16065" spans="8:8">
      <c r="H16065" s="680" t="s">
        <v>6153</v>
      </c>
    </row>
    <row r="16066" spans="8:8">
      <c r="H16066" s="680" t="s">
        <v>6153</v>
      </c>
    </row>
    <row r="16067" spans="8:8">
      <c r="H16067" s="680" t="s">
        <v>6153</v>
      </c>
    </row>
    <row r="16068" spans="8:8">
      <c r="H16068" s="680" t="s">
        <v>6153</v>
      </c>
    </row>
    <row r="16069" spans="8:8">
      <c r="H16069" s="680" t="s">
        <v>6153</v>
      </c>
    </row>
    <row r="16070" spans="8:8">
      <c r="H16070" s="680" t="s">
        <v>6153</v>
      </c>
    </row>
    <row r="16071" spans="8:8">
      <c r="H16071" s="680" t="s">
        <v>6153</v>
      </c>
    </row>
    <row r="16072" spans="8:8">
      <c r="H16072" s="680" t="s">
        <v>6153</v>
      </c>
    </row>
    <row r="16073" spans="8:8">
      <c r="H16073" s="680" t="s">
        <v>6153</v>
      </c>
    </row>
    <row r="16074" spans="8:8">
      <c r="H16074" s="680" t="s">
        <v>6153</v>
      </c>
    </row>
    <row r="16075" spans="8:8">
      <c r="H16075" s="680" t="s">
        <v>6153</v>
      </c>
    </row>
    <row r="16076" spans="8:8">
      <c r="H16076" s="680" t="s">
        <v>6153</v>
      </c>
    </row>
    <row r="16077" spans="8:8">
      <c r="H16077" s="680" t="s">
        <v>6153</v>
      </c>
    </row>
    <row r="16078" spans="8:8">
      <c r="H16078" s="680" t="s">
        <v>6153</v>
      </c>
    </row>
    <row r="16079" spans="8:8">
      <c r="H16079" s="680" t="s">
        <v>6153</v>
      </c>
    </row>
    <row r="16080" spans="8:8">
      <c r="H16080" s="680" t="s">
        <v>6153</v>
      </c>
    </row>
    <row r="16081" spans="8:8">
      <c r="H16081" s="680" t="s">
        <v>6153</v>
      </c>
    </row>
    <row r="16082" spans="8:8">
      <c r="H16082" s="680" t="s">
        <v>6153</v>
      </c>
    </row>
    <row r="16083" spans="8:8">
      <c r="H16083" s="680" t="s">
        <v>6153</v>
      </c>
    </row>
    <row r="16084" spans="8:8">
      <c r="H16084" s="680" t="s">
        <v>6153</v>
      </c>
    </row>
    <row r="16085" spans="8:8">
      <c r="H16085" s="680" t="s">
        <v>6153</v>
      </c>
    </row>
    <row r="16086" spans="8:8">
      <c r="H16086" s="680" t="s">
        <v>6153</v>
      </c>
    </row>
    <row r="16087" spans="8:8">
      <c r="H16087" s="680" t="s">
        <v>6153</v>
      </c>
    </row>
    <row r="16088" spans="8:8">
      <c r="H16088" s="680" t="s">
        <v>6153</v>
      </c>
    </row>
    <row r="16089" spans="8:8">
      <c r="H16089" s="680" t="s">
        <v>6153</v>
      </c>
    </row>
    <row r="16090" spans="8:8">
      <c r="H16090" s="680" t="s">
        <v>6153</v>
      </c>
    </row>
    <row r="16091" spans="8:8">
      <c r="H16091" s="680" t="s">
        <v>6153</v>
      </c>
    </row>
    <row r="16092" spans="8:8">
      <c r="H16092" s="680" t="s">
        <v>6153</v>
      </c>
    </row>
    <row r="16093" spans="8:8">
      <c r="H16093" s="680" t="s">
        <v>6153</v>
      </c>
    </row>
    <row r="16094" spans="8:8">
      <c r="H16094" s="680" t="s">
        <v>6153</v>
      </c>
    </row>
    <row r="16095" spans="8:8">
      <c r="H16095" s="680" t="s">
        <v>6153</v>
      </c>
    </row>
    <row r="16096" spans="8:8">
      <c r="H16096" s="680" t="s">
        <v>6153</v>
      </c>
    </row>
    <row r="16097" spans="8:8">
      <c r="H16097" s="680" t="s">
        <v>6153</v>
      </c>
    </row>
    <row r="16098" spans="8:8">
      <c r="H16098" s="680" t="s">
        <v>6153</v>
      </c>
    </row>
    <row r="16099" spans="8:8">
      <c r="H16099" s="680" t="s">
        <v>6153</v>
      </c>
    </row>
    <row r="16100" spans="8:8">
      <c r="H16100" s="680" t="s">
        <v>6153</v>
      </c>
    </row>
    <row r="16101" spans="8:8">
      <c r="H16101" s="680" t="s">
        <v>6153</v>
      </c>
    </row>
    <row r="16102" spans="8:8">
      <c r="H16102" s="680" t="s">
        <v>6153</v>
      </c>
    </row>
    <row r="16103" spans="8:8">
      <c r="H16103" s="680" t="s">
        <v>6153</v>
      </c>
    </row>
    <row r="16104" spans="8:8">
      <c r="H16104" s="680" t="s">
        <v>6153</v>
      </c>
    </row>
    <row r="16105" spans="8:8">
      <c r="H16105" s="680" t="s">
        <v>6153</v>
      </c>
    </row>
    <row r="16106" spans="8:8">
      <c r="H16106" s="680" t="s">
        <v>6153</v>
      </c>
    </row>
    <row r="16107" spans="8:8">
      <c r="H16107" s="680" t="s">
        <v>6153</v>
      </c>
    </row>
    <row r="16108" spans="8:8">
      <c r="H16108" s="680" t="s">
        <v>6153</v>
      </c>
    </row>
    <row r="16109" spans="8:8">
      <c r="H16109" s="680" t="s">
        <v>6153</v>
      </c>
    </row>
    <row r="16110" spans="8:8">
      <c r="H16110" s="680" t="s">
        <v>6153</v>
      </c>
    </row>
    <row r="16111" spans="8:8">
      <c r="H16111" s="680" t="s">
        <v>6153</v>
      </c>
    </row>
    <row r="16112" spans="8:8">
      <c r="H16112" s="680" t="s">
        <v>6153</v>
      </c>
    </row>
    <row r="16113" spans="8:8">
      <c r="H16113" s="680" t="s">
        <v>6153</v>
      </c>
    </row>
    <row r="16114" spans="8:8">
      <c r="H16114" s="680" t="s">
        <v>6153</v>
      </c>
    </row>
    <row r="16115" spans="8:8">
      <c r="H16115" s="680" t="s">
        <v>6153</v>
      </c>
    </row>
    <row r="16116" spans="8:8">
      <c r="H16116" s="680" t="s">
        <v>6153</v>
      </c>
    </row>
    <row r="16117" spans="8:8">
      <c r="H16117" s="680" t="s">
        <v>6153</v>
      </c>
    </row>
    <row r="16118" spans="8:8">
      <c r="H16118" s="680" t="s">
        <v>6153</v>
      </c>
    </row>
    <row r="16119" spans="8:8">
      <c r="H16119" s="680" t="s">
        <v>6153</v>
      </c>
    </row>
    <row r="16120" spans="8:8">
      <c r="H16120" s="680" t="s">
        <v>6153</v>
      </c>
    </row>
    <row r="16121" spans="8:8">
      <c r="H16121" s="680" t="s">
        <v>6153</v>
      </c>
    </row>
    <row r="16122" spans="8:8">
      <c r="H16122" s="680" t="s">
        <v>6153</v>
      </c>
    </row>
    <row r="16123" spans="8:8">
      <c r="H16123" s="680" t="s">
        <v>6153</v>
      </c>
    </row>
    <row r="16124" spans="8:8">
      <c r="H16124" s="680" t="s">
        <v>6153</v>
      </c>
    </row>
    <row r="16125" spans="8:8">
      <c r="H16125" s="680" t="s">
        <v>6153</v>
      </c>
    </row>
    <row r="16126" spans="8:8">
      <c r="H16126" s="680" t="s">
        <v>6153</v>
      </c>
    </row>
    <row r="16127" spans="8:8">
      <c r="H16127" s="680" t="s">
        <v>6153</v>
      </c>
    </row>
    <row r="16128" spans="8:8">
      <c r="H16128" s="680" t="s">
        <v>6153</v>
      </c>
    </row>
    <row r="16129" spans="8:8">
      <c r="H16129" s="680" t="s">
        <v>6153</v>
      </c>
    </row>
    <row r="16130" spans="8:8">
      <c r="H16130" s="680" t="s">
        <v>6153</v>
      </c>
    </row>
    <row r="16131" spans="8:8">
      <c r="H16131" s="680" t="s">
        <v>6153</v>
      </c>
    </row>
    <row r="16132" spans="8:8">
      <c r="H16132" s="680" t="s">
        <v>6153</v>
      </c>
    </row>
    <row r="16133" spans="8:8">
      <c r="H16133" s="680" t="s">
        <v>6153</v>
      </c>
    </row>
    <row r="16134" spans="8:8">
      <c r="H16134" s="680" t="s">
        <v>6153</v>
      </c>
    </row>
    <row r="16135" spans="8:8">
      <c r="H16135" s="680" t="s">
        <v>6153</v>
      </c>
    </row>
    <row r="16136" spans="8:8">
      <c r="H16136" s="680" t="s">
        <v>6153</v>
      </c>
    </row>
    <row r="16137" spans="8:8">
      <c r="H16137" s="680" t="s">
        <v>6153</v>
      </c>
    </row>
    <row r="16138" spans="8:8">
      <c r="H16138" s="680" t="s">
        <v>6153</v>
      </c>
    </row>
    <row r="16139" spans="8:8">
      <c r="H16139" s="680" t="s">
        <v>6153</v>
      </c>
    </row>
    <row r="16140" spans="8:8">
      <c r="H16140" s="680" t="s">
        <v>6153</v>
      </c>
    </row>
    <row r="16141" spans="8:8">
      <c r="H16141" s="680" t="s">
        <v>6153</v>
      </c>
    </row>
    <row r="16142" spans="8:8">
      <c r="H16142" s="680" t="s">
        <v>6153</v>
      </c>
    </row>
    <row r="16143" spans="8:8">
      <c r="H16143" s="680" t="s">
        <v>6153</v>
      </c>
    </row>
    <row r="16144" spans="8:8">
      <c r="H16144" s="680" t="s">
        <v>6153</v>
      </c>
    </row>
    <row r="16145" spans="8:8">
      <c r="H16145" s="680" t="s">
        <v>6153</v>
      </c>
    </row>
    <row r="16146" spans="8:8">
      <c r="H16146" s="680" t="s">
        <v>6153</v>
      </c>
    </row>
    <row r="16147" spans="8:8">
      <c r="H16147" s="680" t="s">
        <v>6153</v>
      </c>
    </row>
    <row r="16148" spans="8:8">
      <c r="H16148" s="680" t="s">
        <v>6153</v>
      </c>
    </row>
    <row r="16149" spans="8:8">
      <c r="H16149" s="680" t="s">
        <v>6153</v>
      </c>
    </row>
    <row r="16150" spans="8:8">
      <c r="H16150" s="680" t="s">
        <v>6153</v>
      </c>
    </row>
    <row r="16151" spans="8:8">
      <c r="H16151" s="680" t="s">
        <v>6153</v>
      </c>
    </row>
    <row r="16152" spans="8:8">
      <c r="H16152" s="680" t="s">
        <v>6153</v>
      </c>
    </row>
    <row r="16153" spans="8:8">
      <c r="H16153" s="680" t="s">
        <v>6153</v>
      </c>
    </row>
    <row r="16154" spans="8:8">
      <c r="H16154" s="680" t="s">
        <v>6153</v>
      </c>
    </row>
    <row r="16155" spans="8:8">
      <c r="H16155" s="680" t="s">
        <v>6153</v>
      </c>
    </row>
    <row r="16156" spans="8:8">
      <c r="H16156" s="680" t="s">
        <v>6153</v>
      </c>
    </row>
    <row r="16157" spans="8:8">
      <c r="H16157" s="680" t="s">
        <v>6153</v>
      </c>
    </row>
    <row r="16158" spans="8:8">
      <c r="H16158" s="680" t="s">
        <v>6153</v>
      </c>
    </row>
    <row r="16159" spans="8:8">
      <c r="H16159" s="680" t="s">
        <v>6153</v>
      </c>
    </row>
    <row r="16160" spans="8:8">
      <c r="H16160" s="680" t="s">
        <v>6153</v>
      </c>
    </row>
    <row r="16161" spans="8:8">
      <c r="H16161" s="680" t="s">
        <v>6153</v>
      </c>
    </row>
    <row r="16162" spans="8:8">
      <c r="H16162" s="680" t="s">
        <v>6153</v>
      </c>
    </row>
    <row r="16163" spans="8:8">
      <c r="H16163" s="680" t="s">
        <v>6153</v>
      </c>
    </row>
    <row r="16164" spans="8:8">
      <c r="H16164" s="680" t="s">
        <v>6153</v>
      </c>
    </row>
    <row r="16165" spans="8:8">
      <c r="H16165" s="680" t="s">
        <v>6153</v>
      </c>
    </row>
    <row r="16166" spans="8:8">
      <c r="H16166" s="680" t="s">
        <v>6153</v>
      </c>
    </row>
    <row r="16167" spans="8:8">
      <c r="H16167" s="680" t="s">
        <v>6153</v>
      </c>
    </row>
    <row r="16168" spans="8:8">
      <c r="H16168" s="680" t="s">
        <v>6153</v>
      </c>
    </row>
    <row r="16169" spans="8:8">
      <c r="H16169" s="680" t="s">
        <v>6153</v>
      </c>
    </row>
    <row r="16170" spans="8:8">
      <c r="H16170" s="680" t="s">
        <v>6153</v>
      </c>
    </row>
    <row r="16171" spans="8:8">
      <c r="H16171" s="680" t="s">
        <v>6153</v>
      </c>
    </row>
    <row r="16172" spans="8:8">
      <c r="H16172" s="680" t="s">
        <v>6153</v>
      </c>
    </row>
    <row r="16173" spans="8:8">
      <c r="H16173" s="680" t="s">
        <v>6153</v>
      </c>
    </row>
    <row r="16174" spans="8:8">
      <c r="H16174" s="680" t="s">
        <v>6153</v>
      </c>
    </row>
    <row r="16175" spans="8:8">
      <c r="H16175" s="680" t="s">
        <v>6153</v>
      </c>
    </row>
    <row r="16176" spans="8:8">
      <c r="H16176" s="680" t="s">
        <v>6153</v>
      </c>
    </row>
    <row r="16177" spans="8:8">
      <c r="H16177" s="680" t="s">
        <v>6153</v>
      </c>
    </row>
    <row r="16178" spans="8:8">
      <c r="H16178" s="680" t="s">
        <v>6153</v>
      </c>
    </row>
    <row r="16179" spans="8:8">
      <c r="H16179" s="680" t="s">
        <v>6153</v>
      </c>
    </row>
    <row r="16180" spans="8:8">
      <c r="H16180" s="680" t="s">
        <v>6153</v>
      </c>
    </row>
    <row r="16181" spans="8:8">
      <c r="H16181" s="680" t="s">
        <v>6153</v>
      </c>
    </row>
    <row r="16182" spans="8:8">
      <c r="H16182" s="680" t="s">
        <v>6153</v>
      </c>
    </row>
    <row r="16183" spans="8:8">
      <c r="H16183" s="680" t="s">
        <v>6153</v>
      </c>
    </row>
    <row r="16184" spans="8:8">
      <c r="H16184" s="680" t="s">
        <v>6153</v>
      </c>
    </row>
    <row r="16185" spans="8:8">
      <c r="H16185" s="680" t="s">
        <v>6153</v>
      </c>
    </row>
    <row r="16186" spans="8:8">
      <c r="H16186" s="680" t="s">
        <v>6153</v>
      </c>
    </row>
    <row r="16187" spans="8:8">
      <c r="H16187" s="680" t="s">
        <v>6153</v>
      </c>
    </row>
    <row r="16188" spans="8:8">
      <c r="H16188" s="680" t="s">
        <v>6153</v>
      </c>
    </row>
    <row r="16189" spans="8:8">
      <c r="H16189" s="680" t="s">
        <v>6153</v>
      </c>
    </row>
    <row r="16190" spans="8:8">
      <c r="H16190" s="680" t="s">
        <v>6153</v>
      </c>
    </row>
    <row r="16191" spans="8:8">
      <c r="H16191" s="680" t="s">
        <v>6153</v>
      </c>
    </row>
    <row r="16192" spans="8:8">
      <c r="H16192" s="680" t="s">
        <v>6153</v>
      </c>
    </row>
    <row r="16193" spans="8:8">
      <c r="H16193" s="680" t="s">
        <v>6153</v>
      </c>
    </row>
    <row r="16194" spans="8:8">
      <c r="H16194" s="680" t="s">
        <v>6153</v>
      </c>
    </row>
    <row r="16195" spans="8:8">
      <c r="H16195" s="680" t="s">
        <v>6153</v>
      </c>
    </row>
    <row r="16196" spans="8:8">
      <c r="H16196" s="680" t="s">
        <v>6153</v>
      </c>
    </row>
    <row r="16197" spans="8:8">
      <c r="H16197" s="680" t="s">
        <v>6153</v>
      </c>
    </row>
    <row r="16198" spans="8:8">
      <c r="H16198" s="680" t="s">
        <v>6153</v>
      </c>
    </row>
    <row r="16199" spans="8:8">
      <c r="H16199" s="680" t="s">
        <v>6153</v>
      </c>
    </row>
    <row r="16200" spans="8:8">
      <c r="H16200" s="680" t="s">
        <v>6153</v>
      </c>
    </row>
    <row r="16201" spans="8:8">
      <c r="H16201" s="680" t="s">
        <v>6153</v>
      </c>
    </row>
    <row r="16202" spans="8:8">
      <c r="H16202" s="680" t="s">
        <v>6153</v>
      </c>
    </row>
    <row r="16203" spans="8:8">
      <c r="H16203" s="680" t="s">
        <v>6153</v>
      </c>
    </row>
    <row r="16204" spans="8:8">
      <c r="H16204" s="680" t="s">
        <v>6153</v>
      </c>
    </row>
    <row r="16205" spans="8:8">
      <c r="H16205" s="680" t="s">
        <v>6153</v>
      </c>
    </row>
    <row r="16206" spans="8:8">
      <c r="H16206" s="680" t="s">
        <v>6153</v>
      </c>
    </row>
    <row r="16207" spans="8:8">
      <c r="H16207" s="680" t="s">
        <v>6153</v>
      </c>
    </row>
    <row r="16208" spans="8:8">
      <c r="H16208" s="680" t="s">
        <v>6153</v>
      </c>
    </row>
    <row r="16209" spans="8:8">
      <c r="H16209" s="680" t="s">
        <v>6153</v>
      </c>
    </row>
    <row r="16210" spans="8:8">
      <c r="H16210" s="680" t="s">
        <v>6153</v>
      </c>
    </row>
    <row r="16211" spans="8:8">
      <c r="H16211" s="680" t="s">
        <v>6153</v>
      </c>
    </row>
    <row r="16212" spans="8:8">
      <c r="H16212" s="680" t="s">
        <v>6153</v>
      </c>
    </row>
    <row r="16213" spans="8:8">
      <c r="H16213" s="680" t="s">
        <v>6153</v>
      </c>
    </row>
    <row r="16214" spans="8:8">
      <c r="H16214" s="680" t="s">
        <v>6153</v>
      </c>
    </row>
    <row r="16215" spans="8:8">
      <c r="H16215" s="680" t="s">
        <v>6153</v>
      </c>
    </row>
    <row r="16216" spans="8:8">
      <c r="H16216" s="680" t="s">
        <v>6153</v>
      </c>
    </row>
    <row r="16217" spans="8:8">
      <c r="H16217" s="680" t="s">
        <v>6153</v>
      </c>
    </row>
    <row r="16218" spans="8:8">
      <c r="H16218" s="680" t="s">
        <v>6153</v>
      </c>
    </row>
    <row r="16219" spans="8:8">
      <c r="H16219" s="680" t="s">
        <v>6153</v>
      </c>
    </row>
    <row r="16220" spans="8:8">
      <c r="H16220" s="680" t="s">
        <v>6153</v>
      </c>
    </row>
    <row r="16221" spans="8:8">
      <c r="H16221" s="680" t="s">
        <v>6153</v>
      </c>
    </row>
    <row r="16222" spans="8:8">
      <c r="H16222" s="680" t="s">
        <v>6153</v>
      </c>
    </row>
    <row r="16223" spans="8:8">
      <c r="H16223" s="680" t="s">
        <v>6153</v>
      </c>
    </row>
    <row r="16224" spans="8:8">
      <c r="H16224" s="680" t="s">
        <v>6153</v>
      </c>
    </row>
    <row r="16225" spans="8:8">
      <c r="H16225" s="680" t="s">
        <v>6153</v>
      </c>
    </row>
    <row r="16226" spans="8:8">
      <c r="H16226" s="680" t="s">
        <v>6153</v>
      </c>
    </row>
    <row r="16227" spans="8:8">
      <c r="H16227" s="680" t="s">
        <v>6153</v>
      </c>
    </row>
    <row r="16228" spans="8:8">
      <c r="H16228" s="680" t="s">
        <v>6153</v>
      </c>
    </row>
    <row r="16229" spans="8:8">
      <c r="H16229" s="680" t="s">
        <v>6153</v>
      </c>
    </row>
    <row r="16230" spans="8:8">
      <c r="H16230" s="680" t="s">
        <v>6153</v>
      </c>
    </row>
    <row r="16231" spans="8:8">
      <c r="H16231" s="680" t="s">
        <v>6153</v>
      </c>
    </row>
    <row r="16232" spans="8:8">
      <c r="H16232" s="680" t="s">
        <v>6153</v>
      </c>
    </row>
    <row r="16233" spans="8:8">
      <c r="H16233" s="680" t="s">
        <v>6153</v>
      </c>
    </row>
    <row r="16234" spans="8:8">
      <c r="H16234" s="680" t="s">
        <v>6153</v>
      </c>
    </row>
    <row r="16235" spans="8:8">
      <c r="H16235" s="680" t="s">
        <v>6153</v>
      </c>
    </row>
    <row r="16236" spans="8:8">
      <c r="H16236" s="680" t="s">
        <v>6153</v>
      </c>
    </row>
    <row r="16237" spans="8:8">
      <c r="H16237" s="680" t="s">
        <v>6153</v>
      </c>
    </row>
    <row r="16238" spans="8:8">
      <c r="H16238" s="680" t="s">
        <v>6153</v>
      </c>
    </row>
    <row r="16239" spans="8:8">
      <c r="H16239" s="680" t="s">
        <v>6153</v>
      </c>
    </row>
    <row r="16240" spans="8:8">
      <c r="H16240" s="680" t="s">
        <v>6153</v>
      </c>
    </row>
    <row r="16241" spans="8:8">
      <c r="H16241" s="680" t="s">
        <v>6153</v>
      </c>
    </row>
    <row r="16242" spans="8:8">
      <c r="H16242" s="680" t="s">
        <v>6153</v>
      </c>
    </row>
    <row r="16243" spans="8:8">
      <c r="H16243" s="680" t="s">
        <v>6153</v>
      </c>
    </row>
    <row r="16244" spans="8:8">
      <c r="H16244" s="680" t="s">
        <v>6153</v>
      </c>
    </row>
    <row r="16245" spans="8:8">
      <c r="H16245" s="680" t="s">
        <v>6153</v>
      </c>
    </row>
    <row r="16246" spans="8:8">
      <c r="H16246" s="680" t="s">
        <v>6153</v>
      </c>
    </row>
    <row r="16247" spans="8:8">
      <c r="H16247" s="680" t="s">
        <v>6153</v>
      </c>
    </row>
    <row r="16248" spans="8:8">
      <c r="H16248" s="680" t="s">
        <v>6153</v>
      </c>
    </row>
    <row r="16249" spans="8:8">
      <c r="H16249" s="680" t="s">
        <v>6153</v>
      </c>
    </row>
    <row r="16250" spans="8:8">
      <c r="H16250" s="680" t="s">
        <v>6153</v>
      </c>
    </row>
    <row r="16251" spans="8:8">
      <c r="H16251" s="680" t="s">
        <v>6153</v>
      </c>
    </row>
    <row r="16252" spans="8:8">
      <c r="H16252" s="680" t="s">
        <v>6153</v>
      </c>
    </row>
    <row r="16253" spans="8:8">
      <c r="H16253" s="680" t="s">
        <v>6153</v>
      </c>
    </row>
    <row r="16254" spans="8:8">
      <c r="H16254" s="680" t="s">
        <v>6153</v>
      </c>
    </row>
    <row r="16255" spans="8:8">
      <c r="H16255" s="680" t="s">
        <v>6153</v>
      </c>
    </row>
    <row r="16256" spans="8:8">
      <c r="H16256" s="680" t="s">
        <v>6153</v>
      </c>
    </row>
    <row r="16257" spans="8:8">
      <c r="H16257" s="680" t="s">
        <v>6153</v>
      </c>
    </row>
    <row r="16258" spans="8:8">
      <c r="H16258" s="680" t="s">
        <v>6153</v>
      </c>
    </row>
    <row r="16259" spans="8:8">
      <c r="H16259" s="680" t="s">
        <v>6153</v>
      </c>
    </row>
    <row r="16260" spans="8:8">
      <c r="H16260" s="680" t="s">
        <v>6153</v>
      </c>
    </row>
    <row r="16261" spans="8:8">
      <c r="H16261" s="680" t="s">
        <v>6153</v>
      </c>
    </row>
    <row r="16262" spans="8:8">
      <c r="H16262" s="680" t="s">
        <v>6153</v>
      </c>
    </row>
    <row r="16263" spans="8:8">
      <c r="H16263" s="680" t="s">
        <v>6153</v>
      </c>
    </row>
    <row r="16264" spans="8:8">
      <c r="H16264" s="680" t="s">
        <v>6153</v>
      </c>
    </row>
    <row r="16265" spans="8:8">
      <c r="H16265" s="680" t="s">
        <v>6153</v>
      </c>
    </row>
    <row r="16266" spans="8:8">
      <c r="H16266" s="680" t="s">
        <v>6153</v>
      </c>
    </row>
    <row r="16267" spans="8:8">
      <c r="H16267" s="680" t="s">
        <v>6153</v>
      </c>
    </row>
    <row r="16268" spans="8:8">
      <c r="H16268" s="680" t="s">
        <v>6153</v>
      </c>
    </row>
    <row r="16269" spans="8:8">
      <c r="H16269" s="680" t="s">
        <v>6153</v>
      </c>
    </row>
    <row r="16270" spans="8:8">
      <c r="H16270" s="680" t="s">
        <v>6153</v>
      </c>
    </row>
    <row r="16271" spans="8:8">
      <c r="H16271" s="680" t="s">
        <v>6153</v>
      </c>
    </row>
    <row r="16272" spans="8:8">
      <c r="H16272" s="680" t="s">
        <v>6153</v>
      </c>
    </row>
    <row r="16273" spans="8:8">
      <c r="H16273" s="680" t="s">
        <v>6153</v>
      </c>
    </row>
    <row r="16274" spans="8:8">
      <c r="H16274" s="680" t="s">
        <v>6153</v>
      </c>
    </row>
    <row r="16275" spans="8:8">
      <c r="H16275" s="680" t="s">
        <v>6153</v>
      </c>
    </row>
    <row r="16276" spans="8:8">
      <c r="H16276" s="680" t="s">
        <v>6153</v>
      </c>
    </row>
    <row r="16277" spans="8:8">
      <c r="H16277" s="680" t="s">
        <v>6153</v>
      </c>
    </row>
    <row r="16278" spans="8:8">
      <c r="H16278" s="680" t="s">
        <v>6153</v>
      </c>
    </row>
    <row r="16279" spans="8:8">
      <c r="H16279" s="680" t="s">
        <v>6153</v>
      </c>
    </row>
    <row r="16280" spans="8:8">
      <c r="H16280" s="680" t="s">
        <v>6153</v>
      </c>
    </row>
    <row r="16281" spans="8:8">
      <c r="H16281" s="680" t="s">
        <v>6153</v>
      </c>
    </row>
    <row r="16282" spans="8:8">
      <c r="H16282" s="680" t="s">
        <v>6153</v>
      </c>
    </row>
    <row r="16283" spans="8:8">
      <c r="H16283" s="680" t="s">
        <v>6153</v>
      </c>
    </row>
    <row r="16284" spans="8:8">
      <c r="H16284" s="680" t="s">
        <v>6153</v>
      </c>
    </row>
    <row r="16285" spans="8:8">
      <c r="H16285" s="680" t="s">
        <v>6153</v>
      </c>
    </row>
    <row r="16286" spans="8:8">
      <c r="H16286" s="680" t="s">
        <v>6153</v>
      </c>
    </row>
    <row r="16287" spans="8:8">
      <c r="H16287" s="680" t="s">
        <v>6153</v>
      </c>
    </row>
    <row r="16288" spans="8:8">
      <c r="H16288" s="680" t="s">
        <v>6153</v>
      </c>
    </row>
    <row r="16289" spans="8:8">
      <c r="H16289" s="680" t="s">
        <v>6153</v>
      </c>
    </row>
    <row r="16290" spans="8:8">
      <c r="H16290" s="680" t="s">
        <v>6153</v>
      </c>
    </row>
    <row r="16291" spans="8:8">
      <c r="H16291" s="680" t="s">
        <v>6153</v>
      </c>
    </row>
    <row r="16292" spans="8:8">
      <c r="H16292" s="680" t="s">
        <v>6153</v>
      </c>
    </row>
    <row r="16293" spans="8:8">
      <c r="H16293" s="680" t="s">
        <v>6153</v>
      </c>
    </row>
    <row r="16294" spans="8:8">
      <c r="H16294" s="680" t="s">
        <v>6153</v>
      </c>
    </row>
    <row r="16295" spans="8:8">
      <c r="H16295" s="680" t="s">
        <v>6153</v>
      </c>
    </row>
    <row r="16296" spans="8:8">
      <c r="H16296" s="680" t="s">
        <v>6153</v>
      </c>
    </row>
    <row r="16297" spans="8:8">
      <c r="H16297" s="680" t="s">
        <v>6153</v>
      </c>
    </row>
    <row r="16298" spans="8:8">
      <c r="H16298" s="680" t="s">
        <v>6153</v>
      </c>
    </row>
    <row r="16299" spans="8:8">
      <c r="H16299" s="680" t="s">
        <v>6153</v>
      </c>
    </row>
    <row r="16300" spans="8:8">
      <c r="H16300" s="680" t="s">
        <v>6153</v>
      </c>
    </row>
    <row r="16301" spans="8:8">
      <c r="H16301" s="680" t="s">
        <v>6153</v>
      </c>
    </row>
    <row r="16302" spans="8:8">
      <c r="H16302" s="680" t="s">
        <v>6153</v>
      </c>
    </row>
    <row r="16303" spans="8:8">
      <c r="H16303" s="680" t="s">
        <v>6153</v>
      </c>
    </row>
    <row r="16304" spans="8:8">
      <c r="H16304" s="680" t="s">
        <v>6153</v>
      </c>
    </row>
    <row r="16305" spans="8:8">
      <c r="H16305" s="680" t="s">
        <v>6153</v>
      </c>
    </row>
    <row r="16306" spans="8:8">
      <c r="H16306" s="680" t="s">
        <v>6153</v>
      </c>
    </row>
    <row r="16307" spans="8:8">
      <c r="H16307" s="680" t="s">
        <v>6153</v>
      </c>
    </row>
    <row r="16308" spans="8:8">
      <c r="H16308" s="680" t="s">
        <v>6153</v>
      </c>
    </row>
    <row r="16309" spans="8:8">
      <c r="H16309" s="680" t="s">
        <v>6153</v>
      </c>
    </row>
    <row r="16310" spans="8:8">
      <c r="H16310" s="680" t="s">
        <v>6153</v>
      </c>
    </row>
    <row r="16311" spans="8:8">
      <c r="H16311" s="680" t="s">
        <v>6153</v>
      </c>
    </row>
    <row r="16312" spans="8:8">
      <c r="H16312" s="680" t="s">
        <v>6153</v>
      </c>
    </row>
    <row r="16313" spans="8:8">
      <c r="H16313" s="680" t="s">
        <v>6153</v>
      </c>
    </row>
    <row r="16314" spans="8:8">
      <c r="H16314" s="680" t="s">
        <v>6153</v>
      </c>
    </row>
    <row r="16315" spans="8:8">
      <c r="H16315" s="680" t="s">
        <v>6153</v>
      </c>
    </row>
    <row r="16316" spans="8:8">
      <c r="H16316" s="680" t="s">
        <v>6153</v>
      </c>
    </row>
    <row r="16317" spans="8:8">
      <c r="H16317" s="680" t="s">
        <v>6153</v>
      </c>
    </row>
    <row r="16318" spans="8:8">
      <c r="H16318" s="680" t="s">
        <v>6153</v>
      </c>
    </row>
    <row r="16319" spans="8:8">
      <c r="H16319" s="680" t="s">
        <v>6153</v>
      </c>
    </row>
    <row r="16320" spans="8:8">
      <c r="H16320" s="680" t="s">
        <v>6153</v>
      </c>
    </row>
    <row r="16321" spans="8:8">
      <c r="H16321" s="680" t="s">
        <v>6153</v>
      </c>
    </row>
    <row r="16322" spans="8:8">
      <c r="H16322" s="680" t="s">
        <v>6153</v>
      </c>
    </row>
    <row r="16323" spans="8:8">
      <c r="H16323" s="680" t="s">
        <v>6153</v>
      </c>
    </row>
    <row r="16324" spans="8:8">
      <c r="H16324" s="680" t="s">
        <v>6153</v>
      </c>
    </row>
    <row r="16325" spans="8:8">
      <c r="H16325" s="680" t="s">
        <v>6153</v>
      </c>
    </row>
    <row r="16326" spans="8:8">
      <c r="H16326" s="680" t="s">
        <v>6153</v>
      </c>
    </row>
    <row r="16327" spans="8:8">
      <c r="H16327" s="680" t="s">
        <v>6153</v>
      </c>
    </row>
    <row r="16328" spans="8:8">
      <c r="H16328" s="680" t="s">
        <v>6153</v>
      </c>
    </row>
    <row r="16329" spans="8:8">
      <c r="H16329" s="680" t="s">
        <v>6153</v>
      </c>
    </row>
    <row r="16330" spans="8:8">
      <c r="H16330" s="680" t="s">
        <v>6153</v>
      </c>
    </row>
    <row r="16331" spans="8:8">
      <c r="H16331" s="680" t="s">
        <v>6153</v>
      </c>
    </row>
    <row r="16332" spans="8:8">
      <c r="H16332" s="680" t="s">
        <v>6153</v>
      </c>
    </row>
    <row r="16333" spans="8:8">
      <c r="H16333" s="680" t="s">
        <v>6153</v>
      </c>
    </row>
    <row r="16334" spans="8:8">
      <c r="H16334" s="680" t="s">
        <v>6153</v>
      </c>
    </row>
    <row r="16335" spans="8:8">
      <c r="H16335" s="680" t="s">
        <v>6153</v>
      </c>
    </row>
    <row r="16336" spans="8:8">
      <c r="H16336" s="680" t="s">
        <v>6153</v>
      </c>
    </row>
    <row r="16337" spans="8:8">
      <c r="H16337" s="680" t="s">
        <v>6153</v>
      </c>
    </row>
    <row r="16338" spans="8:8">
      <c r="H16338" s="680" t="s">
        <v>6153</v>
      </c>
    </row>
    <row r="16339" spans="8:8">
      <c r="H16339" s="680" t="s">
        <v>6153</v>
      </c>
    </row>
    <row r="16340" spans="8:8">
      <c r="H16340" s="680" t="s">
        <v>6153</v>
      </c>
    </row>
    <row r="16341" spans="8:8">
      <c r="H16341" s="680" t="s">
        <v>6153</v>
      </c>
    </row>
    <row r="16342" spans="8:8">
      <c r="H16342" s="680" t="s">
        <v>6153</v>
      </c>
    </row>
    <row r="16343" spans="8:8">
      <c r="H16343" s="680" t="s">
        <v>6153</v>
      </c>
    </row>
    <row r="16344" spans="8:8">
      <c r="H16344" s="680" t="s">
        <v>6153</v>
      </c>
    </row>
    <row r="16345" spans="8:8">
      <c r="H16345" s="680" t="s">
        <v>6153</v>
      </c>
    </row>
    <row r="16346" spans="8:8">
      <c r="H16346" s="680" t="s">
        <v>6153</v>
      </c>
    </row>
    <row r="16347" spans="8:8">
      <c r="H16347" s="680" t="s">
        <v>6153</v>
      </c>
    </row>
    <row r="16348" spans="8:8">
      <c r="H16348" s="680" t="s">
        <v>6153</v>
      </c>
    </row>
    <row r="16349" spans="8:8">
      <c r="H16349" s="680" t="s">
        <v>6153</v>
      </c>
    </row>
    <row r="16350" spans="8:8">
      <c r="H16350" s="680" t="s">
        <v>6153</v>
      </c>
    </row>
    <row r="16351" spans="8:8">
      <c r="H16351" s="680" t="s">
        <v>6153</v>
      </c>
    </row>
    <row r="16352" spans="8:8">
      <c r="H16352" s="680" t="s">
        <v>6153</v>
      </c>
    </row>
    <row r="16353" spans="8:8">
      <c r="H16353" s="680" t="s">
        <v>6153</v>
      </c>
    </row>
    <row r="16354" spans="8:8">
      <c r="H16354" s="680" t="s">
        <v>6153</v>
      </c>
    </row>
    <row r="16355" spans="8:8">
      <c r="H16355" s="680" t="s">
        <v>6153</v>
      </c>
    </row>
    <row r="16356" spans="8:8">
      <c r="H16356" s="680" t="s">
        <v>6153</v>
      </c>
    </row>
    <row r="16357" spans="8:8">
      <c r="H16357" s="680" t="s">
        <v>6153</v>
      </c>
    </row>
    <row r="16358" spans="8:8">
      <c r="H16358" s="680" t="s">
        <v>6153</v>
      </c>
    </row>
    <row r="16359" spans="8:8">
      <c r="H16359" s="680" t="s">
        <v>6153</v>
      </c>
    </row>
    <row r="16360" spans="8:8">
      <c r="H16360" s="680" t="s">
        <v>6153</v>
      </c>
    </row>
    <row r="16361" spans="8:8">
      <c r="H16361" s="680" t="s">
        <v>6153</v>
      </c>
    </row>
    <row r="16362" spans="8:8">
      <c r="H16362" s="680" t="s">
        <v>6153</v>
      </c>
    </row>
    <row r="16363" spans="8:8">
      <c r="H16363" s="680" t="s">
        <v>6153</v>
      </c>
    </row>
    <row r="16364" spans="8:8">
      <c r="H16364" s="680" t="s">
        <v>6153</v>
      </c>
    </row>
    <row r="16365" spans="8:8">
      <c r="H16365" s="680" t="s">
        <v>6153</v>
      </c>
    </row>
    <row r="16366" spans="8:8">
      <c r="H16366" s="680" t="s">
        <v>6153</v>
      </c>
    </row>
    <row r="16367" spans="8:8">
      <c r="H16367" s="680" t="s">
        <v>6153</v>
      </c>
    </row>
    <row r="16368" spans="8:8">
      <c r="H16368" s="680" t="s">
        <v>6153</v>
      </c>
    </row>
    <row r="16369" spans="8:8">
      <c r="H16369" s="680" t="s">
        <v>6153</v>
      </c>
    </row>
    <row r="16370" spans="8:8">
      <c r="H16370" s="680" t="s">
        <v>6153</v>
      </c>
    </row>
    <row r="16371" spans="8:8">
      <c r="H16371" s="680" t="s">
        <v>6153</v>
      </c>
    </row>
    <row r="16372" spans="8:8">
      <c r="H16372" s="680" t="s">
        <v>6153</v>
      </c>
    </row>
    <row r="16373" spans="8:8">
      <c r="H16373" s="680" t="s">
        <v>6153</v>
      </c>
    </row>
    <row r="16374" spans="8:8">
      <c r="H16374" s="680" t="s">
        <v>6153</v>
      </c>
    </row>
    <row r="16375" spans="8:8">
      <c r="H16375" s="680" t="s">
        <v>6153</v>
      </c>
    </row>
    <row r="16376" spans="8:8">
      <c r="H16376" s="680" t="s">
        <v>6153</v>
      </c>
    </row>
    <row r="16377" spans="8:8">
      <c r="H16377" s="680" t="s">
        <v>6153</v>
      </c>
    </row>
    <row r="16378" spans="8:8">
      <c r="H16378" s="680" t="s">
        <v>6153</v>
      </c>
    </row>
    <row r="16379" spans="8:8">
      <c r="H16379" s="680" t="s">
        <v>6153</v>
      </c>
    </row>
    <row r="16380" spans="8:8">
      <c r="H16380" s="680" t="s">
        <v>6153</v>
      </c>
    </row>
    <row r="16381" spans="8:8">
      <c r="H16381" s="680" t="s">
        <v>6153</v>
      </c>
    </row>
    <row r="16382" spans="8:8">
      <c r="H16382" s="680" t="s">
        <v>6153</v>
      </c>
    </row>
    <row r="16383" spans="8:8">
      <c r="H16383" s="680" t="s">
        <v>6153</v>
      </c>
    </row>
    <row r="16384" spans="8:8">
      <c r="H16384" s="680" t="s">
        <v>6153</v>
      </c>
    </row>
    <row r="16385" spans="8:8">
      <c r="H16385" s="680" t="s">
        <v>6153</v>
      </c>
    </row>
    <row r="16386" spans="8:8">
      <c r="H16386" s="680" t="s">
        <v>6153</v>
      </c>
    </row>
    <row r="16387" spans="8:8">
      <c r="H16387" s="680" t="s">
        <v>6153</v>
      </c>
    </row>
    <row r="16388" spans="8:8">
      <c r="H16388" s="680" t="s">
        <v>6153</v>
      </c>
    </row>
    <row r="16389" spans="8:8">
      <c r="H16389" s="680" t="s">
        <v>6153</v>
      </c>
    </row>
    <row r="16390" spans="8:8">
      <c r="H16390" s="680" t="s">
        <v>6153</v>
      </c>
    </row>
    <row r="16391" spans="8:8">
      <c r="H16391" s="680" t="s">
        <v>6153</v>
      </c>
    </row>
    <row r="16392" spans="8:8">
      <c r="H16392" s="680" t="s">
        <v>6153</v>
      </c>
    </row>
    <row r="16393" spans="8:8">
      <c r="H16393" s="680" t="s">
        <v>6153</v>
      </c>
    </row>
    <row r="16394" spans="8:8">
      <c r="H16394" s="680" t="s">
        <v>6153</v>
      </c>
    </row>
    <row r="16395" spans="8:8">
      <c r="H16395" s="680" t="s">
        <v>6153</v>
      </c>
    </row>
    <row r="16396" spans="8:8">
      <c r="H16396" s="680" t="s">
        <v>6153</v>
      </c>
    </row>
    <row r="16397" spans="8:8">
      <c r="H16397" s="680" t="s">
        <v>6153</v>
      </c>
    </row>
    <row r="16398" spans="8:8">
      <c r="H16398" s="680" t="s">
        <v>6153</v>
      </c>
    </row>
    <row r="16399" spans="8:8">
      <c r="H16399" s="680" t="s">
        <v>6153</v>
      </c>
    </row>
    <row r="16400" spans="8:8">
      <c r="H16400" s="680" t="s">
        <v>6153</v>
      </c>
    </row>
    <row r="16401" spans="8:8">
      <c r="H16401" s="680" t="s">
        <v>6153</v>
      </c>
    </row>
    <row r="16402" spans="8:8">
      <c r="H16402" s="680" t="s">
        <v>6153</v>
      </c>
    </row>
    <row r="16403" spans="8:8">
      <c r="H16403" s="680" t="s">
        <v>6153</v>
      </c>
    </row>
    <row r="16404" spans="8:8">
      <c r="H16404" s="680" t="s">
        <v>6153</v>
      </c>
    </row>
    <row r="16405" spans="8:8">
      <c r="H16405" s="680" t="s">
        <v>6153</v>
      </c>
    </row>
    <row r="16406" spans="8:8">
      <c r="H16406" s="680" t="s">
        <v>6153</v>
      </c>
    </row>
    <row r="16407" spans="8:8">
      <c r="H16407" s="680" t="s">
        <v>6153</v>
      </c>
    </row>
    <row r="16408" spans="8:8">
      <c r="H16408" s="680" t="s">
        <v>6153</v>
      </c>
    </row>
    <row r="16409" spans="8:8">
      <c r="H16409" s="680" t="s">
        <v>6153</v>
      </c>
    </row>
    <row r="16410" spans="8:8">
      <c r="H16410" s="680" t="s">
        <v>6153</v>
      </c>
    </row>
    <row r="16411" spans="8:8">
      <c r="H16411" s="680" t="s">
        <v>6153</v>
      </c>
    </row>
    <row r="16412" spans="8:8">
      <c r="H16412" s="680" t="s">
        <v>6153</v>
      </c>
    </row>
    <row r="16413" spans="8:8">
      <c r="H16413" s="680" t="s">
        <v>6153</v>
      </c>
    </row>
    <row r="16414" spans="8:8">
      <c r="H16414" s="680" t="s">
        <v>6153</v>
      </c>
    </row>
    <row r="16415" spans="8:8">
      <c r="H16415" s="680" t="s">
        <v>6153</v>
      </c>
    </row>
    <row r="16416" spans="8:8">
      <c r="H16416" s="680" t="s">
        <v>6153</v>
      </c>
    </row>
    <row r="16417" spans="8:8">
      <c r="H16417" s="680" t="s">
        <v>6153</v>
      </c>
    </row>
    <row r="16418" spans="8:8">
      <c r="H16418" s="680" t="s">
        <v>6153</v>
      </c>
    </row>
    <row r="16419" spans="8:8">
      <c r="H16419" s="680" t="s">
        <v>6153</v>
      </c>
    </row>
    <row r="16420" spans="8:8">
      <c r="H16420" s="680" t="s">
        <v>6153</v>
      </c>
    </row>
    <row r="16421" spans="8:8">
      <c r="H16421" s="680" t="s">
        <v>6153</v>
      </c>
    </row>
    <row r="16422" spans="8:8">
      <c r="H16422" s="680" t="s">
        <v>6153</v>
      </c>
    </row>
    <row r="16423" spans="8:8">
      <c r="H16423" s="680" t="s">
        <v>6153</v>
      </c>
    </row>
    <row r="16424" spans="8:8">
      <c r="H16424" s="680" t="s">
        <v>6153</v>
      </c>
    </row>
    <row r="16425" spans="8:8">
      <c r="H16425" s="680" t="s">
        <v>6153</v>
      </c>
    </row>
    <row r="16426" spans="8:8">
      <c r="H16426" s="680" t="s">
        <v>6153</v>
      </c>
    </row>
    <row r="16427" spans="8:8">
      <c r="H16427" s="680" t="s">
        <v>6153</v>
      </c>
    </row>
    <row r="16428" spans="8:8">
      <c r="H16428" s="680" t="s">
        <v>6153</v>
      </c>
    </row>
    <row r="16429" spans="8:8">
      <c r="H16429" s="680" t="s">
        <v>6153</v>
      </c>
    </row>
    <row r="16430" spans="8:8">
      <c r="H16430" s="680" t="s">
        <v>6153</v>
      </c>
    </row>
    <row r="16431" spans="8:8">
      <c r="H16431" s="680" t="s">
        <v>6153</v>
      </c>
    </row>
    <row r="16432" spans="8:8">
      <c r="H16432" s="680" t="s">
        <v>6153</v>
      </c>
    </row>
    <row r="16433" spans="8:8">
      <c r="H16433" s="680" t="s">
        <v>6153</v>
      </c>
    </row>
    <row r="16434" spans="8:8">
      <c r="H16434" s="680" t="s">
        <v>6153</v>
      </c>
    </row>
    <row r="16435" spans="8:8">
      <c r="H16435" s="680" t="s">
        <v>6153</v>
      </c>
    </row>
    <row r="16436" spans="8:8">
      <c r="H16436" s="680" t="s">
        <v>6153</v>
      </c>
    </row>
    <row r="16437" spans="8:8">
      <c r="H16437" s="680" t="s">
        <v>6153</v>
      </c>
    </row>
    <row r="16438" spans="8:8">
      <c r="H16438" s="680" t="s">
        <v>6153</v>
      </c>
    </row>
    <row r="16439" spans="8:8">
      <c r="H16439" s="680" t="s">
        <v>6153</v>
      </c>
    </row>
    <row r="16440" spans="8:8">
      <c r="H16440" s="680" t="s">
        <v>6153</v>
      </c>
    </row>
    <row r="16441" spans="8:8">
      <c r="H16441" s="680" t="s">
        <v>6153</v>
      </c>
    </row>
    <row r="16442" spans="8:8">
      <c r="H16442" s="680" t="s">
        <v>6153</v>
      </c>
    </row>
    <row r="16443" spans="8:8">
      <c r="H16443" s="680" t="s">
        <v>6153</v>
      </c>
    </row>
    <row r="16444" spans="8:8">
      <c r="H16444" s="680" t="s">
        <v>6153</v>
      </c>
    </row>
    <row r="16445" spans="8:8">
      <c r="H16445" s="680" t="s">
        <v>6153</v>
      </c>
    </row>
    <row r="16446" spans="8:8">
      <c r="H16446" s="680" t="s">
        <v>6153</v>
      </c>
    </row>
    <row r="16447" spans="8:8">
      <c r="H16447" s="680" t="s">
        <v>6153</v>
      </c>
    </row>
    <row r="16448" spans="8:8">
      <c r="H16448" s="680" t="s">
        <v>6153</v>
      </c>
    </row>
    <row r="16449" spans="8:8">
      <c r="H16449" s="680" t="s">
        <v>6153</v>
      </c>
    </row>
    <row r="16450" spans="8:8">
      <c r="H16450" s="680" t="s">
        <v>6153</v>
      </c>
    </row>
    <row r="16451" spans="8:8">
      <c r="H16451" s="680" t="s">
        <v>6153</v>
      </c>
    </row>
    <row r="16452" spans="8:8">
      <c r="H16452" s="680" t="s">
        <v>6153</v>
      </c>
    </row>
    <row r="16453" spans="8:8">
      <c r="H16453" s="680" t="s">
        <v>6153</v>
      </c>
    </row>
    <row r="16454" spans="8:8">
      <c r="H16454" s="680" t="s">
        <v>6153</v>
      </c>
    </row>
    <row r="16455" spans="8:8">
      <c r="H16455" s="680" t="s">
        <v>6153</v>
      </c>
    </row>
    <row r="16456" spans="8:8">
      <c r="H16456" s="680" t="s">
        <v>6153</v>
      </c>
    </row>
    <row r="16457" spans="8:8">
      <c r="H16457" s="680" t="s">
        <v>6153</v>
      </c>
    </row>
    <row r="16458" spans="8:8">
      <c r="H16458" s="680" t="s">
        <v>6153</v>
      </c>
    </row>
    <row r="16459" spans="8:8">
      <c r="H16459" s="680" t="s">
        <v>6153</v>
      </c>
    </row>
    <row r="16460" spans="8:8">
      <c r="H16460" s="680" t="s">
        <v>6153</v>
      </c>
    </row>
    <row r="16461" spans="8:8">
      <c r="H16461" s="680" t="s">
        <v>6153</v>
      </c>
    </row>
    <row r="16462" spans="8:8">
      <c r="H16462" s="680" t="s">
        <v>6153</v>
      </c>
    </row>
    <row r="16463" spans="8:8">
      <c r="H16463" s="680" t="s">
        <v>6153</v>
      </c>
    </row>
    <row r="16464" spans="8:8">
      <c r="H16464" s="680" t="s">
        <v>6153</v>
      </c>
    </row>
    <row r="16465" spans="8:8">
      <c r="H16465" s="680" t="s">
        <v>6153</v>
      </c>
    </row>
    <row r="16466" spans="8:8">
      <c r="H16466" s="680" t="s">
        <v>6153</v>
      </c>
    </row>
    <row r="16467" spans="8:8">
      <c r="H16467" s="680" t="s">
        <v>6153</v>
      </c>
    </row>
    <row r="16468" spans="8:8">
      <c r="H16468" s="680" t="s">
        <v>6153</v>
      </c>
    </row>
    <row r="16469" spans="8:8">
      <c r="H16469" s="680" t="s">
        <v>6153</v>
      </c>
    </row>
    <row r="16470" spans="8:8">
      <c r="H16470" s="680" t="s">
        <v>6153</v>
      </c>
    </row>
    <row r="16471" spans="8:8">
      <c r="H16471" s="680" t="s">
        <v>6153</v>
      </c>
    </row>
    <row r="16472" spans="8:8">
      <c r="H16472" s="680" t="s">
        <v>6153</v>
      </c>
    </row>
    <row r="16473" spans="8:8">
      <c r="H16473" s="680" t="s">
        <v>6153</v>
      </c>
    </row>
    <row r="16474" spans="8:8">
      <c r="H16474" s="680" t="s">
        <v>6153</v>
      </c>
    </row>
    <row r="16475" spans="8:8">
      <c r="H16475" s="680" t="s">
        <v>6153</v>
      </c>
    </row>
    <row r="16476" spans="8:8">
      <c r="H16476" s="680" t="s">
        <v>6153</v>
      </c>
    </row>
    <row r="16477" spans="8:8">
      <c r="H16477" s="680" t="s">
        <v>6153</v>
      </c>
    </row>
    <row r="16478" spans="8:8">
      <c r="H16478" s="680" t="s">
        <v>6153</v>
      </c>
    </row>
    <row r="16479" spans="8:8">
      <c r="H16479" s="680" t="s">
        <v>6153</v>
      </c>
    </row>
    <row r="16480" spans="8:8">
      <c r="H16480" s="680" t="s">
        <v>6153</v>
      </c>
    </row>
    <row r="16481" spans="8:8">
      <c r="H16481" s="680" t="s">
        <v>6153</v>
      </c>
    </row>
    <row r="16482" spans="8:8">
      <c r="H16482" s="680" t="s">
        <v>6153</v>
      </c>
    </row>
    <row r="16483" spans="8:8">
      <c r="H16483" s="680" t="s">
        <v>6153</v>
      </c>
    </row>
    <row r="16484" spans="8:8">
      <c r="H16484" s="680" t="s">
        <v>6153</v>
      </c>
    </row>
    <row r="16485" spans="8:8">
      <c r="H16485" s="680" t="s">
        <v>6153</v>
      </c>
    </row>
    <row r="16486" spans="8:8">
      <c r="H16486" s="680" t="s">
        <v>6153</v>
      </c>
    </row>
    <row r="16487" spans="8:8">
      <c r="H16487" s="680" t="s">
        <v>6153</v>
      </c>
    </row>
    <row r="16488" spans="8:8">
      <c r="H16488" s="680" t="s">
        <v>6153</v>
      </c>
    </row>
    <row r="16489" spans="8:8">
      <c r="H16489" s="680" t="s">
        <v>6153</v>
      </c>
    </row>
    <row r="16490" spans="8:8">
      <c r="H16490" s="680" t="s">
        <v>6153</v>
      </c>
    </row>
    <row r="16491" spans="8:8">
      <c r="H16491" s="680" t="s">
        <v>6153</v>
      </c>
    </row>
    <row r="16492" spans="8:8">
      <c r="H16492" s="680" t="s">
        <v>6153</v>
      </c>
    </row>
    <row r="16493" spans="8:8">
      <c r="H16493" s="680" t="s">
        <v>6153</v>
      </c>
    </row>
    <row r="16494" spans="8:8">
      <c r="H16494" s="680" t="s">
        <v>6153</v>
      </c>
    </row>
    <row r="16495" spans="8:8">
      <c r="H16495" s="680" t="s">
        <v>6153</v>
      </c>
    </row>
    <row r="16496" spans="8:8">
      <c r="H16496" s="680" t="s">
        <v>6153</v>
      </c>
    </row>
    <row r="16497" spans="8:8">
      <c r="H16497" s="680" t="s">
        <v>6153</v>
      </c>
    </row>
    <row r="16498" spans="8:8">
      <c r="H16498" s="680" t="s">
        <v>6153</v>
      </c>
    </row>
    <row r="16499" spans="8:8">
      <c r="H16499" s="680" t="s">
        <v>6153</v>
      </c>
    </row>
    <row r="16500" spans="8:8">
      <c r="H16500" s="680" t="s">
        <v>6153</v>
      </c>
    </row>
    <row r="16501" spans="8:8">
      <c r="H16501" s="680" t="s">
        <v>6153</v>
      </c>
    </row>
    <row r="16502" spans="8:8">
      <c r="H16502" s="680" t="s">
        <v>6153</v>
      </c>
    </row>
    <row r="16503" spans="8:8">
      <c r="H16503" s="680" t="s">
        <v>6153</v>
      </c>
    </row>
    <row r="16504" spans="8:8">
      <c r="H16504" s="680" t="s">
        <v>6153</v>
      </c>
    </row>
    <row r="16505" spans="8:8">
      <c r="H16505" s="680" t="s">
        <v>6153</v>
      </c>
    </row>
    <row r="16506" spans="8:8">
      <c r="H16506" s="680" t="s">
        <v>6153</v>
      </c>
    </row>
    <row r="16507" spans="8:8">
      <c r="H16507" s="680" t="s">
        <v>6153</v>
      </c>
    </row>
    <row r="16508" spans="8:8">
      <c r="H16508" s="680" t="s">
        <v>6153</v>
      </c>
    </row>
    <row r="16509" spans="8:8">
      <c r="H16509" s="680" t="s">
        <v>6153</v>
      </c>
    </row>
    <row r="16510" spans="8:8">
      <c r="H16510" s="680" t="s">
        <v>6153</v>
      </c>
    </row>
    <row r="16511" spans="8:8">
      <c r="H16511" s="680" t="s">
        <v>6153</v>
      </c>
    </row>
    <row r="16512" spans="8:8">
      <c r="H16512" s="680" t="s">
        <v>6153</v>
      </c>
    </row>
    <row r="16513" spans="8:8">
      <c r="H16513" s="680" t="s">
        <v>6153</v>
      </c>
    </row>
    <row r="16514" spans="8:8">
      <c r="H16514" s="680" t="s">
        <v>6153</v>
      </c>
    </row>
    <row r="16515" spans="8:8">
      <c r="H16515" s="680" t="s">
        <v>6153</v>
      </c>
    </row>
    <row r="16516" spans="8:8">
      <c r="H16516" s="680" t="s">
        <v>6153</v>
      </c>
    </row>
    <row r="16517" spans="8:8">
      <c r="H16517" s="680" t="s">
        <v>6153</v>
      </c>
    </row>
    <row r="16518" spans="8:8">
      <c r="H16518" s="680" t="s">
        <v>6153</v>
      </c>
    </row>
    <row r="16519" spans="8:8">
      <c r="H16519" s="680" t="s">
        <v>6153</v>
      </c>
    </row>
    <row r="16520" spans="8:8">
      <c r="H16520" s="680" t="s">
        <v>6153</v>
      </c>
    </row>
    <row r="16521" spans="8:8">
      <c r="H16521" s="680" t="s">
        <v>6153</v>
      </c>
    </row>
    <row r="16522" spans="8:8">
      <c r="H16522" s="680" t="s">
        <v>6153</v>
      </c>
    </row>
    <row r="16523" spans="8:8">
      <c r="H16523" s="680" t="s">
        <v>6153</v>
      </c>
    </row>
    <row r="16524" spans="8:8">
      <c r="H16524" s="680" t="s">
        <v>6153</v>
      </c>
    </row>
    <row r="16525" spans="8:8">
      <c r="H16525" s="680" t="s">
        <v>6153</v>
      </c>
    </row>
    <row r="16526" spans="8:8">
      <c r="H16526" s="680" t="s">
        <v>6153</v>
      </c>
    </row>
    <row r="16527" spans="8:8">
      <c r="H16527" s="680" t="s">
        <v>6153</v>
      </c>
    </row>
    <row r="16528" spans="8:8">
      <c r="H16528" s="680" t="s">
        <v>6153</v>
      </c>
    </row>
    <row r="16529" spans="8:8">
      <c r="H16529" s="680" t="s">
        <v>6153</v>
      </c>
    </row>
    <row r="16530" spans="8:8">
      <c r="H16530" s="680" t="s">
        <v>6153</v>
      </c>
    </row>
    <row r="16531" spans="8:8">
      <c r="H16531" s="680" t="s">
        <v>6153</v>
      </c>
    </row>
    <row r="16532" spans="8:8">
      <c r="H16532" s="680" t="s">
        <v>6153</v>
      </c>
    </row>
    <row r="16533" spans="8:8">
      <c r="H16533" s="680" t="s">
        <v>6153</v>
      </c>
    </row>
    <row r="16534" spans="8:8">
      <c r="H16534" s="680" t="s">
        <v>6153</v>
      </c>
    </row>
    <row r="16535" spans="8:8">
      <c r="H16535" s="680" t="s">
        <v>6153</v>
      </c>
    </row>
    <row r="16536" spans="8:8">
      <c r="H16536" s="680" t="s">
        <v>6153</v>
      </c>
    </row>
    <row r="16537" spans="8:8">
      <c r="H16537" s="680" t="s">
        <v>6153</v>
      </c>
    </row>
    <row r="16538" spans="8:8">
      <c r="H16538" s="680" t="s">
        <v>6153</v>
      </c>
    </row>
    <row r="16539" spans="8:8">
      <c r="H16539" s="680" t="s">
        <v>6153</v>
      </c>
    </row>
    <row r="16540" spans="8:8">
      <c r="H16540" s="680" t="s">
        <v>6153</v>
      </c>
    </row>
    <row r="16541" spans="8:8">
      <c r="H16541" s="680" t="s">
        <v>6153</v>
      </c>
    </row>
    <row r="16542" spans="8:8">
      <c r="H16542" s="680" t="s">
        <v>6153</v>
      </c>
    </row>
    <row r="16543" spans="8:8">
      <c r="H16543" s="680" t="s">
        <v>6153</v>
      </c>
    </row>
    <row r="16544" spans="8:8">
      <c r="H16544" s="680" t="s">
        <v>6153</v>
      </c>
    </row>
    <row r="16545" spans="8:8">
      <c r="H16545" s="680" t="s">
        <v>6153</v>
      </c>
    </row>
    <row r="16546" spans="8:8">
      <c r="H16546" s="680" t="s">
        <v>6153</v>
      </c>
    </row>
    <row r="16547" spans="8:8">
      <c r="H16547" s="680" t="s">
        <v>6153</v>
      </c>
    </row>
    <row r="16548" spans="8:8">
      <c r="H16548" s="680" t="s">
        <v>6153</v>
      </c>
    </row>
    <row r="16549" spans="8:8">
      <c r="H16549" s="680" t="s">
        <v>6153</v>
      </c>
    </row>
    <row r="16550" spans="8:8">
      <c r="H16550" s="680" t="s">
        <v>6153</v>
      </c>
    </row>
    <row r="16551" spans="8:8">
      <c r="H16551" s="680" t="s">
        <v>6153</v>
      </c>
    </row>
    <row r="16552" spans="8:8">
      <c r="H16552" s="680" t="s">
        <v>6153</v>
      </c>
    </row>
    <row r="16553" spans="8:8">
      <c r="H16553" s="680" t="s">
        <v>6153</v>
      </c>
    </row>
    <row r="16554" spans="8:8">
      <c r="H16554" s="680" t="s">
        <v>6153</v>
      </c>
    </row>
    <row r="16555" spans="8:8">
      <c r="H16555" s="680" t="s">
        <v>6153</v>
      </c>
    </row>
    <row r="16556" spans="8:8">
      <c r="H16556" s="680" t="s">
        <v>6153</v>
      </c>
    </row>
    <row r="16557" spans="8:8">
      <c r="H16557" s="680" t="s">
        <v>6153</v>
      </c>
    </row>
    <row r="16558" spans="8:8">
      <c r="H16558" s="680" t="s">
        <v>6153</v>
      </c>
    </row>
    <row r="16559" spans="8:8">
      <c r="H16559" s="680" t="s">
        <v>6153</v>
      </c>
    </row>
    <row r="16560" spans="8:8">
      <c r="H16560" s="680" t="s">
        <v>6153</v>
      </c>
    </row>
    <row r="16561" spans="8:8">
      <c r="H16561" s="680" t="s">
        <v>6153</v>
      </c>
    </row>
    <row r="16562" spans="8:8">
      <c r="H16562" s="680" t="s">
        <v>6153</v>
      </c>
    </row>
    <row r="16563" spans="8:8">
      <c r="H16563" s="680" t="s">
        <v>6153</v>
      </c>
    </row>
    <row r="16564" spans="8:8">
      <c r="H16564" s="680" t="s">
        <v>6153</v>
      </c>
    </row>
    <row r="16565" spans="8:8">
      <c r="H16565" s="680" t="s">
        <v>6153</v>
      </c>
    </row>
    <row r="16566" spans="8:8">
      <c r="H16566" s="680" t="s">
        <v>6153</v>
      </c>
    </row>
    <row r="16567" spans="8:8">
      <c r="H16567" s="680" t="s">
        <v>6153</v>
      </c>
    </row>
    <row r="16568" spans="8:8">
      <c r="H16568" s="680" t="s">
        <v>6153</v>
      </c>
    </row>
    <row r="16569" spans="8:8">
      <c r="H16569" s="680" t="s">
        <v>6153</v>
      </c>
    </row>
    <row r="16570" spans="8:8">
      <c r="H16570" s="680" t="s">
        <v>6153</v>
      </c>
    </row>
    <row r="16571" spans="8:8">
      <c r="H16571" s="680" t="s">
        <v>6153</v>
      </c>
    </row>
    <row r="16572" spans="8:8">
      <c r="H16572" s="680" t="s">
        <v>6153</v>
      </c>
    </row>
    <row r="16573" spans="8:8">
      <c r="H16573" s="680" t="s">
        <v>6153</v>
      </c>
    </row>
    <row r="16574" spans="8:8">
      <c r="H16574" s="680" t="s">
        <v>6153</v>
      </c>
    </row>
    <row r="16575" spans="8:8">
      <c r="H16575" s="680" t="s">
        <v>6153</v>
      </c>
    </row>
    <row r="16576" spans="8:8">
      <c r="H16576" s="680" t="s">
        <v>6153</v>
      </c>
    </row>
    <row r="16577" spans="8:8">
      <c r="H16577" s="680" t="s">
        <v>6153</v>
      </c>
    </row>
    <row r="16578" spans="8:8">
      <c r="H16578" s="680" t="s">
        <v>6153</v>
      </c>
    </row>
    <row r="16579" spans="8:8">
      <c r="H16579" s="680" t="s">
        <v>6153</v>
      </c>
    </row>
    <row r="16580" spans="8:8">
      <c r="H16580" s="680" t="s">
        <v>6153</v>
      </c>
    </row>
    <row r="16581" spans="8:8">
      <c r="H16581" s="680" t="s">
        <v>6153</v>
      </c>
    </row>
    <row r="16582" spans="8:8">
      <c r="H16582" s="680" t="s">
        <v>6153</v>
      </c>
    </row>
    <row r="16583" spans="8:8">
      <c r="H16583" s="680" t="s">
        <v>6153</v>
      </c>
    </row>
    <row r="16584" spans="8:8">
      <c r="H16584" s="680" t="s">
        <v>6153</v>
      </c>
    </row>
    <row r="16585" spans="8:8">
      <c r="H16585" s="680" t="s">
        <v>6153</v>
      </c>
    </row>
    <row r="16586" spans="8:8">
      <c r="H16586" s="680" t="s">
        <v>6153</v>
      </c>
    </row>
    <row r="16587" spans="8:8">
      <c r="H16587" s="680" t="s">
        <v>6153</v>
      </c>
    </row>
    <row r="16588" spans="8:8">
      <c r="H16588" s="680" t="s">
        <v>6153</v>
      </c>
    </row>
    <row r="16589" spans="8:8">
      <c r="H16589" s="680" t="s">
        <v>6153</v>
      </c>
    </row>
    <row r="16590" spans="8:8">
      <c r="H16590" s="680" t="s">
        <v>6153</v>
      </c>
    </row>
    <row r="16591" spans="8:8">
      <c r="H16591" s="680" t="s">
        <v>6153</v>
      </c>
    </row>
    <row r="16592" spans="8:8">
      <c r="H16592" s="680" t="s">
        <v>6153</v>
      </c>
    </row>
    <row r="16593" spans="8:8">
      <c r="H16593" s="680" t="s">
        <v>6153</v>
      </c>
    </row>
    <row r="16594" spans="8:8">
      <c r="H16594" s="680" t="s">
        <v>6153</v>
      </c>
    </row>
    <row r="16595" spans="8:8">
      <c r="H16595" s="680" t="s">
        <v>6153</v>
      </c>
    </row>
    <row r="16596" spans="8:8">
      <c r="H16596" s="680" t="s">
        <v>6153</v>
      </c>
    </row>
    <row r="16597" spans="8:8">
      <c r="H16597" s="680" t="s">
        <v>6153</v>
      </c>
    </row>
    <row r="16598" spans="8:8">
      <c r="H16598" s="680" t="s">
        <v>6153</v>
      </c>
    </row>
    <row r="16599" spans="8:8">
      <c r="H16599" s="680" t="s">
        <v>6153</v>
      </c>
    </row>
    <row r="16600" spans="8:8">
      <c r="H16600" s="680" t="s">
        <v>6153</v>
      </c>
    </row>
    <row r="16601" spans="8:8">
      <c r="H16601" s="680" t="s">
        <v>6153</v>
      </c>
    </row>
    <row r="16602" spans="8:8">
      <c r="H16602" s="680" t="s">
        <v>6153</v>
      </c>
    </row>
    <row r="16603" spans="8:8">
      <c r="H16603" s="680" t="s">
        <v>6153</v>
      </c>
    </row>
    <row r="16604" spans="8:8">
      <c r="H16604" s="680" t="s">
        <v>6153</v>
      </c>
    </row>
    <row r="16605" spans="8:8">
      <c r="H16605" s="680" t="s">
        <v>6153</v>
      </c>
    </row>
    <row r="16606" spans="8:8">
      <c r="H16606" s="680" t="s">
        <v>6153</v>
      </c>
    </row>
    <row r="16607" spans="8:8">
      <c r="H16607" s="680" t="s">
        <v>6153</v>
      </c>
    </row>
    <row r="16608" spans="8:8">
      <c r="H16608" s="680" t="s">
        <v>6153</v>
      </c>
    </row>
    <row r="16609" spans="8:8">
      <c r="H16609" s="680" t="s">
        <v>6153</v>
      </c>
    </row>
    <row r="16610" spans="8:8">
      <c r="H16610" s="680" t="s">
        <v>6153</v>
      </c>
    </row>
    <row r="16611" spans="8:8">
      <c r="H16611" s="680" t="s">
        <v>6153</v>
      </c>
    </row>
    <row r="16612" spans="8:8">
      <c r="H16612" s="680" t="s">
        <v>6153</v>
      </c>
    </row>
    <row r="16613" spans="8:8">
      <c r="H16613" s="680" t="s">
        <v>6153</v>
      </c>
    </row>
    <row r="16614" spans="8:8">
      <c r="H16614" s="680" t="s">
        <v>6153</v>
      </c>
    </row>
    <row r="16615" spans="8:8">
      <c r="H16615" s="680" t="s">
        <v>6153</v>
      </c>
    </row>
    <row r="16616" spans="8:8">
      <c r="H16616" s="680" t="s">
        <v>6153</v>
      </c>
    </row>
    <row r="16617" spans="8:8">
      <c r="H16617" s="680" t="s">
        <v>6153</v>
      </c>
    </row>
    <row r="16618" spans="8:8">
      <c r="H16618" s="680" t="s">
        <v>6153</v>
      </c>
    </row>
    <row r="16619" spans="8:8">
      <c r="H16619" s="680" t="s">
        <v>6153</v>
      </c>
    </row>
    <row r="16620" spans="8:8">
      <c r="H16620" s="680" t="s">
        <v>6153</v>
      </c>
    </row>
    <row r="16621" spans="8:8">
      <c r="H16621" s="680" t="s">
        <v>6153</v>
      </c>
    </row>
    <row r="16622" spans="8:8">
      <c r="H16622" s="680" t="s">
        <v>6153</v>
      </c>
    </row>
    <row r="16623" spans="8:8">
      <c r="H16623" s="680" t="s">
        <v>6153</v>
      </c>
    </row>
    <row r="16624" spans="8:8">
      <c r="H16624" s="680" t="s">
        <v>6153</v>
      </c>
    </row>
    <row r="16625" spans="8:8">
      <c r="H16625" s="680" t="s">
        <v>6153</v>
      </c>
    </row>
    <row r="16626" spans="8:8">
      <c r="H16626" s="680" t="s">
        <v>6153</v>
      </c>
    </row>
    <row r="16627" spans="8:8">
      <c r="H16627" s="680" t="s">
        <v>6153</v>
      </c>
    </row>
    <row r="16628" spans="8:8">
      <c r="H16628" s="680" t="s">
        <v>6153</v>
      </c>
    </row>
    <row r="16629" spans="8:8">
      <c r="H16629" s="680" t="s">
        <v>6153</v>
      </c>
    </row>
    <row r="16630" spans="8:8">
      <c r="H16630" s="680" t="s">
        <v>6153</v>
      </c>
    </row>
    <row r="16631" spans="8:8">
      <c r="H16631" s="680" t="s">
        <v>6153</v>
      </c>
    </row>
    <row r="16632" spans="8:8">
      <c r="H16632" s="680" t="s">
        <v>6153</v>
      </c>
    </row>
    <row r="16633" spans="8:8">
      <c r="H16633" s="680" t="s">
        <v>6153</v>
      </c>
    </row>
    <row r="16634" spans="8:8">
      <c r="H16634" s="680" t="s">
        <v>6153</v>
      </c>
    </row>
    <row r="16635" spans="8:8">
      <c r="H16635" s="680" t="s">
        <v>6153</v>
      </c>
    </row>
    <row r="16636" spans="8:8">
      <c r="H16636" s="680" t="s">
        <v>6153</v>
      </c>
    </row>
    <row r="16637" spans="8:8">
      <c r="H16637" s="680" t="s">
        <v>6153</v>
      </c>
    </row>
    <row r="16638" spans="8:8">
      <c r="H16638" s="680" t="s">
        <v>6153</v>
      </c>
    </row>
    <row r="16639" spans="8:8">
      <c r="H16639" s="680" t="s">
        <v>6153</v>
      </c>
    </row>
    <row r="16640" spans="8:8">
      <c r="H16640" s="680" t="s">
        <v>6153</v>
      </c>
    </row>
    <row r="16641" spans="8:8">
      <c r="H16641" s="680" t="s">
        <v>6153</v>
      </c>
    </row>
    <row r="16642" spans="8:8">
      <c r="H16642" s="680" t="s">
        <v>6153</v>
      </c>
    </row>
    <row r="16643" spans="8:8">
      <c r="H16643" s="680" t="s">
        <v>6153</v>
      </c>
    </row>
    <row r="16644" spans="8:8">
      <c r="H16644" s="680" t="s">
        <v>6153</v>
      </c>
    </row>
    <row r="16645" spans="8:8">
      <c r="H16645" s="680" t="s">
        <v>6153</v>
      </c>
    </row>
    <row r="16646" spans="8:8">
      <c r="H16646" s="680" t="s">
        <v>6153</v>
      </c>
    </row>
    <row r="16647" spans="8:8">
      <c r="H16647" s="680" t="s">
        <v>6153</v>
      </c>
    </row>
    <row r="16648" spans="8:8">
      <c r="H16648" s="680" t="s">
        <v>6153</v>
      </c>
    </row>
    <row r="16649" spans="8:8">
      <c r="H16649" s="680" t="s">
        <v>6153</v>
      </c>
    </row>
    <row r="16650" spans="8:8">
      <c r="H16650" s="680" t="s">
        <v>6153</v>
      </c>
    </row>
    <row r="16651" spans="8:8">
      <c r="H16651" s="680" t="s">
        <v>6153</v>
      </c>
    </row>
    <row r="16652" spans="8:8">
      <c r="H16652" s="680" t="s">
        <v>6153</v>
      </c>
    </row>
    <row r="16653" spans="8:8">
      <c r="H16653" s="680" t="s">
        <v>6153</v>
      </c>
    </row>
    <row r="16654" spans="8:8">
      <c r="H16654" s="680" t="s">
        <v>6153</v>
      </c>
    </row>
    <row r="16655" spans="8:8">
      <c r="H16655" s="680" t="s">
        <v>6153</v>
      </c>
    </row>
    <row r="16656" spans="8:8">
      <c r="H16656" s="680" t="s">
        <v>6153</v>
      </c>
    </row>
    <row r="16657" spans="8:8">
      <c r="H16657" s="680" t="s">
        <v>6153</v>
      </c>
    </row>
    <row r="16658" spans="8:8">
      <c r="H16658" s="680" t="s">
        <v>6153</v>
      </c>
    </row>
    <row r="16659" spans="8:8">
      <c r="H16659" s="680" t="s">
        <v>6153</v>
      </c>
    </row>
    <row r="16660" spans="8:8">
      <c r="H16660" s="680" t="s">
        <v>6153</v>
      </c>
    </row>
    <row r="16661" spans="8:8">
      <c r="H16661" s="680" t="s">
        <v>6153</v>
      </c>
    </row>
    <row r="16662" spans="8:8">
      <c r="H16662" s="680" t="s">
        <v>6153</v>
      </c>
    </row>
    <row r="16663" spans="8:8">
      <c r="H16663" s="680" t="s">
        <v>6153</v>
      </c>
    </row>
    <row r="16664" spans="8:8">
      <c r="H16664" s="680" t="s">
        <v>6153</v>
      </c>
    </row>
    <row r="16665" spans="8:8">
      <c r="H16665" s="680" t="s">
        <v>6153</v>
      </c>
    </row>
    <row r="16666" spans="8:8">
      <c r="H16666" s="680" t="s">
        <v>6153</v>
      </c>
    </row>
    <row r="16667" spans="8:8">
      <c r="H16667" s="680" t="s">
        <v>6153</v>
      </c>
    </row>
    <row r="16668" spans="8:8">
      <c r="H16668" s="680" t="s">
        <v>6153</v>
      </c>
    </row>
    <row r="16669" spans="8:8">
      <c r="H16669" s="680" t="s">
        <v>6153</v>
      </c>
    </row>
    <row r="16670" spans="8:8">
      <c r="H16670" s="680" t="s">
        <v>6153</v>
      </c>
    </row>
    <row r="16671" spans="8:8">
      <c r="H16671" s="680" t="s">
        <v>6153</v>
      </c>
    </row>
    <row r="16672" spans="8:8">
      <c r="H16672" s="680" t="s">
        <v>6153</v>
      </c>
    </row>
    <row r="16673" spans="8:8">
      <c r="H16673" s="680" t="s">
        <v>6153</v>
      </c>
    </row>
    <row r="16674" spans="8:8">
      <c r="H16674" s="680" t="s">
        <v>6153</v>
      </c>
    </row>
    <row r="16675" spans="8:8">
      <c r="H16675" s="680" t="s">
        <v>6153</v>
      </c>
    </row>
    <row r="16676" spans="8:8">
      <c r="H16676" s="680" t="s">
        <v>6153</v>
      </c>
    </row>
    <row r="16677" spans="8:8">
      <c r="H16677" s="680" t="s">
        <v>6153</v>
      </c>
    </row>
    <row r="16678" spans="8:8">
      <c r="H16678" s="680" t="s">
        <v>6153</v>
      </c>
    </row>
    <row r="16679" spans="8:8">
      <c r="H16679" s="680" t="s">
        <v>6153</v>
      </c>
    </row>
    <row r="16680" spans="8:8">
      <c r="H16680" s="680" t="s">
        <v>6153</v>
      </c>
    </row>
    <row r="16681" spans="8:8">
      <c r="H16681" s="680" t="s">
        <v>6153</v>
      </c>
    </row>
    <row r="16682" spans="8:8">
      <c r="H16682" s="680" t="s">
        <v>6153</v>
      </c>
    </row>
    <row r="16683" spans="8:8">
      <c r="H16683" s="680" t="s">
        <v>6153</v>
      </c>
    </row>
    <row r="16684" spans="8:8">
      <c r="H16684" s="680" t="s">
        <v>6153</v>
      </c>
    </row>
    <row r="16685" spans="8:8">
      <c r="H16685" s="680" t="s">
        <v>6153</v>
      </c>
    </row>
    <row r="16686" spans="8:8">
      <c r="H16686" s="680" t="s">
        <v>6153</v>
      </c>
    </row>
    <row r="16687" spans="8:8">
      <c r="H16687" s="680" t="s">
        <v>6153</v>
      </c>
    </row>
    <row r="16688" spans="8:8">
      <c r="H16688" s="680" t="s">
        <v>6153</v>
      </c>
    </row>
    <row r="16689" spans="8:8">
      <c r="H16689" s="680" t="s">
        <v>6153</v>
      </c>
    </row>
    <row r="16690" spans="8:8">
      <c r="H16690" s="680" t="s">
        <v>6153</v>
      </c>
    </row>
    <row r="16691" spans="8:8">
      <c r="H16691" s="680" t="s">
        <v>6153</v>
      </c>
    </row>
    <row r="16692" spans="8:8">
      <c r="H16692" s="680" t="s">
        <v>6153</v>
      </c>
    </row>
    <row r="16693" spans="8:8">
      <c r="H16693" s="680" t="s">
        <v>6153</v>
      </c>
    </row>
    <row r="16694" spans="8:8">
      <c r="H16694" s="680" t="s">
        <v>6153</v>
      </c>
    </row>
    <row r="16695" spans="8:8">
      <c r="H16695" s="680" t="s">
        <v>6153</v>
      </c>
    </row>
    <row r="16696" spans="8:8">
      <c r="H16696" s="680" t="s">
        <v>6153</v>
      </c>
    </row>
    <row r="16697" spans="8:8">
      <c r="H16697" s="680" t="s">
        <v>6153</v>
      </c>
    </row>
    <row r="16698" spans="8:8">
      <c r="H16698" s="680" t="s">
        <v>6153</v>
      </c>
    </row>
    <row r="16699" spans="8:8">
      <c r="H16699" s="680" t="s">
        <v>6153</v>
      </c>
    </row>
    <row r="16700" spans="8:8">
      <c r="H16700" s="680" t="s">
        <v>6153</v>
      </c>
    </row>
    <row r="16701" spans="8:8">
      <c r="H16701" s="680" t="s">
        <v>6153</v>
      </c>
    </row>
    <row r="16702" spans="8:8">
      <c r="H16702" s="680" t="s">
        <v>6153</v>
      </c>
    </row>
    <row r="16703" spans="8:8">
      <c r="H16703" s="680" t="s">
        <v>6153</v>
      </c>
    </row>
    <row r="16704" spans="8:8">
      <c r="H16704" s="680" t="s">
        <v>6153</v>
      </c>
    </row>
    <row r="16705" spans="8:8">
      <c r="H16705" s="680" t="s">
        <v>6153</v>
      </c>
    </row>
    <row r="16706" spans="8:8">
      <c r="H16706" s="680" t="s">
        <v>6153</v>
      </c>
    </row>
    <row r="16707" spans="8:8">
      <c r="H16707" s="680" t="s">
        <v>6153</v>
      </c>
    </row>
    <row r="16708" spans="8:8">
      <c r="H16708" s="680" t="s">
        <v>6153</v>
      </c>
    </row>
    <row r="16709" spans="8:8">
      <c r="H16709" s="680" t="s">
        <v>6153</v>
      </c>
    </row>
    <row r="16710" spans="8:8">
      <c r="H16710" s="680" t="s">
        <v>6153</v>
      </c>
    </row>
    <row r="16711" spans="8:8">
      <c r="H16711" s="680" t="s">
        <v>6153</v>
      </c>
    </row>
    <row r="16712" spans="8:8">
      <c r="H16712" s="680" t="s">
        <v>6153</v>
      </c>
    </row>
    <row r="16713" spans="8:8">
      <c r="H16713" s="680" t="s">
        <v>6153</v>
      </c>
    </row>
    <row r="16714" spans="8:8">
      <c r="H16714" s="680" t="s">
        <v>6153</v>
      </c>
    </row>
    <row r="16715" spans="8:8">
      <c r="H16715" s="680" t="s">
        <v>6153</v>
      </c>
    </row>
    <row r="16716" spans="8:8">
      <c r="H16716" s="680" t="s">
        <v>6153</v>
      </c>
    </row>
    <row r="16717" spans="8:8">
      <c r="H16717" s="680" t="s">
        <v>6153</v>
      </c>
    </row>
    <row r="16718" spans="8:8">
      <c r="H16718" s="680" t="s">
        <v>6153</v>
      </c>
    </row>
    <row r="16719" spans="8:8">
      <c r="H16719" s="680" t="s">
        <v>6153</v>
      </c>
    </row>
    <row r="16720" spans="8:8">
      <c r="H16720" s="680" t="s">
        <v>6153</v>
      </c>
    </row>
    <row r="16721" spans="8:8">
      <c r="H16721" s="680" t="s">
        <v>6153</v>
      </c>
    </row>
    <row r="16722" spans="8:8">
      <c r="H16722" s="680" t="s">
        <v>6153</v>
      </c>
    </row>
    <row r="16723" spans="8:8">
      <c r="H16723" s="680" t="s">
        <v>6153</v>
      </c>
    </row>
    <row r="16724" spans="8:8">
      <c r="H16724" s="680" t="s">
        <v>6153</v>
      </c>
    </row>
    <row r="16725" spans="8:8">
      <c r="H16725" s="680" t="s">
        <v>6153</v>
      </c>
    </row>
    <row r="16726" spans="8:8">
      <c r="H16726" s="680" t="s">
        <v>6153</v>
      </c>
    </row>
    <row r="16727" spans="8:8">
      <c r="H16727" s="680" t="s">
        <v>6153</v>
      </c>
    </row>
    <row r="16728" spans="8:8">
      <c r="H16728" s="680" t="s">
        <v>6153</v>
      </c>
    </row>
    <row r="16729" spans="8:8">
      <c r="H16729" s="680" t="s">
        <v>6153</v>
      </c>
    </row>
    <row r="16730" spans="8:8">
      <c r="H16730" s="680" t="s">
        <v>6153</v>
      </c>
    </row>
    <row r="16731" spans="8:8">
      <c r="H16731" s="680" t="s">
        <v>6153</v>
      </c>
    </row>
    <row r="16732" spans="8:8">
      <c r="H16732" s="680" t="s">
        <v>6153</v>
      </c>
    </row>
    <row r="16733" spans="8:8">
      <c r="H16733" s="680" t="s">
        <v>6153</v>
      </c>
    </row>
    <row r="16734" spans="8:8">
      <c r="H16734" s="680" t="s">
        <v>6153</v>
      </c>
    </row>
    <row r="16735" spans="8:8">
      <c r="H16735" s="680" t="s">
        <v>6153</v>
      </c>
    </row>
    <row r="16736" spans="8:8">
      <c r="H16736" s="680" t="s">
        <v>6153</v>
      </c>
    </row>
    <row r="16737" spans="8:8">
      <c r="H16737" s="680" t="s">
        <v>6153</v>
      </c>
    </row>
    <row r="16738" spans="8:8">
      <c r="H16738" s="680" t="s">
        <v>6153</v>
      </c>
    </row>
    <row r="16739" spans="8:8">
      <c r="H16739" s="680" t="s">
        <v>6153</v>
      </c>
    </row>
    <row r="16740" spans="8:8">
      <c r="H16740" s="680" t="s">
        <v>6153</v>
      </c>
    </row>
    <row r="16741" spans="8:8">
      <c r="H16741" s="680" t="s">
        <v>6153</v>
      </c>
    </row>
    <row r="16742" spans="8:8">
      <c r="H16742" s="680" t="s">
        <v>6153</v>
      </c>
    </row>
    <row r="16743" spans="8:8">
      <c r="H16743" s="680" t="s">
        <v>6153</v>
      </c>
    </row>
    <row r="16744" spans="8:8">
      <c r="H16744" s="680" t="s">
        <v>6153</v>
      </c>
    </row>
    <row r="16745" spans="8:8">
      <c r="H16745" s="680" t="s">
        <v>6153</v>
      </c>
    </row>
    <row r="16746" spans="8:8">
      <c r="H16746" s="680" t="s">
        <v>6153</v>
      </c>
    </row>
    <row r="16747" spans="8:8">
      <c r="H16747" s="680" t="s">
        <v>6153</v>
      </c>
    </row>
    <row r="16748" spans="8:8">
      <c r="H16748" s="680" t="s">
        <v>6153</v>
      </c>
    </row>
    <row r="16749" spans="8:8">
      <c r="H16749" s="680" t="s">
        <v>6153</v>
      </c>
    </row>
    <row r="16750" spans="8:8">
      <c r="H16750" s="680" t="s">
        <v>6153</v>
      </c>
    </row>
    <row r="16751" spans="8:8">
      <c r="H16751" s="680" t="s">
        <v>6153</v>
      </c>
    </row>
    <row r="16752" spans="8:8">
      <c r="H16752" s="680" t="s">
        <v>6153</v>
      </c>
    </row>
    <row r="16753" spans="8:8">
      <c r="H16753" s="680" t="s">
        <v>6153</v>
      </c>
    </row>
    <row r="16754" spans="8:8">
      <c r="H16754" s="680" t="s">
        <v>6153</v>
      </c>
    </row>
    <row r="16755" spans="8:8">
      <c r="H16755" s="680" t="s">
        <v>6153</v>
      </c>
    </row>
    <row r="16756" spans="8:8">
      <c r="H16756" s="680" t="s">
        <v>6153</v>
      </c>
    </row>
    <row r="16757" spans="8:8">
      <c r="H16757" s="680" t="s">
        <v>6153</v>
      </c>
    </row>
    <row r="16758" spans="8:8">
      <c r="H16758" s="680" t="s">
        <v>6153</v>
      </c>
    </row>
    <row r="16759" spans="8:8">
      <c r="H16759" s="680" t="s">
        <v>6153</v>
      </c>
    </row>
    <row r="16760" spans="8:8">
      <c r="H16760" s="680" t="s">
        <v>6153</v>
      </c>
    </row>
    <row r="16761" spans="8:8">
      <c r="H16761" s="680" t="s">
        <v>6153</v>
      </c>
    </row>
    <row r="16762" spans="8:8">
      <c r="H16762" s="680" t="s">
        <v>6153</v>
      </c>
    </row>
    <row r="16763" spans="8:8">
      <c r="H16763" s="680" t="s">
        <v>6153</v>
      </c>
    </row>
    <row r="16764" spans="8:8">
      <c r="H16764" s="680" t="s">
        <v>6153</v>
      </c>
    </row>
    <row r="16765" spans="8:8">
      <c r="H16765" s="680" t="s">
        <v>6153</v>
      </c>
    </row>
    <row r="16766" spans="8:8">
      <c r="H16766" s="680" t="s">
        <v>6153</v>
      </c>
    </row>
    <row r="16767" spans="8:8">
      <c r="H16767" s="680" t="s">
        <v>6153</v>
      </c>
    </row>
    <row r="16768" spans="8:8">
      <c r="H16768" s="680" t="s">
        <v>6153</v>
      </c>
    </row>
    <row r="16769" spans="8:8">
      <c r="H16769" s="680" t="s">
        <v>6153</v>
      </c>
    </row>
    <row r="16770" spans="8:8">
      <c r="H16770" s="680" t="s">
        <v>6153</v>
      </c>
    </row>
    <row r="16771" spans="8:8">
      <c r="H16771" s="680" t="s">
        <v>6153</v>
      </c>
    </row>
    <row r="16772" spans="8:8">
      <c r="H16772" s="680" t="s">
        <v>6153</v>
      </c>
    </row>
    <row r="16773" spans="8:8">
      <c r="H16773" s="680" t="s">
        <v>6153</v>
      </c>
    </row>
    <row r="16774" spans="8:8">
      <c r="H16774" s="680" t="s">
        <v>6153</v>
      </c>
    </row>
    <row r="16775" spans="8:8">
      <c r="H16775" s="680" t="s">
        <v>6153</v>
      </c>
    </row>
    <row r="16776" spans="8:8">
      <c r="H16776" s="680" t="s">
        <v>6153</v>
      </c>
    </row>
    <row r="16777" spans="8:8">
      <c r="H16777" s="680" t="s">
        <v>6153</v>
      </c>
    </row>
    <row r="16778" spans="8:8">
      <c r="H16778" s="680" t="s">
        <v>6153</v>
      </c>
    </row>
    <row r="16779" spans="8:8">
      <c r="H16779" s="680" t="s">
        <v>6153</v>
      </c>
    </row>
    <row r="16780" spans="8:8">
      <c r="H16780" s="680" t="s">
        <v>6153</v>
      </c>
    </row>
    <row r="16781" spans="8:8">
      <c r="H16781" s="680" t="s">
        <v>6153</v>
      </c>
    </row>
    <row r="16782" spans="8:8">
      <c r="H16782" s="680" t="s">
        <v>6153</v>
      </c>
    </row>
    <row r="16783" spans="8:8">
      <c r="H16783" s="680" t="s">
        <v>6153</v>
      </c>
    </row>
    <row r="16784" spans="8:8">
      <c r="H16784" s="680" t="s">
        <v>6153</v>
      </c>
    </row>
    <row r="16785" spans="8:8">
      <c r="H16785" s="680" t="s">
        <v>6153</v>
      </c>
    </row>
    <row r="16786" spans="8:8">
      <c r="H16786" s="680" t="s">
        <v>6153</v>
      </c>
    </row>
    <row r="16787" spans="8:8">
      <c r="H16787" s="680" t="s">
        <v>6153</v>
      </c>
    </row>
    <row r="16788" spans="8:8">
      <c r="H16788" s="680" t="s">
        <v>6153</v>
      </c>
    </row>
    <row r="16789" spans="8:8">
      <c r="H16789" s="680" t="s">
        <v>6153</v>
      </c>
    </row>
    <row r="16790" spans="8:8">
      <c r="H16790" s="680" t="s">
        <v>6153</v>
      </c>
    </row>
    <row r="16791" spans="8:8">
      <c r="H16791" s="680" t="s">
        <v>6153</v>
      </c>
    </row>
    <row r="16792" spans="8:8">
      <c r="H16792" s="680" t="s">
        <v>6153</v>
      </c>
    </row>
    <row r="16793" spans="8:8">
      <c r="H16793" s="680" t="s">
        <v>6153</v>
      </c>
    </row>
    <row r="16794" spans="8:8">
      <c r="H16794" s="680" t="s">
        <v>6153</v>
      </c>
    </row>
    <row r="16795" spans="8:8">
      <c r="H16795" s="680" t="s">
        <v>6153</v>
      </c>
    </row>
    <row r="16796" spans="8:8">
      <c r="H16796" s="680" t="s">
        <v>6153</v>
      </c>
    </row>
    <row r="16797" spans="8:8">
      <c r="H16797" s="680" t="s">
        <v>6153</v>
      </c>
    </row>
    <row r="16798" spans="8:8">
      <c r="H16798" s="680" t="s">
        <v>6153</v>
      </c>
    </row>
    <row r="16799" spans="8:8">
      <c r="H16799" s="680" t="s">
        <v>6153</v>
      </c>
    </row>
    <row r="16800" spans="8:8">
      <c r="H16800" s="680" t="s">
        <v>6153</v>
      </c>
    </row>
    <row r="16801" spans="8:8">
      <c r="H16801" s="680" t="s">
        <v>6153</v>
      </c>
    </row>
    <row r="16802" spans="8:8">
      <c r="H16802" s="680" t="s">
        <v>6153</v>
      </c>
    </row>
    <row r="16803" spans="8:8">
      <c r="H16803" s="680" t="s">
        <v>6153</v>
      </c>
    </row>
    <row r="16804" spans="8:8">
      <c r="H16804" s="680" t="s">
        <v>6153</v>
      </c>
    </row>
    <row r="16805" spans="8:8">
      <c r="H16805" s="680" t="s">
        <v>6153</v>
      </c>
    </row>
    <row r="16806" spans="8:8">
      <c r="H16806" s="680" t="s">
        <v>6153</v>
      </c>
    </row>
    <row r="16807" spans="8:8">
      <c r="H16807" s="680" t="s">
        <v>6153</v>
      </c>
    </row>
    <row r="16808" spans="8:8">
      <c r="H16808" s="680" t="s">
        <v>6153</v>
      </c>
    </row>
    <row r="16809" spans="8:8">
      <c r="H16809" s="680" t="s">
        <v>6153</v>
      </c>
    </row>
    <row r="16810" spans="8:8">
      <c r="H16810" s="680" t="s">
        <v>6153</v>
      </c>
    </row>
    <row r="16811" spans="8:8">
      <c r="H16811" s="680" t="s">
        <v>6153</v>
      </c>
    </row>
    <row r="16812" spans="8:8">
      <c r="H16812" s="680" t="s">
        <v>6153</v>
      </c>
    </row>
    <row r="16813" spans="8:8">
      <c r="H16813" s="680" t="s">
        <v>6153</v>
      </c>
    </row>
    <row r="16814" spans="8:8">
      <c r="H16814" s="680" t="s">
        <v>6153</v>
      </c>
    </row>
    <row r="16815" spans="8:8">
      <c r="H16815" s="680" t="s">
        <v>6153</v>
      </c>
    </row>
    <row r="16816" spans="8:8">
      <c r="H16816" s="680" t="s">
        <v>6153</v>
      </c>
    </row>
    <row r="16817" spans="8:8">
      <c r="H16817" s="680" t="s">
        <v>6153</v>
      </c>
    </row>
    <row r="16818" spans="8:8">
      <c r="H16818" s="680" t="s">
        <v>6153</v>
      </c>
    </row>
    <row r="16819" spans="8:8">
      <c r="H16819" s="680" t="s">
        <v>6153</v>
      </c>
    </row>
    <row r="16820" spans="8:8">
      <c r="H16820" s="680" t="s">
        <v>6153</v>
      </c>
    </row>
    <row r="16821" spans="8:8">
      <c r="H16821" s="680" t="s">
        <v>6153</v>
      </c>
    </row>
    <row r="16822" spans="8:8">
      <c r="H16822" s="680" t="s">
        <v>6153</v>
      </c>
    </row>
    <row r="16823" spans="8:8">
      <c r="H16823" s="680" t="s">
        <v>6153</v>
      </c>
    </row>
    <row r="16824" spans="8:8">
      <c r="H16824" s="680" t="s">
        <v>6153</v>
      </c>
    </row>
    <row r="16825" spans="8:8">
      <c r="H16825" s="680" t="s">
        <v>6153</v>
      </c>
    </row>
    <row r="16826" spans="8:8">
      <c r="H16826" s="680" t="s">
        <v>6153</v>
      </c>
    </row>
    <row r="16827" spans="8:8">
      <c r="H16827" s="680" t="s">
        <v>6153</v>
      </c>
    </row>
    <row r="16828" spans="8:8">
      <c r="H16828" s="680" t="s">
        <v>6153</v>
      </c>
    </row>
    <row r="16829" spans="8:8">
      <c r="H16829" s="680" t="s">
        <v>6153</v>
      </c>
    </row>
    <row r="16830" spans="8:8">
      <c r="H16830" s="680" t="s">
        <v>6153</v>
      </c>
    </row>
    <row r="16831" spans="8:8">
      <c r="H16831" s="680" t="s">
        <v>6153</v>
      </c>
    </row>
    <row r="16832" spans="8:8">
      <c r="H16832" s="680" t="s">
        <v>6153</v>
      </c>
    </row>
    <row r="16833" spans="8:8">
      <c r="H16833" s="680" t="s">
        <v>6153</v>
      </c>
    </row>
    <row r="16834" spans="8:8">
      <c r="H16834" s="680" t="s">
        <v>6153</v>
      </c>
    </row>
    <row r="16835" spans="8:8">
      <c r="H16835" s="680" t="s">
        <v>6153</v>
      </c>
    </row>
    <row r="16836" spans="8:8">
      <c r="H16836" s="680" t="s">
        <v>6153</v>
      </c>
    </row>
    <row r="16837" spans="8:8">
      <c r="H16837" s="680" t="s">
        <v>6153</v>
      </c>
    </row>
    <row r="16838" spans="8:8">
      <c r="H16838" s="680" t="s">
        <v>6153</v>
      </c>
    </row>
    <row r="16839" spans="8:8">
      <c r="H16839" s="680" t="s">
        <v>6153</v>
      </c>
    </row>
    <row r="16840" spans="8:8">
      <c r="H16840" s="680" t="s">
        <v>6153</v>
      </c>
    </row>
    <row r="16841" spans="8:8">
      <c r="H16841" s="680" t="s">
        <v>6153</v>
      </c>
    </row>
    <row r="16842" spans="8:8">
      <c r="H16842" s="680" t="s">
        <v>6153</v>
      </c>
    </row>
    <row r="16843" spans="8:8">
      <c r="H16843" s="680" t="s">
        <v>6153</v>
      </c>
    </row>
    <row r="16844" spans="8:8">
      <c r="H16844" s="680" t="s">
        <v>6153</v>
      </c>
    </row>
    <row r="16845" spans="8:8">
      <c r="H16845" s="680" t="s">
        <v>6153</v>
      </c>
    </row>
    <row r="16846" spans="8:8">
      <c r="H16846" s="680" t="s">
        <v>6153</v>
      </c>
    </row>
    <row r="16847" spans="8:8">
      <c r="H16847" s="680" t="s">
        <v>6153</v>
      </c>
    </row>
    <row r="16848" spans="8:8">
      <c r="H16848" s="680" t="s">
        <v>6153</v>
      </c>
    </row>
    <row r="16849" spans="8:8">
      <c r="H16849" s="680" t="s">
        <v>6153</v>
      </c>
    </row>
    <row r="16850" spans="8:8">
      <c r="H16850" s="680" t="s">
        <v>6153</v>
      </c>
    </row>
    <row r="16851" spans="8:8">
      <c r="H16851" s="680" t="s">
        <v>6153</v>
      </c>
    </row>
    <row r="16852" spans="8:8">
      <c r="H16852" s="680" t="s">
        <v>6153</v>
      </c>
    </row>
    <row r="16853" spans="8:8">
      <c r="H16853" s="680" t="s">
        <v>6153</v>
      </c>
    </row>
    <row r="16854" spans="8:8">
      <c r="H16854" s="680" t="s">
        <v>6153</v>
      </c>
    </row>
    <row r="16855" spans="8:8">
      <c r="H16855" s="680" t="s">
        <v>6153</v>
      </c>
    </row>
    <row r="16856" spans="8:8">
      <c r="H16856" s="680" t="s">
        <v>6153</v>
      </c>
    </row>
    <row r="16857" spans="8:8">
      <c r="H16857" s="680" t="s">
        <v>6153</v>
      </c>
    </row>
    <row r="16858" spans="8:8">
      <c r="H16858" s="680" t="s">
        <v>6153</v>
      </c>
    </row>
    <row r="16859" spans="8:8">
      <c r="H16859" s="680" t="s">
        <v>6153</v>
      </c>
    </row>
    <row r="16860" spans="8:8">
      <c r="H16860" s="680" t="s">
        <v>6153</v>
      </c>
    </row>
    <row r="16861" spans="8:8">
      <c r="H16861" s="680" t="s">
        <v>6153</v>
      </c>
    </row>
    <row r="16862" spans="8:8">
      <c r="H16862" s="680" t="s">
        <v>6153</v>
      </c>
    </row>
    <row r="16863" spans="8:8">
      <c r="H16863" s="680" t="s">
        <v>6153</v>
      </c>
    </row>
    <row r="16864" spans="8:8">
      <c r="H16864" s="680" t="s">
        <v>6153</v>
      </c>
    </row>
    <row r="16865" spans="8:8">
      <c r="H16865" s="680" t="s">
        <v>6153</v>
      </c>
    </row>
    <row r="16866" spans="8:8">
      <c r="H16866" s="680" t="s">
        <v>6153</v>
      </c>
    </row>
    <row r="16867" spans="8:8">
      <c r="H16867" s="680" t="s">
        <v>6153</v>
      </c>
    </row>
    <row r="16868" spans="8:8">
      <c r="H16868" s="680" t="s">
        <v>6153</v>
      </c>
    </row>
    <row r="16869" spans="8:8">
      <c r="H16869" s="680" t="s">
        <v>6153</v>
      </c>
    </row>
    <row r="16870" spans="8:8">
      <c r="H16870" s="680" t="s">
        <v>6153</v>
      </c>
    </row>
    <row r="16871" spans="8:8">
      <c r="H16871" s="680" t="s">
        <v>6153</v>
      </c>
    </row>
    <row r="16872" spans="8:8">
      <c r="H16872" s="680" t="s">
        <v>6153</v>
      </c>
    </row>
    <row r="16873" spans="8:8">
      <c r="H16873" s="680" t="s">
        <v>6153</v>
      </c>
    </row>
    <row r="16874" spans="8:8">
      <c r="H16874" s="680" t="s">
        <v>6153</v>
      </c>
    </row>
    <row r="16875" spans="8:8">
      <c r="H16875" s="680" t="s">
        <v>6153</v>
      </c>
    </row>
    <row r="16876" spans="8:8">
      <c r="H16876" s="680" t="s">
        <v>6153</v>
      </c>
    </row>
    <row r="16877" spans="8:8">
      <c r="H16877" s="680" t="s">
        <v>6153</v>
      </c>
    </row>
    <row r="16878" spans="8:8">
      <c r="H16878" s="680" t="s">
        <v>6153</v>
      </c>
    </row>
    <row r="16879" spans="8:8">
      <c r="H16879" s="680" t="s">
        <v>6153</v>
      </c>
    </row>
    <row r="16880" spans="8:8">
      <c r="H16880" s="680" t="s">
        <v>6153</v>
      </c>
    </row>
    <row r="16881" spans="8:8">
      <c r="H16881" s="680" t="s">
        <v>6153</v>
      </c>
    </row>
    <row r="16882" spans="8:8">
      <c r="H16882" s="680" t="s">
        <v>6153</v>
      </c>
    </row>
    <row r="16883" spans="8:8">
      <c r="H16883" s="680" t="s">
        <v>6153</v>
      </c>
    </row>
    <row r="16884" spans="8:8">
      <c r="H16884" s="680" t="s">
        <v>6153</v>
      </c>
    </row>
    <row r="16885" spans="8:8">
      <c r="H16885" s="680" t="s">
        <v>6153</v>
      </c>
    </row>
    <row r="16886" spans="8:8">
      <c r="H16886" s="680" t="s">
        <v>6153</v>
      </c>
    </row>
    <row r="16887" spans="8:8">
      <c r="H16887" s="680" t="s">
        <v>6153</v>
      </c>
    </row>
    <row r="16888" spans="8:8">
      <c r="H16888" s="680" t="s">
        <v>6153</v>
      </c>
    </row>
    <row r="16889" spans="8:8">
      <c r="H16889" s="680" t="s">
        <v>6153</v>
      </c>
    </row>
    <row r="16890" spans="8:8">
      <c r="H16890" s="680" t="s">
        <v>6153</v>
      </c>
    </row>
    <row r="16891" spans="8:8">
      <c r="H16891" s="680" t="s">
        <v>6153</v>
      </c>
    </row>
    <row r="16892" spans="8:8">
      <c r="H16892" s="680" t="s">
        <v>6153</v>
      </c>
    </row>
    <row r="16893" spans="8:8">
      <c r="H16893" s="680" t="s">
        <v>6153</v>
      </c>
    </row>
    <row r="16894" spans="8:8">
      <c r="H16894" s="680" t="s">
        <v>6153</v>
      </c>
    </row>
    <row r="16895" spans="8:8">
      <c r="H16895" s="680" t="s">
        <v>6153</v>
      </c>
    </row>
    <row r="16896" spans="8:8">
      <c r="H16896" s="680" t="s">
        <v>6153</v>
      </c>
    </row>
    <row r="16897" spans="8:8">
      <c r="H16897" s="680" t="s">
        <v>6153</v>
      </c>
    </row>
    <row r="16898" spans="8:8">
      <c r="H16898" s="680" t="s">
        <v>6153</v>
      </c>
    </row>
    <row r="16899" spans="8:8">
      <c r="H16899" s="680" t="s">
        <v>6153</v>
      </c>
    </row>
    <row r="16900" spans="8:8">
      <c r="H16900" s="680" t="s">
        <v>6153</v>
      </c>
    </row>
    <row r="16901" spans="8:8">
      <c r="H16901" s="680" t="s">
        <v>6153</v>
      </c>
    </row>
    <row r="16902" spans="8:8">
      <c r="H16902" s="680" t="s">
        <v>6153</v>
      </c>
    </row>
    <row r="16903" spans="8:8">
      <c r="H16903" s="680" t="s">
        <v>6153</v>
      </c>
    </row>
    <row r="16904" spans="8:8">
      <c r="H16904" s="680" t="s">
        <v>6153</v>
      </c>
    </row>
    <row r="16905" spans="8:8">
      <c r="H16905" s="680" t="s">
        <v>6153</v>
      </c>
    </row>
    <row r="16906" spans="8:8">
      <c r="H16906" s="680" t="s">
        <v>6153</v>
      </c>
    </row>
    <row r="16907" spans="8:8">
      <c r="H16907" s="680" t="s">
        <v>6153</v>
      </c>
    </row>
    <row r="16908" spans="8:8">
      <c r="H16908" s="680" t="s">
        <v>6153</v>
      </c>
    </row>
    <row r="16909" spans="8:8">
      <c r="H16909" s="680" t="s">
        <v>6153</v>
      </c>
    </row>
    <row r="16910" spans="8:8">
      <c r="H16910" s="680" t="s">
        <v>6153</v>
      </c>
    </row>
    <row r="16911" spans="8:8">
      <c r="H16911" s="680" t="s">
        <v>6153</v>
      </c>
    </row>
    <row r="16912" spans="8:8">
      <c r="H16912" s="680" t="s">
        <v>6153</v>
      </c>
    </row>
    <row r="16913" spans="8:8">
      <c r="H16913" s="680" t="s">
        <v>6153</v>
      </c>
    </row>
    <row r="16914" spans="8:8">
      <c r="H16914" s="680" t="s">
        <v>6153</v>
      </c>
    </row>
    <row r="16915" spans="8:8">
      <c r="H16915" s="680" t="s">
        <v>6153</v>
      </c>
    </row>
    <row r="16916" spans="8:8">
      <c r="H16916" s="680" t="s">
        <v>6153</v>
      </c>
    </row>
    <row r="16917" spans="8:8">
      <c r="H16917" s="680" t="s">
        <v>6153</v>
      </c>
    </row>
    <row r="16918" spans="8:8">
      <c r="H16918" s="680" t="s">
        <v>6153</v>
      </c>
    </row>
    <row r="16919" spans="8:8">
      <c r="H16919" s="680" t="s">
        <v>6153</v>
      </c>
    </row>
    <row r="16920" spans="8:8">
      <c r="H16920" s="680" t="s">
        <v>6153</v>
      </c>
    </row>
    <row r="16921" spans="8:8">
      <c r="H16921" s="680" t="s">
        <v>6153</v>
      </c>
    </row>
    <row r="16922" spans="8:8">
      <c r="H16922" s="680" t="s">
        <v>6153</v>
      </c>
    </row>
    <row r="16923" spans="8:8">
      <c r="H16923" s="680" t="s">
        <v>6153</v>
      </c>
    </row>
    <row r="16924" spans="8:8">
      <c r="H16924" s="680" t="s">
        <v>6153</v>
      </c>
    </row>
    <row r="16925" spans="8:8">
      <c r="H16925" s="680" t="s">
        <v>6153</v>
      </c>
    </row>
    <row r="16926" spans="8:8">
      <c r="H16926" s="680" t="s">
        <v>6153</v>
      </c>
    </row>
    <row r="16927" spans="8:8">
      <c r="H16927" s="680" t="s">
        <v>6153</v>
      </c>
    </row>
    <row r="16928" spans="8:8">
      <c r="H16928" s="680" t="s">
        <v>6153</v>
      </c>
    </row>
    <row r="16929" spans="8:8">
      <c r="H16929" s="680" t="s">
        <v>6153</v>
      </c>
    </row>
    <row r="16930" spans="8:8">
      <c r="H16930" s="680" t="s">
        <v>6153</v>
      </c>
    </row>
    <row r="16931" spans="8:8">
      <c r="H16931" s="680" t="s">
        <v>6153</v>
      </c>
    </row>
    <row r="16932" spans="8:8">
      <c r="H16932" s="680" t="s">
        <v>6153</v>
      </c>
    </row>
    <row r="16933" spans="8:8">
      <c r="H16933" s="680" t="s">
        <v>6153</v>
      </c>
    </row>
    <row r="16934" spans="8:8">
      <c r="H16934" s="680" t="s">
        <v>6153</v>
      </c>
    </row>
    <row r="16935" spans="8:8">
      <c r="H16935" s="680" t="s">
        <v>6153</v>
      </c>
    </row>
    <row r="16936" spans="8:8">
      <c r="H16936" s="680" t="s">
        <v>6153</v>
      </c>
    </row>
    <row r="16937" spans="8:8">
      <c r="H16937" s="680" t="s">
        <v>6153</v>
      </c>
    </row>
    <row r="16938" spans="8:8">
      <c r="H16938" s="680" t="s">
        <v>6153</v>
      </c>
    </row>
    <row r="16939" spans="8:8">
      <c r="H16939" s="680" t="s">
        <v>6153</v>
      </c>
    </row>
    <row r="16940" spans="8:8">
      <c r="H16940" s="680" t="s">
        <v>6153</v>
      </c>
    </row>
    <row r="16941" spans="8:8">
      <c r="H16941" s="680" t="s">
        <v>6153</v>
      </c>
    </row>
    <row r="16942" spans="8:8">
      <c r="H16942" s="680" t="s">
        <v>6153</v>
      </c>
    </row>
    <row r="16943" spans="8:8">
      <c r="H16943" s="680" t="s">
        <v>6153</v>
      </c>
    </row>
    <row r="16944" spans="8:8">
      <c r="H16944" s="680" t="s">
        <v>6153</v>
      </c>
    </row>
    <row r="16945" spans="8:8">
      <c r="H16945" s="680" t="s">
        <v>6153</v>
      </c>
    </row>
    <row r="16946" spans="8:8">
      <c r="H16946" s="680" t="s">
        <v>6153</v>
      </c>
    </row>
    <row r="16947" spans="8:8">
      <c r="H16947" s="680" t="s">
        <v>6153</v>
      </c>
    </row>
    <row r="16948" spans="8:8">
      <c r="H16948" s="680" t="s">
        <v>6153</v>
      </c>
    </row>
    <row r="16949" spans="8:8">
      <c r="H16949" s="680" t="s">
        <v>6153</v>
      </c>
    </row>
    <row r="16950" spans="8:8">
      <c r="H16950" s="680" t="s">
        <v>6153</v>
      </c>
    </row>
    <row r="16951" spans="8:8">
      <c r="H16951" s="680" t="s">
        <v>6153</v>
      </c>
    </row>
    <row r="16952" spans="8:8">
      <c r="H16952" s="680" t="s">
        <v>6153</v>
      </c>
    </row>
    <row r="16953" spans="8:8">
      <c r="H16953" s="680" t="s">
        <v>6153</v>
      </c>
    </row>
    <row r="16954" spans="8:8">
      <c r="H16954" s="680" t="s">
        <v>6153</v>
      </c>
    </row>
    <row r="16955" spans="8:8">
      <c r="H16955" s="680" t="s">
        <v>6153</v>
      </c>
    </row>
    <row r="16956" spans="8:8">
      <c r="H16956" s="680" t="s">
        <v>6153</v>
      </c>
    </row>
    <row r="16957" spans="8:8">
      <c r="H16957" s="680" t="s">
        <v>6153</v>
      </c>
    </row>
    <row r="16958" spans="8:8">
      <c r="H16958" s="680" t="s">
        <v>6153</v>
      </c>
    </row>
    <row r="16959" spans="8:8">
      <c r="H16959" s="680" t="s">
        <v>6153</v>
      </c>
    </row>
    <row r="16960" spans="8:8">
      <c r="H16960" s="680" t="s">
        <v>6153</v>
      </c>
    </row>
    <row r="16961" spans="8:8">
      <c r="H16961" s="680" t="s">
        <v>6153</v>
      </c>
    </row>
    <row r="16962" spans="8:8">
      <c r="H16962" s="680" t="s">
        <v>6153</v>
      </c>
    </row>
    <row r="16963" spans="8:8">
      <c r="H16963" s="680" t="s">
        <v>6153</v>
      </c>
    </row>
    <row r="16964" spans="8:8">
      <c r="H16964" s="680" t="s">
        <v>6153</v>
      </c>
    </row>
    <row r="16965" spans="8:8">
      <c r="H16965" s="680" t="s">
        <v>6153</v>
      </c>
    </row>
    <row r="16966" spans="8:8">
      <c r="H16966" s="680" t="s">
        <v>6153</v>
      </c>
    </row>
    <row r="16967" spans="8:8">
      <c r="H16967" s="680" t="s">
        <v>6153</v>
      </c>
    </row>
    <row r="16968" spans="8:8">
      <c r="H16968" s="680" t="s">
        <v>6153</v>
      </c>
    </row>
    <row r="16969" spans="8:8">
      <c r="H16969" s="680" t="s">
        <v>6153</v>
      </c>
    </row>
    <row r="16970" spans="8:8">
      <c r="H16970" s="680" t="s">
        <v>6153</v>
      </c>
    </row>
    <row r="16971" spans="8:8">
      <c r="H16971" s="680" t="s">
        <v>6153</v>
      </c>
    </row>
    <row r="16972" spans="8:8">
      <c r="H16972" s="680" t="s">
        <v>6153</v>
      </c>
    </row>
    <row r="16973" spans="8:8">
      <c r="H16973" s="680" t="s">
        <v>6153</v>
      </c>
    </row>
    <row r="16974" spans="8:8">
      <c r="H16974" s="680" t="s">
        <v>6153</v>
      </c>
    </row>
    <row r="16975" spans="8:8">
      <c r="H16975" s="680" t="s">
        <v>6153</v>
      </c>
    </row>
    <row r="16976" spans="8:8">
      <c r="H16976" s="680" t="s">
        <v>6153</v>
      </c>
    </row>
    <row r="16977" spans="8:8">
      <c r="H16977" s="680" t="s">
        <v>6153</v>
      </c>
    </row>
    <row r="16978" spans="8:8">
      <c r="H16978" s="680" t="s">
        <v>6153</v>
      </c>
    </row>
    <row r="16979" spans="8:8">
      <c r="H16979" s="680" t="s">
        <v>6153</v>
      </c>
    </row>
    <row r="16980" spans="8:8">
      <c r="H16980" s="680" t="s">
        <v>6153</v>
      </c>
    </row>
    <row r="16981" spans="8:8">
      <c r="H16981" s="680" t="s">
        <v>6153</v>
      </c>
    </row>
    <row r="16982" spans="8:8">
      <c r="H16982" s="680" t="s">
        <v>6153</v>
      </c>
    </row>
    <row r="16983" spans="8:8">
      <c r="H16983" s="680" t="s">
        <v>6153</v>
      </c>
    </row>
    <row r="16984" spans="8:8">
      <c r="H16984" s="680" t="s">
        <v>6153</v>
      </c>
    </row>
    <row r="16985" spans="8:8">
      <c r="H16985" s="680" t="s">
        <v>6153</v>
      </c>
    </row>
    <row r="16986" spans="8:8">
      <c r="H16986" s="680" t="s">
        <v>6153</v>
      </c>
    </row>
    <row r="16987" spans="8:8">
      <c r="H16987" s="680" t="s">
        <v>6153</v>
      </c>
    </row>
    <row r="16988" spans="8:8">
      <c r="H16988" s="680" t="s">
        <v>6153</v>
      </c>
    </row>
    <row r="16989" spans="8:8">
      <c r="H16989" s="680" t="s">
        <v>6153</v>
      </c>
    </row>
    <row r="16990" spans="8:8">
      <c r="H16990" s="680" t="s">
        <v>6153</v>
      </c>
    </row>
    <row r="16991" spans="8:8">
      <c r="H16991" s="680" t="s">
        <v>6153</v>
      </c>
    </row>
    <row r="16992" spans="8:8">
      <c r="H16992" s="680" t="s">
        <v>6153</v>
      </c>
    </row>
    <row r="16993" spans="8:8">
      <c r="H16993" s="680" t="s">
        <v>6153</v>
      </c>
    </row>
    <row r="16994" spans="8:8">
      <c r="H16994" s="680" t="s">
        <v>6153</v>
      </c>
    </row>
    <row r="16995" spans="8:8">
      <c r="H16995" s="680" t="s">
        <v>6153</v>
      </c>
    </row>
    <row r="16996" spans="8:8">
      <c r="H16996" s="680" t="s">
        <v>6153</v>
      </c>
    </row>
    <row r="16997" spans="8:8">
      <c r="H16997" s="680" t="s">
        <v>6153</v>
      </c>
    </row>
    <row r="16998" spans="8:8">
      <c r="H16998" s="680" t="s">
        <v>6153</v>
      </c>
    </row>
    <row r="16999" spans="8:8">
      <c r="H16999" s="680" t="s">
        <v>6153</v>
      </c>
    </row>
    <row r="17000" spans="8:8">
      <c r="H17000" s="680" t="s">
        <v>6153</v>
      </c>
    </row>
    <row r="17001" spans="8:8">
      <c r="H17001" s="680" t="s">
        <v>6153</v>
      </c>
    </row>
    <row r="17002" spans="8:8">
      <c r="H17002" s="680" t="s">
        <v>6153</v>
      </c>
    </row>
    <row r="17003" spans="8:8">
      <c r="H17003" s="680" t="s">
        <v>6153</v>
      </c>
    </row>
    <row r="17004" spans="8:8">
      <c r="H17004" s="680" t="s">
        <v>6153</v>
      </c>
    </row>
    <row r="17005" spans="8:8">
      <c r="H17005" s="680" t="s">
        <v>6153</v>
      </c>
    </row>
    <row r="17006" spans="8:8">
      <c r="H17006" s="680" t="s">
        <v>6153</v>
      </c>
    </row>
    <row r="17007" spans="8:8">
      <c r="H17007" s="680" t="s">
        <v>6153</v>
      </c>
    </row>
    <row r="17008" spans="8:8">
      <c r="H17008" s="680" t="s">
        <v>6153</v>
      </c>
    </row>
    <row r="17009" spans="8:8">
      <c r="H17009" s="680" t="s">
        <v>6153</v>
      </c>
    </row>
    <row r="17010" spans="8:8">
      <c r="H17010" s="680" t="s">
        <v>6153</v>
      </c>
    </row>
    <row r="17011" spans="8:8">
      <c r="H17011" s="680" t="s">
        <v>6153</v>
      </c>
    </row>
    <row r="17012" spans="8:8">
      <c r="H17012" s="680" t="s">
        <v>6153</v>
      </c>
    </row>
    <row r="17013" spans="8:8">
      <c r="H17013" s="680" t="s">
        <v>6153</v>
      </c>
    </row>
    <row r="17014" spans="8:8">
      <c r="H17014" s="680" t="s">
        <v>6153</v>
      </c>
    </row>
    <row r="17015" spans="8:8">
      <c r="H17015" s="680" t="s">
        <v>6153</v>
      </c>
    </row>
    <row r="17016" spans="8:8">
      <c r="H17016" s="680" t="s">
        <v>6153</v>
      </c>
    </row>
    <row r="17017" spans="8:8">
      <c r="H17017" s="680" t="s">
        <v>6153</v>
      </c>
    </row>
    <row r="17018" spans="8:8">
      <c r="H17018" s="680" t="s">
        <v>6153</v>
      </c>
    </row>
    <row r="17019" spans="8:8">
      <c r="H17019" s="680" t="s">
        <v>6153</v>
      </c>
    </row>
    <row r="17020" spans="8:8">
      <c r="H17020" s="680" t="s">
        <v>6153</v>
      </c>
    </row>
    <row r="17021" spans="8:8">
      <c r="H17021" s="680" t="s">
        <v>6153</v>
      </c>
    </row>
    <row r="17022" spans="8:8">
      <c r="H17022" s="680" t="s">
        <v>6153</v>
      </c>
    </row>
    <row r="17023" spans="8:8">
      <c r="H17023" s="680" t="s">
        <v>6153</v>
      </c>
    </row>
    <row r="17024" spans="8:8">
      <c r="H17024" s="680" t="s">
        <v>6153</v>
      </c>
    </row>
    <row r="17025" spans="8:8">
      <c r="H17025" s="680" t="s">
        <v>6153</v>
      </c>
    </row>
    <row r="17026" spans="8:8">
      <c r="H17026" s="680" t="s">
        <v>6153</v>
      </c>
    </row>
    <row r="17027" spans="8:8">
      <c r="H17027" s="680" t="s">
        <v>6153</v>
      </c>
    </row>
    <row r="17028" spans="8:8">
      <c r="H17028" s="680" t="s">
        <v>6153</v>
      </c>
    </row>
    <row r="17029" spans="8:8">
      <c r="H17029" s="680" t="s">
        <v>6153</v>
      </c>
    </row>
    <row r="17030" spans="8:8">
      <c r="H17030" s="680" t="s">
        <v>6153</v>
      </c>
    </row>
    <row r="17031" spans="8:8">
      <c r="H17031" s="680" t="s">
        <v>6153</v>
      </c>
    </row>
    <row r="17032" spans="8:8">
      <c r="H17032" s="680" t="s">
        <v>6153</v>
      </c>
    </row>
    <row r="17033" spans="8:8">
      <c r="H17033" s="680" t="s">
        <v>6153</v>
      </c>
    </row>
    <row r="17034" spans="8:8">
      <c r="H17034" s="680" t="s">
        <v>6153</v>
      </c>
    </row>
    <row r="17035" spans="8:8">
      <c r="H17035" s="680" t="s">
        <v>6153</v>
      </c>
    </row>
    <row r="17036" spans="8:8">
      <c r="H17036" s="680" t="s">
        <v>6153</v>
      </c>
    </row>
    <row r="17037" spans="8:8">
      <c r="H17037" s="680" t="s">
        <v>6153</v>
      </c>
    </row>
    <row r="17038" spans="8:8">
      <c r="H17038" s="680" t="s">
        <v>6153</v>
      </c>
    </row>
    <row r="17039" spans="8:8">
      <c r="H17039" s="680" t="s">
        <v>6153</v>
      </c>
    </row>
    <row r="17040" spans="8:8">
      <c r="H17040" s="680" t="s">
        <v>6153</v>
      </c>
    </row>
    <row r="17041" spans="8:8">
      <c r="H17041" s="680" t="s">
        <v>6153</v>
      </c>
    </row>
    <row r="17042" spans="8:8">
      <c r="H17042" s="680" t="s">
        <v>6153</v>
      </c>
    </row>
    <row r="17043" spans="8:8">
      <c r="H17043" s="680" t="s">
        <v>6153</v>
      </c>
    </row>
    <row r="17044" spans="8:8">
      <c r="H17044" s="680" t="s">
        <v>6153</v>
      </c>
    </row>
    <row r="17045" spans="8:8">
      <c r="H17045" s="680" t="s">
        <v>6153</v>
      </c>
    </row>
    <row r="17046" spans="8:8">
      <c r="H17046" s="680" t="s">
        <v>6153</v>
      </c>
    </row>
    <row r="17047" spans="8:8">
      <c r="H17047" s="680" t="s">
        <v>6153</v>
      </c>
    </row>
    <row r="17048" spans="8:8">
      <c r="H17048" s="680" t="s">
        <v>6153</v>
      </c>
    </row>
    <row r="17049" spans="8:8">
      <c r="H17049" s="680" t="s">
        <v>6153</v>
      </c>
    </row>
    <row r="17050" spans="8:8">
      <c r="H17050" s="680" t="s">
        <v>6153</v>
      </c>
    </row>
    <row r="17051" spans="8:8">
      <c r="H17051" s="680" t="s">
        <v>6153</v>
      </c>
    </row>
    <row r="17052" spans="8:8">
      <c r="H17052" s="680" t="s">
        <v>6153</v>
      </c>
    </row>
    <row r="17053" spans="8:8">
      <c r="H17053" s="680" t="s">
        <v>6153</v>
      </c>
    </row>
    <row r="17054" spans="8:8">
      <c r="H17054" s="680" t="s">
        <v>6153</v>
      </c>
    </row>
    <row r="17055" spans="8:8">
      <c r="H17055" s="680" t="s">
        <v>6153</v>
      </c>
    </row>
    <row r="17056" spans="8:8">
      <c r="H17056" s="680" t="s">
        <v>6153</v>
      </c>
    </row>
    <row r="17057" spans="8:8">
      <c r="H17057" s="680" t="s">
        <v>6153</v>
      </c>
    </row>
    <row r="17058" spans="8:8">
      <c r="H17058" s="680" t="s">
        <v>6153</v>
      </c>
    </row>
    <row r="17059" spans="8:8">
      <c r="H17059" s="680" t="s">
        <v>6153</v>
      </c>
    </row>
    <row r="17060" spans="8:8">
      <c r="H17060" s="680" t="s">
        <v>6153</v>
      </c>
    </row>
    <row r="17061" spans="8:8">
      <c r="H17061" s="680" t="s">
        <v>6153</v>
      </c>
    </row>
    <row r="17062" spans="8:8">
      <c r="H17062" s="680" t="s">
        <v>6153</v>
      </c>
    </row>
    <row r="17063" spans="8:8">
      <c r="H17063" s="680" t="s">
        <v>6153</v>
      </c>
    </row>
    <row r="17064" spans="8:8">
      <c r="H17064" s="680" t="s">
        <v>6153</v>
      </c>
    </row>
    <row r="17065" spans="8:8">
      <c r="H17065" s="680" t="s">
        <v>6153</v>
      </c>
    </row>
    <row r="17066" spans="8:8">
      <c r="H17066" s="680" t="s">
        <v>6153</v>
      </c>
    </row>
    <row r="17067" spans="8:8">
      <c r="H17067" s="680" t="s">
        <v>6153</v>
      </c>
    </row>
    <row r="17068" spans="8:8">
      <c r="H17068" s="680" t="s">
        <v>6153</v>
      </c>
    </row>
    <row r="17069" spans="8:8">
      <c r="H17069" s="680" t="s">
        <v>6153</v>
      </c>
    </row>
    <row r="17070" spans="8:8">
      <c r="H17070" s="680" t="s">
        <v>6153</v>
      </c>
    </row>
    <row r="17071" spans="8:8">
      <c r="H17071" s="680" t="s">
        <v>6153</v>
      </c>
    </row>
    <row r="17072" spans="8:8">
      <c r="H17072" s="680" t="s">
        <v>6153</v>
      </c>
    </row>
    <row r="17073" spans="8:8">
      <c r="H17073" s="680" t="s">
        <v>6153</v>
      </c>
    </row>
    <row r="17074" spans="8:8">
      <c r="H17074" s="680" t="s">
        <v>6153</v>
      </c>
    </row>
    <row r="17075" spans="8:8">
      <c r="H17075" s="680" t="s">
        <v>6153</v>
      </c>
    </row>
    <row r="17076" spans="8:8">
      <c r="H17076" s="680" t="s">
        <v>6153</v>
      </c>
    </row>
    <row r="17077" spans="8:8">
      <c r="H17077" s="680" t="s">
        <v>6153</v>
      </c>
    </row>
    <row r="17078" spans="8:8">
      <c r="H17078" s="680" t="s">
        <v>6153</v>
      </c>
    </row>
    <row r="17079" spans="8:8">
      <c r="H17079" s="680" t="s">
        <v>6153</v>
      </c>
    </row>
    <row r="17080" spans="8:8">
      <c r="H17080" s="680" t="s">
        <v>6153</v>
      </c>
    </row>
    <row r="17081" spans="8:8">
      <c r="H17081" s="680" t="s">
        <v>6153</v>
      </c>
    </row>
    <row r="17082" spans="8:8">
      <c r="H17082" s="680" t="s">
        <v>6153</v>
      </c>
    </row>
    <row r="17083" spans="8:8">
      <c r="H17083" s="680" t="s">
        <v>6153</v>
      </c>
    </row>
    <row r="17084" spans="8:8">
      <c r="H17084" s="680" t="s">
        <v>6153</v>
      </c>
    </row>
    <row r="17085" spans="8:8">
      <c r="H17085" s="680" t="s">
        <v>6153</v>
      </c>
    </row>
    <row r="17086" spans="8:8">
      <c r="H17086" s="680" t="s">
        <v>6153</v>
      </c>
    </row>
    <row r="17087" spans="8:8">
      <c r="H17087" s="680" t="s">
        <v>6153</v>
      </c>
    </row>
    <row r="17088" spans="8:8">
      <c r="H17088" s="680" t="s">
        <v>6153</v>
      </c>
    </row>
    <row r="17089" spans="8:8">
      <c r="H17089" s="680" t="s">
        <v>6153</v>
      </c>
    </row>
    <row r="17090" spans="8:8">
      <c r="H17090" s="680" t="s">
        <v>6153</v>
      </c>
    </row>
    <row r="17091" spans="8:8">
      <c r="H17091" s="680" t="s">
        <v>6153</v>
      </c>
    </row>
    <row r="17092" spans="8:8">
      <c r="H17092" s="680" t="s">
        <v>6153</v>
      </c>
    </row>
    <row r="17093" spans="8:8">
      <c r="H17093" s="680" t="s">
        <v>6153</v>
      </c>
    </row>
    <row r="17094" spans="8:8">
      <c r="H17094" s="680" t="s">
        <v>6153</v>
      </c>
    </row>
    <row r="17095" spans="8:8">
      <c r="H17095" s="680" t="s">
        <v>6153</v>
      </c>
    </row>
    <row r="17096" spans="8:8">
      <c r="H17096" s="680" t="s">
        <v>6153</v>
      </c>
    </row>
    <row r="17097" spans="8:8">
      <c r="H17097" s="680" t="s">
        <v>6153</v>
      </c>
    </row>
    <row r="17098" spans="8:8">
      <c r="H17098" s="680" t="s">
        <v>6153</v>
      </c>
    </row>
    <row r="17099" spans="8:8">
      <c r="H17099" s="680" t="s">
        <v>6153</v>
      </c>
    </row>
    <row r="17100" spans="8:8">
      <c r="H17100" s="680" t="s">
        <v>6153</v>
      </c>
    </row>
    <row r="17101" spans="8:8">
      <c r="H17101" s="680" t="s">
        <v>6153</v>
      </c>
    </row>
    <row r="17102" spans="8:8">
      <c r="H17102" s="680" t="s">
        <v>6153</v>
      </c>
    </row>
    <row r="17103" spans="8:8">
      <c r="H17103" s="680" t="s">
        <v>6153</v>
      </c>
    </row>
    <row r="17104" spans="8:8">
      <c r="H17104" s="680" t="s">
        <v>6153</v>
      </c>
    </row>
    <row r="17105" spans="8:8">
      <c r="H17105" s="680" t="s">
        <v>6153</v>
      </c>
    </row>
    <row r="17106" spans="8:8">
      <c r="H17106" s="680" t="s">
        <v>6153</v>
      </c>
    </row>
    <row r="17107" spans="8:8">
      <c r="H17107" s="680" t="s">
        <v>6153</v>
      </c>
    </row>
    <row r="17108" spans="8:8">
      <c r="H17108" s="680" t="s">
        <v>6153</v>
      </c>
    </row>
    <row r="17109" spans="8:8">
      <c r="H17109" s="680" t="s">
        <v>6153</v>
      </c>
    </row>
    <row r="17110" spans="8:8">
      <c r="H17110" s="680" t="s">
        <v>6153</v>
      </c>
    </row>
    <row r="17111" spans="8:8">
      <c r="H17111" s="680" t="s">
        <v>6153</v>
      </c>
    </row>
    <row r="17112" spans="8:8">
      <c r="H17112" s="680" t="s">
        <v>6153</v>
      </c>
    </row>
    <row r="17113" spans="8:8">
      <c r="H17113" s="680" t="s">
        <v>6153</v>
      </c>
    </row>
    <row r="17114" spans="8:8">
      <c r="H17114" s="680" t="s">
        <v>6153</v>
      </c>
    </row>
    <row r="17115" spans="8:8">
      <c r="H17115" s="680" t="s">
        <v>6153</v>
      </c>
    </row>
    <row r="17116" spans="8:8">
      <c r="H17116" s="680" t="s">
        <v>6153</v>
      </c>
    </row>
    <row r="17117" spans="8:8">
      <c r="H17117" s="680" t="s">
        <v>6153</v>
      </c>
    </row>
    <row r="17118" spans="8:8">
      <c r="H17118" s="680" t="s">
        <v>6153</v>
      </c>
    </row>
    <row r="17119" spans="8:8">
      <c r="H17119" s="680" t="s">
        <v>6153</v>
      </c>
    </row>
    <row r="17120" spans="8:8">
      <c r="H17120" s="680" t="s">
        <v>6153</v>
      </c>
    </row>
    <row r="17121" spans="8:8">
      <c r="H17121" s="680" t="s">
        <v>6153</v>
      </c>
    </row>
    <row r="17122" spans="8:8">
      <c r="H17122" s="680" t="s">
        <v>6153</v>
      </c>
    </row>
    <row r="17123" spans="8:8">
      <c r="H17123" s="680" t="s">
        <v>6153</v>
      </c>
    </row>
    <row r="17124" spans="8:8">
      <c r="H17124" s="680" t="s">
        <v>6153</v>
      </c>
    </row>
    <row r="17125" spans="8:8">
      <c r="H17125" s="680" t="s">
        <v>6153</v>
      </c>
    </row>
    <row r="17126" spans="8:8">
      <c r="H17126" s="680" t="s">
        <v>6153</v>
      </c>
    </row>
    <row r="17127" spans="8:8">
      <c r="H17127" s="680" t="s">
        <v>6153</v>
      </c>
    </row>
    <row r="17128" spans="8:8">
      <c r="H17128" s="680" t="s">
        <v>6153</v>
      </c>
    </row>
    <row r="17129" spans="8:8">
      <c r="H17129" s="680" t="s">
        <v>6153</v>
      </c>
    </row>
    <row r="17130" spans="8:8">
      <c r="H17130" s="680" t="s">
        <v>6153</v>
      </c>
    </row>
    <row r="17131" spans="8:8">
      <c r="H17131" s="680" t="s">
        <v>6153</v>
      </c>
    </row>
    <row r="17132" spans="8:8">
      <c r="H17132" s="680" t="s">
        <v>6153</v>
      </c>
    </row>
    <row r="17133" spans="8:8">
      <c r="H17133" s="680" t="s">
        <v>6153</v>
      </c>
    </row>
    <row r="17134" spans="8:8">
      <c r="H17134" s="680" t="s">
        <v>6153</v>
      </c>
    </row>
    <row r="17135" spans="8:8">
      <c r="H17135" s="680" t="s">
        <v>6153</v>
      </c>
    </row>
    <row r="17136" spans="8:8">
      <c r="H17136" s="680" t="s">
        <v>6153</v>
      </c>
    </row>
    <row r="17137" spans="8:8">
      <c r="H17137" s="680" t="s">
        <v>6153</v>
      </c>
    </row>
    <row r="17138" spans="8:8">
      <c r="H17138" s="680" t="s">
        <v>6153</v>
      </c>
    </row>
    <row r="17139" spans="8:8">
      <c r="H17139" s="680" t="s">
        <v>6153</v>
      </c>
    </row>
    <row r="17140" spans="8:8">
      <c r="H17140" s="680" t="s">
        <v>6153</v>
      </c>
    </row>
    <row r="17141" spans="8:8">
      <c r="H17141" s="680" t="s">
        <v>6153</v>
      </c>
    </row>
    <row r="17142" spans="8:8">
      <c r="H17142" s="680" t="s">
        <v>6153</v>
      </c>
    </row>
    <row r="17143" spans="8:8">
      <c r="H17143" s="680" t="s">
        <v>6153</v>
      </c>
    </row>
    <row r="17144" spans="8:8">
      <c r="H17144" s="680" t="s">
        <v>6153</v>
      </c>
    </row>
    <row r="17145" spans="8:8">
      <c r="H17145" s="680" t="s">
        <v>6153</v>
      </c>
    </row>
    <row r="17146" spans="8:8">
      <c r="H17146" s="680" t="s">
        <v>6153</v>
      </c>
    </row>
    <row r="17147" spans="8:8">
      <c r="H17147" s="680" t="s">
        <v>6153</v>
      </c>
    </row>
    <row r="17148" spans="8:8">
      <c r="H17148" s="680" t="s">
        <v>6153</v>
      </c>
    </row>
    <row r="17149" spans="8:8">
      <c r="H17149" s="680" t="s">
        <v>6153</v>
      </c>
    </row>
    <row r="17150" spans="8:8">
      <c r="H17150" s="680" t="s">
        <v>6153</v>
      </c>
    </row>
    <row r="17151" spans="8:8">
      <c r="H17151" s="680" t="s">
        <v>6153</v>
      </c>
    </row>
    <row r="17152" spans="8:8">
      <c r="H17152" s="680" t="s">
        <v>6153</v>
      </c>
    </row>
    <row r="17153" spans="8:8">
      <c r="H17153" s="680" t="s">
        <v>6153</v>
      </c>
    </row>
    <row r="17154" spans="8:8">
      <c r="H17154" s="680" t="s">
        <v>6153</v>
      </c>
    </row>
    <row r="17155" spans="8:8">
      <c r="H17155" s="680" t="s">
        <v>6153</v>
      </c>
    </row>
    <row r="17156" spans="8:8">
      <c r="H17156" s="680" t="s">
        <v>6153</v>
      </c>
    </row>
    <row r="17157" spans="8:8">
      <c r="H17157" s="680" t="s">
        <v>6153</v>
      </c>
    </row>
    <row r="17158" spans="8:8">
      <c r="H17158" s="680" t="s">
        <v>6153</v>
      </c>
    </row>
    <row r="17159" spans="8:8">
      <c r="H17159" s="680" t="s">
        <v>6153</v>
      </c>
    </row>
    <row r="17160" spans="8:8">
      <c r="H17160" s="680" t="s">
        <v>6153</v>
      </c>
    </row>
    <row r="17161" spans="8:8">
      <c r="H17161" s="680" t="s">
        <v>6153</v>
      </c>
    </row>
    <row r="17162" spans="8:8">
      <c r="H17162" s="680" t="s">
        <v>6153</v>
      </c>
    </row>
    <row r="17163" spans="8:8">
      <c r="H17163" s="680" t="s">
        <v>6153</v>
      </c>
    </row>
    <row r="17164" spans="8:8">
      <c r="H17164" s="680" t="s">
        <v>6153</v>
      </c>
    </row>
    <row r="17165" spans="8:8">
      <c r="H17165" s="680" t="s">
        <v>6153</v>
      </c>
    </row>
    <row r="17166" spans="8:8">
      <c r="H17166" s="680" t="s">
        <v>6153</v>
      </c>
    </row>
    <row r="17167" spans="8:8">
      <c r="H17167" s="680" t="s">
        <v>6153</v>
      </c>
    </row>
    <row r="17168" spans="8:8">
      <c r="H17168" s="680" t="s">
        <v>6153</v>
      </c>
    </row>
    <row r="17169" spans="8:8">
      <c r="H17169" s="680" t="s">
        <v>6153</v>
      </c>
    </row>
    <row r="17170" spans="8:8">
      <c r="H17170" s="680" t="s">
        <v>6153</v>
      </c>
    </row>
    <row r="17171" spans="8:8">
      <c r="H17171" s="680" t="s">
        <v>6153</v>
      </c>
    </row>
    <row r="17172" spans="8:8">
      <c r="H17172" s="680" t="s">
        <v>6153</v>
      </c>
    </row>
    <row r="17173" spans="8:8">
      <c r="H17173" s="680" t="s">
        <v>6153</v>
      </c>
    </row>
    <row r="17174" spans="8:8">
      <c r="H17174" s="680" t="s">
        <v>6153</v>
      </c>
    </row>
    <row r="17175" spans="8:8">
      <c r="H17175" s="680" t="s">
        <v>6153</v>
      </c>
    </row>
    <row r="17176" spans="8:8">
      <c r="H17176" s="680" t="s">
        <v>6153</v>
      </c>
    </row>
    <row r="17177" spans="8:8">
      <c r="H17177" s="680" t="s">
        <v>6153</v>
      </c>
    </row>
    <row r="17178" spans="8:8">
      <c r="H17178" s="680" t="s">
        <v>6153</v>
      </c>
    </row>
    <row r="17179" spans="8:8">
      <c r="H17179" s="680" t="s">
        <v>6153</v>
      </c>
    </row>
    <row r="17180" spans="8:8">
      <c r="H17180" s="680" t="s">
        <v>6153</v>
      </c>
    </row>
    <row r="17181" spans="8:8">
      <c r="H17181" s="680" t="s">
        <v>6153</v>
      </c>
    </row>
    <row r="17182" spans="8:8">
      <c r="H17182" s="680" t="s">
        <v>6153</v>
      </c>
    </row>
    <row r="17183" spans="8:8">
      <c r="H17183" s="680" t="s">
        <v>6153</v>
      </c>
    </row>
    <row r="17184" spans="8:8">
      <c r="H17184" s="680" t="s">
        <v>6153</v>
      </c>
    </row>
    <row r="17185" spans="8:8">
      <c r="H17185" s="680" t="s">
        <v>6153</v>
      </c>
    </row>
    <row r="17186" spans="8:8">
      <c r="H17186" s="680" t="s">
        <v>6153</v>
      </c>
    </row>
    <row r="17187" spans="8:8">
      <c r="H17187" s="680" t="s">
        <v>6153</v>
      </c>
    </row>
    <row r="17188" spans="8:8">
      <c r="H17188" s="680" t="s">
        <v>6153</v>
      </c>
    </row>
    <row r="17189" spans="8:8">
      <c r="H17189" s="680" t="s">
        <v>6153</v>
      </c>
    </row>
    <row r="17190" spans="8:8">
      <c r="H17190" s="680" t="s">
        <v>6153</v>
      </c>
    </row>
    <row r="17191" spans="8:8">
      <c r="H17191" s="680" t="s">
        <v>6153</v>
      </c>
    </row>
    <row r="17192" spans="8:8">
      <c r="H17192" s="680" t="s">
        <v>6153</v>
      </c>
    </row>
    <row r="17193" spans="8:8">
      <c r="H17193" s="680" t="s">
        <v>6153</v>
      </c>
    </row>
    <row r="17194" spans="8:8">
      <c r="H17194" s="680" t="s">
        <v>6153</v>
      </c>
    </row>
    <row r="17195" spans="8:8">
      <c r="H17195" s="680" t="s">
        <v>6153</v>
      </c>
    </row>
    <row r="17196" spans="8:8">
      <c r="H17196" s="680" t="s">
        <v>6153</v>
      </c>
    </row>
    <row r="17197" spans="8:8">
      <c r="H17197" s="680" t="s">
        <v>6153</v>
      </c>
    </row>
    <row r="17198" spans="8:8">
      <c r="H17198" s="680" t="s">
        <v>6153</v>
      </c>
    </row>
    <row r="17199" spans="8:8">
      <c r="H17199" s="680" t="s">
        <v>6153</v>
      </c>
    </row>
    <row r="17200" spans="8:8">
      <c r="H17200" s="680" t="s">
        <v>6153</v>
      </c>
    </row>
    <row r="17201" spans="8:8">
      <c r="H17201" s="680" t="s">
        <v>6153</v>
      </c>
    </row>
    <row r="17202" spans="8:8">
      <c r="H17202" s="680" t="s">
        <v>6153</v>
      </c>
    </row>
    <row r="17203" spans="8:8">
      <c r="H17203" s="680" t="s">
        <v>6153</v>
      </c>
    </row>
    <row r="17204" spans="8:8">
      <c r="H17204" s="680" t="s">
        <v>6153</v>
      </c>
    </row>
    <row r="17205" spans="8:8">
      <c r="H17205" s="680" t="s">
        <v>6153</v>
      </c>
    </row>
    <row r="17206" spans="8:8">
      <c r="H17206" s="680" t="s">
        <v>6153</v>
      </c>
    </row>
    <row r="17207" spans="8:8">
      <c r="H17207" s="680" t="s">
        <v>6153</v>
      </c>
    </row>
    <row r="17208" spans="8:8">
      <c r="H17208" s="680" t="s">
        <v>6153</v>
      </c>
    </row>
    <row r="17209" spans="8:8">
      <c r="H17209" s="680" t="s">
        <v>6153</v>
      </c>
    </row>
    <row r="17210" spans="8:8">
      <c r="H17210" s="680" t="s">
        <v>6153</v>
      </c>
    </row>
    <row r="17211" spans="8:8">
      <c r="H17211" s="680" t="s">
        <v>6153</v>
      </c>
    </row>
    <row r="17212" spans="8:8">
      <c r="H17212" s="680" t="s">
        <v>6153</v>
      </c>
    </row>
    <row r="17213" spans="8:8">
      <c r="H17213" s="680" t="s">
        <v>6153</v>
      </c>
    </row>
    <row r="17214" spans="8:8">
      <c r="H17214" s="680" t="s">
        <v>6153</v>
      </c>
    </row>
    <row r="17215" spans="8:8">
      <c r="H17215" s="680" t="s">
        <v>6153</v>
      </c>
    </row>
    <row r="17216" spans="8:8">
      <c r="H17216" s="680" t="s">
        <v>6153</v>
      </c>
    </row>
    <row r="17217" spans="8:8">
      <c r="H17217" s="680" t="s">
        <v>6153</v>
      </c>
    </row>
    <row r="17218" spans="8:8">
      <c r="H17218" s="680" t="s">
        <v>6153</v>
      </c>
    </row>
    <row r="17219" spans="8:8">
      <c r="H17219" s="680" t="s">
        <v>6153</v>
      </c>
    </row>
    <row r="17220" spans="8:8">
      <c r="H17220" s="680" t="s">
        <v>6153</v>
      </c>
    </row>
    <row r="17221" spans="8:8">
      <c r="H17221" s="680" t="s">
        <v>6153</v>
      </c>
    </row>
    <row r="17222" spans="8:8">
      <c r="H17222" s="680" t="s">
        <v>6153</v>
      </c>
    </row>
    <row r="17223" spans="8:8">
      <c r="H17223" s="680" t="s">
        <v>6153</v>
      </c>
    </row>
    <row r="17224" spans="8:8">
      <c r="H17224" s="680" t="s">
        <v>6153</v>
      </c>
    </row>
    <row r="17225" spans="8:8">
      <c r="H17225" s="680" t="s">
        <v>6153</v>
      </c>
    </row>
    <row r="17226" spans="8:8">
      <c r="H17226" s="680" t="s">
        <v>6153</v>
      </c>
    </row>
    <row r="17227" spans="8:8">
      <c r="H17227" s="680" t="s">
        <v>6153</v>
      </c>
    </row>
    <row r="17228" spans="8:8">
      <c r="H17228" s="680" t="s">
        <v>6153</v>
      </c>
    </row>
    <row r="17229" spans="8:8">
      <c r="H17229" s="680" t="s">
        <v>6153</v>
      </c>
    </row>
    <row r="17230" spans="8:8">
      <c r="H17230" s="680" t="s">
        <v>6153</v>
      </c>
    </row>
    <row r="17231" spans="8:8">
      <c r="H17231" s="680" t="s">
        <v>6153</v>
      </c>
    </row>
    <row r="17232" spans="8:8">
      <c r="H17232" s="680" t="s">
        <v>6153</v>
      </c>
    </row>
    <row r="17233" spans="8:8">
      <c r="H17233" s="680" t="s">
        <v>6153</v>
      </c>
    </row>
    <row r="17234" spans="8:8">
      <c r="H17234" s="680" t="s">
        <v>6153</v>
      </c>
    </row>
    <row r="17235" spans="8:8">
      <c r="H17235" s="680" t="s">
        <v>6153</v>
      </c>
    </row>
    <row r="17236" spans="8:8">
      <c r="H17236" s="680" t="s">
        <v>6153</v>
      </c>
    </row>
    <row r="17237" spans="8:8">
      <c r="H17237" s="680" t="s">
        <v>6153</v>
      </c>
    </row>
    <row r="17238" spans="8:8">
      <c r="H17238" s="680" t="s">
        <v>6153</v>
      </c>
    </row>
    <row r="17239" spans="8:8">
      <c r="H17239" s="680" t="s">
        <v>6153</v>
      </c>
    </row>
    <row r="17240" spans="8:8">
      <c r="H17240" s="680" t="s">
        <v>6153</v>
      </c>
    </row>
    <row r="17241" spans="8:8">
      <c r="H17241" s="680" t="s">
        <v>6153</v>
      </c>
    </row>
    <row r="17242" spans="8:8">
      <c r="H17242" s="680" t="s">
        <v>6153</v>
      </c>
    </row>
    <row r="17243" spans="8:8">
      <c r="H17243" s="680" t="s">
        <v>6153</v>
      </c>
    </row>
    <row r="17244" spans="8:8">
      <c r="H17244" s="680" t="s">
        <v>6153</v>
      </c>
    </row>
    <row r="17245" spans="8:8">
      <c r="H17245" s="680" t="s">
        <v>6153</v>
      </c>
    </row>
    <row r="17246" spans="8:8">
      <c r="H17246" s="680" t="s">
        <v>6153</v>
      </c>
    </row>
    <row r="17247" spans="8:8">
      <c r="H17247" s="680" t="s">
        <v>6153</v>
      </c>
    </row>
    <row r="17248" spans="8:8">
      <c r="H17248" s="680" t="s">
        <v>6153</v>
      </c>
    </row>
    <row r="17249" spans="8:8">
      <c r="H17249" s="680" t="s">
        <v>6153</v>
      </c>
    </row>
    <row r="17250" spans="8:8">
      <c r="H17250" s="680" t="s">
        <v>6153</v>
      </c>
    </row>
    <row r="17251" spans="8:8">
      <c r="H17251" s="680" t="s">
        <v>6153</v>
      </c>
    </row>
    <row r="17252" spans="8:8">
      <c r="H17252" s="680" t="s">
        <v>6153</v>
      </c>
    </row>
    <row r="17253" spans="8:8">
      <c r="H17253" s="680" t="s">
        <v>6153</v>
      </c>
    </row>
    <row r="17254" spans="8:8">
      <c r="H17254" s="680" t="s">
        <v>6153</v>
      </c>
    </row>
    <row r="17255" spans="8:8">
      <c r="H17255" s="680" t="s">
        <v>6153</v>
      </c>
    </row>
    <row r="17256" spans="8:8">
      <c r="H17256" s="680" t="s">
        <v>6153</v>
      </c>
    </row>
    <row r="17257" spans="8:8">
      <c r="H17257" s="680" t="s">
        <v>6153</v>
      </c>
    </row>
    <row r="17258" spans="8:8">
      <c r="H17258" s="680" t="s">
        <v>6153</v>
      </c>
    </row>
    <row r="17259" spans="8:8">
      <c r="H17259" s="680" t="s">
        <v>6153</v>
      </c>
    </row>
    <row r="17260" spans="8:8">
      <c r="H17260" s="680" t="s">
        <v>6153</v>
      </c>
    </row>
    <row r="17261" spans="8:8">
      <c r="H17261" s="680" t="s">
        <v>6153</v>
      </c>
    </row>
    <row r="17262" spans="8:8">
      <c r="H17262" s="680" t="s">
        <v>6153</v>
      </c>
    </row>
    <row r="17263" spans="8:8">
      <c r="H17263" s="680" t="s">
        <v>6153</v>
      </c>
    </row>
    <row r="17264" spans="8:8">
      <c r="H17264" s="680" t="s">
        <v>6153</v>
      </c>
    </row>
    <row r="17265" spans="8:8">
      <c r="H17265" s="680" t="s">
        <v>6153</v>
      </c>
    </row>
    <row r="17266" spans="8:8">
      <c r="H17266" s="680" t="s">
        <v>6153</v>
      </c>
    </row>
    <row r="17267" spans="8:8">
      <c r="H17267" s="680" t="s">
        <v>6153</v>
      </c>
    </row>
    <row r="17268" spans="8:8">
      <c r="H17268" s="680" t="s">
        <v>6153</v>
      </c>
    </row>
    <row r="17269" spans="8:8">
      <c r="H17269" s="680" t="s">
        <v>6153</v>
      </c>
    </row>
    <row r="17270" spans="8:8">
      <c r="H17270" s="680" t="s">
        <v>6153</v>
      </c>
    </row>
    <row r="17271" spans="8:8">
      <c r="H17271" s="680" t="s">
        <v>6153</v>
      </c>
    </row>
    <row r="17272" spans="8:8">
      <c r="H17272" s="680" t="s">
        <v>6153</v>
      </c>
    </row>
    <row r="17273" spans="8:8">
      <c r="H17273" s="680" t="s">
        <v>6153</v>
      </c>
    </row>
    <row r="17274" spans="8:8">
      <c r="H17274" s="680" t="s">
        <v>6153</v>
      </c>
    </row>
    <row r="17275" spans="8:8">
      <c r="H17275" s="680" t="s">
        <v>6153</v>
      </c>
    </row>
    <row r="17276" spans="8:8">
      <c r="H17276" s="680" t="s">
        <v>6153</v>
      </c>
    </row>
    <row r="17277" spans="8:8">
      <c r="H17277" s="680" t="s">
        <v>6153</v>
      </c>
    </row>
    <row r="17278" spans="8:8">
      <c r="H17278" s="680" t="s">
        <v>6153</v>
      </c>
    </row>
    <row r="17279" spans="8:8">
      <c r="H17279" s="680" t="s">
        <v>6153</v>
      </c>
    </row>
    <row r="17280" spans="8:8">
      <c r="H17280" s="680" t="s">
        <v>6153</v>
      </c>
    </row>
    <row r="17281" spans="8:8">
      <c r="H17281" s="680" t="s">
        <v>6153</v>
      </c>
    </row>
    <row r="17282" spans="8:8">
      <c r="H17282" s="680" t="s">
        <v>6153</v>
      </c>
    </row>
    <row r="17283" spans="8:8">
      <c r="H17283" s="680" t="s">
        <v>6153</v>
      </c>
    </row>
    <row r="17284" spans="8:8">
      <c r="H17284" s="680" t="s">
        <v>6153</v>
      </c>
    </row>
    <row r="17285" spans="8:8">
      <c r="H17285" s="680" t="s">
        <v>6153</v>
      </c>
    </row>
    <row r="17286" spans="8:8">
      <c r="H17286" s="680" t="s">
        <v>6153</v>
      </c>
    </row>
    <row r="17287" spans="8:8">
      <c r="H17287" s="680" t="s">
        <v>6153</v>
      </c>
    </row>
    <row r="17288" spans="8:8">
      <c r="H17288" s="680" t="s">
        <v>6153</v>
      </c>
    </row>
    <row r="17289" spans="8:8">
      <c r="H17289" s="680" t="s">
        <v>6153</v>
      </c>
    </row>
    <row r="17290" spans="8:8">
      <c r="H17290" s="680" t="s">
        <v>6153</v>
      </c>
    </row>
    <row r="17291" spans="8:8">
      <c r="H17291" s="680" t="s">
        <v>6153</v>
      </c>
    </row>
    <row r="17292" spans="8:8">
      <c r="H17292" s="680" t="s">
        <v>6153</v>
      </c>
    </row>
    <row r="17293" spans="8:8">
      <c r="H17293" s="680" t="s">
        <v>6153</v>
      </c>
    </row>
    <row r="17294" spans="8:8">
      <c r="H17294" s="680" t="s">
        <v>6153</v>
      </c>
    </row>
    <row r="17295" spans="8:8">
      <c r="H17295" s="680" t="s">
        <v>6153</v>
      </c>
    </row>
    <row r="17296" spans="8:8">
      <c r="H17296" s="680" t="s">
        <v>6153</v>
      </c>
    </row>
    <row r="17297" spans="8:8">
      <c r="H17297" s="680" t="s">
        <v>6153</v>
      </c>
    </row>
    <row r="17298" spans="8:8">
      <c r="H17298" s="680" t="s">
        <v>6153</v>
      </c>
    </row>
    <row r="17299" spans="8:8">
      <c r="H17299" s="680" t="s">
        <v>6153</v>
      </c>
    </row>
    <row r="17300" spans="8:8">
      <c r="H17300" s="680" t="s">
        <v>6153</v>
      </c>
    </row>
    <row r="17301" spans="8:8">
      <c r="H17301" s="680" t="s">
        <v>6153</v>
      </c>
    </row>
    <row r="17302" spans="8:8">
      <c r="H17302" s="680" t="s">
        <v>6153</v>
      </c>
    </row>
    <row r="17303" spans="8:8">
      <c r="H17303" s="680" t="s">
        <v>6153</v>
      </c>
    </row>
    <row r="17304" spans="8:8">
      <c r="H17304" s="680" t="s">
        <v>6153</v>
      </c>
    </row>
    <row r="17305" spans="8:8">
      <c r="H17305" s="680" t="s">
        <v>6153</v>
      </c>
    </row>
    <row r="17306" spans="8:8">
      <c r="H17306" s="680" t="s">
        <v>6153</v>
      </c>
    </row>
    <row r="17307" spans="8:8">
      <c r="H17307" s="680" t="s">
        <v>6153</v>
      </c>
    </row>
    <row r="17308" spans="8:8">
      <c r="H17308" s="680" t="s">
        <v>6153</v>
      </c>
    </row>
    <row r="17309" spans="8:8">
      <c r="H17309" s="680" t="s">
        <v>6153</v>
      </c>
    </row>
    <row r="17310" spans="8:8">
      <c r="H17310" s="680" t="s">
        <v>6153</v>
      </c>
    </row>
    <row r="17311" spans="8:8">
      <c r="H17311" s="680" t="s">
        <v>6153</v>
      </c>
    </row>
    <row r="17312" spans="8:8">
      <c r="H17312" s="680" t="s">
        <v>6153</v>
      </c>
    </row>
    <row r="17313" spans="8:8">
      <c r="H17313" s="680" t="s">
        <v>6153</v>
      </c>
    </row>
    <row r="17314" spans="8:8">
      <c r="H17314" s="680" t="s">
        <v>6153</v>
      </c>
    </row>
    <row r="17315" spans="8:8">
      <c r="H17315" s="680" t="s">
        <v>6153</v>
      </c>
    </row>
    <row r="17316" spans="8:8">
      <c r="H17316" s="680" t="s">
        <v>6153</v>
      </c>
    </row>
    <row r="17317" spans="8:8">
      <c r="H17317" s="680" t="s">
        <v>6153</v>
      </c>
    </row>
    <row r="17318" spans="8:8">
      <c r="H17318" s="680" t="s">
        <v>6153</v>
      </c>
    </row>
    <row r="17319" spans="8:8">
      <c r="H17319" s="680" t="s">
        <v>6153</v>
      </c>
    </row>
    <row r="17320" spans="8:8">
      <c r="H17320" s="680" t="s">
        <v>6153</v>
      </c>
    </row>
    <row r="17321" spans="8:8">
      <c r="H17321" s="680" t="s">
        <v>6153</v>
      </c>
    </row>
    <row r="17322" spans="8:8">
      <c r="H17322" s="680" t="s">
        <v>6153</v>
      </c>
    </row>
    <row r="17323" spans="8:8">
      <c r="H17323" s="680" t="s">
        <v>6153</v>
      </c>
    </row>
    <row r="17324" spans="8:8">
      <c r="H17324" s="680" t="s">
        <v>6153</v>
      </c>
    </row>
    <row r="17325" spans="8:8">
      <c r="H17325" s="680" t="s">
        <v>6153</v>
      </c>
    </row>
    <row r="17326" spans="8:8">
      <c r="H17326" s="680" t="s">
        <v>6153</v>
      </c>
    </row>
    <row r="17327" spans="8:8">
      <c r="H17327" s="680" t="s">
        <v>6153</v>
      </c>
    </row>
    <row r="17328" spans="8:8">
      <c r="H17328" s="680" t="s">
        <v>6153</v>
      </c>
    </row>
    <row r="17329" spans="8:8">
      <c r="H17329" s="680" t="s">
        <v>6153</v>
      </c>
    </row>
    <row r="17330" spans="8:8">
      <c r="H17330" s="680" t="s">
        <v>6153</v>
      </c>
    </row>
    <row r="17331" spans="8:8">
      <c r="H17331" s="680" t="s">
        <v>6153</v>
      </c>
    </row>
    <row r="17332" spans="8:8">
      <c r="H17332" s="680" t="s">
        <v>6153</v>
      </c>
    </row>
    <row r="17333" spans="8:8">
      <c r="H17333" s="680" t="s">
        <v>6153</v>
      </c>
    </row>
    <row r="17334" spans="8:8">
      <c r="H17334" s="680" t="s">
        <v>6153</v>
      </c>
    </row>
    <row r="17335" spans="8:8">
      <c r="H17335" s="680" t="s">
        <v>6153</v>
      </c>
    </row>
    <row r="17336" spans="8:8">
      <c r="H17336" s="680" t="s">
        <v>6153</v>
      </c>
    </row>
    <row r="17337" spans="8:8">
      <c r="H17337" s="680" t="s">
        <v>6153</v>
      </c>
    </row>
    <row r="17338" spans="8:8">
      <c r="H17338" s="680" t="s">
        <v>6153</v>
      </c>
    </row>
    <row r="17339" spans="8:8">
      <c r="H17339" s="680" t="s">
        <v>6153</v>
      </c>
    </row>
    <row r="17340" spans="8:8">
      <c r="H17340" s="680" t="s">
        <v>6153</v>
      </c>
    </row>
    <row r="17341" spans="8:8">
      <c r="H17341" s="680" t="s">
        <v>6153</v>
      </c>
    </row>
    <row r="17342" spans="8:8">
      <c r="H17342" s="680" t="s">
        <v>6153</v>
      </c>
    </row>
    <row r="17343" spans="8:8">
      <c r="H17343" s="680" t="s">
        <v>6153</v>
      </c>
    </row>
    <row r="17344" spans="8:8">
      <c r="H17344" s="680" t="s">
        <v>6153</v>
      </c>
    </row>
    <row r="17345" spans="8:8">
      <c r="H17345" s="680" t="s">
        <v>6153</v>
      </c>
    </row>
    <row r="17346" spans="8:8">
      <c r="H17346" s="680" t="s">
        <v>6153</v>
      </c>
    </row>
    <row r="17347" spans="8:8">
      <c r="H17347" s="680" t="s">
        <v>6153</v>
      </c>
    </row>
    <row r="17348" spans="8:8">
      <c r="H17348" s="680" t="s">
        <v>6153</v>
      </c>
    </row>
    <row r="17349" spans="8:8">
      <c r="H17349" s="680" t="s">
        <v>6153</v>
      </c>
    </row>
    <row r="17350" spans="8:8">
      <c r="H17350" s="680" t="s">
        <v>6153</v>
      </c>
    </row>
    <row r="17351" spans="8:8">
      <c r="H17351" s="680" t="s">
        <v>6153</v>
      </c>
    </row>
    <row r="17352" spans="8:8">
      <c r="H17352" s="680" t="s">
        <v>6153</v>
      </c>
    </row>
    <row r="17353" spans="8:8">
      <c r="H17353" s="680" t="s">
        <v>6153</v>
      </c>
    </row>
    <row r="17354" spans="8:8">
      <c r="H17354" s="680" t="s">
        <v>6153</v>
      </c>
    </row>
    <row r="17355" spans="8:8">
      <c r="H17355" s="680" t="s">
        <v>6153</v>
      </c>
    </row>
    <row r="17356" spans="8:8">
      <c r="H17356" s="680" t="s">
        <v>6153</v>
      </c>
    </row>
    <row r="17357" spans="8:8">
      <c r="H17357" s="680" t="s">
        <v>6153</v>
      </c>
    </row>
    <row r="17358" spans="8:8">
      <c r="H17358" s="680" t="s">
        <v>6153</v>
      </c>
    </row>
    <row r="17359" spans="8:8">
      <c r="H17359" s="680" t="s">
        <v>6153</v>
      </c>
    </row>
    <row r="17360" spans="8:8">
      <c r="H17360" s="680" t="s">
        <v>6153</v>
      </c>
    </row>
    <row r="17361" spans="8:8">
      <c r="H17361" s="680" t="s">
        <v>6153</v>
      </c>
    </row>
    <row r="17362" spans="8:8">
      <c r="H17362" s="680" t="s">
        <v>6153</v>
      </c>
    </row>
    <row r="17363" spans="8:8">
      <c r="H17363" s="680" t="s">
        <v>6153</v>
      </c>
    </row>
    <row r="17364" spans="8:8">
      <c r="H17364" s="680" t="s">
        <v>6153</v>
      </c>
    </row>
    <row r="17365" spans="8:8">
      <c r="H17365" s="680" t="s">
        <v>6153</v>
      </c>
    </row>
    <row r="17366" spans="8:8">
      <c r="H17366" s="680" t="s">
        <v>6153</v>
      </c>
    </row>
    <row r="17367" spans="8:8">
      <c r="H17367" s="680" t="s">
        <v>6153</v>
      </c>
    </row>
    <row r="17368" spans="8:8">
      <c r="H17368" s="680" t="s">
        <v>6153</v>
      </c>
    </row>
    <row r="17369" spans="8:8">
      <c r="H17369" s="680" t="s">
        <v>6153</v>
      </c>
    </row>
    <row r="17370" spans="8:8">
      <c r="H17370" s="680" t="s">
        <v>6153</v>
      </c>
    </row>
    <row r="17371" spans="8:8">
      <c r="H17371" s="680" t="s">
        <v>6153</v>
      </c>
    </row>
    <row r="17372" spans="8:8">
      <c r="H17372" s="680" t="s">
        <v>6153</v>
      </c>
    </row>
    <row r="17373" spans="8:8">
      <c r="H17373" s="680" t="s">
        <v>6153</v>
      </c>
    </row>
    <row r="17374" spans="8:8">
      <c r="H17374" s="680" t="s">
        <v>6153</v>
      </c>
    </row>
    <row r="17375" spans="8:8">
      <c r="H17375" s="680" t="s">
        <v>6153</v>
      </c>
    </row>
    <row r="17376" spans="8:8">
      <c r="H17376" s="680" t="s">
        <v>6153</v>
      </c>
    </row>
    <row r="17377" spans="8:8">
      <c r="H17377" s="680" t="s">
        <v>6153</v>
      </c>
    </row>
    <row r="17378" spans="8:8">
      <c r="H17378" s="680" t="s">
        <v>6153</v>
      </c>
    </row>
    <row r="17379" spans="8:8">
      <c r="H17379" s="680" t="s">
        <v>6153</v>
      </c>
    </row>
    <row r="17380" spans="8:8">
      <c r="H17380" s="680" t="s">
        <v>6153</v>
      </c>
    </row>
    <row r="17381" spans="8:8">
      <c r="H17381" s="680" t="s">
        <v>6153</v>
      </c>
    </row>
    <row r="17382" spans="8:8">
      <c r="H17382" s="680" t="s">
        <v>6153</v>
      </c>
    </row>
    <row r="17383" spans="8:8">
      <c r="H17383" s="680" t="s">
        <v>6153</v>
      </c>
    </row>
    <row r="17384" spans="8:8">
      <c r="H17384" s="680" t="s">
        <v>6153</v>
      </c>
    </row>
    <row r="17385" spans="8:8">
      <c r="H17385" s="680" t="s">
        <v>6153</v>
      </c>
    </row>
    <row r="17386" spans="8:8">
      <c r="H17386" s="680" t="s">
        <v>6153</v>
      </c>
    </row>
    <row r="17387" spans="8:8">
      <c r="H17387" s="680" t="s">
        <v>6153</v>
      </c>
    </row>
    <row r="17388" spans="8:8">
      <c r="H17388" s="680" t="s">
        <v>6153</v>
      </c>
    </row>
    <row r="17389" spans="8:8">
      <c r="H17389" s="680" t="s">
        <v>6153</v>
      </c>
    </row>
    <row r="17390" spans="8:8">
      <c r="H17390" s="680" t="s">
        <v>6153</v>
      </c>
    </row>
    <row r="17391" spans="8:8">
      <c r="H17391" s="680" t="s">
        <v>6153</v>
      </c>
    </row>
    <row r="17392" spans="8:8">
      <c r="H17392" s="680" t="s">
        <v>6153</v>
      </c>
    </row>
    <row r="17393" spans="8:8">
      <c r="H17393" s="680" t="s">
        <v>6153</v>
      </c>
    </row>
    <row r="17394" spans="8:8">
      <c r="H17394" s="680" t="s">
        <v>6153</v>
      </c>
    </row>
    <row r="17395" spans="8:8">
      <c r="H17395" s="680" t="s">
        <v>6153</v>
      </c>
    </row>
    <row r="17396" spans="8:8">
      <c r="H17396" s="680" t="s">
        <v>6153</v>
      </c>
    </row>
    <row r="17397" spans="8:8">
      <c r="H17397" s="680" t="s">
        <v>6153</v>
      </c>
    </row>
    <row r="17398" spans="8:8">
      <c r="H17398" s="680" t="s">
        <v>6153</v>
      </c>
    </row>
    <row r="17399" spans="8:8">
      <c r="H17399" s="680" t="s">
        <v>6153</v>
      </c>
    </row>
    <row r="17400" spans="8:8">
      <c r="H17400" s="680" t="s">
        <v>6153</v>
      </c>
    </row>
    <row r="17401" spans="8:8">
      <c r="H17401" s="680" t="s">
        <v>6153</v>
      </c>
    </row>
    <row r="17402" spans="8:8">
      <c r="H17402" s="680" t="s">
        <v>6153</v>
      </c>
    </row>
    <row r="17403" spans="8:8">
      <c r="H17403" s="680" t="s">
        <v>6153</v>
      </c>
    </row>
    <row r="17404" spans="8:8">
      <c r="H17404" s="680" t="s">
        <v>6153</v>
      </c>
    </row>
    <row r="17405" spans="8:8">
      <c r="H17405" s="680" t="s">
        <v>6153</v>
      </c>
    </row>
    <row r="17406" spans="8:8">
      <c r="H17406" s="680" t="s">
        <v>6153</v>
      </c>
    </row>
    <row r="17407" spans="8:8">
      <c r="H17407" s="680" t="s">
        <v>6153</v>
      </c>
    </row>
    <row r="17408" spans="8:8">
      <c r="H17408" s="680" t="s">
        <v>6153</v>
      </c>
    </row>
    <row r="17409" spans="8:8">
      <c r="H17409" s="680" t="s">
        <v>6153</v>
      </c>
    </row>
    <row r="17410" spans="8:8">
      <c r="H17410" s="680" t="s">
        <v>6153</v>
      </c>
    </row>
    <row r="17411" spans="8:8">
      <c r="H17411" s="680" t="s">
        <v>6153</v>
      </c>
    </row>
    <row r="17412" spans="8:8">
      <c r="H17412" s="680" t="s">
        <v>6153</v>
      </c>
    </row>
    <row r="17413" spans="8:8">
      <c r="H17413" s="680" t="s">
        <v>6153</v>
      </c>
    </row>
    <row r="17414" spans="8:8">
      <c r="H17414" s="680" t="s">
        <v>6153</v>
      </c>
    </row>
    <row r="17415" spans="8:8">
      <c r="H17415" s="680" t="s">
        <v>6153</v>
      </c>
    </row>
    <row r="17416" spans="8:8">
      <c r="H17416" s="680" t="s">
        <v>6153</v>
      </c>
    </row>
    <row r="17417" spans="8:8">
      <c r="H17417" s="680" t="s">
        <v>6153</v>
      </c>
    </row>
    <row r="17418" spans="8:8">
      <c r="H17418" s="680" t="s">
        <v>6153</v>
      </c>
    </row>
    <row r="17419" spans="8:8">
      <c r="H17419" s="680" t="s">
        <v>6153</v>
      </c>
    </row>
    <row r="17420" spans="8:8">
      <c r="H17420" s="680" t="s">
        <v>6153</v>
      </c>
    </row>
    <row r="17421" spans="8:8">
      <c r="H17421" s="680" t="s">
        <v>6153</v>
      </c>
    </row>
    <row r="17422" spans="8:8">
      <c r="H17422" s="680" t="s">
        <v>6153</v>
      </c>
    </row>
    <row r="17423" spans="8:8">
      <c r="H17423" s="680" t="s">
        <v>6153</v>
      </c>
    </row>
    <row r="17424" spans="8:8">
      <c r="H17424" s="680" t="s">
        <v>6153</v>
      </c>
    </row>
    <row r="17425" spans="8:8">
      <c r="H17425" s="680" t="s">
        <v>6153</v>
      </c>
    </row>
    <row r="17426" spans="8:8">
      <c r="H17426" s="680" t="s">
        <v>6153</v>
      </c>
    </row>
    <row r="17427" spans="8:8">
      <c r="H17427" s="680" t="s">
        <v>6153</v>
      </c>
    </row>
    <row r="17428" spans="8:8">
      <c r="H17428" s="680" t="s">
        <v>6153</v>
      </c>
    </row>
    <row r="17429" spans="8:8">
      <c r="H17429" s="680" t="s">
        <v>6153</v>
      </c>
    </row>
    <row r="17430" spans="8:8">
      <c r="H17430" s="680" t="s">
        <v>6153</v>
      </c>
    </row>
    <row r="17431" spans="8:8">
      <c r="H17431" s="680" t="s">
        <v>6153</v>
      </c>
    </row>
    <row r="17432" spans="8:8">
      <c r="H17432" s="680" t="s">
        <v>6153</v>
      </c>
    </row>
    <row r="17433" spans="8:8">
      <c r="H17433" s="680" t="s">
        <v>6153</v>
      </c>
    </row>
    <row r="17434" spans="8:8">
      <c r="H17434" s="680" t="s">
        <v>6153</v>
      </c>
    </row>
    <row r="17435" spans="8:8">
      <c r="H17435" s="680" t="s">
        <v>6153</v>
      </c>
    </row>
    <row r="17436" spans="8:8">
      <c r="H17436" s="680" t="s">
        <v>6153</v>
      </c>
    </row>
    <row r="17437" spans="8:8">
      <c r="H17437" s="680" t="s">
        <v>6153</v>
      </c>
    </row>
    <row r="17438" spans="8:8">
      <c r="H17438" s="680" t="s">
        <v>6153</v>
      </c>
    </row>
    <row r="17439" spans="8:8">
      <c r="H17439" s="680" t="s">
        <v>6153</v>
      </c>
    </row>
    <row r="17440" spans="8:8">
      <c r="H17440" s="680" t="s">
        <v>6153</v>
      </c>
    </row>
    <row r="17441" spans="8:8">
      <c r="H17441" s="680" t="s">
        <v>6153</v>
      </c>
    </row>
    <row r="17442" spans="8:8">
      <c r="H17442" s="680" t="s">
        <v>6153</v>
      </c>
    </row>
    <row r="17443" spans="8:8">
      <c r="H17443" s="680" t="s">
        <v>6153</v>
      </c>
    </row>
    <row r="17444" spans="8:8">
      <c r="H17444" s="680" t="s">
        <v>6153</v>
      </c>
    </row>
    <row r="17445" spans="8:8">
      <c r="H17445" s="680" t="s">
        <v>6153</v>
      </c>
    </row>
    <row r="17446" spans="8:8">
      <c r="H17446" s="680" t="s">
        <v>6153</v>
      </c>
    </row>
    <row r="17447" spans="8:8">
      <c r="H17447" s="680" t="s">
        <v>6153</v>
      </c>
    </row>
    <row r="17448" spans="8:8">
      <c r="H17448" s="680" t="s">
        <v>6153</v>
      </c>
    </row>
    <row r="17449" spans="8:8">
      <c r="H17449" s="680" t="s">
        <v>6153</v>
      </c>
    </row>
    <row r="17450" spans="8:8">
      <c r="H17450" s="680" t="s">
        <v>6153</v>
      </c>
    </row>
    <row r="17451" spans="8:8">
      <c r="H17451" s="680" t="s">
        <v>6153</v>
      </c>
    </row>
    <row r="17452" spans="8:8">
      <c r="H17452" s="680" t="s">
        <v>6153</v>
      </c>
    </row>
    <row r="17453" spans="8:8">
      <c r="H17453" s="680" t="s">
        <v>6153</v>
      </c>
    </row>
    <row r="17454" spans="8:8">
      <c r="H17454" s="680" t="s">
        <v>6153</v>
      </c>
    </row>
    <row r="17455" spans="8:8">
      <c r="H17455" s="680" t="s">
        <v>6153</v>
      </c>
    </row>
    <row r="17456" spans="8:8">
      <c r="H17456" s="680" t="s">
        <v>6153</v>
      </c>
    </row>
    <row r="17457" spans="8:8">
      <c r="H17457" s="680" t="s">
        <v>6153</v>
      </c>
    </row>
    <row r="17458" spans="8:8">
      <c r="H17458" s="680" t="s">
        <v>6153</v>
      </c>
    </row>
    <row r="17459" spans="8:8">
      <c r="H17459" s="680" t="s">
        <v>6153</v>
      </c>
    </row>
    <row r="17460" spans="8:8">
      <c r="H17460" s="680" t="s">
        <v>6153</v>
      </c>
    </row>
    <row r="17461" spans="8:8">
      <c r="H17461" s="680" t="s">
        <v>6153</v>
      </c>
    </row>
    <row r="17462" spans="8:8">
      <c r="H17462" s="680" t="s">
        <v>6153</v>
      </c>
    </row>
    <row r="17463" spans="8:8">
      <c r="H17463" s="680" t="s">
        <v>6153</v>
      </c>
    </row>
    <row r="17464" spans="8:8">
      <c r="H17464" s="680" t="s">
        <v>6153</v>
      </c>
    </row>
    <row r="17465" spans="8:8">
      <c r="H17465" s="680" t="s">
        <v>6153</v>
      </c>
    </row>
    <row r="17466" spans="8:8">
      <c r="H17466" s="680" t="s">
        <v>6153</v>
      </c>
    </row>
    <row r="17467" spans="8:8">
      <c r="H17467" s="680" t="s">
        <v>6153</v>
      </c>
    </row>
    <row r="17468" spans="8:8">
      <c r="H17468" s="680" t="s">
        <v>6153</v>
      </c>
    </row>
    <row r="17469" spans="8:8">
      <c r="H17469" s="680" t="s">
        <v>6153</v>
      </c>
    </row>
    <row r="17470" spans="8:8">
      <c r="H17470" s="680" t="s">
        <v>6153</v>
      </c>
    </row>
    <row r="17471" spans="8:8">
      <c r="H17471" s="680" t="s">
        <v>6153</v>
      </c>
    </row>
    <row r="17472" spans="8:8">
      <c r="H17472" s="680" t="s">
        <v>6153</v>
      </c>
    </row>
    <row r="17473" spans="8:8">
      <c r="H17473" s="680" t="s">
        <v>6153</v>
      </c>
    </row>
    <row r="17474" spans="8:8">
      <c r="H17474" s="680" t="s">
        <v>6153</v>
      </c>
    </row>
    <row r="17475" spans="8:8">
      <c r="H17475" s="680" t="s">
        <v>6153</v>
      </c>
    </row>
    <row r="17476" spans="8:8">
      <c r="H17476" s="680" t="s">
        <v>6153</v>
      </c>
    </row>
    <row r="17477" spans="8:8">
      <c r="H17477" s="680" t="s">
        <v>6153</v>
      </c>
    </row>
    <row r="17478" spans="8:8">
      <c r="H17478" s="680" t="s">
        <v>6153</v>
      </c>
    </row>
    <row r="17479" spans="8:8">
      <c r="H17479" s="680" t="s">
        <v>6153</v>
      </c>
    </row>
    <row r="17480" spans="8:8">
      <c r="H17480" s="680" t="s">
        <v>6153</v>
      </c>
    </row>
    <row r="17481" spans="8:8">
      <c r="H17481" s="680" t="s">
        <v>6153</v>
      </c>
    </row>
    <row r="17482" spans="8:8">
      <c r="H17482" s="680" t="s">
        <v>6153</v>
      </c>
    </row>
    <row r="17483" spans="8:8">
      <c r="H17483" s="680" t="s">
        <v>6153</v>
      </c>
    </row>
    <row r="17484" spans="8:8">
      <c r="H17484" s="680" t="s">
        <v>6153</v>
      </c>
    </row>
    <row r="17485" spans="8:8">
      <c r="H17485" s="680" t="s">
        <v>6153</v>
      </c>
    </row>
    <row r="17486" spans="8:8">
      <c r="H17486" s="680" t="s">
        <v>6153</v>
      </c>
    </row>
    <row r="17487" spans="8:8">
      <c r="H17487" s="680" t="s">
        <v>6153</v>
      </c>
    </row>
    <row r="17488" spans="8:8">
      <c r="H17488" s="680" t="s">
        <v>6153</v>
      </c>
    </row>
    <row r="17489" spans="8:8">
      <c r="H17489" s="680" t="s">
        <v>6153</v>
      </c>
    </row>
    <row r="17490" spans="8:8">
      <c r="H17490" s="680" t="s">
        <v>6153</v>
      </c>
    </row>
    <row r="17491" spans="8:8">
      <c r="H17491" s="680" t="s">
        <v>6153</v>
      </c>
    </row>
    <row r="17492" spans="8:8">
      <c r="H17492" s="680" t="s">
        <v>6153</v>
      </c>
    </row>
    <row r="17493" spans="8:8">
      <c r="H17493" s="680" t="s">
        <v>6153</v>
      </c>
    </row>
    <row r="17494" spans="8:8">
      <c r="H17494" s="680" t="s">
        <v>6153</v>
      </c>
    </row>
    <row r="17495" spans="8:8">
      <c r="H17495" s="680" t="s">
        <v>6153</v>
      </c>
    </row>
    <row r="17496" spans="8:8">
      <c r="H17496" s="680" t="s">
        <v>6153</v>
      </c>
    </row>
    <row r="17497" spans="8:8">
      <c r="H17497" s="680" t="s">
        <v>6153</v>
      </c>
    </row>
    <row r="17498" spans="8:8">
      <c r="H17498" s="680" t="s">
        <v>6153</v>
      </c>
    </row>
    <row r="17499" spans="8:8">
      <c r="H17499" s="680" t="s">
        <v>6153</v>
      </c>
    </row>
    <row r="17500" spans="8:8">
      <c r="H17500" s="680" t="s">
        <v>6153</v>
      </c>
    </row>
    <row r="17501" spans="8:8">
      <c r="H17501" s="680" t="s">
        <v>6153</v>
      </c>
    </row>
    <row r="17502" spans="8:8">
      <c r="H17502" s="680" t="s">
        <v>6153</v>
      </c>
    </row>
    <row r="17503" spans="8:8">
      <c r="H17503" s="680" t="s">
        <v>6153</v>
      </c>
    </row>
    <row r="17504" spans="8:8">
      <c r="H17504" s="680" t="s">
        <v>6153</v>
      </c>
    </row>
    <row r="17505" spans="8:8">
      <c r="H17505" s="680" t="s">
        <v>6153</v>
      </c>
    </row>
    <row r="17506" spans="8:8">
      <c r="H17506" s="680" t="s">
        <v>6153</v>
      </c>
    </row>
    <row r="17507" spans="8:8">
      <c r="H17507" s="680" t="s">
        <v>6153</v>
      </c>
    </row>
    <row r="17508" spans="8:8">
      <c r="H17508" s="680" t="s">
        <v>6153</v>
      </c>
    </row>
    <row r="17509" spans="8:8">
      <c r="H17509" s="680" t="s">
        <v>6153</v>
      </c>
    </row>
    <row r="17510" spans="8:8">
      <c r="H17510" s="680" t="s">
        <v>6153</v>
      </c>
    </row>
    <row r="17511" spans="8:8">
      <c r="H17511" s="680" t="s">
        <v>6153</v>
      </c>
    </row>
    <row r="17512" spans="8:8">
      <c r="H17512" s="680" t="s">
        <v>6153</v>
      </c>
    </row>
    <row r="17513" spans="8:8">
      <c r="H17513" s="680" t="s">
        <v>6153</v>
      </c>
    </row>
    <row r="17514" spans="8:8">
      <c r="H17514" s="680" t="s">
        <v>6153</v>
      </c>
    </row>
    <row r="17515" spans="8:8">
      <c r="H17515" s="680" t="s">
        <v>6153</v>
      </c>
    </row>
    <row r="17516" spans="8:8">
      <c r="H17516" s="680" t="s">
        <v>6153</v>
      </c>
    </row>
    <row r="17517" spans="8:8">
      <c r="H17517" s="680" t="s">
        <v>6153</v>
      </c>
    </row>
    <row r="17518" spans="8:8">
      <c r="H17518" s="680" t="s">
        <v>6153</v>
      </c>
    </row>
    <row r="17519" spans="8:8">
      <c r="H17519" s="680" t="s">
        <v>6153</v>
      </c>
    </row>
    <row r="17520" spans="8:8">
      <c r="H17520" s="680" t="s">
        <v>6153</v>
      </c>
    </row>
    <row r="17521" spans="8:8">
      <c r="H17521" s="680" t="s">
        <v>6153</v>
      </c>
    </row>
    <row r="17522" spans="8:8">
      <c r="H17522" s="680" t="s">
        <v>6153</v>
      </c>
    </row>
    <row r="17523" spans="8:8">
      <c r="H17523" s="680" t="s">
        <v>6153</v>
      </c>
    </row>
    <row r="17524" spans="8:8">
      <c r="H17524" s="680" t="s">
        <v>6153</v>
      </c>
    </row>
    <row r="17525" spans="8:8">
      <c r="H17525" s="680" t="s">
        <v>6153</v>
      </c>
    </row>
    <row r="17526" spans="8:8">
      <c r="H17526" s="680" t="s">
        <v>6153</v>
      </c>
    </row>
    <row r="17527" spans="8:8">
      <c r="H17527" s="680" t="s">
        <v>6153</v>
      </c>
    </row>
    <row r="17528" spans="8:8">
      <c r="H17528" s="680" t="s">
        <v>6153</v>
      </c>
    </row>
    <row r="17529" spans="8:8">
      <c r="H17529" s="680" t="s">
        <v>6153</v>
      </c>
    </row>
    <row r="17530" spans="8:8">
      <c r="H17530" s="680" t="s">
        <v>6153</v>
      </c>
    </row>
    <row r="17531" spans="8:8">
      <c r="H17531" s="680" t="s">
        <v>6153</v>
      </c>
    </row>
    <row r="17532" spans="8:8">
      <c r="H17532" s="680" t="s">
        <v>6153</v>
      </c>
    </row>
    <row r="17533" spans="8:8">
      <c r="H17533" s="680" t="s">
        <v>6153</v>
      </c>
    </row>
    <row r="17534" spans="8:8">
      <c r="H17534" s="680" t="s">
        <v>6153</v>
      </c>
    </row>
    <row r="17535" spans="8:8">
      <c r="H17535" s="680" t="s">
        <v>6153</v>
      </c>
    </row>
    <row r="17536" spans="8:8">
      <c r="H17536" s="680" t="s">
        <v>6153</v>
      </c>
    </row>
    <row r="17537" spans="8:8">
      <c r="H17537" s="680" t="s">
        <v>6153</v>
      </c>
    </row>
    <row r="17538" spans="8:8">
      <c r="H17538" s="680" t="s">
        <v>6153</v>
      </c>
    </row>
    <row r="17539" spans="8:8">
      <c r="H17539" s="680" t="s">
        <v>6153</v>
      </c>
    </row>
    <row r="17540" spans="8:8">
      <c r="H17540" s="680" t="s">
        <v>6153</v>
      </c>
    </row>
    <row r="17541" spans="8:8">
      <c r="H17541" s="680" t="s">
        <v>6153</v>
      </c>
    </row>
    <row r="17542" spans="8:8">
      <c r="H17542" s="680" t="s">
        <v>6153</v>
      </c>
    </row>
    <row r="17543" spans="8:8">
      <c r="H17543" s="680" t="s">
        <v>6153</v>
      </c>
    </row>
    <row r="17544" spans="8:8">
      <c r="H17544" s="680" t="s">
        <v>6153</v>
      </c>
    </row>
    <row r="17545" spans="8:8">
      <c r="H17545" s="680" t="s">
        <v>6153</v>
      </c>
    </row>
    <row r="17546" spans="8:8">
      <c r="H17546" s="680" t="s">
        <v>6153</v>
      </c>
    </row>
    <row r="17547" spans="8:8">
      <c r="H17547" s="680" t="s">
        <v>6153</v>
      </c>
    </row>
    <row r="17548" spans="8:8">
      <c r="H17548" s="680" t="s">
        <v>6153</v>
      </c>
    </row>
    <row r="17549" spans="8:8">
      <c r="H17549" s="680" t="s">
        <v>6153</v>
      </c>
    </row>
    <row r="17550" spans="8:8">
      <c r="H17550" s="680" t="s">
        <v>6153</v>
      </c>
    </row>
    <row r="17551" spans="8:8">
      <c r="H17551" s="680" t="s">
        <v>6153</v>
      </c>
    </row>
    <row r="17552" spans="8:8">
      <c r="H17552" s="680" t="s">
        <v>6153</v>
      </c>
    </row>
    <row r="17553" spans="8:8">
      <c r="H17553" s="680" t="s">
        <v>6153</v>
      </c>
    </row>
    <row r="17554" spans="8:8">
      <c r="H17554" s="680" t="s">
        <v>6153</v>
      </c>
    </row>
    <row r="17555" spans="8:8">
      <c r="H17555" s="680" t="s">
        <v>6153</v>
      </c>
    </row>
    <row r="17556" spans="8:8">
      <c r="H17556" s="680" t="s">
        <v>6153</v>
      </c>
    </row>
    <row r="17557" spans="8:8">
      <c r="H17557" s="680" t="s">
        <v>6153</v>
      </c>
    </row>
    <row r="17558" spans="8:8">
      <c r="H17558" s="680" t="s">
        <v>6153</v>
      </c>
    </row>
    <row r="17559" spans="8:8">
      <c r="H17559" s="680" t="s">
        <v>6153</v>
      </c>
    </row>
    <row r="17560" spans="8:8">
      <c r="H17560" s="680" t="s">
        <v>6153</v>
      </c>
    </row>
    <row r="17561" spans="8:8">
      <c r="H17561" s="680" t="s">
        <v>6153</v>
      </c>
    </row>
    <row r="17562" spans="8:8">
      <c r="H17562" s="680" t="s">
        <v>6153</v>
      </c>
    </row>
    <row r="17563" spans="8:8">
      <c r="H17563" s="680" t="s">
        <v>6153</v>
      </c>
    </row>
    <row r="17564" spans="8:8">
      <c r="H17564" s="680" t="s">
        <v>6153</v>
      </c>
    </row>
    <row r="17565" spans="8:8">
      <c r="H17565" s="680" t="s">
        <v>6153</v>
      </c>
    </row>
    <row r="17566" spans="8:8">
      <c r="H17566" s="680" t="s">
        <v>6153</v>
      </c>
    </row>
    <row r="17567" spans="8:8">
      <c r="H17567" s="680" t="s">
        <v>6153</v>
      </c>
    </row>
    <row r="17568" spans="8:8">
      <c r="H17568" s="680" t="s">
        <v>6153</v>
      </c>
    </row>
    <row r="17569" spans="8:8">
      <c r="H17569" s="680" t="s">
        <v>6153</v>
      </c>
    </row>
    <row r="17570" spans="8:8">
      <c r="H17570" s="680" t="s">
        <v>6153</v>
      </c>
    </row>
    <row r="17571" spans="8:8">
      <c r="H17571" s="680" t="s">
        <v>6153</v>
      </c>
    </row>
    <row r="17572" spans="8:8">
      <c r="H17572" s="680" t="s">
        <v>6153</v>
      </c>
    </row>
    <row r="17573" spans="8:8">
      <c r="H17573" s="680" t="s">
        <v>6153</v>
      </c>
    </row>
    <row r="17574" spans="8:8">
      <c r="H17574" s="680" t="s">
        <v>6153</v>
      </c>
    </row>
    <row r="17575" spans="8:8">
      <c r="H17575" s="680" t="s">
        <v>6153</v>
      </c>
    </row>
    <row r="17576" spans="8:8">
      <c r="H17576" s="680" t="s">
        <v>6153</v>
      </c>
    </row>
    <row r="17577" spans="8:8">
      <c r="H17577" s="680" t="s">
        <v>6153</v>
      </c>
    </row>
    <row r="17578" spans="8:8">
      <c r="H17578" s="680" t="s">
        <v>6153</v>
      </c>
    </row>
    <row r="17579" spans="8:8">
      <c r="H17579" s="680" t="s">
        <v>6153</v>
      </c>
    </row>
    <row r="17580" spans="8:8">
      <c r="H17580" s="680" t="s">
        <v>6153</v>
      </c>
    </row>
    <row r="17581" spans="8:8">
      <c r="H17581" s="680" t="s">
        <v>6153</v>
      </c>
    </row>
    <row r="17582" spans="8:8">
      <c r="H17582" s="680" t="s">
        <v>6153</v>
      </c>
    </row>
    <row r="17583" spans="8:8">
      <c r="H17583" s="680" t="s">
        <v>6153</v>
      </c>
    </row>
    <row r="17584" spans="8:8">
      <c r="H17584" s="680" t="s">
        <v>6153</v>
      </c>
    </row>
    <row r="17585" spans="8:8">
      <c r="H17585" s="680" t="s">
        <v>6153</v>
      </c>
    </row>
    <row r="17586" spans="8:8">
      <c r="H17586" s="680" t="s">
        <v>6153</v>
      </c>
    </row>
    <row r="17587" spans="8:8">
      <c r="H17587" s="680" t="s">
        <v>6153</v>
      </c>
    </row>
    <row r="17588" spans="8:8">
      <c r="H17588" s="680" t="s">
        <v>6153</v>
      </c>
    </row>
    <row r="17589" spans="8:8">
      <c r="H17589" s="680" t="s">
        <v>6153</v>
      </c>
    </row>
    <row r="17590" spans="8:8">
      <c r="H17590" s="680" t="s">
        <v>6153</v>
      </c>
    </row>
    <row r="17591" spans="8:8">
      <c r="H17591" s="680" t="s">
        <v>6153</v>
      </c>
    </row>
    <row r="17592" spans="8:8">
      <c r="H17592" s="680" t="s">
        <v>6153</v>
      </c>
    </row>
    <row r="17593" spans="8:8">
      <c r="H17593" s="680" t="s">
        <v>6153</v>
      </c>
    </row>
    <row r="17594" spans="8:8">
      <c r="H17594" s="680" t="s">
        <v>6153</v>
      </c>
    </row>
    <row r="17595" spans="8:8">
      <c r="H17595" s="680" t="s">
        <v>6153</v>
      </c>
    </row>
    <row r="17596" spans="8:8">
      <c r="H17596" s="680" t="s">
        <v>6153</v>
      </c>
    </row>
    <row r="17597" spans="8:8">
      <c r="H17597" s="680" t="s">
        <v>6153</v>
      </c>
    </row>
    <row r="17598" spans="8:8">
      <c r="H17598" s="680" t="s">
        <v>6153</v>
      </c>
    </row>
    <row r="17599" spans="8:8">
      <c r="H17599" s="680" t="s">
        <v>6153</v>
      </c>
    </row>
    <row r="17600" spans="8:8">
      <c r="H17600" s="680" t="s">
        <v>6153</v>
      </c>
    </row>
    <row r="17601" spans="8:8">
      <c r="H17601" s="680" t="s">
        <v>6153</v>
      </c>
    </row>
    <row r="17602" spans="8:8">
      <c r="H17602" s="680" t="s">
        <v>6153</v>
      </c>
    </row>
    <row r="17603" spans="8:8">
      <c r="H17603" s="680" t="s">
        <v>6153</v>
      </c>
    </row>
    <row r="17604" spans="8:8">
      <c r="H17604" s="680" t="s">
        <v>6153</v>
      </c>
    </row>
    <row r="17605" spans="8:8">
      <c r="H17605" s="680" t="s">
        <v>6153</v>
      </c>
    </row>
    <row r="17606" spans="8:8">
      <c r="H17606" s="680" t="s">
        <v>6153</v>
      </c>
    </row>
    <row r="17607" spans="8:8">
      <c r="H17607" s="680" t="s">
        <v>6153</v>
      </c>
    </row>
    <row r="17608" spans="8:8">
      <c r="H17608" s="680" t="s">
        <v>6153</v>
      </c>
    </row>
    <row r="17609" spans="8:8">
      <c r="H17609" s="680" t="s">
        <v>6153</v>
      </c>
    </row>
    <row r="17610" spans="8:8">
      <c r="H17610" s="680" t="s">
        <v>6153</v>
      </c>
    </row>
    <row r="17611" spans="8:8">
      <c r="H17611" s="680" t="s">
        <v>6153</v>
      </c>
    </row>
    <row r="17612" spans="8:8">
      <c r="H17612" s="680" t="s">
        <v>6153</v>
      </c>
    </row>
    <row r="17613" spans="8:8">
      <c r="H17613" s="680" t="s">
        <v>6153</v>
      </c>
    </row>
    <row r="17614" spans="8:8">
      <c r="H17614" s="680" t="s">
        <v>6153</v>
      </c>
    </row>
    <row r="17615" spans="8:8">
      <c r="H17615" s="680" t="s">
        <v>6153</v>
      </c>
    </row>
    <row r="17616" spans="8:8">
      <c r="H17616" s="680" t="s">
        <v>6153</v>
      </c>
    </row>
    <row r="17617" spans="8:8">
      <c r="H17617" s="680" t="s">
        <v>6153</v>
      </c>
    </row>
    <row r="17618" spans="8:8">
      <c r="H17618" s="680" t="s">
        <v>6153</v>
      </c>
    </row>
    <row r="17619" spans="8:8">
      <c r="H17619" s="680" t="s">
        <v>6153</v>
      </c>
    </row>
    <row r="17620" spans="8:8">
      <c r="H17620" s="680" t="s">
        <v>6153</v>
      </c>
    </row>
    <row r="17621" spans="8:8">
      <c r="H17621" s="680" t="s">
        <v>6153</v>
      </c>
    </row>
    <row r="17622" spans="8:8">
      <c r="H17622" s="680" t="s">
        <v>6153</v>
      </c>
    </row>
    <row r="17623" spans="8:8">
      <c r="H17623" s="680" t="s">
        <v>6153</v>
      </c>
    </row>
    <row r="17624" spans="8:8">
      <c r="H17624" s="680" t="s">
        <v>6153</v>
      </c>
    </row>
    <row r="17625" spans="8:8">
      <c r="H17625" s="680" t="s">
        <v>6153</v>
      </c>
    </row>
    <row r="17626" spans="8:8">
      <c r="H17626" s="680" t="s">
        <v>6153</v>
      </c>
    </row>
    <row r="17627" spans="8:8">
      <c r="H17627" s="680" t="s">
        <v>6153</v>
      </c>
    </row>
    <row r="17628" spans="8:8">
      <c r="H17628" s="680" t="s">
        <v>6153</v>
      </c>
    </row>
    <row r="17629" spans="8:8">
      <c r="H17629" s="680" t="s">
        <v>6153</v>
      </c>
    </row>
    <row r="17630" spans="8:8">
      <c r="H17630" s="680" t="s">
        <v>6153</v>
      </c>
    </row>
    <row r="17631" spans="8:8">
      <c r="H17631" s="680" t="s">
        <v>6153</v>
      </c>
    </row>
    <row r="17632" spans="8:8">
      <c r="H17632" s="680" t="s">
        <v>6153</v>
      </c>
    </row>
    <row r="17633" spans="8:8">
      <c r="H17633" s="680" t="s">
        <v>6153</v>
      </c>
    </row>
    <row r="17634" spans="8:8">
      <c r="H17634" s="680" t="s">
        <v>6153</v>
      </c>
    </row>
    <row r="17635" spans="8:8">
      <c r="H17635" s="680" t="s">
        <v>6153</v>
      </c>
    </row>
    <row r="17636" spans="8:8">
      <c r="H17636" s="680" t="s">
        <v>6153</v>
      </c>
    </row>
    <row r="17637" spans="8:8">
      <c r="H17637" s="680" t="s">
        <v>6153</v>
      </c>
    </row>
    <row r="17638" spans="8:8">
      <c r="H17638" s="680" t="s">
        <v>6153</v>
      </c>
    </row>
    <row r="17639" spans="8:8">
      <c r="H17639" s="680" t="s">
        <v>6153</v>
      </c>
    </row>
    <row r="17640" spans="8:8">
      <c r="H17640" s="680" t="s">
        <v>6153</v>
      </c>
    </row>
    <row r="17641" spans="8:8">
      <c r="H17641" s="680" t="s">
        <v>6153</v>
      </c>
    </row>
    <row r="17642" spans="8:8">
      <c r="H17642" s="680" t="s">
        <v>6153</v>
      </c>
    </row>
    <row r="17643" spans="8:8">
      <c r="H17643" s="680" t="s">
        <v>6153</v>
      </c>
    </row>
    <row r="17644" spans="8:8">
      <c r="H17644" s="680" t="s">
        <v>6153</v>
      </c>
    </row>
    <row r="17645" spans="8:8">
      <c r="H17645" s="680" t="s">
        <v>6153</v>
      </c>
    </row>
    <row r="17646" spans="8:8">
      <c r="H17646" s="680" t="s">
        <v>6153</v>
      </c>
    </row>
    <row r="17647" spans="8:8">
      <c r="H17647" s="680" t="s">
        <v>6153</v>
      </c>
    </row>
    <row r="17648" spans="8:8">
      <c r="H17648" s="680" t="s">
        <v>6153</v>
      </c>
    </row>
    <row r="17649" spans="8:8">
      <c r="H17649" s="680" t="s">
        <v>6153</v>
      </c>
    </row>
    <row r="17650" spans="8:8">
      <c r="H17650" s="680" t="s">
        <v>6153</v>
      </c>
    </row>
    <row r="17651" spans="8:8">
      <c r="H17651" s="680" t="s">
        <v>6153</v>
      </c>
    </row>
    <row r="17652" spans="8:8">
      <c r="H17652" s="680" t="s">
        <v>6153</v>
      </c>
    </row>
    <row r="17653" spans="8:8">
      <c r="H17653" s="680" t="s">
        <v>6153</v>
      </c>
    </row>
    <row r="17654" spans="8:8">
      <c r="H17654" s="680" t="s">
        <v>6153</v>
      </c>
    </row>
    <row r="17655" spans="8:8">
      <c r="H17655" s="680" t="s">
        <v>6153</v>
      </c>
    </row>
    <row r="17656" spans="8:8">
      <c r="H17656" s="680" t="s">
        <v>6153</v>
      </c>
    </row>
    <row r="17657" spans="8:8">
      <c r="H17657" s="680" t="s">
        <v>6153</v>
      </c>
    </row>
    <row r="17658" spans="8:8">
      <c r="H17658" s="680" t="s">
        <v>6153</v>
      </c>
    </row>
    <row r="17659" spans="8:8">
      <c r="H17659" s="680" t="s">
        <v>6153</v>
      </c>
    </row>
    <row r="17660" spans="8:8">
      <c r="H17660" s="680" t="s">
        <v>6153</v>
      </c>
    </row>
    <row r="17661" spans="8:8">
      <c r="H17661" s="680" t="s">
        <v>6153</v>
      </c>
    </row>
    <row r="17662" spans="8:8">
      <c r="H17662" s="680" t="s">
        <v>6153</v>
      </c>
    </row>
    <row r="17663" spans="8:8">
      <c r="H17663" s="680" t="s">
        <v>6153</v>
      </c>
    </row>
    <row r="17664" spans="8:8">
      <c r="H17664" s="680" t="s">
        <v>6153</v>
      </c>
    </row>
    <row r="17665" spans="8:8">
      <c r="H17665" s="680" t="s">
        <v>6153</v>
      </c>
    </row>
    <row r="17666" spans="8:8">
      <c r="H17666" s="680" t="s">
        <v>6153</v>
      </c>
    </row>
    <row r="17667" spans="8:8">
      <c r="H17667" s="680" t="s">
        <v>6153</v>
      </c>
    </row>
    <row r="17668" spans="8:8">
      <c r="H17668" s="680" t="s">
        <v>6153</v>
      </c>
    </row>
    <row r="17669" spans="8:8">
      <c r="H17669" s="680" t="s">
        <v>6153</v>
      </c>
    </row>
    <row r="17670" spans="8:8">
      <c r="H17670" s="680" t="s">
        <v>6153</v>
      </c>
    </row>
    <row r="17671" spans="8:8">
      <c r="H17671" s="680" t="s">
        <v>6153</v>
      </c>
    </row>
    <row r="17672" spans="8:8">
      <c r="H17672" s="680" t="s">
        <v>6153</v>
      </c>
    </row>
    <row r="17673" spans="8:8">
      <c r="H17673" s="680" t="s">
        <v>6153</v>
      </c>
    </row>
    <row r="17674" spans="8:8">
      <c r="H17674" s="680" t="s">
        <v>6153</v>
      </c>
    </row>
    <row r="17675" spans="8:8">
      <c r="H17675" s="680" t="s">
        <v>6153</v>
      </c>
    </row>
    <row r="17676" spans="8:8">
      <c r="H17676" s="680" t="s">
        <v>6153</v>
      </c>
    </row>
    <row r="17677" spans="8:8">
      <c r="H17677" s="680" t="s">
        <v>6153</v>
      </c>
    </row>
    <row r="17678" spans="8:8">
      <c r="H17678" s="680" t="s">
        <v>6153</v>
      </c>
    </row>
    <row r="17679" spans="8:8">
      <c r="H17679" s="680" t="s">
        <v>6153</v>
      </c>
    </row>
    <row r="17680" spans="8:8">
      <c r="H17680" s="680" t="s">
        <v>6153</v>
      </c>
    </row>
    <row r="17681" spans="8:8">
      <c r="H17681" s="680" t="s">
        <v>6153</v>
      </c>
    </row>
    <row r="17682" spans="8:8">
      <c r="H17682" s="680" t="s">
        <v>6153</v>
      </c>
    </row>
    <row r="17683" spans="8:8">
      <c r="H17683" s="680" t="s">
        <v>6153</v>
      </c>
    </row>
    <row r="17684" spans="8:8">
      <c r="H17684" s="680" t="s">
        <v>6153</v>
      </c>
    </row>
    <row r="17685" spans="8:8">
      <c r="H17685" s="680" t="s">
        <v>6153</v>
      </c>
    </row>
    <row r="17686" spans="8:8">
      <c r="H17686" s="680" t="s">
        <v>6153</v>
      </c>
    </row>
    <row r="17687" spans="8:8">
      <c r="H17687" s="680" t="s">
        <v>6153</v>
      </c>
    </row>
    <row r="17688" spans="8:8">
      <c r="H17688" s="680" t="s">
        <v>6153</v>
      </c>
    </row>
    <row r="17689" spans="8:8">
      <c r="H17689" s="680" t="s">
        <v>6153</v>
      </c>
    </row>
    <row r="17690" spans="8:8">
      <c r="H17690" s="680" t="s">
        <v>6153</v>
      </c>
    </row>
    <row r="17691" spans="8:8">
      <c r="H17691" s="680" t="s">
        <v>6153</v>
      </c>
    </row>
    <row r="17692" spans="8:8">
      <c r="H17692" s="680" t="s">
        <v>6153</v>
      </c>
    </row>
    <row r="17693" spans="8:8">
      <c r="H17693" s="680" t="s">
        <v>6153</v>
      </c>
    </row>
    <row r="17694" spans="8:8">
      <c r="H17694" s="680" t="s">
        <v>6153</v>
      </c>
    </row>
    <row r="17695" spans="8:8">
      <c r="H17695" s="680" t="s">
        <v>6153</v>
      </c>
    </row>
    <row r="17696" spans="8:8">
      <c r="H17696" s="680" t="s">
        <v>6153</v>
      </c>
    </row>
    <row r="17697" spans="8:8">
      <c r="H17697" s="680" t="s">
        <v>6153</v>
      </c>
    </row>
    <row r="17698" spans="8:8">
      <c r="H17698" s="680" t="s">
        <v>6153</v>
      </c>
    </row>
    <row r="17699" spans="8:8">
      <c r="H17699" s="680" t="s">
        <v>6153</v>
      </c>
    </row>
    <row r="17700" spans="8:8">
      <c r="H17700" s="680" t="s">
        <v>6153</v>
      </c>
    </row>
    <row r="17701" spans="8:8">
      <c r="H17701" s="680" t="s">
        <v>6153</v>
      </c>
    </row>
    <row r="17702" spans="8:8">
      <c r="H17702" s="680" t="s">
        <v>6153</v>
      </c>
    </row>
    <row r="17703" spans="8:8">
      <c r="H17703" s="680" t="s">
        <v>6153</v>
      </c>
    </row>
    <row r="17704" spans="8:8">
      <c r="H17704" s="680" t="s">
        <v>6153</v>
      </c>
    </row>
    <row r="17705" spans="8:8">
      <c r="H17705" s="680" t="s">
        <v>6153</v>
      </c>
    </row>
    <row r="17706" spans="8:8">
      <c r="H17706" s="680" t="s">
        <v>6153</v>
      </c>
    </row>
    <row r="17707" spans="8:8">
      <c r="H17707" s="680" t="s">
        <v>6153</v>
      </c>
    </row>
    <row r="17708" spans="8:8">
      <c r="H17708" s="680" t="s">
        <v>6153</v>
      </c>
    </row>
    <row r="17709" spans="8:8">
      <c r="H17709" s="680" t="s">
        <v>6153</v>
      </c>
    </row>
    <row r="17710" spans="8:8">
      <c r="H17710" s="680" t="s">
        <v>6153</v>
      </c>
    </row>
    <row r="17711" spans="8:8">
      <c r="H17711" s="680" t="s">
        <v>6153</v>
      </c>
    </row>
    <row r="17712" spans="8:8">
      <c r="H17712" s="680" t="s">
        <v>6153</v>
      </c>
    </row>
    <row r="17713" spans="8:8">
      <c r="H17713" s="680" t="s">
        <v>6153</v>
      </c>
    </row>
    <row r="17714" spans="8:8">
      <c r="H17714" s="680" t="s">
        <v>6153</v>
      </c>
    </row>
    <row r="17715" spans="8:8">
      <c r="H17715" s="680" t="s">
        <v>6153</v>
      </c>
    </row>
    <row r="17716" spans="8:8">
      <c r="H17716" s="680" t="s">
        <v>6153</v>
      </c>
    </row>
    <row r="17717" spans="8:8">
      <c r="H17717" s="680" t="s">
        <v>6153</v>
      </c>
    </row>
    <row r="17718" spans="8:8">
      <c r="H17718" s="680" t="s">
        <v>6153</v>
      </c>
    </row>
    <row r="17719" spans="8:8">
      <c r="H17719" s="680" t="s">
        <v>6153</v>
      </c>
    </row>
    <row r="17720" spans="8:8">
      <c r="H17720" s="680" t="s">
        <v>6153</v>
      </c>
    </row>
    <row r="17721" spans="8:8">
      <c r="H17721" s="680" t="s">
        <v>6153</v>
      </c>
    </row>
    <row r="17722" spans="8:8">
      <c r="H17722" s="680" t="s">
        <v>6153</v>
      </c>
    </row>
    <row r="17723" spans="8:8">
      <c r="H17723" s="680" t="s">
        <v>6153</v>
      </c>
    </row>
    <row r="17724" spans="8:8">
      <c r="H17724" s="680" t="s">
        <v>6153</v>
      </c>
    </row>
    <row r="17725" spans="8:8">
      <c r="H17725" s="680" t="s">
        <v>6153</v>
      </c>
    </row>
    <row r="17726" spans="8:8">
      <c r="H17726" s="680" t="s">
        <v>6153</v>
      </c>
    </row>
    <row r="17727" spans="8:8">
      <c r="H17727" s="680" t="s">
        <v>6153</v>
      </c>
    </row>
    <row r="17728" spans="8:8">
      <c r="H17728" s="680" t="s">
        <v>6153</v>
      </c>
    </row>
    <row r="17729" spans="8:8">
      <c r="H17729" s="680" t="s">
        <v>6153</v>
      </c>
    </row>
    <row r="17730" spans="8:8">
      <c r="H17730" s="680" t="s">
        <v>6153</v>
      </c>
    </row>
    <row r="17731" spans="8:8">
      <c r="H17731" s="680" t="s">
        <v>6153</v>
      </c>
    </row>
    <row r="17732" spans="8:8">
      <c r="H17732" s="680" t="s">
        <v>6153</v>
      </c>
    </row>
    <row r="17733" spans="8:8">
      <c r="H17733" s="680" t="s">
        <v>6153</v>
      </c>
    </row>
    <row r="17734" spans="8:8">
      <c r="H17734" s="680" t="s">
        <v>6153</v>
      </c>
    </row>
    <row r="17735" spans="8:8">
      <c r="H17735" s="680" t="s">
        <v>6153</v>
      </c>
    </row>
    <row r="17736" spans="8:8">
      <c r="H17736" s="680" t="s">
        <v>6153</v>
      </c>
    </row>
    <row r="17737" spans="8:8">
      <c r="H17737" s="680" t="s">
        <v>6153</v>
      </c>
    </row>
    <row r="17738" spans="8:8">
      <c r="H17738" s="680" t="s">
        <v>6153</v>
      </c>
    </row>
    <row r="17739" spans="8:8">
      <c r="H17739" s="680" t="s">
        <v>6153</v>
      </c>
    </row>
    <row r="17740" spans="8:8">
      <c r="H17740" s="680" t="s">
        <v>6153</v>
      </c>
    </row>
    <row r="17741" spans="8:8">
      <c r="H17741" s="680" t="s">
        <v>6153</v>
      </c>
    </row>
    <row r="17742" spans="8:8">
      <c r="H17742" s="680" t="s">
        <v>6153</v>
      </c>
    </row>
    <row r="17743" spans="8:8">
      <c r="H17743" s="680" t="s">
        <v>6153</v>
      </c>
    </row>
    <row r="17744" spans="8:8">
      <c r="H17744" s="680" t="s">
        <v>6153</v>
      </c>
    </row>
    <row r="17745" spans="8:8">
      <c r="H17745" s="680" t="s">
        <v>6153</v>
      </c>
    </row>
    <row r="17746" spans="8:8">
      <c r="H17746" s="680" t="s">
        <v>6153</v>
      </c>
    </row>
    <row r="17747" spans="8:8">
      <c r="H17747" s="680" t="s">
        <v>6153</v>
      </c>
    </row>
    <row r="17748" spans="8:8">
      <c r="H17748" s="680" t="s">
        <v>6153</v>
      </c>
    </row>
    <row r="17749" spans="8:8">
      <c r="H17749" s="680" t="s">
        <v>6153</v>
      </c>
    </row>
    <row r="17750" spans="8:8">
      <c r="H17750" s="680" t="s">
        <v>6153</v>
      </c>
    </row>
    <row r="17751" spans="8:8">
      <c r="H17751" s="680" t="s">
        <v>6153</v>
      </c>
    </row>
    <row r="17752" spans="8:8">
      <c r="H17752" s="680" t="s">
        <v>6153</v>
      </c>
    </row>
    <row r="17753" spans="8:8">
      <c r="H17753" s="680" t="s">
        <v>6153</v>
      </c>
    </row>
    <row r="17754" spans="8:8">
      <c r="H17754" s="680" t="s">
        <v>6153</v>
      </c>
    </row>
    <row r="17755" spans="8:8">
      <c r="H17755" s="680" t="s">
        <v>6153</v>
      </c>
    </row>
    <row r="17756" spans="8:8">
      <c r="H17756" s="680" t="s">
        <v>6153</v>
      </c>
    </row>
    <row r="17757" spans="8:8">
      <c r="H17757" s="680" t="s">
        <v>6153</v>
      </c>
    </row>
    <row r="17758" spans="8:8">
      <c r="H17758" s="680" t="s">
        <v>6153</v>
      </c>
    </row>
    <row r="17759" spans="8:8">
      <c r="H17759" s="680" t="s">
        <v>6153</v>
      </c>
    </row>
    <row r="17760" spans="8:8">
      <c r="H17760" s="680" t="s">
        <v>6153</v>
      </c>
    </row>
    <row r="17761" spans="8:8">
      <c r="H17761" s="680" t="s">
        <v>6153</v>
      </c>
    </row>
    <row r="17762" spans="8:8">
      <c r="H17762" s="680" t="s">
        <v>6153</v>
      </c>
    </row>
    <row r="17763" spans="8:8">
      <c r="H17763" s="680" t="s">
        <v>6153</v>
      </c>
    </row>
    <row r="17764" spans="8:8">
      <c r="H17764" s="680" t="s">
        <v>6153</v>
      </c>
    </row>
    <row r="17765" spans="8:8">
      <c r="H17765" s="680" t="s">
        <v>6153</v>
      </c>
    </row>
    <row r="17766" spans="8:8">
      <c r="H17766" s="680" t="s">
        <v>6153</v>
      </c>
    </row>
    <row r="17767" spans="8:8">
      <c r="H17767" s="680" t="s">
        <v>6153</v>
      </c>
    </row>
    <row r="17768" spans="8:8">
      <c r="H17768" s="680" t="s">
        <v>6153</v>
      </c>
    </row>
    <row r="17769" spans="8:8">
      <c r="H17769" s="680" t="s">
        <v>6153</v>
      </c>
    </row>
    <row r="17770" spans="8:8">
      <c r="H17770" s="680" t="s">
        <v>6153</v>
      </c>
    </row>
    <row r="17771" spans="8:8">
      <c r="H17771" s="680" t="s">
        <v>6153</v>
      </c>
    </row>
    <row r="17772" spans="8:8">
      <c r="H17772" s="680" t="s">
        <v>6153</v>
      </c>
    </row>
    <row r="17773" spans="8:8">
      <c r="H17773" s="680" t="s">
        <v>6153</v>
      </c>
    </row>
    <row r="17774" spans="8:8">
      <c r="H17774" s="680" t="s">
        <v>6153</v>
      </c>
    </row>
    <row r="17775" spans="8:8">
      <c r="H17775" s="680" t="s">
        <v>6153</v>
      </c>
    </row>
    <row r="17776" spans="8:8">
      <c r="H17776" s="680" t="s">
        <v>6153</v>
      </c>
    </row>
    <row r="17777" spans="8:8">
      <c r="H17777" s="680" t="s">
        <v>6153</v>
      </c>
    </row>
    <row r="17778" spans="8:8">
      <c r="H17778" s="680" t="s">
        <v>6153</v>
      </c>
    </row>
    <row r="17779" spans="8:8">
      <c r="H17779" s="680" t="s">
        <v>6153</v>
      </c>
    </row>
    <row r="17780" spans="8:8">
      <c r="H17780" s="680" t="s">
        <v>6153</v>
      </c>
    </row>
    <row r="17781" spans="8:8">
      <c r="H17781" s="680" t="s">
        <v>6153</v>
      </c>
    </row>
    <row r="17782" spans="8:8">
      <c r="H17782" s="680" t="s">
        <v>6153</v>
      </c>
    </row>
    <row r="17783" spans="8:8">
      <c r="H17783" s="680" t="s">
        <v>6153</v>
      </c>
    </row>
    <row r="17784" spans="8:8">
      <c r="H17784" s="680" t="s">
        <v>6153</v>
      </c>
    </row>
    <row r="17785" spans="8:8">
      <c r="H17785" s="680" t="s">
        <v>6153</v>
      </c>
    </row>
    <row r="17786" spans="8:8">
      <c r="H17786" s="680" t="s">
        <v>6153</v>
      </c>
    </row>
    <row r="17787" spans="8:8">
      <c r="H17787" s="680" t="s">
        <v>6153</v>
      </c>
    </row>
    <row r="17788" spans="8:8">
      <c r="H17788" s="680" t="s">
        <v>6153</v>
      </c>
    </row>
    <row r="17789" spans="8:8">
      <c r="H17789" s="680" t="s">
        <v>6153</v>
      </c>
    </row>
    <row r="17790" spans="8:8">
      <c r="H17790" s="680" t="s">
        <v>6153</v>
      </c>
    </row>
    <row r="17791" spans="8:8">
      <c r="H17791" s="680" t="s">
        <v>6153</v>
      </c>
    </row>
    <row r="17792" spans="8:8">
      <c r="H17792" s="680" t="s">
        <v>6153</v>
      </c>
    </row>
    <row r="17793" spans="8:8">
      <c r="H17793" s="680" t="s">
        <v>6153</v>
      </c>
    </row>
    <row r="17794" spans="8:8">
      <c r="H17794" s="680" t="s">
        <v>6153</v>
      </c>
    </row>
    <row r="17795" spans="8:8">
      <c r="H17795" s="680" t="s">
        <v>6153</v>
      </c>
    </row>
    <row r="17796" spans="8:8">
      <c r="H17796" s="680" t="s">
        <v>6153</v>
      </c>
    </row>
    <row r="17797" spans="8:8">
      <c r="H17797" s="680" t="s">
        <v>6153</v>
      </c>
    </row>
    <row r="17798" spans="8:8">
      <c r="H17798" s="680" t="s">
        <v>6153</v>
      </c>
    </row>
    <row r="17799" spans="8:8">
      <c r="H17799" s="680" t="s">
        <v>6153</v>
      </c>
    </row>
    <row r="17800" spans="8:8">
      <c r="H17800" s="680" t="s">
        <v>6153</v>
      </c>
    </row>
    <row r="17801" spans="8:8">
      <c r="H17801" s="680" t="s">
        <v>6153</v>
      </c>
    </row>
    <row r="17802" spans="8:8">
      <c r="H17802" s="680" t="s">
        <v>6153</v>
      </c>
    </row>
    <row r="17803" spans="8:8">
      <c r="H17803" s="680" t="s">
        <v>6153</v>
      </c>
    </row>
    <row r="17804" spans="8:8">
      <c r="H17804" s="680" t="s">
        <v>6153</v>
      </c>
    </row>
    <row r="17805" spans="8:8">
      <c r="H17805" s="680" t="s">
        <v>6153</v>
      </c>
    </row>
    <row r="17806" spans="8:8">
      <c r="H17806" s="680" t="s">
        <v>6153</v>
      </c>
    </row>
    <row r="17807" spans="8:8">
      <c r="H17807" s="680" t="s">
        <v>6153</v>
      </c>
    </row>
    <row r="17808" spans="8:8">
      <c r="H17808" s="680" t="s">
        <v>6153</v>
      </c>
    </row>
    <row r="17809" spans="8:8">
      <c r="H17809" s="680" t="s">
        <v>6153</v>
      </c>
    </row>
    <row r="17810" spans="8:8">
      <c r="H17810" s="680" t="s">
        <v>6153</v>
      </c>
    </row>
    <row r="17811" spans="8:8">
      <c r="H17811" s="680" t="s">
        <v>6153</v>
      </c>
    </row>
    <row r="17812" spans="8:8">
      <c r="H17812" s="680" t="s">
        <v>6153</v>
      </c>
    </row>
    <row r="17813" spans="8:8">
      <c r="H17813" s="680" t="s">
        <v>6153</v>
      </c>
    </row>
    <row r="17814" spans="8:8">
      <c r="H17814" s="680" t="s">
        <v>6153</v>
      </c>
    </row>
    <row r="17815" spans="8:8">
      <c r="H17815" s="680" t="s">
        <v>6153</v>
      </c>
    </row>
    <row r="17816" spans="8:8">
      <c r="H17816" s="680" t="s">
        <v>6153</v>
      </c>
    </row>
    <row r="17817" spans="8:8">
      <c r="H17817" s="680" t="s">
        <v>6153</v>
      </c>
    </row>
    <row r="17818" spans="8:8">
      <c r="H17818" s="680" t="s">
        <v>6153</v>
      </c>
    </row>
    <row r="17819" spans="8:8">
      <c r="H17819" s="680" t="s">
        <v>6153</v>
      </c>
    </row>
    <row r="17820" spans="8:8">
      <c r="H17820" s="680" t="s">
        <v>6153</v>
      </c>
    </row>
    <row r="17821" spans="8:8">
      <c r="H17821" s="680" t="s">
        <v>6153</v>
      </c>
    </row>
    <row r="17822" spans="8:8">
      <c r="H17822" s="680" t="s">
        <v>6153</v>
      </c>
    </row>
    <row r="17823" spans="8:8">
      <c r="H17823" s="680" t="s">
        <v>6153</v>
      </c>
    </row>
    <row r="17824" spans="8:8">
      <c r="H17824" s="680" t="s">
        <v>6153</v>
      </c>
    </row>
    <row r="17825" spans="8:8">
      <c r="H17825" s="680" t="s">
        <v>6153</v>
      </c>
    </row>
    <row r="17826" spans="8:8">
      <c r="H17826" s="680" t="s">
        <v>6153</v>
      </c>
    </row>
    <row r="17827" spans="8:8">
      <c r="H17827" s="680" t="s">
        <v>6153</v>
      </c>
    </row>
    <row r="17828" spans="8:8">
      <c r="H17828" s="680" t="s">
        <v>6153</v>
      </c>
    </row>
    <row r="17829" spans="8:8">
      <c r="H17829" s="680" t="s">
        <v>6153</v>
      </c>
    </row>
    <row r="17830" spans="8:8">
      <c r="H17830" s="680" t="s">
        <v>6153</v>
      </c>
    </row>
    <row r="17831" spans="8:8">
      <c r="H17831" s="680" t="s">
        <v>6153</v>
      </c>
    </row>
    <row r="17832" spans="8:8">
      <c r="H17832" s="680" t="s">
        <v>6153</v>
      </c>
    </row>
    <row r="17833" spans="8:8">
      <c r="H17833" s="680" t="s">
        <v>6153</v>
      </c>
    </row>
    <row r="17834" spans="8:8">
      <c r="H17834" s="680" t="s">
        <v>6153</v>
      </c>
    </row>
    <row r="17835" spans="8:8">
      <c r="H17835" s="680" t="s">
        <v>6153</v>
      </c>
    </row>
    <row r="17836" spans="8:8">
      <c r="H17836" s="680" t="s">
        <v>6153</v>
      </c>
    </row>
    <row r="17837" spans="8:8">
      <c r="H17837" s="680" t="s">
        <v>6153</v>
      </c>
    </row>
    <row r="17838" spans="8:8">
      <c r="H17838" s="680" t="s">
        <v>6153</v>
      </c>
    </row>
    <row r="17839" spans="8:8">
      <c r="H17839" s="680" t="s">
        <v>6153</v>
      </c>
    </row>
    <row r="17840" spans="8:8">
      <c r="H17840" s="680" t="s">
        <v>6153</v>
      </c>
    </row>
    <row r="17841" spans="8:8">
      <c r="H17841" s="680" t="s">
        <v>6153</v>
      </c>
    </row>
    <row r="17842" spans="8:8">
      <c r="H17842" s="680" t="s">
        <v>6153</v>
      </c>
    </row>
    <row r="17843" spans="8:8">
      <c r="H17843" s="680" t="s">
        <v>6153</v>
      </c>
    </row>
    <row r="17844" spans="8:8">
      <c r="H17844" s="680" t="s">
        <v>6153</v>
      </c>
    </row>
    <row r="17845" spans="8:8">
      <c r="H17845" s="680" t="s">
        <v>6153</v>
      </c>
    </row>
    <row r="17846" spans="8:8">
      <c r="H17846" s="680" t="s">
        <v>6153</v>
      </c>
    </row>
    <row r="17847" spans="8:8">
      <c r="H17847" s="680" t="s">
        <v>6153</v>
      </c>
    </row>
    <row r="17848" spans="8:8">
      <c r="H17848" s="680" t="s">
        <v>6153</v>
      </c>
    </row>
    <row r="17849" spans="8:8">
      <c r="H17849" s="680" t="s">
        <v>6153</v>
      </c>
    </row>
    <row r="17850" spans="8:8">
      <c r="H17850" s="680" t="s">
        <v>6153</v>
      </c>
    </row>
    <row r="17851" spans="8:8">
      <c r="H17851" s="680" t="s">
        <v>6153</v>
      </c>
    </row>
    <row r="17852" spans="8:8">
      <c r="H17852" s="680" t="s">
        <v>6153</v>
      </c>
    </row>
    <row r="17853" spans="8:8">
      <c r="H17853" s="680" t="s">
        <v>6153</v>
      </c>
    </row>
    <row r="17854" spans="8:8">
      <c r="H17854" s="680" t="s">
        <v>6153</v>
      </c>
    </row>
    <row r="17855" spans="8:8">
      <c r="H17855" s="680" t="s">
        <v>6153</v>
      </c>
    </row>
    <row r="17856" spans="8:8">
      <c r="H17856" s="680" t="s">
        <v>6153</v>
      </c>
    </row>
    <row r="17857" spans="8:8">
      <c r="H17857" s="680" t="s">
        <v>6153</v>
      </c>
    </row>
    <row r="17858" spans="8:8">
      <c r="H17858" s="680" t="s">
        <v>6153</v>
      </c>
    </row>
    <row r="17859" spans="8:8">
      <c r="H17859" s="680" t="s">
        <v>6153</v>
      </c>
    </row>
    <row r="17860" spans="8:8">
      <c r="H17860" s="680" t="s">
        <v>6153</v>
      </c>
    </row>
    <row r="17861" spans="8:8">
      <c r="H17861" s="680" t="s">
        <v>6153</v>
      </c>
    </row>
    <row r="17862" spans="8:8">
      <c r="H17862" s="680" t="s">
        <v>6153</v>
      </c>
    </row>
    <row r="17863" spans="8:8">
      <c r="H17863" s="680" t="s">
        <v>6153</v>
      </c>
    </row>
    <row r="17864" spans="8:8">
      <c r="H17864" s="680" t="s">
        <v>6153</v>
      </c>
    </row>
    <row r="17865" spans="8:8">
      <c r="H17865" s="680" t="s">
        <v>6153</v>
      </c>
    </row>
    <row r="17866" spans="8:8">
      <c r="H17866" s="680" t="s">
        <v>6153</v>
      </c>
    </row>
    <row r="17867" spans="8:8">
      <c r="H17867" s="680" t="s">
        <v>6153</v>
      </c>
    </row>
    <row r="17868" spans="8:8">
      <c r="H17868" s="680" t="s">
        <v>6153</v>
      </c>
    </row>
    <row r="17869" spans="8:8">
      <c r="H17869" s="680" t="s">
        <v>6153</v>
      </c>
    </row>
    <row r="17870" spans="8:8">
      <c r="H17870" s="680" t="s">
        <v>6153</v>
      </c>
    </row>
    <row r="17871" spans="8:8">
      <c r="H17871" s="680" t="s">
        <v>6153</v>
      </c>
    </row>
    <row r="17872" spans="8:8">
      <c r="H17872" s="680" t="s">
        <v>6153</v>
      </c>
    </row>
    <row r="17873" spans="8:8">
      <c r="H17873" s="680" t="s">
        <v>6153</v>
      </c>
    </row>
    <row r="17874" spans="8:8">
      <c r="H17874" s="680" t="s">
        <v>6153</v>
      </c>
    </row>
    <row r="17875" spans="8:8">
      <c r="H17875" s="680" t="s">
        <v>6153</v>
      </c>
    </row>
    <row r="17876" spans="8:8">
      <c r="H17876" s="680" t="s">
        <v>6153</v>
      </c>
    </row>
    <row r="17877" spans="8:8">
      <c r="H17877" s="680" t="s">
        <v>6153</v>
      </c>
    </row>
    <row r="17878" spans="8:8">
      <c r="H17878" s="680" t="s">
        <v>6153</v>
      </c>
    </row>
    <row r="17879" spans="8:8">
      <c r="H17879" s="680" t="s">
        <v>6153</v>
      </c>
    </row>
    <row r="17880" spans="8:8">
      <c r="H17880" s="680" t="s">
        <v>6153</v>
      </c>
    </row>
    <row r="17881" spans="8:8">
      <c r="H17881" s="680" t="s">
        <v>6153</v>
      </c>
    </row>
    <row r="17882" spans="8:8">
      <c r="H17882" s="680" t="s">
        <v>6153</v>
      </c>
    </row>
    <row r="17883" spans="8:8">
      <c r="H17883" s="680" t="s">
        <v>6153</v>
      </c>
    </row>
    <row r="17884" spans="8:8">
      <c r="H17884" s="680" t="s">
        <v>6153</v>
      </c>
    </row>
    <row r="17885" spans="8:8">
      <c r="H17885" s="680" t="s">
        <v>6153</v>
      </c>
    </row>
    <row r="17886" spans="8:8">
      <c r="H17886" s="680" t="s">
        <v>6153</v>
      </c>
    </row>
    <row r="17887" spans="8:8">
      <c r="H17887" s="680" t="s">
        <v>6153</v>
      </c>
    </row>
    <row r="17888" spans="8:8">
      <c r="H17888" s="680" t="s">
        <v>6153</v>
      </c>
    </row>
    <row r="17889" spans="8:8">
      <c r="H17889" s="680" t="s">
        <v>6153</v>
      </c>
    </row>
    <row r="17890" spans="8:8">
      <c r="H17890" s="680" t="s">
        <v>6153</v>
      </c>
    </row>
    <row r="17891" spans="8:8">
      <c r="H17891" s="680" t="s">
        <v>6153</v>
      </c>
    </row>
    <row r="17892" spans="8:8">
      <c r="H17892" s="680" t="s">
        <v>6153</v>
      </c>
    </row>
    <row r="17893" spans="8:8">
      <c r="H17893" s="680" t="s">
        <v>6153</v>
      </c>
    </row>
    <row r="17894" spans="8:8">
      <c r="H17894" s="680" t="s">
        <v>6153</v>
      </c>
    </row>
    <row r="17895" spans="8:8">
      <c r="H17895" s="680" t="s">
        <v>6153</v>
      </c>
    </row>
    <row r="17896" spans="8:8">
      <c r="H17896" s="680" t="s">
        <v>6153</v>
      </c>
    </row>
    <row r="17897" spans="8:8">
      <c r="H17897" s="680" t="s">
        <v>6153</v>
      </c>
    </row>
    <row r="17898" spans="8:8">
      <c r="H17898" s="680" t="s">
        <v>6153</v>
      </c>
    </row>
    <row r="17899" spans="8:8">
      <c r="H17899" s="680" t="s">
        <v>6153</v>
      </c>
    </row>
    <row r="17900" spans="8:8">
      <c r="H17900" s="680" t="s">
        <v>6153</v>
      </c>
    </row>
    <row r="17901" spans="8:8">
      <c r="H17901" s="680" t="s">
        <v>6153</v>
      </c>
    </row>
    <row r="17902" spans="8:8">
      <c r="H17902" s="680" t="s">
        <v>6153</v>
      </c>
    </row>
    <row r="17903" spans="8:8">
      <c r="H17903" s="680" t="s">
        <v>6153</v>
      </c>
    </row>
    <row r="17904" spans="8:8">
      <c r="H17904" s="680" t="s">
        <v>6153</v>
      </c>
    </row>
    <row r="17905" spans="8:8">
      <c r="H17905" s="680" t="s">
        <v>6153</v>
      </c>
    </row>
    <row r="17906" spans="8:8">
      <c r="H17906" s="680" t="s">
        <v>6153</v>
      </c>
    </row>
    <row r="17907" spans="8:8">
      <c r="H17907" s="680" t="s">
        <v>6153</v>
      </c>
    </row>
    <row r="17908" spans="8:8">
      <c r="H17908" s="680" t="s">
        <v>6153</v>
      </c>
    </row>
    <row r="17909" spans="8:8">
      <c r="H17909" s="680" t="s">
        <v>6153</v>
      </c>
    </row>
    <row r="17910" spans="8:8">
      <c r="H17910" s="680" t="s">
        <v>6153</v>
      </c>
    </row>
    <row r="17911" spans="8:8">
      <c r="H17911" s="680" t="s">
        <v>6153</v>
      </c>
    </row>
    <row r="17912" spans="8:8">
      <c r="H17912" s="680" t="s">
        <v>6153</v>
      </c>
    </row>
    <row r="17913" spans="8:8">
      <c r="H17913" s="680" t="s">
        <v>6153</v>
      </c>
    </row>
    <row r="17914" spans="8:8">
      <c r="H17914" s="680" t="s">
        <v>6153</v>
      </c>
    </row>
    <row r="17915" spans="8:8">
      <c r="H17915" s="680" t="s">
        <v>6153</v>
      </c>
    </row>
    <row r="17916" spans="8:8">
      <c r="H17916" s="680" t="s">
        <v>6153</v>
      </c>
    </row>
    <row r="17917" spans="8:8">
      <c r="H17917" s="680" t="s">
        <v>6153</v>
      </c>
    </row>
    <row r="17918" spans="8:8">
      <c r="H17918" s="680" t="s">
        <v>6153</v>
      </c>
    </row>
    <row r="17919" spans="8:8">
      <c r="H17919" s="680" t="s">
        <v>6153</v>
      </c>
    </row>
    <row r="17920" spans="8:8">
      <c r="H17920" s="680" t="s">
        <v>6153</v>
      </c>
    </row>
    <row r="17921" spans="8:8">
      <c r="H17921" s="680" t="s">
        <v>6153</v>
      </c>
    </row>
    <row r="17922" spans="8:8">
      <c r="H17922" s="680" t="s">
        <v>6153</v>
      </c>
    </row>
    <row r="17923" spans="8:8">
      <c r="H17923" s="680" t="s">
        <v>6153</v>
      </c>
    </row>
    <row r="17924" spans="8:8">
      <c r="H17924" s="680" t="s">
        <v>6153</v>
      </c>
    </row>
    <row r="17925" spans="8:8">
      <c r="H17925" s="680" t="s">
        <v>6153</v>
      </c>
    </row>
    <row r="17926" spans="8:8">
      <c r="H17926" s="680" t="s">
        <v>6153</v>
      </c>
    </row>
    <row r="17927" spans="8:8">
      <c r="H17927" s="680" t="s">
        <v>6153</v>
      </c>
    </row>
    <row r="17928" spans="8:8">
      <c r="H17928" s="680" t="s">
        <v>6153</v>
      </c>
    </row>
    <row r="17929" spans="8:8">
      <c r="H17929" s="680" t="s">
        <v>6153</v>
      </c>
    </row>
    <row r="17930" spans="8:8">
      <c r="H17930" s="680" t="s">
        <v>6153</v>
      </c>
    </row>
    <row r="17931" spans="8:8">
      <c r="H17931" s="680" t="s">
        <v>6153</v>
      </c>
    </row>
    <row r="17932" spans="8:8">
      <c r="H17932" s="680" t="s">
        <v>6153</v>
      </c>
    </row>
    <row r="17933" spans="8:8">
      <c r="H17933" s="680" t="s">
        <v>6153</v>
      </c>
    </row>
    <row r="17934" spans="8:8">
      <c r="H17934" s="680" t="s">
        <v>6153</v>
      </c>
    </row>
    <row r="17935" spans="8:8">
      <c r="H17935" s="680" t="s">
        <v>6153</v>
      </c>
    </row>
    <row r="17936" spans="8:8">
      <c r="H17936" s="680" t="s">
        <v>6153</v>
      </c>
    </row>
    <row r="17937" spans="8:8">
      <c r="H17937" s="680" t="s">
        <v>6153</v>
      </c>
    </row>
    <row r="17938" spans="8:8">
      <c r="H17938" s="680" t="s">
        <v>6153</v>
      </c>
    </row>
    <row r="17939" spans="8:8">
      <c r="H17939" s="680" t="s">
        <v>6153</v>
      </c>
    </row>
    <row r="17940" spans="8:8">
      <c r="H17940" s="680" t="s">
        <v>6153</v>
      </c>
    </row>
    <row r="17941" spans="8:8">
      <c r="H17941" s="680" t="s">
        <v>6153</v>
      </c>
    </row>
    <row r="17942" spans="8:8">
      <c r="H17942" s="680" t="s">
        <v>6153</v>
      </c>
    </row>
    <row r="17943" spans="8:8">
      <c r="H17943" s="680" t="s">
        <v>6153</v>
      </c>
    </row>
    <row r="17944" spans="8:8">
      <c r="H17944" s="680" t="s">
        <v>6153</v>
      </c>
    </row>
    <row r="17945" spans="8:8">
      <c r="H17945" s="680" t="s">
        <v>6153</v>
      </c>
    </row>
    <row r="17946" spans="8:8">
      <c r="H17946" s="680" t="s">
        <v>6153</v>
      </c>
    </row>
    <row r="17947" spans="8:8">
      <c r="H17947" s="680" t="s">
        <v>6153</v>
      </c>
    </row>
    <row r="17948" spans="8:8">
      <c r="H17948" s="680" t="s">
        <v>6153</v>
      </c>
    </row>
    <row r="17949" spans="8:8">
      <c r="H17949" s="680" t="s">
        <v>6153</v>
      </c>
    </row>
    <row r="17950" spans="8:8">
      <c r="H17950" s="680" t="s">
        <v>6153</v>
      </c>
    </row>
    <row r="17951" spans="8:8">
      <c r="H17951" s="680" t="s">
        <v>6153</v>
      </c>
    </row>
    <row r="17952" spans="8:8">
      <c r="H17952" s="680" t="s">
        <v>6153</v>
      </c>
    </row>
    <row r="17953" spans="8:8">
      <c r="H17953" s="680" t="s">
        <v>6153</v>
      </c>
    </row>
    <row r="17954" spans="8:8">
      <c r="H17954" s="680" t="s">
        <v>6153</v>
      </c>
    </row>
    <row r="17955" spans="8:8">
      <c r="H17955" s="680" t="s">
        <v>6153</v>
      </c>
    </row>
    <row r="17956" spans="8:8">
      <c r="H17956" s="680" t="s">
        <v>6153</v>
      </c>
    </row>
    <row r="17957" spans="8:8">
      <c r="H17957" s="680" t="s">
        <v>6153</v>
      </c>
    </row>
    <row r="17958" spans="8:8">
      <c r="H17958" s="680" t="s">
        <v>6153</v>
      </c>
    </row>
    <row r="17959" spans="8:8">
      <c r="H17959" s="680" t="s">
        <v>6153</v>
      </c>
    </row>
    <row r="17960" spans="8:8">
      <c r="H17960" s="680" t="s">
        <v>6153</v>
      </c>
    </row>
    <row r="17961" spans="8:8">
      <c r="H17961" s="680" t="s">
        <v>6153</v>
      </c>
    </row>
    <row r="17962" spans="8:8">
      <c r="H17962" s="680" t="s">
        <v>6153</v>
      </c>
    </row>
    <row r="17963" spans="8:8">
      <c r="H17963" s="680" t="s">
        <v>6153</v>
      </c>
    </row>
    <row r="17964" spans="8:8">
      <c r="H17964" s="680" t="s">
        <v>6153</v>
      </c>
    </row>
    <row r="17965" spans="8:8">
      <c r="H17965" s="680" t="s">
        <v>6153</v>
      </c>
    </row>
    <row r="17966" spans="8:8">
      <c r="H17966" s="680" t="s">
        <v>6153</v>
      </c>
    </row>
    <row r="17967" spans="8:8">
      <c r="H17967" s="680" t="s">
        <v>6153</v>
      </c>
    </row>
    <row r="17968" spans="8:8">
      <c r="H17968" s="680" t="s">
        <v>6153</v>
      </c>
    </row>
    <row r="17969" spans="8:8">
      <c r="H17969" s="680" t="s">
        <v>6153</v>
      </c>
    </row>
    <row r="17970" spans="8:8">
      <c r="H17970" s="680" t="s">
        <v>6153</v>
      </c>
    </row>
    <row r="17971" spans="8:8">
      <c r="H17971" s="680" t="s">
        <v>6153</v>
      </c>
    </row>
    <row r="17972" spans="8:8">
      <c r="H17972" s="680" t="s">
        <v>6153</v>
      </c>
    </row>
    <row r="17973" spans="8:8">
      <c r="H17973" s="680" t="s">
        <v>6153</v>
      </c>
    </row>
    <row r="17974" spans="8:8">
      <c r="H17974" s="680" t="s">
        <v>6153</v>
      </c>
    </row>
    <row r="17975" spans="8:8">
      <c r="H17975" s="680" t="s">
        <v>6153</v>
      </c>
    </row>
    <row r="17976" spans="8:8">
      <c r="H17976" s="680" t="s">
        <v>6153</v>
      </c>
    </row>
    <row r="17977" spans="8:8">
      <c r="H17977" s="680" t="s">
        <v>6153</v>
      </c>
    </row>
    <row r="17978" spans="8:8">
      <c r="H17978" s="680" t="s">
        <v>6153</v>
      </c>
    </row>
    <row r="17979" spans="8:8">
      <c r="H17979" s="680" t="s">
        <v>6153</v>
      </c>
    </row>
    <row r="17980" spans="8:8">
      <c r="H17980" s="680" t="s">
        <v>6153</v>
      </c>
    </row>
    <row r="17981" spans="8:8">
      <c r="H17981" s="680" t="s">
        <v>6153</v>
      </c>
    </row>
    <row r="17982" spans="8:8">
      <c r="H17982" s="680" t="s">
        <v>6153</v>
      </c>
    </row>
    <row r="17983" spans="8:8">
      <c r="H17983" s="680" t="s">
        <v>6153</v>
      </c>
    </row>
    <row r="17984" spans="8:8">
      <c r="H17984" s="680" t="s">
        <v>6153</v>
      </c>
    </row>
    <row r="17985" spans="8:8">
      <c r="H17985" s="680" t="s">
        <v>6153</v>
      </c>
    </row>
    <row r="17986" spans="8:8">
      <c r="H17986" s="680" t="s">
        <v>6153</v>
      </c>
    </row>
    <row r="17987" spans="8:8">
      <c r="H17987" s="680" t="s">
        <v>6153</v>
      </c>
    </row>
    <row r="17988" spans="8:8">
      <c r="H17988" s="680" t="s">
        <v>6153</v>
      </c>
    </row>
    <row r="17989" spans="8:8">
      <c r="H17989" s="680" t="s">
        <v>6153</v>
      </c>
    </row>
    <row r="17990" spans="8:8">
      <c r="H17990" s="680" t="s">
        <v>6153</v>
      </c>
    </row>
    <row r="17991" spans="8:8">
      <c r="H17991" s="680" t="s">
        <v>6153</v>
      </c>
    </row>
    <row r="17992" spans="8:8">
      <c r="H17992" s="680" t="s">
        <v>6153</v>
      </c>
    </row>
    <row r="17993" spans="8:8">
      <c r="H17993" s="680" t="s">
        <v>6153</v>
      </c>
    </row>
    <row r="17994" spans="8:8">
      <c r="H17994" s="680" t="s">
        <v>6153</v>
      </c>
    </row>
    <row r="17995" spans="8:8">
      <c r="H17995" s="680" t="s">
        <v>6153</v>
      </c>
    </row>
    <row r="17996" spans="8:8">
      <c r="H17996" s="680" t="s">
        <v>6153</v>
      </c>
    </row>
    <row r="17997" spans="8:8">
      <c r="H17997" s="680" t="s">
        <v>6153</v>
      </c>
    </row>
    <row r="17998" spans="8:8">
      <c r="H17998" s="680" t="s">
        <v>6153</v>
      </c>
    </row>
    <row r="17999" spans="8:8">
      <c r="H17999" s="680" t="s">
        <v>6153</v>
      </c>
    </row>
    <row r="18000" spans="8:8">
      <c r="H18000" s="680" t="s">
        <v>6153</v>
      </c>
    </row>
    <row r="18001" spans="8:8">
      <c r="H18001" s="680" t="s">
        <v>6153</v>
      </c>
    </row>
    <row r="18002" spans="8:8">
      <c r="H18002" s="680" t="s">
        <v>6153</v>
      </c>
    </row>
    <row r="18003" spans="8:8">
      <c r="H18003" s="680" t="s">
        <v>6153</v>
      </c>
    </row>
    <row r="18004" spans="8:8">
      <c r="H18004" s="680" t="s">
        <v>6153</v>
      </c>
    </row>
    <row r="18005" spans="8:8">
      <c r="H18005" s="680" t="s">
        <v>6153</v>
      </c>
    </row>
    <row r="18006" spans="8:8">
      <c r="H18006" s="680" t="s">
        <v>6153</v>
      </c>
    </row>
    <row r="18007" spans="8:8">
      <c r="H18007" s="680" t="s">
        <v>6153</v>
      </c>
    </row>
    <row r="18008" spans="8:8">
      <c r="H18008" s="680" t="s">
        <v>6153</v>
      </c>
    </row>
    <row r="18009" spans="8:8">
      <c r="H18009" s="680" t="s">
        <v>6153</v>
      </c>
    </row>
    <row r="18010" spans="8:8">
      <c r="H18010" s="680" t="s">
        <v>6153</v>
      </c>
    </row>
    <row r="18011" spans="8:8">
      <c r="H18011" s="680" t="s">
        <v>6153</v>
      </c>
    </row>
    <row r="18012" spans="8:8">
      <c r="H18012" s="680" t="s">
        <v>6153</v>
      </c>
    </row>
    <row r="18013" spans="8:8">
      <c r="H18013" s="680" t="s">
        <v>6153</v>
      </c>
    </row>
    <row r="18014" spans="8:8">
      <c r="H18014" s="680" t="s">
        <v>6153</v>
      </c>
    </row>
    <row r="18015" spans="8:8">
      <c r="H18015" s="680" t="s">
        <v>6153</v>
      </c>
    </row>
    <row r="18016" spans="8:8">
      <c r="H18016" s="680" t="s">
        <v>6153</v>
      </c>
    </row>
    <row r="18017" spans="8:8">
      <c r="H18017" s="680" t="s">
        <v>6153</v>
      </c>
    </row>
    <row r="18018" spans="8:8">
      <c r="H18018" s="680" t="s">
        <v>6153</v>
      </c>
    </row>
    <row r="18019" spans="8:8">
      <c r="H18019" s="680" t="s">
        <v>6153</v>
      </c>
    </row>
    <row r="18020" spans="8:8">
      <c r="H18020" s="680" t="s">
        <v>6153</v>
      </c>
    </row>
    <row r="18021" spans="8:8">
      <c r="H18021" s="680" t="s">
        <v>6153</v>
      </c>
    </row>
    <row r="18022" spans="8:8">
      <c r="H18022" s="680" t="s">
        <v>6153</v>
      </c>
    </row>
    <row r="18023" spans="8:8">
      <c r="H18023" s="680" t="s">
        <v>6153</v>
      </c>
    </row>
    <row r="18024" spans="8:8">
      <c r="H18024" s="680" t="s">
        <v>6153</v>
      </c>
    </row>
    <row r="18025" spans="8:8">
      <c r="H18025" s="680" t="s">
        <v>6153</v>
      </c>
    </row>
    <row r="18026" spans="8:8">
      <c r="H18026" s="680" t="s">
        <v>6153</v>
      </c>
    </row>
    <row r="18027" spans="8:8">
      <c r="H18027" s="680" t="s">
        <v>6153</v>
      </c>
    </row>
    <row r="18028" spans="8:8">
      <c r="H18028" s="680" t="s">
        <v>6153</v>
      </c>
    </row>
    <row r="18029" spans="8:8">
      <c r="H18029" s="680" t="s">
        <v>6153</v>
      </c>
    </row>
    <row r="18030" spans="8:8">
      <c r="H18030" s="680" t="s">
        <v>6153</v>
      </c>
    </row>
    <row r="18031" spans="8:8">
      <c r="H18031" s="680" t="s">
        <v>6153</v>
      </c>
    </row>
    <row r="18032" spans="8:8">
      <c r="H18032" s="680" t="s">
        <v>6153</v>
      </c>
    </row>
    <row r="18033" spans="8:8">
      <c r="H18033" s="680" t="s">
        <v>6153</v>
      </c>
    </row>
    <row r="18034" spans="8:8">
      <c r="H18034" s="680" t="s">
        <v>6153</v>
      </c>
    </row>
    <row r="18035" spans="8:8">
      <c r="H18035" s="680" t="s">
        <v>6153</v>
      </c>
    </row>
    <row r="18036" spans="8:8">
      <c r="H18036" s="680" t="s">
        <v>6153</v>
      </c>
    </row>
    <row r="18037" spans="8:8">
      <c r="H18037" s="680" t="s">
        <v>6153</v>
      </c>
    </row>
    <row r="18038" spans="8:8">
      <c r="H18038" s="680" t="s">
        <v>6153</v>
      </c>
    </row>
    <row r="18039" spans="8:8">
      <c r="H18039" s="680" t="s">
        <v>6153</v>
      </c>
    </row>
    <row r="18040" spans="8:8">
      <c r="H18040" s="680" t="s">
        <v>6153</v>
      </c>
    </row>
    <row r="18041" spans="8:8">
      <c r="H18041" s="680" t="s">
        <v>6153</v>
      </c>
    </row>
    <row r="18042" spans="8:8">
      <c r="H18042" s="680" t="s">
        <v>6153</v>
      </c>
    </row>
    <row r="18043" spans="8:8">
      <c r="H18043" s="680" t="s">
        <v>6153</v>
      </c>
    </row>
    <row r="18044" spans="8:8">
      <c r="H18044" s="680" t="s">
        <v>6153</v>
      </c>
    </row>
    <row r="18045" spans="8:8">
      <c r="H18045" s="680" t="s">
        <v>6153</v>
      </c>
    </row>
    <row r="18046" spans="8:8">
      <c r="H18046" s="680" t="s">
        <v>6153</v>
      </c>
    </row>
    <row r="18047" spans="8:8">
      <c r="H18047" s="680" t="s">
        <v>6153</v>
      </c>
    </row>
    <row r="18048" spans="8:8">
      <c r="H18048" s="680" t="s">
        <v>6153</v>
      </c>
    </row>
    <row r="18049" spans="8:8">
      <c r="H18049" s="680" t="s">
        <v>6153</v>
      </c>
    </row>
    <row r="18050" spans="8:8">
      <c r="H18050" s="680" t="s">
        <v>6153</v>
      </c>
    </row>
    <row r="18051" spans="8:8">
      <c r="H18051" s="680" t="s">
        <v>6153</v>
      </c>
    </row>
    <row r="18052" spans="8:8">
      <c r="H18052" s="680" t="s">
        <v>6153</v>
      </c>
    </row>
    <row r="18053" spans="8:8">
      <c r="H18053" s="680" t="s">
        <v>6153</v>
      </c>
    </row>
    <row r="18054" spans="8:8">
      <c r="H18054" s="680" t="s">
        <v>6153</v>
      </c>
    </row>
    <row r="18055" spans="8:8">
      <c r="H18055" s="680" t="s">
        <v>6153</v>
      </c>
    </row>
    <row r="18056" spans="8:8">
      <c r="H18056" s="680" t="s">
        <v>6153</v>
      </c>
    </row>
    <row r="18057" spans="8:8">
      <c r="H18057" s="680" t="s">
        <v>6153</v>
      </c>
    </row>
    <row r="18058" spans="8:8">
      <c r="H18058" s="680" t="s">
        <v>6153</v>
      </c>
    </row>
    <row r="18059" spans="8:8">
      <c r="H18059" s="680" t="s">
        <v>6153</v>
      </c>
    </row>
    <row r="18060" spans="8:8">
      <c r="H18060" s="680" t="s">
        <v>6153</v>
      </c>
    </row>
    <row r="18061" spans="8:8">
      <c r="H18061" s="680" t="s">
        <v>6153</v>
      </c>
    </row>
    <row r="18062" spans="8:8">
      <c r="H18062" s="680" t="s">
        <v>6153</v>
      </c>
    </row>
    <row r="18063" spans="8:8">
      <c r="H18063" s="680" t="s">
        <v>6153</v>
      </c>
    </row>
    <row r="18064" spans="8:8">
      <c r="H18064" s="680" t="s">
        <v>6153</v>
      </c>
    </row>
    <row r="18065" spans="8:8">
      <c r="H18065" s="680" t="s">
        <v>6153</v>
      </c>
    </row>
    <row r="18066" spans="8:8">
      <c r="H18066" s="680" t="s">
        <v>6153</v>
      </c>
    </row>
    <row r="18067" spans="8:8">
      <c r="H18067" s="680" t="s">
        <v>6153</v>
      </c>
    </row>
    <row r="18068" spans="8:8">
      <c r="H18068" s="680" t="s">
        <v>6153</v>
      </c>
    </row>
    <row r="18069" spans="8:8">
      <c r="H18069" s="680" t="s">
        <v>6153</v>
      </c>
    </row>
    <row r="18070" spans="8:8">
      <c r="H18070" s="680" t="s">
        <v>6153</v>
      </c>
    </row>
    <row r="18071" spans="8:8">
      <c r="H18071" s="680" t="s">
        <v>6153</v>
      </c>
    </row>
    <row r="18072" spans="8:8">
      <c r="H18072" s="680" t="s">
        <v>6153</v>
      </c>
    </row>
    <row r="18073" spans="8:8">
      <c r="H18073" s="680" t="s">
        <v>6153</v>
      </c>
    </row>
    <row r="18074" spans="8:8">
      <c r="H18074" s="680" t="s">
        <v>6153</v>
      </c>
    </row>
    <row r="18075" spans="8:8">
      <c r="H18075" s="680" t="s">
        <v>6153</v>
      </c>
    </row>
    <row r="18076" spans="8:8">
      <c r="H18076" s="680" t="s">
        <v>6153</v>
      </c>
    </row>
    <row r="18077" spans="8:8">
      <c r="H18077" s="680" t="s">
        <v>6153</v>
      </c>
    </row>
    <row r="18078" spans="8:8">
      <c r="H18078" s="680" t="s">
        <v>6153</v>
      </c>
    </row>
    <row r="18079" spans="8:8">
      <c r="H18079" s="680" t="s">
        <v>6153</v>
      </c>
    </row>
    <row r="18080" spans="8:8">
      <c r="H18080" s="680" t="s">
        <v>6153</v>
      </c>
    </row>
    <row r="18081" spans="8:8">
      <c r="H18081" s="680" t="s">
        <v>6153</v>
      </c>
    </row>
    <row r="18082" spans="8:8">
      <c r="H18082" s="680" t="s">
        <v>6153</v>
      </c>
    </row>
    <row r="18083" spans="8:8">
      <c r="H18083" s="680" t="s">
        <v>6153</v>
      </c>
    </row>
    <row r="18084" spans="8:8">
      <c r="H18084" s="680" t="s">
        <v>6153</v>
      </c>
    </row>
    <row r="18085" spans="8:8">
      <c r="H18085" s="680" t="s">
        <v>6153</v>
      </c>
    </row>
    <row r="18086" spans="8:8">
      <c r="H18086" s="680" t="s">
        <v>6153</v>
      </c>
    </row>
    <row r="18087" spans="8:8">
      <c r="H18087" s="680" t="s">
        <v>6153</v>
      </c>
    </row>
    <row r="18088" spans="8:8">
      <c r="H18088" s="680" t="s">
        <v>6153</v>
      </c>
    </row>
    <row r="18089" spans="8:8">
      <c r="H18089" s="680" t="s">
        <v>6153</v>
      </c>
    </row>
    <row r="18090" spans="8:8">
      <c r="H18090" s="680" t="s">
        <v>6153</v>
      </c>
    </row>
    <row r="18091" spans="8:8">
      <c r="H18091" s="680" t="s">
        <v>6153</v>
      </c>
    </row>
    <row r="18092" spans="8:8">
      <c r="H18092" s="680" t="s">
        <v>6153</v>
      </c>
    </row>
    <row r="18093" spans="8:8">
      <c r="H18093" s="680" t="s">
        <v>6153</v>
      </c>
    </row>
    <row r="18094" spans="8:8">
      <c r="H18094" s="680" t="s">
        <v>6153</v>
      </c>
    </row>
    <row r="18095" spans="8:8">
      <c r="H18095" s="680" t="s">
        <v>6153</v>
      </c>
    </row>
    <row r="18096" spans="8:8">
      <c r="H18096" s="680" t="s">
        <v>6153</v>
      </c>
    </row>
    <row r="18097" spans="8:8">
      <c r="H18097" s="680" t="s">
        <v>6153</v>
      </c>
    </row>
    <row r="18098" spans="8:8">
      <c r="H18098" s="680" t="s">
        <v>6153</v>
      </c>
    </row>
    <row r="18099" spans="8:8">
      <c r="H18099" s="680" t="s">
        <v>6153</v>
      </c>
    </row>
    <row r="18100" spans="8:8">
      <c r="H18100" s="680" t="s">
        <v>6153</v>
      </c>
    </row>
    <row r="18101" spans="8:8">
      <c r="H18101" s="680" t="s">
        <v>6153</v>
      </c>
    </row>
    <row r="18102" spans="8:8">
      <c r="H18102" s="680" t="s">
        <v>6153</v>
      </c>
    </row>
    <row r="18103" spans="8:8">
      <c r="H18103" s="680" t="s">
        <v>6153</v>
      </c>
    </row>
    <row r="18104" spans="8:8">
      <c r="H18104" s="680" t="s">
        <v>6153</v>
      </c>
    </row>
    <row r="18105" spans="8:8">
      <c r="H18105" s="680" t="s">
        <v>6153</v>
      </c>
    </row>
    <row r="18106" spans="8:8">
      <c r="H18106" s="680" t="s">
        <v>6153</v>
      </c>
    </row>
    <row r="18107" spans="8:8">
      <c r="H18107" s="680" t="s">
        <v>6153</v>
      </c>
    </row>
    <row r="18108" spans="8:8">
      <c r="H18108" s="680" t="s">
        <v>6153</v>
      </c>
    </row>
    <row r="18109" spans="8:8">
      <c r="H18109" s="680" t="s">
        <v>6153</v>
      </c>
    </row>
    <row r="18110" spans="8:8">
      <c r="H18110" s="680" t="s">
        <v>6153</v>
      </c>
    </row>
    <row r="18111" spans="8:8">
      <c r="H18111" s="680" t="s">
        <v>6153</v>
      </c>
    </row>
    <row r="18112" spans="8:8">
      <c r="H18112" s="680" t="s">
        <v>6153</v>
      </c>
    </row>
    <row r="18113" spans="8:8">
      <c r="H18113" s="680" t="s">
        <v>6153</v>
      </c>
    </row>
    <row r="18114" spans="8:8">
      <c r="H18114" s="680" t="s">
        <v>6153</v>
      </c>
    </row>
    <row r="18115" spans="8:8">
      <c r="H18115" s="680" t="s">
        <v>6153</v>
      </c>
    </row>
    <row r="18116" spans="8:8">
      <c r="H18116" s="680" t="s">
        <v>6153</v>
      </c>
    </row>
    <row r="18117" spans="8:8">
      <c r="H18117" s="680" t="s">
        <v>6153</v>
      </c>
    </row>
    <row r="18118" spans="8:8">
      <c r="H18118" s="680" t="s">
        <v>6153</v>
      </c>
    </row>
    <row r="18119" spans="8:8">
      <c r="H18119" s="680" t="s">
        <v>6153</v>
      </c>
    </row>
    <row r="18120" spans="8:8">
      <c r="H18120" s="680" t="s">
        <v>6153</v>
      </c>
    </row>
    <row r="18121" spans="8:8">
      <c r="H18121" s="680" t="s">
        <v>6153</v>
      </c>
    </row>
    <row r="18122" spans="8:8">
      <c r="H18122" s="680" t="s">
        <v>6153</v>
      </c>
    </row>
    <row r="18123" spans="8:8">
      <c r="H18123" s="680" t="s">
        <v>6153</v>
      </c>
    </row>
    <row r="18124" spans="8:8">
      <c r="H18124" s="680" t="s">
        <v>6153</v>
      </c>
    </row>
    <row r="18125" spans="8:8">
      <c r="H18125" s="680" t="s">
        <v>6153</v>
      </c>
    </row>
    <row r="18126" spans="8:8">
      <c r="H18126" s="680" t="s">
        <v>6153</v>
      </c>
    </row>
    <row r="18127" spans="8:8">
      <c r="H18127" s="680" t="s">
        <v>6153</v>
      </c>
    </row>
    <row r="18128" spans="8:8">
      <c r="H18128" s="680" t="s">
        <v>6153</v>
      </c>
    </row>
    <row r="18129" spans="8:8">
      <c r="H18129" s="680" t="s">
        <v>6153</v>
      </c>
    </row>
    <row r="18130" spans="8:8">
      <c r="H18130" s="680" t="s">
        <v>6153</v>
      </c>
    </row>
    <row r="18131" spans="8:8">
      <c r="H18131" s="680" t="s">
        <v>6153</v>
      </c>
    </row>
    <row r="18132" spans="8:8">
      <c r="H18132" s="680" t="s">
        <v>6153</v>
      </c>
    </row>
    <row r="18133" spans="8:8">
      <c r="H18133" s="680" t="s">
        <v>6153</v>
      </c>
    </row>
    <row r="18134" spans="8:8">
      <c r="H18134" s="680" t="s">
        <v>6153</v>
      </c>
    </row>
    <row r="18135" spans="8:8">
      <c r="H18135" s="680" t="s">
        <v>6153</v>
      </c>
    </row>
    <row r="18136" spans="8:8">
      <c r="H18136" s="680" t="s">
        <v>6153</v>
      </c>
    </row>
    <row r="18137" spans="8:8">
      <c r="H18137" s="680" t="s">
        <v>6153</v>
      </c>
    </row>
    <row r="18138" spans="8:8">
      <c r="H18138" s="680" t="s">
        <v>6153</v>
      </c>
    </row>
    <row r="18139" spans="8:8">
      <c r="H18139" s="680" t="s">
        <v>6153</v>
      </c>
    </row>
    <row r="18140" spans="8:8">
      <c r="H18140" s="680" t="s">
        <v>6153</v>
      </c>
    </row>
    <row r="18141" spans="8:8">
      <c r="H18141" s="680" t="s">
        <v>6153</v>
      </c>
    </row>
    <row r="18142" spans="8:8">
      <c r="H18142" s="680" t="s">
        <v>6153</v>
      </c>
    </row>
    <row r="18143" spans="8:8">
      <c r="H18143" s="680" t="s">
        <v>6153</v>
      </c>
    </row>
    <row r="18144" spans="8:8">
      <c r="H18144" s="680" t="s">
        <v>6153</v>
      </c>
    </row>
    <row r="18145" spans="8:8">
      <c r="H18145" s="680" t="s">
        <v>6153</v>
      </c>
    </row>
    <row r="18146" spans="8:8">
      <c r="H18146" s="680" t="s">
        <v>6153</v>
      </c>
    </row>
    <row r="18147" spans="8:8">
      <c r="H18147" s="680" t="s">
        <v>6153</v>
      </c>
    </row>
    <row r="18148" spans="8:8">
      <c r="H18148" s="680" t="s">
        <v>6153</v>
      </c>
    </row>
    <row r="18149" spans="8:8">
      <c r="H18149" s="680" t="s">
        <v>6153</v>
      </c>
    </row>
    <row r="18150" spans="8:8">
      <c r="H18150" s="680" t="s">
        <v>6153</v>
      </c>
    </row>
    <row r="18151" spans="8:8">
      <c r="H18151" s="680" t="s">
        <v>6153</v>
      </c>
    </row>
    <row r="18152" spans="8:8">
      <c r="H18152" s="680" t="s">
        <v>6153</v>
      </c>
    </row>
    <row r="18153" spans="8:8">
      <c r="H18153" s="680" t="s">
        <v>6153</v>
      </c>
    </row>
    <row r="18154" spans="8:8">
      <c r="H18154" s="680" t="s">
        <v>6153</v>
      </c>
    </row>
    <row r="18155" spans="8:8">
      <c r="H18155" s="680" t="s">
        <v>6153</v>
      </c>
    </row>
    <row r="18156" spans="8:8">
      <c r="H18156" s="680" t="s">
        <v>6153</v>
      </c>
    </row>
    <row r="18157" spans="8:8">
      <c r="H18157" s="680" t="s">
        <v>6153</v>
      </c>
    </row>
    <row r="18158" spans="8:8">
      <c r="H18158" s="680" t="s">
        <v>6153</v>
      </c>
    </row>
    <row r="18159" spans="8:8">
      <c r="H18159" s="680" t="s">
        <v>6153</v>
      </c>
    </row>
    <row r="18160" spans="8:8">
      <c r="H18160" s="680" t="s">
        <v>6153</v>
      </c>
    </row>
    <row r="18161" spans="8:8">
      <c r="H18161" s="680" t="s">
        <v>6153</v>
      </c>
    </row>
    <row r="18162" spans="8:8">
      <c r="H18162" s="680" t="s">
        <v>6153</v>
      </c>
    </row>
    <row r="18163" spans="8:8">
      <c r="H18163" s="680" t="s">
        <v>6153</v>
      </c>
    </row>
    <row r="18164" spans="8:8">
      <c r="H18164" s="680" t="s">
        <v>6153</v>
      </c>
    </row>
    <row r="18165" spans="8:8">
      <c r="H18165" s="680" t="s">
        <v>6153</v>
      </c>
    </row>
    <row r="18166" spans="8:8">
      <c r="H18166" s="680" t="s">
        <v>6153</v>
      </c>
    </row>
    <row r="18167" spans="8:8">
      <c r="H18167" s="680" t="s">
        <v>6153</v>
      </c>
    </row>
    <row r="18168" spans="8:8">
      <c r="H18168" s="680" t="s">
        <v>6153</v>
      </c>
    </row>
    <row r="18169" spans="8:8">
      <c r="H18169" s="680" t="s">
        <v>6153</v>
      </c>
    </row>
    <row r="18170" spans="8:8">
      <c r="H18170" s="680" t="s">
        <v>6153</v>
      </c>
    </row>
    <row r="18171" spans="8:8">
      <c r="H18171" s="680" t="s">
        <v>6153</v>
      </c>
    </row>
    <row r="18172" spans="8:8">
      <c r="H18172" s="680" t="s">
        <v>6153</v>
      </c>
    </row>
    <row r="18173" spans="8:8">
      <c r="H18173" s="680" t="s">
        <v>6153</v>
      </c>
    </row>
    <row r="18174" spans="8:8">
      <c r="H18174" s="680" t="s">
        <v>6153</v>
      </c>
    </row>
    <row r="18175" spans="8:8">
      <c r="H18175" s="680" t="s">
        <v>6153</v>
      </c>
    </row>
    <row r="18176" spans="8:8">
      <c r="H18176" s="680" t="s">
        <v>6153</v>
      </c>
    </row>
    <row r="18177" spans="8:8">
      <c r="H18177" s="680" t="s">
        <v>6153</v>
      </c>
    </row>
    <row r="18178" spans="8:8">
      <c r="H18178" s="680" t="s">
        <v>6153</v>
      </c>
    </row>
    <row r="18179" spans="8:8">
      <c r="H18179" s="680" t="s">
        <v>6153</v>
      </c>
    </row>
    <row r="18180" spans="8:8">
      <c r="H18180" s="680" t="s">
        <v>6153</v>
      </c>
    </row>
    <row r="18181" spans="8:8">
      <c r="H18181" s="680" t="s">
        <v>6153</v>
      </c>
    </row>
    <row r="18182" spans="8:8">
      <c r="H18182" s="680" t="s">
        <v>6153</v>
      </c>
    </row>
    <row r="18183" spans="8:8">
      <c r="H18183" s="680" t="s">
        <v>6153</v>
      </c>
    </row>
    <row r="18184" spans="8:8">
      <c r="H18184" s="680" t="s">
        <v>6153</v>
      </c>
    </row>
    <row r="18185" spans="8:8">
      <c r="H18185" s="680" t="s">
        <v>6153</v>
      </c>
    </row>
    <row r="18186" spans="8:8">
      <c r="H18186" s="680" t="s">
        <v>6153</v>
      </c>
    </row>
    <row r="18187" spans="8:8">
      <c r="H18187" s="680" t="s">
        <v>6153</v>
      </c>
    </row>
    <row r="18188" spans="8:8">
      <c r="H18188" s="680" t="s">
        <v>6153</v>
      </c>
    </row>
    <row r="18189" spans="8:8">
      <c r="H18189" s="680" t="s">
        <v>6153</v>
      </c>
    </row>
    <row r="18190" spans="8:8">
      <c r="H18190" s="680" t="s">
        <v>6153</v>
      </c>
    </row>
    <row r="18191" spans="8:8">
      <c r="H18191" s="680" t="s">
        <v>6153</v>
      </c>
    </row>
    <row r="18192" spans="8:8">
      <c r="H18192" s="680" t="s">
        <v>6153</v>
      </c>
    </row>
    <row r="18193" spans="8:8">
      <c r="H18193" s="680" t="s">
        <v>6153</v>
      </c>
    </row>
    <row r="18194" spans="8:8">
      <c r="H18194" s="680" t="s">
        <v>6153</v>
      </c>
    </row>
    <row r="18195" spans="8:8">
      <c r="H18195" s="680" t="s">
        <v>6153</v>
      </c>
    </row>
    <row r="18196" spans="8:8">
      <c r="H18196" s="680" t="s">
        <v>6153</v>
      </c>
    </row>
    <row r="18197" spans="8:8">
      <c r="H18197" s="680" t="s">
        <v>6153</v>
      </c>
    </row>
    <row r="18198" spans="8:8">
      <c r="H18198" s="680" t="s">
        <v>6153</v>
      </c>
    </row>
    <row r="18199" spans="8:8">
      <c r="H18199" s="680" t="s">
        <v>6153</v>
      </c>
    </row>
    <row r="18200" spans="8:8">
      <c r="H18200" s="680" t="s">
        <v>6153</v>
      </c>
    </row>
    <row r="18201" spans="8:8">
      <c r="H18201" s="680" t="s">
        <v>6153</v>
      </c>
    </row>
    <row r="18202" spans="8:8">
      <c r="H18202" s="680" t="s">
        <v>6153</v>
      </c>
    </row>
    <row r="18203" spans="8:8">
      <c r="H18203" s="680" t="s">
        <v>6153</v>
      </c>
    </row>
    <row r="18204" spans="8:8">
      <c r="H18204" s="680" t="s">
        <v>6153</v>
      </c>
    </row>
    <row r="18205" spans="8:8">
      <c r="H18205" s="680" t="s">
        <v>6153</v>
      </c>
    </row>
    <row r="18206" spans="8:8">
      <c r="H18206" s="680" t="s">
        <v>6153</v>
      </c>
    </row>
    <row r="18207" spans="8:8">
      <c r="H18207" s="680" t="s">
        <v>6153</v>
      </c>
    </row>
    <row r="18208" spans="8:8">
      <c r="H18208" s="680" t="s">
        <v>6153</v>
      </c>
    </row>
    <row r="18209" spans="8:8">
      <c r="H18209" s="680" t="s">
        <v>6153</v>
      </c>
    </row>
    <row r="18210" spans="8:8">
      <c r="H18210" s="680" t="s">
        <v>6153</v>
      </c>
    </row>
    <row r="18211" spans="8:8">
      <c r="H18211" s="680" t="s">
        <v>6153</v>
      </c>
    </row>
    <row r="18212" spans="8:8">
      <c r="H18212" s="680" t="s">
        <v>6153</v>
      </c>
    </row>
    <row r="18213" spans="8:8">
      <c r="H18213" s="680" t="s">
        <v>6153</v>
      </c>
    </row>
    <row r="18214" spans="8:8">
      <c r="H18214" s="680" t="s">
        <v>6153</v>
      </c>
    </row>
    <row r="18215" spans="8:8">
      <c r="H18215" s="680" t="s">
        <v>6153</v>
      </c>
    </row>
    <row r="18216" spans="8:8">
      <c r="H18216" s="680" t="s">
        <v>6153</v>
      </c>
    </row>
    <row r="18217" spans="8:8">
      <c r="H18217" s="680" t="s">
        <v>6153</v>
      </c>
    </row>
    <row r="18218" spans="8:8">
      <c r="H18218" s="680" t="s">
        <v>6153</v>
      </c>
    </row>
    <row r="18219" spans="8:8">
      <c r="H18219" s="680" t="s">
        <v>6153</v>
      </c>
    </row>
    <row r="18220" spans="8:8">
      <c r="H18220" s="680" t="s">
        <v>6153</v>
      </c>
    </row>
    <row r="18221" spans="8:8">
      <c r="H18221" s="680" t="s">
        <v>6153</v>
      </c>
    </row>
    <row r="18222" spans="8:8">
      <c r="H18222" s="680" t="s">
        <v>6153</v>
      </c>
    </row>
    <row r="18223" spans="8:8">
      <c r="H18223" s="680" t="s">
        <v>6153</v>
      </c>
    </row>
    <row r="18224" spans="8:8">
      <c r="H18224" s="680" t="s">
        <v>6153</v>
      </c>
    </row>
    <row r="18225" spans="8:8">
      <c r="H18225" s="680" t="s">
        <v>6153</v>
      </c>
    </row>
    <row r="18226" spans="8:8">
      <c r="H18226" s="680" t="s">
        <v>6153</v>
      </c>
    </row>
    <row r="18227" spans="8:8">
      <c r="H18227" s="680" t="s">
        <v>6153</v>
      </c>
    </row>
    <row r="18228" spans="8:8">
      <c r="H18228" s="680" t="s">
        <v>6153</v>
      </c>
    </row>
    <row r="18229" spans="8:8">
      <c r="H18229" s="680" t="s">
        <v>6153</v>
      </c>
    </row>
    <row r="18230" spans="8:8">
      <c r="H18230" s="680" t="s">
        <v>6153</v>
      </c>
    </row>
    <row r="18231" spans="8:8">
      <c r="H18231" s="680" t="s">
        <v>6153</v>
      </c>
    </row>
    <row r="18232" spans="8:8">
      <c r="H18232" s="680" t="s">
        <v>6153</v>
      </c>
    </row>
    <row r="18233" spans="8:8">
      <c r="H18233" s="680" t="s">
        <v>6153</v>
      </c>
    </row>
    <row r="18234" spans="8:8">
      <c r="H18234" s="680" t="s">
        <v>6153</v>
      </c>
    </row>
    <row r="18235" spans="8:8">
      <c r="H18235" s="680" t="s">
        <v>6153</v>
      </c>
    </row>
    <row r="18236" spans="8:8">
      <c r="H18236" s="680" t="s">
        <v>6153</v>
      </c>
    </row>
    <row r="18237" spans="8:8">
      <c r="H18237" s="680" t="s">
        <v>6153</v>
      </c>
    </row>
    <row r="18238" spans="8:8">
      <c r="H18238" s="680" t="s">
        <v>6153</v>
      </c>
    </row>
    <row r="18239" spans="8:8">
      <c r="H18239" s="680" t="s">
        <v>6153</v>
      </c>
    </row>
    <row r="18240" spans="8:8">
      <c r="H18240" s="680" t="s">
        <v>6153</v>
      </c>
    </row>
    <row r="18241" spans="8:8">
      <c r="H18241" s="680" t="s">
        <v>6153</v>
      </c>
    </row>
    <row r="18242" spans="8:8">
      <c r="H18242" s="680" t="s">
        <v>6153</v>
      </c>
    </row>
    <row r="18243" spans="8:8">
      <c r="H18243" s="680" t="s">
        <v>6153</v>
      </c>
    </row>
    <row r="18244" spans="8:8">
      <c r="H18244" s="680" t="s">
        <v>6153</v>
      </c>
    </row>
    <row r="18245" spans="8:8">
      <c r="H18245" s="680" t="s">
        <v>6153</v>
      </c>
    </row>
    <row r="18246" spans="8:8">
      <c r="H18246" s="680" t="s">
        <v>6153</v>
      </c>
    </row>
    <row r="18247" spans="8:8">
      <c r="H18247" s="680" t="s">
        <v>6153</v>
      </c>
    </row>
    <row r="18248" spans="8:8">
      <c r="H18248" s="680" t="s">
        <v>6153</v>
      </c>
    </row>
    <row r="18249" spans="8:8">
      <c r="H18249" s="680" t="s">
        <v>6153</v>
      </c>
    </row>
    <row r="18250" spans="8:8">
      <c r="H18250" s="680" t="s">
        <v>6153</v>
      </c>
    </row>
    <row r="18251" spans="8:8">
      <c r="H18251" s="680" t="s">
        <v>6153</v>
      </c>
    </row>
    <row r="18252" spans="8:8">
      <c r="H18252" s="680" t="s">
        <v>6153</v>
      </c>
    </row>
    <row r="18253" spans="8:8">
      <c r="H18253" s="680" t="s">
        <v>6153</v>
      </c>
    </row>
    <row r="18254" spans="8:8">
      <c r="H18254" s="680" t="s">
        <v>6153</v>
      </c>
    </row>
    <row r="18255" spans="8:8">
      <c r="H18255" s="680" t="s">
        <v>6153</v>
      </c>
    </row>
    <row r="18256" spans="8:8">
      <c r="H18256" s="680" t="s">
        <v>6153</v>
      </c>
    </row>
    <row r="18257" spans="8:8">
      <c r="H18257" s="680" t="s">
        <v>6153</v>
      </c>
    </row>
    <row r="18258" spans="8:8">
      <c r="H18258" s="680" t="s">
        <v>6153</v>
      </c>
    </row>
    <row r="18259" spans="8:8">
      <c r="H18259" s="680" t="s">
        <v>6153</v>
      </c>
    </row>
    <row r="18260" spans="8:8">
      <c r="H18260" s="680" t="s">
        <v>6153</v>
      </c>
    </row>
    <row r="18261" spans="8:8">
      <c r="H18261" s="680" t="s">
        <v>6153</v>
      </c>
    </row>
    <row r="18262" spans="8:8">
      <c r="H18262" s="680" t="s">
        <v>6153</v>
      </c>
    </row>
    <row r="18263" spans="8:8">
      <c r="H18263" s="680" t="s">
        <v>6153</v>
      </c>
    </row>
    <row r="18264" spans="8:8">
      <c r="H18264" s="680" t="s">
        <v>6153</v>
      </c>
    </row>
    <row r="18265" spans="8:8">
      <c r="H18265" s="680" t="s">
        <v>6153</v>
      </c>
    </row>
    <row r="18266" spans="8:8">
      <c r="H18266" s="680" t="s">
        <v>6153</v>
      </c>
    </row>
    <row r="18267" spans="8:8">
      <c r="H18267" s="680" t="s">
        <v>6153</v>
      </c>
    </row>
    <row r="18268" spans="8:8">
      <c r="H18268" s="680" t="s">
        <v>6153</v>
      </c>
    </row>
    <row r="18269" spans="8:8">
      <c r="H18269" s="680" t="s">
        <v>6153</v>
      </c>
    </row>
    <row r="18270" spans="8:8">
      <c r="H18270" s="680" t="s">
        <v>6153</v>
      </c>
    </row>
    <row r="18271" spans="8:8">
      <c r="H18271" s="680" t="s">
        <v>6153</v>
      </c>
    </row>
    <row r="18272" spans="8:8">
      <c r="H18272" s="680" t="s">
        <v>6153</v>
      </c>
    </row>
    <row r="18273" spans="8:8">
      <c r="H18273" s="680" t="s">
        <v>6153</v>
      </c>
    </row>
    <row r="18274" spans="8:8">
      <c r="H18274" s="680" t="s">
        <v>6153</v>
      </c>
    </row>
    <row r="18275" spans="8:8">
      <c r="H18275" s="680" t="s">
        <v>6153</v>
      </c>
    </row>
    <row r="18276" spans="8:8">
      <c r="H18276" s="680" t="s">
        <v>6153</v>
      </c>
    </row>
    <row r="18277" spans="8:8">
      <c r="H18277" s="680" t="s">
        <v>6153</v>
      </c>
    </row>
    <row r="18278" spans="8:8">
      <c r="H18278" s="680" t="s">
        <v>6153</v>
      </c>
    </row>
    <row r="18279" spans="8:8">
      <c r="H18279" s="680" t="s">
        <v>6153</v>
      </c>
    </row>
    <row r="18280" spans="8:8">
      <c r="H18280" s="680" t="s">
        <v>6153</v>
      </c>
    </row>
    <row r="18281" spans="8:8">
      <c r="H18281" s="680" t="s">
        <v>6153</v>
      </c>
    </row>
    <row r="18282" spans="8:8">
      <c r="H18282" s="680" t="s">
        <v>6153</v>
      </c>
    </row>
    <row r="18283" spans="8:8">
      <c r="H18283" s="680" t="s">
        <v>6153</v>
      </c>
    </row>
    <row r="18284" spans="8:8">
      <c r="H18284" s="680" t="s">
        <v>6153</v>
      </c>
    </row>
    <row r="18285" spans="8:8">
      <c r="H18285" s="680" t="s">
        <v>6153</v>
      </c>
    </row>
    <row r="18286" spans="8:8">
      <c r="H18286" s="680" t="s">
        <v>6153</v>
      </c>
    </row>
    <row r="18287" spans="8:8">
      <c r="H18287" s="680" t="s">
        <v>6153</v>
      </c>
    </row>
    <row r="18288" spans="8:8">
      <c r="H18288" s="680" t="s">
        <v>6153</v>
      </c>
    </row>
    <row r="18289" spans="8:8">
      <c r="H18289" s="680" t="s">
        <v>6153</v>
      </c>
    </row>
    <row r="18290" spans="8:8">
      <c r="H18290" s="680" t="s">
        <v>6153</v>
      </c>
    </row>
    <row r="18291" spans="8:8">
      <c r="H18291" s="680" t="s">
        <v>6153</v>
      </c>
    </row>
    <row r="18292" spans="8:8">
      <c r="H18292" s="680" t="s">
        <v>6153</v>
      </c>
    </row>
    <row r="18293" spans="8:8">
      <c r="H18293" s="680" t="s">
        <v>6153</v>
      </c>
    </row>
    <row r="18294" spans="8:8">
      <c r="H18294" s="680" t="s">
        <v>6153</v>
      </c>
    </row>
    <row r="18295" spans="8:8">
      <c r="H18295" s="680" t="s">
        <v>6153</v>
      </c>
    </row>
    <row r="18296" spans="8:8">
      <c r="H18296" s="680" t="s">
        <v>6153</v>
      </c>
    </row>
    <row r="18297" spans="8:8">
      <c r="H18297" s="680" t="s">
        <v>6153</v>
      </c>
    </row>
    <row r="18298" spans="8:8">
      <c r="H18298" s="680" t="s">
        <v>6153</v>
      </c>
    </row>
    <row r="18299" spans="8:8">
      <c r="H18299" s="680" t="s">
        <v>6153</v>
      </c>
    </row>
    <row r="18300" spans="8:8">
      <c r="H18300" s="680" t="s">
        <v>6153</v>
      </c>
    </row>
    <row r="18301" spans="8:8">
      <c r="H18301" s="680" t="s">
        <v>6153</v>
      </c>
    </row>
    <row r="18302" spans="8:8">
      <c r="H18302" s="680" t="s">
        <v>6153</v>
      </c>
    </row>
    <row r="18303" spans="8:8">
      <c r="H18303" s="680" t="s">
        <v>6153</v>
      </c>
    </row>
    <row r="18304" spans="8:8">
      <c r="H18304" s="680" t="s">
        <v>6153</v>
      </c>
    </row>
    <row r="18305" spans="8:8">
      <c r="H18305" s="680" t="s">
        <v>6153</v>
      </c>
    </row>
    <row r="18306" spans="8:8">
      <c r="H18306" s="680" t="s">
        <v>6153</v>
      </c>
    </row>
    <row r="18307" spans="8:8">
      <c r="H18307" s="680" t="s">
        <v>6153</v>
      </c>
    </row>
    <row r="18308" spans="8:8">
      <c r="H18308" s="680" t="s">
        <v>6153</v>
      </c>
    </row>
    <row r="18309" spans="8:8">
      <c r="H18309" s="680" t="s">
        <v>6153</v>
      </c>
    </row>
    <row r="18310" spans="8:8">
      <c r="H18310" s="680" t="s">
        <v>6153</v>
      </c>
    </row>
    <row r="18311" spans="8:8">
      <c r="H18311" s="680" t="s">
        <v>6153</v>
      </c>
    </row>
    <row r="18312" spans="8:8">
      <c r="H18312" s="680" t="s">
        <v>6153</v>
      </c>
    </row>
    <row r="18313" spans="8:8">
      <c r="H18313" s="680" t="s">
        <v>6153</v>
      </c>
    </row>
    <row r="18314" spans="8:8">
      <c r="H18314" s="680" t="s">
        <v>6153</v>
      </c>
    </row>
    <row r="18315" spans="8:8">
      <c r="H18315" s="680" t="s">
        <v>6153</v>
      </c>
    </row>
    <row r="18316" spans="8:8">
      <c r="H18316" s="680" t="s">
        <v>6153</v>
      </c>
    </row>
    <row r="18317" spans="8:8">
      <c r="H18317" s="680" t="s">
        <v>6153</v>
      </c>
    </row>
    <row r="18318" spans="8:8">
      <c r="H18318" s="680" t="s">
        <v>6153</v>
      </c>
    </row>
    <row r="18319" spans="8:8">
      <c r="H18319" s="680" t="s">
        <v>6153</v>
      </c>
    </row>
    <row r="18320" spans="8:8">
      <c r="H18320" s="680" t="s">
        <v>6153</v>
      </c>
    </row>
    <row r="18321" spans="8:8">
      <c r="H18321" s="680" t="s">
        <v>6153</v>
      </c>
    </row>
    <row r="18322" spans="8:8">
      <c r="H18322" s="680" t="s">
        <v>6153</v>
      </c>
    </row>
    <row r="18323" spans="8:8">
      <c r="H18323" s="680" t="s">
        <v>6153</v>
      </c>
    </row>
    <row r="18324" spans="8:8">
      <c r="H18324" s="680" t="s">
        <v>6153</v>
      </c>
    </row>
    <row r="18325" spans="8:8">
      <c r="H18325" s="680" t="s">
        <v>6153</v>
      </c>
    </row>
    <row r="18326" spans="8:8">
      <c r="H18326" s="680" t="s">
        <v>6153</v>
      </c>
    </row>
    <row r="18327" spans="8:8">
      <c r="H18327" s="680" t="s">
        <v>6153</v>
      </c>
    </row>
    <row r="18328" spans="8:8">
      <c r="H18328" s="680" t="s">
        <v>6153</v>
      </c>
    </row>
    <row r="18329" spans="8:8">
      <c r="H18329" s="680" t="s">
        <v>6153</v>
      </c>
    </row>
    <row r="18330" spans="8:8">
      <c r="H18330" s="680" t="s">
        <v>6153</v>
      </c>
    </row>
    <row r="18331" spans="8:8">
      <c r="H18331" s="680" t="s">
        <v>6153</v>
      </c>
    </row>
    <row r="18332" spans="8:8">
      <c r="H18332" s="680" t="s">
        <v>6153</v>
      </c>
    </row>
    <row r="18333" spans="8:8">
      <c r="H18333" s="680" t="s">
        <v>6153</v>
      </c>
    </row>
    <row r="18334" spans="8:8">
      <c r="H18334" s="680" t="s">
        <v>6153</v>
      </c>
    </row>
    <row r="18335" spans="8:8">
      <c r="H18335" s="680" t="s">
        <v>6153</v>
      </c>
    </row>
    <row r="18336" spans="8:8">
      <c r="H18336" s="680" t="s">
        <v>6153</v>
      </c>
    </row>
    <row r="18337" spans="8:8">
      <c r="H18337" s="680" t="s">
        <v>6153</v>
      </c>
    </row>
    <row r="18338" spans="8:8">
      <c r="H18338" s="680" t="s">
        <v>6153</v>
      </c>
    </row>
    <row r="18339" spans="8:8">
      <c r="H18339" s="680" t="s">
        <v>6153</v>
      </c>
    </row>
    <row r="18340" spans="8:8">
      <c r="H18340" s="680" t="s">
        <v>6153</v>
      </c>
    </row>
    <row r="18341" spans="8:8">
      <c r="H18341" s="680" t="s">
        <v>6153</v>
      </c>
    </row>
    <row r="18342" spans="8:8">
      <c r="H18342" s="680" t="s">
        <v>6153</v>
      </c>
    </row>
    <row r="18343" spans="8:8">
      <c r="H18343" s="680" t="s">
        <v>6153</v>
      </c>
    </row>
    <row r="18344" spans="8:8">
      <c r="H18344" s="680" t="s">
        <v>6153</v>
      </c>
    </row>
    <row r="18345" spans="8:8">
      <c r="H18345" s="680" t="s">
        <v>6153</v>
      </c>
    </row>
    <row r="18346" spans="8:8">
      <c r="H18346" s="680" t="s">
        <v>6153</v>
      </c>
    </row>
    <row r="18347" spans="8:8">
      <c r="H18347" s="680" t="s">
        <v>6153</v>
      </c>
    </row>
    <row r="18348" spans="8:8">
      <c r="H18348" s="680" t="s">
        <v>6153</v>
      </c>
    </row>
    <row r="18349" spans="8:8">
      <c r="H18349" s="680" t="s">
        <v>6153</v>
      </c>
    </row>
    <row r="18350" spans="8:8">
      <c r="H18350" s="680" t="s">
        <v>6153</v>
      </c>
    </row>
    <row r="18351" spans="8:8">
      <c r="H18351" s="680" t="s">
        <v>6153</v>
      </c>
    </row>
    <row r="18352" spans="8:8">
      <c r="H18352" s="680" t="s">
        <v>6153</v>
      </c>
    </row>
    <row r="18353" spans="8:8">
      <c r="H18353" s="680" t="s">
        <v>6153</v>
      </c>
    </row>
    <row r="18354" spans="8:8">
      <c r="H18354" s="680" t="s">
        <v>6153</v>
      </c>
    </row>
    <row r="18355" spans="8:8">
      <c r="H18355" s="680" t="s">
        <v>6153</v>
      </c>
    </row>
    <row r="18356" spans="8:8">
      <c r="H18356" s="680" t="s">
        <v>6153</v>
      </c>
    </row>
    <row r="18357" spans="8:8">
      <c r="H18357" s="680" t="s">
        <v>6153</v>
      </c>
    </row>
    <row r="18358" spans="8:8">
      <c r="H18358" s="680" t="s">
        <v>6153</v>
      </c>
    </row>
    <row r="18359" spans="8:8">
      <c r="H18359" s="680" t="s">
        <v>6153</v>
      </c>
    </row>
    <row r="18360" spans="8:8">
      <c r="H18360" s="680" t="s">
        <v>6153</v>
      </c>
    </row>
    <row r="18361" spans="8:8">
      <c r="H18361" s="680" t="s">
        <v>6153</v>
      </c>
    </row>
    <row r="18362" spans="8:8">
      <c r="H18362" s="680" t="s">
        <v>6153</v>
      </c>
    </row>
    <row r="18363" spans="8:8">
      <c r="H18363" s="680" t="s">
        <v>6153</v>
      </c>
    </row>
    <row r="18364" spans="8:8">
      <c r="H18364" s="680" t="s">
        <v>6153</v>
      </c>
    </row>
    <row r="18365" spans="8:8">
      <c r="H18365" s="680" t="s">
        <v>6153</v>
      </c>
    </row>
    <row r="18366" spans="8:8">
      <c r="H18366" s="680" t="s">
        <v>6153</v>
      </c>
    </row>
    <row r="18367" spans="8:8">
      <c r="H18367" s="680" t="s">
        <v>6153</v>
      </c>
    </row>
    <row r="18368" spans="8:8">
      <c r="H18368" s="680" t="s">
        <v>6153</v>
      </c>
    </row>
    <row r="18369" spans="8:8">
      <c r="H18369" s="680" t="s">
        <v>6153</v>
      </c>
    </row>
    <row r="18370" spans="8:8">
      <c r="H18370" s="680" t="s">
        <v>6153</v>
      </c>
    </row>
    <row r="18371" spans="8:8">
      <c r="H18371" s="680" t="s">
        <v>6153</v>
      </c>
    </row>
    <row r="18372" spans="8:8">
      <c r="H18372" s="680" t="s">
        <v>6153</v>
      </c>
    </row>
    <row r="18373" spans="8:8">
      <c r="H18373" s="680" t="s">
        <v>6153</v>
      </c>
    </row>
    <row r="18374" spans="8:8">
      <c r="H18374" s="680" t="s">
        <v>6153</v>
      </c>
    </row>
    <row r="18375" spans="8:8">
      <c r="H18375" s="680" t="s">
        <v>6153</v>
      </c>
    </row>
    <row r="18376" spans="8:8">
      <c r="H18376" s="680" t="s">
        <v>6153</v>
      </c>
    </row>
    <row r="18377" spans="8:8">
      <c r="H18377" s="680" t="s">
        <v>6153</v>
      </c>
    </row>
    <row r="18378" spans="8:8">
      <c r="H18378" s="680" t="s">
        <v>6153</v>
      </c>
    </row>
    <row r="18379" spans="8:8">
      <c r="H18379" s="680" t="s">
        <v>6153</v>
      </c>
    </row>
    <row r="18380" spans="8:8">
      <c r="H18380" s="680" t="s">
        <v>6153</v>
      </c>
    </row>
    <row r="18381" spans="8:8">
      <c r="H18381" s="680" t="s">
        <v>6153</v>
      </c>
    </row>
    <row r="18382" spans="8:8">
      <c r="H18382" s="680" t="s">
        <v>6153</v>
      </c>
    </row>
    <row r="18383" spans="8:8">
      <c r="H18383" s="680" t="s">
        <v>6153</v>
      </c>
    </row>
    <row r="18384" spans="8:8">
      <c r="H18384" s="680" t="s">
        <v>6153</v>
      </c>
    </row>
    <row r="18385" spans="8:8">
      <c r="H18385" s="680" t="s">
        <v>6153</v>
      </c>
    </row>
    <row r="18386" spans="8:8">
      <c r="H18386" s="680" t="s">
        <v>6153</v>
      </c>
    </row>
    <row r="18387" spans="8:8">
      <c r="H18387" s="680" t="s">
        <v>6153</v>
      </c>
    </row>
    <row r="18388" spans="8:8">
      <c r="H18388" s="680" t="s">
        <v>6153</v>
      </c>
    </row>
    <row r="18389" spans="8:8">
      <c r="H18389" s="680" t="s">
        <v>6153</v>
      </c>
    </row>
    <row r="18390" spans="8:8">
      <c r="H18390" s="680" t="s">
        <v>6153</v>
      </c>
    </row>
    <row r="18391" spans="8:8">
      <c r="H18391" s="680" t="s">
        <v>6153</v>
      </c>
    </row>
    <row r="18392" spans="8:8">
      <c r="H18392" s="680" t="s">
        <v>6153</v>
      </c>
    </row>
    <row r="18393" spans="8:8">
      <c r="H18393" s="680" t="s">
        <v>6153</v>
      </c>
    </row>
    <row r="18394" spans="8:8">
      <c r="H18394" s="680" t="s">
        <v>6153</v>
      </c>
    </row>
    <row r="18395" spans="8:8">
      <c r="H18395" s="680" t="s">
        <v>6153</v>
      </c>
    </row>
    <row r="18396" spans="8:8">
      <c r="H18396" s="680" t="s">
        <v>6153</v>
      </c>
    </row>
    <row r="18397" spans="8:8">
      <c r="H18397" s="680" t="s">
        <v>6153</v>
      </c>
    </row>
    <row r="18398" spans="8:8">
      <c r="H18398" s="680" t="s">
        <v>6153</v>
      </c>
    </row>
    <row r="18399" spans="8:8">
      <c r="H18399" s="680" t="s">
        <v>6153</v>
      </c>
    </row>
    <row r="18400" spans="8:8">
      <c r="H18400" s="680" t="s">
        <v>6153</v>
      </c>
    </row>
    <row r="18401" spans="8:8">
      <c r="H18401" s="680" t="s">
        <v>6153</v>
      </c>
    </row>
    <row r="18402" spans="8:8">
      <c r="H18402" s="680" t="s">
        <v>6153</v>
      </c>
    </row>
    <row r="18403" spans="8:8">
      <c r="H18403" s="680" t="s">
        <v>6153</v>
      </c>
    </row>
    <row r="18404" spans="8:8">
      <c r="H18404" s="680" t="s">
        <v>6153</v>
      </c>
    </row>
    <row r="18405" spans="8:8">
      <c r="H18405" s="680" t="s">
        <v>6153</v>
      </c>
    </row>
    <row r="18406" spans="8:8">
      <c r="H18406" s="680" t="s">
        <v>6153</v>
      </c>
    </row>
    <row r="18407" spans="8:8">
      <c r="H18407" s="680" t="s">
        <v>6153</v>
      </c>
    </row>
    <row r="18408" spans="8:8">
      <c r="H18408" s="680" t="s">
        <v>6153</v>
      </c>
    </row>
    <row r="18409" spans="8:8">
      <c r="H18409" s="680" t="s">
        <v>6153</v>
      </c>
    </row>
    <row r="18410" spans="8:8">
      <c r="H18410" s="680" t="s">
        <v>6153</v>
      </c>
    </row>
    <row r="18411" spans="8:8">
      <c r="H18411" s="680" t="s">
        <v>6153</v>
      </c>
    </row>
    <row r="18412" spans="8:8">
      <c r="H18412" s="680" t="s">
        <v>6153</v>
      </c>
    </row>
    <row r="18413" spans="8:8">
      <c r="H18413" s="680" t="s">
        <v>6153</v>
      </c>
    </row>
    <row r="18414" spans="8:8">
      <c r="H18414" s="680" t="s">
        <v>6153</v>
      </c>
    </row>
    <row r="18415" spans="8:8">
      <c r="H18415" s="680" t="s">
        <v>6153</v>
      </c>
    </row>
    <row r="18416" spans="8:8">
      <c r="H18416" s="680" t="s">
        <v>6153</v>
      </c>
    </row>
    <row r="18417" spans="8:8">
      <c r="H18417" s="680" t="s">
        <v>6153</v>
      </c>
    </row>
    <row r="18418" spans="8:8">
      <c r="H18418" s="680" t="s">
        <v>6153</v>
      </c>
    </row>
    <row r="18419" spans="8:8">
      <c r="H18419" s="680" t="s">
        <v>6153</v>
      </c>
    </row>
    <row r="18420" spans="8:8">
      <c r="H18420" s="680" t="s">
        <v>6153</v>
      </c>
    </row>
    <row r="18421" spans="8:8">
      <c r="H18421" s="680" t="s">
        <v>6153</v>
      </c>
    </row>
    <row r="18422" spans="8:8">
      <c r="H18422" s="680" t="s">
        <v>6153</v>
      </c>
    </row>
    <row r="18423" spans="8:8">
      <c r="H18423" s="680" t="s">
        <v>6153</v>
      </c>
    </row>
    <row r="18424" spans="8:8">
      <c r="H18424" s="680" t="s">
        <v>6153</v>
      </c>
    </row>
    <row r="18425" spans="8:8">
      <c r="H18425" s="680" t="s">
        <v>6153</v>
      </c>
    </row>
    <row r="18426" spans="8:8">
      <c r="H18426" s="680" t="s">
        <v>6153</v>
      </c>
    </row>
    <row r="18427" spans="8:8">
      <c r="H18427" s="680" t="s">
        <v>6153</v>
      </c>
    </row>
    <row r="18428" spans="8:8">
      <c r="H18428" s="680" t="s">
        <v>6153</v>
      </c>
    </row>
    <row r="18429" spans="8:8">
      <c r="H18429" s="680" t="s">
        <v>6153</v>
      </c>
    </row>
    <row r="18430" spans="8:8">
      <c r="H18430" s="680" t="s">
        <v>6153</v>
      </c>
    </row>
    <row r="18431" spans="8:8">
      <c r="H18431" s="680" t="s">
        <v>6153</v>
      </c>
    </row>
    <row r="18432" spans="8:8">
      <c r="H18432" s="680" t="s">
        <v>6153</v>
      </c>
    </row>
    <row r="18433" spans="8:8">
      <c r="H18433" s="680" t="s">
        <v>6153</v>
      </c>
    </row>
    <row r="18434" spans="8:8">
      <c r="H18434" s="680" t="s">
        <v>6153</v>
      </c>
    </row>
    <row r="18435" spans="8:8">
      <c r="H18435" s="680" t="s">
        <v>6153</v>
      </c>
    </row>
    <row r="18436" spans="8:8">
      <c r="H18436" s="680" t="s">
        <v>6153</v>
      </c>
    </row>
    <row r="18437" spans="8:8">
      <c r="H18437" s="680" t="s">
        <v>6153</v>
      </c>
    </row>
    <row r="18438" spans="8:8">
      <c r="H18438" s="680" t="s">
        <v>6153</v>
      </c>
    </row>
    <row r="18439" spans="8:8">
      <c r="H18439" s="680" t="s">
        <v>6153</v>
      </c>
    </row>
    <row r="18440" spans="8:8">
      <c r="H18440" s="680" t="s">
        <v>6153</v>
      </c>
    </row>
    <row r="18441" spans="8:8">
      <c r="H18441" s="680" t="s">
        <v>6153</v>
      </c>
    </row>
    <row r="18442" spans="8:8">
      <c r="H18442" s="680" t="s">
        <v>6153</v>
      </c>
    </row>
    <row r="18443" spans="8:8">
      <c r="H18443" s="680" t="s">
        <v>6153</v>
      </c>
    </row>
    <row r="18444" spans="8:8">
      <c r="H18444" s="680" t="s">
        <v>6153</v>
      </c>
    </row>
    <row r="18445" spans="8:8">
      <c r="H18445" s="680" t="s">
        <v>6153</v>
      </c>
    </row>
    <row r="18446" spans="8:8">
      <c r="H18446" s="680" t="s">
        <v>6153</v>
      </c>
    </row>
    <row r="18447" spans="8:8">
      <c r="H18447" s="680" t="s">
        <v>6153</v>
      </c>
    </row>
    <row r="18448" spans="8:8">
      <c r="H18448" s="680" t="s">
        <v>6153</v>
      </c>
    </row>
    <row r="18449" spans="8:8">
      <c r="H18449" s="680" t="s">
        <v>6153</v>
      </c>
    </row>
    <row r="18450" spans="8:8">
      <c r="H18450" s="680" t="s">
        <v>6153</v>
      </c>
    </row>
    <row r="18451" spans="8:8">
      <c r="H18451" s="680" t="s">
        <v>6153</v>
      </c>
    </row>
    <row r="18452" spans="8:8">
      <c r="H18452" s="680" t="s">
        <v>6153</v>
      </c>
    </row>
    <row r="18453" spans="8:8">
      <c r="H18453" s="680" t="s">
        <v>6153</v>
      </c>
    </row>
    <row r="18454" spans="8:8">
      <c r="H18454" s="680" t="s">
        <v>6153</v>
      </c>
    </row>
    <row r="18455" spans="8:8">
      <c r="H18455" s="680" t="s">
        <v>6153</v>
      </c>
    </row>
    <row r="18456" spans="8:8">
      <c r="H18456" s="680" t="s">
        <v>6153</v>
      </c>
    </row>
    <row r="18457" spans="8:8">
      <c r="H18457" s="680" t="s">
        <v>6153</v>
      </c>
    </row>
    <row r="18458" spans="8:8">
      <c r="H18458" s="680" t="s">
        <v>6153</v>
      </c>
    </row>
    <row r="18459" spans="8:8">
      <c r="H18459" s="680" t="s">
        <v>6153</v>
      </c>
    </row>
    <row r="18460" spans="8:8">
      <c r="H18460" s="680" t="s">
        <v>6153</v>
      </c>
    </row>
    <row r="18461" spans="8:8">
      <c r="H18461" s="680" t="s">
        <v>6153</v>
      </c>
    </row>
    <row r="18462" spans="8:8">
      <c r="H18462" s="680" t="s">
        <v>6153</v>
      </c>
    </row>
    <row r="18463" spans="8:8">
      <c r="H18463" s="680" t="s">
        <v>6153</v>
      </c>
    </row>
    <row r="18464" spans="8:8">
      <c r="H18464" s="680" t="s">
        <v>6153</v>
      </c>
    </row>
    <row r="18465" spans="8:8">
      <c r="H18465" s="680" t="s">
        <v>6153</v>
      </c>
    </row>
    <row r="18466" spans="8:8">
      <c r="H18466" s="680" t="s">
        <v>6153</v>
      </c>
    </row>
    <row r="18467" spans="8:8">
      <c r="H18467" s="680" t="s">
        <v>6153</v>
      </c>
    </row>
    <row r="18468" spans="8:8">
      <c r="H18468" s="680" t="s">
        <v>6153</v>
      </c>
    </row>
    <row r="18469" spans="8:8">
      <c r="H18469" s="680" t="s">
        <v>6153</v>
      </c>
    </row>
    <row r="18470" spans="8:8">
      <c r="H18470" s="680" t="s">
        <v>6153</v>
      </c>
    </row>
    <row r="18471" spans="8:8">
      <c r="H18471" s="680" t="s">
        <v>6153</v>
      </c>
    </row>
    <row r="18472" spans="8:8">
      <c r="H18472" s="680" t="s">
        <v>6153</v>
      </c>
    </row>
    <row r="18473" spans="8:8">
      <c r="H18473" s="680" t="s">
        <v>6153</v>
      </c>
    </row>
    <row r="18474" spans="8:8">
      <c r="H18474" s="680" t="s">
        <v>6153</v>
      </c>
    </row>
    <row r="18475" spans="8:8">
      <c r="H18475" s="680" t="s">
        <v>6153</v>
      </c>
    </row>
    <row r="18476" spans="8:8">
      <c r="H18476" s="680" t="s">
        <v>6153</v>
      </c>
    </row>
    <row r="18477" spans="8:8">
      <c r="H18477" s="680" t="s">
        <v>6153</v>
      </c>
    </row>
    <row r="18478" spans="8:8">
      <c r="H18478" s="680" t="s">
        <v>6153</v>
      </c>
    </row>
    <row r="18479" spans="8:8">
      <c r="H18479" s="680" t="s">
        <v>6153</v>
      </c>
    </row>
    <row r="18480" spans="8:8">
      <c r="H18480" s="680" t="s">
        <v>6153</v>
      </c>
    </row>
    <row r="18481" spans="8:8">
      <c r="H18481" s="680" t="s">
        <v>6153</v>
      </c>
    </row>
    <row r="18482" spans="8:8">
      <c r="H18482" s="680" t="s">
        <v>6153</v>
      </c>
    </row>
    <row r="18483" spans="8:8">
      <c r="H18483" s="680" t="s">
        <v>6153</v>
      </c>
    </row>
    <row r="18484" spans="8:8">
      <c r="H18484" s="680" t="s">
        <v>6153</v>
      </c>
    </row>
    <row r="18485" spans="8:8">
      <c r="H18485" s="680" t="s">
        <v>6153</v>
      </c>
    </row>
    <row r="18486" spans="8:8">
      <c r="H18486" s="680" t="s">
        <v>6153</v>
      </c>
    </row>
    <row r="18487" spans="8:8">
      <c r="H18487" s="680" t="s">
        <v>6153</v>
      </c>
    </row>
    <row r="18488" spans="8:8">
      <c r="H18488" s="680" t="s">
        <v>6153</v>
      </c>
    </row>
    <row r="18489" spans="8:8">
      <c r="H18489" s="680" t="s">
        <v>6153</v>
      </c>
    </row>
    <row r="18490" spans="8:8">
      <c r="H18490" s="680" t="s">
        <v>6153</v>
      </c>
    </row>
    <row r="18491" spans="8:8">
      <c r="H18491" s="680" t="s">
        <v>6153</v>
      </c>
    </row>
    <row r="18492" spans="8:8">
      <c r="H18492" s="680" t="s">
        <v>6153</v>
      </c>
    </row>
    <row r="18493" spans="8:8">
      <c r="H18493" s="680" t="s">
        <v>6153</v>
      </c>
    </row>
    <row r="18494" spans="8:8">
      <c r="H18494" s="680" t="s">
        <v>6153</v>
      </c>
    </row>
    <row r="18495" spans="8:8">
      <c r="H18495" s="680" t="s">
        <v>6153</v>
      </c>
    </row>
    <row r="18496" spans="8:8">
      <c r="H18496" s="680" t="s">
        <v>6153</v>
      </c>
    </row>
    <row r="18497" spans="8:8">
      <c r="H18497" s="680" t="s">
        <v>6153</v>
      </c>
    </row>
    <row r="18498" spans="8:8">
      <c r="H18498" s="680" t="s">
        <v>6153</v>
      </c>
    </row>
    <row r="18499" spans="8:8">
      <c r="H18499" s="680" t="s">
        <v>6153</v>
      </c>
    </row>
    <row r="18500" spans="8:8">
      <c r="H18500" s="680" t="s">
        <v>6153</v>
      </c>
    </row>
    <row r="18501" spans="8:8">
      <c r="H18501" s="680" t="s">
        <v>6153</v>
      </c>
    </row>
    <row r="18502" spans="8:8">
      <c r="H18502" s="680" t="s">
        <v>6153</v>
      </c>
    </row>
    <row r="18503" spans="8:8">
      <c r="H18503" s="680" t="s">
        <v>6153</v>
      </c>
    </row>
    <row r="18504" spans="8:8">
      <c r="H18504" s="680" t="s">
        <v>6153</v>
      </c>
    </row>
    <row r="18505" spans="8:8">
      <c r="H18505" s="680" t="s">
        <v>6153</v>
      </c>
    </row>
    <row r="18506" spans="8:8">
      <c r="H18506" s="680" t="s">
        <v>6153</v>
      </c>
    </row>
    <row r="18507" spans="8:8">
      <c r="H18507" s="680" t="s">
        <v>6153</v>
      </c>
    </row>
    <row r="18508" spans="8:8">
      <c r="H18508" s="680" t="s">
        <v>6153</v>
      </c>
    </row>
    <row r="18509" spans="8:8">
      <c r="H18509" s="680" t="s">
        <v>6153</v>
      </c>
    </row>
    <row r="18510" spans="8:8">
      <c r="H18510" s="680" t="s">
        <v>6153</v>
      </c>
    </row>
    <row r="18511" spans="8:8">
      <c r="H18511" s="680" t="s">
        <v>6153</v>
      </c>
    </row>
    <row r="18512" spans="8:8">
      <c r="H18512" s="680" t="s">
        <v>6153</v>
      </c>
    </row>
    <row r="18513" spans="8:8">
      <c r="H18513" s="680" t="s">
        <v>6153</v>
      </c>
    </row>
    <row r="18514" spans="8:8">
      <c r="H18514" s="680" t="s">
        <v>6153</v>
      </c>
    </row>
    <row r="18515" spans="8:8">
      <c r="H18515" s="680" t="s">
        <v>6153</v>
      </c>
    </row>
    <row r="18516" spans="8:8">
      <c r="H18516" s="680" t="s">
        <v>6153</v>
      </c>
    </row>
    <row r="18517" spans="8:8">
      <c r="H18517" s="680" t="s">
        <v>6153</v>
      </c>
    </row>
    <row r="18518" spans="8:8">
      <c r="H18518" s="680" t="s">
        <v>6153</v>
      </c>
    </row>
    <row r="18519" spans="8:8">
      <c r="H18519" s="680" t="s">
        <v>6153</v>
      </c>
    </row>
    <row r="18520" spans="8:8">
      <c r="H18520" s="680" t="s">
        <v>6153</v>
      </c>
    </row>
    <row r="18521" spans="8:8">
      <c r="H18521" s="680" t="s">
        <v>6153</v>
      </c>
    </row>
    <row r="18522" spans="8:8">
      <c r="H18522" s="680" t="s">
        <v>6153</v>
      </c>
    </row>
    <row r="18523" spans="8:8">
      <c r="H18523" s="680" t="s">
        <v>6153</v>
      </c>
    </row>
    <row r="18524" spans="8:8">
      <c r="H18524" s="680" t="s">
        <v>6153</v>
      </c>
    </row>
    <row r="18525" spans="8:8">
      <c r="H18525" s="680" t="s">
        <v>6153</v>
      </c>
    </row>
    <row r="18526" spans="8:8">
      <c r="H18526" s="680" t="s">
        <v>6153</v>
      </c>
    </row>
    <row r="18527" spans="8:8">
      <c r="H18527" s="680" t="s">
        <v>6153</v>
      </c>
    </row>
    <row r="18528" spans="8:8">
      <c r="H18528" s="680" t="s">
        <v>6153</v>
      </c>
    </row>
    <row r="18529" spans="8:8">
      <c r="H18529" s="680" t="s">
        <v>6153</v>
      </c>
    </row>
    <row r="18530" spans="8:8">
      <c r="H18530" s="680" t="s">
        <v>6153</v>
      </c>
    </row>
    <row r="18531" spans="8:8">
      <c r="H18531" s="680" t="s">
        <v>6153</v>
      </c>
    </row>
    <row r="18532" spans="8:8">
      <c r="H18532" s="680" t="s">
        <v>6153</v>
      </c>
    </row>
    <row r="18533" spans="8:8">
      <c r="H18533" s="680" t="s">
        <v>6153</v>
      </c>
    </row>
    <row r="18534" spans="8:8">
      <c r="H18534" s="680" t="s">
        <v>6153</v>
      </c>
    </row>
    <row r="18535" spans="8:8">
      <c r="H18535" s="680" t="s">
        <v>6153</v>
      </c>
    </row>
    <row r="18536" spans="8:8">
      <c r="H18536" s="680" t="s">
        <v>6153</v>
      </c>
    </row>
    <row r="18537" spans="8:8">
      <c r="H18537" s="680" t="s">
        <v>6153</v>
      </c>
    </row>
    <row r="18538" spans="8:8">
      <c r="H18538" s="680" t="s">
        <v>6153</v>
      </c>
    </row>
    <row r="18539" spans="8:8">
      <c r="H18539" s="680" t="s">
        <v>6153</v>
      </c>
    </row>
    <row r="18540" spans="8:8">
      <c r="H18540" s="680" t="s">
        <v>6153</v>
      </c>
    </row>
    <row r="18541" spans="8:8">
      <c r="H18541" s="680" t="s">
        <v>6153</v>
      </c>
    </row>
    <row r="18542" spans="8:8">
      <c r="H18542" s="680" t="s">
        <v>6153</v>
      </c>
    </row>
    <row r="18543" spans="8:8">
      <c r="H18543" s="680" t="s">
        <v>6153</v>
      </c>
    </row>
    <row r="18544" spans="8:8">
      <c r="H18544" s="680" t="s">
        <v>6153</v>
      </c>
    </row>
    <row r="18545" spans="8:8">
      <c r="H18545" s="680" t="s">
        <v>6153</v>
      </c>
    </row>
    <row r="18546" spans="8:8">
      <c r="H18546" s="680" t="s">
        <v>6153</v>
      </c>
    </row>
    <row r="18547" spans="8:8">
      <c r="H18547" s="680" t="s">
        <v>6153</v>
      </c>
    </row>
    <row r="18548" spans="8:8">
      <c r="H18548" s="680" t="s">
        <v>6153</v>
      </c>
    </row>
    <row r="18549" spans="8:8">
      <c r="H18549" s="680" t="s">
        <v>6153</v>
      </c>
    </row>
    <row r="18550" spans="8:8">
      <c r="H18550" s="680" t="s">
        <v>6153</v>
      </c>
    </row>
    <row r="18551" spans="8:8">
      <c r="H18551" s="680" t="s">
        <v>6153</v>
      </c>
    </row>
    <row r="18552" spans="8:8">
      <c r="H18552" s="680" t="s">
        <v>6153</v>
      </c>
    </row>
    <row r="18553" spans="8:8">
      <c r="H18553" s="680" t="s">
        <v>6153</v>
      </c>
    </row>
    <row r="18554" spans="8:8">
      <c r="H18554" s="680" t="s">
        <v>6153</v>
      </c>
    </row>
    <row r="18555" spans="8:8">
      <c r="H18555" s="680" t="s">
        <v>6153</v>
      </c>
    </row>
    <row r="18556" spans="8:8">
      <c r="H18556" s="680" t="s">
        <v>6153</v>
      </c>
    </row>
    <row r="18557" spans="8:8">
      <c r="H18557" s="680" t="s">
        <v>6153</v>
      </c>
    </row>
    <row r="18558" spans="8:8">
      <c r="H18558" s="680" t="s">
        <v>6153</v>
      </c>
    </row>
    <row r="18559" spans="8:8">
      <c r="H18559" s="680" t="s">
        <v>6153</v>
      </c>
    </row>
    <row r="18560" spans="8:8">
      <c r="H18560" s="680" t="s">
        <v>6153</v>
      </c>
    </row>
    <row r="18561" spans="8:8">
      <c r="H18561" s="680" t="s">
        <v>6153</v>
      </c>
    </row>
    <row r="18562" spans="8:8">
      <c r="H18562" s="680" t="s">
        <v>6153</v>
      </c>
    </row>
    <row r="18563" spans="8:8">
      <c r="H18563" s="680" t="s">
        <v>6153</v>
      </c>
    </row>
    <row r="18564" spans="8:8">
      <c r="H18564" s="680" t="s">
        <v>6153</v>
      </c>
    </row>
    <row r="18565" spans="8:8">
      <c r="H18565" s="680" t="s">
        <v>6153</v>
      </c>
    </row>
    <row r="18566" spans="8:8">
      <c r="H18566" s="680" t="s">
        <v>6153</v>
      </c>
    </row>
    <row r="18567" spans="8:8">
      <c r="H18567" s="680" t="s">
        <v>6153</v>
      </c>
    </row>
    <row r="18568" spans="8:8">
      <c r="H18568" s="680" t="s">
        <v>6153</v>
      </c>
    </row>
    <row r="18569" spans="8:8">
      <c r="H18569" s="680" t="s">
        <v>6153</v>
      </c>
    </row>
    <row r="18570" spans="8:8">
      <c r="H18570" s="680" t="s">
        <v>6153</v>
      </c>
    </row>
    <row r="18571" spans="8:8">
      <c r="H18571" s="680" t="s">
        <v>6153</v>
      </c>
    </row>
    <row r="18572" spans="8:8">
      <c r="H18572" s="680" t="s">
        <v>6153</v>
      </c>
    </row>
    <row r="18573" spans="8:8">
      <c r="H18573" s="680" t="s">
        <v>6153</v>
      </c>
    </row>
    <row r="18574" spans="8:8">
      <c r="H18574" s="680" t="s">
        <v>6153</v>
      </c>
    </row>
    <row r="18575" spans="8:8">
      <c r="H18575" s="680" t="s">
        <v>6153</v>
      </c>
    </row>
    <row r="18576" spans="8:8">
      <c r="H18576" s="680" t="s">
        <v>6153</v>
      </c>
    </row>
    <row r="18577" spans="8:8">
      <c r="H18577" s="680" t="s">
        <v>6153</v>
      </c>
    </row>
    <row r="18578" spans="8:8">
      <c r="H18578" s="680" t="s">
        <v>6153</v>
      </c>
    </row>
    <row r="18579" spans="8:8">
      <c r="H18579" s="680" t="s">
        <v>6153</v>
      </c>
    </row>
    <row r="18580" spans="8:8">
      <c r="H18580" s="680" t="s">
        <v>6153</v>
      </c>
    </row>
    <row r="18581" spans="8:8">
      <c r="H18581" s="680" t="s">
        <v>6153</v>
      </c>
    </row>
    <row r="18582" spans="8:8">
      <c r="H18582" s="680" t="s">
        <v>6153</v>
      </c>
    </row>
    <row r="18583" spans="8:8">
      <c r="H18583" s="680" t="s">
        <v>6153</v>
      </c>
    </row>
    <row r="18584" spans="8:8">
      <c r="H18584" s="680" t="s">
        <v>6153</v>
      </c>
    </row>
    <row r="18585" spans="8:8">
      <c r="H18585" s="680" t="s">
        <v>6153</v>
      </c>
    </row>
    <row r="18586" spans="8:8">
      <c r="H18586" s="680" t="s">
        <v>6153</v>
      </c>
    </row>
    <row r="18587" spans="8:8">
      <c r="H18587" s="680" t="s">
        <v>6153</v>
      </c>
    </row>
    <row r="18588" spans="8:8">
      <c r="H18588" s="680" t="s">
        <v>6153</v>
      </c>
    </row>
    <row r="18589" spans="8:8">
      <c r="H18589" s="680" t="s">
        <v>6153</v>
      </c>
    </row>
    <row r="18590" spans="8:8">
      <c r="H18590" s="680" t="s">
        <v>6153</v>
      </c>
    </row>
    <row r="18591" spans="8:8">
      <c r="H18591" s="680" t="s">
        <v>6153</v>
      </c>
    </row>
    <row r="18592" spans="8:8">
      <c r="H18592" s="680" t="s">
        <v>6153</v>
      </c>
    </row>
    <row r="18593" spans="8:8">
      <c r="H18593" s="680" t="s">
        <v>6153</v>
      </c>
    </row>
    <row r="18594" spans="8:8">
      <c r="H18594" s="680" t="s">
        <v>6153</v>
      </c>
    </row>
    <row r="18595" spans="8:8">
      <c r="H18595" s="680" t="s">
        <v>6153</v>
      </c>
    </row>
    <row r="18596" spans="8:8">
      <c r="H18596" s="680" t="s">
        <v>6153</v>
      </c>
    </row>
    <row r="18597" spans="8:8">
      <c r="H18597" s="680" t="s">
        <v>6153</v>
      </c>
    </row>
    <row r="18598" spans="8:8">
      <c r="H18598" s="680" t="s">
        <v>6153</v>
      </c>
    </row>
    <row r="18599" spans="8:8">
      <c r="H18599" s="680" t="s">
        <v>6153</v>
      </c>
    </row>
    <row r="18600" spans="8:8">
      <c r="H18600" s="680" t="s">
        <v>6153</v>
      </c>
    </row>
    <row r="18601" spans="8:8">
      <c r="H18601" s="680" t="s">
        <v>6153</v>
      </c>
    </row>
    <row r="18602" spans="8:8">
      <c r="H18602" s="680" t="s">
        <v>6153</v>
      </c>
    </row>
    <row r="18603" spans="8:8">
      <c r="H18603" s="680" t="s">
        <v>6153</v>
      </c>
    </row>
    <row r="18604" spans="8:8">
      <c r="H18604" s="680" t="s">
        <v>6153</v>
      </c>
    </row>
    <row r="18605" spans="8:8">
      <c r="H18605" s="680" t="s">
        <v>6153</v>
      </c>
    </row>
    <row r="18606" spans="8:8">
      <c r="H18606" s="680" t="s">
        <v>6153</v>
      </c>
    </row>
    <row r="18607" spans="8:8">
      <c r="H18607" s="680" t="s">
        <v>6153</v>
      </c>
    </row>
    <row r="18608" spans="8:8">
      <c r="H18608" s="680" t="s">
        <v>6153</v>
      </c>
    </row>
    <row r="18609" spans="8:8">
      <c r="H18609" s="680" t="s">
        <v>6153</v>
      </c>
    </row>
    <row r="18610" spans="8:8">
      <c r="H18610" s="680" t="s">
        <v>6153</v>
      </c>
    </row>
    <row r="18611" spans="8:8">
      <c r="H18611" s="680" t="s">
        <v>6153</v>
      </c>
    </row>
    <row r="18612" spans="8:8">
      <c r="H18612" s="680" t="s">
        <v>6153</v>
      </c>
    </row>
    <row r="18613" spans="8:8">
      <c r="H18613" s="680" t="s">
        <v>6153</v>
      </c>
    </row>
    <row r="18614" spans="8:8">
      <c r="H18614" s="680" t="s">
        <v>6153</v>
      </c>
    </row>
    <row r="18615" spans="8:8">
      <c r="H18615" s="680" t="s">
        <v>6153</v>
      </c>
    </row>
    <row r="18616" spans="8:8">
      <c r="H18616" s="680" t="s">
        <v>6153</v>
      </c>
    </row>
    <row r="18617" spans="8:8">
      <c r="H18617" s="680" t="s">
        <v>6153</v>
      </c>
    </row>
    <row r="18618" spans="8:8">
      <c r="H18618" s="680" t="s">
        <v>6153</v>
      </c>
    </row>
    <row r="18619" spans="8:8">
      <c r="H18619" s="680" t="s">
        <v>6153</v>
      </c>
    </row>
    <row r="18620" spans="8:8">
      <c r="H18620" s="680" t="s">
        <v>6153</v>
      </c>
    </row>
    <row r="18621" spans="8:8">
      <c r="H18621" s="680" t="s">
        <v>6153</v>
      </c>
    </row>
    <row r="18622" spans="8:8">
      <c r="H18622" s="680" t="s">
        <v>6153</v>
      </c>
    </row>
    <row r="18623" spans="8:8">
      <c r="H18623" s="680" t="s">
        <v>6153</v>
      </c>
    </row>
    <row r="18624" spans="8:8">
      <c r="H18624" s="680" t="s">
        <v>6153</v>
      </c>
    </row>
    <row r="18625" spans="8:8">
      <c r="H18625" s="680" t="s">
        <v>6153</v>
      </c>
    </row>
    <row r="18626" spans="8:8">
      <c r="H18626" s="680" t="s">
        <v>6153</v>
      </c>
    </row>
    <row r="18627" spans="8:8">
      <c r="H18627" s="680" t="s">
        <v>6153</v>
      </c>
    </row>
    <row r="18628" spans="8:8">
      <c r="H18628" s="680" t="s">
        <v>6153</v>
      </c>
    </row>
    <row r="18629" spans="8:8">
      <c r="H18629" s="680" t="s">
        <v>6153</v>
      </c>
    </row>
    <row r="18630" spans="8:8">
      <c r="H18630" s="680" t="s">
        <v>6153</v>
      </c>
    </row>
    <row r="18631" spans="8:8">
      <c r="H18631" s="680" t="s">
        <v>6153</v>
      </c>
    </row>
    <row r="18632" spans="8:8">
      <c r="H18632" s="680" t="s">
        <v>6153</v>
      </c>
    </row>
    <row r="18633" spans="8:8">
      <c r="H18633" s="680" t="s">
        <v>6153</v>
      </c>
    </row>
    <row r="18634" spans="8:8">
      <c r="H18634" s="680" t="s">
        <v>6153</v>
      </c>
    </row>
    <row r="18635" spans="8:8">
      <c r="H18635" s="680" t="s">
        <v>6153</v>
      </c>
    </row>
    <row r="18636" spans="8:8">
      <c r="H18636" s="680" t="s">
        <v>6153</v>
      </c>
    </row>
    <row r="18637" spans="8:8">
      <c r="H18637" s="680" t="s">
        <v>6153</v>
      </c>
    </row>
    <row r="18638" spans="8:8">
      <c r="H18638" s="680" t="s">
        <v>6153</v>
      </c>
    </row>
    <row r="18639" spans="8:8">
      <c r="H18639" s="680" t="s">
        <v>6153</v>
      </c>
    </row>
    <row r="18640" spans="8:8">
      <c r="H18640" s="680" t="s">
        <v>6153</v>
      </c>
    </row>
    <row r="18641" spans="8:8">
      <c r="H18641" s="680" t="s">
        <v>6153</v>
      </c>
    </row>
    <row r="18642" spans="8:8">
      <c r="H18642" s="680" t="s">
        <v>6153</v>
      </c>
    </row>
    <row r="18643" spans="8:8">
      <c r="H18643" s="680" t="s">
        <v>6153</v>
      </c>
    </row>
    <row r="18644" spans="8:8">
      <c r="H18644" s="680" t="s">
        <v>6153</v>
      </c>
    </row>
    <row r="18645" spans="8:8">
      <c r="H18645" s="680" t="s">
        <v>6153</v>
      </c>
    </row>
    <row r="18646" spans="8:8">
      <c r="H18646" s="680" t="s">
        <v>6153</v>
      </c>
    </row>
    <row r="18647" spans="8:8">
      <c r="H18647" s="680" t="s">
        <v>6153</v>
      </c>
    </row>
    <row r="18648" spans="8:8">
      <c r="H18648" s="680" t="s">
        <v>6153</v>
      </c>
    </row>
    <row r="18649" spans="8:8">
      <c r="H18649" s="680" t="s">
        <v>6153</v>
      </c>
    </row>
    <row r="18650" spans="8:8">
      <c r="H18650" s="680" t="s">
        <v>6153</v>
      </c>
    </row>
    <row r="18651" spans="8:8">
      <c r="H18651" s="680" t="s">
        <v>6153</v>
      </c>
    </row>
    <row r="18652" spans="8:8">
      <c r="H18652" s="680" t="s">
        <v>6153</v>
      </c>
    </row>
    <row r="18653" spans="8:8">
      <c r="H18653" s="680" t="s">
        <v>6153</v>
      </c>
    </row>
    <row r="18654" spans="8:8">
      <c r="H18654" s="680" t="s">
        <v>6153</v>
      </c>
    </row>
    <row r="18655" spans="8:8">
      <c r="H18655" s="680" t="s">
        <v>6153</v>
      </c>
    </row>
    <row r="18656" spans="8:8">
      <c r="H18656" s="680" t="s">
        <v>6153</v>
      </c>
    </row>
    <row r="18657" spans="8:8">
      <c r="H18657" s="680" t="s">
        <v>6153</v>
      </c>
    </row>
    <row r="18658" spans="8:8">
      <c r="H18658" s="680" t="s">
        <v>6153</v>
      </c>
    </row>
    <row r="18659" spans="8:8">
      <c r="H18659" s="680" t="s">
        <v>6153</v>
      </c>
    </row>
    <row r="18660" spans="8:8">
      <c r="H18660" s="680" t="s">
        <v>6153</v>
      </c>
    </row>
    <row r="18661" spans="8:8">
      <c r="H18661" s="680" t="s">
        <v>6153</v>
      </c>
    </row>
    <row r="18662" spans="8:8">
      <c r="H18662" s="680" t="s">
        <v>6153</v>
      </c>
    </row>
    <row r="18663" spans="8:8">
      <c r="H18663" s="680" t="s">
        <v>6153</v>
      </c>
    </row>
    <row r="18664" spans="8:8">
      <c r="H18664" s="680" t="s">
        <v>6153</v>
      </c>
    </row>
    <row r="18665" spans="8:8">
      <c r="H18665" s="680" t="s">
        <v>6153</v>
      </c>
    </row>
    <row r="18666" spans="8:8">
      <c r="H18666" s="680" t="s">
        <v>6153</v>
      </c>
    </row>
    <row r="18667" spans="8:8">
      <c r="H18667" s="680" t="s">
        <v>6153</v>
      </c>
    </row>
    <row r="18668" spans="8:8">
      <c r="H18668" s="680" t="s">
        <v>6153</v>
      </c>
    </row>
    <row r="18669" spans="8:8">
      <c r="H18669" s="680" t="s">
        <v>6153</v>
      </c>
    </row>
    <row r="18670" spans="8:8">
      <c r="H18670" s="680" t="s">
        <v>6153</v>
      </c>
    </row>
    <row r="18671" spans="8:8">
      <c r="H18671" s="680" t="s">
        <v>6153</v>
      </c>
    </row>
    <row r="18672" spans="8:8">
      <c r="H18672" s="680" t="s">
        <v>6153</v>
      </c>
    </row>
    <row r="18673" spans="8:8">
      <c r="H18673" s="680" t="s">
        <v>6153</v>
      </c>
    </row>
    <row r="18674" spans="8:8">
      <c r="H18674" s="680" t="s">
        <v>6153</v>
      </c>
    </row>
    <row r="18675" spans="8:8">
      <c r="H18675" s="680" t="s">
        <v>6153</v>
      </c>
    </row>
    <row r="18676" spans="8:8">
      <c r="H18676" s="680" t="s">
        <v>6153</v>
      </c>
    </row>
    <row r="18677" spans="8:8">
      <c r="H18677" s="680" t="s">
        <v>6153</v>
      </c>
    </row>
    <row r="18678" spans="8:8">
      <c r="H18678" s="680" t="s">
        <v>6153</v>
      </c>
    </row>
    <row r="18679" spans="8:8">
      <c r="H18679" s="680" t="s">
        <v>6153</v>
      </c>
    </row>
    <row r="18680" spans="8:8">
      <c r="H18680" s="680" t="s">
        <v>6153</v>
      </c>
    </row>
    <row r="18681" spans="8:8">
      <c r="H18681" s="680" t="s">
        <v>6153</v>
      </c>
    </row>
    <row r="18682" spans="8:8">
      <c r="H18682" s="680" t="s">
        <v>6153</v>
      </c>
    </row>
    <row r="18683" spans="8:8">
      <c r="H18683" s="680" t="s">
        <v>6153</v>
      </c>
    </row>
    <row r="18684" spans="8:8">
      <c r="H18684" s="680" t="s">
        <v>6153</v>
      </c>
    </row>
    <row r="18685" spans="8:8">
      <c r="H18685" s="680" t="s">
        <v>6153</v>
      </c>
    </row>
    <row r="18686" spans="8:8">
      <c r="H18686" s="680" t="s">
        <v>6153</v>
      </c>
    </row>
    <row r="18687" spans="8:8">
      <c r="H18687" s="680" t="s">
        <v>6153</v>
      </c>
    </row>
    <row r="18688" spans="8:8">
      <c r="H18688" s="680" t="s">
        <v>6153</v>
      </c>
    </row>
    <row r="18689" spans="8:8">
      <c r="H18689" s="680" t="s">
        <v>6153</v>
      </c>
    </row>
    <row r="18690" spans="8:8">
      <c r="H18690" s="680" t="s">
        <v>6153</v>
      </c>
    </row>
    <row r="18691" spans="8:8">
      <c r="H18691" s="680" t="s">
        <v>6153</v>
      </c>
    </row>
    <row r="18692" spans="8:8">
      <c r="H18692" s="680" t="s">
        <v>6153</v>
      </c>
    </row>
    <row r="18693" spans="8:8">
      <c r="H18693" s="680" t="s">
        <v>6153</v>
      </c>
    </row>
    <row r="18694" spans="8:8">
      <c r="H18694" s="680" t="s">
        <v>6153</v>
      </c>
    </row>
    <row r="18695" spans="8:8">
      <c r="H18695" s="680" t="s">
        <v>6153</v>
      </c>
    </row>
    <row r="18696" spans="8:8">
      <c r="H18696" s="680" t="s">
        <v>6153</v>
      </c>
    </row>
    <row r="18697" spans="8:8">
      <c r="H18697" s="680" t="s">
        <v>6153</v>
      </c>
    </row>
    <row r="18698" spans="8:8">
      <c r="H18698" s="680" t="s">
        <v>6153</v>
      </c>
    </row>
    <row r="18699" spans="8:8">
      <c r="H18699" s="680" t="s">
        <v>6153</v>
      </c>
    </row>
    <row r="18700" spans="8:8">
      <c r="H18700" s="680" t="s">
        <v>6153</v>
      </c>
    </row>
    <row r="18701" spans="8:8">
      <c r="H18701" s="680" t="s">
        <v>6153</v>
      </c>
    </row>
    <row r="18702" spans="8:8">
      <c r="H18702" s="680" t="s">
        <v>6153</v>
      </c>
    </row>
    <row r="18703" spans="8:8">
      <c r="H18703" s="680" t="s">
        <v>6153</v>
      </c>
    </row>
    <row r="18704" spans="8:8">
      <c r="H18704" s="680" t="s">
        <v>6153</v>
      </c>
    </row>
    <row r="18705" spans="8:8">
      <c r="H18705" s="680" t="s">
        <v>6153</v>
      </c>
    </row>
    <row r="18706" spans="8:8">
      <c r="H18706" s="680" t="s">
        <v>6153</v>
      </c>
    </row>
    <row r="18707" spans="8:8">
      <c r="H18707" s="680" t="s">
        <v>6153</v>
      </c>
    </row>
    <row r="18708" spans="8:8">
      <c r="H18708" s="680" t="s">
        <v>6153</v>
      </c>
    </row>
    <row r="18709" spans="8:8">
      <c r="H18709" s="680" t="s">
        <v>6153</v>
      </c>
    </row>
    <row r="18710" spans="8:8">
      <c r="H18710" s="680" t="s">
        <v>6153</v>
      </c>
    </row>
    <row r="18711" spans="8:8">
      <c r="H18711" s="680" t="s">
        <v>6153</v>
      </c>
    </row>
    <row r="18712" spans="8:8">
      <c r="H18712" s="680" t="s">
        <v>6153</v>
      </c>
    </row>
    <row r="18713" spans="8:8">
      <c r="H18713" s="680" t="s">
        <v>6153</v>
      </c>
    </row>
    <row r="18714" spans="8:8">
      <c r="H18714" s="680" t="s">
        <v>6153</v>
      </c>
    </row>
    <row r="18715" spans="8:8">
      <c r="H18715" s="680" t="s">
        <v>6153</v>
      </c>
    </row>
    <row r="18716" spans="8:8">
      <c r="H18716" s="680" t="s">
        <v>6153</v>
      </c>
    </row>
    <row r="18717" spans="8:8">
      <c r="H18717" s="680" t="s">
        <v>6153</v>
      </c>
    </row>
    <row r="18718" spans="8:8">
      <c r="H18718" s="680" t="s">
        <v>6153</v>
      </c>
    </row>
    <row r="18719" spans="8:8">
      <c r="H18719" s="680" t="s">
        <v>6153</v>
      </c>
    </row>
    <row r="18720" spans="8:8">
      <c r="H18720" s="680" t="s">
        <v>6153</v>
      </c>
    </row>
    <row r="18721" spans="8:8">
      <c r="H18721" s="680" t="s">
        <v>6153</v>
      </c>
    </row>
    <row r="18722" spans="8:8">
      <c r="H18722" s="680" t="s">
        <v>6153</v>
      </c>
    </row>
    <row r="18723" spans="8:8">
      <c r="H18723" s="680" t="s">
        <v>6153</v>
      </c>
    </row>
    <row r="18724" spans="8:8">
      <c r="H18724" s="680" t="s">
        <v>6153</v>
      </c>
    </row>
    <row r="18725" spans="8:8">
      <c r="H18725" s="680" t="s">
        <v>6153</v>
      </c>
    </row>
    <row r="18726" spans="8:8">
      <c r="H18726" s="680" t="s">
        <v>6153</v>
      </c>
    </row>
    <row r="18727" spans="8:8">
      <c r="H18727" s="680" t="s">
        <v>6153</v>
      </c>
    </row>
    <row r="18728" spans="8:8">
      <c r="H18728" s="680" t="s">
        <v>6153</v>
      </c>
    </row>
    <row r="18729" spans="8:8">
      <c r="H18729" s="680" t="s">
        <v>6153</v>
      </c>
    </row>
    <row r="18730" spans="8:8">
      <c r="H18730" s="680" t="s">
        <v>6153</v>
      </c>
    </row>
    <row r="18731" spans="8:8">
      <c r="H18731" s="680" t="s">
        <v>6153</v>
      </c>
    </row>
    <row r="18732" spans="8:8">
      <c r="H18732" s="680" t="s">
        <v>6153</v>
      </c>
    </row>
    <row r="18733" spans="8:8">
      <c r="H18733" s="680" t="s">
        <v>6153</v>
      </c>
    </row>
    <row r="18734" spans="8:8">
      <c r="H18734" s="680" t="s">
        <v>6153</v>
      </c>
    </row>
    <row r="18735" spans="8:8">
      <c r="H18735" s="680" t="s">
        <v>6153</v>
      </c>
    </row>
    <row r="18736" spans="8:8">
      <c r="H18736" s="680" t="s">
        <v>6153</v>
      </c>
    </row>
    <row r="18737" spans="8:8">
      <c r="H18737" s="680" t="s">
        <v>6153</v>
      </c>
    </row>
    <row r="18738" spans="8:8">
      <c r="H18738" s="680" t="s">
        <v>6153</v>
      </c>
    </row>
    <row r="18739" spans="8:8">
      <c r="H18739" s="680" t="s">
        <v>6153</v>
      </c>
    </row>
    <row r="18740" spans="8:8">
      <c r="H18740" s="680" t="s">
        <v>6153</v>
      </c>
    </row>
    <row r="18741" spans="8:8">
      <c r="H18741" s="680" t="s">
        <v>6153</v>
      </c>
    </row>
    <row r="18742" spans="8:8">
      <c r="H18742" s="680" t="s">
        <v>6153</v>
      </c>
    </row>
    <row r="18743" spans="8:8">
      <c r="H18743" s="680" t="s">
        <v>6153</v>
      </c>
    </row>
    <row r="18744" spans="8:8">
      <c r="H18744" s="680" t="s">
        <v>6153</v>
      </c>
    </row>
    <row r="18745" spans="8:8">
      <c r="H18745" s="680" t="s">
        <v>6153</v>
      </c>
    </row>
    <row r="18746" spans="8:8">
      <c r="H18746" s="680" t="s">
        <v>6153</v>
      </c>
    </row>
    <row r="18747" spans="8:8">
      <c r="H18747" s="680" t="s">
        <v>6153</v>
      </c>
    </row>
    <row r="18748" spans="8:8">
      <c r="H18748" s="680" t="s">
        <v>6153</v>
      </c>
    </row>
    <row r="18749" spans="8:8">
      <c r="H18749" s="680" t="s">
        <v>6153</v>
      </c>
    </row>
    <row r="18750" spans="8:8">
      <c r="H18750" s="680" t="s">
        <v>6153</v>
      </c>
    </row>
    <row r="18751" spans="8:8">
      <c r="H18751" s="680" t="s">
        <v>6153</v>
      </c>
    </row>
    <row r="18752" spans="8:8">
      <c r="H18752" s="680" t="s">
        <v>6153</v>
      </c>
    </row>
    <row r="18753" spans="8:8">
      <c r="H18753" s="680" t="s">
        <v>6153</v>
      </c>
    </row>
    <row r="18754" spans="8:8">
      <c r="H18754" s="680" t="s">
        <v>6153</v>
      </c>
    </row>
    <row r="18755" spans="8:8">
      <c r="H18755" s="680" t="s">
        <v>6153</v>
      </c>
    </row>
    <row r="18756" spans="8:8">
      <c r="H18756" s="680" t="s">
        <v>6153</v>
      </c>
    </row>
    <row r="18757" spans="8:8">
      <c r="H18757" s="680" t="s">
        <v>6153</v>
      </c>
    </row>
    <row r="18758" spans="8:8">
      <c r="H18758" s="680" t="s">
        <v>6153</v>
      </c>
    </row>
    <row r="18759" spans="8:8">
      <c r="H18759" s="680" t="s">
        <v>6153</v>
      </c>
    </row>
    <row r="18760" spans="8:8">
      <c r="H18760" s="680" t="s">
        <v>6153</v>
      </c>
    </row>
    <row r="18761" spans="8:8">
      <c r="H18761" s="680" t="s">
        <v>6153</v>
      </c>
    </row>
    <row r="18762" spans="8:8">
      <c r="H18762" s="680" t="s">
        <v>6153</v>
      </c>
    </row>
    <row r="18763" spans="8:8">
      <c r="H18763" s="680" t="s">
        <v>6153</v>
      </c>
    </row>
    <row r="18764" spans="8:8">
      <c r="H18764" s="680" t="s">
        <v>6153</v>
      </c>
    </row>
    <row r="18765" spans="8:8">
      <c r="H18765" s="680" t="s">
        <v>6153</v>
      </c>
    </row>
    <row r="18766" spans="8:8">
      <c r="H18766" s="680" t="s">
        <v>6153</v>
      </c>
    </row>
    <row r="18767" spans="8:8">
      <c r="H18767" s="680" t="s">
        <v>6153</v>
      </c>
    </row>
    <row r="18768" spans="8:8">
      <c r="H18768" s="680" t="s">
        <v>6153</v>
      </c>
    </row>
    <row r="18769" spans="8:8">
      <c r="H18769" s="680" t="s">
        <v>6153</v>
      </c>
    </row>
    <row r="18770" spans="8:8">
      <c r="H18770" s="680" t="s">
        <v>6153</v>
      </c>
    </row>
    <row r="18771" spans="8:8">
      <c r="H18771" s="680" t="s">
        <v>6153</v>
      </c>
    </row>
    <row r="18772" spans="8:8">
      <c r="H18772" s="680" t="s">
        <v>6153</v>
      </c>
    </row>
    <row r="18773" spans="8:8">
      <c r="H18773" s="680" t="s">
        <v>6153</v>
      </c>
    </row>
    <row r="18774" spans="8:8">
      <c r="H18774" s="680" t="s">
        <v>6153</v>
      </c>
    </row>
    <row r="18775" spans="8:8">
      <c r="H18775" s="680" t="s">
        <v>6153</v>
      </c>
    </row>
    <row r="18776" spans="8:8">
      <c r="H18776" s="680" t="s">
        <v>6153</v>
      </c>
    </row>
    <row r="18777" spans="8:8">
      <c r="H18777" s="680" t="s">
        <v>6153</v>
      </c>
    </row>
    <row r="18778" spans="8:8">
      <c r="H18778" s="680" t="s">
        <v>6153</v>
      </c>
    </row>
    <row r="18779" spans="8:8">
      <c r="H18779" s="680" t="s">
        <v>6153</v>
      </c>
    </row>
    <row r="18780" spans="8:8">
      <c r="H18780" s="680" t="s">
        <v>6153</v>
      </c>
    </row>
    <row r="18781" spans="8:8">
      <c r="H18781" s="680" t="s">
        <v>6153</v>
      </c>
    </row>
    <row r="18782" spans="8:8">
      <c r="H18782" s="680" t="s">
        <v>6153</v>
      </c>
    </row>
    <row r="18783" spans="8:8">
      <c r="H18783" s="680" t="s">
        <v>6153</v>
      </c>
    </row>
    <row r="18784" spans="8:8">
      <c r="H18784" s="680" t="s">
        <v>6153</v>
      </c>
    </row>
    <row r="18785" spans="8:8">
      <c r="H18785" s="680" t="s">
        <v>6153</v>
      </c>
    </row>
    <row r="18786" spans="8:8">
      <c r="H18786" s="680" t="s">
        <v>6153</v>
      </c>
    </row>
    <row r="18787" spans="8:8">
      <c r="H18787" s="680" t="s">
        <v>6153</v>
      </c>
    </row>
    <row r="18788" spans="8:8">
      <c r="H18788" s="680" t="s">
        <v>6153</v>
      </c>
    </row>
    <row r="18789" spans="8:8">
      <c r="H18789" s="680" t="s">
        <v>6153</v>
      </c>
    </row>
    <row r="18790" spans="8:8">
      <c r="H18790" s="680" t="s">
        <v>6153</v>
      </c>
    </row>
    <row r="18791" spans="8:8">
      <c r="H18791" s="680" t="s">
        <v>6153</v>
      </c>
    </row>
    <row r="18792" spans="8:8">
      <c r="H18792" s="680" t="s">
        <v>6153</v>
      </c>
    </row>
    <row r="18793" spans="8:8">
      <c r="H18793" s="680" t="s">
        <v>6153</v>
      </c>
    </row>
    <row r="18794" spans="8:8">
      <c r="H18794" s="680" t="s">
        <v>6153</v>
      </c>
    </row>
    <row r="18795" spans="8:8">
      <c r="H18795" s="680" t="s">
        <v>6153</v>
      </c>
    </row>
    <row r="18796" spans="8:8">
      <c r="H18796" s="680" t="s">
        <v>6153</v>
      </c>
    </row>
    <row r="18797" spans="8:8">
      <c r="H18797" s="680" t="s">
        <v>6153</v>
      </c>
    </row>
    <row r="18798" spans="8:8">
      <c r="H18798" s="680" t="s">
        <v>6153</v>
      </c>
    </row>
    <row r="18799" spans="8:8">
      <c r="H18799" s="680" t="s">
        <v>6153</v>
      </c>
    </row>
    <row r="18800" spans="8:8">
      <c r="H18800" s="680" t="s">
        <v>6153</v>
      </c>
    </row>
    <row r="18801" spans="8:8">
      <c r="H18801" s="680" t="s">
        <v>6153</v>
      </c>
    </row>
    <row r="18802" spans="8:8">
      <c r="H18802" s="680" t="s">
        <v>6153</v>
      </c>
    </row>
    <row r="18803" spans="8:8">
      <c r="H18803" s="680" t="s">
        <v>6153</v>
      </c>
    </row>
    <row r="18804" spans="8:8">
      <c r="H18804" s="680" t="s">
        <v>6153</v>
      </c>
    </row>
    <row r="18805" spans="8:8">
      <c r="H18805" s="680" t="s">
        <v>6153</v>
      </c>
    </row>
    <row r="18806" spans="8:8">
      <c r="H18806" s="680" t="s">
        <v>6153</v>
      </c>
    </row>
    <row r="18807" spans="8:8">
      <c r="H18807" s="680" t="s">
        <v>6153</v>
      </c>
    </row>
    <row r="18808" spans="8:8">
      <c r="H18808" s="680" t="s">
        <v>6153</v>
      </c>
    </row>
    <row r="18809" spans="8:8">
      <c r="H18809" s="680" t="s">
        <v>6153</v>
      </c>
    </row>
    <row r="18810" spans="8:8">
      <c r="H18810" s="680" t="s">
        <v>6153</v>
      </c>
    </row>
    <row r="18811" spans="8:8">
      <c r="H18811" s="680" t="s">
        <v>6153</v>
      </c>
    </row>
    <row r="18812" spans="8:8">
      <c r="H18812" s="680" t="s">
        <v>6153</v>
      </c>
    </row>
    <row r="18813" spans="8:8">
      <c r="H18813" s="680" t="s">
        <v>6153</v>
      </c>
    </row>
    <row r="18814" spans="8:8">
      <c r="H18814" s="680" t="s">
        <v>6153</v>
      </c>
    </row>
    <row r="18815" spans="8:8">
      <c r="H18815" s="680" t="s">
        <v>6153</v>
      </c>
    </row>
    <row r="18816" spans="8:8">
      <c r="H18816" s="680" t="s">
        <v>6153</v>
      </c>
    </row>
    <row r="18817" spans="8:8">
      <c r="H18817" s="680" t="s">
        <v>6153</v>
      </c>
    </row>
    <row r="18818" spans="8:8">
      <c r="H18818" s="680" t="s">
        <v>6153</v>
      </c>
    </row>
    <row r="18819" spans="8:8">
      <c r="H18819" s="680" t="s">
        <v>6153</v>
      </c>
    </row>
    <row r="18820" spans="8:8">
      <c r="H18820" s="680" t="s">
        <v>6153</v>
      </c>
    </row>
    <row r="18821" spans="8:8">
      <c r="H18821" s="680" t="s">
        <v>6153</v>
      </c>
    </row>
    <row r="18822" spans="8:8">
      <c r="H18822" s="680" t="s">
        <v>6153</v>
      </c>
    </row>
    <row r="18823" spans="8:8">
      <c r="H18823" s="680" t="s">
        <v>6153</v>
      </c>
    </row>
    <row r="18824" spans="8:8">
      <c r="H18824" s="680" t="s">
        <v>6153</v>
      </c>
    </row>
    <row r="18825" spans="8:8">
      <c r="H18825" s="680" t="s">
        <v>6153</v>
      </c>
    </row>
    <row r="18826" spans="8:8">
      <c r="H18826" s="680" t="s">
        <v>6153</v>
      </c>
    </row>
    <row r="18827" spans="8:8">
      <c r="H18827" s="680" t="s">
        <v>6153</v>
      </c>
    </row>
    <row r="18828" spans="8:8">
      <c r="H18828" s="680" t="s">
        <v>6153</v>
      </c>
    </row>
    <row r="18829" spans="8:8">
      <c r="H18829" s="680" t="s">
        <v>6153</v>
      </c>
    </row>
    <row r="18830" spans="8:8">
      <c r="H18830" s="680" t="s">
        <v>6153</v>
      </c>
    </row>
    <row r="18831" spans="8:8">
      <c r="H18831" s="680" t="s">
        <v>6153</v>
      </c>
    </row>
    <row r="18832" spans="8:8">
      <c r="H18832" s="680" t="s">
        <v>6153</v>
      </c>
    </row>
    <row r="18833" spans="8:8">
      <c r="H18833" s="680" t="s">
        <v>6153</v>
      </c>
    </row>
    <row r="18834" spans="8:8">
      <c r="H18834" s="680" t="s">
        <v>6153</v>
      </c>
    </row>
    <row r="18835" spans="8:8">
      <c r="H18835" s="680" t="s">
        <v>6153</v>
      </c>
    </row>
    <row r="18836" spans="8:8">
      <c r="H18836" s="680" t="s">
        <v>6153</v>
      </c>
    </row>
    <row r="18837" spans="8:8">
      <c r="H18837" s="680" t="s">
        <v>6153</v>
      </c>
    </row>
    <row r="18838" spans="8:8">
      <c r="H18838" s="680" t="s">
        <v>6153</v>
      </c>
    </row>
    <row r="18839" spans="8:8">
      <c r="H18839" s="680" t="s">
        <v>6153</v>
      </c>
    </row>
    <row r="18840" spans="8:8">
      <c r="H18840" s="680" t="s">
        <v>6153</v>
      </c>
    </row>
    <row r="18841" spans="8:8">
      <c r="H18841" s="680" t="s">
        <v>6153</v>
      </c>
    </row>
    <row r="18842" spans="8:8">
      <c r="H18842" s="680" t="s">
        <v>6153</v>
      </c>
    </row>
    <row r="18843" spans="8:8">
      <c r="H18843" s="680" t="s">
        <v>6153</v>
      </c>
    </row>
    <row r="18844" spans="8:8">
      <c r="H18844" s="680" t="s">
        <v>6153</v>
      </c>
    </row>
    <row r="18845" spans="8:8">
      <c r="H18845" s="680" t="s">
        <v>6153</v>
      </c>
    </row>
    <row r="18846" spans="8:8">
      <c r="H18846" s="680" t="s">
        <v>6153</v>
      </c>
    </row>
    <row r="18847" spans="8:8">
      <c r="H18847" s="680" t="s">
        <v>6153</v>
      </c>
    </row>
    <row r="18848" spans="8:8">
      <c r="H18848" s="680" t="s">
        <v>6153</v>
      </c>
    </row>
    <row r="18849" spans="8:8">
      <c r="H18849" s="680" t="s">
        <v>6153</v>
      </c>
    </row>
    <row r="18850" spans="8:8">
      <c r="H18850" s="680" t="s">
        <v>6153</v>
      </c>
    </row>
    <row r="18851" spans="8:8">
      <c r="H18851" s="680" t="s">
        <v>6153</v>
      </c>
    </row>
    <row r="18852" spans="8:8">
      <c r="H18852" s="680" t="s">
        <v>6153</v>
      </c>
    </row>
    <row r="18853" spans="8:8">
      <c r="H18853" s="680" t="s">
        <v>6153</v>
      </c>
    </row>
    <row r="18854" spans="8:8">
      <c r="H18854" s="680" t="s">
        <v>6153</v>
      </c>
    </row>
    <row r="18855" spans="8:8">
      <c r="H18855" s="680" t="s">
        <v>6153</v>
      </c>
    </row>
    <row r="18856" spans="8:8">
      <c r="H18856" s="680" t="s">
        <v>6153</v>
      </c>
    </row>
    <row r="18857" spans="8:8">
      <c r="H18857" s="680" t="s">
        <v>6153</v>
      </c>
    </row>
    <row r="18858" spans="8:8">
      <c r="H18858" s="680" t="s">
        <v>6153</v>
      </c>
    </row>
    <row r="18859" spans="8:8">
      <c r="H18859" s="680" t="s">
        <v>6153</v>
      </c>
    </row>
    <row r="18860" spans="8:8">
      <c r="H18860" s="680" t="s">
        <v>6153</v>
      </c>
    </row>
    <row r="18861" spans="8:8">
      <c r="H18861" s="680" t="s">
        <v>6153</v>
      </c>
    </row>
    <row r="18862" spans="8:8">
      <c r="H18862" s="680" t="s">
        <v>6153</v>
      </c>
    </row>
    <row r="18863" spans="8:8">
      <c r="H18863" s="680" t="s">
        <v>6153</v>
      </c>
    </row>
    <row r="18864" spans="8:8">
      <c r="H18864" s="680" t="s">
        <v>6153</v>
      </c>
    </row>
    <row r="18865" spans="8:8">
      <c r="H18865" s="680" t="s">
        <v>6153</v>
      </c>
    </row>
    <row r="18866" spans="8:8">
      <c r="H18866" s="680" t="s">
        <v>6153</v>
      </c>
    </row>
    <row r="18867" spans="8:8">
      <c r="H18867" s="680" t="s">
        <v>6153</v>
      </c>
    </row>
    <row r="18868" spans="8:8">
      <c r="H18868" s="680" t="s">
        <v>6153</v>
      </c>
    </row>
    <row r="18869" spans="8:8">
      <c r="H18869" s="680" t="s">
        <v>6153</v>
      </c>
    </row>
    <row r="18870" spans="8:8">
      <c r="H18870" s="680" t="s">
        <v>6153</v>
      </c>
    </row>
    <row r="18871" spans="8:8">
      <c r="H18871" s="680" t="s">
        <v>6153</v>
      </c>
    </row>
    <row r="18872" spans="8:8">
      <c r="H18872" s="680" t="s">
        <v>6153</v>
      </c>
    </row>
    <row r="18873" spans="8:8">
      <c r="H18873" s="680" t="s">
        <v>6153</v>
      </c>
    </row>
    <row r="18874" spans="8:8">
      <c r="H18874" s="680" t="s">
        <v>6153</v>
      </c>
    </row>
    <row r="18875" spans="8:8">
      <c r="H18875" s="680" t="s">
        <v>6153</v>
      </c>
    </row>
    <row r="18876" spans="8:8">
      <c r="H18876" s="680" t="s">
        <v>6153</v>
      </c>
    </row>
    <row r="18877" spans="8:8">
      <c r="H18877" s="680" t="s">
        <v>6153</v>
      </c>
    </row>
    <row r="18878" spans="8:8">
      <c r="H18878" s="680" t="s">
        <v>6153</v>
      </c>
    </row>
    <row r="18879" spans="8:8">
      <c r="H18879" s="680" t="s">
        <v>6153</v>
      </c>
    </row>
    <row r="18880" spans="8:8">
      <c r="H18880" s="680" t="s">
        <v>6153</v>
      </c>
    </row>
    <row r="18881" spans="8:8">
      <c r="H18881" s="680" t="s">
        <v>6153</v>
      </c>
    </row>
    <row r="18882" spans="8:8">
      <c r="H18882" s="680" t="s">
        <v>6153</v>
      </c>
    </row>
    <row r="18883" spans="8:8">
      <c r="H18883" s="680" t="s">
        <v>6153</v>
      </c>
    </row>
    <row r="18884" spans="8:8">
      <c r="H18884" s="680" t="s">
        <v>6153</v>
      </c>
    </row>
    <row r="18885" spans="8:8">
      <c r="H18885" s="680" t="s">
        <v>6153</v>
      </c>
    </row>
    <row r="18886" spans="8:8">
      <c r="H18886" s="680" t="s">
        <v>6153</v>
      </c>
    </row>
    <row r="18887" spans="8:8">
      <c r="H18887" s="680" t="s">
        <v>6153</v>
      </c>
    </row>
    <row r="18888" spans="8:8">
      <c r="H18888" s="680" t="s">
        <v>6153</v>
      </c>
    </row>
    <row r="18889" spans="8:8">
      <c r="H18889" s="680" t="s">
        <v>6153</v>
      </c>
    </row>
    <row r="18890" spans="8:8">
      <c r="H18890" s="680" t="s">
        <v>6153</v>
      </c>
    </row>
    <row r="18891" spans="8:8">
      <c r="H18891" s="680" t="s">
        <v>6153</v>
      </c>
    </row>
    <row r="18892" spans="8:8">
      <c r="H18892" s="680" t="s">
        <v>6153</v>
      </c>
    </row>
    <row r="18893" spans="8:8">
      <c r="H18893" s="680" t="s">
        <v>6153</v>
      </c>
    </row>
    <row r="18894" spans="8:8">
      <c r="H18894" s="680" t="s">
        <v>6153</v>
      </c>
    </row>
    <row r="18895" spans="8:8">
      <c r="H18895" s="680" t="s">
        <v>6153</v>
      </c>
    </row>
    <row r="18896" spans="8:8">
      <c r="H18896" s="680" t="s">
        <v>6153</v>
      </c>
    </row>
    <row r="18897" spans="8:8">
      <c r="H18897" s="680" t="s">
        <v>6153</v>
      </c>
    </row>
    <row r="18898" spans="8:8">
      <c r="H18898" s="680" t="s">
        <v>6153</v>
      </c>
    </row>
    <row r="18899" spans="8:8">
      <c r="H18899" s="680" t="s">
        <v>6153</v>
      </c>
    </row>
    <row r="18900" spans="8:8">
      <c r="H18900" s="680" t="s">
        <v>6153</v>
      </c>
    </row>
    <row r="18901" spans="8:8">
      <c r="H18901" s="680" t="s">
        <v>6153</v>
      </c>
    </row>
    <row r="18902" spans="8:8">
      <c r="H18902" s="680" t="s">
        <v>6153</v>
      </c>
    </row>
    <row r="18903" spans="8:8">
      <c r="H18903" s="680" t="s">
        <v>6153</v>
      </c>
    </row>
    <row r="18904" spans="8:8">
      <c r="H18904" s="680" t="s">
        <v>6153</v>
      </c>
    </row>
    <row r="18905" spans="8:8">
      <c r="H18905" s="680" t="s">
        <v>6153</v>
      </c>
    </row>
    <row r="18906" spans="8:8">
      <c r="H18906" s="680" t="s">
        <v>6153</v>
      </c>
    </row>
    <row r="18907" spans="8:8">
      <c r="H18907" s="680" t="s">
        <v>6153</v>
      </c>
    </row>
    <row r="18908" spans="8:8">
      <c r="H18908" s="680" t="s">
        <v>6153</v>
      </c>
    </row>
    <row r="18909" spans="8:8">
      <c r="H18909" s="680" t="s">
        <v>6153</v>
      </c>
    </row>
    <row r="18910" spans="8:8">
      <c r="H18910" s="680" t="s">
        <v>6153</v>
      </c>
    </row>
    <row r="18911" spans="8:8">
      <c r="H18911" s="680" t="s">
        <v>6153</v>
      </c>
    </row>
    <row r="18912" spans="8:8">
      <c r="H18912" s="680" t="s">
        <v>6153</v>
      </c>
    </row>
    <row r="18913" spans="8:8">
      <c r="H18913" s="680" t="s">
        <v>6153</v>
      </c>
    </row>
    <row r="18914" spans="8:8">
      <c r="H18914" s="680" t="s">
        <v>6153</v>
      </c>
    </row>
    <row r="18915" spans="8:8">
      <c r="H18915" s="680" t="s">
        <v>6153</v>
      </c>
    </row>
    <row r="18916" spans="8:8">
      <c r="H18916" s="680" t="s">
        <v>6153</v>
      </c>
    </row>
    <row r="18917" spans="8:8">
      <c r="H18917" s="680" t="s">
        <v>6153</v>
      </c>
    </row>
    <row r="18918" spans="8:8">
      <c r="H18918" s="680" t="s">
        <v>6153</v>
      </c>
    </row>
    <row r="18919" spans="8:8">
      <c r="H18919" s="680" t="s">
        <v>6153</v>
      </c>
    </row>
    <row r="18920" spans="8:8">
      <c r="H18920" s="680" t="s">
        <v>6153</v>
      </c>
    </row>
    <row r="18921" spans="8:8">
      <c r="H18921" s="680" t="s">
        <v>6153</v>
      </c>
    </row>
    <row r="18922" spans="8:8">
      <c r="H18922" s="680" t="s">
        <v>6153</v>
      </c>
    </row>
    <row r="18923" spans="8:8">
      <c r="H18923" s="680" t="s">
        <v>6153</v>
      </c>
    </row>
    <row r="18924" spans="8:8">
      <c r="H18924" s="680" t="s">
        <v>6153</v>
      </c>
    </row>
    <row r="18925" spans="8:8">
      <c r="H18925" s="680" t="s">
        <v>6153</v>
      </c>
    </row>
    <row r="18926" spans="8:8">
      <c r="H18926" s="680" t="s">
        <v>6153</v>
      </c>
    </row>
    <row r="18927" spans="8:8">
      <c r="H18927" s="680" t="s">
        <v>6153</v>
      </c>
    </row>
    <row r="18928" spans="8:8">
      <c r="H18928" s="680" t="s">
        <v>6153</v>
      </c>
    </row>
    <row r="18929" spans="8:8">
      <c r="H18929" s="680" t="s">
        <v>6153</v>
      </c>
    </row>
    <row r="18930" spans="8:8">
      <c r="H18930" s="680" t="s">
        <v>6153</v>
      </c>
    </row>
    <row r="18931" spans="8:8">
      <c r="H18931" s="680" t="s">
        <v>6153</v>
      </c>
    </row>
    <row r="18932" spans="8:8">
      <c r="H18932" s="680" t="s">
        <v>6153</v>
      </c>
    </row>
    <row r="18933" spans="8:8">
      <c r="H18933" s="680" t="s">
        <v>6153</v>
      </c>
    </row>
    <row r="18934" spans="8:8">
      <c r="H18934" s="680" t="s">
        <v>6153</v>
      </c>
    </row>
    <row r="18935" spans="8:8">
      <c r="H18935" s="680" t="s">
        <v>6153</v>
      </c>
    </row>
    <row r="18936" spans="8:8">
      <c r="H18936" s="680" t="s">
        <v>6153</v>
      </c>
    </row>
    <row r="18937" spans="8:8">
      <c r="H18937" s="680" t="s">
        <v>6153</v>
      </c>
    </row>
    <row r="18938" spans="8:8">
      <c r="H18938" s="680" t="s">
        <v>6153</v>
      </c>
    </row>
    <row r="18939" spans="8:8">
      <c r="H18939" s="680" t="s">
        <v>6153</v>
      </c>
    </row>
    <row r="18940" spans="8:8">
      <c r="H18940" s="680" t="s">
        <v>6153</v>
      </c>
    </row>
    <row r="18941" spans="8:8">
      <c r="H18941" s="680" t="s">
        <v>6153</v>
      </c>
    </row>
    <row r="18942" spans="8:8">
      <c r="H18942" s="680" t="s">
        <v>6153</v>
      </c>
    </row>
    <row r="18943" spans="8:8">
      <c r="H18943" s="680" t="s">
        <v>6153</v>
      </c>
    </row>
    <row r="18944" spans="8:8">
      <c r="H18944" s="680" t="s">
        <v>6153</v>
      </c>
    </row>
    <row r="18945" spans="8:8">
      <c r="H18945" s="680" t="s">
        <v>6153</v>
      </c>
    </row>
    <row r="18946" spans="8:8">
      <c r="H18946" s="680" t="s">
        <v>6153</v>
      </c>
    </row>
    <row r="18947" spans="8:8">
      <c r="H18947" s="680" t="s">
        <v>6153</v>
      </c>
    </row>
    <row r="18948" spans="8:8">
      <c r="H18948" s="680" t="s">
        <v>6153</v>
      </c>
    </row>
    <row r="18949" spans="8:8">
      <c r="H18949" s="680" t="s">
        <v>6153</v>
      </c>
    </row>
    <row r="18950" spans="8:8">
      <c r="H18950" s="680" t="s">
        <v>6153</v>
      </c>
    </row>
    <row r="18951" spans="8:8">
      <c r="H18951" s="680" t="s">
        <v>6153</v>
      </c>
    </row>
    <row r="18952" spans="8:8">
      <c r="H18952" s="680" t="s">
        <v>6153</v>
      </c>
    </row>
    <row r="18953" spans="8:8">
      <c r="H18953" s="680" t="s">
        <v>6153</v>
      </c>
    </row>
    <row r="18954" spans="8:8">
      <c r="H18954" s="680" t="s">
        <v>6153</v>
      </c>
    </row>
    <row r="18955" spans="8:8">
      <c r="H18955" s="680" t="s">
        <v>6153</v>
      </c>
    </row>
    <row r="18956" spans="8:8">
      <c r="H18956" s="680" t="s">
        <v>6153</v>
      </c>
    </row>
    <row r="18957" spans="8:8">
      <c r="H18957" s="680" t="s">
        <v>6153</v>
      </c>
    </row>
    <row r="18958" spans="8:8">
      <c r="H18958" s="680" t="s">
        <v>6153</v>
      </c>
    </row>
    <row r="18959" spans="8:8">
      <c r="H18959" s="680" t="s">
        <v>6153</v>
      </c>
    </row>
    <row r="18960" spans="8:8">
      <c r="H18960" s="680" t="s">
        <v>6153</v>
      </c>
    </row>
    <row r="18961" spans="8:8">
      <c r="H18961" s="680" t="s">
        <v>6153</v>
      </c>
    </row>
    <row r="18962" spans="8:8">
      <c r="H18962" s="680" t="s">
        <v>6153</v>
      </c>
    </row>
    <row r="18963" spans="8:8">
      <c r="H18963" s="680" t="s">
        <v>6153</v>
      </c>
    </row>
    <row r="18964" spans="8:8">
      <c r="H18964" s="680" t="s">
        <v>6153</v>
      </c>
    </row>
    <row r="18965" spans="8:8">
      <c r="H18965" s="680" t="s">
        <v>6153</v>
      </c>
    </row>
    <row r="18966" spans="8:8">
      <c r="H18966" s="680" t="s">
        <v>6153</v>
      </c>
    </row>
    <row r="18967" spans="8:8">
      <c r="H18967" s="680" t="s">
        <v>6153</v>
      </c>
    </row>
    <row r="18968" spans="8:8">
      <c r="H18968" s="680" t="s">
        <v>6153</v>
      </c>
    </row>
    <row r="18969" spans="8:8">
      <c r="H18969" s="680" t="s">
        <v>6153</v>
      </c>
    </row>
    <row r="18970" spans="8:8">
      <c r="H18970" s="680" t="s">
        <v>6153</v>
      </c>
    </row>
    <row r="18971" spans="8:8">
      <c r="H18971" s="680" t="s">
        <v>6153</v>
      </c>
    </row>
    <row r="18972" spans="8:8">
      <c r="H18972" s="680" t="s">
        <v>6153</v>
      </c>
    </row>
    <row r="18973" spans="8:8">
      <c r="H18973" s="680" t="s">
        <v>6153</v>
      </c>
    </row>
    <row r="18974" spans="8:8">
      <c r="H18974" s="680" t="s">
        <v>6153</v>
      </c>
    </row>
    <row r="18975" spans="8:8">
      <c r="H18975" s="680" t="s">
        <v>6153</v>
      </c>
    </row>
    <row r="18976" spans="8:8">
      <c r="H18976" s="680" t="s">
        <v>6153</v>
      </c>
    </row>
    <row r="18977" spans="8:8">
      <c r="H18977" s="680" t="s">
        <v>6153</v>
      </c>
    </row>
    <row r="18978" spans="8:8">
      <c r="H18978" s="680" t="s">
        <v>6153</v>
      </c>
    </row>
    <row r="18979" spans="8:8">
      <c r="H18979" s="680" t="s">
        <v>6153</v>
      </c>
    </row>
    <row r="18980" spans="8:8">
      <c r="H18980" s="680" t="s">
        <v>6153</v>
      </c>
    </row>
    <row r="18981" spans="8:8">
      <c r="H18981" s="680" t="s">
        <v>6153</v>
      </c>
    </row>
    <row r="18982" spans="8:8">
      <c r="H18982" s="680" t="s">
        <v>6153</v>
      </c>
    </row>
    <row r="18983" spans="8:8">
      <c r="H18983" s="680" t="s">
        <v>6153</v>
      </c>
    </row>
    <row r="18984" spans="8:8">
      <c r="H18984" s="680" t="s">
        <v>6153</v>
      </c>
    </row>
    <row r="18985" spans="8:8">
      <c r="H18985" s="680" t="s">
        <v>6153</v>
      </c>
    </row>
    <row r="18986" spans="8:8">
      <c r="H18986" s="680" t="s">
        <v>6153</v>
      </c>
    </row>
    <row r="18987" spans="8:8">
      <c r="H18987" s="680" t="s">
        <v>6153</v>
      </c>
    </row>
    <row r="18988" spans="8:8">
      <c r="H18988" s="680" t="s">
        <v>6153</v>
      </c>
    </row>
    <row r="18989" spans="8:8">
      <c r="H18989" s="680" t="s">
        <v>6153</v>
      </c>
    </row>
    <row r="18990" spans="8:8">
      <c r="H18990" s="680" t="s">
        <v>6153</v>
      </c>
    </row>
    <row r="18991" spans="8:8">
      <c r="H18991" s="680" t="s">
        <v>6153</v>
      </c>
    </row>
    <row r="18992" spans="8:8">
      <c r="H18992" s="680" t="s">
        <v>6153</v>
      </c>
    </row>
    <row r="18993" spans="8:8">
      <c r="H18993" s="680" t="s">
        <v>6153</v>
      </c>
    </row>
    <row r="18994" spans="8:8">
      <c r="H18994" s="680" t="s">
        <v>6153</v>
      </c>
    </row>
    <row r="18995" spans="8:8">
      <c r="H18995" s="680" t="s">
        <v>6153</v>
      </c>
    </row>
    <row r="18996" spans="8:8">
      <c r="H18996" s="680" t="s">
        <v>6153</v>
      </c>
    </row>
    <row r="18997" spans="8:8">
      <c r="H18997" s="680" t="s">
        <v>6153</v>
      </c>
    </row>
    <row r="18998" spans="8:8">
      <c r="H18998" s="680" t="s">
        <v>6153</v>
      </c>
    </row>
    <row r="18999" spans="8:8">
      <c r="H18999" s="680" t="s">
        <v>6153</v>
      </c>
    </row>
    <row r="19000" spans="8:8">
      <c r="H19000" s="680" t="s">
        <v>6153</v>
      </c>
    </row>
    <row r="19001" spans="8:8">
      <c r="H19001" s="680" t="s">
        <v>6153</v>
      </c>
    </row>
    <row r="19002" spans="8:8">
      <c r="H19002" s="680" t="s">
        <v>6153</v>
      </c>
    </row>
    <row r="19003" spans="8:8">
      <c r="H19003" s="680" t="s">
        <v>6153</v>
      </c>
    </row>
    <row r="19004" spans="8:8">
      <c r="H19004" s="680" t="s">
        <v>6153</v>
      </c>
    </row>
    <row r="19005" spans="8:8">
      <c r="H19005" s="680" t="s">
        <v>6153</v>
      </c>
    </row>
    <row r="19006" spans="8:8">
      <c r="H19006" s="680" t="s">
        <v>6153</v>
      </c>
    </row>
    <row r="19007" spans="8:8">
      <c r="H19007" s="680" t="s">
        <v>6153</v>
      </c>
    </row>
    <row r="19008" spans="8:8">
      <c r="H19008" s="680" t="s">
        <v>6153</v>
      </c>
    </row>
    <row r="19009" spans="8:8">
      <c r="H19009" s="680" t="s">
        <v>6153</v>
      </c>
    </row>
    <row r="19010" spans="8:8">
      <c r="H19010" s="680" t="s">
        <v>6153</v>
      </c>
    </row>
    <row r="19011" spans="8:8">
      <c r="H19011" s="680" t="s">
        <v>6153</v>
      </c>
    </row>
    <row r="19012" spans="8:8">
      <c r="H19012" s="680" t="s">
        <v>6153</v>
      </c>
    </row>
    <row r="19013" spans="8:8">
      <c r="H19013" s="680" t="s">
        <v>6153</v>
      </c>
    </row>
    <row r="19014" spans="8:8">
      <c r="H19014" s="680" t="s">
        <v>6153</v>
      </c>
    </row>
    <row r="19015" spans="8:8">
      <c r="H19015" s="680" t="s">
        <v>6153</v>
      </c>
    </row>
    <row r="19016" spans="8:8">
      <c r="H19016" s="680" t="s">
        <v>6153</v>
      </c>
    </row>
    <row r="19017" spans="8:8">
      <c r="H19017" s="680" t="s">
        <v>6153</v>
      </c>
    </row>
    <row r="19018" spans="8:8">
      <c r="H19018" s="680" t="s">
        <v>6153</v>
      </c>
    </row>
    <row r="19019" spans="8:8">
      <c r="H19019" s="680" t="s">
        <v>6153</v>
      </c>
    </row>
    <row r="19020" spans="8:8">
      <c r="H19020" s="680" t="s">
        <v>6153</v>
      </c>
    </row>
    <row r="19021" spans="8:8">
      <c r="H19021" s="680" t="s">
        <v>6153</v>
      </c>
    </row>
    <row r="19022" spans="8:8">
      <c r="H19022" s="680" t="s">
        <v>6153</v>
      </c>
    </row>
    <row r="19023" spans="8:8">
      <c r="H19023" s="680" t="s">
        <v>6153</v>
      </c>
    </row>
    <row r="19024" spans="8:8">
      <c r="H19024" s="680" t="s">
        <v>6153</v>
      </c>
    </row>
    <row r="19025" spans="8:8">
      <c r="H19025" s="680" t="s">
        <v>6153</v>
      </c>
    </row>
    <row r="19026" spans="8:8">
      <c r="H19026" s="680" t="s">
        <v>6153</v>
      </c>
    </row>
    <row r="19027" spans="8:8">
      <c r="H19027" s="680" t="s">
        <v>6153</v>
      </c>
    </row>
    <row r="19028" spans="8:8">
      <c r="H19028" s="680" t="s">
        <v>6153</v>
      </c>
    </row>
    <row r="19029" spans="8:8">
      <c r="H19029" s="680" t="s">
        <v>6153</v>
      </c>
    </row>
    <row r="19030" spans="8:8">
      <c r="H19030" s="680" t="s">
        <v>6153</v>
      </c>
    </row>
    <row r="19031" spans="8:8">
      <c r="H19031" s="680" t="s">
        <v>6153</v>
      </c>
    </row>
    <row r="19032" spans="8:8">
      <c r="H19032" s="680" t="s">
        <v>6153</v>
      </c>
    </row>
    <row r="19033" spans="8:8">
      <c r="H19033" s="680" t="s">
        <v>6153</v>
      </c>
    </row>
    <row r="19034" spans="8:8">
      <c r="H19034" s="680" t="s">
        <v>6153</v>
      </c>
    </row>
    <row r="19035" spans="8:8">
      <c r="H19035" s="680" t="s">
        <v>6153</v>
      </c>
    </row>
    <row r="19036" spans="8:8">
      <c r="H19036" s="680" t="s">
        <v>6153</v>
      </c>
    </row>
    <row r="19037" spans="8:8">
      <c r="H19037" s="680" t="s">
        <v>6153</v>
      </c>
    </row>
    <row r="19038" spans="8:8">
      <c r="H19038" s="680" t="s">
        <v>6153</v>
      </c>
    </row>
    <row r="19039" spans="8:8">
      <c r="H19039" s="680" t="s">
        <v>6153</v>
      </c>
    </row>
    <row r="19040" spans="8:8">
      <c r="H19040" s="680" t="s">
        <v>6153</v>
      </c>
    </row>
    <row r="19041" spans="8:8">
      <c r="H19041" s="680" t="s">
        <v>6153</v>
      </c>
    </row>
    <row r="19042" spans="8:8">
      <c r="H19042" s="680" t="s">
        <v>6153</v>
      </c>
    </row>
    <row r="19043" spans="8:8">
      <c r="H19043" s="680" t="s">
        <v>6153</v>
      </c>
    </row>
    <row r="19044" spans="8:8">
      <c r="H19044" s="680" t="s">
        <v>6153</v>
      </c>
    </row>
    <row r="19045" spans="8:8">
      <c r="H19045" s="680" t="s">
        <v>6153</v>
      </c>
    </row>
    <row r="19046" spans="8:8">
      <c r="H19046" s="680" t="s">
        <v>6153</v>
      </c>
    </row>
    <row r="19047" spans="8:8">
      <c r="H19047" s="680" t="s">
        <v>6153</v>
      </c>
    </row>
    <row r="19048" spans="8:8">
      <c r="H19048" s="680" t="s">
        <v>6153</v>
      </c>
    </row>
    <row r="19049" spans="8:8">
      <c r="H19049" s="680" t="s">
        <v>6153</v>
      </c>
    </row>
    <row r="19050" spans="8:8">
      <c r="H19050" s="680" t="s">
        <v>6153</v>
      </c>
    </row>
    <row r="19051" spans="8:8">
      <c r="H19051" s="680" t="s">
        <v>6153</v>
      </c>
    </row>
    <row r="19052" spans="8:8">
      <c r="H19052" s="680" t="s">
        <v>6153</v>
      </c>
    </row>
    <row r="19053" spans="8:8">
      <c r="H19053" s="680" t="s">
        <v>6153</v>
      </c>
    </row>
    <row r="19054" spans="8:8">
      <c r="H19054" s="680" t="s">
        <v>6153</v>
      </c>
    </row>
    <row r="19055" spans="8:8">
      <c r="H19055" s="680" t="s">
        <v>6153</v>
      </c>
    </row>
    <row r="19056" spans="8:8">
      <c r="H19056" s="680" t="s">
        <v>6153</v>
      </c>
    </row>
    <row r="19057" spans="8:8">
      <c r="H19057" s="680" t="s">
        <v>6153</v>
      </c>
    </row>
    <row r="19058" spans="8:8">
      <c r="H19058" s="680" t="s">
        <v>6153</v>
      </c>
    </row>
    <row r="19059" spans="8:8">
      <c r="H19059" s="680" t="s">
        <v>6153</v>
      </c>
    </row>
    <row r="19060" spans="8:8">
      <c r="H19060" s="680" t="s">
        <v>6153</v>
      </c>
    </row>
    <row r="19061" spans="8:8">
      <c r="H19061" s="680" t="s">
        <v>6153</v>
      </c>
    </row>
    <row r="19062" spans="8:8">
      <c r="H19062" s="680" t="s">
        <v>6153</v>
      </c>
    </row>
    <row r="19063" spans="8:8">
      <c r="H19063" s="680" t="s">
        <v>6153</v>
      </c>
    </row>
    <row r="19064" spans="8:8">
      <c r="H19064" s="680" t="s">
        <v>6153</v>
      </c>
    </row>
    <row r="19065" spans="8:8">
      <c r="H19065" s="680" t="s">
        <v>6153</v>
      </c>
    </row>
    <row r="19066" spans="8:8">
      <c r="H19066" s="680" t="s">
        <v>6153</v>
      </c>
    </row>
    <row r="19067" spans="8:8">
      <c r="H19067" s="680" t="s">
        <v>6153</v>
      </c>
    </row>
    <row r="19068" spans="8:8">
      <c r="H19068" s="680" t="s">
        <v>6153</v>
      </c>
    </row>
    <row r="19069" spans="8:8">
      <c r="H19069" s="680" t="s">
        <v>6153</v>
      </c>
    </row>
    <row r="19070" spans="8:8">
      <c r="H19070" s="680" t="s">
        <v>6153</v>
      </c>
    </row>
    <row r="19071" spans="8:8">
      <c r="H19071" s="680" t="s">
        <v>6153</v>
      </c>
    </row>
    <row r="19072" spans="8:8">
      <c r="H19072" s="680" t="s">
        <v>6153</v>
      </c>
    </row>
    <row r="19073" spans="8:8">
      <c r="H19073" s="680" t="s">
        <v>6153</v>
      </c>
    </row>
    <row r="19074" spans="8:8">
      <c r="H19074" s="680" t="s">
        <v>6153</v>
      </c>
    </row>
    <row r="19075" spans="8:8">
      <c r="H19075" s="680" t="s">
        <v>6153</v>
      </c>
    </row>
    <row r="19076" spans="8:8">
      <c r="H19076" s="680" t="s">
        <v>6153</v>
      </c>
    </row>
    <row r="19077" spans="8:8">
      <c r="H19077" s="680" t="s">
        <v>6153</v>
      </c>
    </row>
    <row r="19078" spans="8:8">
      <c r="H19078" s="680" t="s">
        <v>6153</v>
      </c>
    </row>
    <row r="19079" spans="8:8">
      <c r="H19079" s="680" t="s">
        <v>6153</v>
      </c>
    </row>
    <row r="19080" spans="8:8">
      <c r="H19080" s="680" t="s">
        <v>6153</v>
      </c>
    </row>
    <row r="19081" spans="8:8">
      <c r="H19081" s="680" t="s">
        <v>6153</v>
      </c>
    </row>
    <row r="19082" spans="8:8">
      <c r="H19082" s="680" t="s">
        <v>6153</v>
      </c>
    </row>
    <row r="19083" spans="8:8">
      <c r="H19083" s="680" t="s">
        <v>6153</v>
      </c>
    </row>
    <row r="19084" spans="8:8">
      <c r="H19084" s="680" t="s">
        <v>6153</v>
      </c>
    </row>
    <row r="19085" spans="8:8">
      <c r="H19085" s="680" t="s">
        <v>6153</v>
      </c>
    </row>
    <row r="19086" spans="8:8">
      <c r="H19086" s="680" t="s">
        <v>6153</v>
      </c>
    </row>
    <row r="19087" spans="8:8">
      <c r="H19087" s="680" t="s">
        <v>6153</v>
      </c>
    </row>
    <row r="19088" spans="8:8">
      <c r="H19088" s="680" t="s">
        <v>6153</v>
      </c>
    </row>
    <row r="19089" spans="8:8">
      <c r="H19089" s="680" t="s">
        <v>6153</v>
      </c>
    </row>
    <row r="19090" spans="8:8">
      <c r="H19090" s="680" t="s">
        <v>6153</v>
      </c>
    </row>
    <row r="19091" spans="8:8">
      <c r="H19091" s="680" t="s">
        <v>6153</v>
      </c>
    </row>
    <row r="19092" spans="8:8">
      <c r="H19092" s="680" t="s">
        <v>6153</v>
      </c>
    </row>
    <row r="19093" spans="8:8">
      <c r="H19093" s="680" t="s">
        <v>6153</v>
      </c>
    </row>
    <row r="19094" spans="8:8">
      <c r="H19094" s="680" t="s">
        <v>6153</v>
      </c>
    </row>
    <row r="19095" spans="8:8">
      <c r="H19095" s="680" t="s">
        <v>6153</v>
      </c>
    </row>
    <row r="19096" spans="8:8">
      <c r="H19096" s="680" t="s">
        <v>6153</v>
      </c>
    </row>
    <row r="19097" spans="8:8">
      <c r="H19097" s="680" t="s">
        <v>6153</v>
      </c>
    </row>
    <row r="19098" spans="8:8">
      <c r="H19098" s="680" t="s">
        <v>6153</v>
      </c>
    </row>
    <row r="19099" spans="8:8">
      <c r="H19099" s="680" t="s">
        <v>6153</v>
      </c>
    </row>
    <row r="19100" spans="8:8">
      <c r="H19100" s="680" t="s">
        <v>6153</v>
      </c>
    </row>
    <row r="19101" spans="8:8">
      <c r="H19101" s="680" t="s">
        <v>6153</v>
      </c>
    </row>
    <row r="19102" spans="8:8">
      <c r="H19102" s="680" t="s">
        <v>6153</v>
      </c>
    </row>
    <row r="19103" spans="8:8">
      <c r="H19103" s="680" t="s">
        <v>6153</v>
      </c>
    </row>
    <row r="19104" spans="8:8">
      <c r="H19104" s="680" t="s">
        <v>6153</v>
      </c>
    </row>
    <row r="19105" spans="8:8">
      <c r="H19105" s="680" t="s">
        <v>6153</v>
      </c>
    </row>
    <row r="19106" spans="8:8">
      <c r="H19106" s="680" t="s">
        <v>6153</v>
      </c>
    </row>
    <row r="19107" spans="8:8">
      <c r="H19107" s="680" t="s">
        <v>6153</v>
      </c>
    </row>
    <row r="19108" spans="8:8">
      <c r="H19108" s="680" t="s">
        <v>6153</v>
      </c>
    </row>
    <row r="19109" spans="8:8">
      <c r="H19109" s="680" t="s">
        <v>6153</v>
      </c>
    </row>
    <row r="19110" spans="8:8">
      <c r="H19110" s="680" t="s">
        <v>6153</v>
      </c>
    </row>
    <row r="19111" spans="8:8">
      <c r="H19111" s="680" t="s">
        <v>6153</v>
      </c>
    </row>
    <row r="19112" spans="8:8">
      <c r="H19112" s="680" t="s">
        <v>6153</v>
      </c>
    </row>
    <row r="19113" spans="8:8">
      <c r="H19113" s="680" t="s">
        <v>6153</v>
      </c>
    </row>
    <row r="19114" spans="8:8">
      <c r="H19114" s="680" t="s">
        <v>6153</v>
      </c>
    </row>
    <row r="19115" spans="8:8">
      <c r="H19115" s="680" t="s">
        <v>6153</v>
      </c>
    </row>
    <row r="19116" spans="8:8">
      <c r="H19116" s="680" t="s">
        <v>6153</v>
      </c>
    </row>
    <row r="19117" spans="8:8">
      <c r="H19117" s="680" t="s">
        <v>6153</v>
      </c>
    </row>
    <row r="19118" spans="8:8">
      <c r="H19118" s="680" t="s">
        <v>6153</v>
      </c>
    </row>
    <row r="19119" spans="8:8">
      <c r="H19119" s="680" t="s">
        <v>6153</v>
      </c>
    </row>
    <row r="19120" spans="8:8">
      <c r="H19120" s="680" t="s">
        <v>6153</v>
      </c>
    </row>
    <row r="19121" spans="8:8">
      <c r="H19121" s="680" t="s">
        <v>6153</v>
      </c>
    </row>
    <row r="19122" spans="8:8">
      <c r="H19122" s="680" t="s">
        <v>6153</v>
      </c>
    </row>
    <row r="19123" spans="8:8">
      <c r="H19123" s="680" t="s">
        <v>6153</v>
      </c>
    </row>
    <row r="19124" spans="8:8">
      <c r="H19124" s="680" t="s">
        <v>6153</v>
      </c>
    </row>
    <row r="19125" spans="8:8">
      <c r="H19125" s="680" t="s">
        <v>6153</v>
      </c>
    </row>
    <row r="19126" spans="8:8">
      <c r="H19126" s="680" t="s">
        <v>6153</v>
      </c>
    </row>
    <row r="19127" spans="8:8">
      <c r="H19127" s="680" t="s">
        <v>6153</v>
      </c>
    </row>
    <row r="19128" spans="8:8">
      <c r="H19128" s="680" t="s">
        <v>6153</v>
      </c>
    </row>
    <row r="19129" spans="8:8">
      <c r="H19129" s="680" t="s">
        <v>6153</v>
      </c>
    </row>
    <row r="19130" spans="8:8">
      <c r="H19130" s="680" t="s">
        <v>6153</v>
      </c>
    </row>
    <row r="19131" spans="8:8">
      <c r="H19131" s="680" t="s">
        <v>6153</v>
      </c>
    </row>
    <row r="19132" spans="8:8">
      <c r="H19132" s="680" t="s">
        <v>6153</v>
      </c>
    </row>
    <row r="19133" spans="8:8">
      <c r="H19133" s="680" t="s">
        <v>6153</v>
      </c>
    </row>
    <row r="19134" spans="8:8">
      <c r="H19134" s="680" t="s">
        <v>6153</v>
      </c>
    </row>
    <row r="19135" spans="8:8">
      <c r="H19135" s="680" t="s">
        <v>6153</v>
      </c>
    </row>
    <row r="19136" spans="8:8">
      <c r="H19136" s="680" t="s">
        <v>6153</v>
      </c>
    </row>
    <row r="19137" spans="8:8">
      <c r="H19137" s="680" t="s">
        <v>6153</v>
      </c>
    </row>
    <row r="19138" spans="8:8">
      <c r="H19138" s="680" t="s">
        <v>6153</v>
      </c>
    </row>
    <row r="19139" spans="8:8">
      <c r="H19139" s="680" t="s">
        <v>6153</v>
      </c>
    </row>
    <row r="19140" spans="8:8">
      <c r="H19140" s="680" t="s">
        <v>6153</v>
      </c>
    </row>
    <row r="19141" spans="8:8">
      <c r="H19141" s="680" t="s">
        <v>6153</v>
      </c>
    </row>
    <row r="19142" spans="8:8">
      <c r="H19142" s="680" t="s">
        <v>6153</v>
      </c>
    </row>
    <row r="19143" spans="8:8">
      <c r="H19143" s="680" t="s">
        <v>6153</v>
      </c>
    </row>
    <row r="19144" spans="8:8">
      <c r="H19144" s="680" t="s">
        <v>6153</v>
      </c>
    </row>
    <row r="19145" spans="8:8">
      <c r="H19145" s="680" t="s">
        <v>6153</v>
      </c>
    </row>
    <row r="19146" spans="8:8">
      <c r="H19146" s="680" t="s">
        <v>6153</v>
      </c>
    </row>
    <row r="19147" spans="8:8">
      <c r="H19147" s="680" t="s">
        <v>6153</v>
      </c>
    </row>
    <row r="19148" spans="8:8">
      <c r="H19148" s="680" t="s">
        <v>6153</v>
      </c>
    </row>
    <row r="19149" spans="8:8">
      <c r="H19149" s="680" t="s">
        <v>6153</v>
      </c>
    </row>
    <row r="19150" spans="8:8">
      <c r="H19150" s="680" t="s">
        <v>6153</v>
      </c>
    </row>
    <row r="19151" spans="8:8">
      <c r="H19151" s="680" t="s">
        <v>6153</v>
      </c>
    </row>
    <row r="19152" spans="8:8">
      <c r="H19152" s="680" t="s">
        <v>6153</v>
      </c>
    </row>
    <row r="19153" spans="8:8">
      <c r="H19153" s="680" t="s">
        <v>6153</v>
      </c>
    </row>
    <row r="19154" spans="8:8">
      <c r="H19154" s="680" t="s">
        <v>6153</v>
      </c>
    </row>
    <row r="19155" spans="8:8">
      <c r="H19155" s="680" t="s">
        <v>6153</v>
      </c>
    </row>
    <row r="19156" spans="8:8">
      <c r="H19156" s="680" t="s">
        <v>6153</v>
      </c>
    </row>
    <row r="19157" spans="8:8">
      <c r="H19157" s="680" t="s">
        <v>6153</v>
      </c>
    </row>
    <row r="19158" spans="8:8">
      <c r="H19158" s="680" t="s">
        <v>6153</v>
      </c>
    </row>
    <row r="19159" spans="8:8">
      <c r="H19159" s="680" t="s">
        <v>6153</v>
      </c>
    </row>
    <row r="19160" spans="8:8">
      <c r="H19160" s="680" t="s">
        <v>6153</v>
      </c>
    </row>
    <row r="19161" spans="8:8">
      <c r="H19161" s="680" t="s">
        <v>6153</v>
      </c>
    </row>
    <row r="19162" spans="8:8">
      <c r="H19162" s="680" t="s">
        <v>6153</v>
      </c>
    </row>
    <row r="19163" spans="8:8">
      <c r="H19163" s="680" t="s">
        <v>6153</v>
      </c>
    </row>
    <row r="19164" spans="8:8">
      <c r="H19164" s="680" t="s">
        <v>6153</v>
      </c>
    </row>
    <row r="19165" spans="8:8">
      <c r="H19165" s="680" t="s">
        <v>6153</v>
      </c>
    </row>
    <row r="19166" spans="8:8">
      <c r="H19166" s="680" t="s">
        <v>6153</v>
      </c>
    </row>
    <row r="19167" spans="8:8">
      <c r="H19167" s="680" t="s">
        <v>6153</v>
      </c>
    </row>
    <row r="19168" spans="8:8">
      <c r="H19168" s="680" t="s">
        <v>6153</v>
      </c>
    </row>
    <row r="19169" spans="8:8">
      <c r="H19169" s="680" t="s">
        <v>6153</v>
      </c>
    </row>
    <row r="19170" spans="8:8">
      <c r="H19170" s="680" t="s">
        <v>6153</v>
      </c>
    </row>
    <row r="19171" spans="8:8">
      <c r="H19171" s="680" t="s">
        <v>6153</v>
      </c>
    </row>
    <row r="19172" spans="8:8">
      <c r="H19172" s="680" t="s">
        <v>6153</v>
      </c>
    </row>
    <row r="19173" spans="8:8">
      <c r="H19173" s="680" t="s">
        <v>6153</v>
      </c>
    </row>
    <row r="19174" spans="8:8">
      <c r="H19174" s="680" t="s">
        <v>6153</v>
      </c>
    </row>
    <row r="19175" spans="8:8">
      <c r="H19175" s="680" t="s">
        <v>6153</v>
      </c>
    </row>
    <row r="19176" spans="8:8">
      <c r="H19176" s="680" t="s">
        <v>6153</v>
      </c>
    </row>
    <row r="19177" spans="8:8">
      <c r="H19177" s="680" t="s">
        <v>6153</v>
      </c>
    </row>
    <row r="19178" spans="8:8">
      <c r="H19178" s="680" t="s">
        <v>6153</v>
      </c>
    </row>
    <row r="19179" spans="8:8">
      <c r="H19179" s="680" t="s">
        <v>6153</v>
      </c>
    </row>
    <row r="19180" spans="8:8">
      <c r="H19180" s="680" t="s">
        <v>6153</v>
      </c>
    </row>
    <row r="19181" spans="8:8">
      <c r="H19181" s="680" t="s">
        <v>6153</v>
      </c>
    </row>
    <row r="19182" spans="8:8">
      <c r="H19182" s="680" t="s">
        <v>6153</v>
      </c>
    </row>
    <row r="19183" spans="8:8">
      <c r="H19183" s="680" t="s">
        <v>6153</v>
      </c>
    </row>
    <row r="19184" spans="8:8">
      <c r="H19184" s="680" t="s">
        <v>6153</v>
      </c>
    </row>
    <row r="19185" spans="8:8">
      <c r="H19185" s="680" t="s">
        <v>6153</v>
      </c>
    </row>
    <row r="19186" spans="8:8">
      <c r="H19186" s="680" t="s">
        <v>6153</v>
      </c>
    </row>
    <row r="19187" spans="8:8">
      <c r="H19187" s="680" t="s">
        <v>6153</v>
      </c>
    </row>
    <row r="19188" spans="8:8">
      <c r="H19188" s="680" t="s">
        <v>6153</v>
      </c>
    </row>
    <row r="19189" spans="8:8">
      <c r="H19189" s="680" t="s">
        <v>6153</v>
      </c>
    </row>
    <row r="19190" spans="8:8">
      <c r="H19190" s="680" t="s">
        <v>6153</v>
      </c>
    </row>
    <row r="19191" spans="8:8">
      <c r="H19191" s="680" t="s">
        <v>6153</v>
      </c>
    </row>
    <row r="19192" spans="8:8">
      <c r="H19192" s="680" t="s">
        <v>6153</v>
      </c>
    </row>
    <row r="19193" spans="8:8">
      <c r="H19193" s="680" t="s">
        <v>6153</v>
      </c>
    </row>
    <row r="19194" spans="8:8">
      <c r="H19194" s="680" t="s">
        <v>6153</v>
      </c>
    </row>
    <row r="19195" spans="8:8">
      <c r="H19195" s="680" t="s">
        <v>6153</v>
      </c>
    </row>
    <row r="19196" spans="8:8">
      <c r="H19196" s="680" t="s">
        <v>6153</v>
      </c>
    </row>
    <row r="19197" spans="8:8">
      <c r="H19197" s="680" t="s">
        <v>6153</v>
      </c>
    </row>
    <row r="19198" spans="8:8">
      <c r="H19198" s="680" t="s">
        <v>6153</v>
      </c>
    </row>
    <row r="19199" spans="8:8">
      <c r="H19199" s="680" t="s">
        <v>6153</v>
      </c>
    </row>
    <row r="19200" spans="8:8">
      <c r="H19200" s="680" t="s">
        <v>6153</v>
      </c>
    </row>
    <row r="19201" spans="8:8">
      <c r="H19201" s="680" t="s">
        <v>6153</v>
      </c>
    </row>
    <row r="19202" spans="8:8">
      <c r="H19202" s="680" t="s">
        <v>6153</v>
      </c>
    </row>
    <row r="19203" spans="8:8">
      <c r="H19203" s="680" t="s">
        <v>6153</v>
      </c>
    </row>
    <row r="19204" spans="8:8">
      <c r="H19204" s="680" t="s">
        <v>6153</v>
      </c>
    </row>
    <row r="19205" spans="8:8">
      <c r="H19205" s="680" t="s">
        <v>6153</v>
      </c>
    </row>
    <row r="19206" spans="8:8">
      <c r="H19206" s="680" t="s">
        <v>6153</v>
      </c>
    </row>
    <row r="19207" spans="8:8">
      <c r="H19207" s="680" t="s">
        <v>6153</v>
      </c>
    </row>
    <row r="19208" spans="8:8">
      <c r="H19208" s="680" t="s">
        <v>6153</v>
      </c>
    </row>
    <row r="19209" spans="8:8">
      <c r="H19209" s="680" t="s">
        <v>6153</v>
      </c>
    </row>
    <row r="19210" spans="8:8">
      <c r="H19210" s="680" t="s">
        <v>6153</v>
      </c>
    </row>
    <row r="19211" spans="8:8">
      <c r="H19211" s="680" t="s">
        <v>6153</v>
      </c>
    </row>
    <row r="19212" spans="8:8">
      <c r="H19212" s="680" t="s">
        <v>6153</v>
      </c>
    </row>
    <row r="19213" spans="8:8">
      <c r="H19213" s="680" t="s">
        <v>6153</v>
      </c>
    </row>
    <row r="19214" spans="8:8">
      <c r="H19214" s="680" t="s">
        <v>6153</v>
      </c>
    </row>
    <row r="19215" spans="8:8">
      <c r="H19215" s="680" t="s">
        <v>6153</v>
      </c>
    </row>
    <row r="19216" spans="8:8">
      <c r="H19216" s="680" t="s">
        <v>6153</v>
      </c>
    </row>
    <row r="19217" spans="8:8">
      <c r="H19217" s="680" t="s">
        <v>6153</v>
      </c>
    </row>
    <row r="19218" spans="8:8">
      <c r="H19218" s="680" t="s">
        <v>6153</v>
      </c>
    </row>
    <row r="19219" spans="8:8">
      <c r="H19219" s="680" t="s">
        <v>6153</v>
      </c>
    </row>
    <row r="19220" spans="8:8">
      <c r="H19220" s="680" t="s">
        <v>6153</v>
      </c>
    </row>
    <row r="19221" spans="8:8">
      <c r="H19221" s="680" t="s">
        <v>6153</v>
      </c>
    </row>
    <row r="19222" spans="8:8">
      <c r="H19222" s="680" t="s">
        <v>6153</v>
      </c>
    </row>
    <row r="19223" spans="8:8">
      <c r="H19223" s="680" t="s">
        <v>6153</v>
      </c>
    </row>
    <row r="19224" spans="8:8">
      <c r="H19224" s="680" t="s">
        <v>6153</v>
      </c>
    </row>
    <row r="19225" spans="8:8">
      <c r="H19225" s="680" t="s">
        <v>6153</v>
      </c>
    </row>
    <row r="19226" spans="8:8">
      <c r="H19226" s="680" t="s">
        <v>6153</v>
      </c>
    </row>
    <row r="19227" spans="8:8">
      <c r="H19227" s="680" t="s">
        <v>6153</v>
      </c>
    </row>
    <row r="19228" spans="8:8">
      <c r="H19228" s="680" t="s">
        <v>6153</v>
      </c>
    </row>
    <row r="19229" spans="8:8">
      <c r="H19229" s="680" t="s">
        <v>6153</v>
      </c>
    </row>
    <row r="19230" spans="8:8">
      <c r="H19230" s="680" t="s">
        <v>6153</v>
      </c>
    </row>
    <row r="19231" spans="8:8">
      <c r="H19231" s="680" t="s">
        <v>6153</v>
      </c>
    </row>
    <row r="19232" spans="8:8">
      <c r="H19232" s="680" t="s">
        <v>6153</v>
      </c>
    </row>
    <row r="19233" spans="8:8">
      <c r="H19233" s="680" t="s">
        <v>6153</v>
      </c>
    </row>
    <row r="19234" spans="8:8">
      <c r="H19234" s="680" t="s">
        <v>6153</v>
      </c>
    </row>
    <row r="19235" spans="8:8">
      <c r="H19235" s="680" t="s">
        <v>6153</v>
      </c>
    </row>
    <row r="19236" spans="8:8">
      <c r="H19236" s="680" t="s">
        <v>6153</v>
      </c>
    </row>
    <row r="19237" spans="8:8">
      <c r="H19237" s="680" t="s">
        <v>6153</v>
      </c>
    </row>
    <row r="19238" spans="8:8">
      <c r="H19238" s="680" t="s">
        <v>6153</v>
      </c>
    </row>
    <row r="19239" spans="8:8">
      <c r="H19239" s="680" t="s">
        <v>6153</v>
      </c>
    </row>
    <row r="19240" spans="8:8">
      <c r="H19240" s="680" t="s">
        <v>6153</v>
      </c>
    </row>
    <row r="19241" spans="8:8">
      <c r="H19241" s="680" t="s">
        <v>6153</v>
      </c>
    </row>
    <row r="19242" spans="8:8">
      <c r="H19242" s="680" t="s">
        <v>6153</v>
      </c>
    </row>
    <row r="19243" spans="8:8">
      <c r="H19243" s="680" t="s">
        <v>6153</v>
      </c>
    </row>
    <row r="19244" spans="8:8">
      <c r="H19244" s="680" t="s">
        <v>6153</v>
      </c>
    </row>
    <row r="19245" spans="8:8">
      <c r="H19245" s="680" t="s">
        <v>6153</v>
      </c>
    </row>
    <row r="19246" spans="8:8">
      <c r="H19246" s="680" t="s">
        <v>6153</v>
      </c>
    </row>
    <row r="19247" spans="8:8">
      <c r="H19247" s="680" t="s">
        <v>6153</v>
      </c>
    </row>
    <row r="19248" spans="8:8">
      <c r="H19248" s="680" t="s">
        <v>6153</v>
      </c>
    </row>
    <row r="19249" spans="8:8">
      <c r="H19249" s="680" t="s">
        <v>6153</v>
      </c>
    </row>
    <row r="19250" spans="8:8">
      <c r="H19250" s="680" t="s">
        <v>6153</v>
      </c>
    </row>
    <row r="19251" spans="8:8">
      <c r="H19251" s="680" t="s">
        <v>6153</v>
      </c>
    </row>
    <row r="19252" spans="8:8">
      <c r="H19252" s="680" t="s">
        <v>6153</v>
      </c>
    </row>
    <row r="19253" spans="8:8">
      <c r="H19253" s="680" t="s">
        <v>6153</v>
      </c>
    </row>
    <row r="19254" spans="8:8">
      <c r="H19254" s="680" t="s">
        <v>6153</v>
      </c>
    </row>
    <row r="19255" spans="8:8">
      <c r="H19255" s="680" t="s">
        <v>6153</v>
      </c>
    </row>
    <row r="19256" spans="8:8">
      <c r="H19256" s="680" t="s">
        <v>6153</v>
      </c>
    </row>
    <row r="19257" spans="8:8">
      <c r="H19257" s="680" t="s">
        <v>6153</v>
      </c>
    </row>
    <row r="19258" spans="8:8">
      <c r="H19258" s="680" t="s">
        <v>6153</v>
      </c>
    </row>
    <row r="19259" spans="8:8">
      <c r="H19259" s="680" t="s">
        <v>6153</v>
      </c>
    </row>
    <row r="19260" spans="8:8">
      <c r="H19260" s="680" t="s">
        <v>6153</v>
      </c>
    </row>
    <row r="19261" spans="8:8">
      <c r="H19261" s="680" t="s">
        <v>6153</v>
      </c>
    </row>
    <row r="19262" spans="8:8">
      <c r="H19262" s="680" t="s">
        <v>6153</v>
      </c>
    </row>
    <row r="19263" spans="8:8">
      <c r="H19263" s="680" t="s">
        <v>6153</v>
      </c>
    </row>
    <row r="19264" spans="8:8">
      <c r="H19264" s="680" t="s">
        <v>6153</v>
      </c>
    </row>
    <row r="19265" spans="8:8">
      <c r="H19265" s="680" t="s">
        <v>6153</v>
      </c>
    </row>
    <row r="19266" spans="8:8">
      <c r="H19266" s="680" t="s">
        <v>6153</v>
      </c>
    </row>
    <row r="19267" spans="8:8">
      <c r="H19267" s="680" t="s">
        <v>6153</v>
      </c>
    </row>
    <row r="19268" spans="8:8">
      <c r="H19268" s="680" t="s">
        <v>6153</v>
      </c>
    </row>
    <row r="19269" spans="8:8">
      <c r="H19269" s="680" t="s">
        <v>6153</v>
      </c>
    </row>
    <row r="19270" spans="8:8">
      <c r="H19270" s="680" t="s">
        <v>6153</v>
      </c>
    </row>
    <row r="19271" spans="8:8">
      <c r="H19271" s="680" t="s">
        <v>6153</v>
      </c>
    </row>
    <row r="19272" spans="8:8">
      <c r="H19272" s="680" t="s">
        <v>6153</v>
      </c>
    </row>
    <row r="19273" spans="8:8">
      <c r="H19273" s="680" t="s">
        <v>6153</v>
      </c>
    </row>
    <row r="19274" spans="8:8">
      <c r="H19274" s="680" t="s">
        <v>6153</v>
      </c>
    </row>
    <row r="19275" spans="8:8">
      <c r="H19275" s="680" t="s">
        <v>6153</v>
      </c>
    </row>
    <row r="19276" spans="8:8">
      <c r="H19276" s="680" t="s">
        <v>6153</v>
      </c>
    </row>
    <row r="19277" spans="8:8">
      <c r="H19277" s="680" t="s">
        <v>6153</v>
      </c>
    </row>
    <row r="19278" spans="8:8">
      <c r="H19278" s="680" t="s">
        <v>6153</v>
      </c>
    </row>
    <row r="19279" spans="8:8">
      <c r="H19279" s="680" t="s">
        <v>6153</v>
      </c>
    </row>
    <row r="19280" spans="8:8">
      <c r="H19280" s="680" t="s">
        <v>6153</v>
      </c>
    </row>
    <row r="19281" spans="8:8">
      <c r="H19281" s="680" t="s">
        <v>6153</v>
      </c>
    </row>
    <row r="19282" spans="8:8">
      <c r="H19282" s="680" t="s">
        <v>6153</v>
      </c>
    </row>
    <row r="19283" spans="8:8">
      <c r="H19283" s="680" t="s">
        <v>6153</v>
      </c>
    </row>
    <row r="19284" spans="8:8">
      <c r="H19284" s="680" t="s">
        <v>6153</v>
      </c>
    </row>
    <row r="19285" spans="8:8">
      <c r="H19285" s="680" t="s">
        <v>6153</v>
      </c>
    </row>
    <row r="19286" spans="8:8">
      <c r="H19286" s="680" t="s">
        <v>6153</v>
      </c>
    </row>
    <row r="19287" spans="8:8">
      <c r="H19287" s="680" t="s">
        <v>6153</v>
      </c>
    </row>
    <row r="19288" spans="8:8">
      <c r="H19288" s="680" t="s">
        <v>6153</v>
      </c>
    </row>
    <row r="19289" spans="8:8">
      <c r="H19289" s="680" t="s">
        <v>6153</v>
      </c>
    </row>
    <row r="19290" spans="8:8">
      <c r="H19290" s="680" t="s">
        <v>6153</v>
      </c>
    </row>
    <row r="19291" spans="8:8">
      <c r="H19291" s="680" t="s">
        <v>6153</v>
      </c>
    </row>
    <row r="19292" spans="8:8">
      <c r="H19292" s="680" t="s">
        <v>6153</v>
      </c>
    </row>
    <row r="19293" spans="8:8">
      <c r="H19293" s="680" t="s">
        <v>6153</v>
      </c>
    </row>
    <row r="19294" spans="8:8">
      <c r="H19294" s="680" t="s">
        <v>6153</v>
      </c>
    </row>
    <row r="19295" spans="8:8">
      <c r="H19295" s="680" t="s">
        <v>6153</v>
      </c>
    </row>
    <row r="19296" spans="8:8">
      <c r="H19296" s="680" t="s">
        <v>6153</v>
      </c>
    </row>
    <row r="19297" spans="8:8">
      <c r="H19297" s="680" t="s">
        <v>6153</v>
      </c>
    </row>
    <row r="19298" spans="8:8">
      <c r="H19298" s="680" t="s">
        <v>6153</v>
      </c>
    </row>
    <row r="19299" spans="8:8">
      <c r="H19299" s="680" t="s">
        <v>6153</v>
      </c>
    </row>
    <row r="19300" spans="8:8">
      <c r="H19300" s="680" t="s">
        <v>6153</v>
      </c>
    </row>
    <row r="19301" spans="8:8">
      <c r="H19301" s="680" t="s">
        <v>6153</v>
      </c>
    </row>
    <row r="19302" spans="8:8">
      <c r="H19302" s="680" t="s">
        <v>6153</v>
      </c>
    </row>
    <row r="19303" spans="8:8">
      <c r="H19303" s="680" t="s">
        <v>6153</v>
      </c>
    </row>
    <row r="19304" spans="8:8">
      <c r="H19304" s="680" t="s">
        <v>6153</v>
      </c>
    </row>
    <row r="19305" spans="8:8">
      <c r="H19305" s="680" t="s">
        <v>6153</v>
      </c>
    </row>
    <row r="19306" spans="8:8">
      <c r="H19306" s="680" t="s">
        <v>6153</v>
      </c>
    </row>
    <row r="19307" spans="8:8">
      <c r="H19307" s="680" t="s">
        <v>6153</v>
      </c>
    </row>
    <row r="19308" spans="8:8">
      <c r="H19308" s="680" t="s">
        <v>6153</v>
      </c>
    </row>
    <row r="19309" spans="8:8">
      <c r="H19309" s="680" t="s">
        <v>6153</v>
      </c>
    </row>
    <row r="19310" spans="8:8">
      <c r="H19310" s="680" t="s">
        <v>6153</v>
      </c>
    </row>
    <row r="19311" spans="8:8">
      <c r="H19311" s="680" t="s">
        <v>6153</v>
      </c>
    </row>
    <row r="19312" spans="8:8">
      <c r="H19312" s="680" t="s">
        <v>6153</v>
      </c>
    </row>
    <row r="19313" spans="8:8">
      <c r="H19313" s="680" t="s">
        <v>6153</v>
      </c>
    </row>
    <row r="19314" spans="8:8">
      <c r="H19314" s="680" t="s">
        <v>6153</v>
      </c>
    </row>
    <row r="19315" spans="8:8">
      <c r="H19315" s="680" t="s">
        <v>6153</v>
      </c>
    </row>
    <row r="19316" spans="8:8">
      <c r="H19316" s="680" t="s">
        <v>6153</v>
      </c>
    </row>
    <row r="19317" spans="8:8">
      <c r="H19317" s="680" t="s">
        <v>6153</v>
      </c>
    </row>
    <row r="19318" spans="8:8">
      <c r="H19318" s="680" t="s">
        <v>6153</v>
      </c>
    </row>
    <row r="19319" spans="8:8">
      <c r="H19319" s="680" t="s">
        <v>6153</v>
      </c>
    </row>
    <row r="19320" spans="8:8">
      <c r="H19320" s="680" t="s">
        <v>6153</v>
      </c>
    </row>
    <row r="19321" spans="8:8">
      <c r="H19321" s="680" t="s">
        <v>6153</v>
      </c>
    </row>
    <row r="19322" spans="8:8">
      <c r="H19322" s="680" t="s">
        <v>6153</v>
      </c>
    </row>
    <row r="19323" spans="8:8">
      <c r="H19323" s="680" t="s">
        <v>6153</v>
      </c>
    </row>
    <row r="19324" spans="8:8">
      <c r="H19324" s="680" t="s">
        <v>6153</v>
      </c>
    </row>
    <row r="19325" spans="8:8">
      <c r="H19325" s="680" t="s">
        <v>6153</v>
      </c>
    </row>
    <row r="19326" spans="8:8">
      <c r="H19326" s="680" t="s">
        <v>6153</v>
      </c>
    </row>
    <row r="19327" spans="8:8">
      <c r="H19327" s="680" t="s">
        <v>6153</v>
      </c>
    </row>
    <row r="19328" spans="8:8">
      <c r="H19328" s="680" t="s">
        <v>6153</v>
      </c>
    </row>
    <row r="19329" spans="8:8">
      <c r="H19329" s="680" t="s">
        <v>6153</v>
      </c>
    </row>
    <row r="19330" spans="8:8">
      <c r="H19330" s="680" t="s">
        <v>6153</v>
      </c>
    </row>
    <row r="19331" spans="8:8">
      <c r="H19331" s="680" t="s">
        <v>6153</v>
      </c>
    </row>
    <row r="19332" spans="8:8">
      <c r="H19332" s="680" t="s">
        <v>6153</v>
      </c>
    </row>
    <row r="19333" spans="8:8">
      <c r="H19333" s="680" t="s">
        <v>6153</v>
      </c>
    </row>
    <row r="19334" spans="8:8">
      <c r="H19334" s="680" t="s">
        <v>6153</v>
      </c>
    </row>
    <row r="19335" spans="8:8">
      <c r="H19335" s="680" t="s">
        <v>6153</v>
      </c>
    </row>
    <row r="19336" spans="8:8">
      <c r="H19336" s="680" t="s">
        <v>6153</v>
      </c>
    </row>
    <row r="19337" spans="8:8">
      <c r="H19337" s="680" t="s">
        <v>6153</v>
      </c>
    </row>
    <row r="19338" spans="8:8">
      <c r="H19338" s="680" t="s">
        <v>6153</v>
      </c>
    </row>
    <row r="19339" spans="8:8">
      <c r="H19339" s="680" t="s">
        <v>6153</v>
      </c>
    </row>
    <row r="19340" spans="8:8">
      <c r="H19340" s="680" t="s">
        <v>6153</v>
      </c>
    </row>
    <row r="19341" spans="8:8">
      <c r="H19341" s="680" t="s">
        <v>6153</v>
      </c>
    </row>
    <row r="19342" spans="8:8">
      <c r="H19342" s="680" t="s">
        <v>6153</v>
      </c>
    </row>
    <row r="19343" spans="8:8">
      <c r="H19343" s="680" t="s">
        <v>6153</v>
      </c>
    </row>
    <row r="19344" spans="8:8">
      <c r="H19344" s="680" t="s">
        <v>6153</v>
      </c>
    </row>
    <row r="19345" spans="8:8">
      <c r="H19345" s="680" t="s">
        <v>6153</v>
      </c>
    </row>
    <row r="19346" spans="8:8">
      <c r="H19346" s="680" t="s">
        <v>6153</v>
      </c>
    </row>
    <row r="19347" spans="8:8">
      <c r="H19347" s="680" t="s">
        <v>6153</v>
      </c>
    </row>
    <row r="19348" spans="8:8">
      <c r="H19348" s="680" t="s">
        <v>6153</v>
      </c>
    </row>
    <row r="19349" spans="8:8">
      <c r="H19349" s="680" t="s">
        <v>6153</v>
      </c>
    </row>
    <row r="19350" spans="8:8">
      <c r="H19350" s="680" t="s">
        <v>6153</v>
      </c>
    </row>
    <row r="19351" spans="8:8">
      <c r="H19351" s="680" t="s">
        <v>6153</v>
      </c>
    </row>
    <row r="19352" spans="8:8">
      <c r="H19352" s="680" t="s">
        <v>6153</v>
      </c>
    </row>
    <row r="19353" spans="8:8">
      <c r="H19353" s="680" t="s">
        <v>6153</v>
      </c>
    </row>
    <row r="19354" spans="8:8">
      <c r="H19354" s="680" t="s">
        <v>6153</v>
      </c>
    </row>
    <row r="19355" spans="8:8">
      <c r="H19355" s="680" t="s">
        <v>6153</v>
      </c>
    </row>
    <row r="19356" spans="8:8">
      <c r="H19356" s="680" t="s">
        <v>6153</v>
      </c>
    </row>
    <row r="19357" spans="8:8">
      <c r="H19357" s="680" t="s">
        <v>6153</v>
      </c>
    </row>
    <row r="19358" spans="8:8">
      <c r="H19358" s="680" t="s">
        <v>6153</v>
      </c>
    </row>
    <row r="19359" spans="8:8">
      <c r="H19359" s="680" t="s">
        <v>6153</v>
      </c>
    </row>
    <row r="19360" spans="8:8">
      <c r="H19360" s="680" t="s">
        <v>6153</v>
      </c>
    </row>
    <row r="19361" spans="8:8">
      <c r="H19361" s="680" t="s">
        <v>6153</v>
      </c>
    </row>
    <row r="19362" spans="8:8">
      <c r="H19362" s="680" t="s">
        <v>6153</v>
      </c>
    </row>
    <row r="19363" spans="8:8">
      <c r="H19363" s="680" t="s">
        <v>6153</v>
      </c>
    </row>
    <row r="19364" spans="8:8">
      <c r="H19364" s="680" t="s">
        <v>6153</v>
      </c>
    </row>
    <row r="19365" spans="8:8">
      <c r="H19365" s="680" t="s">
        <v>6153</v>
      </c>
    </row>
    <row r="19366" spans="8:8">
      <c r="H19366" s="680" t="s">
        <v>6153</v>
      </c>
    </row>
    <row r="19367" spans="8:8">
      <c r="H19367" s="680" t="s">
        <v>6153</v>
      </c>
    </row>
    <row r="19368" spans="8:8">
      <c r="H19368" s="680" t="s">
        <v>6153</v>
      </c>
    </row>
    <row r="19369" spans="8:8">
      <c r="H19369" s="680" t="s">
        <v>6153</v>
      </c>
    </row>
    <row r="19370" spans="8:8">
      <c r="H19370" s="680" t="s">
        <v>6153</v>
      </c>
    </row>
    <row r="19371" spans="8:8">
      <c r="H19371" s="680" t="s">
        <v>6153</v>
      </c>
    </row>
    <row r="19372" spans="8:8">
      <c r="H19372" s="680" t="s">
        <v>6153</v>
      </c>
    </row>
    <row r="19373" spans="8:8">
      <c r="H19373" s="680" t="s">
        <v>6153</v>
      </c>
    </row>
    <row r="19374" spans="8:8">
      <c r="H19374" s="680" t="s">
        <v>6153</v>
      </c>
    </row>
    <row r="19375" spans="8:8">
      <c r="H19375" s="680" t="s">
        <v>6153</v>
      </c>
    </row>
    <row r="19376" spans="8:8">
      <c r="H19376" s="680" t="s">
        <v>6153</v>
      </c>
    </row>
    <row r="19377" spans="8:8">
      <c r="H19377" s="680" t="s">
        <v>6153</v>
      </c>
    </row>
    <row r="19378" spans="8:8">
      <c r="H19378" s="680" t="s">
        <v>6153</v>
      </c>
    </row>
    <row r="19379" spans="8:8">
      <c r="H19379" s="680" t="s">
        <v>6153</v>
      </c>
    </row>
    <row r="19380" spans="8:8">
      <c r="H19380" s="680" t="s">
        <v>6153</v>
      </c>
    </row>
    <row r="19381" spans="8:8">
      <c r="H19381" s="680" t="s">
        <v>6153</v>
      </c>
    </row>
    <row r="19382" spans="8:8">
      <c r="H19382" s="680" t="s">
        <v>6153</v>
      </c>
    </row>
    <row r="19383" spans="8:8">
      <c r="H19383" s="680" t="s">
        <v>6153</v>
      </c>
    </row>
    <row r="19384" spans="8:8">
      <c r="H19384" s="680" t="s">
        <v>6153</v>
      </c>
    </row>
    <row r="19385" spans="8:8">
      <c r="H19385" s="680" t="s">
        <v>6153</v>
      </c>
    </row>
    <row r="19386" spans="8:8">
      <c r="H19386" s="680" t="s">
        <v>6153</v>
      </c>
    </row>
    <row r="19387" spans="8:8">
      <c r="H19387" s="680" t="s">
        <v>6153</v>
      </c>
    </row>
    <row r="19388" spans="8:8">
      <c r="H19388" s="680" t="s">
        <v>6153</v>
      </c>
    </row>
    <row r="19389" spans="8:8">
      <c r="H19389" s="680" t="s">
        <v>6153</v>
      </c>
    </row>
    <row r="19390" spans="8:8">
      <c r="H19390" s="680" t="s">
        <v>6153</v>
      </c>
    </row>
    <row r="19391" spans="8:8">
      <c r="H19391" s="680" t="s">
        <v>6153</v>
      </c>
    </row>
    <row r="19392" spans="8:8">
      <c r="H19392" s="680" t="s">
        <v>6153</v>
      </c>
    </row>
    <row r="19393" spans="8:8">
      <c r="H19393" s="680" t="s">
        <v>6153</v>
      </c>
    </row>
    <row r="19394" spans="8:8">
      <c r="H19394" s="680" t="s">
        <v>6153</v>
      </c>
    </row>
    <row r="19395" spans="8:8">
      <c r="H19395" s="680" t="s">
        <v>6153</v>
      </c>
    </row>
    <row r="19396" spans="8:8">
      <c r="H19396" s="680" t="s">
        <v>6153</v>
      </c>
    </row>
    <row r="19397" spans="8:8">
      <c r="H19397" s="680" t="s">
        <v>6153</v>
      </c>
    </row>
    <row r="19398" spans="8:8">
      <c r="H19398" s="680" t="s">
        <v>6153</v>
      </c>
    </row>
    <row r="19399" spans="8:8">
      <c r="H19399" s="680" t="s">
        <v>6153</v>
      </c>
    </row>
    <row r="19400" spans="8:8">
      <c r="H19400" s="680" t="s">
        <v>6153</v>
      </c>
    </row>
    <row r="19401" spans="8:8">
      <c r="H19401" s="680" t="s">
        <v>6153</v>
      </c>
    </row>
    <row r="19402" spans="8:8">
      <c r="H19402" s="680" t="s">
        <v>6153</v>
      </c>
    </row>
    <row r="19403" spans="8:8">
      <c r="H19403" s="680" t="s">
        <v>6153</v>
      </c>
    </row>
    <row r="19404" spans="8:8">
      <c r="H19404" s="680" t="s">
        <v>6153</v>
      </c>
    </row>
    <row r="19405" spans="8:8">
      <c r="H19405" s="680" t="s">
        <v>6153</v>
      </c>
    </row>
    <row r="19406" spans="8:8">
      <c r="H19406" s="680" t="s">
        <v>6153</v>
      </c>
    </row>
    <row r="19407" spans="8:8">
      <c r="H19407" s="680" t="s">
        <v>6153</v>
      </c>
    </row>
    <row r="19408" spans="8:8">
      <c r="H19408" s="680" t="s">
        <v>6153</v>
      </c>
    </row>
    <row r="19409" spans="8:8">
      <c r="H19409" s="680" t="s">
        <v>6153</v>
      </c>
    </row>
    <row r="19410" spans="8:8">
      <c r="H19410" s="680" t="s">
        <v>6153</v>
      </c>
    </row>
    <row r="19411" spans="8:8">
      <c r="H19411" s="680" t="s">
        <v>6153</v>
      </c>
    </row>
    <row r="19412" spans="8:8">
      <c r="H19412" s="680" t="s">
        <v>6153</v>
      </c>
    </row>
    <row r="19413" spans="8:8">
      <c r="H19413" s="680" t="s">
        <v>6153</v>
      </c>
    </row>
    <row r="19414" spans="8:8">
      <c r="H19414" s="680" t="s">
        <v>6153</v>
      </c>
    </row>
    <row r="19415" spans="8:8">
      <c r="H19415" s="680" t="s">
        <v>6153</v>
      </c>
    </row>
    <row r="19416" spans="8:8">
      <c r="H19416" s="680" t="s">
        <v>6153</v>
      </c>
    </row>
    <row r="19417" spans="8:8">
      <c r="H19417" s="680" t="s">
        <v>6153</v>
      </c>
    </row>
    <row r="19418" spans="8:8">
      <c r="H19418" s="680" t="s">
        <v>6153</v>
      </c>
    </row>
    <row r="19419" spans="8:8">
      <c r="H19419" s="680" t="s">
        <v>6153</v>
      </c>
    </row>
    <row r="19420" spans="8:8">
      <c r="H19420" s="680" t="s">
        <v>6153</v>
      </c>
    </row>
    <row r="19421" spans="8:8">
      <c r="H19421" s="680" t="s">
        <v>6153</v>
      </c>
    </row>
    <row r="19422" spans="8:8">
      <c r="H19422" s="680" t="s">
        <v>6153</v>
      </c>
    </row>
    <row r="19423" spans="8:8">
      <c r="H19423" s="680" t="s">
        <v>6153</v>
      </c>
    </row>
    <row r="19424" spans="8:8">
      <c r="H19424" s="680" t="s">
        <v>6153</v>
      </c>
    </row>
    <row r="19425" spans="8:8">
      <c r="H19425" s="680" t="s">
        <v>6153</v>
      </c>
    </row>
    <row r="19426" spans="8:8">
      <c r="H19426" s="680" t="s">
        <v>6153</v>
      </c>
    </row>
    <row r="19427" spans="8:8">
      <c r="H19427" s="680" t="s">
        <v>6153</v>
      </c>
    </row>
    <row r="19428" spans="8:8">
      <c r="H19428" s="680" t="s">
        <v>6153</v>
      </c>
    </row>
    <row r="19429" spans="8:8">
      <c r="H19429" s="680" t="s">
        <v>6153</v>
      </c>
    </row>
    <row r="19430" spans="8:8">
      <c r="H19430" s="680" t="s">
        <v>6153</v>
      </c>
    </row>
    <row r="19431" spans="8:8">
      <c r="H19431" s="680" t="s">
        <v>6153</v>
      </c>
    </row>
    <row r="19432" spans="8:8">
      <c r="H19432" s="680" t="s">
        <v>6153</v>
      </c>
    </row>
    <row r="19433" spans="8:8">
      <c r="H19433" s="680" t="s">
        <v>6153</v>
      </c>
    </row>
    <row r="19434" spans="8:8">
      <c r="H19434" s="680" t="s">
        <v>6153</v>
      </c>
    </row>
    <row r="19435" spans="8:8">
      <c r="H19435" s="680" t="s">
        <v>6153</v>
      </c>
    </row>
    <row r="19436" spans="8:8">
      <c r="H19436" s="680" t="s">
        <v>6153</v>
      </c>
    </row>
    <row r="19437" spans="8:8">
      <c r="H19437" s="680" t="s">
        <v>6153</v>
      </c>
    </row>
    <row r="19438" spans="8:8">
      <c r="H19438" s="680" t="s">
        <v>6153</v>
      </c>
    </row>
    <row r="19439" spans="8:8">
      <c r="H19439" s="680" t="s">
        <v>6153</v>
      </c>
    </row>
    <row r="19440" spans="8:8">
      <c r="H19440" s="680" t="s">
        <v>6153</v>
      </c>
    </row>
    <row r="19441" spans="8:8">
      <c r="H19441" s="680" t="s">
        <v>6153</v>
      </c>
    </row>
    <row r="19442" spans="8:8">
      <c r="H19442" s="680" t="s">
        <v>6153</v>
      </c>
    </row>
    <row r="19443" spans="8:8">
      <c r="H19443" s="680" t="s">
        <v>6153</v>
      </c>
    </row>
    <row r="19444" spans="8:8">
      <c r="H19444" s="680" t="s">
        <v>6153</v>
      </c>
    </row>
    <row r="19445" spans="8:8">
      <c r="H19445" s="680" t="s">
        <v>6153</v>
      </c>
    </row>
    <row r="19446" spans="8:8">
      <c r="H19446" s="680" t="s">
        <v>6153</v>
      </c>
    </row>
    <row r="19447" spans="8:8">
      <c r="H19447" s="680" t="s">
        <v>6153</v>
      </c>
    </row>
    <row r="19448" spans="8:8">
      <c r="H19448" s="680" t="s">
        <v>6153</v>
      </c>
    </row>
    <row r="19449" spans="8:8">
      <c r="H19449" s="680" t="s">
        <v>6153</v>
      </c>
    </row>
    <row r="19450" spans="8:8">
      <c r="H19450" s="680" t="s">
        <v>6153</v>
      </c>
    </row>
    <row r="19451" spans="8:8">
      <c r="H19451" s="680" t="s">
        <v>6153</v>
      </c>
    </row>
    <row r="19452" spans="8:8">
      <c r="H19452" s="680" t="s">
        <v>6153</v>
      </c>
    </row>
    <row r="19453" spans="8:8">
      <c r="H19453" s="680" t="s">
        <v>6153</v>
      </c>
    </row>
    <row r="19454" spans="8:8">
      <c r="H19454" s="680" t="s">
        <v>6153</v>
      </c>
    </row>
    <row r="19455" spans="8:8">
      <c r="H19455" s="680" t="s">
        <v>6153</v>
      </c>
    </row>
    <row r="19456" spans="8:8">
      <c r="H19456" s="680" t="s">
        <v>6153</v>
      </c>
    </row>
    <row r="19457" spans="8:8">
      <c r="H19457" s="680" t="s">
        <v>6153</v>
      </c>
    </row>
    <row r="19458" spans="8:8">
      <c r="H19458" s="680" t="s">
        <v>6153</v>
      </c>
    </row>
    <row r="19459" spans="8:8">
      <c r="H19459" s="680" t="s">
        <v>6153</v>
      </c>
    </row>
    <row r="19460" spans="8:8">
      <c r="H19460" s="680" t="s">
        <v>6153</v>
      </c>
    </row>
    <row r="19461" spans="8:8">
      <c r="H19461" s="680" t="s">
        <v>6153</v>
      </c>
    </row>
    <row r="19462" spans="8:8">
      <c r="H19462" s="680" t="s">
        <v>6153</v>
      </c>
    </row>
    <row r="19463" spans="8:8">
      <c r="H19463" s="680" t="s">
        <v>6153</v>
      </c>
    </row>
    <row r="19464" spans="8:8">
      <c r="H19464" s="680" t="s">
        <v>6153</v>
      </c>
    </row>
    <row r="19465" spans="8:8">
      <c r="H19465" s="680" t="s">
        <v>6153</v>
      </c>
    </row>
    <row r="19466" spans="8:8">
      <c r="H19466" s="680" t="s">
        <v>6153</v>
      </c>
    </row>
    <row r="19467" spans="8:8">
      <c r="H19467" s="680" t="s">
        <v>6153</v>
      </c>
    </row>
    <row r="19468" spans="8:8">
      <c r="H19468" s="680" t="s">
        <v>6153</v>
      </c>
    </row>
    <row r="19469" spans="8:8">
      <c r="H19469" s="680" t="s">
        <v>6153</v>
      </c>
    </row>
    <row r="19470" spans="8:8">
      <c r="H19470" s="680" t="s">
        <v>6153</v>
      </c>
    </row>
    <row r="19471" spans="8:8">
      <c r="H19471" s="680" t="s">
        <v>6153</v>
      </c>
    </row>
    <row r="19472" spans="8:8">
      <c r="H19472" s="680" t="s">
        <v>6153</v>
      </c>
    </row>
    <row r="19473" spans="8:8">
      <c r="H19473" s="680" t="s">
        <v>6153</v>
      </c>
    </row>
    <row r="19474" spans="8:8">
      <c r="H19474" s="680" t="s">
        <v>6153</v>
      </c>
    </row>
    <row r="19475" spans="8:8">
      <c r="H19475" s="680" t="s">
        <v>6153</v>
      </c>
    </row>
    <row r="19476" spans="8:8">
      <c r="H19476" s="680" t="s">
        <v>6153</v>
      </c>
    </row>
    <row r="19477" spans="8:8">
      <c r="H19477" s="680" t="s">
        <v>6153</v>
      </c>
    </row>
    <row r="19478" spans="8:8">
      <c r="H19478" s="680" t="s">
        <v>6153</v>
      </c>
    </row>
    <row r="19479" spans="8:8">
      <c r="H19479" s="680" t="s">
        <v>6153</v>
      </c>
    </row>
    <row r="19480" spans="8:8">
      <c r="H19480" s="680" t="s">
        <v>6153</v>
      </c>
    </row>
    <row r="19481" spans="8:8">
      <c r="H19481" s="680" t="s">
        <v>6153</v>
      </c>
    </row>
    <row r="19482" spans="8:8">
      <c r="H19482" s="680" t="s">
        <v>6153</v>
      </c>
    </row>
    <row r="19483" spans="8:8">
      <c r="H19483" s="680" t="s">
        <v>6153</v>
      </c>
    </row>
    <row r="19484" spans="8:8">
      <c r="H19484" s="680" t="s">
        <v>6153</v>
      </c>
    </row>
    <row r="19485" spans="8:8">
      <c r="H19485" s="680" t="s">
        <v>6153</v>
      </c>
    </row>
    <row r="19486" spans="8:8">
      <c r="H19486" s="680" t="s">
        <v>6153</v>
      </c>
    </row>
    <row r="19487" spans="8:8">
      <c r="H19487" s="680" t="s">
        <v>6153</v>
      </c>
    </row>
    <row r="19488" spans="8:8">
      <c r="H19488" s="680" t="s">
        <v>6153</v>
      </c>
    </row>
    <row r="19489" spans="8:8">
      <c r="H19489" s="680" t="s">
        <v>6153</v>
      </c>
    </row>
    <row r="19490" spans="8:8">
      <c r="H19490" s="680" t="s">
        <v>6153</v>
      </c>
    </row>
    <row r="19491" spans="8:8">
      <c r="H19491" s="680" t="s">
        <v>6153</v>
      </c>
    </row>
    <row r="19492" spans="8:8">
      <c r="H19492" s="680" t="s">
        <v>6153</v>
      </c>
    </row>
    <row r="19493" spans="8:8">
      <c r="H19493" s="680" t="s">
        <v>6153</v>
      </c>
    </row>
    <row r="19494" spans="8:8">
      <c r="H19494" s="680" t="s">
        <v>6153</v>
      </c>
    </row>
    <row r="19495" spans="8:8">
      <c r="H19495" s="680" t="s">
        <v>6153</v>
      </c>
    </row>
    <row r="19496" spans="8:8">
      <c r="H19496" s="680" t="s">
        <v>6153</v>
      </c>
    </row>
    <row r="19497" spans="8:8">
      <c r="H19497" s="680" t="s">
        <v>6153</v>
      </c>
    </row>
    <row r="19498" spans="8:8">
      <c r="H19498" s="680" t="s">
        <v>6153</v>
      </c>
    </row>
    <row r="19499" spans="8:8">
      <c r="H19499" s="680" t="s">
        <v>6153</v>
      </c>
    </row>
    <row r="19500" spans="8:8">
      <c r="H19500" s="680" t="s">
        <v>6153</v>
      </c>
    </row>
    <row r="19501" spans="8:8">
      <c r="H19501" s="680" t="s">
        <v>6153</v>
      </c>
    </row>
    <row r="19502" spans="8:8">
      <c r="H19502" s="680" t="s">
        <v>6153</v>
      </c>
    </row>
    <row r="19503" spans="8:8">
      <c r="H19503" s="680" t="s">
        <v>6153</v>
      </c>
    </row>
    <row r="19504" spans="8:8">
      <c r="H19504" s="680" t="s">
        <v>6153</v>
      </c>
    </row>
    <row r="19505" spans="8:8">
      <c r="H19505" s="680" t="s">
        <v>6153</v>
      </c>
    </row>
    <row r="19506" spans="8:8">
      <c r="H19506" s="680" t="s">
        <v>6153</v>
      </c>
    </row>
    <row r="19507" spans="8:8">
      <c r="H19507" s="680" t="s">
        <v>6153</v>
      </c>
    </row>
    <row r="19508" spans="8:8">
      <c r="H19508" s="680" t="s">
        <v>6153</v>
      </c>
    </row>
    <row r="19509" spans="8:8">
      <c r="H19509" s="680" t="s">
        <v>6153</v>
      </c>
    </row>
    <row r="19510" spans="8:8">
      <c r="H19510" s="680" t="s">
        <v>6153</v>
      </c>
    </row>
    <row r="19511" spans="8:8">
      <c r="H19511" s="680" t="s">
        <v>6153</v>
      </c>
    </row>
    <row r="19512" spans="8:8">
      <c r="H19512" s="680" t="s">
        <v>6153</v>
      </c>
    </row>
    <row r="19513" spans="8:8">
      <c r="H19513" s="680" t="s">
        <v>6153</v>
      </c>
    </row>
    <row r="19514" spans="8:8">
      <c r="H19514" s="680" t="s">
        <v>6153</v>
      </c>
    </row>
    <row r="19515" spans="8:8">
      <c r="H19515" s="680" t="s">
        <v>6153</v>
      </c>
    </row>
    <row r="19516" spans="8:8">
      <c r="H19516" s="680" t="s">
        <v>6153</v>
      </c>
    </row>
    <row r="19517" spans="8:8">
      <c r="H19517" s="680" t="s">
        <v>6153</v>
      </c>
    </row>
    <row r="19518" spans="8:8">
      <c r="H19518" s="680" t="s">
        <v>6153</v>
      </c>
    </row>
    <row r="19519" spans="8:8">
      <c r="H19519" s="680" t="s">
        <v>6153</v>
      </c>
    </row>
    <row r="19520" spans="8:8">
      <c r="H19520" s="680" t="s">
        <v>6153</v>
      </c>
    </row>
    <row r="19521" spans="8:8">
      <c r="H19521" s="680" t="s">
        <v>6153</v>
      </c>
    </row>
    <row r="19522" spans="8:8">
      <c r="H19522" s="680" t="s">
        <v>6153</v>
      </c>
    </row>
    <row r="19523" spans="8:8">
      <c r="H19523" s="680" t="s">
        <v>6153</v>
      </c>
    </row>
    <row r="19524" spans="8:8">
      <c r="H19524" s="680" t="s">
        <v>6153</v>
      </c>
    </row>
    <row r="19525" spans="8:8">
      <c r="H19525" s="680" t="s">
        <v>6153</v>
      </c>
    </row>
    <row r="19526" spans="8:8">
      <c r="H19526" s="680" t="s">
        <v>6153</v>
      </c>
    </row>
    <row r="19527" spans="8:8">
      <c r="H19527" s="680" t="s">
        <v>6153</v>
      </c>
    </row>
    <row r="19528" spans="8:8">
      <c r="H19528" s="680" t="s">
        <v>6153</v>
      </c>
    </row>
    <row r="19529" spans="8:8">
      <c r="H19529" s="680" t="s">
        <v>6153</v>
      </c>
    </row>
    <row r="19530" spans="8:8">
      <c r="H19530" s="680" t="s">
        <v>6153</v>
      </c>
    </row>
    <row r="19531" spans="8:8">
      <c r="H19531" s="680" t="s">
        <v>6153</v>
      </c>
    </row>
    <row r="19532" spans="8:8">
      <c r="H19532" s="680" t="s">
        <v>6153</v>
      </c>
    </row>
    <row r="19533" spans="8:8">
      <c r="H19533" s="680" t="s">
        <v>6153</v>
      </c>
    </row>
    <row r="19534" spans="8:8">
      <c r="H19534" s="680" t="s">
        <v>6153</v>
      </c>
    </row>
    <row r="19535" spans="8:8">
      <c r="H19535" s="680" t="s">
        <v>6153</v>
      </c>
    </row>
    <row r="19536" spans="8:8">
      <c r="H19536" s="680" t="s">
        <v>6153</v>
      </c>
    </row>
    <row r="19537" spans="8:8">
      <c r="H19537" s="680" t="s">
        <v>6153</v>
      </c>
    </row>
    <row r="19538" spans="8:8">
      <c r="H19538" s="680" t="s">
        <v>6153</v>
      </c>
    </row>
    <row r="19539" spans="8:8">
      <c r="H19539" s="680" t="s">
        <v>6153</v>
      </c>
    </row>
    <row r="19540" spans="8:8">
      <c r="H19540" s="680" t="s">
        <v>6153</v>
      </c>
    </row>
    <row r="19541" spans="8:8">
      <c r="H19541" s="680" t="s">
        <v>6153</v>
      </c>
    </row>
    <row r="19542" spans="8:8">
      <c r="H19542" s="680" t="s">
        <v>6153</v>
      </c>
    </row>
    <row r="19543" spans="8:8">
      <c r="H19543" s="680" t="s">
        <v>6153</v>
      </c>
    </row>
    <row r="19544" spans="8:8">
      <c r="H19544" s="680" t="s">
        <v>6153</v>
      </c>
    </row>
    <row r="19545" spans="8:8">
      <c r="H19545" s="680" t="s">
        <v>6153</v>
      </c>
    </row>
    <row r="19546" spans="8:8">
      <c r="H19546" s="680" t="s">
        <v>6153</v>
      </c>
    </row>
    <row r="19547" spans="8:8">
      <c r="H19547" s="680" t="s">
        <v>6153</v>
      </c>
    </row>
    <row r="19548" spans="8:8">
      <c r="H19548" s="680" t="s">
        <v>6153</v>
      </c>
    </row>
    <row r="19549" spans="8:8">
      <c r="H19549" s="680" t="s">
        <v>6153</v>
      </c>
    </row>
    <row r="19550" spans="8:8">
      <c r="H19550" s="680" t="s">
        <v>6153</v>
      </c>
    </row>
    <row r="19551" spans="8:8">
      <c r="H19551" s="680" t="s">
        <v>6153</v>
      </c>
    </row>
    <row r="19552" spans="8:8">
      <c r="H19552" s="680" t="s">
        <v>6153</v>
      </c>
    </row>
    <row r="19553" spans="8:8">
      <c r="H19553" s="680" t="s">
        <v>6153</v>
      </c>
    </row>
    <row r="19554" spans="8:8">
      <c r="H19554" s="680" t="s">
        <v>6153</v>
      </c>
    </row>
    <row r="19555" spans="8:8">
      <c r="H19555" s="680" t="s">
        <v>6153</v>
      </c>
    </row>
    <row r="19556" spans="8:8">
      <c r="H19556" s="680" t="s">
        <v>6153</v>
      </c>
    </row>
    <row r="19557" spans="8:8">
      <c r="H19557" s="680" t="s">
        <v>6153</v>
      </c>
    </row>
    <row r="19558" spans="8:8">
      <c r="H19558" s="680" t="s">
        <v>6153</v>
      </c>
    </row>
    <row r="19559" spans="8:8">
      <c r="H19559" s="680" t="s">
        <v>6153</v>
      </c>
    </row>
    <row r="19560" spans="8:8">
      <c r="H19560" s="680" t="s">
        <v>6153</v>
      </c>
    </row>
    <row r="19561" spans="8:8">
      <c r="H19561" s="680" t="s">
        <v>6153</v>
      </c>
    </row>
    <row r="19562" spans="8:8">
      <c r="H19562" s="680" t="s">
        <v>6153</v>
      </c>
    </row>
    <row r="19563" spans="8:8">
      <c r="H19563" s="680" t="s">
        <v>6153</v>
      </c>
    </row>
    <row r="19564" spans="8:8">
      <c r="H19564" s="680" t="s">
        <v>6153</v>
      </c>
    </row>
    <row r="19565" spans="8:8">
      <c r="H19565" s="680" t="s">
        <v>6153</v>
      </c>
    </row>
    <row r="19566" spans="8:8">
      <c r="H19566" s="680" t="s">
        <v>6153</v>
      </c>
    </row>
    <row r="19567" spans="8:8">
      <c r="H19567" s="680" t="s">
        <v>6153</v>
      </c>
    </row>
    <row r="19568" spans="8:8">
      <c r="H19568" s="680" t="s">
        <v>6153</v>
      </c>
    </row>
    <row r="19569" spans="8:8">
      <c r="H19569" s="680" t="s">
        <v>6153</v>
      </c>
    </row>
    <row r="19570" spans="8:8">
      <c r="H19570" s="680" t="s">
        <v>6153</v>
      </c>
    </row>
    <row r="19571" spans="8:8">
      <c r="H19571" s="680" t="s">
        <v>6153</v>
      </c>
    </row>
    <row r="19572" spans="8:8">
      <c r="H19572" s="680" t="s">
        <v>6153</v>
      </c>
    </row>
    <row r="19573" spans="8:8">
      <c r="H19573" s="680" t="s">
        <v>6153</v>
      </c>
    </row>
    <row r="19574" spans="8:8">
      <c r="H19574" s="680" t="s">
        <v>6153</v>
      </c>
    </row>
    <row r="19575" spans="8:8">
      <c r="H19575" s="680" t="s">
        <v>6153</v>
      </c>
    </row>
    <row r="19576" spans="8:8">
      <c r="H19576" s="680" t="s">
        <v>6153</v>
      </c>
    </row>
    <row r="19577" spans="8:8">
      <c r="H19577" s="680" t="s">
        <v>6153</v>
      </c>
    </row>
    <row r="19578" spans="8:8">
      <c r="H19578" s="680" t="s">
        <v>6153</v>
      </c>
    </row>
    <row r="19579" spans="8:8">
      <c r="H19579" s="680" t="s">
        <v>6153</v>
      </c>
    </row>
    <row r="19580" spans="8:8">
      <c r="H19580" s="680" t="s">
        <v>6153</v>
      </c>
    </row>
    <row r="19581" spans="8:8">
      <c r="H19581" s="680" t="s">
        <v>6153</v>
      </c>
    </row>
    <row r="19582" spans="8:8">
      <c r="H19582" s="680" t="s">
        <v>6153</v>
      </c>
    </row>
    <row r="19583" spans="8:8">
      <c r="H19583" s="680" t="s">
        <v>6153</v>
      </c>
    </row>
    <row r="19584" spans="8:8">
      <c r="H19584" s="680" t="s">
        <v>6153</v>
      </c>
    </row>
    <row r="19585" spans="8:8">
      <c r="H19585" s="680" t="s">
        <v>6153</v>
      </c>
    </row>
    <row r="19586" spans="8:8">
      <c r="H19586" s="680" t="s">
        <v>6153</v>
      </c>
    </row>
    <row r="19587" spans="8:8">
      <c r="H19587" s="680" t="s">
        <v>6153</v>
      </c>
    </row>
    <row r="19588" spans="8:8">
      <c r="H19588" s="680" t="s">
        <v>6153</v>
      </c>
    </row>
    <row r="19589" spans="8:8">
      <c r="H19589" s="680" t="s">
        <v>6153</v>
      </c>
    </row>
    <row r="19590" spans="8:8">
      <c r="H19590" s="680" t="s">
        <v>6153</v>
      </c>
    </row>
    <row r="19591" spans="8:8">
      <c r="H19591" s="680" t="s">
        <v>6153</v>
      </c>
    </row>
    <row r="19592" spans="8:8">
      <c r="H19592" s="680" t="s">
        <v>6153</v>
      </c>
    </row>
    <row r="19593" spans="8:8">
      <c r="H19593" s="680" t="s">
        <v>6153</v>
      </c>
    </row>
    <row r="19594" spans="8:8">
      <c r="H19594" s="680" t="s">
        <v>6153</v>
      </c>
    </row>
    <row r="19595" spans="8:8">
      <c r="H19595" s="680" t="s">
        <v>6153</v>
      </c>
    </row>
    <row r="19596" spans="8:8">
      <c r="H19596" s="680" t="s">
        <v>6153</v>
      </c>
    </row>
    <row r="19597" spans="8:8">
      <c r="H19597" s="680" t="s">
        <v>6153</v>
      </c>
    </row>
    <row r="19598" spans="8:8">
      <c r="H19598" s="680" t="s">
        <v>6153</v>
      </c>
    </row>
    <row r="19599" spans="8:8">
      <c r="H19599" s="680" t="s">
        <v>6153</v>
      </c>
    </row>
    <row r="19600" spans="8:8">
      <c r="H19600" s="680" t="s">
        <v>6153</v>
      </c>
    </row>
    <row r="19601" spans="8:8">
      <c r="H19601" s="680" t="s">
        <v>6153</v>
      </c>
    </row>
    <row r="19602" spans="8:8">
      <c r="H19602" s="680" t="s">
        <v>6153</v>
      </c>
    </row>
    <row r="19603" spans="8:8">
      <c r="H19603" s="680" t="s">
        <v>6153</v>
      </c>
    </row>
    <row r="19604" spans="8:8">
      <c r="H19604" s="680" t="s">
        <v>6153</v>
      </c>
    </row>
    <row r="19605" spans="8:8">
      <c r="H19605" s="680" t="s">
        <v>6153</v>
      </c>
    </row>
    <row r="19606" spans="8:8">
      <c r="H19606" s="680" t="s">
        <v>6153</v>
      </c>
    </row>
    <row r="19607" spans="8:8">
      <c r="H19607" s="680" t="s">
        <v>6153</v>
      </c>
    </row>
    <row r="19608" spans="8:8">
      <c r="H19608" s="680" t="s">
        <v>6153</v>
      </c>
    </row>
    <row r="19609" spans="8:8">
      <c r="H19609" s="680" t="s">
        <v>6153</v>
      </c>
    </row>
    <row r="19610" spans="8:8">
      <c r="H19610" s="680" t="s">
        <v>6153</v>
      </c>
    </row>
    <row r="19611" spans="8:8">
      <c r="H19611" s="680" t="s">
        <v>6153</v>
      </c>
    </row>
    <row r="19612" spans="8:8">
      <c r="H19612" s="680" t="s">
        <v>6153</v>
      </c>
    </row>
    <row r="19613" spans="8:8">
      <c r="H19613" s="680" t="s">
        <v>6153</v>
      </c>
    </row>
    <row r="19614" spans="8:8">
      <c r="H19614" s="680" t="s">
        <v>6153</v>
      </c>
    </row>
    <row r="19615" spans="8:8">
      <c r="H19615" s="680" t="s">
        <v>6153</v>
      </c>
    </row>
    <row r="19616" spans="8:8">
      <c r="H19616" s="680" t="s">
        <v>6153</v>
      </c>
    </row>
    <row r="19617" spans="8:8">
      <c r="H19617" s="680" t="s">
        <v>6153</v>
      </c>
    </row>
    <row r="19618" spans="8:8">
      <c r="H19618" s="680" t="s">
        <v>6153</v>
      </c>
    </row>
    <row r="19619" spans="8:8">
      <c r="H19619" s="680" t="s">
        <v>6153</v>
      </c>
    </row>
    <row r="19620" spans="8:8">
      <c r="H19620" s="680" t="s">
        <v>6153</v>
      </c>
    </row>
    <row r="19621" spans="8:8">
      <c r="H19621" s="680" t="s">
        <v>6153</v>
      </c>
    </row>
    <row r="19622" spans="8:8">
      <c r="H19622" s="680" t="s">
        <v>6153</v>
      </c>
    </row>
    <row r="19623" spans="8:8">
      <c r="H19623" s="680" t="s">
        <v>6153</v>
      </c>
    </row>
    <row r="19624" spans="8:8">
      <c r="H19624" s="680" t="s">
        <v>6153</v>
      </c>
    </row>
    <row r="19625" spans="8:8">
      <c r="H19625" s="680" t="s">
        <v>6153</v>
      </c>
    </row>
    <row r="19626" spans="8:8">
      <c r="H19626" s="680" t="s">
        <v>6153</v>
      </c>
    </row>
    <row r="19627" spans="8:8">
      <c r="H19627" s="680" t="s">
        <v>6153</v>
      </c>
    </row>
    <row r="19628" spans="8:8">
      <c r="H19628" s="680" t="s">
        <v>6153</v>
      </c>
    </row>
    <row r="19629" spans="8:8">
      <c r="H19629" s="680" t="s">
        <v>6153</v>
      </c>
    </row>
    <row r="19630" spans="8:8">
      <c r="H19630" s="680" t="s">
        <v>6153</v>
      </c>
    </row>
    <row r="19631" spans="8:8">
      <c r="H19631" s="680" t="s">
        <v>6153</v>
      </c>
    </row>
    <row r="19632" spans="8:8">
      <c r="H19632" s="680" t="s">
        <v>6153</v>
      </c>
    </row>
    <row r="19633" spans="8:8">
      <c r="H19633" s="680" t="s">
        <v>6153</v>
      </c>
    </row>
    <row r="19634" spans="8:8">
      <c r="H19634" s="680" t="s">
        <v>6153</v>
      </c>
    </row>
    <row r="19635" spans="8:8">
      <c r="H19635" s="680" t="s">
        <v>6153</v>
      </c>
    </row>
    <row r="19636" spans="8:8">
      <c r="H19636" s="680" t="s">
        <v>6153</v>
      </c>
    </row>
    <row r="19637" spans="8:8">
      <c r="H19637" s="680" t="s">
        <v>6153</v>
      </c>
    </row>
    <row r="19638" spans="8:8">
      <c r="H19638" s="680" t="s">
        <v>6153</v>
      </c>
    </row>
    <row r="19639" spans="8:8">
      <c r="H19639" s="680" t="s">
        <v>6153</v>
      </c>
    </row>
    <row r="19640" spans="8:8">
      <c r="H19640" s="680" t="s">
        <v>6153</v>
      </c>
    </row>
    <row r="19641" spans="8:8">
      <c r="H19641" s="680" t="s">
        <v>6153</v>
      </c>
    </row>
    <row r="19642" spans="8:8">
      <c r="H19642" s="680" t="s">
        <v>6153</v>
      </c>
    </row>
    <row r="19643" spans="8:8">
      <c r="H19643" s="680" t="s">
        <v>6153</v>
      </c>
    </row>
    <row r="19644" spans="8:8">
      <c r="H19644" s="680" t="s">
        <v>6153</v>
      </c>
    </row>
    <row r="19645" spans="8:8">
      <c r="H19645" s="680" t="s">
        <v>6153</v>
      </c>
    </row>
    <row r="19646" spans="8:8">
      <c r="H19646" s="680" t="s">
        <v>6153</v>
      </c>
    </row>
    <row r="19647" spans="8:8">
      <c r="H19647" s="680" t="s">
        <v>6153</v>
      </c>
    </row>
    <row r="19648" spans="8:8">
      <c r="H19648" s="680" t="s">
        <v>6153</v>
      </c>
    </row>
    <row r="19649" spans="8:8">
      <c r="H19649" s="680" t="s">
        <v>6153</v>
      </c>
    </row>
    <row r="19650" spans="8:8">
      <c r="H19650" s="680" t="s">
        <v>6153</v>
      </c>
    </row>
    <row r="19651" spans="8:8">
      <c r="H19651" s="680" t="s">
        <v>6153</v>
      </c>
    </row>
    <row r="19652" spans="8:8">
      <c r="H19652" s="680" t="s">
        <v>6153</v>
      </c>
    </row>
    <row r="19653" spans="8:8">
      <c r="H19653" s="680" t="s">
        <v>6153</v>
      </c>
    </row>
    <row r="19654" spans="8:8">
      <c r="H19654" s="680" t="s">
        <v>6153</v>
      </c>
    </row>
    <row r="19655" spans="8:8">
      <c r="H19655" s="680" t="s">
        <v>6153</v>
      </c>
    </row>
    <row r="19656" spans="8:8">
      <c r="H19656" s="680" t="s">
        <v>6153</v>
      </c>
    </row>
    <row r="19657" spans="8:8">
      <c r="H19657" s="680" t="s">
        <v>6153</v>
      </c>
    </row>
    <row r="19658" spans="8:8">
      <c r="H19658" s="680" t="s">
        <v>6153</v>
      </c>
    </row>
    <row r="19659" spans="8:8">
      <c r="H19659" s="680" t="s">
        <v>6153</v>
      </c>
    </row>
    <row r="19660" spans="8:8">
      <c r="H19660" s="680" t="s">
        <v>6153</v>
      </c>
    </row>
    <row r="19661" spans="8:8">
      <c r="H19661" s="680" t="s">
        <v>6153</v>
      </c>
    </row>
    <row r="19662" spans="8:8">
      <c r="H19662" s="680" t="s">
        <v>6153</v>
      </c>
    </row>
    <row r="19663" spans="8:8">
      <c r="H19663" s="680" t="s">
        <v>6153</v>
      </c>
    </row>
    <row r="19664" spans="8:8">
      <c r="H19664" s="680" t="s">
        <v>6153</v>
      </c>
    </row>
    <row r="19665" spans="8:8">
      <c r="H19665" s="680" t="s">
        <v>6153</v>
      </c>
    </row>
    <row r="19666" spans="8:8">
      <c r="H19666" s="680" t="s">
        <v>6153</v>
      </c>
    </row>
    <row r="19667" spans="8:8">
      <c r="H19667" s="680" t="s">
        <v>6153</v>
      </c>
    </row>
    <row r="19668" spans="8:8">
      <c r="H19668" s="680" t="s">
        <v>6153</v>
      </c>
    </row>
    <row r="19669" spans="8:8">
      <c r="H19669" s="680" t="s">
        <v>6153</v>
      </c>
    </row>
    <row r="19670" spans="8:8">
      <c r="H19670" s="680" t="s">
        <v>6153</v>
      </c>
    </row>
    <row r="19671" spans="8:8">
      <c r="H19671" s="680" t="s">
        <v>6153</v>
      </c>
    </row>
    <row r="19672" spans="8:8">
      <c r="H19672" s="680" t="s">
        <v>6153</v>
      </c>
    </row>
    <row r="19673" spans="8:8">
      <c r="H19673" s="680" t="s">
        <v>6153</v>
      </c>
    </row>
    <row r="19674" spans="8:8">
      <c r="H19674" s="680" t="s">
        <v>6153</v>
      </c>
    </row>
    <row r="19675" spans="8:8">
      <c r="H19675" s="680" t="s">
        <v>6153</v>
      </c>
    </row>
    <row r="19676" spans="8:8">
      <c r="H19676" s="680" t="s">
        <v>6153</v>
      </c>
    </row>
    <row r="19677" spans="8:8">
      <c r="H19677" s="680" t="s">
        <v>6153</v>
      </c>
    </row>
    <row r="19678" spans="8:8">
      <c r="H19678" s="680" t="s">
        <v>6153</v>
      </c>
    </row>
    <row r="19679" spans="8:8">
      <c r="H19679" s="680" t="s">
        <v>6153</v>
      </c>
    </row>
    <row r="19680" spans="8:8">
      <c r="H19680" s="680" t="s">
        <v>6153</v>
      </c>
    </row>
    <row r="19681" spans="8:8">
      <c r="H19681" s="680" t="s">
        <v>6153</v>
      </c>
    </row>
    <row r="19682" spans="8:8">
      <c r="H19682" s="680" t="s">
        <v>6153</v>
      </c>
    </row>
    <row r="19683" spans="8:8">
      <c r="H19683" s="680" t="s">
        <v>6153</v>
      </c>
    </row>
    <row r="19684" spans="8:8">
      <c r="H19684" s="680" t="s">
        <v>6153</v>
      </c>
    </row>
    <row r="19685" spans="8:8">
      <c r="H19685" s="680" t="s">
        <v>6153</v>
      </c>
    </row>
    <row r="19686" spans="8:8">
      <c r="H19686" s="680" t="s">
        <v>6153</v>
      </c>
    </row>
    <row r="19687" spans="8:8">
      <c r="H19687" s="680" t="s">
        <v>6153</v>
      </c>
    </row>
    <row r="19688" spans="8:8">
      <c r="H19688" s="680" t="s">
        <v>6153</v>
      </c>
    </row>
    <row r="19689" spans="8:8">
      <c r="H19689" s="680" t="s">
        <v>6153</v>
      </c>
    </row>
    <row r="19690" spans="8:8">
      <c r="H19690" s="680" t="s">
        <v>6153</v>
      </c>
    </row>
    <row r="19691" spans="8:8">
      <c r="H19691" s="680" t="s">
        <v>6153</v>
      </c>
    </row>
    <row r="19692" spans="8:8">
      <c r="H19692" s="680" t="s">
        <v>6153</v>
      </c>
    </row>
    <row r="19693" spans="8:8">
      <c r="H19693" s="680" t="s">
        <v>6153</v>
      </c>
    </row>
    <row r="19694" spans="8:8">
      <c r="H19694" s="680" t="s">
        <v>6153</v>
      </c>
    </row>
    <row r="19695" spans="8:8">
      <c r="H19695" s="680" t="s">
        <v>6153</v>
      </c>
    </row>
    <row r="19696" spans="8:8">
      <c r="H19696" s="680" t="s">
        <v>6153</v>
      </c>
    </row>
    <row r="19697" spans="8:8">
      <c r="H19697" s="680" t="s">
        <v>6153</v>
      </c>
    </row>
    <row r="19698" spans="8:8">
      <c r="H19698" s="680" t="s">
        <v>6153</v>
      </c>
    </row>
    <row r="19699" spans="8:8">
      <c r="H19699" s="680" t="s">
        <v>6153</v>
      </c>
    </row>
    <row r="19700" spans="8:8">
      <c r="H19700" s="680" t="s">
        <v>6153</v>
      </c>
    </row>
    <row r="19701" spans="8:8">
      <c r="H19701" s="680" t="s">
        <v>6153</v>
      </c>
    </row>
    <row r="19702" spans="8:8">
      <c r="H19702" s="680" t="s">
        <v>6153</v>
      </c>
    </row>
    <row r="19703" spans="8:8">
      <c r="H19703" s="680" t="s">
        <v>6153</v>
      </c>
    </row>
    <row r="19704" spans="8:8">
      <c r="H19704" s="680" t="s">
        <v>6153</v>
      </c>
    </row>
    <row r="19705" spans="8:8">
      <c r="H19705" s="680" t="s">
        <v>6153</v>
      </c>
    </row>
    <row r="19706" spans="8:8">
      <c r="H19706" s="680" t="s">
        <v>6153</v>
      </c>
    </row>
    <row r="19707" spans="8:8">
      <c r="H19707" s="680" t="s">
        <v>6153</v>
      </c>
    </row>
    <row r="19708" spans="8:8">
      <c r="H19708" s="680" t="s">
        <v>6153</v>
      </c>
    </row>
    <row r="19709" spans="8:8">
      <c r="H19709" s="680" t="s">
        <v>6153</v>
      </c>
    </row>
    <row r="19710" spans="8:8">
      <c r="H19710" s="680" t="s">
        <v>6153</v>
      </c>
    </row>
    <row r="19711" spans="8:8">
      <c r="H19711" s="680" t="s">
        <v>6153</v>
      </c>
    </row>
    <row r="19712" spans="8:8">
      <c r="H19712" s="680" t="s">
        <v>6153</v>
      </c>
    </row>
    <row r="19713" spans="8:8">
      <c r="H19713" s="680" t="s">
        <v>6153</v>
      </c>
    </row>
    <row r="19714" spans="8:8">
      <c r="H19714" s="680" t="s">
        <v>6153</v>
      </c>
    </row>
    <row r="19715" spans="8:8">
      <c r="H19715" s="680" t="s">
        <v>6153</v>
      </c>
    </row>
    <row r="19716" spans="8:8">
      <c r="H19716" s="680" t="s">
        <v>6153</v>
      </c>
    </row>
    <row r="19717" spans="8:8">
      <c r="H19717" s="680" t="s">
        <v>6153</v>
      </c>
    </row>
    <row r="19718" spans="8:8">
      <c r="H19718" s="680" t="s">
        <v>6153</v>
      </c>
    </row>
    <row r="19719" spans="8:8">
      <c r="H19719" s="680" t="s">
        <v>6153</v>
      </c>
    </row>
    <row r="19720" spans="8:8">
      <c r="H19720" s="680" t="s">
        <v>6153</v>
      </c>
    </row>
    <row r="19721" spans="8:8">
      <c r="H19721" s="680" t="s">
        <v>6153</v>
      </c>
    </row>
    <row r="19722" spans="8:8">
      <c r="H19722" s="680" t="s">
        <v>6153</v>
      </c>
    </row>
    <row r="19723" spans="8:8">
      <c r="H19723" s="680" t="s">
        <v>6153</v>
      </c>
    </row>
    <row r="19724" spans="8:8">
      <c r="H19724" s="680" t="s">
        <v>6153</v>
      </c>
    </row>
    <row r="19725" spans="8:8">
      <c r="H19725" s="680" t="s">
        <v>6153</v>
      </c>
    </row>
    <row r="19726" spans="8:8">
      <c r="H19726" s="680" t="s">
        <v>6153</v>
      </c>
    </row>
    <row r="19727" spans="8:8">
      <c r="H19727" s="680" t="s">
        <v>6153</v>
      </c>
    </row>
    <row r="19728" spans="8:8">
      <c r="H19728" s="680" t="s">
        <v>6153</v>
      </c>
    </row>
    <row r="19729" spans="8:8">
      <c r="H19729" s="680" t="s">
        <v>6153</v>
      </c>
    </row>
    <row r="19730" spans="8:8">
      <c r="H19730" s="680" t="s">
        <v>6153</v>
      </c>
    </row>
    <row r="19731" spans="8:8">
      <c r="H19731" s="680" t="s">
        <v>6153</v>
      </c>
    </row>
    <row r="19732" spans="8:8">
      <c r="H19732" s="680" t="s">
        <v>6153</v>
      </c>
    </row>
    <row r="19733" spans="8:8">
      <c r="H19733" s="680" t="s">
        <v>6153</v>
      </c>
    </row>
    <row r="19734" spans="8:8">
      <c r="H19734" s="680" t="s">
        <v>6153</v>
      </c>
    </row>
    <row r="19735" spans="8:8">
      <c r="H19735" s="680" t="s">
        <v>6153</v>
      </c>
    </row>
    <row r="19736" spans="8:8">
      <c r="H19736" s="680" t="s">
        <v>6153</v>
      </c>
    </row>
    <row r="19737" spans="8:8">
      <c r="H19737" s="680" t="s">
        <v>6153</v>
      </c>
    </row>
    <row r="19738" spans="8:8">
      <c r="H19738" s="680" t="s">
        <v>6153</v>
      </c>
    </row>
    <row r="19739" spans="8:8">
      <c r="H19739" s="680" t="s">
        <v>6153</v>
      </c>
    </row>
    <row r="19740" spans="8:8">
      <c r="H19740" s="680" t="s">
        <v>6153</v>
      </c>
    </row>
    <row r="19741" spans="8:8">
      <c r="H19741" s="680" t="s">
        <v>6153</v>
      </c>
    </row>
    <row r="19742" spans="8:8">
      <c r="H19742" s="680" t="s">
        <v>6153</v>
      </c>
    </row>
    <row r="19743" spans="8:8">
      <c r="H19743" s="680" t="s">
        <v>6153</v>
      </c>
    </row>
    <row r="19744" spans="8:8">
      <c r="H19744" s="680" t="s">
        <v>6153</v>
      </c>
    </row>
    <row r="19745" spans="8:8">
      <c r="H19745" s="680" t="s">
        <v>6153</v>
      </c>
    </row>
    <row r="19746" spans="8:8">
      <c r="H19746" s="680" t="s">
        <v>6153</v>
      </c>
    </row>
    <row r="19747" spans="8:8">
      <c r="H19747" s="680" t="s">
        <v>6153</v>
      </c>
    </row>
    <row r="19748" spans="8:8">
      <c r="H19748" s="680" t="s">
        <v>6153</v>
      </c>
    </row>
    <row r="19749" spans="8:8">
      <c r="H19749" s="680" t="s">
        <v>6153</v>
      </c>
    </row>
    <row r="19750" spans="8:8">
      <c r="H19750" s="680" t="s">
        <v>6153</v>
      </c>
    </row>
    <row r="19751" spans="8:8">
      <c r="H19751" s="680" t="s">
        <v>6153</v>
      </c>
    </row>
    <row r="19752" spans="8:8">
      <c r="H19752" s="680" t="s">
        <v>6153</v>
      </c>
    </row>
    <row r="19753" spans="8:8">
      <c r="H19753" s="680" t="s">
        <v>6153</v>
      </c>
    </row>
    <row r="19754" spans="8:8">
      <c r="H19754" s="680" t="s">
        <v>6153</v>
      </c>
    </row>
    <row r="19755" spans="8:8">
      <c r="H19755" s="680" t="s">
        <v>6153</v>
      </c>
    </row>
    <row r="19756" spans="8:8">
      <c r="H19756" s="680" t="s">
        <v>6153</v>
      </c>
    </row>
    <row r="19757" spans="8:8">
      <c r="H19757" s="680" t="s">
        <v>6153</v>
      </c>
    </row>
    <row r="19758" spans="8:8">
      <c r="H19758" s="680" t="s">
        <v>6153</v>
      </c>
    </row>
    <row r="19759" spans="8:8">
      <c r="H19759" s="680" t="s">
        <v>6153</v>
      </c>
    </row>
    <row r="19760" spans="8:8">
      <c r="H19760" s="680" t="s">
        <v>6153</v>
      </c>
    </row>
    <row r="19761" spans="8:8">
      <c r="H19761" s="680" t="s">
        <v>6153</v>
      </c>
    </row>
    <row r="19762" spans="8:8">
      <c r="H19762" s="680" t="s">
        <v>6153</v>
      </c>
    </row>
    <row r="19763" spans="8:8">
      <c r="H19763" s="680" t="s">
        <v>6153</v>
      </c>
    </row>
    <row r="19764" spans="8:8">
      <c r="H19764" s="680" t="s">
        <v>6153</v>
      </c>
    </row>
    <row r="19765" spans="8:8">
      <c r="H19765" s="680" t="s">
        <v>6153</v>
      </c>
    </row>
    <row r="19766" spans="8:8">
      <c r="H19766" s="680" t="s">
        <v>6153</v>
      </c>
    </row>
    <row r="19767" spans="8:8">
      <c r="H19767" s="680" t="s">
        <v>6153</v>
      </c>
    </row>
    <row r="19768" spans="8:8">
      <c r="H19768" s="680" t="s">
        <v>6153</v>
      </c>
    </row>
    <row r="19769" spans="8:8">
      <c r="H19769" s="680" t="s">
        <v>6153</v>
      </c>
    </row>
    <row r="19770" spans="8:8">
      <c r="H19770" s="680" t="s">
        <v>6153</v>
      </c>
    </row>
    <row r="19771" spans="8:8">
      <c r="H19771" s="680" t="s">
        <v>6153</v>
      </c>
    </row>
    <row r="19772" spans="8:8">
      <c r="H19772" s="680" t="s">
        <v>6153</v>
      </c>
    </row>
    <row r="19773" spans="8:8">
      <c r="H19773" s="680" t="s">
        <v>6153</v>
      </c>
    </row>
    <row r="19774" spans="8:8">
      <c r="H19774" s="680" t="s">
        <v>6153</v>
      </c>
    </row>
    <row r="19775" spans="8:8">
      <c r="H19775" s="680" t="s">
        <v>6153</v>
      </c>
    </row>
    <row r="19776" spans="8:8">
      <c r="H19776" s="680" t="s">
        <v>6153</v>
      </c>
    </row>
    <row r="19777" spans="8:8">
      <c r="H19777" s="680" t="s">
        <v>6153</v>
      </c>
    </row>
    <row r="19778" spans="8:8">
      <c r="H19778" s="680" t="s">
        <v>6153</v>
      </c>
    </row>
    <row r="19779" spans="8:8">
      <c r="H19779" s="680" t="s">
        <v>6153</v>
      </c>
    </row>
    <row r="19780" spans="8:8">
      <c r="H19780" s="680" t="s">
        <v>6153</v>
      </c>
    </row>
    <row r="19781" spans="8:8">
      <c r="H19781" s="680" t="s">
        <v>6153</v>
      </c>
    </row>
    <row r="19782" spans="8:8">
      <c r="H19782" s="680" t="s">
        <v>6153</v>
      </c>
    </row>
    <row r="19783" spans="8:8">
      <c r="H19783" s="680" t="s">
        <v>6153</v>
      </c>
    </row>
    <row r="19784" spans="8:8">
      <c r="H19784" s="680" t="s">
        <v>6153</v>
      </c>
    </row>
    <row r="19785" spans="8:8">
      <c r="H19785" s="680" t="s">
        <v>6153</v>
      </c>
    </row>
    <row r="19786" spans="8:8">
      <c r="H19786" s="680" t="s">
        <v>6153</v>
      </c>
    </row>
    <row r="19787" spans="8:8">
      <c r="H19787" s="680" t="s">
        <v>6153</v>
      </c>
    </row>
    <row r="19788" spans="8:8">
      <c r="H19788" s="680" t="s">
        <v>6153</v>
      </c>
    </row>
    <row r="19789" spans="8:8">
      <c r="H19789" s="680" t="s">
        <v>6153</v>
      </c>
    </row>
    <row r="19790" spans="8:8">
      <c r="H19790" s="680" t="s">
        <v>6153</v>
      </c>
    </row>
    <row r="19791" spans="8:8">
      <c r="H19791" s="680" t="s">
        <v>6153</v>
      </c>
    </row>
    <row r="19792" spans="8:8">
      <c r="H19792" s="680" t="s">
        <v>6153</v>
      </c>
    </row>
    <row r="19793" spans="8:8">
      <c r="H19793" s="680" t="s">
        <v>6153</v>
      </c>
    </row>
    <row r="19794" spans="8:8">
      <c r="H19794" s="680" t="s">
        <v>6153</v>
      </c>
    </row>
    <row r="19795" spans="8:8">
      <c r="H19795" s="680" t="s">
        <v>6153</v>
      </c>
    </row>
    <row r="19796" spans="8:8">
      <c r="H19796" s="680" t="s">
        <v>6153</v>
      </c>
    </row>
    <row r="19797" spans="8:8">
      <c r="H19797" s="680" t="s">
        <v>6153</v>
      </c>
    </row>
    <row r="19798" spans="8:8">
      <c r="H19798" s="680" t="s">
        <v>6153</v>
      </c>
    </row>
    <row r="19799" spans="8:8">
      <c r="H19799" s="680" t="s">
        <v>6153</v>
      </c>
    </row>
    <row r="19800" spans="8:8">
      <c r="H19800" s="680" t="s">
        <v>6153</v>
      </c>
    </row>
    <row r="19801" spans="8:8">
      <c r="H19801" s="680" t="s">
        <v>6153</v>
      </c>
    </row>
    <row r="19802" spans="8:8">
      <c r="H19802" s="680" t="s">
        <v>6153</v>
      </c>
    </row>
    <row r="19803" spans="8:8">
      <c r="H19803" s="680" t="s">
        <v>6153</v>
      </c>
    </row>
    <row r="19804" spans="8:8">
      <c r="H19804" s="680" t="s">
        <v>6153</v>
      </c>
    </row>
    <row r="19805" spans="8:8">
      <c r="H19805" s="680" t="s">
        <v>6153</v>
      </c>
    </row>
    <row r="19806" spans="8:8">
      <c r="H19806" s="680" t="s">
        <v>6153</v>
      </c>
    </row>
    <row r="19807" spans="8:8">
      <c r="H19807" s="680" t="s">
        <v>6153</v>
      </c>
    </row>
    <row r="19808" spans="8:8">
      <c r="H19808" s="680" t="s">
        <v>6153</v>
      </c>
    </row>
    <row r="19809" spans="8:8">
      <c r="H19809" s="680" t="s">
        <v>6153</v>
      </c>
    </row>
    <row r="19810" spans="8:8">
      <c r="H19810" s="680" t="s">
        <v>6153</v>
      </c>
    </row>
    <row r="19811" spans="8:8">
      <c r="H19811" s="680" t="s">
        <v>6153</v>
      </c>
    </row>
    <row r="19812" spans="8:8">
      <c r="H19812" s="680" t="s">
        <v>6153</v>
      </c>
    </row>
    <row r="19813" spans="8:8">
      <c r="H19813" s="680" t="s">
        <v>6153</v>
      </c>
    </row>
    <row r="19814" spans="8:8">
      <c r="H19814" s="680" t="s">
        <v>6153</v>
      </c>
    </row>
    <row r="19815" spans="8:8">
      <c r="H19815" s="680" t="s">
        <v>6153</v>
      </c>
    </row>
    <row r="19816" spans="8:8">
      <c r="H19816" s="680" t="s">
        <v>6153</v>
      </c>
    </row>
    <row r="19817" spans="8:8">
      <c r="H19817" s="680" t="s">
        <v>6153</v>
      </c>
    </row>
    <row r="19818" spans="8:8">
      <c r="H19818" s="680" t="s">
        <v>6153</v>
      </c>
    </row>
    <row r="19819" spans="8:8">
      <c r="H19819" s="680" t="s">
        <v>6153</v>
      </c>
    </row>
    <row r="19820" spans="8:8">
      <c r="H19820" s="680" t="s">
        <v>6153</v>
      </c>
    </row>
    <row r="19821" spans="8:8">
      <c r="H19821" s="680" t="s">
        <v>6153</v>
      </c>
    </row>
    <row r="19822" spans="8:8">
      <c r="H19822" s="680" t="s">
        <v>6153</v>
      </c>
    </row>
    <row r="19823" spans="8:8">
      <c r="H19823" s="680" t="s">
        <v>6153</v>
      </c>
    </row>
    <row r="19824" spans="8:8">
      <c r="H19824" s="680" t="s">
        <v>6153</v>
      </c>
    </row>
    <row r="19825" spans="8:8">
      <c r="H19825" s="680" t="s">
        <v>6153</v>
      </c>
    </row>
    <row r="19826" spans="8:8">
      <c r="H19826" s="680" t="s">
        <v>6153</v>
      </c>
    </row>
    <row r="19827" spans="8:8">
      <c r="H19827" s="680" t="s">
        <v>6153</v>
      </c>
    </row>
    <row r="19828" spans="8:8">
      <c r="H19828" s="680" t="s">
        <v>6153</v>
      </c>
    </row>
    <row r="19829" spans="8:8">
      <c r="H19829" s="680" t="s">
        <v>6153</v>
      </c>
    </row>
    <row r="19830" spans="8:8">
      <c r="H19830" s="680" t="s">
        <v>6153</v>
      </c>
    </row>
    <row r="19831" spans="8:8">
      <c r="H19831" s="680" t="s">
        <v>6153</v>
      </c>
    </row>
    <row r="19832" spans="8:8">
      <c r="H19832" s="680" t="s">
        <v>6153</v>
      </c>
    </row>
    <row r="19833" spans="8:8">
      <c r="H19833" s="680" t="s">
        <v>6153</v>
      </c>
    </row>
    <row r="19834" spans="8:8">
      <c r="H19834" s="680" t="s">
        <v>6153</v>
      </c>
    </row>
    <row r="19835" spans="8:8">
      <c r="H19835" s="680" t="s">
        <v>6153</v>
      </c>
    </row>
    <row r="19836" spans="8:8">
      <c r="H19836" s="680" t="s">
        <v>6153</v>
      </c>
    </row>
    <row r="19837" spans="8:8">
      <c r="H19837" s="680" t="s">
        <v>6153</v>
      </c>
    </row>
    <row r="19838" spans="8:8">
      <c r="H19838" s="680" t="s">
        <v>6153</v>
      </c>
    </row>
    <row r="19839" spans="8:8">
      <c r="H19839" s="680" t="s">
        <v>6153</v>
      </c>
    </row>
    <row r="19840" spans="8:8">
      <c r="H19840" s="680" t="s">
        <v>6153</v>
      </c>
    </row>
    <row r="19841" spans="8:8">
      <c r="H19841" s="680" t="s">
        <v>6153</v>
      </c>
    </row>
    <row r="19842" spans="8:8">
      <c r="H19842" s="680" t="s">
        <v>6153</v>
      </c>
    </row>
    <row r="19843" spans="8:8">
      <c r="H19843" s="680" t="s">
        <v>6153</v>
      </c>
    </row>
    <row r="19844" spans="8:8">
      <c r="H19844" s="680" t="s">
        <v>6153</v>
      </c>
    </row>
    <row r="19845" spans="8:8">
      <c r="H19845" s="680" t="s">
        <v>6153</v>
      </c>
    </row>
    <row r="19846" spans="8:8">
      <c r="H19846" s="680" t="s">
        <v>6153</v>
      </c>
    </row>
    <row r="19847" spans="8:8">
      <c r="H19847" s="680" t="s">
        <v>6153</v>
      </c>
    </row>
    <row r="19848" spans="8:8">
      <c r="H19848" s="680" t="s">
        <v>6153</v>
      </c>
    </row>
    <row r="19849" spans="8:8">
      <c r="H19849" s="680" t="s">
        <v>6153</v>
      </c>
    </row>
    <row r="19850" spans="8:8">
      <c r="H19850" s="680" t="s">
        <v>6153</v>
      </c>
    </row>
    <row r="19851" spans="8:8">
      <c r="H19851" s="680" t="s">
        <v>6153</v>
      </c>
    </row>
    <row r="19852" spans="8:8">
      <c r="H19852" s="680" t="s">
        <v>6153</v>
      </c>
    </row>
    <row r="19853" spans="8:8">
      <c r="H19853" s="680" t="s">
        <v>6153</v>
      </c>
    </row>
    <row r="19854" spans="8:8">
      <c r="H19854" s="680" t="s">
        <v>6153</v>
      </c>
    </row>
    <row r="19855" spans="8:8">
      <c r="H19855" s="680" t="s">
        <v>6153</v>
      </c>
    </row>
    <row r="19856" spans="8:8">
      <c r="H19856" s="680" t="s">
        <v>6153</v>
      </c>
    </row>
    <row r="19857" spans="8:8">
      <c r="H19857" s="680" t="s">
        <v>6153</v>
      </c>
    </row>
    <row r="19858" spans="8:8">
      <c r="H19858" s="680" t="s">
        <v>6153</v>
      </c>
    </row>
    <row r="19859" spans="8:8">
      <c r="H19859" s="680" t="s">
        <v>6153</v>
      </c>
    </row>
    <row r="19860" spans="8:8">
      <c r="H19860" s="680" t="s">
        <v>6153</v>
      </c>
    </row>
    <row r="19861" spans="8:8">
      <c r="H19861" s="680" t="s">
        <v>6153</v>
      </c>
    </row>
    <row r="19862" spans="8:8">
      <c r="H19862" s="680" t="s">
        <v>6153</v>
      </c>
    </row>
    <row r="19863" spans="8:8">
      <c r="H19863" s="680" t="s">
        <v>6153</v>
      </c>
    </row>
    <row r="19864" spans="8:8">
      <c r="H19864" s="680" t="s">
        <v>6153</v>
      </c>
    </row>
    <row r="19865" spans="8:8">
      <c r="H19865" s="680" t="s">
        <v>6153</v>
      </c>
    </row>
    <row r="19866" spans="8:8">
      <c r="H19866" s="680" t="s">
        <v>6153</v>
      </c>
    </row>
    <row r="19867" spans="8:8">
      <c r="H19867" s="680" t="s">
        <v>6153</v>
      </c>
    </row>
    <row r="19868" spans="8:8">
      <c r="H19868" s="680" t="s">
        <v>6153</v>
      </c>
    </row>
    <row r="19869" spans="8:8">
      <c r="H19869" s="680" t="s">
        <v>6153</v>
      </c>
    </row>
    <row r="19870" spans="8:8">
      <c r="H19870" s="680" t="s">
        <v>6153</v>
      </c>
    </row>
    <row r="19871" spans="8:8">
      <c r="H19871" s="680" t="s">
        <v>6153</v>
      </c>
    </row>
    <row r="19872" spans="8:8">
      <c r="H19872" s="680" t="s">
        <v>6153</v>
      </c>
    </row>
    <row r="19873" spans="8:8">
      <c r="H19873" s="680" t="s">
        <v>6153</v>
      </c>
    </row>
    <row r="19874" spans="8:8">
      <c r="H19874" s="680" t="s">
        <v>6153</v>
      </c>
    </row>
    <row r="19875" spans="8:8">
      <c r="H19875" s="680" t="s">
        <v>6153</v>
      </c>
    </row>
    <row r="19876" spans="8:8">
      <c r="H19876" s="680" t="s">
        <v>6153</v>
      </c>
    </row>
    <row r="19877" spans="8:8">
      <c r="H19877" s="680" t="s">
        <v>6153</v>
      </c>
    </row>
    <row r="19878" spans="8:8">
      <c r="H19878" s="680" t="s">
        <v>6153</v>
      </c>
    </row>
    <row r="19879" spans="8:8">
      <c r="H19879" s="680" t="s">
        <v>6153</v>
      </c>
    </row>
    <row r="19880" spans="8:8">
      <c r="H19880" s="680" t="s">
        <v>6153</v>
      </c>
    </row>
    <row r="19881" spans="8:8">
      <c r="H19881" s="680" t="s">
        <v>6153</v>
      </c>
    </row>
    <row r="19882" spans="8:8">
      <c r="H19882" s="680" t="s">
        <v>6153</v>
      </c>
    </row>
    <row r="19883" spans="8:8">
      <c r="H19883" s="680" t="s">
        <v>6153</v>
      </c>
    </row>
    <row r="19884" spans="8:8">
      <c r="H19884" s="680" t="s">
        <v>6153</v>
      </c>
    </row>
    <row r="19885" spans="8:8">
      <c r="H19885" s="680" t="s">
        <v>6153</v>
      </c>
    </row>
    <row r="19886" spans="8:8">
      <c r="H19886" s="680" t="s">
        <v>6153</v>
      </c>
    </row>
    <row r="19887" spans="8:8">
      <c r="H19887" s="680" t="s">
        <v>6153</v>
      </c>
    </row>
    <row r="19888" spans="8:8">
      <c r="H19888" s="680" t="s">
        <v>6153</v>
      </c>
    </row>
    <row r="19889" spans="8:8">
      <c r="H19889" s="680" t="s">
        <v>6153</v>
      </c>
    </row>
    <row r="19890" spans="8:8">
      <c r="H19890" s="680" t="s">
        <v>6153</v>
      </c>
    </row>
    <row r="19891" spans="8:8">
      <c r="H19891" s="680" t="s">
        <v>6153</v>
      </c>
    </row>
    <row r="19892" spans="8:8">
      <c r="H19892" s="680" t="s">
        <v>6153</v>
      </c>
    </row>
    <row r="19893" spans="8:8">
      <c r="H19893" s="680" t="s">
        <v>6153</v>
      </c>
    </row>
    <row r="19894" spans="8:8">
      <c r="H19894" s="680" t="s">
        <v>6153</v>
      </c>
    </row>
    <row r="19895" spans="8:8">
      <c r="H19895" s="680" t="s">
        <v>6153</v>
      </c>
    </row>
    <row r="19896" spans="8:8">
      <c r="H19896" s="680" t="s">
        <v>6153</v>
      </c>
    </row>
    <row r="19897" spans="8:8">
      <c r="H19897" s="680" t="s">
        <v>6153</v>
      </c>
    </row>
    <row r="19898" spans="8:8">
      <c r="H19898" s="680" t="s">
        <v>6153</v>
      </c>
    </row>
    <row r="19899" spans="8:8">
      <c r="H19899" s="680" t="s">
        <v>6153</v>
      </c>
    </row>
    <row r="19900" spans="8:8">
      <c r="H19900" s="680" t="s">
        <v>6153</v>
      </c>
    </row>
    <row r="19901" spans="8:8">
      <c r="H19901" s="680" t="s">
        <v>6153</v>
      </c>
    </row>
    <row r="19902" spans="8:8">
      <c r="H19902" s="680" t="s">
        <v>6153</v>
      </c>
    </row>
    <row r="19903" spans="8:8">
      <c r="H19903" s="680" t="s">
        <v>6153</v>
      </c>
    </row>
    <row r="19904" spans="8:8">
      <c r="H19904" s="680" t="s">
        <v>6153</v>
      </c>
    </row>
    <row r="19905" spans="8:8">
      <c r="H19905" s="680" t="s">
        <v>6153</v>
      </c>
    </row>
    <row r="19906" spans="8:8">
      <c r="H19906" s="680" t="s">
        <v>6153</v>
      </c>
    </row>
    <row r="19907" spans="8:8">
      <c r="H19907" s="680" t="s">
        <v>6153</v>
      </c>
    </row>
    <row r="19908" spans="8:8">
      <c r="H19908" s="680" t="s">
        <v>6153</v>
      </c>
    </row>
    <row r="19909" spans="8:8">
      <c r="H19909" s="680" t="s">
        <v>6153</v>
      </c>
    </row>
    <row r="19910" spans="8:8">
      <c r="H19910" s="680" t="s">
        <v>6153</v>
      </c>
    </row>
    <row r="19911" spans="8:8">
      <c r="H19911" s="680" t="s">
        <v>6153</v>
      </c>
    </row>
    <row r="19912" spans="8:8">
      <c r="H19912" s="680" t="s">
        <v>6153</v>
      </c>
    </row>
    <row r="19913" spans="8:8">
      <c r="H19913" s="680" t="s">
        <v>6153</v>
      </c>
    </row>
    <row r="19914" spans="8:8">
      <c r="H19914" s="680" t="s">
        <v>6153</v>
      </c>
    </row>
    <row r="19915" spans="8:8">
      <c r="H19915" s="680" t="s">
        <v>6153</v>
      </c>
    </row>
    <row r="19916" spans="8:8">
      <c r="H19916" s="680" t="s">
        <v>6153</v>
      </c>
    </row>
    <row r="19917" spans="8:8">
      <c r="H19917" s="680" t="s">
        <v>6153</v>
      </c>
    </row>
    <row r="19918" spans="8:8">
      <c r="H19918" s="680" t="s">
        <v>6153</v>
      </c>
    </row>
    <row r="19919" spans="8:8">
      <c r="H19919" s="680" t="s">
        <v>6153</v>
      </c>
    </row>
    <row r="19920" spans="8:8">
      <c r="H19920" s="680" t="s">
        <v>6153</v>
      </c>
    </row>
    <row r="19921" spans="8:8">
      <c r="H19921" s="680" t="s">
        <v>6153</v>
      </c>
    </row>
    <row r="19922" spans="8:8">
      <c r="H19922" s="680" t="s">
        <v>6153</v>
      </c>
    </row>
    <row r="19923" spans="8:8">
      <c r="H19923" s="680" t="s">
        <v>6153</v>
      </c>
    </row>
    <row r="19924" spans="8:8">
      <c r="H19924" s="680" t="s">
        <v>6153</v>
      </c>
    </row>
    <row r="19925" spans="8:8">
      <c r="H19925" s="680" t="s">
        <v>6153</v>
      </c>
    </row>
    <row r="19926" spans="8:8">
      <c r="H19926" s="680" t="s">
        <v>6153</v>
      </c>
    </row>
    <row r="19927" spans="8:8">
      <c r="H19927" s="680" t="s">
        <v>6153</v>
      </c>
    </row>
    <row r="19928" spans="8:8">
      <c r="H19928" s="680" t="s">
        <v>6153</v>
      </c>
    </row>
    <row r="19929" spans="8:8">
      <c r="H19929" s="680" t="s">
        <v>6153</v>
      </c>
    </row>
    <row r="19930" spans="8:8">
      <c r="H19930" s="680" t="s">
        <v>6153</v>
      </c>
    </row>
    <row r="19931" spans="8:8">
      <c r="H19931" s="680" t="s">
        <v>6153</v>
      </c>
    </row>
    <row r="19932" spans="8:8">
      <c r="H19932" s="680" t="s">
        <v>6153</v>
      </c>
    </row>
    <row r="19933" spans="8:8">
      <c r="H19933" s="680" t="s">
        <v>6153</v>
      </c>
    </row>
    <row r="19934" spans="8:8">
      <c r="H19934" s="680" t="s">
        <v>6153</v>
      </c>
    </row>
    <row r="19935" spans="8:8">
      <c r="H19935" s="680" t="s">
        <v>6153</v>
      </c>
    </row>
    <row r="19936" spans="8:8">
      <c r="H19936" s="680" t="s">
        <v>6153</v>
      </c>
    </row>
    <row r="19937" spans="8:8">
      <c r="H19937" s="680" t="s">
        <v>6153</v>
      </c>
    </row>
    <row r="19938" spans="8:8">
      <c r="H19938" s="680" t="s">
        <v>6153</v>
      </c>
    </row>
    <row r="19939" spans="8:8">
      <c r="H19939" s="680" t="s">
        <v>6153</v>
      </c>
    </row>
    <row r="19940" spans="8:8">
      <c r="H19940" s="680" t="s">
        <v>6153</v>
      </c>
    </row>
    <row r="19941" spans="8:8">
      <c r="H19941" s="680" t="s">
        <v>6153</v>
      </c>
    </row>
    <row r="19942" spans="8:8">
      <c r="H19942" s="680" t="s">
        <v>6153</v>
      </c>
    </row>
    <row r="19943" spans="8:8">
      <c r="H19943" s="680" t="s">
        <v>6153</v>
      </c>
    </row>
    <row r="19944" spans="8:8">
      <c r="H19944" s="680" t="s">
        <v>6153</v>
      </c>
    </row>
    <row r="19945" spans="8:8">
      <c r="H19945" s="680" t="s">
        <v>6153</v>
      </c>
    </row>
    <row r="19946" spans="8:8">
      <c r="H19946" s="680" t="s">
        <v>6153</v>
      </c>
    </row>
    <row r="19947" spans="8:8">
      <c r="H19947" s="680" t="s">
        <v>6153</v>
      </c>
    </row>
    <row r="19948" spans="8:8">
      <c r="H19948" s="680" t="s">
        <v>6153</v>
      </c>
    </row>
    <row r="19949" spans="8:8">
      <c r="H19949" s="680" t="s">
        <v>6153</v>
      </c>
    </row>
    <row r="19950" spans="8:8">
      <c r="H19950" s="680" t="s">
        <v>6153</v>
      </c>
    </row>
    <row r="19951" spans="8:8">
      <c r="H19951" s="680" t="s">
        <v>6153</v>
      </c>
    </row>
    <row r="19952" spans="8:8">
      <c r="H19952" s="680" t="s">
        <v>6153</v>
      </c>
    </row>
    <row r="19953" spans="8:8">
      <c r="H19953" s="680" t="s">
        <v>6153</v>
      </c>
    </row>
    <row r="19954" spans="8:8">
      <c r="H19954" s="680" t="s">
        <v>6153</v>
      </c>
    </row>
    <row r="19955" spans="8:8">
      <c r="H19955" s="680" t="s">
        <v>6153</v>
      </c>
    </row>
    <row r="19956" spans="8:8">
      <c r="H19956" s="680" t="s">
        <v>6153</v>
      </c>
    </row>
    <row r="19957" spans="8:8">
      <c r="H19957" s="680" t="s">
        <v>6153</v>
      </c>
    </row>
    <row r="19958" spans="8:8">
      <c r="H19958" s="680" t="s">
        <v>6153</v>
      </c>
    </row>
    <row r="19959" spans="8:8">
      <c r="H19959" s="680" t="s">
        <v>6153</v>
      </c>
    </row>
    <row r="19960" spans="8:8">
      <c r="H19960" s="680" t="s">
        <v>6153</v>
      </c>
    </row>
    <row r="19961" spans="8:8">
      <c r="H19961" s="680" t="s">
        <v>6153</v>
      </c>
    </row>
    <row r="19962" spans="8:8">
      <c r="H19962" s="680" t="s">
        <v>6153</v>
      </c>
    </row>
    <row r="19963" spans="8:8">
      <c r="H19963" s="680" t="s">
        <v>6153</v>
      </c>
    </row>
    <row r="19964" spans="8:8">
      <c r="H19964" s="680" t="s">
        <v>6153</v>
      </c>
    </row>
    <row r="19965" spans="8:8">
      <c r="H19965" s="680" t="s">
        <v>6153</v>
      </c>
    </row>
    <row r="19966" spans="8:8">
      <c r="H19966" s="680" t="s">
        <v>6153</v>
      </c>
    </row>
    <row r="19967" spans="8:8">
      <c r="H19967" s="680" t="s">
        <v>6153</v>
      </c>
    </row>
    <row r="19968" spans="8:8">
      <c r="H19968" s="680" t="s">
        <v>6153</v>
      </c>
    </row>
    <row r="19969" spans="8:8">
      <c r="H19969" s="680" t="s">
        <v>6153</v>
      </c>
    </row>
    <row r="19970" spans="8:8">
      <c r="H19970" s="680" t="s">
        <v>6153</v>
      </c>
    </row>
    <row r="19971" spans="8:8">
      <c r="H19971" s="680" t="s">
        <v>6153</v>
      </c>
    </row>
    <row r="19972" spans="8:8">
      <c r="H19972" s="680" t="s">
        <v>6153</v>
      </c>
    </row>
    <row r="19973" spans="8:8">
      <c r="H19973" s="680" t="s">
        <v>6153</v>
      </c>
    </row>
    <row r="19974" spans="8:8">
      <c r="H19974" s="680" t="s">
        <v>6153</v>
      </c>
    </row>
    <row r="19975" spans="8:8">
      <c r="H19975" s="680" t="s">
        <v>6153</v>
      </c>
    </row>
    <row r="19976" spans="8:8">
      <c r="H19976" s="680" t="s">
        <v>6153</v>
      </c>
    </row>
    <row r="19977" spans="8:8">
      <c r="H19977" s="680" t="s">
        <v>6153</v>
      </c>
    </row>
    <row r="19978" spans="8:8">
      <c r="H19978" s="680" t="s">
        <v>6153</v>
      </c>
    </row>
    <row r="19979" spans="8:8">
      <c r="H19979" s="680" t="s">
        <v>6153</v>
      </c>
    </row>
    <row r="19980" spans="8:8">
      <c r="H19980" s="680" t="s">
        <v>6153</v>
      </c>
    </row>
    <row r="19981" spans="8:8">
      <c r="H19981" s="680" t="s">
        <v>6153</v>
      </c>
    </row>
    <row r="19982" spans="8:8">
      <c r="H19982" s="680" t="s">
        <v>6153</v>
      </c>
    </row>
    <row r="19983" spans="8:8">
      <c r="H19983" s="680" t="s">
        <v>6153</v>
      </c>
    </row>
    <row r="19984" spans="8:8">
      <c r="H19984" s="680" t="s">
        <v>6153</v>
      </c>
    </row>
    <row r="19985" spans="8:8">
      <c r="H19985" s="680" t="s">
        <v>6153</v>
      </c>
    </row>
    <row r="19986" spans="8:8">
      <c r="H19986" s="680" t="s">
        <v>6153</v>
      </c>
    </row>
    <row r="19987" spans="8:8">
      <c r="H19987" s="680" t="s">
        <v>6153</v>
      </c>
    </row>
    <row r="19988" spans="8:8">
      <c r="H19988" s="680" t="s">
        <v>6153</v>
      </c>
    </row>
    <row r="19989" spans="8:8">
      <c r="H19989" s="680" t="s">
        <v>6153</v>
      </c>
    </row>
    <row r="19990" spans="8:8">
      <c r="H19990" s="680" t="s">
        <v>6153</v>
      </c>
    </row>
    <row r="19991" spans="8:8">
      <c r="H19991" s="680" t="s">
        <v>6153</v>
      </c>
    </row>
    <row r="19992" spans="8:8">
      <c r="H19992" s="680" t="s">
        <v>6153</v>
      </c>
    </row>
    <row r="19993" spans="8:8">
      <c r="H19993" s="680" t="s">
        <v>6153</v>
      </c>
    </row>
    <row r="19994" spans="8:8">
      <c r="H19994" s="680" t="s">
        <v>6153</v>
      </c>
    </row>
    <row r="19995" spans="8:8">
      <c r="H19995" s="680" t="s">
        <v>6153</v>
      </c>
    </row>
    <row r="19996" spans="8:8">
      <c r="H19996" s="680" t="s">
        <v>6153</v>
      </c>
    </row>
    <row r="19997" spans="8:8">
      <c r="H19997" s="680" t="s">
        <v>6153</v>
      </c>
    </row>
    <row r="19998" spans="8:8">
      <c r="H19998" s="680" t="s">
        <v>6153</v>
      </c>
    </row>
    <row r="19999" spans="8:8">
      <c r="H19999" s="680" t="s">
        <v>6153</v>
      </c>
    </row>
    <row r="20000" spans="8:8">
      <c r="H20000" s="680" t="s">
        <v>6153</v>
      </c>
    </row>
    <row r="20001" spans="8:8">
      <c r="H20001" s="680" t="s">
        <v>6153</v>
      </c>
    </row>
    <row r="20002" spans="8:8">
      <c r="H20002" s="680" t="s">
        <v>6153</v>
      </c>
    </row>
    <row r="20003" spans="8:8">
      <c r="H20003" s="680" t="s">
        <v>6153</v>
      </c>
    </row>
    <row r="20004" spans="8:8">
      <c r="H20004" s="680" t="s">
        <v>6153</v>
      </c>
    </row>
    <row r="20005" spans="8:8">
      <c r="H20005" s="680" t="s">
        <v>6153</v>
      </c>
    </row>
    <row r="20006" spans="8:8">
      <c r="H20006" s="680" t="s">
        <v>6153</v>
      </c>
    </row>
    <row r="20007" spans="8:8">
      <c r="H20007" s="680" t="s">
        <v>6153</v>
      </c>
    </row>
    <row r="20008" spans="8:8">
      <c r="H20008" s="680" t="s">
        <v>6153</v>
      </c>
    </row>
    <row r="20009" spans="8:8">
      <c r="H20009" s="680" t="s">
        <v>6153</v>
      </c>
    </row>
    <row r="20010" spans="8:8">
      <c r="H20010" s="680" t="s">
        <v>6153</v>
      </c>
    </row>
    <row r="20011" spans="8:8">
      <c r="H20011" s="680" t="s">
        <v>6153</v>
      </c>
    </row>
    <row r="20012" spans="8:8">
      <c r="H20012" s="680" t="s">
        <v>6153</v>
      </c>
    </row>
    <row r="20013" spans="8:8">
      <c r="H20013" s="680" t="s">
        <v>6153</v>
      </c>
    </row>
    <row r="20014" spans="8:8">
      <c r="H20014" s="680" t="s">
        <v>6153</v>
      </c>
    </row>
    <row r="20015" spans="8:8">
      <c r="H20015" s="680" t="s">
        <v>6153</v>
      </c>
    </row>
    <row r="20016" spans="8:8">
      <c r="H20016" s="680" t="s">
        <v>6153</v>
      </c>
    </row>
    <row r="20017" spans="8:8">
      <c r="H20017" s="680" t="s">
        <v>6153</v>
      </c>
    </row>
    <row r="20018" spans="8:8">
      <c r="H20018" s="680" t="s">
        <v>6153</v>
      </c>
    </row>
    <row r="20019" spans="8:8">
      <c r="H20019" s="680" t="s">
        <v>6153</v>
      </c>
    </row>
    <row r="20020" spans="8:8">
      <c r="H20020" s="680" t="s">
        <v>6153</v>
      </c>
    </row>
    <row r="20021" spans="8:8">
      <c r="H20021" s="680" t="s">
        <v>6153</v>
      </c>
    </row>
    <row r="20022" spans="8:8">
      <c r="H20022" s="680" t="s">
        <v>6153</v>
      </c>
    </row>
    <row r="20023" spans="8:8">
      <c r="H20023" s="680" t="s">
        <v>6153</v>
      </c>
    </row>
    <row r="20024" spans="8:8">
      <c r="H20024" s="680" t="s">
        <v>6153</v>
      </c>
    </row>
    <row r="20025" spans="8:8">
      <c r="H20025" s="680" t="s">
        <v>6153</v>
      </c>
    </row>
    <row r="20026" spans="8:8">
      <c r="H20026" s="680" t="s">
        <v>6153</v>
      </c>
    </row>
    <row r="20027" spans="8:8">
      <c r="H20027" s="680" t="s">
        <v>6153</v>
      </c>
    </row>
    <row r="20028" spans="8:8">
      <c r="H20028" s="680" t="s">
        <v>6153</v>
      </c>
    </row>
    <row r="20029" spans="8:8">
      <c r="H20029" s="680" t="s">
        <v>6153</v>
      </c>
    </row>
    <row r="20030" spans="8:8">
      <c r="H20030" s="680" t="s">
        <v>6153</v>
      </c>
    </row>
    <row r="20031" spans="8:8">
      <c r="H20031" s="680" t="s">
        <v>6153</v>
      </c>
    </row>
    <row r="20032" spans="8:8">
      <c r="H20032" s="680" t="s">
        <v>6153</v>
      </c>
    </row>
    <row r="20033" spans="8:8">
      <c r="H20033" s="680" t="s">
        <v>6153</v>
      </c>
    </row>
    <row r="20034" spans="8:8">
      <c r="H20034" s="680" t="s">
        <v>6153</v>
      </c>
    </row>
    <row r="20035" spans="8:8">
      <c r="H20035" s="680" t="s">
        <v>6153</v>
      </c>
    </row>
    <row r="20036" spans="8:8">
      <c r="H20036" s="680" t="s">
        <v>6153</v>
      </c>
    </row>
    <row r="20037" spans="8:8">
      <c r="H20037" s="680" t="s">
        <v>6153</v>
      </c>
    </row>
    <row r="20038" spans="8:8">
      <c r="H20038" s="680" t="s">
        <v>6153</v>
      </c>
    </row>
    <row r="20039" spans="8:8">
      <c r="H20039" s="680" t="s">
        <v>6153</v>
      </c>
    </row>
    <row r="20040" spans="8:8">
      <c r="H20040" s="680" t="s">
        <v>6153</v>
      </c>
    </row>
    <row r="20041" spans="8:8">
      <c r="H20041" s="680" t="s">
        <v>6153</v>
      </c>
    </row>
    <row r="20042" spans="8:8">
      <c r="H20042" s="680" t="s">
        <v>6153</v>
      </c>
    </row>
    <row r="20043" spans="8:8">
      <c r="H20043" s="680" t="s">
        <v>6153</v>
      </c>
    </row>
    <row r="20044" spans="8:8">
      <c r="H20044" s="680" t="s">
        <v>6153</v>
      </c>
    </row>
    <row r="20045" spans="8:8">
      <c r="H20045" s="680" t="s">
        <v>6153</v>
      </c>
    </row>
    <row r="20046" spans="8:8">
      <c r="H20046" s="680" t="s">
        <v>6153</v>
      </c>
    </row>
    <row r="20047" spans="8:8">
      <c r="H20047" s="680" t="s">
        <v>6153</v>
      </c>
    </row>
    <row r="20048" spans="8:8">
      <c r="H20048" s="680" t="s">
        <v>6153</v>
      </c>
    </row>
    <row r="20049" spans="8:8">
      <c r="H20049" s="680" t="s">
        <v>6153</v>
      </c>
    </row>
    <row r="20050" spans="8:8">
      <c r="H20050" s="680" t="s">
        <v>6153</v>
      </c>
    </row>
    <row r="20051" spans="8:8">
      <c r="H20051" s="680" t="s">
        <v>6153</v>
      </c>
    </row>
    <row r="20052" spans="8:8">
      <c r="H20052" s="680" t="s">
        <v>6153</v>
      </c>
    </row>
    <row r="20053" spans="8:8">
      <c r="H20053" s="680" t="s">
        <v>6153</v>
      </c>
    </row>
    <row r="20054" spans="8:8">
      <c r="H20054" s="680" t="s">
        <v>6153</v>
      </c>
    </row>
    <row r="20055" spans="8:8">
      <c r="H20055" s="680" t="s">
        <v>6153</v>
      </c>
    </row>
    <row r="20056" spans="8:8">
      <c r="H20056" s="680" t="s">
        <v>6153</v>
      </c>
    </row>
    <row r="20057" spans="8:8">
      <c r="H20057" s="680" t="s">
        <v>6153</v>
      </c>
    </row>
    <row r="20058" spans="8:8">
      <c r="H20058" s="680" t="s">
        <v>6153</v>
      </c>
    </row>
    <row r="20059" spans="8:8">
      <c r="H20059" s="680" t="s">
        <v>6153</v>
      </c>
    </row>
    <row r="20060" spans="8:8">
      <c r="H20060" s="680" t="s">
        <v>6153</v>
      </c>
    </row>
    <row r="20061" spans="8:8">
      <c r="H20061" s="680" t="s">
        <v>6153</v>
      </c>
    </row>
    <row r="20062" spans="8:8">
      <c r="H20062" s="680" t="s">
        <v>6153</v>
      </c>
    </row>
    <row r="20063" spans="8:8">
      <c r="H20063" s="680" t="s">
        <v>6153</v>
      </c>
    </row>
    <row r="20064" spans="8:8">
      <c r="H20064" s="680" t="s">
        <v>6153</v>
      </c>
    </row>
    <row r="20065" spans="8:8">
      <c r="H20065" s="680" t="s">
        <v>6153</v>
      </c>
    </row>
    <row r="20066" spans="8:8">
      <c r="H20066" s="680" t="s">
        <v>6153</v>
      </c>
    </row>
    <row r="20067" spans="8:8">
      <c r="H20067" s="680" t="s">
        <v>6153</v>
      </c>
    </row>
    <row r="20068" spans="8:8">
      <c r="H20068" s="680" t="s">
        <v>6153</v>
      </c>
    </row>
    <row r="20069" spans="8:8">
      <c r="H20069" s="680" t="s">
        <v>6153</v>
      </c>
    </row>
    <row r="20070" spans="8:8">
      <c r="H20070" s="680" t="s">
        <v>6153</v>
      </c>
    </row>
    <row r="20071" spans="8:8">
      <c r="H20071" s="680" t="s">
        <v>6153</v>
      </c>
    </row>
    <row r="20072" spans="8:8">
      <c r="H20072" s="680" t="s">
        <v>6153</v>
      </c>
    </row>
    <row r="20073" spans="8:8">
      <c r="H20073" s="680" t="s">
        <v>6153</v>
      </c>
    </row>
    <row r="20074" spans="8:8">
      <c r="H20074" s="680" t="s">
        <v>6153</v>
      </c>
    </row>
    <row r="20075" spans="8:8">
      <c r="H20075" s="680" t="s">
        <v>6153</v>
      </c>
    </row>
    <row r="20076" spans="8:8">
      <c r="H20076" s="680" t="s">
        <v>6153</v>
      </c>
    </row>
    <row r="20077" spans="8:8">
      <c r="H20077" s="680" t="s">
        <v>6153</v>
      </c>
    </row>
    <row r="20078" spans="8:8">
      <c r="H20078" s="680" t="s">
        <v>6153</v>
      </c>
    </row>
    <row r="20079" spans="8:8">
      <c r="H20079" s="680" t="s">
        <v>6153</v>
      </c>
    </row>
    <row r="20080" spans="8:8">
      <c r="H20080" s="680" t="s">
        <v>6153</v>
      </c>
    </row>
    <row r="20081" spans="8:8">
      <c r="H20081" s="680" t="s">
        <v>6153</v>
      </c>
    </row>
    <row r="20082" spans="8:8">
      <c r="H20082" s="680" t="s">
        <v>6153</v>
      </c>
    </row>
    <row r="20083" spans="8:8">
      <c r="H20083" s="680" t="s">
        <v>6153</v>
      </c>
    </row>
    <row r="20084" spans="8:8">
      <c r="H20084" s="680" t="s">
        <v>6153</v>
      </c>
    </row>
    <row r="20085" spans="8:8">
      <c r="H20085" s="680" t="s">
        <v>6153</v>
      </c>
    </row>
    <row r="20086" spans="8:8">
      <c r="H20086" s="680" t="s">
        <v>6153</v>
      </c>
    </row>
    <row r="20087" spans="8:8">
      <c r="H20087" s="680" t="s">
        <v>6153</v>
      </c>
    </row>
    <row r="20088" spans="8:8">
      <c r="H20088" s="680" t="s">
        <v>6153</v>
      </c>
    </row>
    <row r="20089" spans="8:8">
      <c r="H20089" s="680" t="s">
        <v>6153</v>
      </c>
    </row>
    <row r="20090" spans="8:8">
      <c r="H20090" s="680" t="s">
        <v>6153</v>
      </c>
    </row>
    <row r="20091" spans="8:8">
      <c r="H20091" s="680" t="s">
        <v>6153</v>
      </c>
    </row>
    <row r="20092" spans="8:8">
      <c r="H20092" s="680" t="s">
        <v>6153</v>
      </c>
    </row>
    <row r="20093" spans="8:8">
      <c r="H20093" s="680" t="s">
        <v>6153</v>
      </c>
    </row>
    <row r="20094" spans="8:8">
      <c r="H20094" s="680" t="s">
        <v>6153</v>
      </c>
    </row>
    <row r="20095" spans="8:8">
      <c r="H20095" s="680" t="s">
        <v>6153</v>
      </c>
    </row>
    <row r="20096" spans="8:8">
      <c r="H20096" s="680" t="s">
        <v>6153</v>
      </c>
    </row>
    <row r="20097" spans="8:8">
      <c r="H20097" s="680" t="s">
        <v>6153</v>
      </c>
    </row>
    <row r="20098" spans="8:8">
      <c r="H20098" s="680" t="s">
        <v>6153</v>
      </c>
    </row>
    <row r="20099" spans="8:8">
      <c r="H20099" s="680" t="s">
        <v>6153</v>
      </c>
    </row>
    <row r="20100" spans="8:8">
      <c r="H20100" s="680" t="s">
        <v>6153</v>
      </c>
    </row>
    <row r="20101" spans="8:8">
      <c r="H20101" s="680" t="s">
        <v>6153</v>
      </c>
    </row>
    <row r="20102" spans="8:8">
      <c r="H20102" s="680" t="s">
        <v>6153</v>
      </c>
    </row>
    <row r="20103" spans="8:8">
      <c r="H20103" s="680" t="s">
        <v>6153</v>
      </c>
    </row>
    <row r="20104" spans="8:8">
      <c r="H20104" s="680" t="s">
        <v>6153</v>
      </c>
    </row>
    <row r="20105" spans="8:8">
      <c r="H20105" s="680" t="s">
        <v>6153</v>
      </c>
    </row>
    <row r="20106" spans="8:8">
      <c r="H20106" s="680" t="s">
        <v>6153</v>
      </c>
    </row>
    <row r="20107" spans="8:8">
      <c r="H20107" s="680" t="s">
        <v>6153</v>
      </c>
    </row>
    <row r="20108" spans="8:8">
      <c r="H20108" s="680" t="s">
        <v>6153</v>
      </c>
    </row>
    <row r="20109" spans="8:8">
      <c r="H20109" s="680" t="s">
        <v>6153</v>
      </c>
    </row>
    <row r="20110" spans="8:8">
      <c r="H20110" s="680" t="s">
        <v>6153</v>
      </c>
    </row>
    <row r="20111" spans="8:8">
      <c r="H20111" s="680" t="s">
        <v>6153</v>
      </c>
    </row>
    <row r="20112" spans="8:8">
      <c r="H20112" s="680" t="s">
        <v>6153</v>
      </c>
    </row>
    <row r="20113" spans="8:8">
      <c r="H20113" s="680" t="s">
        <v>6153</v>
      </c>
    </row>
    <row r="20114" spans="8:8">
      <c r="H20114" s="680" t="s">
        <v>6153</v>
      </c>
    </row>
    <row r="20115" spans="8:8">
      <c r="H20115" s="680" t="s">
        <v>6153</v>
      </c>
    </row>
    <row r="20116" spans="8:8">
      <c r="H20116" s="680" t="s">
        <v>6153</v>
      </c>
    </row>
    <row r="20117" spans="8:8">
      <c r="H20117" s="680" t="s">
        <v>6153</v>
      </c>
    </row>
    <row r="20118" spans="8:8">
      <c r="H20118" s="680" t="s">
        <v>6153</v>
      </c>
    </row>
    <row r="20119" spans="8:8">
      <c r="H20119" s="680" t="s">
        <v>6153</v>
      </c>
    </row>
    <row r="20120" spans="8:8">
      <c r="H20120" s="680" t="s">
        <v>6153</v>
      </c>
    </row>
    <row r="20121" spans="8:8">
      <c r="H20121" s="680" t="s">
        <v>6153</v>
      </c>
    </row>
    <row r="20122" spans="8:8">
      <c r="H20122" s="680" t="s">
        <v>6153</v>
      </c>
    </row>
    <row r="20123" spans="8:8">
      <c r="H20123" s="680" t="s">
        <v>6153</v>
      </c>
    </row>
    <row r="20124" spans="8:8">
      <c r="H20124" s="680" t="s">
        <v>6153</v>
      </c>
    </row>
    <row r="20125" spans="8:8">
      <c r="H20125" s="680" t="s">
        <v>6153</v>
      </c>
    </row>
    <row r="20126" spans="8:8">
      <c r="H20126" s="680" t="s">
        <v>6153</v>
      </c>
    </row>
    <row r="20127" spans="8:8">
      <c r="H20127" s="680" t="s">
        <v>6153</v>
      </c>
    </row>
    <row r="20128" spans="8:8">
      <c r="H20128" s="680" t="s">
        <v>6153</v>
      </c>
    </row>
    <row r="20129" spans="8:8">
      <c r="H20129" s="680" t="s">
        <v>6153</v>
      </c>
    </row>
    <row r="20130" spans="8:8">
      <c r="H20130" s="680" t="s">
        <v>6153</v>
      </c>
    </row>
    <row r="20131" spans="8:8">
      <c r="H20131" s="680" t="s">
        <v>6153</v>
      </c>
    </row>
    <row r="20132" spans="8:8">
      <c r="H20132" s="680" t="s">
        <v>6153</v>
      </c>
    </row>
    <row r="20133" spans="8:8">
      <c r="H20133" s="680" t="s">
        <v>6153</v>
      </c>
    </row>
    <row r="20134" spans="8:8">
      <c r="H20134" s="680" t="s">
        <v>6153</v>
      </c>
    </row>
    <row r="20135" spans="8:8">
      <c r="H20135" s="680" t="s">
        <v>6153</v>
      </c>
    </row>
    <row r="20136" spans="8:8">
      <c r="H20136" s="680" t="s">
        <v>6153</v>
      </c>
    </row>
    <row r="20137" spans="8:8">
      <c r="H20137" s="680" t="s">
        <v>6153</v>
      </c>
    </row>
    <row r="20138" spans="8:8">
      <c r="H20138" s="680" t="s">
        <v>6153</v>
      </c>
    </row>
    <row r="20139" spans="8:8">
      <c r="H20139" s="680" t="s">
        <v>6153</v>
      </c>
    </row>
    <row r="20140" spans="8:8">
      <c r="H20140" s="680" t="s">
        <v>6153</v>
      </c>
    </row>
    <row r="20141" spans="8:8">
      <c r="H20141" s="680" t="s">
        <v>6153</v>
      </c>
    </row>
    <row r="20142" spans="8:8">
      <c r="H20142" s="680" t="s">
        <v>6153</v>
      </c>
    </row>
    <row r="20143" spans="8:8">
      <c r="H20143" s="680" t="s">
        <v>6153</v>
      </c>
    </row>
    <row r="20144" spans="8:8">
      <c r="H20144" s="680" t="s">
        <v>6153</v>
      </c>
    </row>
    <row r="20145" spans="8:8">
      <c r="H20145" s="680" t="s">
        <v>6153</v>
      </c>
    </row>
    <row r="20146" spans="8:8">
      <c r="H20146" s="680" t="s">
        <v>6153</v>
      </c>
    </row>
    <row r="20147" spans="8:8">
      <c r="H20147" s="680" t="s">
        <v>6153</v>
      </c>
    </row>
    <row r="20148" spans="8:8">
      <c r="H20148" s="680" t="s">
        <v>6153</v>
      </c>
    </row>
    <row r="20149" spans="8:8">
      <c r="H20149" s="680" t="s">
        <v>6153</v>
      </c>
    </row>
    <row r="20150" spans="8:8">
      <c r="H20150" s="680" t="s">
        <v>6153</v>
      </c>
    </row>
    <row r="20151" spans="8:8">
      <c r="H20151" s="680" t="s">
        <v>6153</v>
      </c>
    </row>
    <row r="20152" spans="8:8">
      <c r="H20152" s="680" t="s">
        <v>6153</v>
      </c>
    </row>
    <row r="20153" spans="8:8">
      <c r="H20153" s="680" t="s">
        <v>6153</v>
      </c>
    </row>
    <row r="20154" spans="8:8">
      <c r="H20154" s="680" t="s">
        <v>6153</v>
      </c>
    </row>
    <row r="20155" spans="8:8">
      <c r="H20155" s="680" t="s">
        <v>6153</v>
      </c>
    </row>
    <row r="20156" spans="8:8">
      <c r="H20156" s="680" t="s">
        <v>6153</v>
      </c>
    </row>
    <row r="20157" spans="8:8">
      <c r="H20157" s="680" t="s">
        <v>6153</v>
      </c>
    </row>
    <row r="20158" spans="8:8">
      <c r="H20158" s="680" t="s">
        <v>6153</v>
      </c>
    </row>
    <row r="20159" spans="8:8">
      <c r="H20159" s="680" t="s">
        <v>6153</v>
      </c>
    </row>
    <row r="20160" spans="8:8">
      <c r="H20160" s="680" t="s">
        <v>6153</v>
      </c>
    </row>
    <row r="20161" spans="8:8">
      <c r="H20161" s="680" t="s">
        <v>6153</v>
      </c>
    </row>
    <row r="20162" spans="8:8">
      <c r="H20162" s="680" t="s">
        <v>6153</v>
      </c>
    </row>
    <row r="20163" spans="8:8">
      <c r="H20163" s="680" t="s">
        <v>6153</v>
      </c>
    </row>
    <row r="20164" spans="8:8">
      <c r="H20164" s="680" t="s">
        <v>6153</v>
      </c>
    </row>
    <row r="20165" spans="8:8">
      <c r="H20165" s="680" t="s">
        <v>6153</v>
      </c>
    </row>
    <row r="20166" spans="8:8">
      <c r="H20166" s="680" t="s">
        <v>6153</v>
      </c>
    </row>
    <row r="20167" spans="8:8">
      <c r="H20167" s="680" t="s">
        <v>6153</v>
      </c>
    </row>
    <row r="20168" spans="8:8">
      <c r="H20168" s="680" t="s">
        <v>6153</v>
      </c>
    </row>
    <row r="20169" spans="8:8">
      <c r="H20169" s="680" t="s">
        <v>6153</v>
      </c>
    </row>
    <row r="20170" spans="8:8">
      <c r="H20170" s="680" t="s">
        <v>6153</v>
      </c>
    </row>
    <row r="20171" spans="8:8">
      <c r="H20171" s="680" t="s">
        <v>6153</v>
      </c>
    </row>
    <row r="20172" spans="8:8">
      <c r="H20172" s="680" t="s">
        <v>6153</v>
      </c>
    </row>
    <row r="20173" spans="8:8">
      <c r="H20173" s="680" t="s">
        <v>6153</v>
      </c>
    </row>
    <row r="20174" spans="8:8">
      <c r="H20174" s="680" t="s">
        <v>6153</v>
      </c>
    </row>
    <row r="20175" spans="8:8">
      <c r="H20175" s="680" t="s">
        <v>6153</v>
      </c>
    </row>
    <row r="20176" spans="8:8">
      <c r="H20176" s="680" t="s">
        <v>6153</v>
      </c>
    </row>
    <row r="20177" spans="8:8">
      <c r="H20177" s="680" t="s">
        <v>6153</v>
      </c>
    </row>
    <row r="20178" spans="8:8">
      <c r="H20178" s="680" t="s">
        <v>6153</v>
      </c>
    </row>
    <row r="20179" spans="8:8">
      <c r="H20179" s="680" t="s">
        <v>6153</v>
      </c>
    </row>
    <row r="20180" spans="8:8">
      <c r="H20180" s="680" t="s">
        <v>6153</v>
      </c>
    </row>
    <row r="20181" spans="8:8">
      <c r="H20181" s="680" t="s">
        <v>6153</v>
      </c>
    </row>
    <row r="20182" spans="8:8">
      <c r="H20182" s="680" t="s">
        <v>6153</v>
      </c>
    </row>
    <row r="20183" spans="8:8">
      <c r="H20183" s="680" t="s">
        <v>6153</v>
      </c>
    </row>
    <row r="20184" spans="8:8">
      <c r="H20184" s="680" t="s">
        <v>6153</v>
      </c>
    </row>
    <row r="20185" spans="8:8">
      <c r="H20185" s="680" t="s">
        <v>6153</v>
      </c>
    </row>
    <row r="20186" spans="8:8">
      <c r="H20186" s="680" t="s">
        <v>6153</v>
      </c>
    </row>
    <row r="20187" spans="8:8">
      <c r="H20187" s="680" t="s">
        <v>6153</v>
      </c>
    </row>
    <row r="20188" spans="8:8">
      <c r="H20188" s="680" t="s">
        <v>6153</v>
      </c>
    </row>
    <row r="20189" spans="8:8">
      <c r="H20189" s="680" t="s">
        <v>6153</v>
      </c>
    </row>
    <row r="20190" spans="8:8">
      <c r="H20190" s="680" t="s">
        <v>6153</v>
      </c>
    </row>
    <row r="20191" spans="8:8">
      <c r="H20191" s="680" t="s">
        <v>6153</v>
      </c>
    </row>
    <row r="20192" spans="8:8">
      <c r="H20192" s="680" t="s">
        <v>6153</v>
      </c>
    </row>
    <row r="20193" spans="8:8">
      <c r="H20193" s="680" t="s">
        <v>6153</v>
      </c>
    </row>
    <row r="20194" spans="8:8">
      <c r="H20194" s="680" t="s">
        <v>6153</v>
      </c>
    </row>
    <row r="20195" spans="8:8">
      <c r="H20195" s="680" t="s">
        <v>6153</v>
      </c>
    </row>
    <row r="20196" spans="8:8">
      <c r="H20196" s="680" t="s">
        <v>6153</v>
      </c>
    </row>
    <row r="20197" spans="8:8">
      <c r="H20197" s="680" t="s">
        <v>6153</v>
      </c>
    </row>
    <row r="20198" spans="8:8">
      <c r="H20198" s="680" t="s">
        <v>6153</v>
      </c>
    </row>
    <row r="20199" spans="8:8">
      <c r="H20199" s="680" t="s">
        <v>6153</v>
      </c>
    </row>
    <row r="20200" spans="8:8">
      <c r="H20200" s="680" t="s">
        <v>6153</v>
      </c>
    </row>
    <row r="20201" spans="8:8">
      <c r="H20201" s="680" t="s">
        <v>6153</v>
      </c>
    </row>
    <row r="20202" spans="8:8">
      <c r="H20202" s="680" t="s">
        <v>6153</v>
      </c>
    </row>
    <row r="20203" spans="8:8">
      <c r="H20203" s="680" t="s">
        <v>6153</v>
      </c>
    </row>
    <row r="20204" spans="8:8">
      <c r="H20204" s="680" t="s">
        <v>6153</v>
      </c>
    </row>
    <row r="20205" spans="8:8">
      <c r="H20205" s="680" t="s">
        <v>6153</v>
      </c>
    </row>
    <row r="20206" spans="8:8">
      <c r="H20206" s="680" t="s">
        <v>6153</v>
      </c>
    </row>
    <row r="20207" spans="8:8">
      <c r="H20207" s="680" t="s">
        <v>6153</v>
      </c>
    </row>
    <row r="20208" spans="8:8">
      <c r="H20208" s="680" t="s">
        <v>6153</v>
      </c>
    </row>
    <row r="20209" spans="8:8">
      <c r="H20209" s="680" t="s">
        <v>6153</v>
      </c>
    </row>
    <row r="20210" spans="8:8">
      <c r="H20210" s="680" t="s">
        <v>6153</v>
      </c>
    </row>
    <row r="20211" spans="8:8">
      <c r="H20211" s="680" t="s">
        <v>6153</v>
      </c>
    </row>
    <row r="20212" spans="8:8">
      <c r="H20212" s="680" t="s">
        <v>6153</v>
      </c>
    </row>
    <row r="20213" spans="8:8">
      <c r="H20213" s="680" t="s">
        <v>6153</v>
      </c>
    </row>
    <row r="20214" spans="8:8">
      <c r="H20214" s="680" t="s">
        <v>6153</v>
      </c>
    </row>
    <row r="20215" spans="8:8">
      <c r="H20215" s="680" t="s">
        <v>6153</v>
      </c>
    </row>
    <row r="20216" spans="8:8">
      <c r="H20216" s="680" t="s">
        <v>6153</v>
      </c>
    </row>
    <row r="20217" spans="8:8">
      <c r="H20217" s="680" t="s">
        <v>6153</v>
      </c>
    </row>
    <row r="20218" spans="8:8">
      <c r="H20218" s="680" t="s">
        <v>6153</v>
      </c>
    </row>
    <row r="20219" spans="8:8">
      <c r="H20219" s="680" t="s">
        <v>6153</v>
      </c>
    </row>
    <row r="20220" spans="8:8">
      <c r="H20220" s="680" t="s">
        <v>6153</v>
      </c>
    </row>
    <row r="20221" spans="8:8">
      <c r="H20221" s="680" t="s">
        <v>6153</v>
      </c>
    </row>
    <row r="20222" spans="8:8">
      <c r="H20222" s="680" t="s">
        <v>6153</v>
      </c>
    </row>
    <row r="20223" spans="8:8">
      <c r="H20223" s="680" t="s">
        <v>6153</v>
      </c>
    </row>
    <row r="20224" spans="8:8">
      <c r="H20224" s="680" t="s">
        <v>6153</v>
      </c>
    </row>
    <row r="20225" spans="8:8">
      <c r="H20225" s="680" t="s">
        <v>6153</v>
      </c>
    </row>
    <row r="20226" spans="8:8">
      <c r="H20226" s="680" t="s">
        <v>6153</v>
      </c>
    </row>
    <row r="20227" spans="8:8">
      <c r="H20227" s="680" t="s">
        <v>6153</v>
      </c>
    </row>
    <row r="20228" spans="8:8">
      <c r="H20228" s="680" t="s">
        <v>6153</v>
      </c>
    </row>
    <row r="20229" spans="8:8">
      <c r="H20229" s="680" t="s">
        <v>6153</v>
      </c>
    </row>
    <row r="20230" spans="8:8">
      <c r="H20230" s="680" t="s">
        <v>6153</v>
      </c>
    </row>
    <row r="20231" spans="8:8">
      <c r="H20231" s="680" t="s">
        <v>6153</v>
      </c>
    </row>
    <row r="20232" spans="8:8">
      <c r="H20232" s="680" t="s">
        <v>6153</v>
      </c>
    </row>
    <row r="20233" spans="8:8">
      <c r="H20233" s="680" t="s">
        <v>6153</v>
      </c>
    </row>
    <row r="20234" spans="8:8">
      <c r="H20234" s="680" t="s">
        <v>6153</v>
      </c>
    </row>
    <row r="20235" spans="8:8">
      <c r="H20235" s="680" t="s">
        <v>6153</v>
      </c>
    </row>
    <row r="20236" spans="8:8">
      <c r="H20236" s="680" t="s">
        <v>6153</v>
      </c>
    </row>
    <row r="20237" spans="8:8">
      <c r="H20237" s="680" t="s">
        <v>6153</v>
      </c>
    </row>
    <row r="20238" spans="8:8">
      <c r="H20238" s="680" t="s">
        <v>6153</v>
      </c>
    </row>
    <row r="20239" spans="8:8">
      <c r="H20239" s="680" t="s">
        <v>6153</v>
      </c>
    </row>
    <row r="20240" spans="8:8">
      <c r="H20240" s="680" t="s">
        <v>6153</v>
      </c>
    </row>
    <row r="20241" spans="8:8">
      <c r="H20241" s="680" t="s">
        <v>6153</v>
      </c>
    </row>
    <row r="20242" spans="8:8">
      <c r="H20242" s="680" t="s">
        <v>6153</v>
      </c>
    </row>
    <row r="20243" spans="8:8">
      <c r="H20243" s="680" t="s">
        <v>6153</v>
      </c>
    </row>
    <row r="20244" spans="8:8">
      <c r="H20244" s="680" t="s">
        <v>6153</v>
      </c>
    </row>
    <row r="20245" spans="8:8">
      <c r="H20245" s="680" t="s">
        <v>6153</v>
      </c>
    </row>
    <row r="20246" spans="8:8">
      <c r="H20246" s="680" t="s">
        <v>6153</v>
      </c>
    </row>
    <row r="20247" spans="8:8">
      <c r="H20247" s="680" t="s">
        <v>6153</v>
      </c>
    </row>
    <row r="20248" spans="8:8">
      <c r="H20248" s="680" t="s">
        <v>6153</v>
      </c>
    </row>
    <row r="20249" spans="8:8">
      <c r="H20249" s="680" t="s">
        <v>6153</v>
      </c>
    </row>
    <row r="20250" spans="8:8">
      <c r="H20250" s="680" t="s">
        <v>6153</v>
      </c>
    </row>
    <row r="20251" spans="8:8">
      <c r="H20251" s="680" t="s">
        <v>6153</v>
      </c>
    </row>
    <row r="20252" spans="8:8">
      <c r="H20252" s="680" t="s">
        <v>6153</v>
      </c>
    </row>
    <row r="20253" spans="8:8">
      <c r="H20253" s="680" t="s">
        <v>6153</v>
      </c>
    </row>
    <row r="20254" spans="8:8">
      <c r="H20254" s="680" t="s">
        <v>6153</v>
      </c>
    </row>
    <row r="20255" spans="8:8">
      <c r="H20255" s="680" t="s">
        <v>6153</v>
      </c>
    </row>
    <row r="20256" spans="8:8">
      <c r="H20256" s="680" t="s">
        <v>6153</v>
      </c>
    </row>
    <row r="20257" spans="8:8">
      <c r="H20257" s="680" t="s">
        <v>6153</v>
      </c>
    </row>
    <row r="20258" spans="8:8">
      <c r="H20258" s="680" t="s">
        <v>6153</v>
      </c>
    </row>
    <row r="20259" spans="8:8">
      <c r="H20259" s="680" t="s">
        <v>6153</v>
      </c>
    </row>
    <row r="20260" spans="8:8">
      <c r="H20260" s="680" t="s">
        <v>6153</v>
      </c>
    </row>
    <row r="20261" spans="8:8">
      <c r="H20261" s="680" t="s">
        <v>6153</v>
      </c>
    </row>
    <row r="20262" spans="8:8">
      <c r="H20262" s="680" t="s">
        <v>6153</v>
      </c>
    </row>
    <row r="20263" spans="8:8">
      <c r="H20263" s="680" t="s">
        <v>6153</v>
      </c>
    </row>
    <row r="20264" spans="8:8">
      <c r="H20264" s="680" t="s">
        <v>6153</v>
      </c>
    </row>
    <row r="20265" spans="8:8">
      <c r="H20265" s="680" t="s">
        <v>6153</v>
      </c>
    </row>
    <row r="20266" spans="8:8">
      <c r="H20266" s="680" t="s">
        <v>6153</v>
      </c>
    </row>
    <row r="20267" spans="8:8">
      <c r="H20267" s="680" t="s">
        <v>6153</v>
      </c>
    </row>
    <row r="20268" spans="8:8">
      <c r="H20268" s="680" t="s">
        <v>6153</v>
      </c>
    </row>
    <row r="20269" spans="8:8">
      <c r="H20269" s="680" t="s">
        <v>6153</v>
      </c>
    </row>
    <row r="20270" spans="8:8">
      <c r="H20270" s="680" t="s">
        <v>6153</v>
      </c>
    </row>
    <row r="20271" spans="8:8">
      <c r="H20271" s="680" t="s">
        <v>6153</v>
      </c>
    </row>
    <row r="20272" spans="8:8">
      <c r="H20272" s="680" t="s">
        <v>6153</v>
      </c>
    </row>
    <row r="20273" spans="8:8">
      <c r="H20273" s="680" t="s">
        <v>6153</v>
      </c>
    </row>
    <row r="20274" spans="8:8">
      <c r="H20274" s="680" t="s">
        <v>6153</v>
      </c>
    </row>
    <row r="20275" spans="8:8">
      <c r="H20275" s="680" t="s">
        <v>6153</v>
      </c>
    </row>
    <row r="20276" spans="8:8">
      <c r="H20276" s="680" t="s">
        <v>6153</v>
      </c>
    </row>
    <row r="20277" spans="8:8">
      <c r="H20277" s="680" t="s">
        <v>6153</v>
      </c>
    </row>
    <row r="20278" spans="8:8">
      <c r="H20278" s="680" t="s">
        <v>6153</v>
      </c>
    </row>
    <row r="20279" spans="8:8">
      <c r="H20279" s="680" t="s">
        <v>6153</v>
      </c>
    </row>
    <row r="20280" spans="8:8">
      <c r="H20280" s="680" t="s">
        <v>6153</v>
      </c>
    </row>
    <row r="20281" spans="8:8">
      <c r="H20281" s="680" t="s">
        <v>6153</v>
      </c>
    </row>
    <row r="20282" spans="8:8">
      <c r="H20282" s="680" t="s">
        <v>6153</v>
      </c>
    </row>
    <row r="20283" spans="8:8">
      <c r="H20283" s="680" t="s">
        <v>6153</v>
      </c>
    </row>
    <row r="20284" spans="8:8">
      <c r="H20284" s="680" t="s">
        <v>6153</v>
      </c>
    </row>
    <row r="20285" spans="8:8">
      <c r="H20285" s="680" t="s">
        <v>6153</v>
      </c>
    </row>
    <row r="20286" spans="8:8">
      <c r="H20286" s="680" t="s">
        <v>6153</v>
      </c>
    </row>
    <row r="20287" spans="8:8">
      <c r="H20287" s="680" t="s">
        <v>6153</v>
      </c>
    </row>
    <row r="20288" spans="8:8">
      <c r="H20288" s="680" t="s">
        <v>6153</v>
      </c>
    </row>
    <row r="20289" spans="8:8">
      <c r="H20289" s="680" t="s">
        <v>6153</v>
      </c>
    </row>
    <row r="20290" spans="8:8">
      <c r="H20290" s="680" t="s">
        <v>6153</v>
      </c>
    </row>
    <row r="20291" spans="8:8">
      <c r="H20291" s="680" t="s">
        <v>6153</v>
      </c>
    </row>
    <row r="20292" spans="8:8">
      <c r="H20292" s="680" t="s">
        <v>6153</v>
      </c>
    </row>
    <row r="20293" spans="8:8">
      <c r="H20293" s="680" t="s">
        <v>6153</v>
      </c>
    </row>
    <row r="20294" spans="8:8">
      <c r="H20294" s="680" t="s">
        <v>6153</v>
      </c>
    </row>
    <row r="20295" spans="8:8">
      <c r="H20295" s="680" t="s">
        <v>6153</v>
      </c>
    </row>
    <row r="20296" spans="8:8">
      <c r="H20296" s="680" t="s">
        <v>6153</v>
      </c>
    </row>
    <row r="20297" spans="8:8">
      <c r="H20297" s="680" t="s">
        <v>6153</v>
      </c>
    </row>
    <row r="20298" spans="8:8">
      <c r="H20298" s="680" t="s">
        <v>6153</v>
      </c>
    </row>
    <row r="20299" spans="8:8">
      <c r="H20299" s="680" t="s">
        <v>6153</v>
      </c>
    </row>
    <row r="20300" spans="8:8">
      <c r="H20300" s="680" t="s">
        <v>6153</v>
      </c>
    </row>
    <row r="20301" spans="8:8">
      <c r="H20301" s="680" t="s">
        <v>6153</v>
      </c>
    </row>
    <row r="20302" spans="8:8">
      <c r="H20302" s="680" t="s">
        <v>6153</v>
      </c>
    </row>
    <row r="20303" spans="8:8">
      <c r="H20303" s="680" t="s">
        <v>6153</v>
      </c>
    </row>
    <row r="20304" spans="8:8">
      <c r="H20304" s="680" t="s">
        <v>6153</v>
      </c>
    </row>
    <row r="20305" spans="8:8">
      <c r="H20305" s="680" t="s">
        <v>6153</v>
      </c>
    </row>
    <row r="20306" spans="8:8">
      <c r="H20306" s="680" t="s">
        <v>6153</v>
      </c>
    </row>
    <row r="20307" spans="8:8">
      <c r="H20307" s="680" t="s">
        <v>6153</v>
      </c>
    </row>
    <row r="20308" spans="8:8">
      <c r="H20308" s="680" t="s">
        <v>6153</v>
      </c>
    </row>
    <row r="20309" spans="8:8">
      <c r="H20309" s="680" t="s">
        <v>6153</v>
      </c>
    </row>
    <row r="20310" spans="8:8">
      <c r="H20310" s="680" t="s">
        <v>6153</v>
      </c>
    </row>
    <row r="20311" spans="8:8">
      <c r="H20311" s="680" t="s">
        <v>6153</v>
      </c>
    </row>
    <row r="20312" spans="8:8">
      <c r="H20312" s="680" t="s">
        <v>6153</v>
      </c>
    </row>
    <row r="20313" spans="8:8">
      <c r="H20313" s="680" t="s">
        <v>6153</v>
      </c>
    </row>
    <row r="20314" spans="8:8">
      <c r="H20314" s="680" t="s">
        <v>6153</v>
      </c>
    </row>
    <row r="20315" spans="8:8">
      <c r="H20315" s="680" t="s">
        <v>6153</v>
      </c>
    </row>
    <row r="20316" spans="8:8">
      <c r="H20316" s="680" t="s">
        <v>6153</v>
      </c>
    </row>
    <row r="20317" spans="8:8">
      <c r="H20317" s="680" t="s">
        <v>6153</v>
      </c>
    </row>
    <row r="20318" spans="8:8">
      <c r="H20318" s="680" t="s">
        <v>6153</v>
      </c>
    </row>
    <row r="20319" spans="8:8">
      <c r="H20319" s="680" t="s">
        <v>6153</v>
      </c>
    </row>
    <row r="20320" spans="8:8">
      <c r="H20320" s="680" t="s">
        <v>6153</v>
      </c>
    </row>
    <row r="20321" spans="8:8">
      <c r="H20321" s="680" t="s">
        <v>6153</v>
      </c>
    </row>
    <row r="20322" spans="8:8">
      <c r="H20322" s="680" t="s">
        <v>6153</v>
      </c>
    </row>
    <row r="20323" spans="8:8">
      <c r="H20323" s="680" t="s">
        <v>6153</v>
      </c>
    </row>
    <row r="20324" spans="8:8">
      <c r="H20324" s="680" t="s">
        <v>6153</v>
      </c>
    </row>
    <row r="20325" spans="8:8">
      <c r="H20325" s="680" t="s">
        <v>6153</v>
      </c>
    </row>
    <row r="20326" spans="8:8">
      <c r="H20326" s="680" t="s">
        <v>6153</v>
      </c>
    </row>
    <row r="20327" spans="8:8">
      <c r="H20327" s="680" t="s">
        <v>6153</v>
      </c>
    </row>
    <row r="20328" spans="8:8">
      <c r="H20328" s="680" t="s">
        <v>6153</v>
      </c>
    </row>
    <row r="20329" spans="8:8">
      <c r="H20329" s="680" t="s">
        <v>6153</v>
      </c>
    </row>
    <row r="20330" spans="8:8">
      <c r="H20330" s="680" t="s">
        <v>6153</v>
      </c>
    </row>
    <row r="20331" spans="8:8">
      <c r="H20331" s="680" t="s">
        <v>6153</v>
      </c>
    </row>
    <row r="20332" spans="8:8">
      <c r="H20332" s="680" t="s">
        <v>6153</v>
      </c>
    </row>
    <row r="20333" spans="8:8">
      <c r="H20333" s="680" t="s">
        <v>6153</v>
      </c>
    </row>
    <row r="20334" spans="8:8">
      <c r="H20334" s="680" t="s">
        <v>6153</v>
      </c>
    </row>
    <row r="20335" spans="8:8">
      <c r="H20335" s="680" t="s">
        <v>6153</v>
      </c>
    </row>
    <row r="20336" spans="8:8">
      <c r="H20336" s="680" t="s">
        <v>6153</v>
      </c>
    </row>
    <row r="20337" spans="8:8">
      <c r="H20337" s="680" t="s">
        <v>6153</v>
      </c>
    </row>
    <row r="20338" spans="8:8">
      <c r="H20338" s="680" t="s">
        <v>6153</v>
      </c>
    </row>
    <row r="20339" spans="8:8">
      <c r="H20339" s="680" t="s">
        <v>6153</v>
      </c>
    </row>
    <row r="20340" spans="8:8">
      <c r="H20340" s="680" t="s">
        <v>6153</v>
      </c>
    </row>
    <row r="20341" spans="8:8">
      <c r="H20341" s="680" t="s">
        <v>6153</v>
      </c>
    </row>
    <row r="20342" spans="8:8">
      <c r="H20342" s="680" t="s">
        <v>6153</v>
      </c>
    </row>
    <row r="20343" spans="8:8">
      <c r="H20343" s="680" t="s">
        <v>6153</v>
      </c>
    </row>
    <row r="20344" spans="8:8">
      <c r="H20344" s="680" t="s">
        <v>6153</v>
      </c>
    </row>
    <row r="20345" spans="8:8">
      <c r="H20345" s="680" t="s">
        <v>6153</v>
      </c>
    </row>
    <row r="20346" spans="8:8">
      <c r="H20346" s="680" t="s">
        <v>6153</v>
      </c>
    </row>
    <row r="20347" spans="8:8">
      <c r="H20347" s="680" t="s">
        <v>6153</v>
      </c>
    </row>
    <row r="20348" spans="8:8">
      <c r="H20348" s="680" t="s">
        <v>6153</v>
      </c>
    </row>
    <row r="20349" spans="8:8">
      <c r="H20349" s="680" t="s">
        <v>6153</v>
      </c>
    </row>
    <row r="20350" spans="8:8">
      <c r="H20350" s="680" t="s">
        <v>6153</v>
      </c>
    </row>
    <row r="20351" spans="8:8">
      <c r="H20351" s="680" t="s">
        <v>6153</v>
      </c>
    </row>
    <row r="20352" spans="8:8">
      <c r="H20352" s="680" t="s">
        <v>6153</v>
      </c>
    </row>
    <row r="20353" spans="8:8">
      <c r="H20353" s="680" t="s">
        <v>6153</v>
      </c>
    </row>
    <row r="20354" spans="8:8">
      <c r="H20354" s="680" t="s">
        <v>6153</v>
      </c>
    </row>
    <row r="20355" spans="8:8">
      <c r="H20355" s="680" t="s">
        <v>6153</v>
      </c>
    </row>
    <row r="20356" spans="8:8">
      <c r="H20356" s="680" t="s">
        <v>6153</v>
      </c>
    </row>
    <row r="20357" spans="8:8">
      <c r="H20357" s="680" t="s">
        <v>6153</v>
      </c>
    </row>
    <row r="20358" spans="8:8">
      <c r="H20358" s="680" t="s">
        <v>6153</v>
      </c>
    </row>
    <row r="20359" spans="8:8">
      <c r="H20359" s="680" t="s">
        <v>6153</v>
      </c>
    </row>
    <row r="20360" spans="8:8">
      <c r="H20360" s="680" t="s">
        <v>6153</v>
      </c>
    </row>
    <row r="20361" spans="8:8">
      <c r="H20361" s="680" t="s">
        <v>6153</v>
      </c>
    </row>
    <row r="20362" spans="8:8">
      <c r="H20362" s="680" t="s">
        <v>6153</v>
      </c>
    </row>
    <row r="20363" spans="8:8">
      <c r="H20363" s="680" t="s">
        <v>6153</v>
      </c>
    </row>
    <row r="20364" spans="8:8">
      <c r="H20364" s="680" t="s">
        <v>6153</v>
      </c>
    </row>
    <row r="20365" spans="8:8">
      <c r="H20365" s="680" t="s">
        <v>6153</v>
      </c>
    </row>
    <row r="20366" spans="8:8">
      <c r="H20366" s="680" t="s">
        <v>6153</v>
      </c>
    </row>
    <row r="20367" spans="8:8">
      <c r="H20367" s="680" t="s">
        <v>6153</v>
      </c>
    </row>
    <row r="20368" spans="8:8">
      <c r="H20368" s="680" t="s">
        <v>6153</v>
      </c>
    </row>
    <row r="20369" spans="8:8">
      <c r="H20369" s="680" t="s">
        <v>6153</v>
      </c>
    </row>
    <row r="20370" spans="8:8">
      <c r="H20370" s="680" t="s">
        <v>6153</v>
      </c>
    </row>
    <row r="20371" spans="8:8">
      <c r="H20371" s="680" t="s">
        <v>6153</v>
      </c>
    </row>
    <row r="20372" spans="8:8">
      <c r="H20372" s="680" t="s">
        <v>6153</v>
      </c>
    </row>
    <row r="20373" spans="8:8">
      <c r="H20373" s="680" t="s">
        <v>6153</v>
      </c>
    </row>
    <row r="20374" spans="8:8">
      <c r="H20374" s="680" t="s">
        <v>6153</v>
      </c>
    </row>
    <row r="20375" spans="8:8">
      <c r="H20375" s="680" t="s">
        <v>6153</v>
      </c>
    </row>
    <row r="20376" spans="8:8">
      <c r="H20376" s="680" t="s">
        <v>6153</v>
      </c>
    </row>
    <row r="20377" spans="8:8">
      <c r="H20377" s="680" t="s">
        <v>6153</v>
      </c>
    </row>
    <row r="20378" spans="8:8">
      <c r="H20378" s="680" t="s">
        <v>6153</v>
      </c>
    </row>
    <row r="20379" spans="8:8">
      <c r="H20379" s="680" t="s">
        <v>6153</v>
      </c>
    </row>
    <row r="20380" spans="8:8">
      <c r="H20380" s="680" t="s">
        <v>6153</v>
      </c>
    </row>
    <row r="20381" spans="8:8">
      <c r="H20381" s="680" t="s">
        <v>6153</v>
      </c>
    </row>
    <row r="20382" spans="8:8">
      <c r="H20382" s="680" t="s">
        <v>6153</v>
      </c>
    </row>
    <row r="20383" spans="8:8">
      <c r="H20383" s="680" t="s">
        <v>6153</v>
      </c>
    </row>
    <row r="20384" spans="8:8">
      <c r="H20384" s="680" t="s">
        <v>6153</v>
      </c>
    </row>
    <row r="20385" spans="8:8">
      <c r="H20385" s="680" t="s">
        <v>6153</v>
      </c>
    </row>
    <row r="20386" spans="8:8">
      <c r="H20386" s="680" t="s">
        <v>6153</v>
      </c>
    </row>
    <row r="20387" spans="8:8">
      <c r="H20387" s="680" t="s">
        <v>6153</v>
      </c>
    </row>
    <row r="20388" spans="8:8">
      <c r="H20388" s="680" t="s">
        <v>6153</v>
      </c>
    </row>
    <row r="20389" spans="8:8">
      <c r="H20389" s="680" t="s">
        <v>6153</v>
      </c>
    </row>
    <row r="20390" spans="8:8">
      <c r="H20390" s="680" t="s">
        <v>6153</v>
      </c>
    </row>
    <row r="20391" spans="8:8">
      <c r="H20391" s="680" t="s">
        <v>6153</v>
      </c>
    </row>
    <row r="20392" spans="8:8">
      <c r="H20392" s="680" t="s">
        <v>6153</v>
      </c>
    </row>
    <row r="20393" spans="8:8">
      <c r="H20393" s="680" t="s">
        <v>6153</v>
      </c>
    </row>
    <row r="20394" spans="8:8">
      <c r="H20394" s="680" t="s">
        <v>6153</v>
      </c>
    </row>
    <row r="20395" spans="8:8">
      <c r="H20395" s="680" t="s">
        <v>6153</v>
      </c>
    </row>
    <row r="20396" spans="8:8">
      <c r="H20396" s="680" t="s">
        <v>6153</v>
      </c>
    </row>
    <row r="20397" spans="8:8">
      <c r="H20397" s="680" t="s">
        <v>6153</v>
      </c>
    </row>
    <row r="20398" spans="8:8">
      <c r="H20398" s="680" t="s">
        <v>6153</v>
      </c>
    </row>
    <row r="20399" spans="8:8">
      <c r="H20399" s="680" t="s">
        <v>6153</v>
      </c>
    </row>
    <row r="20400" spans="8:8">
      <c r="H20400" s="680" t="s">
        <v>6153</v>
      </c>
    </row>
    <row r="20401" spans="8:8">
      <c r="H20401" s="680" t="s">
        <v>6153</v>
      </c>
    </row>
    <row r="20402" spans="8:8">
      <c r="H20402" s="680" t="s">
        <v>6153</v>
      </c>
    </row>
    <row r="20403" spans="8:8">
      <c r="H20403" s="680" t="s">
        <v>6153</v>
      </c>
    </row>
    <row r="20404" spans="8:8">
      <c r="H20404" s="680" t="s">
        <v>6153</v>
      </c>
    </row>
    <row r="20405" spans="8:8">
      <c r="H20405" s="680" t="s">
        <v>6153</v>
      </c>
    </row>
    <row r="20406" spans="8:8">
      <c r="H20406" s="680" t="s">
        <v>6153</v>
      </c>
    </row>
    <row r="20407" spans="8:8">
      <c r="H20407" s="680" t="s">
        <v>6153</v>
      </c>
    </row>
    <row r="20408" spans="8:8">
      <c r="H20408" s="680" t="s">
        <v>6153</v>
      </c>
    </row>
    <row r="20409" spans="8:8">
      <c r="H20409" s="680" t="s">
        <v>6153</v>
      </c>
    </row>
    <row r="20410" spans="8:8">
      <c r="H20410" s="680" t="s">
        <v>6153</v>
      </c>
    </row>
    <row r="20411" spans="8:8">
      <c r="H20411" s="680" t="s">
        <v>6153</v>
      </c>
    </row>
    <row r="20412" spans="8:8">
      <c r="H20412" s="680" t="s">
        <v>6153</v>
      </c>
    </row>
    <row r="20413" spans="8:8">
      <c r="H20413" s="680" t="s">
        <v>6153</v>
      </c>
    </row>
    <row r="20414" spans="8:8">
      <c r="H20414" s="680" t="s">
        <v>6153</v>
      </c>
    </row>
    <row r="20415" spans="8:8">
      <c r="H20415" s="680" t="s">
        <v>6153</v>
      </c>
    </row>
    <row r="20416" spans="8:8">
      <c r="H20416" s="680" t="s">
        <v>6153</v>
      </c>
    </row>
    <row r="20417" spans="8:8">
      <c r="H20417" s="680" t="s">
        <v>6153</v>
      </c>
    </row>
    <row r="20418" spans="8:8">
      <c r="H20418" s="680" t="s">
        <v>6153</v>
      </c>
    </row>
    <row r="20419" spans="8:8">
      <c r="H20419" s="680" t="s">
        <v>6153</v>
      </c>
    </row>
    <row r="20420" spans="8:8">
      <c r="H20420" s="680" t="s">
        <v>6153</v>
      </c>
    </row>
    <row r="20421" spans="8:8">
      <c r="H20421" s="680" t="s">
        <v>6153</v>
      </c>
    </row>
    <row r="20422" spans="8:8">
      <c r="H20422" s="680" t="s">
        <v>6153</v>
      </c>
    </row>
    <row r="20423" spans="8:8">
      <c r="H20423" s="680" t="s">
        <v>6153</v>
      </c>
    </row>
    <row r="20424" spans="8:8">
      <c r="H20424" s="680" t="s">
        <v>6153</v>
      </c>
    </row>
    <row r="20425" spans="8:8">
      <c r="H20425" s="680" t="s">
        <v>6153</v>
      </c>
    </row>
    <row r="20426" spans="8:8">
      <c r="H20426" s="680" t="s">
        <v>6153</v>
      </c>
    </row>
    <row r="20427" spans="8:8">
      <c r="H20427" s="680" t="s">
        <v>6153</v>
      </c>
    </row>
    <row r="20428" spans="8:8">
      <c r="H20428" s="680" t="s">
        <v>6153</v>
      </c>
    </row>
    <row r="20429" spans="8:8">
      <c r="H20429" s="680" t="s">
        <v>6153</v>
      </c>
    </row>
    <row r="20430" spans="8:8">
      <c r="H20430" s="680" t="s">
        <v>6153</v>
      </c>
    </row>
    <row r="20431" spans="8:8">
      <c r="H20431" s="680" t="s">
        <v>6153</v>
      </c>
    </row>
    <row r="20432" spans="8:8">
      <c r="H20432" s="680" t="s">
        <v>6153</v>
      </c>
    </row>
    <row r="20433" spans="8:8">
      <c r="H20433" s="680" t="s">
        <v>6153</v>
      </c>
    </row>
    <row r="20434" spans="8:8">
      <c r="H20434" s="680" t="s">
        <v>6153</v>
      </c>
    </row>
    <row r="20435" spans="8:8">
      <c r="H20435" s="680" t="s">
        <v>6153</v>
      </c>
    </row>
    <row r="20436" spans="8:8">
      <c r="H20436" s="680" t="s">
        <v>6153</v>
      </c>
    </row>
    <row r="20437" spans="8:8">
      <c r="H20437" s="680" t="s">
        <v>6153</v>
      </c>
    </row>
    <row r="20438" spans="8:8">
      <c r="H20438" s="680" t="s">
        <v>6153</v>
      </c>
    </row>
    <row r="20439" spans="8:8">
      <c r="H20439" s="680" t="s">
        <v>6153</v>
      </c>
    </row>
    <row r="20440" spans="8:8">
      <c r="H20440" s="680" t="s">
        <v>6153</v>
      </c>
    </row>
    <row r="20441" spans="8:8">
      <c r="H20441" s="680" t="s">
        <v>6153</v>
      </c>
    </row>
    <row r="20442" spans="8:8">
      <c r="H20442" s="680" t="s">
        <v>6153</v>
      </c>
    </row>
    <row r="20443" spans="8:8">
      <c r="H20443" s="680" t="s">
        <v>6153</v>
      </c>
    </row>
    <row r="20444" spans="8:8">
      <c r="H20444" s="680" t="s">
        <v>6153</v>
      </c>
    </row>
    <row r="20445" spans="8:8">
      <c r="H20445" s="680" t="s">
        <v>6153</v>
      </c>
    </row>
    <row r="20446" spans="8:8">
      <c r="H20446" s="680" t="s">
        <v>6153</v>
      </c>
    </row>
    <row r="20447" spans="8:8">
      <c r="H20447" s="680" t="s">
        <v>6153</v>
      </c>
    </row>
    <row r="20448" spans="8:8">
      <c r="H20448" s="680" t="s">
        <v>6153</v>
      </c>
    </row>
    <row r="20449" spans="8:8">
      <c r="H20449" s="680" t="s">
        <v>6153</v>
      </c>
    </row>
    <row r="20450" spans="8:8">
      <c r="H20450" s="680" t="s">
        <v>6153</v>
      </c>
    </row>
    <row r="20451" spans="8:8">
      <c r="H20451" s="680" t="s">
        <v>6153</v>
      </c>
    </row>
    <row r="20452" spans="8:8">
      <c r="H20452" s="680" t="s">
        <v>6153</v>
      </c>
    </row>
    <row r="20453" spans="8:8">
      <c r="H20453" s="680" t="s">
        <v>6153</v>
      </c>
    </row>
    <row r="20454" spans="8:8">
      <c r="H20454" s="680" t="s">
        <v>6153</v>
      </c>
    </row>
    <row r="20455" spans="8:8">
      <c r="H20455" s="680" t="s">
        <v>6153</v>
      </c>
    </row>
    <row r="20456" spans="8:8">
      <c r="H20456" s="680" t="s">
        <v>6153</v>
      </c>
    </row>
    <row r="20457" spans="8:8">
      <c r="H20457" s="680" t="s">
        <v>6153</v>
      </c>
    </row>
    <row r="20458" spans="8:8">
      <c r="H20458" s="680" t="s">
        <v>6153</v>
      </c>
    </row>
    <row r="20459" spans="8:8">
      <c r="H20459" s="680" t="s">
        <v>6153</v>
      </c>
    </row>
    <row r="20460" spans="8:8">
      <c r="H20460" s="680" t="s">
        <v>6153</v>
      </c>
    </row>
    <row r="20461" spans="8:8">
      <c r="H20461" s="680" t="s">
        <v>6153</v>
      </c>
    </row>
    <row r="20462" spans="8:8">
      <c r="H20462" s="680" t="s">
        <v>6153</v>
      </c>
    </row>
    <row r="20463" spans="8:8">
      <c r="H20463" s="680" t="s">
        <v>6153</v>
      </c>
    </row>
    <row r="20464" spans="8:8">
      <c r="H20464" s="680" t="s">
        <v>6153</v>
      </c>
    </row>
    <row r="20465" spans="8:8">
      <c r="H20465" s="680" t="s">
        <v>6153</v>
      </c>
    </row>
    <row r="20466" spans="8:8">
      <c r="H20466" s="680" t="s">
        <v>6153</v>
      </c>
    </row>
    <row r="20467" spans="8:8">
      <c r="H20467" s="680" t="s">
        <v>6153</v>
      </c>
    </row>
    <row r="20468" spans="8:8">
      <c r="H20468" s="680" t="s">
        <v>6153</v>
      </c>
    </row>
    <row r="20469" spans="8:8">
      <c r="H20469" s="680" t="s">
        <v>6153</v>
      </c>
    </row>
    <row r="20470" spans="8:8">
      <c r="H20470" s="680" t="s">
        <v>6153</v>
      </c>
    </row>
    <row r="20471" spans="8:8">
      <c r="H20471" s="680" t="s">
        <v>6153</v>
      </c>
    </row>
    <row r="20472" spans="8:8">
      <c r="H20472" s="680" t="s">
        <v>6153</v>
      </c>
    </row>
    <row r="20473" spans="8:8">
      <c r="H20473" s="680" t="s">
        <v>6153</v>
      </c>
    </row>
    <row r="20474" spans="8:8">
      <c r="H20474" s="680" t="s">
        <v>6153</v>
      </c>
    </row>
    <row r="20475" spans="8:8">
      <c r="H20475" s="680" t="s">
        <v>6153</v>
      </c>
    </row>
    <row r="20476" spans="8:8">
      <c r="H20476" s="680" t="s">
        <v>6153</v>
      </c>
    </row>
    <row r="20477" spans="8:8">
      <c r="H20477" s="680" t="s">
        <v>6153</v>
      </c>
    </row>
    <row r="20478" spans="8:8">
      <c r="H20478" s="680" t="s">
        <v>6153</v>
      </c>
    </row>
    <row r="20479" spans="8:8">
      <c r="H20479" s="680" t="s">
        <v>6153</v>
      </c>
    </row>
    <row r="20480" spans="8:8">
      <c r="H20480" s="680" t="s">
        <v>6153</v>
      </c>
    </row>
    <row r="20481" spans="8:8">
      <c r="H20481" s="680" t="s">
        <v>6153</v>
      </c>
    </row>
    <row r="20482" spans="8:8">
      <c r="H20482" s="680" t="s">
        <v>6153</v>
      </c>
    </row>
    <row r="20483" spans="8:8">
      <c r="H20483" s="680" t="s">
        <v>6153</v>
      </c>
    </row>
    <row r="20484" spans="8:8">
      <c r="H20484" s="680" t="s">
        <v>6153</v>
      </c>
    </row>
    <row r="20485" spans="8:8">
      <c r="H20485" s="680" t="s">
        <v>6153</v>
      </c>
    </row>
    <row r="20486" spans="8:8">
      <c r="H20486" s="680" t="s">
        <v>6153</v>
      </c>
    </row>
    <row r="20487" spans="8:8">
      <c r="H20487" s="680" t="s">
        <v>6153</v>
      </c>
    </row>
    <row r="20488" spans="8:8">
      <c r="H20488" s="680" t="s">
        <v>6153</v>
      </c>
    </row>
    <row r="20489" spans="8:8">
      <c r="H20489" s="680" t="s">
        <v>6153</v>
      </c>
    </row>
    <row r="20490" spans="8:8">
      <c r="H20490" s="680" t="s">
        <v>6153</v>
      </c>
    </row>
    <row r="20491" spans="8:8">
      <c r="H20491" s="680" t="s">
        <v>6153</v>
      </c>
    </row>
    <row r="20492" spans="8:8">
      <c r="H20492" s="680" t="s">
        <v>6153</v>
      </c>
    </row>
    <row r="20493" spans="8:8">
      <c r="H20493" s="680" t="s">
        <v>6153</v>
      </c>
    </row>
    <row r="20494" spans="8:8">
      <c r="H20494" s="680" t="s">
        <v>6153</v>
      </c>
    </row>
    <row r="20495" spans="8:8">
      <c r="H20495" s="680" t="s">
        <v>6153</v>
      </c>
    </row>
    <row r="20496" spans="8:8">
      <c r="H20496" s="680" t="s">
        <v>6153</v>
      </c>
    </row>
    <row r="20497" spans="8:8">
      <c r="H20497" s="680" t="s">
        <v>6153</v>
      </c>
    </row>
    <row r="20498" spans="8:8">
      <c r="H20498" s="680" t="s">
        <v>6153</v>
      </c>
    </row>
    <row r="20499" spans="8:8">
      <c r="H20499" s="680" t="s">
        <v>6153</v>
      </c>
    </row>
    <row r="20500" spans="8:8">
      <c r="H20500" s="680" t="s">
        <v>6153</v>
      </c>
    </row>
    <row r="20501" spans="8:8">
      <c r="H20501" s="680" t="s">
        <v>6153</v>
      </c>
    </row>
    <row r="20502" spans="8:8">
      <c r="H20502" s="680" t="s">
        <v>6153</v>
      </c>
    </row>
    <row r="20503" spans="8:8">
      <c r="H20503" s="680" t="s">
        <v>6153</v>
      </c>
    </row>
    <row r="20504" spans="8:8">
      <c r="H20504" s="680" t="s">
        <v>6153</v>
      </c>
    </row>
    <row r="20505" spans="8:8">
      <c r="H20505" s="680" t="s">
        <v>6153</v>
      </c>
    </row>
    <row r="20506" spans="8:8">
      <c r="H20506" s="680" t="s">
        <v>6153</v>
      </c>
    </row>
    <row r="20507" spans="8:8">
      <c r="H20507" s="680" t="s">
        <v>6153</v>
      </c>
    </row>
    <row r="20508" spans="8:8">
      <c r="H20508" s="680" t="s">
        <v>6153</v>
      </c>
    </row>
    <row r="20509" spans="8:8">
      <c r="H20509" s="680" t="s">
        <v>6153</v>
      </c>
    </row>
    <row r="20510" spans="8:8">
      <c r="H20510" s="680" t="s">
        <v>6153</v>
      </c>
    </row>
    <row r="20511" spans="8:8">
      <c r="H20511" s="680" t="s">
        <v>6153</v>
      </c>
    </row>
    <row r="20512" spans="8:8">
      <c r="H20512" s="680" t="s">
        <v>6153</v>
      </c>
    </row>
    <row r="20513" spans="8:8">
      <c r="H20513" s="680" t="s">
        <v>6153</v>
      </c>
    </row>
    <row r="20514" spans="8:8">
      <c r="H20514" s="680" t="s">
        <v>6153</v>
      </c>
    </row>
    <row r="20515" spans="8:8">
      <c r="H20515" s="680" t="s">
        <v>6153</v>
      </c>
    </row>
    <row r="20516" spans="8:8">
      <c r="H20516" s="680" t="s">
        <v>6153</v>
      </c>
    </row>
    <row r="20517" spans="8:8">
      <c r="H20517" s="680" t="s">
        <v>6153</v>
      </c>
    </row>
    <row r="20518" spans="8:8">
      <c r="H20518" s="680" t="s">
        <v>6153</v>
      </c>
    </row>
    <row r="20519" spans="8:8">
      <c r="H20519" s="680" t="s">
        <v>6153</v>
      </c>
    </row>
    <row r="20520" spans="8:8">
      <c r="H20520" s="680" t="s">
        <v>6153</v>
      </c>
    </row>
    <row r="20521" spans="8:8">
      <c r="H20521" s="680" t="s">
        <v>6153</v>
      </c>
    </row>
    <row r="20522" spans="8:8">
      <c r="H20522" s="680" t="s">
        <v>6153</v>
      </c>
    </row>
    <row r="20523" spans="8:8">
      <c r="H20523" s="680" t="s">
        <v>6153</v>
      </c>
    </row>
    <row r="20524" spans="8:8">
      <c r="H20524" s="680" t="s">
        <v>6153</v>
      </c>
    </row>
    <row r="20525" spans="8:8">
      <c r="H20525" s="680" t="s">
        <v>6153</v>
      </c>
    </row>
    <row r="20526" spans="8:8">
      <c r="H20526" s="680" t="s">
        <v>6153</v>
      </c>
    </row>
    <row r="20527" spans="8:8">
      <c r="H20527" s="680" t="s">
        <v>6153</v>
      </c>
    </row>
    <row r="20528" spans="8:8">
      <c r="H20528" s="680" t="s">
        <v>6153</v>
      </c>
    </row>
    <row r="20529" spans="8:8">
      <c r="H20529" s="680" t="s">
        <v>6153</v>
      </c>
    </row>
    <row r="20530" spans="8:8">
      <c r="H20530" s="680" t="s">
        <v>6153</v>
      </c>
    </row>
    <row r="20531" spans="8:8">
      <c r="H20531" s="680" t="s">
        <v>6153</v>
      </c>
    </row>
    <row r="20532" spans="8:8">
      <c r="H20532" s="680" t="s">
        <v>6153</v>
      </c>
    </row>
    <row r="20533" spans="8:8">
      <c r="H20533" s="680" t="s">
        <v>6153</v>
      </c>
    </row>
    <row r="20534" spans="8:8">
      <c r="H20534" s="680" t="s">
        <v>6153</v>
      </c>
    </row>
    <row r="20535" spans="8:8">
      <c r="H20535" s="680" t="s">
        <v>6153</v>
      </c>
    </row>
    <row r="20536" spans="8:8">
      <c r="H20536" s="680" t="s">
        <v>6153</v>
      </c>
    </row>
    <row r="20537" spans="8:8">
      <c r="H20537" s="680" t="s">
        <v>6153</v>
      </c>
    </row>
    <row r="20538" spans="8:8">
      <c r="H20538" s="680" t="s">
        <v>6153</v>
      </c>
    </row>
    <row r="20539" spans="8:8">
      <c r="H20539" s="680" t="s">
        <v>6153</v>
      </c>
    </row>
    <row r="20540" spans="8:8">
      <c r="H20540" s="680" t="s">
        <v>6153</v>
      </c>
    </row>
    <row r="20541" spans="8:8">
      <c r="H20541" s="680" t="s">
        <v>6153</v>
      </c>
    </row>
    <row r="20542" spans="8:8">
      <c r="H20542" s="680" t="s">
        <v>6153</v>
      </c>
    </row>
    <row r="20543" spans="8:8">
      <c r="H20543" s="680" t="s">
        <v>6153</v>
      </c>
    </row>
    <row r="20544" spans="8:8">
      <c r="H20544" s="680" t="s">
        <v>6153</v>
      </c>
    </row>
    <row r="20545" spans="8:8">
      <c r="H20545" s="680" t="s">
        <v>6153</v>
      </c>
    </row>
    <row r="20546" spans="8:8">
      <c r="H20546" s="680" t="s">
        <v>6153</v>
      </c>
    </row>
    <row r="20547" spans="8:8">
      <c r="H20547" s="680" t="s">
        <v>6153</v>
      </c>
    </row>
    <row r="20548" spans="8:8">
      <c r="H20548" s="680" t="s">
        <v>6153</v>
      </c>
    </row>
    <row r="20549" spans="8:8">
      <c r="H20549" s="680" t="s">
        <v>6153</v>
      </c>
    </row>
    <row r="20550" spans="8:8">
      <c r="H20550" s="680" t="s">
        <v>6153</v>
      </c>
    </row>
    <row r="20551" spans="8:8">
      <c r="H20551" s="680" t="s">
        <v>6153</v>
      </c>
    </row>
    <row r="20552" spans="8:8">
      <c r="H20552" s="680" t="s">
        <v>6153</v>
      </c>
    </row>
    <row r="20553" spans="8:8">
      <c r="H20553" s="680" t="s">
        <v>6153</v>
      </c>
    </row>
    <row r="20554" spans="8:8">
      <c r="H20554" s="680" t="s">
        <v>6153</v>
      </c>
    </row>
    <row r="20555" spans="8:8">
      <c r="H20555" s="680" t="s">
        <v>6153</v>
      </c>
    </row>
    <row r="20556" spans="8:8">
      <c r="H20556" s="680" t="s">
        <v>6153</v>
      </c>
    </row>
    <row r="20557" spans="8:8">
      <c r="H20557" s="680" t="s">
        <v>6153</v>
      </c>
    </row>
    <row r="20558" spans="8:8">
      <c r="H20558" s="680" t="s">
        <v>6153</v>
      </c>
    </row>
    <row r="20559" spans="8:8">
      <c r="H20559" s="680" t="s">
        <v>6153</v>
      </c>
    </row>
    <row r="20560" spans="8:8">
      <c r="H20560" s="680" t="s">
        <v>6153</v>
      </c>
    </row>
    <row r="20561" spans="8:8">
      <c r="H20561" s="680" t="s">
        <v>6153</v>
      </c>
    </row>
    <row r="20562" spans="8:8">
      <c r="H20562" s="680" t="s">
        <v>6153</v>
      </c>
    </row>
    <row r="20563" spans="8:8">
      <c r="H20563" s="680" t="s">
        <v>6153</v>
      </c>
    </row>
    <row r="20564" spans="8:8">
      <c r="H20564" s="680" t="s">
        <v>6153</v>
      </c>
    </row>
    <row r="20565" spans="8:8">
      <c r="H20565" s="680" t="s">
        <v>6153</v>
      </c>
    </row>
    <row r="20566" spans="8:8">
      <c r="H20566" s="680" t="s">
        <v>6153</v>
      </c>
    </row>
    <row r="20567" spans="8:8">
      <c r="H20567" s="680" t="s">
        <v>6153</v>
      </c>
    </row>
    <row r="20568" spans="8:8">
      <c r="H20568" s="680" t="s">
        <v>6153</v>
      </c>
    </row>
    <row r="20569" spans="8:8">
      <c r="H20569" s="680" t="s">
        <v>6153</v>
      </c>
    </row>
    <row r="20570" spans="8:8">
      <c r="H20570" s="680" t="s">
        <v>6153</v>
      </c>
    </row>
    <row r="20571" spans="8:8">
      <c r="H20571" s="680" t="s">
        <v>6153</v>
      </c>
    </row>
    <row r="20572" spans="8:8">
      <c r="H20572" s="680" t="s">
        <v>6153</v>
      </c>
    </row>
    <row r="20573" spans="8:8">
      <c r="H20573" s="680" t="s">
        <v>6153</v>
      </c>
    </row>
    <row r="20574" spans="8:8">
      <c r="H20574" s="680" t="s">
        <v>6153</v>
      </c>
    </row>
    <row r="20575" spans="8:8">
      <c r="H20575" s="680" t="s">
        <v>6153</v>
      </c>
    </row>
    <row r="20576" spans="8:8">
      <c r="H20576" s="680" t="s">
        <v>6153</v>
      </c>
    </row>
    <row r="20577" spans="8:8">
      <c r="H20577" s="680" t="s">
        <v>6153</v>
      </c>
    </row>
    <row r="20578" spans="8:8">
      <c r="H20578" s="680" t="s">
        <v>6153</v>
      </c>
    </row>
    <row r="20579" spans="8:8">
      <c r="H20579" s="680" t="s">
        <v>6153</v>
      </c>
    </row>
    <row r="20580" spans="8:8">
      <c r="H20580" s="680" t="s">
        <v>6153</v>
      </c>
    </row>
    <row r="20581" spans="8:8">
      <c r="H20581" s="680" t="s">
        <v>6153</v>
      </c>
    </row>
    <row r="20582" spans="8:8">
      <c r="H20582" s="680" t="s">
        <v>6153</v>
      </c>
    </row>
    <row r="20583" spans="8:8">
      <c r="H20583" s="680" t="s">
        <v>6153</v>
      </c>
    </row>
    <row r="20584" spans="8:8">
      <c r="H20584" s="680" t="s">
        <v>6153</v>
      </c>
    </row>
    <row r="20585" spans="8:8">
      <c r="H20585" s="680" t="s">
        <v>6153</v>
      </c>
    </row>
    <row r="20586" spans="8:8">
      <c r="H20586" s="680" t="s">
        <v>6153</v>
      </c>
    </row>
    <row r="20587" spans="8:8">
      <c r="H20587" s="680" t="s">
        <v>6153</v>
      </c>
    </row>
    <row r="20588" spans="8:8">
      <c r="H20588" s="680" t="s">
        <v>6153</v>
      </c>
    </row>
    <row r="20589" spans="8:8">
      <c r="H20589" s="680" t="s">
        <v>6153</v>
      </c>
    </row>
    <row r="20590" spans="8:8">
      <c r="H20590" s="680" t="s">
        <v>6153</v>
      </c>
    </row>
    <row r="20591" spans="8:8">
      <c r="H20591" s="680" t="s">
        <v>6153</v>
      </c>
    </row>
    <row r="20592" spans="8:8">
      <c r="H20592" s="680" t="s">
        <v>6153</v>
      </c>
    </row>
    <row r="20593" spans="8:8">
      <c r="H20593" s="680" t="s">
        <v>6153</v>
      </c>
    </row>
    <row r="20594" spans="8:8">
      <c r="H20594" s="680" t="s">
        <v>6153</v>
      </c>
    </row>
    <row r="20595" spans="8:8">
      <c r="H20595" s="680" t="s">
        <v>6153</v>
      </c>
    </row>
    <row r="20596" spans="8:8">
      <c r="H20596" s="680" t="s">
        <v>6153</v>
      </c>
    </row>
    <row r="20597" spans="8:8">
      <c r="H20597" s="680" t="s">
        <v>6153</v>
      </c>
    </row>
    <row r="20598" spans="8:8">
      <c r="H20598" s="680" t="s">
        <v>6153</v>
      </c>
    </row>
    <row r="20599" spans="8:8">
      <c r="H20599" s="680" t="s">
        <v>6153</v>
      </c>
    </row>
    <row r="20600" spans="8:8">
      <c r="H20600" s="680" t="s">
        <v>6153</v>
      </c>
    </row>
    <row r="20601" spans="8:8">
      <c r="H20601" s="680" t="s">
        <v>6153</v>
      </c>
    </row>
    <row r="20602" spans="8:8">
      <c r="H20602" s="680" t="s">
        <v>6153</v>
      </c>
    </row>
    <row r="20603" spans="8:8">
      <c r="H20603" s="680" t="s">
        <v>6153</v>
      </c>
    </row>
    <row r="20604" spans="8:8">
      <c r="H20604" s="680" t="s">
        <v>6153</v>
      </c>
    </row>
    <row r="20605" spans="8:8">
      <c r="H20605" s="680" t="s">
        <v>6153</v>
      </c>
    </row>
    <row r="20606" spans="8:8">
      <c r="H20606" s="680" t="s">
        <v>6153</v>
      </c>
    </row>
    <row r="20607" spans="8:8">
      <c r="H20607" s="680" t="s">
        <v>6153</v>
      </c>
    </row>
    <row r="20608" spans="8:8">
      <c r="H20608" s="680" t="s">
        <v>6153</v>
      </c>
    </row>
    <row r="20609" spans="8:8">
      <c r="H20609" s="680" t="s">
        <v>6153</v>
      </c>
    </row>
    <row r="20610" spans="8:8">
      <c r="H20610" s="680" t="s">
        <v>6153</v>
      </c>
    </row>
    <row r="20611" spans="8:8">
      <c r="H20611" s="680" t="s">
        <v>6153</v>
      </c>
    </row>
    <row r="20612" spans="8:8">
      <c r="H20612" s="680" t="s">
        <v>6153</v>
      </c>
    </row>
    <row r="20613" spans="8:8">
      <c r="H20613" s="680" t="s">
        <v>6153</v>
      </c>
    </row>
    <row r="20614" spans="8:8">
      <c r="H20614" s="680" t="s">
        <v>6153</v>
      </c>
    </row>
    <row r="20615" spans="8:8">
      <c r="H20615" s="680" t="s">
        <v>6153</v>
      </c>
    </row>
    <row r="20616" spans="8:8">
      <c r="H20616" s="680" t="s">
        <v>6153</v>
      </c>
    </row>
    <row r="20617" spans="8:8">
      <c r="H20617" s="680" t="s">
        <v>6153</v>
      </c>
    </row>
    <row r="20618" spans="8:8">
      <c r="H20618" s="680" t="s">
        <v>6153</v>
      </c>
    </row>
    <row r="20619" spans="8:8">
      <c r="H20619" s="680" t="s">
        <v>6153</v>
      </c>
    </row>
    <row r="20620" spans="8:8">
      <c r="H20620" s="680" t="s">
        <v>6153</v>
      </c>
    </row>
    <row r="20621" spans="8:8">
      <c r="H20621" s="680" t="s">
        <v>6153</v>
      </c>
    </row>
    <row r="20622" spans="8:8">
      <c r="H20622" s="680" t="s">
        <v>6153</v>
      </c>
    </row>
    <row r="20623" spans="8:8">
      <c r="H20623" s="680" t="s">
        <v>6153</v>
      </c>
    </row>
    <row r="20624" spans="8:8">
      <c r="H20624" s="680" t="s">
        <v>6153</v>
      </c>
    </row>
    <row r="20625" spans="8:8">
      <c r="H20625" s="680" t="s">
        <v>6153</v>
      </c>
    </row>
    <row r="20626" spans="8:8">
      <c r="H20626" s="680" t="s">
        <v>6153</v>
      </c>
    </row>
    <row r="20627" spans="8:8">
      <c r="H20627" s="680" t="s">
        <v>6153</v>
      </c>
    </row>
    <row r="20628" spans="8:8">
      <c r="H20628" s="680" t="s">
        <v>6153</v>
      </c>
    </row>
    <row r="20629" spans="8:8">
      <c r="H20629" s="680" t="s">
        <v>6153</v>
      </c>
    </row>
    <row r="20630" spans="8:8">
      <c r="H20630" s="680" t="s">
        <v>6153</v>
      </c>
    </row>
    <row r="20631" spans="8:8">
      <c r="H20631" s="680" t="s">
        <v>6153</v>
      </c>
    </row>
    <row r="20632" spans="8:8">
      <c r="H20632" s="680" t="s">
        <v>6153</v>
      </c>
    </row>
    <row r="20633" spans="8:8">
      <c r="H20633" s="680" t="s">
        <v>6153</v>
      </c>
    </row>
    <row r="20634" spans="8:8">
      <c r="H20634" s="680" t="s">
        <v>6153</v>
      </c>
    </row>
    <row r="20635" spans="8:8">
      <c r="H20635" s="680" t="s">
        <v>6153</v>
      </c>
    </row>
    <row r="20636" spans="8:8">
      <c r="H20636" s="680" t="s">
        <v>6153</v>
      </c>
    </row>
    <row r="20637" spans="8:8">
      <c r="H20637" s="680" t="s">
        <v>6153</v>
      </c>
    </row>
    <row r="20638" spans="8:8">
      <c r="H20638" s="680" t="s">
        <v>6153</v>
      </c>
    </row>
    <row r="20639" spans="8:8">
      <c r="H20639" s="680" t="s">
        <v>6153</v>
      </c>
    </row>
    <row r="20640" spans="8:8">
      <c r="H20640" s="680" t="s">
        <v>6153</v>
      </c>
    </row>
    <row r="20641" spans="8:8">
      <c r="H20641" s="680" t="s">
        <v>6153</v>
      </c>
    </row>
    <row r="20642" spans="8:8">
      <c r="H20642" s="680" t="s">
        <v>6153</v>
      </c>
    </row>
    <row r="20643" spans="8:8">
      <c r="H20643" s="680" t="s">
        <v>6153</v>
      </c>
    </row>
    <row r="20644" spans="8:8">
      <c r="H20644" s="680" t="s">
        <v>6153</v>
      </c>
    </row>
    <row r="20645" spans="8:8">
      <c r="H20645" s="680" t="s">
        <v>6153</v>
      </c>
    </row>
    <row r="20646" spans="8:8">
      <c r="H20646" s="680" t="s">
        <v>6153</v>
      </c>
    </row>
    <row r="20647" spans="8:8">
      <c r="H20647" s="680" t="s">
        <v>6153</v>
      </c>
    </row>
    <row r="20648" spans="8:8">
      <c r="H20648" s="680" t="s">
        <v>6153</v>
      </c>
    </row>
    <row r="20649" spans="8:8">
      <c r="H20649" s="680" t="s">
        <v>6153</v>
      </c>
    </row>
    <row r="20650" spans="8:8">
      <c r="H20650" s="680" t="s">
        <v>6153</v>
      </c>
    </row>
    <row r="20651" spans="8:8">
      <c r="H20651" s="680" t="s">
        <v>6153</v>
      </c>
    </row>
    <row r="20652" spans="8:8">
      <c r="H20652" s="680" t="s">
        <v>6153</v>
      </c>
    </row>
    <row r="20653" spans="8:8">
      <c r="H20653" s="680" t="s">
        <v>6153</v>
      </c>
    </row>
    <row r="20654" spans="8:8">
      <c r="H20654" s="680" t="s">
        <v>6153</v>
      </c>
    </row>
    <row r="20655" spans="8:8">
      <c r="H20655" s="680" t="s">
        <v>6153</v>
      </c>
    </row>
    <row r="20656" spans="8:8">
      <c r="H20656" s="680" t="s">
        <v>6153</v>
      </c>
    </row>
    <row r="20657" spans="8:8">
      <c r="H20657" s="680" t="s">
        <v>6153</v>
      </c>
    </row>
    <row r="20658" spans="8:8">
      <c r="H20658" s="680" t="s">
        <v>6153</v>
      </c>
    </row>
    <row r="20659" spans="8:8">
      <c r="H20659" s="680" t="s">
        <v>6153</v>
      </c>
    </row>
    <row r="20660" spans="8:8">
      <c r="H20660" s="680" t="s">
        <v>6153</v>
      </c>
    </row>
    <row r="20661" spans="8:8">
      <c r="H20661" s="680" t="s">
        <v>6153</v>
      </c>
    </row>
    <row r="20662" spans="8:8">
      <c r="H20662" s="680" t="s">
        <v>6153</v>
      </c>
    </row>
    <row r="20663" spans="8:8">
      <c r="H20663" s="680" t="s">
        <v>6153</v>
      </c>
    </row>
    <row r="20664" spans="8:8">
      <c r="H20664" s="680" t="s">
        <v>6153</v>
      </c>
    </row>
    <row r="20665" spans="8:8">
      <c r="H20665" s="680" t="s">
        <v>6153</v>
      </c>
    </row>
    <row r="20666" spans="8:8">
      <c r="H20666" s="680" t="s">
        <v>6153</v>
      </c>
    </row>
    <row r="20667" spans="8:8">
      <c r="H20667" s="680" t="s">
        <v>6153</v>
      </c>
    </row>
    <row r="20668" spans="8:8">
      <c r="H20668" s="680" t="s">
        <v>6153</v>
      </c>
    </row>
    <row r="20669" spans="8:8">
      <c r="H20669" s="680" t="s">
        <v>6153</v>
      </c>
    </row>
    <row r="20670" spans="8:8">
      <c r="H20670" s="680" t="s">
        <v>6153</v>
      </c>
    </row>
    <row r="20671" spans="8:8">
      <c r="H20671" s="680" t="s">
        <v>6153</v>
      </c>
    </row>
    <row r="20672" spans="8:8">
      <c r="H20672" s="680" t="s">
        <v>6153</v>
      </c>
    </row>
    <row r="20673" spans="8:8">
      <c r="H20673" s="680" t="s">
        <v>6153</v>
      </c>
    </row>
    <row r="20674" spans="8:8">
      <c r="H20674" s="680" t="s">
        <v>6153</v>
      </c>
    </row>
    <row r="20675" spans="8:8">
      <c r="H20675" s="680" t="s">
        <v>6153</v>
      </c>
    </row>
    <row r="20676" spans="8:8">
      <c r="H20676" s="680" t="s">
        <v>6153</v>
      </c>
    </row>
    <row r="20677" spans="8:8">
      <c r="H20677" s="680" t="s">
        <v>6153</v>
      </c>
    </row>
    <row r="20678" spans="8:8">
      <c r="H20678" s="680" t="s">
        <v>6153</v>
      </c>
    </row>
    <row r="20679" spans="8:8">
      <c r="H20679" s="680" t="s">
        <v>6153</v>
      </c>
    </row>
    <row r="20680" spans="8:8">
      <c r="H20680" s="680" t="s">
        <v>6153</v>
      </c>
    </row>
    <row r="20681" spans="8:8">
      <c r="H20681" s="680" t="s">
        <v>6153</v>
      </c>
    </row>
    <row r="20682" spans="8:8">
      <c r="H20682" s="680" t="s">
        <v>6153</v>
      </c>
    </row>
    <row r="20683" spans="8:8">
      <c r="H20683" s="680" t="s">
        <v>6153</v>
      </c>
    </row>
    <row r="20684" spans="8:8">
      <c r="H20684" s="680" t="s">
        <v>6153</v>
      </c>
    </row>
    <row r="20685" spans="8:8">
      <c r="H20685" s="680" t="s">
        <v>6153</v>
      </c>
    </row>
    <row r="20686" spans="8:8">
      <c r="H20686" s="680" t="s">
        <v>6153</v>
      </c>
    </row>
    <row r="20687" spans="8:8">
      <c r="H20687" s="680" t="s">
        <v>6153</v>
      </c>
    </row>
    <row r="20688" spans="8:8">
      <c r="H20688" s="680" t="s">
        <v>6153</v>
      </c>
    </row>
    <row r="20689" spans="8:8">
      <c r="H20689" s="680" t="s">
        <v>6153</v>
      </c>
    </row>
    <row r="20690" spans="8:8">
      <c r="H20690" s="680" t="s">
        <v>6153</v>
      </c>
    </row>
    <row r="20691" spans="8:8">
      <c r="H20691" s="680" t="s">
        <v>6153</v>
      </c>
    </row>
    <row r="20692" spans="8:8">
      <c r="H20692" s="680" t="s">
        <v>6153</v>
      </c>
    </row>
    <row r="20693" spans="8:8">
      <c r="H20693" s="680" t="s">
        <v>6153</v>
      </c>
    </row>
    <row r="20694" spans="8:8">
      <c r="H20694" s="680" t="s">
        <v>6153</v>
      </c>
    </row>
    <row r="20695" spans="8:8">
      <c r="H20695" s="680" t="s">
        <v>6153</v>
      </c>
    </row>
    <row r="20696" spans="8:8">
      <c r="H20696" s="680" t="s">
        <v>6153</v>
      </c>
    </row>
    <row r="20697" spans="8:8">
      <c r="H20697" s="680" t="s">
        <v>6153</v>
      </c>
    </row>
    <row r="20698" spans="8:8">
      <c r="H20698" s="680" t="s">
        <v>6153</v>
      </c>
    </row>
    <row r="20699" spans="8:8">
      <c r="H20699" s="680" t="s">
        <v>6153</v>
      </c>
    </row>
    <row r="20700" spans="8:8">
      <c r="H20700" s="680" t="s">
        <v>6153</v>
      </c>
    </row>
    <row r="20701" spans="8:8">
      <c r="H20701" s="680" t="s">
        <v>6153</v>
      </c>
    </row>
    <row r="20702" spans="8:8">
      <c r="H20702" s="680" t="s">
        <v>6153</v>
      </c>
    </row>
    <row r="20703" spans="8:8">
      <c r="H20703" s="680" t="s">
        <v>6153</v>
      </c>
    </row>
    <row r="20704" spans="8:8">
      <c r="H20704" s="680" t="s">
        <v>6153</v>
      </c>
    </row>
    <row r="20705" spans="8:8">
      <c r="H20705" s="680" t="s">
        <v>6153</v>
      </c>
    </row>
    <row r="20706" spans="8:8">
      <c r="H20706" s="680" t="s">
        <v>6153</v>
      </c>
    </row>
    <row r="20707" spans="8:8">
      <c r="H20707" s="680" t="s">
        <v>6153</v>
      </c>
    </row>
    <row r="20708" spans="8:8">
      <c r="H20708" s="680" t="s">
        <v>6153</v>
      </c>
    </row>
    <row r="20709" spans="8:8">
      <c r="H20709" s="680" t="s">
        <v>6153</v>
      </c>
    </row>
    <row r="20710" spans="8:8">
      <c r="H20710" s="680" t="s">
        <v>6153</v>
      </c>
    </row>
    <row r="20711" spans="8:8">
      <c r="H20711" s="680" t="s">
        <v>6153</v>
      </c>
    </row>
    <row r="20712" spans="8:8">
      <c r="H20712" s="680" t="s">
        <v>6153</v>
      </c>
    </row>
    <row r="20713" spans="8:8">
      <c r="H20713" s="680" t="s">
        <v>6153</v>
      </c>
    </row>
    <row r="20714" spans="8:8">
      <c r="H20714" s="680" t="s">
        <v>6153</v>
      </c>
    </row>
    <row r="20715" spans="8:8">
      <c r="H20715" s="680" t="s">
        <v>6153</v>
      </c>
    </row>
    <row r="20716" spans="8:8">
      <c r="H20716" s="680" t="s">
        <v>6153</v>
      </c>
    </row>
    <row r="20717" spans="8:8">
      <c r="H20717" s="680" t="s">
        <v>6153</v>
      </c>
    </row>
    <row r="20718" spans="8:8">
      <c r="H20718" s="680" t="s">
        <v>6153</v>
      </c>
    </row>
    <row r="20719" spans="8:8">
      <c r="H20719" s="680" t="s">
        <v>6153</v>
      </c>
    </row>
    <row r="20720" spans="8:8">
      <c r="H20720" s="680" t="s">
        <v>6153</v>
      </c>
    </row>
    <row r="20721" spans="8:8">
      <c r="H20721" s="680" t="s">
        <v>6153</v>
      </c>
    </row>
    <row r="20722" spans="8:8">
      <c r="H20722" s="680" t="s">
        <v>6153</v>
      </c>
    </row>
    <row r="20723" spans="8:8">
      <c r="H20723" s="680" t="s">
        <v>6153</v>
      </c>
    </row>
    <row r="20724" spans="8:8">
      <c r="H20724" s="680" t="s">
        <v>6153</v>
      </c>
    </row>
    <row r="20725" spans="8:8">
      <c r="H20725" s="680" t="s">
        <v>6153</v>
      </c>
    </row>
    <row r="20726" spans="8:8">
      <c r="H20726" s="680" t="s">
        <v>6153</v>
      </c>
    </row>
    <row r="20727" spans="8:8">
      <c r="H20727" s="680" t="s">
        <v>6153</v>
      </c>
    </row>
    <row r="20728" spans="8:8">
      <c r="H20728" s="680" t="s">
        <v>6153</v>
      </c>
    </row>
    <row r="20729" spans="8:8">
      <c r="H20729" s="680" t="s">
        <v>6153</v>
      </c>
    </row>
    <row r="20730" spans="8:8">
      <c r="H20730" s="680" t="s">
        <v>6153</v>
      </c>
    </row>
    <row r="20731" spans="8:8">
      <c r="H20731" s="680" t="s">
        <v>6153</v>
      </c>
    </row>
    <row r="20732" spans="8:8">
      <c r="H20732" s="680" t="s">
        <v>6153</v>
      </c>
    </row>
    <row r="20733" spans="8:8">
      <c r="H20733" s="680" t="s">
        <v>6153</v>
      </c>
    </row>
    <row r="20734" spans="8:8">
      <c r="H20734" s="680" t="s">
        <v>6153</v>
      </c>
    </row>
    <row r="20735" spans="8:8">
      <c r="H20735" s="680" t="s">
        <v>6153</v>
      </c>
    </row>
    <row r="20736" spans="8:8">
      <c r="H20736" s="680" t="s">
        <v>6153</v>
      </c>
    </row>
    <row r="20737" spans="8:8">
      <c r="H20737" s="680" t="s">
        <v>6153</v>
      </c>
    </row>
    <row r="20738" spans="8:8">
      <c r="H20738" s="680" t="s">
        <v>6153</v>
      </c>
    </row>
    <row r="20739" spans="8:8">
      <c r="H20739" s="680" t="s">
        <v>6153</v>
      </c>
    </row>
    <row r="20740" spans="8:8">
      <c r="H20740" s="680" t="s">
        <v>6153</v>
      </c>
    </row>
    <row r="20741" spans="8:8">
      <c r="H20741" s="680" t="s">
        <v>6153</v>
      </c>
    </row>
    <row r="20742" spans="8:8">
      <c r="H20742" s="680" t="s">
        <v>6153</v>
      </c>
    </row>
    <row r="20743" spans="8:8">
      <c r="H20743" s="680" t="s">
        <v>6153</v>
      </c>
    </row>
    <row r="20744" spans="8:8">
      <c r="H20744" s="680" t="s">
        <v>6153</v>
      </c>
    </row>
    <row r="20745" spans="8:8">
      <c r="H20745" s="680" t="s">
        <v>6153</v>
      </c>
    </row>
    <row r="20746" spans="8:8">
      <c r="H20746" s="680" t="s">
        <v>6153</v>
      </c>
    </row>
    <row r="20747" spans="8:8">
      <c r="H20747" s="680" t="s">
        <v>6153</v>
      </c>
    </row>
    <row r="20748" spans="8:8">
      <c r="H20748" s="680" t="s">
        <v>6153</v>
      </c>
    </row>
    <row r="20749" spans="8:8">
      <c r="H20749" s="680" t="s">
        <v>6153</v>
      </c>
    </row>
    <row r="20750" spans="8:8">
      <c r="H20750" s="680" t="s">
        <v>6153</v>
      </c>
    </row>
    <row r="20751" spans="8:8">
      <c r="H20751" s="680" t="s">
        <v>6153</v>
      </c>
    </row>
    <row r="20752" spans="8:8">
      <c r="H20752" s="680" t="s">
        <v>6153</v>
      </c>
    </row>
    <row r="20753" spans="8:8">
      <c r="H20753" s="680" t="s">
        <v>6153</v>
      </c>
    </row>
    <row r="20754" spans="8:8">
      <c r="H20754" s="680" t="s">
        <v>6153</v>
      </c>
    </row>
    <row r="20755" spans="8:8">
      <c r="H20755" s="680" t="s">
        <v>6153</v>
      </c>
    </row>
    <row r="20756" spans="8:8">
      <c r="H20756" s="680" t="s">
        <v>6153</v>
      </c>
    </row>
    <row r="20757" spans="8:8">
      <c r="H20757" s="680" t="s">
        <v>6153</v>
      </c>
    </row>
    <row r="20758" spans="8:8">
      <c r="H20758" s="680" t="s">
        <v>6153</v>
      </c>
    </row>
    <row r="20759" spans="8:8">
      <c r="H20759" s="680" t="s">
        <v>6153</v>
      </c>
    </row>
    <row r="20760" spans="8:8">
      <c r="H20760" s="680" t="s">
        <v>6153</v>
      </c>
    </row>
    <row r="20761" spans="8:8">
      <c r="H20761" s="680" t="s">
        <v>6153</v>
      </c>
    </row>
    <row r="20762" spans="8:8">
      <c r="H20762" s="680" t="s">
        <v>6153</v>
      </c>
    </row>
    <row r="20763" spans="8:8">
      <c r="H20763" s="680" t="s">
        <v>6153</v>
      </c>
    </row>
    <row r="20764" spans="8:8">
      <c r="H20764" s="680" t="s">
        <v>6153</v>
      </c>
    </row>
    <row r="20765" spans="8:8">
      <c r="H20765" s="680" t="s">
        <v>6153</v>
      </c>
    </row>
    <row r="20766" spans="8:8">
      <c r="H20766" s="680" t="s">
        <v>6153</v>
      </c>
    </row>
    <row r="20767" spans="8:8">
      <c r="H20767" s="680" t="s">
        <v>6153</v>
      </c>
    </row>
    <row r="20768" spans="8:8">
      <c r="H20768" s="680" t="s">
        <v>6153</v>
      </c>
    </row>
    <row r="20769" spans="8:8">
      <c r="H20769" s="680" t="s">
        <v>6153</v>
      </c>
    </row>
    <row r="20770" spans="8:8">
      <c r="H20770" s="680" t="s">
        <v>6153</v>
      </c>
    </row>
    <row r="20771" spans="8:8">
      <c r="H20771" s="680" t="s">
        <v>6153</v>
      </c>
    </row>
    <row r="20772" spans="8:8">
      <c r="H20772" s="680" t="s">
        <v>6153</v>
      </c>
    </row>
    <row r="20773" spans="8:8">
      <c r="H20773" s="680" t="s">
        <v>6153</v>
      </c>
    </row>
    <row r="20774" spans="8:8">
      <c r="H20774" s="680" t="s">
        <v>6153</v>
      </c>
    </row>
    <row r="20775" spans="8:8">
      <c r="H20775" s="680" t="s">
        <v>6153</v>
      </c>
    </row>
    <row r="20776" spans="8:8">
      <c r="H20776" s="680" t="s">
        <v>6153</v>
      </c>
    </row>
    <row r="20777" spans="8:8">
      <c r="H20777" s="680" t="s">
        <v>6153</v>
      </c>
    </row>
    <row r="20778" spans="8:8">
      <c r="H20778" s="680" t="s">
        <v>6153</v>
      </c>
    </row>
    <row r="20779" spans="8:8">
      <c r="H20779" s="680" t="s">
        <v>6153</v>
      </c>
    </row>
    <row r="20780" spans="8:8">
      <c r="H20780" s="680" t="s">
        <v>6153</v>
      </c>
    </row>
    <row r="20781" spans="8:8">
      <c r="H20781" s="680" t="s">
        <v>6153</v>
      </c>
    </row>
    <row r="20782" spans="8:8">
      <c r="H20782" s="680" t="s">
        <v>6153</v>
      </c>
    </row>
    <row r="20783" spans="8:8">
      <c r="H20783" s="680" t="s">
        <v>6153</v>
      </c>
    </row>
    <row r="20784" spans="8:8">
      <c r="H20784" s="680" t="s">
        <v>6153</v>
      </c>
    </row>
    <row r="20785" spans="8:8">
      <c r="H20785" s="680" t="s">
        <v>6153</v>
      </c>
    </row>
    <row r="20786" spans="8:8">
      <c r="H20786" s="680" t="s">
        <v>6153</v>
      </c>
    </row>
    <row r="20787" spans="8:8">
      <c r="H20787" s="680" t="s">
        <v>6153</v>
      </c>
    </row>
    <row r="20788" spans="8:8">
      <c r="H20788" s="680" t="s">
        <v>6153</v>
      </c>
    </row>
    <row r="20789" spans="8:8">
      <c r="H20789" s="680" t="s">
        <v>6153</v>
      </c>
    </row>
    <row r="20790" spans="8:8">
      <c r="H20790" s="680" t="s">
        <v>6153</v>
      </c>
    </row>
    <row r="20791" spans="8:8">
      <c r="H20791" s="680" t="s">
        <v>6153</v>
      </c>
    </row>
    <row r="20792" spans="8:8">
      <c r="H20792" s="680" t="s">
        <v>6153</v>
      </c>
    </row>
    <row r="20793" spans="8:8">
      <c r="H20793" s="680" t="s">
        <v>6153</v>
      </c>
    </row>
    <row r="20794" spans="8:8">
      <c r="H20794" s="680" t="s">
        <v>6153</v>
      </c>
    </row>
    <row r="20795" spans="8:8">
      <c r="H20795" s="680" t="s">
        <v>6153</v>
      </c>
    </row>
    <row r="20796" spans="8:8">
      <c r="H20796" s="680" t="s">
        <v>6153</v>
      </c>
    </row>
    <row r="20797" spans="8:8">
      <c r="H20797" s="680" t="s">
        <v>6153</v>
      </c>
    </row>
    <row r="20798" spans="8:8">
      <c r="H20798" s="680" t="s">
        <v>6153</v>
      </c>
    </row>
    <row r="20799" spans="8:8">
      <c r="H20799" s="680" t="s">
        <v>6153</v>
      </c>
    </row>
    <row r="20800" spans="8:8">
      <c r="H20800" s="680" t="s">
        <v>6153</v>
      </c>
    </row>
    <row r="20801" spans="8:8">
      <c r="H20801" s="680" t="s">
        <v>6153</v>
      </c>
    </row>
    <row r="20802" spans="8:8">
      <c r="H20802" s="680" t="s">
        <v>6153</v>
      </c>
    </row>
    <row r="20803" spans="8:8">
      <c r="H20803" s="680" t="s">
        <v>6153</v>
      </c>
    </row>
    <row r="20804" spans="8:8">
      <c r="H20804" s="680" t="s">
        <v>6153</v>
      </c>
    </row>
    <row r="20805" spans="8:8">
      <c r="H20805" s="680" t="s">
        <v>6153</v>
      </c>
    </row>
    <row r="20806" spans="8:8">
      <c r="H20806" s="680" t="s">
        <v>6153</v>
      </c>
    </row>
    <row r="20807" spans="8:8">
      <c r="H20807" s="680" t="s">
        <v>6153</v>
      </c>
    </row>
    <row r="20808" spans="8:8">
      <c r="H20808" s="680" t="s">
        <v>6153</v>
      </c>
    </row>
    <row r="20809" spans="8:8">
      <c r="H20809" s="680" t="s">
        <v>6153</v>
      </c>
    </row>
    <row r="20810" spans="8:8">
      <c r="H20810" s="680" t="s">
        <v>6153</v>
      </c>
    </row>
    <row r="20811" spans="8:8">
      <c r="H20811" s="680" t="s">
        <v>6153</v>
      </c>
    </row>
    <row r="20812" spans="8:8">
      <c r="H20812" s="680" t="s">
        <v>6153</v>
      </c>
    </row>
    <row r="20813" spans="8:8">
      <c r="H20813" s="680" t="s">
        <v>6153</v>
      </c>
    </row>
    <row r="20814" spans="8:8">
      <c r="H20814" s="680" t="s">
        <v>6153</v>
      </c>
    </row>
    <row r="20815" spans="8:8">
      <c r="H20815" s="680" t="s">
        <v>6153</v>
      </c>
    </row>
    <row r="20816" spans="8:8">
      <c r="H20816" s="680" t="s">
        <v>6153</v>
      </c>
    </row>
    <row r="20817" spans="8:8">
      <c r="H20817" s="680" t="s">
        <v>6153</v>
      </c>
    </row>
    <row r="20818" spans="8:8">
      <c r="H20818" s="680" t="s">
        <v>6153</v>
      </c>
    </row>
    <row r="20819" spans="8:8">
      <c r="H20819" s="680" t="s">
        <v>6153</v>
      </c>
    </row>
    <row r="20820" spans="8:8">
      <c r="H20820" s="680" t="s">
        <v>6153</v>
      </c>
    </row>
    <row r="20821" spans="8:8">
      <c r="H20821" s="680" t="s">
        <v>6153</v>
      </c>
    </row>
    <row r="20822" spans="8:8">
      <c r="H20822" s="680" t="s">
        <v>6153</v>
      </c>
    </row>
    <row r="20823" spans="8:8">
      <c r="H20823" s="680" t="s">
        <v>6153</v>
      </c>
    </row>
    <row r="20824" spans="8:8">
      <c r="H20824" s="680" t="s">
        <v>6153</v>
      </c>
    </row>
    <row r="20825" spans="8:8">
      <c r="H20825" s="680" t="s">
        <v>6153</v>
      </c>
    </row>
    <row r="20826" spans="8:8">
      <c r="H20826" s="680" t="s">
        <v>6153</v>
      </c>
    </row>
    <row r="20827" spans="8:8">
      <c r="H20827" s="680" t="s">
        <v>6153</v>
      </c>
    </row>
    <row r="20828" spans="8:8">
      <c r="H20828" s="680" t="s">
        <v>6153</v>
      </c>
    </row>
    <row r="20829" spans="8:8">
      <c r="H20829" s="680" t="s">
        <v>6153</v>
      </c>
    </row>
    <row r="20830" spans="8:8">
      <c r="H20830" s="680" t="s">
        <v>6153</v>
      </c>
    </row>
    <row r="20831" spans="8:8">
      <c r="H20831" s="680" t="s">
        <v>6153</v>
      </c>
    </row>
    <row r="20832" spans="8:8">
      <c r="H20832" s="680" t="s">
        <v>6153</v>
      </c>
    </row>
    <row r="20833" spans="8:8">
      <c r="H20833" s="680" t="s">
        <v>6153</v>
      </c>
    </row>
    <row r="20834" spans="8:8">
      <c r="H20834" s="680" t="s">
        <v>6153</v>
      </c>
    </row>
    <row r="20835" spans="8:8">
      <c r="H20835" s="680" t="s">
        <v>6153</v>
      </c>
    </row>
    <row r="20836" spans="8:8">
      <c r="H20836" s="680" t="s">
        <v>6153</v>
      </c>
    </row>
    <row r="20837" spans="8:8">
      <c r="H20837" s="680" t="s">
        <v>6153</v>
      </c>
    </row>
    <row r="20838" spans="8:8">
      <c r="H20838" s="680" t="s">
        <v>6153</v>
      </c>
    </row>
    <row r="20839" spans="8:8">
      <c r="H20839" s="680" t="s">
        <v>6153</v>
      </c>
    </row>
    <row r="20840" spans="8:8">
      <c r="H20840" s="680" t="s">
        <v>6153</v>
      </c>
    </row>
    <row r="20841" spans="8:8">
      <c r="H20841" s="680" t="s">
        <v>6153</v>
      </c>
    </row>
    <row r="20842" spans="8:8">
      <c r="H20842" s="680" t="s">
        <v>6153</v>
      </c>
    </row>
    <row r="20843" spans="8:8">
      <c r="H20843" s="680" t="s">
        <v>6153</v>
      </c>
    </row>
    <row r="20844" spans="8:8">
      <c r="H20844" s="680" t="s">
        <v>6153</v>
      </c>
    </row>
    <row r="20845" spans="8:8">
      <c r="H20845" s="680" t="s">
        <v>6153</v>
      </c>
    </row>
    <row r="20846" spans="8:8">
      <c r="H20846" s="680" t="s">
        <v>6153</v>
      </c>
    </row>
    <row r="20847" spans="8:8">
      <c r="H20847" s="680" t="s">
        <v>6153</v>
      </c>
    </row>
    <row r="20848" spans="8:8">
      <c r="H20848" s="680" t="s">
        <v>6153</v>
      </c>
    </row>
    <row r="20849" spans="8:8">
      <c r="H20849" s="680" t="s">
        <v>6153</v>
      </c>
    </row>
    <row r="20850" spans="8:8">
      <c r="H20850" s="680" t="s">
        <v>6153</v>
      </c>
    </row>
    <row r="20851" spans="8:8">
      <c r="H20851" s="680" t="s">
        <v>6153</v>
      </c>
    </row>
    <row r="20852" spans="8:8">
      <c r="H20852" s="680" t="s">
        <v>6153</v>
      </c>
    </row>
    <row r="20853" spans="8:8">
      <c r="H20853" s="680" t="s">
        <v>6153</v>
      </c>
    </row>
    <row r="20854" spans="8:8">
      <c r="H20854" s="680" t="s">
        <v>6153</v>
      </c>
    </row>
    <row r="20855" spans="8:8">
      <c r="H20855" s="680" t="s">
        <v>6153</v>
      </c>
    </row>
    <row r="20856" spans="8:8">
      <c r="H20856" s="680" t="s">
        <v>6153</v>
      </c>
    </row>
    <row r="20857" spans="8:8">
      <c r="H20857" s="680" t="s">
        <v>6153</v>
      </c>
    </row>
    <row r="20858" spans="8:8">
      <c r="H20858" s="680" t="s">
        <v>6153</v>
      </c>
    </row>
    <row r="20859" spans="8:8">
      <c r="H20859" s="680" t="s">
        <v>6153</v>
      </c>
    </row>
    <row r="20860" spans="8:8">
      <c r="H20860" s="680" t="s">
        <v>6153</v>
      </c>
    </row>
    <row r="20861" spans="8:8">
      <c r="H20861" s="680" t="s">
        <v>6153</v>
      </c>
    </row>
    <row r="20862" spans="8:8">
      <c r="H20862" s="680" t="s">
        <v>6153</v>
      </c>
    </row>
    <row r="20863" spans="8:8">
      <c r="H20863" s="680" t="s">
        <v>6153</v>
      </c>
    </row>
    <row r="20864" spans="8:8">
      <c r="H20864" s="680" t="s">
        <v>6153</v>
      </c>
    </row>
    <row r="20865" spans="8:8">
      <c r="H20865" s="680" t="s">
        <v>6153</v>
      </c>
    </row>
    <row r="20866" spans="8:8">
      <c r="H20866" s="680" t="s">
        <v>6153</v>
      </c>
    </row>
    <row r="20867" spans="8:8">
      <c r="H20867" s="680" t="s">
        <v>6153</v>
      </c>
    </row>
    <row r="20868" spans="8:8">
      <c r="H20868" s="680" t="s">
        <v>6153</v>
      </c>
    </row>
    <row r="20869" spans="8:8">
      <c r="H20869" s="680" t="s">
        <v>6153</v>
      </c>
    </row>
    <row r="20870" spans="8:8">
      <c r="H20870" s="680" t="s">
        <v>6153</v>
      </c>
    </row>
    <row r="20871" spans="8:8">
      <c r="H20871" s="680" t="s">
        <v>6153</v>
      </c>
    </row>
    <row r="20872" spans="8:8">
      <c r="H20872" s="680" t="s">
        <v>6153</v>
      </c>
    </row>
    <row r="20873" spans="8:8">
      <c r="H20873" s="680" t="s">
        <v>6153</v>
      </c>
    </row>
    <row r="20874" spans="8:8">
      <c r="H20874" s="680" t="s">
        <v>6153</v>
      </c>
    </row>
    <row r="20875" spans="8:8">
      <c r="H20875" s="680" t="s">
        <v>6153</v>
      </c>
    </row>
    <row r="20876" spans="8:8">
      <c r="H20876" s="680" t="s">
        <v>6153</v>
      </c>
    </row>
    <row r="20877" spans="8:8">
      <c r="H20877" s="680" t="s">
        <v>6153</v>
      </c>
    </row>
    <row r="20878" spans="8:8">
      <c r="H20878" s="680" t="s">
        <v>6153</v>
      </c>
    </row>
    <row r="20879" spans="8:8">
      <c r="H20879" s="680" t="s">
        <v>6153</v>
      </c>
    </row>
    <row r="20880" spans="8:8">
      <c r="H20880" s="680" t="s">
        <v>6153</v>
      </c>
    </row>
    <row r="20881" spans="8:8">
      <c r="H20881" s="680" t="s">
        <v>6153</v>
      </c>
    </row>
    <row r="20882" spans="8:8">
      <c r="H20882" s="680" t="s">
        <v>6153</v>
      </c>
    </row>
    <row r="20883" spans="8:8">
      <c r="H20883" s="680" t="s">
        <v>6153</v>
      </c>
    </row>
    <row r="20884" spans="8:8">
      <c r="H20884" s="680" t="s">
        <v>6153</v>
      </c>
    </row>
    <row r="20885" spans="8:8">
      <c r="H20885" s="680" t="s">
        <v>6153</v>
      </c>
    </row>
    <row r="20886" spans="8:8">
      <c r="H20886" s="680" t="s">
        <v>6153</v>
      </c>
    </row>
    <row r="20887" spans="8:8">
      <c r="H20887" s="680" t="s">
        <v>6153</v>
      </c>
    </row>
    <row r="20888" spans="8:8">
      <c r="H20888" s="680" t="s">
        <v>6153</v>
      </c>
    </row>
    <row r="20889" spans="8:8">
      <c r="H20889" s="680" t="s">
        <v>6153</v>
      </c>
    </row>
    <row r="20890" spans="8:8">
      <c r="H20890" s="680" t="s">
        <v>6153</v>
      </c>
    </row>
    <row r="20891" spans="8:8">
      <c r="H20891" s="680" t="s">
        <v>6153</v>
      </c>
    </row>
    <row r="20892" spans="8:8">
      <c r="H20892" s="680" t="s">
        <v>6153</v>
      </c>
    </row>
    <row r="20893" spans="8:8">
      <c r="H20893" s="680" t="s">
        <v>6153</v>
      </c>
    </row>
    <row r="20894" spans="8:8">
      <c r="H20894" s="680" t="s">
        <v>6153</v>
      </c>
    </row>
    <row r="20895" spans="8:8">
      <c r="H20895" s="680" t="s">
        <v>6153</v>
      </c>
    </row>
    <row r="20896" spans="8:8">
      <c r="H20896" s="680" t="s">
        <v>6153</v>
      </c>
    </row>
    <row r="20897" spans="8:8">
      <c r="H20897" s="680" t="s">
        <v>6153</v>
      </c>
    </row>
    <row r="20898" spans="8:8">
      <c r="H20898" s="680" t="s">
        <v>6153</v>
      </c>
    </row>
    <row r="20899" spans="8:8">
      <c r="H20899" s="680" t="s">
        <v>6153</v>
      </c>
    </row>
    <row r="20900" spans="8:8">
      <c r="H20900" s="680" t="s">
        <v>6153</v>
      </c>
    </row>
    <row r="20901" spans="8:8">
      <c r="H20901" s="680" t="s">
        <v>6153</v>
      </c>
    </row>
    <row r="20902" spans="8:8">
      <c r="H20902" s="680" t="s">
        <v>6153</v>
      </c>
    </row>
    <row r="20903" spans="8:8">
      <c r="H20903" s="680" t="s">
        <v>6153</v>
      </c>
    </row>
    <row r="20904" spans="8:8">
      <c r="H20904" s="680" t="s">
        <v>6153</v>
      </c>
    </row>
    <row r="20905" spans="8:8">
      <c r="H20905" s="680" t="s">
        <v>6153</v>
      </c>
    </row>
    <row r="20906" spans="8:8">
      <c r="H20906" s="680" t="s">
        <v>6153</v>
      </c>
    </row>
    <row r="20907" spans="8:8">
      <c r="H20907" s="680" t="s">
        <v>6153</v>
      </c>
    </row>
    <row r="20908" spans="8:8">
      <c r="H20908" s="680" t="s">
        <v>6153</v>
      </c>
    </row>
    <row r="20909" spans="8:8">
      <c r="H20909" s="680" t="s">
        <v>6153</v>
      </c>
    </row>
    <row r="20910" spans="8:8">
      <c r="H20910" s="680" t="s">
        <v>6153</v>
      </c>
    </row>
    <row r="20911" spans="8:8">
      <c r="H20911" s="680" t="s">
        <v>6153</v>
      </c>
    </row>
    <row r="20912" spans="8:8">
      <c r="H20912" s="680" t="s">
        <v>6153</v>
      </c>
    </row>
    <row r="20913" spans="8:8">
      <c r="H20913" s="680" t="s">
        <v>6153</v>
      </c>
    </row>
    <row r="20914" spans="8:8">
      <c r="H20914" s="680" t="s">
        <v>6153</v>
      </c>
    </row>
    <row r="20915" spans="8:8">
      <c r="H20915" s="680" t="s">
        <v>6153</v>
      </c>
    </row>
    <row r="20916" spans="8:8">
      <c r="H20916" s="680" t="s">
        <v>6153</v>
      </c>
    </row>
    <row r="20917" spans="8:8">
      <c r="H20917" s="680" t="s">
        <v>6153</v>
      </c>
    </row>
    <row r="20918" spans="8:8">
      <c r="H20918" s="680" t="s">
        <v>6153</v>
      </c>
    </row>
    <row r="20919" spans="8:8">
      <c r="H20919" s="680" t="s">
        <v>6153</v>
      </c>
    </row>
    <row r="20920" spans="8:8">
      <c r="H20920" s="680" t="s">
        <v>6153</v>
      </c>
    </row>
    <row r="20921" spans="8:8">
      <c r="H20921" s="680" t="s">
        <v>6153</v>
      </c>
    </row>
    <row r="20922" spans="8:8">
      <c r="H20922" s="680" t="s">
        <v>6153</v>
      </c>
    </row>
    <row r="20923" spans="8:8">
      <c r="H20923" s="680" t="s">
        <v>6153</v>
      </c>
    </row>
    <row r="20924" spans="8:8">
      <c r="H20924" s="680" t="s">
        <v>6153</v>
      </c>
    </row>
    <row r="20925" spans="8:8">
      <c r="H20925" s="680" t="s">
        <v>6153</v>
      </c>
    </row>
    <row r="20926" spans="8:8">
      <c r="H20926" s="680" t="s">
        <v>6153</v>
      </c>
    </row>
    <row r="20927" spans="8:8">
      <c r="H20927" s="680" t="s">
        <v>6153</v>
      </c>
    </row>
    <row r="20928" spans="8:8">
      <c r="H20928" s="680" t="s">
        <v>6153</v>
      </c>
    </row>
    <row r="20929" spans="8:8">
      <c r="H20929" s="680" t="s">
        <v>6153</v>
      </c>
    </row>
    <row r="20930" spans="8:8">
      <c r="H20930" s="680" t="s">
        <v>6153</v>
      </c>
    </row>
    <row r="20931" spans="8:8">
      <c r="H20931" s="680" t="s">
        <v>6153</v>
      </c>
    </row>
    <row r="20932" spans="8:8">
      <c r="H20932" s="680" t="s">
        <v>6153</v>
      </c>
    </row>
    <row r="20933" spans="8:8">
      <c r="H20933" s="680" t="s">
        <v>6153</v>
      </c>
    </row>
    <row r="20934" spans="8:8">
      <c r="H20934" s="680" t="s">
        <v>6153</v>
      </c>
    </row>
    <row r="20935" spans="8:8">
      <c r="H20935" s="680" t="s">
        <v>6153</v>
      </c>
    </row>
    <row r="20936" spans="8:8">
      <c r="H20936" s="680" t="s">
        <v>6153</v>
      </c>
    </row>
    <row r="20937" spans="8:8">
      <c r="H20937" s="680" t="s">
        <v>6153</v>
      </c>
    </row>
    <row r="20938" spans="8:8">
      <c r="H20938" s="680" t="s">
        <v>6153</v>
      </c>
    </row>
    <row r="20939" spans="8:8">
      <c r="H20939" s="680" t="s">
        <v>6153</v>
      </c>
    </row>
    <row r="20940" spans="8:8">
      <c r="H20940" s="680" t="s">
        <v>6153</v>
      </c>
    </row>
    <row r="20941" spans="8:8">
      <c r="H20941" s="680" t="s">
        <v>6153</v>
      </c>
    </row>
    <row r="20942" spans="8:8">
      <c r="H20942" s="680" t="s">
        <v>6153</v>
      </c>
    </row>
    <row r="20943" spans="8:8">
      <c r="H20943" s="680" t="s">
        <v>6153</v>
      </c>
    </row>
    <row r="20944" spans="8:8">
      <c r="H20944" s="680" t="s">
        <v>6153</v>
      </c>
    </row>
    <row r="20945" spans="8:8">
      <c r="H20945" s="680" t="s">
        <v>6153</v>
      </c>
    </row>
    <row r="20946" spans="8:8">
      <c r="H20946" s="680" t="s">
        <v>6153</v>
      </c>
    </row>
    <row r="20947" spans="8:8">
      <c r="H20947" s="680" t="s">
        <v>6153</v>
      </c>
    </row>
    <row r="20948" spans="8:8">
      <c r="H20948" s="680" t="s">
        <v>6153</v>
      </c>
    </row>
    <row r="20949" spans="8:8">
      <c r="H20949" s="680" t="s">
        <v>6153</v>
      </c>
    </row>
    <row r="20950" spans="8:8">
      <c r="H20950" s="680" t="s">
        <v>6153</v>
      </c>
    </row>
    <row r="20951" spans="8:8">
      <c r="H20951" s="680" t="s">
        <v>6153</v>
      </c>
    </row>
    <row r="20952" spans="8:8">
      <c r="H20952" s="680" t="s">
        <v>6153</v>
      </c>
    </row>
    <row r="20953" spans="8:8">
      <c r="H20953" s="680" t="s">
        <v>6153</v>
      </c>
    </row>
    <row r="20954" spans="8:8">
      <c r="H20954" s="680" t="s">
        <v>6153</v>
      </c>
    </row>
    <row r="20955" spans="8:8">
      <c r="H20955" s="680" t="s">
        <v>6153</v>
      </c>
    </row>
    <row r="20956" spans="8:8">
      <c r="H20956" s="680" t="s">
        <v>6153</v>
      </c>
    </row>
    <row r="20957" spans="8:8">
      <c r="H20957" s="680" t="s">
        <v>6153</v>
      </c>
    </row>
    <row r="20958" spans="8:8">
      <c r="H20958" s="680" t="s">
        <v>6153</v>
      </c>
    </row>
    <row r="20959" spans="8:8">
      <c r="H20959" s="680" t="s">
        <v>6153</v>
      </c>
    </row>
    <row r="20960" spans="8:8">
      <c r="H20960" s="680" t="s">
        <v>6153</v>
      </c>
    </row>
    <row r="20961" spans="8:8">
      <c r="H20961" s="680" t="s">
        <v>6153</v>
      </c>
    </row>
    <row r="20962" spans="8:8">
      <c r="H20962" s="680" t="s">
        <v>6153</v>
      </c>
    </row>
    <row r="20963" spans="8:8">
      <c r="H20963" s="680" t="s">
        <v>6153</v>
      </c>
    </row>
    <row r="20964" spans="8:8">
      <c r="H20964" s="680" t="s">
        <v>6153</v>
      </c>
    </row>
    <row r="20965" spans="8:8">
      <c r="H20965" s="680" t="s">
        <v>6153</v>
      </c>
    </row>
    <row r="20966" spans="8:8">
      <c r="H20966" s="680" t="s">
        <v>6153</v>
      </c>
    </row>
    <row r="20967" spans="8:8">
      <c r="H20967" s="680" t="s">
        <v>6153</v>
      </c>
    </row>
    <row r="20968" spans="8:8">
      <c r="H20968" s="680" t="s">
        <v>6153</v>
      </c>
    </row>
    <row r="20969" spans="8:8">
      <c r="H20969" s="680" t="s">
        <v>6153</v>
      </c>
    </row>
    <row r="20970" spans="8:8">
      <c r="H20970" s="680" t="s">
        <v>6153</v>
      </c>
    </row>
    <row r="20971" spans="8:8">
      <c r="H20971" s="680" t="s">
        <v>6153</v>
      </c>
    </row>
    <row r="20972" spans="8:8">
      <c r="H20972" s="680" t="s">
        <v>6153</v>
      </c>
    </row>
    <row r="20973" spans="8:8">
      <c r="H20973" s="680" t="s">
        <v>6153</v>
      </c>
    </row>
    <row r="20974" spans="8:8">
      <c r="H20974" s="680" t="s">
        <v>6153</v>
      </c>
    </row>
    <row r="20975" spans="8:8">
      <c r="H20975" s="680" t="s">
        <v>6153</v>
      </c>
    </row>
    <row r="20976" spans="8:8">
      <c r="H20976" s="680" t="s">
        <v>6153</v>
      </c>
    </row>
    <row r="20977" spans="8:8">
      <c r="H20977" s="680" t="s">
        <v>6153</v>
      </c>
    </row>
    <row r="20978" spans="8:8">
      <c r="H20978" s="680" t="s">
        <v>6153</v>
      </c>
    </row>
    <row r="20979" spans="8:8">
      <c r="H20979" s="680" t="s">
        <v>6153</v>
      </c>
    </row>
    <row r="20980" spans="8:8">
      <c r="H20980" s="680" t="s">
        <v>6153</v>
      </c>
    </row>
    <row r="20981" spans="8:8">
      <c r="H20981" s="680" t="s">
        <v>6153</v>
      </c>
    </row>
    <row r="20982" spans="8:8">
      <c r="H20982" s="680" t="s">
        <v>6153</v>
      </c>
    </row>
    <row r="20983" spans="8:8">
      <c r="H20983" s="680" t="s">
        <v>6153</v>
      </c>
    </row>
    <row r="20984" spans="8:8">
      <c r="H20984" s="680" t="s">
        <v>6153</v>
      </c>
    </row>
    <row r="20985" spans="8:8">
      <c r="H20985" s="680" t="s">
        <v>6153</v>
      </c>
    </row>
    <row r="20986" spans="8:8">
      <c r="H20986" s="680" t="s">
        <v>6153</v>
      </c>
    </row>
    <row r="20987" spans="8:8">
      <c r="H20987" s="680" t="s">
        <v>6153</v>
      </c>
    </row>
    <row r="20988" spans="8:8">
      <c r="H20988" s="680" t="s">
        <v>6153</v>
      </c>
    </row>
    <row r="20989" spans="8:8">
      <c r="H20989" s="680" t="s">
        <v>6153</v>
      </c>
    </row>
    <row r="20990" spans="8:8">
      <c r="H20990" s="680" t="s">
        <v>6153</v>
      </c>
    </row>
    <row r="20991" spans="8:8">
      <c r="H20991" s="680" t="s">
        <v>6153</v>
      </c>
    </row>
    <row r="20992" spans="8:8">
      <c r="H20992" s="680" t="s">
        <v>6153</v>
      </c>
    </row>
    <row r="20993" spans="8:8">
      <c r="H20993" s="680" t="s">
        <v>6153</v>
      </c>
    </row>
    <row r="20994" spans="8:8">
      <c r="H20994" s="680" t="s">
        <v>6153</v>
      </c>
    </row>
    <row r="20995" spans="8:8">
      <c r="H20995" s="680" t="s">
        <v>6153</v>
      </c>
    </row>
    <row r="20996" spans="8:8">
      <c r="H20996" s="680" t="s">
        <v>6153</v>
      </c>
    </row>
    <row r="20997" spans="8:8">
      <c r="H20997" s="680" t="s">
        <v>6153</v>
      </c>
    </row>
    <row r="20998" spans="8:8">
      <c r="H20998" s="680" t="s">
        <v>6153</v>
      </c>
    </row>
    <row r="20999" spans="8:8">
      <c r="H20999" s="680" t="s">
        <v>6153</v>
      </c>
    </row>
    <row r="21000" spans="8:8">
      <c r="H21000" s="680" t="s">
        <v>6153</v>
      </c>
    </row>
    <row r="21001" spans="8:8">
      <c r="H21001" s="680" t="s">
        <v>6153</v>
      </c>
    </row>
    <row r="21002" spans="8:8">
      <c r="H21002" s="680" t="s">
        <v>6153</v>
      </c>
    </row>
    <row r="21003" spans="8:8">
      <c r="H21003" s="680" t="s">
        <v>6153</v>
      </c>
    </row>
    <row r="21004" spans="8:8">
      <c r="H21004" s="680" t="s">
        <v>6153</v>
      </c>
    </row>
    <row r="21005" spans="8:8">
      <c r="H21005" s="680" t="s">
        <v>6153</v>
      </c>
    </row>
    <row r="21006" spans="8:8">
      <c r="H21006" s="680" t="s">
        <v>6153</v>
      </c>
    </row>
    <row r="21007" spans="8:8">
      <c r="H21007" s="680" t="s">
        <v>6153</v>
      </c>
    </row>
    <row r="21008" spans="8:8">
      <c r="H21008" s="680" t="s">
        <v>6153</v>
      </c>
    </row>
    <row r="21009" spans="8:8">
      <c r="H21009" s="680" t="s">
        <v>6153</v>
      </c>
    </row>
    <row r="21010" spans="8:8">
      <c r="H21010" s="680" t="s">
        <v>6153</v>
      </c>
    </row>
    <row r="21011" spans="8:8">
      <c r="H21011" s="680" t="s">
        <v>6153</v>
      </c>
    </row>
    <row r="21012" spans="8:8">
      <c r="H21012" s="680" t="s">
        <v>6153</v>
      </c>
    </row>
    <row r="21013" spans="8:8">
      <c r="H21013" s="680" t="s">
        <v>6153</v>
      </c>
    </row>
    <row r="21014" spans="8:8">
      <c r="H21014" s="680" t="s">
        <v>6153</v>
      </c>
    </row>
    <row r="21015" spans="8:8">
      <c r="H21015" s="680" t="s">
        <v>6153</v>
      </c>
    </row>
    <row r="21016" spans="8:8">
      <c r="H21016" s="680" t="s">
        <v>6153</v>
      </c>
    </row>
    <row r="21017" spans="8:8">
      <c r="H21017" s="680" t="s">
        <v>6153</v>
      </c>
    </row>
    <row r="21018" spans="8:8">
      <c r="H21018" s="680" t="s">
        <v>6153</v>
      </c>
    </row>
    <row r="21019" spans="8:8">
      <c r="H21019" s="680" t="s">
        <v>6153</v>
      </c>
    </row>
    <row r="21020" spans="8:8">
      <c r="H21020" s="680" t="s">
        <v>6153</v>
      </c>
    </row>
    <row r="21021" spans="8:8">
      <c r="H21021" s="680" t="s">
        <v>6153</v>
      </c>
    </row>
    <row r="21022" spans="8:8">
      <c r="H21022" s="680" t="s">
        <v>6153</v>
      </c>
    </row>
    <row r="21023" spans="8:8">
      <c r="H21023" s="680" t="s">
        <v>6153</v>
      </c>
    </row>
    <row r="21024" spans="8:8">
      <c r="H21024" s="680" t="s">
        <v>6153</v>
      </c>
    </row>
    <row r="21025" spans="8:8">
      <c r="H21025" s="680" t="s">
        <v>6153</v>
      </c>
    </row>
    <row r="21026" spans="8:8">
      <c r="H21026" s="680" t="s">
        <v>6153</v>
      </c>
    </row>
    <row r="21027" spans="8:8">
      <c r="H21027" s="680" t="s">
        <v>6153</v>
      </c>
    </row>
    <row r="21028" spans="8:8">
      <c r="H21028" s="680" t="s">
        <v>6153</v>
      </c>
    </row>
    <row r="21029" spans="8:8">
      <c r="H21029" s="680" t="s">
        <v>6153</v>
      </c>
    </row>
    <row r="21030" spans="8:8">
      <c r="H21030" s="680" t="s">
        <v>6153</v>
      </c>
    </row>
    <row r="21031" spans="8:8">
      <c r="H21031" s="680" t="s">
        <v>6153</v>
      </c>
    </row>
    <row r="21032" spans="8:8">
      <c r="H21032" s="680" t="s">
        <v>6153</v>
      </c>
    </row>
    <row r="21033" spans="8:8">
      <c r="H21033" s="680" t="s">
        <v>6153</v>
      </c>
    </row>
    <row r="21034" spans="8:8">
      <c r="H21034" s="680" t="s">
        <v>6153</v>
      </c>
    </row>
    <row r="21035" spans="8:8">
      <c r="H21035" s="680" t="s">
        <v>6153</v>
      </c>
    </row>
    <row r="21036" spans="8:8">
      <c r="H21036" s="680" t="s">
        <v>6153</v>
      </c>
    </row>
    <row r="21037" spans="8:8">
      <c r="H21037" s="680" t="s">
        <v>6153</v>
      </c>
    </row>
    <row r="21038" spans="8:8">
      <c r="H21038" s="680" t="s">
        <v>6153</v>
      </c>
    </row>
    <row r="21039" spans="8:8">
      <c r="H21039" s="680" t="s">
        <v>6153</v>
      </c>
    </row>
    <row r="21040" spans="8:8">
      <c r="H21040" s="680" t="s">
        <v>6153</v>
      </c>
    </row>
    <row r="21041" spans="8:8">
      <c r="H21041" s="680" t="s">
        <v>6153</v>
      </c>
    </row>
    <row r="21042" spans="8:8">
      <c r="H21042" s="680" t="s">
        <v>6153</v>
      </c>
    </row>
    <row r="21043" spans="8:8">
      <c r="H21043" s="680" t="s">
        <v>6153</v>
      </c>
    </row>
    <row r="21044" spans="8:8">
      <c r="H21044" s="680" t="s">
        <v>6153</v>
      </c>
    </row>
    <row r="21045" spans="8:8">
      <c r="H21045" s="680" t="s">
        <v>6153</v>
      </c>
    </row>
    <row r="21046" spans="8:8">
      <c r="H21046" s="680" t="s">
        <v>6153</v>
      </c>
    </row>
    <row r="21047" spans="8:8">
      <c r="H21047" s="680" t="s">
        <v>6153</v>
      </c>
    </row>
    <row r="21048" spans="8:8">
      <c r="H21048" s="680" t="s">
        <v>6153</v>
      </c>
    </row>
    <row r="21049" spans="8:8">
      <c r="H21049" s="680" t="s">
        <v>6153</v>
      </c>
    </row>
    <row r="21050" spans="8:8">
      <c r="H21050" s="680" t="s">
        <v>6153</v>
      </c>
    </row>
    <row r="21051" spans="8:8">
      <c r="H21051" s="680" t="s">
        <v>6153</v>
      </c>
    </row>
    <row r="21052" spans="8:8">
      <c r="H21052" s="680" t="s">
        <v>6153</v>
      </c>
    </row>
    <row r="21053" spans="8:8">
      <c r="H21053" s="680" t="s">
        <v>6153</v>
      </c>
    </row>
    <row r="21054" spans="8:8">
      <c r="H21054" s="680" t="s">
        <v>6153</v>
      </c>
    </row>
    <row r="21055" spans="8:8">
      <c r="H21055" s="680" t="s">
        <v>6153</v>
      </c>
    </row>
    <row r="21056" spans="8:8">
      <c r="H21056" s="680" t="s">
        <v>6153</v>
      </c>
    </row>
    <row r="21057" spans="8:8">
      <c r="H21057" s="680" t="s">
        <v>6153</v>
      </c>
    </row>
    <row r="21058" spans="8:8">
      <c r="H21058" s="680" t="s">
        <v>6153</v>
      </c>
    </row>
    <row r="21059" spans="8:8">
      <c r="H21059" s="680" t="s">
        <v>6153</v>
      </c>
    </row>
    <row r="21060" spans="8:8">
      <c r="H21060" s="680" t="s">
        <v>6153</v>
      </c>
    </row>
    <row r="21061" spans="8:8">
      <c r="H21061" s="680" t="s">
        <v>6153</v>
      </c>
    </row>
    <row r="21062" spans="8:8">
      <c r="H21062" s="680" t="s">
        <v>6153</v>
      </c>
    </row>
    <row r="21063" spans="8:8">
      <c r="H21063" s="680" t="s">
        <v>6153</v>
      </c>
    </row>
    <row r="21064" spans="8:8">
      <c r="H21064" s="680" t="s">
        <v>6153</v>
      </c>
    </row>
    <row r="21065" spans="8:8">
      <c r="H21065" s="680" t="s">
        <v>6153</v>
      </c>
    </row>
    <row r="21066" spans="8:8">
      <c r="H21066" s="680" t="s">
        <v>6153</v>
      </c>
    </row>
    <row r="21067" spans="8:8">
      <c r="H21067" s="680" t="s">
        <v>6153</v>
      </c>
    </row>
    <row r="21068" spans="8:8">
      <c r="H21068" s="680" t="s">
        <v>6153</v>
      </c>
    </row>
    <row r="21069" spans="8:8">
      <c r="H21069" s="680" t="s">
        <v>6153</v>
      </c>
    </row>
    <row r="21070" spans="8:8">
      <c r="H21070" s="680" t="s">
        <v>6153</v>
      </c>
    </row>
    <row r="21071" spans="8:8">
      <c r="H21071" s="680" t="s">
        <v>6153</v>
      </c>
    </row>
    <row r="21072" spans="8:8">
      <c r="H21072" s="680" t="s">
        <v>6153</v>
      </c>
    </row>
    <row r="21073" spans="8:8">
      <c r="H21073" s="680" t="s">
        <v>6153</v>
      </c>
    </row>
    <row r="21074" spans="8:8">
      <c r="H21074" s="680" t="s">
        <v>6153</v>
      </c>
    </row>
    <row r="21075" spans="8:8">
      <c r="H21075" s="680" t="s">
        <v>6153</v>
      </c>
    </row>
    <row r="21076" spans="8:8">
      <c r="H21076" s="680" t="s">
        <v>6153</v>
      </c>
    </row>
    <row r="21077" spans="8:8">
      <c r="H21077" s="680" t="s">
        <v>6153</v>
      </c>
    </row>
    <row r="21078" spans="8:8">
      <c r="H21078" s="680" t="s">
        <v>6153</v>
      </c>
    </row>
    <row r="21079" spans="8:8">
      <c r="H21079" s="680" t="s">
        <v>6153</v>
      </c>
    </row>
    <row r="21080" spans="8:8">
      <c r="H21080" s="680" t="s">
        <v>6153</v>
      </c>
    </row>
    <row r="21081" spans="8:8">
      <c r="H21081" s="680" t="s">
        <v>6153</v>
      </c>
    </row>
    <row r="21082" spans="8:8">
      <c r="H21082" s="680" t="s">
        <v>6153</v>
      </c>
    </row>
    <row r="21083" spans="8:8">
      <c r="H21083" s="680" t="s">
        <v>6153</v>
      </c>
    </row>
    <row r="21084" spans="8:8">
      <c r="H21084" s="680" t="s">
        <v>6153</v>
      </c>
    </row>
    <row r="21085" spans="8:8">
      <c r="H21085" s="680" t="s">
        <v>6153</v>
      </c>
    </row>
    <row r="21086" spans="8:8">
      <c r="H21086" s="680" t="s">
        <v>6153</v>
      </c>
    </row>
    <row r="21087" spans="8:8">
      <c r="H21087" s="680" t="s">
        <v>6153</v>
      </c>
    </row>
    <row r="21088" spans="8:8">
      <c r="H21088" s="680" t="s">
        <v>6153</v>
      </c>
    </row>
    <row r="21089" spans="8:8">
      <c r="H21089" s="680" t="s">
        <v>6153</v>
      </c>
    </row>
    <row r="21090" spans="8:8">
      <c r="H21090" s="680" t="s">
        <v>6153</v>
      </c>
    </row>
    <row r="21091" spans="8:8">
      <c r="H21091" s="680" t="s">
        <v>6153</v>
      </c>
    </row>
    <row r="21092" spans="8:8">
      <c r="H21092" s="680" t="s">
        <v>6153</v>
      </c>
    </row>
    <row r="21093" spans="8:8">
      <c r="H21093" s="680" t="s">
        <v>6153</v>
      </c>
    </row>
    <row r="21094" spans="8:8">
      <c r="H21094" s="680" t="s">
        <v>6153</v>
      </c>
    </row>
    <row r="21095" spans="8:8">
      <c r="H21095" s="680" t="s">
        <v>6153</v>
      </c>
    </row>
    <row r="21096" spans="8:8">
      <c r="H21096" s="680" t="s">
        <v>6153</v>
      </c>
    </row>
    <row r="21097" spans="8:8">
      <c r="H21097" s="680" t="s">
        <v>6153</v>
      </c>
    </row>
    <row r="21098" spans="8:8">
      <c r="H21098" s="680" t="s">
        <v>6153</v>
      </c>
    </row>
    <row r="21099" spans="8:8">
      <c r="H21099" s="680" t="s">
        <v>6153</v>
      </c>
    </row>
    <row r="21100" spans="8:8">
      <c r="H21100" s="680" t="s">
        <v>6153</v>
      </c>
    </row>
    <row r="21101" spans="8:8">
      <c r="H21101" s="680" t="s">
        <v>6153</v>
      </c>
    </row>
    <row r="21102" spans="8:8">
      <c r="H21102" s="680" t="s">
        <v>6153</v>
      </c>
    </row>
    <row r="21103" spans="8:8">
      <c r="H21103" s="680" t="s">
        <v>6153</v>
      </c>
    </row>
    <row r="21104" spans="8:8">
      <c r="H21104" s="680" t="s">
        <v>6153</v>
      </c>
    </row>
    <row r="21105" spans="8:8">
      <c r="H21105" s="680" t="s">
        <v>6153</v>
      </c>
    </row>
    <row r="21106" spans="8:8">
      <c r="H21106" s="680" t="s">
        <v>6153</v>
      </c>
    </row>
    <row r="21107" spans="8:8">
      <c r="H21107" s="680" t="s">
        <v>6153</v>
      </c>
    </row>
    <row r="21108" spans="8:8">
      <c r="H21108" s="680" t="s">
        <v>6153</v>
      </c>
    </row>
    <row r="21109" spans="8:8">
      <c r="H21109" s="680" t="s">
        <v>6153</v>
      </c>
    </row>
    <row r="21110" spans="8:8">
      <c r="H21110" s="680" t="s">
        <v>6153</v>
      </c>
    </row>
    <row r="21111" spans="8:8">
      <c r="H21111" s="680" t="s">
        <v>6153</v>
      </c>
    </row>
    <row r="21112" spans="8:8">
      <c r="H21112" s="680" t="s">
        <v>6153</v>
      </c>
    </row>
    <row r="21113" spans="8:8">
      <c r="H21113" s="680" t="s">
        <v>6153</v>
      </c>
    </row>
    <row r="21114" spans="8:8">
      <c r="H21114" s="680" t="s">
        <v>6153</v>
      </c>
    </row>
    <row r="21115" spans="8:8">
      <c r="H21115" s="680" t="s">
        <v>6153</v>
      </c>
    </row>
    <row r="21116" spans="8:8">
      <c r="H21116" s="680" t="s">
        <v>6153</v>
      </c>
    </row>
    <row r="21117" spans="8:8">
      <c r="H21117" s="680" t="s">
        <v>6153</v>
      </c>
    </row>
    <row r="21118" spans="8:8">
      <c r="H21118" s="680" t="s">
        <v>6153</v>
      </c>
    </row>
    <row r="21119" spans="8:8">
      <c r="H21119" s="680" t="s">
        <v>6153</v>
      </c>
    </row>
    <row r="21120" spans="8:8">
      <c r="H21120" s="680" t="s">
        <v>6153</v>
      </c>
    </row>
    <row r="21121" spans="8:8">
      <c r="H21121" s="680" t="s">
        <v>6153</v>
      </c>
    </row>
    <row r="21122" spans="8:8">
      <c r="H21122" s="680" t="s">
        <v>6153</v>
      </c>
    </row>
    <row r="21123" spans="8:8">
      <c r="H21123" s="680" t="s">
        <v>6153</v>
      </c>
    </row>
    <row r="21124" spans="8:8">
      <c r="H21124" s="680" t="s">
        <v>6153</v>
      </c>
    </row>
    <row r="21125" spans="8:8">
      <c r="H21125" s="680" t="s">
        <v>6153</v>
      </c>
    </row>
    <row r="21126" spans="8:8">
      <c r="H21126" s="680" t="s">
        <v>6153</v>
      </c>
    </row>
    <row r="21127" spans="8:8">
      <c r="H21127" s="680" t="s">
        <v>6153</v>
      </c>
    </row>
    <row r="21128" spans="8:8">
      <c r="H21128" s="680" t="s">
        <v>6153</v>
      </c>
    </row>
    <row r="21129" spans="8:8">
      <c r="H21129" s="680" t="s">
        <v>6153</v>
      </c>
    </row>
    <row r="21130" spans="8:8">
      <c r="H21130" s="680" t="s">
        <v>6153</v>
      </c>
    </row>
    <row r="21131" spans="8:8">
      <c r="H21131" s="680" t="s">
        <v>6153</v>
      </c>
    </row>
    <row r="21132" spans="8:8">
      <c r="H21132" s="680" t="s">
        <v>6153</v>
      </c>
    </row>
    <row r="21133" spans="8:8">
      <c r="H21133" s="680" t="s">
        <v>6153</v>
      </c>
    </row>
    <row r="21134" spans="8:8">
      <c r="H21134" s="680" t="s">
        <v>6153</v>
      </c>
    </row>
    <row r="21135" spans="8:8">
      <c r="H21135" s="680" t="s">
        <v>6153</v>
      </c>
    </row>
    <row r="21136" spans="8:8">
      <c r="H21136" s="680" t="s">
        <v>6153</v>
      </c>
    </row>
    <row r="21137" spans="8:8">
      <c r="H21137" s="680" t="s">
        <v>6153</v>
      </c>
    </row>
    <row r="21138" spans="8:8">
      <c r="H21138" s="680" t="s">
        <v>6153</v>
      </c>
    </row>
    <row r="21139" spans="8:8">
      <c r="H21139" s="680" t="s">
        <v>6153</v>
      </c>
    </row>
    <row r="21140" spans="8:8">
      <c r="H21140" s="680" t="s">
        <v>6153</v>
      </c>
    </row>
    <row r="21141" spans="8:8">
      <c r="H21141" s="680" t="s">
        <v>6153</v>
      </c>
    </row>
    <row r="21142" spans="8:8">
      <c r="H21142" s="680" t="s">
        <v>6153</v>
      </c>
    </row>
    <row r="21143" spans="8:8">
      <c r="H21143" s="680" t="s">
        <v>6153</v>
      </c>
    </row>
    <row r="21144" spans="8:8">
      <c r="H21144" s="680" t="s">
        <v>6153</v>
      </c>
    </row>
    <row r="21145" spans="8:8">
      <c r="H21145" s="680" t="s">
        <v>6153</v>
      </c>
    </row>
    <row r="21146" spans="8:8">
      <c r="H21146" s="680" t="s">
        <v>6153</v>
      </c>
    </row>
    <row r="21147" spans="8:8">
      <c r="H21147" s="680" t="s">
        <v>6153</v>
      </c>
    </row>
    <row r="21148" spans="8:8">
      <c r="H21148" s="680" t="s">
        <v>6153</v>
      </c>
    </row>
    <row r="21149" spans="8:8">
      <c r="H21149" s="680" t="s">
        <v>6153</v>
      </c>
    </row>
    <row r="21150" spans="8:8">
      <c r="H21150" s="680" t="s">
        <v>6153</v>
      </c>
    </row>
    <row r="21151" spans="8:8">
      <c r="H21151" s="680" t="s">
        <v>6153</v>
      </c>
    </row>
    <row r="21152" spans="8:8">
      <c r="H21152" s="680" t="s">
        <v>6153</v>
      </c>
    </row>
    <row r="21153" spans="8:8">
      <c r="H21153" s="680" t="s">
        <v>6153</v>
      </c>
    </row>
    <row r="21154" spans="8:8">
      <c r="H21154" s="680" t="s">
        <v>6153</v>
      </c>
    </row>
    <row r="21155" spans="8:8">
      <c r="H21155" s="680" t="s">
        <v>6153</v>
      </c>
    </row>
    <row r="21156" spans="8:8">
      <c r="H21156" s="680" t="s">
        <v>6153</v>
      </c>
    </row>
    <row r="21157" spans="8:8">
      <c r="H21157" s="680" t="s">
        <v>6153</v>
      </c>
    </row>
    <row r="21158" spans="8:8">
      <c r="H21158" s="680" t="s">
        <v>6153</v>
      </c>
    </row>
    <row r="21159" spans="8:8">
      <c r="H21159" s="680" t="s">
        <v>6153</v>
      </c>
    </row>
    <row r="21160" spans="8:8">
      <c r="H21160" s="680" t="s">
        <v>6153</v>
      </c>
    </row>
    <row r="21161" spans="8:8">
      <c r="H21161" s="680" t="s">
        <v>6153</v>
      </c>
    </row>
    <row r="21162" spans="8:8">
      <c r="H21162" s="680" t="s">
        <v>6153</v>
      </c>
    </row>
    <row r="21163" spans="8:8">
      <c r="H21163" s="680" t="s">
        <v>6153</v>
      </c>
    </row>
    <row r="21164" spans="8:8">
      <c r="H21164" s="680" t="s">
        <v>6153</v>
      </c>
    </row>
    <row r="21165" spans="8:8">
      <c r="H21165" s="680" t="s">
        <v>6153</v>
      </c>
    </row>
    <row r="21166" spans="8:8">
      <c r="H21166" s="680" t="s">
        <v>6153</v>
      </c>
    </row>
    <row r="21167" spans="8:8">
      <c r="H21167" s="680" t="s">
        <v>6153</v>
      </c>
    </row>
    <row r="21168" spans="8:8">
      <c r="H21168" s="680" t="s">
        <v>6153</v>
      </c>
    </row>
    <row r="21169" spans="8:8">
      <c r="H21169" s="680" t="s">
        <v>6153</v>
      </c>
    </row>
    <row r="21170" spans="8:8">
      <c r="H21170" s="680" t="s">
        <v>6153</v>
      </c>
    </row>
    <row r="21171" spans="8:8">
      <c r="H21171" s="680" t="s">
        <v>6153</v>
      </c>
    </row>
    <row r="21172" spans="8:8">
      <c r="H21172" s="680" t="s">
        <v>6153</v>
      </c>
    </row>
    <row r="21173" spans="8:8">
      <c r="H21173" s="680" t="s">
        <v>6153</v>
      </c>
    </row>
    <row r="21174" spans="8:8">
      <c r="H21174" s="680" t="s">
        <v>6153</v>
      </c>
    </row>
    <row r="21175" spans="8:8">
      <c r="H21175" s="680" t="s">
        <v>6153</v>
      </c>
    </row>
    <row r="21176" spans="8:8">
      <c r="H21176" s="680" t="s">
        <v>6153</v>
      </c>
    </row>
    <row r="21177" spans="8:8">
      <c r="H21177" s="680" t="s">
        <v>6153</v>
      </c>
    </row>
    <row r="21178" spans="8:8">
      <c r="H21178" s="680" t="s">
        <v>6153</v>
      </c>
    </row>
    <row r="21179" spans="8:8">
      <c r="H21179" s="680" t="s">
        <v>6153</v>
      </c>
    </row>
    <row r="21180" spans="8:8">
      <c r="H21180" s="680" t="s">
        <v>6153</v>
      </c>
    </row>
    <row r="21181" spans="8:8">
      <c r="H21181" s="680" t="s">
        <v>6153</v>
      </c>
    </row>
    <row r="21182" spans="8:8">
      <c r="H21182" s="680" t="s">
        <v>6153</v>
      </c>
    </row>
    <row r="21183" spans="8:8">
      <c r="H21183" s="680" t="s">
        <v>6153</v>
      </c>
    </row>
    <row r="21184" spans="8:8">
      <c r="H21184" s="680" t="s">
        <v>6153</v>
      </c>
    </row>
    <row r="21185" spans="8:8">
      <c r="H21185" s="680" t="s">
        <v>6153</v>
      </c>
    </row>
    <row r="21186" spans="8:8">
      <c r="H21186" s="680" t="s">
        <v>6153</v>
      </c>
    </row>
    <row r="21187" spans="8:8">
      <c r="H21187" s="680" t="s">
        <v>6153</v>
      </c>
    </row>
    <row r="21188" spans="8:8">
      <c r="H21188" s="680" t="s">
        <v>6153</v>
      </c>
    </row>
    <row r="21189" spans="8:8">
      <c r="H21189" s="680" t="s">
        <v>6153</v>
      </c>
    </row>
    <row r="21190" spans="8:8">
      <c r="H21190" s="680" t="s">
        <v>6153</v>
      </c>
    </row>
    <row r="21191" spans="8:8">
      <c r="H21191" s="680" t="s">
        <v>6153</v>
      </c>
    </row>
    <row r="21192" spans="8:8">
      <c r="H21192" s="680" t="s">
        <v>6153</v>
      </c>
    </row>
    <row r="21193" spans="8:8">
      <c r="H21193" s="680" t="s">
        <v>6153</v>
      </c>
    </row>
    <row r="21194" spans="8:8">
      <c r="H21194" s="680" t="s">
        <v>6153</v>
      </c>
    </row>
    <row r="21195" spans="8:8">
      <c r="H21195" s="680" t="s">
        <v>6153</v>
      </c>
    </row>
    <row r="21196" spans="8:8">
      <c r="H21196" s="680" t="s">
        <v>6153</v>
      </c>
    </row>
    <row r="21197" spans="8:8">
      <c r="H21197" s="680" t="s">
        <v>6153</v>
      </c>
    </row>
    <row r="21198" spans="8:8">
      <c r="H21198" s="680" t="s">
        <v>6153</v>
      </c>
    </row>
    <row r="21199" spans="8:8">
      <c r="H21199" s="680" t="s">
        <v>6153</v>
      </c>
    </row>
    <row r="21200" spans="8:8">
      <c r="H21200" s="680" t="s">
        <v>6153</v>
      </c>
    </row>
    <row r="21201" spans="8:8">
      <c r="H21201" s="680" t="s">
        <v>6153</v>
      </c>
    </row>
    <row r="21202" spans="8:8">
      <c r="H21202" s="680" t="s">
        <v>6153</v>
      </c>
    </row>
    <row r="21203" spans="8:8">
      <c r="H21203" s="680" t="s">
        <v>6153</v>
      </c>
    </row>
    <row r="21204" spans="8:8">
      <c r="H21204" s="680" t="s">
        <v>6153</v>
      </c>
    </row>
    <row r="21205" spans="8:8">
      <c r="H21205" s="680" t="s">
        <v>6153</v>
      </c>
    </row>
    <row r="21206" spans="8:8">
      <c r="H21206" s="680" t="s">
        <v>6153</v>
      </c>
    </row>
    <row r="21207" spans="8:8">
      <c r="H21207" s="680" t="s">
        <v>6153</v>
      </c>
    </row>
    <row r="21208" spans="8:8">
      <c r="H21208" s="680" t="s">
        <v>6153</v>
      </c>
    </row>
    <row r="21209" spans="8:8">
      <c r="H21209" s="680" t="s">
        <v>6153</v>
      </c>
    </row>
    <row r="21210" spans="8:8">
      <c r="H21210" s="680" t="s">
        <v>6153</v>
      </c>
    </row>
    <row r="21211" spans="8:8">
      <c r="H21211" s="680" t="s">
        <v>6153</v>
      </c>
    </row>
    <row r="21212" spans="8:8">
      <c r="H21212" s="680" t="s">
        <v>6153</v>
      </c>
    </row>
    <row r="21213" spans="8:8">
      <c r="H21213" s="680" t="s">
        <v>6153</v>
      </c>
    </row>
    <row r="21214" spans="8:8">
      <c r="H21214" s="680" t="s">
        <v>6153</v>
      </c>
    </row>
    <row r="21215" spans="8:8">
      <c r="H21215" s="680" t="s">
        <v>6153</v>
      </c>
    </row>
    <row r="21216" spans="8:8">
      <c r="H21216" s="680" t="s">
        <v>6153</v>
      </c>
    </row>
    <row r="21217" spans="8:8">
      <c r="H21217" s="680" t="s">
        <v>6153</v>
      </c>
    </row>
    <row r="21218" spans="8:8">
      <c r="H21218" s="680" t="s">
        <v>6153</v>
      </c>
    </row>
    <row r="21219" spans="8:8">
      <c r="H21219" s="680" t="s">
        <v>6153</v>
      </c>
    </row>
    <row r="21220" spans="8:8">
      <c r="H21220" s="680" t="s">
        <v>6153</v>
      </c>
    </row>
    <row r="21221" spans="8:8">
      <c r="H21221" s="680" t="s">
        <v>6153</v>
      </c>
    </row>
    <row r="21222" spans="8:8">
      <c r="H21222" s="680" t="s">
        <v>6153</v>
      </c>
    </row>
    <row r="21223" spans="8:8">
      <c r="H21223" s="680" t="s">
        <v>6153</v>
      </c>
    </row>
    <row r="21224" spans="8:8">
      <c r="H21224" s="680" t="s">
        <v>6153</v>
      </c>
    </row>
    <row r="21225" spans="8:8">
      <c r="H21225" s="680" t="s">
        <v>6153</v>
      </c>
    </row>
    <row r="21226" spans="8:8">
      <c r="H21226" s="680" t="s">
        <v>6153</v>
      </c>
    </row>
    <row r="21227" spans="8:8">
      <c r="H21227" s="680" t="s">
        <v>6153</v>
      </c>
    </row>
    <row r="21228" spans="8:8">
      <c r="H21228" s="680" t="s">
        <v>6153</v>
      </c>
    </row>
    <row r="21229" spans="8:8">
      <c r="H21229" s="680" t="s">
        <v>6153</v>
      </c>
    </row>
    <row r="21230" spans="8:8">
      <c r="H21230" s="680" t="s">
        <v>6153</v>
      </c>
    </row>
    <row r="21231" spans="8:8">
      <c r="H21231" s="680" t="s">
        <v>6153</v>
      </c>
    </row>
    <row r="21232" spans="8:8">
      <c r="H21232" s="680" t="s">
        <v>6153</v>
      </c>
    </row>
    <row r="21233" spans="8:8">
      <c r="H21233" s="680" t="s">
        <v>6153</v>
      </c>
    </row>
    <row r="21234" spans="8:8">
      <c r="H21234" s="680" t="s">
        <v>6153</v>
      </c>
    </row>
    <row r="21235" spans="8:8">
      <c r="H21235" s="680" t="s">
        <v>6153</v>
      </c>
    </row>
    <row r="21236" spans="8:8">
      <c r="H21236" s="680" t="s">
        <v>6153</v>
      </c>
    </row>
    <row r="21237" spans="8:8">
      <c r="H21237" s="680" t="s">
        <v>6153</v>
      </c>
    </row>
    <row r="21238" spans="8:8">
      <c r="H21238" s="680" t="s">
        <v>6153</v>
      </c>
    </row>
    <row r="21239" spans="8:8">
      <c r="H21239" s="680" t="s">
        <v>6153</v>
      </c>
    </row>
    <row r="21240" spans="8:8">
      <c r="H21240" s="680" t="s">
        <v>6153</v>
      </c>
    </row>
    <row r="21241" spans="8:8">
      <c r="H21241" s="680" t="s">
        <v>6153</v>
      </c>
    </row>
    <row r="21242" spans="8:8">
      <c r="H21242" s="680" t="s">
        <v>6153</v>
      </c>
    </row>
    <row r="21243" spans="8:8">
      <c r="H21243" s="680" t="s">
        <v>6153</v>
      </c>
    </row>
    <row r="21244" spans="8:8">
      <c r="H21244" s="680" t="s">
        <v>6153</v>
      </c>
    </row>
    <row r="21245" spans="8:8">
      <c r="H21245" s="680" t="s">
        <v>6153</v>
      </c>
    </row>
    <row r="21246" spans="8:8">
      <c r="H21246" s="680" t="s">
        <v>6153</v>
      </c>
    </row>
    <row r="21247" spans="8:8">
      <c r="H21247" s="680" t="s">
        <v>6153</v>
      </c>
    </row>
    <row r="21248" spans="8:8">
      <c r="H21248" s="680" t="s">
        <v>6153</v>
      </c>
    </row>
    <row r="21249" spans="8:8">
      <c r="H21249" s="680" t="s">
        <v>6153</v>
      </c>
    </row>
    <row r="21250" spans="8:8">
      <c r="H21250" s="680" t="s">
        <v>6153</v>
      </c>
    </row>
    <row r="21251" spans="8:8">
      <c r="H21251" s="680" t="s">
        <v>6153</v>
      </c>
    </row>
    <row r="21252" spans="8:8">
      <c r="H21252" s="680" t="s">
        <v>6153</v>
      </c>
    </row>
    <row r="21253" spans="8:8">
      <c r="H21253" s="680" t="s">
        <v>6153</v>
      </c>
    </row>
    <row r="21254" spans="8:8">
      <c r="H21254" s="680" t="s">
        <v>6153</v>
      </c>
    </row>
    <row r="21255" spans="8:8">
      <c r="H21255" s="680" t="s">
        <v>6153</v>
      </c>
    </row>
    <row r="21256" spans="8:8">
      <c r="H21256" s="680" t="s">
        <v>6153</v>
      </c>
    </row>
    <row r="21257" spans="8:8">
      <c r="H21257" s="680" t="s">
        <v>6153</v>
      </c>
    </row>
    <row r="21258" spans="8:8">
      <c r="H21258" s="680" t="s">
        <v>6153</v>
      </c>
    </row>
    <row r="21259" spans="8:8">
      <c r="H21259" s="680" t="s">
        <v>6153</v>
      </c>
    </row>
    <row r="21260" spans="8:8">
      <c r="H21260" s="680" t="s">
        <v>6153</v>
      </c>
    </row>
    <row r="21261" spans="8:8">
      <c r="H21261" s="680" t="s">
        <v>6153</v>
      </c>
    </row>
    <row r="21262" spans="8:8">
      <c r="H21262" s="680" t="s">
        <v>6153</v>
      </c>
    </row>
    <row r="21263" spans="8:8">
      <c r="H21263" s="680" t="s">
        <v>6153</v>
      </c>
    </row>
    <row r="21264" spans="8:8">
      <c r="H21264" s="680" t="s">
        <v>6153</v>
      </c>
    </row>
    <row r="21265" spans="8:8">
      <c r="H21265" s="680" t="s">
        <v>6153</v>
      </c>
    </row>
    <row r="21266" spans="8:8">
      <c r="H21266" s="680" t="s">
        <v>6153</v>
      </c>
    </row>
    <row r="21267" spans="8:8">
      <c r="H21267" s="680" t="s">
        <v>6153</v>
      </c>
    </row>
    <row r="21268" spans="8:8">
      <c r="H21268" s="680" t="s">
        <v>6153</v>
      </c>
    </row>
    <row r="21269" spans="8:8">
      <c r="H21269" s="680" t="s">
        <v>6153</v>
      </c>
    </row>
    <row r="21270" spans="8:8">
      <c r="H21270" s="680" t="s">
        <v>6153</v>
      </c>
    </row>
    <row r="21271" spans="8:8">
      <c r="H21271" s="680" t="s">
        <v>6153</v>
      </c>
    </row>
    <row r="21272" spans="8:8">
      <c r="H21272" s="680" t="s">
        <v>6153</v>
      </c>
    </row>
    <row r="21273" spans="8:8">
      <c r="H21273" s="680" t="s">
        <v>6153</v>
      </c>
    </row>
    <row r="21274" spans="8:8">
      <c r="H21274" s="680" t="s">
        <v>6153</v>
      </c>
    </row>
    <row r="21275" spans="8:8">
      <c r="H21275" s="680" t="s">
        <v>6153</v>
      </c>
    </row>
    <row r="21276" spans="8:8">
      <c r="H21276" s="680" t="s">
        <v>6153</v>
      </c>
    </row>
    <row r="21277" spans="8:8">
      <c r="H21277" s="680" t="s">
        <v>6153</v>
      </c>
    </row>
    <row r="21278" spans="8:8">
      <c r="H21278" s="680" t="s">
        <v>6153</v>
      </c>
    </row>
    <row r="21279" spans="8:8">
      <c r="H21279" s="680" t="s">
        <v>6153</v>
      </c>
    </row>
    <row r="21280" spans="8:8">
      <c r="H21280" s="680" t="s">
        <v>6153</v>
      </c>
    </row>
    <row r="21281" spans="8:8">
      <c r="H21281" s="680" t="s">
        <v>6153</v>
      </c>
    </row>
    <row r="21282" spans="8:8">
      <c r="H21282" s="680" t="s">
        <v>6153</v>
      </c>
    </row>
    <row r="21283" spans="8:8">
      <c r="H21283" s="680" t="s">
        <v>6153</v>
      </c>
    </row>
    <row r="21284" spans="8:8">
      <c r="H21284" s="680" t="s">
        <v>6153</v>
      </c>
    </row>
    <row r="21285" spans="8:8">
      <c r="H21285" s="680" t="s">
        <v>6153</v>
      </c>
    </row>
    <row r="21286" spans="8:8">
      <c r="H21286" s="680" t="s">
        <v>6153</v>
      </c>
    </row>
    <row r="21287" spans="8:8">
      <c r="H21287" s="680" t="s">
        <v>6153</v>
      </c>
    </row>
    <row r="21288" spans="8:8">
      <c r="H21288" s="680" t="s">
        <v>6153</v>
      </c>
    </row>
    <row r="21289" spans="8:8">
      <c r="H21289" s="680" t="s">
        <v>6153</v>
      </c>
    </row>
    <row r="21290" spans="8:8">
      <c r="H21290" s="680" t="s">
        <v>6153</v>
      </c>
    </row>
    <row r="21291" spans="8:8">
      <c r="H21291" s="680" t="s">
        <v>6153</v>
      </c>
    </row>
    <row r="21292" spans="8:8">
      <c r="H21292" s="680" t="s">
        <v>6153</v>
      </c>
    </row>
    <row r="21293" spans="8:8">
      <c r="H21293" s="680" t="s">
        <v>6153</v>
      </c>
    </row>
    <row r="21294" spans="8:8">
      <c r="H21294" s="680" t="s">
        <v>6153</v>
      </c>
    </row>
    <row r="21295" spans="8:8">
      <c r="H21295" s="680" t="s">
        <v>6153</v>
      </c>
    </row>
    <row r="21296" spans="8:8">
      <c r="H21296" s="680" t="s">
        <v>6153</v>
      </c>
    </row>
    <row r="21297" spans="8:8">
      <c r="H21297" s="680" t="s">
        <v>6153</v>
      </c>
    </row>
    <row r="21298" spans="8:8">
      <c r="H21298" s="680" t="s">
        <v>6153</v>
      </c>
    </row>
    <row r="21299" spans="8:8">
      <c r="H21299" s="680" t="s">
        <v>6153</v>
      </c>
    </row>
    <row r="21300" spans="8:8">
      <c r="H21300" s="680" t="s">
        <v>6153</v>
      </c>
    </row>
    <row r="21301" spans="8:8">
      <c r="H21301" s="680" t="s">
        <v>6153</v>
      </c>
    </row>
    <row r="21302" spans="8:8">
      <c r="H21302" s="680" t="s">
        <v>6153</v>
      </c>
    </row>
    <row r="21303" spans="8:8">
      <c r="H21303" s="680" t="s">
        <v>6153</v>
      </c>
    </row>
    <row r="21304" spans="8:8">
      <c r="H21304" s="680" t="s">
        <v>6153</v>
      </c>
    </row>
    <row r="21305" spans="8:8">
      <c r="H21305" s="680" t="s">
        <v>6153</v>
      </c>
    </row>
    <row r="21306" spans="8:8">
      <c r="H21306" s="680" t="s">
        <v>6153</v>
      </c>
    </row>
    <row r="21307" spans="8:8">
      <c r="H21307" s="680" t="s">
        <v>6153</v>
      </c>
    </row>
    <row r="21308" spans="8:8">
      <c r="H21308" s="680" t="s">
        <v>6153</v>
      </c>
    </row>
    <row r="21309" spans="8:8">
      <c r="H21309" s="680" t="s">
        <v>6153</v>
      </c>
    </row>
    <row r="21310" spans="8:8">
      <c r="H21310" s="680" t="s">
        <v>6153</v>
      </c>
    </row>
    <row r="21311" spans="8:8">
      <c r="H21311" s="680" t="s">
        <v>6153</v>
      </c>
    </row>
    <row r="21312" spans="8:8">
      <c r="H21312" s="680" t="s">
        <v>6153</v>
      </c>
    </row>
    <row r="21313" spans="8:8">
      <c r="H21313" s="680" t="s">
        <v>6153</v>
      </c>
    </row>
    <row r="21314" spans="8:8">
      <c r="H21314" s="680" t="s">
        <v>6153</v>
      </c>
    </row>
    <row r="21315" spans="8:8">
      <c r="H21315" s="680" t="s">
        <v>6153</v>
      </c>
    </row>
    <row r="21316" spans="8:8">
      <c r="H21316" s="680" t="s">
        <v>6153</v>
      </c>
    </row>
    <row r="21317" spans="8:8">
      <c r="H21317" s="680" t="s">
        <v>6153</v>
      </c>
    </row>
    <row r="21318" spans="8:8">
      <c r="H21318" s="680" t="s">
        <v>6153</v>
      </c>
    </row>
    <row r="21319" spans="8:8">
      <c r="H21319" s="680" t="s">
        <v>6153</v>
      </c>
    </row>
    <row r="21320" spans="8:8">
      <c r="H21320" s="680" t="s">
        <v>6153</v>
      </c>
    </row>
    <row r="21321" spans="8:8">
      <c r="H21321" s="680" t="s">
        <v>6153</v>
      </c>
    </row>
    <row r="21322" spans="8:8">
      <c r="H21322" s="680" t="s">
        <v>6153</v>
      </c>
    </row>
    <row r="21323" spans="8:8">
      <c r="H21323" s="680" t="s">
        <v>6153</v>
      </c>
    </row>
    <row r="21324" spans="8:8">
      <c r="H21324" s="680" t="s">
        <v>6153</v>
      </c>
    </row>
    <row r="21325" spans="8:8">
      <c r="H21325" s="680" t="s">
        <v>6153</v>
      </c>
    </row>
    <row r="21326" spans="8:8">
      <c r="H21326" s="680" t="s">
        <v>6153</v>
      </c>
    </row>
    <row r="21327" spans="8:8">
      <c r="H21327" s="680" t="s">
        <v>6153</v>
      </c>
    </row>
    <row r="21328" spans="8:8">
      <c r="H21328" s="680" t="s">
        <v>6153</v>
      </c>
    </row>
    <row r="21329" spans="8:8">
      <c r="H21329" s="680" t="s">
        <v>6153</v>
      </c>
    </row>
    <row r="21330" spans="8:8">
      <c r="H21330" s="680" t="s">
        <v>6153</v>
      </c>
    </row>
    <row r="21331" spans="8:8">
      <c r="H21331" s="680" t="s">
        <v>6153</v>
      </c>
    </row>
    <row r="21332" spans="8:8">
      <c r="H21332" s="680" t="s">
        <v>6153</v>
      </c>
    </row>
    <row r="21333" spans="8:8">
      <c r="H21333" s="680" t="s">
        <v>6153</v>
      </c>
    </row>
    <row r="21334" spans="8:8">
      <c r="H21334" s="680" t="s">
        <v>6153</v>
      </c>
    </row>
    <row r="21335" spans="8:8">
      <c r="H21335" s="680" t="s">
        <v>6153</v>
      </c>
    </row>
    <row r="21336" spans="8:8">
      <c r="H21336" s="680" t="s">
        <v>6153</v>
      </c>
    </row>
    <row r="21337" spans="8:8">
      <c r="H21337" s="680" t="s">
        <v>6153</v>
      </c>
    </row>
    <row r="21338" spans="8:8">
      <c r="H21338" s="680" t="s">
        <v>6153</v>
      </c>
    </row>
    <row r="21339" spans="8:8">
      <c r="H21339" s="680" t="s">
        <v>6153</v>
      </c>
    </row>
    <row r="21340" spans="8:8">
      <c r="H21340" s="680" t="s">
        <v>6153</v>
      </c>
    </row>
    <row r="21341" spans="8:8">
      <c r="H21341" s="680" t="s">
        <v>6153</v>
      </c>
    </row>
    <row r="21342" spans="8:8">
      <c r="H21342" s="680" t="s">
        <v>6153</v>
      </c>
    </row>
    <row r="21343" spans="8:8">
      <c r="H21343" s="680" t="s">
        <v>6153</v>
      </c>
    </row>
    <row r="21344" spans="8:8">
      <c r="H21344" s="680" t="s">
        <v>6153</v>
      </c>
    </row>
    <row r="21345" spans="8:8">
      <c r="H21345" s="680" t="s">
        <v>6153</v>
      </c>
    </row>
    <row r="21346" spans="8:8">
      <c r="H21346" s="680" t="s">
        <v>6153</v>
      </c>
    </row>
    <row r="21347" spans="8:8">
      <c r="H21347" s="680" t="s">
        <v>6153</v>
      </c>
    </row>
    <row r="21348" spans="8:8">
      <c r="H21348" s="680" t="s">
        <v>6153</v>
      </c>
    </row>
    <row r="21349" spans="8:8">
      <c r="H21349" s="680" t="s">
        <v>6153</v>
      </c>
    </row>
    <row r="21350" spans="8:8">
      <c r="H21350" s="680" t="s">
        <v>6153</v>
      </c>
    </row>
    <row r="21351" spans="8:8">
      <c r="H21351" s="680" t="s">
        <v>6153</v>
      </c>
    </row>
    <row r="21352" spans="8:8">
      <c r="H21352" s="680" t="s">
        <v>6153</v>
      </c>
    </row>
    <row r="21353" spans="8:8">
      <c r="H21353" s="680" t="s">
        <v>6153</v>
      </c>
    </row>
    <row r="21354" spans="8:8">
      <c r="H21354" s="680" t="s">
        <v>6153</v>
      </c>
    </row>
    <row r="21355" spans="8:8">
      <c r="H21355" s="680" t="s">
        <v>6153</v>
      </c>
    </row>
    <row r="21356" spans="8:8">
      <c r="H21356" s="680" t="s">
        <v>6153</v>
      </c>
    </row>
    <row r="21357" spans="8:8">
      <c r="H21357" s="680" t="s">
        <v>6153</v>
      </c>
    </row>
    <row r="21358" spans="8:8">
      <c r="H21358" s="680" t="s">
        <v>6153</v>
      </c>
    </row>
    <row r="21359" spans="8:8">
      <c r="H21359" s="680" t="s">
        <v>6153</v>
      </c>
    </row>
    <row r="21360" spans="8:8">
      <c r="H21360" s="680" t="s">
        <v>6153</v>
      </c>
    </row>
    <row r="21361" spans="8:8">
      <c r="H21361" s="680" t="s">
        <v>6153</v>
      </c>
    </row>
    <row r="21362" spans="8:8">
      <c r="H21362" s="680" t="s">
        <v>6153</v>
      </c>
    </row>
    <row r="21363" spans="8:8">
      <c r="H21363" s="680" t="s">
        <v>6153</v>
      </c>
    </row>
    <row r="21364" spans="8:8">
      <c r="H21364" s="680" t="s">
        <v>6153</v>
      </c>
    </row>
    <row r="21365" spans="8:8">
      <c r="H21365" s="680" t="s">
        <v>6153</v>
      </c>
    </row>
    <row r="21366" spans="8:8">
      <c r="H21366" s="680" t="s">
        <v>6153</v>
      </c>
    </row>
    <row r="21367" spans="8:8">
      <c r="H21367" s="680" t="s">
        <v>6153</v>
      </c>
    </row>
    <row r="21368" spans="8:8">
      <c r="H21368" s="680" t="s">
        <v>6153</v>
      </c>
    </row>
    <row r="21369" spans="8:8">
      <c r="H21369" s="680" t="s">
        <v>6153</v>
      </c>
    </row>
    <row r="21370" spans="8:8">
      <c r="H21370" s="680" t="s">
        <v>6153</v>
      </c>
    </row>
    <row r="21371" spans="8:8">
      <c r="H21371" s="680" t="s">
        <v>6153</v>
      </c>
    </row>
    <row r="21372" spans="8:8">
      <c r="H21372" s="680" t="s">
        <v>6153</v>
      </c>
    </row>
    <row r="21373" spans="8:8">
      <c r="H21373" s="680" t="s">
        <v>6153</v>
      </c>
    </row>
    <row r="21374" spans="8:8">
      <c r="H21374" s="680" t="s">
        <v>6153</v>
      </c>
    </row>
    <row r="21375" spans="8:8">
      <c r="H21375" s="680" t="s">
        <v>6153</v>
      </c>
    </row>
    <row r="21376" spans="8:8">
      <c r="H21376" s="680" t="s">
        <v>6153</v>
      </c>
    </row>
    <row r="21377" spans="8:8">
      <c r="H21377" s="680" t="s">
        <v>6153</v>
      </c>
    </row>
    <row r="21378" spans="8:8">
      <c r="H21378" s="680" t="s">
        <v>6153</v>
      </c>
    </row>
    <row r="21379" spans="8:8">
      <c r="H21379" s="680" t="s">
        <v>6153</v>
      </c>
    </row>
    <row r="21380" spans="8:8">
      <c r="H21380" s="680" t="s">
        <v>6153</v>
      </c>
    </row>
    <row r="21381" spans="8:8">
      <c r="H21381" s="680" t="s">
        <v>6153</v>
      </c>
    </row>
    <row r="21382" spans="8:8">
      <c r="H21382" s="680" t="s">
        <v>6153</v>
      </c>
    </row>
    <row r="21383" spans="8:8">
      <c r="H21383" s="680" t="s">
        <v>6153</v>
      </c>
    </row>
    <row r="21384" spans="8:8">
      <c r="H21384" s="680" t="s">
        <v>6153</v>
      </c>
    </row>
    <row r="21385" spans="8:8">
      <c r="H21385" s="680" t="s">
        <v>6153</v>
      </c>
    </row>
    <row r="21386" spans="8:8">
      <c r="H21386" s="680" t="s">
        <v>6153</v>
      </c>
    </row>
    <row r="21387" spans="8:8">
      <c r="H21387" s="680" t="s">
        <v>6153</v>
      </c>
    </row>
    <row r="21388" spans="8:8">
      <c r="H21388" s="680" t="s">
        <v>6153</v>
      </c>
    </row>
    <row r="21389" spans="8:8">
      <c r="H21389" s="680" t="s">
        <v>6153</v>
      </c>
    </row>
    <row r="21390" spans="8:8">
      <c r="H21390" s="680" t="s">
        <v>6153</v>
      </c>
    </row>
    <row r="21391" spans="8:8">
      <c r="H21391" s="680" t="s">
        <v>6153</v>
      </c>
    </row>
    <row r="21392" spans="8:8">
      <c r="H21392" s="680" t="s">
        <v>6153</v>
      </c>
    </row>
    <row r="21393" spans="8:8">
      <c r="H21393" s="680" t="s">
        <v>6153</v>
      </c>
    </row>
    <row r="21394" spans="8:8">
      <c r="H21394" s="680" t="s">
        <v>6153</v>
      </c>
    </row>
    <row r="21395" spans="8:8">
      <c r="H21395" s="680" t="s">
        <v>6153</v>
      </c>
    </row>
    <row r="21396" spans="8:8">
      <c r="H21396" s="680" t="s">
        <v>6153</v>
      </c>
    </row>
    <row r="21397" spans="8:8">
      <c r="H21397" s="680" t="s">
        <v>6153</v>
      </c>
    </row>
    <row r="21398" spans="8:8">
      <c r="H21398" s="680" t="s">
        <v>6153</v>
      </c>
    </row>
    <row r="21399" spans="8:8">
      <c r="H21399" s="680" t="s">
        <v>6153</v>
      </c>
    </row>
    <row r="21400" spans="8:8">
      <c r="H21400" s="680" t="s">
        <v>6153</v>
      </c>
    </row>
    <row r="21401" spans="8:8">
      <c r="H21401" s="680" t="s">
        <v>6153</v>
      </c>
    </row>
    <row r="21402" spans="8:8">
      <c r="H21402" s="680" t="s">
        <v>6153</v>
      </c>
    </row>
    <row r="21403" spans="8:8">
      <c r="H21403" s="680" t="s">
        <v>6153</v>
      </c>
    </row>
    <row r="21404" spans="8:8">
      <c r="H21404" s="680" t="s">
        <v>6153</v>
      </c>
    </row>
    <row r="21405" spans="8:8">
      <c r="H21405" s="680" t="s">
        <v>6153</v>
      </c>
    </row>
    <row r="21406" spans="8:8">
      <c r="H21406" s="680" t="s">
        <v>6153</v>
      </c>
    </row>
    <row r="21407" spans="8:8">
      <c r="H21407" s="680" t="s">
        <v>6153</v>
      </c>
    </row>
    <row r="21408" spans="8:8">
      <c r="H21408" s="680" t="s">
        <v>6153</v>
      </c>
    </row>
    <row r="21409" spans="8:8">
      <c r="H21409" s="680" t="s">
        <v>6153</v>
      </c>
    </row>
    <row r="21410" spans="8:8">
      <c r="H21410" s="680" t="s">
        <v>6153</v>
      </c>
    </row>
    <row r="21411" spans="8:8">
      <c r="H21411" s="680" t="s">
        <v>6153</v>
      </c>
    </row>
    <row r="21412" spans="8:8">
      <c r="H21412" s="680" t="s">
        <v>6153</v>
      </c>
    </row>
    <row r="21413" spans="8:8">
      <c r="H21413" s="680" t="s">
        <v>6153</v>
      </c>
    </row>
    <row r="21414" spans="8:8">
      <c r="H21414" s="680" t="s">
        <v>6153</v>
      </c>
    </row>
    <row r="21415" spans="8:8">
      <c r="H21415" s="680" t="s">
        <v>6153</v>
      </c>
    </row>
    <row r="21416" spans="8:8">
      <c r="H21416" s="680" t="s">
        <v>6153</v>
      </c>
    </row>
    <row r="21417" spans="8:8">
      <c r="H21417" s="680" t="s">
        <v>6153</v>
      </c>
    </row>
    <row r="21418" spans="8:8">
      <c r="H21418" s="680" t="s">
        <v>6153</v>
      </c>
    </row>
    <row r="21419" spans="8:8">
      <c r="H21419" s="680" t="s">
        <v>6153</v>
      </c>
    </row>
    <row r="21420" spans="8:8">
      <c r="H21420" s="680" t="s">
        <v>6153</v>
      </c>
    </row>
    <row r="21421" spans="8:8">
      <c r="H21421" s="680" t="s">
        <v>6153</v>
      </c>
    </row>
    <row r="21422" spans="8:8">
      <c r="H21422" s="680" t="s">
        <v>6153</v>
      </c>
    </row>
    <row r="21423" spans="8:8">
      <c r="H21423" s="680" t="s">
        <v>6153</v>
      </c>
    </row>
    <row r="21424" spans="8:8">
      <c r="H21424" s="680" t="s">
        <v>6153</v>
      </c>
    </row>
    <row r="21425" spans="8:8">
      <c r="H21425" s="680" t="s">
        <v>6153</v>
      </c>
    </row>
    <row r="21426" spans="8:8">
      <c r="H21426" s="680" t="s">
        <v>6153</v>
      </c>
    </row>
    <row r="21427" spans="8:8">
      <c r="H21427" s="680" t="s">
        <v>6153</v>
      </c>
    </row>
    <row r="21428" spans="8:8">
      <c r="H21428" s="680" t="s">
        <v>6153</v>
      </c>
    </row>
    <row r="21429" spans="8:8">
      <c r="H21429" s="680" t="s">
        <v>6153</v>
      </c>
    </row>
    <row r="21430" spans="8:8">
      <c r="H21430" s="680" t="s">
        <v>6153</v>
      </c>
    </row>
    <row r="21431" spans="8:8">
      <c r="H21431" s="680" t="s">
        <v>6153</v>
      </c>
    </row>
    <row r="21432" spans="8:8">
      <c r="H21432" s="680" t="s">
        <v>6153</v>
      </c>
    </row>
    <row r="21433" spans="8:8">
      <c r="H21433" s="680" t="s">
        <v>6153</v>
      </c>
    </row>
    <row r="21434" spans="8:8">
      <c r="H21434" s="680" t="s">
        <v>6153</v>
      </c>
    </row>
    <row r="21435" spans="8:8">
      <c r="H21435" s="680" t="s">
        <v>6153</v>
      </c>
    </row>
    <row r="21436" spans="8:8">
      <c r="H21436" s="680" t="s">
        <v>6153</v>
      </c>
    </row>
    <row r="21437" spans="8:8">
      <c r="H21437" s="680" t="s">
        <v>6153</v>
      </c>
    </row>
    <row r="21438" spans="8:8">
      <c r="H21438" s="680" t="s">
        <v>6153</v>
      </c>
    </row>
    <row r="21439" spans="8:8">
      <c r="H21439" s="680" t="s">
        <v>6153</v>
      </c>
    </row>
    <row r="21440" spans="8:8">
      <c r="H21440" s="680" t="s">
        <v>6153</v>
      </c>
    </row>
    <row r="21441" spans="8:8">
      <c r="H21441" s="680" t="s">
        <v>6153</v>
      </c>
    </row>
    <row r="21442" spans="8:8">
      <c r="H21442" s="680" t="s">
        <v>6153</v>
      </c>
    </row>
    <row r="21443" spans="8:8">
      <c r="H21443" s="680" t="s">
        <v>6153</v>
      </c>
    </row>
    <row r="21444" spans="8:8">
      <c r="H21444" s="680" t="s">
        <v>6153</v>
      </c>
    </row>
    <row r="21445" spans="8:8">
      <c r="H21445" s="680" t="s">
        <v>6153</v>
      </c>
    </row>
    <row r="21446" spans="8:8">
      <c r="H21446" s="680" t="s">
        <v>6153</v>
      </c>
    </row>
    <row r="21447" spans="8:8">
      <c r="H21447" s="680" t="s">
        <v>6153</v>
      </c>
    </row>
    <row r="21448" spans="8:8">
      <c r="H21448" s="680" t="s">
        <v>6153</v>
      </c>
    </row>
    <row r="21449" spans="8:8">
      <c r="H21449" s="680" t="s">
        <v>6153</v>
      </c>
    </row>
    <row r="21450" spans="8:8">
      <c r="H21450" s="680" t="s">
        <v>6153</v>
      </c>
    </row>
    <row r="21451" spans="8:8">
      <c r="H21451" s="680" t="s">
        <v>6153</v>
      </c>
    </row>
    <row r="21452" spans="8:8">
      <c r="H21452" s="680" t="s">
        <v>6153</v>
      </c>
    </row>
    <row r="21453" spans="8:8">
      <c r="H21453" s="680" t="s">
        <v>6153</v>
      </c>
    </row>
    <row r="21454" spans="8:8">
      <c r="H21454" s="680" t="s">
        <v>6153</v>
      </c>
    </row>
    <row r="21455" spans="8:8">
      <c r="H21455" s="680" t="s">
        <v>6153</v>
      </c>
    </row>
    <row r="21456" spans="8:8">
      <c r="H21456" s="680" t="s">
        <v>6153</v>
      </c>
    </row>
    <row r="21457" spans="8:8">
      <c r="H21457" s="680" t="s">
        <v>6153</v>
      </c>
    </row>
    <row r="21458" spans="8:8">
      <c r="H21458" s="680" t="s">
        <v>6153</v>
      </c>
    </row>
    <row r="21459" spans="8:8">
      <c r="H21459" s="680" t="s">
        <v>6153</v>
      </c>
    </row>
    <row r="21460" spans="8:8">
      <c r="H21460" s="680" t="s">
        <v>6153</v>
      </c>
    </row>
    <row r="21461" spans="8:8">
      <c r="H21461" s="680" t="s">
        <v>6153</v>
      </c>
    </row>
    <row r="21462" spans="8:8">
      <c r="H21462" s="680" t="s">
        <v>6153</v>
      </c>
    </row>
    <row r="21463" spans="8:8">
      <c r="H21463" s="680" t="s">
        <v>6153</v>
      </c>
    </row>
    <row r="21464" spans="8:8">
      <c r="H21464" s="680" t="s">
        <v>6153</v>
      </c>
    </row>
    <row r="21465" spans="8:8">
      <c r="H21465" s="680" t="s">
        <v>6153</v>
      </c>
    </row>
    <row r="21466" spans="8:8">
      <c r="H21466" s="680" t="s">
        <v>6153</v>
      </c>
    </row>
    <row r="21467" spans="8:8">
      <c r="H21467" s="680" t="s">
        <v>6153</v>
      </c>
    </row>
    <row r="21468" spans="8:8">
      <c r="H21468" s="680" t="s">
        <v>6153</v>
      </c>
    </row>
    <row r="21469" spans="8:8">
      <c r="H21469" s="680" t="s">
        <v>6153</v>
      </c>
    </row>
    <row r="21470" spans="8:8">
      <c r="H21470" s="680" t="s">
        <v>6153</v>
      </c>
    </row>
    <row r="21471" spans="8:8">
      <c r="H21471" s="680" t="s">
        <v>6153</v>
      </c>
    </row>
    <row r="21472" spans="8:8">
      <c r="H21472" s="680" t="s">
        <v>6153</v>
      </c>
    </row>
    <row r="21473" spans="8:8">
      <c r="H21473" s="680" t="s">
        <v>6153</v>
      </c>
    </row>
    <row r="21474" spans="8:8">
      <c r="H21474" s="680" t="s">
        <v>6153</v>
      </c>
    </row>
    <row r="21475" spans="8:8">
      <c r="H21475" s="680" t="s">
        <v>6153</v>
      </c>
    </row>
    <row r="21476" spans="8:8">
      <c r="H21476" s="680" t="s">
        <v>6153</v>
      </c>
    </row>
    <row r="21477" spans="8:8">
      <c r="H21477" s="680" t="s">
        <v>6153</v>
      </c>
    </row>
    <row r="21478" spans="8:8">
      <c r="H21478" s="680" t="s">
        <v>6153</v>
      </c>
    </row>
    <row r="21479" spans="8:8">
      <c r="H21479" s="680" t="s">
        <v>6153</v>
      </c>
    </row>
    <row r="21480" spans="8:8">
      <c r="H21480" s="680" t="s">
        <v>6153</v>
      </c>
    </row>
    <row r="21481" spans="8:8">
      <c r="H21481" s="680" t="s">
        <v>6153</v>
      </c>
    </row>
    <row r="21482" spans="8:8">
      <c r="H21482" s="680" t="s">
        <v>6153</v>
      </c>
    </row>
    <row r="21483" spans="8:8">
      <c r="H21483" s="680" t="s">
        <v>6153</v>
      </c>
    </row>
    <row r="21484" spans="8:8">
      <c r="H21484" s="680" t="s">
        <v>6153</v>
      </c>
    </row>
    <row r="21485" spans="8:8">
      <c r="H21485" s="680" t="s">
        <v>6153</v>
      </c>
    </row>
    <row r="21486" spans="8:8">
      <c r="H21486" s="680" t="s">
        <v>6153</v>
      </c>
    </row>
    <row r="21487" spans="8:8">
      <c r="H21487" s="680" t="s">
        <v>6153</v>
      </c>
    </row>
    <row r="21488" spans="8:8">
      <c r="H21488" s="680" t="s">
        <v>6153</v>
      </c>
    </row>
    <row r="21489" spans="8:8">
      <c r="H21489" s="680" t="s">
        <v>6153</v>
      </c>
    </row>
    <row r="21490" spans="8:8">
      <c r="H21490" s="680" t="s">
        <v>6153</v>
      </c>
    </row>
    <row r="21491" spans="8:8">
      <c r="H21491" s="680" t="s">
        <v>6153</v>
      </c>
    </row>
    <row r="21492" spans="8:8">
      <c r="H21492" s="680" t="s">
        <v>6153</v>
      </c>
    </row>
    <row r="21493" spans="8:8">
      <c r="H21493" s="680" t="s">
        <v>6153</v>
      </c>
    </row>
    <row r="21494" spans="8:8">
      <c r="H21494" s="680" t="s">
        <v>6153</v>
      </c>
    </row>
    <row r="21495" spans="8:8">
      <c r="H21495" s="680" t="s">
        <v>6153</v>
      </c>
    </row>
    <row r="21496" spans="8:8">
      <c r="H21496" s="680" t="s">
        <v>6153</v>
      </c>
    </row>
    <row r="21497" spans="8:8">
      <c r="H21497" s="680" t="s">
        <v>6153</v>
      </c>
    </row>
    <row r="21498" spans="8:8">
      <c r="H21498" s="680" t="s">
        <v>6153</v>
      </c>
    </row>
    <row r="21499" spans="8:8">
      <c r="H21499" s="680" t="s">
        <v>6153</v>
      </c>
    </row>
    <row r="21500" spans="8:8">
      <c r="H21500" s="680" t="s">
        <v>6153</v>
      </c>
    </row>
    <row r="21501" spans="8:8">
      <c r="H21501" s="680" t="s">
        <v>6153</v>
      </c>
    </row>
    <row r="21502" spans="8:8">
      <c r="H21502" s="680" t="s">
        <v>6153</v>
      </c>
    </row>
    <row r="21503" spans="8:8">
      <c r="H21503" s="680" t="s">
        <v>6153</v>
      </c>
    </row>
    <row r="21504" spans="8:8">
      <c r="H21504" s="680" t="s">
        <v>6153</v>
      </c>
    </row>
    <row r="21505" spans="8:8">
      <c r="H21505" s="680" t="s">
        <v>6153</v>
      </c>
    </row>
    <row r="21506" spans="8:8">
      <c r="H21506" s="680" t="s">
        <v>6153</v>
      </c>
    </row>
    <row r="21507" spans="8:8">
      <c r="H21507" s="680" t="s">
        <v>6153</v>
      </c>
    </row>
    <row r="21508" spans="8:8">
      <c r="H21508" s="680" t="s">
        <v>6153</v>
      </c>
    </row>
    <row r="21509" spans="8:8">
      <c r="H21509" s="680" t="s">
        <v>6153</v>
      </c>
    </row>
    <row r="21510" spans="8:8">
      <c r="H21510" s="680" t="s">
        <v>6153</v>
      </c>
    </row>
    <row r="21511" spans="8:8">
      <c r="H21511" s="680" t="s">
        <v>6153</v>
      </c>
    </row>
    <row r="21512" spans="8:8">
      <c r="H21512" s="680" t="s">
        <v>6153</v>
      </c>
    </row>
    <row r="21513" spans="8:8">
      <c r="H21513" s="680" t="s">
        <v>6153</v>
      </c>
    </row>
    <row r="21514" spans="8:8">
      <c r="H21514" s="680" t="s">
        <v>6153</v>
      </c>
    </row>
    <row r="21515" spans="8:8">
      <c r="H21515" s="680" t="s">
        <v>6153</v>
      </c>
    </row>
    <row r="21516" spans="8:8">
      <c r="H21516" s="680" t="s">
        <v>6153</v>
      </c>
    </row>
    <row r="21517" spans="8:8">
      <c r="H21517" s="680" t="s">
        <v>6153</v>
      </c>
    </row>
    <row r="21518" spans="8:8">
      <c r="H21518" s="680" t="s">
        <v>6153</v>
      </c>
    </row>
    <row r="21519" spans="8:8">
      <c r="H21519" s="680" t="s">
        <v>6153</v>
      </c>
    </row>
    <row r="21520" spans="8:8">
      <c r="H21520" s="680" t="s">
        <v>6153</v>
      </c>
    </row>
    <row r="21521" spans="8:8">
      <c r="H21521" s="680" t="s">
        <v>6153</v>
      </c>
    </row>
    <row r="21522" spans="8:8">
      <c r="H21522" s="680" t="s">
        <v>6153</v>
      </c>
    </row>
    <row r="21523" spans="8:8">
      <c r="H21523" s="680" t="s">
        <v>6153</v>
      </c>
    </row>
    <row r="21524" spans="8:8">
      <c r="H21524" s="680" t="s">
        <v>6153</v>
      </c>
    </row>
    <row r="21525" spans="8:8">
      <c r="H21525" s="680" t="s">
        <v>6153</v>
      </c>
    </row>
    <row r="21526" spans="8:8">
      <c r="H21526" s="680" t="s">
        <v>6153</v>
      </c>
    </row>
    <row r="21527" spans="8:8">
      <c r="H21527" s="680" t="s">
        <v>6153</v>
      </c>
    </row>
    <row r="21528" spans="8:8">
      <c r="H21528" s="680" t="s">
        <v>6153</v>
      </c>
    </row>
    <row r="21529" spans="8:8">
      <c r="H21529" s="680" t="s">
        <v>6153</v>
      </c>
    </row>
    <row r="21530" spans="8:8">
      <c r="H21530" s="680" t="s">
        <v>6153</v>
      </c>
    </row>
    <row r="21531" spans="8:8">
      <c r="H21531" s="680" t="s">
        <v>6153</v>
      </c>
    </row>
    <row r="21532" spans="8:8">
      <c r="H21532" s="680" t="s">
        <v>6153</v>
      </c>
    </row>
    <row r="21533" spans="8:8">
      <c r="H21533" s="680" t="s">
        <v>6153</v>
      </c>
    </row>
    <row r="21534" spans="8:8">
      <c r="H21534" s="680" t="s">
        <v>6153</v>
      </c>
    </row>
    <row r="21535" spans="8:8">
      <c r="H21535" s="680" t="s">
        <v>6153</v>
      </c>
    </row>
    <row r="21536" spans="8:8">
      <c r="H21536" s="680" t="s">
        <v>6153</v>
      </c>
    </row>
    <row r="21537" spans="8:8">
      <c r="H21537" s="680" t="s">
        <v>6153</v>
      </c>
    </row>
    <row r="21538" spans="8:8">
      <c r="H21538" s="680" t="s">
        <v>6153</v>
      </c>
    </row>
    <row r="21539" spans="8:8">
      <c r="H21539" s="680" t="s">
        <v>6153</v>
      </c>
    </row>
    <row r="21540" spans="8:8">
      <c r="H21540" s="680" t="s">
        <v>6153</v>
      </c>
    </row>
    <row r="21541" spans="8:8">
      <c r="H21541" s="680" t="s">
        <v>6153</v>
      </c>
    </row>
    <row r="21542" spans="8:8">
      <c r="H21542" s="680" t="s">
        <v>6153</v>
      </c>
    </row>
    <row r="21543" spans="8:8">
      <c r="H21543" s="680" t="s">
        <v>6153</v>
      </c>
    </row>
    <row r="21544" spans="8:8">
      <c r="H21544" s="680" t="s">
        <v>6153</v>
      </c>
    </row>
    <row r="21545" spans="8:8">
      <c r="H21545" s="680" t="s">
        <v>6153</v>
      </c>
    </row>
    <row r="21546" spans="8:8">
      <c r="H21546" s="680" t="s">
        <v>6153</v>
      </c>
    </row>
    <row r="21547" spans="8:8">
      <c r="H21547" s="680" t="s">
        <v>6153</v>
      </c>
    </row>
    <row r="21548" spans="8:8">
      <c r="H21548" s="680" t="s">
        <v>6153</v>
      </c>
    </row>
    <row r="21549" spans="8:8">
      <c r="H21549" s="680" t="s">
        <v>6153</v>
      </c>
    </row>
    <row r="21550" spans="8:8">
      <c r="H21550" s="680" t="s">
        <v>6153</v>
      </c>
    </row>
    <row r="21551" spans="8:8">
      <c r="H21551" s="680" t="s">
        <v>6153</v>
      </c>
    </row>
    <row r="21552" spans="8:8">
      <c r="H21552" s="680" t="s">
        <v>6153</v>
      </c>
    </row>
    <row r="21553" spans="8:8">
      <c r="H21553" s="680" t="s">
        <v>6153</v>
      </c>
    </row>
    <row r="21554" spans="8:8">
      <c r="H21554" s="680" t="s">
        <v>6153</v>
      </c>
    </row>
    <row r="21555" spans="8:8">
      <c r="H21555" s="680" t="s">
        <v>6153</v>
      </c>
    </row>
    <row r="21556" spans="8:8">
      <c r="H21556" s="680" t="s">
        <v>6153</v>
      </c>
    </row>
    <row r="21557" spans="8:8">
      <c r="H21557" s="680" t="s">
        <v>6153</v>
      </c>
    </row>
    <row r="21558" spans="8:8">
      <c r="H21558" s="680" t="s">
        <v>6153</v>
      </c>
    </row>
    <row r="21559" spans="8:8">
      <c r="H21559" s="680" t="s">
        <v>6153</v>
      </c>
    </row>
    <row r="21560" spans="8:8">
      <c r="H21560" s="680" t="s">
        <v>6153</v>
      </c>
    </row>
    <row r="21561" spans="8:8">
      <c r="H21561" s="680" t="s">
        <v>6153</v>
      </c>
    </row>
    <row r="21562" spans="8:8">
      <c r="H21562" s="680" t="s">
        <v>6153</v>
      </c>
    </row>
    <row r="21563" spans="8:8">
      <c r="H21563" s="680" t="s">
        <v>6153</v>
      </c>
    </row>
    <row r="21564" spans="8:8">
      <c r="H21564" s="680" t="s">
        <v>6153</v>
      </c>
    </row>
    <row r="21565" spans="8:8">
      <c r="H21565" s="680" t="s">
        <v>6153</v>
      </c>
    </row>
    <row r="21566" spans="8:8">
      <c r="H21566" s="680" t="s">
        <v>6153</v>
      </c>
    </row>
    <row r="21567" spans="8:8">
      <c r="H21567" s="680" t="s">
        <v>6153</v>
      </c>
    </row>
    <row r="21568" spans="8:8">
      <c r="H21568" s="680" t="s">
        <v>6153</v>
      </c>
    </row>
    <row r="21569" spans="8:8">
      <c r="H21569" s="680" t="s">
        <v>6153</v>
      </c>
    </row>
    <row r="21570" spans="8:8">
      <c r="H21570" s="680" t="s">
        <v>6153</v>
      </c>
    </row>
    <row r="21571" spans="8:8">
      <c r="H21571" s="680" t="s">
        <v>6153</v>
      </c>
    </row>
    <row r="21572" spans="8:8">
      <c r="H21572" s="680" t="s">
        <v>6153</v>
      </c>
    </row>
    <row r="21573" spans="8:8">
      <c r="H21573" s="680" t="s">
        <v>6153</v>
      </c>
    </row>
    <row r="21574" spans="8:8">
      <c r="H21574" s="680" t="s">
        <v>6153</v>
      </c>
    </row>
    <row r="21575" spans="8:8">
      <c r="H21575" s="680" t="s">
        <v>6153</v>
      </c>
    </row>
    <row r="21576" spans="8:8">
      <c r="H21576" s="680" t="s">
        <v>6153</v>
      </c>
    </row>
    <row r="21577" spans="8:8">
      <c r="H21577" s="680" t="s">
        <v>6153</v>
      </c>
    </row>
    <row r="21578" spans="8:8">
      <c r="H21578" s="680" t="s">
        <v>6153</v>
      </c>
    </row>
    <row r="21579" spans="8:8">
      <c r="H21579" s="680" t="s">
        <v>6153</v>
      </c>
    </row>
    <row r="21580" spans="8:8">
      <c r="H21580" s="680" t="s">
        <v>6153</v>
      </c>
    </row>
    <row r="21581" spans="8:8">
      <c r="H21581" s="680" t="s">
        <v>6153</v>
      </c>
    </row>
    <row r="21582" spans="8:8">
      <c r="H21582" s="680" t="s">
        <v>6153</v>
      </c>
    </row>
    <row r="21583" spans="8:8">
      <c r="H21583" s="680" t="s">
        <v>6153</v>
      </c>
    </row>
    <row r="21584" spans="8:8">
      <c r="H21584" s="680" t="s">
        <v>6153</v>
      </c>
    </row>
    <row r="21585" spans="8:8">
      <c r="H21585" s="680" t="s">
        <v>6153</v>
      </c>
    </row>
    <row r="21586" spans="8:8">
      <c r="H21586" s="680" t="s">
        <v>6153</v>
      </c>
    </row>
    <row r="21587" spans="8:8">
      <c r="H21587" s="680" t="s">
        <v>6153</v>
      </c>
    </row>
    <row r="21588" spans="8:8">
      <c r="H21588" s="680" t="s">
        <v>6153</v>
      </c>
    </row>
    <row r="21589" spans="8:8">
      <c r="H21589" s="680" t="s">
        <v>6153</v>
      </c>
    </row>
    <row r="21590" spans="8:8">
      <c r="H21590" s="680" t="s">
        <v>6153</v>
      </c>
    </row>
    <row r="21591" spans="8:8">
      <c r="H21591" s="680" t="s">
        <v>6153</v>
      </c>
    </row>
    <row r="21592" spans="8:8">
      <c r="H21592" s="680" t="s">
        <v>6153</v>
      </c>
    </row>
    <row r="21593" spans="8:8">
      <c r="H21593" s="680" t="s">
        <v>6153</v>
      </c>
    </row>
    <row r="21594" spans="8:8">
      <c r="H21594" s="680" t="s">
        <v>6153</v>
      </c>
    </row>
    <row r="21595" spans="8:8">
      <c r="H21595" s="680" t="s">
        <v>6153</v>
      </c>
    </row>
    <row r="21596" spans="8:8">
      <c r="H21596" s="680" t="s">
        <v>6153</v>
      </c>
    </row>
    <row r="21597" spans="8:8">
      <c r="H21597" s="680" t="s">
        <v>6153</v>
      </c>
    </row>
    <row r="21598" spans="8:8">
      <c r="H21598" s="680" t="s">
        <v>6153</v>
      </c>
    </row>
    <row r="21599" spans="8:8">
      <c r="H21599" s="680" t="s">
        <v>6153</v>
      </c>
    </row>
    <row r="21600" spans="8:8">
      <c r="H21600" s="680" t="s">
        <v>6153</v>
      </c>
    </row>
    <row r="21601" spans="8:8">
      <c r="H21601" s="680" t="s">
        <v>6153</v>
      </c>
    </row>
    <row r="21602" spans="8:8">
      <c r="H21602" s="680" t="s">
        <v>6153</v>
      </c>
    </row>
    <row r="21603" spans="8:8">
      <c r="H21603" s="680" t="s">
        <v>6153</v>
      </c>
    </row>
    <row r="21604" spans="8:8">
      <c r="H21604" s="680" t="s">
        <v>6153</v>
      </c>
    </row>
    <row r="21605" spans="8:8">
      <c r="H21605" s="680" t="s">
        <v>6153</v>
      </c>
    </row>
    <row r="21606" spans="8:8">
      <c r="H21606" s="680" t="s">
        <v>6153</v>
      </c>
    </row>
    <row r="21607" spans="8:8">
      <c r="H21607" s="680" t="s">
        <v>6153</v>
      </c>
    </row>
    <row r="21608" spans="8:8">
      <c r="H21608" s="680" t="s">
        <v>6153</v>
      </c>
    </row>
    <row r="21609" spans="8:8">
      <c r="H21609" s="680" t="s">
        <v>6153</v>
      </c>
    </row>
    <row r="21610" spans="8:8">
      <c r="H21610" s="680" t="s">
        <v>6153</v>
      </c>
    </row>
    <row r="21611" spans="8:8">
      <c r="H21611" s="680" t="s">
        <v>6153</v>
      </c>
    </row>
    <row r="21612" spans="8:8">
      <c r="H21612" s="680" t="s">
        <v>6153</v>
      </c>
    </row>
    <row r="21613" spans="8:8">
      <c r="H21613" s="680" t="s">
        <v>6153</v>
      </c>
    </row>
    <row r="21614" spans="8:8">
      <c r="H21614" s="680" t="s">
        <v>6153</v>
      </c>
    </row>
    <row r="21615" spans="8:8">
      <c r="H21615" s="680" t="s">
        <v>6153</v>
      </c>
    </row>
    <row r="21616" spans="8:8">
      <c r="H21616" s="680" t="s">
        <v>6153</v>
      </c>
    </row>
    <row r="21617" spans="8:8">
      <c r="H21617" s="680" t="s">
        <v>6153</v>
      </c>
    </row>
    <row r="21618" spans="8:8">
      <c r="H21618" s="680" t="s">
        <v>6153</v>
      </c>
    </row>
    <row r="21619" spans="8:8">
      <c r="H21619" s="680" t="s">
        <v>6153</v>
      </c>
    </row>
    <row r="21620" spans="8:8">
      <c r="H21620" s="680" t="s">
        <v>6153</v>
      </c>
    </row>
    <row r="21621" spans="8:8">
      <c r="H21621" s="680" t="s">
        <v>6153</v>
      </c>
    </row>
    <row r="21622" spans="8:8">
      <c r="H21622" s="680" t="s">
        <v>6153</v>
      </c>
    </row>
    <row r="21623" spans="8:8">
      <c r="H21623" s="680" t="s">
        <v>6153</v>
      </c>
    </row>
    <row r="21624" spans="8:8">
      <c r="H21624" s="680" t="s">
        <v>6153</v>
      </c>
    </row>
    <row r="21625" spans="8:8">
      <c r="H21625" s="680" t="s">
        <v>6153</v>
      </c>
    </row>
    <row r="21626" spans="8:8">
      <c r="H21626" s="680" t="s">
        <v>6153</v>
      </c>
    </row>
    <row r="21627" spans="8:8">
      <c r="H21627" s="680" t="s">
        <v>6153</v>
      </c>
    </row>
    <row r="21628" spans="8:8">
      <c r="H21628" s="680" t="s">
        <v>6153</v>
      </c>
    </row>
    <row r="21629" spans="8:8">
      <c r="H21629" s="680" t="s">
        <v>6153</v>
      </c>
    </row>
    <row r="21630" spans="8:8">
      <c r="H21630" s="680" t="s">
        <v>6153</v>
      </c>
    </row>
    <row r="21631" spans="8:8">
      <c r="H21631" s="680" t="s">
        <v>6153</v>
      </c>
    </row>
    <row r="21632" spans="8:8">
      <c r="H21632" s="680" t="s">
        <v>6153</v>
      </c>
    </row>
    <row r="21633" spans="8:8">
      <c r="H21633" s="680" t="s">
        <v>6153</v>
      </c>
    </row>
    <row r="21634" spans="8:8">
      <c r="H21634" s="680" t="s">
        <v>6153</v>
      </c>
    </row>
    <row r="21635" spans="8:8">
      <c r="H21635" s="680" t="s">
        <v>6153</v>
      </c>
    </row>
    <row r="21636" spans="8:8">
      <c r="H21636" s="680" t="s">
        <v>6153</v>
      </c>
    </row>
    <row r="21637" spans="8:8">
      <c r="H21637" s="680" t="s">
        <v>6153</v>
      </c>
    </row>
    <row r="21638" spans="8:8">
      <c r="H21638" s="680" t="s">
        <v>6153</v>
      </c>
    </row>
    <row r="21639" spans="8:8">
      <c r="H21639" s="680" t="s">
        <v>6153</v>
      </c>
    </row>
    <row r="21640" spans="8:8">
      <c r="H21640" s="680" t="s">
        <v>6153</v>
      </c>
    </row>
    <row r="21641" spans="8:8">
      <c r="H21641" s="680" t="s">
        <v>6153</v>
      </c>
    </row>
    <row r="21642" spans="8:8">
      <c r="H21642" s="680" t="s">
        <v>6153</v>
      </c>
    </row>
    <row r="21643" spans="8:8">
      <c r="H21643" s="680" t="s">
        <v>6153</v>
      </c>
    </row>
    <row r="21644" spans="8:8">
      <c r="H21644" s="680" t="s">
        <v>6153</v>
      </c>
    </row>
    <row r="21645" spans="8:8">
      <c r="H21645" s="680" t="s">
        <v>6153</v>
      </c>
    </row>
    <row r="21646" spans="8:8">
      <c r="H21646" s="680" t="s">
        <v>6153</v>
      </c>
    </row>
    <row r="21647" spans="8:8">
      <c r="H21647" s="680" t="s">
        <v>6153</v>
      </c>
    </row>
    <row r="21648" spans="8:8">
      <c r="H21648" s="680" t="s">
        <v>6153</v>
      </c>
    </row>
    <row r="21649" spans="8:8">
      <c r="H21649" s="680" t="s">
        <v>6153</v>
      </c>
    </row>
    <row r="21650" spans="8:8">
      <c r="H21650" s="680" t="s">
        <v>6153</v>
      </c>
    </row>
    <row r="21651" spans="8:8">
      <c r="H21651" s="680" t="s">
        <v>6153</v>
      </c>
    </row>
    <row r="21652" spans="8:8">
      <c r="H21652" s="680" t="s">
        <v>6153</v>
      </c>
    </row>
    <row r="21653" spans="8:8">
      <c r="H21653" s="680" t="s">
        <v>6153</v>
      </c>
    </row>
    <row r="21654" spans="8:8">
      <c r="H21654" s="680" t="s">
        <v>6153</v>
      </c>
    </row>
    <row r="21655" spans="8:8">
      <c r="H21655" s="680" t="s">
        <v>6153</v>
      </c>
    </row>
    <row r="21656" spans="8:8">
      <c r="H21656" s="680" t="s">
        <v>6153</v>
      </c>
    </row>
    <row r="21657" spans="8:8">
      <c r="H21657" s="680" t="s">
        <v>6153</v>
      </c>
    </row>
    <row r="21658" spans="8:8">
      <c r="H21658" s="680" t="s">
        <v>6153</v>
      </c>
    </row>
    <row r="21659" spans="8:8">
      <c r="H21659" s="680" t="s">
        <v>6153</v>
      </c>
    </row>
    <row r="21660" spans="8:8">
      <c r="H21660" s="680" t="s">
        <v>6153</v>
      </c>
    </row>
    <row r="21661" spans="8:8">
      <c r="H21661" s="680" t="s">
        <v>6153</v>
      </c>
    </row>
    <row r="21662" spans="8:8">
      <c r="H21662" s="680" t="s">
        <v>6153</v>
      </c>
    </row>
    <row r="21663" spans="8:8">
      <c r="H21663" s="680" t="s">
        <v>6153</v>
      </c>
    </row>
    <row r="21664" spans="8:8">
      <c r="H21664" s="680" t="s">
        <v>6153</v>
      </c>
    </row>
    <row r="21665" spans="8:8">
      <c r="H21665" s="680" t="s">
        <v>6153</v>
      </c>
    </row>
    <row r="21666" spans="8:8">
      <c r="H21666" s="680" t="s">
        <v>6153</v>
      </c>
    </row>
    <row r="21667" spans="8:8">
      <c r="H21667" s="680" t="s">
        <v>6153</v>
      </c>
    </row>
    <row r="21668" spans="8:8">
      <c r="H21668" s="680" t="s">
        <v>6153</v>
      </c>
    </row>
    <row r="21669" spans="8:8">
      <c r="H21669" s="680" t="s">
        <v>6153</v>
      </c>
    </row>
    <row r="21670" spans="8:8">
      <c r="H21670" s="680" t="s">
        <v>6153</v>
      </c>
    </row>
    <row r="21671" spans="8:8">
      <c r="H21671" s="680" t="s">
        <v>6153</v>
      </c>
    </row>
    <row r="21672" spans="8:8">
      <c r="H21672" s="680" t="s">
        <v>6153</v>
      </c>
    </row>
    <row r="21673" spans="8:8">
      <c r="H21673" s="680" t="s">
        <v>6153</v>
      </c>
    </row>
    <row r="21674" spans="8:8">
      <c r="H21674" s="680" t="s">
        <v>6153</v>
      </c>
    </row>
    <row r="21675" spans="8:8">
      <c r="H21675" s="680" t="s">
        <v>6153</v>
      </c>
    </row>
    <row r="21676" spans="8:8">
      <c r="H21676" s="680" t="s">
        <v>6153</v>
      </c>
    </row>
    <row r="21677" spans="8:8">
      <c r="H21677" s="680" t="s">
        <v>6153</v>
      </c>
    </row>
    <row r="21678" spans="8:8">
      <c r="H21678" s="680" t="s">
        <v>6153</v>
      </c>
    </row>
    <row r="21679" spans="8:8">
      <c r="H21679" s="680" t="s">
        <v>6153</v>
      </c>
    </row>
    <row r="21680" spans="8:8">
      <c r="H21680" s="680" t="s">
        <v>6153</v>
      </c>
    </row>
    <row r="21681" spans="8:8">
      <c r="H21681" s="680" t="s">
        <v>6153</v>
      </c>
    </row>
    <row r="21682" spans="8:8">
      <c r="H21682" s="680" t="s">
        <v>6153</v>
      </c>
    </row>
    <row r="21683" spans="8:8">
      <c r="H21683" s="680" t="s">
        <v>6153</v>
      </c>
    </row>
    <row r="21684" spans="8:8">
      <c r="H21684" s="680" t="s">
        <v>6153</v>
      </c>
    </row>
    <row r="21685" spans="8:8">
      <c r="H21685" s="680" t="s">
        <v>6153</v>
      </c>
    </row>
    <row r="21686" spans="8:8">
      <c r="H21686" s="680" t="s">
        <v>6153</v>
      </c>
    </row>
    <row r="21687" spans="8:8">
      <c r="H21687" s="680" t="s">
        <v>6153</v>
      </c>
    </row>
    <row r="21688" spans="8:8">
      <c r="H21688" s="680" t="s">
        <v>6153</v>
      </c>
    </row>
    <row r="21689" spans="8:8">
      <c r="H21689" s="680" t="s">
        <v>6153</v>
      </c>
    </row>
    <row r="21690" spans="8:8">
      <c r="H21690" s="680" t="s">
        <v>6153</v>
      </c>
    </row>
    <row r="21691" spans="8:8">
      <c r="H21691" s="680" t="s">
        <v>6153</v>
      </c>
    </row>
    <row r="21692" spans="8:8">
      <c r="H21692" s="680" t="s">
        <v>6153</v>
      </c>
    </row>
    <row r="21693" spans="8:8">
      <c r="H21693" s="680" t="s">
        <v>6153</v>
      </c>
    </row>
    <row r="21694" spans="8:8">
      <c r="H21694" s="680" t="s">
        <v>6153</v>
      </c>
    </row>
    <row r="21695" spans="8:8">
      <c r="H21695" s="680" t="s">
        <v>6153</v>
      </c>
    </row>
    <row r="21696" spans="8:8">
      <c r="H21696" s="680" t="s">
        <v>6153</v>
      </c>
    </row>
    <row r="21697" spans="8:8">
      <c r="H21697" s="680" t="s">
        <v>6153</v>
      </c>
    </row>
    <row r="21698" spans="8:8">
      <c r="H21698" s="680" t="s">
        <v>6153</v>
      </c>
    </row>
    <row r="21699" spans="8:8">
      <c r="H21699" s="680" t="s">
        <v>6153</v>
      </c>
    </row>
    <row r="21700" spans="8:8">
      <c r="H21700" s="680" t="s">
        <v>6153</v>
      </c>
    </row>
    <row r="21701" spans="8:8">
      <c r="H21701" s="680" t="s">
        <v>6153</v>
      </c>
    </row>
    <row r="21702" spans="8:8">
      <c r="H21702" s="680" t="s">
        <v>6153</v>
      </c>
    </row>
    <row r="21703" spans="8:8">
      <c r="H21703" s="680" t="s">
        <v>6153</v>
      </c>
    </row>
    <row r="21704" spans="8:8">
      <c r="H21704" s="680" t="s">
        <v>6153</v>
      </c>
    </row>
    <row r="21705" spans="8:8">
      <c r="H21705" s="680" t="s">
        <v>6153</v>
      </c>
    </row>
    <row r="21706" spans="8:8">
      <c r="H21706" s="680" t="s">
        <v>6153</v>
      </c>
    </row>
    <row r="21707" spans="8:8">
      <c r="H21707" s="680" t="s">
        <v>6153</v>
      </c>
    </row>
    <row r="21708" spans="8:8">
      <c r="H21708" s="680" t="s">
        <v>6153</v>
      </c>
    </row>
    <row r="21709" spans="8:8">
      <c r="H21709" s="680" t="s">
        <v>6153</v>
      </c>
    </row>
    <row r="21710" spans="8:8">
      <c r="H21710" s="680" t="s">
        <v>6153</v>
      </c>
    </row>
    <row r="21711" spans="8:8">
      <c r="H21711" s="680" t="s">
        <v>6153</v>
      </c>
    </row>
    <row r="21712" spans="8:8">
      <c r="H21712" s="680" t="s">
        <v>6153</v>
      </c>
    </row>
    <row r="21713" spans="8:8">
      <c r="H21713" s="680" t="s">
        <v>6153</v>
      </c>
    </row>
    <row r="21714" spans="8:8">
      <c r="H21714" s="680" t="s">
        <v>6153</v>
      </c>
    </row>
    <row r="21715" spans="8:8">
      <c r="H21715" s="680" t="s">
        <v>6153</v>
      </c>
    </row>
    <row r="21716" spans="8:8">
      <c r="H21716" s="680" t="s">
        <v>6153</v>
      </c>
    </row>
    <row r="21717" spans="8:8">
      <c r="H21717" s="680" t="s">
        <v>6153</v>
      </c>
    </row>
    <row r="21718" spans="8:8">
      <c r="H21718" s="680" t="s">
        <v>6153</v>
      </c>
    </row>
    <row r="21719" spans="8:8">
      <c r="H21719" s="680" t="s">
        <v>6153</v>
      </c>
    </row>
    <row r="21720" spans="8:8">
      <c r="H21720" s="680" t="s">
        <v>6153</v>
      </c>
    </row>
    <row r="21721" spans="8:8">
      <c r="H21721" s="680" t="s">
        <v>6153</v>
      </c>
    </row>
    <row r="21722" spans="8:8">
      <c r="H21722" s="680" t="s">
        <v>6153</v>
      </c>
    </row>
    <row r="21723" spans="8:8">
      <c r="H21723" s="680" t="s">
        <v>6153</v>
      </c>
    </row>
    <row r="21724" spans="8:8">
      <c r="H21724" s="680" t="s">
        <v>6153</v>
      </c>
    </row>
    <row r="21725" spans="8:8">
      <c r="H21725" s="680" t="s">
        <v>6153</v>
      </c>
    </row>
    <row r="21726" spans="8:8">
      <c r="H21726" s="680" t="s">
        <v>6153</v>
      </c>
    </row>
    <row r="21727" spans="8:8">
      <c r="H21727" s="680" t="s">
        <v>6153</v>
      </c>
    </row>
    <row r="21728" spans="8:8">
      <c r="H21728" s="680" t="s">
        <v>6153</v>
      </c>
    </row>
    <row r="21729" spans="8:8">
      <c r="H21729" s="680" t="s">
        <v>6153</v>
      </c>
    </row>
    <row r="21730" spans="8:8">
      <c r="H21730" s="680" t="s">
        <v>6153</v>
      </c>
    </row>
    <row r="21731" spans="8:8">
      <c r="H21731" s="680" t="s">
        <v>6153</v>
      </c>
    </row>
    <row r="21732" spans="8:8">
      <c r="H21732" s="680" t="s">
        <v>6153</v>
      </c>
    </row>
    <row r="21733" spans="8:8">
      <c r="H21733" s="680" t="s">
        <v>6153</v>
      </c>
    </row>
    <row r="21734" spans="8:8">
      <c r="H21734" s="680" t="s">
        <v>6153</v>
      </c>
    </row>
    <row r="21735" spans="8:8">
      <c r="H21735" s="680" t="s">
        <v>6153</v>
      </c>
    </row>
    <row r="21736" spans="8:8">
      <c r="H21736" s="680" t="s">
        <v>6153</v>
      </c>
    </row>
    <row r="21737" spans="8:8">
      <c r="H21737" s="680" t="s">
        <v>6153</v>
      </c>
    </row>
    <row r="21738" spans="8:8">
      <c r="H21738" s="680" t="s">
        <v>6153</v>
      </c>
    </row>
    <row r="21739" spans="8:8">
      <c r="H21739" s="680" t="s">
        <v>6153</v>
      </c>
    </row>
    <row r="21740" spans="8:8">
      <c r="H21740" s="680" t="s">
        <v>6153</v>
      </c>
    </row>
    <row r="21741" spans="8:8">
      <c r="H21741" s="680" t="s">
        <v>6153</v>
      </c>
    </row>
    <row r="21742" spans="8:8">
      <c r="H21742" s="680" t="s">
        <v>6153</v>
      </c>
    </row>
    <row r="21743" spans="8:8">
      <c r="H21743" s="680" t="s">
        <v>6153</v>
      </c>
    </row>
    <row r="21744" spans="8:8">
      <c r="H21744" s="680" t="s">
        <v>6153</v>
      </c>
    </row>
    <row r="21745" spans="8:8">
      <c r="H21745" s="680" t="s">
        <v>6153</v>
      </c>
    </row>
    <row r="21746" spans="8:8">
      <c r="H21746" s="680" t="s">
        <v>6153</v>
      </c>
    </row>
    <row r="21747" spans="8:8">
      <c r="H21747" s="680" t="s">
        <v>6153</v>
      </c>
    </row>
    <row r="21748" spans="8:8">
      <c r="H21748" s="680" t="s">
        <v>6153</v>
      </c>
    </row>
    <row r="21749" spans="8:8">
      <c r="H21749" s="680" t="s">
        <v>6153</v>
      </c>
    </row>
    <row r="21750" spans="8:8">
      <c r="H21750" s="680" t="s">
        <v>6153</v>
      </c>
    </row>
    <row r="21751" spans="8:8">
      <c r="H21751" s="680" t="s">
        <v>6153</v>
      </c>
    </row>
    <row r="21752" spans="8:8">
      <c r="H21752" s="680" t="s">
        <v>6153</v>
      </c>
    </row>
    <row r="21753" spans="8:8">
      <c r="H21753" s="680" t="s">
        <v>6153</v>
      </c>
    </row>
    <row r="21754" spans="8:8">
      <c r="H21754" s="680" t="s">
        <v>6153</v>
      </c>
    </row>
    <row r="21755" spans="8:8">
      <c r="H21755" s="680" t="s">
        <v>6153</v>
      </c>
    </row>
    <row r="21756" spans="8:8">
      <c r="H21756" s="680" t="s">
        <v>6153</v>
      </c>
    </row>
    <row r="21757" spans="8:8">
      <c r="H21757" s="680" t="s">
        <v>6153</v>
      </c>
    </row>
    <row r="21758" spans="8:8">
      <c r="H21758" s="680" t="s">
        <v>6153</v>
      </c>
    </row>
    <row r="21759" spans="8:8">
      <c r="H21759" s="680" t="s">
        <v>6153</v>
      </c>
    </row>
    <row r="21760" spans="8:8">
      <c r="H21760" s="680" t="s">
        <v>6153</v>
      </c>
    </row>
    <row r="21761" spans="8:8">
      <c r="H21761" s="680" t="s">
        <v>6153</v>
      </c>
    </row>
    <row r="21762" spans="8:8">
      <c r="H21762" s="680" t="s">
        <v>6153</v>
      </c>
    </row>
    <row r="21763" spans="8:8">
      <c r="H21763" s="680" t="s">
        <v>6153</v>
      </c>
    </row>
    <row r="21764" spans="8:8">
      <c r="H21764" s="680" t="s">
        <v>6153</v>
      </c>
    </row>
    <row r="21765" spans="8:8">
      <c r="H21765" s="680" t="s">
        <v>6153</v>
      </c>
    </row>
    <row r="21766" spans="8:8">
      <c r="H21766" s="680" t="s">
        <v>6153</v>
      </c>
    </row>
    <row r="21767" spans="8:8">
      <c r="H21767" s="680" t="s">
        <v>6153</v>
      </c>
    </row>
    <row r="21768" spans="8:8">
      <c r="H21768" s="680" t="s">
        <v>6153</v>
      </c>
    </row>
    <row r="21769" spans="8:8">
      <c r="H21769" s="680" t="s">
        <v>6153</v>
      </c>
    </row>
    <row r="21770" spans="8:8">
      <c r="H21770" s="680" t="s">
        <v>6153</v>
      </c>
    </row>
    <row r="21771" spans="8:8">
      <c r="H21771" s="680" t="s">
        <v>6153</v>
      </c>
    </row>
    <row r="21772" spans="8:8">
      <c r="H21772" s="680" t="s">
        <v>6153</v>
      </c>
    </row>
    <row r="21773" spans="8:8">
      <c r="H21773" s="680" t="s">
        <v>6153</v>
      </c>
    </row>
    <row r="21774" spans="8:8">
      <c r="H21774" s="680" t="s">
        <v>6153</v>
      </c>
    </row>
    <row r="21775" spans="8:8">
      <c r="H21775" s="680" t="s">
        <v>6153</v>
      </c>
    </row>
    <row r="21776" spans="8:8">
      <c r="H21776" s="680" t="s">
        <v>6153</v>
      </c>
    </row>
    <row r="21777" spans="8:8">
      <c r="H21777" s="680" t="s">
        <v>6153</v>
      </c>
    </row>
    <row r="21778" spans="8:8">
      <c r="H21778" s="680" t="s">
        <v>6153</v>
      </c>
    </row>
    <row r="21779" spans="8:8">
      <c r="H21779" s="680" t="s">
        <v>6153</v>
      </c>
    </row>
    <row r="21780" spans="8:8">
      <c r="H21780" s="680" t="s">
        <v>6153</v>
      </c>
    </row>
    <row r="21781" spans="8:8">
      <c r="H21781" s="680" t="s">
        <v>6153</v>
      </c>
    </row>
    <row r="21782" spans="8:8">
      <c r="H21782" s="680" t="s">
        <v>6153</v>
      </c>
    </row>
    <row r="21783" spans="8:8">
      <c r="H21783" s="680" t="s">
        <v>6153</v>
      </c>
    </row>
    <row r="21784" spans="8:8">
      <c r="H21784" s="680" t="s">
        <v>6153</v>
      </c>
    </row>
    <row r="21785" spans="8:8">
      <c r="H21785" s="680" t="s">
        <v>6153</v>
      </c>
    </row>
    <row r="21786" spans="8:8">
      <c r="H21786" s="680" t="s">
        <v>6153</v>
      </c>
    </row>
    <row r="21787" spans="8:8">
      <c r="H21787" s="680" t="s">
        <v>6153</v>
      </c>
    </row>
    <row r="21788" spans="8:8">
      <c r="H21788" s="680" t="s">
        <v>6153</v>
      </c>
    </row>
    <row r="21789" spans="8:8">
      <c r="H21789" s="680" t="s">
        <v>6153</v>
      </c>
    </row>
    <row r="21790" spans="8:8">
      <c r="H21790" s="680" t="s">
        <v>6153</v>
      </c>
    </row>
    <row r="21791" spans="8:8">
      <c r="H21791" s="680" t="s">
        <v>6153</v>
      </c>
    </row>
    <row r="21792" spans="8:8">
      <c r="H21792" s="680" t="s">
        <v>6153</v>
      </c>
    </row>
    <row r="21793" spans="8:8">
      <c r="H21793" s="680" t="s">
        <v>6153</v>
      </c>
    </row>
    <row r="21794" spans="8:8">
      <c r="H21794" s="680" t="s">
        <v>6153</v>
      </c>
    </row>
    <row r="21795" spans="8:8">
      <c r="H21795" s="680" t="s">
        <v>6153</v>
      </c>
    </row>
    <row r="21796" spans="8:8">
      <c r="H21796" s="680" t="s">
        <v>6153</v>
      </c>
    </row>
    <row r="21797" spans="8:8">
      <c r="H21797" s="680" t="s">
        <v>6153</v>
      </c>
    </row>
    <row r="21798" spans="8:8">
      <c r="H21798" s="680" t="s">
        <v>6153</v>
      </c>
    </row>
    <row r="21799" spans="8:8">
      <c r="H21799" s="680" t="s">
        <v>6153</v>
      </c>
    </row>
    <row r="21800" spans="8:8">
      <c r="H21800" s="680" t="s">
        <v>6153</v>
      </c>
    </row>
    <row r="21801" spans="8:8">
      <c r="H21801" s="680" t="s">
        <v>6153</v>
      </c>
    </row>
    <row r="21802" spans="8:8">
      <c r="H21802" s="680" t="s">
        <v>6153</v>
      </c>
    </row>
    <row r="21803" spans="8:8">
      <c r="H21803" s="680" t="s">
        <v>6153</v>
      </c>
    </row>
    <row r="21804" spans="8:8">
      <c r="H21804" s="680" t="s">
        <v>6153</v>
      </c>
    </row>
    <row r="21805" spans="8:8">
      <c r="H21805" s="680" t="s">
        <v>6153</v>
      </c>
    </row>
    <row r="21806" spans="8:8">
      <c r="H21806" s="680" t="s">
        <v>6153</v>
      </c>
    </row>
    <row r="21807" spans="8:8">
      <c r="H21807" s="680" t="s">
        <v>6153</v>
      </c>
    </row>
    <row r="21808" spans="8:8">
      <c r="H21808" s="680" t="s">
        <v>6153</v>
      </c>
    </row>
    <row r="21809" spans="8:8">
      <c r="H21809" s="680" t="s">
        <v>6153</v>
      </c>
    </row>
    <row r="21810" spans="8:8">
      <c r="H21810" s="680" t="s">
        <v>6153</v>
      </c>
    </row>
    <row r="21811" spans="8:8">
      <c r="H21811" s="680" t="s">
        <v>6153</v>
      </c>
    </row>
    <row r="21812" spans="8:8">
      <c r="H21812" s="680" t="s">
        <v>6153</v>
      </c>
    </row>
    <row r="21813" spans="8:8">
      <c r="H21813" s="680" t="s">
        <v>6153</v>
      </c>
    </row>
    <row r="21814" spans="8:8">
      <c r="H21814" s="680" t="s">
        <v>6153</v>
      </c>
    </row>
    <row r="21815" spans="8:8">
      <c r="H21815" s="680" t="s">
        <v>6153</v>
      </c>
    </row>
    <row r="21816" spans="8:8">
      <c r="H21816" s="680" t="s">
        <v>6153</v>
      </c>
    </row>
    <row r="21817" spans="8:8">
      <c r="H21817" s="680" t="s">
        <v>6153</v>
      </c>
    </row>
    <row r="21818" spans="8:8">
      <c r="H21818" s="680" t="s">
        <v>6153</v>
      </c>
    </row>
    <row r="21819" spans="8:8">
      <c r="H21819" s="680" t="s">
        <v>6153</v>
      </c>
    </row>
    <row r="21820" spans="8:8">
      <c r="H21820" s="680" t="s">
        <v>6153</v>
      </c>
    </row>
    <row r="21821" spans="8:8">
      <c r="H21821" s="680" t="s">
        <v>6153</v>
      </c>
    </row>
    <row r="21822" spans="8:8">
      <c r="H21822" s="680" t="s">
        <v>6153</v>
      </c>
    </row>
    <row r="21823" spans="8:8">
      <c r="H21823" s="680" t="s">
        <v>6153</v>
      </c>
    </row>
    <row r="21824" spans="8:8">
      <c r="H21824" s="680" t="s">
        <v>6153</v>
      </c>
    </row>
    <row r="21825" spans="8:8">
      <c r="H21825" s="680" t="s">
        <v>6153</v>
      </c>
    </row>
    <row r="21826" spans="8:8">
      <c r="H21826" s="680" t="s">
        <v>6153</v>
      </c>
    </row>
    <row r="21827" spans="8:8">
      <c r="H21827" s="680" t="s">
        <v>6153</v>
      </c>
    </row>
    <row r="21828" spans="8:8">
      <c r="H21828" s="680" t="s">
        <v>6153</v>
      </c>
    </row>
    <row r="21829" spans="8:8">
      <c r="H21829" s="680" t="s">
        <v>6153</v>
      </c>
    </row>
    <row r="21830" spans="8:8">
      <c r="H21830" s="680" t="s">
        <v>6153</v>
      </c>
    </row>
    <row r="21831" spans="8:8">
      <c r="H21831" s="680" t="s">
        <v>6153</v>
      </c>
    </row>
    <row r="21832" spans="8:8">
      <c r="H21832" s="680" t="s">
        <v>6153</v>
      </c>
    </row>
    <row r="21833" spans="8:8">
      <c r="H21833" s="680" t="s">
        <v>6153</v>
      </c>
    </row>
    <row r="21834" spans="8:8">
      <c r="H21834" s="680" t="s">
        <v>6153</v>
      </c>
    </row>
    <row r="21835" spans="8:8">
      <c r="H21835" s="680" t="s">
        <v>6153</v>
      </c>
    </row>
    <row r="21836" spans="8:8">
      <c r="H21836" s="680" t="s">
        <v>6153</v>
      </c>
    </row>
    <row r="21837" spans="8:8">
      <c r="H21837" s="680" t="s">
        <v>6153</v>
      </c>
    </row>
    <row r="21838" spans="8:8">
      <c r="H21838" s="680" t="s">
        <v>6153</v>
      </c>
    </row>
    <row r="21839" spans="8:8">
      <c r="H21839" s="680" t="s">
        <v>6153</v>
      </c>
    </row>
    <row r="21840" spans="8:8">
      <c r="H21840" s="680" t="s">
        <v>6153</v>
      </c>
    </row>
    <row r="21841" spans="8:8">
      <c r="H21841" s="680" t="s">
        <v>6153</v>
      </c>
    </row>
    <row r="21842" spans="8:8">
      <c r="H21842" s="680" t="s">
        <v>6153</v>
      </c>
    </row>
    <row r="21843" spans="8:8">
      <c r="H21843" s="680" t="s">
        <v>6153</v>
      </c>
    </row>
    <row r="21844" spans="8:8">
      <c r="H21844" s="680" t="s">
        <v>6153</v>
      </c>
    </row>
    <row r="21845" spans="8:8">
      <c r="H21845" s="680" t="s">
        <v>6153</v>
      </c>
    </row>
    <row r="21846" spans="8:8">
      <c r="H21846" s="680" t="s">
        <v>6153</v>
      </c>
    </row>
    <row r="21847" spans="8:8">
      <c r="H21847" s="680" t="s">
        <v>6153</v>
      </c>
    </row>
    <row r="21848" spans="8:8">
      <c r="H21848" s="680" t="s">
        <v>6153</v>
      </c>
    </row>
    <row r="21849" spans="8:8">
      <c r="H21849" s="680" t="s">
        <v>6153</v>
      </c>
    </row>
    <row r="21850" spans="8:8">
      <c r="H21850" s="680" t="s">
        <v>6153</v>
      </c>
    </row>
    <row r="21851" spans="8:8">
      <c r="H21851" s="680" t="s">
        <v>6153</v>
      </c>
    </row>
    <row r="21852" spans="8:8">
      <c r="H21852" s="680" t="s">
        <v>6153</v>
      </c>
    </row>
    <row r="21853" spans="8:8">
      <c r="H21853" s="680" t="s">
        <v>6153</v>
      </c>
    </row>
    <row r="21854" spans="8:8">
      <c r="H21854" s="680" t="s">
        <v>6153</v>
      </c>
    </row>
    <row r="21855" spans="8:8">
      <c r="H21855" s="680" t="s">
        <v>6153</v>
      </c>
    </row>
    <row r="21856" spans="8:8">
      <c r="H21856" s="680" t="s">
        <v>6153</v>
      </c>
    </row>
    <row r="21857" spans="8:8">
      <c r="H21857" s="680" t="s">
        <v>6153</v>
      </c>
    </row>
    <row r="21858" spans="8:8">
      <c r="H21858" s="680" t="s">
        <v>6153</v>
      </c>
    </row>
    <row r="21859" spans="8:8">
      <c r="H21859" s="680" t="s">
        <v>6153</v>
      </c>
    </row>
    <row r="21860" spans="8:8">
      <c r="H21860" s="680" t="s">
        <v>6153</v>
      </c>
    </row>
    <row r="21861" spans="8:8">
      <c r="H21861" s="680" t="s">
        <v>6153</v>
      </c>
    </row>
    <row r="21862" spans="8:8">
      <c r="H21862" s="680" t="s">
        <v>6153</v>
      </c>
    </row>
    <row r="21863" spans="8:8">
      <c r="H21863" s="680" t="s">
        <v>6153</v>
      </c>
    </row>
    <row r="21864" spans="8:8">
      <c r="H21864" s="680" t="s">
        <v>6153</v>
      </c>
    </row>
    <row r="21865" spans="8:8">
      <c r="H21865" s="680" t="s">
        <v>6153</v>
      </c>
    </row>
    <row r="21866" spans="8:8">
      <c r="H21866" s="680" t="s">
        <v>6153</v>
      </c>
    </row>
    <row r="21867" spans="8:8">
      <c r="H21867" s="680" t="s">
        <v>6153</v>
      </c>
    </row>
    <row r="21868" spans="8:8">
      <c r="H21868" s="680" t="s">
        <v>6153</v>
      </c>
    </row>
    <row r="21869" spans="8:8">
      <c r="H21869" s="680" t="s">
        <v>6153</v>
      </c>
    </row>
    <row r="21870" spans="8:8">
      <c r="H21870" s="680" t="s">
        <v>6153</v>
      </c>
    </row>
    <row r="21871" spans="8:8">
      <c r="H21871" s="680" t="s">
        <v>6153</v>
      </c>
    </row>
    <row r="21872" spans="8:8">
      <c r="H21872" s="680" t="s">
        <v>6153</v>
      </c>
    </row>
    <row r="21873" spans="8:8">
      <c r="H21873" s="680" t="s">
        <v>6153</v>
      </c>
    </row>
    <row r="21874" spans="8:8">
      <c r="H21874" s="680" t="s">
        <v>6153</v>
      </c>
    </row>
    <row r="21875" spans="8:8">
      <c r="H21875" s="680" t="s">
        <v>6153</v>
      </c>
    </row>
    <row r="21876" spans="8:8">
      <c r="H21876" s="680" t="s">
        <v>6153</v>
      </c>
    </row>
    <row r="21877" spans="8:8">
      <c r="H21877" s="680" t="s">
        <v>6153</v>
      </c>
    </row>
    <row r="21878" spans="8:8">
      <c r="H21878" s="680" t="s">
        <v>6153</v>
      </c>
    </row>
    <row r="21879" spans="8:8">
      <c r="H21879" s="680" t="s">
        <v>6153</v>
      </c>
    </row>
    <row r="21880" spans="8:8">
      <c r="H21880" s="680" t="s">
        <v>6153</v>
      </c>
    </row>
    <row r="21881" spans="8:8">
      <c r="H21881" s="680" t="s">
        <v>6153</v>
      </c>
    </row>
    <row r="21882" spans="8:8">
      <c r="H21882" s="680" t="s">
        <v>6153</v>
      </c>
    </row>
    <row r="21883" spans="8:8">
      <c r="H21883" s="680" t="s">
        <v>6153</v>
      </c>
    </row>
    <row r="21884" spans="8:8">
      <c r="H21884" s="680" t="s">
        <v>6153</v>
      </c>
    </row>
    <row r="21885" spans="8:8">
      <c r="H21885" s="680" t="s">
        <v>6153</v>
      </c>
    </row>
    <row r="21886" spans="8:8">
      <c r="H21886" s="680" t="s">
        <v>6153</v>
      </c>
    </row>
    <row r="21887" spans="8:8">
      <c r="H21887" s="680" t="s">
        <v>6153</v>
      </c>
    </row>
    <row r="21888" spans="8:8">
      <c r="H21888" s="680" t="s">
        <v>6153</v>
      </c>
    </row>
    <row r="21889" spans="8:8">
      <c r="H21889" s="680" t="s">
        <v>6153</v>
      </c>
    </row>
    <row r="21890" spans="8:8">
      <c r="H21890" s="680" t="s">
        <v>6153</v>
      </c>
    </row>
    <row r="21891" spans="8:8">
      <c r="H21891" s="680" t="s">
        <v>6153</v>
      </c>
    </row>
    <row r="21892" spans="8:8">
      <c r="H21892" s="680" t="s">
        <v>6153</v>
      </c>
    </row>
    <row r="21893" spans="8:8">
      <c r="H21893" s="680" t="s">
        <v>6153</v>
      </c>
    </row>
    <row r="21894" spans="8:8">
      <c r="H21894" s="680" t="s">
        <v>6153</v>
      </c>
    </row>
    <row r="21895" spans="8:8">
      <c r="H21895" s="680" t="s">
        <v>6153</v>
      </c>
    </row>
    <row r="21896" spans="8:8">
      <c r="H21896" s="680" t="s">
        <v>6153</v>
      </c>
    </row>
    <row r="21897" spans="8:8">
      <c r="H21897" s="680" t="s">
        <v>6153</v>
      </c>
    </row>
    <row r="21898" spans="8:8">
      <c r="H21898" s="680" t="s">
        <v>6153</v>
      </c>
    </row>
    <row r="21899" spans="8:8">
      <c r="H21899" s="680" t="s">
        <v>6153</v>
      </c>
    </row>
    <row r="21900" spans="8:8">
      <c r="H21900" s="680" t="s">
        <v>6153</v>
      </c>
    </row>
    <row r="21901" spans="8:8">
      <c r="H21901" s="680" t="s">
        <v>6153</v>
      </c>
    </row>
    <row r="21902" spans="8:8">
      <c r="H21902" s="680" t="s">
        <v>6153</v>
      </c>
    </row>
    <row r="21903" spans="8:8">
      <c r="H21903" s="680" t="s">
        <v>6153</v>
      </c>
    </row>
    <row r="21904" spans="8:8">
      <c r="H21904" s="680" t="s">
        <v>6153</v>
      </c>
    </row>
    <row r="21905" spans="8:8">
      <c r="H21905" s="680" t="s">
        <v>6153</v>
      </c>
    </row>
    <row r="21906" spans="8:8">
      <c r="H21906" s="680" t="s">
        <v>6153</v>
      </c>
    </row>
    <row r="21907" spans="8:8">
      <c r="H21907" s="680" t="s">
        <v>6153</v>
      </c>
    </row>
    <row r="21908" spans="8:8">
      <c r="H21908" s="680" t="s">
        <v>6153</v>
      </c>
    </row>
    <row r="21909" spans="8:8">
      <c r="H21909" s="680" t="s">
        <v>6153</v>
      </c>
    </row>
    <row r="21910" spans="8:8">
      <c r="H21910" s="680" t="s">
        <v>6153</v>
      </c>
    </row>
    <row r="21911" spans="8:8">
      <c r="H21911" s="680" t="s">
        <v>6153</v>
      </c>
    </row>
    <row r="21912" spans="8:8">
      <c r="H21912" s="680" t="s">
        <v>6153</v>
      </c>
    </row>
    <row r="21913" spans="8:8">
      <c r="H21913" s="680" t="s">
        <v>6153</v>
      </c>
    </row>
    <row r="21914" spans="8:8">
      <c r="H21914" s="680" t="s">
        <v>6153</v>
      </c>
    </row>
    <row r="21915" spans="8:8">
      <c r="H21915" s="680" t="s">
        <v>6153</v>
      </c>
    </row>
    <row r="21916" spans="8:8">
      <c r="H21916" s="680" t="s">
        <v>6153</v>
      </c>
    </row>
    <row r="21917" spans="8:8">
      <c r="H21917" s="680" t="s">
        <v>6153</v>
      </c>
    </row>
    <row r="21918" spans="8:8">
      <c r="H21918" s="680" t="s">
        <v>6153</v>
      </c>
    </row>
    <row r="21919" spans="8:8">
      <c r="H21919" s="680" t="s">
        <v>6153</v>
      </c>
    </row>
    <row r="21920" spans="8:8">
      <c r="H21920" s="680" t="s">
        <v>6153</v>
      </c>
    </row>
    <row r="21921" spans="8:8">
      <c r="H21921" s="680" t="s">
        <v>6153</v>
      </c>
    </row>
    <row r="21922" spans="8:8">
      <c r="H21922" s="680" t="s">
        <v>6153</v>
      </c>
    </row>
    <row r="21923" spans="8:8">
      <c r="H21923" s="680" t="s">
        <v>6153</v>
      </c>
    </row>
    <row r="21924" spans="8:8">
      <c r="H21924" s="680" t="s">
        <v>6153</v>
      </c>
    </row>
    <row r="21925" spans="8:8">
      <c r="H21925" s="680" t="s">
        <v>6153</v>
      </c>
    </row>
    <row r="21926" spans="8:8">
      <c r="H21926" s="680" t="s">
        <v>6153</v>
      </c>
    </row>
    <row r="21927" spans="8:8">
      <c r="H21927" s="680" t="s">
        <v>6153</v>
      </c>
    </row>
    <row r="21928" spans="8:8">
      <c r="H21928" s="680" t="s">
        <v>6153</v>
      </c>
    </row>
    <row r="21929" spans="8:8">
      <c r="H21929" s="680" t="s">
        <v>6153</v>
      </c>
    </row>
    <row r="21930" spans="8:8">
      <c r="H21930" s="680" t="s">
        <v>6153</v>
      </c>
    </row>
    <row r="21931" spans="8:8">
      <c r="H21931" s="680" t="s">
        <v>6153</v>
      </c>
    </row>
    <row r="21932" spans="8:8">
      <c r="H21932" s="680" t="s">
        <v>6153</v>
      </c>
    </row>
    <row r="21933" spans="8:8">
      <c r="H21933" s="680" t="s">
        <v>6153</v>
      </c>
    </row>
    <row r="21934" spans="8:8">
      <c r="H21934" s="680" t="s">
        <v>6153</v>
      </c>
    </row>
    <row r="21935" spans="8:8">
      <c r="H21935" s="680" t="s">
        <v>6153</v>
      </c>
    </row>
    <row r="21936" spans="8:8">
      <c r="H21936" s="680" t="s">
        <v>6153</v>
      </c>
    </row>
    <row r="21937" spans="8:8">
      <c r="H21937" s="680" t="s">
        <v>6153</v>
      </c>
    </row>
    <row r="21938" spans="8:8">
      <c r="H21938" s="680" t="s">
        <v>6153</v>
      </c>
    </row>
    <row r="21939" spans="8:8">
      <c r="H21939" s="680" t="s">
        <v>6153</v>
      </c>
    </row>
    <row r="21940" spans="8:8">
      <c r="H21940" s="680" t="s">
        <v>6153</v>
      </c>
    </row>
    <row r="21941" spans="8:8">
      <c r="H21941" s="680" t="s">
        <v>6153</v>
      </c>
    </row>
    <row r="21942" spans="8:8">
      <c r="H21942" s="680" t="s">
        <v>6153</v>
      </c>
    </row>
    <row r="21943" spans="8:8">
      <c r="H21943" s="680" t="s">
        <v>6153</v>
      </c>
    </row>
    <row r="21944" spans="8:8">
      <c r="H21944" s="680" t="s">
        <v>6153</v>
      </c>
    </row>
    <row r="21945" spans="8:8">
      <c r="H21945" s="680" t="s">
        <v>6153</v>
      </c>
    </row>
    <row r="21946" spans="8:8">
      <c r="H21946" s="680" t="s">
        <v>6153</v>
      </c>
    </row>
    <row r="21947" spans="8:8">
      <c r="H21947" s="680" t="s">
        <v>6153</v>
      </c>
    </row>
    <row r="21948" spans="8:8">
      <c r="H21948" s="680" t="s">
        <v>6153</v>
      </c>
    </row>
    <row r="21949" spans="8:8">
      <c r="H21949" s="680" t="s">
        <v>6153</v>
      </c>
    </row>
    <row r="21950" spans="8:8">
      <c r="H21950" s="680" t="s">
        <v>6153</v>
      </c>
    </row>
    <row r="21951" spans="8:8">
      <c r="H21951" s="680" t="s">
        <v>6153</v>
      </c>
    </row>
    <row r="21952" spans="8:8">
      <c r="H21952" s="680" t="s">
        <v>6153</v>
      </c>
    </row>
    <row r="21953" spans="8:8">
      <c r="H21953" s="680" t="s">
        <v>6153</v>
      </c>
    </row>
    <row r="21954" spans="8:8">
      <c r="H21954" s="680" t="s">
        <v>6153</v>
      </c>
    </row>
    <row r="21955" spans="8:8">
      <c r="H21955" s="680" t="s">
        <v>6153</v>
      </c>
    </row>
    <row r="21956" spans="8:8">
      <c r="H21956" s="680" t="s">
        <v>6153</v>
      </c>
    </row>
    <row r="21957" spans="8:8">
      <c r="H21957" s="680" t="s">
        <v>6153</v>
      </c>
    </row>
    <row r="21958" spans="8:8">
      <c r="H21958" s="680" t="s">
        <v>6153</v>
      </c>
    </row>
    <row r="21959" spans="8:8">
      <c r="H21959" s="680" t="s">
        <v>6153</v>
      </c>
    </row>
    <row r="21960" spans="8:8">
      <c r="H21960" s="680" t="s">
        <v>6153</v>
      </c>
    </row>
    <row r="21961" spans="8:8">
      <c r="H21961" s="680" t="s">
        <v>6153</v>
      </c>
    </row>
    <row r="21962" spans="8:8">
      <c r="H21962" s="680" t="s">
        <v>6153</v>
      </c>
    </row>
    <row r="21963" spans="8:8">
      <c r="H21963" s="680" t="s">
        <v>6153</v>
      </c>
    </row>
    <row r="21964" spans="8:8">
      <c r="H21964" s="680" t="s">
        <v>6153</v>
      </c>
    </row>
    <row r="21965" spans="8:8">
      <c r="H21965" s="680" t="s">
        <v>6153</v>
      </c>
    </row>
    <row r="21966" spans="8:8">
      <c r="H21966" s="680" t="s">
        <v>6153</v>
      </c>
    </row>
    <row r="21967" spans="8:8">
      <c r="H21967" s="680" t="s">
        <v>6153</v>
      </c>
    </row>
    <row r="21968" spans="8:8">
      <c r="H21968" s="680" t="s">
        <v>6153</v>
      </c>
    </row>
    <row r="21969" spans="8:8">
      <c r="H21969" s="680" t="s">
        <v>6153</v>
      </c>
    </row>
    <row r="21970" spans="8:8">
      <c r="H21970" s="680" t="s">
        <v>6153</v>
      </c>
    </row>
    <row r="21971" spans="8:8">
      <c r="H21971" s="680" t="s">
        <v>6153</v>
      </c>
    </row>
    <row r="21972" spans="8:8">
      <c r="H21972" s="680" t="s">
        <v>6153</v>
      </c>
    </row>
    <row r="21973" spans="8:8">
      <c r="H21973" s="680" t="s">
        <v>6153</v>
      </c>
    </row>
    <row r="21974" spans="8:8">
      <c r="H21974" s="680" t="s">
        <v>6153</v>
      </c>
    </row>
    <row r="21975" spans="8:8">
      <c r="H21975" s="680" t="s">
        <v>6153</v>
      </c>
    </row>
    <row r="21976" spans="8:8">
      <c r="H21976" s="680" t="s">
        <v>6153</v>
      </c>
    </row>
    <row r="21977" spans="8:8">
      <c r="H21977" s="680" t="s">
        <v>6153</v>
      </c>
    </row>
    <row r="21978" spans="8:8">
      <c r="H21978" s="680" t="s">
        <v>6153</v>
      </c>
    </row>
    <row r="21979" spans="8:8">
      <c r="H21979" s="680" t="s">
        <v>6153</v>
      </c>
    </row>
    <row r="21980" spans="8:8">
      <c r="H21980" s="680" t="s">
        <v>6153</v>
      </c>
    </row>
    <row r="21981" spans="8:8">
      <c r="H21981" s="680" t="s">
        <v>6153</v>
      </c>
    </row>
    <row r="21982" spans="8:8">
      <c r="H21982" s="680" t="s">
        <v>6153</v>
      </c>
    </row>
    <row r="21983" spans="8:8">
      <c r="H21983" s="680" t="s">
        <v>6153</v>
      </c>
    </row>
    <row r="21984" spans="8:8">
      <c r="H21984" s="680" t="s">
        <v>6153</v>
      </c>
    </row>
    <row r="21985" spans="8:8">
      <c r="H21985" s="680" t="s">
        <v>6153</v>
      </c>
    </row>
    <row r="21986" spans="8:8">
      <c r="H21986" s="680" t="s">
        <v>6153</v>
      </c>
    </row>
    <row r="21987" spans="8:8">
      <c r="H21987" s="680" t="s">
        <v>6153</v>
      </c>
    </row>
    <row r="21988" spans="8:8">
      <c r="H21988" s="680" t="s">
        <v>6153</v>
      </c>
    </row>
    <row r="21989" spans="8:8">
      <c r="H21989" s="680" t="s">
        <v>6153</v>
      </c>
    </row>
    <row r="21990" spans="8:8">
      <c r="H21990" s="680" t="s">
        <v>6153</v>
      </c>
    </row>
    <row r="21991" spans="8:8">
      <c r="H21991" s="680" t="s">
        <v>6153</v>
      </c>
    </row>
    <row r="21992" spans="8:8">
      <c r="H21992" s="680" t="s">
        <v>6153</v>
      </c>
    </row>
    <row r="21993" spans="8:8">
      <c r="H21993" s="680" t="s">
        <v>6153</v>
      </c>
    </row>
    <row r="21994" spans="8:8">
      <c r="H21994" s="680" t="s">
        <v>6153</v>
      </c>
    </row>
    <row r="21995" spans="8:8">
      <c r="H21995" s="680" t="s">
        <v>6153</v>
      </c>
    </row>
    <row r="21996" spans="8:8">
      <c r="H21996" s="680" t="s">
        <v>6153</v>
      </c>
    </row>
    <row r="21997" spans="8:8">
      <c r="H21997" s="680" t="s">
        <v>6153</v>
      </c>
    </row>
    <row r="21998" spans="8:8">
      <c r="H21998" s="680" t="s">
        <v>6153</v>
      </c>
    </row>
    <row r="21999" spans="8:8">
      <c r="H21999" s="680" t="s">
        <v>6153</v>
      </c>
    </row>
    <row r="22000" spans="8:8">
      <c r="H22000" s="680" t="s">
        <v>6153</v>
      </c>
    </row>
    <row r="22001" spans="8:8">
      <c r="H22001" s="680" t="s">
        <v>6153</v>
      </c>
    </row>
    <row r="22002" spans="8:8">
      <c r="H22002" s="680" t="s">
        <v>6153</v>
      </c>
    </row>
    <row r="22003" spans="8:8">
      <c r="H22003" s="680" t="s">
        <v>6153</v>
      </c>
    </row>
    <row r="22004" spans="8:8">
      <c r="H22004" s="680" t="s">
        <v>6153</v>
      </c>
    </row>
    <row r="22005" spans="8:8">
      <c r="H22005" s="680" t="s">
        <v>6153</v>
      </c>
    </row>
    <row r="22006" spans="8:8">
      <c r="H22006" s="680" t="s">
        <v>6153</v>
      </c>
    </row>
    <row r="22007" spans="8:8">
      <c r="H22007" s="680" t="s">
        <v>6153</v>
      </c>
    </row>
    <row r="22008" spans="8:8">
      <c r="H22008" s="680" t="s">
        <v>6153</v>
      </c>
    </row>
    <row r="22009" spans="8:8">
      <c r="H22009" s="680" t="s">
        <v>6153</v>
      </c>
    </row>
    <row r="22010" spans="8:8">
      <c r="H22010" s="680" t="s">
        <v>6153</v>
      </c>
    </row>
    <row r="22011" spans="8:8">
      <c r="H22011" s="680" t="s">
        <v>6153</v>
      </c>
    </row>
    <row r="22012" spans="8:8">
      <c r="H22012" s="680" t="s">
        <v>6153</v>
      </c>
    </row>
    <row r="22013" spans="8:8">
      <c r="H22013" s="680" t="s">
        <v>6153</v>
      </c>
    </row>
    <row r="22014" spans="8:8">
      <c r="H22014" s="680" t="s">
        <v>6153</v>
      </c>
    </row>
    <row r="22015" spans="8:8">
      <c r="H22015" s="680" t="s">
        <v>6153</v>
      </c>
    </row>
    <row r="22016" spans="8:8">
      <c r="H22016" s="680" t="s">
        <v>6153</v>
      </c>
    </row>
    <row r="22017" spans="8:8">
      <c r="H22017" s="680" t="s">
        <v>6153</v>
      </c>
    </row>
    <row r="22018" spans="8:8">
      <c r="H22018" s="680" t="s">
        <v>6153</v>
      </c>
    </row>
    <row r="22019" spans="8:8">
      <c r="H22019" s="680" t="s">
        <v>6153</v>
      </c>
    </row>
    <row r="22020" spans="8:8">
      <c r="H22020" s="680" t="s">
        <v>6153</v>
      </c>
    </row>
    <row r="22021" spans="8:8">
      <c r="H22021" s="680" t="s">
        <v>6153</v>
      </c>
    </row>
    <row r="22022" spans="8:8">
      <c r="H22022" s="680" t="s">
        <v>6153</v>
      </c>
    </row>
    <row r="22023" spans="8:8">
      <c r="H22023" s="680" t="s">
        <v>6153</v>
      </c>
    </row>
    <row r="22024" spans="8:8">
      <c r="H22024" s="680" t="s">
        <v>6153</v>
      </c>
    </row>
    <row r="22025" spans="8:8">
      <c r="H22025" s="680" t="s">
        <v>6153</v>
      </c>
    </row>
    <row r="22026" spans="8:8">
      <c r="H22026" s="680" t="s">
        <v>6153</v>
      </c>
    </row>
    <row r="22027" spans="8:8">
      <c r="H22027" s="680" t="s">
        <v>6153</v>
      </c>
    </row>
    <row r="22028" spans="8:8">
      <c r="H22028" s="680" t="s">
        <v>6153</v>
      </c>
    </row>
    <row r="22029" spans="8:8">
      <c r="H22029" s="680" t="s">
        <v>6153</v>
      </c>
    </row>
    <row r="22030" spans="8:8">
      <c r="H22030" s="680" t="s">
        <v>6153</v>
      </c>
    </row>
    <row r="22031" spans="8:8">
      <c r="H22031" s="680" t="s">
        <v>6153</v>
      </c>
    </row>
    <row r="22032" spans="8:8">
      <c r="H22032" s="680" t="s">
        <v>6153</v>
      </c>
    </row>
    <row r="22033" spans="8:8">
      <c r="H22033" s="680" t="s">
        <v>6153</v>
      </c>
    </row>
    <row r="22034" spans="8:8">
      <c r="H22034" s="680" t="s">
        <v>6153</v>
      </c>
    </row>
    <row r="22035" spans="8:8">
      <c r="H22035" s="680" t="s">
        <v>6153</v>
      </c>
    </row>
    <row r="22036" spans="8:8">
      <c r="H22036" s="680" t="s">
        <v>6153</v>
      </c>
    </row>
    <row r="22037" spans="8:8">
      <c r="H22037" s="680" t="s">
        <v>6153</v>
      </c>
    </row>
    <row r="22038" spans="8:8">
      <c r="H22038" s="680" t="s">
        <v>6153</v>
      </c>
    </row>
    <row r="22039" spans="8:8">
      <c r="H22039" s="680" t="s">
        <v>6153</v>
      </c>
    </row>
    <row r="22040" spans="8:8">
      <c r="H22040" s="680" t="s">
        <v>6153</v>
      </c>
    </row>
    <row r="22041" spans="8:8">
      <c r="H22041" s="680" t="s">
        <v>6153</v>
      </c>
    </row>
    <row r="22042" spans="8:8">
      <c r="H22042" s="680" t="s">
        <v>6153</v>
      </c>
    </row>
    <row r="22043" spans="8:8">
      <c r="H22043" s="680" t="s">
        <v>6153</v>
      </c>
    </row>
    <row r="22044" spans="8:8">
      <c r="H22044" s="680" t="s">
        <v>6153</v>
      </c>
    </row>
    <row r="22045" spans="8:8">
      <c r="H22045" s="680" t="s">
        <v>6153</v>
      </c>
    </row>
    <row r="22046" spans="8:8">
      <c r="H22046" s="680" t="s">
        <v>6153</v>
      </c>
    </row>
    <row r="22047" spans="8:8">
      <c r="H22047" s="680" t="s">
        <v>6153</v>
      </c>
    </row>
    <row r="22048" spans="8:8">
      <c r="H22048" s="680" t="s">
        <v>6153</v>
      </c>
    </row>
    <row r="22049" spans="8:8">
      <c r="H22049" s="680" t="s">
        <v>6153</v>
      </c>
    </row>
    <row r="22050" spans="8:8">
      <c r="H22050" s="680" t="s">
        <v>6153</v>
      </c>
    </row>
    <row r="22051" spans="8:8">
      <c r="H22051" s="680" t="s">
        <v>6153</v>
      </c>
    </row>
    <row r="22052" spans="8:8">
      <c r="H22052" s="680" t="s">
        <v>6153</v>
      </c>
    </row>
    <row r="22053" spans="8:8">
      <c r="H22053" s="680" t="s">
        <v>6153</v>
      </c>
    </row>
    <row r="22054" spans="8:8">
      <c r="H22054" s="680" t="s">
        <v>6153</v>
      </c>
    </row>
    <row r="22055" spans="8:8">
      <c r="H22055" s="680" t="s">
        <v>6153</v>
      </c>
    </row>
    <row r="22056" spans="8:8">
      <c r="H22056" s="680" t="s">
        <v>6153</v>
      </c>
    </row>
    <row r="22057" spans="8:8">
      <c r="H22057" s="680" t="s">
        <v>6153</v>
      </c>
    </row>
    <row r="22058" spans="8:8">
      <c r="H22058" s="680" t="s">
        <v>6153</v>
      </c>
    </row>
    <row r="22059" spans="8:8">
      <c r="H22059" s="680" t="s">
        <v>6153</v>
      </c>
    </row>
    <row r="22060" spans="8:8">
      <c r="H22060" s="680" t="s">
        <v>6153</v>
      </c>
    </row>
    <row r="22061" spans="8:8">
      <c r="H22061" s="680" t="s">
        <v>6153</v>
      </c>
    </row>
    <row r="22062" spans="8:8">
      <c r="H22062" s="680" t="s">
        <v>6153</v>
      </c>
    </row>
    <row r="22063" spans="8:8">
      <c r="H22063" s="680" t="s">
        <v>6153</v>
      </c>
    </row>
    <row r="22064" spans="8:8">
      <c r="H22064" s="680" t="s">
        <v>6153</v>
      </c>
    </row>
    <row r="22065" spans="8:8">
      <c r="H22065" s="680" t="s">
        <v>6153</v>
      </c>
    </row>
    <row r="22066" spans="8:8">
      <c r="H22066" s="680" t="s">
        <v>6153</v>
      </c>
    </row>
    <row r="22067" spans="8:8">
      <c r="H22067" s="680" t="s">
        <v>6153</v>
      </c>
    </row>
    <row r="22068" spans="8:8">
      <c r="H22068" s="680" t="s">
        <v>6153</v>
      </c>
    </row>
    <row r="22069" spans="8:8">
      <c r="H22069" s="680" t="s">
        <v>6153</v>
      </c>
    </row>
    <row r="22070" spans="8:8">
      <c r="H22070" s="680" t="s">
        <v>6153</v>
      </c>
    </row>
    <row r="22071" spans="8:8">
      <c r="H22071" s="680" t="s">
        <v>6153</v>
      </c>
    </row>
    <row r="22072" spans="8:8">
      <c r="H22072" s="680" t="s">
        <v>6153</v>
      </c>
    </row>
    <row r="22073" spans="8:8">
      <c r="H22073" s="680" t="s">
        <v>6153</v>
      </c>
    </row>
    <row r="22074" spans="8:8">
      <c r="H22074" s="680" t="s">
        <v>6153</v>
      </c>
    </row>
    <row r="22075" spans="8:8">
      <c r="H22075" s="680" t="s">
        <v>6153</v>
      </c>
    </row>
    <row r="22076" spans="8:8">
      <c r="H22076" s="680" t="s">
        <v>6153</v>
      </c>
    </row>
    <row r="22077" spans="8:8">
      <c r="H22077" s="680" t="s">
        <v>6153</v>
      </c>
    </row>
    <row r="22078" spans="8:8">
      <c r="H22078" s="680" t="s">
        <v>6153</v>
      </c>
    </row>
    <row r="22079" spans="8:8">
      <c r="H22079" s="680" t="s">
        <v>6153</v>
      </c>
    </row>
    <row r="22080" spans="8:8">
      <c r="H22080" s="680" t="s">
        <v>6153</v>
      </c>
    </row>
    <row r="22081" spans="8:8">
      <c r="H22081" s="680" t="s">
        <v>6153</v>
      </c>
    </row>
    <row r="22082" spans="8:8">
      <c r="H22082" s="680" t="s">
        <v>6153</v>
      </c>
    </row>
    <row r="22083" spans="8:8">
      <c r="H22083" s="680" t="s">
        <v>6153</v>
      </c>
    </row>
    <row r="22084" spans="8:8">
      <c r="H22084" s="680" t="s">
        <v>6153</v>
      </c>
    </row>
    <row r="22085" spans="8:8">
      <c r="H22085" s="680" t="s">
        <v>6153</v>
      </c>
    </row>
    <row r="22086" spans="8:8">
      <c r="H22086" s="680" t="s">
        <v>6153</v>
      </c>
    </row>
    <row r="22087" spans="8:8">
      <c r="H22087" s="680" t="s">
        <v>6153</v>
      </c>
    </row>
    <row r="22088" spans="8:8">
      <c r="H22088" s="680" t="s">
        <v>6153</v>
      </c>
    </row>
    <row r="22089" spans="8:8">
      <c r="H22089" s="680" t="s">
        <v>6153</v>
      </c>
    </row>
    <row r="22090" spans="8:8">
      <c r="H22090" s="680" t="s">
        <v>6153</v>
      </c>
    </row>
    <row r="22091" spans="8:8">
      <c r="H22091" s="680" t="s">
        <v>6153</v>
      </c>
    </row>
    <row r="22092" spans="8:8">
      <c r="H22092" s="680" t="s">
        <v>6153</v>
      </c>
    </row>
    <row r="22093" spans="8:8">
      <c r="H22093" s="680" t="s">
        <v>6153</v>
      </c>
    </row>
    <row r="22094" spans="8:8">
      <c r="H22094" s="680" t="s">
        <v>6153</v>
      </c>
    </row>
    <row r="22095" spans="8:8">
      <c r="H22095" s="680" t="s">
        <v>6153</v>
      </c>
    </row>
    <row r="22096" spans="8:8">
      <c r="H22096" s="680" t="s">
        <v>6153</v>
      </c>
    </row>
    <row r="22097" spans="8:8">
      <c r="H22097" s="680" t="s">
        <v>6153</v>
      </c>
    </row>
    <row r="22098" spans="8:8">
      <c r="H22098" s="680" t="s">
        <v>6153</v>
      </c>
    </row>
    <row r="22099" spans="8:8">
      <c r="H22099" s="680" t="s">
        <v>6153</v>
      </c>
    </row>
    <row r="22100" spans="8:8">
      <c r="H22100" s="680" t="s">
        <v>6153</v>
      </c>
    </row>
    <row r="22101" spans="8:8">
      <c r="H22101" s="680" t="s">
        <v>6153</v>
      </c>
    </row>
    <row r="22102" spans="8:8">
      <c r="H22102" s="680" t="s">
        <v>6153</v>
      </c>
    </row>
    <row r="22103" spans="8:8">
      <c r="H22103" s="680" t="s">
        <v>6153</v>
      </c>
    </row>
    <row r="22104" spans="8:8">
      <c r="H22104" s="680" t="s">
        <v>6153</v>
      </c>
    </row>
    <row r="22105" spans="8:8">
      <c r="H22105" s="680" t="s">
        <v>6153</v>
      </c>
    </row>
    <row r="22106" spans="8:8">
      <c r="H22106" s="680" t="s">
        <v>6153</v>
      </c>
    </row>
    <row r="22107" spans="8:8">
      <c r="H22107" s="680" t="s">
        <v>6153</v>
      </c>
    </row>
    <row r="22108" spans="8:8">
      <c r="H22108" s="680" t="s">
        <v>6153</v>
      </c>
    </row>
    <row r="22109" spans="8:8">
      <c r="H22109" s="680" t="s">
        <v>6153</v>
      </c>
    </row>
    <row r="22110" spans="8:8">
      <c r="H22110" s="680" t="s">
        <v>6153</v>
      </c>
    </row>
    <row r="22111" spans="8:8">
      <c r="H22111" s="680" t="s">
        <v>6153</v>
      </c>
    </row>
    <row r="22112" spans="8:8">
      <c r="H22112" s="680" t="s">
        <v>6153</v>
      </c>
    </row>
    <row r="22113" spans="8:8">
      <c r="H22113" s="680" t="s">
        <v>6153</v>
      </c>
    </row>
    <row r="22114" spans="8:8">
      <c r="H22114" s="680" t="s">
        <v>6153</v>
      </c>
    </row>
    <row r="22115" spans="8:8">
      <c r="H22115" s="680" t="s">
        <v>6153</v>
      </c>
    </row>
    <row r="22116" spans="8:8">
      <c r="H22116" s="680" t="s">
        <v>6153</v>
      </c>
    </row>
    <row r="22117" spans="8:8">
      <c r="H22117" s="680" t="s">
        <v>6153</v>
      </c>
    </row>
    <row r="22118" spans="8:8">
      <c r="H22118" s="680" t="s">
        <v>6153</v>
      </c>
    </row>
    <row r="22119" spans="8:8">
      <c r="H22119" s="680" t="s">
        <v>6153</v>
      </c>
    </row>
    <row r="22120" spans="8:8">
      <c r="H22120" s="680" t="s">
        <v>6153</v>
      </c>
    </row>
    <row r="22121" spans="8:8">
      <c r="H22121" s="680" t="s">
        <v>6153</v>
      </c>
    </row>
    <row r="22122" spans="8:8">
      <c r="H22122" s="680" t="s">
        <v>6153</v>
      </c>
    </row>
    <row r="22123" spans="8:8">
      <c r="H22123" s="680" t="s">
        <v>6153</v>
      </c>
    </row>
    <row r="22124" spans="8:8">
      <c r="H22124" s="680" t="s">
        <v>6153</v>
      </c>
    </row>
    <row r="22125" spans="8:8">
      <c r="H22125" s="680" t="s">
        <v>6153</v>
      </c>
    </row>
    <row r="22126" spans="8:8">
      <c r="H22126" s="680" t="s">
        <v>6153</v>
      </c>
    </row>
    <row r="22127" spans="8:8">
      <c r="H22127" s="680" t="s">
        <v>6153</v>
      </c>
    </row>
    <row r="22128" spans="8:8">
      <c r="H22128" s="680" t="s">
        <v>6153</v>
      </c>
    </row>
    <row r="22129" spans="8:8">
      <c r="H22129" s="680" t="s">
        <v>6153</v>
      </c>
    </row>
    <row r="22130" spans="8:8">
      <c r="H22130" s="680" t="s">
        <v>6153</v>
      </c>
    </row>
    <row r="22131" spans="8:8">
      <c r="H22131" s="680" t="s">
        <v>6153</v>
      </c>
    </row>
    <row r="22132" spans="8:8">
      <c r="H22132" s="680" t="s">
        <v>6153</v>
      </c>
    </row>
    <row r="22133" spans="8:8">
      <c r="H22133" s="680" t="s">
        <v>6153</v>
      </c>
    </row>
    <row r="22134" spans="8:8">
      <c r="H22134" s="680" t="s">
        <v>6153</v>
      </c>
    </row>
    <row r="22135" spans="8:8">
      <c r="H22135" s="680" t="s">
        <v>6153</v>
      </c>
    </row>
    <row r="22136" spans="8:8">
      <c r="H22136" s="680" t="s">
        <v>6153</v>
      </c>
    </row>
    <row r="22137" spans="8:8">
      <c r="H22137" s="680" t="s">
        <v>6153</v>
      </c>
    </row>
    <row r="22138" spans="8:8">
      <c r="H22138" s="680" t="s">
        <v>6153</v>
      </c>
    </row>
    <row r="22139" spans="8:8">
      <c r="H22139" s="680" t="s">
        <v>6153</v>
      </c>
    </row>
    <row r="22140" spans="8:8">
      <c r="H22140" s="680" t="s">
        <v>6153</v>
      </c>
    </row>
    <row r="22141" spans="8:8">
      <c r="H22141" s="680" t="s">
        <v>6153</v>
      </c>
    </row>
    <row r="22142" spans="8:8">
      <c r="H22142" s="680" t="s">
        <v>6153</v>
      </c>
    </row>
    <row r="22143" spans="8:8">
      <c r="H22143" s="680" t="s">
        <v>6153</v>
      </c>
    </row>
    <row r="22144" spans="8:8">
      <c r="H22144" s="680" t="s">
        <v>6153</v>
      </c>
    </row>
    <row r="22145" spans="8:8">
      <c r="H22145" s="680" t="s">
        <v>6153</v>
      </c>
    </row>
    <row r="22146" spans="8:8">
      <c r="H22146" s="680" t="s">
        <v>6153</v>
      </c>
    </row>
    <row r="22147" spans="8:8">
      <c r="H22147" s="680" t="s">
        <v>6153</v>
      </c>
    </row>
    <row r="22148" spans="8:8">
      <c r="H22148" s="680" t="s">
        <v>6153</v>
      </c>
    </row>
    <row r="22149" spans="8:8">
      <c r="H22149" s="680" t="s">
        <v>6153</v>
      </c>
    </row>
    <row r="22150" spans="8:8">
      <c r="H22150" s="680" t="s">
        <v>6153</v>
      </c>
    </row>
    <row r="22151" spans="8:8">
      <c r="H22151" s="680" t="s">
        <v>6153</v>
      </c>
    </row>
    <row r="22152" spans="8:8">
      <c r="H22152" s="680" t="s">
        <v>6153</v>
      </c>
    </row>
    <row r="22153" spans="8:8">
      <c r="H22153" s="680" t="s">
        <v>6153</v>
      </c>
    </row>
    <row r="22154" spans="8:8">
      <c r="H22154" s="680" t="s">
        <v>6153</v>
      </c>
    </row>
    <row r="22155" spans="8:8">
      <c r="H22155" s="680" t="s">
        <v>6153</v>
      </c>
    </row>
    <row r="22156" spans="8:8">
      <c r="H22156" s="680" t="s">
        <v>6153</v>
      </c>
    </row>
    <row r="22157" spans="8:8">
      <c r="H22157" s="680" t="s">
        <v>6153</v>
      </c>
    </row>
    <row r="22158" spans="8:8">
      <c r="H22158" s="680" t="s">
        <v>6153</v>
      </c>
    </row>
    <row r="22159" spans="8:8">
      <c r="H22159" s="680" t="s">
        <v>6153</v>
      </c>
    </row>
    <row r="22160" spans="8:8">
      <c r="H22160" s="680" t="s">
        <v>6153</v>
      </c>
    </row>
    <row r="22161" spans="8:8">
      <c r="H22161" s="680" t="s">
        <v>6153</v>
      </c>
    </row>
    <row r="22162" spans="8:8">
      <c r="H22162" s="680" t="s">
        <v>6153</v>
      </c>
    </row>
    <row r="22163" spans="8:8">
      <c r="H22163" s="680" t="s">
        <v>6153</v>
      </c>
    </row>
    <row r="22164" spans="8:8">
      <c r="H22164" s="680" t="s">
        <v>6153</v>
      </c>
    </row>
    <row r="22165" spans="8:8">
      <c r="H22165" s="680" t="s">
        <v>6153</v>
      </c>
    </row>
    <row r="22166" spans="8:8">
      <c r="H22166" s="680" t="s">
        <v>6153</v>
      </c>
    </row>
    <row r="22167" spans="8:8">
      <c r="H22167" s="680" t="s">
        <v>6153</v>
      </c>
    </row>
    <row r="22168" spans="8:8">
      <c r="H22168" s="680" t="s">
        <v>6153</v>
      </c>
    </row>
    <row r="22169" spans="8:8">
      <c r="H22169" s="680" t="s">
        <v>6153</v>
      </c>
    </row>
    <row r="22170" spans="8:8">
      <c r="H22170" s="680" t="s">
        <v>6153</v>
      </c>
    </row>
    <row r="22171" spans="8:8">
      <c r="H22171" s="680" t="s">
        <v>6153</v>
      </c>
    </row>
    <row r="22172" spans="8:8">
      <c r="H22172" s="680" t="s">
        <v>6153</v>
      </c>
    </row>
    <row r="22173" spans="8:8">
      <c r="H22173" s="680" t="s">
        <v>6153</v>
      </c>
    </row>
    <row r="22174" spans="8:8">
      <c r="H22174" s="680" t="s">
        <v>6153</v>
      </c>
    </row>
    <row r="22175" spans="8:8">
      <c r="H22175" s="680" t="s">
        <v>6153</v>
      </c>
    </row>
    <row r="22176" spans="8:8">
      <c r="H22176" s="680" t="s">
        <v>6153</v>
      </c>
    </row>
    <row r="22177" spans="8:8">
      <c r="H22177" s="680" t="s">
        <v>6153</v>
      </c>
    </row>
    <row r="22178" spans="8:8">
      <c r="H22178" s="680" t="s">
        <v>6153</v>
      </c>
    </row>
    <row r="22179" spans="8:8">
      <c r="H22179" s="680" t="s">
        <v>6153</v>
      </c>
    </row>
    <row r="22180" spans="8:8">
      <c r="H22180" s="680" t="s">
        <v>6153</v>
      </c>
    </row>
    <row r="22181" spans="8:8">
      <c r="H22181" s="680" t="s">
        <v>6153</v>
      </c>
    </row>
    <row r="22182" spans="8:8">
      <c r="H22182" s="680" t="s">
        <v>6153</v>
      </c>
    </row>
    <row r="22183" spans="8:8">
      <c r="H22183" s="680" t="s">
        <v>6153</v>
      </c>
    </row>
    <row r="22184" spans="8:8">
      <c r="H22184" s="680" t="s">
        <v>6153</v>
      </c>
    </row>
    <row r="22185" spans="8:8">
      <c r="H22185" s="680" t="s">
        <v>6153</v>
      </c>
    </row>
    <row r="22186" spans="8:8">
      <c r="H22186" s="680" t="s">
        <v>6153</v>
      </c>
    </row>
    <row r="22187" spans="8:8">
      <c r="H22187" s="680" t="s">
        <v>6153</v>
      </c>
    </row>
    <row r="22188" spans="8:8">
      <c r="H22188" s="680" t="s">
        <v>6153</v>
      </c>
    </row>
    <row r="22189" spans="8:8">
      <c r="H22189" s="680" t="s">
        <v>6153</v>
      </c>
    </row>
    <row r="22190" spans="8:8">
      <c r="H22190" s="680" t="s">
        <v>6153</v>
      </c>
    </row>
    <row r="22191" spans="8:8">
      <c r="H22191" s="680" t="s">
        <v>6153</v>
      </c>
    </row>
    <row r="22192" spans="8:8">
      <c r="H22192" s="680" t="s">
        <v>6153</v>
      </c>
    </row>
    <row r="22193" spans="8:8">
      <c r="H22193" s="680" t="s">
        <v>6153</v>
      </c>
    </row>
    <row r="22194" spans="8:8">
      <c r="H22194" s="680" t="s">
        <v>6153</v>
      </c>
    </row>
    <row r="22195" spans="8:8">
      <c r="H22195" s="680" t="s">
        <v>6153</v>
      </c>
    </row>
    <row r="22196" spans="8:8">
      <c r="H22196" s="680" t="s">
        <v>6153</v>
      </c>
    </row>
    <row r="22197" spans="8:8">
      <c r="H22197" s="680" t="s">
        <v>6153</v>
      </c>
    </row>
    <row r="22198" spans="8:8">
      <c r="H22198" s="680" t="s">
        <v>6153</v>
      </c>
    </row>
    <row r="22199" spans="8:8">
      <c r="H22199" s="680" t="s">
        <v>6153</v>
      </c>
    </row>
    <row r="22200" spans="8:8">
      <c r="H22200" s="680" t="s">
        <v>6153</v>
      </c>
    </row>
    <row r="22201" spans="8:8">
      <c r="H22201" s="680" t="s">
        <v>6153</v>
      </c>
    </row>
    <row r="22202" spans="8:8">
      <c r="H22202" s="680" t="s">
        <v>6153</v>
      </c>
    </row>
    <row r="22203" spans="8:8">
      <c r="H22203" s="680" t="s">
        <v>6153</v>
      </c>
    </row>
    <row r="22204" spans="8:8">
      <c r="H22204" s="680" t="s">
        <v>6153</v>
      </c>
    </row>
    <row r="22205" spans="8:8">
      <c r="H22205" s="680" t="s">
        <v>6153</v>
      </c>
    </row>
    <row r="22206" spans="8:8">
      <c r="H22206" s="680" t="s">
        <v>6153</v>
      </c>
    </row>
    <row r="22207" spans="8:8">
      <c r="H22207" s="680" t="s">
        <v>6153</v>
      </c>
    </row>
    <row r="22208" spans="8:8">
      <c r="H22208" s="680" t="s">
        <v>6153</v>
      </c>
    </row>
    <row r="22209" spans="8:8">
      <c r="H22209" s="680" t="s">
        <v>6153</v>
      </c>
    </row>
    <row r="22210" spans="8:8">
      <c r="H22210" s="680" t="s">
        <v>6153</v>
      </c>
    </row>
    <row r="22211" spans="8:8">
      <c r="H22211" s="680" t="s">
        <v>6153</v>
      </c>
    </row>
    <row r="22212" spans="8:8">
      <c r="H22212" s="680" t="s">
        <v>6153</v>
      </c>
    </row>
    <row r="22213" spans="8:8">
      <c r="H22213" s="680" t="s">
        <v>6153</v>
      </c>
    </row>
    <row r="22214" spans="8:8">
      <c r="H22214" s="680" t="s">
        <v>6153</v>
      </c>
    </row>
    <row r="22215" spans="8:8">
      <c r="H22215" s="680" t="s">
        <v>6153</v>
      </c>
    </row>
    <row r="22216" spans="8:8">
      <c r="H22216" s="680" t="s">
        <v>6153</v>
      </c>
    </row>
    <row r="22217" spans="8:8">
      <c r="H22217" s="680" t="s">
        <v>6153</v>
      </c>
    </row>
    <row r="22218" spans="8:8">
      <c r="H22218" s="680" t="s">
        <v>6153</v>
      </c>
    </row>
    <row r="22219" spans="8:8">
      <c r="H22219" s="680" t="s">
        <v>6153</v>
      </c>
    </row>
    <row r="22220" spans="8:8">
      <c r="H22220" s="680" t="s">
        <v>6153</v>
      </c>
    </row>
    <row r="22221" spans="8:8">
      <c r="H22221" s="680" t="s">
        <v>6153</v>
      </c>
    </row>
    <row r="22222" spans="8:8">
      <c r="H22222" s="680" t="s">
        <v>6153</v>
      </c>
    </row>
    <row r="22223" spans="8:8">
      <c r="H22223" s="680" t="s">
        <v>6153</v>
      </c>
    </row>
    <row r="22224" spans="8:8">
      <c r="H22224" s="680" t="s">
        <v>6153</v>
      </c>
    </row>
    <row r="22225" spans="8:8">
      <c r="H22225" s="680" t="s">
        <v>6153</v>
      </c>
    </row>
    <row r="22226" spans="8:8">
      <c r="H22226" s="680" t="s">
        <v>6153</v>
      </c>
    </row>
    <row r="22227" spans="8:8">
      <c r="H22227" s="680" t="s">
        <v>6153</v>
      </c>
    </row>
    <row r="22228" spans="8:8">
      <c r="H22228" s="680" t="s">
        <v>6153</v>
      </c>
    </row>
    <row r="22229" spans="8:8">
      <c r="H22229" s="680" t="s">
        <v>6153</v>
      </c>
    </row>
    <row r="22230" spans="8:8">
      <c r="H22230" s="680" t="s">
        <v>6153</v>
      </c>
    </row>
    <row r="22231" spans="8:8">
      <c r="H22231" s="680" t="s">
        <v>6153</v>
      </c>
    </row>
    <row r="22232" spans="8:8">
      <c r="H22232" s="680" t="s">
        <v>6153</v>
      </c>
    </row>
    <row r="22233" spans="8:8">
      <c r="H22233" s="680" t="s">
        <v>6153</v>
      </c>
    </row>
    <row r="22234" spans="8:8">
      <c r="H22234" s="680" t="s">
        <v>6153</v>
      </c>
    </row>
    <row r="22235" spans="8:8">
      <c r="H22235" s="680" t="s">
        <v>6153</v>
      </c>
    </row>
    <row r="22236" spans="8:8">
      <c r="H22236" s="680" t="s">
        <v>6153</v>
      </c>
    </row>
    <row r="22237" spans="8:8">
      <c r="H22237" s="680" t="s">
        <v>6153</v>
      </c>
    </row>
    <row r="22238" spans="8:8">
      <c r="H22238" s="680" t="s">
        <v>6153</v>
      </c>
    </row>
    <row r="22239" spans="8:8">
      <c r="H22239" s="680" t="s">
        <v>6153</v>
      </c>
    </row>
    <row r="22240" spans="8:8">
      <c r="H22240" s="680" t="s">
        <v>6153</v>
      </c>
    </row>
    <row r="22241" spans="8:8">
      <c r="H22241" s="680" t="s">
        <v>6153</v>
      </c>
    </row>
    <row r="22242" spans="8:8">
      <c r="H22242" s="680" t="s">
        <v>6153</v>
      </c>
    </row>
    <row r="22243" spans="8:8">
      <c r="H22243" s="680" t="s">
        <v>6153</v>
      </c>
    </row>
    <row r="22244" spans="8:8">
      <c r="H22244" s="680" t="s">
        <v>6153</v>
      </c>
    </row>
    <row r="22245" spans="8:8">
      <c r="H22245" s="680" t="s">
        <v>6153</v>
      </c>
    </row>
    <row r="22246" spans="8:8">
      <c r="H22246" s="680" t="s">
        <v>6153</v>
      </c>
    </row>
    <row r="22247" spans="8:8">
      <c r="H22247" s="680" t="s">
        <v>6153</v>
      </c>
    </row>
    <row r="22248" spans="8:8">
      <c r="H22248" s="680" t="s">
        <v>6153</v>
      </c>
    </row>
    <row r="22249" spans="8:8">
      <c r="H22249" s="680" t="s">
        <v>6153</v>
      </c>
    </row>
    <row r="22250" spans="8:8">
      <c r="H22250" s="680" t="s">
        <v>6153</v>
      </c>
    </row>
    <row r="22251" spans="8:8">
      <c r="H22251" s="680" t="s">
        <v>6153</v>
      </c>
    </row>
    <row r="22252" spans="8:8">
      <c r="H22252" s="680" t="s">
        <v>6153</v>
      </c>
    </row>
    <row r="22253" spans="8:8">
      <c r="H22253" s="680" t="s">
        <v>6153</v>
      </c>
    </row>
    <row r="22254" spans="8:8">
      <c r="H22254" s="680" t="s">
        <v>6153</v>
      </c>
    </row>
    <row r="22255" spans="8:8">
      <c r="H22255" s="680" t="s">
        <v>6153</v>
      </c>
    </row>
    <row r="22256" spans="8:8">
      <c r="H22256" s="680" t="s">
        <v>6153</v>
      </c>
    </row>
    <row r="22257" spans="8:8">
      <c r="H22257" s="680" t="s">
        <v>6153</v>
      </c>
    </row>
    <row r="22258" spans="8:8">
      <c r="H22258" s="680" t="s">
        <v>6153</v>
      </c>
    </row>
    <row r="22259" spans="8:8">
      <c r="H22259" s="680" t="s">
        <v>6153</v>
      </c>
    </row>
    <row r="22260" spans="8:8">
      <c r="H22260" s="680" t="s">
        <v>6153</v>
      </c>
    </row>
    <row r="22261" spans="8:8">
      <c r="H22261" s="680" t="s">
        <v>6153</v>
      </c>
    </row>
    <row r="22262" spans="8:8">
      <c r="H22262" s="680" t="s">
        <v>6153</v>
      </c>
    </row>
    <row r="22263" spans="8:8">
      <c r="H22263" s="680" t="s">
        <v>6153</v>
      </c>
    </row>
    <row r="22264" spans="8:8">
      <c r="H22264" s="680" t="s">
        <v>6153</v>
      </c>
    </row>
    <row r="22265" spans="8:8">
      <c r="H22265" s="680" t="s">
        <v>6153</v>
      </c>
    </row>
    <row r="22266" spans="8:8">
      <c r="H22266" s="680" t="s">
        <v>6153</v>
      </c>
    </row>
    <row r="22267" spans="8:8">
      <c r="H22267" s="680" t="s">
        <v>6153</v>
      </c>
    </row>
    <row r="22268" spans="8:8">
      <c r="H22268" s="680" t="s">
        <v>6153</v>
      </c>
    </row>
    <row r="22269" spans="8:8">
      <c r="H22269" s="680" t="s">
        <v>6153</v>
      </c>
    </row>
    <row r="22270" spans="8:8">
      <c r="H22270" s="680" t="s">
        <v>6153</v>
      </c>
    </row>
    <row r="22271" spans="8:8">
      <c r="H22271" s="680" t="s">
        <v>6153</v>
      </c>
    </row>
    <row r="22272" spans="8:8">
      <c r="H22272" s="680" t="s">
        <v>6153</v>
      </c>
    </row>
    <row r="22273" spans="8:8">
      <c r="H22273" s="680" t="s">
        <v>6153</v>
      </c>
    </row>
    <row r="22274" spans="8:8">
      <c r="H22274" s="680" t="s">
        <v>6153</v>
      </c>
    </row>
    <row r="22275" spans="8:8">
      <c r="H22275" s="680" t="s">
        <v>6153</v>
      </c>
    </row>
    <row r="22276" spans="8:8">
      <c r="H22276" s="680" t="s">
        <v>6153</v>
      </c>
    </row>
    <row r="22277" spans="8:8">
      <c r="H22277" s="680" t="s">
        <v>6153</v>
      </c>
    </row>
    <row r="22278" spans="8:8">
      <c r="H22278" s="680" t="s">
        <v>6153</v>
      </c>
    </row>
    <row r="22279" spans="8:8">
      <c r="H22279" s="680" t="s">
        <v>6153</v>
      </c>
    </row>
    <row r="22280" spans="8:8">
      <c r="H22280" s="680" t="s">
        <v>6153</v>
      </c>
    </row>
    <row r="22281" spans="8:8">
      <c r="H22281" s="680" t="s">
        <v>6153</v>
      </c>
    </row>
    <row r="22282" spans="8:8">
      <c r="H22282" s="680" t="s">
        <v>6153</v>
      </c>
    </row>
    <row r="22283" spans="8:8">
      <c r="H22283" s="680" t="s">
        <v>6153</v>
      </c>
    </row>
    <row r="22284" spans="8:8">
      <c r="H22284" s="680" t="s">
        <v>6153</v>
      </c>
    </row>
    <row r="22285" spans="8:8">
      <c r="H22285" s="680" t="s">
        <v>6153</v>
      </c>
    </row>
    <row r="22286" spans="8:8">
      <c r="H22286" s="680" t="s">
        <v>6153</v>
      </c>
    </row>
    <row r="22287" spans="8:8">
      <c r="H22287" s="680" t="s">
        <v>6153</v>
      </c>
    </row>
    <row r="22288" spans="8:8">
      <c r="H22288" s="680" t="s">
        <v>6153</v>
      </c>
    </row>
    <row r="22289" spans="8:8">
      <c r="H22289" s="680" t="s">
        <v>6153</v>
      </c>
    </row>
    <row r="22290" spans="8:8">
      <c r="H22290" s="680" t="s">
        <v>6153</v>
      </c>
    </row>
    <row r="22291" spans="8:8">
      <c r="H22291" s="680" t="s">
        <v>6153</v>
      </c>
    </row>
    <row r="22292" spans="8:8">
      <c r="H22292" s="680" t="s">
        <v>6153</v>
      </c>
    </row>
    <row r="22293" spans="8:8">
      <c r="H22293" s="680" t="s">
        <v>6153</v>
      </c>
    </row>
    <row r="22294" spans="8:8">
      <c r="H22294" s="680" t="s">
        <v>6153</v>
      </c>
    </row>
    <row r="22295" spans="8:8">
      <c r="H22295" s="680" t="s">
        <v>6153</v>
      </c>
    </row>
    <row r="22296" spans="8:8">
      <c r="H22296" s="680" t="s">
        <v>6153</v>
      </c>
    </row>
    <row r="22297" spans="8:8">
      <c r="H22297" s="680" t="s">
        <v>6153</v>
      </c>
    </row>
    <row r="22298" spans="8:8">
      <c r="H22298" s="680" t="s">
        <v>6153</v>
      </c>
    </row>
    <row r="22299" spans="8:8">
      <c r="H22299" s="680" t="s">
        <v>6153</v>
      </c>
    </row>
    <row r="22300" spans="8:8">
      <c r="H22300" s="680" t="s">
        <v>6153</v>
      </c>
    </row>
    <row r="22301" spans="8:8">
      <c r="H22301" s="680" t="s">
        <v>6153</v>
      </c>
    </row>
    <row r="22302" spans="8:8">
      <c r="H22302" s="680" t="s">
        <v>6153</v>
      </c>
    </row>
    <row r="22303" spans="8:8">
      <c r="H22303" s="680" t="s">
        <v>6153</v>
      </c>
    </row>
    <row r="22304" spans="8:8">
      <c r="H22304" s="680" t="s">
        <v>6153</v>
      </c>
    </row>
    <row r="22305" spans="8:8">
      <c r="H22305" s="680" t="s">
        <v>6153</v>
      </c>
    </row>
    <row r="22306" spans="8:8">
      <c r="H22306" s="680" t="s">
        <v>6153</v>
      </c>
    </row>
    <row r="22307" spans="8:8">
      <c r="H22307" s="680" t="s">
        <v>6153</v>
      </c>
    </row>
    <row r="22308" spans="8:8">
      <c r="H22308" s="680" t="s">
        <v>6153</v>
      </c>
    </row>
    <row r="22309" spans="8:8">
      <c r="H22309" s="680" t="s">
        <v>6153</v>
      </c>
    </row>
    <row r="22310" spans="8:8">
      <c r="H22310" s="680" t="s">
        <v>6153</v>
      </c>
    </row>
    <row r="22311" spans="8:8">
      <c r="H22311" s="680" t="s">
        <v>6153</v>
      </c>
    </row>
    <row r="22312" spans="8:8">
      <c r="H22312" s="680" t="s">
        <v>6153</v>
      </c>
    </row>
    <row r="22313" spans="8:8">
      <c r="H22313" s="680" t="s">
        <v>6153</v>
      </c>
    </row>
    <row r="22314" spans="8:8">
      <c r="H22314" s="680" t="s">
        <v>6153</v>
      </c>
    </row>
    <row r="22315" spans="8:8">
      <c r="H22315" s="680" t="s">
        <v>6153</v>
      </c>
    </row>
    <row r="22316" spans="8:8">
      <c r="H22316" s="680" t="s">
        <v>6153</v>
      </c>
    </row>
    <row r="22317" spans="8:8">
      <c r="H22317" s="680" t="s">
        <v>6153</v>
      </c>
    </row>
    <row r="22318" spans="8:8">
      <c r="H22318" s="680" t="s">
        <v>6153</v>
      </c>
    </row>
    <row r="22319" spans="8:8">
      <c r="H22319" s="680" t="s">
        <v>6153</v>
      </c>
    </row>
    <row r="22320" spans="8:8">
      <c r="H22320" s="680" t="s">
        <v>6153</v>
      </c>
    </row>
    <row r="22321" spans="8:8">
      <c r="H22321" s="680" t="s">
        <v>6153</v>
      </c>
    </row>
    <row r="22322" spans="8:8">
      <c r="H22322" s="680" t="s">
        <v>6153</v>
      </c>
    </row>
    <row r="22323" spans="8:8">
      <c r="H22323" s="680" t="s">
        <v>6153</v>
      </c>
    </row>
    <row r="22324" spans="8:8">
      <c r="H22324" s="680" t="s">
        <v>6153</v>
      </c>
    </row>
    <row r="22325" spans="8:8">
      <c r="H22325" s="680" t="s">
        <v>6153</v>
      </c>
    </row>
    <row r="22326" spans="8:8">
      <c r="H22326" s="680" t="s">
        <v>6153</v>
      </c>
    </row>
    <row r="22327" spans="8:8">
      <c r="H22327" s="680" t="s">
        <v>6153</v>
      </c>
    </row>
    <row r="22328" spans="8:8">
      <c r="H22328" s="680" t="s">
        <v>6153</v>
      </c>
    </row>
    <row r="22329" spans="8:8">
      <c r="H22329" s="680" t="s">
        <v>6153</v>
      </c>
    </row>
    <row r="22330" spans="8:8">
      <c r="H22330" s="680" t="s">
        <v>6153</v>
      </c>
    </row>
    <row r="22331" spans="8:8">
      <c r="H22331" s="680" t="s">
        <v>6153</v>
      </c>
    </row>
    <row r="22332" spans="8:8">
      <c r="H22332" s="680" t="s">
        <v>6153</v>
      </c>
    </row>
    <row r="22333" spans="8:8">
      <c r="H22333" s="680" t="s">
        <v>6153</v>
      </c>
    </row>
    <row r="22334" spans="8:8">
      <c r="H22334" s="680" t="s">
        <v>6153</v>
      </c>
    </row>
    <row r="22335" spans="8:8">
      <c r="H22335" s="680" t="s">
        <v>6153</v>
      </c>
    </row>
    <row r="22336" spans="8:8">
      <c r="H22336" s="680" t="s">
        <v>6153</v>
      </c>
    </row>
    <row r="22337" spans="8:8">
      <c r="H22337" s="680" t="s">
        <v>6153</v>
      </c>
    </row>
    <row r="22338" spans="8:8">
      <c r="H22338" s="680" t="s">
        <v>6153</v>
      </c>
    </row>
    <row r="22339" spans="8:8">
      <c r="H22339" s="680" t="s">
        <v>6153</v>
      </c>
    </row>
    <row r="22340" spans="8:8">
      <c r="H22340" s="680" t="s">
        <v>6153</v>
      </c>
    </row>
    <row r="22341" spans="8:8">
      <c r="H22341" s="680" t="s">
        <v>6153</v>
      </c>
    </row>
    <row r="22342" spans="8:8">
      <c r="H22342" s="680" t="s">
        <v>6153</v>
      </c>
    </row>
    <row r="22343" spans="8:8">
      <c r="H22343" s="680" t="s">
        <v>6153</v>
      </c>
    </row>
    <row r="22344" spans="8:8">
      <c r="H22344" s="680" t="s">
        <v>6153</v>
      </c>
    </row>
    <row r="22345" spans="8:8">
      <c r="H22345" s="680" t="s">
        <v>6153</v>
      </c>
    </row>
    <row r="22346" spans="8:8">
      <c r="H22346" s="680" t="s">
        <v>6153</v>
      </c>
    </row>
    <row r="22347" spans="8:8">
      <c r="H22347" s="680" t="s">
        <v>6153</v>
      </c>
    </row>
    <row r="22348" spans="8:8">
      <c r="H22348" s="680" t="s">
        <v>6153</v>
      </c>
    </row>
    <row r="22349" spans="8:8">
      <c r="H22349" s="680" t="s">
        <v>6153</v>
      </c>
    </row>
    <row r="22350" spans="8:8">
      <c r="H22350" s="680" t="s">
        <v>6153</v>
      </c>
    </row>
    <row r="22351" spans="8:8">
      <c r="H22351" s="680" t="s">
        <v>6153</v>
      </c>
    </row>
    <row r="22352" spans="8:8">
      <c r="H22352" s="680" t="s">
        <v>6153</v>
      </c>
    </row>
    <row r="22353" spans="8:8">
      <c r="H22353" s="680" t="s">
        <v>6153</v>
      </c>
    </row>
    <row r="22354" spans="8:8">
      <c r="H22354" s="680" t="s">
        <v>6153</v>
      </c>
    </row>
    <row r="22355" spans="8:8">
      <c r="H22355" s="680" t="s">
        <v>6153</v>
      </c>
    </row>
    <row r="22356" spans="8:8">
      <c r="H22356" s="680" t="s">
        <v>6153</v>
      </c>
    </row>
    <row r="22357" spans="8:8">
      <c r="H22357" s="680" t="s">
        <v>6153</v>
      </c>
    </row>
    <row r="22358" spans="8:8">
      <c r="H22358" s="680" t="s">
        <v>6153</v>
      </c>
    </row>
    <row r="22359" spans="8:8">
      <c r="H22359" s="680" t="s">
        <v>6153</v>
      </c>
    </row>
    <row r="22360" spans="8:8">
      <c r="H22360" s="680" t="s">
        <v>6153</v>
      </c>
    </row>
    <row r="22361" spans="8:8">
      <c r="H22361" s="680" t="s">
        <v>6153</v>
      </c>
    </row>
    <row r="22362" spans="8:8">
      <c r="H22362" s="680" t="s">
        <v>6153</v>
      </c>
    </row>
    <row r="22363" spans="8:8">
      <c r="H22363" s="680" t="s">
        <v>6153</v>
      </c>
    </row>
    <row r="22364" spans="8:8">
      <c r="H22364" s="680" t="s">
        <v>6153</v>
      </c>
    </row>
    <row r="22365" spans="8:8">
      <c r="H22365" s="680" t="s">
        <v>6153</v>
      </c>
    </row>
    <row r="22366" spans="8:8">
      <c r="H22366" s="680" t="s">
        <v>6153</v>
      </c>
    </row>
    <row r="22367" spans="8:8">
      <c r="H22367" s="680" t="s">
        <v>6153</v>
      </c>
    </row>
    <row r="22368" spans="8:8">
      <c r="H22368" s="680" t="s">
        <v>6153</v>
      </c>
    </row>
    <row r="22369" spans="8:8">
      <c r="H22369" s="680" t="s">
        <v>6153</v>
      </c>
    </row>
    <row r="22370" spans="8:8">
      <c r="H22370" s="680" t="s">
        <v>6153</v>
      </c>
    </row>
    <row r="22371" spans="8:8">
      <c r="H22371" s="680" t="s">
        <v>6153</v>
      </c>
    </row>
    <row r="22372" spans="8:8">
      <c r="H22372" s="680" t="s">
        <v>6153</v>
      </c>
    </row>
    <row r="22373" spans="8:8">
      <c r="H22373" s="680" t="s">
        <v>6153</v>
      </c>
    </row>
    <row r="22374" spans="8:8">
      <c r="H22374" s="680" t="s">
        <v>6153</v>
      </c>
    </row>
    <row r="22375" spans="8:8">
      <c r="H22375" s="680" t="s">
        <v>6153</v>
      </c>
    </row>
    <row r="22376" spans="8:8">
      <c r="H22376" s="680" t="s">
        <v>6153</v>
      </c>
    </row>
    <row r="22377" spans="8:8">
      <c r="H22377" s="680" t="s">
        <v>6153</v>
      </c>
    </row>
    <row r="22378" spans="8:8">
      <c r="H22378" s="680" t="s">
        <v>6153</v>
      </c>
    </row>
    <row r="22379" spans="8:8">
      <c r="H22379" s="680" t="s">
        <v>6153</v>
      </c>
    </row>
    <row r="22380" spans="8:8">
      <c r="H22380" s="680" t="s">
        <v>6153</v>
      </c>
    </row>
    <row r="22381" spans="8:8">
      <c r="H22381" s="680" t="s">
        <v>6153</v>
      </c>
    </row>
    <row r="22382" spans="8:8">
      <c r="H22382" s="680" t="s">
        <v>6153</v>
      </c>
    </row>
    <row r="22383" spans="8:8">
      <c r="H22383" s="680" t="s">
        <v>6153</v>
      </c>
    </row>
    <row r="22384" spans="8:8">
      <c r="H22384" s="680" t="s">
        <v>6153</v>
      </c>
    </row>
    <row r="22385" spans="8:8">
      <c r="H22385" s="680" t="s">
        <v>6153</v>
      </c>
    </row>
    <row r="22386" spans="8:8">
      <c r="H22386" s="680" t="s">
        <v>6153</v>
      </c>
    </row>
    <row r="22387" spans="8:8">
      <c r="H22387" s="680" t="s">
        <v>6153</v>
      </c>
    </row>
    <row r="22388" spans="8:8">
      <c r="H22388" s="680" t="s">
        <v>6153</v>
      </c>
    </row>
    <row r="22389" spans="8:8">
      <c r="H22389" s="680" t="s">
        <v>6153</v>
      </c>
    </row>
    <row r="22390" spans="8:8">
      <c r="H22390" s="680" t="s">
        <v>6153</v>
      </c>
    </row>
    <row r="22391" spans="8:8">
      <c r="H22391" s="680" t="s">
        <v>6153</v>
      </c>
    </row>
    <row r="22392" spans="8:8">
      <c r="H22392" s="680" t="s">
        <v>6153</v>
      </c>
    </row>
    <row r="22393" spans="8:8">
      <c r="H22393" s="680" t="s">
        <v>6153</v>
      </c>
    </row>
    <row r="22394" spans="8:8">
      <c r="H22394" s="680" t="s">
        <v>6153</v>
      </c>
    </row>
    <row r="22395" spans="8:8">
      <c r="H22395" s="680" t="s">
        <v>6153</v>
      </c>
    </row>
    <row r="22396" spans="8:8">
      <c r="H22396" s="680" t="s">
        <v>6153</v>
      </c>
    </row>
    <row r="22397" spans="8:8">
      <c r="H22397" s="680" t="s">
        <v>6153</v>
      </c>
    </row>
    <row r="22398" spans="8:8">
      <c r="H22398" s="680" t="s">
        <v>6153</v>
      </c>
    </row>
    <row r="22399" spans="8:8">
      <c r="H22399" s="680" t="s">
        <v>6153</v>
      </c>
    </row>
    <row r="22400" spans="8:8">
      <c r="H22400" s="680" t="s">
        <v>6153</v>
      </c>
    </row>
    <row r="22401" spans="8:8">
      <c r="H22401" s="680" t="s">
        <v>6153</v>
      </c>
    </row>
    <row r="22402" spans="8:8">
      <c r="H22402" s="680" t="s">
        <v>6153</v>
      </c>
    </row>
    <row r="22403" spans="8:8">
      <c r="H22403" s="680" t="s">
        <v>6153</v>
      </c>
    </row>
    <row r="22404" spans="8:8">
      <c r="H22404" s="680" t="s">
        <v>6153</v>
      </c>
    </row>
    <row r="22405" spans="8:8">
      <c r="H22405" s="680" t="s">
        <v>6153</v>
      </c>
    </row>
    <row r="22406" spans="8:8">
      <c r="H22406" s="680" t="s">
        <v>6153</v>
      </c>
    </row>
    <row r="22407" spans="8:8">
      <c r="H22407" s="680" t="s">
        <v>6153</v>
      </c>
    </row>
    <row r="22408" spans="8:8">
      <c r="H22408" s="680" t="s">
        <v>6153</v>
      </c>
    </row>
    <row r="22409" spans="8:8">
      <c r="H22409" s="680" t="s">
        <v>6153</v>
      </c>
    </row>
    <row r="22410" spans="8:8">
      <c r="H22410" s="680" t="s">
        <v>6153</v>
      </c>
    </row>
    <row r="22411" spans="8:8">
      <c r="H22411" s="680" t="s">
        <v>6153</v>
      </c>
    </row>
    <row r="22412" spans="8:8">
      <c r="H22412" s="680" t="s">
        <v>6153</v>
      </c>
    </row>
    <row r="22413" spans="8:8">
      <c r="H22413" s="680" t="s">
        <v>6153</v>
      </c>
    </row>
    <row r="22414" spans="8:8">
      <c r="H22414" s="680" t="s">
        <v>6153</v>
      </c>
    </row>
    <row r="22415" spans="8:8">
      <c r="H22415" s="680" t="s">
        <v>6153</v>
      </c>
    </row>
    <row r="22416" spans="8:8">
      <c r="H22416" s="680" t="s">
        <v>6153</v>
      </c>
    </row>
    <row r="22417" spans="8:8">
      <c r="H22417" s="680" t="s">
        <v>6153</v>
      </c>
    </row>
    <row r="22418" spans="8:8">
      <c r="H22418" s="680" t="s">
        <v>6153</v>
      </c>
    </row>
    <row r="22419" spans="8:8">
      <c r="H22419" s="680" t="s">
        <v>6153</v>
      </c>
    </row>
    <row r="22420" spans="8:8">
      <c r="H22420" s="680" t="s">
        <v>6153</v>
      </c>
    </row>
    <row r="22421" spans="8:8">
      <c r="H22421" s="680" t="s">
        <v>6153</v>
      </c>
    </row>
    <row r="22422" spans="8:8">
      <c r="H22422" s="680" t="s">
        <v>6153</v>
      </c>
    </row>
    <row r="22423" spans="8:8">
      <c r="H22423" s="680" t="s">
        <v>6153</v>
      </c>
    </row>
    <row r="22424" spans="8:8">
      <c r="H22424" s="680" t="s">
        <v>6153</v>
      </c>
    </row>
    <row r="22425" spans="8:8">
      <c r="H22425" s="680" t="s">
        <v>6153</v>
      </c>
    </row>
    <row r="22426" spans="8:8">
      <c r="H22426" s="680" t="s">
        <v>6153</v>
      </c>
    </row>
    <row r="22427" spans="8:8">
      <c r="H22427" s="680" t="s">
        <v>6153</v>
      </c>
    </row>
    <row r="22428" spans="8:8">
      <c r="H22428" s="680" t="s">
        <v>6153</v>
      </c>
    </row>
    <row r="22429" spans="8:8">
      <c r="H22429" s="680" t="s">
        <v>6153</v>
      </c>
    </row>
    <row r="22430" spans="8:8">
      <c r="H22430" s="680" t="s">
        <v>6153</v>
      </c>
    </row>
    <row r="22431" spans="8:8">
      <c r="H22431" s="680" t="s">
        <v>6153</v>
      </c>
    </row>
    <row r="22432" spans="8:8">
      <c r="H22432" s="680" t="s">
        <v>6153</v>
      </c>
    </row>
    <row r="22433" spans="8:8">
      <c r="H22433" s="680" t="s">
        <v>6153</v>
      </c>
    </row>
    <row r="22434" spans="8:8">
      <c r="H22434" s="680" t="s">
        <v>6153</v>
      </c>
    </row>
    <row r="22435" spans="8:8">
      <c r="H22435" s="680" t="s">
        <v>6153</v>
      </c>
    </row>
    <row r="22436" spans="8:8">
      <c r="H22436" s="680" t="s">
        <v>6153</v>
      </c>
    </row>
    <row r="22437" spans="8:8">
      <c r="H22437" s="680" t="s">
        <v>6153</v>
      </c>
    </row>
    <row r="22438" spans="8:8">
      <c r="H22438" s="680" t="s">
        <v>6153</v>
      </c>
    </row>
    <row r="22439" spans="8:8">
      <c r="H22439" s="680" t="s">
        <v>6153</v>
      </c>
    </row>
    <row r="22440" spans="8:8">
      <c r="H22440" s="680" t="s">
        <v>6153</v>
      </c>
    </row>
    <row r="22441" spans="8:8">
      <c r="H22441" s="680" t="s">
        <v>6153</v>
      </c>
    </row>
    <row r="22442" spans="8:8">
      <c r="H22442" s="680" t="s">
        <v>6153</v>
      </c>
    </row>
    <row r="22443" spans="8:8">
      <c r="H22443" s="680" t="s">
        <v>6153</v>
      </c>
    </row>
    <row r="22444" spans="8:8">
      <c r="H22444" s="680" t="s">
        <v>6153</v>
      </c>
    </row>
    <row r="22445" spans="8:8">
      <c r="H22445" s="680" t="s">
        <v>6153</v>
      </c>
    </row>
    <row r="22446" spans="8:8">
      <c r="H22446" s="680" t="s">
        <v>6153</v>
      </c>
    </row>
    <row r="22447" spans="8:8">
      <c r="H22447" s="680" t="s">
        <v>6153</v>
      </c>
    </row>
    <row r="22448" spans="8:8">
      <c r="H22448" s="680" t="s">
        <v>6153</v>
      </c>
    </row>
    <row r="22449" spans="8:8">
      <c r="H22449" s="680" t="s">
        <v>6153</v>
      </c>
    </row>
    <row r="22450" spans="8:8">
      <c r="H22450" s="680" t="s">
        <v>6153</v>
      </c>
    </row>
    <row r="22451" spans="8:8">
      <c r="H22451" s="680" t="s">
        <v>6153</v>
      </c>
    </row>
    <row r="22452" spans="8:8">
      <c r="H22452" s="680" t="s">
        <v>6153</v>
      </c>
    </row>
    <row r="22453" spans="8:8">
      <c r="H22453" s="680" t="s">
        <v>6153</v>
      </c>
    </row>
    <row r="22454" spans="8:8">
      <c r="H22454" s="680" t="s">
        <v>6153</v>
      </c>
    </row>
    <row r="22455" spans="8:8">
      <c r="H22455" s="680" t="s">
        <v>6153</v>
      </c>
    </row>
    <row r="22456" spans="8:8">
      <c r="H22456" s="680" t="s">
        <v>6153</v>
      </c>
    </row>
    <row r="22457" spans="8:8">
      <c r="H22457" s="680" t="s">
        <v>6153</v>
      </c>
    </row>
    <row r="22458" spans="8:8">
      <c r="H22458" s="680" t="s">
        <v>6153</v>
      </c>
    </row>
    <row r="22459" spans="8:8">
      <c r="H22459" s="680" t="s">
        <v>6153</v>
      </c>
    </row>
    <row r="22460" spans="8:8">
      <c r="H22460" s="680" t="s">
        <v>6153</v>
      </c>
    </row>
    <row r="22461" spans="8:8">
      <c r="H22461" s="680" t="s">
        <v>6153</v>
      </c>
    </row>
    <row r="22462" spans="8:8">
      <c r="H22462" s="680" t="s">
        <v>6153</v>
      </c>
    </row>
    <row r="22463" spans="8:8">
      <c r="H22463" s="680" t="s">
        <v>6153</v>
      </c>
    </row>
    <row r="22464" spans="8:8">
      <c r="H22464" s="680" t="s">
        <v>6153</v>
      </c>
    </row>
    <row r="22465" spans="8:8">
      <c r="H22465" s="680" t="s">
        <v>6153</v>
      </c>
    </row>
    <row r="22466" spans="8:8">
      <c r="H22466" s="680" t="s">
        <v>6153</v>
      </c>
    </row>
    <row r="22467" spans="8:8">
      <c r="H22467" s="680" t="s">
        <v>6153</v>
      </c>
    </row>
    <row r="22468" spans="8:8">
      <c r="H22468" s="680" t="s">
        <v>6153</v>
      </c>
    </row>
    <row r="22469" spans="8:8">
      <c r="H22469" s="680" t="s">
        <v>6153</v>
      </c>
    </row>
    <row r="22470" spans="8:8">
      <c r="H22470" s="680" t="s">
        <v>6153</v>
      </c>
    </row>
    <row r="22471" spans="8:8">
      <c r="H22471" s="680" t="s">
        <v>6153</v>
      </c>
    </row>
    <row r="22472" spans="8:8">
      <c r="H22472" s="680" t="s">
        <v>6153</v>
      </c>
    </row>
    <row r="22473" spans="8:8">
      <c r="H22473" s="680" t="s">
        <v>6153</v>
      </c>
    </row>
    <row r="22474" spans="8:8">
      <c r="H22474" s="680" t="s">
        <v>6153</v>
      </c>
    </row>
    <row r="22475" spans="8:8">
      <c r="H22475" s="680" t="s">
        <v>6153</v>
      </c>
    </row>
    <row r="22476" spans="8:8">
      <c r="H22476" s="680" t="s">
        <v>6153</v>
      </c>
    </row>
    <row r="22477" spans="8:8">
      <c r="H22477" s="680" t="s">
        <v>6153</v>
      </c>
    </row>
    <row r="22478" spans="8:8">
      <c r="H22478" s="680" t="s">
        <v>6153</v>
      </c>
    </row>
    <row r="22479" spans="8:8">
      <c r="H22479" s="680" t="s">
        <v>6153</v>
      </c>
    </row>
    <row r="22480" spans="8:8">
      <c r="H22480" s="680" t="s">
        <v>6153</v>
      </c>
    </row>
    <row r="22481" spans="8:8">
      <c r="H22481" s="680" t="s">
        <v>6153</v>
      </c>
    </row>
    <row r="22482" spans="8:8">
      <c r="H22482" s="680" t="s">
        <v>6153</v>
      </c>
    </row>
    <row r="22483" spans="8:8">
      <c r="H22483" s="680" t="s">
        <v>6153</v>
      </c>
    </row>
    <row r="22484" spans="8:8">
      <c r="H22484" s="680" t="s">
        <v>6153</v>
      </c>
    </row>
    <row r="22485" spans="8:8">
      <c r="H22485" s="680" t="s">
        <v>6153</v>
      </c>
    </row>
    <row r="22486" spans="8:8">
      <c r="H22486" s="680" t="s">
        <v>6153</v>
      </c>
    </row>
    <row r="22487" spans="8:8">
      <c r="H22487" s="680" t="s">
        <v>6153</v>
      </c>
    </row>
    <row r="22488" spans="8:8">
      <c r="H22488" s="680" t="s">
        <v>6153</v>
      </c>
    </row>
    <row r="22489" spans="8:8">
      <c r="H22489" s="680" t="s">
        <v>6153</v>
      </c>
    </row>
    <row r="22490" spans="8:8">
      <c r="H22490" s="680" t="s">
        <v>6153</v>
      </c>
    </row>
    <row r="22491" spans="8:8">
      <c r="H22491" s="680" t="s">
        <v>6153</v>
      </c>
    </row>
    <row r="22492" spans="8:8">
      <c r="H22492" s="680" t="s">
        <v>6153</v>
      </c>
    </row>
    <row r="22493" spans="8:8">
      <c r="H22493" s="680" t="s">
        <v>6153</v>
      </c>
    </row>
    <row r="22494" spans="8:8">
      <c r="H22494" s="680" t="s">
        <v>6153</v>
      </c>
    </row>
    <row r="22495" spans="8:8">
      <c r="H22495" s="680" t="s">
        <v>6153</v>
      </c>
    </row>
    <row r="22496" spans="8:8">
      <c r="H22496" s="680" t="s">
        <v>6153</v>
      </c>
    </row>
    <row r="22497" spans="8:8">
      <c r="H22497" s="680" t="s">
        <v>6153</v>
      </c>
    </row>
    <row r="22498" spans="8:8">
      <c r="H22498" s="680" t="s">
        <v>6153</v>
      </c>
    </row>
    <row r="22499" spans="8:8">
      <c r="H22499" s="680" t="s">
        <v>6153</v>
      </c>
    </row>
    <row r="22500" spans="8:8">
      <c r="H22500" s="680" t="s">
        <v>6153</v>
      </c>
    </row>
    <row r="22501" spans="8:8">
      <c r="H22501" s="680" t="s">
        <v>6153</v>
      </c>
    </row>
    <row r="22502" spans="8:8">
      <c r="H22502" s="680" t="s">
        <v>6153</v>
      </c>
    </row>
    <row r="22503" spans="8:8">
      <c r="H22503" s="680" t="s">
        <v>6153</v>
      </c>
    </row>
    <row r="22504" spans="8:8">
      <c r="H22504" s="680" t="s">
        <v>6153</v>
      </c>
    </row>
    <row r="22505" spans="8:8">
      <c r="H22505" s="680" t="s">
        <v>6153</v>
      </c>
    </row>
    <row r="22506" spans="8:8">
      <c r="H22506" s="680" t="s">
        <v>6153</v>
      </c>
    </row>
    <row r="22507" spans="8:8">
      <c r="H22507" s="680" t="s">
        <v>6153</v>
      </c>
    </row>
    <row r="22508" spans="8:8">
      <c r="H22508" s="680" t="s">
        <v>6153</v>
      </c>
    </row>
    <row r="22509" spans="8:8">
      <c r="H22509" s="680" t="s">
        <v>6153</v>
      </c>
    </row>
    <row r="22510" spans="8:8">
      <c r="H22510" s="680" t="s">
        <v>6153</v>
      </c>
    </row>
    <row r="22511" spans="8:8">
      <c r="H22511" s="680" t="s">
        <v>6153</v>
      </c>
    </row>
    <row r="22512" spans="8:8">
      <c r="H22512" s="680" t="s">
        <v>6153</v>
      </c>
    </row>
    <row r="22513" spans="8:8">
      <c r="H22513" s="680" t="s">
        <v>6153</v>
      </c>
    </row>
    <row r="22514" spans="8:8">
      <c r="H22514" s="680" t="s">
        <v>6153</v>
      </c>
    </row>
    <row r="22515" spans="8:8">
      <c r="H22515" s="680" t="s">
        <v>6153</v>
      </c>
    </row>
    <row r="22516" spans="8:8">
      <c r="H22516" s="680" t="s">
        <v>6153</v>
      </c>
    </row>
    <row r="22517" spans="8:8">
      <c r="H22517" s="680" t="s">
        <v>6153</v>
      </c>
    </row>
    <row r="22518" spans="8:8">
      <c r="H22518" s="680" t="s">
        <v>6153</v>
      </c>
    </row>
    <row r="22519" spans="8:8">
      <c r="H22519" s="680" t="s">
        <v>6153</v>
      </c>
    </row>
    <row r="22520" spans="8:8">
      <c r="H22520" s="680" t="s">
        <v>6153</v>
      </c>
    </row>
    <row r="22521" spans="8:8">
      <c r="H22521" s="680" t="s">
        <v>6153</v>
      </c>
    </row>
    <row r="22522" spans="8:8">
      <c r="H22522" s="680" t="s">
        <v>6153</v>
      </c>
    </row>
    <row r="22523" spans="8:8">
      <c r="H22523" s="680" t="s">
        <v>6153</v>
      </c>
    </row>
    <row r="22524" spans="8:8">
      <c r="H22524" s="680" t="s">
        <v>6153</v>
      </c>
    </row>
    <row r="22525" spans="8:8">
      <c r="H22525" s="680" t="s">
        <v>6153</v>
      </c>
    </row>
    <row r="22526" spans="8:8">
      <c r="H22526" s="680" t="s">
        <v>6153</v>
      </c>
    </row>
    <row r="22527" spans="8:8">
      <c r="H22527" s="680" t="s">
        <v>6153</v>
      </c>
    </row>
    <row r="22528" spans="8:8">
      <c r="H22528" s="680" t="s">
        <v>6153</v>
      </c>
    </row>
    <row r="22529" spans="8:8">
      <c r="H22529" s="680" t="s">
        <v>6153</v>
      </c>
    </row>
    <row r="22530" spans="8:8">
      <c r="H22530" s="680" t="s">
        <v>6153</v>
      </c>
    </row>
    <row r="22531" spans="8:8">
      <c r="H22531" s="680" t="s">
        <v>6153</v>
      </c>
    </row>
    <row r="22532" spans="8:8">
      <c r="H22532" s="680" t="s">
        <v>6153</v>
      </c>
    </row>
    <row r="22533" spans="8:8">
      <c r="H22533" s="680" t="s">
        <v>6153</v>
      </c>
    </row>
    <row r="22534" spans="8:8">
      <c r="H22534" s="680" t="s">
        <v>6153</v>
      </c>
    </row>
    <row r="22535" spans="8:8">
      <c r="H22535" s="680" t="s">
        <v>6153</v>
      </c>
    </row>
    <row r="22536" spans="8:8">
      <c r="H22536" s="680" t="s">
        <v>6153</v>
      </c>
    </row>
    <row r="22537" spans="8:8">
      <c r="H22537" s="680" t="s">
        <v>6153</v>
      </c>
    </row>
    <row r="22538" spans="8:8">
      <c r="H22538" s="680" t="s">
        <v>6153</v>
      </c>
    </row>
    <row r="22539" spans="8:8">
      <c r="H22539" s="680" t="s">
        <v>6153</v>
      </c>
    </row>
    <row r="22540" spans="8:8">
      <c r="H22540" s="680" t="s">
        <v>6153</v>
      </c>
    </row>
    <row r="22541" spans="8:8">
      <c r="H22541" s="680" t="s">
        <v>6153</v>
      </c>
    </row>
    <row r="22542" spans="8:8">
      <c r="H22542" s="680" t="s">
        <v>6153</v>
      </c>
    </row>
    <row r="22543" spans="8:8">
      <c r="H22543" s="680" t="s">
        <v>6153</v>
      </c>
    </row>
    <row r="22544" spans="8:8">
      <c r="H22544" s="680" t="s">
        <v>6153</v>
      </c>
    </row>
    <row r="22545" spans="8:8">
      <c r="H22545" s="680" t="s">
        <v>6153</v>
      </c>
    </row>
    <row r="22546" spans="8:8">
      <c r="H22546" s="680" t="s">
        <v>6153</v>
      </c>
    </row>
    <row r="22547" spans="8:8">
      <c r="H22547" s="680" t="s">
        <v>6153</v>
      </c>
    </row>
    <row r="22548" spans="8:8">
      <c r="H22548" s="680" t="s">
        <v>6153</v>
      </c>
    </row>
    <row r="22549" spans="8:8">
      <c r="H22549" s="680" t="s">
        <v>6153</v>
      </c>
    </row>
    <row r="22550" spans="8:8">
      <c r="H22550" s="680" t="s">
        <v>6153</v>
      </c>
    </row>
    <row r="22551" spans="8:8">
      <c r="H22551" s="680" t="s">
        <v>6153</v>
      </c>
    </row>
    <row r="22552" spans="8:8">
      <c r="H22552" s="680" t="s">
        <v>6153</v>
      </c>
    </row>
    <row r="22553" spans="8:8">
      <c r="H22553" s="680" t="s">
        <v>6153</v>
      </c>
    </row>
    <row r="22554" spans="8:8">
      <c r="H22554" s="680" t="s">
        <v>6153</v>
      </c>
    </row>
    <row r="22555" spans="8:8">
      <c r="H22555" s="680" t="s">
        <v>6153</v>
      </c>
    </row>
    <row r="22556" spans="8:8">
      <c r="H22556" s="680" t="s">
        <v>6153</v>
      </c>
    </row>
    <row r="22557" spans="8:8">
      <c r="H22557" s="680" t="s">
        <v>6153</v>
      </c>
    </row>
    <row r="22558" spans="8:8">
      <c r="H22558" s="680" t="s">
        <v>6153</v>
      </c>
    </row>
    <row r="22559" spans="8:8">
      <c r="H22559" s="680" t="s">
        <v>6153</v>
      </c>
    </row>
    <row r="22560" spans="8:8">
      <c r="H22560" s="680" t="s">
        <v>6153</v>
      </c>
    </row>
    <row r="22561" spans="8:8">
      <c r="H22561" s="680" t="s">
        <v>6153</v>
      </c>
    </row>
    <row r="22562" spans="8:8">
      <c r="H22562" s="680" t="s">
        <v>6153</v>
      </c>
    </row>
    <row r="22563" spans="8:8">
      <c r="H22563" s="680" t="s">
        <v>6153</v>
      </c>
    </row>
    <row r="22564" spans="8:8">
      <c r="H22564" s="680" t="s">
        <v>6153</v>
      </c>
    </row>
    <row r="22565" spans="8:8">
      <c r="H22565" s="680" t="s">
        <v>6153</v>
      </c>
    </row>
    <row r="22566" spans="8:8">
      <c r="H22566" s="680" t="s">
        <v>6153</v>
      </c>
    </row>
    <row r="22567" spans="8:8">
      <c r="H22567" s="680" t="s">
        <v>6153</v>
      </c>
    </row>
    <row r="22568" spans="8:8">
      <c r="H22568" s="680" t="s">
        <v>6153</v>
      </c>
    </row>
    <row r="22569" spans="8:8">
      <c r="H22569" s="680" t="s">
        <v>6153</v>
      </c>
    </row>
    <row r="22570" spans="8:8">
      <c r="H22570" s="680" t="s">
        <v>6153</v>
      </c>
    </row>
    <row r="22571" spans="8:8">
      <c r="H22571" s="680" t="s">
        <v>6153</v>
      </c>
    </row>
    <row r="22572" spans="8:8">
      <c r="H22572" s="680" t="s">
        <v>6153</v>
      </c>
    </row>
    <row r="22573" spans="8:8">
      <c r="H22573" s="680" t="s">
        <v>6153</v>
      </c>
    </row>
    <row r="22574" spans="8:8">
      <c r="H22574" s="680" t="s">
        <v>6153</v>
      </c>
    </row>
    <row r="22575" spans="8:8">
      <c r="H22575" s="680" t="s">
        <v>6153</v>
      </c>
    </row>
    <row r="22576" spans="8:8">
      <c r="H22576" s="680" t="s">
        <v>6153</v>
      </c>
    </row>
    <row r="22577" spans="8:8">
      <c r="H22577" s="680" t="s">
        <v>6153</v>
      </c>
    </row>
    <row r="22578" spans="8:8">
      <c r="H22578" s="680" t="s">
        <v>6153</v>
      </c>
    </row>
    <row r="22579" spans="8:8">
      <c r="H22579" s="680" t="s">
        <v>6153</v>
      </c>
    </row>
    <row r="22580" spans="8:8">
      <c r="H22580" s="680" t="s">
        <v>6153</v>
      </c>
    </row>
    <row r="22581" spans="8:8">
      <c r="H22581" s="680" t="s">
        <v>6153</v>
      </c>
    </row>
    <row r="22582" spans="8:8">
      <c r="H22582" s="680" t="s">
        <v>6153</v>
      </c>
    </row>
    <row r="22583" spans="8:8">
      <c r="H22583" s="680" t="s">
        <v>6153</v>
      </c>
    </row>
    <row r="22584" spans="8:8">
      <c r="H22584" s="680" t="s">
        <v>6153</v>
      </c>
    </row>
    <row r="22585" spans="8:8">
      <c r="H22585" s="680" t="s">
        <v>6153</v>
      </c>
    </row>
    <row r="22586" spans="8:8">
      <c r="H22586" s="680" t="s">
        <v>6153</v>
      </c>
    </row>
    <row r="22587" spans="8:8">
      <c r="H22587" s="680" t="s">
        <v>6153</v>
      </c>
    </row>
    <row r="22588" spans="8:8">
      <c r="H22588" s="680" t="s">
        <v>6153</v>
      </c>
    </row>
    <row r="22589" spans="8:8">
      <c r="H22589" s="680" t="s">
        <v>6153</v>
      </c>
    </row>
    <row r="22590" spans="8:8">
      <c r="H22590" s="680" t="s">
        <v>6153</v>
      </c>
    </row>
    <row r="22591" spans="8:8">
      <c r="H22591" s="680" t="s">
        <v>6153</v>
      </c>
    </row>
    <row r="22592" spans="8:8">
      <c r="H22592" s="680" t="s">
        <v>6153</v>
      </c>
    </row>
    <row r="22593" spans="8:8">
      <c r="H22593" s="680" t="s">
        <v>6153</v>
      </c>
    </row>
    <row r="22594" spans="8:8">
      <c r="H22594" s="680" t="s">
        <v>6153</v>
      </c>
    </row>
    <row r="22595" spans="8:8">
      <c r="H22595" s="680" t="s">
        <v>6153</v>
      </c>
    </row>
    <row r="22596" spans="8:8">
      <c r="H22596" s="680" t="s">
        <v>6153</v>
      </c>
    </row>
    <row r="22597" spans="8:8">
      <c r="H22597" s="680" t="s">
        <v>6153</v>
      </c>
    </row>
    <row r="22598" spans="8:8">
      <c r="H22598" s="680" t="s">
        <v>6153</v>
      </c>
    </row>
    <row r="22599" spans="8:8">
      <c r="H22599" s="680" t="s">
        <v>6153</v>
      </c>
    </row>
    <row r="22600" spans="8:8">
      <c r="H22600" s="680" t="s">
        <v>6153</v>
      </c>
    </row>
    <row r="22601" spans="8:8">
      <c r="H22601" s="680" t="s">
        <v>6153</v>
      </c>
    </row>
    <row r="22602" spans="8:8">
      <c r="H22602" s="680" t="s">
        <v>6153</v>
      </c>
    </row>
    <row r="22603" spans="8:8">
      <c r="H22603" s="680" t="s">
        <v>6153</v>
      </c>
    </row>
    <row r="22604" spans="8:8">
      <c r="H22604" s="680" t="s">
        <v>6153</v>
      </c>
    </row>
    <row r="22605" spans="8:8">
      <c r="H22605" s="680" t="s">
        <v>6153</v>
      </c>
    </row>
    <row r="22606" spans="8:8">
      <c r="H22606" s="680" t="s">
        <v>6153</v>
      </c>
    </row>
    <row r="22607" spans="8:8">
      <c r="H22607" s="680" t="s">
        <v>6153</v>
      </c>
    </row>
    <row r="22608" spans="8:8">
      <c r="H22608" s="680" t="s">
        <v>6153</v>
      </c>
    </row>
    <row r="22609" spans="8:8">
      <c r="H22609" s="680" t="s">
        <v>6153</v>
      </c>
    </row>
    <row r="22610" spans="8:8">
      <c r="H22610" s="680" t="s">
        <v>6153</v>
      </c>
    </row>
    <row r="22611" spans="8:8">
      <c r="H22611" s="680" t="s">
        <v>6153</v>
      </c>
    </row>
    <row r="22612" spans="8:8">
      <c r="H22612" s="680" t="s">
        <v>6153</v>
      </c>
    </row>
    <row r="22613" spans="8:8">
      <c r="H22613" s="680" t="s">
        <v>6153</v>
      </c>
    </row>
    <row r="22614" spans="8:8">
      <c r="H22614" s="680" t="s">
        <v>6153</v>
      </c>
    </row>
    <row r="22615" spans="8:8">
      <c r="H22615" s="680" t="s">
        <v>6153</v>
      </c>
    </row>
    <row r="22616" spans="8:8">
      <c r="H22616" s="680" t="s">
        <v>6153</v>
      </c>
    </row>
    <row r="22617" spans="8:8">
      <c r="H22617" s="680" t="s">
        <v>6153</v>
      </c>
    </row>
    <row r="22618" spans="8:8">
      <c r="H22618" s="680" t="s">
        <v>6153</v>
      </c>
    </row>
    <row r="22619" spans="8:8">
      <c r="H22619" s="680" t="s">
        <v>6153</v>
      </c>
    </row>
    <row r="22620" spans="8:8">
      <c r="H22620" s="680" t="s">
        <v>6153</v>
      </c>
    </row>
    <row r="22621" spans="8:8">
      <c r="H22621" s="680" t="s">
        <v>6153</v>
      </c>
    </row>
    <row r="22622" spans="8:8">
      <c r="H22622" s="680" t="s">
        <v>6153</v>
      </c>
    </row>
    <row r="22623" spans="8:8">
      <c r="H22623" s="680" t="s">
        <v>6153</v>
      </c>
    </row>
    <row r="22624" spans="8:8">
      <c r="H22624" s="680" t="s">
        <v>6153</v>
      </c>
    </row>
    <row r="22625" spans="8:8">
      <c r="H22625" s="680" t="s">
        <v>6153</v>
      </c>
    </row>
    <row r="22626" spans="8:8">
      <c r="H22626" s="680" t="s">
        <v>6153</v>
      </c>
    </row>
    <row r="22627" spans="8:8">
      <c r="H22627" s="680" t="s">
        <v>6153</v>
      </c>
    </row>
    <row r="22628" spans="8:8">
      <c r="H22628" s="680" t="s">
        <v>6153</v>
      </c>
    </row>
    <row r="22629" spans="8:8">
      <c r="H22629" s="680" t="s">
        <v>6153</v>
      </c>
    </row>
    <row r="22630" spans="8:8">
      <c r="H22630" s="680" t="s">
        <v>6153</v>
      </c>
    </row>
    <row r="22631" spans="8:8">
      <c r="H22631" s="680" t="s">
        <v>6153</v>
      </c>
    </row>
    <row r="22632" spans="8:8">
      <c r="H22632" s="680" t="s">
        <v>6153</v>
      </c>
    </row>
    <row r="22633" spans="8:8">
      <c r="H22633" s="680" t="s">
        <v>6153</v>
      </c>
    </row>
    <row r="22634" spans="8:8">
      <c r="H22634" s="680" t="s">
        <v>6153</v>
      </c>
    </row>
    <row r="22635" spans="8:8">
      <c r="H22635" s="680" t="s">
        <v>6153</v>
      </c>
    </row>
    <row r="22636" spans="8:8">
      <c r="H22636" s="680" t="s">
        <v>6153</v>
      </c>
    </row>
    <row r="22637" spans="8:8">
      <c r="H22637" s="680" t="s">
        <v>6153</v>
      </c>
    </row>
    <row r="22638" spans="8:8">
      <c r="H22638" s="680" t="s">
        <v>6153</v>
      </c>
    </row>
    <row r="22639" spans="8:8">
      <c r="H22639" s="680" t="s">
        <v>6153</v>
      </c>
    </row>
    <row r="22640" spans="8:8">
      <c r="H22640" s="680" t="s">
        <v>6153</v>
      </c>
    </row>
    <row r="22641" spans="8:8">
      <c r="H22641" s="680" t="s">
        <v>6153</v>
      </c>
    </row>
    <row r="22642" spans="8:8">
      <c r="H22642" s="680" t="s">
        <v>6153</v>
      </c>
    </row>
    <row r="22643" spans="8:8">
      <c r="H22643" s="680" t="s">
        <v>6153</v>
      </c>
    </row>
    <row r="22644" spans="8:8">
      <c r="H22644" s="680" t="s">
        <v>6153</v>
      </c>
    </row>
    <row r="22645" spans="8:8">
      <c r="H22645" s="680" t="s">
        <v>6153</v>
      </c>
    </row>
    <row r="22646" spans="8:8">
      <c r="H22646" s="680" t="s">
        <v>6153</v>
      </c>
    </row>
    <row r="22647" spans="8:8">
      <c r="H22647" s="680" t="s">
        <v>6153</v>
      </c>
    </row>
    <row r="22648" spans="8:8">
      <c r="H22648" s="680" t="s">
        <v>6153</v>
      </c>
    </row>
    <row r="22649" spans="8:8">
      <c r="H22649" s="680" t="s">
        <v>6153</v>
      </c>
    </row>
    <row r="22650" spans="8:8">
      <c r="H22650" s="680" t="s">
        <v>6153</v>
      </c>
    </row>
    <row r="22651" spans="8:8">
      <c r="H22651" s="680" t="s">
        <v>6153</v>
      </c>
    </row>
    <row r="22652" spans="8:8">
      <c r="H22652" s="680" t="s">
        <v>6153</v>
      </c>
    </row>
    <row r="22653" spans="8:8">
      <c r="H22653" s="680" t="s">
        <v>6153</v>
      </c>
    </row>
    <row r="22654" spans="8:8">
      <c r="H22654" s="680" t="s">
        <v>6153</v>
      </c>
    </row>
    <row r="22655" spans="8:8">
      <c r="H22655" s="680" t="s">
        <v>6153</v>
      </c>
    </row>
    <row r="22656" spans="8:8">
      <c r="H22656" s="680" t="s">
        <v>6153</v>
      </c>
    </row>
    <row r="22657" spans="8:8">
      <c r="H22657" s="680" t="s">
        <v>6153</v>
      </c>
    </row>
    <row r="22658" spans="8:8">
      <c r="H22658" s="680" t="s">
        <v>6153</v>
      </c>
    </row>
    <row r="22659" spans="8:8">
      <c r="H22659" s="680" t="s">
        <v>6153</v>
      </c>
    </row>
    <row r="22660" spans="8:8">
      <c r="H22660" s="680" t="s">
        <v>6153</v>
      </c>
    </row>
    <row r="22661" spans="8:8">
      <c r="H22661" s="680" t="s">
        <v>6153</v>
      </c>
    </row>
    <row r="22662" spans="8:8">
      <c r="H22662" s="680" t="s">
        <v>6153</v>
      </c>
    </row>
    <row r="22663" spans="8:8">
      <c r="H22663" s="680" t="s">
        <v>6153</v>
      </c>
    </row>
    <row r="22664" spans="8:8">
      <c r="H22664" s="680" t="s">
        <v>6153</v>
      </c>
    </row>
    <row r="22665" spans="8:8">
      <c r="H22665" s="680" t="s">
        <v>6153</v>
      </c>
    </row>
    <row r="22666" spans="8:8">
      <c r="H22666" s="680" t="s">
        <v>6153</v>
      </c>
    </row>
    <row r="22667" spans="8:8">
      <c r="H22667" s="680" t="s">
        <v>6153</v>
      </c>
    </row>
    <row r="22668" spans="8:8">
      <c r="H22668" s="680" t="s">
        <v>6153</v>
      </c>
    </row>
    <row r="22669" spans="8:8">
      <c r="H22669" s="680" t="s">
        <v>6153</v>
      </c>
    </row>
    <row r="22670" spans="8:8">
      <c r="H22670" s="680" t="s">
        <v>6153</v>
      </c>
    </row>
    <row r="22671" spans="8:8">
      <c r="H22671" s="680" t="s">
        <v>6153</v>
      </c>
    </row>
    <row r="22672" spans="8:8">
      <c r="H22672" s="680" t="s">
        <v>6153</v>
      </c>
    </row>
    <row r="22673" spans="8:8">
      <c r="H22673" s="680" t="s">
        <v>6153</v>
      </c>
    </row>
    <row r="22674" spans="8:8">
      <c r="H22674" s="680" t="s">
        <v>6153</v>
      </c>
    </row>
    <row r="22675" spans="8:8">
      <c r="H22675" s="680" t="s">
        <v>6153</v>
      </c>
    </row>
    <row r="22676" spans="8:8">
      <c r="H22676" s="680" t="s">
        <v>6153</v>
      </c>
    </row>
    <row r="22677" spans="8:8">
      <c r="H22677" s="680" t="s">
        <v>6153</v>
      </c>
    </row>
    <row r="22678" spans="8:8">
      <c r="H22678" s="680" t="s">
        <v>6153</v>
      </c>
    </row>
    <row r="22679" spans="8:8">
      <c r="H22679" s="680" t="s">
        <v>6153</v>
      </c>
    </row>
    <row r="22680" spans="8:8">
      <c r="H22680" s="680" t="s">
        <v>6153</v>
      </c>
    </row>
    <row r="22681" spans="8:8">
      <c r="H22681" s="680" t="s">
        <v>6153</v>
      </c>
    </row>
    <row r="22682" spans="8:8">
      <c r="H22682" s="680" t="s">
        <v>6153</v>
      </c>
    </row>
    <row r="22683" spans="8:8">
      <c r="H22683" s="680" t="s">
        <v>6153</v>
      </c>
    </row>
    <row r="22684" spans="8:8">
      <c r="H22684" s="680" t="s">
        <v>6153</v>
      </c>
    </row>
    <row r="22685" spans="8:8">
      <c r="H22685" s="680" t="s">
        <v>6153</v>
      </c>
    </row>
    <row r="22686" spans="8:8">
      <c r="H22686" s="680" t="s">
        <v>6153</v>
      </c>
    </row>
    <row r="22687" spans="8:8">
      <c r="H22687" s="680" t="s">
        <v>6153</v>
      </c>
    </row>
    <row r="22688" spans="8:8">
      <c r="H22688" s="680" t="s">
        <v>6153</v>
      </c>
    </row>
    <row r="22689" spans="8:8">
      <c r="H22689" s="680" t="s">
        <v>6153</v>
      </c>
    </row>
    <row r="22690" spans="8:8">
      <c r="H22690" s="680" t="s">
        <v>6153</v>
      </c>
    </row>
    <row r="22691" spans="8:8">
      <c r="H22691" s="680" t="s">
        <v>6153</v>
      </c>
    </row>
    <row r="22692" spans="8:8">
      <c r="H22692" s="680" t="s">
        <v>6153</v>
      </c>
    </row>
    <row r="22693" spans="8:8">
      <c r="H22693" s="680" t="s">
        <v>6153</v>
      </c>
    </row>
    <row r="22694" spans="8:8">
      <c r="H22694" s="680" t="s">
        <v>6153</v>
      </c>
    </row>
    <row r="22695" spans="8:8">
      <c r="H22695" s="680" t="s">
        <v>6153</v>
      </c>
    </row>
    <row r="22696" spans="8:8">
      <c r="H22696" s="680" t="s">
        <v>6153</v>
      </c>
    </row>
    <row r="22697" spans="8:8">
      <c r="H22697" s="680" t="s">
        <v>6153</v>
      </c>
    </row>
    <row r="22698" spans="8:8">
      <c r="H22698" s="680" t="s">
        <v>6153</v>
      </c>
    </row>
    <row r="22699" spans="8:8">
      <c r="H22699" s="680" t="s">
        <v>6153</v>
      </c>
    </row>
    <row r="22700" spans="8:8">
      <c r="H22700" s="680" t="s">
        <v>6153</v>
      </c>
    </row>
    <row r="22701" spans="8:8">
      <c r="H22701" s="680" t="s">
        <v>6153</v>
      </c>
    </row>
    <row r="22702" spans="8:8">
      <c r="H22702" s="680" t="s">
        <v>6153</v>
      </c>
    </row>
    <row r="22703" spans="8:8">
      <c r="H22703" s="680" t="s">
        <v>6153</v>
      </c>
    </row>
    <row r="22704" spans="8:8">
      <c r="H22704" s="680" t="s">
        <v>6153</v>
      </c>
    </row>
    <row r="22705" spans="8:8">
      <c r="H22705" s="680" t="s">
        <v>6153</v>
      </c>
    </row>
    <row r="22706" spans="8:8">
      <c r="H22706" s="680" t="s">
        <v>6153</v>
      </c>
    </row>
    <row r="22707" spans="8:8">
      <c r="H22707" s="680" t="s">
        <v>6153</v>
      </c>
    </row>
    <row r="22708" spans="8:8">
      <c r="H22708" s="680" t="s">
        <v>6153</v>
      </c>
    </row>
    <row r="22709" spans="8:8">
      <c r="H22709" s="680" t="s">
        <v>6153</v>
      </c>
    </row>
    <row r="22710" spans="8:8">
      <c r="H22710" s="680" t="s">
        <v>6153</v>
      </c>
    </row>
    <row r="22711" spans="8:8">
      <c r="H22711" s="680" t="s">
        <v>6153</v>
      </c>
    </row>
    <row r="22712" spans="8:8">
      <c r="H22712" s="680" t="s">
        <v>6153</v>
      </c>
    </row>
    <row r="22713" spans="8:8">
      <c r="H22713" s="680" t="s">
        <v>6153</v>
      </c>
    </row>
    <row r="22714" spans="8:8">
      <c r="H22714" s="680" t="s">
        <v>6153</v>
      </c>
    </row>
    <row r="22715" spans="8:8">
      <c r="H22715" s="680" t="s">
        <v>6153</v>
      </c>
    </row>
    <row r="22716" spans="8:8">
      <c r="H22716" s="680" t="s">
        <v>6153</v>
      </c>
    </row>
    <row r="22717" spans="8:8">
      <c r="H22717" s="680" t="s">
        <v>6153</v>
      </c>
    </row>
    <row r="22718" spans="8:8">
      <c r="H22718" s="680" t="s">
        <v>6153</v>
      </c>
    </row>
    <row r="22719" spans="8:8">
      <c r="H22719" s="680" t="s">
        <v>6153</v>
      </c>
    </row>
    <row r="22720" spans="8:8">
      <c r="H22720" s="680" t="s">
        <v>6153</v>
      </c>
    </row>
    <row r="22721" spans="8:8">
      <c r="H22721" s="680" t="s">
        <v>6153</v>
      </c>
    </row>
    <row r="22722" spans="8:8">
      <c r="H22722" s="680" t="s">
        <v>6153</v>
      </c>
    </row>
    <row r="22723" spans="8:8">
      <c r="H22723" s="680" t="s">
        <v>6153</v>
      </c>
    </row>
    <row r="22724" spans="8:8">
      <c r="H22724" s="680" t="s">
        <v>6153</v>
      </c>
    </row>
    <row r="22725" spans="8:8">
      <c r="H22725" s="680" t="s">
        <v>6153</v>
      </c>
    </row>
    <row r="22726" spans="8:8">
      <c r="H22726" s="680" t="s">
        <v>6153</v>
      </c>
    </row>
    <row r="22727" spans="8:8">
      <c r="H22727" s="680" t="s">
        <v>6153</v>
      </c>
    </row>
    <row r="22728" spans="8:8">
      <c r="H22728" s="680" t="s">
        <v>6153</v>
      </c>
    </row>
    <row r="22729" spans="8:8">
      <c r="H22729" s="680" t="s">
        <v>6153</v>
      </c>
    </row>
    <row r="22730" spans="8:8">
      <c r="H22730" s="680" t="s">
        <v>6153</v>
      </c>
    </row>
    <row r="22731" spans="8:8">
      <c r="H22731" s="680" t="s">
        <v>6153</v>
      </c>
    </row>
    <row r="22732" spans="8:8">
      <c r="H22732" s="680" t="s">
        <v>6153</v>
      </c>
    </row>
    <row r="22733" spans="8:8">
      <c r="H22733" s="680" t="s">
        <v>6153</v>
      </c>
    </row>
    <row r="22734" spans="8:8">
      <c r="H22734" s="680" t="s">
        <v>6153</v>
      </c>
    </row>
    <row r="22735" spans="8:8">
      <c r="H22735" s="680" t="s">
        <v>6153</v>
      </c>
    </row>
    <row r="22736" spans="8:8">
      <c r="H22736" s="680" t="s">
        <v>6153</v>
      </c>
    </row>
    <row r="22737" spans="8:8">
      <c r="H22737" s="680" t="s">
        <v>6153</v>
      </c>
    </row>
    <row r="22738" spans="8:8">
      <c r="H22738" s="680" t="s">
        <v>6153</v>
      </c>
    </row>
    <row r="22739" spans="8:8">
      <c r="H22739" s="680" t="s">
        <v>6153</v>
      </c>
    </row>
    <row r="22740" spans="8:8">
      <c r="H22740" s="680" t="s">
        <v>6153</v>
      </c>
    </row>
    <row r="22741" spans="8:8">
      <c r="H22741" s="680" t="s">
        <v>6153</v>
      </c>
    </row>
    <row r="22742" spans="8:8">
      <c r="H22742" s="680" t="s">
        <v>6153</v>
      </c>
    </row>
    <row r="22743" spans="8:8">
      <c r="H22743" s="680" t="s">
        <v>6153</v>
      </c>
    </row>
    <row r="22744" spans="8:8">
      <c r="H22744" s="680" t="s">
        <v>6153</v>
      </c>
    </row>
    <row r="22745" spans="8:8">
      <c r="H22745" s="680" t="s">
        <v>6153</v>
      </c>
    </row>
    <row r="22746" spans="8:8">
      <c r="H22746" s="680" t="s">
        <v>6153</v>
      </c>
    </row>
    <row r="22747" spans="8:8">
      <c r="H22747" s="680" t="s">
        <v>6153</v>
      </c>
    </row>
    <row r="22748" spans="8:8">
      <c r="H22748" s="680" t="s">
        <v>6153</v>
      </c>
    </row>
    <row r="22749" spans="8:8">
      <c r="H22749" s="680" t="s">
        <v>6153</v>
      </c>
    </row>
    <row r="22750" spans="8:8">
      <c r="H22750" s="680" t="s">
        <v>6153</v>
      </c>
    </row>
    <row r="22751" spans="8:8">
      <c r="H22751" s="680" t="s">
        <v>6153</v>
      </c>
    </row>
    <row r="22752" spans="8:8">
      <c r="H22752" s="680" t="s">
        <v>6153</v>
      </c>
    </row>
    <row r="22753" spans="8:8">
      <c r="H22753" s="680" t="s">
        <v>6153</v>
      </c>
    </row>
    <row r="22754" spans="8:8">
      <c r="H22754" s="680" t="s">
        <v>6153</v>
      </c>
    </row>
    <row r="22755" spans="8:8">
      <c r="H22755" s="680" t="s">
        <v>6153</v>
      </c>
    </row>
    <row r="22756" spans="8:8">
      <c r="H22756" s="680" t="s">
        <v>6153</v>
      </c>
    </row>
    <row r="22757" spans="8:8">
      <c r="H22757" s="680" t="s">
        <v>6153</v>
      </c>
    </row>
    <row r="22758" spans="8:8">
      <c r="H22758" s="680" t="s">
        <v>6153</v>
      </c>
    </row>
    <row r="22759" spans="8:8">
      <c r="H22759" s="680" t="s">
        <v>6153</v>
      </c>
    </row>
    <row r="22760" spans="8:8">
      <c r="H22760" s="680" t="s">
        <v>6153</v>
      </c>
    </row>
    <row r="22761" spans="8:8">
      <c r="H22761" s="680" t="s">
        <v>6153</v>
      </c>
    </row>
    <row r="22762" spans="8:8">
      <c r="H22762" s="680" t="s">
        <v>6153</v>
      </c>
    </row>
    <row r="22763" spans="8:8">
      <c r="H22763" s="680" t="s">
        <v>6153</v>
      </c>
    </row>
    <row r="22764" spans="8:8">
      <c r="H22764" s="680" t="s">
        <v>6153</v>
      </c>
    </row>
    <row r="22765" spans="8:8">
      <c r="H22765" s="680" t="s">
        <v>6153</v>
      </c>
    </row>
    <row r="22766" spans="8:8">
      <c r="H22766" s="680" t="s">
        <v>6153</v>
      </c>
    </row>
    <row r="22767" spans="8:8">
      <c r="H22767" s="680" t="s">
        <v>6153</v>
      </c>
    </row>
    <row r="22768" spans="8:8">
      <c r="H22768" s="680" t="s">
        <v>6153</v>
      </c>
    </row>
    <row r="22769" spans="8:8">
      <c r="H22769" s="680" t="s">
        <v>6153</v>
      </c>
    </row>
    <row r="22770" spans="8:8">
      <c r="H22770" s="680" t="s">
        <v>6153</v>
      </c>
    </row>
    <row r="22771" spans="8:8">
      <c r="H22771" s="680" t="s">
        <v>6153</v>
      </c>
    </row>
    <row r="22772" spans="8:8">
      <c r="H22772" s="680" t="s">
        <v>6153</v>
      </c>
    </row>
    <row r="22773" spans="8:8">
      <c r="H22773" s="680" t="s">
        <v>6153</v>
      </c>
    </row>
    <row r="22774" spans="8:8">
      <c r="H22774" s="680" t="s">
        <v>6153</v>
      </c>
    </row>
    <row r="22775" spans="8:8">
      <c r="H22775" s="680" t="s">
        <v>6153</v>
      </c>
    </row>
    <row r="22776" spans="8:8">
      <c r="H22776" s="680" t="s">
        <v>6153</v>
      </c>
    </row>
    <row r="22777" spans="8:8">
      <c r="H22777" s="680" t="s">
        <v>6153</v>
      </c>
    </row>
    <row r="22778" spans="8:8">
      <c r="H22778" s="680" t="s">
        <v>6153</v>
      </c>
    </row>
    <row r="22779" spans="8:8">
      <c r="H22779" s="680" t="s">
        <v>6153</v>
      </c>
    </row>
    <row r="22780" spans="8:8">
      <c r="H22780" s="680" t="s">
        <v>6153</v>
      </c>
    </row>
    <row r="22781" spans="8:8">
      <c r="H22781" s="680" t="s">
        <v>6153</v>
      </c>
    </row>
    <row r="22782" spans="8:8">
      <c r="H22782" s="680" t="s">
        <v>6153</v>
      </c>
    </row>
    <row r="22783" spans="8:8">
      <c r="H22783" s="680" t="s">
        <v>6153</v>
      </c>
    </row>
    <row r="22784" spans="8:8">
      <c r="H22784" s="680" t="s">
        <v>6153</v>
      </c>
    </row>
    <row r="22785" spans="8:8">
      <c r="H22785" s="680" t="s">
        <v>6153</v>
      </c>
    </row>
    <row r="22786" spans="8:8">
      <c r="H22786" s="680" t="s">
        <v>6153</v>
      </c>
    </row>
    <row r="22787" spans="8:8">
      <c r="H22787" s="680" t="s">
        <v>6153</v>
      </c>
    </row>
    <row r="22788" spans="8:8">
      <c r="H22788" s="680" t="s">
        <v>6153</v>
      </c>
    </row>
    <row r="22789" spans="8:8">
      <c r="H22789" s="680" t="s">
        <v>6153</v>
      </c>
    </row>
    <row r="22790" spans="8:8">
      <c r="H22790" s="680" t="s">
        <v>6153</v>
      </c>
    </row>
    <row r="22791" spans="8:8">
      <c r="H22791" s="680" t="s">
        <v>6153</v>
      </c>
    </row>
    <row r="22792" spans="8:8">
      <c r="H22792" s="680" t="s">
        <v>6153</v>
      </c>
    </row>
    <row r="22793" spans="8:8">
      <c r="H22793" s="680" t="s">
        <v>6153</v>
      </c>
    </row>
    <row r="22794" spans="8:8">
      <c r="H22794" s="680" t="s">
        <v>6153</v>
      </c>
    </row>
    <row r="22795" spans="8:8">
      <c r="H22795" s="680" t="s">
        <v>6153</v>
      </c>
    </row>
    <row r="22796" spans="8:8">
      <c r="H22796" s="680" t="s">
        <v>6153</v>
      </c>
    </row>
    <row r="22797" spans="8:8">
      <c r="H22797" s="680" t="s">
        <v>6153</v>
      </c>
    </row>
    <row r="22798" spans="8:8">
      <c r="H22798" s="680" t="s">
        <v>6153</v>
      </c>
    </row>
    <row r="22799" spans="8:8">
      <c r="H22799" s="680" t="s">
        <v>6153</v>
      </c>
    </row>
    <row r="22800" spans="8:8">
      <c r="H22800" s="680" t="s">
        <v>6153</v>
      </c>
    </row>
    <row r="22801" spans="8:8">
      <c r="H22801" s="680" t="s">
        <v>6153</v>
      </c>
    </row>
    <row r="22802" spans="8:8">
      <c r="H22802" s="680" t="s">
        <v>6153</v>
      </c>
    </row>
    <row r="22803" spans="8:8">
      <c r="H22803" s="680" t="s">
        <v>6153</v>
      </c>
    </row>
    <row r="22804" spans="8:8">
      <c r="H22804" s="680" t="s">
        <v>6153</v>
      </c>
    </row>
    <row r="22805" spans="8:8">
      <c r="H22805" s="680" t="s">
        <v>6153</v>
      </c>
    </row>
    <row r="22806" spans="8:8">
      <c r="H22806" s="680" t="s">
        <v>6153</v>
      </c>
    </row>
    <row r="22807" spans="8:8">
      <c r="H22807" s="680" t="s">
        <v>6153</v>
      </c>
    </row>
    <row r="22808" spans="8:8">
      <c r="H22808" s="680" t="s">
        <v>6153</v>
      </c>
    </row>
    <row r="22809" spans="8:8">
      <c r="H22809" s="680" t="s">
        <v>6153</v>
      </c>
    </row>
    <row r="22810" spans="8:8">
      <c r="H22810" s="680" t="s">
        <v>6153</v>
      </c>
    </row>
    <row r="22811" spans="8:8">
      <c r="H22811" s="680" t="s">
        <v>6153</v>
      </c>
    </row>
    <row r="22812" spans="8:8">
      <c r="H22812" s="680" t="s">
        <v>6153</v>
      </c>
    </row>
    <row r="22813" spans="8:8">
      <c r="H22813" s="680" t="s">
        <v>6153</v>
      </c>
    </row>
    <row r="22814" spans="8:8">
      <c r="H22814" s="680" t="s">
        <v>6153</v>
      </c>
    </row>
    <row r="22815" spans="8:8">
      <c r="H22815" s="680" t="s">
        <v>6153</v>
      </c>
    </row>
    <row r="22816" spans="8:8">
      <c r="H22816" s="680" t="s">
        <v>6153</v>
      </c>
    </row>
    <row r="22817" spans="8:8">
      <c r="H22817" s="680" t="s">
        <v>6153</v>
      </c>
    </row>
    <row r="22818" spans="8:8">
      <c r="H22818" s="680" t="s">
        <v>6153</v>
      </c>
    </row>
    <row r="22819" spans="8:8">
      <c r="H22819" s="680" t="s">
        <v>6153</v>
      </c>
    </row>
    <row r="22820" spans="8:8">
      <c r="H22820" s="680" t="s">
        <v>6153</v>
      </c>
    </row>
    <row r="22821" spans="8:8">
      <c r="H22821" s="680" t="s">
        <v>6153</v>
      </c>
    </row>
    <row r="22822" spans="8:8">
      <c r="H22822" s="680" t="s">
        <v>6153</v>
      </c>
    </row>
    <row r="22823" spans="8:8">
      <c r="H22823" s="680" t="s">
        <v>6153</v>
      </c>
    </row>
    <row r="22824" spans="8:8">
      <c r="H22824" s="680" t="s">
        <v>6153</v>
      </c>
    </row>
    <row r="22825" spans="8:8">
      <c r="H22825" s="680" t="s">
        <v>6153</v>
      </c>
    </row>
    <row r="22826" spans="8:8">
      <c r="H22826" s="680" t="s">
        <v>6153</v>
      </c>
    </row>
    <row r="22827" spans="8:8">
      <c r="H22827" s="680" t="s">
        <v>6153</v>
      </c>
    </row>
    <row r="22828" spans="8:8">
      <c r="H22828" s="680" t="s">
        <v>6153</v>
      </c>
    </row>
    <row r="22829" spans="8:8">
      <c r="H22829" s="680" t="s">
        <v>6153</v>
      </c>
    </row>
    <row r="22830" spans="8:8">
      <c r="H22830" s="680" t="s">
        <v>6153</v>
      </c>
    </row>
    <row r="22831" spans="8:8">
      <c r="H22831" s="680" t="s">
        <v>6153</v>
      </c>
    </row>
    <row r="22832" spans="8:8">
      <c r="H22832" s="680" t="s">
        <v>6153</v>
      </c>
    </row>
    <row r="22833" spans="8:8">
      <c r="H22833" s="680" t="s">
        <v>6153</v>
      </c>
    </row>
    <row r="22834" spans="8:8">
      <c r="H22834" s="680" t="s">
        <v>6153</v>
      </c>
    </row>
    <row r="22835" spans="8:8">
      <c r="H22835" s="680" t="s">
        <v>6153</v>
      </c>
    </row>
    <row r="22836" spans="8:8">
      <c r="H22836" s="680" t="s">
        <v>6153</v>
      </c>
    </row>
    <row r="22837" spans="8:8">
      <c r="H22837" s="680" t="s">
        <v>6153</v>
      </c>
    </row>
    <row r="22838" spans="8:8">
      <c r="H22838" s="680" t="s">
        <v>6153</v>
      </c>
    </row>
    <row r="22839" spans="8:8">
      <c r="H22839" s="680" t="s">
        <v>6153</v>
      </c>
    </row>
    <row r="22840" spans="8:8">
      <c r="H22840" s="680" t="s">
        <v>6153</v>
      </c>
    </row>
    <row r="22841" spans="8:8">
      <c r="H22841" s="680" t="s">
        <v>6153</v>
      </c>
    </row>
    <row r="22842" spans="8:8">
      <c r="H22842" s="680" t="s">
        <v>6153</v>
      </c>
    </row>
    <row r="22843" spans="8:8">
      <c r="H22843" s="680" t="s">
        <v>6153</v>
      </c>
    </row>
    <row r="22844" spans="8:8">
      <c r="H22844" s="680" t="s">
        <v>6153</v>
      </c>
    </row>
    <row r="22845" spans="8:8">
      <c r="H22845" s="680" t="s">
        <v>6153</v>
      </c>
    </row>
    <row r="22846" spans="8:8">
      <c r="H22846" s="680" t="s">
        <v>6153</v>
      </c>
    </row>
    <row r="22847" spans="8:8">
      <c r="H22847" s="680" t="s">
        <v>6153</v>
      </c>
    </row>
    <row r="22848" spans="8:8">
      <c r="H22848" s="680" t="s">
        <v>6153</v>
      </c>
    </row>
    <row r="22849" spans="8:8">
      <c r="H22849" s="680" t="s">
        <v>6153</v>
      </c>
    </row>
    <row r="22850" spans="8:8">
      <c r="H22850" s="680" t="s">
        <v>6153</v>
      </c>
    </row>
    <row r="22851" spans="8:8">
      <c r="H22851" s="680" t="s">
        <v>6153</v>
      </c>
    </row>
    <row r="22852" spans="8:8">
      <c r="H22852" s="680" t="s">
        <v>6153</v>
      </c>
    </row>
    <row r="22853" spans="8:8">
      <c r="H22853" s="680" t="s">
        <v>6153</v>
      </c>
    </row>
    <row r="22854" spans="8:8">
      <c r="H22854" s="680" t="s">
        <v>6153</v>
      </c>
    </row>
    <row r="22855" spans="8:8">
      <c r="H22855" s="680" t="s">
        <v>6153</v>
      </c>
    </row>
    <row r="22856" spans="8:8">
      <c r="H22856" s="680" t="s">
        <v>6153</v>
      </c>
    </row>
    <row r="22857" spans="8:8">
      <c r="H22857" s="680" t="s">
        <v>6153</v>
      </c>
    </row>
    <row r="22858" spans="8:8">
      <c r="H22858" s="680" t="s">
        <v>6153</v>
      </c>
    </row>
    <row r="22859" spans="8:8">
      <c r="H22859" s="680" t="s">
        <v>6153</v>
      </c>
    </row>
    <row r="22860" spans="8:8">
      <c r="H22860" s="680" t="s">
        <v>6153</v>
      </c>
    </row>
    <row r="22861" spans="8:8">
      <c r="H22861" s="680" t="s">
        <v>6153</v>
      </c>
    </row>
    <row r="22862" spans="8:8">
      <c r="H22862" s="680" t="s">
        <v>6153</v>
      </c>
    </row>
    <row r="22863" spans="8:8">
      <c r="H22863" s="680" t="s">
        <v>6153</v>
      </c>
    </row>
    <row r="22864" spans="8:8">
      <c r="H22864" s="680" t="s">
        <v>6153</v>
      </c>
    </row>
    <row r="22865" spans="8:8">
      <c r="H22865" s="680" t="s">
        <v>6153</v>
      </c>
    </row>
    <row r="22866" spans="8:8">
      <c r="H22866" s="680" t="s">
        <v>6153</v>
      </c>
    </row>
    <row r="22867" spans="8:8">
      <c r="H22867" s="680" t="s">
        <v>6153</v>
      </c>
    </row>
    <row r="22868" spans="8:8">
      <c r="H22868" s="680" t="s">
        <v>6153</v>
      </c>
    </row>
    <row r="22869" spans="8:8">
      <c r="H22869" s="680" t="s">
        <v>6153</v>
      </c>
    </row>
    <row r="22870" spans="8:8">
      <c r="H22870" s="680" t="s">
        <v>6153</v>
      </c>
    </row>
    <row r="22871" spans="8:8">
      <c r="H22871" s="680" t="s">
        <v>6153</v>
      </c>
    </row>
    <row r="22872" spans="8:8">
      <c r="H22872" s="680" t="s">
        <v>6153</v>
      </c>
    </row>
    <row r="22873" spans="8:8">
      <c r="H22873" s="680" t="s">
        <v>6153</v>
      </c>
    </row>
    <row r="22874" spans="8:8">
      <c r="H22874" s="680" t="s">
        <v>6153</v>
      </c>
    </row>
    <row r="22875" spans="8:8">
      <c r="H22875" s="680" t="s">
        <v>6153</v>
      </c>
    </row>
    <row r="22876" spans="8:8">
      <c r="H22876" s="680" t="s">
        <v>6153</v>
      </c>
    </row>
    <row r="22877" spans="8:8">
      <c r="H22877" s="680" t="s">
        <v>6153</v>
      </c>
    </row>
    <row r="22878" spans="8:8">
      <c r="H22878" s="680" t="s">
        <v>6153</v>
      </c>
    </row>
    <row r="22879" spans="8:8">
      <c r="H22879" s="680" t="s">
        <v>6153</v>
      </c>
    </row>
    <row r="22880" spans="8:8">
      <c r="H22880" s="680" t="s">
        <v>6153</v>
      </c>
    </row>
    <row r="22881" spans="8:8">
      <c r="H22881" s="680" t="s">
        <v>6153</v>
      </c>
    </row>
    <row r="22882" spans="8:8">
      <c r="H22882" s="680" t="s">
        <v>6153</v>
      </c>
    </row>
    <row r="22883" spans="8:8">
      <c r="H22883" s="680" t="s">
        <v>6153</v>
      </c>
    </row>
    <row r="22884" spans="8:8">
      <c r="H22884" s="680" t="s">
        <v>6153</v>
      </c>
    </row>
    <row r="22885" spans="8:8">
      <c r="H22885" s="680" t="s">
        <v>6153</v>
      </c>
    </row>
    <row r="22886" spans="8:8">
      <c r="H22886" s="680" t="s">
        <v>6153</v>
      </c>
    </row>
    <row r="22887" spans="8:8">
      <c r="H22887" s="680" t="s">
        <v>6153</v>
      </c>
    </row>
    <row r="22888" spans="8:8">
      <c r="H22888" s="680" t="s">
        <v>6153</v>
      </c>
    </row>
    <row r="22889" spans="8:8">
      <c r="H22889" s="680" t="s">
        <v>6153</v>
      </c>
    </row>
    <row r="22890" spans="8:8">
      <c r="H22890" s="680" t="s">
        <v>6153</v>
      </c>
    </row>
    <row r="22891" spans="8:8">
      <c r="H22891" s="680" t="s">
        <v>6153</v>
      </c>
    </row>
    <row r="22892" spans="8:8">
      <c r="H22892" s="680" t="s">
        <v>6153</v>
      </c>
    </row>
    <row r="22893" spans="8:8">
      <c r="H22893" s="680" t="s">
        <v>6153</v>
      </c>
    </row>
    <row r="22894" spans="8:8">
      <c r="H22894" s="680" t="s">
        <v>6153</v>
      </c>
    </row>
    <row r="22895" spans="8:8">
      <c r="H22895" s="680" t="s">
        <v>6153</v>
      </c>
    </row>
    <row r="22896" spans="8:8">
      <c r="H22896" s="680" t="s">
        <v>6153</v>
      </c>
    </row>
    <row r="22897" spans="8:8">
      <c r="H22897" s="680" t="s">
        <v>6153</v>
      </c>
    </row>
    <row r="22898" spans="8:8">
      <c r="H22898" s="680" t="s">
        <v>6153</v>
      </c>
    </row>
    <row r="22899" spans="8:8">
      <c r="H22899" s="680" t="s">
        <v>6153</v>
      </c>
    </row>
    <row r="22900" spans="8:8">
      <c r="H22900" s="680" t="s">
        <v>6153</v>
      </c>
    </row>
    <row r="22901" spans="8:8">
      <c r="H22901" s="680" t="s">
        <v>6153</v>
      </c>
    </row>
    <row r="22902" spans="8:8">
      <c r="H22902" s="680" t="s">
        <v>6153</v>
      </c>
    </row>
    <row r="22903" spans="8:8">
      <c r="H22903" s="680" t="s">
        <v>6153</v>
      </c>
    </row>
    <row r="22904" spans="8:8">
      <c r="H22904" s="680" t="s">
        <v>6153</v>
      </c>
    </row>
    <row r="22905" spans="8:8">
      <c r="H22905" s="680" t="s">
        <v>6153</v>
      </c>
    </row>
    <row r="22906" spans="8:8">
      <c r="H22906" s="680" t="s">
        <v>6153</v>
      </c>
    </row>
    <row r="22907" spans="8:8">
      <c r="H22907" s="680" t="s">
        <v>6153</v>
      </c>
    </row>
    <row r="22908" spans="8:8">
      <c r="H22908" s="680" t="s">
        <v>6153</v>
      </c>
    </row>
    <row r="22909" spans="8:8">
      <c r="H22909" s="680" t="s">
        <v>6153</v>
      </c>
    </row>
    <row r="22910" spans="8:8">
      <c r="H22910" s="680" t="s">
        <v>6153</v>
      </c>
    </row>
    <row r="22911" spans="8:8">
      <c r="H22911" s="680" t="s">
        <v>6153</v>
      </c>
    </row>
    <row r="22912" spans="8:8">
      <c r="H22912" s="680" t="s">
        <v>6153</v>
      </c>
    </row>
    <row r="22913" spans="8:8">
      <c r="H22913" s="680" t="s">
        <v>6153</v>
      </c>
    </row>
    <row r="22914" spans="8:8">
      <c r="H22914" s="680" t="s">
        <v>6153</v>
      </c>
    </row>
    <row r="22915" spans="8:8">
      <c r="H22915" s="680" t="s">
        <v>6153</v>
      </c>
    </row>
    <row r="22916" spans="8:8">
      <c r="H22916" s="680" t="s">
        <v>6153</v>
      </c>
    </row>
    <row r="22917" spans="8:8">
      <c r="H22917" s="680" t="s">
        <v>6153</v>
      </c>
    </row>
    <row r="22918" spans="8:8">
      <c r="H22918" s="680" t="s">
        <v>6153</v>
      </c>
    </row>
    <row r="22919" spans="8:8">
      <c r="H22919" s="680" t="s">
        <v>6153</v>
      </c>
    </row>
    <row r="22920" spans="8:8">
      <c r="H22920" s="680" t="s">
        <v>6153</v>
      </c>
    </row>
    <row r="22921" spans="8:8">
      <c r="H22921" s="680" t="s">
        <v>6153</v>
      </c>
    </row>
    <row r="22922" spans="8:8">
      <c r="H22922" s="680" t="s">
        <v>6153</v>
      </c>
    </row>
    <row r="22923" spans="8:8">
      <c r="H22923" s="680" t="s">
        <v>6153</v>
      </c>
    </row>
    <row r="22924" spans="8:8">
      <c r="H22924" s="680" t="s">
        <v>6153</v>
      </c>
    </row>
    <row r="22925" spans="8:8">
      <c r="H22925" s="680" t="s">
        <v>6153</v>
      </c>
    </row>
    <row r="22926" spans="8:8">
      <c r="H22926" s="680" t="s">
        <v>6153</v>
      </c>
    </row>
    <row r="22927" spans="8:8">
      <c r="H22927" s="680" t="s">
        <v>6153</v>
      </c>
    </row>
    <row r="22928" spans="8:8">
      <c r="H22928" s="680" t="s">
        <v>6153</v>
      </c>
    </row>
    <row r="22929" spans="8:8">
      <c r="H22929" s="680" t="s">
        <v>6153</v>
      </c>
    </row>
    <row r="22930" spans="8:8">
      <c r="H22930" s="680" t="s">
        <v>6153</v>
      </c>
    </row>
    <row r="22931" spans="8:8">
      <c r="H22931" s="680" t="s">
        <v>6153</v>
      </c>
    </row>
    <row r="22932" spans="8:8">
      <c r="H22932" s="680" t="s">
        <v>6153</v>
      </c>
    </row>
    <row r="22933" spans="8:8">
      <c r="H22933" s="680" t="s">
        <v>6153</v>
      </c>
    </row>
    <row r="22934" spans="8:8">
      <c r="H22934" s="680" t="s">
        <v>6153</v>
      </c>
    </row>
    <row r="22935" spans="8:8">
      <c r="H22935" s="680" t="s">
        <v>6153</v>
      </c>
    </row>
    <row r="22936" spans="8:8">
      <c r="H22936" s="680" t="s">
        <v>6153</v>
      </c>
    </row>
    <row r="22937" spans="8:8">
      <c r="H22937" s="680" t="s">
        <v>6153</v>
      </c>
    </row>
    <row r="22938" spans="8:8">
      <c r="H22938" s="680" t="s">
        <v>6153</v>
      </c>
    </row>
    <row r="22939" spans="8:8">
      <c r="H22939" s="680" t="s">
        <v>6153</v>
      </c>
    </row>
    <row r="22940" spans="8:8">
      <c r="H22940" s="680" t="s">
        <v>6153</v>
      </c>
    </row>
    <row r="22941" spans="8:8">
      <c r="H22941" s="680" t="s">
        <v>6153</v>
      </c>
    </row>
    <row r="22942" spans="8:8">
      <c r="H22942" s="680" t="s">
        <v>6153</v>
      </c>
    </row>
    <row r="22943" spans="8:8">
      <c r="H22943" s="680" t="s">
        <v>6153</v>
      </c>
    </row>
    <row r="22944" spans="8:8">
      <c r="H22944" s="680" t="s">
        <v>6153</v>
      </c>
    </row>
    <row r="22945" spans="8:8">
      <c r="H22945" s="680" t="s">
        <v>6153</v>
      </c>
    </row>
    <row r="22946" spans="8:8">
      <c r="H22946" s="680" t="s">
        <v>6153</v>
      </c>
    </row>
    <row r="22947" spans="8:8">
      <c r="H22947" s="680" t="s">
        <v>6153</v>
      </c>
    </row>
    <row r="22948" spans="8:8">
      <c r="H22948" s="680" t="s">
        <v>6153</v>
      </c>
    </row>
    <row r="22949" spans="8:8">
      <c r="H22949" s="680" t="s">
        <v>6153</v>
      </c>
    </row>
    <row r="22950" spans="8:8">
      <c r="H22950" s="680" t="s">
        <v>6153</v>
      </c>
    </row>
    <row r="22951" spans="8:8">
      <c r="H22951" s="680" t="s">
        <v>6153</v>
      </c>
    </row>
    <row r="22952" spans="8:8">
      <c r="H22952" s="680" t="s">
        <v>6153</v>
      </c>
    </row>
    <row r="22953" spans="8:8">
      <c r="H22953" s="680" t="s">
        <v>6153</v>
      </c>
    </row>
    <row r="22954" spans="8:8">
      <c r="H22954" s="680" t="s">
        <v>6153</v>
      </c>
    </row>
    <row r="22955" spans="8:8">
      <c r="H22955" s="680" t="s">
        <v>6153</v>
      </c>
    </row>
    <row r="22956" spans="8:8">
      <c r="H22956" s="680" t="s">
        <v>6153</v>
      </c>
    </row>
    <row r="22957" spans="8:8">
      <c r="H22957" s="680" t="s">
        <v>6153</v>
      </c>
    </row>
    <row r="22958" spans="8:8">
      <c r="H22958" s="680" t="s">
        <v>6153</v>
      </c>
    </row>
    <row r="22959" spans="8:8">
      <c r="H22959" s="680" t="s">
        <v>6153</v>
      </c>
    </row>
    <row r="22960" spans="8:8">
      <c r="H22960" s="680" t="s">
        <v>6153</v>
      </c>
    </row>
    <row r="22961" spans="8:8">
      <c r="H22961" s="680" t="s">
        <v>6153</v>
      </c>
    </row>
    <row r="22962" spans="8:8">
      <c r="H22962" s="680" t="s">
        <v>6153</v>
      </c>
    </row>
    <row r="22963" spans="8:8">
      <c r="H22963" s="680" t="s">
        <v>6153</v>
      </c>
    </row>
    <row r="22964" spans="8:8">
      <c r="H22964" s="680" t="s">
        <v>6153</v>
      </c>
    </row>
    <row r="22965" spans="8:8">
      <c r="H22965" s="680" t="s">
        <v>6153</v>
      </c>
    </row>
    <row r="22966" spans="8:8">
      <c r="H22966" s="680" t="s">
        <v>6153</v>
      </c>
    </row>
    <row r="22967" spans="8:8">
      <c r="H22967" s="680" t="s">
        <v>6153</v>
      </c>
    </row>
    <row r="22968" spans="8:8">
      <c r="H22968" s="680" t="s">
        <v>6153</v>
      </c>
    </row>
    <row r="22969" spans="8:8">
      <c r="H22969" s="680" t="s">
        <v>6153</v>
      </c>
    </row>
    <row r="22970" spans="8:8">
      <c r="H22970" s="680" t="s">
        <v>6153</v>
      </c>
    </row>
    <row r="22971" spans="8:8">
      <c r="H22971" s="680" t="s">
        <v>6153</v>
      </c>
    </row>
    <row r="22972" spans="8:8">
      <c r="H22972" s="680" t="s">
        <v>6153</v>
      </c>
    </row>
    <row r="22973" spans="8:8">
      <c r="H22973" s="680" t="s">
        <v>6153</v>
      </c>
    </row>
    <row r="22974" spans="8:8">
      <c r="H22974" s="680" t="s">
        <v>6153</v>
      </c>
    </row>
    <row r="22975" spans="8:8">
      <c r="H22975" s="680" t="s">
        <v>6153</v>
      </c>
    </row>
    <row r="22976" spans="8:8">
      <c r="H22976" s="680" t="s">
        <v>6153</v>
      </c>
    </row>
    <row r="22977" spans="8:8">
      <c r="H22977" s="680" t="s">
        <v>6153</v>
      </c>
    </row>
    <row r="22978" spans="8:8">
      <c r="H22978" s="680" t="s">
        <v>6153</v>
      </c>
    </row>
    <row r="22979" spans="8:8">
      <c r="H22979" s="680" t="s">
        <v>6153</v>
      </c>
    </row>
    <row r="22980" spans="8:8">
      <c r="H22980" s="680" t="s">
        <v>6153</v>
      </c>
    </row>
    <row r="22981" spans="8:8">
      <c r="H22981" s="680" t="s">
        <v>6153</v>
      </c>
    </row>
    <row r="22982" spans="8:8">
      <c r="H22982" s="680" t="s">
        <v>6153</v>
      </c>
    </row>
    <row r="22983" spans="8:8">
      <c r="H22983" s="680" t="s">
        <v>6153</v>
      </c>
    </row>
    <row r="22984" spans="8:8">
      <c r="H22984" s="680" t="s">
        <v>6153</v>
      </c>
    </row>
    <row r="22985" spans="8:8">
      <c r="H22985" s="680" t="s">
        <v>6153</v>
      </c>
    </row>
    <row r="22986" spans="8:8">
      <c r="H22986" s="680" t="s">
        <v>6153</v>
      </c>
    </row>
    <row r="22987" spans="8:8">
      <c r="H22987" s="680" t="s">
        <v>6153</v>
      </c>
    </row>
    <row r="22988" spans="8:8">
      <c r="H22988" s="680" t="s">
        <v>6153</v>
      </c>
    </row>
    <row r="22989" spans="8:8">
      <c r="H22989" s="680" t="s">
        <v>6153</v>
      </c>
    </row>
    <row r="22990" spans="8:8">
      <c r="H22990" s="680" t="s">
        <v>6153</v>
      </c>
    </row>
    <row r="22991" spans="8:8">
      <c r="H22991" s="680" t="s">
        <v>6153</v>
      </c>
    </row>
    <row r="22992" spans="8:8">
      <c r="H22992" s="680" t="s">
        <v>6153</v>
      </c>
    </row>
    <row r="22993" spans="8:8">
      <c r="H22993" s="680" t="s">
        <v>6153</v>
      </c>
    </row>
    <row r="22994" spans="8:8">
      <c r="H22994" s="680" t="s">
        <v>6153</v>
      </c>
    </row>
    <row r="22995" spans="8:8">
      <c r="H22995" s="680" t="s">
        <v>6153</v>
      </c>
    </row>
    <row r="22996" spans="8:8">
      <c r="H22996" s="680" t="s">
        <v>6153</v>
      </c>
    </row>
    <row r="22997" spans="8:8">
      <c r="H22997" s="680" t="s">
        <v>6153</v>
      </c>
    </row>
    <row r="22998" spans="8:8">
      <c r="H22998" s="680" t="s">
        <v>6153</v>
      </c>
    </row>
    <row r="22999" spans="8:8">
      <c r="H22999" s="680" t="s">
        <v>6153</v>
      </c>
    </row>
    <row r="23000" spans="8:8">
      <c r="H23000" s="680" t="s">
        <v>6153</v>
      </c>
    </row>
    <row r="23001" spans="8:8">
      <c r="H23001" s="680" t="s">
        <v>6153</v>
      </c>
    </row>
    <row r="23002" spans="8:8">
      <c r="H23002" s="680" t="s">
        <v>6153</v>
      </c>
    </row>
    <row r="23003" spans="8:8">
      <c r="H23003" s="680" t="s">
        <v>6153</v>
      </c>
    </row>
    <row r="23004" spans="8:8">
      <c r="H23004" s="680" t="s">
        <v>6153</v>
      </c>
    </row>
    <row r="23005" spans="8:8">
      <c r="H23005" s="680" t="s">
        <v>6153</v>
      </c>
    </row>
    <row r="23006" spans="8:8">
      <c r="H23006" s="680" t="s">
        <v>6153</v>
      </c>
    </row>
    <row r="23007" spans="8:8">
      <c r="H23007" s="680" t="s">
        <v>6153</v>
      </c>
    </row>
    <row r="23008" spans="8:8">
      <c r="H23008" s="680" t="s">
        <v>6153</v>
      </c>
    </row>
    <row r="23009" spans="8:8">
      <c r="H23009" s="680" t="s">
        <v>6153</v>
      </c>
    </row>
    <row r="23010" spans="8:8">
      <c r="H23010" s="680" t="s">
        <v>6153</v>
      </c>
    </row>
    <row r="23011" spans="8:8">
      <c r="H23011" s="680" t="s">
        <v>6153</v>
      </c>
    </row>
    <row r="23012" spans="8:8">
      <c r="H23012" s="680" t="s">
        <v>6153</v>
      </c>
    </row>
    <row r="23013" spans="8:8">
      <c r="H23013" s="680" t="s">
        <v>6153</v>
      </c>
    </row>
    <row r="23014" spans="8:8">
      <c r="H23014" s="680" t="s">
        <v>6153</v>
      </c>
    </row>
    <row r="23015" spans="8:8">
      <c r="H23015" s="680" t="s">
        <v>6153</v>
      </c>
    </row>
    <row r="23016" spans="8:8">
      <c r="H23016" s="680" t="s">
        <v>6153</v>
      </c>
    </row>
    <row r="23017" spans="8:8">
      <c r="H23017" s="680" t="s">
        <v>6153</v>
      </c>
    </row>
    <row r="23018" spans="8:8">
      <c r="H23018" s="680" t="s">
        <v>6153</v>
      </c>
    </row>
    <row r="23019" spans="8:8">
      <c r="H23019" s="680" t="s">
        <v>6153</v>
      </c>
    </row>
    <row r="23020" spans="8:8">
      <c r="H23020" s="680" t="s">
        <v>6153</v>
      </c>
    </row>
    <row r="23021" spans="8:8">
      <c r="H23021" s="680" t="s">
        <v>6153</v>
      </c>
    </row>
    <row r="23022" spans="8:8">
      <c r="H23022" s="680" t="s">
        <v>6153</v>
      </c>
    </row>
    <row r="23023" spans="8:8">
      <c r="H23023" s="680" t="s">
        <v>6153</v>
      </c>
    </row>
    <row r="23024" spans="8:8">
      <c r="H23024" s="680" t="s">
        <v>6153</v>
      </c>
    </row>
    <row r="23025" spans="8:8">
      <c r="H23025" s="680" t="s">
        <v>6153</v>
      </c>
    </row>
    <row r="23026" spans="8:8">
      <c r="H23026" s="680" t="s">
        <v>6153</v>
      </c>
    </row>
    <row r="23027" spans="8:8">
      <c r="H23027" s="680" t="s">
        <v>6153</v>
      </c>
    </row>
    <row r="23028" spans="8:8">
      <c r="H23028" s="680" t="s">
        <v>6153</v>
      </c>
    </row>
    <row r="23029" spans="8:8">
      <c r="H23029" s="680" t="s">
        <v>6153</v>
      </c>
    </row>
    <row r="23030" spans="8:8">
      <c r="H23030" s="680" t="s">
        <v>6153</v>
      </c>
    </row>
    <row r="23031" spans="8:8">
      <c r="H23031" s="680" t="s">
        <v>6153</v>
      </c>
    </row>
    <row r="23032" spans="8:8">
      <c r="H23032" s="680" t="s">
        <v>6153</v>
      </c>
    </row>
    <row r="23033" spans="8:8">
      <c r="H23033" s="680" t="s">
        <v>6153</v>
      </c>
    </row>
    <row r="23034" spans="8:8">
      <c r="H23034" s="680" t="s">
        <v>6153</v>
      </c>
    </row>
    <row r="23035" spans="8:8">
      <c r="H23035" s="680" t="s">
        <v>6153</v>
      </c>
    </row>
    <row r="23036" spans="8:8">
      <c r="H23036" s="680" t="s">
        <v>6153</v>
      </c>
    </row>
    <row r="23037" spans="8:8">
      <c r="H23037" s="680" t="s">
        <v>6153</v>
      </c>
    </row>
    <row r="23038" spans="8:8">
      <c r="H23038" s="680" t="s">
        <v>6153</v>
      </c>
    </row>
    <row r="23039" spans="8:8">
      <c r="H23039" s="680" t="s">
        <v>6153</v>
      </c>
    </row>
    <row r="23040" spans="8:8">
      <c r="H23040" s="680" t="s">
        <v>6153</v>
      </c>
    </row>
    <row r="23041" spans="8:8">
      <c r="H23041" s="680" t="s">
        <v>6153</v>
      </c>
    </row>
    <row r="23042" spans="8:8">
      <c r="H23042" s="680" t="s">
        <v>6153</v>
      </c>
    </row>
    <row r="23043" spans="8:8">
      <c r="H23043" s="680" t="s">
        <v>6153</v>
      </c>
    </row>
    <row r="23044" spans="8:8">
      <c r="H23044" s="680" t="s">
        <v>6153</v>
      </c>
    </row>
    <row r="23045" spans="8:8">
      <c r="H23045" s="680" t="s">
        <v>6153</v>
      </c>
    </row>
    <row r="23046" spans="8:8">
      <c r="H23046" s="680" t="s">
        <v>6153</v>
      </c>
    </row>
    <row r="23047" spans="8:8">
      <c r="H23047" s="680" t="s">
        <v>6153</v>
      </c>
    </row>
    <row r="23048" spans="8:8">
      <c r="H23048" s="680" t="s">
        <v>6153</v>
      </c>
    </row>
    <row r="23049" spans="8:8">
      <c r="H23049" s="680" t="s">
        <v>6153</v>
      </c>
    </row>
    <row r="23050" spans="8:8">
      <c r="H23050" s="680" t="s">
        <v>6153</v>
      </c>
    </row>
    <row r="23051" spans="8:8">
      <c r="H23051" s="680" t="s">
        <v>6153</v>
      </c>
    </row>
    <row r="23052" spans="8:8">
      <c r="H23052" s="680" t="s">
        <v>6153</v>
      </c>
    </row>
    <row r="23053" spans="8:8">
      <c r="H23053" s="680" t="s">
        <v>6153</v>
      </c>
    </row>
    <row r="23054" spans="8:8">
      <c r="H23054" s="680" t="s">
        <v>6153</v>
      </c>
    </row>
    <row r="23055" spans="8:8">
      <c r="H23055" s="680" t="s">
        <v>6153</v>
      </c>
    </row>
    <row r="23056" spans="8:8">
      <c r="H23056" s="680" t="s">
        <v>6153</v>
      </c>
    </row>
    <row r="23057" spans="8:8">
      <c r="H23057" s="680" t="s">
        <v>6153</v>
      </c>
    </row>
    <row r="23058" spans="8:8">
      <c r="H23058" s="680" t="s">
        <v>6153</v>
      </c>
    </row>
    <row r="23059" spans="8:8">
      <c r="H23059" s="680" t="s">
        <v>6153</v>
      </c>
    </row>
    <row r="23060" spans="8:8">
      <c r="H23060" s="680" t="s">
        <v>6153</v>
      </c>
    </row>
    <row r="23061" spans="8:8">
      <c r="H23061" s="680" t="s">
        <v>6153</v>
      </c>
    </row>
    <row r="23062" spans="8:8">
      <c r="H23062" s="680" t="s">
        <v>6153</v>
      </c>
    </row>
    <row r="23063" spans="8:8">
      <c r="H23063" s="680" t="s">
        <v>6153</v>
      </c>
    </row>
    <row r="23064" spans="8:8">
      <c r="H23064" s="680" t="s">
        <v>6153</v>
      </c>
    </row>
    <row r="23065" spans="8:8">
      <c r="H23065" s="680" t="s">
        <v>6153</v>
      </c>
    </row>
    <row r="23066" spans="8:8">
      <c r="H23066" s="680" t="s">
        <v>6153</v>
      </c>
    </row>
    <row r="23067" spans="8:8">
      <c r="H23067" s="680" t="s">
        <v>6153</v>
      </c>
    </row>
    <row r="23068" spans="8:8">
      <c r="H23068" s="680" t="s">
        <v>6153</v>
      </c>
    </row>
    <row r="23069" spans="8:8">
      <c r="H23069" s="680" t="s">
        <v>6153</v>
      </c>
    </row>
    <row r="23070" spans="8:8">
      <c r="H23070" s="680" t="s">
        <v>6153</v>
      </c>
    </row>
    <row r="23071" spans="8:8">
      <c r="H23071" s="680" t="s">
        <v>6153</v>
      </c>
    </row>
    <row r="23072" spans="8:8">
      <c r="H23072" s="680" t="s">
        <v>6153</v>
      </c>
    </row>
    <row r="23073" spans="8:8">
      <c r="H23073" s="680" t="s">
        <v>6153</v>
      </c>
    </row>
    <row r="23074" spans="8:8">
      <c r="H23074" s="680" t="s">
        <v>6153</v>
      </c>
    </row>
    <row r="23075" spans="8:8">
      <c r="H23075" s="680" t="s">
        <v>6153</v>
      </c>
    </row>
    <row r="23076" spans="8:8">
      <c r="H23076" s="680" t="s">
        <v>6153</v>
      </c>
    </row>
    <row r="23077" spans="8:8">
      <c r="H23077" s="680" t="s">
        <v>6153</v>
      </c>
    </row>
    <row r="23078" spans="8:8">
      <c r="H23078" s="680" t="s">
        <v>6153</v>
      </c>
    </row>
    <row r="23079" spans="8:8">
      <c r="H23079" s="680" t="s">
        <v>6153</v>
      </c>
    </row>
    <row r="23080" spans="8:8">
      <c r="H23080" s="680" t="s">
        <v>6153</v>
      </c>
    </row>
    <row r="23081" spans="8:8">
      <c r="H23081" s="680" t="s">
        <v>6153</v>
      </c>
    </row>
    <row r="23082" spans="8:8">
      <c r="H23082" s="680" t="s">
        <v>6153</v>
      </c>
    </row>
    <row r="23083" spans="8:8">
      <c r="H23083" s="680" t="s">
        <v>6153</v>
      </c>
    </row>
    <row r="23084" spans="8:8">
      <c r="H23084" s="680" t="s">
        <v>6153</v>
      </c>
    </row>
    <row r="23085" spans="8:8">
      <c r="H23085" s="680" t="s">
        <v>6153</v>
      </c>
    </row>
    <row r="23086" spans="8:8">
      <c r="H23086" s="680" t="s">
        <v>6153</v>
      </c>
    </row>
    <row r="23087" spans="8:8">
      <c r="H23087" s="680" t="s">
        <v>6153</v>
      </c>
    </row>
    <row r="23088" spans="8:8">
      <c r="H23088" s="680" t="s">
        <v>6153</v>
      </c>
    </row>
    <row r="23089" spans="8:8">
      <c r="H23089" s="680" t="s">
        <v>6153</v>
      </c>
    </row>
    <row r="23090" spans="8:8">
      <c r="H23090" s="680" t="s">
        <v>6153</v>
      </c>
    </row>
    <row r="23091" spans="8:8">
      <c r="H23091" s="680" t="s">
        <v>6153</v>
      </c>
    </row>
    <row r="23092" spans="8:8">
      <c r="H23092" s="680" t="s">
        <v>6153</v>
      </c>
    </row>
    <row r="23093" spans="8:8">
      <c r="H23093" s="680" t="s">
        <v>6153</v>
      </c>
    </row>
    <row r="23094" spans="8:8">
      <c r="H23094" s="680" t="s">
        <v>6153</v>
      </c>
    </row>
    <row r="23095" spans="8:8">
      <c r="H23095" s="680" t="s">
        <v>6153</v>
      </c>
    </row>
    <row r="23096" spans="8:8">
      <c r="H23096" s="680" t="s">
        <v>6153</v>
      </c>
    </row>
    <row r="23097" spans="8:8">
      <c r="H23097" s="680" t="s">
        <v>6153</v>
      </c>
    </row>
    <row r="23098" spans="8:8">
      <c r="H23098" s="680" t="s">
        <v>6153</v>
      </c>
    </row>
    <row r="23099" spans="8:8">
      <c r="H23099" s="680" t="s">
        <v>6153</v>
      </c>
    </row>
    <row r="23100" spans="8:8">
      <c r="H23100" s="680" t="s">
        <v>6153</v>
      </c>
    </row>
    <row r="23101" spans="8:8">
      <c r="H23101" s="680" t="s">
        <v>6153</v>
      </c>
    </row>
    <row r="23102" spans="8:8">
      <c r="H23102" s="680" t="s">
        <v>6153</v>
      </c>
    </row>
    <row r="23103" spans="8:8">
      <c r="H23103" s="680" t="s">
        <v>6153</v>
      </c>
    </row>
    <row r="23104" spans="8:8">
      <c r="H23104" s="680" t="s">
        <v>6153</v>
      </c>
    </row>
    <row r="23105" spans="8:8">
      <c r="H23105" s="680" t="s">
        <v>6153</v>
      </c>
    </row>
    <row r="23106" spans="8:8">
      <c r="H23106" s="680" t="s">
        <v>6153</v>
      </c>
    </row>
    <row r="23107" spans="8:8">
      <c r="H23107" s="680" t="s">
        <v>6153</v>
      </c>
    </row>
    <row r="23108" spans="8:8">
      <c r="H23108" s="680" t="s">
        <v>6153</v>
      </c>
    </row>
    <row r="23109" spans="8:8">
      <c r="H23109" s="680" t="s">
        <v>6153</v>
      </c>
    </row>
    <row r="23110" spans="8:8">
      <c r="H23110" s="680" t="s">
        <v>6153</v>
      </c>
    </row>
    <row r="23111" spans="8:8">
      <c r="H23111" s="680" t="s">
        <v>6153</v>
      </c>
    </row>
    <row r="23112" spans="8:8">
      <c r="H23112" s="680" t="s">
        <v>6153</v>
      </c>
    </row>
    <row r="23113" spans="8:8">
      <c r="H23113" s="680" t="s">
        <v>6153</v>
      </c>
    </row>
    <row r="23114" spans="8:8">
      <c r="H23114" s="680" t="s">
        <v>6153</v>
      </c>
    </row>
    <row r="23115" spans="8:8">
      <c r="H23115" s="680" t="s">
        <v>6153</v>
      </c>
    </row>
    <row r="23116" spans="8:8">
      <c r="H23116" s="680" t="s">
        <v>6153</v>
      </c>
    </row>
    <row r="23117" spans="8:8">
      <c r="H23117" s="680" t="s">
        <v>6153</v>
      </c>
    </row>
    <row r="23118" spans="8:8">
      <c r="H23118" s="680" t="s">
        <v>6153</v>
      </c>
    </row>
    <row r="23119" spans="8:8">
      <c r="H23119" s="680" t="s">
        <v>6153</v>
      </c>
    </row>
    <row r="23120" spans="8:8">
      <c r="H23120" s="680" t="s">
        <v>6153</v>
      </c>
    </row>
    <row r="23121" spans="8:8">
      <c r="H23121" s="680" t="s">
        <v>6153</v>
      </c>
    </row>
    <row r="23122" spans="8:8">
      <c r="H23122" s="680" t="s">
        <v>6153</v>
      </c>
    </row>
    <row r="23123" spans="8:8">
      <c r="H23123" s="680" t="s">
        <v>6153</v>
      </c>
    </row>
    <row r="23124" spans="8:8">
      <c r="H23124" s="680" t="s">
        <v>6153</v>
      </c>
    </row>
    <row r="23125" spans="8:8">
      <c r="H23125" s="680" t="s">
        <v>6153</v>
      </c>
    </row>
    <row r="23126" spans="8:8">
      <c r="H23126" s="680" t="s">
        <v>6153</v>
      </c>
    </row>
    <row r="23127" spans="8:8">
      <c r="H23127" s="680" t="s">
        <v>6153</v>
      </c>
    </row>
    <row r="23128" spans="8:8">
      <c r="H23128" s="680" t="s">
        <v>6153</v>
      </c>
    </row>
    <row r="23129" spans="8:8">
      <c r="H23129" s="680" t="s">
        <v>6153</v>
      </c>
    </row>
    <row r="23130" spans="8:8">
      <c r="H23130" s="680" t="s">
        <v>6153</v>
      </c>
    </row>
    <row r="23131" spans="8:8">
      <c r="H23131" s="680" t="s">
        <v>6153</v>
      </c>
    </row>
    <row r="23132" spans="8:8">
      <c r="H23132" s="680" t="s">
        <v>6153</v>
      </c>
    </row>
    <row r="23133" spans="8:8">
      <c r="H23133" s="680" t="s">
        <v>6153</v>
      </c>
    </row>
    <row r="23134" spans="8:8">
      <c r="H23134" s="680" t="s">
        <v>6153</v>
      </c>
    </row>
    <row r="23135" spans="8:8">
      <c r="H23135" s="680" t="s">
        <v>6153</v>
      </c>
    </row>
    <row r="23136" spans="8:8">
      <c r="H23136" s="680" t="s">
        <v>6153</v>
      </c>
    </row>
    <row r="23137" spans="8:8">
      <c r="H23137" s="680" t="s">
        <v>6153</v>
      </c>
    </row>
    <row r="23138" spans="8:8">
      <c r="H23138" s="680" t="s">
        <v>6153</v>
      </c>
    </row>
    <row r="23139" spans="8:8">
      <c r="H23139" s="680" t="s">
        <v>6153</v>
      </c>
    </row>
    <row r="23140" spans="8:8">
      <c r="H23140" s="680" t="s">
        <v>6153</v>
      </c>
    </row>
    <row r="23141" spans="8:8">
      <c r="H23141" s="680" t="s">
        <v>6153</v>
      </c>
    </row>
    <row r="23142" spans="8:8">
      <c r="H23142" s="680" t="s">
        <v>6153</v>
      </c>
    </row>
    <row r="23143" spans="8:8">
      <c r="H23143" s="680" t="s">
        <v>6153</v>
      </c>
    </row>
    <row r="23144" spans="8:8">
      <c r="H23144" s="680" t="s">
        <v>6153</v>
      </c>
    </row>
    <row r="23145" spans="8:8">
      <c r="H23145" s="680" t="s">
        <v>6153</v>
      </c>
    </row>
    <row r="23146" spans="8:8">
      <c r="H23146" s="680" t="s">
        <v>6153</v>
      </c>
    </row>
    <row r="23147" spans="8:8">
      <c r="H23147" s="680" t="s">
        <v>6153</v>
      </c>
    </row>
    <row r="23148" spans="8:8">
      <c r="H23148" s="680" t="s">
        <v>6153</v>
      </c>
    </row>
    <row r="23149" spans="8:8">
      <c r="H23149" s="680" t="s">
        <v>6153</v>
      </c>
    </row>
    <row r="23150" spans="8:8">
      <c r="H23150" s="680" t="s">
        <v>6153</v>
      </c>
    </row>
    <row r="23151" spans="8:8">
      <c r="H23151" s="680" t="s">
        <v>6153</v>
      </c>
    </row>
    <row r="23152" spans="8:8">
      <c r="H23152" s="680" t="s">
        <v>6153</v>
      </c>
    </row>
    <row r="23153" spans="8:8">
      <c r="H23153" s="680" t="s">
        <v>6153</v>
      </c>
    </row>
    <row r="23154" spans="8:8">
      <c r="H23154" s="680" t="s">
        <v>6153</v>
      </c>
    </row>
    <row r="23155" spans="8:8">
      <c r="H23155" s="680" t="s">
        <v>6153</v>
      </c>
    </row>
    <row r="23156" spans="8:8">
      <c r="H23156" s="680" t="s">
        <v>6153</v>
      </c>
    </row>
    <row r="23157" spans="8:8">
      <c r="H23157" s="680" t="s">
        <v>6153</v>
      </c>
    </row>
    <row r="23158" spans="8:8">
      <c r="H23158" s="680" t="s">
        <v>6153</v>
      </c>
    </row>
    <row r="23159" spans="8:8">
      <c r="H23159" s="680" t="s">
        <v>6153</v>
      </c>
    </row>
    <row r="23160" spans="8:8">
      <c r="H23160" s="680" t="s">
        <v>6153</v>
      </c>
    </row>
    <row r="23161" spans="8:8">
      <c r="H23161" s="680" t="s">
        <v>6153</v>
      </c>
    </row>
    <row r="23162" spans="8:8">
      <c r="H23162" s="680" t="s">
        <v>6153</v>
      </c>
    </row>
    <row r="23163" spans="8:8">
      <c r="H23163" s="680" t="s">
        <v>6153</v>
      </c>
    </row>
    <row r="23164" spans="8:8">
      <c r="H23164" s="680" t="s">
        <v>6153</v>
      </c>
    </row>
    <row r="23165" spans="8:8">
      <c r="H23165" s="680" t="s">
        <v>6153</v>
      </c>
    </row>
    <row r="23166" spans="8:8">
      <c r="H23166" s="680" t="s">
        <v>6153</v>
      </c>
    </row>
    <row r="23167" spans="8:8">
      <c r="H23167" s="680" t="s">
        <v>6153</v>
      </c>
    </row>
    <row r="23168" spans="8:8">
      <c r="H23168" s="680" t="s">
        <v>6153</v>
      </c>
    </row>
    <row r="23169" spans="8:8">
      <c r="H23169" s="680" t="s">
        <v>6153</v>
      </c>
    </row>
    <row r="23170" spans="8:8">
      <c r="H23170" s="680" t="s">
        <v>6153</v>
      </c>
    </row>
    <row r="23171" spans="8:8">
      <c r="H23171" s="680" t="s">
        <v>6153</v>
      </c>
    </row>
    <row r="23172" spans="8:8">
      <c r="H23172" s="680" t="s">
        <v>6153</v>
      </c>
    </row>
    <row r="23173" spans="8:8">
      <c r="H23173" s="680" t="s">
        <v>6153</v>
      </c>
    </row>
    <row r="23174" spans="8:8">
      <c r="H23174" s="680" t="s">
        <v>6153</v>
      </c>
    </row>
    <row r="23175" spans="8:8">
      <c r="H23175" s="680" t="s">
        <v>6153</v>
      </c>
    </row>
    <row r="23176" spans="8:8">
      <c r="H23176" s="680" t="s">
        <v>6153</v>
      </c>
    </row>
    <row r="23177" spans="8:8">
      <c r="H23177" s="680" t="s">
        <v>6153</v>
      </c>
    </row>
    <row r="23178" spans="8:8">
      <c r="H23178" s="680" t="s">
        <v>6153</v>
      </c>
    </row>
    <row r="23179" spans="8:8">
      <c r="H23179" s="680" t="s">
        <v>6153</v>
      </c>
    </row>
    <row r="23180" spans="8:8">
      <c r="H23180" s="680" t="s">
        <v>6153</v>
      </c>
    </row>
    <row r="23181" spans="8:8">
      <c r="H23181" s="680" t="s">
        <v>6153</v>
      </c>
    </row>
    <row r="23182" spans="8:8">
      <c r="H23182" s="680" t="s">
        <v>6153</v>
      </c>
    </row>
    <row r="23183" spans="8:8">
      <c r="H23183" s="680" t="s">
        <v>6153</v>
      </c>
    </row>
    <row r="23184" spans="8:8">
      <c r="H23184" s="680" t="s">
        <v>6153</v>
      </c>
    </row>
    <row r="23185" spans="8:8">
      <c r="H23185" s="680" t="s">
        <v>6153</v>
      </c>
    </row>
    <row r="23186" spans="8:8">
      <c r="H23186" s="680" t="s">
        <v>6153</v>
      </c>
    </row>
    <row r="23187" spans="8:8">
      <c r="H23187" s="680" t="s">
        <v>6153</v>
      </c>
    </row>
    <row r="23188" spans="8:8">
      <c r="H23188" s="680" t="s">
        <v>6153</v>
      </c>
    </row>
    <row r="23189" spans="8:8">
      <c r="H23189" s="680" t="s">
        <v>6153</v>
      </c>
    </row>
    <row r="23190" spans="8:8">
      <c r="H23190" s="680" t="s">
        <v>6153</v>
      </c>
    </row>
    <row r="23191" spans="8:8">
      <c r="H23191" s="680" t="s">
        <v>6153</v>
      </c>
    </row>
    <row r="23192" spans="8:8">
      <c r="H23192" s="680" t="s">
        <v>6153</v>
      </c>
    </row>
    <row r="23193" spans="8:8">
      <c r="H23193" s="680" t="s">
        <v>6153</v>
      </c>
    </row>
    <row r="23194" spans="8:8">
      <c r="H23194" s="680" t="s">
        <v>6153</v>
      </c>
    </row>
    <row r="23195" spans="8:8">
      <c r="H23195" s="680" t="s">
        <v>6153</v>
      </c>
    </row>
    <row r="23196" spans="8:8">
      <c r="H23196" s="680" t="s">
        <v>6153</v>
      </c>
    </row>
    <row r="23197" spans="8:8">
      <c r="H23197" s="680" t="s">
        <v>6153</v>
      </c>
    </row>
    <row r="23198" spans="8:8">
      <c r="H23198" s="680" t="s">
        <v>6153</v>
      </c>
    </row>
    <row r="23199" spans="8:8">
      <c r="H23199" s="680" t="s">
        <v>6153</v>
      </c>
    </row>
    <row r="23200" spans="8:8">
      <c r="H23200" s="680" t="s">
        <v>6153</v>
      </c>
    </row>
    <row r="23201" spans="8:8">
      <c r="H23201" s="680" t="s">
        <v>6153</v>
      </c>
    </row>
    <row r="23202" spans="8:8">
      <c r="H23202" s="680" t="s">
        <v>6153</v>
      </c>
    </row>
    <row r="23203" spans="8:8">
      <c r="H23203" s="680" t="s">
        <v>6153</v>
      </c>
    </row>
    <row r="23204" spans="8:8">
      <c r="H23204" s="680" t="s">
        <v>6153</v>
      </c>
    </row>
    <row r="23205" spans="8:8">
      <c r="H23205" s="680" t="s">
        <v>6153</v>
      </c>
    </row>
    <row r="23206" spans="8:8">
      <c r="H23206" s="680" t="s">
        <v>6153</v>
      </c>
    </row>
    <row r="23207" spans="8:8">
      <c r="H23207" s="680" t="s">
        <v>6153</v>
      </c>
    </row>
    <row r="23208" spans="8:8">
      <c r="H23208" s="680" t="s">
        <v>6153</v>
      </c>
    </row>
    <row r="23209" spans="8:8">
      <c r="H23209" s="680" t="s">
        <v>6153</v>
      </c>
    </row>
    <row r="23210" spans="8:8">
      <c r="H23210" s="680" t="s">
        <v>6153</v>
      </c>
    </row>
    <row r="23211" spans="8:8">
      <c r="H23211" s="680" t="s">
        <v>6153</v>
      </c>
    </row>
    <row r="23212" spans="8:8">
      <c r="H23212" s="680" t="s">
        <v>6153</v>
      </c>
    </row>
    <row r="23213" spans="8:8">
      <c r="H23213" s="680" t="s">
        <v>6153</v>
      </c>
    </row>
    <row r="23214" spans="8:8">
      <c r="H23214" s="680" t="s">
        <v>6153</v>
      </c>
    </row>
    <row r="23215" spans="8:8">
      <c r="H23215" s="680" t="s">
        <v>6153</v>
      </c>
    </row>
    <row r="23216" spans="8:8">
      <c r="H23216" s="680" t="s">
        <v>6153</v>
      </c>
    </row>
    <row r="23217" spans="8:8">
      <c r="H23217" s="680" t="s">
        <v>6153</v>
      </c>
    </row>
    <row r="23218" spans="8:8">
      <c r="H23218" s="680" t="s">
        <v>6153</v>
      </c>
    </row>
    <row r="23219" spans="8:8">
      <c r="H23219" s="680" t="s">
        <v>6153</v>
      </c>
    </row>
    <row r="23220" spans="8:8">
      <c r="H23220" s="680" t="s">
        <v>6153</v>
      </c>
    </row>
    <row r="23221" spans="8:8">
      <c r="H23221" s="680" t="s">
        <v>6153</v>
      </c>
    </row>
    <row r="23222" spans="8:8">
      <c r="H23222" s="680" t="s">
        <v>6153</v>
      </c>
    </row>
    <row r="23223" spans="8:8">
      <c r="H23223" s="680" t="s">
        <v>6153</v>
      </c>
    </row>
    <row r="23224" spans="8:8">
      <c r="H23224" s="680" t="s">
        <v>6153</v>
      </c>
    </row>
    <row r="23225" spans="8:8">
      <c r="H23225" s="680" t="s">
        <v>6153</v>
      </c>
    </row>
    <row r="23226" spans="8:8">
      <c r="H23226" s="680" t="s">
        <v>6153</v>
      </c>
    </row>
    <row r="23227" spans="8:8">
      <c r="H23227" s="680" t="s">
        <v>6153</v>
      </c>
    </row>
    <row r="23228" spans="8:8">
      <c r="H23228" s="680" t="s">
        <v>6153</v>
      </c>
    </row>
    <row r="23229" spans="8:8">
      <c r="H23229" s="680" t="s">
        <v>6153</v>
      </c>
    </row>
    <row r="23230" spans="8:8">
      <c r="H23230" s="680" t="s">
        <v>6153</v>
      </c>
    </row>
    <row r="23231" spans="8:8">
      <c r="H23231" s="680" t="s">
        <v>6153</v>
      </c>
    </row>
    <row r="23232" spans="8:8">
      <c r="H23232" s="680" t="s">
        <v>6153</v>
      </c>
    </row>
    <row r="23233" spans="8:8">
      <c r="H23233" s="680" t="s">
        <v>6153</v>
      </c>
    </row>
    <row r="23234" spans="8:8">
      <c r="H23234" s="680" t="s">
        <v>6153</v>
      </c>
    </row>
    <row r="23235" spans="8:8">
      <c r="H23235" s="680" t="s">
        <v>6153</v>
      </c>
    </row>
    <row r="23236" spans="8:8">
      <c r="H23236" s="680" t="s">
        <v>6153</v>
      </c>
    </row>
    <row r="23237" spans="8:8">
      <c r="H23237" s="680" t="s">
        <v>6153</v>
      </c>
    </row>
    <row r="23238" spans="8:8">
      <c r="H23238" s="680" t="s">
        <v>6153</v>
      </c>
    </row>
    <row r="23239" spans="8:8">
      <c r="H23239" s="680" t="s">
        <v>6153</v>
      </c>
    </row>
    <row r="23240" spans="8:8">
      <c r="H23240" s="680" t="s">
        <v>6153</v>
      </c>
    </row>
    <row r="23241" spans="8:8">
      <c r="H23241" s="680" t="s">
        <v>6153</v>
      </c>
    </row>
    <row r="23242" spans="8:8">
      <c r="H23242" s="680" t="s">
        <v>6153</v>
      </c>
    </row>
    <row r="23243" spans="8:8">
      <c r="H23243" s="680" t="s">
        <v>6153</v>
      </c>
    </row>
    <row r="23244" spans="8:8">
      <c r="H23244" s="680" t="s">
        <v>6153</v>
      </c>
    </row>
    <row r="23245" spans="8:8">
      <c r="H23245" s="680" t="s">
        <v>6153</v>
      </c>
    </row>
    <row r="23246" spans="8:8">
      <c r="H23246" s="680" t="s">
        <v>6153</v>
      </c>
    </row>
    <row r="23247" spans="8:8">
      <c r="H23247" s="680" t="s">
        <v>6153</v>
      </c>
    </row>
    <row r="23248" spans="8:8">
      <c r="H23248" s="680" t="s">
        <v>6153</v>
      </c>
    </row>
    <row r="23249" spans="8:8">
      <c r="H23249" s="680" t="s">
        <v>6153</v>
      </c>
    </row>
    <row r="23250" spans="8:8">
      <c r="H23250" s="680" t="s">
        <v>6153</v>
      </c>
    </row>
    <row r="23251" spans="8:8">
      <c r="H23251" s="680" t="s">
        <v>6153</v>
      </c>
    </row>
    <row r="23252" spans="8:8">
      <c r="H23252" s="680" t="s">
        <v>6153</v>
      </c>
    </row>
    <row r="23253" spans="8:8">
      <c r="H23253" s="680" t="s">
        <v>6153</v>
      </c>
    </row>
    <row r="23254" spans="8:8">
      <c r="H23254" s="680" t="s">
        <v>6153</v>
      </c>
    </row>
    <row r="23255" spans="8:8">
      <c r="H23255" s="680" t="s">
        <v>6153</v>
      </c>
    </row>
    <row r="23256" spans="8:8">
      <c r="H23256" s="680" t="s">
        <v>6153</v>
      </c>
    </row>
    <row r="23257" spans="8:8">
      <c r="H23257" s="680" t="s">
        <v>6153</v>
      </c>
    </row>
    <row r="23258" spans="8:8">
      <c r="H23258" s="680" t="s">
        <v>6153</v>
      </c>
    </row>
    <row r="23259" spans="8:8">
      <c r="H23259" s="680" t="s">
        <v>6153</v>
      </c>
    </row>
    <row r="23260" spans="8:8">
      <c r="H23260" s="680" t="s">
        <v>6153</v>
      </c>
    </row>
    <row r="23261" spans="8:8">
      <c r="H23261" s="680" t="s">
        <v>6153</v>
      </c>
    </row>
    <row r="23262" spans="8:8">
      <c r="H23262" s="680" t="s">
        <v>6153</v>
      </c>
    </row>
    <row r="23263" spans="8:8">
      <c r="H23263" s="680" t="s">
        <v>6153</v>
      </c>
    </row>
    <row r="23264" spans="8:8">
      <c r="H23264" s="680" t="s">
        <v>6153</v>
      </c>
    </row>
    <row r="23265" spans="8:8">
      <c r="H23265" s="680" t="s">
        <v>6153</v>
      </c>
    </row>
    <row r="23266" spans="8:8">
      <c r="H23266" s="680" t="s">
        <v>6153</v>
      </c>
    </row>
    <row r="23267" spans="8:8">
      <c r="H23267" s="680" t="s">
        <v>6153</v>
      </c>
    </row>
    <row r="23268" spans="8:8">
      <c r="H23268" s="680" t="s">
        <v>6153</v>
      </c>
    </row>
    <row r="23269" spans="8:8">
      <c r="H23269" s="680" t="s">
        <v>6153</v>
      </c>
    </row>
    <row r="23270" spans="8:8">
      <c r="H23270" s="680" t="s">
        <v>6153</v>
      </c>
    </row>
    <row r="23271" spans="8:8">
      <c r="H23271" s="680" t="s">
        <v>6153</v>
      </c>
    </row>
    <row r="23272" spans="8:8">
      <c r="H23272" s="680" t="s">
        <v>6153</v>
      </c>
    </row>
    <row r="23273" spans="8:8">
      <c r="H23273" s="680" t="s">
        <v>6153</v>
      </c>
    </row>
    <row r="23274" spans="8:8">
      <c r="H23274" s="680" t="s">
        <v>6153</v>
      </c>
    </row>
    <row r="23275" spans="8:8">
      <c r="H23275" s="680" t="s">
        <v>6153</v>
      </c>
    </row>
    <row r="23276" spans="8:8">
      <c r="H23276" s="680" t="s">
        <v>6153</v>
      </c>
    </row>
    <row r="23277" spans="8:8">
      <c r="H23277" s="680" t="s">
        <v>6153</v>
      </c>
    </row>
    <row r="23278" spans="8:8">
      <c r="H23278" s="680" t="s">
        <v>6153</v>
      </c>
    </row>
    <row r="23279" spans="8:8">
      <c r="H23279" s="680" t="s">
        <v>6153</v>
      </c>
    </row>
    <row r="23280" spans="8:8">
      <c r="H23280" s="680" t="s">
        <v>6153</v>
      </c>
    </row>
    <row r="23281" spans="8:8">
      <c r="H23281" s="680" t="s">
        <v>6153</v>
      </c>
    </row>
    <row r="23282" spans="8:8">
      <c r="H23282" s="680" t="s">
        <v>6153</v>
      </c>
    </row>
    <row r="23283" spans="8:8">
      <c r="H23283" s="680" t="s">
        <v>6153</v>
      </c>
    </row>
    <row r="23284" spans="8:8">
      <c r="H23284" s="680" t="s">
        <v>6153</v>
      </c>
    </row>
    <row r="23285" spans="8:8">
      <c r="H23285" s="680" t="s">
        <v>6153</v>
      </c>
    </row>
    <row r="23286" spans="8:8">
      <c r="H23286" s="680" t="s">
        <v>6153</v>
      </c>
    </row>
    <row r="23287" spans="8:8">
      <c r="H23287" s="680" t="s">
        <v>6153</v>
      </c>
    </row>
    <row r="23288" spans="8:8">
      <c r="H23288" s="680" t="s">
        <v>6153</v>
      </c>
    </row>
    <row r="23289" spans="8:8">
      <c r="H23289" s="680" t="s">
        <v>6153</v>
      </c>
    </row>
    <row r="23290" spans="8:8">
      <c r="H23290" s="680" t="s">
        <v>6153</v>
      </c>
    </row>
    <row r="23291" spans="8:8">
      <c r="H23291" s="680" t="s">
        <v>6153</v>
      </c>
    </row>
    <row r="23292" spans="8:8">
      <c r="H23292" s="680" t="s">
        <v>6153</v>
      </c>
    </row>
    <row r="23293" spans="8:8">
      <c r="H23293" s="680" t="s">
        <v>6153</v>
      </c>
    </row>
    <row r="23294" spans="8:8">
      <c r="H23294" s="680" t="s">
        <v>6153</v>
      </c>
    </row>
    <row r="23295" spans="8:8">
      <c r="H23295" s="680" t="s">
        <v>6153</v>
      </c>
    </row>
    <row r="23296" spans="8:8">
      <c r="H23296" s="680" t="s">
        <v>6153</v>
      </c>
    </row>
    <row r="23297" spans="8:8">
      <c r="H23297" s="680" t="s">
        <v>6153</v>
      </c>
    </row>
    <row r="23298" spans="8:8">
      <c r="H23298" s="680" t="s">
        <v>6153</v>
      </c>
    </row>
    <row r="23299" spans="8:8">
      <c r="H23299" s="680" t="s">
        <v>6153</v>
      </c>
    </row>
    <row r="23300" spans="8:8">
      <c r="H23300" s="680" t="s">
        <v>6153</v>
      </c>
    </row>
    <row r="23301" spans="8:8">
      <c r="H23301" s="680" t="s">
        <v>6153</v>
      </c>
    </row>
    <row r="23302" spans="8:8">
      <c r="H23302" s="680" t="s">
        <v>6153</v>
      </c>
    </row>
    <row r="23303" spans="8:8">
      <c r="H23303" s="680" t="s">
        <v>6153</v>
      </c>
    </row>
    <row r="23304" spans="8:8">
      <c r="H23304" s="680" t="s">
        <v>6153</v>
      </c>
    </row>
    <row r="23305" spans="8:8">
      <c r="H23305" s="680" t="s">
        <v>6153</v>
      </c>
    </row>
    <row r="23306" spans="8:8">
      <c r="H23306" s="680" t="s">
        <v>6153</v>
      </c>
    </row>
    <row r="23307" spans="8:8">
      <c r="H23307" s="680" t="s">
        <v>6153</v>
      </c>
    </row>
    <row r="23308" spans="8:8">
      <c r="H23308" s="680" t="s">
        <v>6153</v>
      </c>
    </row>
    <row r="23309" spans="8:8">
      <c r="H23309" s="680" t="s">
        <v>6153</v>
      </c>
    </row>
    <row r="23310" spans="8:8">
      <c r="H23310" s="680" t="s">
        <v>6153</v>
      </c>
    </row>
    <row r="23311" spans="8:8">
      <c r="H23311" s="680" t="s">
        <v>6153</v>
      </c>
    </row>
    <row r="23312" spans="8:8">
      <c r="H23312" s="680" t="s">
        <v>6153</v>
      </c>
    </row>
    <row r="23313" spans="8:8">
      <c r="H23313" s="680" t="s">
        <v>6153</v>
      </c>
    </row>
    <row r="23314" spans="8:8">
      <c r="H23314" s="680" t="s">
        <v>6153</v>
      </c>
    </row>
    <row r="23315" spans="8:8">
      <c r="H23315" s="680" t="s">
        <v>6153</v>
      </c>
    </row>
    <row r="23316" spans="8:8">
      <c r="H23316" s="680" t="s">
        <v>6153</v>
      </c>
    </row>
    <row r="23317" spans="8:8">
      <c r="H23317" s="680" t="s">
        <v>6153</v>
      </c>
    </row>
    <row r="23318" spans="8:8">
      <c r="H23318" s="680" t="s">
        <v>6153</v>
      </c>
    </row>
    <row r="23319" spans="8:8">
      <c r="H23319" s="680" t="s">
        <v>6153</v>
      </c>
    </row>
    <row r="23320" spans="8:8">
      <c r="H23320" s="680" t="s">
        <v>6153</v>
      </c>
    </row>
    <row r="23321" spans="8:8">
      <c r="H23321" s="680" t="s">
        <v>6153</v>
      </c>
    </row>
    <row r="23322" spans="8:8">
      <c r="H23322" s="680" t="s">
        <v>6153</v>
      </c>
    </row>
    <row r="23323" spans="8:8">
      <c r="H23323" s="680" t="s">
        <v>6153</v>
      </c>
    </row>
    <row r="23324" spans="8:8">
      <c r="H23324" s="680" t="s">
        <v>6153</v>
      </c>
    </row>
    <row r="23325" spans="8:8">
      <c r="H23325" s="680" t="s">
        <v>6153</v>
      </c>
    </row>
    <row r="23326" spans="8:8">
      <c r="H23326" s="680" t="s">
        <v>6153</v>
      </c>
    </row>
    <row r="23327" spans="8:8">
      <c r="H23327" s="680" t="s">
        <v>6153</v>
      </c>
    </row>
    <row r="23328" spans="8:8">
      <c r="H23328" s="680" t="s">
        <v>6153</v>
      </c>
    </row>
    <row r="23329" spans="8:8">
      <c r="H23329" s="680" t="s">
        <v>6153</v>
      </c>
    </row>
    <row r="23330" spans="8:8">
      <c r="H23330" s="680" t="s">
        <v>6153</v>
      </c>
    </row>
    <row r="23331" spans="8:8">
      <c r="H23331" s="680" t="s">
        <v>6153</v>
      </c>
    </row>
    <row r="23332" spans="8:8">
      <c r="H23332" s="680" t="s">
        <v>6153</v>
      </c>
    </row>
    <row r="23333" spans="8:8">
      <c r="H23333" s="680" t="s">
        <v>6153</v>
      </c>
    </row>
    <row r="23334" spans="8:8">
      <c r="H23334" s="680" t="s">
        <v>6153</v>
      </c>
    </row>
    <row r="23335" spans="8:8">
      <c r="H23335" s="680" t="s">
        <v>6153</v>
      </c>
    </row>
    <row r="23336" spans="8:8">
      <c r="H23336" s="680" t="s">
        <v>6153</v>
      </c>
    </row>
    <row r="23337" spans="8:8">
      <c r="H23337" s="680" t="s">
        <v>6153</v>
      </c>
    </row>
    <row r="23338" spans="8:8">
      <c r="H23338" s="680" t="s">
        <v>6153</v>
      </c>
    </row>
    <row r="23339" spans="8:8">
      <c r="H23339" s="680" t="s">
        <v>6153</v>
      </c>
    </row>
    <row r="23340" spans="8:8">
      <c r="H23340" s="680" t="s">
        <v>6153</v>
      </c>
    </row>
    <row r="23341" spans="8:8">
      <c r="H23341" s="680" t="s">
        <v>6153</v>
      </c>
    </row>
    <row r="23342" spans="8:8">
      <c r="H23342" s="680" t="s">
        <v>6153</v>
      </c>
    </row>
    <row r="23343" spans="8:8">
      <c r="H23343" s="680" t="s">
        <v>6153</v>
      </c>
    </row>
    <row r="23344" spans="8:8">
      <c r="H23344" s="680" t="s">
        <v>6153</v>
      </c>
    </row>
    <row r="23345" spans="8:8">
      <c r="H23345" s="680" t="s">
        <v>6153</v>
      </c>
    </row>
    <row r="23346" spans="8:8">
      <c r="H23346" s="680" t="s">
        <v>6153</v>
      </c>
    </row>
    <row r="23347" spans="8:8">
      <c r="H23347" s="680" t="s">
        <v>6153</v>
      </c>
    </row>
    <row r="23348" spans="8:8">
      <c r="H23348" s="680" t="s">
        <v>6153</v>
      </c>
    </row>
    <row r="23349" spans="8:8">
      <c r="H23349" s="680" t="s">
        <v>6153</v>
      </c>
    </row>
    <row r="23350" spans="8:8">
      <c r="H23350" s="680" t="s">
        <v>6153</v>
      </c>
    </row>
    <row r="23351" spans="8:8">
      <c r="H23351" s="680" t="s">
        <v>6153</v>
      </c>
    </row>
    <row r="23352" spans="8:8">
      <c r="H23352" s="680" t="s">
        <v>6153</v>
      </c>
    </row>
    <row r="23353" spans="8:8">
      <c r="H23353" s="680" t="s">
        <v>6153</v>
      </c>
    </row>
    <row r="23354" spans="8:8">
      <c r="H23354" s="680" t="s">
        <v>6153</v>
      </c>
    </row>
    <row r="23355" spans="8:8">
      <c r="H23355" s="680" t="s">
        <v>6153</v>
      </c>
    </row>
    <row r="23356" spans="8:8">
      <c r="H23356" s="680" t="s">
        <v>6153</v>
      </c>
    </row>
    <row r="23357" spans="8:8">
      <c r="H23357" s="680" t="s">
        <v>6153</v>
      </c>
    </row>
    <row r="23358" spans="8:8">
      <c r="H23358" s="680" t="s">
        <v>6153</v>
      </c>
    </row>
    <row r="23359" spans="8:8">
      <c r="H23359" s="680" t="s">
        <v>6153</v>
      </c>
    </row>
    <row r="23360" spans="8:8">
      <c r="H23360" s="680" t="s">
        <v>6153</v>
      </c>
    </row>
    <row r="23361" spans="8:8">
      <c r="H23361" s="680" t="s">
        <v>6153</v>
      </c>
    </row>
    <row r="23362" spans="8:8">
      <c r="H23362" s="680" t="s">
        <v>6153</v>
      </c>
    </row>
    <row r="23363" spans="8:8">
      <c r="H23363" s="680" t="s">
        <v>6153</v>
      </c>
    </row>
    <row r="23364" spans="8:8">
      <c r="H23364" s="680" t="s">
        <v>6153</v>
      </c>
    </row>
    <row r="23365" spans="8:8">
      <c r="H23365" s="680" t="s">
        <v>6153</v>
      </c>
    </row>
    <row r="23366" spans="8:8">
      <c r="H23366" s="680" t="s">
        <v>6153</v>
      </c>
    </row>
    <row r="23367" spans="8:8">
      <c r="H23367" s="680" t="s">
        <v>6153</v>
      </c>
    </row>
    <row r="23368" spans="8:8">
      <c r="H23368" s="680" t="s">
        <v>6153</v>
      </c>
    </row>
    <row r="23369" spans="8:8">
      <c r="H23369" s="680" t="s">
        <v>6153</v>
      </c>
    </row>
    <row r="23370" spans="8:8">
      <c r="H23370" s="680" t="s">
        <v>6153</v>
      </c>
    </row>
    <row r="23371" spans="8:8">
      <c r="H23371" s="680" t="s">
        <v>6153</v>
      </c>
    </row>
    <row r="23372" spans="8:8">
      <c r="H23372" s="680" t="s">
        <v>6153</v>
      </c>
    </row>
    <row r="23373" spans="8:8">
      <c r="H23373" s="680" t="s">
        <v>6153</v>
      </c>
    </row>
    <row r="23374" spans="8:8">
      <c r="H23374" s="680" t="s">
        <v>6153</v>
      </c>
    </row>
    <row r="23375" spans="8:8">
      <c r="H23375" s="680" t="s">
        <v>6153</v>
      </c>
    </row>
    <row r="23376" spans="8:8">
      <c r="H23376" s="680" t="s">
        <v>6153</v>
      </c>
    </row>
    <row r="23377" spans="8:8">
      <c r="H23377" s="680" t="s">
        <v>6153</v>
      </c>
    </row>
    <row r="23378" spans="8:8">
      <c r="H23378" s="680" t="s">
        <v>6153</v>
      </c>
    </row>
    <row r="23379" spans="8:8">
      <c r="H23379" s="680" t="s">
        <v>6153</v>
      </c>
    </row>
    <row r="23380" spans="8:8">
      <c r="H23380" s="680" t="s">
        <v>6153</v>
      </c>
    </row>
    <row r="23381" spans="8:8">
      <c r="H23381" s="680" t="s">
        <v>6153</v>
      </c>
    </row>
    <row r="23382" spans="8:8">
      <c r="H23382" s="680" t="s">
        <v>6153</v>
      </c>
    </row>
    <row r="23383" spans="8:8">
      <c r="H23383" s="680" t="s">
        <v>6153</v>
      </c>
    </row>
    <row r="23384" spans="8:8">
      <c r="H23384" s="680" t="s">
        <v>6153</v>
      </c>
    </row>
    <row r="23385" spans="8:8">
      <c r="H23385" s="680" t="s">
        <v>6153</v>
      </c>
    </row>
    <row r="23386" spans="8:8">
      <c r="H23386" s="680" t="s">
        <v>6153</v>
      </c>
    </row>
    <row r="23387" spans="8:8">
      <c r="H23387" s="680" t="s">
        <v>6153</v>
      </c>
    </row>
    <row r="23388" spans="8:8">
      <c r="H23388" s="680" t="s">
        <v>6153</v>
      </c>
    </row>
    <row r="23389" spans="8:8">
      <c r="H23389" s="680" t="s">
        <v>6153</v>
      </c>
    </row>
    <row r="23390" spans="8:8">
      <c r="H23390" s="680" t="s">
        <v>6153</v>
      </c>
    </row>
    <row r="23391" spans="8:8">
      <c r="H23391" s="680" t="s">
        <v>6153</v>
      </c>
    </row>
    <row r="23392" spans="8:8">
      <c r="H23392" s="680" t="s">
        <v>6153</v>
      </c>
    </row>
    <row r="23393" spans="8:8">
      <c r="H23393" s="680" t="s">
        <v>6153</v>
      </c>
    </row>
    <row r="23394" spans="8:8">
      <c r="H23394" s="680" t="s">
        <v>6153</v>
      </c>
    </row>
    <row r="23395" spans="8:8">
      <c r="H23395" s="680" t="s">
        <v>6153</v>
      </c>
    </row>
    <row r="23396" spans="8:8">
      <c r="H23396" s="680" t="s">
        <v>6153</v>
      </c>
    </row>
    <row r="23397" spans="8:8">
      <c r="H23397" s="680" t="s">
        <v>6153</v>
      </c>
    </row>
    <row r="23398" spans="8:8">
      <c r="H23398" s="680" t="s">
        <v>6153</v>
      </c>
    </row>
    <row r="23399" spans="8:8">
      <c r="H23399" s="680" t="s">
        <v>6153</v>
      </c>
    </row>
    <row r="23400" spans="8:8">
      <c r="H23400" s="680" t="s">
        <v>6153</v>
      </c>
    </row>
    <row r="23401" spans="8:8">
      <c r="H23401" s="680" t="s">
        <v>6153</v>
      </c>
    </row>
    <row r="23402" spans="8:8">
      <c r="H23402" s="680" t="s">
        <v>6153</v>
      </c>
    </row>
    <row r="23403" spans="8:8">
      <c r="H23403" s="680" t="s">
        <v>6153</v>
      </c>
    </row>
    <row r="23404" spans="8:8">
      <c r="H23404" s="680" t="s">
        <v>6153</v>
      </c>
    </row>
    <row r="23405" spans="8:8">
      <c r="H23405" s="680" t="s">
        <v>6153</v>
      </c>
    </row>
    <row r="23406" spans="8:8">
      <c r="H23406" s="680" t="s">
        <v>6153</v>
      </c>
    </row>
    <row r="23407" spans="8:8">
      <c r="H23407" s="680" t="s">
        <v>6153</v>
      </c>
    </row>
    <row r="23408" spans="8:8">
      <c r="H23408" s="680" t="s">
        <v>6153</v>
      </c>
    </row>
    <row r="23409" spans="8:8">
      <c r="H23409" s="680" t="s">
        <v>6153</v>
      </c>
    </row>
    <row r="23410" spans="8:8">
      <c r="H23410" s="680" t="s">
        <v>6153</v>
      </c>
    </row>
    <row r="23411" spans="8:8">
      <c r="H23411" s="680" t="s">
        <v>6153</v>
      </c>
    </row>
    <row r="23412" spans="8:8">
      <c r="H23412" s="680" t="s">
        <v>6153</v>
      </c>
    </row>
    <row r="23413" spans="8:8">
      <c r="H23413" s="680" t="s">
        <v>6153</v>
      </c>
    </row>
    <row r="23414" spans="8:8">
      <c r="H23414" s="680" t="s">
        <v>6153</v>
      </c>
    </row>
    <row r="23415" spans="8:8">
      <c r="H23415" s="680" t="s">
        <v>6153</v>
      </c>
    </row>
    <row r="23416" spans="8:8">
      <c r="H23416" s="680" t="s">
        <v>6153</v>
      </c>
    </row>
    <row r="23417" spans="8:8">
      <c r="H23417" s="680" t="s">
        <v>6153</v>
      </c>
    </row>
    <row r="23418" spans="8:8">
      <c r="H23418" s="680" t="s">
        <v>6153</v>
      </c>
    </row>
    <row r="23419" spans="8:8">
      <c r="H23419" s="680" t="s">
        <v>6153</v>
      </c>
    </row>
    <row r="23420" spans="8:8">
      <c r="H23420" s="680" t="s">
        <v>6153</v>
      </c>
    </row>
    <row r="23421" spans="8:8">
      <c r="H23421" s="680" t="s">
        <v>6153</v>
      </c>
    </row>
    <row r="23422" spans="8:8">
      <c r="H23422" s="680" t="s">
        <v>6153</v>
      </c>
    </row>
    <row r="23423" spans="8:8">
      <c r="H23423" s="680" t="s">
        <v>6153</v>
      </c>
    </row>
    <row r="23424" spans="8:8">
      <c r="H23424" s="680" t="s">
        <v>6153</v>
      </c>
    </row>
    <row r="23425" spans="8:8">
      <c r="H23425" s="680" t="s">
        <v>6153</v>
      </c>
    </row>
    <row r="23426" spans="8:8">
      <c r="H23426" s="680" t="s">
        <v>6153</v>
      </c>
    </row>
    <row r="23427" spans="8:8">
      <c r="H23427" s="680" t="s">
        <v>6153</v>
      </c>
    </row>
    <row r="23428" spans="8:8">
      <c r="H23428" s="680" t="s">
        <v>6153</v>
      </c>
    </row>
    <row r="23429" spans="8:8">
      <c r="H23429" s="680" t="s">
        <v>6153</v>
      </c>
    </row>
    <row r="23430" spans="8:8">
      <c r="H23430" s="680" t="s">
        <v>6153</v>
      </c>
    </row>
    <row r="23431" spans="8:8">
      <c r="H23431" s="680" t="s">
        <v>6153</v>
      </c>
    </row>
    <row r="23432" spans="8:8">
      <c r="H23432" s="680" t="s">
        <v>6153</v>
      </c>
    </row>
    <row r="23433" spans="8:8">
      <c r="H23433" s="680" t="s">
        <v>6153</v>
      </c>
    </row>
    <row r="23434" spans="8:8">
      <c r="H23434" s="680" t="s">
        <v>6153</v>
      </c>
    </row>
    <row r="23435" spans="8:8">
      <c r="H23435" s="680" t="s">
        <v>6153</v>
      </c>
    </row>
    <row r="23436" spans="8:8">
      <c r="H23436" s="680" t="s">
        <v>6153</v>
      </c>
    </row>
    <row r="23437" spans="8:8">
      <c r="H23437" s="680" t="s">
        <v>6153</v>
      </c>
    </row>
    <row r="23438" spans="8:8">
      <c r="H23438" s="680" t="s">
        <v>6153</v>
      </c>
    </row>
    <row r="23439" spans="8:8">
      <c r="H23439" s="680" t="s">
        <v>6153</v>
      </c>
    </row>
    <row r="23440" spans="8:8">
      <c r="H23440" s="680" t="s">
        <v>6153</v>
      </c>
    </row>
    <row r="23441" spans="8:8">
      <c r="H23441" s="680" t="s">
        <v>6153</v>
      </c>
    </row>
    <row r="23442" spans="8:8">
      <c r="H23442" s="680" t="s">
        <v>6153</v>
      </c>
    </row>
    <row r="23443" spans="8:8">
      <c r="H23443" s="680" t="s">
        <v>6153</v>
      </c>
    </row>
    <row r="23444" spans="8:8">
      <c r="H23444" s="680" t="s">
        <v>6153</v>
      </c>
    </row>
    <row r="23445" spans="8:8">
      <c r="H23445" s="680" t="s">
        <v>6153</v>
      </c>
    </row>
    <row r="23446" spans="8:8">
      <c r="H23446" s="680" t="s">
        <v>6153</v>
      </c>
    </row>
    <row r="23447" spans="8:8">
      <c r="H23447" s="680" t="s">
        <v>6153</v>
      </c>
    </row>
    <row r="23448" spans="8:8">
      <c r="H23448" s="680" t="s">
        <v>6153</v>
      </c>
    </row>
    <row r="23449" spans="8:8">
      <c r="H23449" s="680" t="s">
        <v>6153</v>
      </c>
    </row>
    <row r="23450" spans="8:8">
      <c r="H23450" s="680" t="s">
        <v>6153</v>
      </c>
    </row>
    <row r="23451" spans="8:8">
      <c r="H23451" s="680" t="s">
        <v>6153</v>
      </c>
    </row>
    <row r="23452" spans="8:8">
      <c r="H23452" s="680" t="s">
        <v>6153</v>
      </c>
    </row>
    <row r="23453" spans="8:8">
      <c r="H23453" s="680" t="s">
        <v>6153</v>
      </c>
    </row>
    <row r="23454" spans="8:8">
      <c r="H23454" s="680" t="s">
        <v>6153</v>
      </c>
    </row>
    <row r="23455" spans="8:8">
      <c r="H23455" s="680" t="s">
        <v>6153</v>
      </c>
    </row>
    <row r="23456" spans="8:8">
      <c r="H23456" s="680" t="s">
        <v>6153</v>
      </c>
    </row>
    <row r="23457" spans="8:8">
      <c r="H23457" s="680" t="s">
        <v>6153</v>
      </c>
    </row>
    <row r="23458" spans="8:8">
      <c r="H23458" s="680" t="s">
        <v>6153</v>
      </c>
    </row>
    <row r="23459" spans="8:8">
      <c r="H23459" s="680" t="s">
        <v>6153</v>
      </c>
    </row>
    <row r="23460" spans="8:8">
      <c r="H23460" s="680" t="s">
        <v>6153</v>
      </c>
    </row>
    <row r="23461" spans="8:8">
      <c r="H23461" s="680" t="s">
        <v>6153</v>
      </c>
    </row>
    <row r="23462" spans="8:8">
      <c r="H23462" s="680" t="s">
        <v>6153</v>
      </c>
    </row>
    <row r="23463" spans="8:8">
      <c r="H23463" s="680" t="s">
        <v>6153</v>
      </c>
    </row>
    <row r="23464" spans="8:8">
      <c r="H23464" s="680" t="s">
        <v>6153</v>
      </c>
    </row>
    <row r="23465" spans="8:8">
      <c r="H23465" s="680" t="s">
        <v>6153</v>
      </c>
    </row>
    <row r="23466" spans="8:8">
      <c r="H23466" s="680" t="s">
        <v>6153</v>
      </c>
    </row>
    <row r="23467" spans="8:8">
      <c r="H23467" s="680" t="s">
        <v>6153</v>
      </c>
    </row>
    <row r="23468" spans="8:8">
      <c r="H23468" s="680" t="s">
        <v>6153</v>
      </c>
    </row>
    <row r="23469" spans="8:8">
      <c r="H23469" s="680" t="s">
        <v>6153</v>
      </c>
    </row>
    <row r="23470" spans="8:8">
      <c r="H23470" s="680" t="s">
        <v>6153</v>
      </c>
    </row>
    <row r="23471" spans="8:8">
      <c r="H23471" s="680" t="s">
        <v>6153</v>
      </c>
    </row>
    <row r="23472" spans="8:8">
      <c r="H23472" s="680" t="s">
        <v>6153</v>
      </c>
    </row>
    <row r="23473" spans="8:8">
      <c r="H23473" s="680" t="s">
        <v>6153</v>
      </c>
    </row>
    <row r="23474" spans="8:8">
      <c r="H23474" s="680" t="s">
        <v>6153</v>
      </c>
    </row>
    <row r="23475" spans="8:8">
      <c r="H23475" s="680" t="s">
        <v>6153</v>
      </c>
    </row>
    <row r="23476" spans="8:8">
      <c r="H23476" s="680" t="s">
        <v>6153</v>
      </c>
    </row>
    <row r="23477" spans="8:8">
      <c r="H23477" s="680" t="s">
        <v>6153</v>
      </c>
    </row>
    <row r="23478" spans="8:8">
      <c r="H23478" s="680" t="s">
        <v>6153</v>
      </c>
    </row>
    <row r="23479" spans="8:8">
      <c r="H23479" s="680" t="s">
        <v>6153</v>
      </c>
    </row>
    <row r="23480" spans="8:8">
      <c r="H23480" s="680" t="s">
        <v>6153</v>
      </c>
    </row>
    <row r="23481" spans="8:8">
      <c r="H23481" s="680" t="s">
        <v>6153</v>
      </c>
    </row>
    <row r="23482" spans="8:8">
      <c r="H23482" s="680" t="s">
        <v>6153</v>
      </c>
    </row>
    <row r="23483" spans="8:8">
      <c r="H23483" s="680" t="s">
        <v>6153</v>
      </c>
    </row>
    <row r="23484" spans="8:8">
      <c r="H23484" s="680" t="s">
        <v>6153</v>
      </c>
    </row>
    <row r="23485" spans="8:8">
      <c r="H23485" s="680" t="s">
        <v>6153</v>
      </c>
    </row>
    <row r="23486" spans="8:8">
      <c r="H23486" s="680" t="s">
        <v>6153</v>
      </c>
    </row>
    <row r="23487" spans="8:8">
      <c r="H23487" s="680" t="s">
        <v>6153</v>
      </c>
    </row>
    <row r="23488" spans="8:8">
      <c r="H23488" s="680" t="s">
        <v>6153</v>
      </c>
    </row>
    <row r="23489" spans="8:8">
      <c r="H23489" s="680" t="s">
        <v>6153</v>
      </c>
    </row>
    <row r="23490" spans="8:8">
      <c r="H23490" s="680" t="s">
        <v>6153</v>
      </c>
    </row>
    <row r="23491" spans="8:8">
      <c r="H23491" s="680" t="s">
        <v>6153</v>
      </c>
    </row>
    <row r="23492" spans="8:8">
      <c r="H23492" s="680" t="s">
        <v>6153</v>
      </c>
    </row>
    <row r="23493" spans="8:8">
      <c r="H23493" s="680" t="s">
        <v>6153</v>
      </c>
    </row>
    <row r="23494" spans="8:8">
      <c r="H23494" s="680" t="s">
        <v>6153</v>
      </c>
    </row>
    <row r="23495" spans="8:8">
      <c r="H23495" s="680" t="s">
        <v>6153</v>
      </c>
    </row>
    <row r="23496" spans="8:8">
      <c r="H23496" s="680" t="s">
        <v>6153</v>
      </c>
    </row>
    <row r="23497" spans="8:8">
      <c r="H23497" s="680" t="s">
        <v>6153</v>
      </c>
    </row>
    <row r="23498" spans="8:8">
      <c r="H23498" s="680" t="s">
        <v>6153</v>
      </c>
    </row>
    <row r="23499" spans="8:8">
      <c r="H23499" s="680" t="s">
        <v>6153</v>
      </c>
    </row>
    <row r="23500" spans="8:8">
      <c r="H23500" s="680" t="s">
        <v>6153</v>
      </c>
    </row>
    <row r="23501" spans="8:8">
      <c r="H23501" s="680" t="s">
        <v>6153</v>
      </c>
    </row>
    <row r="23502" spans="8:8">
      <c r="H23502" s="680" t="s">
        <v>6153</v>
      </c>
    </row>
    <row r="23503" spans="8:8">
      <c r="H23503" s="680" t="s">
        <v>6153</v>
      </c>
    </row>
    <row r="23504" spans="8:8">
      <c r="H23504" s="680" t="s">
        <v>6153</v>
      </c>
    </row>
    <row r="23505" spans="8:8">
      <c r="H23505" s="680" t="s">
        <v>6153</v>
      </c>
    </row>
    <row r="23506" spans="8:8">
      <c r="H23506" s="680" t="s">
        <v>6153</v>
      </c>
    </row>
    <row r="23507" spans="8:8">
      <c r="H23507" s="680" t="s">
        <v>6153</v>
      </c>
    </row>
    <row r="23508" spans="8:8">
      <c r="H23508" s="680" t="s">
        <v>6153</v>
      </c>
    </row>
    <row r="23509" spans="8:8">
      <c r="H23509" s="680" t="s">
        <v>6153</v>
      </c>
    </row>
    <row r="23510" spans="8:8">
      <c r="H23510" s="680" t="s">
        <v>6153</v>
      </c>
    </row>
    <row r="23511" spans="8:8">
      <c r="H23511" s="680" t="s">
        <v>6153</v>
      </c>
    </row>
    <row r="23512" spans="8:8">
      <c r="H23512" s="680" t="s">
        <v>6153</v>
      </c>
    </row>
    <row r="23513" spans="8:8">
      <c r="H23513" s="680" t="s">
        <v>6153</v>
      </c>
    </row>
    <row r="23514" spans="8:8">
      <c r="H23514" s="680" t="s">
        <v>6153</v>
      </c>
    </row>
    <row r="23515" spans="8:8">
      <c r="H23515" s="680" t="s">
        <v>6153</v>
      </c>
    </row>
    <row r="23516" spans="8:8">
      <c r="H23516" s="680" t="s">
        <v>6153</v>
      </c>
    </row>
    <row r="23517" spans="8:8">
      <c r="H23517" s="680" t="s">
        <v>6153</v>
      </c>
    </row>
    <row r="23518" spans="8:8">
      <c r="H23518" s="680" t="s">
        <v>6153</v>
      </c>
    </row>
    <row r="23519" spans="8:8">
      <c r="H23519" s="680" t="s">
        <v>6153</v>
      </c>
    </row>
    <row r="23520" spans="8:8">
      <c r="H23520" s="680" t="s">
        <v>6153</v>
      </c>
    </row>
    <row r="23521" spans="8:8">
      <c r="H23521" s="680" t="s">
        <v>6153</v>
      </c>
    </row>
    <row r="23522" spans="8:8">
      <c r="H23522" s="680" t="s">
        <v>6153</v>
      </c>
    </row>
    <row r="23523" spans="8:8">
      <c r="H23523" s="680" t="s">
        <v>6153</v>
      </c>
    </row>
    <row r="23524" spans="8:8">
      <c r="H23524" s="680" t="s">
        <v>6153</v>
      </c>
    </row>
    <row r="23525" spans="8:8">
      <c r="H23525" s="680" t="s">
        <v>6153</v>
      </c>
    </row>
    <row r="23526" spans="8:8">
      <c r="H23526" s="680" t="s">
        <v>6153</v>
      </c>
    </row>
    <row r="23527" spans="8:8">
      <c r="H23527" s="680" t="s">
        <v>6153</v>
      </c>
    </row>
    <row r="23528" spans="8:8">
      <c r="H23528" s="680" t="s">
        <v>6153</v>
      </c>
    </row>
    <row r="23529" spans="8:8">
      <c r="H23529" s="680" t="s">
        <v>6153</v>
      </c>
    </row>
    <row r="23530" spans="8:8">
      <c r="H23530" s="680" t="s">
        <v>6153</v>
      </c>
    </row>
    <row r="23531" spans="8:8">
      <c r="H23531" s="680" t="s">
        <v>6153</v>
      </c>
    </row>
    <row r="23532" spans="8:8">
      <c r="H23532" s="680" t="s">
        <v>6153</v>
      </c>
    </row>
    <row r="23533" spans="8:8">
      <c r="H23533" s="680" t="s">
        <v>6153</v>
      </c>
    </row>
    <row r="23534" spans="8:8">
      <c r="H23534" s="680" t="s">
        <v>6153</v>
      </c>
    </row>
    <row r="23535" spans="8:8">
      <c r="H23535" s="680" t="s">
        <v>6153</v>
      </c>
    </row>
    <row r="23536" spans="8:8">
      <c r="H23536" s="680" t="s">
        <v>6153</v>
      </c>
    </row>
    <row r="23537" spans="8:8">
      <c r="H23537" s="680" t="s">
        <v>6153</v>
      </c>
    </row>
    <row r="23538" spans="8:8">
      <c r="H23538" s="680" t="s">
        <v>6153</v>
      </c>
    </row>
    <row r="23539" spans="8:8">
      <c r="H23539" s="680" t="s">
        <v>6153</v>
      </c>
    </row>
    <row r="23540" spans="8:8">
      <c r="H23540" s="680" t="s">
        <v>6153</v>
      </c>
    </row>
    <row r="23541" spans="8:8">
      <c r="H23541" s="680" t="s">
        <v>6153</v>
      </c>
    </row>
    <row r="23542" spans="8:8">
      <c r="H23542" s="680" t="s">
        <v>6153</v>
      </c>
    </row>
    <row r="23543" spans="8:8">
      <c r="H23543" s="680" t="s">
        <v>6153</v>
      </c>
    </row>
    <row r="23544" spans="8:8">
      <c r="H23544" s="680" t="s">
        <v>6153</v>
      </c>
    </row>
    <row r="23545" spans="8:8">
      <c r="H23545" s="680" t="s">
        <v>6153</v>
      </c>
    </row>
    <row r="23546" spans="8:8">
      <c r="H23546" s="680" t="s">
        <v>6153</v>
      </c>
    </row>
    <row r="23547" spans="8:8">
      <c r="H23547" s="680" t="s">
        <v>6153</v>
      </c>
    </row>
    <row r="23548" spans="8:8">
      <c r="H23548" s="680" t="s">
        <v>6153</v>
      </c>
    </row>
    <row r="23549" spans="8:8">
      <c r="H23549" s="680" t="s">
        <v>6153</v>
      </c>
    </row>
    <row r="23550" spans="8:8">
      <c r="H23550" s="680" t="s">
        <v>6153</v>
      </c>
    </row>
    <row r="23551" spans="8:8">
      <c r="H23551" s="680" t="s">
        <v>6153</v>
      </c>
    </row>
    <row r="23552" spans="8:8">
      <c r="H23552" s="680" t="s">
        <v>6153</v>
      </c>
    </row>
    <row r="23553" spans="8:8">
      <c r="H23553" s="680" t="s">
        <v>6153</v>
      </c>
    </row>
    <row r="23554" spans="8:8">
      <c r="H23554" s="680" t="s">
        <v>6153</v>
      </c>
    </row>
    <row r="23555" spans="8:8">
      <c r="H23555" s="680" t="s">
        <v>6153</v>
      </c>
    </row>
    <row r="23556" spans="8:8">
      <c r="H23556" s="680" t="s">
        <v>6153</v>
      </c>
    </row>
    <row r="23557" spans="8:8">
      <c r="H23557" s="680" t="s">
        <v>6153</v>
      </c>
    </row>
    <row r="23558" spans="8:8">
      <c r="H23558" s="680" t="s">
        <v>6153</v>
      </c>
    </row>
    <row r="23559" spans="8:8">
      <c r="H23559" s="680" t="s">
        <v>6153</v>
      </c>
    </row>
    <row r="23560" spans="8:8">
      <c r="H23560" s="680" t="s">
        <v>6153</v>
      </c>
    </row>
    <row r="23561" spans="8:8">
      <c r="H23561" s="680" t="s">
        <v>6153</v>
      </c>
    </row>
    <row r="23562" spans="8:8">
      <c r="H23562" s="680" t="s">
        <v>6153</v>
      </c>
    </row>
    <row r="23563" spans="8:8">
      <c r="H23563" s="680" t="s">
        <v>6153</v>
      </c>
    </row>
    <row r="23564" spans="8:8">
      <c r="H23564" s="680" t="s">
        <v>6153</v>
      </c>
    </row>
    <row r="23565" spans="8:8">
      <c r="H23565" s="680" t="s">
        <v>6153</v>
      </c>
    </row>
    <row r="23566" spans="8:8">
      <c r="H23566" s="680" t="s">
        <v>6153</v>
      </c>
    </row>
    <row r="23567" spans="8:8">
      <c r="H23567" s="680" t="s">
        <v>6153</v>
      </c>
    </row>
    <row r="23568" spans="8:8">
      <c r="H23568" s="680" t="s">
        <v>6153</v>
      </c>
    </row>
    <row r="23569" spans="8:8">
      <c r="H23569" s="680" t="s">
        <v>6153</v>
      </c>
    </row>
    <row r="23570" spans="8:8">
      <c r="H23570" s="680" t="s">
        <v>6153</v>
      </c>
    </row>
    <row r="23571" spans="8:8">
      <c r="H23571" s="680" t="s">
        <v>6153</v>
      </c>
    </row>
    <row r="23572" spans="8:8">
      <c r="H23572" s="680" t="s">
        <v>6153</v>
      </c>
    </row>
    <row r="23573" spans="8:8">
      <c r="H23573" s="680" t="s">
        <v>6153</v>
      </c>
    </row>
    <row r="23574" spans="8:8">
      <c r="H23574" s="680" t="s">
        <v>6153</v>
      </c>
    </row>
    <row r="23575" spans="8:8">
      <c r="H23575" s="680" t="s">
        <v>6153</v>
      </c>
    </row>
    <row r="23576" spans="8:8">
      <c r="H23576" s="680" t="s">
        <v>6153</v>
      </c>
    </row>
    <row r="23577" spans="8:8">
      <c r="H23577" s="680" t="s">
        <v>6153</v>
      </c>
    </row>
    <row r="23578" spans="8:8">
      <c r="H23578" s="680" t="s">
        <v>6153</v>
      </c>
    </row>
    <row r="23579" spans="8:8">
      <c r="H23579" s="680" t="s">
        <v>6153</v>
      </c>
    </row>
    <row r="23580" spans="8:8">
      <c r="H23580" s="680" t="s">
        <v>6153</v>
      </c>
    </row>
    <row r="23581" spans="8:8">
      <c r="H23581" s="680" t="s">
        <v>6153</v>
      </c>
    </row>
    <row r="23582" spans="8:8">
      <c r="H23582" s="680" t="s">
        <v>6153</v>
      </c>
    </row>
    <row r="23583" spans="8:8">
      <c r="H23583" s="680" t="s">
        <v>6153</v>
      </c>
    </row>
    <row r="23584" spans="8:8">
      <c r="H23584" s="680" t="s">
        <v>6153</v>
      </c>
    </row>
    <row r="23585" spans="8:8">
      <c r="H23585" s="680" t="s">
        <v>6153</v>
      </c>
    </row>
    <row r="23586" spans="8:8">
      <c r="H23586" s="680" t="s">
        <v>6153</v>
      </c>
    </row>
    <row r="23587" spans="8:8">
      <c r="H23587" s="680" t="s">
        <v>6153</v>
      </c>
    </row>
    <row r="23588" spans="8:8">
      <c r="H23588" s="680" t="s">
        <v>6153</v>
      </c>
    </row>
    <row r="23589" spans="8:8">
      <c r="H23589" s="680" t="s">
        <v>6153</v>
      </c>
    </row>
    <row r="23590" spans="8:8">
      <c r="H23590" s="680" t="s">
        <v>6153</v>
      </c>
    </row>
    <row r="23591" spans="8:8">
      <c r="H23591" s="680" t="s">
        <v>6153</v>
      </c>
    </row>
    <row r="23592" spans="8:8">
      <c r="H23592" s="680" t="s">
        <v>6153</v>
      </c>
    </row>
    <row r="23593" spans="8:8">
      <c r="H23593" s="680" t="s">
        <v>6153</v>
      </c>
    </row>
    <row r="23594" spans="8:8">
      <c r="H23594" s="680" t="s">
        <v>6153</v>
      </c>
    </row>
    <row r="23595" spans="8:8">
      <c r="H23595" s="680" t="s">
        <v>6153</v>
      </c>
    </row>
    <row r="23596" spans="8:8">
      <c r="H23596" s="680" t="s">
        <v>6153</v>
      </c>
    </row>
    <row r="23597" spans="8:8">
      <c r="H23597" s="680" t="s">
        <v>6153</v>
      </c>
    </row>
    <row r="23598" spans="8:8">
      <c r="H23598" s="680" t="s">
        <v>6153</v>
      </c>
    </row>
    <row r="23599" spans="8:8">
      <c r="H23599" s="680" t="s">
        <v>6153</v>
      </c>
    </row>
    <row r="23600" spans="8:8">
      <c r="H23600" s="680" t="s">
        <v>6153</v>
      </c>
    </row>
    <row r="23601" spans="8:8">
      <c r="H23601" s="680" t="s">
        <v>6153</v>
      </c>
    </row>
    <row r="23602" spans="8:8">
      <c r="H23602" s="680" t="s">
        <v>6153</v>
      </c>
    </row>
    <row r="23603" spans="8:8">
      <c r="H23603" s="680" t="s">
        <v>6153</v>
      </c>
    </row>
    <row r="23604" spans="8:8">
      <c r="H23604" s="680" t="s">
        <v>6153</v>
      </c>
    </row>
    <row r="23605" spans="8:8">
      <c r="H23605" s="680" t="s">
        <v>6153</v>
      </c>
    </row>
    <row r="23606" spans="8:8">
      <c r="H23606" s="680" t="s">
        <v>6153</v>
      </c>
    </row>
    <row r="23607" spans="8:8">
      <c r="H23607" s="680" t="s">
        <v>6153</v>
      </c>
    </row>
    <row r="23608" spans="8:8">
      <c r="H23608" s="680" t="s">
        <v>6153</v>
      </c>
    </row>
    <row r="23609" spans="8:8">
      <c r="H23609" s="680" t="s">
        <v>6153</v>
      </c>
    </row>
    <row r="23610" spans="8:8">
      <c r="H23610" s="680" t="s">
        <v>6153</v>
      </c>
    </row>
    <row r="23611" spans="8:8">
      <c r="H23611" s="680" t="s">
        <v>6153</v>
      </c>
    </row>
    <row r="23612" spans="8:8">
      <c r="H23612" s="680" t="s">
        <v>6153</v>
      </c>
    </row>
    <row r="23613" spans="8:8">
      <c r="H23613" s="680" t="s">
        <v>6153</v>
      </c>
    </row>
    <row r="23614" spans="8:8">
      <c r="H23614" s="680" t="s">
        <v>6153</v>
      </c>
    </row>
    <row r="23615" spans="8:8">
      <c r="H23615" s="680" t="s">
        <v>6153</v>
      </c>
    </row>
    <row r="23616" spans="8:8">
      <c r="H23616" s="680" t="s">
        <v>6153</v>
      </c>
    </row>
    <row r="23617" spans="8:8">
      <c r="H23617" s="680" t="s">
        <v>6153</v>
      </c>
    </row>
    <row r="23618" spans="8:8">
      <c r="H23618" s="680" t="s">
        <v>6153</v>
      </c>
    </row>
    <row r="23619" spans="8:8">
      <c r="H23619" s="680" t="s">
        <v>6153</v>
      </c>
    </row>
    <row r="23620" spans="8:8">
      <c r="H23620" s="680" t="s">
        <v>6153</v>
      </c>
    </row>
    <row r="23621" spans="8:8">
      <c r="H23621" s="680" t="s">
        <v>6153</v>
      </c>
    </row>
    <row r="23622" spans="8:8">
      <c r="H23622" s="680" t="s">
        <v>6153</v>
      </c>
    </row>
    <row r="23623" spans="8:8">
      <c r="H23623" s="680" t="s">
        <v>6153</v>
      </c>
    </row>
    <row r="23624" spans="8:8">
      <c r="H23624" s="680" t="s">
        <v>6153</v>
      </c>
    </row>
    <row r="23625" spans="8:8">
      <c r="H23625" s="680" t="s">
        <v>6153</v>
      </c>
    </row>
    <row r="23626" spans="8:8">
      <c r="H23626" s="680" t="s">
        <v>6153</v>
      </c>
    </row>
    <row r="23627" spans="8:8">
      <c r="H23627" s="680" t="s">
        <v>6153</v>
      </c>
    </row>
    <row r="23628" spans="8:8">
      <c r="H23628" s="680" t="s">
        <v>6153</v>
      </c>
    </row>
    <row r="23629" spans="8:8">
      <c r="H23629" s="680" t="s">
        <v>6153</v>
      </c>
    </row>
    <row r="23630" spans="8:8">
      <c r="H23630" s="680" t="s">
        <v>6153</v>
      </c>
    </row>
    <row r="23631" spans="8:8">
      <c r="H23631" s="680" t="s">
        <v>6153</v>
      </c>
    </row>
    <row r="23632" spans="8:8">
      <c r="H23632" s="680" t="s">
        <v>6153</v>
      </c>
    </row>
    <row r="23633" spans="8:8">
      <c r="H23633" s="680" t="s">
        <v>6153</v>
      </c>
    </row>
    <row r="23634" spans="8:8">
      <c r="H23634" s="680" t="s">
        <v>6153</v>
      </c>
    </row>
    <row r="23635" spans="8:8">
      <c r="H23635" s="680" t="s">
        <v>6153</v>
      </c>
    </row>
    <row r="23636" spans="8:8">
      <c r="H23636" s="680" t="s">
        <v>6153</v>
      </c>
    </row>
    <row r="23637" spans="8:8">
      <c r="H23637" s="680" t="s">
        <v>6153</v>
      </c>
    </row>
    <row r="23638" spans="8:8">
      <c r="H23638" s="680" t="s">
        <v>6153</v>
      </c>
    </row>
    <row r="23639" spans="8:8">
      <c r="H23639" s="680" t="s">
        <v>6153</v>
      </c>
    </row>
    <row r="23640" spans="8:8">
      <c r="H23640" s="680" t="s">
        <v>6153</v>
      </c>
    </row>
    <row r="23641" spans="8:8">
      <c r="H23641" s="680" t="s">
        <v>6153</v>
      </c>
    </row>
    <row r="23642" spans="8:8">
      <c r="H23642" s="680" t="s">
        <v>6153</v>
      </c>
    </row>
    <row r="23643" spans="8:8">
      <c r="H23643" s="680" t="s">
        <v>6153</v>
      </c>
    </row>
    <row r="23644" spans="8:8">
      <c r="H23644" s="680" t="s">
        <v>6153</v>
      </c>
    </row>
    <row r="23645" spans="8:8">
      <c r="H23645" s="680" t="s">
        <v>6153</v>
      </c>
    </row>
    <row r="23646" spans="8:8">
      <c r="H23646" s="680" t="s">
        <v>6153</v>
      </c>
    </row>
    <row r="23647" spans="8:8">
      <c r="H23647" s="680" t="s">
        <v>6153</v>
      </c>
    </row>
    <row r="23648" spans="8:8">
      <c r="H23648" s="680" t="s">
        <v>6153</v>
      </c>
    </row>
    <row r="23649" spans="8:8">
      <c r="H23649" s="680" t="s">
        <v>6153</v>
      </c>
    </row>
    <row r="23650" spans="8:8">
      <c r="H23650" s="680" t="s">
        <v>6153</v>
      </c>
    </row>
    <row r="23651" spans="8:8">
      <c r="H23651" s="680" t="s">
        <v>6153</v>
      </c>
    </row>
    <row r="23652" spans="8:8">
      <c r="H23652" s="680" t="s">
        <v>6153</v>
      </c>
    </row>
    <row r="23653" spans="8:8">
      <c r="H23653" s="680" t="s">
        <v>6153</v>
      </c>
    </row>
    <row r="23654" spans="8:8">
      <c r="H23654" s="680" t="s">
        <v>6153</v>
      </c>
    </row>
    <row r="23655" spans="8:8">
      <c r="H23655" s="680" t="s">
        <v>6153</v>
      </c>
    </row>
    <row r="23656" spans="8:8">
      <c r="H23656" s="680" t="s">
        <v>6153</v>
      </c>
    </row>
    <row r="23657" spans="8:8">
      <c r="H23657" s="680" t="s">
        <v>6153</v>
      </c>
    </row>
    <row r="23658" spans="8:8">
      <c r="H23658" s="680" t="s">
        <v>6153</v>
      </c>
    </row>
    <row r="23659" spans="8:8">
      <c r="H23659" s="680" t="s">
        <v>6153</v>
      </c>
    </row>
    <row r="23660" spans="8:8">
      <c r="H23660" s="680" t="s">
        <v>6153</v>
      </c>
    </row>
    <row r="23661" spans="8:8">
      <c r="H23661" s="680" t="s">
        <v>6153</v>
      </c>
    </row>
    <row r="23662" spans="8:8">
      <c r="H23662" s="680" t="s">
        <v>6153</v>
      </c>
    </row>
    <row r="23663" spans="8:8">
      <c r="H23663" s="680" t="s">
        <v>6153</v>
      </c>
    </row>
    <row r="23664" spans="8:8">
      <c r="H23664" s="680" t="s">
        <v>6153</v>
      </c>
    </row>
    <row r="23665" spans="8:8">
      <c r="H23665" s="680" t="s">
        <v>6153</v>
      </c>
    </row>
    <row r="23666" spans="8:8">
      <c r="H23666" s="680" t="s">
        <v>6153</v>
      </c>
    </row>
    <row r="23667" spans="8:8">
      <c r="H23667" s="680" t="s">
        <v>6153</v>
      </c>
    </row>
    <row r="23668" spans="8:8">
      <c r="H23668" s="680" t="s">
        <v>6153</v>
      </c>
    </row>
    <row r="23669" spans="8:8">
      <c r="H23669" s="680" t="s">
        <v>6153</v>
      </c>
    </row>
    <row r="23670" spans="8:8">
      <c r="H23670" s="680" t="s">
        <v>6153</v>
      </c>
    </row>
    <row r="23671" spans="8:8">
      <c r="H23671" s="680" t="s">
        <v>6153</v>
      </c>
    </row>
    <row r="23672" spans="8:8">
      <c r="H23672" s="680" t="s">
        <v>6153</v>
      </c>
    </row>
    <row r="23673" spans="8:8">
      <c r="H23673" s="680" t="s">
        <v>6153</v>
      </c>
    </row>
    <row r="23674" spans="8:8">
      <c r="H23674" s="680" t="s">
        <v>6153</v>
      </c>
    </row>
    <row r="23675" spans="8:8">
      <c r="H23675" s="680" t="s">
        <v>6153</v>
      </c>
    </row>
    <row r="23676" spans="8:8">
      <c r="H23676" s="680" t="s">
        <v>6153</v>
      </c>
    </row>
    <row r="23677" spans="8:8">
      <c r="H23677" s="680" t="s">
        <v>6153</v>
      </c>
    </row>
    <row r="23678" spans="8:8">
      <c r="H23678" s="680" t="s">
        <v>6153</v>
      </c>
    </row>
    <row r="23679" spans="8:8">
      <c r="H23679" s="680" t="s">
        <v>6153</v>
      </c>
    </row>
    <row r="23680" spans="8:8">
      <c r="H23680" s="680" t="s">
        <v>6153</v>
      </c>
    </row>
    <row r="23681" spans="8:8">
      <c r="H23681" s="680" t="s">
        <v>6153</v>
      </c>
    </row>
    <row r="23682" spans="8:8">
      <c r="H23682" s="680" t="s">
        <v>6153</v>
      </c>
    </row>
    <row r="23683" spans="8:8">
      <c r="H23683" s="680" t="s">
        <v>6153</v>
      </c>
    </row>
    <row r="23684" spans="8:8">
      <c r="H23684" s="680" t="s">
        <v>6153</v>
      </c>
    </row>
    <row r="23685" spans="8:8">
      <c r="H23685" s="680" t="s">
        <v>6153</v>
      </c>
    </row>
    <row r="23686" spans="8:8">
      <c r="H23686" s="680" t="s">
        <v>6153</v>
      </c>
    </row>
    <row r="23687" spans="8:8">
      <c r="H23687" s="680" t="s">
        <v>6153</v>
      </c>
    </row>
    <row r="23688" spans="8:8">
      <c r="H23688" s="680" t="s">
        <v>6153</v>
      </c>
    </row>
    <row r="23689" spans="8:8">
      <c r="H23689" s="680" t="s">
        <v>6153</v>
      </c>
    </row>
    <row r="23690" spans="8:8">
      <c r="H23690" s="680" t="s">
        <v>6153</v>
      </c>
    </row>
    <row r="23691" spans="8:8">
      <c r="H23691" s="680" t="s">
        <v>6153</v>
      </c>
    </row>
    <row r="23692" spans="8:8">
      <c r="H23692" s="680" t="s">
        <v>6153</v>
      </c>
    </row>
    <row r="23693" spans="8:8">
      <c r="H23693" s="680" t="s">
        <v>6153</v>
      </c>
    </row>
    <row r="23694" spans="8:8">
      <c r="H23694" s="680" t="s">
        <v>6153</v>
      </c>
    </row>
    <row r="23695" spans="8:8">
      <c r="H23695" s="680" t="s">
        <v>6153</v>
      </c>
    </row>
    <row r="23696" spans="8:8">
      <c r="H23696" s="680" t="s">
        <v>6153</v>
      </c>
    </row>
    <row r="23697" spans="8:8">
      <c r="H23697" s="680" t="s">
        <v>6153</v>
      </c>
    </row>
    <row r="23698" spans="8:8">
      <c r="H23698" s="680" t="s">
        <v>6153</v>
      </c>
    </row>
    <row r="23699" spans="8:8">
      <c r="H23699" s="680" t="s">
        <v>6153</v>
      </c>
    </row>
    <row r="23700" spans="8:8">
      <c r="H23700" s="680" t="s">
        <v>6153</v>
      </c>
    </row>
    <row r="23701" spans="8:8">
      <c r="H23701" s="680" t="s">
        <v>6153</v>
      </c>
    </row>
    <row r="23702" spans="8:8">
      <c r="H23702" s="680" t="s">
        <v>6153</v>
      </c>
    </row>
    <row r="23703" spans="8:8">
      <c r="H23703" s="680" t="s">
        <v>6153</v>
      </c>
    </row>
    <row r="23704" spans="8:8">
      <c r="H23704" s="680" t="s">
        <v>6153</v>
      </c>
    </row>
    <row r="23705" spans="8:8">
      <c r="H23705" s="680" t="s">
        <v>6153</v>
      </c>
    </row>
    <row r="23706" spans="8:8">
      <c r="H23706" s="680" t="s">
        <v>6153</v>
      </c>
    </row>
    <row r="23707" spans="8:8">
      <c r="H23707" s="680" t="s">
        <v>6153</v>
      </c>
    </row>
    <row r="23708" spans="8:8">
      <c r="H23708" s="680" t="s">
        <v>6153</v>
      </c>
    </row>
    <row r="23709" spans="8:8">
      <c r="H23709" s="680" t="s">
        <v>6153</v>
      </c>
    </row>
    <row r="23710" spans="8:8">
      <c r="H23710" s="680" t="s">
        <v>6153</v>
      </c>
    </row>
    <row r="23711" spans="8:8">
      <c r="H23711" s="680" t="s">
        <v>6153</v>
      </c>
    </row>
    <row r="23712" spans="8:8">
      <c r="H23712" s="680" t="s">
        <v>6153</v>
      </c>
    </row>
    <row r="23713" spans="8:8">
      <c r="H23713" s="680" t="s">
        <v>6153</v>
      </c>
    </row>
    <row r="23714" spans="8:8">
      <c r="H23714" s="680" t="s">
        <v>6153</v>
      </c>
    </row>
    <row r="23715" spans="8:8">
      <c r="H23715" s="680" t="s">
        <v>6153</v>
      </c>
    </row>
    <row r="23716" spans="8:8">
      <c r="H23716" s="680" t="s">
        <v>6153</v>
      </c>
    </row>
    <row r="23717" spans="8:8">
      <c r="H23717" s="680" t="s">
        <v>6153</v>
      </c>
    </row>
    <row r="23718" spans="8:8">
      <c r="H23718" s="680" t="s">
        <v>6153</v>
      </c>
    </row>
    <row r="23719" spans="8:8">
      <c r="H23719" s="680" t="s">
        <v>6153</v>
      </c>
    </row>
    <row r="23720" spans="8:8">
      <c r="H23720" s="680" t="s">
        <v>6153</v>
      </c>
    </row>
    <row r="23721" spans="8:8">
      <c r="H23721" s="680" t="s">
        <v>6153</v>
      </c>
    </row>
    <row r="23722" spans="8:8">
      <c r="H23722" s="680" t="s">
        <v>6153</v>
      </c>
    </row>
    <row r="23723" spans="8:8">
      <c r="H23723" s="680" t="s">
        <v>6153</v>
      </c>
    </row>
    <row r="23724" spans="8:8">
      <c r="H23724" s="680" t="s">
        <v>6153</v>
      </c>
    </row>
    <row r="23725" spans="8:8">
      <c r="H23725" s="680" t="s">
        <v>6153</v>
      </c>
    </row>
    <row r="23726" spans="8:8">
      <c r="H23726" s="680" t="s">
        <v>6153</v>
      </c>
    </row>
    <row r="23727" spans="8:8">
      <c r="H23727" s="680" t="s">
        <v>6153</v>
      </c>
    </row>
    <row r="23728" spans="8:8">
      <c r="H23728" s="680" t="s">
        <v>6153</v>
      </c>
    </row>
    <row r="23729" spans="8:8">
      <c r="H23729" s="680" t="s">
        <v>6153</v>
      </c>
    </row>
    <row r="23730" spans="8:8">
      <c r="H23730" s="680" t="s">
        <v>6153</v>
      </c>
    </row>
    <row r="23731" spans="8:8">
      <c r="H23731" s="680" t="s">
        <v>6153</v>
      </c>
    </row>
    <row r="23732" spans="8:8">
      <c r="H23732" s="680" t="s">
        <v>6153</v>
      </c>
    </row>
    <row r="23733" spans="8:8">
      <c r="H23733" s="680" t="s">
        <v>6153</v>
      </c>
    </row>
    <row r="23734" spans="8:8">
      <c r="H23734" s="680" t="s">
        <v>6153</v>
      </c>
    </row>
    <row r="23735" spans="8:8">
      <c r="H23735" s="680" t="s">
        <v>6153</v>
      </c>
    </row>
    <row r="23736" spans="8:8">
      <c r="H23736" s="680" t="s">
        <v>6153</v>
      </c>
    </row>
    <row r="23737" spans="8:8">
      <c r="H23737" s="680" t="s">
        <v>6153</v>
      </c>
    </row>
    <row r="23738" spans="8:8">
      <c r="H23738" s="680" t="s">
        <v>6153</v>
      </c>
    </row>
    <row r="23739" spans="8:8">
      <c r="H23739" s="680" t="s">
        <v>6153</v>
      </c>
    </row>
    <row r="23740" spans="8:8">
      <c r="H23740" s="680" t="s">
        <v>6153</v>
      </c>
    </row>
    <row r="23741" spans="8:8">
      <c r="H23741" s="680" t="s">
        <v>6153</v>
      </c>
    </row>
    <row r="23742" spans="8:8">
      <c r="H23742" s="680" t="s">
        <v>6153</v>
      </c>
    </row>
    <row r="23743" spans="8:8">
      <c r="H23743" s="680" t="s">
        <v>6153</v>
      </c>
    </row>
    <row r="23744" spans="8:8">
      <c r="H23744" s="680" t="s">
        <v>6153</v>
      </c>
    </row>
    <row r="23745" spans="8:8">
      <c r="H23745" s="680" t="s">
        <v>6153</v>
      </c>
    </row>
    <row r="23746" spans="8:8">
      <c r="H23746" s="680" t="s">
        <v>6153</v>
      </c>
    </row>
    <row r="23747" spans="8:8">
      <c r="H23747" s="680" t="s">
        <v>6153</v>
      </c>
    </row>
    <row r="23748" spans="8:8">
      <c r="H23748" s="680" t="s">
        <v>6153</v>
      </c>
    </row>
    <row r="23749" spans="8:8">
      <c r="H23749" s="680" t="s">
        <v>6153</v>
      </c>
    </row>
    <row r="23750" spans="8:8">
      <c r="H23750" s="680" t="s">
        <v>6153</v>
      </c>
    </row>
    <row r="23751" spans="8:8">
      <c r="H23751" s="680" t="s">
        <v>6153</v>
      </c>
    </row>
    <row r="23752" spans="8:8">
      <c r="H23752" s="680" t="s">
        <v>6153</v>
      </c>
    </row>
    <row r="23753" spans="8:8">
      <c r="H23753" s="680" t="s">
        <v>6153</v>
      </c>
    </row>
    <row r="23754" spans="8:8">
      <c r="H23754" s="680" t="s">
        <v>6153</v>
      </c>
    </row>
    <row r="23755" spans="8:8">
      <c r="H23755" s="680" t="s">
        <v>6153</v>
      </c>
    </row>
    <row r="23756" spans="8:8">
      <c r="H23756" s="680" t="s">
        <v>6153</v>
      </c>
    </row>
    <row r="23757" spans="8:8">
      <c r="H23757" s="680" t="s">
        <v>6153</v>
      </c>
    </row>
    <row r="23758" spans="8:8">
      <c r="H23758" s="680" t="s">
        <v>6153</v>
      </c>
    </row>
    <row r="23759" spans="8:8">
      <c r="H23759" s="680" t="s">
        <v>6153</v>
      </c>
    </row>
    <row r="23760" spans="8:8">
      <c r="H23760" s="680" t="s">
        <v>6153</v>
      </c>
    </row>
    <row r="23761" spans="8:8">
      <c r="H23761" s="680" t="s">
        <v>6153</v>
      </c>
    </row>
    <row r="23762" spans="8:8">
      <c r="H23762" s="680" t="s">
        <v>6153</v>
      </c>
    </row>
    <row r="23763" spans="8:8">
      <c r="H23763" s="680" t="s">
        <v>6153</v>
      </c>
    </row>
    <row r="23764" spans="8:8">
      <c r="H23764" s="680" t="s">
        <v>6153</v>
      </c>
    </row>
    <row r="23765" spans="8:8">
      <c r="H23765" s="680" t="s">
        <v>6153</v>
      </c>
    </row>
    <row r="23766" spans="8:8">
      <c r="H23766" s="680" t="s">
        <v>6153</v>
      </c>
    </row>
    <row r="23767" spans="8:8">
      <c r="H23767" s="680" t="s">
        <v>6153</v>
      </c>
    </row>
    <row r="23768" spans="8:8">
      <c r="H23768" s="680" t="s">
        <v>6153</v>
      </c>
    </row>
    <row r="23769" spans="8:8">
      <c r="H23769" s="680" t="s">
        <v>6153</v>
      </c>
    </row>
    <row r="23770" spans="8:8">
      <c r="H23770" s="680" t="s">
        <v>6153</v>
      </c>
    </row>
    <row r="23771" spans="8:8">
      <c r="H23771" s="680" t="s">
        <v>6153</v>
      </c>
    </row>
    <row r="23772" spans="8:8">
      <c r="H23772" s="680" t="s">
        <v>6153</v>
      </c>
    </row>
    <row r="23773" spans="8:8">
      <c r="H23773" s="680" t="s">
        <v>6153</v>
      </c>
    </row>
    <row r="23774" spans="8:8">
      <c r="H23774" s="680" t="s">
        <v>6153</v>
      </c>
    </row>
    <row r="23775" spans="8:8">
      <c r="H23775" s="680" t="s">
        <v>6153</v>
      </c>
    </row>
    <row r="23776" spans="8:8">
      <c r="H23776" s="680" t="s">
        <v>6153</v>
      </c>
    </row>
    <row r="23777" spans="8:8">
      <c r="H23777" s="680" t="s">
        <v>6153</v>
      </c>
    </row>
    <row r="23778" spans="8:8">
      <c r="H23778" s="680" t="s">
        <v>6153</v>
      </c>
    </row>
    <row r="23779" spans="8:8">
      <c r="H23779" s="680" t="s">
        <v>6153</v>
      </c>
    </row>
    <row r="23780" spans="8:8">
      <c r="H23780" s="680" t="s">
        <v>6153</v>
      </c>
    </row>
    <row r="23781" spans="8:8">
      <c r="H23781" s="680" t="s">
        <v>6153</v>
      </c>
    </row>
    <row r="23782" spans="8:8">
      <c r="H23782" s="680" t="s">
        <v>6153</v>
      </c>
    </row>
    <row r="23783" spans="8:8">
      <c r="H23783" s="680" t="s">
        <v>6153</v>
      </c>
    </row>
    <row r="23784" spans="8:8">
      <c r="H23784" s="680" t="s">
        <v>6153</v>
      </c>
    </row>
    <row r="23785" spans="8:8">
      <c r="H23785" s="680" t="s">
        <v>6153</v>
      </c>
    </row>
    <row r="23786" spans="8:8">
      <c r="H23786" s="680" t="s">
        <v>6153</v>
      </c>
    </row>
    <row r="23787" spans="8:8">
      <c r="H23787" s="680" t="s">
        <v>6153</v>
      </c>
    </row>
    <row r="23788" spans="8:8">
      <c r="H23788" s="680" t="s">
        <v>6153</v>
      </c>
    </row>
    <row r="23789" spans="8:8">
      <c r="H23789" s="680" t="s">
        <v>6153</v>
      </c>
    </row>
    <row r="23790" spans="8:8">
      <c r="H23790" s="680" t="s">
        <v>6153</v>
      </c>
    </row>
    <row r="23791" spans="8:8">
      <c r="H23791" s="680" t="s">
        <v>6153</v>
      </c>
    </row>
    <row r="23792" spans="8:8">
      <c r="H23792" s="680" t="s">
        <v>6153</v>
      </c>
    </row>
    <row r="23793" spans="8:8">
      <c r="H23793" s="680" t="s">
        <v>6153</v>
      </c>
    </row>
    <row r="23794" spans="8:8">
      <c r="H23794" s="680" t="s">
        <v>6153</v>
      </c>
    </row>
    <row r="23795" spans="8:8">
      <c r="H23795" s="680" t="s">
        <v>6153</v>
      </c>
    </row>
    <row r="23796" spans="8:8">
      <c r="H23796" s="680" t="s">
        <v>6153</v>
      </c>
    </row>
    <row r="23797" spans="8:8">
      <c r="H23797" s="680" t="s">
        <v>6153</v>
      </c>
    </row>
    <row r="23798" spans="8:8">
      <c r="H23798" s="680" t="s">
        <v>6153</v>
      </c>
    </row>
    <row r="23799" spans="8:8">
      <c r="H23799" s="680" t="s">
        <v>6153</v>
      </c>
    </row>
    <row r="23800" spans="8:8">
      <c r="H23800" s="680" t="s">
        <v>6153</v>
      </c>
    </row>
    <row r="23801" spans="8:8">
      <c r="H23801" s="680" t="s">
        <v>6153</v>
      </c>
    </row>
    <row r="23802" spans="8:8">
      <c r="H23802" s="680" t="s">
        <v>6153</v>
      </c>
    </row>
    <row r="23803" spans="8:8">
      <c r="H23803" s="680" t="s">
        <v>6153</v>
      </c>
    </row>
    <row r="23804" spans="8:8">
      <c r="H23804" s="680" t="s">
        <v>6153</v>
      </c>
    </row>
    <row r="23805" spans="8:8">
      <c r="H23805" s="680" t="s">
        <v>6153</v>
      </c>
    </row>
    <row r="23806" spans="8:8">
      <c r="H23806" s="680" t="s">
        <v>6153</v>
      </c>
    </row>
    <row r="23807" spans="8:8">
      <c r="H23807" s="680" t="s">
        <v>6153</v>
      </c>
    </row>
    <row r="23808" spans="8:8">
      <c r="H23808" s="680" t="s">
        <v>6153</v>
      </c>
    </row>
    <row r="23809" spans="8:8">
      <c r="H23809" s="680" t="s">
        <v>6153</v>
      </c>
    </row>
    <row r="23810" spans="8:8">
      <c r="H23810" s="680" t="s">
        <v>6153</v>
      </c>
    </row>
    <row r="23811" spans="8:8">
      <c r="H23811" s="680" t="s">
        <v>6153</v>
      </c>
    </row>
    <row r="23812" spans="8:8">
      <c r="H23812" s="680" t="s">
        <v>6153</v>
      </c>
    </row>
    <row r="23813" spans="8:8">
      <c r="H23813" s="680" t="s">
        <v>6153</v>
      </c>
    </row>
    <row r="23814" spans="8:8">
      <c r="H23814" s="680" t="s">
        <v>6153</v>
      </c>
    </row>
    <row r="23815" spans="8:8">
      <c r="H23815" s="680" t="s">
        <v>6153</v>
      </c>
    </row>
    <row r="23816" spans="8:8">
      <c r="H23816" s="680" t="s">
        <v>6153</v>
      </c>
    </row>
    <row r="23817" spans="8:8">
      <c r="H23817" s="680" t="s">
        <v>6153</v>
      </c>
    </row>
    <row r="23818" spans="8:8">
      <c r="H23818" s="680" t="s">
        <v>6153</v>
      </c>
    </row>
    <row r="23819" spans="8:8">
      <c r="H23819" s="680" t="s">
        <v>6153</v>
      </c>
    </row>
    <row r="23820" spans="8:8">
      <c r="H23820" s="680" t="s">
        <v>6153</v>
      </c>
    </row>
    <row r="23821" spans="8:8">
      <c r="H23821" s="680" t="s">
        <v>6153</v>
      </c>
    </row>
    <row r="23822" spans="8:8">
      <c r="H23822" s="680" t="s">
        <v>6153</v>
      </c>
    </row>
    <row r="23823" spans="8:8">
      <c r="H23823" s="680" t="s">
        <v>6153</v>
      </c>
    </row>
    <row r="23824" spans="8:8">
      <c r="H23824" s="680" t="s">
        <v>6153</v>
      </c>
    </row>
    <row r="23825" spans="8:8">
      <c r="H23825" s="680" t="s">
        <v>6153</v>
      </c>
    </row>
    <row r="23826" spans="8:8">
      <c r="H23826" s="680" t="s">
        <v>6153</v>
      </c>
    </row>
    <row r="23827" spans="8:8">
      <c r="H23827" s="680" t="s">
        <v>6153</v>
      </c>
    </row>
    <row r="23828" spans="8:8">
      <c r="H23828" s="680" t="s">
        <v>6153</v>
      </c>
    </row>
    <row r="23829" spans="8:8">
      <c r="H23829" s="680" t="s">
        <v>6153</v>
      </c>
    </row>
    <row r="23830" spans="8:8">
      <c r="H23830" s="680" t="s">
        <v>6153</v>
      </c>
    </row>
    <row r="23831" spans="8:8">
      <c r="H23831" s="680" t="s">
        <v>6153</v>
      </c>
    </row>
    <row r="23832" spans="8:8">
      <c r="H23832" s="680" t="s">
        <v>6153</v>
      </c>
    </row>
    <row r="23833" spans="8:8">
      <c r="H23833" s="680" t="s">
        <v>6153</v>
      </c>
    </row>
    <row r="23834" spans="8:8">
      <c r="H23834" s="680" t="s">
        <v>6153</v>
      </c>
    </row>
    <row r="23835" spans="8:8">
      <c r="H23835" s="680" t="s">
        <v>6153</v>
      </c>
    </row>
    <row r="23836" spans="8:8">
      <c r="H23836" s="680" t="s">
        <v>6153</v>
      </c>
    </row>
    <row r="23837" spans="8:8">
      <c r="H23837" s="680" t="s">
        <v>6153</v>
      </c>
    </row>
    <row r="23838" spans="8:8">
      <c r="H23838" s="680" t="s">
        <v>6153</v>
      </c>
    </row>
    <row r="23839" spans="8:8">
      <c r="H23839" s="680" t="s">
        <v>6153</v>
      </c>
    </row>
    <row r="23840" spans="8:8">
      <c r="H23840" s="680" t="s">
        <v>6153</v>
      </c>
    </row>
    <row r="23841" spans="8:8">
      <c r="H23841" s="680" t="s">
        <v>6153</v>
      </c>
    </row>
    <row r="23842" spans="8:8">
      <c r="H23842" s="680" t="s">
        <v>6153</v>
      </c>
    </row>
    <row r="23843" spans="8:8">
      <c r="H23843" s="680" t="s">
        <v>6153</v>
      </c>
    </row>
    <row r="23844" spans="8:8">
      <c r="H23844" s="680" t="s">
        <v>6153</v>
      </c>
    </row>
    <row r="23845" spans="8:8">
      <c r="H23845" s="680" t="s">
        <v>6153</v>
      </c>
    </row>
    <row r="23846" spans="8:8">
      <c r="H23846" s="680" t="s">
        <v>6153</v>
      </c>
    </row>
    <row r="23847" spans="8:8">
      <c r="H23847" s="680" t="s">
        <v>6153</v>
      </c>
    </row>
    <row r="23848" spans="8:8">
      <c r="H23848" s="680" t="s">
        <v>6153</v>
      </c>
    </row>
    <row r="23849" spans="8:8">
      <c r="H23849" s="680" t="s">
        <v>6153</v>
      </c>
    </row>
    <row r="23850" spans="8:8">
      <c r="H23850" s="680" t="s">
        <v>6153</v>
      </c>
    </row>
    <row r="23851" spans="8:8">
      <c r="H23851" s="680" t="s">
        <v>6153</v>
      </c>
    </row>
    <row r="23852" spans="8:8">
      <c r="H23852" s="680" t="s">
        <v>6153</v>
      </c>
    </row>
    <row r="23853" spans="8:8">
      <c r="H23853" s="680" t="s">
        <v>6153</v>
      </c>
    </row>
    <row r="23854" spans="8:8">
      <c r="H23854" s="680" t="s">
        <v>6153</v>
      </c>
    </row>
    <row r="23855" spans="8:8">
      <c r="H23855" s="680" t="s">
        <v>6153</v>
      </c>
    </row>
    <row r="23856" spans="8:8">
      <c r="H23856" s="680" t="s">
        <v>6153</v>
      </c>
    </row>
    <row r="23857" spans="8:8">
      <c r="H23857" s="680" t="s">
        <v>6153</v>
      </c>
    </row>
    <row r="23858" spans="8:8">
      <c r="H23858" s="680" t="s">
        <v>6153</v>
      </c>
    </row>
    <row r="23859" spans="8:8">
      <c r="H23859" s="680" t="s">
        <v>6153</v>
      </c>
    </row>
    <row r="23860" spans="8:8">
      <c r="H23860" s="680" t="s">
        <v>6153</v>
      </c>
    </row>
    <row r="23861" spans="8:8">
      <c r="H23861" s="680" t="s">
        <v>6153</v>
      </c>
    </row>
    <row r="23862" spans="8:8">
      <c r="H23862" s="680" t="s">
        <v>6153</v>
      </c>
    </row>
    <row r="23863" spans="8:8">
      <c r="H23863" s="680" t="s">
        <v>6153</v>
      </c>
    </row>
    <row r="23864" spans="8:8">
      <c r="H23864" s="680" t="s">
        <v>6153</v>
      </c>
    </row>
    <row r="23865" spans="8:8">
      <c r="H23865" s="680" t="s">
        <v>6153</v>
      </c>
    </row>
    <row r="23866" spans="8:8">
      <c r="H23866" s="680" t="s">
        <v>6153</v>
      </c>
    </row>
    <row r="23867" spans="8:8">
      <c r="H23867" s="680" t="s">
        <v>6153</v>
      </c>
    </row>
    <row r="23868" spans="8:8">
      <c r="H23868" s="680" t="s">
        <v>6153</v>
      </c>
    </row>
    <row r="23869" spans="8:8">
      <c r="H23869" s="680" t="s">
        <v>6153</v>
      </c>
    </row>
    <row r="23870" spans="8:8">
      <c r="H23870" s="680" t="s">
        <v>6153</v>
      </c>
    </row>
    <row r="23871" spans="8:8">
      <c r="H23871" s="680" t="s">
        <v>6153</v>
      </c>
    </row>
    <row r="23872" spans="8:8">
      <c r="H23872" s="680" t="s">
        <v>6153</v>
      </c>
    </row>
    <row r="23873" spans="8:8">
      <c r="H23873" s="680" t="s">
        <v>6153</v>
      </c>
    </row>
    <row r="23874" spans="8:8">
      <c r="H23874" s="680" t="s">
        <v>6153</v>
      </c>
    </row>
    <row r="23875" spans="8:8">
      <c r="H23875" s="680" t="s">
        <v>6153</v>
      </c>
    </row>
    <row r="23876" spans="8:8">
      <c r="H23876" s="680" t="s">
        <v>6153</v>
      </c>
    </row>
    <row r="23877" spans="8:8">
      <c r="H23877" s="680" t="s">
        <v>6153</v>
      </c>
    </row>
    <row r="23878" spans="8:8">
      <c r="H23878" s="680" t="s">
        <v>6153</v>
      </c>
    </row>
    <row r="23879" spans="8:8">
      <c r="H23879" s="680" t="s">
        <v>6153</v>
      </c>
    </row>
    <row r="23880" spans="8:8">
      <c r="H23880" s="680" t="s">
        <v>6153</v>
      </c>
    </row>
    <row r="23881" spans="8:8">
      <c r="H23881" s="680" t="s">
        <v>6153</v>
      </c>
    </row>
    <row r="23882" spans="8:8">
      <c r="H23882" s="680" t="s">
        <v>6153</v>
      </c>
    </row>
    <row r="23883" spans="8:8">
      <c r="H23883" s="680" t="s">
        <v>6153</v>
      </c>
    </row>
    <row r="23884" spans="8:8">
      <c r="H23884" s="680" t="s">
        <v>6153</v>
      </c>
    </row>
    <row r="23885" spans="8:8">
      <c r="H23885" s="680" t="s">
        <v>6153</v>
      </c>
    </row>
    <row r="23886" spans="8:8">
      <c r="H23886" s="680" t="s">
        <v>6153</v>
      </c>
    </row>
    <row r="23887" spans="8:8">
      <c r="H23887" s="680" t="s">
        <v>6153</v>
      </c>
    </row>
    <row r="23888" spans="8:8">
      <c r="H23888" s="680" t="s">
        <v>6153</v>
      </c>
    </row>
    <row r="23889" spans="8:8">
      <c r="H23889" s="680" t="s">
        <v>6153</v>
      </c>
    </row>
    <row r="23890" spans="8:8">
      <c r="H23890" s="680" t="s">
        <v>6153</v>
      </c>
    </row>
    <row r="23891" spans="8:8">
      <c r="H23891" s="680" t="s">
        <v>6153</v>
      </c>
    </row>
    <row r="23892" spans="8:8">
      <c r="H23892" s="680" t="s">
        <v>6153</v>
      </c>
    </row>
    <row r="23893" spans="8:8">
      <c r="H23893" s="680" t="s">
        <v>6153</v>
      </c>
    </row>
    <row r="23894" spans="8:8">
      <c r="H23894" s="680" t="s">
        <v>6153</v>
      </c>
    </row>
    <row r="23895" spans="8:8">
      <c r="H23895" s="680" t="s">
        <v>6153</v>
      </c>
    </row>
    <row r="23896" spans="8:8">
      <c r="H23896" s="680" t="s">
        <v>6153</v>
      </c>
    </row>
    <row r="23897" spans="8:8">
      <c r="H23897" s="680" t="s">
        <v>6153</v>
      </c>
    </row>
    <row r="23898" spans="8:8">
      <c r="H23898" s="680" t="s">
        <v>6153</v>
      </c>
    </row>
    <row r="23899" spans="8:8">
      <c r="H23899" s="680" t="s">
        <v>6153</v>
      </c>
    </row>
    <row r="23900" spans="8:8">
      <c r="H23900" s="680" t="s">
        <v>6153</v>
      </c>
    </row>
    <row r="23901" spans="8:8">
      <c r="H23901" s="680" t="s">
        <v>6153</v>
      </c>
    </row>
    <row r="23902" spans="8:8">
      <c r="H23902" s="680" t="s">
        <v>6153</v>
      </c>
    </row>
    <row r="23903" spans="8:8">
      <c r="H23903" s="680" t="s">
        <v>6153</v>
      </c>
    </row>
    <row r="23904" spans="8:8">
      <c r="H23904" s="680" t="s">
        <v>6153</v>
      </c>
    </row>
    <row r="23905" spans="8:8">
      <c r="H23905" s="680" t="s">
        <v>6153</v>
      </c>
    </row>
    <row r="23906" spans="8:8">
      <c r="H23906" s="680" t="s">
        <v>6153</v>
      </c>
    </row>
    <row r="23907" spans="8:8">
      <c r="H23907" s="680" t="s">
        <v>6153</v>
      </c>
    </row>
    <row r="23908" spans="8:8">
      <c r="H23908" s="680" t="s">
        <v>6153</v>
      </c>
    </row>
    <row r="23909" spans="8:8">
      <c r="H23909" s="680" t="s">
        <v>6153</v>
      </c>
    </row>
    <row r="23910" spans="8:8">
      <c r="H23910" s="680" t="s">
        <v>6153</v>
      </c>
    </row>
    <row r="23911" spans="8:8">
      <c r="H23911" s="680" t="s">
        <v>6153</v>
      </c>
    </row>
    <row r="23912" spans="8:8">
      <c r="H23912" s="680" t="s">
        <v>6153</v>
      </c>
    </row>
    <row r="23913" spans="8:8">
      <c r="H23913" s="680" t="s">
        <v>6153</v>
      </c>
    </row>
    <row r="23914" spans="8:8">
      <c r="H23914" s="680" t="s">
        <v>6153</v>
      </c>
    </row>
    <row r="23915" spans="8:8">
      <c r="H23915" s="680" t="s">
        <v>6153</v>
      </c>
    </row>
    <row r="23916" spans="8:8">
      <c r="H23916" s="680" t="s">
        <v>6153</v>
      </c>
    </row>
    <row r="23917" spans="8:8">
      <c r="H23917" s="680" t="s">
        <v>6153</v>
      </c>
    </row>
    <row r="23918" spans="8:8">
      <c r="H23918" s="680" t="s">
        <v>6153</v>
      </c>
    </row>
    <row r="23919" spans="8:8">
      <c r="H23919" s="680" t="s">
        <v>6153</v>
      </c>
    </row>
    <row r="23920" spans="8:8">
      <c r="H23920" s="680" t="s">
        <v>6153</v>
      </c>
    </row>
    <row r="23921" spans="8:8">
      <c r="H23921" s="680" t="s">
        <v>6153</v>
      </c>
    </row>
    <row r="23922" spans="8:8">
      <c r="H23922" s="680" t="s">
        <v>6153</v>
      </c>
    </row>
    <row r="23923" spans="8:8">
      <c r="H23923" s="680" t="s">
        <v>6153</v>
      </c>
    </row>
    <row r="23924" spans="8:8">
      <c r="H23924" s="680" t="s">
        <v>6153</v>
      </c>
    </row>
    <row r="23925" spans="8:8">
      <c r="H23925" s="680" t="s">
        <v>6153</v>
      </c>
    </row>
    <row r="23926" spans="8:8">
      <c r="H23926" s="680" t="s">
        <v>6153</v>
      </c>
    </row>
    <row r="23927" spans="8:8">
      <c r="H23927" s="680" t="s">
        <v>6153</v>
      </c>
    </row>
    <row r="23928" spans="8:8">
      <c r="H23928" s="680" t="s">
        <v>6153</v>
      </c>
    </row>
    <row r="23929" spans="8:8">
      <c r="H23929" s="680" t="s">
        <v>6153</v>
      </c>
    </row>
    <row r="23930" spans="8:8">
      <c r="H23930" s="680" t="s">
        <v>6153</v>
      </c>
    </row>
    <row r="23931" spans="8:8">
      <c r="H23931" s="680" t="s">
        <v>6153</v>
      </c>
    </row>
    <row r="23932" spans="8:8">
      <c r="H23932" s="680" t="s">
        <v>6153</v>
      </c>
    </row>
    <row r="23933" spans="8:8">
      <c r="H23933" s="680" t="s">
        <v>6153</v>
      </c>
    </row>
    <row r="23934" spans="8:8">
      <c r="H23934" s="680" t="s">
        <v>6153</v>
      </c>
    </row>
    <row r="23935" spans="8:8">
      <c r="H23935" s="680" t="s">
        <v>6153</v>
      </c>
    </row>
    <row r="23936" spans="8:8">
      <c r="H23936" s="680" t="s">
        <v>6153</v>
      </c>
    </row>
    <row r="23937" spans="8:8">
      <c r="H23937" s="680" t="s">
        <v>6153</v>
      </c>
    </row>
    <row r="23938" spans="8:8">
      <c r="H23938" s="680" t="s">
        <v>6153</v>
      </c>
    </row>
    <row r="23939" spans="8:8">
      <c r="H23939" s="680" t="s">
        <v>6153</v>
      </c>
    </row>
    <row r="23940" spans="8:8">
      <c r="H23940" s="680" t="s">
        <v>6153</v>
      </c>
    </row>
    <row r="23941" spans="8:8">
      <c r="H23941" s="680" t="s">
        <v>6153</v>
      </c>
    </row>
    <row r="23942" spans="8:8">
      <c r="H23942" s="680" t="s">
        <v>6153</v>
      </c>
    </row>
    <row r="23943" spans="8:8">
      <c r="H23943" s="680" t="s">
        <v>6153</v>
      </c>
    </row>
    <row r="23944" spans="8:8">
      <c r="H23944" s="680" t="s">
        <v>6153</v>
      </c>
    </row>
    <row r="23945" spans="8:8">
      <c r="H23945" s="680" t="s">
        <v>6153</v>
      </c>
    </row>
    <row r="23946" spans="8:8">
      <c r="H23946" s="680" t="s">
        <v>6153</v>
      </c>
    </row>
    <row r="23947" spans="8:8">
      <c r="H23947" s="680" t="s">
        <v>6153</v>
      </c>
    </row>
    <row r="23948" spans="8:8">
      <c r="H23948" s="680" t="s">
        <v>6153</v>
      </c>
    </row>
    <row r="23949" spans="8:8">
      <c r="H23949" s="680" t="s">
        <v>6153</v>
      </c>
    </row>
    <row r="23950" spans="8:8">
      <c r="H23950" s="680" t="s">
        <v>6153</v>
      </c>
    </row>
    <row r="23951" spans="8:8">
      <c r="H23951" s="680" t="s">
        <v>6153</v>
      </c>
    </row>
    <row r="23952" spans="8:8">
      <c r="H23952" s="680" t="s">
        <v>6153</v>
      </c>
    </row>
    <row r="23953" spans="8:8">
      <c r="H23953" s="680" t="s">
        <v>6153</v>
      </c>
    </row>
    <row r="23954" spans="8:8">
      <c r="H23954" s="680" t="s">
        <v>6153</v>
      </c>
    </row>
    <row r="23955" spans="8:8">
      <c r="H23955" s="680" t="s">
        <v>6153</v>
      </c>
    </row>
    <row r="23956" spans="8:8">
      <c r="H23956" s="680" t="s">
        <v>6153</v>
      </c>
    </row>
    <row r="23957" spans="8:8">
      <c r="H23957" s="680" t="s">
        <v>6153</v>
      </c>
    </row>
    <row r="23958" spans="8:8">
      <c r="H23958" s="680" t="s">
        <v>6153</v>
      </c>
    </row>
    <row r="23959" spans="8:8">
      <c r="H23959" s="680" t="s">
        <v>6153</v>
      </c>
    </row>
    <row r="23960" spans="8:8">
      <c r="H23960" s="680" t="s">
        <v>6153</v>
      </c>
    </row>
    <row r="23961" spans="8:8">
      <c r="H23961" s="680" t="s">
        <v>6153</v>
      </c>
    </row>
    <row r="23962" spans="8:8">
      <c r="H23962" s="680" t="s">
        <v>6153</v>
      </c>
    </row>
    <row r="23963" spans="8:8">
      <c r="H23963" s="680" t="s">
        <v>6153</v>
      </c>
    </row>
    <row r="23964" spans="8:8">
      <c r="H23964" s="680" t="s">
        <v>6153</v>
      </c>
    </row>
    <row r="23965" spans="8:8">
      <c r="H23965" s="680" t="s">
        <v>6153</v>
      </c>
    </row>
    <row r="23966" spans="8:8">
      <c r="H23966" s="680" t="s">
        <v>6153</v>
      </c>
    </row>
    <row r="23967" spans="8:8">
      <c r="H23967" s="680" t="s">
        <v>6153</v>
      </c>
    </row>
    <row r="23968" spans="8:8">
      <c r="H23968" s="680" t="s">
        <v>6153</v>
      </c>
    </row>
    <row r="23969" spans="8:8">
      <c r="H23969" s="680" t="s">
        <v>6153</v>
      </c>
    </row>
    <row r="23970" spans="8:8">
      <c r="H23970" s="680" t="s">
        <v>6153</v>
      </c>
    </row>
    <row r="23971" spans="8:8">
      <c r="H23971" s="680" t="s">
        <v>6153</v>
      </c>
    </row>
    <row r="23972" spans="8:8">
      <c r="H23972" s="680" t="s">
        <v>6153</v>
      </c>
    </row>
    <row r="23973" spans="8:8">
      <c r="H23973" s="680" t="s">
        <v>6153</v>
      </c>
    </row>
    <row r="23974" spans="8:8">
      <c r="H23974" s="680" t="s">
        <v>6153</v>
      </c>
    </row>
    <row r="23975" spans="8:8">
      <c r="H23975" s="680" t="s">
        <v>6153</v>
      </c>
    </row>
    <row r="23976" spans="8:8">
      <c r="H23976" s="680" t="s">
        <v>6153</v>
      </c>
    </row>
    <row r="23977" spans="8:8">
      <c r="H23977" s="680" t="s">
        <v>6153</v>
      </c>
    </row>
    <row r="23978" spans="8:8">
      <c r="H23978" s="680" t="s">
        <v>6153</v>
      </c>
    </row>
    <row r="23979" spans="8:8">
      <c r="H23979" s="680" t="s">
        <v>6153</v>
      </c>
    </row>
    <row r="23980" spans="8:8">
      <c r="H23980" s="680" t="s">
        <v>6153</v>
      </c>
    </row>
    <row r="23981" spans="8:8">
      <c r="H23981" s="680" t="s">
        <v>6153</v>
      </c>
    </row>
    <row r="23982" spans="8:8">
      <c r="H23982" s="680" t="s">
        <v>6153</v>
      </c>
    </row>
    <row r="23983" spans="8:8">
      <c r="H23983" s="680" t="s">
        <v>6153</v>
      </c>
    </row>
    <row r="23984" spans="8:8">
      <c r="H23984" s="680" t="s">
        <v>6153</v>
      </c>
    </row>
    <row r="23985" spans="8:8">
      <c r="H23985" s="680" t="s">
        <v>6153</v>
      </c>
    </row>
    <row r="23986" spans="8:8">
      <c r="H23986" s="680" t="s">
        <v>6153</v>
      </c>
    </row>
    <row r="23987" spans="8:8">
      <c r="H23987" s="680" t="s">
        <v>6153</v>
      </c>
    </row>
    <row r="23988" spans="8:8">
      <c r="H23988" s="680" t="s">
        <v>6153</v>
      </c>
    </row>
    <row r="23989" spans="8:8">
      <c r="H23989" s="680" t="s">
        <v>6153</v>
      </c>
    </row>
    <row r="23990" spans="8:8">
      <c r="H23990" s="680" t="s">
        <v>6153</v>
      </c>
    </row>
    <row r="23991" spans="8:8">
      <c r="H23991" s="680" t="s">
        <v>6153</v>
      </c>
    </row>
    <row r="23992" spans="8:8">
      <c r="H23992" s="680" t="s">
        <v>6153</v>
      </c>
    </row>
    <row r="23993" spans="8:8">
      <c r="H23993" s="680" t="s">
        <v>6153</v>
      </c>
    </row>
    <row r="23994" spans="8:8">
      <c r="H23994" s="680" t="s">
        <v>6153</v>
      </c>
    </row>
    <row r="23995" spans="8:8">
      <c r="H23995" s="680" t="s">
        <v>6153</v>
      </c>
    </row>
    <row r="23996" spans="8:8">
      <c r="H23996" s="680" t="s">
        <v>6153</v>
      </c>
    </row>
    <row r="23997" spans="8:8">
      <c r="H23997" s="680" t="s">
        <v>6153</v>
      </c>
    </row>
    <row r="23998" spans="8:8">
      <c r="H23998" s="680" t="s">
        <v>6153</v>
      </c>
    </row>
    <row r="23999" spans="8:8">
      <c r="H23999" s="680" t="s">
        <v>6153</v>
      </c>
    </row>
    <row r="24000" spans="8:8">
      <c r="H24000" s="680" t="s">
        <v>6153</v>
      </c>
    </row>
    <row r="24001" spans="8:8">
      <c r="H24001" s="680" t="s">
        <v>6153</v>
      </c>
    </row>
    <row r="24002" spans="8:8">
      <c r="H24002" s="680" t="s">
        <v>6153</v>
      </c>
    </row>
    <row r="24003" spans="8:8">
      <c r="H24003" s="680" t="s">
        <v>6153</v>
      </c>
    </row>
    <row r="24004" spans="8:8">
      <c r="H24004" s="680" t="s">
        <v>6153</v>
      </c>
    </row>
    <row r="24005" spans="8:8">
      <c r="H24005" s="680" t="s">
        <v>6153</v>
      </c>
    </row>
    <row r="24006" spans="8:8">
      <c r="H24006" s="680" t="s">
        <v>6153</v>
      </c>
    </row>
    <row r="24007" spans="8:8">
      <c r="H24007" s="680" t="s">
        <v>6153</v>
      </c>
    </row>
    <row r="24008" spans="8:8">
      <c r="H24008" s="680" t="s">
        <v>6153</v>
      </c>
    </row>
    <row r="24009" spans="8:8">
      <c r="H24009" s="680" t="s">
        <v>6153</v>
      </c>
    </row>
    <row r="24010" spans="8:8">
      <c r="H24010" s="680" t="s">
        <v>6153</v>
      </c>
    </row>
    <row r="24011" spans="8:8">
      <c r="H24011" s="680" t="s">
        <v>6153</v>
      </c>
    </row>
    <row r="24012" spans="8:8">
      <c r="H24012" s="680" t="s">
        <v>6153</v>
      </c>
    </row>
    <row r="24013" spans="8:8">
      <c r="H24013" s="680" t="s">
        <v>6153</v>
      </c>
    </row>
    <row r="24014" spans="8:8">
      <c r="H24014" s="680" t="s">
        <v>6153</v>
      </c>
    </row>
    <row r="24015" spans="8:8">
      <c r="H24015" s="680" t="s">
        <v>6153</v>
      </c>
    </row>
    <row r="24016" spans="8:8">
      <c r="H24016" s="680" t="s">
        <v>6153</v>
      </c>
    </row>
    <row r="24017" spans="8:8">
      <c r="H24017" s="680" t="s">
        <v>6153</v>
      </c>
    </row>
    <row r="24018" spans="8:8">
      <c r="H24018" s="680" t="s">
        <v>6153</v>
      </c>
    </row>
    <row r="24019" spans="8:8">
      <c r="H24019" s="680" t="s">
        <v>6153</v>
      </c>
    </row>
    <row r="24020" spans="8:8">
      <c r="H24020" s="680" t="s">
        <v>6153</v>
      </c>
    </row>
    <row r="24021" spans="8:8">
      <c r="H24021" s="680" t="s">
        <v>6153</v>
      </c>
    </row>
    <row r="24022" spans="8:8">
      <c r="H24022" s="680" t="s">
        <v>6153</v>
      </c>
    </row>
    <row r="24023" spans="8:8">
      <c r="H24023" s="680" t="s">
        <v>6153</v>
      </c>
    </row>
    <row r="24024" spans="8:8">
      <c r="H24024" s="680" t="s">
        <v>6153</v>
      </c>
    </row>
    <row r="24025" spans="8:8">
      <c r="H24025" s="680" t="s">
        <v>6153</v>
      </c>
    </row>
    <row r="24026" spans="8:8">
      <c r="H24026" s="680" t="s">
        <v>6153</v>
      </c>
    </row>
    <row r="24027" spans="8:8">
      <c r="H24027" s="680" t="s">
        <v>6153</v>
      </c>
    </row>
    <row r="24028" spans="8:8">
      <c r="H24028" s="680" t="s">
        <v>6153</v>
      </c>
    </row>
    <row r="24029" spans="8:8">
      <c r="H24029" s="680" t="s">
        <v>6153</v>
      </c>
    </row>
    <row r="24030" spans="8:8">
      <c r="H24030" s="680" t="s">
        <v>6153</v>
      </c>
    </row>
    <row r="24031" spans="8:8">
      <c r="H24031" s="680" t="s">
        <v>6153</v>
      </c>
    </row>
    <row r="24032" spans="8:8">
      <c r="H24032" s="680" t="s">
        <v>6153</v>
      </c>
    </row>
    <row r="24033" spans="8:8">
      <c r="H24033" s="680" t="s">
        <v>6153</v>
      </c>
    </row>
    <row r="24034" spans="8:8">
      <c r="H24034" s="680" t="s">
        <v>6153</v>
      </c>
    </row>
    <row r="24035" spans="8:8">
      <c r="H24035" s="680" t="s">
        <v>6153</v>
      </c>
    </row>
    <row r="24036" spans="8:8">
      <c r="H24036" s="680" t="s">
        <v>6153</v>
      </c>
    </row>
    <row r="24037" spans="8:8">
      <c r="H24037" s="680" t="s">
        <v>6153</v>
      </c>
    </row>
    <row r="24038" spans="8:8">
      <c r="H24038" s="680" t="s">
        <v>6153</v>
      </c>
    </row>
    <row r="24039" spans="8:8">
      <c r="H24039" s="680" t="s">
        <v>6153</v>
      </c>
    </row>
    <row r="24040" spans="8:8">
      <c r="H24040" s="680" t="s">
        <v>6153</v>
      </c>
    </row>
    <row r="24041" spans="8:8">
      <c r="H24041" s="680" t="s">
        <v>6153</v>
      </c>
    </row>
    <row r="24042" spans="8:8">
      <c r="H24042" s="680" t="s">
        <v>6153</v>
      </c>
    </row>
    <row r="24043" spans="8:8">
      <c r="H24043" s="680" t="s">
        <v>6153</v>
      </c>
    </row>
    <row r="24044" spans="8:8">
      <c r="H24044" s="680" t="s">
        <v>6153</v>
      </c>
    </row>
    <row r="24045" spans="8:8">
      <c r="H24045" s="680" t="s">
        <v>6153</v>
      </c>
    </row>
    <row r="24046" spans="8:8">
      <c r="H24046" s="680" t="s">
        <v>6153</v>
      </c>
    </row>
    <row r="24047" spans="8:8">
      <c r="H24047" s="680" t="s">
        <v>6153</v>
      </c>
    </row>
    <row r="24048" spans="8:8">
      <c r="H24048" s="680" t="s">
        <v>6153</v>
      </c>
    </row>
    <row r="24049" spans="8:8">
      <c r="H24049" s="680" t="s">
        <v>6153</v>
      </c>
    </row>
    <row r="24050" spans="8:8">
      <c r="H24050" s="680" t="s">
        <v>6153</v>
      </c>
    </row>
    <row r="24051" spans="8:8">
      <c r="H24051" s="680" t="s">
        <v>6153</v>
      </c>
    </row>
    <row r="24052" spans="8:8">
      <c r="H24052" s="680" t="s">
        <v>6153</v>
      </c>
    </row>
    <row r="24053" spans="8:8">
      <c r="H24053" s="680" t="s">
        <v>6153</v>
      </c>
    </row>
    <row r="24054" spans="8:8">
      <c r="H24054" s="680" t="s">
        <v>6153</v>
      </c>
    </row>
    <row r="24055" spans="8:8">
      <c r="H24055" s="680" t="s">
        <v>6153</v>
      </c>
    </row>
    <row r="24056" spans="8:8">
      <c r="H24056" s="680" t="s">
        <v>6153</v>
      </c>
    </row>
    <row r="24057" spans="8:8">
      <c r="H24057" s="680" t="s">
        <v>6153</v>
      </c>
    </row>
    <row r="24058" spans="8:8">
      <c r="H24058" s="680" t="s">
        <v>6153</v>
      </c>
    </row>
    <row r="24059" spans="8:8">
      <c r="H24059" s="680" t="s">
        <v>6153</v>
      </c>
    </row>
    <row r="24060" spans="8:8">
      <c r="H24060" s="680" t="s">
        <v>6153</v>
      </c>
    </row>
    <row r="24061" spans="8:8">
      <c r="H24061" s="680" t="s">
        <v>6153</v>
      </c>
    </row>
    <row r="24062" spans="8:8">
      <c r="H24062" s="680" t="s">
        <v>6153</v>
      </c>
    </row>
    <row r="24063" spans="8:8">
      <c r="H24063" s="680" t="s">
        <v>6153</v>
      </c>
    </row>
    <row r="24064" spans="8:8">
      <c r="H24064" s="680" t="s">
        <v>6153</v>
      </c>
    </row>
    <row r="24065" spans="8:8">
      <c r="H24065" s="680" t="s">
        <v>6153</v>
      </c>
    </row>
    <row r="24066" spans="8:8">
      <c r="H24066" s="680" t="s">
        <v>6153</v>
      </c>
    </row>
    <row r="24067" spans="8:8">
      <c r="H24067" s="680" t="s">
        <v>6153</v>
      </c>
    </row>
    <row r="24068" spans="8:8">
      <c r="H24068" s="680" t="s">
        <v>6153</v>
      </c>
    </row>
    <row r="24069" spans="8:8">
      <c r="H24069" s="680" t="s">
        <v>6153</v>
      </c>
    </row>
    <row r="24070" spans="8:8">
      <c r="H24070" s="680" t="s">
        <v>6153</v>
      </c>
    </row>
    <row r="24071" spans="8:8">
      <c r="H24071" s="680" t="s">
        <v>6153</v>
      </c>
    </row>
    <row r="24072" spans="8:8">
      <c r="H24072" s="680" t="s">
        <v>6153</v>
      </c>
    </row>
    <row r="24073" spans="8:8">
      <c r="H24073" s="680" t="s">
        <v>6153</v>
      </c>
    </row>
    <row r="24074" spans="8:8">
      <c r="H24074" s="680" t="s">
        <v>6153</v>
      </c>
    </row>
    <row r="24075" spans="8:8">
      <c r="H24075" s="680" t="s">
        <v>6153</v>
      </c>
    </row>
    <row r="24076" spans="8:8">
      <c r="H24076" s="680" t="s">
        <v>6153</v>
      </c>
    </row>
    <row r="24077" spans="8:8">
      <c r="H24077" s="680" t="s">
        <v>6153</v>
      </c>
    </row>
    <row r="24078" spans="8:8">
      <c r="H24078" s="680" t="s">
        <v>6153</v>
      </c>
    </row>
    <row r="24079" spans="8:8">
      <c r="H24079" s="680" t="s">
        <v>6153</v>
      </c>
    </row>
    <row r="24080" spans="8:8">
      <c r="H24080" s="680" t="s">
        <v>6153</v>
      </c>
    </row>
    <row r="24081" spans="8:8">
      <c r="H24081" s="680" t="s">
        <v>6153</v>
      </c>
    </row>
    <row r="24082" spans="8:8">
      <c r="H24082" s="680" t="s">
        <v>6153</v>
      </c>
    </row>
    <row r="24083" spans="8:8">
      <c r="H24083" s="680" t="s">
        <v>6153</v>
      </c>
    </row>
    <row r="24084" spans="8:8">
      <c r="H24084" s="680" t="s">
        <v>6153</v>
      </c>
    </row>
    <row r="24085" spans="8:8">
      <c r="H24085" s="680" t="s">
        <v>6153</v>
      </c>
    </row>
    <row r="24086" spans="8:8">
      <c r="H24086" s="680" t="s">
        <v>6153</v>
      </c>
    </row>
    <row r="24087" spans="8:8">
      <c r="H24087" s="680" t="s">
        <v>6153</v>
      </c>
    </row>
    <row r="24088" spans="8:8">
      <c r="H24088" s="680" t="s">
        <v>6153</v>
      </c>
    </row>
    <row r="24089" spans="8:8">
      <c r="H24089" s="680" t="s">
        <v>6153</v>
      </c>
    </row>
    <row r="24090" spans="8:8">
      <c r="H24090" s="680" t="s">
        <v>6153</v>
      </c>
    </row>
    <row r="24091" spans="8:8">
      <c r="H24091" s="680" t="s">
        <v>6153</v>
      </c>
    </row>
    <row r="24092" spans="8:8">
      <c r="H24092" s="680" t="s">
        <v>6153</v>
      </c>
    </row>
    <row r="24093" spans="8:8">
      <c r="H24093" s="680" t="s">
        <v>6153</v>
      </c>
    </row>
    <row r="24094" spans="8:8">
      <c r="H24094" s="680" t="s">
        <v>6153</v>
      </c>
    </row>
    <row r="24095" spans="8:8">
      <c r="H24095" s="680" t="s">
        <v>6153</v>
      </c>
    </row>
    <row r="24096" spans="8:8">
      <c r="H24096" s="680" t="s">
        <v>6153</v>
      </c>
    </row>
    <row r="24097" spans="8:8">
      <c r="H24097" s="680" t="s">
        <v>6153</v>
      </c>
    </row>
    <row r="24098" spans="8:8">
      <c r="H24098" s="680" t="s">
        <v>6153</v>
      </c>
    </row>
    <row r="24099" spans="8:8">
      <c r="H24099" s="680" t="s">
        <v>6153</v>
      </c>
    </row>
    <row r="24100" spans="8:8">
      <c r="H24100" s="680" t="s">
        <v>6153</v>
      </c>
    </row>
    <row r="24101" spans="8:8">
      <c r="H24101" s="680" t="s">
        <v>6153</v>
      </c>
    </row>
    <row r="24102" spans="8:8">
      <c r="H24102" s="680" t="s">
        <v>6153</v>
      </c>
    </row>
    <row r="24103" spans="8:8">
      <c r="H24103" s="680" t="s">
        <v>6153</v>
      </c>
    </row>
    <row r="24104" spans="8:8">
      <c r="H24104" s="680" t="s">
        <v>6153</v>
      </c>
    </row>
    <row r="24105" spans="8:8">
      <c r="H24105" s="680" t="s">
        <v>6153</v>
      </c>
    </row>
    <row r="24106" spans="8:8">
      <c r="H24106" s="680" t="s">
        <v>6153</v>
      </c>
    </row>
    <row r="24107" spans="8:8">
      <c r="H24107" s="680" t="s">
        <v>6153</v>
      </c>
    </row>
    <row r="24108" spans="8:8">
      <c r="H24108" s="680" t="s">
        <v>6153</v>
      </c>
    </row>
    <row r="24109" spans="8:8">
      <c r="H24109" s="680" t="s">
        <v>6153</v>
      </c>
    </row>
    <row r="24110" spans="8:8">
      <c r="H24110" s="680" t="s">
        <v>6153</v>
      </c>
    </row>
    <row r="24111" spans="8:8">
      <c r="H24111" s="680" t="s">
        <v>6153</v>
      </c>
    </row>
    <row r="24112" spans="8:8">
      <c r="H24112" s="680" t="s">
        <v>6153</v>
      </c>
    </row>
    <row r="24113" spans="8:8">
      <c r="H24113" s="680" t="s">
        <v>6153</v>
      </c>
    </row>
    <row r="24114" spans="8:8">
      <c r="H24114" s="680" t="s">
        <v>6153</v>
      </c>
    </row>
    <row r="24115" spans="8:8">
      <c r="H24115" s="680" t="s">
        <v>6153</v>
      </c>
    </row>
    <row r="24116" spans="8:8">
      <c r="H24116" s="680" t="s">
        <v>6153</v>
      </c>
    </row>
    <row r="24117" spans="8:8">
      <c r="H24117" s="680" t="s">
        <v>6153</v>
      </c>
    </row>
    <row r="24118" spans="8:8">
      <c r="H24118" s="680" t="s">
        <v>6153</v>
      </c>
    </row>
    <row r="24119" spans="8:8">
      <c r="H24119" s="680" t="s">
        <v>6153</v>
      </c>
    </row>
    <row r="24120" spans="8:8">
      <c r="H24120" s="680" t="s">
        <v>6153</v>
      </c>
    </row>
    <row r="24121" spans="8:8">
      <c r="H24121" s="680" t="s">
        <v>6153</v>
      </c>
    </row>
    <row r="24122" spans="8:8">
      <c r="H24122" s="680" t="s">
        <v>6153</v>
      </c>
    </row>
    <row r="24123" spans="8:8">
      <c r="H24123" s="680" t="s">
        <v>6153</v>
      </c>
    </row>
    <row r="24124" spans="8:8">
      <c r="H24124" s="680" t="s">
        <v>6153</v>
      </c>
    </row>
    <row r="24125" spans="8:8">
      <c r="H24125" s="680" t="s">
        <v>6153</v>
      </c>
    </row>
    <row r="24126" spans="8:8">
      <c r="H24126" s="680" t="s">
        <v>6153</v>
      </c>
    </row>
    <row r="24127" spans="8:8">
      <c r="H24127" s="680" t="s">
        <v>6153</v>
      </c>
    </row>
    <row r="24128" spans="8:8">
      <c r="H24128" s="680" t="s">
        <v>6153</v>
      </c>
    </row>
    <row r="24129" spans="8:8">
      <c r="H24129" s="680" t="s">
        <v>6153</v>
      </c>
    </row>
    <row r="24130" spans="8:8">
      <c r="H24130" s="680" t="s">
        <v>6153</v>
      </c>
    </row>
    <row r="24131" spans="8:8">
      <c r="H24131" s="680" t="s">
        <v>6153</v>
      </c>
    </row>
    <row r="24132" spans="8:8">
      <c r="H24132" s="680" t="s">
        <v>6153</v>
      </c>
    </row>
    <row r="24133" spans="8:8">
      <c r="H24133" s="680" t="s">
        <v>6153</v>
      </c>
    </row>
    <row r="24134" spans="8:8">
      <c r="H24134" s="680" t="s">
        <v>6153</v>
      </c>
    </row>
    <row r="24135" spans="8:8">
      <c r="H24135" s="680" t="s">
        <v>6153</v>
      </c>
    </row>
    <row r="24136" spans="8:8">
      <c r="H24136" s="680" t="s">
        <v>6153</v>
      </c>
    </row>
    <row r="24137" spans="8:8">
      <c r="H24137" s="680" t="s">
        <v>6153</v>
      </c>
    </row>
    <row r="24138" spans="8:8">
      <c r="H24138" s="680" t="s">
        <v>6153</v>
      </c>
    </row>
    <row r="24139" spans="8:8">
      <c r="H24139" s="680" t="s">
        <v>6153</v>
      </c>
    </row>
    <row r="24140" spans="8:8">
      <c r="H24140" s="680" t="s">
        <v>6153</v>
      </c>
    </row>
    <row r="24141" spans="8:8">
      <c r="H24141" s="680" t="s">
        <v>6153</v>
      </c>
    </row>
    <row r="24142" spans="8:8">
      <c r="H24142" s="680" t="s">
        <v>6153</v>
      </c>
    </row>
    <row r="24143" spans="8:8">
      <c r="H24143" s="680" t="s">
        <v>6153</v>
      </c>
    </row>
    <row r="24144" spans="8:8">
      <c r="H24144" s="680" t="s">
        <v>6153</v>
      </c>
    </row>
    <row r="24145" spans="8:8">
      <c r="H24145" s="680" t="s">
        <v>6153</v>
      </c>
    </row>
    <row r="24146" spans="8:8">
      <c r="H24146" s="680" t="s">
        <v>6153</v>
      </c>
    </row>
    <row r="24147" spans="8:8">
      <c r="H24147" s="680" t="s">
        <v>6153</v>
      </c>
    </row>
    <row r="24148" spans="8:8">
      <c r="H24148" s="680" t="s">
        <v>6153</v>
      </c>
    </row>
    <row r="24149" spans="8:8">
      <c r="H24149" s="680" t="s">
        <v>6153</v>
      </c>
    </row>
    <row r="24150" spans="8:8">
      <c r="H24150" s="680" t="s">
        <v>6153</v>
      </c>
    </row>
    <row r="24151" spans="8:8">
      <c r="H24151" s="680" t="s">
        <v>6153</v>
      </c>
    </row>
    <row r="24152" spans="8:8">
      <c r="H24152" s="680" t="s">
        <v>6153</v>
      </c>
    </row>
    <row r="24153" spans="8:8">
      <c r="H24153" s="680" t="s">
        <v>6153</v>
      </c>
    </row>
    <row r="24154" spans="8:8">
      <c r="H24154" s="680" t="s">
        <v>6153</v>
      </c>
    </row>
    <row r="24155" spans="8:8">
      <c r="H24155" s="680" t="s">
        <v>6153</v>
      </c>
    </row>
    <row r="24156" spans="8:8">
      <c r="H24156" s="680" t="s">
        <v>6153</v>
      </c>
    </row>
    <row r="24157" spans="8:8">
      <c r="H24157" s="680" t="s">
        <v>6153</v>
      </c>
    </row>
    <row r="24158" spans="8:8">
      <c r="H24158" s="680" t="s">
        <v>6153</v>
      </c>
    </row>
    <row r="24159" spans="8:8">
      <c r="H24159" s="680" t="s">
        <v>6153</v>
      </c>
    </row>
    <row r="24160" spans="8:8">
      <c r="H24160" s="680" t="s">
        <v>6153</v>
      </c>
    </row>
    <row r="24161" spans="8:8">
      <c r="H24161" s="680" t="s">
        <v>6153</v>
      </c>
    </row>
    <row r="24162" spans="8:8">
      <c r="H24162" s="680" t="s">
        <v>6153</v>
      </c>
    </row>
    <row r="24163" spans="8:8">
      <c r="H24163" s="680" t="s">
        <v>6153</v>
      </c>
    </row>
    <row r="24164" spans="8:8">
      <c r="H24164" s="680" t="s">
        <v>6153</v>
      </c>
    </row>
    <row r="24165" spans="8:8">
      <c r="H24165" s="680" t="s">
        <v>6153</v>
      </c>
    </row>
    <row r="24166" spans="8:8">
      <c r="H24166" s="680" t="s">
        <v>6153</v>
      </c>
    </row>
    <row r="24167" spans="8:8">
      <c r="H24167" s="680" t="s">
        <v>6153</v>
      </c>
    </row>
    <row r="24168" spans="8:8">
      <c r="H24168" s="680" t="s">
        <v>6153</v>
      </c>
    </row>
    <row r="24169" spans="8:8">
      <c r="H24169" s="680" t="s">
        <v>6153</v>
      </c>
    </row>
    <row r="24170" spans="8:8">
      <c r="H24170" s="680" t="s">
        <v>6153</v>
      </c>
    </row>
    <row r="24171" spans="8:8">
      <c r="H24171" s="680" t="s">
        <v>6153</v>
      </c>
    </row>
    <row r="24172" spans="8:8">
      <c r="H24172" s="680" t="s">
        <v>6153</v>
      </c>
    </row>
    <row r="24173" spans="8:8">
      <c r="H24173" s="680" t="s">
        <v>6153</v>
      </c>
    </row>
    <row r="24174" spans="8:8">
      <c r="H24174" s="680" t="s">
        <v>6153</v>
      </c>
    </row>
    <row r="24175" spans="8:8">
      <c r="H24175" s="680" t="s">
        <v>6153</v>
      </c>
    </row>
    <row r="24176" spans="8:8">
      <c r="H24176" s="680" t="s">
        <v>6153</v>
      </c>
    </row>
    <row r="24177" spans="8:8">
      <c r="H24177" s="680" t="s">
        <v>6153</v>
      </c>
    </row>
    <row r="24178" spans="8:8">
      <c r="H24178" s="680" t="s">
        <v>6153</v>
      </c>
    </row>
    <row r="24179" spans="8:8">
      <c r="H24179" s="680" t="s">
        <v>6153</v>
      </c>
    </row>
    <row r="24180" spans="8:8">
      <c r="H24180" s="680" t="s">
        <v>6153</v>
      </c>
    </row>
    <row r="24181" spans="8:8">
      <c r="H24181" s="680" t="s">
        <v>6153</v>
      </c>
    </row>
    <row r="24182" spans="8:8">
      <c r="H24182" s="680" t="s">
        <v>6153</v>
      </c>
    </row>
    <row r="24183" spans="8:8">
      <c r="H24183" s="680" t="s">
        <v>6153</v>
      </c>
    </row>
    <row r="24184" spans="8:8">
      <c r="H24184" s="680" t="s">
        <v>6153</v>
      </c>
    </row>
    <row r="24185" spans="8:8">
      <c r="H24185" s="680" t="s">
        <v>6153</v>
      </c>
    </row>
    <row r="24186" spans="8:8">
      <c r="H24186" s="680" t="s">
        <v>6153</v>
      </c>
    </row>
    <row r="24187" spans="8:8">
      <c r="H24187" s="680" t="s">
        <v>6153</v>
      </c>
    </row>
    <row r="24188" spans="8:8">
      <c r="H24188" s="680" t="s">
        <v>6153</v>
      </c>
    </row>
    <row r="24189" spans="8:8">
      <c r="H24189" s="680" t="s">
        <v>6153</v>
      </c>
    </row>
    <row r="24190" spans="8:8">
      <c r="H24190" s="680" t="s">
        <v>6153</v>
      </c>
    </row>
    <row r="24191" spans="8:8">
      <c r="H24191" s="680" t="s">
        <v>6153</v>
      </c>
    </row>
    <row r="24192" spans="8:8">
      <c r="H24192" s="680" t="s">
        <v>6153</v>
      </c>
    </row>
    <row r="24193" spans="8:8">
      <c r="H24193" s="680" t="s">
        <v>6153</v>
      </c>
    </row>
    <row r="24194" spans="8:8">
      <c r="H24194" s="680" t="s">
        <v>6153</v>
      </c>
    </row>
    <row r="24195" spans="8:8">
      <c r="H24195" s="680" t="s">
        <v>6153</v>
      </c>
    </row>
    <row r="24196" spans="8:8">
      <c r="H24196" s="680" t="s">
        <v>6153</v>
      </c>
    </row>
    <row r="24197" spans="8:8">
      <c r="H24197" s="680" t="s">
        <v>6153</v>
      </c>
    </row>
    <row r="24198" spans="8:8">
      <c r="H24198" s="680" t="s">
        <v>6153</v>
      </c>
    </row>
    <row r="24199" spans="8:8">
      <c r="H24199" s="680" t="s">
        <v>6153</v>
      </c>
    </row>
    <row r="24200" spans="8:8">
      <c r="H24200" s="680" t="s">
        <v>6153</v>
      </c>
    </row>
    <row r="24201" spans="8:8">
      <c r="H24201" s="680" t="s">
        <v>6153</v>
      </c>
    </row>
    <row r="24202" spans="8:8">
      <c r="H24202" s="680" t="s">
        <v>6153</v>
      </c>
    </row>
    <row r="24203" spans="8:8">
      <c r="H24203" s="680" t="s">
        <v>6153</v>
      </c>
    </row>
    <row r="24204" spans="8:8">
      <c r="H24204" s="680" t="s">
        <v>6153</v>
      </c>
    </row>
    <row r="24205" spans="8:8">
      <c r="H24205" s="680" t="s">
        <v>6153</v>
      </c>
    </row>
    <row r="24206" spans="8:8">
      <c r="H24206" s="680" t="s">
        <v>6153</v>
      </c>
    </row>
    <row r="24207" spans="8:8">
      <c r="H24207" s="680" t="s">
        <v>6153</v>
      </c>
    </row>
    <row r="24208" spans="8:8">
      <c r="H24208" s="680" t="s">
        <v>6153</v>
      </c>
    </row>
    <row r="24209" spans="8:8">
      <c r="H24209" s="680" t="s">
        <v>6153</v>
      </c>
    </row>
    <row r="24210" spans="8:8">
      <c r="H24210" s="680" t="s">
        <v>6153</v>
      </c>
    </row>
    <row r="24211" spans="8:8">
      <c r="H24211" s="680" t="s">
        <v>6153</v>
      </c>
    </row>
    <row r="24212" spans="8:8">
      <c r="H24212" s="680" t="s">
        <v>6153</v>
      </c>
    </row>
    <row r="24213" spans="8:8">
      <c r="H24213" s="680" t="s">
        <v>6153</v>
      </c>
    </row>
    <row r="24214" spans="8:8">
      <c r="H24214" s="680" t="s">
        <v>6153</v>
      </c>
    </row>
    <row r="24215" spans="8:8">
      <c r="H24215" s="680" t="s">
        <v>6153</v>
      </c>
    </row>
    <row r="24216" spans="8:8">
      <c r="H24216" s="680" t="s">
        <v>6153</v>
      </c>
    </row>
    <row r="24217" spans="8:8">
      <c r="H24217" s="680" t="s">
        <v>6153</v>
      </c>
    </row>
    <row r="24218" spans="8:8">
      <c r="H24218" s="680" t="s">
        <v>6153</v>
      </c>
    </row>
    <row r="24219" spans="8:8">
      <c r="H24219" s="680" t="s">
        <v>6153</v>
      </c>
    </row>
    <row r="24220" spans="8:8">
      <c r="H24220" s="680" t="s">
        <v>6153</v>
      </c>
    </row>
    <row r="24221" spans="8:8">
      <c r="H24221" s="680" t="s">
        <v>6153</v>
      </c>
    </row>
    <row r="24222" spans="8:8">
      <c r="H24222" s="680" t="s">
        <v>6153</v>
      </c>
    </row>
    <row r="24223" spans="8:8">
      <c r="H24223" s="680" t="s">
        <v>6153</v>
      </c>
    </row>
    <row r="24224" spans="8:8">
      <c r="H24224" s="680" t="s">
        <v>6153</v>
      </c>
    </row>
    <row r="24225" spans="8:8">
      <c r="H24225" s="680" t="s">
        <v>6153</v>
      </c>
    </row>
    <row r="24226" spans="8:8">
      <c r="H24226" s="680" t="s">
        <v>6153</v>
      </c>
    </row>
    <row r="24227" spans="8:8">
      <c r="H24227" s="680" t="s">
        <v>6153</v>
      </c>
    </row>
    <row r="24228" spans="8:8">
      <c r="H24228" s="680" t="s">
        <v>6153</v>
      </c>
    </row>
    <row r="24229" spans="8:8">
      <c r="H24229" s="680" t="s">
        <v>6153</v>
      </c>
    </row>
    <row r="24230" spans="8:8">
      <c r="H24230" s="680" t="s">
        <v>6153</v>
      </c>
    </row>
    <row r="24231" spans="8:8">
      <c r="H24231" s="680" t="s">
        <v>6153</v>
      </c>
    </row>
    <row r="24232" spans="8:8">
      <c r="H24232" s="680" t="s">
        <v>6153</v>
      </c>
    </row>
    <row r="24233" spans="8:8">
      <c r="H24233" s="680" t="s">
        <v>6153</v>
      </c>
    </row>
    <row r="24234" spans="8:8">
      <c r="H24234" s="680" t="s">
        <v>6153</v>
      </c>
    </row>
    <row r="24235" spans="8:8">
      <c r="H24235" s="680" t="s">
        <v>6153</v>
      </c>
    </row>
    <row r="24236" spans="8:8">
      <c r="H24236" s="680" t="s">
        <v>6153</v>
      </c>
    </row>
    <row r="24237" spans="8:8">
      <c r="H24237" s="680" t="s">
        <v>6153</v>
      </c>
    </row>
    <row r="24238" spans="8:8">
      <c r="H24238" s="680" t="s">
        <v>6153</v>
      </c>
    </row>
    <row r="24239" spans="8:8">
      <c r="H24239" s="680" t="s">
        <v>6153</v>
      </c>
    </row>
    <row r="24240" spans="8:8">
      <c r="H24240" s="680" t="s">
        <v>6153</v>
      </c>
    </row>
    <row r="24241" spans="8:8">
      <c r="H24241" s="680" t="s">
        <v>6153</v>
      </c>
    </row>
    <row r="24242" spans="8:8">
      <c r="H24242" s="680" t="s">
        <v>6153</v>
      </c>
    </row>
    <row r="24243" spans="8:8">
      <c r="H24243" s="680" t="s">
        <v>6153</v>
      </c>
    </row>
    <row r="24244" spans="8:8">
      <c r="H24244" s="680" t="s">
        <v>6153</v>
      </c>
    </row>
    <row r="24245" spans="8:8">
      <c r="H24245" s="680" t="s">
        <v>6153</v>
      </c>
    </row>
    <row r="24246" spans="8:8">
      <c r="H24246" s="680" t="s">
        <v>6153</v>
      </c>
    </row>
    <row r="24247" spans="8:8">
      <c r="H24247" s="680" t="s">
        <v>6153</v>
      </c>
    </row>
    <row r="24248" spans="8:8">
      <c r="H24248" s="680" t="s">
        <v>6153</v>
      </c>
    </row>
    <row r="24249" spans="8:8">
      <c r="H24249" s="680" t="s">
        <v>6153</v>
      </c>
    </row>
    <row r="24250" spans="8:8">
      <c r="H24250" s="680" t="s">
        <v>6153</v>
      </c>
    </row>
    <row r="24251" spans="8:8">
      <c r="H24251" s="680" t="s">
        <v>6153</v>
      </c>
    </row>
    <row r="24252" spans="8:8">
      <c r="H24252" s="680" t="s">
        <v>6153</v>
      </c>
    </row>
    <row r="24253" spans="8:8">
      <c r="H24253" s="680" t="s">
        <v>6153</v>
      </c>
    </row>
    <row r="24254" spans="8:8">
      <c r="H24254" s="680" t="s">
        <v>6153</v>
      </c>
    </row>
    <row r="24255" spans="8:8">
      <c r="H24255" s="680" t="s">
        <v>6153</v>
      </c>
    </row>
    <row r="24256" spans="8:8">
      <c r="H24256" s="680" t="s">
        <v>6153</v>
      </c>
    </row>
    <row r="24257" spans="8:8">
      <c r="H24257" s="680" t="s">
        <v>6153</v>
      </c>
    </row>
    <row r="24258" spans="8:8">
      <c r="H24258" s="680" t="s">
        <v>6153</v>
      </c>
    </row>
    <row r="24259" spans="8:8">
      <c r="H24259" s="680" t="s">
        <v>6153</v>
      </c>
    </row>
    <row r="24260" spans="8:8">
      <c r="H24260" s="680" t="s">
        <v>6153</v>
      </c>
    </row>
    <row r="24261" spans="8:8">
      <c r="H24261" s="680" t="s">
        <v>6153</v>
      </c>
    </row>
    <row r="24262" spans="8:8">
      <c r="H24262" s="680" t="s">
        <v>6153</v>
      </c>
    </row>
    <row r="24263" spans="8:8">
      <c r="H24263" s="680" t="s">
        <v>6153</v>
      </c>
    </row>
    <row r="24264" spans="8:8">
      <c r="H24264" s="680" t="s">
        <v>6153</v>
      </c>
    </row>
    <row r="24265" spans="8:8">
      <c r="H24265" s="680" t="s">
        <v>6153</v>
      </c>
    </row>
    <row r="24266" spans="8:8">
      <c r="H24266" s="680" t="s">
        <v>6153</v>
      </c>
    </row>
    <row r="24267" spans="8:8">
      <c r="H24267" s="680" t="s">
        <v>6153</v>
      </c>
    </row>
    <row r="24268" spans="8:8">
      <c r="H24268" s="680" t="s">
        <v>6153</v>
      </c>
    </row>
    <row r="24269" spans="8:8">
      <c r="H24269" s="680" t="s">
        <v>6153</v>
      </c>
    </row>
    <row r="24270" spans="8:8">
      <c r="H24270" s="680" t="s">
        <v>6153</v>
      </c>
    </row>
    <row r="24271" spans="8:8">
      <c r="H24271" s="680" t="s">
        <v>6153</v>
      </c>
    </row>
    <row r="24272" spans="8:8">
      <c r="H24272" s="680" t="s">
        <v>6153</v>
      </c>
    </row>
    <row r="24273" spans="8:8">
      <c r="H24273" s="680" t="s">
        <v>6153</v>
      </c>
    </row>
    <row r="24274" spans="8:8">
      <c r="H24274" s="680" t="s">
        <v>6153</v>
      </c>
    </row>
    <row r="24275" spans="8:8">
      <c r="H24275" s="680" t="s">
        <v>6153</v>
      </c>
    </row>
    <row r="24276" spans="8:8">
      <c r="H24276" s="680" t="s">
        <v>6153</v>
      </c>
    </row>
    <row r="24277" spans="8:8">
      <c r="H24277" s="680" t="s">
        <v>6153</v>
      </c>
    </row>
    <row r="24278" spans="8:8">
      <c r="H24278" s="680" t="s">
        <v>6153</v>
      </c>
    </row>
    <row r="24279" spans="8:8">
      <c r="H24279" s="680" t="s">
        <v>6153</v>
      </c>
    </row>
    <row r="24280" spans="8:8">
      <c r="H24280" s="680" t="s">
        <v>6153</v>
      </c>
    </row>
    <row r="24281" spans="8:8">
      <c r="H24281" s="680" t="s">
        <v>6153</v>
      </c>
    </row>
    <row r="24282" spans="8:8">
      <c r="H24282" s="680" t="s">
        <v>6153</v>
      </c>
    </row>
    <row r="24283" spans="8:8">
      <c r="H24283" s="680" t="s">
        <v>6153</v>
      </c>
    </row>
    <row r="24284" spans="8:8">
      <c r="H24284" s="680" t="s">
        <v>6153</v>
      </c>
    </row>
    <row r="24285" spans="8:8">
      <c r="H24285" s="680" t="s">
        <v>6153</v>
      </c>
    </row>
    <row r="24286" spans="8:8">
      <c r="H24286" s="680" t="s">
        <v>6153</v>
      </c>
    </row>
    <row r="24287" spans="8:8">
      <c r="H24287" s="680" t="s">
        <v>6153</v>
      </c>
    </row>
    <row r="24288" spans="8:8">
      <c r="H24288" s="680" t="s">
        <v>6153</v>
      </c>
    </row>
    <row r="24289" spans="8:8">
      <c r="H24289" s="680" t="s">
        <v>6153</v>
      </c>
    </row>
    <row r="24290" spans="8:8">
      <c r="H24290" s="680" t="s">
        <v>6153</v>
      </c>
    </row>
    <row r="24291" spans="8:8">
      <c r="H24291" s="680" t="s">
        <v>6153</v>
      </c>
    </row>
    <row r="24292" spans="8:8">
      <c r="H24292" s="680" t="s">
        <v>6153</v>
      </c>
    </row>
    <row r="24293" spans="8:8">
      <c r="H24293" s="680" t="s">
        <v>6153</v>
      </c>
    </row>
    <row r="24294" spans="8:8">
      <c r="H24294" s="680" t="s">
        <v>6153</v>
      </c>
    </row>
    <row r="24295" spans="8:8">
      <c r="H24295" s="680" t="s">
        <v>6153</v>
      </c>
    </row>
    <row r="24296" spans="8:8">
      <c r="H24296" s="680" t="s">
        <v>6153</v>
      </c>
    </row>
    <row r="24297" spans="8:8">
      <c r="H24297" s="680" t="s">
        <v>6153</v>
      </c>
    </row>
    <row r="24298" spans="8:8">
      <c r="H24298" s="680" t="s">
        <v>6153</v>
      </c>
    </row>
    <row r="24299" spans="8:8">
      <c r="H24299" s="680" t="s">
        <v>6153</v>
      </c>
    </row>
    <row r="24300" spans="8:8">
      <c r="H24300" s="680" t="s">
        <v>6153</v>
      </c>
    </row>
    <row r="24301" spans="8:8">
      <c r="H24301" s="680" t="s">
        <v>6153</v>
      </c>
    </row>
    <row r="24302" spans="8:8">
      <c r="H24302" s="680" t="s">
        <v>6153</v>
      </c>
    </row>
    <row r="24303" spans="8:8">
      <c r="H24303" s="680" t="s">
        <v>6153</v>
      </c>
    </row>
    <row r="24304" spans="8:8">
      <c r="H24304" s="680" t="s">
        <v>6153</v>
      </c>
    </row>
    <row r="24305" spans="8:8">
      <c r="H24305" s="680" t="s">
        <v>6153</v>
      </c>
    </row>
    <row r="24306" spans="8:8">
      <c r="H24306" s="680" t="s">
        <v>6153</v>
      </c>
    </row>
    <row r="24307" spans="8:8">
      <c r="H24307" s="680" t="s">
        <v>6153</v>
      </c>
    </row>
    <row r="24308" spans="8:8">
      <c r="H24308" s="680" t="s">
        <v>6153</v>
      </c>
    </row>
    <row r="24309" spans="8:8">
      <c r="H24309" s="680" t="s">
        <v>6153</v>
      </c>
    </row>
    <row r="24310" spans="8:8">
      <c r="H24310" s="680" t="s">
        <v>6153</v>
      </c>
    </row>
    <row r="24311" spans="8:8">
      <c r="H24311" s="680" t="s">
        <v>6153</v>
      </c>
    </row>
    <row r="24312" spans="8:8">
      <c r="H24312" s="680" t="s">
        <v>6153</v>
      </c>
    </row>
    <row r="24313" spans="8:8">
      <c r="H24313" s="680" t="s">
        <v>6153</v>
      </c>
    </row>
    <row r="24314" spans="8:8">
      <c r="H24314" s="680" t="s">
        <v>6153</v>
      </c>
    </row>
    <row r="24315" spans="8:8">
      <c r="H24315" s="680" t="s">
        <v>6153</v>
      </c>
    </row>
    <row r="24316" spans="8:8">
      <c r="H24316" s="680" t="s">
        <v>6153</v>
      </c>
    </row>
    <row r="24317" spans="8:8">
      <c r="H24317" s="680" t="s">
        <v>6153</v>
      </c>
    </row>
    <row r="24318" spans="8:8">
      <c r="H24318" s="680" t="s">
        <v>6153</v>
      </c>
    </row>
    <row r="24319" spans="8:8">
      <c r="H24319" s="680" t="s">
        <v>6153</v>
      </c>
    </row>
    <row r="24320" spans="8:8">
      <c r="H24320" s="680" t="s">
        <v>6153</v>
      </c>
    </row>
    <row r="24321" spans="8:8">
      <c r="H24321" s="680" t="s">
        <v>6153</v>
      </c>
    </row>
    <row r="24322" spans="8:8">
      <c r="H24322" s="680" t="s">
        <v>6153</v>
      </c>
    </row>
    <row r="24323" spans="8:8">
      <c r="H24323" s="680" t="s">
        <v>6153</v>
      </c>
    </row>
    <row r="24324" spans="8:8">
      <c r="H24324" s="680" t="s">
        <v>6153</v>
      </c>
    </row>
    <row r="24325" spans="8:8">
      <c r="H24325" s="680" t="s">
        <v>6153</v>
      </c>
    </row>
    <row r="24326" spans="8:8">
      <c r="H24326" s="680" t="s">
        <v>6153</v>
      </c>
    </row>
    <row r="24327" spans="8:8">
      <c r="H24327" s="680" t="s">
        <v>6153</v>
      </c>
    </row>
    <row r="24328" spans="8:8">
      <c r="H24328" s="680" t="s">
        <v>6153</v>
      </c>
    </row>
    <row r="24329" spans="8:8">
      <c r="H24329" s="680" t="s">
        <v>6153</v>
      </c>
    </row>
    <row r="24330" spans="8:8">
      <c r="H24330" s="680" t="s">
        <v>6153</v>
      </c>
    </row>
    <row r="24331" spans="8:8">
      <c r="H24331" s="680" t="s">
        <v>6153</v>
      </c>
    </row>
    <row r="24332" spans="8:8">
      <c r="H24332" s="680" t="s">
        <v>6153</v>
      </c>
    </row>
    <row r="24333" spans="8:8">
      <c r="H24333" s="680" t="s">
        <v>6153</v>
      </c>
    </row>
    <row r="24334" spans="8:8">
      <c r="H24334" s="680" t="s">
        <v>6153</v>
      </c>
    </row>
    <row r="24335" spans="8:8">
      <c r="H24335" s="680" t="s">
        <v>6153</v>
      </c>
    </row>
    <row r="24336" spans="8:8">
      <c r="H24336" s="680" t="s">
        <v>6153</v>
      </c>
    </row>
    <row r="24337" spans="8:8">
      <c r="H24337" s="680" t="s">
        <v>6153</v>
      </c>
    </row>
    <row r="24338" spans="8:8">
      <c r="H24338" s="680" t="s">
        <v>6153</v>
      </c>
    </row>
    <row r="24339" spans="8:8">
      <c r="H24339" s="680" t="s">
        <v>6153</v>
      </c>
    </row>
    <row r="24340" spans="8:8">
      <c r="H24340" s="680" t="s">
        <v>6153</v>
      </c>
    </row>
    <row r="24341" spans="8:8">
      <c r="H24341" s="680" t="s">
        <v>6153</v>
      </c>
    </row>
    <row r="24342" spans="8:8">
      <c r="H24342" s="680" t="s">
        <v>6153</v>
      </c>
    </row>
    <row r="24343" spans="8:8">
      <c r="H24343" s="680" t="s">
        <v>6153</v>
      </c>
    </row>
    <row r="24344" spans="8:8">
      <c r="H24344" s="680" t="s">
        <v>6153</v>
      </c>
    </row>
    <row r="24345" spans="8:8">
      <c r="H24345" s="680" t="s">
        <v>6153</v>
      </c>
    </row>
    <row r="24346" spans="8:8">
      <c r="H24346" s="680" t="s">
        <v>6153</v>
      </c>
    </row>
    <row r="24347" spans="8:8">
      <c r="H24347" s="680" t="s">
        <v>6153</v>
      </c>
    </row>
    <row r="24348" spans="8:8">
      <c r="H24348" s="680" t="s">
        <v>6153</v>
      </c>
    </row>
    <row r="24349" spans="8:8">
      <c r="H24349" s="680" t="s">
        <v>6153</v>
      </c>
    </row>
    <row r="24350" spans="8:8">
      <c r="H24350" s="680" t="s">
        <v>6153</v>
      </c>
    </row>
    <row r="24351" spans="8:8">
      <c r="H24351" s="680" t="s">
        <v>6153</v>
      </c>
    </row>
    <row r="24352" spans="8:8">
      <c r="H24352" s="680" t="s">
        <v>6153</v>
      </c>
    </row>
    <row r="24353" spans="8:8">
      <c r="H24353" s="680" t="s">
        <v>6153</v>
      </c>
    </row>
    <row r="24354" spans="8:8">
      <c r="H24354" s="680" t="s">
        <v>6153</v>
      </c>
    </row>
    <row r="24355" spans="8:8">
      <c r="H24355" s="680" t="s">
        <v>6153</v>
      </c>
    </row>
    <row r="24356" spans="8:8">
      <c r="H24356" s="680" t="s">
        <v>6153</v>
      </c>
    </row>
    <row r="24357" spans="8:8">
      <c r="H24357" s="680" t="s">
        <v>6153</v>
      </c>
    </row>
    <row r="24358" spans="8:8">
      <c r="H24358" s="680" t="s">
        <v>6153</v>
      </c>
    </row>
    <row r="24359" spans="8:8">
      <c r="H24359" s="680" t="s">
        <v>6153</v>
      </c>
    </row>
    <row r="24360" spans="8:8">
      <c r="H24360" s="680" t="s">
        <v>6153</v>
      </c>
    </row>
    <row r="24361" spans="8:8">
      <c r="H24361" s="680" t="s">
        <v>6153</v>
      </c>
    </row>
    <row r="24362" spans="8:8">
      <c r="H24362" s="680" t="s">
        <v>6153</v>
      </c>
    </row>
    <row r="24363" spans="8:8">
      <c r="H24363" s="680" t="s">
        <v>6153</v>
      </c>
    </row>
    <row r="24364" spans="8:8">
      <c r="H24364" s="680" t="s">
        <v>6153</v>
      </c>
    </row>
    <row r="24365" spans="8:8">
      <c r="H24365" s="680" t="s">
        <v>6153</v>
      </c>
    </row>
    <row r="24366" spans="8:8">
      <c r="H24366" s="680" t="s">
        <v>6153</v>
      </c>
    </row>
    <row r="24367" spans="8:8">
      <c r="H24367" s="680" t="s">
        <v>6153</v>
      </c>
    </row>
    <row r="24368" spans="8:8">
      <c r="H24368" s="680" t="s">
        <v>6153</v>
      </c>
    </row>
    <row r="24369" spans="8:8">
      <c r="H24369" s="680" t="s">
        <v>6153</v>
      </c>
    </row>
    <row r="24370" spans="8:8">
      <c r="H24370" s="680" t="s">
        <v>6153</v>
      </c>
    </row>
    <row r="24371" spans="8:8">
      <c r="H24371" s="680" t="s">
        <v>6153</v>
      </c>
    </row>
    <row r="24372" spans="8:8">
      <c r="H24372" s="680" t="s">
        <v>6153</v>
      </c>
    </row>
    <row r="24373" spans="8:8">
      <c r="H24373" s="680" t="s">
        <v>6153</v>
      </c>
    </row>
    <row r="24374" spans="8:8">
      <c r="H24374" s="680" t="s">
        <v>6153</v>
      </c>
    </row>
    <row r="24375" spans="8:8">
      <c r="H24375" s="680" t="s">
        <v>6153</v>
      </c>
    </row>
    <row r="24376" spans="8:8">
      <c r="H24376" s="680" t="s">
        <v>6153</v>
      </c>
    </row>
    <row r="24377" spans="8:8">
      <c r="H24377" s="680" t="s">
        <v>6153</v>
      </c>
    </row>
    <row r="24378" spans="8:8">
      <c r="H24378" s="680" t="s">
        <v>6153</v>
      </c>
    </row>
    <row r="24379" spans="8:8">
      <c r="H24379" s="680" t="s">
        <v>6153</v>
      </c>
    </row>
    <row r="24380" spans="8:8">
      <c r="H24380" s="680" t="s">
        <v>6153</v>
      </c>
    </row>
    <row r="24381" spans="8:8">
      <c r="H24381" s="680" t="s">
        <v>6153</v>
      </c>
    </row>
    <row r="24382" spans="8:8">
      <c r="H24382" s="680" t="s">
        <v>6153</v>
      </c>
    </row>
    <row r="24383" spans="8:8">
      <c r="H24383" s="680" t="s">
        <v>6153</v>
      </c>
    </row>
    <row r="24384" spans="8:8">
      <c r="H24384" s="680" t="s">
        <v>6153</v>
      </c>
    </row>
    <row r="24385" spans="8:8">
      <c r="H24385" s="680" t="s">
        <v>6153</v>
      </c>
    </row>
    <row r="24386" spans="8:8">
      <c r="H24386" s="680" t="s">
        <v>6153</v>
      </c>
    </row>
    <row r="24387" spans="8:8">
      <c r="H24387" s="680" t="s">
        <v>6153</v>
      </c>
    </row>
    <row r="24388" spans="8:8">
      <c r="H24388" s="680" t="s">
        <v>6153</v>
      </c>
    </row>
    <row r="24389" spans="8:8">
      <c r="H24389" s="680" t="s">
        <v>6153</v>
      </c>
    </row>
    <row r="24390" spans="8:8">
      <c r="H24390" s="680" t="s">
        <v>6153</v>
      </c>
    </row>
    <row r="24391" spans="8:8">
      <c r="H24391" s="680" t="s">
        <v>6153</v>
      </c>
    </row>
    <row r="24392" spans="8:8">
      <c r="H24392" s="680" t="s">
        <v>6153</v>
      </c>
    </row>
    <row r="24393" spans="8:8">
      <c r="H24393" s="680" t="s">
        <v>6153</v>
      </c>
    </row>
    <row r="24394" spans="8:8">
      <c r="H24394" s="680" t="s">
        <v>6153</v>
      </c>
    </row>
    <row r="24395" spans="8:8">
      <c r="H24395" s="680" t="s">
        <v>6153</v>
      </c>
    </row>
    <row r="24396" spans="8:8">
      <c r="H24396" s="680" t="s">
        <v>6153</v>
      </c>
    </row>
    <row r="24397" spans="8:8">
      <c r="H24397" s="680" t="s">
        <v>6153</v>
      </c>
    </row>
    <row r="24398" spans="8:8">
      <c r="H24398" s="680" t="s">
        <v>6153</v>
      </c>
    </row>
    <row r="24399" spans="8:8">
      <c r="H24399" s="680" t="s">
        <v>6153</v>
      </c>
    </row>
    <row r="24400" spans="8:8">
      <c r="H24400" s="680" t="s">
        <v>6153</v>
      </c>
    </row>
    <row r="24401" spans="8:8">
      <c r="H24401" s="680" t="s">
        <v>6153</v>
      </c>
    </row>
    <row r="24402" spans="8:8">
      <c r="H24402" s="680" t="s">
        <v>6153</v>
      </c>
    </row>
    <row r="24403" spans="8:8">
      <c r="H24403" s="680" t="s">
        <v>6153</v>
      </c>
    </row>
    <row r="24404" spans="8:8">
      <c r="H24404" s="680" t="s">
        <v>6153</v>
      </c>
    </row>
    <row r="24405" spans="8:8">
      <c r="H24405" s="680" t="s">
        <v>6153</v>
      </c>
    </row>
    <row r="24406" spans="8:8">
      <c r="H24406" s="680" t="s">
        <v>6153</v>
      </c>
    </row>
    <row r="24407" spans="8:8">
      <c r="H24407" s="680" t="s">
        <v>6153</v>
      </c>
    </row>
    <row r="24408" spans="8:8">
      <c r="H24408" s="680" t="s">
        <v>6153</v>
      </c>
    </row>
    <row r="24409" spans="8:8">
      <c r="H24409" s="680" t="s">
        <v>6153</v>
      </c>
    </row>
    <row r="24410" spans="8:8">
      <c r="H24410" s="680" t="s">
        <v>6153</v>
      </c>
    </row>
    <row r="24411" spans="8:8">
      <c r="H24411" s="680" t="s">
        <v>6153</v>
      </c>
    </row>
    <row r="24412" spans="8:8">
      <c r="H24412" s="680" t="s">
        <v>6153</v>
      </c>
    </row>
    <row r="24413" spans="8:8">
      <c r="H24413" s="680" t="s">
        <v>6153</v>
      </c>
    </row>
    <row r="24414" spans="8:8">
      <c r="H24414" s="680" t="s">
        <v>6153</v>
      </c>
    </row>
    <row r="24415" spans="8:8">
      <c r="H24415" s="680" t="s">
        <v>6153</v>
      </c>
    </row>
    <row r="24416" spans="8:8">
      <c r="H24416" s="680" t="s">
        <v>6153</v>
      </c>
    </row>
    <row r="24417" spans="8:8">
      <c r="H24417" s="680" t="s">
        <v>6153</v>
      </c>
    </row>
    <row r="24418" spans="8:8">
      <c r="H24418" s="680" t="s">
        <v>6153</v>
      </c>
    </row>
    <row r="24419" spans="8:8">
      <c r="H24419" s="680" t="s">
        <v>6153</v>
      </c>
    </row>
    <row r="24420" spans="8:8">
      <c r="H24420" s="680" t="s">
        <v>6153</v>
      </c>
    </row>
    <row r="24421" spans="8:8">
      <c r="H24421" s="680" t="s">
        <v>6153</v>
      </c>
    </row>
    <row r="24422" spans="8:8">
      <c r="H24422" s="680" t="s">
        <v>6153</v>
      </c>
    </row>
    <row r="24423" spans="8:8">
      <c r="H24423" s="680" t="s">
        <v>6153</v>
      </c>
    </row>
    <row r="24424" spans="8:8">
      <c r="H24424" s="680" t="s">
        <v>6153</v>
      </c>
    </row>
    <row r="24425" spans="8:8">
      <c r="H24425" s="680" t="s">
        <v>6153</v>
      </c>
    </row>
    <row r="24426" spans="8:8">
      <c r="H24426" s="680" t="s">
        <v>6153</v>
      </c>
    </row>
    <row r="24427" spans="8:8">
      <c r="H24427" s="680" t="s">
        <v>6153</v>
      </c>
    </row>
    <row r="24428" spans="8:8">
      <c r="H24428" s="680" t="s">
        <v>6153</v>
      </c>
    </row>
    <row r="24429" spans="8:8">
      <c r="H24429" s="680" t="s">
        <v>6153</v>
      </c>
    </row>
    <row r="24430" spans="8:8">
      <c r="H24430" s="680" t="s">
        <v>6153</v>
      </c>
    </row>
    <row r="24431" spans="8:8">
      <c r="H24431" s="680" t="s">
        <v>6153</v>
      </c>
    </row>
    <row r="24432" spans="8:8">
      <c r="H24432" s="680" t="s">
        <v>6153</v>
      </c>
    </row>
    <row r="24433" spans="8:8">
      <c r="H24433" s="680" t="s">
        <v>6153</v>
      </c>
    </row>
    <row r="24434" spans="8:8">
      <c r="H24434" s="680" t="s">
        <v>6153</v>
      </c>
    </row>
    <row r="24435" spans="8:8">
      <c r="H24435" s="680" t="s">
        <v>6153</v>
      </c>
    </row>
    <row r="24436" spans="8:8">
      <c r="H24436" s="680" t="s">
        <v>6153</v>
      </c>
    </row>
    <row r="24437" spans="8:8">
      <c r="H24437" s="680" t="s">
        <v>6153</v>
      </c>
    </row>
    <row r="24438" spans="8:8">
      <c r="H24438" s="680" t="s">
        <v>6153</v>
      </c>
    </row>
    <row r="24439" spans="8:8">
      <c r="H24439" s="680" t="s">
        <v>6153</v>
      </c>
    </row>
    <row r="24440" spans="8:8">
      <c r="H24440" s="680" t="s">
        <v>6153</v>
      </c>
    </row>
    <row r="24441" spans="8:8">
      <c r="H24441" s="680" t="s">
        <v>6153</v>
      </c>
    </row>
    <row r="24442" spans="8:8">
      <c r="H24442" s="680" t="s">
        <v>6153</v>
      </c>
    </row>
    <row r="24443" spans="8:8">
      <c r="H24443" s="680" t="s">
        <v>6153</v>
      </c>
    </row>
    <row r="24444" spans="8:8">
      <c r="H24444" s="680" t="s">
        <v>6153</v>
      </c>
    </row>
    <row r="24445" spans="8:8">
      <c r="H24445" s="680" t="s">
        <v>6153</v>
      </c>
    </row>
    <row r="24446" spans="8:8">
      <c r="H24446" s="680" t="s">
        <v>6153</v>
      </c>
    </row>
    <row r="24447" spans="8:8">
      <c r="H24447" s="680" t="s">
        <v>6153</v>
      </c>
    </row>
    <row r="24448" spans="8:8">
      <c r="H24448" s="680" t="s">
        <v>6153</v>
      </c>
    </row>
    <row r="24449" spans="8:8">
      <c r="H24449" s="680" t="s">
        <v>6153</v>
      </c>
    </row>
    <row r="24450" spans="8:8">
      <c r="H24450" s="680" t="s">
        <v>6153</v>
      </c>
    </row>
    <row r="24451" spans="8:8">
      <c r="H24451" s="680" t="s">
        <v>6153</v>
      </c>
    </row>
    <row r="24452" spans="8:8">
      <c r="H24452" s="680" t="s">
        <v>6153</v>
      </c>
    </row>
    <row r="24453" spans="8:8">
      <c r="H24453" s="680" t="s">
        <v>6153</v>
      </c>
    </row>
    <row r="24454" spans="8:8">
      <c r="H24454" s="680" t="s">
        <v>6153</v>
      </c>
    </row>
    <row r="24455" spans="8:8">
      <c r="H24455" s="680" t="s">
        <v>6153</v>
      </c>
    </row>
    <row r="24456" spans="8:8">
      <c r="H24456" s="680" t="s">
        <v>6153</v>
      </c>
    </row>
    <row r="24457" spans="8:8">
      <c r="H24457" s="680" t="s">
        <v>6153</v>
      </c>
    </row>
    <row r="24458" spans="8:8">
      <c r="H24458" s="680" t="s">
        <v>6153</v>
      </c>
    </row>
    <row r="24459" spans="8:8">
      <c r="H24459" s="680" t="s">
        <v>6153</v>
      </c>
    </row>
    <row r="24460" spans="8:8">
      <c r="H24460" s="680" t="s">
        <v>6153</v>
      </c>
    </row>
    <row r="24461" spans="8:8">
      <c r="H24461" s="680" t="s">
        <v>6153</v>
      </c>
    </row>
    <row r="24462" spans="8:8">
      <c r="H24462" s="680" t="s">
        <v>6153</v>
      </c>
    </row>
    <row r="24463" spans="8:8">
      <c r="H24463" s="680" t="s">
        <v>6153</v>
      </c>
    </row>
    <row r="24464" spans="8:8">
      <c r="H24464" s="680" t="s">
        <v>6153</v>
      </c>
    </row>
    <row r="24465" spans="8:8">
      <c r="H24465" s="680" t="s">
        <v>6153</v>
      </c>
    </row>
    <row r="24466" spans="8:8">
      <c r="H24466" s="680" t="s">
        <v>6153</v>
      </c>
    </row>
    <row r="24467" spans="8:8">
      <c r="H24467" s="680" t="s">
        <v>6153</v>
      </c>
    </row>
    <row r="24468" spans="8:8">
      <c r="H24468" s="680" t="s">
        <v>6153</v>
      </c>
    </row>
    <row r="24469" spans="8:8">
      <c r="H24469" s="680" t="s">
        <v>6153</v>
      </c>
    </row>
    <row r="24470" spans="8:8">
      <c r="H24470" s="680" t="s">
        <v>6153</v>
      </c>
    </row>
    <row r="24471" spans="8:8">
      <c r="H24471" s="680" t="s">
        <v>6153</v>
      </c>
    </row>
    <row r="24472" spans="8:8">
      <c r="H24472" s="680" t="s">
        <v>6153</v>
      </c>
    </row>
    <row r="24473" spans="8:8">
      <c r="H24473" s="680" t="s">
        <v>6153</v>
      </c>
    </row>
    <row r="24474" spans="8:8">
      <c r="H24474" s="680" t="s">
        <v>6153</v>
      </c>
    </row>
    <row r="24475" spans="8:8">
      <c r="H24475" s="680" t="s">
        <v>6153</v>
      </c>
    </row>
    <row r="24476" spans="8:8">
      <c r="H24476" s="680" t="s">
        <v>6153</v>
      </c>
    </row>
    <row r="24477" spans="8:8">
      <c r="H24477" s="680" t="s">
        <v>6153</v>
      </c>
    </row>
    <row r="24478" spans="8:8">
      <c r="H24478" s="680" t="s">
        <v>6153</v>
      </c>
    </row>
    <row r="24479" spans="8:8">
      <c r="H24479" s="680" t="s">
        <v>6153</v>
      </c>
    </row>
    <row r="24480" spans="8:8">
      <c r="H24480" s="680" t="s">
        <v>6153</v>
      </c>
    </row>
    <row r="24481" spans="8:8">
      <c r="H24481" s="680" t="s">
        <v>6153</v>
      </c>
    </row>
    <row r="24482" spans="8:8">
      <c r="H24482" s="680" t="s">
        <v>6153</v>
      </c>
    </row>
    <row r="24483" spans="8:8">
      <c r="H24483" s="680" t="s">
        <v>6153</v>
      </c>
    </row>
    <row r="24484" spans="8:8">
      <c r="H24484" s="680" t="s">
        <v>6153</v>
      </c>
    </row>
    <row r="24485" spans="8:8">
      <c r="H24485" s="680" t="s">
        <v>6153</v>
      </c>
    </row>
    <row r="24486" spans="8:8">
      <c r="H24486" s="680" t="s">
        <v>6153</v>
      </c>
    </row>
    <row r="24487" spans="8:8">
      <c r="H24487" s="680" t="s">
        <v>6153</v>
      </c>
    </row>
    <row r="24488" spans="8:8">
      <c r="H24488" s="680" t="s">
        <v>6153</v>
      </c>
    </row>
    <row r="24489" spans="8:8">
      <c r="H24489" s="680" t="s">
        <v>6153</v>
      </c>
    </row>
    <row r="24490" spans="8:8">
      <c r="H24490" s="680" t="s">
        <v>6153</v>
      </c>
    </row>
    <row r="24491" spans="8:8">
      <c r="H24491" s="680" t="s">
        <v>6153</v>
      </c>
    </row>
    <row r="24492" spans="8:8">
      <c r="H24492" s="680" t="s">
        <v>6153</v>
      </c>
    </row>
    <row r="24493" spans="8:8">
      <c r="H24493" s="680" t="s">
        <v>6153</v>
      </c>
    </row>
    <row r="24494" spans="8:8">
      <c r="H24494" s="680" t="s">
        <v>6153</v>
      </c>
    </row>
    <row r="24495" spans="8:8">
      <c r="H24495" s="680" t="s">
        <v>6153</v>
      </c>
    </row>
    <row r="24496" spans="8:8">
      <c r="H24496" s="680" t="s">
        <v>6153</v>
      </c>
    </row>
    <row r="24497" spans="8:8">
      <c r="H24497" s="680" t="s">
        <v>6153</v>
      </c>
    </row>
    <row r="24498" spans="8:8">
      <c r="H24498" s="680" t="s">
        <v>6153</v>
      </c>
    </row>
    <row r="24499" spans="8:8">
      <c r="H24499" s="680" t="s">
        <v>6153</v>
      </c>
    </row>
    <row r="24500" spans="8:8">
      <c r="H24500" s="680" t="s">
        <v>6153</v>
      </c>
    </row>
    <row r="24501" spans="8:8">
      <c r="H24501" s="680" t="s">
        <v>6153</v>
      </c>
    </row>
    <row r="24502" spans="8:8">
      <c r="H24502" s="680" t="s">
        <v>6153</v>
      </c>
    </row>
    <row r="24503" spans="8:8">
      <c r="H24503" s="680" t="s">
        <v>6153</v>
      </c>
    </row>
    <row r="24504" spans="8:8">
      <c r="H24504" s="680" t="s">
        <v>6153</v>
      </c>
    </row>
    <row r="24505" spans="8:8">
      <c r="H24505" s="680" t="s">
        <v>6153</v>
      </c>
    </row>
    <row r="24506" spans="8:8">
      <c r="H24506" s="680" t="s">
        <v>6153</v>
      </c>
    </row>
    <row r="24507" spans="8:8">
      <c r="H24507" s="680" t="s">
        <v>6153</v>
      </c>
    </row>
    <row r="24508" spans="8:8">
      <c r="H24508" s="680" t="s">
        <v>6153</v>
      </c>
    </row>
    <row r="24509" spans="8:8">
      <c r="H24509" s="680" t="s">
        <v>6153</v>
      </c>
    </row>
    <row r="24510" spans="8:8">
      <c r="H24510" s="680" t="s">
        <v>6153</v>
      </c>
    </row>
    <row r="24511" spans="8:8">
      <c r="H24511" s="680" t="s">
        <v>6153</v>
      </c>
    </row>
    <row r="24512" spans="8:8">
      <c r="H24512" s="680" t="s">
        <v>6153</v>
      </c>
    </row>
    <row r="24513" spans="8:8">
      <c r="H24513" s="680" t="s">
        <v>6153</v>
      </c>
    </row>
    <row r="24514" spans="8:8">
      <c r="H24514" s="680" t="s">
        <v>6153</v>
      </c>
    </row>
    <row r="24515" spans="8:8">
      <c r="H24515" s="680" t="s">
        <v>6153</v>
      </c>
    </row>
    <row r="24516" spans="8:8">
      <c r="H24516" s="680" t="s">
        <v>6153</v>
      </c>
    </row>
    <row r="24517" spans="8:8">
      <c r="H24517" s="680" t="s">
        <v>6153</v>
      </c>
    </row>
    <row r="24518" spans="8:8">
      <c r="H24518" s="680" t="s">
        <v>6153</v>
      </c>
    </row>
    <row r="24519" spans="8:8">
      <c r="H24519" s="680" t="s">
        <v>6153</v>
      </c>
    </row>
    <row r="24520" spans="8:8">
      <c r="H24520" s="680" t="s">
        <v>6153</v>
      </c>
    </row>
    <row r="24521" spans="8:8">
      <c r="H24521" s="680" t="s">
        <v>6153</v>
      </c>
    </row>
    <row r="24522" spans="8:8">
      <c r="H24522" s="680" t="s">
        <v>6153</v>
      </c>
    </row>
    <row r="24523" spans="8:8">
      <c r="H24523" s="680" t="s">
        <v>6153</v>
      </c>
    </row>
    <row r="24524" spans="8:8">
      <c r="H24524" s="680" t="s">
        <v>6153</v>
      </c>
    </row>
    <row r="24525" spans="8:8">
      <c r="H24525" s="680" t="s">
        <v>6153</v>
      </c>
    </row>
    <row r="24526" spans="8:8">
      <c r="H24526" s="680" t="s">
        <v>6153</v>
      </c>
    </row>
    <row r="24527" spans="8:8">
      <c r="H24527" s="680" t="s">
        <v>6153</v>
      </c>
    </row>
    <row r="24528" spans="8:8">
      <c r="H24528" s="680" t="s">
        <v>6153</v>
      </c>
    </row>
    <row r="24529" spans="8:8">
      <c r="H24529" s="680" t="s">
        <v>6153</v>
      </c>
    </row>
    <row r="24530" spans="8:8">
      <c r="H24530" s="680" t="s">
        <v>6153</v>
      </c>
    </row>
    <row r="24531" spans="8:8">
      <c r="H24531" s="680" t="s">
        <v>6153</v>
      </c>
    </row>
    <row r="24532" spans="8:8">
      <c r="H24532" s="680" t="s">
        <v>6153</v>
      </c>
    </row>
    <row r="24533" spans="8:8">
      <c r="H24533" s="680" t="s">
        <v>6153</v>
      </c>
    </row>
    <row r="24534" spans="8:8">
      <c r="H24534" s="680" t="s">
        <v>6153</v>
      </c>
    </row>
    <row r="24535" spans="8:8">
      <c r="H24535" s="680" t="s">
        <v>6153</v>
      </c>
    </row>
    <row r="24536" spans="8:8">
      <c r="H24536" s="680" t="s">
        <v>6153</v>
      </c>
    </row>
    <row r="24537" spans="8:8">
      <c r="H24537" s="680" t="s">
        <v>6153</v>
      </c>
    </row>
    <row r="24538" spans="8:8">
      <c r="H24538" s="680" t="s">
        <v>6153</v>
      </c>
    </row>
    <row r="24539" spans="8:8">
      <c r="H24539" s="680" t="s">
        <v>6153</v>
      </c>
    </row>
    <row r="24540" spans="8:8">
      <c r="H24540" s="680" t="s">
        <v>6153</v>
      </c>
    </row>
    <row r="24541" spans="8:8">
      <c r="H24541" s="680" t="s">
        <v>6153</v>
      </c>
    </row>
    <row r="24542" spans="8:8">
      <c r="H24542" s="680" t="s">
        <v>6153</v>
      </c>
    </row>
    <row r="24543" spans="8:8">
      <c r="H24543" s="680" t="s">
        <v>6153</v>
      </c>
    </row>
    <row r="24544" spans="8:8">
      <c r="H24544" s="680" t="s">
        <v>6153</v>
      </c>
    </row>
    <row r="24545" spans="8:8">
      <c r="H24545" s="680" t="s">
        <v>6153</v>
      </c>
    </row>
    <row r="24546" spans="8:8">
      <c r="H24546" s="680" t="s">
        <v>6153</v>
      </c>
    </row>
    <row r="24547" spans="8:8">
      <c r="H24547" s="680" t="s">
        <v>6153</v>
      </c>
    </row>
    <row r="24548" spans="8:8">
      <c r="H24548" s="680" t="s">
        <v>6153</v>
      </c>
    </row>
    <row r="24549" spans="8:8">
      <c r="H24549" s="680" t="s">
        <v>6153</v>
      </c>
    </row>
    <row r="24550" spans="8:8">
      <c r="H24550" s="680" t="s">
        <v>6153</v>
      </c>
    </row>
    <row r="24551" spans="8:8">
      <c r="H24551" s="680" t="s">
        <v>6153</v>
      </c>
    </row>
    <row r="24552" spans="8:8">
      <c r="H24552" s="680" t="s">
        <v>6153</v>
      </c>
    </row>
    <row r="24553" spans="8:8">
      <c r="H24553" s="680" t="s">
        <v>6153</v>
      </c>
    </row>
    <row r="24554" spans="8:8">
      <c r="H24554" s="680" t="s">
        <v>6153</v>
      </c>
    </row>
    <row r="24555" spans="8:8">
      <c r="H24555" s="680" t="s">
        <v>6153</v>
      </c>
    </row>
    <row r="24556" spans="8:8">
      <c r="H24556" s="680" t="s">
        <v>6153</v>
      </c>
    </row>
    <row r="24557" spans="8:8">
      <c r="H24557" s="680" t="s">
        <v>6153</v>
      </c>
    </row>
    <row r="24558" spans="8:8">
      <c r="H24558" s="680" t="s">
        <v>6153</v>
      </c>
    </row>
    <row r="24559" spans="8:8">
      <c r="H24559" s="680" t="s">
        <v>6153</v>
      </c>
    </row>
    <row r="24560" spans="8:8">
      <c r="H24560" s="680" t="s">
        <v>6153</v>
      </c>
    </row>
    <row r="24561" spans="8:8">
      <c r="H24561" s="680" t="s">
        <v>6153</v>
      </c>
    </row>
    <row r="24562" spans="8:8">
      <c r="H24562" s="680" t="s">
        <v>6153</v>
      </c>
    </row>
    <row r="24563" spans="8:8">
      <c r="H24563" s="680" t="s">
        <v>6153</v>
      </c>
    </row>
    <row r="24564" spans="8:8">
      <c r="H24564" s="680" t="s">
        <v>6153</v>
      </c>
    </row>
    <row r="24565" spans="8:8">
      <c r="H24565" s="680" t="s">
        <v>6153</v>
      </c>
    </row>
    <row r="24566" spans="8:8">
      <c r="H24566" s="680" t="s">
        <v>6153</v>
      </c>
    </row>
    <row r="24567" spans="8:8">
      <c r="H24567" s="680" t="s">
        <v>6153</v>
      </c>
    </row>
    <row r="24568" spans="8:8">
      <c r="H24568" s="680" t="s">
        <v>6153</v>
      </c>
    </row>
    <row r="24569" spans="8:8">
      <c r="H24569" s="680" t="s">
        <v>6153</v>
      </c>
    </row>
    <row r="24570" spans="8:8">
      <c r="H24570" s="680" t="s">
        <v>6153</v>
      </c>
    </row>
    <row r="24571" spans="8:8">
      <c r="H24571" s="680" t="s">
        <v>6153</v>
      </c>
    </row>
    <row r="24572" spans="8:8">
      <c r="H24572" s="680" t="s">
        <v>6153</v>
      </c>
    </row>
    <row r="24573" spans="8:8">
      <c r="H24573" s="680" t="s">
        <v>6153</v>
      </c>
    </row>
    <row r="24574" spans="8:8">
      <c r="H24574" s="680" t="s">
        <v>6153</v>
      </c>
    </row>
    <row r="24575" spans="8:8">
      <c r="H24575" s="680" t="s">
        <v>6153</v>
      </c>
    </row>
    <row r="24576" spans="8:8">
      <c r="H24576" s="680" t="s">
        <v>6153</v>
      </c>
    </row>
    <row r="24577" spans="8:8">
      <c r="H24577" s="680" t="s">
        <v>6153</v>
      </c>
    </row>
    <row r="24578" spans="8:8">
      <c r="H24578" s="680" t="s">
        <v>6153</v>
      </c>
    </row>
    <row r="24579" spans="8:8">
      <c r="H24579" s="680" t="s">
        <v>6153</v>
      </c>
    </row>
    <row r="24580" spans="8:8">
      <c r="H24580" s="680" t="s">
        <v>6153</v>
      </c>
    </row>
    <row r="24581" spans="8:8">
      <c r="H24581" s="680" t="s">
        <v>6153</v>
      </c>
    </row>
    <row r="24582" spans="8:8">
      <c r="H24582" s="680" t="s">
        <v>6153</v>
      </c>
    </row>
    <row r="24583" spans="8:8">
      <c r="H24583" s="680" t="s">
        <v>6153</v>
      </c>
    </row>
    <row r="24584" spans="8:8">
      <c r="H24584" s="680" t="s">
        <v>6153</v>
      </c>
    </row>
    <row r="24585" spans="8:8">
      <c r="H24585" s="680" t="s">
        <v>6153</v>
      </c>
    </row>
    <row r="24586" spans="8:8">
      <c r="H24586" s="680" t="s">
        <v>6153</v>
      </c>
    </row>
    <row r="24587" spans="8:8">
      <c r="H24587" s="680" t="s">
        <v>6153</v>
      </c>
    </row>
    <row r="24588" spans="8:8">
      <c r="H24588" s="680" t="s">
        <v>6153</v>
      </c>
    </row>
    <row r="24589" spans="8:8">
      <c r="H24589" s="680" t="s">
        <v>6153</v>
      </c>
    </row>
    <row r="24590" spans="8:8">
      <c r="H24590" s="680" t="s">
        <v>6153</v>
      </c>
    </row>
    <row r="24591" spans="8:8">
      <c r="H24591" s="680" t="s">
        <v>6153</v>
      </c>
    </row>
    <row r="24592" spans="8:8">
      <c r="H24592" s="680" t="s">
        <v>6153</v>
      </c>
    </row>
    <row r="24593" spans="8:8">
      <c r="H24593" s="680" t="s">
        <v>6153</v>
      </c>
    </row>
    <row r="24594" spans="8:8">
      <c r="H24594" s="680" t="s">
        <v>6153</v>
      </c>
    </row>
    <row r="24595" spans="8:8">
      <c r="H24595" s="680" t="s">
        <v>6153</v>
      </c>
    </row>
    <row r="24596" spans="8:8">
      <c r="H24596" s="680" t="s">
        <v>6153</v>
      </c>
    </row>
    <row r="24597" spans="8:8">
      <c r="H24597" s="680" t="s">
        <v>6153</v>
      </c>
    </row>
    <row r="24598" spans="8:8">
      <c r="H24598" s="680" t="s">
        <v>6153</v>
      </c>
    </row>
    <row r="24599" spans="8:8">
      <c r="H24599" s="680" t="s">
        <v>6153</v>
      </c>
    </row>
    <row r="24600" spans="8:8">
      <c r="H24600" s="680" t="s">
        <v>6153</v>
      </c>
    </row>
    <row r="24601" spans="8:8">
      <c r="H24601" s="680" t="s">
        <v>6153</v>
      </c>
    </row>
    <row r="24602" spans="8:8">
      <c r="H24602" s="680" t="s">
        <v>6153</v>
      </c>
    </row>
    <row r="24603" spans="8:8">
      <c r="H24603" s="680" t="s">
        <v>6153</v>
      </c>
    </row>
    <row r="24604" spans="8:8">
      <c r="H24604" s="680" t="s">
        <v>6153</v>
      </c>
    </row>
    <row r="24605" spans="8:8">
      <c r="H24605" s="680" t="s">
        <v>6153</v>
      </c>
    </row>
    <row r="24606" spans="8:8">
      <c r="H24606" s="680" t="s">
        <v>6153</v>
      </c>
    </row>
    <row r="24607" spans="8:8">
      <c r="H24607" s="680" t="s">
        <v>6153</v>
      </c>
    </row>
    <row r="24608" spans="8:8">
      <c r="H24608" s="680" t="s">
        <v>6153</v>
      </c>
    </row>
    <row r="24609" spans="8:8">
      <c r="H24609" s="680" t="s">
        <v>6153</v>
      </c>
    </row>
    <row r="24610" spans="8:8">
      <c r="H24610" s="680" t="s">
        <v>6153</v>
      </c>
    </row>
    <row r="24611" spans="8:8">
      <c r="H24611" s="680" t="s">
        <v>6153</v>
      </c>
    </row>
    <row r="24612" spans="8:8">
      <c r="H24612" s="680" t="s">
        <v>6153</v>
      </c>
    </row>
    <row r="24613" spans="8:8">
      <c r="H24613" s="680" t="s">
        <v>6153</v>
      </c>
    </row>
    <row r="24614" spans="8:8">
      <c r="H24614" s="680" t="s">
        <v>6153</v>
      </c>
    </row>
    <row r="24615" spans="8:8">
      <c r="H24615" s="680" t="s">
        <v>6153</v>
      </c>
    </row>
    <row r="24616" spans="8:8">
      <c r="H24616" s="680" t="s">
        <v>6153</v>
      </c>
    </row>
    <row r="24617" spans="8:8">
      <c r="H24617" s="680" t="s">
        <v>6153</v>
      </c>
    </row>
    <row r="24618" spans="8:8">
      <c r="H24618" s="680" t="s">
        <v>6153</v>
      </c>
    </row>
    <row r="24619" spans="8:8">
      <c r="H24619" s="680" t="s">
        <v>6153</v>
      </c>
    </row>
    <row r="24620" spans="8:8">
      <c r="H24620" s="680" t="s">
        <v>6153</v>
      </c>
    </row>
    <row r="24621" spans="8:8">
      <c r="H24621" s="680" t="s">
        <v>6153</v>
      </c>
    </row>
    <row r="24622" spans="8:8">
      <c r="H24622" s="680" t="s">
        <v>6153</v>
      </c>
    </row>
    <row r="24623" spans="8:8">
      <c r="H24623" s="680" t="s">
        <v>6153</v>
      </c>
    </row>
    <row r="24624" spans="8:8">
      <c r="H24624" s="680" t="s">
        <v>6153</v>
      </c>
    </row>
    <row r="24625" spans="8:8">
      <c r="H24625" s="680" t="s">
        <v>6153</v>
      </c>
    </row>
    <row r="24626" spans="8:8">
      <c r="H24626" s="680" t="s">
        <v>6153</v>
      </c>
    </row>
    <row r="24627" spans="8:8">
      <c r="H24627" s="680" t="s">
        <v>6153</v>
      </c>
    </row>
    <row r="24628" spans="8:8">
      <c r="H24628" s="680" t="s">
        <v>6153</v>
      </c>
    </row>
    <row r="24629" spans="8:8">
      <c r="H24629" s="680" t="s">
        <v>6153</v>
      </c>
    </row>
    <row r="24630" spans="8:8">
      <c r="H24630" s="680" t="s">
        <v>6153</v>
      </c>
    </row>
    <row r="24631" spans="8:8">
      <c r="H24631" s="680" t="s">
        <v>6153</v>
      </c>
    </row>
    <row r="24632" spans="8:8">
      <c r="H24632" s="680" t="s">
        <v>6153</v>
      </c>
    </row>
    <row r="24633" spans="8:8">
      <c r="H24633" s="680" t="s">
        <v>6153</v>
      </c>
    </row>
    <row r="24634" spans="8:8">
      <c r="H24634" s="680" t="s">
        <v>6153</v>
      </c>
    </row>
    <row r="24635" spans="8:8">
      <c r="H24635" s="680" t="s">
        <v>6153</v>
      </c>
    </row>
    <row r="24636" spans="8:8">
      <c r="H24636" s="680" t="s">
        <v>6153</v>
      </c>
    </row>
    <row r="24637" spans="8:8">
      <c r="H24637" s="680" t="s">
        <v>6153</v>
      </c>
    </row>
    <row r="24638" spans="8:8">
      <c r="H24638" s="680" t="s">
        <v>6153</v>
      </c>
    </row>
    <row r="24639" spans="8:8">
      <c r="H24639" s="680" t="s">
        <v>6153</v>
      </c>
    </row>
    <row r="24640" spans="8:8">
      <c r="H24640" s="680" t="s">
        <v>6153</v>
      </c>
    </row>
    <row r="24641" spans="8:8">
      <c r="H24641" s="680" t="s">
        <v>6153</v>
      </c>
    </row>
    <row r="24642" spans="8:8">
      <c r="H24642" s="680" t="s">
        <v>6153</v>
      </c>
    </row>
    <row r="24643" spans="8:8">
      <c r="H24643" s="680" t="s">
        <v>6153</v>
      </c>
    </row>
    <row r="24644" spans="8:8">
      <c r="H24644" s="680" t="s">
        <v>6153</v>
      </c>
    </row>
    <row r="24645" spans="8:8">
      <c r="H24645" s="680" t="s">
        <v>6153</v>
      </c>
    </row>
    <row r="24646" spans="8:8">
      <c r="H24646" s="680" t="s">
        <v>6153</v>
      </c>
    </row>
    <row r="24647" spans="8:8">
      <c r="H24647" s="680" t="s">
        <v>6153</v>
      </c>
    </row>
    <row r="24648" spans="8:8">
      <c r="H24648" s="680" t="s">
        <v>6153</v>
      </c>
    </row>
    <row r="24649" spans="8:8">
      <c r="H24649" s="680" t="s">
        <v>6153</v>
      </c>
    </row>
    <row r="24650" spans="8:8">
      <c r="H24650" s="680" t="s">
        <v>6153</v>
      </c>
    </row>
    <row r="24651" spans="8:8">
      <c r="H24651" s="680" t="s">
        <v>6153</v>
      </c>
    </row>
    <row r="24652" spans="8:8">
      <c r="H24652" s="680" t="s">
        <v>6153</v>
      </c>
    </row>
    <row r="24653" spans="8:8">
      <c r="H24653" s="680" t="s">
        <v>6153</v>
      </c>
    </row>
    <row r="24654" spans="8:8">
      <c r="H24654" s="680" t="s">
        <v>6153</v>
      </c>
    </row>
    <row r="24655" spans="8:8">
      <c r="H24655" s="680" t="s">
        <v>6153</v>
      </c>
    </row>
    <row r="24656" spans="8:8">
      <c r="H24656" s="680" t="s">
        <v>6153</v>
      </c>
    </row>
    <row r="24657" spans="8:8">
      <c r="H24657" s="680" t="s">
        <v>6153</v>
      </c>
    </row>
    <row r="24658" spans="8:8">
      <c r="H24658" s="680" t="s">
        <v>6153</v>
      </c>
    </row>
    <row r="24659" spans="8:8">
      <c r="H24659" s="680" t="s">
        <v>6153</v>
      </c>
    </row>
    <row r="24660" spans="8:8">
      <c r="H24660" s="680" t="s">
        <v>6153</v>
      </c>
    </row>
    <row r="24661" spans="8:8">
      <c r="H24661" s="680" t="s">
        <v>6153</v>
      </c>
    </row>
    <row r="24662" spans="8:8">
      <c r="H24662" s="680" t="s">
        <v>6153</v>
      </c>
    </row>
    <row r="24663" spans="8:8">
      <c r="H24663" s="680" t="s">
        <v>6153</v>
      </c>
    </row>
    <row r="24664" spans="8:8">
      <c r="H24664" s="680" t="s">
        <v>6153</v>
      </c>
    </row>
    <row r="24665" spans="8:8">
      <c r="H24665" s="680" t="s">
        <v>6153</v>
      </c>
    </row>
    <row r="24666" spans="8:8">
      <c r="H24666" s="680" t="s">
        <v>6153</v>
      </c>
    </row>
    <row r="24667" spans="8:8">
      <c r="H24667" s="680" t="s">
        <v>6153</v>
      </c>
    </row>
    <row r="24668" spans="8:8">
      <c r="H24668" s="680" t="s">
        <v>6153</v>
      </c>
    </row>
    <row r="24669" spans="8:8">
      <c r="H24669" s="680" t="s">
        <v>6153</v>
      </c>
    </row>
    <row r="24670" spans="8:8">
      <c r="H24670" s="680" t="s">
        <v>6153</v>
      </c>
    </row>
    <row r="24671" spans="8:8">
      <c r="H24671" s="680" t="s">
        <v>6153</v>
      </c>
    </row>
    <row r="24672" spans="8:8">
      <c r="H24672" s="680" t="s">
        <v>6153</v>
      </c>
    </row>
    <row r="24673" spans="8:8">
      <c r="H24673" s="680" t="s">
        <v>6153</v>
      </c>
    </row>
    <row r="24674" spans="8:8">
      <c r="H24674" s="680" t="s">
        <v>6153</v>
      </c>
    </row>
    <row r="24675" spans="8:8">
      <c r="H24675" s="680" t="s">
        <v>6153</v>
      </c>
    </row>
    <row r="24676" spans="8:8">
      <c r="H24676" s="680" t="s">
        <v>6153</v>
      </c>
    </row>
    <row r="24677" spans="8:8">
      <c r="H24677" s="680" t="s">
        <v>6153</v>
      </c>
    </row>
    <row r="24678" spans="8:8">
      <c r="H24678" s="680" t="s">
        <v>6153</v>
      </c>
    </row>
    <row r="24679" spans="8:8">
      <c r="H24679" s="680" t="s">
        <v>6153</v>
      </c>
    </row>
    <row r="24680" spans="8:8">
      <c r="H24680" s="680" t="s">
        <v>6153</v>
      </c>
    </row>
    <row r="24681" spans="8:8">
      <c r="H24681" s="680" t="s">
        <v>6153</v>
      </c>
    </row>
    <row r="24682" spans="8:8">
      <c r="H24682" s="680" t="s">
        <v>6153</v>
      </c>
    </row>
    <row r="24683" spans="8:8">
      <c r="H24683" s="680" t="s">
        <v>6153</v>
      </c>
    </row>
    <row r="24684" spans="8:8">
      <c r="H24684" s="680" t="s">
        <v>6153</v>
      </c>
    </row>
    <row r="24685" spans="8:8">
      <c r="H24685" s="680" t="s">
        <v>6153</v>
      </c>
    </row>
    <row r="24686" spans="8:8">
      <c r="H24686" s="680" t="s">
        <v>6153</v>
      </c>
    </row>
    <row r="24687" spans="8:8">
      <c r="H24687" s="680" t="s">
        <v>6153</v>
      </c>
    </row>
    <row r="24688" spans="8:8">
      <c r="H24688" s="680" t="s">
        <v>6153</v>
      </c>
    </row>
    <row r="24689" spans="8:8">
      <c r="H24689" s="680" t="s">
        <v>6153</v>
      </c>
    </row>
    <row r="24690" spans="8:8">
      <c r="H24690" s="680" t="s">
        <v>6153</v>
      </c>
    </row>
    <row r="24691" spans="8:8">
      <c r="H24691" s="680" t="s">
        <v>6153</v>
      </c>
    </row>
    <row r="24692" spans="8:8">
      <c r="H24692" s="680" t="s">
        <v>6153</v>
      </c>
    </row>
    <row r="24693" spans="8:8">
      <c r="H24693" s="680" t="s">
        <v>6153</v>
      </c>
    </row>
    <row r="24694" spans="8:8">
      <c r="H24694" s="680" t="s">
        <v>6153</v>
      </c>
    </row>
    <row r="24695" spans="8:8">
      <c r="H24695" s="680" t="s">
        <v>6153</v>
      </c>
    </row>
    <row r="24696" spans="8:8">
      <c r="H24696" s="680" t="s">
        <v>6153</v>
      </c>
    </row>
    <row r="24697" spans="8:8">
      <c r="H24697" s="680" t="s">
        <v>6153</v>
      </c>
    </row>
    <row r="24698" spans="8:8">
      <c r="H24698" s="680" t="s">
        <v>6153</v>
      </c>
    </row>
    <row r="24699" spans="8:8">
      <c r="H24699" s="680" t="s">
        <v>6153</v>
      </c>
    </row>
    <row r="24700" spans="8:8">
      <c r="H24700" s="680" t="s">
        <v>6153</v>
      </c>
    </row>
    <row r="24701" spans="8:8">
      <c r="H24701" s="680" t="s">
        <v>6153</v>
      </c>
    </row>
    <row r="24702" spans="8:8">
      <c r="H24702" s="680" t="s">
        <v>6153</v>
      </c>
    </row>
    <row r="24703" spans="8:8">
      <c r="H24703" s="680" t="s">
        <v>6153</v>
      </c>
    </row>
    <row r="24704" spans="8:8">
      <c r="H24704" s="680" t="s">
        <v>6153</v>
      </c>
    </row>
    <row r="24705" spans="8:8">
      <c r="H24705" s="680" t="s">
        <v>6153</v>
      </c>
    </row>
    <row r="24706" spans="8:8">
      <c r="H24706" s="680" t="s">
        <v>6153</v>
      </c>
    </row>
    <row r="24707" spans="8:8">
      <c r="H24707" s="680" t="s">
        <v>6153</v>
      </c>
    </row>
    <row r="24708" spans="8:8">
      <c r="H24708" s="680" t="s">
        <v>6153</v>
      </c>
    </row>
    <row r="24709" spans="8:8">
      <c r="H24709" s="680" t="s">
        <v>6153</v>
      </c>
    </row>
    <row r="24710" spans="8:8">
      <c r="H24710" s="680" t="s">
        <v>6153</v>
      </c>
    </row>
    <row r="24711" spans="8:8">
      <c r="H24711" s="680" t="s">
        <v>6153</v>
      </c>
    </row>
    <row r="24712" spans="8:8">
      <c r="H24712" s="680" t="s">
        <v>6153</v>
      </c>
    </row>
    <row r="24713" spans="8:8">
      <c r="H24713" s="680" t="s">
        <v>6153</v>
      </c>
    </row>
    <row r="24714" spans="8:8">
      <c r="H24714" s="680" t="s">
        <v>6153</v>
      </c>
    </row>
    <row r="24715" spans="8:8">
      <c r="H24715" s="680" t="s">
        <v>6153</v>
      </c>
    </row>
    <row r="24716" spans="8:8">
      <c r="H24716" s="680" t="s">
        <v>6153</v>
      </c>
    </row>
    <row r="24717" spans="8:8">
      <c r="H24717" s="680" t="s">
        <v>6153</v>
      </c>
    </row>
    <row r="24718" spans="8:8">
      <c r="H24718" s="680" t="s">
        <v>6153</v>
      </c>
    </row>
    <row r="24719" spans="8:8">
      <c r="H24719" s="680" t="s">
        <v>6153</v>
      </c>
    </row>
    <row r="24720" spans="8:8">
      <c r="H24720" s="680" t="s">
        <v>6153</v>
      </c>
    </row>
    <row r="24721" spans="8:8">
      <c r="H24721" s="680" t="s">
        <v>6153</v>
      </c>
    </row>
    <row r="24722" spans="8:8">
      <c r="H24722" s="680" t="s">
        <v>6153</v>
      </c>
    </row>
    <row r="24723" spans="8:8">
      <c r="H24723" s="680" t="s">
        <v>6153</v>
      </c>
    </row>
    <row r="24724" spans="8:8">
      <c r="H24724" s="680" t="s">
        <v>6153</v>
      </c>
    </row>
    <row r="24725" spans="8:8">
      <c r="H24725" s="680" t="s">
        <v>6153</v>
      </c>
    </row>
    <row r="24726" spans="8:8">
      <c r="H24726" s="680" t="s">
        <v>6153</v>
      </c>
    </row>
    <row r="24727" spans="8:8">
      <c r="H24727" s="680" t="s">
        <v>6153</v>
      </c>
    </row>
    <row r="24728" spans="8:8">
      <c r="H24728" s="680" t="s">
        <v>6153</v>
      </c>
    </row>
    <row r="24729" spans="8:8">
      <c r="H24729" s="680" t="s">
        <v>6153</v>
      </c>
    </row>
    <row r="24730" spans="8:8">
      <c r="H24730" s="680" t="s">
        <v>6153</v>
      </c>
    </row>
    <row r="24731" spans="8:8">
      <c r="H24731" s="680" t="s">
        <v>6153</v>
      </c>
    </row>
    <row r="24732" spans="8:8">
      <c r="H24732" s="680" t="s">
        <v>6153</v>
      </c>
    </row>
    <row r="24733" spans="8:8">
      <c r="H24733" s="680" t="s">
        <v>6153</v>
      </c>
    </row>
    <row r="24734" spans="8:8">
      <c r="H24734" s="680" t="s">
        <v>6153</v>
      </c>
    </row>
    <row r="24735" spans="8:8">
      <c r="H24735" s="680" t="s">
        <v>6153</v>
      </c>
    </row>
    <row r="24736" spans="8:8">
      <c r="H24736" s="680" t="s">
        <v>6153</v>
      </c>
    </row>
    <row r="24737" spans="8:8">
      <c r="H24737" s="680" t="s">
        <v>6153</v>
      </c>
    </row>
    <row r="24738" spans="8:8">
      <c r="H24738" s="680" t="s">
        <v>6153</v>
      </c>
    </row>
    <row r="24739" spans="8:8">
      <c r="H24739" s="680" t="s">
        <v>6153</v>
      </c>
    </row>
    <row r="24740" spans="8:8">
      <c r="H24740" s="680" t="s">
        <v>6153</v>
      </c>
    </row>
    <row r="24741" spans="8:8">
      <c r="H24741" s="680" t="s">
        <v>6153</v>
      </c>
    </row>
    <row r="24742" spans="8:8">
      <c r="H24742" s="680" t="s">
        <v>6153</v>
      </c>
    </row>
    <row r="24743" spans="8:8">
      <c r="H24743" s="680" t="s">
        <v>6153</v>
      </c>
    </row>
    <row r="24744" spans="8:8">
      <c r="H24744" s="680" t="s">
        <v>6153</v>
      </c>
    </row>
    <row r="24745" spans="8:8">
      <c r="H24745" s="680" t="s">
        <v>6153</v>
      </c>
    </row>
    <row r="24746" spans="8:8">
      <c r="H24746" s="680" t="s">
        <v>6153</v>
      </c>
    </row>
    <row r="24747" spans="8:8">
      <c r="H24747" s="680" t="s">
        <v>6153</v>
      </c>
    </row>
    <row r="24748" spans="8:8">
      <c r="H24748" s="680" t="s">
        <v>6153</v>
      </c>
    </row>
    <row r="24749" spans="8:8">
      <c r="H24749" s="680" t="s">
        <v>6153</v>
      </c>
    </row>
    <row r="24750" spans="8:8">
      <c r="H24750" s="680" t="s">
        <v>6153</v>
      </c>
    </row>
    <row r="24751" spans="8:8">
      <c r="H24751" s="680" t="s">
        <v>6153</v>
      </c>
    </row>
    <row r="24752" spans="8:8">
      <c r="H24752" s="680" t="s">
        <v>6153</v>
      </c>
    </row>
    <row r="24753" spans="8:8">
      <c r="H24753" s="680" t="s">
        <v>6153</v>
      </c>
    </row>
    <row r="24754" spans="8:8">
      <c r="H24754" s="680" t="s">
        <v>6153</v>
      </c>
    </row>
    <row r="24755" spans="8:8">
      <c r="H24755" s="680" t="s">
        <v>6153</v>
      </c>
    </row>
    <row r="24756" spans="8:8">
      <c r="H24756" s="680" t="s">
        <v>6153</v>
      </c>
    </row>
    <row r="24757" spans="8:8">
      <c r="H24757" s="680" t="s">
        <v>6153</v>
      </c>
    </row>
    <row r="24758" spans="8:8">
      <c r="H24758" s="680" t="s">
        <v>6153</v>
      </c>
    </row>
    <row r="24759" spans="8:8">
      <c r="H24759" s="680" t="s">
        <v>6153</v>
      </c>
    </row>
    <row r="24760" spans="8:8">
      <c r="H24760" s="680" t="s">
        <v>6153</v>
      </c>
    </row>
    <row r="24761" spans="8:8">
      <c r="H24761" s="680" t="s">
        <v>6153</v>
      </c>
    </row>
    <row r="24762" spans="8:8">
      <c r="H24762" s="680" t="s">
        <v>6153</v>
      </c>
    </row>
    <row r="24763" spans="8:8">
      <c r="H24763" s="680" t="s">
        <v>6153</v>
      </c>
    </row>
    <row r="24764" spans="8:8">
      <c r="H24764" s="680" t="s">
        <v>6153</v>
      </c>
    </row>
    <row r="24765" spans="8:8">
      <c r="H24765" s="680" t="s">
        <v>6153</v>
      </c>
    </row>
    <row r="24766" spans="8:8">
      <c r="H24766" s="680" t="s">
        <v>6153</v>
      </c>
    </row>
    <row r="24767" spans="8:8">
      <c r="H24767" s="680" t="s">
        <v>6153</v>
      </c>
    </row>
    <row r="24768" spans="8:8">
      <c r="H24768" s="680" t="s">
        <v>6153</v>
      </c>
    </row>
    <row r="24769" spans="8:8">
      <c r="H24769" s="680" t="s">
        <v>6153</v>
      </c>
    </row>
    <row r="24770" spans="8:8">
      <c r="H24770" s="680" t="s">
        <v>6153</v>
      </c>
    </row>
    <row r="24771" spans="8:8">
      <c r="H24771" s="680" t="s">
        <v>6153</v>
      </c>
    </row>
    <row r="24772" spans="8:8">
      <c r="H24772" s="680" t="s">
        <v>6153</v>
      </c>
    </row>
    <row r="24773" spans="8:8">
      <c r="H24773" s="680" t="s">
        <v>6153</v>
      </c>
    </row>
    <row r="24774" spans="8:8">
      <c r="H24774" s="680" t="s">
        <v>6153</v>
      </c>
    </row>
    <row r="24775" spans="8:8">
      <c r="H24775" s="680" t="s">
        <v>6153</v>
      </c>
    </row>
    <row r="24776" spans="8:8">
      <c r="H24776" s="680" t="s">
        <v>6153</v>
      </c>
    </row>
    <row r="24777" spans="8:8">
      <c r="H24777" s="680" t="s">
        <v>6153</v>
      </c>
    </row>
    <row r="24778" spans="8:8">
      <c r="H24778" s="680" t="s">
        <v>6153</v>
      </c>
    </row>
    <row r="24779" spans="8:8">
      <c r="H24779" s="680" t="s">
        <v>6153</v>
      </c>
    </row>
    <row r="24780" spans="8:8">
      <c r="H24780" s="680" t="s">
        <v>6153</v>
      </c>
    </row>
    <row r="24781" spans="8:8">
      <c r="H24781" s="680" t="s">
        <v>6153</v>
      </c>
    </row>
    <row r="24782" spans="8:8">
      <c r="H24782" s="680" t="s">
        <v>6153</v>
      </c>
    </row>
    <row r="24783" spans="8:8">
      <c r="H24783" s="680" t="s">
        <v>6153</v>
      </c>
    </row>
    <row r="24784" spans="8:8">
      <c r="H24784" s="680" t="s">
        <v>6153</v>
      </c>
    </row>
    <row r="24785" spans="8:8">
      <c r="H24785" s="680" t="s">
        <v>6153</v>
      </c>
    </row>
    <row r="24786" spans="8:8">
      <c r="H24786" s="680" t="s">
        <v>6153</v>
      </c>
    </row>
    <row r="24787" spans="8:8">
      <c r="H24787" s="680" t="s">
        <v>6153</v>
      </c>
    </row>
    <row r="24788" spans="8:8">
      <c r="H24788" s="680" t="s">
        <v>6153</v>
      </c>
    </row>
    <row r="24789" spans="8:8">
      <c r="H24789" s="680" t="s">
        <v>6153</v>
      </c>
    </row>
    <row r="24790" spans="8:8">
      <c r="H24790" s="680" t="s">
        <v>6153</v>
      </c>
    </row>
    <row r="24791" spans="8:8">
      <c r="H24791" s="680" t="s">
        <v>6153</v>
      </c>
    </row>
    <row r="24792" spans="8:8">
      <c r="H24792" s="680" t="s">
        <v>6153</v>
      </c>
    </row>
    <row r="24793" spans="8:8">
      <c r="H24793" s="680" t="s">
        <v>6153</v>
      </c>
    </row>
    <row r="24794" spans="8:8">
      <c r="H24794" s="680" t="s">
        <v>6153</v>
      </c>
    </row>
    <row r="24795" spans="8:8">
      <c r="H24795" s="680" t="s">
        <v>6153</v>
      </c>
    </row>
    <row r="24796" spans="8:8">
      <c r="H24796" s="680" t="s">
        <v>6153</v>
      </c>
    </row>
    <row r="24797" spans="8:8">
      <c r="H24797" s="680" t="s">
        <v>6153</v>
      </c>
    </row>
    <row r="24798" spans="8:8">
      <c r="H24798" s="680" t="s">
        <v>6153</v>
      </c>
    </row>
    <row r="24799" spans="8:8">
      <c r="H24799" s="680" t="s">
        <v>6153</v>
      </c>
    </row>
    <row r="24800" spans="8:8">
      <c r="H24800" s="680" t="s">
        <v>6153</v>
      </c>
    </row>
    <row r="24801" spans="8:8">
      <c r="H24801" s="680" t="s">
        <v>6153</v>
      </c>
    </row>
    <row r="24802" spans="8:8">
      <c r="H24802" s="680" t="s">
        <v>6153</v>
      </c>
    </row>
    <row r="24803" spans="8:8">
      <c r="H24803" s="680" t="s">
        <v>6153</v>
      </c>
    </row>
    <row r="24804" spans="8:8">
      <c r="H24804" s="680" t="s">
        <v>6153</v>
      </c>
    </row>
    <row r="24805" spans="8:8">
      <c r="H24805" s="680" t="s">
        <v>6153</v>
      </c>
    </row>
    <row r="24806" spans="8:8">
      <c r="H24806" s="680" t="s">
        <v>6153</v>
      </c>
    </row>
    <row r="24807" spans="8:8">
      <c r="H24807" s="680" t="s">
        <v>6153</v>
      </c>
    </row>
    <row r="24808" spans="8:8">
      <c r="H24808" s="680" t="s">
        <v>6153</v>
      </c>
    </row>
    <row r="24809" spans="8:8">
      <c r="H24809" s="680" t="s">
        <v>6153</v>
      </c>
    </row>
    <row r="24810" spans="8:8">
      <c r="H24810" s="680" t="s">
        <v>6153</v>
      </c>
    </row>
    <row r="24811" spans="8:8">
      <c r="H24811" s="680" t="s">
        <v>6153</v>
      </c>
    </row>
    <row r="24812" spans="8:8">
      <c r="H24812" s="680" t="s">
        <v>6153</v>
      </c>
    </row>
    <row r="24813" spans="8:8">
      <c r="H24813" s="680" t="s">
        <v>6153</v>
      </c>
    </row>
    <row r="24814" spans="8:8">
      <c r="H24814" s="680" t="s">
        <v>6153</v>
      </c>
    </row>
    <row r="24815" spans="8:8">
      <c r="H24815" s="680" t="s">
        <v>6153</v>
      </c>
    </row>
    <row r="24816" spans="8:8">
      <c r="H24816" s="680" t="s">
        <v>6153</v>
      </c>
    </row>
    <row r="24817" spans="8:8">
      <c r="H24817" s="680" t="s">
        <v>6153</v>
      </c>
    </row>
    <row r="24818" spans="8:8">
      <c r="H24818" s="680" t="s">
        <v>6153</v>
      </c>
    </row>
    <row r="24819" spans="8:8">
      <c r="H24819" s="680" t="s">
        <v>6153</v>
      </c>
    </row>
    <row r="24820" spans="8:8">
      <c r="H24820" s="680" t="s">
        <v>6153</v>
      </c>
    </row>
    <row r="24821" spans="8:8">
      <c r="H24821" s="680" t="s">
        <v>6153</v>
      </c>
    </row>
    <row r="24822" spans="8:8">
      <c r="H24822" s="680" t="s">
        <v>6153</v>
      </c>
    </row>
    <row r="24823" spans="8:8">
      <c r="H24823" s="680" t="s">
        <v>6153</v>
      </c>
    </row>
    <row r="24824" spans="8:8">
      <c r="H24824" s="680" t="s">
        <v>6153</v>
      </c>
    </row>
    <row r="24825" spans="8:8">
      <c r="H24825" s="680" t="s">
        <v>6153</v>
      </c>
    </row>
    <row r="24826" spans="8:8">
      <c r="H24826" s="680" t="s">
        <v>6153</v>
      </c>
    </row>
    <row r="24827" spans="8:8">
      <c r="H24827" s="680" t="s">
        <v>6153</v>
      </c>
    </row>
    <row r="24828" spans="8:8">
      <c r="H24828" s="680" t="s">
        <v>6153</v>
      </c>
    </row>
    <row r="24829" spans="8:8">
      <c r="H24829" s="680" t="s">
        <v>6153</v>
      </c>
    </row>
    <row r="24830" spans="8:8">
      <c r="H24830" s="680" t="s">
        <v>6153</v>
      </c>
    </row>
    <row r="24831" spans="8:8">
      <c r="H24831" s="680" t="s">
        <v>6153</v>
      </c>
    </row>
    <row r="24832" spans="8:8">
      <c r="H24832" s="680" t="s">
        <v>6153</v>
      </c>
    </row>
    <row r="24833" spans="8:8">
      <c r="H24833" s="680" t="s">
        <v>6153</v>
      </c>
    </row>
    <row r="24834" spans="8:8">
      <c r="H24834" s="680" t="s">
        <v>6153</v>
      </c>
    </row>
    <row r="24835" spans="8:8">
      <c r="H24835" s="680" t="s">
        <v>6153</v>
      </c>
    </row>
    <row r="24836" spans="8:8">
      <c r="H24836" s="680" t="s">
        <v>6153</v>
      </c>
    </row>
    <row r="24837" spans="8:8">
      <c r="H24837" s="680" t="s">
        <v>6153</v>
      </c>
    </row>
    <row r="24838" spans="8:8">
      <c r="H24838" s="680" t="s">
        <v>6153</v>
      </c>
    </row>
    <row r="24839" spans="8:8">
      <c r="H24839" s="680" t="s">
        <v>6153</v>
      </c>
    </row>
    <row r="24840" spans="8:8">
      <c r="H24840" s="680" t="s">
        <v>6153</v>
      </c>
    </row>
    <row r="24841" spans="8:8">
      <c r="H24841" s="680" t="s">
        <v>6153</v>
      </c>
    </row>
    <row r="24842" spans="8:8">
      <c r="H24842" s="680" t="s">
        <v>6153</v>
      </c>
    </row>
    <row r="24843" spans="8:8">
      <c r="H24843" s="680" t="s">
        <v>6153</v>
      </c>
    </row>
    <row r="24844" spans="8:8">
      <c r="H24844" s="680" t="s">
        <v>6153</v>
      </c>
    </row>
    <row r="24845" spans="8:8">
      <c r="H24845" s="680" t="s">
        <v>6153</v>
      </c>
    </row>
    <row r="24846" spans="8:8">
      <c r="H24846" s="680" t="s">
        <v>6153</v>
      </c>
    </row>
    <row r="24847" spans="8:8">
      <c r="H24847" s="680" t="s">
        <v>6153</v>
      </c>
    </row>
    <row r="24848" spans="8:8">
      <c r="H24848" s="680" t="s">
        <v>6153</v>
      </c>
    </row>
    <row r="24849" spans="8:8">
      <c r="H24849" s="680" t="s">
        <v>6153</v>
      </c>
    </row>
    <row r="24850" spans="8:8">
      <c r="H24850" s="680" t="s">
        <v>6153</v>
      </c>
    </row>
    <row r="24851" spans="8:8">
      <c r="H24851" s="680" t="s">
        <v>6153</v>
      </c>
    </row>
    <row r="24852" spans="8:8">
      <c r="H24852" s="680" t="s">
        <v>6153</v>
      </c>
    </row>
    <row r="24853" spans="8:8">
      <c r="H24853" s="680" t="s">
        <v>6153</v>
      </c>
    </row>
    <row r="24854" spans="8:8">
      <c r="H24854" s="680" t="s">
        <v>6153</v>
      </c>
    </row>
    <row r="24855" spans="8:8">
      <c r="H24855" s="680" t="s">
        <v>6153</v>
      </c>
    </row>
    <row r="24856" spans="8:8">
      <c r="H24856" s="680" t="s">
        <v>6153</v>
      </c>
    </row>
    <row r="24857" spans="8:8">
      <c r="H24857" s="680" t="s">
        <v>6153</v>
      </c>
    </row>
    <row r="24858" spans="8:8">
      <c r="H24858" s="680" t="s">
        <v>6153</v>
      </c>
    </row>
    <row r="24859" spans="8:8">
      <c r="H24859" s="680" t="s">
        <v>6153</v>
      </c>
    </row>
    <row r="24860" spans="8:8">
      <c r="H24860" s="680" t="s">
        <v>6153</v>
      </c>
    </row>
    <row r="24861" spans="8:8">
      <c r="H24861" s="680" t="s">
        <v>6153</v>
      </c>
    </row>
    <row r="24862" spans="8:8">
      <c r="H24862" s="680" t="s">
        <v>6153</v>
      </c>
    </row>
    <row r="24863" spans="8:8">
      <c r="H24863" s="680" t="s">
        <v>6153</v>
      </c>
    </row>
    <row r="24864" spans="8:8">
      <c r="H24864" s="680" t="s">
        <v>6153</v>
      </c>
    </row>
    <row r="24865" spans="8:8">
      <c r="H24865" s="680" t="s">
        <v>6153</v>
      </c>
    </row>
    <row r="24866" spans="8:8">
      <c r="H24866" s="680" t="s">
        <v>6153</v>
      </c>
    </row>
    <row r="24867" spans="8:8">
      <c r="H24867" s="680" t="s">
        <v>6153</v>
      </c>
    </row>
    <row r="24868" spans="8:8">
      <c r="H24868" s="680" t="s">
        <v>6153</v>
      </c>
    </row>
    <row r="24869" spans="8:8">
      <c r="H24869" s="680" t="s">
        <v>6153</v>
      </c>
    </row>
    <row r="24870" spans="8:8">
      <c r="H24870" s="680" t="s">
        <v>6153</v>
      </c>
    </row>
    <row r="24871" spans="8:8">
      <c r="H24871" s="680" t="s">
        <v>6153</v>
      </c>
    </row>
    <row r="24872" spans="8:8">
      <c r="H24872" s="680" t="s">
        <v>6153</v>
      </c>
    </row>
    <row r="24873" spans="8:8">
      <c r="H24873" s="680" t="s">
        <v>6153</v>
      </c>
    </row>
    <row r="24874" spans="8:8">
      <c r="H24874" s="680" t="s">
        <v>6153</v>
      </c>
    </row>
    <row r="24875" spans="8:8">
      <c r="H24875" s="680" t="s">
        <v>6153</v>
      </c>
    </row>
    <row r="24876" spans="8:8">
      <c r="H24876" s="680" t="s">
        <v>6153</v>
      </c>
    </row>
    <row r="24877" spans="8:8">
      <c r="H24877" s="680" t="s">
        <v>6153</v>
      </c>
    </row>
    <row r="24878" spans="8:8">
      <c r="H24878" s="680" t="s">
        <v>6153</v>
      </c>
    </row>
    <row r="24879" spans="8:8">
      <c r="H24879" s="680" t="s">
        <v>6153</v>
      </c>
    </row>
    <row r="24880" spans="8:8">
      <c r="H24880" s="680" t="s">
        <v>6153</v>
      </c>
    </row>
    <row r="24881" spans="8:8">
      <c r="H24881" s="680" t="s">
        <v>6153</v>
      </c>
    </row>
    <row r="24882" spans="8:8">
      <c r="H24882" s="680" t="s">
        <v>6153</v>
      </c>
    </row>
    <row r="24883" spans="8:8">
      <c r="H24883" s="680" t="s">
        <v>6153</v>
      </c>
    </row>
    <row r="24884" spans="8:8">
      <c r="H24884" s="680" t="s">
        <v>6153</v>
      </c>
    </row>
    <row r="24885" spans="8:8">
      <c r="H24885" s="680" t="s">
        <v>6153</v>
      </c>
    </row>
    <row r="24886" spans="8:8">
      <c r="H24886" s="680" t="s">
        <v>6153</v>
      </c>
    </row>
    <row r="24887" spans="8:8">
      <c r="H24887" s="680" t="s">
        <v>6153</v>
      </c>
    </row>
    <row r="24888" spans="8:8">
      <c r="H24888" s="680" t="s">
        <v>6153</v>
      </c>
    </row>
    <row r="24889" spans="8:8">
      <c r="H24889" s="680" t="s">
        <v>6153</v>
      </c>
    </row>
    <row r="24890" spans="8:8">
      <c r="H24890" s="680" t="s">
        <v>6153</v>
      </c>
    </row>
    <row r="24891" spans="8:8">
      <c r="H24891" s="680" t="s">
        <v>6153</v>
      </c>
    </row>
    <row r="24892" spans="8:8">
      <c r="H24892" s="680" t="s">
        <v>6153</v>
      </c>
    </row>
    <row r="24893" spans="8:8">
      <c r="H24893" s="680" t="s">
        <v>6153</v>
      </c>
    </row>
    <row r="24894" spans="8:8">
      <c r="H24894" s="680" t="s">
        <v>6153</v>
      </c>
    </row>
    <row r="24895" spans="8:8">
      <c r="H24895" s="680" t="s">
        <v>6153</v>
      </c>
    </row>
    <row r="24896" spans="8:8">
      <c r="H24896" s="680" t="s">
        <v>6153</v>
      </c>
    </row>
    <row r="24897" spans="8:8">
      <c r="H24897" s="680" t="s">
        <v>6153</v>
      </c>
    </row>
    <row r="24898" spans="8:8">
      <c r="H24898" s="680" t="s">
        <v>6153</v>
      </c>
    </row>
    <row r="24899" spans="8:8">
      <c r="H24899" s="680" t="s">
        <v>6153</v>
      </c>
    </row>
    <row r="24900" spans="8:8">
      <c r="H24900" s="680" t="s">
        <v>6153</v>
      </c>
    </row>
    <row r="24901" spans="8:8">
      <c r="H24901" s="680" t="s">
        <v>6153</v>
      </c>
    </row>
    <row r="24902" spans="8:8">
      <c r="H24902" s="680" t="s">
        <v>6153</v>
      </c>
    </row>
    <row r="24903" spans="8:8">
      <c r="H24903" s="680" t="s">
        <v>6153</v>
      </c>
    </row>
    <row r="24904" spans="8:8">
      <c r="H24904" s="680" t="s">
        <v>6153</v>
      </c>
    </row>
    <row r="24905" spans="8:8">
      <c r="H24905" s="680" t="s">
        <v>6153</v>
      </c>
    </row>
    <row r="24906" spans="8:8">
      <c r="H24906" s="680" t="s">
        <v>6153</v>
      </c>
    </row>
    <row r="24907" spans="8:8">
      <c r="H24907" s="680" t="s">
        <v>6153</v>
      </c>
    </row>
    <row r="24908" spans="8:8">
      <c r="H24908" s="680" t="s">
        <v>6153</v>
      </c>
    </row>
    <row r="24909" spans="8:8">
      <c r="H24909" s="680" t="s">
        <v>6153</v>
      </c>
    </row>
    <row r="24910" spans="8:8">
      <c r="H24910" s="680" t="s">
        <v>6153</v>
      </c>
    </row>
    <row r="24911" spans="8:8">
      <c r="H24911" s="680" t="s">
        <v>6153</v>
      </c>
    </row>
    <row r="24912" spans="8:8">
      <c r="H24912" s="680" t="s">
        <v>6153</v>
      </c>
    </row>
    <row r="24913" spans="8:8">
      <c r="H24913" s="680" t="s">
        <v>6153</v>
      </c>
    </row>
    <row r="24914" spans="8:8">
      <c r="H24914" s="680" t="s">
        <v>6153</v>
      </c>
    </row>
    <row r="24915" spans="8:8">
      <c r="H24915" s="680" t="s">
        <v>6153</v>
      </c>
    </row>
    <row r="24916" spans="8:8">
      <c r="H24916" s="680" t="s">
        <v>6153</v>
      </c>
    </row>
    <row r="24917" spans="8:8">
      <c r="H24917" s="680" t="s">
        <v>6153</v>
      </c>
    </row>
    <row r="24918" spans="8:8">
      <c r="H24918" s="680" t="s">
        <v>6153</v>
      </c>
    </row>
    <row r="24919" spans="8:8">
      <c r="H24919" s="680" t="s">
        <v>6153</v>
      </c>
    </row>
    <row r="24920" spans="8:8">
      <c r="H24920" s="680" t="s">
        <v>6153</v>
      </c>
    </row>
    <row r="24921" spans="8:8">
      <c r="H24921" s="680" t="s">
        <v>6153</v>
      </c>
    </row>
    <row r="24922" spans="8:8">
      <c r="H24922" s="680" t="s">
        <v>6153</v>
      </c>
    </row>
    <row r="24923" spans="8:8">
      <c r="H24923" s="680" t="s">
        <v>6153</v>
      </c>
    </row>
    <row r="24924" spans="8:8">
      <c r="H24924" s="680" t="s">
        <v>6153</v>
      </c>
    </row>
    <row r="24925" spans="8:8">
      <c r="H24925" s="680" t="s">
        <v>6153</v>
      </c>
    </row>
    <row r="24926" spans="8:8">
      <c r="H24926" s="680" t="s">
        <v>6153</v>
      </c>
    </row>
    <row r="24927" spans="8:8">
      <c r="H24927" s="680" t="s">
        <v>6153</v>
      </c>
    </row>
    <row r="24928" spans="8:8">
      <c r="H24928" s="680" t="s">
        <v>6153</v>
      </c>
    </row>
    <row r="24929" spans="8:8">
      <c r="H24929" s="680" t="s">
        <v>6153</v>
      </c>
    </row>
    <row r="24930" spans="8:8">
      <c r="H24930" s="680" t="s">
        <v>6153</v>
      </c>
    </row>
    <row r="24931" spans="8:8">
      <c r="H24931" s="680" t="s">
        <v>6153</v>
      </c>
    </row>
    <row r="24932" spans="8:8">
      <c r="H24932" s="680" t="s">
        <v>6153</v>
      </c>
    </row>
    <row r="24933" spans="8:8">
      <c r="H24933" s="680" t="s">
        <v>6153</v>
      </c>
    </row>
    <row r="24934" spans="8:8">
      <c r="H24934" s="680" t="s">
        <v>6153</v>
      </c>
    </row>
    <row r="24935" spans="8:8">
      <c r="H24935" s="680" t="s">
        <v>6153</v>
      </c>
    </row>
    <row r="24936" spans="8:8">
      <c r="H24936" s="680" t="s">
        <v>6153</v>
      </c>
    </row>
    <row r="24937" spans="8:8">
      <c r="H24937" s="680" t="s">
        <v>6153</v>
      </c>
    </row>
    <row r="24938" spans="8:8">
      <c r="H24938" s="680" t="s">
        <v>6153</v>
      </c>
    </row>
    <row r="24939" spans="8:8">
      <c r="H24939" s="680" t="s">
        <v>6153</v>
      </c>
    </row>
    <row r="24940" spans="8:8">
      <c r="H24940" s="680" t="s">
        <v>6153</v>
      </c>
    </row>
    <row r="24941" spans="8:8">
      <c r="H24941" s="680" t="s">
        <v>6153</v>
      </c>
    </row>
    <row r="24942" spans="8:8">
      <c r="H24942" s="680" t="s">
        <v>6153</v>
      </c>
    </row>
    <row r="24943" spans="8:8">
      <c r="H24943" s="680" t="s">
        <v>6153</v>
      </c>
    </row>
    <row r="24944" spans="8:8">
      <c r="H24944" s="680" t="s">
        <v>6153</v>
      </c>
    </row>
    <row r="24945" spans="8:8">
      <c r="H24945" s="680" t="s">
        <v>6153</v>
      </c>
    </row>
    <row r="24946" spans="8:8">
      <c r="H24946" s="680" t="s">
        <v>6153</v>
      </c>
    </row>
    <row r="24947" spans="8:8">
      <c r="H24947" s="680" t="s">
        <v>6153</v>
      </c>
    </row>
    <row r="24948" spans="8:8">
      <c r="H24948" s="680" t="s">
        <v>6153</v>
      </c>
    </row>
    <row r="24949" spans="8:8">
      <c r="H24949" s="680" t="s">
        <v>6153</v>
      </c>
    </row>
    <row r="24950" spans="8:8">
      <c r="H24950" s="680" t="s">
        <v>6153</v>
      </c>
    </row>
    <row r="24951" spans="8:8">
      <c r="H24951" s="680" t="s">
        <v>6153</v>
      </c>
    </row>
    <row r="24952" spans="8:8">
      <c r="H24952" s="680" t="s">
        <v>6153</v>
      </c>
    </row>
    <row r="24953" spans="8:8">
      <c r="H24953" s="680" t="s">
        <v>6153</v>
      </c>
    </row>
    <row r="24954" spans="8:8">
      <c r="H24954" s="680" t="s">
        <v>6153</v>
      </c>
    </row>
    <row r="24955" spans="8:8">
      <c r="H24955" s="680" t="s">
        <v>6153</v>
      </c>
    </row>
    <row r="24956" spans="8:8">
      <c r="H24956" s="680" t="s">
        <v>6153</v>
      </c>
    </row>
    <row r="24957" spans="8:8">
      <c r="H24957" s="680" t="s">
        <v>6153</v>
      </c>
    </row>
    <row r="24958" spans="8:8">
      <c r="H24958" s="680" t="s">
        <v>6153</v>
      </c>
    </row>
    <row r="24959" spans="8:8">
      <c r="H24959" s="680" t="s">
        <v>6153</v>
      </c>
    </row>
    <row r="24960" spans="8:8">
      <c r="H24960" s="680" t="s">
        <v>6153</v>
      </c>
    </row>
    <row r="24961" spans="8:8">
      <c r="H24961" s="680" t="s">
        <v>6153</v>
      </c>
    </row>
    <row r="24962" spans="8:8">
      <c r="H24962" s="680" t="s">
        <v>6153</v>
      </c>
    </row>
    <row r="24963" spans="8:8">
      <c r="H24963" s="680" t="s">
        <v>6153</v>
      </c>
    </row>
    <row r="24964" spans="8:8">
      <c r="H24964" s="680" t="s">
        <v>6153</v>
      </c>
    </row>
    <row r="24965" spans="8:8">
      <c r="H24965" s="680" t="s">
        <v>6153</v>
      </c>
    </row>
    <row r="24966" spans="8:8">
      <c r="H24966" s="680" t="s">
        <v>6153</v>
      </c>
    </row>
    <row r="24967" spans="8:8">
      <c r="H24967" s="680" t="s">
        <v>6153</v>
      </c>
    </row>
    <row r="24968" spans="8:8">
      <c r="H24968" s="680" t="s">
        <v>6153</v>
      </c>
    </row>
    <row r="24969" spans="8:8">
      <c r="H24969" s="680" t="s">
        <v>6153</v>
      </c>
    </row>
    <row r="24970" spans="8:8">
      <c r="H24970" s="680" t="s">
        <v>6153</v>
      </c>
    </row>
    <row r="24971" spans="8:8">
      <c r="H24971" s="680" t="s">
        <v>6153</v>
      </c>
    </row>
    <row r="24972" spans="8:8">
      <c r="H24972" s="680" t="s">
        <v>6153</v>
      </c>
    </row>
    <row r="24973" spans="8:8">
      <c r="H24973" s="680" t="s">
        <v>6153</v>
      </c>
    </row>
    <row r="24974" spans="8:8">
      <c r="H24974" s="680" t="s">
        <v>6153</v>
      </c>
    </row>
    <row r="24975" spans="8:8">
      <c r="H24975" s="680" t="s">
        <v>6153</v>
      </c>
    </row>
    <row r="24976" spans="8:8">
      <c r="H24976" s="680" t="s">
        <v>6153</v>
      </c>
    </row>
    <row r="24977" spans="8:8">
      <c r="H24977" s="680" t="s">
        <v>6153</v>
      </c>
    </row>
    <row r="24978" spans="8:8">
      <c r="H24978" s="680" t="s">
        <v>6153</v>
      </c>
    </row>
    <row r="24979" spans="8:8">
      <c r="H24979" s="680" t="s">
        <v>6153</v>
      </c>
    </row>
    <row r="24980" spans="8:8">
      <c r="H24980" s="680" t="s">
        <v>6153</v>
      </c>
    </row>
    <row r="24981" spans="8:8">
      <c r="H24981" s="680" t="s">
        <v>6153</v>
      </c>
    </row>
    <row r="24982" spans="8:8">
      <c r="H24982" s="680" t="s">
        <v>6153</v>
      </c>
    </row>
    <row r="24983" spans="8:8">
      <c r="H24983" s="680" t="s">
        <v>6153</v>
      </c>
    </row>
    <row r="24984" spans="8:8">
      <c r="H24984" s="680" t="s">
        <v>6153</v>
      </c>
    </row>
    <row r="24985" spans="8:8">
      <c r="H24985" s="680" t="s">
        <v>6153</v>
      </c>
    </row>
    <row r="24986" spans="8:8">
      <c r="H24986" s="680" t="s">
        <v>6153</v>
      </c>
    </row>
    <row r="24987" spans="8:8">
      <c r="H24987" s="680" t="s">
        <v>6153</v>
      </c>
    </row>
    <row r="24988" spans="8:8">
      <c r="H24988" s="680" t="s">
        <v>6153</v>
      </c>
    </row>
    <row r="24989" spans="8:8">
      <c r="H24989" s="680" t="s">
        <v>6153</v>
      </c>
    </row>
    <row r="24990" spans="8:8">
      <c r="H24990" s="680" t="s">
        <v>6153</v>
      </c>
    </row>
    <row r="24991" spans="8:8">
      <c r="H24991" s="680" t="s">
        <v>6153</v>
      </c>
    </row>
    <row r="24992" spans="8:8">
      <c r="H24992" s="680" t="s">
        <v>6153</v>
      </c>
    </row>
    <row r="24993" spans="8:8">
      <c r="H24993" s="680" t="s">
        <v>6153</v>
      </c>
    </row>
    <row r="24994" spans="8:8">
      <c r="H24994" s="680" t="s">
        <v>6153</v>
      </c>
    </row>
    <row r="24995" spans="8:8">
      <c r="H24995" s="680" t="s">
        <v>6153</v>
      </c>
    </row>
    <row r="24996" spans="8:8">
      <c r="H24996" s="680" t="s">
        <v>6153</v>
      </c>
    </row>
    <row r="24997" spans="8:8">
      <c r="H24997" s="680" t="s">
        <v>6153</v>
      </c>
    </row>
    <row r="24998" spans="8:8">
      <c r="H24998" s="680" t="s">
        <v>6153</v>
      </c>
    </row>
    <row r="24999" spans="8:8">
      <c r="H24999" s="680" t="s">
        <v>6153</v>
      </c>
    </row>
    <row r="25000" spans="8:8">
      <c r="H25000" s="680" t="s">
        <v>6153</v>
      </c>
    </row>
    <row r="25001" spans="8:8">
      <c r="H25001" s="680" t="s">
        <v>6153</v>
      </c>
    </row>
    <row r="25002" spans="8:8">
      <c r="H25002" s="680" t="s">
        <v>6153</v>
      </c>
    </row>
    <row r="25003" spans="8:8">
      <c r="H25003" s="680" t="s">
        <v>6153</v>
      </c>
    </row>
    <row r="25004" spans="8:8">
      <c r="H25004" s="680" t="s">
        <v>6153</v>
      </c>
    </row>
    <row r="25005" spans="8:8">
      <c r="H25005" s="680" t="s">
        <v>6153</v>
      </c>
    </row>
    <row r="25006" spans="8:8">
      <c r="H25006" s="680" t="s">
        <v>6153</v>
      </c>
    </row>
    <row r="25007" spans="8:8">
      <c r="H25007" s="680" t="s">
        <v>6153</v>
      </c>
    </row>
    <row r="25008" spans="8:8">
      <c r="H25008" s="680" t="s">
        <v>6153</v>
      </c>
    </row>
    <row r="25009" spans="8:8">
      <c r="H25009" s="680" t="s">
        <v>6153</v>
      </c>
    </row>
    <row r="25010" spans="8:8">
      <c r="H25010" s="680" t="s">
        <v>6153</v>
      </c>
    </row>
    <row r="25011" spans="8:8">
      <c r="H25011" s="680" t="s">
        <v>6153</v>
      </c>
    </row>
    <row r="25012" spans="8:8">
      <c r="H25012" s="680" t="s">
        <v>6153</v>
      </c>
    </row>
    <row r="25013" spans="8:8">
      <c r="H25013" s="680" t="s">
        <v>6153</v>
      </c>
    </row>
    <row r="25014" spans="8:8">
      <c r="H25014" s="680" t="s">
        <v>6153</v>
      </c>
    </row>
    <row r="25015" spans="8:8">
      <c r="H25015" s="680" t="s">
        <v>6153</v>
      </c>
    </row>
    <row r="25016" spans="8:8">
      <c r="H25016" s="680" t="s">
        <v>6153</v>
      </c>
    </row>
    <row r="25017" spans="8:8">
      <c r="H25017" s="680" t="s">
        <v>6153</v>
      </c>
    </row>
    <row r="25018" spans="8:8">
      <c r="H25018" s="680" t="s">
        <v>6153</v>
      </c>
    </row>
    <row r="25019" spans="8:8">
      <c r="H25019" s="680" t="s">
        <v>6153</v>
      </c>
    </row>
    <row r="25020" spans="8:8">
      <c r="H25020" s="680" t="s">
        <v>6153</v>
      </c>
    </row>
    <row r="25021" spans="8:8">
      <c r="H25021" s="680" t="s">
        <v>6153</v>
      </c>
    </row>
    <row r="25022" spans="8:8">
      <c r="H25022" s="680" t="s">
        <v>6153</v>
      </c>
    </row>
    <row r="25023" spans="8:8">
      <c r="H25023" s="680" t="s">
        <v>6153</v>
      </c>
    </row>
    <row r="25024" spans="8:8">
      <c r="H25024" s="680" t="s">
        <v>6153</v>
      </c>
    </row>
    <row r="25025" spans="8:8">
      <c r="H25025" s="680" t="s">
        <v>6153</v>
      </c>
    </row>
    <row r="25026" spans="8:8">
      <c r="H25026" s="680" t="s">
        <v>6153</v>
      </c>
    </row>
    <row r="25027" spans="8:8">
      <c r="H25027" s="680" t="s">
        <v>6153</v>
      </c>
    </row>
    <row r="25028" spans="8:8">
      <c r="H25028" s="680" t="s">
        <v>6153</v>
      </c>
    </row>
    <row r="25029" spans="8:8">
      <c r="H25029" s="680" t="s">
        <v>6153</v>
      </c>
    </row>
    <row r="25030" spans="8:8">
      <c r="H25030" s="680" t="s">
        <v>6153</v>
      </c>
    </row>
    <row r="25031" spans="8:8">
      <c r="H25031" s="680" t="s">
        <v>6153</v>
      </c>
    </row>
    <row r="25032" spans="8:8">
      <c r="H25032" s="680" t="s">
        <v>6153</v>
      </c>
    </row>
    <row r="25033" spans="8:8">
      <c r="H25033" s="680" t="s">
        <v>6153</v>
      </c>
    </row>
    <row r="25034" spans="8:8">
      <c r="H25034" s="680" t="s">
        <v>6153</v>
      </c>
    </row>
    <row r="25035" spans="8:8">
      <c r="H25035" s="680" t="s">
        <v>6153</v>
      </c>
    </row>
    <row r="25036" spans="8:8">
      <c r="H25036" s="680" t="s">
        <v>6153</v>
      </c>
    </row>
    <row r="25037" spans="8:8">
      <c r="H25037" s="680" t="s">
        <v>6153</v>
      </c>
    </row>
    <row r="25038" spans="8:8">
      <c r="H25038" s="680" t="s">
        <v>6153</v>
      </c>
    </row>
    <row r="25039" spans="8:8">
      <c r="H25039" s="680" t="s">
        <v>6153</v>
      </c>
    </row>
    <row r="25040" spans="8:8">
      <c r="H25040" s="680" t="s">
        <v>6153</v>
      </c>
    </row>
    <row r="25041" spans="8:8">
      <c r="H25041" s="680" t="s">
        <v>6153</v>
      </c>
    </row>
    <row r="25042" spans="8:8">
      <c r="H25042" s="680" t="s">
        <v>6153</v>
      </c>
    </row>
    <row r="25043" spans="8:8">
      <c r="H25043" s="680" t="s">
        <v>6153</v>
      </c>
    </row>
    <row r="25044" spans="8:8">
      <c r="H25044" s="680" t="s">
        <v>6153</v>
      </c>
    </row>
    <row r="25045" spans="8:8">
      <c r="H25045" s="680" t="s">
        <v>6153</v>
      </c>
    </row>
    <row r="25046" spans="8:8">
      <c r="H25046" s="680" t="s">
        <v>6153</v>
      </c>
    </row>
    <row r="25047" spans="8:8">
      <c r="H25047" s="680" t="s">
        <v>6153</v>
      </c>
    </row>
    <row r="25048" spans="8:8">
      <c r="H25048" s="680" t="s">
        <v>6153</v>
      </c>
    </row>
    <row r="25049" spans="8:8">
      <c r="H25049" s="680" t="s">
        <v>6153</v>
      </c>
    </row>
    <row r="25050" spans="8:8">
      <c r="H25050" s="680" t="s">
        <v>6153</v>
      </c>
    </row>
    <row r="25051" spans="8:8">
      <c r="H25051" s="680" t="s">
        <v>6153</v>
      </c>
    </row>
    <row r="25052" spans="8:8">
      <c r="H25052" s="680" t="s">
        <v>6153</v>
      </c>
    </row>
    <row r="25053" spans="8:8">
      <c r="H25053" s="680" t="s">
        <v>6153</v>
      </c>
    </row>
    <row r="25054" spans="8:8">
      <c r="H25054" s="680" t="s">
        <v>6153</v>
      </c>
    </row>
    <row r="25055" spans="8:8">
      <c r="H25055" s="680" t="s">
        <v>6153</v>
      </c>
    </row>
    <row r="25056" spans="8:8">
      <c r="H25056" s="680" t="s">
        <v>6153</v>
      </c>
    </row>
    <row r="25057" spans="8:8">
      <c r="H25057" s="680" t="s">
        <v>6153</v>
      </c>
    </row>
    <row r="25058" spans="8:8">
      <c r="H25058" s="680" t="s">
        <v>6153</v>
      </c>
    </row>
    <row r="25059" spans="8:8">
      <c r="H25059" s="680" t="s">
        <v>6153</v>
      </c>
    </row>
    <row r="25060" spans="8:8">
      <c r="H25060" s="680" t="s">
        <v>6153</v>
      </c>
    </row>
    <row r="25061" spans="8:8">
      <c r="H25061" s="680" t="s">
        <v>6153</v>
      </c>
    </row>
    <row r="25062" spans="8:8">
      <c r="H25062" s="680" t="s">
        <v>6153</v>
      </c>
    </row>
    <row r="25063" spans="8:8">
      <c r="H25063" s="680" t="s">
        <v>6153</v>
      </c>
    </row>
    <row r="25064" spans="8:8">
      <c r="H25064" s="680" t="s">
        <v>6153</v>
      </c>
    </row>
    <row r="25065" spans="8:8">
      <c r="H25065" s="680" t="s">
        <v>6153</v>
      </c>
    </row>
    <row r="25066" spans="8:8">
      <c r="H25066" s="680" t="s">
        <v>6153</v>
      </c>
    </row>
    <row r="25067" spans="8:8">
      <c r="H25067" s="680" t="s">
        <v>6153</v>
      </c>
    </row>
    <row r="25068" spans="8:8">
      <c r="H25068" s="680" t="s">
        <v>6153</v>
      </c>
    </row>
    <row r="25069" spans="8:8">
      <c r="H25069" s="680" t="s">
        <v>6153</v>
      </c>
    </row>
    <row r="25070" spans="8:8">
      <c r="H25070" s="680" t="s">
        <v>6153</v>
      </c>
    </row>
    <row r="25071" spans="8:8">
      <c r="H25071" s="680" t="s">
        <v>6153</v>
      </c>
    </row>
    <row r="25072" spans="8:8">
      <c r="H25072" s="680" t="s">
        <v>6153</v>
      </c>
    </row>
    <row r="25073" spans="8:8">
      <c r="H25073" s="680" t="s">
        <v>6153</v>
      </c>
    </row>
    <row r="25074" spans="8:8">
      <c r="H25074" s="680" t="s">
        <v>6153</v>
      </c>
    </row>
    <row r="25075" spans="8:8">
      <c r="H25075" s="680" t="s">
        <v>6153</v>
      </c>
    </row>
    <row r="25076" spans="8:8">
      <c r="H25076" s="680" t="s">
        <v>6153</v>
      </c>
    </row>
    <row r="25077" spans="8:8">
      <c r="H25077" s="680" t="s">
        <v>6153</v>
      </c>
    </row>
    <row r="25078" spans="8:8">
      <c r="H25078" s="680" t="s">
        <v>6153</v>
      </c>
    </row>
    <row r="25079" spans="8:8">
      <c r="H25079" s="680" t="s">
        <v>6153</v>
      </c>
    </row>
    <row r="25080" spans="8:8">
      <c r="H25080" s="680" t="s">
        <v>6153</v>
      </c>
    </row>
    <row r="25081" spans="8:8">
      <c r="H25081" s="680" t="s">
        <v>6153</v>
      </c>
    </row>
    <row r="25082" spans="8:8">
      <c r="H25082" s="680" t="s">
        <v>6153</v>
      </c>
    </row>
    <row r="25083" spans="8:8">
      <c r="H25083" s="680" t="s">
        <v>6153</v>
      </c>
    </row>
    <row r="25084" spans="8:8">
      <c r="H25084" s="680" t="s">
        <v>6153</v>
      </c>
    </row>
    <row r="25085" spans="8:8">
      <c r="H25085" s="680" t="s">
        <v>6153</v>
      </c>
    </row>
    <row r="25086" spans="8:8">
      <c r="H25086" s="680" t="s">
        <v>6153</v>
      </c>
    </row>
    <row r="25087" spans="8:8">
      <c r="H25087" s="680" t="s">
        <v>6153</v>
      </c>
    </row>
    <row r="25088" spans="8:8">
      <c r="H25088" s="680" t="s">
        <v>6153</v>
      </c>
    </row>
    <row r="25089" spans="8:8">
      <c r="H25089" s="680" t="s">
        <v>6153</v>
      </c>
    </row>
    <row r="25090" spans="8:8">
      <c r="H25090" s="680" t="s">
        <v>6153</v>
      </c>
    </row>
    <row r="25091" spans="8:8">
      <c r="H25091" s="680" t="s">
        <v>6153</v>
      </c>
    </row>
    <row r="25092" spans="8:8">
      <c r="H25092" s="680" t="s">
        <v>6153</v>
      </c>
    </row>
    <row r="25093" spans="8:8">
      <c r="H25093" s="680" t="s">
        <v>6153</v>
      </c>
    </row>
    <row r="25094" spans="8:8">
      <c r="H25094" s="680" t="s">
        <v>6153</v>
      </c>
    </row>
    <row r="25095" spans="8:8">
      <c r="H25095" s="680" t="s">
        <v>6153</v>
      </c>
    </row>
    <row r="25096" spans="8:8">
      <c r="H25096" s="680" t="s">
        <v>6153</v>
      </c>
    </row>
    <row r="25097" spans="8:8">
      <c r="H25097" s="680" t="s">
        <v>6153</v>
      </c>
    </row>
    <row r="25098" spans="8:8">
      <c r="H25098" s="680" t="s">
        <v>6153</v>
      </c>
    </row>
    <row r="25099" spans="8:8">
      <c r="H25099" s="680" t="s">
        <v>6153</v>
      </c>
    </row>
    <row r="25100" spans="8:8">
      <c r="H25100" s="680" t="s">
        <v>6153</v>
      </c>
    </row>
    <row r="25101" spans="8:8">
      <c r="H25101" s="680" t="s">
        <v>6153</v>
      </c>
    </row>
    <row r="25102" spans="8:8">
      <c r="H25102" s="680" t="s">
        <v>6153</v>
      </c>
    </row>
    <row r="25103" spans="8:8">
      <c r="H25103" s="680" t="s">
        <v>6153</v>
      </c>
    </row>
    <row r="25104" spans="8:8">
      <c r="H25104" s="680" t="s">
        <v>6153</v>
      </c>
    </row>
    <row r="25105" spans="8:8">
      <c r="H25105" s="680" t="s">
        <v>6153</v>
      </c>
    </row>
    <row r="25106" spans="8:8">
      <c r="H25106" s="680" t="s">
        <v>6153</v>
      </c>
    </row>
    <row r="25107" spans="8:8">
      <c r="H25107" s="680" t="s">
        <v>6153</v>
      </c>
    </row>
    <row r="25108" spans="8:8">
      <c r="H25108" s="680" t="s">
        <v>6153</v>
      </c>
    </row>
    <row r="25109" spans="8:8">
      <c r="H25109" s="680" t="s">
        <v>6153</v>
      </c>
    </row>
    <row r="25110" spans="8:8">
      <c r="H25110" s="680" t="s">
        <v>6153</v>
      </c>
    </row>
    <row r="25111" spans="8:8">
      <c r="H25111" s="680" t="s">
        <v>6153</v>
      </c>
    </row>
    <row r="25112" spans="8:8">
      <c r="H25112" s="680" t="s">
        <v>6153</v>
      </c>
    </row>
    <row r="25113" spans="8:8">
      <c r="H25113" s="680" t="s">
        <v>6153</v>
      </c>
    </row>
    <row r="25114" spans="8:8">
      <c r="H25114" s="680" t="s">
        <v>6153</v>
      </c>
    </row>
    <row r="25115" spans="8:8">
      <c r="H25115" s="680" t="s">
        <v>6153</v>
      </c>
    </row>
    <row r="25116" spans="8:8">
      <c r="H25116" s="680" t="s">
        <v>6153</v>
      </c>
    </row>
    <row r="25117" spans="8:8">
      <c r="H25117" s="680" t="s">
        <v>6153</v>
      </c>
    </row>
    <row r="25118" spans="8:8">
      <c r="H25118" s="680" t="s">
        <v>6153</v>
      </c>
    </row>
    <row r="25119" spans="8:8">
      <c r="H25119" s="680" t="s">
        <v>6153</v>
      </c>
    </row>
    <row r="25120" spans="8:8">
      <c r="H25120" s="680" t="s">
        <v>6153</v>
      </c>
    </row>
    <row r="25121" spans="8:8">
      <c r="H25121" s="680" t="s">
        <v>6153</v>
      </c>
    </row>
    <row r="25122" spans="8:8">
      <c r="H25122" s="680" t="s">
        <v>6153</v>
      </c>
    </row>
    <row r="25123" spans="8:8">
      <c r="H25123" s="680" t="s">
        <v>6153</v>
      </c>
    </row>
    <row r="25124" spans="8:8">
      <c r="H25124" s="680" t="s">
        <v>6153</v>
      </c>
    </row>
    <row r="25125" spans="8:8">
      <c r="H25125" s="680" t="s">
        <v>6153</v>
      </c>
    </row>
    <row r="25126" spans="8:8">
      <c r="H25126" s="680" t="s">
        <v>6153</v>
      </c>
    </row>
    <row r="25127" spans="8:8">
      <c r="H25127" s="680" t="s">
        <v>6153</v>
      </c>
    </row>
    <row r="25128" spans="8:8">
      <c r="H25128" s="680" t="s">
        <v>6153</v>
      </c>
    </row>
    <row r="25129" spans="8:8">
      <c r="H25129" s="680" t="s">
        <v>6153</v>
      </c>
    </row>
    <row r="25130" spans="8:8">
      <c r="H25130" s="680" t="s">
        <v>6153</v>
      </c>
    </row>
    <row r="25131" spans="8:8">
      <c r="H25131" s="680" t="s">
        <v>6153</v>
      </c>
    </row>
    <row r="25132" spans="8:8">
      <c r="H25132" s="680" t="s">
        <v>6153</v>
      </c>
    </row>
    <row r="25133" spans="8:8">
      <c r="H25133" s="680" t="s">
        <v>6153</v>
      </c>
    </row>
    <row r="25134" spans="8:8">
      <c r="H25134" s="680" t="s">
        <v>6153</v>
      </c>
    </row>
    <row r="25135" spans="8:8">
      <c r="H25135" s="680" t="s">
        <v>6153</v>
      </c>
    </row>
    <row r="25136" spans="8:8">
      <c r="H25136" s="680" t="s">
        <v>6153</v>
      </c>
    </row>
    <row r="25137" spans="8:8">
      <c r="H25137" s="680" t="s">
        <v>6153</v>
      </c>
    </row>
    <row r="25138" spans="8:8">
      <c r="H25138" s="680" t="s">
        <v>6153</v>
      </c>
    </row>
    <row r="25139" spans="8:8">
      <c r="H25139" s="680" t="s">
        <v>6153</v>
      </c>
    </row>
    <row r="25140" spans="8:8">
      <c r="H25140" s="680" t="s">
        <v>6153</v>
      </c>
    </row>
    <row r="25141" spans="8:8">
      <c r="H25141" s="680" t="s">
        <v>6153</v>
      </c>
    </row>
    <row r="25142" spans="8:8">
      <c r="H25142" s="680" t="s">
        <v>6153</v>
      </c>
    </row>
    <row r="25143" spans="8:8">
      <c r="H25143" s="680" t="s">
        <v>6153</v>
      </c>
    </row>
    <row r="25144" spans="8:8">
      <c r="H25144" s="680" t="s">
        <v>6153</v>
      </c>
    </row>
    <row r="25145" spans="8:8">
      <c r="H25145" s="680" t="s">
        <v>6153</v>
      </c>
    </row>
    <row r="25146" spans="8:8">
      <c r="H25146" s="680" t="s">
        <v>6153</v>
      </c>
    </row>
    <row r="25147" spans="8:8">
      <c r="H25147" s="680" t="s">
        <v>6153</v>
      </c>
    </row>
    <row r="25148" spans="8:8">
      <c r="H25148" s="680" t="s">
        <v>6153</v>
      </c>
    </row>
    <row r="25149" spans="8:8">
      <c r="H25149" s="680" t="s">
        <v>6153</v>
      </c>
    </row>
    <row r="25150" spans="8:8">
      <c r="H25150" s="680" t="s">
        <v>6153</v>
      </c>
    </row>
    <row r="25151" spans="8:8">
      <c r="H25151" s="680" t="s">
        <v>6153</v>
      </c>
    </row>
    <row r="25152" spans="8:8">
      <c r="H25152" s="680" t="s">
        <v>6153</v>
      </c>
    </row>
    <row r="25153" spans="8:8">
      <c r="H25153" s="680" t="s">
        <v>6153</v>
      </c>
    </row>
    <row r="25154" spans="8:8">
      <c r="H25154" s="680" t="s">
        <v>6153</v>
      </c>
    </row>
    <row r="25155" spans="8:8">
      <c r="H25155" s="680" t="s">
        <v>6153</v>
      </c>
    </row>
    <row r="25156" spans="8:8">
      <c r="H25156" s="680" t="s">
        <v>6153</v>
      </c>
    </row>
    <row r="25157" spans="8:8">
      <c r="H25157" s="680" t="s">
        <v>6153</v>
      </c>
    </row>
    <row r="25158" spans="8:8">
      <c r="H25158" s="680" t="s">
        <v>6153</v>
      </c>
    </row>
    <row r="25159" spans="8:8">
      <c r="H25159" s="680" t="s">
        <v>6153</v>
      </c>
    </row>
    <row r="25160" spans="8:8">
      <c r="H25160" s="680" t="s">
        <v>6153</v>
      </c>
    </row>
    <row r="25161" spans="8:8">
      <c r="H25161" s="680" t="s">
        <v>6153</v>
      </c>
    </row>
    <row r="25162" spans="8:8">
      <c r="H25162" s="680" t="s">
        <v>6153</v>
      </c>
    </row>
    <row r="25163" spans="8:8">
      <c r="H25163" s="680" t="s">
        <v>6153</v>
      </c>
    </row>
    <row r="25164" spans="8:8">
      <c r="H25164" s="680" t="s">
        <v>6153</v>
      </c>
    </row>
    <row r="25165" spans="8:8">
      <c r="H25165" s="680" t="s">
        <v>6153</v>
      </c>
    </row>
    <row r="25166" spans="8:8">
      <c r="H25166" s="680" t="s">
        <v>6153</v>
      </c>
    </row>
    <row r="25167" spans="8:8">
      <c r="H25167" s="680" t="s">
        <v>6153</v>
      </c>
    </row>
    <row r="25168" spans="8:8">
      <c r="H25168" s="680" t="s">
        <v>6153</v>
      </c>
    </row>
    <row r="25169" spans="8:8">
      <c r="H25169" s="680" t="s">
        <v>6153</v>
      </c>
    </row>
    <row r="25170" spans="8:8">
      <c r="H25170" s="680" t="s">
        <v>6153</v>
      </c>
    </row>
    <row r="25171" spans="8:8">
      <c r="H25171" s="680" t="s">
        <v>6153</v>
      </c>
    </row>
    <row r="25172" spans="8:8">
      <c r="H25172" s="680" t="s">
        <v>6153</v>
      </c>
    </row>
    <row r="25173" spans="8:8">
      <c r="H25173" s="680" t="s">
        <v>6153</v>
      </c>
    </row>
    <row r="25174" spans="8:8">
      <c r="H25174" s="680" t="s">
        <v>6153</v>
      </c>
    </row>
    <row r="25175" spans="8:8">
      <c r="H25175" s="680" t="s">
        <v>6153</v>
      </c>
    </row>
    <row r="25176" spans="8:8">
      <c r="H25176" s="680" t="s">
        <v>6153</v>
      </c>
    </row>
    <row r="25177" spans="8:8">
      <c r="H25177" s="680" t="s">
        <v>6153</v>
      </c>
    </row>
    <row r="25178" spans="8:8">
      <c r="H25178" s="680" t="s">
        <v>6153</v>
      </c>
    </row>
    <row r="25179" spans="8:8">
      <c r="H25179" s="680" t="s">
        <v>6153</v>
      </c>
    </row>
    <row r="25180" spans="8:8">
      <c r="H25180" s="680" t="s">
        <v>6153</v>
      </c>
    </row>
    <row r="25181" spans="8:8">
      <c r="H25181" s="680" t="s">
        <v>6153</v>
      </c>
    </row>
    <row r="25182" spans="8:8">
      <c r="H25182" s="680" t="s">
        <v>6153</v>
      </c>
    </row>
    <row r="25183" spans="8:8">
      <c r="H25183" s="680" t="s">
        <v>6153</v>
      </c>
    </row>
    <row r="25184" spans="8:8">
      <c r="H25184" s="680" t="s">
        <v>6153</v>
      </c>
    </row>
    <row r="25185" spans="8:8">
      <c r="H25185" s="680" t="s">
        <v>6153</v>
      </c>
    </row>
    <row r="25186" spans="8:8">
      <c r="H25186" s="680" t="s">
        <v>6153</v>
      </c>
    </row>
    <row r="25187" spans="8:8">
      <c r="H25187" s="680" t="s">
        <v>6153</v>
      </c>
    </row>
    <row r="25188" spans="8:8">
      <c r="H25188" s="680" t="s">
        <v>6153</v>
      </c>
    </row>
    <row r="25189" spans="8:8">
      <c r="H25189" s="680" t="s">
        <v>6153</v>
      </c>
    </row>
    <row r="25190" spans="8:8">
      <c r="H25190" s="680" t="s">
        <v>6153</v>
      </c>
    </row>
    <row r="25191" spans="8:8">
      <c r="H25191" s="680" t="s">
        <v>6153</v>
      </c>
    </row>
    <row r="25192" spans="8:8">
      <c r="H25192" s="680" t="s">
        <v>6153</v>
      </c>
    </row>
    <row r="25193" spans="8:8">
      <c r="H25193" s="680" t="s">
        <v>6153</v>
      </c>
    </row>
    <row r="25194" spans="8:8">
      <c r="H25194" s="680" t="s">
        <v>6153</v>
      </c>
    </row>
    <row r="25195" spans="8:8">
      <c r="H25195" s="680" t="s">
        <v>6153</v>
      </c>
    </row>
    <row r="25196" spans="8:8">
      <c r="H25196" s="680" t="s">
        <v>6153</v>
      </c>
    </row>
    <row r="25197" spans="8:8">
      <c r="H25197" s="680" t="s">
        <v>6153</v>
      </c>
    </row>
    <row r="25198" spans="8:8">
      <c r="H25198" s="680" t="s">
        <v>6153</v>
      </c>
    </row>
    <row r="25199" spans="8:8">
      <c r="H25199" s="680" t="s">
        <v>6153</v>
      </c>
    </row>
    <row r="25200" spans="8:8">
      <c r="H25200" s="680" t="s">
        <v>6153</v>
      </c>
    </row>
    <row r="25201" spans="8:8">
      <c r="H25201" s="680" t="s">
        <v>6153</v>
      </c>
    </row>
    <row r="25202" spans="8:8">
      <c r="H25202" s="680" t="s">
        <v>6153</v>
      </c>
    </row>
    <row r="25203" spans="8:8">
      <c r="H25203" s="680" t="s">
        <v>6153</v>
      </c>
    </row>
    <row r="25204" spans="8:8">
      <c r="H25204" s="680" t="s">
        <v>6153</v>
      </c>
    </row>
    <row r="25205" spans="8:8">
      <c r="H25205" s="680" t="s">
        <v>6153</v>
      </c>
    </row>
    <row r="25206" spans="8:8">
      <c r="H25206" s="680" t="s">
        <v>6153</v>
      </c>
    </row>
    <row r="25207" spans="8:8">
      <c r="H25207" s="680" t="s">
        <v>6153</v>
      </c>
    </row>
    <row r="25208" spans="8:8">
      <c r="H25208" s="680" t="s">
        <v>6153</v>
      </c>
    </row>
    <row r="25209" spans="8:8">
      <c r="H25209" s="680" t="s">
        <v>6153</v>
      </c>
    </row>
    <row r="25210" spans="8:8">
      <c r="H25210" s="680" t="s">
        <v>6153</v>
      </c>
    </row>
    <row r="25211" spans="8:8">
      <c r="H25211" s="680" t="s">
        <v>6153</v>
      </c>
    </row>
    <row r="25212" spans="8:8">
      <c r="H25212" s="680" t="s">
        <v>6153</v>
      </c>
    </row>
    <row r="25213" spans="8:8">
      <c r="H25213" s="680" t="s">
        <v>6153</v>
      </c>
    </row>
    <row r="25214" spans="8:8">
      <c r="H25214" s="680" t="s">
        <v>6153</v>
      </c>
    </row>
    <row r="25215" spans="8:8">
      <c r="H25215" s="680" t="s">
        <v>6153</v>
      </c>
    </row>
    <row r="25216" spans="8:8">
      <c r="H25216" s="680" t="s">
        <v>6153</v>
      </c>
    </row>
    <row r="25217" spans="8:8">
      <c r="H25217" s="680" t="s">
        <v>6153</v>
      </c>
    </row>
    <row r="25218" spans="8:8">
      <c r="H25218" s="680" t="s">
        <v>6153</v>
      </c>
    </row>
    <row r="25219" spans="8:8">
      <c r="H25219" s="680" t="s">
        <v>6153</v>
      </c>
    </row>
    <row r="25220" spans="8:8">
      <c r="H25220" s="680" t="s">
        <v>6153</v>
      </c>
    </row>
    <row r="25221" spans="8:8">
      <c r="H25221" s="680" t="s">
        <v>6153</v>
      </c>
    </row>
    <row r="25222" spans="8:8">
      <c r="H25222" s="680" t="s">
        <v>6153</v>
      </c>
    </row>
    <row r="25223" spans="8:8">
      <c r="H25223" s="680" t="s">
        <v>6153</v>
      </c>
    </row>
    <row r="25224" spans="8:8">
      <c r="H25224" s="680" t="s">
        <v>6153</v>
      </c>
    </row>
    <row r="25225" spans="8:8">
      <c r="H25225" s="680" t="s">
        <v>6153</v>
      </c>
    </row>
    <row r="25226" spans="8:8">
      <c r="H25226" s="680" t="s">
        <v>6153</v>
      </c>
    </row>
    <row r="25227" spans="8:8">
      <c r="H25227" s="680" t="s">
        <v>6153</v>
      </c>
    </row>
    <row r="25228" spans="8:8">
      <c r="H25228" s="680" t="s">
        <v>6153</v>
      </c>
    </row>
    <row r="25229" spans="8:8">
      <c r="H25229" s="680" t="s">
        <v>6153</v>
      </c>
    </row>
    <row r="25230" spans="8:8">
      <c r="H25230" s="680" t="s">
        <v>6153</v>
      </c>
    </row>
    <row r="25231" spans="8:8">
      <c r="H25231" s="680" t="s">
        <v>6153</v>
      </c>
    </row>
    <row r="25232" spans="8:8">
      <c r="H25232" s="680" t="s">
        <v>6153</v>
      </c>
    </row>
    <row r="25233" spans="8:8">
      <c r="H25233" s="680" t="s">
        <v>6153</v>
      </c>
    </row>
    <row r="25234" spans="8:8">
      <c r="H25234" s="680" t="s">
        <v>6153</v>
      </c>
    </row>
    <row r="25235" spans="8:8">
      <c r="H25235" s="680" t="s">
        <v>6153</v>
      </c>
    </row>
    <row r="25236" spans="8:8">
      <c r="H25236" s="680" t="s">
        <v>6153</v>
      </c>
    </row>
    <row r="25237" spans="8:8">
      <c r="H25237" s="680" t="s">
        <v>6153</v>
      </c>
    </row>
    <row r="25238" spans="8:8">
      <c r="H25238" s="680" t="s">
        <v>6153</v>
      </c>
    </row>
    <row r="25239" spans="8:8">
      <c r="H25239" s="680" t="s">
        <v>6153</v>
      </c>
    </row>
    <row r="25240" spans="8:8">
      <c r="H25240" s="680" t="s">
        <v>6153</v>
      </c>
    </row>
    <row r="25241" spans="8:8">
      <c r="H25241" s="680" t="s">
        <v>6153</v>
      </c>
    </row>
    <row r="25242" spans="8:8">
      <c r="H25242" s="680" t="s">
        <v>6153</v>
      </c>
    </row>
    <row r="25243" spans="8:8">
      <c r="H25243" s="680" t="s">
        <v>6153</v>
      </c>
    </row>
    <row r="25244" spans="8:8">
      <c r="H25244" s="680" t="s">
        <v>6153</v>
      </c>
    </row>
    <row r="25245" spans="8:8">
      <c r="H25245" s="680" t="s">
        <v>6153</v>
      </c>
    </row>
    <row r="25246" spans="8:8">
      <c r="H25246" s="680" t="s">
        <v>6153</v>
      </c>
    </row>
    <row r="25247" spans="8:8">
      <c r="H25247" s="680" t="s">
        <v>6153</v>
      </c>
    </row>
    <row r="25248" spans="8:8">
      <c r="H25248" s="680" t="s">
        <v>6153</v>
      </c>
    </row>
    <row r="25249" spans="8:8">
      <c r="H25249" s="680" t="s">
        <v>6153</v>
      </c>
    </row>
    <row r="25250" spans="8:8">
      <c r="H25250" s="680" t="s">
        <v>6153</v>
      </c>
    </row>
    <row r="25251" spans="8:8">
      <c r="H25251" s="680" t="s">
        <v>6153</v>
      </c>
    </row>
    <row r="25252" spans="8:8">
      <c r="H25252" s="680" t="s">
        <v>6153</v>
      </c>
    </row>
    <row r="25253" spans="8:8">
      <c r="H25253" s="680" t="s">
        <v>6153</v>
      </c>
    </row>
    <row r="25254" spans="8:8">
      <c r="H25254" s="680" t="s">
        <v>6153</v>
      </c>
    </row>
    <row r="25255" spans="8:8">
      <c r="H25255" s="680" t="s">
        <v>6153</v>
      </c>
    </row>
    <row r="25256" spans="8:8">
      <c r="H25256" s="680" t="s">
        <v>6153</v>
      </c>
    </row>
    <row r="25257" spans="8:8">
      <c r="H25257" s="680" t="s">
        <v>6153</v>
      </c>
    </row>
    <row r="25258" spans="8:8">
      <c r="H25258" s="680" t="s">
        <v>6153</v>
      </c>
    </row>
    <row r="25259" spans="8:8">
      <c r="H25259" s="680" t="s">
        <v>6153</v>
      </c>
    </row>
    <row r="25260" spans="8:8">
      <c r="H25260" s="680" t="s">
        <v>6153</v>
      </c>
    </row>
    <row r="25261" spans="8:8">
      <c r="H25261" s="680" t="s">
        <v>6153</v>
      </c>
    </row>
    <row r="25262" spans="8:8">
      <c r="H25262" s="680" t="s">
        <v>6153</v>
      </c>
    </row>
    <row r="25263" spans="8:8">
      <c r="H25263" s="680" t="s">
        <v>6153</v>
      </c>
    </row>
    <row r="25264" spans="8:8">
      <c r="H25264" s="680" t="s">
        <v>6153</v>
      </c>
    </row>
    <row r="25265" spans="8:8">
      <c r="H25265" s="680" t="s">
        <v>6153</v>
      </c>
    </row>
    <row r="25266" spans="8:8">
      <c r="H25266" s="680" t="s">
        <v>6153</v>
      </c>
    </row>
    <row r="25267" spans="8:8">
      <c r="H25267" s="680" t="s">
        <v>6153</v>
      </c>
    </row>
    <row r="25268" spans="8:8">
      <c r="H25268" s="680" t="s">
        <v>6153</v>
      </c>
    </row>
    <row r="25269" spans="8:8">
      <c r="H25269" s="680" t="s">
        <v>6153</v>
      </c>
    </row>
    <row r="25270" spans="8:8">
      <c r="H25270" s="680" t="s">
        <v>6153</v>
      </c>
    </row>
    <row r="25271" spans="8:8">
      <c r="H25271" s="680" t="s">
        <v>6153</v>
      </c>
    </row>
    <row r="25272" spans="8:8">
      <c r="H25272" s="680" t="s">
        <v>6153</v>
      </c>
    </row>
    <row r="25273" spans="8:8">
      <c r="H25273" s="680" t="s">
        <v>6153</v>
      </c>
    </row>
    <row r="25274" spans="8:8">
      <c r="H25274" s="680" t="s">
        <v>6153</v>
      </c>
    </row>
    <row r="25275" spans="8:8">
      <c r="H25275" s="680" t="s">
        <v>6153</v>
      </c>
    </row>
    <row r="25276" spans="8:8">
      <c r="H25276" s="680" t="s">
        <v>6153</v>
      </c>
    </row>
    <row r="25277" spans="8:8">
      <c r="H25277" s="680" t="s">
        <v>6153</v>
      </c>
    </row>
    <row r="25278" spans="8:8">
      <c r="H25278" s="680" t="s">
        <v>6153</v>
      </c>
    </row>
    <row r="25279" spans="8:8">
      <c r="H25279" s="680" t="s">
        <v>6153</v>
      </c>
    </row>
    <row r="25280" spans="8:8">
      <c r="H25280" s="680" t="s">
        <v>6153</v>
      </c>
    </row>
    <row r="25281" spans="8:8">
      <c r="H25281" s="680" t="s">
        <v>6153</v>
      </c>
    </row>
    <row r="25282" spans="8:8">
      <c r="H25282" s="680" t="s">
        <v>6153</v>
      </c>
    </row>
    <row r="25283" spans="8:8">
      <c r="H25283" s="680" t="s">
        <v>6153</v>
      </c>
    </row>
    <row r="25284" spans="8:8">
      <c r="H25284" s="680" t="s">
        <v>6153</v>
      </c>
    </row>
    <row r="25285" spans="8:8">
      <c r="H25285" s="680" t="s">
        <v>6153</v>
      </c>
    </row>
    <row r="25286" spans="8:8">
      <c r="H25286" s="680" t="s">
        <v>6153</v>
      </c>
    </row>
    <row r="25287" spans="8:8">
      <c r="H25287" s="680" t="s">
        <v>6153</v>
      </c>
    </row>
    <row r="25288" spans="8:8">
      <c r="H25288" s="680" t="s">
        <v>6153</v>
      </c>
    </row>
    <row r="25289" spans="8:8">
      <c r="H25289" s="680" t="s">
        <v>6153</v>
      </c>
    </row>
    <row r="25290" spans="8:8">
      <c r="H25290" s="680" t="s">
        <v>6153</v>
      </c>
    </row>
    <row r="25291" spans="8:8">
      <c r="H25291" s="680" t="s">
        <v>6153</v>
      </c>
    </row>
    <row r="25292" spans="8:8">
      <c r="H25292" s="680" t="s">
        <v>6153</v>
      </c>
    </row>
    <row r="25293" spans="8:8">
      <c r="H25293" s="680" t="s">
        <v>6153</v>
      </c>
    </row>
    <row r="25294" spans="8:8">
      <c r="H25294" s="680" t="s">
        <v>6153</v>
      </c>
    </row>
    <row r="25295" spans="8:8">
      <c r="H25295" s="680" t="s">
        <v>6153</v>
      </c>
    </row>
    <row r="25296" spans="8:8">
      <c r="H25296" s="680" t="s">
        <v>6153</v>
      </c>
    </row>
    <row r="25297" spans="8:8">
      <c r="H25297" s="680" t="s">
        <v>6153</v>
      </c>
    </row>
    <row r="25298" spans="8:8">
      <c r="H25298" s="680" t="s">
        <v>6153</v>
      </c>
    </row>
    <row r="25299" spans="8:8">
      <c r="H25299" s="680" t="s">
        <v>6153</v>
      </c>
    </row>
    <row r="25300" spans="8:8">
      <c r="H25300" s="680" t="s">
        <v>6153</v>
      </c>
    </row>
    <row r="25301" spans="8:8">
      <c r="H25301" s="680" t="s">
        <v>6153</v>
      </c>
    </row>
    <row r="25302" spans="8:8">
      <c r="H25302" s="680" t="s">
        <v>6153</v>
      </c>
    </row>
    <row r="25303" spans="8:8">
      <c r="H25303" s="680" t="s">
        <v>6153</v>
      </c>
    </row>
    <row r="25304" spans="8:8">
      <c r="H25304" s="680" t="s">
        <v>6153</v>
      </c>
    </row>
    <row r="25305" spans="8:8">
      <c r="H25305" s="680" t="s">
        <v>6153</v>
      </c>
    </row>
    <row r="25306" spans="8:8">
      <c r="H25306" s="680" t="s">
        <v>6153</v>
      </c>
    </row>
    <row r="25307" spans="8:8">
      <c r="H25307" s="680" t="s">
        <v>6153</v>
      </c>
    </row>
    <row r="25308" spans="8:8">
      <c r="H25308" s="680" t="s">
        <v>6153</v>
      </c>
    </row>
    <row r="25309" spans="8:8">
      <c r="H25309" s="680" t="s">
        <v>6153</v>
      </c>
    </row>
    <row r="25310" spans="8:8">
      <c r="H25310" s="680" t="s">
        <v>6153</v>
      </c>
    </row>
    <row r="25311" spans="8:8">
      <c r="H25311" s="680" t="s">
        <v>6153</v>
      </c>
    </row>
    <row r="25312" spans="8:8">
      <c r="H25312" s="680" t="s">
        <v>6153</v>
      </c>
    </row>
    <row r="25313" spans="8:8">
      <c r="H25313" s="680" t="s">
        <v>6153</v>
      </c>
    </row>
    <row r="25314" spans="8:8">
      <c r="H25314" s="680" t="s">
        <v>6153</v>
      </c>
    </row>
    <row r="25315" spans="8:8">
      <c r="H25315" s="680" t="s">
        <v>6153</v>
      </c>
    </row>
    <row r="25316" spans="8:8">
      <c r="H25316" s="680" t="s">
        <v>6153</v>
      </c>
    </row>
    <row r="25317" spans="8:8">
      <c r="H25317" s="680" t="s">
        <v>6153</v>
      </c>
    </row>
    <row r="25318" spans="8:8">
      <c r="H25318" s="680" t="s">
        <v>6153</v>
      </c>
    </row>
    <row r="25319" spans="8:8">
      <c r="H25319" s="680" t="s">
        <v>6153</v>
      </c>
    </row>
    <row r="25320" spans="8:8">
      <c r="H25320" s="680" t="s">
        <v>6153</v>
      </c>
    </row>
    <row r="25321" spans="8:8">
      <c r="H25321" s="680" t="s">
        <v>6153</v>
      </c>
    </row>
    <row r="25322" spans="8:8">
      <c r="H25322" s="680" t="s">
        <v>6153</v>
      </c>
    </row>
    <row r="25323" spans="8:8">
      <c r="H25323" s="680" t="s">
        <v>6153</v>
      </c>
    </row>
    <row r="25324" spans="8:8">
      <c r="H25324" s="680" t="s">
        <v>6153</v>
      </c>
    </row>
    <row r="25325" spans="8:8">
      <c r="H25325" s="680" t="s">
        <v>6153</v>
      </c>
    </row>
    <row r="25326" spans="8:8">
      <c r="H25326" s="680" t="s">
        <v>6153</v>
      </c>
    </row>
    <row r="25327" spans="8:8">
      <c r="H25327" s="680" t="s">
        <v>6153</v>
      </c>
    </row>
    <row r="25328" spans="8:8">
      <c r="H25328" s="680" t="s">
        <v>6153</v>
      </c>
    </row>
    <row r="25329" spans="8:8">
      <c r="H25329" s="680" t="s">
        <v>6153</v>
      </c>
    </row>
    <row r="25330" spans="8:8">
      <c r="H25330" s="680" t="s">
        <v>6153</v>
      </c>
    </row>
    <row r="25331" spans="8:8">
      <c r="H25331" s="680" t="s">
        <v>6153</v>
      </c>
    </row>
    <row r="25332" spans="8:8">
      <c r="H25332" s="680" t="s">
        <v>6153</v>
      </c>
    </row>
    <row r="25333" spans="8:8">
      <c r="H25333" s="680" t="s">
        <v>6153</v>
      </c>
    </row>
    <row r="25334" spans="8:8">
      <c r="H25334" s="680" t="s">
        <v>6153</v>
      </c>
    </row>
    <row r="25335" spans="8:8">
      <c r="H25335" s="680" t="s">
        <v>6153</v>
      </c>
    </row>
    <row r="25336" spans="8:8">
      <c r="H25336" s="680" t="s">
        <v>6153</v>
      </c>
    </row>
    <row r="25337" spans="8:8">
      <c r="H25337" s="680" t="s">
        <v>6153</v>
      </c>
    </row>
    <row r="25338" spans="8:8">
      <c r="H25338" s="680" t="s">
        <v>6153</v>
      </c>
    </row>
    <row r="25339" spans="8:8">
      <c r="H25339" s="680" t="s">
        <v>6153</v>
      </c>
    </row>
    <row r="25340" spans="8:8">
      <c r="H25340" s="680" t="s">
        <v>6153</v>
      </c>
    </row>
    <row r="25341" spans="8:8">
      <c r="H25341" s="680" t="s">
        <v>6153</v>
      </c>
    </row>
    <row r="25342" spans="8:8">
      <c r="H25342" s="680" t="s">
        <v>6153</v>
      </c>
    </row>
    <row r="25343" spans="8:8">
      <c r="H25343" s="680" t="s">
        <v>6153</v>
      </c>
    </row>
    <row r="25344" spans="8:8">
      <c r="H25344" s="680" t="s">
        <v>6153</v>
      </c>
    </row>
    <row r="25345" spans="8:8">
      <c r="H25345" s="680" t="s">
        <v>6153</v>
      </c>
    </row>
    <row r="25346" spans="8:8">
      <c r="H25346" s="680" t="s">
        <v>6153</v>
      </c>
    </row>
    <row r="25347" spans="8:8">
      <c r="H25347" s="680" t="s">
        <v>6153</v>
      </c>
    </row>
    <row r="25348" spans="8:8">
      <c r="H25348" s="680" t="s">
        <v>6153</v>
      </c>
    </row>
    <row r="25349" spans="8:8">
      <c r="H25349" s="680" t="s">
        <v>6153</v>
      </c>
    </row>
    <row r="25350" spans="8:8">
      <c r="H25350" s="680" t="s">
        <v>6153</v>
      </c>
    </row>
    <row r="25351" spans="8:8">
      <c r="H25351" s="680" t="s">
        <v>6153</v>
      </c>
    </row>
    <row r="25352" spans="8:8">
      <c r="H25352" s="680" t="s">
        <v>6153</v>
      </c>
    </row>
    <row r="25353" spans="8:8">
      <c r="H25353" s="680" t="s">
        <v>6153</v>
      </c>
    </row>
    <row r="25354" spans="8:8">
      <c r="H25354" s="680" t="s">
        <v>6153</v>
      </c>
    </row>
    <row r="25355" spans="8:8">
      <c r="H25355" s="680" t="s">
        <v>6153</v>
      </c>
    </row>
    <row r="25356" spans="8:8">
      <c r="H25356" s="680" t="s">
        <v>6153</v>
      </c>
    </row>
    <row r="25357" spans="8:8">
      <c r="H25357" s="680" t="s">
        <v>6153</v>
      </c>
    </row>
    <row r="25358" spans="8:8">
      <c r="H25358" s="680" t="s">
        <v>6153</v>
      </c>
    </row>
    <row r="25359" spans="8:8">
      <c r="H25359" s="680" t="s">
        <v>6153</v>
      </c>
    </row>
    <row r="25360" spans="8:8">
      <c r="H25360" s="680" t="s">
        <v>6153</v>
      </c>
    </row>
    <row r="25361" spans="8:8">
      <c r="H25361" s="680" t="s">
        <v>6153</v>
      </c>
    </row>
    <row r="25362" spans="8:8">
      <c r="H25362" s="680" t="s">
        <v>6153</v>
      </c>
    </row>
    <row r="25363" spans="8:8">
      <c r="H25363" s="680" t="s">
        <v>6153</v>
      </c>
    </row>
    <row r="25364" spans="8:8">
      <c r="H25364" s="680" t="s">
        <v>6153</v>
      </c>
    </row>
    <row r="25365" spans="8:8">
      <c r="H25365" s="680" t="s">
        <v>6153</v>
      </c>
    </row>
    <row r="25366" spans="8:8">
      <c r="H25366" s="680" t="s">
        <v>6153</v>
      </c>
    </row>
    <row r="25367" spans="8:8">
      <c r="H25367" s="680" t="s">
        <v>6153</v>
      </c>
    </row>
    <row r="25368" spans="8:8">
      <c r="H25368" s="680" t="s">
        <v>6153</v>
      </c>
    </row>
    <row r="25369" spans="8:8">
      <c r="H25369" s="680" t="s">
        <v>6153</v>
      </c>
    </row>
    <row r="25370" spans="8:8">
      <c r="H25370" s="680" t="s">
        <v>6153</v>
      </c>
    </row>
    <row r="25371" spans="8:8">
      <c r="H25371" s="680" t="s">
        <v>6153</v>
      </c>
    </row>
    <row r="25372" spans="8:8">
      <c r="H25372" s="680" t="s">
        <v>6153</v>
      </c>
    </row>
    <row r="25373" spans="8:8">
      <c r="H25373" s="680" t="s">
        <v>6153</v>
      </c>
    </row>
    <row r="25374" spans="8:8">
      <c r="H25374" s="680" t="s">
        <v>6153</v>
      </c>
    </row>
    <row r="25375" spans="8:8">
      <c r="H25375" s="680" t="s">
        <v>6153</v>
      </c>
    </row>
    <row r="25376" spans="8:8">
      <c r="H25376" s="680" t="s">
        <v>6153</v>
      </c>
    </row>
    <row r="25377" spans="8:8">
      <c r="H25377" s="680" t="s">
        <v>6153</v>
      </c>
    </row>
    <row r="25378" spans="8:8">
      <c r="H25378" s="680" t="s">
        <v>6153</v>
      </c>
    </row>
    <row r="25379" spans="8:8">
      <c r="H25379" s="680" t="s">
        <v>6153</v>
      </c>
    </row>
    <row r="25380" spans="8:8">
      <c r="H25380" s="680" t="s">
        <v>6153</v>
      </c>
    </row>
    <row r="25381" spans="8:8">
      <c r="H25381" s="680" t="s">
        <v>6153</v>
      </c>
    </row>
    <row r="25382" spans="8:8">
      <c r="H25382" s="680" t="s">
        <v>6153</v>
      </c>
    </row>
    <row r="25383" spans="8:8">
      <c r="H25383" s="680" t="s">
        <v>6153</v>
      </c>
    </row>
    <row r="25384" spans="8:8">
      <c r="H25384" s="680" t="s">
        <v>6153</v>
      </c>
    </row>
    <row r="25385" spans="8:8">
      <c r="H25385" s="680" t="s">
        <v>6153</v>
      </c>
    </row>
    <row r="25386" spans="8:8">
      <c r="H25386" s="680" t="s">
        <v>6153</v>
      </c>
    </row>
    <row r="25387" spans="8:8">
      <c r="H25387" s="680" t="s">
        <v>6153</v>
      </c>
    </row>
    <row r="25388" spans="8:8">
      <c r="H25388" s="680" t="s">
        <v>6153</v>
      </c>
    </row>
    <row r="25389" spans="8:8">
      <c r="H25389" s="680" t="s">
        <v>6153</v>
      </c>
    </row>
    <row r="25390" spans="8:8">
      <c r="H25390" s="680" t="s">
        <v>6153</v>
      </c>
    </row>
    <row r="25391" spans="8:8">
      <c r="H25391" s="680" t="s">
        <v>6153</v>
      </c>
    </row>
    <row r="25392" spans="8:8">
      <c r="H25392" s="680" t="s">
        <v>6153</v>
      </c>
    </row>
    <row r="25393" spans="8:8">
      <c r="H25393" s="680" t="s">
        <v>6153</v>
      </c>
    </row>
    <row r="25394" spans="8:8">
      <c r="H25394" s="680" t="s">
        <v>6153</v>
      </c>
    </row>
    <row r="25395" spans="8:8">
      <c r="H25395" s="680" t="s">
        <v>6153</v>
      </c>
    </row>
    <row r="25396" spans="8:8">
      <c r="H25396" s="680" t="s">
        <v>6153</v>
      </c>
    </row>
    <row r="25397" spans="8:8">
      <c r="H25397" s="680" t="s">
        <v>6153</v>
      </c>
    </row>
    <row r="25398" spans="8:8">
      <c r="H25398" s="680" t="s">
        <v>6153</v>
      </c>
    </row>
    <row r="25399" spans="8:8">
      <c r="H25399" s="680" t="s">
        <v>6153</v>
      </c>
    </row>
    <row r="25400" spans="8:8">
      <c r="H25400" s="680" t="s">
        <v>6153</v>
      </c>
    </row>
    <row r="25401" spans="8:8">
      <c r="H25401" s="680" t="s">
        <v>6153</v>
      </c>
    </row>
    <row r="25402" spans="8:8">
      <c r="H25402" s="680" t="s">
        <v>6153</v>
      </c>
    </row>
    <row r="25403" spans="8:8">
      <c r="H25403" s="680" t="s">
        <v>6153</v>
      </c>
    </row>
    <row r="25404" spans="8:8">
      <c r="H25404" s="680" t="s">
        <v>6153</v>
      </c>
    </row>
    <row r="25405" spans="8:8">
      <c r="H25405" s="680" t="s">
        <v>6153</v>
      </c>
    </row>
    <row r="25406" spans="8:8">
      <c r="H25406" s="680" t="s">
        <v>6153</v>
      </c>
    </row>
    <row r="25407" spans="8:8">
      <c r="H25407" s="680" t="s">
        <v>6153</v>
      </c>
    </row>
    <row r="25408" spans="8:8">
      <c r="H25408" s="680" t="s">
        <v>6153</v>
      </c>
    </row>
    <row r="25409" spans="8:8">
      <c r="H25409" s="680" t="s">
        <v>6153</v>
      </c>
    </row>
    <row r="25410" spans="8:8">
      <c r="H25410" s="680" t="s">
        <v>6153</v>
      </c>
    </row>
    <row r="25411" spans="8:8">
      <c r="H25411" s="680" t="s">
        <v>6153</v>
      </c>
    </row>
    <row r="25412" spans="8:8">
      <c r="H25412" s="680" t="s">
        <v>6153</v>
      </c>
    </row>
    <row r="25413" spans="8:8">
      <c r="H25413" s="680" t="s">
        <v>6153</v>
      </c>
    </row>
    <row r="25414" spans="8:8">
      <c r="H25414" s="680" t="s">
        <v>6153</v>
      </c>
    </row>
    <row r="25415" spans="8:8">
      <c r="H25415" s="680" t="s">
        <v>6153</v>
      </c>
    </row>
    <row r="25416" spans="8:8">
      <c r="H25416" s="680" t="s">
        <v>6153</v>
      </c>
    </row>
    <row r="25417" spans="8:8">
      <c r="H25417" s="680" t="s">
        <v>6153</v>
      </c>
    </row>
    <row r="25418" spans="8:8">
      <c r="H25418" s="680" t="s">
        <v>6153</v>
      </c>
    </row>
    <row r="25419" spans="8:8">
      <c r="H25419" s="680" t="s">
        <v>6153</v>
      </c>
    </row>
    <row r="25420" spans="8:8">
      <c r="H25420" s="680" t="s">
        <v>6153</v>
      </c>
    </row>
    <row r="25421" spans="8:8">
      <c r="H25421" s="680" t="s">
        <v>6153</v>
      </c>
    </row>
    <row r="25422" spans="8:8">
      <c r="H25422" s="680" t="s">
        <v>6153</v>
      </c>
    </row>
    <row r="25423" spans="8:8">
      <c r="H25423" s="680" t="s">
        <v>6153</v>
      </c>
    </row>
    <row r="25424" spans="8:8">
      <c r="H25424" s="680" t="s">
        <v>6153</v>
      </c>
    </row>
    <row r="25425" spans="8:8">
      <c r="H25425" s="680" t="s">
        <v>6153</v>
      </c>
    </row>
    <row r="25426" spans="8:8">
      <c r="H25426" s="680" t="s">
        <v>6153</v>
      </c>
    </row>
    <row r="25427" spans="8:8">
      <c r="H25427" s="680" t="s">
        <v>6153</v>
      </c>
    </row>
    <row r="25428" spans="8:8">
      <c r="H25428" s="680" t="s">
        <v>6153</v>
      </c>
    </row>
    <row r="25429" spans="8:8">
      <c r="H25429" s="680" t="s">
        <v>6153</v>
      </c>
    </row>
    <row r="25430" spans="8:8">
      <c r="H25430" s="680" t="s">
        <v>6153</v>
      </c>
    </row>
    <row r="25431" spans="8:8">
      <c r="H25431" s="680" t="s">
        <v>6153</v>
      </c>
    </row>
    <row r="25432" spans="8:8">
      <c r="H25432" s="680" t="s">
        <v>6153</v>
      </c>
    </row>
    <row r="25433" spans="8:8">
      <c r="H25433" s="680" t="s">
        <v>6153</v>
      </c>
    </row>
    <row r="25434" spans="8:8">
      <c r="H25434" s="680" t="s">
        <v>6153</v>
      </c>
    </row>
    <row r="25435" spans="8:8">
      <c r="H25435" s="680" t="s">
        <v>6153</v>
      </c>
    </row>
    <row r="25436" spans="8:8">
      <c r="H25436" s="680" t="s">
        <v>6153</v>
      </c>
    </row>
    <row r="25437" spans="8:8">
      <c r="H25437" s="680" t="s">
        <v>6153</v>
      </c>
    </row>
    <row r="25438" spans="8:8">
      <c r="H25438" s="680" t="s">
        <v>6153</v>
      </c>
    </row>
    <row r="25439" spans="8:8">
      <c r="H25439" s="680" t="s">
        <v>6153</v>
      </c>
    </row>
    <row r="25440" spans="8:8">
      <c r="H25440" s="680" t="s">
        <v>6153</v>
      </c>
    </row>
    <row r="25441" spans="8:8">
      <c r="H25441" s="680" t="s">
        <v>6153</v>
      </c>
    </row>
    <row r="25442" spans="8:8">
      <c r="H25442" s="680" t="s">
        <v>6153</v>
      </c>
    </row>
    <row r="25443" spans="8:8">
      <c r="H25443" s="680" t="s">
        <v>6153</v>
      </c>
    </row>
    <row r="25444" spans="8:8">
      <c r="H25444" s="680" t="s">
        <v>6153</v>
      </c>
    </row>
    <row r="25445" spans="8:8">
      <c r="H25445" s="680" t="s">
        <v>6153</v>
      </c>
    </row>
    <row r="25446" spans="8:8">
      <c r="H25446" s="680" t="s">
        <v>6153</v>
      </c>
    </row>
    <row r="25447" spans="8:8">
      <c r="H25447" s="680" t="s">
        <v>6153</v>
      </c>
    </row>
    <row r="25448" spans="8:8">
      <c r="H25448" s="680" t="s">
        <v>6153</v>
      </c>
    </row>
    <row r="25449" spans="8:8">
      <c r="H25449" s="680" t="s">
        <v>6153</v>
      </c>
    </row>
    <row r="25450" spans="8:8">
      <c r="H25450" s="680" t="s">
        <v>6153</v>
      </c>
    </row>
    <row r="25451" spans="8:8">
      <c r="H25451" s="680" t="s">
        <v>6153</v>
      </c>
    </row>
    <row r="25452" spans="8:8">
      <c r="H25452" s="680" t="s">
        <v>6153</v>
      </c>
    </row>
    <row r="25453" spans="8:8">
      <c r="H25453" s="680" t="s">
        <v>6153</v>
      </c>
    </row>
    <row r="25454" spans="8:8">
      <c r="H25454" s="680" t="s">
        <v>6153</v>
      </c>
    </row>
    <row r="25455" spans="8:8">
      <c r="H25455" s="680" t="s">
        <v>6153</v>
      </c>
    </row>
    <row r="25456" spans="8:8">
      <c r="H25456" s="680" t="s">
        <v>6153</v>
      </c>
    </row>
    <row r="25457" spans="8:8">
      <c r="H25457" s="680" t="s">
        <v>6153</v>
      </c>
    </row>
    <row r="25458" spans="8:8">
      <c r="H25458" s="680" t="s">
        <v>6153</v>
      </c>
    </row>
    <row r="25459" spans="8:8">
      <c r="H25459" s="680" t="s">
        <v>6153</v>
      </c>
    </row>
    <row r="25460" spans="8:8">
      <c r="H25460" s="680" t="s">
        <v>6153</v>
      </c>
    </row>
    <row r="25461" spans="8:8">
      <c r="H25461" s="680" t="s">
        <v>6153</v>
      </c>
    </row>
    <row r="25462" spans="8:8">
      <c r="H25462" s="680" t="s">
        <v>6153</v>
      </c>
    </row>
    <row r="25463" spans="8:8">
      <c r="H25463" s="680" t="s">
        <v>6153</v>
      </c>
    </row>
    <row r="25464" spans="8:8">
      <c r="H25464" s="680" t="s">
        <v>6153</v>
      </c>
    </row>
    <row r="25465" spans="8:8">
      <c r="H25465" s="680" t="s">
        <v>6153</v>
      </c>
    </row>
    <row r="25466" spans="8:8">
      <c r="H25466" s="680" t="s">
        <v>6153</v>
      </c>
    </row>
    <row r="25467" spans="8:8">
      <c r="H25467" s="680" t="s">
        <v>6153</v>
      </c>
    </row>
    <row r="25468" spans="8:8">
      <c r="H25468" s="680" t="s">
        <v>6153</v>
      </c>
    </row>
    <row r="25469" spans="8:8">
      <c r="H25469" s="680" t="s">
        <v>6153</v>
      </c>
    </row>
    <row r="25470" spans="8:8">
      <c r="H25470" s="680" t="s">
        <v>6153</v>
      </c>
    </row>
    <row r="25471" spans="8:8">
      <c r="H25471" s="680" t="s">
        <v>6153</v>
      </c>
    </row>
    <row r="25472" spans="8:8">
      <c r="H25472" s="680" t="s">
        <v>6153</v>
      </c>
    </row>
    <row r="25473" spans="8:8">
      <c r="H25473" s="680" t="s">
        <v>6153</v>
      </c>
    </row>
    <row r="25474" spans="8:8">
      <c r="H25474" s="680" t="s">
        <v>6153</v>
      </c>
    </row>
    <row r="25475" spans="8:8">
      <c r="H25475" s="680" t="s">
        <v>6153</v>
      </c>
    </row>
    <row r="25476" spans="8:8">
      <c r="H25476" s="680" t="s">
        <v>6153</v>
      </c>
    </row>
    <row r="25477" spans="8:8">
      <c r="H25477" s="680" t="s">
        <v>6153</v>
      </c>
    </row>
    <row r="25478" spans="8:8">
      <c r="H25478" s="680" t="s">
        <v>6153</v>
      </c>
    </row>
    <row r="25479" spans="8:8">
      <c r="H25479" s="680" t="s">
        <v>6153</v>
      </c>
    </row>
    <row r="25480" spans="8:8">
      <c r="H25480" s="680" t="s">
        <v>6153</v>
      </c>
    </row>
    <row r="25481" spans="8:8">
      <c r="H25481" s="680" t="s">
        <v>6153</v>
      </c>
    </row>
    <row r="25482" spans="8:8">
      <c r="H25482" s="680" t="s">
        <v>6153</v>
      </c>
    </row>
    <row r="25483" spans="8:8">
      <c r="H25483" s="680" t="s">
        <v>6153</v>
      </c>
    </row>
    <row r="25484" spans="8:8">
      <c r="H25484" s="680" t="s">
        <v>6153</v>
      </c>
    </row>
    <row r="25485" spans="8:8">
      <c r="H25485" s="680" t="s">
        <v>6153</v>
      </c>
    </row>
    <row r="25486" spans="8:8">
      <c r="H25486" s="680" t="s">
        <v>6153</v>
      </c>
    </row>
    <row r="25487" spans="8:8">
      <c r="H25487" s="680" t="s">
        <v>6153</v>
      </c>
    </row>
    <row r="25488" spans="8:8">
      <c r="H25488" s="680" t="s">
        <v>6153</v>
      </c>
    </row>
    <row r="25489" spans="8:8">
      <c r="H25489" s="680" t="s">
        <v>6153</v>
      </c>
    </row>
    <row r="25490" spans="8:8">
      <c r="H25490" s="680" t="s">
        <v>6153</v>
      </c>
    </row>
    <row r="25491" spans="8:8">
      <c r="H25491" s="680" t="s">
        <v>6153</v>
      </c>
    </row>
    <row r="25492" spans="8:8">
      <c r="H25492" s="680" t="s">
        <v>6153</v>
      </c>
    </row>
    <row r="25493" spans="8:8">
      <c r="H25493" s="680" t="s">
        <v>6153</v>
      </c>
    </row>
    <row r="25494" spans="8:8">
      <c r="H25494" s="680" t="s">
        <v>6153</v>
      </c>
    </row>
    <row r="25495" spans="8:8">
      <c r="H25495" s="680" t="s">
        <v>6153</v>
      </c>
    </row>
    <row r="25496" spans="8:8">
      <c r="H25496" s="680" t="s">
        <v>6153</v>
      </c>
    </row>
    <row r="25497" spans="8:8">
      <c r="H25497" s="680" t="s">
        <v>6153</v>
      </c>
    </row>
    <row r="25498" spans="8:8">
      <c r="H25498" s="680" t="s">
        <v>6153</v>
      </c>
    </row>
    <row r="25499" spans="8:8">
      <c r="H25499" s="680" t="s">
        <v>6153</v>
      </c>
    </row>
    <row r="25500" spans="8:8">
      <c r="H25500" s="680" t="s">
        <v>6153</v>
      </c>
    </row>
    <row r="25501" spans="8:8">
      <c r="H25501" s="680" t="s">
        <v>6153</v>
      </c>
    </row>
    <row r="25502" spans="8:8">
      <c r="H25502" s="680" t="s">
        <v>6153</v>
      </c>
    </row>
    <row r="25503" spans="8:8">
      <c r="H25503" s="680" t="s">
        <v>6153</v>
      </c>
    </row>
    <row r="25504" spans="8:8">
      <c r="H25504" s="680" t="s">
        <v>6153</v>
      </c>
    </row>
    <row r="25505" spans="8:8">
      <c r="H25505" s="680" t="s">
        <v>6153</v>
      </c>
    </row>
    <row r="25506" spans="8:8">
      <c r="H25506" s="680" t="s">
        <v>6153</v>
      </c>
    </row>
    <row r="25507" spans="8:8">
      <c r="H25507" s="680" t="s">
        <v>6153</v>
      </c>
    </row>
    <row r="25508" spans="8:8">
      <c r="H25508" s="680" t="s">
        <v>6153</v>
      </c>
    </row>
    <row r="25509" spans="8:8">
      <c r="H25509" s="680" t="s">
        <v>6153</v>
      </c>
    </row>
    <row r="25510" spans="8:8">
      <c r="H25510" s="680" t="s">
        <v>6153</v>
      </c>
    </row>
    <row r="25511" spans="8:8">
      <c r="H25511" s="680" t="s">
        <v>6153</v>
      </c>
    </row>
    <row r="25512" spans="8:8">
      <c r="H25512" s="680" t="s">
        <v>6153</v>
      </c>
    </row>
    <row r="25513" spans="8:8">
      <c r="H25513" s="680" t="s">
        <v>6153</v>
      </c>
    </row>
    <row r="25514" spans="8:8">
      <c r="H25514" s="680" t="s">
        <v>6153</v>
      </c>
    </row>
    <row r="25515" spans="8:8">
      <c r="H25515" s="680" t="s">
        <v>6153</v>
      </c>
    </row>
    <row r="25516" spans="8:8">
      <c r="H25516" s="680" t="s">
        <v>6153</v>
      </c>
    </row>
    <row r="25517" spans="8:8">
      <c r="H25517" s="680" t="s">
        <v>6153</v>
      </c>
    </row>
    <row r="25518" spans="8:8">
      <c r="H25518" s="680" t="s">
        <v>6153</v>
      </c>
    </row>
    <row r="25519" spans="8:8">
      <c r="H25519" s="680" t="s">
        <v>6153</v>
      </c>
    </row>
    <row r="25520" spans="8:8">
      <c r="H25520" s="680" t="s">
        <v>6153</v>
      </c>
    </row>
    <row r="25521" spans="8:8">
      <c r="H25521" s="680" t="s">
        <v>6153</v>
      </c>
    </row>
    <row r="25522" spans="8:8">
      <c r="H25522" s="680" t="s">
        <v>6153</v>
      </c>
    </row>
    <row r="25523" spans="8:8">
      <c r="H25523" s="680" t="s">
        <v>6153</v>
      </c>
    </row>
    <row r="25524" spans="8:8">
      <c r="H25524" s="680" t="s">
        <v>6153</v>
      </c>
    </row>
    <row r="25525" spans="8:8">
      <c r="H25525" s="680" t="s">
        <v>6153</v>
      </c>
    </row>
    <row r="25526" spans="8:8">
      <c r="H25526" s="680" t="s">
        <v>6153</v>
      </c>
    </row>
    <row r="25527" spans="8:8">
      <c r="H25527" s="680" t="s">
        <v>6153</v>
      </c>
    </row>
    <row r="25528" spans="8:8">
      <c r="H25528" s="680" t="s">
        <v>6153</v>
      </c>
    </row>
    <row r="25529" spans="8:8">
      <c r="H25529" s="680" t="s">
        <v>6153</v>
      </c>
    </row>
    <row r="25530" spans="8:8">
      <c r="H25530" s="680" t="s">
        <v>6153</v>
      </c>
    </row>
    <row r="25531" spans="8:8">
      <c r="H25531" s="680" t="s">
        <v>6153</v>
      </c>
    </row>
    <row r="25532" spans="8:8">
      <c r="H25532" s="680" t="s">
        <v>6153</v>
      </c>
    </row>
    <row r="25533" spans="8:8">
      <c r="H25533" s="680" t="s">
        <v>6153</v>
      </c>
    </row>
    <row r="25534" spans="8:8">
      <c r="H25534" s="680" t="s">
        <v>6153</v>
      </c>
    </row>
    <row r="25535" spans="8:8">
      <c r="H25535" s="680" t="s">
        <v>6153</v>
      </c>
    </row>
    <row r="25536" spans="8:8">
      <c r="H25536" s="680" t="s">
        <v>6153</v>
      </c>
    </row>
    <row r="25537" spans="8:8">
      <c r="H25537" s="680" t="s">
        <v>6153</v>
      </c>
    </row>
    <row r="25538" spans="8:8">
      <c r="H25538" s="680" t="s">
        <v>6153</v>
      </c>
    </row>
    <row r="25539" spans="8:8">
      <c r="H25539" s="680" t="s">
        <v>6153</v>
      </c>
    </row>
    <row r="25540" spans="8:8">
      <c r="H25540" s="680" t="s">
        <v>6153</v>
      </c>
    </row>
    <row r="25541" spans="8:8">
      <c r="H25541" s="680" t="s">
        <v>6153</v>
      </c>
    </row>
    <row r="25542" spans="8:8">
      <c r="H25542" s="680" t="s">
        <v>6153</v>
      </c>
    </row>
    <row r="25543" spans="8:8">
      <c r="H25543" s="680" t="s">
        <v>6153</v>
      </c>
    </row>
    <row r="25544" spans="8:8">
      <c r="H25544" s="680" t="s">
        <v>6153</v>
      </c>
    </row>
    <row r="25545" spans="8:8">
      <c r="H25545" s="680" t="s">
        <v>6153</v>
      </c>
    </row>
    <row r="25546" spans="8:8">
      <c r="H25546" s="680" t="s">
        <v>6153</v>
      </c>
    </row>
    <row r="25547" spans="8:8">
      <c r="H25547" s="680" t="s">
        <v>6153</v>
      </c>
    </row>
    <row r="25548" spans="8:8">
      <c r="H25548" s="680" t="s">
        <v>6153</v>
      </c>
    </row>
    <row r="25549" spans="8:8">
      <c r="H25549" s="680" t="s">
        <v>6153</v>
      </c>
    </row>
    <row r="25550" spans="8:8">
      <c r="H25550" s="680" t="s">
        <v>6153</v>
      </c>
    </row>
    <row r="25551" spans="8:8">
      <c r="H25551" s="680" t="s">
        <v>6153</v>
      </c>
    </row>
    <row r="25552" spans="8:8">
      <c r="H25552" s="680" t="s">
        <v>6153</v>
      </c>
    </row>
    <row r="25553" spans="8:8">
      <c r="H25553" s="680" t="s">
        <v>6153</v>
      </c>
    </row>
    <row r="25554" spans="8:8">
      <c r="H25554" s="680" t="s">
        <v>6153</v>
      </c>
    </row>
    <row r="25555" spans="8:8">
      <c r="H25555" s="680" t="s">
        <v>6153</v>
      </c>
    </row>
    <row r="25556" spans="8:8">
      <c r="H25556" s="680" t="s">
        <v>6153</v>
      </c>
    </row>
    <row r="25557" spans="8:8">
      <c r="H25557" s="680" t="s">
        <v>6153</v>
      </c>
    </row>
    <row r="25558" spans="8:8">
      <c r="H25558" s="680" t="s">
        <v>6153</v>
      </c>
    </row>
    <row r="25559" spans="8:8">
      <c r="H25559" s="680" t="s">
        <v>6153</v>
      </c>
    </row>
    <row r="25560" spans="8:8">
      <c r="H25560" s="680" t="s">
        <v>6153</v>
      </c>
    </row>
    <row r="25561" spans="8:8">
      <c r="H25561" s="680" t="s">
        <v>6153</v>
      </c>
    </row>
    <row r="25562" spans="8:8">
      <c r="H25562" s="680" t="s">
        <v>6153</v>
      </c>
    </row>
    <row r="25563" spans="8:8">
      <c r="H25563" s="680" t="s">
        <v>6153</v>
      </c>
    </row>
    <row r="25564" spans="8:8">
      <c r="H25564" s="680" t="s">
        <v>6153</v>
      </c>
    </row>
    <row r="25565" spans="8:8">
      <c r="H25565" s="680" t="s">
        <v>6153</v>
      </c>
    </row>
    <row r="25566" spans="8:8">
      <c r="H25566" s="680" t="s">
        <v>6153</v>
      </c>
    </row>
    <row r="25567" spans="8:8">
      <c r="H25567" s="680" t="s">
        <v>6153</v>
      </c>
    </row>
    <row r="25568" spans="8:8">
      <c r="H25568" s="680" t="s">
        <v>6153</v>
      </c>
    </row>
    <row r="25569" spans="8:8">
      <c r="H25569" s="680" t="s">
        <v>6153</v>
      </c>
    </row>
    <row r="25570" spans="8:8">
      <c r="H25570" s="680" t="s">
        <v>6153</v>
      </c>
    </row>
    <row r="25571" spans="8:8">
      <c r="H25571" s="680" t="s">
        <v>6153</v>
      </c>
    </row>
    <row r="25572" spans="8:8">
      <c r="H25572" s="680" t="s">
        <v>6153</v>
      </c>
    </row>
    <row r="25573" spans="8:8">
      <c r="H25573" s="680" t="s">
        <v>6153</v>
      </c>
    </row>
    <row r="25574" spans="8:8">
      <c r="H25574" s="680" t="s">
        <v>6153</v>
      </c>
    </row>
    <row r="25575" spans="8:8">
      <c r="H25575" s="680" t="s">
        <v>6153</v>
      </c>
    </row>
    <row r="25576" spans="8:8">
      <c r="H25576" s="680" t="s">
        <v>6153</v>
      </c>
    </row>
    <row r="25577" spans="8:8">
      <c r="H25577" s="680" t="s">
        <v>6153</v>
      </c>
    </row>
    <row r="25578" spans="8:8">
      <c r="H25578" s="680" t="s">
        <v>6153</v>
      </c>
    </row>
    <row r="25579" spans="8:8">
      <c r="H25579" s="680" t="s">
        <v>6153</v>
      </c>
    </row>
    <row r="25580" spans="8:8">
      <c r="H25580" s="680" t="s">
        <v>6153</v>
      </c>
    </row>
    <row r="25581" spans="8:8">
      <c r="H25581" s="680" t="s">
        <v>6153</v>
      </c>
    </row>
    <row r="25582" spans="8:8">
      <c r="H25582" s="680" t="s">
        <v>6153</v>
      </c>
    </row>
    <row r="25583" spans="8:8">
      <c r="H25583" s="680" t="s">
        <v>6153</v>
      </c>
    </row>
    <row r="25584" spans="8:8">
      <c r="H25584" s="680" t="s">
        <v>6153</v>
      </c>
    </row>
    <row r="25585" spans="8:8">
      <c r="H25585" s="680" t="s">
        <v>6153</v>
      </c>
    </row>
    <row r="25586" spans="8:8">
      <c r="H25586" s="680" t="s">
        <v>6153</v>
      </c>
    </row>
    <row r="25587" spans="8:8">
      <c r="H25587" s="680" t="s">
        <v>6153</v>
      </c>
    </row>
    <row r="25588" spans="8:8">
      <c r="H25588" s="680" t="s">
        <v>6153</v>
      </c>
    </row>
    <row r="25589" spans="8:8">
      <c r="H25589" s="680" t="s">
        <v>6153</v>
      </c>
    </row>
    <row r="25590" spans="8:8">
      <c r="H25590" s="680" t="s">
        <v>6153</v>
      </c>
    </row>
    <row r="25591" spans="8:8">
      <c r="H25591" s="680" t="s">
        <v>6153</v>
      </c>
    </row>
    <row r="25592" spans="8:8">
      <c r="H25592" s="680" t="s">
        <v>6153</v>
      </c>
    </row>
    <row r="25593" spans="8:8">
      <c r="H25593" s="680" t="s">
        <v>6153</v>
      </c>
    </row>
    <row r="25594" spans="8:8">
      <c r="H25594" s="680" t="s">
        <v>6153</v>
      </c>
    </row>
    <row r="25595" spans="8:8">
      <c r="H25595" s="680" t="s">
        <v>6153</v>
      </c>
    </row>
    <row r="25596" spans="8:8">
      <c r="H25596" s="680" t="s">
        <v>6153</v>
      </c>
    </row>
    <row r="25597" spans="8:8">
      <c r="H25597" s="680" t="s">
        <v>6153</v>
      </c>
    </row>
    <row r="25598" spans="8:8">
      <c r="H25598" s="680" t="s">
        <v>6153</v>
      </c>
    </row>
    <row r="25599" spans="8:8">
      <c r="H25599" s="680" t="s">
        <v>6153</v>
      </c>
    </row>
    <row r="25600" spans="8:8">
      <c r="H25600" s="680" t="s">
        <v>6153</v>
      </c>
    </row>
    <row r="25601" spans="8:8">
      <c r="H25601" s="680" t="s">
        <v>6153</v>
      </c>
    </row>
    <row r="25602" spans="8:8">
      <c r="H25602" s="680" t="s">
        <v>6153</v>
      </c>
    </row>
    <row r="25603" spans="8:8">
      <c r="H25603" s="680" t="s">
        <v>6153</v>
      </c>
    </row>
    <row r="25604" spans="8:8">
      <c r="H25604" s="680" t="s">
        <v>6153</v>
      </c>
    </row>
    <row r="25605" spans="8:8">
      <c r="H25605" s="680" t="s">
        <v>6153</v>
      </c>
    </row>
    <row r="25606" spans="8:8">
      <c r="H25606" s="680" t="s">
        <v>6153</v>
      </c>
    </row>
    <row r="25607" spans="8:8">
      <c r="H25607" s="680" t="s">
        <v>6153</v>
      </c>
    </row>
    <row r="25608" spans="8:8">
      <c r="H25608" s="680" t="s">
        <v>6153</v>
      </c>
    </row>
    <row r="25609" spans="8:8">
      <c r="H25609" s="680" t="s">
        <v>6153</v>
      </c>
    </row>
    <row r="25610" spans="8:8">
      <c r="H25610" s="680" t="s">
        <v>6153</v>
      </c>
    </row>
    <row r="25611" spans="8:8">
      <c r="H25611" s="680" t="s">
        <v>6153</v>
      </c>
    </row>
    <row r="25612" spans="8:8">
      <c r="H25612" s="680" t="s">
        <v>6153</v>
      </c>
    </row>
    <row r="25613" spans="8:8">
      <c r="H25613" s="680" t="s">
        <v>6153</v>
      </c>
    </row>
    <row r="25614" spans="8:8">
      <c r="H25614" s="680" t="s">
        <v>6153</v>
      </c>
    </row>
    <row r="25615" spans="8:8">
      <c r="H25615" s="680" t="s">
        <v>6153</v>
      </c>
    </row>
    <row r="25616" spans="8:8">
      <c r="H25616" s="680" t="s">
        <v>6153</v>
      </c>
    </row>
    <row r="25617" spans="8:8">
      <c r="H25617" s="680" t="s">
        <v>6153</v>
      </c>
    </row>
    <row r="25618" spans="8:8">
      <c r="H25618" s="680" t="s">
        <v>6153</v>
      </c>
    </row>
    <row r="25619" spans="8:8">
      <c r="H25619" s="680" t="s">
        <v>6153</v>
      </c>
    </row>
    <row r="25620" spans="8:8">
      <c r="H25620" s="680" t="s">
        <v>6153</v>
      </c>
    </row>
    <row r="25621" spans="8:8">
      <c r="H25621" s="680" t="s">
        <v>6153</v>
      </c>
    </row>
    <row r="25622" spans="8:8">
      <c r="H25622" s="680" t="s">
        <v>6153</v>
      </c>
    </row>
    <row r="25623" spans="8:8">
      <c r="H25623" s="680" t="s">
        <v>6153</v>
      </c>
    </row>
    <row r="25624" spans="8:8">
      <c r="H25624" s="680" t="s">
        <v>6153</v>
      </c>
    </row>
    <row r="25625" spans="8:8">
      <c r="H25625" s="680" t="s">
        <v>6153</v>
      </c>
    </row>
    <row r="25626" spans="8:8">
      <c r="H25626" s="680" t="s">
        <v>6153</v>
      </c>
    </row>
    <row r="25627" spans="8:8">
      <c r="H25627" s="680" t="s">
        <v>6153</v>
      </c>
    </row>
    <row r="25628" spans="8:8">
      <c r="H25628" s="680" t="s">
        <v>6153</v>
      </c>
    </row>
    <row r="25629" spans="8:8">
      <c r="H25629" s="680" t="s">
        <v>6153</v>
      </c>
    </row>
    <row r="25630" spans="8:8">
      <c r="H25630" s="680" t="s">
        <v>6153</v>
      </c>
    </row>
    <row r="25631" spans="8:8">
      <c r="H25631" s="680" t="s">
        <v>6153</v>
      </c>
    </row>
    <row r="25632" spans="8:8">
      <c r="H25632" s="680" t="s">
        <v>6153</v>
      </c>
    </row>
    <row r="25633" spans="8:8">
      <c r="H25633" s="680" t="s">
        <v>6153</v>
      </c>
    </row>
    <row r="25634" spans="8:8">
      <c r="H25634" s="680" t="s">
        <v>6153</v>
      </c>
    </row>
    <row r="25635" spans="8:8">
      <c r="H25635" s="680" t="s">
        <v>6153</v>
      </c>
    </row>
    <row r="25636" spans="8:8">
      <c r="H25636" s="680" t="s">
        <v>6153</v>
      </c>
    </row>
    <row r="25637" spans="8:8">
      <c r="H25637" s="680" t="s">
        <v>6153</v>
      </c>
    </row>
    <row r="25638" spans="8:8">
      <c r="H25638" s="680" t="s">
        <v>6153</v>
      </c>
    </row>
    <row r="25639" spans="8:8">
      <c r="H25639" s="680" t="s">
        <v>6153</v>
      </c>
    </row>
    <row r="25640" spans="8:8">
      <c r="H25640" s="680" t="s">
        <v>6153</v>
      </c>
    </row>
    <row r="25641" spans="8:8">
      <c r="H25641" s="680" t="s">
        <v>6153</v>
      </c>
    </row>
    <row r="25642" spans="8:8">
      <c r="H25642" s="680" t="s">
        <v>6153</v>
      </c>
    </row>
    <row r="25643" spans="8:8">
      <c r="H25643" s="680" t="s">
        <v>6153</v>
      </c>
    </row>
    <row r="25644" spans="8:8">
      <c r="H25644" s="680" t="s">
        <v>6153</v>
      </c>
    </row>
    <row r="25645" spans="8:8">
      <c r="H25645" s="680" t="s">
        <v>6153</v>
      </c>
    </row>
    <row r="25646" spans="8:8">
      <c r="H25646" s="680" t="s">
        <v>6153</v>
      </c>
    </row>
    <row r="25647" spans="8:8">
      <c r="H25647" s="680" t="s">
        <v>6153</v>
      </c>
    </row>
    <row r="25648" spans="8:8">
      <c r="H25648" s="680" t="s">
        <v>6153</v>
      </c>
    </row>
    <row r="25649" spans="8:8">
      <c r="H25649" s="680" t="s">
        <v>6153</v>
      </c>
    </row>
    <row r="25650" spans="8:8">
      <c r="H25650" s="680" t="s">
        <v>6153</v>
      </c>
    </row>
    <row r="25651" spans="8:8">
      <c r="H25651" s="680" t="s">
        <v>6153</v>
      </c>
    </row>
    <row r="25652" spans="8:8">
      <c r="H25652" s="680" t="s">
        <v>6153</v>
      </c>
    </row>
    <row r="25653" spans="8:8">
      <c r="H25653" s="680" t="s">
        <v>6153</v>
      </c>
    </row>
    <row r="25654" spans="8:8">
      <c r="H25654" s="680" t="s">
        <v>6153</v>
      </c>
    </row>
    <row r="25655" spans="8:8">
      <c r="H25655" s="680" t="s">
        <v>6153</v>
      </c>
    </row>
    <row r="25656" spans="8:8">
      <c r="H25656" s="680" t="s">
        <v>6153</v>
      </c>
    </row>
    <row r="25657" spans="8:8">
      <c r="H25657" s="680" t="s">
        <v>6153</v>
      </c>
    </row>
    <row r="25658" spans="8:8">
      <c r="H25658" s="680" t="s">
        <v>6153</v>
      </c>
    </row>
    <row r="25659" spans="8:8">
      <c r="H25659" s="680" t="s">
        <v>6153</v>
      </c>
    </row>
    <row r="25660" spans="8:8">
      <c r="H25660" s="680" t="s">
        <v>6153</v>
      </c>
    </row>
    <row r="25661" spans="8:8">
      <c r="H25661" s="680" t="s">
        <v>6153</v>
      </c>
    </row>
    <row r="25662" spans="8:8">
      <c r="H25662" s="680" t="s">
        <v>6153</v>
      </c>
    </row>
    <row r="25663" spans="8:8">
      <c r="H25663" s="680" t="s">
        <v>6153</v>
      </c>
    </row>
    <row r="25664" spans="8:8">
      <c r="H25664" s="680" t="s">
        <v>6153</v>
      </c>
    </row>
    <row r="25665" spans="8:8">
      <c r="H25665" s="680" t="s">
        <v>6153</v>
      </c>
    </row>
    <row r="25666" spans="8:8">
      <c r="H25666" s="680" t="s">
        <v>6153</v>
      </c>
    </row>
    <row r="25667" spans="8:8">
      <c r="H25667" s="680" t="s">
        <v>6153</v>
      </c>
    </row>
    <row r="25668" spans="8:8">
      <c r="H25668" s="680" t="s">
        <v>6153</v>
      </c>
    </row>
    <row r="25669" spans="8:8">
      <c r="H25669" s="680" t="s">
        <v>6153</v>
      </c>
    </row>
    <row r="25670" spans="8:8">
      <c r="H25670" s="680" t="s">
        <v>6153</v>
      </c>
    </row>
    <row r="25671" spans="8:8">
      <c r="H25671" s="680" t="s">
        <v>6153</v>
      </c>
    </row>
    <row r="25672" spans="8:8">
      <c r="H25672" s="680" t="s">
        <v>6153</v>
      </c>
    </row>
    <row r="25673" spans="8:8">
      <c r="H25673" s="680" t="s">
        <v>6153</v>
      </c>
    </row>
    <row r="25674" spans="8:8">
      <c r="H25674" s="680" t="s">
        <v>6153</v>
      </c>
    </row>
    <row r="25675" spans="8:8">
      <c r="H25675" s="680" t="s">
        <v>6153</v>
      </c>
    </row>
    <row r="25676" spans="8:8">
      <c r="H25676" s="680" t="s">
        <v>6153</v>
      </c>
    </row>
    <row r="25677" spans="8:8">
      <c r="H25677" s="680" t="s">
        <v>6153</v>
      </c>
    </row>
    <row r="25678" spans="8:8">
      <c r="H25678" s="680" t="s">
        <v>6153</v>
      </c>
    </row>
    <row r="25679" spans="8:8">
      <c r="H25679" s="680" t="s">
        <v>6153</v>
      </c>
    </row>
    <row r="25680" spans="8:8">
      <c r="H25680" s="680" t="s">
        <v>6153</v>
      </c>
    </row>
    <row r="25681" spans="8:8">
      <c r="H25681" s="680" t="s">
        <v>6153</v>
      </c>
    </row>
    <row r="25682" spans="8:8">
      <c r="H25682" s="680" t="s">
        <v>6153</v>
      </c>
    </row>
    <row r="25683" spans="8:8">
      <c r="H25683" s="680" t="s">
        <v>6153</v>
      </c>
    </row>
    <row r="25684" spans="8:8">
      <c r="H25684" s="680" t="s">
        <v>6153</v>
      </c>
    </row>
    <row r="25685" spans="8:8">
      <c r="H25685" s="680" t="s">
        <v>6153</v>
      </c>
    </row>
    <row r="25686" spans="8:8">
      <c r="H25686" s="680" t="s">
        <v>6153</v>
      </c>
    </row>
    <row r="25687" spans="8:8">
      <c r="H25687" s="680" t="s">
        <v>6153</v>
      </c>
    </row>
    <row r="25688" spans="8:8">
      <c r="H25688" s="680" t="s">
        <v>6153</v>
      </c>
    </row>
    <row r="25689" spans="8:8">
      <c r="H25689" s="680" t="s">
        <v>6153</v>
      </c>
    </row>
    <row r="25690" spans="8:8">
      <c r="H25690" s="680" t="s">
        <v>6153</v>
      </c>
    </row>
    <row r="25691" spans="8:8">
      <c r="H25691" s="680" t="s">
        <v>6153</v>
      </c>
    </row>
    <row r="25692" spans="8:8">
      <c r="H25692" s="680" t="s">
        <v>6153</v>
      </c>
    </row>
    <row r="25693" spans="8:8">
      <c r="H25693" s="680" t="s">
        <v>6153</v>
      </c>
    </row>
    <row r="25694" spans="8:8">
      <c r="H25694" s="680" t="s">
        <v>6153</v>
      </c>
    </row>
    <row r="25695" spans="8:8">
      <c r="H25695" s="680" t="s">
        <v>6153</v>
      </c>
    </row>
    <row r="25696" spans="8:8">
      <c r="H25696" s="680" t="s">
        <v>6153</v>
      </c>
    </row>
    <row r="25697" spans="8:8">
      <c r="H25697" s="680" t="s">
        <v>6153</v>
      </c>
    </row>
    <row r="25698" spans="8:8">
      <c r="H25698" s="680" t="s">
        <v>6153</v>
      </c>
    </row>
    <row r="25699" spans="8:8">
      <c r="H25699" s="680" t="s">
        <v>6153</v>
      </c>
    </row>
    <row r="25700" spans="8:8">
      <c r="H25700" s="680" t="s">
        <v>6153</v>
      </c>
    </row>
    <row r="25701" spans="8:8">
      <c r="H25701" s="680" t="s">
        <v>6153</v>
      </c>
    </row>
    <row r="25702" spans="8:8">
      <c r="H25702" s="680" t="s">
        <v>6153</v>
      </c>
    </row>
    <row r="25703" spans="8:8">
      <c r="H25703" s="680" t="s">
        <v>6153</v>
      </c>
    </row>
    <row r="25704" spans="8:8">
      <c r="H25704" s="680" t="s">
        <v>6153</v>
      </c>
    </row>
    <row r="25705" spans="8:8">
      <c r="H25705" s="680" t="s">
        <v>6153</v>
      </c>
    </row>
    <row r="25706" spans="8:8">
      <c r="H25706" s="680" t="s">
        <v>6153</v>
      </c>
    </row>
    <row r="25707" spans="8:8">
      <c r="H25707" s="680" t="s">
        <v>6153</v>
      </c>
    </row>
    <row r="25708" spans="8:8">
      <c r="H25708" s="680" t="s">
        <v>6153</v>
      </c>
    </row>
    <row r="25709" spans="8:8">
      <c r="H25709" s="680" t="s">
        <v>6153</v>
      </c>
    </row>
    <row r="25710" spans="8:8">
      <c r="H25710" s="680" t="s">
        <v>6153</v>
      </c>
    </row>
    <row r="25711" spans="8:8">
      <c r="H25711" s="680" t="s">
        <v>6153</v>
      </c>
    </row>
    <row r="25712" spans="8:8">
      <c r="H25712" s="680" t="s">
        <v>6153</v>
      </c>
    </row>
    <row r="25713" spans="8:8">
      <c r="H25713" s="680" t="s">
        <v>6153</v>
      </c>
    </row>
    <row r="25714" spans="8:8">
      <c r="H25714" s="680" t="s">
        <v>6153</v>
      </c>
    </row>
    <row r="25715" spans="8:8">
      <c r="H25715" s="680" t="s">
        <v>6153</v>
      </c>
    </row>
    <row r="25716" spans="8:8">
      <c r="H25716" s="680" t="s">
        <v>6153</v>
      </c>
    </row>
    <row r="25717" spans="8:8">
      <c r="H25717" s="680" t="s">
        <v>6153</v>
      </c>
    </row>
    <row r="25718" spans="8:8">
      <c r="H25718" s="680" t="s">
        <v>6153</v>
      </c>
    </row>
    <row r="25719" spans="8:8">
      <c r="H25719" s="680" t="s">
        <v>6153</v>
      </c>
    </row>
    <row r="25720" spans="8:8">
      <c r="H25720" s="680" t="s">
        <v>6153</v>
      </c>
    </row>
    <row r="25721" spans="8:8">
      <c r="H25721" s="680" t="s">
        <v>6153</v>
      </c>
    </row>
    <row r="25722" spans="8:8">
      <c r="H25722" s="680" t="s">
        <v>6153</v>
      </c>
    </row>
    <row r="25723" spans="8:8">
      <c r="H25723" s="680" t="s">
        <v>6153</v>
      </c>
    </row>
    <row r="25724" spans="8:8">
      <c r="H25724" s="680" t="s">
        <v>6153</v>
      </c>
    </row>
    <row r="25725" spans="8:8">
      <c r="H25725" s="680" t="s">
        <v>6153</v>
      </c>
    </row>
    <row r="25726" spans="8:8">
      <c r="H25726" s="680" t="s">
        <v>6153</v>
      </c>
    </row>
    <row r="25727" spans="8:8">
      <c r="H25727" s="680" t="s">
        <v>6153</v>
      </c>
    </row>
    <row r="25728" spans="8:8">
      <c r="H25728" s="680" t="s">
        <v>6153</v>
      </c>
    </row>
    <row r="25729" spans="8:8">
      <c r="H25729" s="680" t="s">
        <v>6153</v>
      </c>
    </row>
    <row r="25730" spans="8:8">
      <c r="H25730" s="680" t="s">
        <v>6153</v>
      </c>
    </row>
    <row r="25731" spans="8:8">
      <c r="H25731" s="680" t="s">
        <v>6153</v>
      </c>
    </row>
    <row r="25732" spans="8:8">
      <c r="H25732" s="680" t="s">
        <v>6153</v>
      </c>
    </row>
    <row r="25733" spans="8:8">
      <c r="H25733" s="680" t="s">
        <v>6153</v>
      </c>
    </row>
    <row r="25734" spans="8:8">
      <c r="H25734" s="680" t="s">
        <v>6153</v>
      </c>
    </row>
    <row r="25735" spans="8:8">
      <c r="H25735" s="680" t="s">
        <v>6153</v>
      </c>
    </row>
    <row r="25736" spans="8:8">
      <c r="H25736" s="680" t="s">
        <v>6153</v>
      </c>
    </row>
    <row r="25737" spans="8:8">
      <c r="H25737" s="680" t="s">
        <v>6153</v>
      </c>
    </row>
    <row r="25738" spans="8:8">
      <c r="H25738" s="680" t="s">
        <v>6153</v>
      </c>
    </row>
    <row r="25739" spans="8:8">
      <c r="H25739" s="680" t="s">
        <v>6153</v>
      </c>
    </row>
    <row r="25740" spans="8:8">
      <c r="H25740" s="680" t="s">
        <v>6153</v>
      </c>
    </row>
    <row r="25741" spans="8:8">
      <c r="H25741" s="680" t="s">
        <v>6153</v>
      </c>
    </row>
    <row r="25742" spans="8:8">
      <c r="H25742" s="680" t="s">
        <v>6153</v>
      </c>
    </row>
    <row r="25743" spans="8:8">
      <c r="H25743" s="680" t="s">
        <v>6153</v>
      </c>
    </row>
    <row r="25744" spans="8:8">
      <c r="H25744" s="680" t="s">
        <v>6153</v>
      </c>
    </row>
    <row r="25745" spans="8:8">
      <c r="H25745" s="680" t="s">
        <v>6153</v>
      </c>
    </row>
    <row r="25746" spans="8:8">
      <c r="H25746" s="680" t="s">
        <v>6153</v>
      </c>
    </row>
    <row r="25747" spans="8:8">
      <c r="H25747" s="680" t="s">
        <v>6153</v>
      </c>
    </row>
    <row r="25748" spans="8:8">
      <c r="H25748" s="680" t="s">
        <v>6153</v>
      </c>
    </row>
    <row r="25749" spans="8:8">
      <c r="H25749" s="680" t="s">
        <v>6153</v>
      </c>
    </row>
    <row r="25750" spans="8:8">
      <c r="H25750" s="680" t="s">
        <v>6153</v>
      </c>
    </row>
    <row r="25751" spans="8:8">
      <c r="H25751" s="680" t="s">
        <v>6153</v>
      </c>
    </row>
    <row r="25752" spans="8:8">
      <c r="H25752" s="680" t="s">
        <v>6153</v>
      </c>
    </row>
    <row r="25753" spans="8:8">
      <c r="H25753" s="680" t="s">
        <v>6153</v>
      </c>
    </row>
    <row r="25754" spans="8:8">
      <c r="H25754" s="680" t="s">
        <v>6153</v>
      </c>
    </row>
    <row r="25755" spans="8:8">
      <c r="H25755" s="680" t="s">
        <v>6153</v>
      </c>
    </row>
    <row r="25756" spans="8:8">
      <c r="H25756" s="680" t="s">
        <v>6153</v>
      </c>
    </row>
    <row r="25757" spans="8:8">
      <c r="H25757" s="680" t="s">
        <v>6153</v>
      </c>
    </row>
    <row r="25758" spans="8:8">
      <c r="H25758" s="680" t="s">
        <v>6153</v>
      </c>
    </row>
    <row r="25759" spans="8:8">
      <c r="H25759" s="680" t="s">
        <v>6153</v>
      </c>
    </row>
    <row r="25760" spans="8:8">
      <c r="H25760" s="680" t="s">
        <v>6153</v>
      </c>
    </row>
    <row r="25761" spans="8:8">
      <c r="H25761" s="680" t="s">
        <v>6153</v>
      </c>
    </row>
    <row r="25762" spans="8:8">
      <c r="H25762" s="680" t="s">
        <v>6153</v>
      </c>
    </row>
    <row r="25763" spans="8:8">
      <c r="H25763" s="680" t="s">
        <v>6153</v>
      </c>
    </row>
    <row r="25764" spans="8:8">
      <c r="H25764" s="680" t="s">
        <v>6153</v>
      </c>
    </row>
    <row r="25765" spans="8:8">
      <c r="H25765" s="680" t="s">
        <v>6153</v>
      </c>
    </row>
    <row r="25766" spans="8:8">
      <c r="H25766" s="680" t="s">
        <v>6153</v>
      </c>
    </row>
    <row r="25767" spans="8:8">
      <c r="H25767" s="680" t="s">
        <v>6153</v>
      </c>
    </row>
    <row r="25768" spans="8:8">
      <c r="H25768" s="680" t="s">
        <v>6153</v>
      </c>
    </row>
    <row r="25769" spans="8:8">
      <c r="H25769" s="680" t="s">
        <v>6153</v>
      </c>
    </row>
    <row r="25770" spans="8:8">
      <c r="H25770" s="680" t="s">
        <v>6153</v>
      </c>
    </row>
    <row r="25771" spans="8:8">
      <c r="H25771" s="680" t="s">
        <v>6153</v>
      </c>
    </row>
    <row r="25772" spans="8:8">
      <c r="H25772" s="680" t="s">
        <v>6153</v>
      </c>
    </row>
    <row r="25773" spans="8:8">
      <c r="H25773" s="680" t="s">
        <v>6153</v>
      </c>
    </row>
    <row r="25774" spans="8:8">
      <c r="H25774" s="680" t="s">
        <v>6153</v>
      </c>
    </row>
    <row r="25775" spans="8:8">
      <c r="H25775" s="680" t="s">
        <v>6153</v>
      </c>
    </row>
    <row r="25776" spans="8:8">
      <c r="H25776" s="680" t="s">
        <v>6153</v>
      </c>
    </row>
    <row r="25777" spans="8:8">
      <c r="H25777" s="680" t="s">
        <v>6153</v>
      </c>
    </row>
    <row r="25778" spans="8:8">
      <c r="H25778" s="680" t="s">
        <v>6153</v>
      </c>
    </row>
    <row r="25779" spans="8:8">
      <c r="H25779" s="680" t="s">
        <v>6153</v>
      </c>
    </row>
    <row r="25780" spans="8:8">
      <c r="H25780" s="680" t="s">
        <v>6153</v>
      </c>
    </row>
    <row r="25781" spans="8:8">
      <c r="H25781" s="680" t="s">
        <v>6153</v>
      </c>
    </row>
    <row r="25782" spans="8:8">
      <c r="H25782" s="680" t="s">
        <v>6153</v>
      </c>
    </row>
    <row r="25783" spans="8:8">
      <c r="H25783" s="680" t="s">
        <v>6153</v>
      </c>
    </row>
    <row r="25784" spans="8:8">
      <c r="H25784" s="680" t="s">
        <v>6153</v>
      </c>
    </row>
    <row r="25785" spans="8:8">
      <c r="H25785" s="680" t="s">
        <v>6153</v>
      </c>
    </row>
    <row r="25786" spans="8:8">
      <c r="H25786" s="680" t="s">
        <v>6153</v>
      </c>
    </row>
    <row r="25787" spans="8:8">
      <c r="H25787" s="680" t="s">
        <v>6153</v>
      </c>
    </row>
    <row r="25788" spans="8:8">
      <c r="H25788" s="680" t="s">
        <v>6153</v>
      </c>
    </row>
    <row r="25789" spans="8:8">
      <c r="H25789" s="680" t="s">
        <v>6153</v>
      </c>
    </row>
    <row r="25790" spans="8:8">
      <c r="H25790" s="680" t="s">
        <v>6153</v>
      </c>
    </row>
    <row r="25791" spans="8:8">
      <c r="H25791" s="680" t="s">
        <v>6153</v>
      </c>
    </row>
    <row r="25792" spans="8:8">
      <c r="H25792" s="680" t="s">
        <v>6153</v>
      </c>
    </row>
    <row r="25793" spans="8:8">
      <c r="H25793" s="680" t="s">
        <v>6153</v>
      </c>
    </row>
    <row r="25794" spans="8:8">
      <c r="H25794" s="680" t="s">
        <v>6153</v>
      </c>
    </row>
    <row r="25795" spans="8:8">
      <c r="H25795" s="680" t="s">
        <v>6153</v>
      </c>
    </row>
    <row r="25796" spans="8:8">
      <c r="H25796" s="680" t="s">
        <v>6153</v>
      </c>
    </row>
    <row r="25797" spans="8:8">
      <c r="H25797" s="680" t="s">
        <v>6153</v>
      </c>
    </row>
    <row r="25798" spans="8:8">
      <c r="H25798" s="680" t="s">
        <v>6153</v>
      </c>
    </row>
    <row r="25799" spans="8:8">
      <c r="H25799" s="680" t="s">
        <v>6153</v>
      </c>
    </row>
    <row r="25800" spans="8:8">
      <c r="H25800" s="680" t="s">
        <v>6153</v>
      </c>
    </row>
    <row r="25801" spans="8:8">
      <c r="H25801" s="680" t="s">
        <v>6153</v>
      </c>
    </row>
    <row r="25802" spans="8:8">
      <c r="H25802" s="680" t="s">
        <v>6153</v>
      </c>
    </row>
    <row r="25803" spans="8:8">
      <c r="H25803" s="680" t="s">
        <v>6153</v>
      </c>
    </row>
    <row r="25804" spans="8:8">
      <c r="H25804" s="680" t="s">
        <v>6153</v>
      </c>
    </row>
    <row r="25805" spans="8:8">
      <c r="H25805" s="680" t="s">
        <v>6153</v>
      </c>
    </row>
    <row r="25806" spans="8:8">
      <c r="H25806" s="680" t="s">
        <v>6153</v>
      </c>
    </row>
    <row r="25807" spans="8:8">
      <c r="H25807" s="680" t="s">
        <v>6153</v>
      </c>
    </row>
    <row r="25808" spans="8:8">
      <c r="H25808" s="680" t="s">
        <v>6153</v>
      </c>
    </row>
    <row r="25809" spans="8:8">
      <c r="H25809" s="680" t="s">
        <v>6153</v>
      </c>
    </row>
    <row r="25810" spans="8:8">
      <c r="H25810" s="680" t="s">
        <v>6153</v>
      </c>
    </row>
    <row r="25811" spans="8:8">
      <c r="H25811" s="680" t="s">
        <v>6153</v>
      </c>
    </row>
    <row r="25812" spans="8:8">
      <c r="H25812" s="680" t="s">
        <v>6153</v>
      </c>
    </row>
    <row r="25813" spans="8:8">
      <c r="H25813" s="680" t="s">
        <v>6153</v>
      </c>
    </row>
    <row r="25814" spans="8:8">
      <c r="H25814" s="680" t="s">
        <v>6153</v>
      </c>
    </row>
    <row r="25815" spans="8:8">
      <c r="H25815" s="680" t="s">
        <v>6153</v>
      </c>
    </row>
    <row r="25816" spans="8:8">
      <c r="H25816" s="680" t="s">
        <v>6153</v>
      </c>
    </row>
    <row r="25817" spans="8:8">
      <c r="H25817" s="680" t="s">
        <v>6153</v>
      </c>
    </row>
    <row r="25818" spans="8:8">
      <c r="H25818" s="680" t="s">
        <v>6153</v>
      </c>
    </row>
    <row r="25819" spans="8:8">
      <c r="H25819" s="680" t="s">
        <v>6153</v>
      </c>
    </row>
    <row r="25820" spans="8:8">
      <c r="H25820" s="680" t="s">
        <v>6153</v>
      </c>
    </row>
    <row r="25821" spans="8:8">
      <c r="H25821" s="680" t="s">
        <v>6153</v>
      </c>
    </row>
    <row r="25822" spans="8:8">
      <c r="H25822" s="680" t="s">
        <v>6153</v>
      </c>
    </row>
    <row r="25823" spans="8:8">
      <c r="H25823" s="680" t="s">
        <v>6153</v>
      </c>
    </row>
    <row r="25824" spans="8:8">
      <c r="H25824" s="680" t="s">
        <v>6153</v>
      </c>
    </row>
    <row r="25825" spans="8:8">
      <c r="H25825" s="680" t="s">
        <v>6153</v>
      </c>
    </row>
    <row r="25826" spans="8:8">
      <c r="H25826" s="680" t="s">
        <v>6153</v>
      </c>
    </row>
    <row r="25827" spans="8:8">
      <c r="H25827" s="680" t="s">
        <v>6153</v>
      </c>
    </row>
    <row r="25828" spans="8:8">
      <c r="H25828" s="680" t="s">
        <v>6153</v>
      </c>
    </row>
    <row r="25829" spans="8:8">
      <c r="H25829" s="680" t="s">
        <v>6153</v>
      </c>
    </row>
    <row r="25830" spans="8:8">
      <c r="H25830" s="680" t="s">
        <v>6153</v>
      </c>
    </row>
    <row r="25831" spans="8:8">
      <c r="H25831" s="680" t="s">
        <v>6153</v>
      </c>
    </row>
    <row r="25832" spans="8:8">
      <c r="H25832" s="680" t="s">
        <v>6153</v>
      </c>
    </row>
    <row r="25833" spans="8:8">
      <c r="H25833" s="680" t="s">
        <v>6153</v>
      </c>
    </row>
    <row r="25834" spans="8:8">
      <c r="H25834" s="680" t="s">
        <v>6153</v>
      </c>
    </row>
    <row r="25835" spans="8:8">
      <c r="H25835" s="680" t="s">
        <v>6153</v>
      </c>
    </row>
    <row r="25836" spans="8:8">
      <c r="H25836" s="680" t="s">
        <v>6153</v>
      </c>
    </row>
    <row r="25837" spans="8:8">
      <c r="H25837" s="680" t="s">
        <v>6153</v>
      </c>
    </row>
    <row r="25838" spans="8:8">
      <c r="H25838" s="680" t="s">
        <v>6153</v>
      </c>
    </row>
    <row r="25839" spans="8:8">
      <c r="H25839" s="680" t="s">
        <v>6153</v>
      </c>
    </row>
    <row r="25840" spans="8:8">
      <c r="H25840" s="680" t="s">
        <v>6153</v>
      </c>
    </row>
    <row r="25841" spans="8:8">
      <c r="H25841" s="680" t="s">
        <v>6153</v>
      </c>
    </row>
    <row r="25842" spans="8:8">
      <c r="H25842" s="680" t="s">
        <v>6153</v>
      </c>
    </row>
    <row r="25843" spans="8:8">
      <c r="H25843" s="680" t="s">
        <v>6153</v>
      </c>
    </row>
    <row r="25844" spans="8:8">
      <c r="H25844" s="680" t="s">
        <v>6153</v>
      </c>
    </row>
    <row r="25845" spans="8:8">
      <c r="H25845" s="680" t="s">
        <v>6153</v>
      </c>
    </row>
    <row r="25846" spans="8:8">
      <c r="H25846" s="680" t="s">
        <v>6153</v>
      </c>
    </row>
    <row r="25847" spans="8:8">
      <c r="H25847" s="680" t="s">
        <v>6153</v>
      </c>
    </row>
    <row r="25848" spans="8:8">
      <c r="H25848" s="680" t="s">
        <v>6153</v>
      </c>
    </row>
    <row r="25849" spans="8:8">
      <c r="H25849" s="680" t="s">
        <v>6153</v>
      </c>
    </row>
    <row r="25850" spans="8:8">
      <c r="H25850" s="680" t="s">
        <v>6153</v>
      </c>
    </row>
    <row r="25851" spans="8:8">
      <c r="H25851" s="680" t="s">
        <v>6153</v>
      </c>
    </row>
    <row r="25852" spans="8:8">
      <c r="H25852" s="680" t="s">
        <v>6153</v>
      </c>
    </row>
    <row r="25853" spans="8:8">
      <c r="H25853" s="680" t="s">
        <v>6153</v>
      </c>
    </row>
    <row r="25854" spans="8:8">
      <c r="H25854" s="680" t="s">
        <v>6153</v>
      </c>
    </row>
    <row r="25855" spans="8:8">
      <c r="H25855" s="680" t="s">
        <v>6153</v>
      </c>
    </row>
    <row r="25856" spans="8:8">
      <c r="H25856" s="680" t="s">
        <v>6153</v>
      </c>
    </row>
    <row r="25857" spans="8:8">
      <c r="H25857" s="680" t="s">
        <v>6153</v>
      </c>
    </row>
    <row r="25858" spans="8:8">
      <c r="H25858" s="680" t="s">
        <v>6153</v>
      </c>
    </row>
    <row r="25859" spans="8:8">
      <c r="H25859" s="680" t="s">
        <v>6153</v>
      </c>
    </row>
    <row r="25860" spans="8:8">
      <c r="H25860" s="680" t="s">
        <v>6153</v>
      </c>
    </row>
    <row r="25861" spans="8:8">
      <c r="H25861" s="680" t="s">
        <v>6153</v>
      </c>
    </row>
    <row r="25862" spans="8:8">
      <c r="H25862" s="680" t="s">
        <v>6153</v>
      </c>
    </row>
    <row r="25863" spans="8:8">
      <c r="H25863" s="680" t="s">
        <v>6153</v>
      </c>
    </row>
    <row r="25864" spans="8:8">
      <c r="H25864" s="680" t="s">
        <v>6153</v>
      </c>
    </row>
    <row r="25865" spans="8:8">
      <c r="H25865" s="680" t="s">
        <v>6153</v>
      </c>
    </row>
    <row r="25866" spans="8:8">
      <c r="H25866" s="680" t="s">
        <v>6153</v>
      </c>
    </row>
    <row r="25867" spans="8:8">
      <c r="H25867" s="680" t="s">
        <v>6153</v>
      </c>
    </row>
    <row r="25868" spans="8:8">
      <c r="H25868" s="680" t="s">
        <v>6153</v>
      </c>
    </row>
    <row r="25869" spans="8:8">
      <c r="H25869" s="680" t="s">
        <v>6153</v>
      </c>
    </row>
    <row r="25870" spans="8:8">
      <c r="H25870" s="680" t="s">
        <v>6153</v>
      </c>
    </row>
    <row r="25871" spans="8:8">
      <c r="H25871" s="680" t="s">
        <v>6153</v>
      </c>
    </row>
    <row r="25872" spans="8:8">
      <c r="H25872" s="680" t="s">
        <v>6153</v>
      </c>
    </row>
    <row r="25873" spans="8:8">
      <c r="H25873" s="680" t="s">
        <v>6153</v>
      </c>
    </row>
    <row r="25874" spans="8:8">
      <c r="H25874" s="680" t="s">
        <v>6153</v>
      </c>
    </row>
    <row r="25875" spans="8:8">
      <c r="H25875" s="680" t="s">
        <v>6153</v>
      </c>
    </row>
    <row r="25876" spans="8:8">
      <c r="H25876" s="680" t="s">
        <v>6153</v>
      </c>
    </row>
    <row r="25877" spans="8:8">
      <c r="H25877" s="680" t="s">
        <v>6153</v>
      </c>
    </row>
    <row r="25878" spans="8:8">
      <c r="H25878" s="680" t="s">
        <v>6153</v>
      </c>
    </row>
    <row r="25879" spans="8:8">
      <c r="H25879" s="680" t="s">
        <v>6153</v>
      </c>
    </row>
    <row r="25880" spans="8:8">
      <c r="H25880" s="680" t="s">
        <v>6153</v>
      </c>
    </row>
    <row r="25881" spans="8:8">
      <c r="H25881" s="680" t="s">
        <v>6153</v>
      </c>
    </row>
    <row r="25882" spans="8:8">
      <c r="H25882" s="680" t="s">
        <v>6153</v>
      </c>
    </row>
    <row r="25883" spans="8:8">
      <c r="H25883" s="680" t="s">
        <v>6153</v>
      </c>
    </row>
    <row r="25884" spans="8:8">
      <c r="H25884" s="680" t="s">
        <v>6153</v>
      </c>
    </row>
    <row r="25885" spans="8:8">
      <c r="H25885" s="680" t="s">
        <v>6153</v>
      </c>
    </row>
    <row r="25886" spans="8:8">
      <c r="H25886" s="680" t="s">
        <v>6153</v>
      </c>
    </row>
    <row r="25887" spans="8:8">
      <c r="H25887" s="680" t="s">
        <v>6153</v>
      </c>
    </row>
    <row r="25888" spans="8:8">
      <c r="H25888" s="680" t="s">
        <v>6153</v>
      </c>
    </row>
    <row r="25889" spans="8:8">
      <c r="H25889" s="680" t="s">
        <v>6153</v>
      </c>
    </row>
    <row r="25890" spans="8:8">
      <c r="H25890" s="680" t="s">
        <v>6153</v>
      </c>
    </row>
    <row r="25891" spans="8:8">
      <c r="H25891" s="680" t="s">
        <v>6153</v>
      </c>
    </row>
    <row r="25892" spans="8:8">
      <c r="H25892" s="680" t="s">
        <v>6153</v>
      </c>
    </row>
    <row r="25893" spans="8:8">
      <c r="H25893" s="680" t="s">
        <v>6153</v>
      </c>
    </row>
    <row r="25894" spans="8:8">
      <c r="H25894" s="680" t="s">
        <v>6153</v>
      </c>
    </row>
    <row r="25895" spans="8:8">
      <c r="H25895" s="680" t="s">
        <v>6153</v>
      </c>
    </row>
    <row r="25896" spans="8:8">
      <c r="H25896" s="680" t="s">
        <v>6153</v>
      </c>
    </row>
    <row r="25897" spans="8:8">
      <c r="H25897" s="680" t="s">
        <v>6153</v>
      </c>
    </row>
    <row r="25898" spans="8:8">
      <c r="H25898" s="680" t="s">
        <v>6153</v>
      </c>
    </row>
    <row r="25899" spans="8:8">
      <c r="H25899" s="680" t="s">
        <v>6153</v>
      </c>
    </row>
    <row r="25900" spans="8:8">
      <c r="H25900" s="680" t="s">
        <v>6153</v>
      </c>
    </row>
    <row r="25901" spans="8:8">
      <c r="H25901" s="680" t="s">
        <v>6153</v>
      </c>
    </row>
    <row r="25902" spans="8:8">
      <c r="H25902" s="680" t="s">
        <v>6153</v>
      </c>
    </row>
    <row r="25903" spans="8:8">
      <c r="H25903" s="680" t="s">
        <v>6153</v>
      </c>
    </row>
    <row r="25904" spans="8:8">
      <c r="H25904" s="680" t="s">
        <v>6153</v>
      </c>
    </row>
    <row r="25905" spans="8:8">
      <c r="H25905" s="680" t="s">
        <v>6153</v>
      </c>
    </row>
    <row r="25906" spans="8:8">
      <c r="H25906" s="680" t="s">
        <v>6153</v>
      </c>
    </row>
    <row r="25907" spans="8:8">
      <c r="H25907" s="680" t="s">
        <v>6153</v>
      </c>
    </row>
    <row r="25908" spans="8:8">
      <c r="H25908" s="680" t="s">
        <v>6153</v>
      </c>
    </row>
    <row r="25909" spans="8:8">
      <c r="H25909" s="680" t="s">
        <v>6153</v>
      </c>
    </row>
    <row r="25910" spans="8:8">
      <c r="H25910" s="680" t="s">
        <v>6153</v>
      </c>
    </row>
    <row r="25911" spans="8:8">
      <c r="H25911" s="680" t="s">
        <v>6153</v>
      </c>
    </row>
    <row r="25912" spans="8:8">
      <c r="H25912" s="680" t="s">
        <v>6153</v>
      </c>
    </row>
    <row r="25913" spans="8:8">
      <c r="H25913" s="680" t="s">
        <v>6153</v>
      </c>
    </row>
    <row r="25914" spans="8:8">
      <c r="H25914" s="680" t="s">
        <v>6153</v>
      </c>
    </row>
    <row r="25915" spans="8:8">
      <c r="H25915" s="680" t="s">
        <v>6153</v>
      </c>
    </row>
    <row r="25916" spans="8:8">
      <c r="H25916" s="680" t="s">
        <v>6153</v>
      </c>
    </row>
    <row r="25917" spans="8:8">
      <c r="H25917" s="680" t="s">
        <v>6153</v>
      </c>
    </row>
    <row r="25918" spans="8:8">
      <c r="H25918" s="680" t="s">
        <v>6153</v>
      </c>
    </row>
    <row r="25919" spans="8:8">
      <c r="H25919" s="680" t="s">
        <v>6153</v>
      </c>
    </row>
    <row r="25920" spans="8:8">
      <c r="H25920" s="680" t="s">
        <v>6153</v>
      </c>
    </row>
    <row r="25921" spans="8:8">
      <c r="H25921" s="680" t="s">
        <v>6153</v>
      </c>
    </row>
    <row r="25922" spans="8:8">
      <c r="H25922" s="680" t="s">
        <v>6153</v>
      </c>
    </row>
    <row r="25923" spans="8:8">
      <c r="H25923" s="680" t="s">
        <v>6153</v>
      </c>
    </row>
    <row r="25924" spans="8:8">
      <c r="H25924" s="680" t="s">
        <v>6153</v>
      </c>
    </row>
    <row r="25925" spans="8:8">
      <c r="H25925" s="680" t="s">
        <v>6153</v>
      </c>
    </row>
    <row r="25926" spans="8:8">
      <c r="H25926" s="680" t="s">
        <v>6153</v>
      </c>
    </row>
    <row r="25927" spans="8:8">
      <c r="H25927" s="680" t="s">
        <v>6153</v>
      </c>
    </row>
    <row r="25928" spans="8:8">
      <c r="H25928" s="680" t="s">
        <v>6153</v>
      </c>
    </row>
    <row r="25929" spans="8:8">
      <c r="H25929" s="680" t="s">
        <v>6153</v>
      </c>
    </row>
    <row r="25930" spans="8:8">
      <c r="H25930" s="680" t="s">
        <v>6153</v>
      </c>
    </row>
    <row r="25931" spans="8:8">
      <c r="H25931" s="680" t="s">
        <v>6153</v>
      </c>
    </row>
    <row r="25932" spans="8:8">
      <c r="H25932" s="680" t="s">
        <v>6153</v>
      </c>
    </row>
    <row r="25933" spans="8:8">
      <c r="H25933" s="680" t="s">
        <v>6153</v>
      </c>
    </row>
    <row r="25934" spans="8:8">
      <c r="H25934" s="680" t="s">
        <v>6153</v>
      </c>
    </row>
    <row r="25935" spans="8:8">
      <c r="H25935" s="680" t="s">
        <v>6153</v>
      </c>
    </row>
    <row r="25936" spans="8:8">
      <c r="H25936" s="680" t="s">
        <v>6153</v>
      </c>
    </row>
    <row r="25937" spans="8:8">
      <c r="H25937" s="680" t="s">
        <v>6153</v>
      </c>
    </row>
    <row r="25938" spans="8:8">
      <c r="H25938" s="680" t="s">
        <v>6153</v>
      </c>
    </row>
    <row r="25939" spans="8:8">
      <c r="H25939" s="680" t="s">
        <v>6153</v>
      </c>
    </row>
    <row r="25940" spans="8:8">
      <c r="H25940" s="680" t="s">
        <v>6153</v>
      </c>
    </row>
    <row r="25941" spans="8:8">
      <c r="H25941" s="680" t="s">
        <v>6153</v>
      </c>
    </row>
    <row r="25942" spans="8:8">
      <c r="H25942" s="680" t="s">
        <v>6153</v>
      </c>
    </row>
    <row r="25943" spans="8:8">
      <c r="H25943" s="680" t="s">
        <v>6153</v>
      </c>
    </row>
    <row r="25944" spans="8:8">
      <c r="H25944" s="680" t="s">
        <v>6153</v>
      </c>
    </row>
    <row r="25945" spans="8:8">
      <c r="H25945" s="680" t="s">
        <v>6153</v>
      </c>
    </row>
    <row r="25946" spans="8:8">
      <c r="H25946" s="680" t="s">
        <v>6153</v>
      </c>
    </row>
    <row r="25947" spans="8:8">
      <c r="H25947" s="680" t="s">
        <v>6153</v>
      </c>
    </row>
    <row r="25948" spans="8:8">
      <c r="H25948" s="680" t="s">
        <v>6153</v>
      </c>
    </row>
    <row r="25949" spans="8:8">
      <c r="H25949" s="680" t="s">
        <v>6153</v>
      </c>
    </row>
    <row r="25950" spans="8:8">
      <c r="H25950" s="680" t="s">
        <v>6153</v>
      </c>
    </row>
    <row r="25951" spans="8:8">
      <c r="H25951" s="680" t="s">
        <v>6153</v>
      </c>
    </row>
    <row r="25952" spans="8:8">
      <c r="H25952" s="680" t="s">
        <v>6153</v>
      </c>
    </row>
    <row r="25953" spans="8:8">
      <c r="H25953" s="680" t="s">
        <v>6153</v>
      </c>
    </row>
    <row r="25954" spans="8:8">
      <c r="H25954" s="680" t="s">
        <v>6153</v>
      </c>
    </row>
    <row r="25955" spans="8:8">
      <c r="H25955" s="680" t="s">
        <v>6153</v>
      </c>
    </row>
    <row r="25956" spans="8:8">
      <c r="H25956" s="680" t="s">
        <v>6153</v>
      </c>
    </row>
    <row r="25957" spans="8:8">
      <c r="H25957" s="680" t="s">
        <v>6153</v>
      </c>
    </row>
    <row r="25958" spans="8:8">
      <c r="H25958" s="680" t="s">
        <v>6153</v>
      </c>
    </row>
    <row r="25959" spans="8:8">
      <c r="H25959" s="680" t="s">
        <v>6153</v>
      </c>
    </row>
    <row r="25960" spans="8:8">
      <c r="H25960" s="680" t="s">
        <v>6153</v>
      </c>
    </row>
    <row r="25961" spans="8:8">
      <c r="H25961" s="680" t="s">
        <v>6153</v>
      </c>
    </row>
    <row r="25962" spans="8:8">
      <c r="H25962" s="680" t="s">
        <v>6153</v>
      </c>
    </row>
    <row r="25963" spans="8:8">
      <c r="H25963" s="680" t="s">
        <v>6153</v>
      </c>
    </row>
    <row r="25964" spans="8:8">
      <c r="H25964" s="680" t="s">
        <v>6153</v>
      </c>
    </row>
    <row r="25965" spans="8:8">
      <c r="H25965" s="680" t="s">
        <v>6153</v>
      </c>
    </row>
    <row r="25966" spans="8:8">
      <c r="H25966" s="680" t="s">
        <v>6153</v>
      </c>
    </row>
    <row r="25967" spans="8:8">
      <c r="H25967" s="680" t="s">
        <v>6153</v>
      </c>
    </row>
    <row r="25968" spans="8:8">
      <c r="H25968" s="680" t="s">
        <v>6153</v>
      </c>
    </row>
    <row r="25969" spans="8:8">
      <c r="H25969" s="680" t="s">
        <v>6153</v>
      </c>
    </row>
    <row r="25970" spans="8:8">
      <c r="H25970" s="680" t="s">
        <v>6153</v>
      </c>
    </row>
    <row r="25971" spans="8:8">
      <c r="H25971" s="680" t="s">
        <v>6153</v>
      </c>
    </row>
    <row r="25972" spans="8:8">
      <c r="H25972" s="680" t="s">
        <v>6153</v>
      </c>
    </row>
    <row r="25973" spans="8:8">
      <c r="H25973" s="680" t="s">
        <v>6153</v>
      </c>
    </row>
    <row r="25974" spans="8:8">
      <c r="H25974" s="680" t="s">
        <v>6153</v>
      </c>
    </row>
    <row r="25975" spans="8:8">
      <c r="H25975" s="680" t="s">
        <v>6153</v>
      </c>
    </row>
    <row r="25976" spans="8:8">
      <c r="H25976" s="680" t="s">
        <v>6153</v>
      </c>
    </row>
    <row r="25977" spans="8:8">
      <c r="H25977" s="680" t="s">
        <v>6153</v>
      </c>
    </row>
    <row r="25978" spans="8:8">
      <c r="H25978" s="680" t="s">
        <v>6153</v>
      </c>
    </row>
    <row r="25979" spans="8:8">
      <c r="H25979" s="680" t="s">
        <v>6153</v>
      </c>
    </row>
    <row r="25980" spans="8:8">
      <c r="H25980" s="680" t="s">
        <v>6153</v>
      </c>
    </row>
    <row r="25981" spans="8:8">
      <c r="H25981" s="680" t="s">
        <v>6153</v>
      </c>
    </row>
    <row r="25982" spans="8:8">
      <c r="H25982" s="680" t="s">
        <v>6153</v>
      </c>
    </row>
    <row r="25983" spans="8:8">
      <c r="H25983" s="680" t="s">
        <v>6153</v>
      </c>
    </row>
    <row r="25984" spans="8:8">
      <c r="H25984" s="680" t="s">
        <v>6153</v>
      </c>
    </row>
    <row r="25985" spans="8:8">
      <c r="H25985" s="680" t="s">
        <v>6153</v>
      </c>
    </row>
    <row r="25986" spans="8:8">
      <c r="H25986" s="680" t="s">
        <v>6153</v>
      </c>
    </row>
    <row r="25987" spans="8:8">
      <c r="H25987" s="680" t="s">
        <v>6153</v>
      </c>
    </row>
    <row r="25988" spans="8:8">
      <c r="H25988" s="680" t="s">
        <v>6153</v>
      </c>
    </row>
    <row r="25989" spans="8:8">
      <c r="H25989" s="680" t="s">
        <v>6153</v>
      </c>
    </row>
    <row r="25990" spans="8:8">
      <c r="H25990" s="680" t="s">
        <v>6153</v>
      </c>
    </row>
    <row r="25991" spans="8:8">
      <c r="H25991" s="680" t="s">
        <v>6153</v>
      </c>
    </row>
    <row r="25992" spans="8:8">
      <c r="H25992" s="680" t="s">
        <v>6153</v>
      </c>
    </row>
    <row r="25993" spans="8:8">
      <c r="H25993" s="680" t="s">
        <v>6153</v>
      </c>
    </row>
    <row r="25994" spans="8:8">
      <c r="H25994" s="680" t="s">
        <v>6153</v>
      </c>
    </row>
    <row r="25995" spans="8:8">
      <c r="H25995" s="680" t="s">
        <v>6153</v>
      </c>
    </row>
    <row r="25996" spans="8:8">
      <c r="H25996" s="680" t="s">
        <v>6153</v>
      </c>
    </row>
    <row r="25997" spans="8:8">
      <c r="H25997" s="680" t="s">
        <v>6153</v>
      </c>
    </row>
    <row r="25998" spans="8:8">
      <c r="H25998" s="680" t="s">
        <v>6153</v>
      </c>
    </row>
    <row r="25999" spans="8:8">
      <c r="H25999" s="680" t="s">
        <v>6153</v>
      </c>
    </row>
    <row r="26000" spans="8:8">
      <c r="H26000" s="680" t="s">
        <v>6153</v>
      </c>
    </row>
    <row r="26001" spans="8:8">
      <c r="H26001" s="680" t="s">
        <v>6153</v>
      </c>
    </row>
    <row r="26002" spans="8:8">
      <c r="H26002" s="680" t="s">
        <v>6153</v>
      </c>
    </row>
    <row r="26003" spans="8:8">
      <c r="H26003" s="680" t="s">
        <v>6153</v>
      </c>
    </row>
    <row r="26004" spans="8:8">
      <c r="H26004" s="680" t="s">
        <v>6153</v>
      </c>
    </row>
    <row r="26005" spans="8:8">
      <c r="H26005" s="680" t="s">
        <v>6153</v>
      </c>
    </row>
    <row r="26006" spans="8:8">
      <c r="H26006" s="680" t="s">
        <v>6153</v>
      </c>
    </row>
    <row r="26007" spans="8:8">
      <c r="H26007" s="680" t="s">
        <v>6153</v>
      </c>
    </row>
    <row r="26008" spans="8:8">
      <c r="H26008" s="680" t="s">
        <v>6153</v>
      </c>
    </row>
    <row r="26009" spans="8:8">
      <c r="H26009" s="680" t="s">
        <v>6153</v>
      </c>
    </row>
    <row r="26010" spans="8:8">
      <c r="H26010" s="680" t="s">
        <v>6153</v>
      </c>
    </row>
    <row r="26011" spans="8:8">
      <c r="H26011" s="680" t="s">
        <v>6153</v>
      </c>
    </row>
    <row r="26012" spans="8:8">
      <c r="H26012" s="680" t="s">
        <v>6153</v>
      </c>
    </row>
    <row r="26013" spans="8:8">
      <c r="H26013" s="680" t="s">
        <v>6153</v>
      </c>
    </row>
    <row r="26014" spans="8:8">
      <c r="H26014" s="680" t="s">
        <v>6153</v>
      </c>
    </row>
    <row r="26015" spans="8:8">
      <c r="H26015" s="680" t="s">
        <v>6153</v>
      </c>
    </row>
    <row r="26016" spans="8:8">
      <c r="H26016" s="680" t="s">
        <v>6153</v>
      </c>
    </row>
    <row r="26017" spans="8:8">
      <c r="H26017" s="680" t="s">
        <v>6153</v>
      </c>
    </row>
    <row r="26018" spans="8:8">
      <c r="H26018" s="680" t="s">
        <v>6153</v>
      </c>
    </row>
    <row r="26019" spans="8:8">
      <c r="H26019" s="680" t="s">
        <v>6153</v>
      </c>
    </row>
    <row r="26020" spans="8:8">
      <c r="H26020" s="680" t="s">
        <v>6153</v>
      </c>
    </row>
    <row r="26021" spans="8:8">
      <c r="H26021" s="680" t="s">
        <v>6153</v>
      </c>
    </row>
    <row r="26022" spans="8:8">
      <c r="H26022" s="680" t="s">
        <v>6153</v>
      </c>
    </row>
    <row r="26023" spans="8:8">
      <c r="H26023" s="680" t="s">
        <v>6153</v>
      </c>
    </row>
    <row r="26024" spans="8:8">
      <c r="H26024" s="680" t="s">
        <v>6153</v>
      </c>
    </row>
    <row r="26025" spans="8:8">
      <c r="H26025" s="680" t="s">
        <v>6153</v>
      </c>
    </row>
    <row r="26026" spans="8:8">
      <c r="H26026" s="680" t="s">
        <v>6153</v>
      </c>
    </row>
    <row r="26027" spans="8:8">
      <c r="H26027" s="680" t="s">
        <v>6153</v>
      </c>
    </row>
    <row r="26028" spans="8:8">
      <c r="H26028" s="680" t="s">
        <v>6153</v>
      </c>
    </row>
    <row r="26029" spans="8:8">
      <c r="H26029" s="680" t="s">
        <v>6153</v>
      </c>
    </row>
    <row r="26030" spans="8:8">
      <c r="H26030" s="680" t="s">
        <v>6153</v>
      </c>
    </row>
    <row r="26031" spans="8:8">
      <c r="H26031" s="680" t="s">
        <v>6153</v>
      </c>
    </row>
    <row r="26032" spans="8:8">
      <c r="H26032" s="680" t="s">
        <v>6153</v>
      </c>
    </row>
    <row r="26033" spans="8:8">
      <c r="H26033" s="680" t="s">
        <v>6153</v>
      </c>
    </row>
    <row r="26034" spans="8:8">
      <c r="H26034" s="680" t="s">
        <v>6153</v>
      </c>
    </row>
    <row r="26035" spans="8:8">
      <c r="H26035" s="680" t="s">
        <v>6153</v>
      </c>
    </row>
    <row r="26036" spans="8:8">
      <c r="H26036" s="680" t="s">
        <v>6153</v>
      </c>
    </row>
    <row r="26037" spans="8:8">
      <c r="H26037" s="680" t="s">
        <v>6153</v>
      </c>
    </row>
    <row r="26038" spans="8:8">
      <c r="H26038" s="680" t="s">
        <v>6153</v>
      </c>
    </row>
    <row r="26039" spans="8:8">
      <c r="H26039" s="680" t="s">
        <v>6153</v>
      </c>
    </row>
    <row r="26040" spans="8:8">
      <c r="H26040" s="680" t="s">
        <v>6153</v>
      </c>
    </row>
    <row r="26041" spans="8:8">
      <c r="H26041" s="680" t="s">
        <v>6153</v>
      </c>
    </row>
    <row r="26042" spans="8:8">
      <c r="H26042" s="680" t="s">
        <v>6153</v>
      </c>
    </row>
    <row r="26043" spans="8:8">
      <c r="H26043" s="680" t="s">
        <v>6153</v>
      </c>
    </row>
    <row r="26044" spans="8:8">
      <c r="H26044" s="680" t="s">
        <v>6153</v>
      </c>
    </row>
    <row r="26045" spans="8:8">
      <c r="H26045" s="680" t="s">
        <v>6153</v>
      </c>
    </row>
    <row r="26046" spans="8:8">
      <c r="H26046" s="680" t="s">
        <v>6153</v>
      </c>
    </row>
    <row r="26047" spans="8:8">
      <c r="H26047" s="680" t="s">
        <v>6153</v>
      </c>
    </row>
    <row r="26048" spans="8:8">
      <c r="H26048" s="680" t="s">
        <v>6153</v>
      </c>
    </row>
    <row r="26049" spans="8:8">
      <c r="H26049" s="680" t="s">
        <v>6153</v>
      </c>
    </row>
    <row r="26050" spans="8:8">
      <c r="H26050" s="680" t="s">
        <v>6153</v>
      </c>
    </row>
    <row r="26051" spans="8:8">
      <c r="H26051" s="680" t="s">
        <v>6153</v>
      </c>
    </row>
    <row r="26052" spans="8:8">
      <c r="H26052" s="680" t="s">
        <v>6153</v>
      </c>
    </row>
    <row r="26053" spans="8:8">
      <c r="H26053" s="680" t="s">
        <v>6153</v>
      </c>
    </row>
    <row r="26054" spans="8:8">
      <c r="H26054" s="680" t="s">
        <v>6153</v>
      </c>
    </row>
    <row r="26055" spans="8:8">
      <c r="H26055" s="680" t="s">
        <v>6153</v>
      </c>
    </row>
    <row r="26056" spans="8:8">
      <c r="H26056" s="680" t="s">
        <v>6153</v>
      </c>
    </row>
    <row r="26057" spans="8:8">
      <c r="H26057" s="680" t="s">
        <v>6153</v>
      </c>
    </row>
    <row r="26058" spans="8:8">
      <c r="H26058" s="680" t="s">
        <v>6153</v>
      </c>
    </row>
    <row r="26059" spans="8:8">
      <c r="H26059" s="680" t="s">
        <v>6153</v>
      </c>
    </row>
    <row r="26060" spans="8:8">
      <c r="H26060" s="680" t="s">
        <v>6153</v>
      </c>
    </row>
    <row r="26061" spans="8:8">
      <c r="H26061" s="680" t="s">
        <v>6153</v>
      </c>
    </row>
    <row r="26062" spans="8:8">
      <c r="H26062" s="680" t="s">
        <v>6153</v>
      </c>
    </row>
    <row r="26063" spans="8:8">
      <c r="H26063" s="680" t="s">
        <v>6153</v>
      </c>
    </row>
    <row r="26064" spans="8:8">
      <c r="H26064" s="680" t="s">
        <v>6153</v>
      </c>
    </row>
    <row r="26065" spans="8:8">
      <c r="H26065" s="680" t="s">
        <v>6153</v>
      </c>
    </row>
    <row r="26066" spans="8:8">
      <c r="H26066" s="680" t="s">
        <v>6153</v>
      </c>
    </row>
    <row r="26067" spans="8:8">
      <c r="H26067" s="680" t="s">
        <v>6153</v>
      </c>
    </row>
    <row r="26068" spans="8:8">
      <c r="H26068" s="680" t="s">
        <v>6153</v>
      </c>
    </row>
    <row r="26069" spans="8:8">
      <c r="H26069" s="680" t="s">
        <v>6153</v>
      </c>
    </row>
    <row r="26070" spans="8:8">
      <c r="H26070" s="680" t="s">
        <v>6153</v>
      </c>
    </row>
    <row r="26071" spans="8:8">
      <c r="H26071" s="680" t="s">
        <v>6153</v>
      </c>
    </row>
    <row r="26072" spans="8:8">
      <c r="H26072" s="680" t="s">
        <v>6153</v>
      </c>
    </row>
    <row r="26073" spans="8:8">
      <c r="H26073" s="680" t="s">
        <v>6153</v>
      </c>
    </row>
    <row r="26074" spans="8:8">
      <c r="H26074" s="680" t="s">
        <v>6153</v>
      </c>
    </row>
    <row r="26075" spans="8:8">
      <c r="H26075" s="680" t="s">
        <v>6153</v>
      </c>
    </row>
    <row r="26076" spans="8:8">
      <c r="H26076" s="680" t="s">
        <v>6153</v>
      </c>
    </row>
    <row r="26077" spans="8:8">
      <c r="H26077" s="680" t="s">
        <v>6153</v>
      </c>
    </row>
    <row r="26078" spans="8:8">
      <c r="H26078" s="680" t="s">
        <v>6153</v>
      </c>
    </row>
    <row r="26079" spans="8:8">
      <c r="H26079" s="680" t="s">
        <v>6153</v>
      </c>
    </row>
    <row r="26080" spans="8:8">
      <c r="H26080" s="680" t="s">
        <v>6153</v>
      </c>
    </row>
    <row r="26081" spans="8:8">
      <c r="H26081" s="680" t="s">
        <v>6153</v>
      </c>
    </row>
    <row r="26082" spans="8:8">
      <c r="H26082" s="680" t="s">
        <v>6153</v>
      </c>
    </row>
    <row r="26083" spans="8:8">
      <c r="H26083" s="680" t="s">
        <v>6153</v>
      </c>
    </row>
    <row r="26084" spans="8:8">
      <c r="H26084" s="680" t="s">
        <v>6153</v>
      </c>
    </row>
    <row r="26085" spans="8:8">
      <c r="H26085" s="680" t="s">
        <v>6153</v>
      </c>
    </row>
    <row r="26086" spans="8:8">
      <c r="H26086" s="680" t="s">
        <v>6153</v>
      </c>
    </row>
    <row r="26087" spans="8:8">
      <c r="H26087" s="680" t="s">
        <v>6153</v>
      </c>
    </row>
    <row r="26088" spans="8:8">
      <c r="H26088" s="680" t="s">
        <v>6153</v>
      </c>
    </row>
    <row r="26089" spans="8:8">
      <c r="H26089" s="680" t="s">
        <v>6153</v>
      </c>
    </row>
    <row r="26090" spans="8:8">
      <c r="H26090" s="680" t="s">
        <v>6153</v>
      </c>
    </row>
    <row r="26091" spans="8:8">
      <c r="H26091" s="680" t="s">
        <v>6153</v>
      </c>
    </row>
    <row r="26092" spans="8:8">
      <c r="H26092" s="680" t="s">
        <v>6153</v>
      </c>
    </row>
    <row r="26093" spans="8:8">
      <c r="H26093" s="680" t="s">
        <v>6153</v>
      </c>
    </row>
    <row r="26094" spans="8:8">
      <c r="H26094" s="680" t="s">
        <v>6153</v>
      </c>
    </row>
    <row r="26095" spans="8:8">
      <c r="H26095" s="680" t="s">
        <v>6153</v>
      </c>
    </row>
    <row r="26096" spans="8:8">
      <c r="H26096" s="680" t="s">
        <v>6153</v>
      </c>
    </row>
    <row r="26097" spans="8:8">
      <c r="H26097" s="680" t="s">
        <v>6153</v>
      </c>
    </row>
    <row r="26098" spans="8:8">
      <c r="H26098" s="680" t="s">
        <v>6153</v>
      </c>
    </row>
    <row r="26099" spans="8:8">
      <c r="H26099" s="680" t="s">
        <v>6153</v>
      </c>
    </row>
    <row r="26100" spans="8:8">
      <c r="H26100" s="680" t="s">
        <v>6153</v>
      </c>
    </row>
    <row r="26101" spans="8:8">
      <c r="H26101" s="680" t="s">
        <v>6153</v>
      </c>
    </row>
    <row r="26102" spans="8:8">
      <c r="H26102" s="680" t="s">
        <v>6153</v>
      </c>
    </row>
    <row r="26103" spans="8:8">
      <c r="H26103" s="680" t="s">
        <v>6153</v>
      </c>
    </row>
    <row r="26104" spans="8:8">
      <c r="H26104" s="680" t="s">
        <v>6153</v>
      </c>
    </row>
    <row r="26105" spans="8:8">
      <c r="H26105" s="680" t="s">
        <v>6153</v>
      </c>
    </row>
    <row r="26106" spans="8:8">
      <c r="H26106" s="680" t="s">
        <v>6153</v>
      </c>
    </row>
    <row r="26107" spans="8:8">
      <c r="H26107" s="680" t="s">
        <v>6153</v>
      </c>
    </row>
    <row r="26108" spans="8:8">
      <c r="H26108" s="680" t="s">
        <v>6153</v>
      </c>
    </row>
    <row r="26109" spans="8:8">
      <c r="H26109" s="680" t="s">
        <v>6153</v>
      </c>
    </row>
    <row r="26110" spans="8:8">
      <c r="H26110" s="680" t="s">
        <v>6153</v>
      </c>
    </row>
    <row r="26111" spans="8:8">
      <c r="H26111" s="680" t="s">
        <v>6153</v>
      </c>
    </row>
    <row r="26112" spans="8:8">
      <c r="H26112" s="680" t="s">
        <v>6153</v>
      </c>
    </row>
    <row r="26113" spans="8:8">
      <c r="H26113" s="680" t="s">
        <v>6153</v>
      </c>
    </row>
    <row r="26114" spans="8:8">
      <c r="H26114" s="680" t="s">
        <v>6153</v>
      </c>
    </row>
    <row r="26115" spans="8:8">
      <c r="H26115" s="680" t="s">
        <v>6153</v>
      </c>
    </row>
    <row r="26116" spans="8:8">
      <c r="H26116" s="680" t="s">
        <v>6153</v>
      </c>
    </row>
    <row r="26117" spans="8:8">
      <c r="H26117" s="680" t="s">
        <v>6153</v>
      </c>
    </row>
    <row r="26118" spans="8:8">
      <c r="H26118" s="680" t="s">
        <v>6153</v>
      </c>
    </row>
    <row r="26119" spans="8:8">
      <c r="H26119" s="680" t="s">
        <v>6153</v>
      </c>
    </row>
    <row r="26120" spans="8:8">
      <c r="H26120" s="680" t="s">
        <v>6153</v>
      </c>
    </row>
    <row r="26121" spans="8:8">
      <c r="H26121" s="680" t="s">
        <v>6153</v>
      </c>
    </row>
    <row r="26122" spans="8:8">
      <c r="H26122" s="680" t="s">
        <v>6153</v>
      </c>
    </row>
    <row r="26123" spans="8:8">
      <c r="H26123" s="680" t="s">
        <v>6153</v>
      </c>
    </row>
    <row r="26124" spans="8:8">
      <c r="H26124" s="680" t="s">
        <v>6153</v>
      </c>
    </row>
    <row r="26125" spans="8:8">
      <c r="H26125" s="680" t="s">
        <v>6153</v>
      </c>
    </row>
    <row r="26126" spans="8:8">
      <c r="H26126" s="680" t="s">
        <v>6153</v>
      </c>
    </row>
    <row r="26127" spans="8:8">
      <c r="H26127" s="680" t="s">
        <v>6153</v>
      </c>
    </row>
    <row r="26128" spans="8:8">
      <c r="H26128" s="680" t="s">
        <v>6153</v>
      </c>
    </row>
    <row r="26129" spans="8:8">
      <c r="H26129" s="680" t="s">
        <v>6153</v>
      </c>
    </row>
    <row r="26130" spans="8:8">
      <c r="H26130" s="680" t="s">
        <v>6153</v>
      </c>
    </row>
    <row r="26131" spans="8:8">
      <c r="H26131" s="680" t="s">
        <v>6153</v>
      </c>
    </row>
    <row r="26132" spans="8:8">
      <c r="H26132" s="680" t="s">
        <v>6153</v>
      </c>
    </row>
    <row r="26133" spans="8:8">
      <c r="H26133" s="680" t="s">
        <v>6153</v>
      </c>
    </row>
    <row r="26134" spans="8:8">
      <c r="H26134" s="680" t="s">
        <v>6153</v>
      </c>
    </row>
    <row r="26135" spans="8:8">
      <c r="H26135" s="680" t="s">
        <v>6153</v>
      </c>
    </row>
    <row r="26136" spans="8:8">
      <c r="H26136" s="680" t="s">
        <v>6153</v>
      </c>
    </row>
    <row r="26137" spans="8:8">
      <c r="H26137" s="680" t="s">
        <v>6153</v>
      </c>
    </row>
    <row r="26138" spans="8:8">
      <c r="H26138" s="680" t="s">
        <v>6153</v>
      </c>
    </row>
    <row r="26139" spans="8:8">
      <c r="H26139" s="680" t="s">
        <v>6153</v>
      </c>
    </row>
    <row r="26140" spans="8:8">
      <c r="H26140" s="680" t="s">
        <v>6153</v>
      </c>
    </row>
    <row r="26141" spans="8:8">
      <c r="H26141" s="680" t="s">
        <v>6153</v>
      </c>
    </row>
    <row r="26142" spans="8:8">
      <c r="H26142" s="680" t="s">
        <v>6153</v>
      </c>
    </row>
    <row r="26143" spans="8:8">
      <c r="H26143" s="680" t="s">
        <v>6153</v>
      </c>
    </row>
    <row r="26144" spans="8:8">
      <c r="H26144" s="680" t="s">
        <v>6153</v>
      </c>
    </row>
    <row r="26145" spans="8:8">
      <c r="H26145" s="680" t="s">
        <v>6153</v>
      </c>
    </row>
    <row r="26146" spans="8:8">
      <c r="H26146" s="680" t="s">
        <v>6153</v>
      </c>
    </row>
    <row r="26147" spans="8:8">
      <c r="H26147" s="680" t="s">
        <v>6153</v>
      </c>
    </row>
    <row r="26148" spans="8:8">
      <c r="H26148" s="680" t="s">
        <v>6153</v>
      </c>
    </row>
    <row r="26149" spans="8:8">
      <c r="H26149" s="680" t="s">
        <v>6153</v>
      </c>
    </row>
    <row r="26150" spans="8:8">
      <c r="H26150" s="680" t="s">
        <v>6153</v>
      </c>
    </row>
    <row r="26151" spans="8:8">
      <c r="H26151" s="680" t="s">
        <v>6153</v>
      </c>
    </row>
    <row r="26152" spans="8:8">
      <c r="H26152" s="680" t="s">
        <v>6153</v>
      </c>
    </row>
    <row r="26153" spans="8:8">
      <c r="H26153" s="680" t="s">
        <v>6153</v>
      </c>
    </row>
    <row r="26154" spans="8:8">
      <c r="H26154" s="680" t="s">
        <v>6153</v>
      </c>
    </row>
    <row r="26155" spans="8:8">
      <c r="H26155" s="680" t="s">
        <v>6153</v>
      </c>
    </row>
    <row r="26156" spans="8:8">
      <c r="H26156" s="680" t="s">
        <v>6153</v>
      </c>
    </row>
    <row r="26157" spans="8:8">
      <c r="H26157" s="680" t="s">
        <v>6153</v>
      </c>
    </row>
    <row r="26158" spans="8:8">
      <c r="H26158" s="680" t="s">
        <v>6153</v>
      </c>
    </row>
    <row r="26159" spans="8:8">
      <c r="H26159" s="680" t="s">
        <v>6153</v>
      </c>
    </row>
    <row r="26160" spans="8:8">
      <c r="H26160" s="680" t="s">
        <v>6153</v>
      </c>
    </row>
    <row r="26161" spans="8:8">
      <c r="H26161" s="680" t="s">
        <v>6153</v>
      </c>
    </row>
    <row r="26162" spans="8:8">
      <c r="H26162" s="680" t="s">
        <v>6153</v>
      </c>
    </row>
    <row r="26163" spans="8:8">
      <c r="H26163" s="680" t="s">
        <v>6153</v>
      </c>
    </row>
    <row r="26164" spans="8:8">
      <c r="H26164" s="680" t="s">
        <v>6153</v>
      </c>
    </row>
    <row r="26165" spans="8:8">
      <c r="H26165" s="680" t="s">
        <v>6153</v>
      </c>
    </row>
    <row r="26166" spans="8:8">
      <c r="H26166" s="680" t="s">
        <v>6153</v>
      </c>
    </row>
    <row r="26167" spans="8:8">
      <c r="H26167" s="680" t="s">
        <v>6153</v>
      </c>
    </row>
    <row r="26168" spans="8:8">
      <c r="H26168" s="680" t="s">
        <v>6153</v>
      </c>
    </row>
    <row r="26169" spans="8:8">
      <c r="H26169" s="680" t="s">
        <v>6153</v>
      </c>
    </row>
    <row r="26170" spans="8:8">
      <c r="H26170" s="680" t="s">
        <v>6153</v>
      </c>
    </row>
    <row r="26171" spans="8:8">
      <c r="H26171" s="680" t="s">
        <v>6153</v>
      </c>
    </row>
    <row r="26172" spans="8:8">
      <c r="H26172" s="680" t="s">
        <v>6153</v>
      </c>
    </row>
    <row r="26173" spans="8:8">
      <c r="H26173" s="680" t="s">
        <v>6153</v>
      </c>
    </row>
    <row r="26174" spans="8:8">
      <c r="H26174" s="680" t="s">
        <v>6153</v>
      </c>
    </row>
    <row r="26175" spans="8:8">
      <c r="H26175" s="680" t="s">
        <v>6153</v>
      </c>
    </row>
    <row r="26176" spans="8:8">
      <c r="H26176" s="680" t="s">
        <v>6153</v>
      </c>
    </row>
    <row r="26177" spans="8:8">
      <c r="H26177" s="680" t="s">
        <v>6153</v>
      </c>
    </row>
    <row r="26178" spans="8:8">
      <c r="H26178" s="680" t="s">
        <v>6153</v>
      </c>
    </row>
    <row r="26179" spans="8:8">
      <c r="H26179" s="680" t="s">
        <v>6153</v>
      </c>
    </row>
    <row r="26180" spans="8:8">
      <c r="H26180" s="680" t="s">
        <v>6153</v>
      </c>
    </row>
    <row r="26181" spans="8:8">
      <c r="H26181" s="680" t="s">
        <v>6153</v>
      </c>
    </row>
    <row r="26182" spans="8:8">
      <c r="H26182" s="680" t="s">
        <v>6153</v>
      </c>
    </row>
    <row r="26183" spans="8:8">
      <c r="H26183" s="680" t="s">
        <v>6153</v>
      </c>
    </row>
    <row r="26184" spans="8:8">
      <c r="H26184" s="680" t="s">
        <v>6153</v>
      </c>
    </row>
    <row r="26185" spans="8:8">
      <c r="H26185" s="680" t="s">
        <v>6153</v>
      </c>
    </row>
    <row r="26186" spans="8:8">
      <c r="H26186" s="680" t="s">
        <v>6153</v>
      </c>
    </row>
    <row r="26187" spans="8:8">
      <c r="H26187" s="680" t="s">
        <v>6153</v>
      </c>
    </row>
    <row r="26188" spans="8:8">
      <c r="H26188" s="680" t="s">
        <v>6153</v>
      </c>
    </row>
    <row r="26189" spans="8:8">
      <c r="H26189" s="680" t="s">
        <v>6153</v>
      </c>
    </row>
    <row r="26190" spans="8:8">
      <c r="H26190" s="680" t="s">
        <v>6153</v>
      </c>
    </row>
    <row r="26191" spans="8:8">
      <c r="H26191" s="680" t="s">
        <v>6153</v>
      </c>
    </row>
    <row r="26192" spans="8:8">
      <c r="H26192" s="680" t="s">
        <v>6153</v>
      </c>
    </row>
    <row r="26193" spans="8:8">
      <c r="H26193" s="680" t="s">
        <v>6153</v>
      </c>
    </row>
    <row r="26194" spans="8:8">
      <c r="H26194" s="680" t="s">
        <v>6153</v>
      </c>
    </row>
    <row r="26195" spans="8:8">
      <c r="H26195" s="680" t="s">
        <v>6153</v>
      </c>
    </row>
    <row r="26196" spans="8:8">
      <c r="H26196" s="680" t="s">
        <v>6153</v>
      </c>
    </row>
    <row r="26197" spans="8:8">
      <c r="H26197" s="680" t="s">
        <v>6153</v>
      </c>
    </row>
    <row r="26198" spans="8:8">
      <c r="H26198" s="680" t="s">
        <v>6153</v>
      </c>
    </row>
    <row r="26199" spans="8:8">
      <c r="H26199" s="680" t="s">
        <v>6153</v>
      </c>
    </row>
    <row r="26200" spans="8:8">
      <c r="H26200" s="680" t="s">
        <v>6153</v>
      </c>
    </row>
    <row r="26201" spans="8:8">
      <c r="H26201" s="680" t="s">
        <v>6153</v>
      </c>
    </row>
    <row r="26202" spans="8:8">
      <c r="H26202" s="680" t="s">
        <v>6153</v>
      </c>
    </row>
    <row r="26203" spans="8:8">
      <c r="H26203" s="680" t="s">
        <v>6153</v>
      </c>
    </row>
    <row r="26204" spans="8:8">
      <c r="H26204" s="680" t="s">
        <v>6153</v>
      </c>
    </row>
    <row r="26205" spans="8:8">
      <c r="H26205" s="680" t="s">
        <v>6153</v>
      </c>
    </row>
    <row r="26206" spans="8:8">
      <c r="H26206" s="680" t="s">
        <v>6153</v>
      </c>
    </row>
    <row r="26207" spans="8:8">
      <c r="H26207" s="680" t="s">
        <v>6153</v>
      </c>
    </row>
    <row r="26208" spans="8:8">
      <c r="H26208" s="680" t="s">
        <v>6153</v>
      </c>
    </row>
    <row r="26209" spans="8:8">
      <c r="H26209" s="680" t="s">
        <v>6153</v>
      </c>
    </row>
    <row r="26210" spans="8:8">
      <c r="H26210" s="680" t="s">
        <v>6153</v>
      </c>
    </row>
    <row r="26211" spans="8:8">
      <c r="H26211" s="680" t="s">
        <v>6153</v>
      </c>
    </row>
    <row r="26212" spans="8:8">
      <c r="H26212" s="680" t="s">
        <v>6153</v>
      </c>
    </row>
    <row r="26213" spans="8:8">
      <c r="H26213" s="680" t="s">
        <v>6153</v>
      </c>
    </row>
    <row r="26214" spans="8:8">
      <c r="H26214" s="680" t="s">
        <v>6153</v>
      </c>
    </row>
    <row r="26215" spans="8:8">
      <c r="H26215" s="680" t="s">
        <v>6153</v>
      </c>
    </row>
    <row r="26216" spans="8:8">
      <c r="H26216" s="680" t="s">
        <v>6153</v>
      </c>
    </row>
    <row r="26217" spans="8:8">
      <c r="H26217" s="680" t="s">
        <v>6153</v>
      </c>
    </row>
    <row r="26218" spans="8:8">
      <c r="H26218" s="680" t="s">
        <v>6153</v>
      </c>
    </row>
    <row r="26219" spans="8:8">
      <c r="H26219" s="680" t="s">
        <v>6153</v>
      </c>
    </row>
    <row r="26220" spans="8:8">
      <c r="H26220" s="680" t="s">
        <v>6153</v>
      </c>
    </row>
    <row r="26221" spans="8:8">
      <c r="H26221" s="680" t="s">
        <v>6153</v>
      </c>
    </row>
    <row r="26222" spans="8:8">
      <c r="H26222" s="680" t="s">
        <v>6153</v>
      </c>
    </row>
    <row r="26223" spans="8:8">
      <c r="H26223" s="680" t="s">
        <v>6153</v>
      </c>
    </row>
    <row r="26224" spans="8:8">
      <c r="H26224" s="680" t="s">
        <v>6153</v>
      </c>
    </row>
    <row r="26225" spans="8:8">
      <c r="H26225" s="680" t="s">
        <v>6153</v>
      </c>
    </row>
    <row r="26226" spans="8:8">
      <c r="H26226" s="680" t="s">
        <v>6153</v>
      </c>
    </row>
    <row r="26227" spans="8:8">
      <c r="H26227" s="680" t="s">
        <v>6153</v>
      </c>
    </row>
    <row r="26228" spans="8:8">
      <c r="H26228" s="680" t="s">
        <v>6153</v>
      </c>
    </row>
    <row r="26229" spans="8:8">
      <c r="H26229" s="680" t="s">
        <v>6153</v>
      </c>
    </row>
    <row r="26230" spans="8:8">
      <c r="H26230" s="680" t="s">
        <v>6153</v>
      </c>
    </row>
    <row r="26231" spans="8:8">
      <c r="H26231" s="680" t="s">
        <v>6153</v>
      </c>
    </row>
    <row r="26232" spans="8:8">
      <c r="H26232" s="680" t="s">
        <v>6153</v>
      </c>
    </row>
    <row r="26233" spans="8:8">
      <c r="H26233" s="680" t="s">
        <v>6153</v>
      </c>
    </row>
    <row r="26234" spans="8:8">
      <c r="H26234" s="680" t="s">
        <v>6153</v>
      </c>
    </row>
    <row r="26235" spans="8:8">
      <c r="H26235" s="680" t="s">
        <v>6153</v>
      </c>
    </row>
    <row r="26236" spans="8:8">
      <c r="H26236" s="680" t="s">
        <v>6153</v>
      </c>
    </row>
    <row r="26237" spans="8:8">
      <c r="H26237" s="680" t="s">
        <v>6153</v>
      </c>
    </row>
    <row r="26238" spans="8:8">
      <c r="H26238" s="680" t="s">
        <v>6153</v>
      </c>
    </row>
    <row r="26239" spans="8:8">
      <c r="H26239" s="680" t="s">
        <v>6153</v>
      </c>
    </row>
    <row r="26240" spans="8:8">
      <c r="H26240" s="680" t="s">
        <v>6153</v>
      </c>
    </row>
    <row r="26241" spans="8:8">
      <c r="H26241" s="680" t="s">
        <v>6153</v>
      </c>
    </row>
    <row r="26242" spans="8:8">
      <c r="H26242" s="680" t="s">
        <v>6153</v>
      </c>
    </row>
    <row r="26243" spans="8:8">
      <c r="H26243" s="680" t="s">
        <v>6153</v>
      </c>
    </row>
    <row r="26244" spans="8:8">
      <c r="H26244" s="680" t="s">
        <v>6153</v>
      </c>
    </row>
    <row r="26245" spans="8:8">
      <c r="H26245" s="680" t="s">
        <v>6153</v>
      </c>
    </row>
    <row r="26246" spans="8:8">
      <c r="H26246" s="680" t="s">
        <v>6153</v>
      </c>
    </row>
    <row r="26247" spans="8:8">
      <c r="H26247" s="680" t="s">
        <v>6153</v>
      </c>
    </row>
    <row r="26248" spans="8:8">
      <c r="H26248" s="680" t="s">
        <v>6153</v>
      </c>
    </row>
    <row r="26249" spans="8:8">
      <c r="H26249" s="680" t="s">
        <v>6153</v>
      </c>
    </row>
    <row r="26250" spans="8:8">
      <c r="H26250" s="680" t="s">
        <v>6153</v>
      </c>
    </row>
    <row r="26251" spans="8:8">
      <c r="H26251" s="680" t="s">
        <v>6153</v>
      </c>
    </row>
    <row r="26252" spans="8:8">
      <c r="H26252" s="680" t="s">
        <v>6153</v>
      </c>
    </row>
    <row r="26253" spans="8:8">
      <c r="H26253" s="680" t="s">
        <v>6153</v>
      </c>
    </row>
    <row r="26254" spans="8:8">
      <c r="H26254" s="680" t="s">
        <v>6153</v>
      </c>
    </row>
    <row r="26255" spans="8:8">
      <c r="H26255" s="680" t="s">
        <v>6153</v>
      </c>
    </row>
    <row r="26256" spans="8:8">
      <c r="H26256" s="680" t="s">
        <v>6153</v>
      </c>
    </row>
    <row r="26257" spans="8:8">
      <c r="H26257" s="680" t="s">
        <v>6153</v>
      </c>
    </row>
    <row r="26258" spans="8:8">
      <c r="H26258" s="680" t="s">
        <v>6153</v>
      </c>
    </row>
    <row r="26259" spans="8:8">
      <c r="H26259" s="680" t="s">
        <v>6153</v>
      </c>
    </row>
    <row r="26260" spans="8:8">
      <c r="H26260" s="680" t="s">
        <v>6153</v>
      </c>
    </row>
    <row r="26261" spans="8:8">
      <c r="H26261" s="680" t="s">
        <v>6153</v>
      </c>
    </row>
    <row r="26262" spans="8:8">
      <c r="H26262" s="680" t="s">
        <v>6153</v>
      </c>
    </row>
    <row r="26263" spans="8:8">
      <c r="H26263" s="680" t="s">
        <v>6153</v>
      </c>
    </row>
    <row r="26264" spans="8:8">
      <c r="H26264" s="680" t="s">
        <v>6153</v>
      </c>
    </row>
    <row r="26265" spans="8:8">
      <c r="H26265" s="680" t="s">
        <v>6153</v>
      </c>
    </row>
    <row r="26266" spans="8:8">
      <c r="H26266" s="680" t="s">
        <v>6153</v>
      </c>
    </row>
    <row r="26267" spans="8:8">
      <c r="H26267" s="680" t="s">
        <v>6153</v>
      </c>
    </row>
    <row r="26268" spans="8:8">
      <c r="H26268" s="680" t="s">
        <v>6153</v>
      </c>
    </row>
    <row r="26269" spans="8:8">
      <c r="H26269" s="680" t="s">
        <v>6153</v>
      </c>
    </row>
    <row r="26270" spans="8:8">
      <c r="H26270" s="680" t="s">
        <v>6153</v>
      </c>
    </row>
    <row r="26271" spans="8:8">
      <c r="H26271" s="680" t="s">
        <v>6153</v>
      </c>
    </row>
    <row r="26272" spans="8:8">
      <c r="H26272" s="680" t="s">
        <v>6153</v>
      </c>
    </row>
    <row r="26273" spans="8:8">
      <c r="H26273" s="680" t="s">
        <v>6153</v>
      </c>
    </row>
    <row r="26274" spans="8:8">
      <c r="H26274" s="680" t="s">
        <v>6153</v>
      </c>
    </row>
    <row r="26275" spans="8:8">
      <c r="H26275" s="680" t="s">
        <v>6153</v>
      </c>
    </row>
    <row r="26276" spans="8:8">
      <c r="H26276" s="680" t="s">
        <v>6153</v>
      </c>
    </row>
    <row r="26277" spans="8:8">
      <c r="H26277" s="680" t="s">
        <v>6153</v>
      </c>
    </row>
    <row r="26278" spans="8:8">
      <c r="H26278" s="680" t="s">
        <v>6153</v>
      </c>
    </row>
    <row r="26279" spans="8:8">
      <c r="H26279" s="680" t="s">
        <v>6153</v>
      </c>
    </row>
    <row r="26280" spans="8:8">
      <c r="H26280" s="680" t="s">
        <v>6153</v>
      </c>
    </row>
    <row r="26281" spans="8:8">
      <c r="H26281" s="680" t="s">
        <v>6153</v>
      </c>
    </row>
    <row r="26282" spans="8:8">
      <c r="H26282" s="680" t="s">
        <v>6153</v>
      </c>
    </row>
    <row r="26283" spans="8:8">
      <c r="H26283" s="680" t="s">
        <v>6153</v>
      </c>
    </row>
    <row r="26284" spans="8:8">
      <c r="H26284" s="680" t="s">
        <v>6153</v>
      </c>
    </row>
    <row r="26285" spans="8:8">
      <c r="H26285" s="680" t="s">
        <v>6153</v>
      </c>
    </row>
    <row r="26286" spans="8:8">
      <c r="H26286" s="680" t="s">
        <v>6153</v>
      </c>
    </row>
    <row r="26287" spans="8:8">
      <c r="H26287" s="680" t="s">
        <v>6153</v>
      </c>
    </row>
    <row r="26288" spans="8:8">
      <c r="H26288" s="680" t="s">
        <v>6153</v>
      </c>
    </row>
    <row r="26289" spans="8:8">
      <c r="H26289" s="680" t="s">
        <v>6153</v>
      </c>
    </row>
    <row r="26290" spans="8:8">
      <c r="H26290" s="680" t="s">
        <v>6153</v>
      </c>
    </row>
    <row r="26291" spans="8:8">
      <c r="H26291" s="680" t="s">
        <v>6153</v>
      </c>
    </row>
    <row r="26292" spans="8:8">
      <c r="H26292" s="680" t="s">
        <v>6153</v>
      </c>
    </row>
    <row r="26293" spans="8:8">
      <c r="H26293" s="680" t="s">
        <v>6153</v>
      </c>
    </row>
    <row r="26294" spans="8:8">
      <c r="H26294" s="680" t="s">
        <v>6153</v>
      </c>
    </row>
    <row r="26295" spans="8:8">
      <c r="H26295" s="680" t="s">
        <v>6153</v>
      </c>
    </row>
    <row r="26296" spans="8:8">
      <c r="H26296" s="680" t="s">
        <v>6153</v>
      </c>
    </row>
    <row r="26297" spans="8:8">
      <c r="H26297" s="680" t="s">
        <v>6153</v>
      </c>
    </row>
    <row r="26298" spans="8:8">
      <c r="H26298" s="680" t="s">
        <v>6153</v>
      </c>
    </row>
    <row r="26299" spans="8:8">
      <c r="H26299" s="680" t="s">
        <v>6153</v>
      </c>
    </row>
    <row r="26300" spans="8:8">
      <c r="H26300" s="680" t="s">
        <v>6153</v>
      </c>
    </row>
    <row r="26301" spans="8:8">
      <c r="H26301" s="680" t="s">
        <v>6153</v>
      </c>
    </row>
    <row r="26302" spans="8:8">
      <c r="H26302" s="680" t="s">
        <v>6153</v>
      </c>
    </row>
    <row r="26303" spans="8:8">
      <c r="H26303" s="680" t="s">
        <v>6153</v>
      </c>
    </row>
    <row r="26304" spans="8:8">
      <c r="H26304" s="680" t="s">
        <v>6153</v>
      </c>
    </row>
    <row r="26305" spans="8:8">
      <c r="H26305" s="680" t="s">
        <v>6153</v>
      </c>
    </row>
    <row r="26306" spans="8:8">
      <c r="H26306" s="680" t="s">
        <v>6153</v>
      </c>
    </row>
    <row r="26307" spans="8:8">
      <c r="H26307" s="680" t="s">
        <v>6153</v>
      </c>
    </row>
    <row r="26308" spans="8:8">
      <c r="H26308" s="680" t="s">
        <v>6153</v>
      </c>
    </row>
    <row r="26309" spans="8:8">
      <c r="H26309" s="680" t="s">
        <v>6153</v>
      </c>
    </row>
    <row r="26310" spans="8:8">
      <c r="H26310" s="680" t="s">
        <v>6153</v>
      </c>
    </row>
    <row r="26311" spans="8:8">
      <c r="H26311" s="680" t="s">
        <v>6153</v>
      </c>
    </row>
    <row r="26312" spans="8:8">
      <c r="H26312" s="680" t="s">
        <v>6153</v>
      </c>
    </row>
    <row r="26313" spans="8:8">
      <c r="H26313" s="680" t="s">
        <v>6153</v>
      </c>
    </row>
    <row r="26314" spans="8:8">
      <c r="H26314" s="680" t="s">
        <v>6153</v>
      </c>
    </row>
    <row r="26315" spans="8:8">
      <c r="H26315" s="680" t="s">
        <v>6153</v>
      </c>
    </row>
    <row r="26316" spans="8:8">
      <c r="H26316" s="680" t="s">
        <v>6153</v>
      </c>
    </row>
    <row r="26317" spans="8:8">
      <c r="H26317" s="680" t="s">
        <v>6153</v>
      </c>
    </row>
    <row r="26318" spans="8:8">
      <c r="H26318" s="680" t="s">
        <v>6153</v>
      </c>
    </row>
    <row r="26319" spans="8:8">
      <c r="H26319" s="680" t="s">
        <v>6153</v>
      </c>
    </row>
    <row r="26320" spans="8:8">
      <c r="H26320" s="680" t="s">
        <v>6153</v>
      </c>
    </row>
    <row r="26321" spans="8:8">
      <c r="H26321" s="680" t="s">
        <v>6153</v>
      </c>
    </row>
    <row r="26322" spans="8:8">
      <c r="H26322" s="680" t="s">
        <v>6153</v>
      </c>
    </row>
    <row r="26323" spans="8:8">
      <c r="H26323" s="680" t="s">
        <v>6153</v>
      </c>
    </row>
    <row r="26324" spans="8:8">
      <c r="H26324" s="680" t="s">
        <v>6153</v>
      </c>
    </row>
    <row r="26325" spans="8:8">
      <c r="H26325" s="680" t="s">
        <v>6153</v>
      </c>
    </row>
    <row r="26326" spans="8:8">
      <c r="H26326" s="680" t="s">
        <v>6153</v>
      </c>
    </row>
    <row r="26327" spans="8:8">
      <c r="H26327" s="680" t="s">
        <v>6153</v>
      </c>
    </row>
    <row r="26328" spans="8:8">
      <c r="H26328" s="680" t="s">
        <v>6153</v>
      </c>
    </row>
    <row r="26329" spans="8:8">
      <c r="H26329" s="680" t="s">
        <v>6153</v>
      </c>
    </row>
    <row r="26330" spans="8:8">
      <c r="H26330" s="680" t="s">
        <v>6153</v>
      </c>
    </row>
    <row r="26331" spans="8:8">
      <c r="H26331" s="680" t="s">
        <v>6153</v>
      </c>
    </row>
    <row r="26332" spans="8:8">
      <c r="H26332" s="680" t="s">
        <v>6153</v>
      </c>
    </row>
    <row r="26333" spans="8:8">
      <c r="H26333" s="680" t="s">
        <v>6153</v>
      </c>
    </row>
    <row r="26334" spans="8:8">
      <c r="H26334" s="680" t="s">
        <v>6153</v>
      </c>
    </row>
    <row r="26335" spans="8:8">
      <c r="H26335" s="680" t="s">
        <v>6153</v>
      </c>
    </row>
    <row r="26336" spans="8:8">
      <c r="H26336" s="680" t="s">
        <v>6153</v>
      </c>
    </row>
    <row r="26337" spans="8:8">
      <c r="H26337" s="680" t="s">
        <v>6153</v>
      </c>
    </row>
    <row r="26338" spans="8:8">
      <c r="H26338" s="680" t="s">
        <v>6153</v>
      </c>
    </row>
    <row r="26339" spans="8:8">
      <c r="H26339" s="680" t="s">
        <v>6153</v>
      </c>
    </row>
    <row r="26340" spans="8:8">
      <c r="H26340" s="680" t="s">
        <v>6153</v>
      </c>
    </row>
    <row r="26341" spans="8:8">
      <c r="H26341" s="680" t="s">
        <v>6153</v>
      </c>
    </row>
    <row r="26342" spans="8:8">
      <c r="H26342" s="680" t="s">
        <v>6153</v>
      </c>
    </row>
    <row r="26343" spans="8:8">
      <c r="H26343" s="680" t="s">
        <v>6153</v>
      </c>
    </row>
    <row r="26344" spans="8:8">
      <c r="H26344" s="680" t="s">
        <v>6153</v>
      </c>
    </row>
    <row r="26345" spans="8:8">
      <c r="H26345" s="680" t="s">
        <v>6153</v>
      </c>
    </row>
    <row r="26346" spans="8:8">
      <c r="H26346" s="680" t="s">
        <v>6153</v>
      </c>
    </row>
    <row r="26347" spans="8:8">
      <c r="H26347" s="680" t="s">
        <v>6153</v>
      </c>
    </row>
    <row r="26348" spans="8:8">
      <c r="H26348" s="680" t="s">
        <v>6153</v>
      </c>
    </row>
    <row r="26349" spans="8:8">
      <c r="H26349" s="680" t="s">
        <v>6153</v>
      </c>
    </row>
    <row r="26350" spans="8:8">
      <c r="H26350" s="680" t="s">
        <v>6153</v>
      </c>
    </row>
    <row r="26351" spans="8:8">
      <c r="H26351" s="680" t="s">
        <v>6153</v>
      </c>
    </row>
    <row r="26352" spans="8:8">
      <c r="H26352" s="680" t="s">
        <v>6153</v>
      </c>
    </row>
    <row r="26353" spans="8:8">
      <c r="H26353" s="680" t="s">
        <v>6153</v>
      </c>
    </row>
    <row r="26354" spans="8:8">
      <c r="H26354" s="680" t="s">
        <v>6153</v>
      </c>
    </row>
    <row r="26355" spans="8:8">
      <c r="H26355" s="680" t="s">
        <v>6153</v>
      </c>
    </row>
    <row r="26356" spans="8:8">
      <c r="H26356" s="680" t="s">
        <v>6153</v>
      </c>
    </row>
    <row r="26357" spans="8:8">
      <c r="H26357" s="680" t="s">
        <v>6153</v>
      </c>
    </row>
    <row r="26358" spans="8:8">
      <c r="H26358" s="680" t="s">
        <v>6153</v>
      </c>
    </row>
    <row r="26359" spans="8:8">
      <c r="H26359" s="680" t="s">
        <v>6153</v>
      </c>
    </row>
    <row r="26360" spans="8:8">
      <c r="H26360" s="680" t="s">
        <v>6153</v>
      </c>
    </row>
    <row r="26361" spans="8:8">
      <c r="H26361" s="680" t="s">
        <v>6153</v>
      </c>
    </row>
    <row r="26362" spans="8:8">
      <c r="H26362" s="680" t="s">
        <v>6153</v>
      </c>
    </row>
    <row r="26363" spans="8:8">
      <c r="H26363" s="680" t="s">
        <v>6153</v>
      </c>
    </row>
    <row r="26364" spans="8:8">
      <c r="H26364" s="680" t="s">
        <v>6153</v>
      </c>
    </row>
    <row r="26365" spans="8:8">
      <c r="H26365" s="680" t="s">
        <v>6153</v>
      </c>
    </row>
    <row r="26366" spans="8:8">
      <c r="H26366" s="680" t="s">
        <v>6153</v>
      </c>
    </row>
    <row r="26367" spans="8:8">
      <c r="H26367" s="680" t="s">
        <v>6153</v>
      </c>
    </row>
    <row r="26368" spans="8:8">
      <c r="H26368" s="680" t="s">
        <v>6153</v>
      </c>
    </row>
    <row r="26369" spans="8:8">
      <c r="H26369" s="680" t="s">
        <v>6153</v>
      </c>
    </row>
    <row r="26370" spans="8:8">
      <c r="H26370" s="680" t="s">
        <v>6153</v>
      </c>
    </row>
    <row r="26371" spans="8:8">
      <c r="H26371" s="680" t="s">
        <v>6153</v>
      </c>
    </row>
    <row r="26372" spans="8:8">
      <c r="H26372" s="680" t="s">
        <v>6153</v>
      </c>
    </row>
    <row r="26373" spans="8:8">
      <c r="H26373" s="680" t="s">
        <v>6153</v>
      </c>
    </row>
    <row r="26374" spans="8:8">
      <c r="H26374" s="680" t="s">
        <v>6153</v>
      </c>
    </row>
    <row r="26375" spans="8:8">
      <c r="H26375" s="680" t="s">
        <v>6153</v>
      </c>
    </row>
    <row r="26376" spans="8:8">
      <c r="H26376" s="680" t="s">
        <v>6153</v>
      </c>
    </row>
    <row r="26377" spans="8:8">
      <c r="H26377" s="680" t="s">
        <v>6153</v>
      </c>
    </row>
    <row r="26378" spans="8:8">
      <c r="H26378" s="680" t="s">
        <v>6153</v>
      </c>
    </row>
    <row r="26379" spans="8:8">
      <c r="H26379" s="680" t="s">
        <v>6153</v>
      </c>
    </row>
    <row r="26380" spans="8:8">
      <c r="H26380" s="680" t="s">
        <v>6153</v>
      </c>
    </row>
    <row r="26381" spans="8:8">
      <c r="H26381" s="680" t="s">
        <v>6153</v>
      </c>
    </row>
    <row r="26382" spans="8:8">
      <c r="H26382" s="680" t="s">
        <v>6153</v>
      </c>
    </row>
    <row r="26383" spans="8:8">
      <c r="H26383" s="680" t="s">
        <v>6153</v>
      </c>
    </row>
    <row r="26384" spans="8:8">
      <c r="H26384" s="680" t="s">
        <v>6153</v>
      </c>
    </row>
    <row r="26385" spans="8:8">
      <c r="H26385" s="680" t="s">
        <v>6153</v>
      </c>
    </row>
    <row r="26386" spans="8:8">
      <c r="H26386" s="680" t="s">
        <v>6153</v>
      </c>
    </row>
    <row r="26387" spans="8:8">
      <c r="H26387" s="680" t="s">
        <v>6153</v>
      </c>
    </row>
    <row r="26388" spans="8:8">
      <c r="H26388" s="680" t="s">
        <v>6153</v>
      </c>
    </row>
    <row r="26389" spans="8:8">
      <c r="H26389" s="680" t="s">
        <v>6153</v>
      </c>
    </row>
    <row r="26390" spans="8:8">
      <c r="H26390" s="680" t="s">
        <v>6153</v>
      </c>
    </row>
    <row r="26391" spans="8:8">
      <c r="H26391" s="680" t="s">
        <v>6153</v>
      </c>
    </row>
    <row r="26392" spans="8:8">
      <c r="H26392" s="680" t="s">
        <v>6153</v>
      </c>
    </row>
    <row r="26393" spans="8:8">
      <c r="H26393" s="680" t="s">
        <v>6153</v>
      </c>
    </row>
    <row r="26394" spans="8:8">
      <c r="H26394" s="680" t="s">
        <v>6153</v>
      </c>
    </row>
    <row r="26395" spans="8:8">
      <c r="H26395" s="680" t="s">
        <v>6153</v>
      </c>
    </row>
    <row r="26396" spans="8:8">
      <c r="H26396" s="680" t="s">
        <v>6153</v>
      </c>
    </row>
    <row r="26397" spans="8:8">
      <c r="H26397" s="680" t="s">
        <v>6153</v>
      </c>
    </row>
    <row r="26398" spans="8:8">
      <c r="H26398" s="680" t="s">
        <v>6153</v>
      </c>
    </row>
    <row r="26399" spans="8:8">
      <c r="H26399" s="680" t="s">
        <v>6153</v>
      </c>
    </row>
    <row r="26400" spans="8:8">
      <c r="H26400" s="680" t="s">
        <v>6153</v>
      </c>
    </row>
    <row r="26401" spans="8:8">
      <c r="H26401" s="680" t="s">
        <v>6153</v>
      </c>
    </row>
    <row r="26402" spans="8:8">
      <c r="H26402" s="680" t="s">
        <v>6153</v>
      </c>
    </row>
    <row r="26403" spans="8:8">
      <c r="H26403" s="680" t="s">
        <v>6153</v>
      </c>
    </row>
    <row r="26404" spans="8:8">
      <c r="H26404" s="680" t="s">
        <v>6153</v>
      </c>
    </row>
    <row r="26405" spans="8:8">
      <c r="H26405" s="680" t="s">
        <v>6153</v>
      </c>
    </row>
    <row r="26406" spans="8:8">
      <c r="H26406" s="680" t="s">
        <v>6153</v>
      </c>
    </row>
    <row r="26407" spans="8:8">
      <c r="H26407" s="680" t="s">
        <v>6153</v>
      </c>
    </row>
    <row r="26408" spans="8:8">
      <c r="H26408" s="680" t="s">
        <v>6153</v>
      </c>
    </row>
    <row r="26409" spans="8:8">
      <c r="H26409" s="680" t="s">
        <v>6153</v>
      </c>
    </row>
    <row r="26410" spans="8:8">
      <c r="H26410" s="680" t="s">
        <v>6153</v>
      </c>
    </row>
    <row r="26411" spans="8:8">
      <c r="H26411" s="680" t="s">
        <v>6153</v>
      </c>
    </row>
    <row r="26412" spans="8:8">
      <c r="H26412" s="680" t="s">
        <v>6153</v>
      </c>
    </row>
    <row r="26413" spans="8:8">
      <c r="H26413" s="680" t="s">
        <v>6153</v>
      </c>
    </row>
    <row r="26414" spans="8:8">
      <c r="H26414" s="680" t="s">
        <v>6153</v>
      </c>
    </row>
    <row r="26415" spans="8:8">
      <c r="H26415" s="680" t="s">
        <v>6153</v>
      </c>
    </row>
    <row r="26416" spans="8:8">
      <c r="H26416" s="680" t="s">
        <v>6153</v>
      </c>
    </row>
    <row r="26417" spans="8:8">
      <c r="H26417" s="680" t="s">
        <v>6153</v>
      </c>
    </row>
    <row r="26418" spans="8:8">
      <c r="H26418" s="680" t="s">
        <v>6153</v>
      </c>
    </row>
    <row r="26419" spans="8:8">
      <c r="H26419" s="680" t="s">
        <v>6153</v>
      </c>
    </row>
    <row r="26420" spans="8:8">
      <c r="H26420" s="680" t="s">
        <v>6153</v>
      </c>
    </row>
    <row r="26421" spans="8:8">
      <c r="H26421" s="680" t="s">
        <v>6153</v>
      </c>
    </row>
    <row r="26422" spans="8:8">
      <c r="H26422" s="680" t="s">
        <v>6153</v>
      </c>
    </row>
    <row r="26423" spans="8:8">
      <c r="H26423" s="680" t="s">
        <v>6153</v>
      </c>
    </row>
    <row r="26424" spans="8:8">
      <c r="H26424" s="680" t="s">
        <v>6153</v>
      </c>
    </row>
    <row r="26425" spans="8:8">
      <c r="H26425" s="680" t="s">
        <v>6153</v>
      </c>
    </row>
    <row r="26426" spans="8:8">
      <c r="H26426" s="680" t="s">
        <v>6153</v>
      </c>
    </row>
    <row r="26427" spans="8:8">
      <c r="H26427" s="680" t="s">
        <v>6153</v>
      </c>
    </row>
    <row r="26428" spans="8:8">
      <c r="H26428" s="680" t="s">
        <v>6153</v>
      </c>
    </row>
    <row r="26429" spans="8:8">
      <c r="H26429" s="680" t="s">
        <v>6153</v>
      </c>
    </row>
    <row r="26430" spans="8:8">
      <c r="H26430" s="680" t="s">
        <v>6153</v>
      </c>
    </row>
    <row r="26431" spans="8:8">
      <c r="H26431" s="680" t="s">
        <v>6153</v>
      </c>
    </row>
    <row r="26432" spans="8:8">
      <c r="H26432" s="680" t="s">
        <v>6153</v>
      </c>
    </row>
    <row r="26433" spans="8:8">
      <c r="H26433" s="680" t="s">
        <v>6153</v>
      </c>
    </row>
    <row r="26434" spans="8:8">
      <c r="H26434" s="680" t="s">
        <v>6153</v>
      </c>
    </row>
    <row r="26435" spans="8:8">
      <c r="H26435" s="680" t="s">
        <v>6153</v>
      </c>
    </row>
    <row r="26436" spans="8:8">
      <c r="H26436" s="680" t="s">
        <v>6153</v>
      </c>
    </row>
    <row r="26437" spans="8:8">
      <c r="H26437" s="680" t="s">
        <v>6153</v>
      </c>
    </row>
    <row r="26438" spans="8:8">
      <c r="H26438" s="680" t="s">
        <v>6153</v>
      </c>
    </row>
    <row r="26439" spans="8:8">
      <c r="H26439" s="680" t="s">
        <v>6153</v>
      </c>
    </row>
    <row r="26440" spans="8:8">
      <c r="H26440" s="680" t="s">
        <v>6153</v>
      </c>
    </row>
    <row r="26441" spans="8:8">
      <c r="H26441" s="680" t="s">
        <v>6153</v>
      </c>
    </row>
    <row r="26442" spans="8:8">
      <c r="H26442" s="680" t="s">
        <v>6153</v>
      </c>
    </row>
    <row r="26443" spans="8:8">
      <c r="H26443" s="680" t="s">
        <v>6153</v>
      </c>
    </row>
    <row r="26444" spans="8:8">
      <c r="H26444" s="680" t="s">
        <v>6153</v>
      </c>
    </row>
    <row r="26445" spans="8:8">
      <c r="H26445" s="680" t="s">
        <v>6153</v>
      </c>
    </row>
    <row r="26446" spans="8:8">
      <c r="H26446" s="680" t="s">
        <v>6153</v>
      </c>
    </row>
    <row r="26447" spans="8:8">
      <c r="H26447" s="680" t="s">
        <v>6153</v>
      </c>
    </row>
    <row r="26448" spans="8:8">
      <c r="H26448" s="680" t="s">
        <v>6153</v>
      </c>
    </row>
    <row r="26449" spans="8:8">
      <c r="H26449" s="680" t="s">
        <v>6153</v>
      </c>
    </row>
    <row r="26450" spans="8:8">
      <c r="H26450" s="680" t="s">
        <v>6153</v>
      </c>
    </row>
    <row r="26451" spans="8:8">
      <c r="H26451" s="680" t="s">
        <v>6153</v>
      </c>
    </row>
    <row r="26452" spans="8:8">
      <c r="H26452" s="680" t="s">
        <v>6153</v>
      </c>
    </row>
    <row r="26453" spans="8:8">
      <c r="H26453" s="680" t="s">
        <v>6153</v>
      </c>
    </row>
    <row r="26454" spans="8:8">
      <c r="H26454" s="680" t="s">
        <v>6153</v>
      </c>
    </row>
    <row r="26455" spans="8:8">
      <c r="H26455" s="680" t="s">
        <v>6153</v>
      </c>
    </row>
    <row r="26456" spans="8:8">
      <c r="H26456" s="680" t="s">
        <v>6153</v>
      </c>
    </row>
    <row r="26457" spans="8:8">
      <c r="H26457" s="680" t="s">
        <v>6153</v>
      </c>
    </row>
    <row r="26458" spans="8:8">
      <c r="H26458" s="680" t="s">
        <v>6153</v>
      </c>
    </row>
    <row r="26459" spans="8:8">
      <c r="H26459" s="680" t="s">
        <v>6153</v>
      </c>
    </row>
    <row r="26460" spans="8:8">
      <c r="H26460" s="680" t="s">
        <v>6153</v>
      </c>
    </row>
    <row r="26461" spans="8:8">
      <c r="H26461" s="680" t="s">
        <v>6153</v>
      </c>
    </row>
    <row r="26462" spans="8:8">
      <c r="H26462" s="680" t="s">
        <v>6153</v>
      </c>
    </row>
    <row r="26463" spans="8:8">
      <c r="H26463" s="680" t="s">
        <v>6153</v>
      </c>
    </row>
    <row r="26464" spans="8:8">
      <c r="H26464" s="680" t="s">
        <v>6153</v>
      </c>
    </row>
    <row r="26465" spans="8:8">
      <c r="H26465" s="680" t="s">
        <v>6153</v>
      </c>
    </row>
    <row r="26466" spans="8:8">
      <c r="H26466" s="680" t="s">
        <v>6153</v>
      </c>
    </row>
    <row r="26467" spans="8:8">
      <c r="H26467" s="680" t="s">
        <v>6153</v>
      </c>
    </row>
    <row r="26468" spans="8:8">
      <c r="H26468" s="680" t="s">
        <v>6153</v>
      </c>
    </row>
    <row r="26469" spans="8:8">
      <c r="H26469" s="680" t="s">
        <v>6153</v>
      </c>
    </row>
    <row r="26470" spans="8:8">
      <c r="H26470" s="680" t="s">
        <v>6153</v>
      </c>
    </row>
    <row r="26471" spans="8:8">
      <c r="H26471" s="680" t="s">
        <v>6153</v>
      </c>
    </row>
    <row r="26472" spans="8:8">
      <c r="H26472" s="680" t="s">
        <v>6153</v>
      </c>
    </row>
    <row r="26473" spans="8:8">
      <c r="H26473" s="680" t="s">
        <v>6153</v>
      </c>
    </row>
    <row r="26474" spans="8:8">
      <c r="H26474" s="680" t="s">
        <v>6153</v>
      </c>
    </row>
    <row r="26475" spans="8:8">
      <c r="H26475" s="680" t="s">
        <v>6153</v>
      </c>
    </row>
    <row r="26476" spans="8:8">
      <c r="H26476" s="680" t="s">
        <v>6153</v>
      </c>
    </row>
    <row r="26477" spans="8:8">
      <c r="H26477" s="680" t="s">
        <v>6153</v>
      </c>
    </row>
    <row r="26478" spans="8:8">
      <c r="H26478" s="680" t="s">
        <v>6153</v>
      </c>
    </row>
    <row r="26479" spans="8:8">
      <c r="H26479" s="680" t="s">
        <v>6153</v>
      </c>
    </row>
    <row r="26480" spans="8:8">
      <c r="H26480" s="680" t="s">
        <v>6153</v>
      </c>
    </row>
    <row r="26481" spans="8:8">
      <c r="H26481" s="680" t="s">
        <v>6153</v>
      </c>
    </row>
    <row r="26482" spans="8:8">
      <c r="H26482" s="680" t="s">
        <v>6153</v>
      </c>
    </row>
    <row r="26483" spans="8:8">
      <c r="H26483" s="680" t="s">
        <v>6153</v>
      </c>
    </row>
    <row r="26484" spans="8:8">
      <c r="H26484" s="680" t="s">
        <v>6153</v>
      </c>
    </row>
    <row r="26485" spans="8:8">
      <c r="H26485" s="680" t="s">
        <v>6153</v>
      </c>
    </row>
    <row r="26486" spans="8:8">
      <c r="H26486" s="680" t="s">
        <v>6153</v>
      </c>
    </row>
    <row r="26487" spans="8:8">
      <c r="H26487" s="680" t="s">
        <v>6153</v>
      </c>
    </row>
    <row r="26488" spans="8:8">
      <c r="H26488" s="680" t="s">
        <v>6153</v>
      </c>
    </row>
    <row r="26489" spans="8:8">
      <c r="H26489" s="680" t="s">
        <v>6153</v>
      </c>
    </row>
    <row r="26490" spans="8:8">
      <c r="H26490" s="680" t="s">
        <v>6153</v>
      </c>
    </row>
    <row r="26491" spans="8:8">
      <c r="H26491" s="680" t="s">
        <v>6153</v>
      </c>
    </row>
    <row r="26492" spans="8:8">
      <c r="H26492" s="680" t="s">
        <v>6153</v>
      </c>
    </row>
    <row r="26493" spans="8:8">
      <c r="H26493" s="680" t="s">
        <v>6153</v>
      </c>
    </row>
    <row r="26494" spans="8:8">
      <c r="H26494" s="680" t="s">
        <v>6153</v>
      </c>
    </row>
    <row r="26495" spans="8:8">
      <c r="H26495" s="680" t="s">
        <v>6153</v>
      </c>
    </row>
    <row r="26496" spans="8:8">
      <c r="H26496" s="680" t="s">
        <v>6153</v>
      </c>
    </row>
    <row r="26497" spans="8:8">
      <c r="H26497" s="680" t="s">
        <v>6153</v>
      </c>
    </row>
    <row r="26498" spans="8:8">
      <c r="H26498" s="680" t="s">
        <v>6153</v>
      </c>
    </row>
    <row r="26499" spans="8:8">
      <c r="H26499" s="680" t="s">
        <v>6153</v>
      </c>
    </row>
    <row r="26500" spans="8:8">
      <c r="H26500" s="680" t="s">
        <v>6153</v>
      </c>
    </row>
    <row r="26501" spans="8:8">
      <c r="H26501" s="680" t="s">
        <v>6153</v>
      </c>
    </row>
    <row r="26502" spans="8:8">
      <c r="H26502" s="680" t="s">
        <v>6153</v>
      </c>
    </row>
    <row r="26503" spans="8:8">
      <c r="H26503" s="680" t="s">
        <v>6153</v>
      </c>
    </row>
    <row r="26504" spans="8:8">
      <c r="H26504" s="680" t="s">
        <v>6153</v>
      </c>
    </row>
    <row r="26505" spans="8:8">
      <c r="H26505" s="680" t="s">
        <v>6153</v>
      </c>
    </row>
    <row r="26506" spans="8:8">
      <c r="H26506" s="680" t="s">
        <v>6153</v>
      </c>
    </row>
    <row r="26507" spans="8:8">
      <c r="H26507" s="680" t="s">
        <v>6153</v>
      </c>
    </row>
    <row r="26508" spans="8:8">
      <c r="H26508" s="680" t="s">
        <v>6153</v>
      </c>
    </row>
    <row r="26509" spans="8:8">
      <c r="H26509" s="680" t="s">
        <v>6153</v>
      </c>
    </row>
    <row r="26510" spans="8:8">
      <c r="H26510" s="680" t="s">
        <v>6153</v>
      </c>
    </row>
    <row r="26511" spans="8:8">
      <c r="H26511" s="680" t="s">
        <v>6153</v>
      </c>
    </row>
    <row r="26512" spans="8:8">
      <c r="H26512" s="680" t="s">
        <v>6153</v>
      </c>
    </row>
    <row r="26513" spans="8:8">
      <c r="H26513" s="680" t="s">
        <v>6153</v>
      </c>
    </row>
    <row r="26514" spans="8:8">
      <c r="H26514" s="680" t="s">
        <v>6153</v>
      </c>
    </row>
    <row r="26515" spans="8:8">
      <c r="H26515" s="680" t="s">
        <v>6153</v>
      </c>
    </row>
    <row r="26516" spans="8:8">
      <c r="H26516" s="680" t="s">
        <v>6153</v>
      </c>
    </row>
    <row r="26517" spans="8:8">
      <c r="H26517" s="680" t="s">
        <v>6153</v>
      </c>
    </row>
    <row r="26518" spans="8:8">
      <c r="H26518" s="680" t="s">
        <v>6153</v>
      </c>
    </row>
    <row r="26519" spans="8:8">
      <c r="H26519" s="680" t="s">
        <v>6153</v>
      </c>
    </row>
    <row r="26520" spans="8:8">
      <c r="H26520" s="680" t="s">
        <v>6153</v>
      </c>
    </row>
    <row r="26521" spans="8:8">
      <c r="H26521" s="680" t="s">
        <v>6153</v>
      </c>
    </row>
    <row r="26522" spans="8:8">
      <c r="H26522" s="680" t="s">
        <v>6153</v>
      </c>
    </row>
    <row r="26523" spans="8:8">
      <c r="H26523" s="680" t="s">
        <v>6153</v>
      </c>
    </row>
    <row r="26524" spans="8:8">
      <c r="H26524" s="680" t="s">
        <v>6153</v>
      </c>
    </row>
    <row r="26525" spans="8:8">
      <c r="H26525" s="680" t="s">
        <v>6153</v>
      </c>
    </row>
    <row r="26526" spans="8:8">
      <c r="H26526" s="680" t="s">
        <v>6153</v>
      </c>
    </row>
    <row r="26527" spans="8:8">
      <c r="H26527" s="680" t="s">
        <v>6153</v>
      </c>
    </row>
    <row r="26528" spans="8:8">
      <c r="H26528" s="680" t="s">
        <v>6153</v>
      </c>
    </row>
    <row r="26529" spans="8:8">
      <c r="H26529" s="680" t="s">
        <v>6153</v>
      </c>
    </row>
    <row r="26530" spans="8:8">
      <c r="H26530" s="680" t="s">
        <v>6153</v>
      </c>
    </row>
    <row r="26531" spans="8:8">
      <c r="H26531" s="680" t="s">
        <v>6153</v>
      </c>
    </row>
    <row r="26532" spans="8:8">
      <c r="H26532" s="680" t="s">
        <v>6153</v>
      </c>
    </row>
    <row r="26533" spans="8:8">
      <c r="H26533" s="680" t="s">
        <v>6153</v>
      </c>
    </row>
    <row r="26534" spans="8:8">
      <c r="H26534" s="680" t="s">
        <v>6153</v>
      </c>
    </row>
    <row r="26535" spans="8:8">
      <c r="H26535" s="680" t="s">
        <v>6153</v>
      </c>
    </row>
    <row r="26536" spans="8:8">
      <c r="H26536" s="680" t="s">
        <v>6153</v>
      </c>
    </row>
    <row r="26537" spans="8:8">
      <c r="H26537" s="680" t="s">
        <v>6153</v>
      </c>
    </row>
    <row r="26538" spans="8:8">
      <c r="H26538" s="680" t="s">
        <v>6153</v>
      </c>
    </row>
    <row r="26539" spans="8:8">
      <c r="H26539" s="680" t="s">
        <v>6153</v>
      </c>
    </row>
    <row r="26540" spans="8:8">
      <c r="H26540" s="680" t="s">
        <v>6153</v>
      </c>
    </row>
    <row r="26541" spans="8:8">
      <c r="H26541" s="680" t="s">
        <v>6153</v>
      </c>
    </row>
    <row r="26542" spans="8:8">
      <c r="H26542" s="680" t="s">
        <v>6153</v>
      </c>
    </row>
    <row r="26543" spans="8:8">
      <c r="H26543" s="680" t="s">
        <v>6153</v>
      </c>
    </row>
    <row r="26544" spans="8:8">
      <c r="H26544" s="680" t="s">
        <v>6153</v>
      </c>
    </row>
    <row r="26545" spans="8:8">
      <c r="H26545" s="680" t="s">
        <v>6153</v>
      </c>
    </row>
    <row r="26546" spans="8:8">
      <c r="H26546" s="680" t="s">
        <v>6153</v>
      </c>
    </row>
    <row r="26547" spans="8:8">
      <c r="H26547" s="680" t="s">
        <v>6153</v>
      </c>
    </row>
    <row r="26548" spans="8:8">
      <c r="H26548" s="680" t="s">
        <v>6153</v>
      </c>
    </row>
    <row r="26549" spans="8:8">
      <c r="H26549" s="680" t="s">
        <v>6153</v>
      </c>
    </row>
    <row r="26550" spans="8:8">
      <c r="H26550" s="680" t="s">
        <v>6153</v>
      </c>
    </row>
    <row r="26551" spans="8:8">
      <c r="H26551" s="680" t="s">
        <v>6153</v>
      </c>
    </row>
    <row r="26552" spans="8:8">
      <c r="H26552" s="680" t="s">
        <v>6153</v>
      </c>
    </row>
    <row r="26553" spans="8:8">
      <c r="H26553" s="680" t="s">
        <v>6153</v>
      </c>
    </row>
    <row r="26554" spans="8:8">
      <c r="H26554" s="680" t="s">
        <v>6153</v>
      </c>
    </row>
    <row r="26555" spans="8:8">
      <c r="H26555" s="680" t="s">
        <v>6153</v>
      </c>
    </row>
    <row r="26556" spans="8:8">
      <c r="H26556" s="680" t="s">
        <v>6153</v>
      </c>
    </row>
    <row r="26557" spans="8:8">
      <c r="H26557" s="680" t="s">
        <v>6153</v>
      </c>
    </row>
    <row r="26558" spans="8:8">
      <c r="H26558" s="680" t="s">
        <v>6153</v>
      </c>
    </row>
    <row r="26559" spans="8:8">
      <c r="H26559" s="680" t="s">
        <v>6153</v>
      </c>
    </row>
    <row r="26560" spans="8:8">
      <c r="H26560" s="680" t="s">
        <v>6153</v>
      </c>
    </row>
    <row r="26561" spans="8:8">
      <c r="H26561" s="680" t="s">
        <v>6153</v>
      </c>
    </row>
    <row r="26562" spans="8:8">
      <c r="H26562" s="680" t="s">
        <v>6153</v>
      </c>
    </row>
    <row r="26563" spans="8:8">
      <c r="H26563" s="680" t="s">
        <v>6153</v>
      </c>
    </row>
    <row r="26564" spans="8:8">
      <c r="H26564" s="680" t="s">
        <v>6153</v>
      </c>
    </row>
    <row r="26565" spans="8:8">
      <c r="H26565" s="680" t="s">
        <v>6153</v>
      </c>
    </row>
    <row r="26566" spans="8:8">
      <c r="H26566" s="680" t="s">
        <v>6153</v>
      </c>
    </row>
    <row r="26567" spans="8:8">
      <c r="H26567" s="680" t="s">
        <v>6153</v>
      </c>
    </row>
    <row r="26568" spans="8:8">
      <c r="H26568" s="680" t="s">
        <v>6153</v>
      </c>
    </row>
    <row r="26569" spans="8:8">
      <c r="H26569" s="680" t="s">
        <v>6153</v>
      </c>
    </row>
    <row r="26570" spans="8:8">
      <c r="H26570" s="680" t="s">
        <v>6153</v>
      </c>
    </row>
    <row r="26571" spans="8:8">
      <c r="H26571" s="680" t="s">
        <v>6153</v>
      </c>
    </row>
    <row r="26572" spans="8:8">
      <c r="H26572" s="680" t="s">
        <v>6153</v>
      </c>
    </row>
    <row r="26573" spans="8:8">
      <c r="H26573" s="680" t="s">
        <v>6153</v>
      </c>
    </row>
    <row r="26574" spans="8:8">
      <c r="H26574" s="680" t="s">
        <v>6153</v>
      </c>
    </row>
    <row r="26575" spans="8:8">
      <c r="H26575" s="680" t="s">
        <v>6153</v>
      </c>
    </row>
    <row r="26576" spans="8:8">
      <c r="H26576" s="680" t="s">
        <v>6153</v>
      </c>
    </row>
    <row r="26577" spans="8:8">
      <c r="H26577" s="680" t="s">
        <v>6153</v>
      </c>
    </row>
    <row r="26578" spans="8:8">
      <c r="H26578" s="680" t="s">
        <v>6153</v>
      </c>
    </row>
    <row r="26579" spans="8:8">
      <c r="H26579" s="680" t="s">
        <v>6153</v>
      </c>
    </row>
    <row r="26580" spans="8:8">
      <c r="H26580" s="680" t="s">
        <v>6153</v>
      </c>
    </row>
    <row r="26581" spans="8:8">
      <c r="H26581" s="680" t="s">
        <v>6153</v>
      </c>
    </row>
    <row r="26582" spans="8:8">
      <c r="H26582" s="680" t="s">
        <v>6153</v>
      </c>
    </row>
    <row r="26583" spans="8:8">
      <c r="H26583" s="680" t="s">
        <v>6153</v>
      </c>
    </row>
    <row r="26584" spans="8:8">
      <c r="H26584" s="680" t="s">
        <v>6153</v>
      </c>
    </row>
    <row r="26585" spans="8:8">
      <c r="H26585" s="680" t="s">
        <v>6153</v>
      </c>
    </row>
    <row r="26586" spans="8:8">
      <c r="H26586" s="680" t="s">
        <v>6153</v>
      </c>
    </row>
    <row r="26587" spans="8:8">
      <c r="H26587" s="680" t="s">
        <v>6153</v>
      </c>
    </row>
    <row r="26588" spans="8:8">
      <c r="H26588" s="680" t="s">
        <v>6153</v>
      </c>
    </row>
    <row r="26589" spans="8:8">
      <c r="H26589" s="680" t="s">
        <v>6153</v>
      </c>
    </row>
    <row r="26590" spans="8:8">
      <c r="H26590" s="680" t="s">
        <v>6153</v>
      </c>
    </row>
    <row r="26591" spans="8:8">
      <c r="H26591" s="680" t="s">
        <v>6153</v>
      </c>
    </row>
    <row r="26592" spans="8:8">
      <c r="H26592" s="680" t="s">
        <v>6153</v>
      </c>
    </row>
    <row r="26593" spans="8:8">
      <c r="H26593" s="680" t="s">
        <v>6153</v>
      </c>
    </row>
    <row r="26594" spans="8:8">
      <c r="H26594" s="680" t="s">
        <v>6153</v>
      </c>
    </row>
    <row r="26595" spans="8:8">
      <c r="H26595" s="680" t="s">
        <v>6153</v>
      </c>
    </row>
    <row r="26596" spans="8:8">
      <c r="H26596" s="680" t="s">
        <v>6153</v>
      </c>
    </row>
    <row r="26597" spans="8:8">
      <c r="H26597" s="680" t="s">
        <v>6153</v>
      </c>
    </row>
    <row r="26598" spans="8:8">
      <c r="H26598" s="680" t="s">
        <v>6153</v>
      </c>
    </row>
    <row r="26599" spans="8:8">
      <c r="H26599" s="680" t="s">
        <v>6153</v>
      </c>
    </row>
    <row r="26600" spans="8:8">
      <c r="H26600" s="680" t="s">
        <v>6153</v>
      </c>
    </row>
    <row r="26601" spans="8:8">
      <c r="H26601" s="680" t="s">
        <v>6153</v>
      </c>
    </row>
    <row r="26602" spans="8:8">
      <c r="H26602" s="680" t="s">
        <v>6153</v>
      </c>
    </row>
    <row r="26603" spans="8:8">
      <c r="H26603" s="680" t="s">
        <v>6153</v>
      </c>
    </row>
    <row r="26604" spans="8:8">
      <c r="H26604" s="680" t="s">
        <v>6153</v>
      </c>
    </row>
    <row r="26605" spans="8:8">
      <c r="H26605" s="680" t="s">
        <v>6153</v>
      </c>
    </row>
    <row r="26606" spans="8:8">
      <c r="H26606" s="680" t="s">
        <v>6153</v>
      </c>
    </row>
    <row r="26607" spans="8:8">
      <c r="H26607" s="680" t="s">
        <v>6153</v>
      </c>
    </row>
    <row r="26608" spans="8:8">
      <c r="H26608" s="680" t="s">
        <v>6153</v>
      </c>
    </row>
    <row r="26609" spans="8:8">
      <c r="H26609" s="680" t="s">
        <v>6153</v>
      </c>
    </row>
    <row r="26610" spans="8:8">
      <c r="H26610" s="680" t="s">
        <v>6153</v>
      </c>
    </row>
    <row r="26611" spans="8:8">
      <c r="H26611" s="680" t="s">
        <v>6153</v>
      </c>
    </row>
    <row r="26612" spans="8:8">
      <c r="H26612" s="680" t="s">
        <v>6153</v>
      </c>
    </row>
    <row r="26613" spans="8:8">
      <c r="H26613" s="680" t="s">
        <v>6153</v>
      </c>
    </row>
    <row r="26614" spans="8:8">
      <c r="H26614" s="680" t="s">
        <v>6153</v>
      </c>
    </row>
    <row r="26615" spans="8:8">
      <c r="H26615" s="680" t="s">
        <v>6153</v>
      </c>
    </row>
    <row r="26616" spans="8:8">
      <c r="H26616" s="680" t="s">
        <v>6153</v>
      </c>
    </row>
    <row r="26617" spans="8:8">
      <c r="H26617" s="680" t="s">
        <v>6153</v>
      </c>
    </row>
    <row r="26618" spans="8:8">
      <c r="H26618" s="680" t="s">
        <v>6153</v>
      </c>
    </row>
    <row r="26619" spans="8:8">
      <c r="H26619" s="680" t="s">
        <v>6153</v>
      </c>
    </row>
    <row r="26620" spans="8:8">
      <c r="H26620" s="680" t="s">
        <v>6153</v>
      </c>
    </row>
    <row r="26621" spans="8:8">
      <c r="H26621" s="680" t="s">
        <v>6153</v>
      </c>
    </row>
    <row r="26622" spans="8:8">
      <c r="H26622" s="680" t="s">
        <v>6153</v>
      </c>
    </row>
    <row r="26623" spans="8:8">
      <c r="H26623" s="680" t="s">
        <v>6153</v>
      </c>
    </row>
    <row r="26624" spans="8:8">
      <c r="H26624" s="680" t="s">
        <v>6153</v>
      </c>
    </row>
    <row r="26625" spans="8:8">
      <c r="H26625" s="680" t="s">
        <v>6153</v>
      </c>
    </row>
    <row r="26626" spans="8:8">
      <c r="H26626" s="680" t="s">
        <v>6153</v>
      </c>
    </row>
    <row r="26627" spans="8:8">
      <c r="H26627" s="680" t="s">
        <v>6153</v>
      </c>
    </row>
    <row r="26628" spans="8:8">
      <c r="H26628" s="680" t="s">
        <v>6153</v>
      </c>
    </row>
    <row r="26629" spans="8:8">
      <c r="H26629" s="680" t="s">
        <v>6153</v>
      </c>
    </row>
    <row r="26630" spans="8:8">
      <c r="H26630" s="680" t="s">
        <v>6153</v>
      </c>
    </row>
    <row r="26631" spans="8:8">
      <c r="H26631" s="680" t="s">
        <v>6153</v>
      </c>
    </row>
    <row r="26632" spans="8:8">
      <c r="H26632" s="680" t="s">
        <v>6153</v>
      </c>
    </row>
    <row r="26633" spans="8:8">
      <c r="H26633" s="680" t="s">
        <v>6153</v>
      </c>
    </row>
    <row r="26634" spans="8:8">
      <c r="H26634" s="680" t="s">
        <v>6153</v>
      </c>
    </row>
    <row r="26635" spans="8:8">
      <c r="H26635" s="680" t="s">
        <v>6153</v>
      </c>
    </row>
    <row r="26636" spans="8:8">
      <c r="H26636" s="680" t="s">
        <v>6153</v>
      </c>
    </row>
    <row r="26637" spans="8:8">
      <c r="H26637" s="680" t="s">
        <v>6153</v>
      </c>
    </row>
    <row r="26638" spans="8:8">
      <c r="H26638" s="680" t="s">
        <v>6153</v>
      </c>
    </row>
    <row r="26639" spans="8:8">
      <c r="H26639" s="680" t="s">
        <v>6153</v>
      </c>
    </row>
    <row r="26640" spans="8:8">
      <c r="H26640" s="680" t="s">
        <v>6153</v>
      </c>
    </row>
    <row r="26641" spans="8:8">
      <c r="H26641" s="680" t="s">
        <v>6153</v>
      </c>
    </row>
    <row r="26642" spans="8:8">
      <c r="H26642" s="680" t="s">
        <v>6153</v>
      </c>
    </row>
    <row r="26643" spans="8:8">
      <c r="H26643" s="680" t="s">
        <v>6153</v>
      </c>
    </row>
    <row r="26644" spans="8:8">
      <c r="H26644" s="680" t="s">
        <v>6153</v>
      </c>
    </row>
    <row r="26645" spans="8:8">
      <c r="H26645" s="680" t="s">
        <v>6153</v>
      </c>
    </row>
    <row r="26646" spans="8:8">
      <c r="H26646" s="680" t="s">
        <v>6153</v>
      </c>
    </row>
    <row r="26647" spans="8:8">
      <c r="H26647" s="680" t="s">
        <v>6153</v>
      </c>
    </row>
    <row r="26648" spans="8:8">
      <c r="H26648" s="680" t="s">
        <v>6153</v>
      </c>
    </row>
    <row r="26649" spans="8:8">
      <c r="H26649" s="680" t="s">
        <v>6153</v>
      </c>
    </row>
    <row r="26650" spans="8:8">
      <c r="H26650" s="680" t="s">
        <v>6153</v>
      </c>
    </row>
    <row r="26651" spans="8:8">
      <c r="H26651" s="680" t="s">
        <v>6153</v>
      </c>
    </row>
    <row r="26652" spans="8:8">
      <c r="H26652" s="680" t="s">
        <v>6153</v>
      </c>
    </row>
    <row r="26653" spans="8:8">
      <c r="H26653" s="680" t="s">
        <v>6153</v>
      </c>
    </row>
    <row r="26654" spans="8:8">
      <c r="H26654" s="680" t="s">
        <v>6153</v>
      </c>
    </row>
    <row r="26655" spans="8:8">
      <c r="H26655" s="680" t="s">
        <v>6153</v>
      </c>
    </row>
    <row r="26656" spans="8:8">
      <c r="H26656" s="680" t="s">
        <v>6153</v>
      </c>
    </row>
    <row r="26657" spans="8:8">
      <c r="H26657" s="680" t="s">
        <v>6153</v>
      </c>
    </row>
    <row r="26658" spans="8:8">
      <c r="H26658" s="680" t="s">
        <v>6153</v>
      </c>
    </row>
    <row r="26659" spans="8:8">
      <c r="H26659" s="680" t="s">
        <v>6153</v>
      </c>
    </row>
    <row r="26660" spans="8:8">
      <c r="H26660" s="680" t="s">
        <v>6153</v>
      </c>
    </row>
    <row r="26661" spans="8:8">
      <c r="H26661" s="680" t="s">
        <v>6153</v>
      </c>
    </row>
    <row r="26662" spans="8:8">
      <c r="H26662" s="680" t="s">
        <v>6153</v>
      </c>
    </row>
    <row r="26663" spans="8:8">
      <c r="H26663" s="680" t="s">
        <v>6153</v>
      </c>
    </row>
    <row r="26664" spans="8:8">
      <c r="H26664" s="680" t="s">
        <v>6153</v>
      </c>
    </row>
    <row r="26665" spans="8:8">
      <c r="H26665" s="680" t="s">
        <v>6153</v>
      </c>
    </row>
    <row r="26666" spans="8:8">
      <c r="H26666" s="680" t="s">
        <v>6153</v>
      </c>
    </row>
    <row r="26667" spans="8:8">
      <c r="H26667" s="680" t="s">
        <v>6153</v>
      </c>
    </row>
    <row r="26668" spans="8:8">
      <c r="H26668" s="680" t="s">
        <v>6153</v>
      </c>
    </row>
    <row r="26669" spans="8:8">
      <c r="H26669" s="680" t="s">
        <v>6153</v>
      </c>
    </row>
    <row r="26670" spans="8:8">
      <c r="H26670" s="680" t="s">
        <v>6153</v>
      </c>
    </row>
    <row r="26671" spans="8:8">
      <c r="H26671" s="680" t="s">
        <v>6153</v>
      </c>
    </row>
    <row r="26672" spans="8:8">
      <c r="H26672" s="680" t="s">
        <v>6153</v>
      </c>
    </row>
    <row r="26673" spans="8:8">
      <c r="H26673" s="680" t="s">
        <v>6153</v>
      </c>
    </row>
    <row r="26674" spans="8:8">
      <c r="H26674" s="680" t="s">
        <v>6153</v>
      </c>
    </row>
    <row r="26675" spans="8:8">
      <c r="H26675" s="680" t="s">
        <v>6153</v>
      </c>
    </row>
    <row r="26676" spans="8:8">
      <c r="H26676" s="680" t="s">
        <v>6153</v>
      </c>
    </row>
    <row r="26677" spans="8:8">
      <c r="H26677" s="680" t="s">
        <v>6153</v>
      </c>
    </row>
    <row r="26678" spans="8:8">
      <c r="H26678" s="680" t="s">
        <v>6153</v>
      </c>
    </row>
    <row r="26679" spans="8:8">
      <c r="H26679" s="680" t="s">
        <v>6153</v>
      </c>
    </row>
    <row r="26680" spans="8:8">
      <c r="H26680" s="680" t="s">
        <v>6153</v>
      </c>
    </row>
    <row r="26681" spans="8:8">
      <c r="H26681" s="680" t="s">
        <v>6153</v>
      </c>
    </row>
    <row r="26682" spans="8:8">
      <c r="H26682" s="680" t="s">
        <v>6153</v>
      </c>
    </row>
    <row r="26683" spans="8:8">
      <c r="H26683" s="680" t="s">
        <v>6153</v>
      </c>
    </row>
    <row r="26684" spans="8:8">
      <c r="H26684" s="680" t="s">
        <v>6153</v>
      </c>
    </row>
    <row r="26685" spans="8:8">
      <c r="H26685" s="680" t="s">
        <v>6153</v>
      </c>
    </row>
    <row r="26686" spans="8:8">
      <c r="H26686" s="680" t="s">
        <v>6153</v>
      </c>
    </row>
    <row r="26687" spans="8:8">
      <c r="H26687" s="680" t="s">
        <v>6153</v>
      </c>
    </row>
    <row r="26688" spans="8:8">
      <c r="H26688" s="680" t="s">
        <v>6153</v>
      </c>
    </row>
    <row r="26689" spans="8:8">
      <c r="H26689" s="680" t="s">
        <v>6153</v>
      </c>
    </row>
    <row r="26690" spans="8:8">
      <c r="H26690" s="680" t="s">
        <v>6153</v>
      </c>
    </row>
    <row r="26691" spans="8:8">
      <c r="H26691" s="680" t="s">
        <v>6153</v>
      </c>
    </row>
    <row r="26692" spans="8:8">
      <c r="H26692" s="680" t="s">
        <v>6153</v>
      </c>
    </row>
    <row r="26693" spans="8:8">
      <c r="H26693" s="680" t="s">
        <v>6153</v>
      </c>
    </row>
    <row r="26694" spans="8:8">
      <c r="H26694" s="680" t="s">
        <v>6153</v>
      </c>
    </row>
    <row r="26695" spans="8:8">
      <c r="H26695" s="680" t="s">
        <v>6153</v>
      </c>
    </row>
    <row r="26696" spans="8:8">
      <c r="H26696" s="680" t="s">
        <v>6153</v>
      </c>
    </row>
    <row r="26697" spans="8:8">
      <c r="H26697" s="680" t="s">
        <v>6153</v>
      </c>
    </row>
    <row r="26698" spans="8:8">
      <c r="H26698" s="680" t="s">
        <v>6153</v>
      </c>
    </row>
    <row r="26699" spans="8:8">
      <c r="H26699" s="680" t="s">
        <v>6153</v>
      </c>
    </row>
    <row r="26700" spans="8:8">
      <c r="H26700" s="680" t="s">
        <v>6153</v>
      </c>
    </row>
    <row r="26701" spans="8:8">
      <c r="H26701" s="680" t="s">
        <v>6153</v>
      </c>
    </row>
    <row r="26702" spans="8:8">
      <c r="H26702" s="680" t="s">
        <v>6153</v>
      </c>
    </row>
    <row r="26703" spans="8:8">
      <c r="H26703" s="680" t="s">
        <v>6153</v>
      </c>
    </row>
    <row r="26704" spans="8:8">
      <c r="H26704" s="680" t="s">
        <v>6153</v>
      </c>
    </row>
    <row r="26705" spans="8:8">
      <c r="H26705" s="680" t="s">
        <v>6153</v>
      </c>
    </row>
    <row r="26706" spans="8:8">
      <c r="H26706" s="680" t="s">
        <v>6153</v>
      </c>
    </row>
    <row r="26707" spans="8:8">
      <c r="H26707" s="680" t="s">
        <v>6153</v>
      </c>
    </row>
    <row r="26708" spans="8:8">
      <c r="H26708" s="680" t="s">
        <v>6153</v>
      </c>
    </row>
    <row r="26709" spans="8:8">
      <c r="H26709" s="680" t="s">
        <v>6153</v>
      </c>
    </row>
    <row r="26710" spans="8:8">
      <c r="H26710" s="680" t="s">
        <v>6153</v>
      </c>
    </row>
    <row r="26711" spans="8:8">
      <c r="H26711" s="680" t="s">
        <v>6153</v>
      </c>
    </row>
    <row r="26712" spans="8:8">
      <c r="H26712" s="680" t="s">
        <v>6153</v>
      </c>
    </row>
    <row r="26713" spans="8:8">
      <c r="H26713" s="680" t="s">
        <v>6153</v>
      </c>
    </row>
    <row r="26714" spans="8:8">
      <c r="H26714" s="680" t="s">
        <v>6153</v>
      </c>
    </row>
    <row r="26715" spans="8:8">
      <c r="H26715" s="680" t="s">
        <v>6153</v>
      </c>
    </row>
    <row r="26716" spans="8:8">
      <c r="H26716" s="680" t="s">
        <v>6153</v>
      </c>
    </row>
    <row r="26717" spans="8:8">
      <c r="H26717" s="680" t="s">
        <v>6153</v>
      </c>
    </row>
    <row r="26718" spans="8:8">
      <c r="H26718" s="680" t="s">
        <v>6153</v>
      </c>
    </row>
    <row r="26719" spans="8:8">
      <c r="H26719" s="680" t="s">
        <v>6153</v>
      </c>
    </row>
    <row r="26720" spans="8:8">
      <c r="H26720" s="680" t="s">
        <v>6153</v>
      </c>
    </row>
    <row r="26721" spans="8:8">
      <c r="H26721" s="680" t="s">
        <v>6153</v>
      </c>
    </row>
    <row r="26722" spans="8:8">
      <c r="H26722" s="680" t="s">
        <v>6153</v>
      </c>
    </row>
    <row r="26723" spans="8:8">
      <c r="H26723" s="680" t="s">
        <v>6153</v>
      </c>
    </row>
    <row r="26724" spans="8:8">
      <c r="H26724" s="680" t="s">
        <v>6153</v>
      </c>
    </row>
    <row r="26725" spans="8:8">
      <c r="H26725" s="680" t="s">
        <v>6153</v>
      </c>
    </row>
    <row r="26726" spans="8:8">
      <c r="H26726" s="680" t="s">
        <v>6153</v>
      </c>
    </row>
    <row r="26727" spans="8:8">
      <c r="H26727" s="680" t="s">
        <v>6153</v>
      </c>
    </row>
    <row r="26728" spans="8:8">
      <c r="H26728" s="680" t="s">
        <v>6153</v>
      </c>
    </row>
    <row r="26729" spans="8:8">
      <c r="H26729" s="680" t="s">
        <v>6153</v>
      </c>
    </row>
    <row r="26730" spans="8:8">
      <c r="H26730" s="680" t="s">
        <v>6153</v>
      </c>
    </row>
    <row r="26731" spans="8:8">
      <c r="H26731" s="680" t="s">
        <v>6153</v>
      </c>
    </row>
    <row r="26732" spans="8:8">
      <c r="H26732" s="680" t="s">
        <v>6153</v>
      </c>
    </row>
    <row r="26733" spans="8:8">
      <c r="H26733" s="680" t="s">
        <v>6153</v>
      </c>
    </row>
    <row r="26734" spans="8:8">
      <c r="H26734" s="680" t="s">
        <v>6153</v>
      </c>
    </row>
    <row r="26735" spans="8:8">
      <c r="H26735" s="680" t="s">
        <v>6153</v>
      </c>
    </row>
    <row r="26736" spans="8:8">
      <c r="H26736" s="680" t="s">
        <v>6153</v>
      </c>
    </row>
    <row r="26737" spans="8:8">
      <c r="H26737" s="680" t="s">
        <v>6153</v>
      </c>
    </row>
    <row r="26738" spans="8:8">
      <c r="H26738" s="680" t="s">
        <v>6153</v>
      </c>
    </row>
    <row r="26739" spans="8:8">
      <c r="H26739" s="680" t="s">
        <v>6153</v>
      </c>
    </row>
    <row r="26740" spans="8:8">
      <c r="H26740" s="680" t="s">
        <v>6153</v>
      </c>
    </row>
    <row r="26741" spans="8:8">
      <c r="H26741" s="680" t="s">
        <v>6153</v>
      </c>
    </row>
    <row r="26742" spans="8:8">
      <c r="H26742" s="680" t="s">
        <v>6153</v>
      </c>
    </row>
    <row r="26743" spans="8:8">
      <c r="H26743" s="680" t="s">
        <v>6153</v>
      </c>
    </row>
    <row r="26744" spans="8:8">
      <c r="H26744" s="680" t="s">
        <v>6153</v>
      </c>
    </row>
    <row r="26745" spans="8:8">
      <c r="H26745" s="680" t="s">
        <v>6153</v>
      </c>
    </row>
    <row r="26746" spans="8:8">
      <c r="H26746" s="680" t="s">
        <v>6153</v>
      </c>
    </row>
    <row r="26747" spans="8:8">
      <c r="H26747" s="680" t="s">
        <v>6153</v>
      </c>
    </row>
    <row r="26748" spans="8:8">
      <c r="H26748" s="680" t="s">
        <v>6153</v>
      </c>
    </row>
    <row r="26749" spans="8:8">
      <c r="H26749" s="680" t="s">
        <v>6153</v>
      </c>
    </row>
    <row r="26750" spans="8:8">
      <c r="H26750" s="680" t="s">
        <v>6153</v>
      </c>
    </row>
    <row r="26751" spans="8:8">
      <c r="H26751" s="680" t="s">
        <v>6153</v>
      </c>
    </row>
    <row r="26752" spans="8:8">
      <c r="H26752" s="680" t="s">
        <v>6153</v>
      </c>
    </row>
    <row r="26753" spans="8:8">
      <c r="H26753" s="680" t="s">
        <v>6153</v>
      </c>
    </row>
    <row r="26754" spans="8:8">
      <c r="H26754" s="680" t="s">
        <v>6153</v>
      </c>
    </row>
    <row r="26755" spans="8:8">
      <c r="H26755" s="680" t="s">
        <v>6153</v>
      </c>
    </row>
    <row r="26756" spans="8:8">
      <c r="H26756" s="680" t="s">
        <v>6153</v>
      </c>
    </row>
    <row r="26757" spans="8:8">
      <c r="H26757" s="680" t="s">
        <v>6153</v>
      </c>
    </row>
    <row r="26758" spans="8:8">
      <c r="H26758" s="680" t="s">
        <v>6153</v>
      </c>
    </row>
    <row r="26759" spans="8:8">
      <c r="H26759" s="680" t="s">
        <v>6153</v>
      </c>
    </row>
    <row r="26760" spans="8:8">
      <c r="H26760" s="680" t="s">
        <v>6153</v>
      </c>
    </row>
    <row r="26761" spans="8:8">
      <c r="H26761" s="680" t="s">
        <v>6153</v>
      </c>
    </row>
    <row r="26762" spans="8:8">
      <c r="H26762" s="680" t="s">
        <v>6153</v>
      </c>
    </row>
    <row r="26763" spans="8:8">
      <c r="H26763" s="680" t="s">
        <v>6153</v>
      </c>
    </row>
    <row r="26764" spans="8:8">
      <c r="H26764" s="680" t="s">
        <v>6153</v>
      </c>
    </row>
    <row r="26765" spans="8:8">
      <c r="H26765" s="680" t="s">
        <v>6153</v>
      </c>
    </row>
    <row r="26766" spans="8:8">
      <c r="H26766" s="680" t="s">
        <v>6153</v>
      </c>
    </row>
    <row r="26767" spans="8:8">
      <c r="H26767" s="680" t="s">
        <v>6153</v>
      </c>
    </row>
    <row r="26768" spans="8:8">
      <c r="H26768" s="680" t="s">
        <v>6153</v>
      </c>
    </row>
    <row r="26769" spans="8:8">
      <c r="H26769" s="680" t="s">
        <v>6153</v>
      </c>
    </row>
    <row r="26770" spans="8:8">
      <c r="H26770" s="680" t="s">
        <v>6153</v>
      </c>
    </row>
    <row r="26771" spans="8:8">
      <c r="H26771" s="680" t="s">
        <v>6153</v>
      </c>
    </row>
    <row r="26772" spans="8:8">
      <c r="H26772" s="680" t="s">
        <v>6153</v>
      </c>
    </row>
    <row r="26773" spans="8:8">
      <c r="H26773" s="680" t="s">
        <v>6153</v>
      </c>
    </row>
    <row r="26774" spans="8:8">
      <c r="H26774" s="680" t="s">
        <v>6153</v>
      </c>
    </row>
    <row r="26775" spans="8:8">
      <c r="H26775" s="680" t="s">
        <v>6153</v>
      </c>
    </row>
    <row r="26776" spans="8:8">
      <c r="H26776" s="680" t="s">
        <v>6153</v>
      </c>
    </row>
    <row r="26777" spans="8:8">
      <c r="H26777" s="680" t="s">
        <v>6153</v>
      </c>
    </row>
    <row r="26778" spans="8:8">
      <c r="H26778" s="680" t="s">
        <v>6153</v>
      </c>
    </row>
    <row r="26779" spans="8:8">
      <c r="H26779" s="680" t="s">
        <v>6153</v>
      </c>
    </row>
    <row r="26780" spans="8:8">
      <c r="H26780" s="680" t="s">
        <v>6153</v>
      </c>
    </row>
    <row r="26781" spans="8:8">
      <c r="H26781" s="680" t="s">
        <v>6153</v>
      </c>
    </row>
    <row r="26782" spans="8:8">
      <c r="H26782" s="680" t="s">
        <v>6153</v>
      </c>
    </row>
    <row r="26783" spans="8:8">
      <c r="H26783" s="680" t="s">
        <v>6153</v>
      </c>
    </row>
    <row r="26784" spans="8:8">
      <c r="H26784" s="680" t="s">
        <v>6153</v>
      </c>
    </row>
    <row r="26785" spans="8:8">
      <c r="H26785" s="680" t="s">
        <v>6153</v>
      </c>
    </row>
    <row r="26786" spans="8:8">
      <c r="H26786" s="680" t="s">
        <v>6153</v>
      </c>
    </row>
    <row r="26787" spans="8:8">
      <c r="H26787" s="680" t="s">
        <v>6153</v>
      </c>
    </row>
    <row r="26788" spans="8:8">
      <c r="H26788" s="680" t="s">
        <v>6153</v>
      </c>
    </row>
    <row r="26789" spans="8:8">
      <c r="H26789" s="680" t="s">
        <v>6153</v>
      </c>
    </row>
    <row r="26790" spans="8:8">
      <c r="H26790" s="680" t="s">
        <v>6153</v>
      </c>
    </row>
    <row r="26791" spans="8:8">
      <c r="H26791" s="680" t="s">
        <v>6153</v>
      </c>
    </row>
    <row r="26792" spans="8:8">
      <c r="H26792" s="680" t="s">
        <v>6153</v>
      </c>
    </row>
    <row r="26793" spans="8:8">
      <c r="H26793" s="680" t="s">
        <v>6153</v>
      </c>
    </row>
    <row r="26794" spans="8:8">
      <c r="H26794" s="680" t="s">
        <v>6153</v>
      </c>
    </row>
    <row r="26795" spans="8:8">
      <c r="H26795" s="680" t="s">
        <v>6153</v>
      </c>
    </row>
    <row r="26796" spans="8:8">
      <c r="H26796" s="680" t="s">
        <v>6153</v>
      </c>
    </row>
    <row r="26797" spans="8:8">
      <c r="H26797" s="680" t="s">
        <v>6153</v>
      </c>
    </row>
    <row r="26798" spans="8:8">
      <c r="H26798" s="680" t="s">
        <v>6153</v>
      </c>
    </row>
    <row r="26799" spans="8:8">
      <c r="H26799" s="680" t="s">
        <v>6153</v>
      </c>
    </row>
    <row r="26800" spans="8:8">
      <c r="H26800" s="680" t="s">
        <v>6153</v>
      </c>
    </row>
    <row r="26801" spans="8:8">
      <c r="H26801" s="680" t="s">
        <v>6153</v>
      </c>
    </row>
    <row r="26802" spans="8:8">
      <c r="H26802" s="680" t="s">
        <v>6153</v>
      </c>
    </row>
    <row r="26803" spans="8:8">
      <c r="H26803" s="680" t="s">
        <v>6153</v>
      </c>
    </row>
    <row r="26804" spans="8:8">
      <c r="H26804" s="680" t="s">
        <v>6153</v>
      </c>
    </row>
    <row r="26805" spans="8:8">
      <c r="H26805" s="680" t="s">
        <v>6153</v>
      </c>
    </row>
    <row r="26806" spans="8:8">
      <c r="H26806" s="680" t="s">
        <v>6153</v>
      </c>
    </row>
    <row r="26807" spans="8:8">
      <c r="H26807" s="680" t="s">
        <v>6153</v>
      </c>
    </row>
    <row r="26808" spans="8:8">
      <c r="H26808" s="680" t="s">
        <v>6153</v>
      </c>
    </row>
    <row r="26809" spans="8:8">
      <c r="H26809" s="680" t="s">
        <v>6153</v>
      </c>
    </row>
    <row r="26810" spans="8:8">
      <c r="H26810" s="680" t="s">
        <v>6153</v>
      </c>
    </row>
    <row r="26811" spans="8:8">
      <c r="H26811" s="680" t="s">
        <v>6153</v>
      </c>
    </row>
    <row r="26812" spans="8:8">
      <c r="H26812" s="680" t="s">
        <v>6153</v>
      </c>
    </row>
    <row r="26813" spans="8:8">
      <c r="H26813" s="680" t="s">
        <v>6153</v>
      </c>
    </row>
    <row r="26814" spans="8:8">
      <c r="H26814" s="680" t="s">
        <v>6153</v>
      </c>
    </row>
    <row r="26815" spans="8:8">
      <c r="H26815" s="680" t="s">
        <v>6153</v>
      </c>
    </row>
    <row r="26816" spans="8:8">
      <c r="H26816" s="680" t="s">
        <v>6153</v>
      </c>
    </row>
    <row r="26817" spans="8:8">
      <c r="H26817" s="680" t="s">
        <v>6153</v>
      </c>
    </row>
    <row r="26818" spans="8:8">
      <c r="H26818" s="680" t="s">
        <v>6153</v>
      </c>
    </row>
    <row r="26819" spans="8:8">
      <c r="H26819" s="680" t="s">
        <v>6153</v>
      </c>
    </row>
    <row r="26820" spans="8:8">
      <c r="H26820" s="680" t="s">
        <v>6153</v>
      </c>
    </row>
    <row r="26821" spans="8:8">
      <c r="H26821" s="680" t="s">
        <v>6153</v>
      </c>
    </row>
    <row r="26822" spans="8:8">
      <c r="H26822" s="680" t="s">
        <v>6153</v>
      </c>
    </row>
    <row r="26823" spans="8:8">
      <c r="H26823" s="680" t="s">
        <v>6153</v>
      </c>
    </row>
    <row r="26824" spans="8:8">
      <c r="H26824" s="680" t="s">
        <v>6153</v>
      </c>
    </row>
    <row r="26825" spans="8:8">
      <c r="H26825" s="680" t="s">
        <v>6153</v>
      </c>
    </row>
    <row r="26826" spans="8:8">
      <c r="H26826" s="680" t="s">
        <v>6153</v>
      </c>
    </row>
    <row r="26827" spans="8:8">
      <c r="H26827" s="680" t="s">
        <v>6153</v>
      </c>
    </row>
    <row r="26828" spans="8:8">
      <c r="H26828" s="680" t="s">
        <v>6153</v>
      </c>
    </row>
    <row r="26829" spans="8:8">
      <c r="H26829" s="680" t="s">
        <v>6153</v>
      </c>
    </row>
    <row r="26830" spans="8:8">
      <c r="H26830" s="680" t="s">
        <v>6153</v>
      </c>
    </row>
    <row r="26831" spans="8:8">
      <c r="H26831" s="680" t="s">
        <v>6153</v>
      </c>
    </row>
    <row r="26832" spans="8:8">
      <c r="H26832" s="680" t="s">
        <v>6153</v>
      </c>
    </row>
    <row r="26833" spans="8:8">
      <c r="H26833" s="680" t="s">
        <v>6153</v>
      </c>
    </row>
    <row r="26834" spans="8:8">
      <c r="H26834" s="680" t="s">
        <v>6153</v>
      </c>
    </row>
    <row r="26835" spans="8:8">
      <c r="H26835" s="680" t="s">
        <v>6153</v>
      </c>
    </row>
    <row r="26836" spans="8:8">
      <c r="H26836" s="680" t="s">
        <v>6153</v>
      </c>
    </row>
    <row r="26837" spans="8:8">
      <c r="H26837" s="680" t="s">
        <v>6153</v>
      </c>
    </row>
    <row r="26838" spans="8:8">
      <c r="H26838" s="680" t="s">
        <v>6153</v>
      </c>
    </row>
    <row r="26839" spans="8:8">
      <c r="H26839" s="680" t="s">
        <v>6153</v>
      </c>
    </row>
    <row r="26840" spans="8:8">
      <c r="H26840" s="680" t="s">
        <v>6153</v>
      </c>
    </row>
    <row r="26841" spans="8:8">
      <c r="H26841" s="680" t="s">
        <v>6153</v>
      </c>
    </row>
    <row r="26842" spans="8:8">
      <c r="H26842" s="680" t="s">
        <v>6153</v>
      </c>
    </row>
    <row r="26843" spans="8:8">
      <c r="H26843" s="680" t="s">
        <v>6153</v>
      </c>
    </row>
    <row r="26844" spans="8:8">
      <c r="H26844" s="680" t="s">
        <v>6153</v>
      </c>
    </row>
    <row r="26845" spans="8:8">
      <c r="H26845" s="680" t="s">
        <v>6153</v>
      </c>
    </row>
    <row r="26846" spans="8:8">
      <c r="H26846" s="680" t="s">
        <v>6153</v>
      </c>
    </row>
    <row r="26847" spans="8:8">
      <c r="H26847" s="680" t="s">
        <v>6153</v>
      </c>
    </row>
    <row r="26848" spans="8:8">
      <c r="H26848" s="680" t="s">
        <v>6153</v>
      </c>
    </row>
    <row r="26849" spans="8:8">
      <c r="H26849" s="680" t="s">
        <v>6153</v>
      </c>
    </row>
    <row r="26850" spans="8:8">
      <c r="H26850" s="680" t="s">
        <v>6153</v>
      </c>
    </row>
    <row r="26851" spans="8:8">
      <c r="H26851" s="680" t="s">
        <v>6153</v>
      </c>
    </row>
    <row r="26852" spans="8:8">
      <c r="H26852" s="680" t="s">
        <v>6153</v>
      </c>
    </row>
    <row r="26853" spans="8:8">
      <c r="H26853" s="680" t="s">
        <v>6153</v>
      </c>
    </row>
    <row r="26854" spans="8:8">
      <c r="H26854" s="680" t="s">
        <v>6153</v>
      </c>
    </row>
    <row r="26855" spans="8:8">
      <c r="H26855" s="680" t="s">
        <v>6153</v>
      </c>
    </row>
    <row r="26856" spans="8:8">
      <c r="H26856" s="680" t="s">
        <v>6153</v>
      </c>
    </row>
    <row r="26857" spans="8:8">
      <c r="H26857" s="680" t="s">
        <v>6153</v>
      </c>
    </row>
    <row r="26858" spans="8:8">
      <c r="H26858" s="680" t="s">
        <v>6153</v>
      </c>
    </row>
    <row r="26859" spans="8:8">
      <c r="H26859" s="680" t="s">
        <v>6153</v>
      </c>
    </row>
    <row r="26860" spans="8:8">
      <c r="H26860" s="680" t="s">
        <v>6153</v>
      </c>
    </row>
    <row r="26861" spans="8:8">
      <c r="H26861" s="680" t="s">
        <v>6153</v>
      </c>
    </row>
    <row r="26862" spans="8:8">
      <c r="H26862" s="680" t="s">
        <v>6153</v>
      </c>
    </row>
    <row r="26863" spans="8:8">
      <c r="H26863" s="680" t="s">
        <v>6153</v>
      </c>
    </row>
    <row r="26864" spans="8:8">
      <c r="H26864" s="680" t="s">
        <v>6153</v>
      </c>
    </row>
    <row r="26865" spans="8:8">
      <c r="H26865" s="680" t="s">
        <v>6153</v>
      </c>
    </row>
    <row r="26866" spans="8:8">
      <c r="H26866" s="680" t="s">
        <v>6153</v>
      </c>
    </row>
    <row r="26867" spans="8:8">
      <c r="H26867" s="680" t="s">
        <v>6153</v>
      </c>
    </row>
    <row r="26868" spans="8:8">
      <c r="H26868" s="680" t="s">
        <v>6153</v>
      </c>
    </row>
    <row r="26869" spans="8:8">
      <c r="H26869" s="680" t="s">
        <v>6153</v>
      </c>
    </row>
    <row r="26870" spans="8:8">
      <c r="H26870" s="680" t="s">
        <v>6153</v>
      </c>
    </row>
    <row r="26871" spans="8:8">
      <c r="H26871" s="680" t="s">
        <v>6153</v>
      </c>
    </row>
    <row r="26872" spans="8:8">
      <c r="H26872" s="680" t="s">
        <v>6153</v>
      </c>
    </row>
    <row r="26873" spans="8:8">
      <c r="H26873" s="680" t="s">
        <v>6153</v>
      </c>
    </row>
    <row r="26874" spans="8:8">
      <c r="H26874" s="680" t="s">
        <v>6153</v>
      </c>
    </row>
    <row r="26875" spans="8:8">
      <c r="H26875" s="680" t="s">
        <v>6153</v>
      </c>
    </row>
    <row r="26876" spans="8:8">
      <c r="H26876" s="680" t="s">
        <v>6153</v>
      </c>
    </row>
    <row r="26877" spans="8:8">
      <c r="H26877" s="680" t="s">
        <v>6153</v>
      </c>
    </row>
    <row r="26878" spans="8:8">
      <c r="H26878" s="680" t="s">
        <v>6153</v>
      </c>
    </row>
    <row r="26879" spans="8:8">
      <c r="H26879" s="680" t="s">
        <v>6153</v>
      </c>
    </row>
    <row r="26880" spans="8:8">
      <c r="H26880" s="680" t="s">
        <v>6153</v>
      </c>
    </row>
    <row r="26881" spans="8:8">
      <c r="H26881" s="680" t="s">
        <v>6153</v>
      </c>
    </row>
    <row r="26882" spans="8:8">
      <c r="H26882" s="680" t="s">
        <v>6153</v>
      </c>
    </row>
    <row r="26883" spans="8:8">
      <c r="H26883" s="680" t="s">
        <v>6153</v>
      </c>
    </row>
    <row r="26884" spans="8:8">
      <c r="H26884" s="680" t="s">
        <v>6153</v>
      </c>
    </row>
    <row r="26885" spans="8:8">
      <c r="H26885" s="680" t="s">
        <v>6153</v>
      </c>
    </row>
    <row r="26886" spans="8:8">
      <c r="H26886" s="680" t="s">
        <v>6153</v>
      </c>
    </row>
    <row r="26887" spans="8:8">
      <c r="H26887" s="680" t="s">
        <v>6153</v>
      </c>
    </row>
    <row r="26888" spans="8:8">
      <c r="H26888" s="680" t="s">
        <v>6153</v>
      </c>
    </row>
    <row r="26889" spans="8:8">
      <c r="H26889" s="680" t="s">
        <v>6153</v>
      </c>
    </row>
    <row r="26890" spans="8:8">
      <c r="H26890" s="680" t="s">
        <v>6153</v>
      </c>
    </row>
    <row r="26891" spans="8:8">
      <c r="H26891" s="680" t="s">
        <v>6153</v>
      </c>
    </row>
    <row r="26892" spans="8:8">
      <c r="H26892" s="680" t="s">
        <v>6153</v>
      </c>
    </row>
    <row r="26893" spans="8:8">
      <c r="H26893" s="680" t="s">
        <v>6153</v>
      </c>
    </row>
    <row r="26894" spans="8:8">
      <c r="H26894" s="680" t="s">
        <v>6153</v>
      </c>
    </row>
    <row r="26895" spans="8:8">
      <c r="H26895" s="680" t="s">
        <v>6153</v>
      </c>
    </row>
    <row r="26896" spans="8:8">
      <c r="H26896" s="680" t="s">
        <v>6153</v>
      </c>
    </row>
    <row r="26897" spans="8:8">
      <c r="H26897" s="680" t="s">
        <v>6153</v>
      </c>
    </row>
    <row r="26898" spans="8:8">
      <c r="H26898" s="680" t="s">
        <v>6153</v>
      </c>
    </row>
    <row r="26899" spans="8:8">
      <c r="H26899" s="680" t="s">
        <v>6153</v>
      </c>
    </row>
    <row r="26900" spans="8:8">
      <c r="H26900" s="680" t="s">
        <v>6153</v>
      </c>
    </row>
    <row r="26901" spans="8:8">
      <c r="H26901" s="680" t="s">
        <v>6153</v>
      </c>
    </row>
    <row r="26902" spans="8:8">
      <c r="H26902" s="680" t="s">
        <v>6153</v>
      </c>
    </row>
    <row r="26903" spans="8:8">
      <c r="H26903" s="680" t="s">
        <v>6153</v>
      </c>
    </row>
    <row r="26904" spans="8:8">
      <c r="H26904" s="680" t="s">
        <v>6153</v>
      </c>
    </row>
    <row r="26905" spans="8:8">
      <c r="H26905" s="680" t="s">
        <v>6153</v>
      </c>
    </row>
    <row r="26906" spans="8:8">
      <c r="H26906" s="680" t="s">
        <v>6153</v>
      </c>
    </row>
    <row r="26907" spans="8:8">
      <c r="H26907" s="680" t="s">
        <v>6153</v>
      </c>
    </row>
    <row r="26908" spans="8:8">
      <c r="H26908" s="680" t="s">
        <v>6153</v>
      </c>
    </row>
    <row r="26909" spans="8:8">
      <c r="H26909" s="680" t="s">
        <v>6153</v>
      </c>
    </row>
    <row r="26910" spans="8:8">
      <c r="H26910" s="680" t="s">
        <v>6153</v>
      </c>
    </row>
    <row r="26911" spans="8:8">
      <c r="H26911" s="680" t="s">
        <v>6153</v>
      </c>
    </row>
    <row r="26912" spans="8:8">
      <c r="H26912" s="680" t="s">
        <v>6153</v>
      </c>
    </row>
    <row r="26913" spans="8:8">
      <c r="H26913" s="680" t="s">
        <v>6153</v>
      </c>
    </row>
    <row r="26914" spans="8:8">
      <c r="H26914" s="680" t="s">
        <v>6153</v>
      </c>
    </row>
    <row r="26915" spans="8:8">
      <c r="H26915" s="680" t="s">
        <v>6153</v>
      </c>
    </row>
    <row r="26916" spans="8:8">
      <c r="H26916" s="680" t="s">
        <v>6153</v>
      </c>
    </row>
    <row r="26917" spans="8:8">
      <c r="H26917" s="680" t="s">
        <v>6153</v>
      </c>
    </row>
    <row r="26918" spans="8:8">
      <c r="H26918" s="680" t="s">
        <v>6153</v>
      </c>
    </row>
    <row r="26919" spans="8:8">
      <c r="H26919" s="680" t="s">
        <v>6153</v>
      </c>
    </row>
    <row r="26920" spans="8:8">
      <c r="H26920" s="680" t="s">
        <v>6153</v>
      </c>
    </row>
    <row r="26921" spans="8:8">
      <c r="H26921" s="680" t="s">
        <v>6153</v>
      </c>
    </row>
    <row r="26922" spans="8:8">
      <c r="H26922" s="680" t="s">
        <v>6153</v>
      </c>
    </row>
    <row r="26923" spans="8:8">
      <c r="H26923" s="680" t="s">
        <v>6153</v>
      </c>
    </row>
    <row r="26924" spans="8:8">
      <c r="H26924" s="680" t="s">
        <v>6153</v>
      </c>
    </row>
    <row r="26925" spans="8:8">
      <c r="H26925" s="680" t="s">
        <v>6153</v>
      </c>
    </row>
    <row r="26926" spans="8:8">
      <c r="H26926" s="680" t="s">
        <v>6153</v>
      </c>
    </row>
    <row r="26927" spans="8:8">
      <c r="H26927" s="680" t="s">
        <v>6153</v>
      </c>
    </row>
    <row r="26928" spans="8:8">
      <c r="H26928" s="680" t="s">
        <v>6153</v>
      </c>
    </row>
    <row r="26929" spans="8:8">
      <c r="H26929" s="680" t="s">
        <v>6153</v>
      </c>
    </row>
    <row r="26930" spans="8:8">
      <c r="H26930" s="680" t="s">
        <v>6153</v>
      </c>
    </row>
    <row r="26931" spans="8:8">
      <c r="H26931" s="680" t="s">
        <v>6153</v>
      </c>
    </row>
    <row r="26932" spans="8:8">
      <c r="H26932" s="680" t="s">
        <v>6153</v>
      </c>
    </row>
    <row r="26933" spans="8:8">
      <c r="H26933" s="680" t="s">
        <v>6153</v>
      </c>
    </row>
    <row r="26934" spans="8:8">
      <c r="H26934" s="680" t="s">
        <v>6153</v>
      </c>
    </row>
    <row r="26935" spans="8:8">
      <c r="H26935" s="680" t="s">
        <v>6153</v>
      </c>
    </row>
    <row r="26936" spans="8:8">
      <c r="H26936" s="680" t="s">
        <v>6153</v>
      </c>
    </row>
    <row r="26937" spans="8:8">
      <c r="H26937" s="680" t="s">
        <v>6153</v>
      </c>
    </row>
    <row r="26938" spans="8:8">
      <c r="H26938" s="680" t="s">
        <v>6153</v>
      </c>
    </row>
    <row r="26939" spans="8:8">
      <c r="H26939" s="680" t="s">
        <v>6153</v>
      </c>
    </row>
    <row r="26940" spans="8:8">
      <c r="H26940" s="680" t="s">
        <v>6153</v>
      </c>
    </row>
    <row r="26941" spans="8:8">
      <c r="H26941" s="680" t="s">
        <v>6153</v>
      </c>
    </row>
    <row r="26942" spans="8:8">
      <c r="H26942" s="680" t="s">
        <v>6153</v>
      </c>
    </row>
    <row r="26943" spans="8:8">
      <c r="H26943" s="680" t="s">
        <v>6153</v>
      </c>
    </row>
    <row r="26944" spans="8:8">
      <c r="H26944" s="680" t="s">
        <v>6153</v>
      </c>
    </row>
    <row r="26945" spans="8:8">
      <c r="H26945" s="680" t="s">
        <v>6153</v>
      </c>
    </row>
    <row r="26946" spans="8:8">
      <c r="H26946" s="680" t="s">
        <v>6153</v>
      </c>
    </row>
    <row r="26947" spans="8:8">
      <c r="H26947" s="680" t="s">
        <v>6153</v>
      </c>
    </row>
    <row r="26948" spans="8:8">
      <c r="H26948" s="680" t="s">
        <v>6153</v>
      </c>
    </row>
    <row r="26949" spans="8:8">
      <c r="H26949" s="680" t="s">
        <v>6153</v>
      </c>
    </row>
    <row r="26950" spans="8:8">
      <c r="H26950" s="680" t="s">
        <v>6153</v>
      </c>
    </row>
    <row r="26951" spans="8:8">
      <c r="H26951" s="680" t="s">
        <v>6153</v>
      </c>
    </row>
    <row r="26952" spans="8:8">
      <c r="H26952" s="680" t="s">
        <v>6153</v>
      </c>
    </row>
    <row r="26953" spans="8:8">
      <c r="H26953" s="680" t="s">
        <v>6153</v>
      </c>
    </row>
    <row r="26954" spans="8:8">
      <c r="H26954" s="680" t="s">
        <v>6153</v>
      </c>
    </row>
    <row r="26955" spans="8:8">
      <c r="H26955" s="680" t="s">
        <v>6153</v>
      </c>
    </row>
    <row r="26956" spans="8:8">
      <c r="H26956" s="680" t="s">
        <v>6153</v>
      </c>
    </row>
    <row r="26957" spans="8:8">
      <c r="H26957" s="680" t="s">
        <v>6153</v>
      </c>
    </row>
    <row r="26958" spans="8:8">
      <c r="H26958" s="680" t="s">
        <v>6153</v>
      </c>
    </row>
    <row r="26959" spans="8:8">
      <c r="H26959" s="680" t="s">
        <v>6153</v>
      </c>
    </row>
    <row r="26960" spans="8:8">
      <c r="H26960" s="680" t="s">
        <v>6153</v>
      </c>
    </row>
    <row r="26961" spans="8:8">
      <c r="H26961" s="680" t="s">
        <v>6153</v>
      </c>
    </row>
    <row r="26962" spans="8:8">
      <c r="H26962" s="680" t="s">
        <v>6153</v>
      </c>
    </row>
    <row r="26963" spans="8:8">
      <c r="H26963" s="680" t="s">
        <v>6153</v>
      </c>
    </row>
    <row r="26964" spans="8:8">
      <c r="H26964" s="680" t="s">
        <v>6153</v>
      </c>
    </row>
    <row r="26965" spans="8:8">
      <c r="H26965" s="680" t="s">
        <v>6153</v>
      </c>
    </row>
    <row r="26966" spans="8:8">
      <c r="H26966" s="680" t="s">
        <v>6153</v>
      </c>
    </row>
    <row r="26967" spans="8:8">
      <c r="H26967" s="680" t="s">
        <v>6153</v>
      </c>
    </row>
    <row r="26968" spans="8:8">
      <c r="H26968" s="680" t="s">
        <v>6153</v>
      </c>
    </row>
    <row r="26969" spans="8:8">
      <c r="H26969" s="680" t="s">
        <v>6153</v>
      </c>
    </row>
    <row r="26970" spans="8:8">
      <c r="H26970" s="680" t="s">
        <v>6153</v>
      </c>
    </row>
    <row r="26971" spans="8:8">
      <c r="H26971" s="680" t="s">
        <v>6153</v>
      </c>
    </row>
    <row r="26972" spans="8:8">
      <c r="H26972" s="680" t="s">
        <v>6153</v>
      </c>
    </row>
    <row r="26973" spans="8:8">
      <c r="H26973" s="680" t="s">
        <v>6153</v>
      </c>
    </row>
    <row r="26974" spans="8:8">
      <c r="H26974" s="680" t="s">
        <v>6153</v>
      </c>
    </row>
    <row r="26975" spans="8:8">
      <c r="H26975" s="680" t="s">
        <v>6153</v>
      </c>
    </row>
    <row r="26976" spans="8:8">
      <c r="H26976" s="680" t="s">
        <v>6153</v>
      </c>
    </row>
    <row r="26977" spans="8:8">
      <c r="H26977" s="680" t="s">
        <v>6153</v>
      </c>
    </row>
    <row r="26978" spans="8:8">
      <c r="H26978" s="680" t="s">
        <v>6153</v>
      </c>
    </row>
    <row r="26979" spans="8:8">
      <c r="H26979" s="680" t="s">
        <v>6153</v>
      </c>
    </row>
    <row r="26980" spans="8:8">
      <c r="H26980" s="680" t="s">
        <v>6153</v>
      </c>
    </row>
    <row r="26981" spans="8:8">
      <c r="H26981" s="680" t="s">
        <v>6153</v>
      </c>
    </row>
    <row r="26982" spans="8:8">
      <c r="H26982" s="680" t="s">
        <v>6153</v>
      </c>
    </row>
    <row r="26983" spans="8:8">
      <c r="H26983" s="680" t="s">
        <v>6153</v>
      </c>
    </row>
    <row r="26984" spans="8:8">
      <c r="H26984" s="680" t="s">
        <v>6153</v>
      </c>
    </row>
    <row r="26985" spans="8:8">
      <c r="H26985" s="680" t="s">
        <v>6153</v>
      </c>
    </row>
    <row r="26986" spans="8:8">
      <c r="H26986" s="680" t="s">
        <v>6153</v>
      </c>
    </row>
    <row r="26987" spans="8:8">
      <c r="H26987" s="680" t="s">
        <v>6153</v>
      </c>
    </row>
    <row r="26988" spans="8:8">
      <c r="H26988" s="680" t="s">
        <v>6153</v>
      </c>
    </row>
    <row r="26989" spans="8:8">
      <c r="H26989" s="680" t="s">
        <v>6153</v>
      </c>
    </row>
    <row r="26990" spans="8:8">
      <c r="H26990" s="680" t="s">
        <v>6153</v>
      </c>
    </row>
    <row r="26991" spans="8:8">
      <c r="H26991" s="680" t="s">
        <v>6153</v>
      </c>
    </row>
    <row r="26992" spans="8:8">
      <c r="H26992" s="680" t="s">
        <v>6153</v>
      </c>
    </row>
    <row r="26993" spans="8:8">
      <c r="H26993" s="680" t="s">
        <v>6153</v>
      </c>
    </row>
    <row r="26994" spans="8:8">
      <c r="H26994" s="680" t="s">
        <v>6153</v>
      </c>
    </row>
    <row r="26995" spans="8:8">
      <c r="H26995" s="680" t="s">
        <v>6153</v>
      </c>
    </row>
    <row r="26996" spans="8:8">
      <c r="H26996" s="680" t="s">
        <v>6153</v>
      </c>
    </row>
    <row r="26997" spans="8:8">
      <c r="H26997" s="680" t="s">
        <v>6153</v>
      </c>
    </row>
    <row r="26998" spans="8:8">
      <c r="H26998" s="680" t="s">
        <v>6153</v>
      </c>
    </row>
    <row r="26999" spans="8:8">
      <c r="H26999" s="680" t="s">
        <v>6153</v>
      </c>
    </row>
    <row r="27000" spans="8:8">
      <c r="H27000" s="680" t="s">
        <v>6153</v>
      </c>
    </row>
    <row r="27001" spans="8:8">
      <c r="H27001" s="680" t="s">
        <v>6153</v>
      </c>
    </row>
    <row r="27002" spans="8:8">
      <c r="H27002" s="680" t="s">
        <v>6153</v>
      </c>
    </row>
    <row r="27003" spans="8:8">
      <c r="H27003" s="680" t="s">
        <v>6153</v>
      </c>
    </row>
    <row r="27004" spans="8:8">
      <c r="H27004" s="680" t="s">
        <v>6153</v>
      </c>
    </row>
    <row r="27005" spans="8:8">
      <c r="H27005" s="680" t="s">
        <v>6153</v>
      </c>
    </row>
    <row r="27006" spans="8:8">
      <c r="H27006" s="680" t="s">
        <v>6153</v>
      </c>
    </row>
    <row r="27007" spans="8:8">
      <c r="H27007" s="680" t="s">
        <v>6153</v>
      </c>
    </row>
    <row r="27008" spans="8:8">
      <c r="H27008" s="680" t="s">
        <v>6153</v>
      </c>
    </row>
    <row r="27009" spans="8:8">
      <c r="H27009" s="680" t="s">
        <v>6153</v>
      </c>
    </row>
    <row r="27010" spans="8:8">
      <c r="H27010" s="680" t="s">
        <v>6153</v>
      </c>
    </row>
    <row r="27011" spans="8:8">
      <c r="H27011" s="680" t="s">
        <v>6153</v>
      </c>
    </row>
    <row r="27012" spans="8:8">
      <c r="H27012" s="680" t="s">
        <v>6153</v>
      </c>
    </row>
    <row r="27013" spans="8:8">
      <c r="H27013" s="680" t="s">
        <v>6153</v>
      </c>
    </row>
    <row r="27014" spans="8:8">
      <c r="H27014" s="680" t="s">
        <v>6153</v>
      </c>
    </row>
    <row r="27015" spans="8:8">
      <c r="H27015" s="680" t="s">
        <v>6153</v>
      </c>
    </row>
    <row r="27016" spans="8:8">
      <c r="H27016" s="680" t="s">
        <v>6153</v>
      </c>
    </row>
    <row r="27017" spans="8:8">
      <c r="H27017" s="680" t="s">
        <v>6153</v>
      </c>
    </row>
    <row r="27018" spans="8:8">
      <c r="H27018" s="680" t="s">
        <v>6153</v>
      </c>
    </row>
    <row r="27019" spans="8:8">
      <c r="H27019" s="680" t="s">
        <v>6153</v>
      </c>
    </row>
    <row r="27020" spans="8:8">
      <c r="H27020" s="680" t="s">
        <v>6153</v>
      </c>
    </row>
    <row r="27021" spans="8:8">
      <c r="H27021" s="680" t="s">
        <v>6153</v>
      </c>
    </row>
    <row r="27022" spans="8:8">
      <c r="H27022" s="680" t="s">
        <v>6153</v>
      </c>
    </row>
    <row r="27023" spans="8:8">
      <c r="H27023" s="680" t="s">
        <v>6153</v>
      </c>
    </row>
    <row r="27024" spans="8:8">
      <c r="H27024" s="680" t="s">
        <v>6153</v>
      </c>
    </row>
    <row r="27025" spans="8:8">
      <c r="H27025" s="680" t="s">
        <v>6153</v>
      </c>
    </row>
    <row r="27026" spans="8:8">
      <c r="H27026" s="680" t="s">
        <v>6153</v>
      </c>
    </row>
    <row r="27027" spans="8:8">
      <c r="H27027" s="680" t="s">
        <v>6153</v>
      </c>
    </row>
    <row r="27028" spans="8:8">
      <c r="H27028" s="680" t="s">
        <v>6153</v>
      </c>
    </row>
    <row r="27029" spans="8:8">
      <c r="H27029" s="680" t="s">
        <v>6153</v>
      </c>
    </row>
    <row r="27030" spans="8:8">
      <c r="H27030" s="680" t="s">
        <v>6153</v>
      </c>
    </row>
    <row r="27031" spans="8:8">
      <c r="H27031" s="680" t="s">
        <v>6153</v>
      </c>
    </row>
    <row r="27032" spans="8:8">
      <c r="H27032" s="680" t="s">
        <v>6153</v>
      </c>
    </row>
    <row r="27033" spans="8:8">
      <c r="H27033" s="680" t="s">
        <v>6153</v>
      </c>
    </row>
    <row r="27034" spans="8:8">
      <c r="H27034" s="680" t="s">
        <v>6153</v>
      </c>
    </row>
    <row r="27035" spans="8:8">
      <c r="H27035" s="680" t="s">
        <v>6153</v>
      </c>
    </row>
    <row r="27036" spans="8:8">
      <c r="H27036" s="680" t="s">
        <v>6153</v>
      </c>
    </row>
    <row r="27037" spans="8:8">
      <c r="H27037" s="680" t="s">
        <v>6153</v>
      </c>
    </row>
    <row r="27038" spans="8:8">
      <c r="H27038" s="680" t="s">
        <v>6153</v>
      </c>
    </row>
    <row r="27039" spans="8:8">
      <c r="H27039" s="680" t="s">
        <v>6153</v>
      </c>
    </row>
    <row r="27040" spans="8:8">
      <c r="H27040" s="680" t="s">
        <v>6153</v>
      </c>
    </row>
    <row r="27041" spans="8:8">
      <c r="H27041" s="680" t="s">
        <v>6153</v>
      </c>
    </row>
    <row r="27042" spans="8:8">
      <c r="H27042" s="680" t="s">
        <v>6153</v>
      </c>
    </row>
    <row r="27043" spans="8:8">
      <c r="H27043" s="680" t="s">
        <v>6153</v>
      </c>
    </row>
    <row r="27044" spans="8:8">
      <c r="H27044" s="680" t="s">
        <v>6153</v>
      </c>
    </row>
    <row r="27045" spans="8:8">
      <c r="H27045" s="680" t="s">
        <v>6153</v>
      </c>
    </row>
    <row r="27046" spans="8:8">
      <c r="H27046" s="680" t="s">
        <v>6153</v>
      </c>
    </row>
    <row r="27047" spans="8:8">
      <c r="H27047" s="680" t="s">
        <v>6153</v>
      </c>
    </row>
    <row r="27048" spans="8:8">
      <c r="H27048" s="680" t="s">
        <v>6153</v>
      </c>
    </row>
    <row r="27049" spans="8:8">
      <c r="H27049" s="680" t="s">
        <v>6153</v>
      </c>
    </row>
    <row r="27050" spans="8:8">
      <c r="H27050" s="680" t="s">
        <v>6153</v>
      </c>
    </row>
    <row r="27051" spans="8:8">
      <c r="H27051" s="680" t="s">
        <v>6153</v>
      </c>
    </row>
    <row r="27052" spans="8:8">
      <c r="H27052" s="680" t="s">
        <v>6153</v>
      </c>
    </row>
    <row r="27053" spans="8:8">
      <c r="H27053" s="680" t="s">
        <v>6153</v>
      </c>
    </row>
    <row r="27054" spans="8:8">
      <c r="H27054" s="680" t="s">
        <v>6153</v>
      </c>
    </row>
    <row r="27055" spans="8:8">
      <c r="H27055" s="680" t="s">
        <v>6153</v>
      </c>
    </row>
    <row r="27056" spans="8:8">
      <c r="H27056" s="680" t="s">
        <v>6153</v>
      </c>
    </row>
    <row r="27057" spans="8:8">
      <c r="H27057" s="680" t="s">
        <v>6153</v>
      </c>
    </row>
    <row r="27058" spans="8:8">
      <c r="H27058" s="680" t="s">
        <v>6153</v>
      </c>
    </row>
    <row r="27059" spans="8:8">
      <c r="H27059" s="680" t="s">
        <v>6153</v>
      </c>
    </row>
    <row r="27060" spans="8:8">
      <c r="H27060" s="680" t="s">
        <v>6153</v>
      </c>
    </row>
    <row r="27061" spans="8:8">
      <c r="H27061" s="680" t="s">
        <v>6153</v>
      </c>
    </row>
    <row r="27062" spans="8:8">
      <c r="H27062" s="680" t="s">
        <v>6153</v>
      </c>
    </row>
    <row r="27063" spans="8:8">
      <c r="H27063" s="680" t="s">
        <v>6153</v>
      </c>
    </row>
    <row r="27064" spans="8:8">
      <c r="H27064" s="680" t="s">
        <v>6153</v>
      </c>
    </row>
    <row r="27065" spans="8:8">
      <c r="H27065" s="680" t="s">
        <v>6153</v>
      </c>
    </row>
    <row r="27066" spans="8:8">
      <c r="H27066" s="680" t="s">
        <v>6153</v>
      </c>
    </row>
    <row r="27067" spans="8:8">
      <c r="H27067" s="680" t="s">
        <v>6153</v>
      </c>
    </row>
    <row r="27068" spans="8:8">
      <c r="H27068" s="680" t="s">
        <v>6153</v>
      </c>
    </row>
    <row r="27069" spans="8:8">
      <c r="H27069" s="680" t="s">
        <v>6153</v>
      </c>
    </row>
    <row r="27070" spans="8:8">
      <c r="H27070" s="680" t="s">
        <v>6153</v>
      </c>
    </row>
    <row r="27071" spans="8:8">
      <c r="H27071" s="680" t="s">
        <v>6153</v>
      </c>
    </row>
    <row r="27072" spans="8:8">
      <c r="H27072" s="680" t="s">
        <v>6153</v>
      </c>
    </row>
    <row r="27073" spans="8:8">
      <c r="H27073" s="680" t="s">
        <v>6153</v>
      </c>
    </row>
    <row r="27074" spans="8:8">
      <c r="H27074" s="680" t="s">
        <v>6153</v>
      </c>
    </row>
    <row r="27075" spans="8:8">
      <c r="H27075" s="680" t="s">
        <v>6153</v>
      </c>
    </row>
    <row r="27076" spans="8:8">
      <c r="H27076" s="680" t="s">
        <v>6153</v>
      </c>
    </row>
    <row r="27077" spans="8:8">
      <c r="H27077" s="680" t="s">
        <v>6153</v>
      </c>
    </row>
    <row r="27078" spans="8:8">
      <c r="H27078" s="680" t="s">
        <v>6153</v>
      </c>
    </row>
    <row r="27079" spans="8:8">
      <c r="H27079" s="680" t="s">
        <v>6153</v>
      </c>
    </row>
    <row r="27080" spans="8:8">
      <c r="H27080" s="680" t="s">
        <v>6153</v>
      </c>
    </row>
    <row r="27081" spans="8:8">
      <c r="H27081" s="680" t="s">
        <v>6153</v>
      </c>
    </row>
    <row r="27082" spans="8:8">
      <c r="H27082" s="680" t="s">
        <v>6153</v>
      </c>
    </row>
    <row r="27083" spans="8:8">
      <c r="H27083" s="680" t="s">
        <v>6153</v>
      </c>
    </row>
    <row r="27084" spans="8:8">
      <c r="H27084" s="680" t="s">
        <v>6153</v>
      </c>
    </row>
    <row r="27085" spans="8:8">
      <c r="H27085" s="680" t="s">
        <v>6153</v>
      </c>
    </row>
    <row r="27086" spans="8:8">
      <c r="H27086" s="680" t="s">
        <v>6153</v>
      </c>
    </row>
    <row r="27087" spans="8:8">
      <c r="H27087" s="680" t="s">
        <v>6153</v>
      </c>
    </row>
    <row r="27088" spans="8:8">
      <c r="H27088" s="680" t="s">
        <v>6153</v>
      </c>
    </row>
    <row r="27089" spans="8:8">
      <c r="H27089" s="680" t="s">
        <v>6153</v>
      </c>
    </row>
    <row r="27090" spans="8:8">
      <c r="H27090" s="680" t="s">
        <v>6153</v>
      </c>
    </row>
    <row r="27091" spans="8:8">
      <c r="H27091" s="680" t="s">
        <v>6153</v>
      </c>
    </row>
    <row r="27092" spans="8:8">
      <c r="H27092" s="680" t="s">
        <v>6153</v>
      </c>
    </row>
    <row r="27093" spans="8:8">
      <c r="H27093" s="680" t="s">
        <v>6153</v>
      </c>
    </row>
    <row r="27094" spans="8:8">
      <c r="H27094" s="680" t="s">
        <v>6153</v>
      </c>
    </row>
    <row r="27095" spans="8:8">
      <c r="H27095" s="680" t="s">
        <v>6153</v>
      </c>
    </row>
    <row r="27096" spans="8:8">
      <c r="H27096" s="680" t="s">
        <v>6153</v>
      </c>
    </row>
    <row r="27097" spans="8:8">
      <c r="H27097" s="680" t="s">
        <v>6153</v>
      </c>
    </row>
    <row r="27098" spans="8:8">
      <c r="H27098" s="680" t="s">
        <v>6153</v>
      </c>
    </row>
    <row r="27099" spans="8:8">
      <c r="H27099" s="680" t="s">
        <v>6153</v>
      </c>
    </row>
    <row r="27100" spans="8:8">
      <c r="H27100" s="680" t="s">
        <v>6153</v>
      </c>
    </row>
    <row r="27101" spans="8:8">
      <c r="H27101" s="680" t="s">
        <v>6153</v>
      </c>
    </row>
    <row r="27102" spans="8:8">
      <c r="H27102" s="680" t="s">
        <v>6153</v>
      </c>
    </row>
    <row r="27103" spans="8:8">
      <c r="H27103" s="680" t="s">
        <v>6153</v>
      </c>
    </row>
    <row r="27104" spans="8:8">
      <c r="H27104" s="680" t="s">
        <v>6153</v>
      </c>
    </row>
    <row r="27105" spans="8:8">
      <c r="H27105" s="680" t="s">
        <v>6153</v>
      </c>
    </row>
    <row r="27106" spans="8:8">
      <c r="H27106" s="680" t="s">
        <v>6153</v>
      </c>
    </row>
    <row r="27107" spans="8:8">
      <c r="H27107" s="680" t="s">
        <v>6153</v>
      </c>
    </row>
    <row r="27108" spans="8:8">
      <c r="H27108" s="680" t="s">
        <v>6153</v>
      </c>
    </row>
    <row r="27109" spans="8:8">
      <c r="H27109" s="680" t="s">
        <v>6153</v>
      </c>
    </row>
    <row r="27110" spans="8:8">
      <c r="H27110" s="680" t="s">
        <v>6153</v>
      </c>
    </row>
    <row r="27111" spans="8:8">
      <c r="H27111" s="680" t="s">
        <v>6153</v>
      </c>
    </row>
    <row r="27112" spans="8:8">
      <c r="H27112" s="680" t="s">
        <v>6153</v>
      </c>
    </row>
    <row r="27113" spans="8:8">
      <c r="H27113" s="680" t="s">
        <v>6153</v>
      </c>
    </row>
    <row r="27114" spans="8:8">
      <c r="H27114" s="680" t="s">
        <v>6153</v>
      </c>
    </row>
    <row r="27115" spans="8:8">
      <c r="H27115" s="680" t="s">
        <v>6153</v>
      </c>
    </row>
    <row r="27116" spans="8:8">
      <c r="H27116" s="680" t="s">
        <v>6153</v>
      </c>
    </row>
    <row r="27117" spans="8:8">
      <c r="H27117" s="680" t="s">
        <v>6153</v>
      </c>
    </row>
    <row r="27118" spans="8:8">
      <c r="H27118" s="680" t="s">
        <v>6153</v>
      </c>
    </row>
    <row r="27119" spans="8:8">
      <c r="H27119" s="680" t="s">
        <v>6153</v>
      </c>
    </row>
    <row r="27120" spans="8:8">
      <c r="H27120" s="680" t="s">
        <v>6153</v>
      </c>
    </row>
    <row r="27121" spans="8:8">
      <c r="H27121" s="680" t="s">
        <v>6153</v>
      </c>
    </row>
    <row r="27122" spans="8:8">
      <c r="H27122" s="680" t="s">
        <v>6153</v>
      </c>
    </row>
    <row r="27123" spans="8:8">
      <c r="H27123" s="680" t="s">
        <v>6153</v>
      </c>
    </row>
    <row r="27124" spans="8:8">
      <c r="H27124" s="680" t="s">
        <v>6153</v>
      </c>
    </row>
    <row r="27125" spans="8:8">
      <c r="H27125" s="680" t="s">
        <v>6153</v>
      </c>
    </row>
    <row r="27126" spans="8:8">
      <c r="H27126" s="680" t="s">
        <v>6153</v>
      </c>
    </row>
    <row r="27127" spans="8:8">
      <c r="H27127" s="680" t="s">
        <v>6153</v>
      </c>
    </row>
    <row r="27128" spans="8:8">
      <c r="H27128" s="680" t="s">
        <v>6153</v>
      </c>
    </row>
    <row r="27129" spans="8:8">
      <c r="H27129" s="680" t="s">
        <v>6153</v>
      </c>
    </row>
    <row r="27130" spans="8:8">
      <c r="H27130" s="680" t="s">
        <v>6153</v>
      </c>
    </row>
    <row r="27131" spans="8:8">
      <c r="H27131" s="680" t="s">
        <v>6153</v>
      </c>
    </row>
    <row r="27132" spans="8:8">
      <c r="H27132" s="680" t="s">
        <v>6153</v>
      </c>
    </row>
    <row r="27133" spans="8:8">
      <c r="H27133" s="680" t="s">
        <v>6153</v>
      </c>
    </row>
    <row r="27134" spans="8:8">
      <c r="H27134" s="680" t="s">
        <v>6153</v>
      </c>
    </row>
    <row r="27135" spans="8:8">
      <c r="H27135" s="680" t="s">
        <v>6153</v>
      </c>
    </row>
    <row r="27136" spans="8:8">
      <c r="H27136" s="680" t="s">
        <v>6153</v>
      </c>
    </row>
    <row r="27137" spans="8:8">
      <c r="H27137" s="680" t="s">
        <v>6153</v>
      </c>
    </row>
    <row r="27138" spans="8:8">
      <c r="H27138" s="680" t="s">
        <v>6153</v>
      </c>
    </row>
    <row r="27139" spans="8:8">
      <c r="H27139" s="680" t="s">
        <v>6153</v>
      </c>
    </row>
    <row r="27140" spans="8:8">
      <c r="H27140" s="680" t="s">
        <v>6153</v>
      </c>
    </row>
    <row r="27141" spans="8:8">
      <c r="H27141" s="680" t="s">
        <v>6153</v>
      </c>
    </row>
    <row r="27142" spans="8:8">
      <c r="H27142" s="680" t="s">
        <v>6153</v>
      </c>
    </row>
    <row r="27143" spans="8:8">
      <c r="H27143" s="680" t="s">
        <v>6153</v>
      </c>
    </row>
    <row r="27144" spans="8:8">
      <c r="H27144" s="680" t="s">
        <v>6153</v>
      </c>
    </row>
    <row r="27145" spans="8:8">
      <c r="H27145" s="680" t="s">
        <v>6153</v>
      </c>
    </row>
    <row r="27146" spans="8:8">
      <c r="H27146" s="680" t="s">
        <v>6153</v>
      </c>
    </row>
    <row r="27147" spans="8:8">
      <c r="H27147" s="680" t="s">
        <v>6153</v>
      </c>
    </row>
    <row r="27148" spans="8:8">
      <c r="H27148" s="680" t="s">
        <v>6153</v>
      </c>
    </row>
    <row r="27149" spans="8:8">
      <c r="H27149" s="680" t="s">
        <v>6153</v>
      </c>
    </row>
    <row r="27150" spans="8:8">
      <c r="H27150" s="680" t="s">
        <v>6153</v>
      </c>
    </row>
    <row r="27151" spans="8:8">
      <c r="H27151" s="680" t="s">
        <v>6153</v>
      </c>
    </row>
    <row r="27152" spans="8:8">
      <c r="H27152" s="680" t="s">
        <v>6153</v>
      </c>
    </row>
    <row r="27153" spans="8:8">
      <c r="H27153" s="680" t="s">
        <v>6153</v>
      </c>
    </row>
    <row r="27154" spans="8:8">
      <c r="H27154" s="680" t="s">
        <v>6153</v>
      </c>
    </row>
    <row r="27155" spans="8:8">
      <c r="H27155" s="680" t="s">
        <v>6153</v>
      </c>
    </row>
    <row r="27156" spans="8:8">
      <c r="H27156" s="680" t="s">
        <v>6153</v>
      </c>
    </row>
    <row r="27157" spans="8:8">
      <c r="H27157" s="680" t="s">
        <v>6153</v>
      </c>
    </row>
    <row r="27158" spans="8:8">
      <c r="H27158" s="680" t="s">
        <v>6153</v>
      </c>
    </row>
    <row r="27159" spans="8:8">
      <c r="H27159" s="680" t="s">
        <v>6153</v>
      </c>
    </row>
    <row r="27160" spans="8:8">
      <c r="H27160" s="680" t="s">
        <v>6153</v>
      </c>
    </row>
    <row r="27161" spans="8:8">
      <c r="H27161" s="680" t="s">
        <v>6153</v>
      </c>
    </row>
    <row r="27162" spans="8:8">
      <c r="H27162" s="680" t="s">
        <v>6153</v>
      </c>
    </row>
    <row r="27163" spans="8:8">
      <c r="H27163" s="680" t="s">
        <v>6153</v>
      </c>
    </row>
    <row r="27164" spans="8:8">
      <c r="H27164" s="680" t="s">
        <v>6153</v>
      </c>
    </row>
    <row r="27165" spans="8:8">
      <c r="H27165" s="680" t="s">
        <v>6153</v>
      </c>
    </row>
    <row r="27166" spans="8:8">
      <c r="H27166" s="680" t="s">
        <v>6153</v>
      </c>
    </row>
    <row r="27167" spans="8:8">
      <c r="H27167" s="680" t="s">
        <v>6153</v>
      </c>
    </row>
    <row r="27168" spans="8:8">
      <c r="H27168" s="680" t="s">
        <v>6153</v>
      </c>
    </row>
    <row r="27169" spans="8:8">
      <c r="H27169" s="680" t="s">
        <v>6153</v>
      </c>
    </row>
    <row r="27170" spans="8:8">
      <c r="H27170" s="680" t="s">
        <v>6153</v>
      </c>
    </row>
    <row r="27171" spans="8:8">
      <c r="H27171" s="680" t="s">
        <v>6153</v>
      </c>
    </row>
    <row r="27172" spans="8:8">
      <c r="H27172" s="680" t="s">
        <v>6153</v>
      </c>
    </row>
    <row r="27173" spans="8:8">
      <c r="H27173" s="680" t="s">
        <v>6153</v>
      </c>
    </row>
    <row r="27174" spans="8:8">
      <c r="H27174" s="680" t="s">
        <v>6153</v>
      </c>
    </row>
    <row r="27175" spans="8:8">
      <c r="H27175" s="680" t="s">
        <v>6153</v>
      </c>
    </row>
    <row r="27176" spans="8:8">
      <c r="H27176" s="680" t="s">
        <v>6153</v>
      </c>
    </row>
    <row r="27177" spans="8:8">
      <c r="H27177" s="680" t="s">
        <v>6153</v>
      </c>
    </row>
    <row r="27178" spans="8:8">
      <c r="H27178" s="680" t="s">
        <v>6153</v>
      </c>
    </row>
    <row r="27179" spans="8:8">
      <c r="H27179" s="680" t="s">
        <v>6153</v>
      </c>
    </row>
    <row r="27180" spans="8:8">
      <c r="H27180" s="680" t="s">
        <v>6153</v>
      </c>
    </row>
    <row r="27181" spans="8:8">
      <c r="H27181" s="680" t="s">
        <v>6153</v>
      </c>
    </row>
    <row r="27182" spans="8:8">
      <c r="H27182" s="680" t="s">
        <v>6153</v>
      </c>
    </row>
    <row r="27183" spans="8:8">
      <c r="H27183" s="680" t="s">
        <v>6153</v>
      </c>
    </row>
    <row r="27184" spans="8:8">
      <c r="H27184" s="680" t="s">
        <v>6153</v>
      </c>
    </row>
    <row r="27185" spans="8:8">
      <c r="H27185" s="680" t="s">
        <v>6153</v>
      </c>
    </row>
    <row r="27186" spans="8:8">
      <c r="H27186" s="680" t="s">
        <v>6153</v>
      </c>
    </row>
    <row r="27187" spans="8:8">
      <c r="H27187" s="680" t="s">
        <v>6153</v>
      </c>
    </row>
    <row r="27188" spans="8:8">
      <c r="H27188" s="680" t="s">
        <v>6153</v>
      </c>
    </row>
    <row r="27189" spans="8:8">
      <c r="H27189" s="680" t="s">
        <v>6153</v>
      </c>
    </row>
    <row r="27190" spans="8:8">
      <c r="H27190" s="680" t="s">
        <v>6153</v>
      </c>
    </row>
    <row r="27191" spans="8:8">
      <c r="H27191" s="680" t="s">
        <v>6153</v>
      </c>
    </row>
    <row r="27192" spans="8:8">
      <c r="H27192" s="680" t="s">
        <v>6153</v>
      </c>
    </row>
    <row r="27193" spans="8:8">
      <c r="H27193" s="680" t="s">
        <v>6153</v>
      </c>
    </row>
    <row r="27194" spans="8:8">
      <c r="H27194" s="680" t="s">
        <v>6153</v>
      </c>
    </row>
    <row r="27195" spans="8:8">
      <c r="H27195" s="680" t="s">
        <v>6153</v>
      </c>
    </row>
    <row r="27196" spans="8:8">
      <c r="H27196" s="680" t="s">
        <v>6153</v>
      </c>
    </row>
    <row r="27197" spans="8:8">
      <c r="H27197" s="680" t="s">
        <v>6153</v>
      </c>
    </row>
    <row r="27198" spans="8:8">
      <c r="H27198" s="680" t="s">
        <v>6153</v>
      </c>
    </row>
    <row r="27199" spans="8:8">
      <c r="H27199" s="680" t="s">
        <v>6153</v>
      </c>
    </row>
    <row r="27200" spans="8:8">
      <c r="H27200" s="680" t="s">
        <v>6153</v>
      </c>
    </row>
    <row r="27201" spans="8:8">
      <c r="H27201" s="680" t="s">
        <v>6153</v>
      </c>
    </row>
    <row r="27202" spans="8:8">
      <c r="H27202" s="680" t="s">
        <v>6153</v>
      </c>
    </row>
    <row r="27203" spans="8:8">
      <c r="H27203" s="680" t="s">
        <v>6153</v>
      </c>
    </row>
    <row r="27204" spans="8:8">
      <c r="H27204" s="680" t="s">
        <v>6153</v>
      </c>
    </row>
    <row r="27205" spans="8:8">
      <c r="H27205" s="680" t="s">
        <v>6153</v>
      </c>
    </row>
    <row r="27206" spans="8:8">
      <c r="H27206" s="680" t="s">
        <v>6153</v>
      </c>
    </row>
    <row r="27207" spans="8:8">
      <c r="H27207" s="680" t="s">
        <v>6153</v>
      </c>
    </row>
    <row r="27208" spans="8:8">
      <c r="H27208" s="680" t="s">
        <v>6153</v>
      </c>
    </row>
    <row r="27209" spans="8:8">
      <c r="H27209" s="680" t="s">
        <v>6153</v>
      </c>
    </row>
    <row r="27210" spans="8:8">
      <c r="H27210" s="680" t="s">
        <v>6153</v>
      </c>
    </row>
    <row r="27211" spans="8:8">
      <c r="H27211" s="680" t="s">
        <v>6153</v>
      </c>
    </row>
    <row r="27212" spans="8:8">
      <c r="H27212" s="680" t="s">
        <v>6153</v>
      </c>
    </row>
    <row r="27213" spans="8:8">
      <c r="H27213" s="680" t="s">
        <v>6153</v>
      </c>
    </row>
    <row r="27214" spans="8:8">
      <c r="H27214" s="680" t="s">
        <v>6153</v>
      </c>
    </row>
    <row r="27215" spans="8:8">
      <c r="H27215" s="680" t="s">
        <v>6153</v>
      </c>
    </row>
    <row r="27216" spans="8:8">
      <c r="H27216" s="680" t="s">
        <v>6153</v>
      </c>
    </row>
    <row r="27217" spans="8:8">
      <c r="H27217" s="680" t="s">
        <v>6153</v>
      </c>
    </row>
    <row r="27218" spans="8:8">
      <c r="H27218" s="680" t="s">
        <v>6153</v>
      </c>
    </row>
    <row r="27219" spans="8:8">
      <c r="H27219" s="680" t="s">
        <v>6153</v>
      </c>
    </row>
    <row r="27220" spans="8:8">
      <c r="H27220" s="680" t="s">
        <v>6153</v>
      </c>
    </row>
    <row r="27221" spans="8:8">
      <c r="H27221" s="680" t="s">
        <v>6153</v>
      </c>
    </row>
    <row r="27222" spans="8:8">
      <c r="H27222" s="680" t="s">
        <v>6153</v>
      </c>
    </row>
    <row r="27223" spans="8:8">
      <c r="H27223" s="680" t="s">
        <v>6153</v>
      </c>
    </row>
    <row r="27224" spans="8:8">
      <c r="H27224" s="680" t="s">
        <v>6153</v>
      </c>
    </row>
    <row r="27225" spans="8:8">
      <c r="H27225" s="680" t="s">
        <v>6153</v>
      </c>
    </row>
    <row r="27226" spans="8:8">
      <c r="H27226" s="680" t="s">
        <v>6153</v>
      </c>
    </row>
    <row r="27227" spans="8:8">
      <c r="H27227" s="680" t="s">
        <v>6153</v>
      </c>
    </row>
    <row r="27228" spans="8:8">
      <c r="H27228" s="680" t="s">
        <v>6153</v>
      </c>
    </row>
    <row r="27229" spans="8:8">
      <c r="H27229" s="680" t="s">
        <v>6153</v>
      </c>
    </row>
    <row r="27230" spans="8:8">
      <c r="H27230" s="680" t="s">
        <v>6153</v>
      </c>
    </row>
    <row r="27231" spans="8:8">
      <c r="H27231" s="680" t="s">
        <v>6153</v>
      </c>
    </row>
    <row r="27232" spans="8:8">
      <c r="H27232" s="680" t="s">
        <v>6153</v>
      </c>
    </row>
    <row r="27233" spans="8:8">
      <c r="H27233" s="680" t="s">
        <v>6153</v>
      </c>
    </row>
    <row r="27234" spans="8:8">
      <c r="H27234" s="680" t="s">
        <v>6153</v>
      </c>
    </row>
    <row r="27235" spans="8:8">
      <c r="H27235" s="680" t="s">
        <v>6153</v>
      </c>
    </row>
    <row r="27236" spans="8:8">
      <c r="H27236" s="680" t="s">
        <v>6153</v>
      </c>
    </row>
    <row r="27237" spans="8:8">
      <c r="H27237" s="680" t="s">
        <v>6153</v>
      </c>
    </row>
    <row r="27238" spans="8:8">
      <c r="H27238" s="680" t="s">
        <v>6153</v>
      </c>
    </row>
    <row r="27239" spans="8:8">
      <c r="H27239" s="680" t="s">
        <v>6153</v>
      </c>
    </row>
    <row r="27240" spans="8:8">
      <c r="H27240" s="680" t="s">
        <v>6153</v>
      </c>
    </row>
    <row r="27241" spans="8:8">
      <c r="H27241" s="680" t="s">
        <v>6153</v>
      </c>
    </row>
    <row r="27242" spans="8:8">
      <c r="H27242" s="680" t="s">
        <v>6153</v>
      </c>
    </row>
    <row r="27243" spans="8:8">
      <c r="H27243" s="680" t="s">
        <v>6153</v>
      </c>
    </row>
    <row r="27244" spans="8:8">
      <c r="H27244" s="680" t="s">
        <v>6153</v>
      </c>
    </row>
    <row r="27245" spans="8:8">
      <c r="H27245" s="680" t="s">
        <v>6153</v>
      </c>
    </row>
    <row r="27246" spans="8:8">
      <c r="H27246" s="680" t="s">
        <v>6153</v>
      </c>
    </row>
    <row r="27247" spans="8:8">
      <c r="H27247" s="680" t="s">
        <v>6153</v>
      </c>
    </row>
    <row r="27248" spans="8:8">
      <c r="H27248" s="680" t="s">
        <v>6153</v>
      </c>
    </row>
    <row r="27249" spans="8:8">
      <c r="H27249" s="680" t="s">
        <v>6153</v>
      </c>
    </row>
    <row r="27250" spans="8:8">
      <c r="H27250" s="680" t="s">
        <v>6153</v>
      </c>
    </row>
    <row r="27251" spans="8:8">
      <c r="H27251" s="680" t="s">
        <v>6153</v>
      </c>
    </row>
    <row r="27252" spans="8:8">
      <c r="H27252" s="680" t="s">
        <v>6153</v>
      </c>
    </row>
    <row r="27253" spans="8:8">
      <c r="H27253" s="680" t="s">
        <v>6153</v>
      </c>
    </row>
    <row r="27254" spans="8:8">
      <c r="H27254" s="680" t="s">
        <v>6153</v>
      </c>
    </row>
    <row r="27255" spans="8:8">
      <c r="H27255" s="680" t="s">
        <v>6153</v>
      </c>
    </row>
    <row r="27256" spans="8:8">
      <c r="H27256" s="680" t="s">
        <v>6153</v>
      </c>
    </row>
    <row r="27257" spans="8:8">
      <c r="H27257" s="680" t="s">
        <v>6153</v>
      </c>
    </row>
    <row r="27258" spans="8:8">
      <c r="H27258" s="680" t="s">
        <v>6153</v>
      </c>
    </row>
    <row r="27259" spans="8:8">
      <c r="H27259" s="680" t="s">
        <v>6153</v>
      </c>
    </row>
    <row r="27260" spans="8:8">
      <c r="H27260" s="680" t="s">
        <v>6153</v>
      </c>
    </row>
    <row r="27261" spans="8:8">
      <c r="H27261" s="680" t="s">
        <v>6153</v>
      </c>
    </row>
    <row r="27262" spans="8:8">
      <c r="H27262" s="680" t="s">
        <v>6153</v>
      </c>
    </row>
    <row r="27263" spans="8:8">
      <c r="H27263" s="680" t="s">
        <v>6153</v>
      </c>
    </row>
    <row r="27264" spans="8:8">
      <c r="H27264" s="680" t="s">
        <v>6153</v>
      </c>
    </row>
    <row r="27265" spans="8:8">
      <c r="H27265" s="680" t="s">
        <v>6153</v>
      </c>
    </row>
    <row r="27266" spans="8:8">
      <c r="H27266" s="680" t="s">
        <v>6153</v>
      </c>
    </row>
    <row r="27267" spans="8:8">
      <c r="H27267" s="680" t="s">
        <v>6153</v>
      </c>
    </row>
    <row r="27268" spans="8:8">
      <c r="H27268" s="680" t="s">
        <v>6153</v>
      </c>
    </row>
    <row r="27269" spans="8:8">
      <c r="H27269" s="680" t="s">
        <v>6153</v>
      </c>
    </row>
    <row r="27270" spans="8:8">
      <c r="H27270" s="680" t="s">
        <v>6153</v>
      </c>
    </row>
    <row r="27271" spans="8:8">
      <c r="H27271" s="680" t="s">
        <v>6153</v>
      </c>
    </row>
    <row r="27272" spans="8:8">
      <c r="H27272" s="680" t="s">
        <v>6153</v>
      </c>
    </row>
    <row r="27273" spans="8:8">
      <c r="H27273" s="680" t="s">
        <v>6153</v>
      </c>
    </row>
    <row r="27274" spans="8:8">
      <c r="H27274" s="680" t="s">
        <v>6153</v>
      </c>
    </row>
    <row r="27275" spans="8:8">
      <c r="H27275" s="680" t="s">
        <v>6153</v>
      </c>
    </row>
    <row r="27276" spans="8:8">
      <c r="H27276" s="680" t="s">
        <v>6153</v>
      </c>
    </row>
    <row r="27277" spans="8:8">
      <c r="H27277" s="680" t="s">
        <v>6153</v>
      </c>
    </row>
    <row r="27278" spans="8:8">
      <c r="H27278" s="680" t="s">
        <v>6153</v>
      </c>
    </row>
    <row r="27279" spans="8:8">
      <c r="H27279" s="680" t="s">
        <v>6153</v>
      </c>
    </row>
    <row r="27280" spans="8:8">
      <c r="H27280" s="680" t="s">
        <v>6153</v>
      </c>
    </row>
    <row r="27281" spans="8:8">
      <c r="H27281" s="680" t="s">
        <v>6153</v>
      </c>
    </row>
    <row r="27282" spans="8:8">
      <c r="H27282" s="680" t="s">
        <v>6153</v>
      </c>
    </row>
    <row r="27283" spans="8:8">
      <c r="H27283" s="680" t="s">
        <v>6153</v>
      </c>
    </row>
    <row r="27284" spans="8:8">
      <c r="H27284" s="680" t="s">
        <v>6153</v>
      </c>
    </row>
    <row r="27285" spans="8:8">
      <c r="H27285" s="680" t="s">
        <v>6153</v>
      </c>
    </row>
    <row r="27286" spans="8:8">
      <c r="H27286" s="680" t="s">
        <v>6153</v>
      </c>
    </row>
    <row r="27287" spans="8:8">
      <c r="H27287" s="680" t="s">
        <v>6153</v>
      </c>
    </row>
    <row r="27288" spans="8:8">
      <c r="H27288" s="680" t="s">
        <v>6153</v>
      </c>
    </row>
    <row r="27289" spans="8:8">
      <c r="H27289" s="680" t="s">
        <v>6153</v>
      </c>
    </row>
    <row r="27290" spans="8:8">
      <c r="H27290" s="680" t="s">
        <v>6153</v>
      </c>
    </row>
    <row r="27291" spans="8:8">
      <c r="H27291" s="680" t="s">
        <v>6153</v>
      </c>
    </row>
    <row r="27292" spans="8:8">
      <c r="H27292" s="680" t="s">
        <v>6153</v>
      </c>
    </row>
    <row r="27293" spans="8:8">
      <c r="H27293" s="680" t="s">
        <v>6153</v>
      </c>
    </row>
    <row r="27294" spans="8:8">
      <c r="H27294" s="680" t="s">
        <v>6153</v>
      </c>
    </row>
    <row r="27295" spans="8:8">
      <c r="H27295" s="680" t="s">
        <v>6153</v>
      </c>
    </row>
    <row r="27296" spans="8:8">
      <c r="H27296" s="680" t="s">
        <v>6153</v>
      </c>
    </row>
    <row r="27297" spans="8:8">
      <c r="H27297" s="680" t="s">
        <v>6153</v>
      </c>
    </row>
    <row r="27298" spans="8:8">
      <c r="H27298" s="680" t="s">
        <v>6153</v>
      </c>
    </row>
    <row r="27299" spans="8:8">
      <c r="H27299" s="680" t="s">
        <v>6153</v>
      </c>
    </row>
    <row r="27300" spans="8:8">
      <c r="H27300" s="680" t="s">
        <v>6153</v>
      </c>
    </row>
    <row r="27301" spans="8:8">
      <c r="H27301" s="680" t="s">
        <v>6153</v>
      </c>
    </row>
    <row r="27302" spans="8:8">
      <c r="H27302" s="680" t="s">
        <v>6153</v>
      </c>
    </row>
    <row r="27303" spans="8:8">
      <c r="H27303" s="680" t="s">
        <v>6153</v>
      </c>
    </row>
    <row r="27304" spans="8:8">
      <c r="H27304" s="680" t="s">
        <v>6153</v>
      </c>
    </row>
    <row r="27305" spans="8:8">
      <c r="H27305" s="680" t="s">
        <v>6153</v>
      </c>
    </row>
    <row r="27306" spans="8:8">
      <c r="H27306" s="680" t="s">
        <v>6153</v>
      </c>
    </row>
    <row r="27307" spans="8:8">
      <c r="H27307" s="680" t="s">
        <v>6153</v>
      </c>
    </row>
    <row r="27308" spans="8:8">
      <c r="H27308" s="680" t="s">
        <v>6153</v>
      </c>
    </row>
    <row r="27309" spans="8:8">
      <c r="H27309" s="680" t="s">
        <v>6153</v>
      </c>
    </row>
    <row r="27310" spans="8:8">
      <c r="H27310" s="680" t="s">
        <v>6153</v>
      </c>
    </row>
    <row r="27311" spans="8:8">
      <c r="H27311" s="680" t="s">
        <v>6153</v>
      </c>
    </row>
    <row r="27312" spans="8:8">
      <c r="H27312" s="680" t="s">
        <v>6153</v>
      </c>
    </row>
    <row r="27313" spans="8:8">
      <c r="H27313" s="680" t="s">
        <v>6153</v>
      </c>
    </row>
    <row r="27314" spans="8:8">
      <c r="H27314" s="680" t="s">
        <v>6153</v>
      </c>
    </row>
    <row r="27315" spans="8:8">
      <c r="H27315" s="680" t="s">
        <v>6153</v>
      </c>
    </row>
    <row r="27316" spans="8:8">
      <c r="H27316" s="680" t="s">
        <v>6153</v>
      </c>
    </row>
    <row r="27317" spans="8:8">
      <c r="H27317" s="680" t="s">
        <v>6153</v>
      </c>
    </row>
    <row r="27318" spans="8:8">
      <c r="H27318" s="680" t="s">
        <v>6153</v>
      </c>
    </row>
    <row r="27319" spans="8:8">
      <c r="H27319" s="680" t="s">
        <v>6153</v>
      </c>
    </row>
    <row r="27320" spans="8:8">
      <c r="H27320" s="680" t="s">
        <v>6153</v>
      </c>
    </row>
    <row r="27321" spans="8:8">
      <c r="H27321" s="680" t="s">
        <v>6153</v>
      </c>
    </row>
    <row r="27322" spans="8:8">
      <c r="H27322" s="680" t="s">
        <v>6153</v>
      </c>
    </row>
    <row r="27323" spans="8:8">
      <c r="H27323" s="680" t="s">
        <v>6153</v>
      </c>
    </row>
    <row r="27324" spans="8:8">
      <c r="H27324" s="680" t="s">
        <v>6153</v>
      </c>
    </row>
    <row r="27325" spans="8:8">
      <c r="H27325" s="680" t="s">
        <v>6153</v>
      </c>
    </row>
    <row r="27326" spans="8:8">
      <c r="H27326" s="680" t="s">
        <v>6153</v>
      </c>
    </row>
    <row r="27327" spans="8:8">
      <c r="H27327" s="680" t="s">
        <v>6153</v>
      </c>
    </row>
    <row r="27328" spans="8:8">
      <c r="H27328" s="680" t="s">
        <v>6153</v>
      </c>
    </row>
    <row r="27329" spans="8:8">
      <c r="H27329" s="680" t="s">
        <v>6153</v>
      </c>
    </row>
    <row r="27330" spans="8:8">
      <c r="H27330" s="680" t="s">
        <v>6153</v>
      </c>
    </row>
    <row r="27331" spans="8:8">
      <c r="H27331" s="680" t="s">
        <v>6153</v>
      </c>
    </row>
    <row r="27332" spans="8:8">
      <c r="H27332" s="680" t="s">
        <v>6153</v>
      </c>
    </row>
    <row r="27333" spans="8:8">
      <c r="H27333" s="680" t="s">
        <v>6153</v>
      </c>
    </row>
    <row r="27334" spans="8:8">
      <c r="H27334" s="680" t="s">
        <v>6153</v>
      </c>
    </row>
    <row r="27335" spans="8:8">
      <c r="H27335" s="680" t="s">
        <v>6153</v>
      </c>
    </row>
    <row r="27336" spans="8:8">
      <c r="H27336" s="680" t="s">
        <v>6153</v>
      </c>
    </row>
    <row r="27337" spans="8:8">
      <c r="H27337" s="680" t="s">
        <v>6153</v>
      </c>
    </row>
    <row r="27338" spans="8:8">
      <c r="H27338" s="680" t="s">
        <v>6153</v>
      </c>
    </row>
    <row r="27339" spans="8:8">
      <c r="H27339" s="680" t="s">
        <v>6153</v>
      </c>
    </row>
    <row r="27340" spans="8:8">
      <c r="H27340" s="680" t="s">
        <v>6153</v>
      </c>
    </row>
    <row r="27341" spans="8:8">
      <c r="H27341" s="680" t="s">
        <v>6153</v>
      </c>
    </row>
    <row r="27342" spans="8:8">
      <c r="H27342" s="680" t="s">
        <v>6153</v>
      </c>
    </row>
    <row r="27343" spans="8:8">
      <c r="H27343" s="680" t="s">
        <v>6153</v>
      </c>
    </row>
    <row r="27344" spans="8:8">
      <c r="H27344" s="680" t="s">
        <v>6153</v>
      </c>
    </row>
    <row r="27345" spans="8:8">
      <c r="H27345" s="680" t="s">
        <v>6153</v>
      </c>
    </row>
    <row r="27346" spans="8:8">
      <c r="H27346" s="680" t="s">
        <v>6153</v>
      </c>
    </row>
    <row r="27347" spans="8:8">
      <c r="H27347" s="680" t="s">
        <v>6153</v>
      </c>
    </row>
    <row r="27348" spans="8:8">
      <c r="H27348" s="680" t="s">
        <v>6153</v>
      </c>
    </row>
    <row r="27349" spans="8:8">
      <c r="H27349" s="680" t="s">
        <v>6153</v>
      </c>
    </row>
    <row r="27350" spans="8:8">
      <c r="H27350" s="680" t="s">
        <v>6153</v>
      </c>
    </row>
    <row r="27351" spans="8:8">
      <c r="H27351" s="680" t="s">
        <v>6153</v>
      </c>
    </row>
    <row r="27352" spans="8:8">
      <c r="H27352" s="680" t="s">
        <v>6153</v>
      </c>
    </row>
    <row r="27353" spans="8:8">
      <c r="H27353" s="680" t="s">
        <v>6153</v>
      </c>
    </row>
    <row r="27354" spans="8:8">
      <c r="H27354" s="680" t="s">
        <v>6153</v>
      </c>
    </row>
    <row r="27355" spans="8:8">
      <c r="H27355" s="680" t="s">
        <v>6153</v>
      </c>
    </row>
    <row r="27356" spans="8:8">
      <c r="H27356" s="680" t="s">
        <v>6153</v>
      </c>
    </row>
    <row r="27357" spans="8:8">
      <c r="H27357" s="680" t="s">
        <v>6153</v>
      </c>
    </row>
    <row r="27358" spans="8:8">
      <c r="H27358" s="680" t="s">
        <v>6153</v>
      </c>
    </row>
    <row r="27359" spans="8:8">
      <c r="H27359" s="680" t="s">
        <v>6153</v>
      </c>
    </row>
    <row r="27360" spans="8:8">
      <c r="H27360" s="680" t="s">
        <v>6153</v>
      </c>
    </row>
    <row r="27361" spans="8:8">
      <c r="H27361" s="680" t="s">
        <v>6153</v>
      </c>
    </row>
    <row r="27362" spans="8:8">
      <c r="H27362" s="680" t="s">
        <v>6153</v>
      </c>
    </row>
    <row r="27363" spans="8:8">
      <c r="H27363" s="680" t="s">
        <v>6153</v>
      </c>
    </row>
    <row r="27364" spans="8:8">
      <c r="H27364" s="680" t="s">
        <v>6153</v>
      </c>
    </row>
    <row r="27365" spans="8:8">
      <c r="H27365" s="680" t="s">
        <v>6153</v>
      </c>
    </row>
    <row r="27366" spans="8:8">
      <c r="H27366" s="680" t="s">
        <v>6153</v>
      </c>
    </row>
    <row r="27367" spans="8:8">
      <c r="H27367" s="680" t="s">
        <v>6153</v>
      </c>
    </row>
    <row r="27368" spans="8:8">
      <c r="H27368" s="680" t="s">
        <v>6153</v>
      </c>
    </row>
    <row r="27369" spans="8:8">
      <c r="H27369" s="680" t="s">
        <v>6153</v>
      </c>
    </row>
    <row r="27370" spans="8:8">
      <c r="H27370" s="680" t="s">
        <v>6153</v>
      </c>
    </row>
    <row r="27371" spans="8:8">
      <c r="H27371" s="680" t="s">
        <v>6153</v>
      </c>
    </row>
    <row r="27372" spans="8:8">
      <c r="H27372" s="680" t="s">
        <v>6153</v>
      </c>
    </row>
    <row r="27373" spans="8:8">
      <c r="H27373" s="680" t="s">
        <v>6153</v>
      </c>
    </row>
    <row r="27374" spans="8:8">
      <c r="H27374" s="680" t="s">
        <v>6153</v>
      </c>
    </row>
    <row r="27375" spans="8:8">
      <c r="H27375" s="680" t="s">
        <v>6153</v>
      </c>
    </row>
    <row r="27376" spans="8:8">
      <c r="H27376" s="680" t="s">
        <v>6153</v>
      </c>
    </row>
    <row r="27377" spans="8:8">
      <c r="H27377" s="680" t="s">
        <v>6153</v>
      </c>
    </row>
    <row r="27378" spans="8:8">
      <c r="H27378" s="680" t="s">
        <v>6153</v>
      </c>
    </row>
    <row r="27379" spans="8:8">
      <c r="H27379" s="680" t="s">
        <v>6153</v>
      </c>
    </row>
    <row r="27380" spans="8:8">
      <c r="H27380" s="680" t="s">
        <v>6153</v>
      </c>
    </row>
    <row r="27381" spans="8:8">
      <c r="H27381" s="680" t="s">
        <v>6153</v>
      </c>
    </row>
    <row r="27382" spans="8:8">
      <c r="H27382" s="680" t="s">
        <v>6153</v>
      </c>
    </row>
    <row r="27383" spans="8:8">
      <c r="H27383" s="680" t="s">
        <v>6153</v>
      </c>
    </row>
    <row r="27384" spans="8:8">
      <c r="H27384" s="680" t="s">
        <v>6153</v>
      </c>
    </row>
    <row r="27385" spans="8:8">
      <c r="H27385" s="680" t="s">
        <v>6153</v>
      </c>
    </row>
    <row r="27386" spans="8:8">
      <c r="H27386" s="680" t="s">
        <v>6153</v>
      </c>
    </row>
    <row r="27387" spans="8:8">
      <c r="H27387" s="680" t="s">
        <v>6153</v>
      </c>
    </row>
    <row r="27388" spans="8:8">
      <c r="H27388" s="680" t="s">
        <v>6153</v>
      </c>
    </row>
    <row r="27389" spans="8:8">
      <c r="H27389" s="680" t="s">
        <v>6153</v>
      </c>
    </row>
    <row r="27390" spans="8:8">
      <c r="H27390" s="680" t="s">
        <v>6153</v>
      </c>
    </row>
    <row r="27391" spans="8:8">
      <c r="H27391" s="680" t="s">
        <v>6153</v>
      </c>
    </row>
    <row r="27392" spans="8:8">
      <c r="H27392" s="680" t="s">
        <v>6153</v>
      </c>
    </row>
    <row r="27393" spans="8:8">
      <c r="H27393" s="680" t="s">
        <v>6153</v>
      </c>
    </row>
    <row r="27394" spans="8:8">
      <c r="H27394" s="680" t="s">
        <v>6153</v>
      </c>
    </row>
    <row r="27395" spans="8:8">
      <c r="H27395" s="680" t="s">
        <v>6153</v>
      </c>
    </row>
    <row r="27396" spans="8:8">
      <c r="H27396" s="680" t="s">
        <v>6153</v>
      </c>
    </row>
    <row r="27397" spans="8:8">
      <c r="H27397" s="680" t="s">
        <v>6153</v>
      </c>
    </row>
    <row r="27398" spans="8:8">
      <c r="H27398" s="680" t="s">
        <v>6153</v>
      </c>
    </row>
    <row r="27399" spans="8:8">
      <c r="H27399" s="680" t="s">
        <v>6153</v>
      </c>
    </row>
    <row r="27400" spans="8:8">
      <c r="H27400" s="680" t="s">
        <v>6153</v>
      </c>
    </row>
    <row r="27401" spans="8:8">
      <c r="H27401" s="680" t="s">
        <v>6153</v>
      </c>
    </row>
    <row r="27402" spans="8:8">
      <c r="H27402" s="680" t="s">
        <v>6153</v>
      </c>
    </row>
    <row r="27403" spans="8:8">
      <c r="H27403" s="680" t="s">
        <v>6153</v>
      </c>
    </row>
    <row r="27404" spans="8:8">
      <c r="H27404" s="680" t="s">
        <v>6153</v>
      </c>
    </row>
    <row r="27405" spans="8:8">
      <c r="H27405" s="680" t="s">
        <v>6153</v>
      </c>
    </row>
    <row r="27406" spans="8:8">
      <c r="H27406" s="680" t="s">
        <v>6153</v>
      </c>
    </row>
    <row r="27407" spans="8:8">
      <c r="H27407" s="680" t="s">
        <v>6153</v>
      </c>
    </row>
    <row r="27408" spans="8:8">
      <c r="H27408" s="680" t="s">
        <v>6153</v>
      </c>
    </row>
    <row r="27409" spans="8:8">
      <c r="H27409" s="680" t="s">
        <v>6153</v>
      </c>
    </row>
    <row r="27410" spans="8:8">
      <c r="H27410" s="680" t="s">
        <v>6153</v>
      </c>
    </row>
    <row r="27411" spans="8:8">
      <c r="H27411" s="680" t="s">
        <v>6153</v>
      </c>
    </row>
    <row r="27412" spans="8:8">
      <c r="H27412" s="680" t="s">
        <v>6153</v>
      </c>
    </row>
    <row r="27413" spans="8:8">
      <c r="H27413" s="680" t="s">
        <v>6153</v>
      </c>
    </row>
    <row r="27414" spans="8:8">
      <c r="H27414" s="680" t="s">
        <v>6153</v>
      </c>
    </row>
    <row r="27415" spans="8:8">
      <c r="H27415" s="680" t="s">
        <v>6153</v>
      </c>
    </row>
    <row r="27416" spans="8:8">
      <c r="H27416" s="680" t="s">
        <v>6153</v>
      </c>
    </row>
    <row r="27417" spans="8:8">
      <c r="H27417" s="680" t="s">
        <v>6153</v>
      </c>
    </row>
    <row r="27418" spans="8:8">
      <c r="H27418" s="680" t="s">
        <v>6153</v>
      </c>
    </row>
    <row r="27419" spans="8:8">
      <c r="H27419" s="680" t="s">
        <v>6153</v>
      </c>
    </row>
    <row r="27420" spans="8:8">
      <c r="H27420" s="680" t="s">
        <v>6153</v>
      </c>
    </row>
    <row r="27421" spans="8:8">
      <c r="H27421" s="680" t="s">
        <v>6153</v>
      </c>
    </row>
    <row r="27422" spans="8:8">
      <c r="H27422" s="680" t="s">
        <v>6153</v>
      </c>
    </row>
    <row r="27423" spans="8:8">
      <c r="H27423" s="680" t="s">
        <v>6153</v>
      </c>
    </row>
    <row r="27424" spans="8:8">
      <c r="H27424" s="680" t="s">
        <v>6153</v>
      </c>
    </row>
    <row r="27425" spans="8:8">
      <c r="H27425" s="680" t="s">
        <v>6153</v>
      </c>
    </row>
    <row r="27426" spans="8:8">
      <c r="H27426" s="680" t="s">
        <v>6153</v>
      </c>
    </row>
    <row r="27427" spans="8:8">
      <c r="H27427" s="680" t="s">
        <v>6153</v>
      </c>
    </row>
    <row r="27428" spans="8:8">
      <c r="H27428" s="680" t="s">
        <v>6153</v>
      </c>
    </row>
    <row r="27429" spans="8:8">
      <c r="H27429" s="680" t="s">
        <v>6153</v>
      </c>
    </row>
    <row r="27430" spans="8:8">
      <c r="H27430" s="680" t="s">
        <v>6153</v>
      </c>
    </row>
    <row r="27431" spans="8:8">
      <c r="H27431" s="680" t="s">
        <v>6153</v>
      </c>
    </row>
    <row r="27432" spans="8:8">
      <c r="H27432" s="680" t="s">
        <v>6153</v>
      </c>
    </row>
    <row r="27433" spans="8:8">
      <c r="H27433" s="680" t="s">
        <v>6153</v>
      </c>
    </row>
    <row r="27434" spans="8:8">
      <c r="H27434" s="680" t="s">
        <v>6153</v>
      </c>
    </row>
    <row r="27435" spans="8:8">
      <c r="H27435" s="680" t="s">
        <v>6153</v>
      </c>
    </row>
    <row r="27436" spans="8:8">
      <c r="H27436" s="680" t="s">
        <v>6153</v>
      </c>
    </row>
    <row r="27437" spans="8:8">
      <c r="H27437" s="680" t="s">
        <v>6153</v>
      </c>
    </row>
    <row r="27438" spans="8:8">
      <c r="H27438" s="680" t="s">
        <v>6153</v>
      </c>
    </row>
    <row r="27439" spans="8:8">
      <c r="H27439" s="680" t="s">
        <v>6153</v>
      </c>
    </row>
    <row r="27440" spans="8:8">
      <c r="H27440" s="680" t="s">
        <v>6153</v>
      </c>
    </row>
    <row r="27441" spans="8:8">
      <c r="H27441" s="680" t="s">
        <v>6153</v>
      </c>
    </row>
    <row r="27442" spans="8:8">
      <c r="H27442" s="680" t="s">
        <v>6153</v>
      </c>
    </row>
    <row r="27443" spans="8:8">
      <c r="H27443" s="680" t="s">
        <v>6153</v>
      </c>
    </row>
    <row r="27444" spans="8:8">
      <c r="H27444" s="680" t="s">
        <v>6153</v>
      </c>
    </row>
    <row r="27445" spans="8:8">
      <c r="H27445" s="680" t="s">
        <v>6153</v>
      </c>
    </row>
    <row r="27446" spans="8:8">
      <c r="H27446" s="680" t="s">
        <v>6153</v>
      </c>
    </row>
    <row r="27447" spans="8:8">
      <c r="H27447" s="680" t="s">
        <v>6153</v>
      </c>
    </row>
    <row r="27448" spans="8:8">
      <c r="H27448" s="680" t="s">
        <v>6153</v>
      </c>
    </row>
    <row r="27449" spans="8:8">
      <c r="H27449" s="680" t="s">
        <v>6153</v>
      </c>
    </row>
    <row r="27450" spans="8:8">
      <c r="H27450" s="680" t="s">
        <v>6153</v>
      </c>
    </row>
    <row r="27451" spans="8:8">
      <c r="H27451" s="680" t="s">
        <v>6153</v>
      </c>
    </row>
    <row r="27452" spans="8:8">
      <c r="H27452" s="680" t="s">
        <v>6153</v>
      </c>
    </row>
    <row r="27453" spans="8:8">
      <c r="H27453" s="680" t="s">
        <v>6153</v>
      </c>
    </row>
    <row r="27454" spans="8:8">
      <c r="H27454" s="680" t="s">
        <v>6153</v>
      </c>
    </row>
    <row r="27455" spans="8:8">
      <c r="H27455" s="680" t="s">
        <v>6153</v>
      </c>
    </row>
    <row r="27456" spans="8:8">
      <c r="H27456" s="680" t="s">
        <v>6153</v>
      </c>
    </row>
    <row r="27457" spans="8:8">
      <c r="H27457" s="680" t="s">
        <v>6153</v>
      </c>
    </row>
    <row r="27458" spans="8:8">
      <c r="H27458" s="680" t="s">
        <v>6153</v>
      </c>
    </row>
    <row r="27459" spans="8:8">
      <c r="H27459" s="680" t="s">
        <v>6153</v>
      </c>
    </row>
    <row r="27460" spans="8:8">
      <c r="H27460" s="680" t="s">
        <v>6153</v>
      </c>
    </row>
    <row r="27461" spans="8:8">
      <c r="H27461" s="680" t="s">
        <v>6153</v>
      </c>
    </row>
    <row r="27462" spans="8:8">
      <c r="H27462" s="680" t="s">
        <v>6153</v>
      </c>
    </row>
    <row r="27463" spans="8:8">
      <c r="H27463" s="680" t="s">
        <v>6153</v>
      </c>
    </row>
    <row r="27464" spans="8:8">
      <c r="H27464" s="680" t="s">
        <v>6153</v>
      </c>
    </row>
    <row r="27465" spans="8:8">
      <c r="H27465" s="680" t="s">
        <v>6153</v>
      </c>
    </row>
    <row r="27466" spans="8:8">
      <c r="H27466" s="680" t="s">
        <v>6153</v>
      </c>
    </row>
    <row r="27467" spans="8:8">
      <c r="H27467" s="680" t="s">
        <v>6153</v>
      </c>
    </row>
    <row r="27468" spans="8:8">
      <c r="H27468" s="680" t="s">
        <v>6153</v>
      </c>
    </row>
    <row r="27469" spans="8:8">
      <c r="H27469" s="680" t="s">
        <v>6153</v>
      </c>
    </row>
    <row r="27470" spans="8:8">
      <c r="H27470" s="680" t="s">
        <v>6153</v>
      </c>
    </row>
    <row r="27471" spans="8:8">
      <c r="H27471" s="680" t="s">
        <v>6153</v>
      </c>
    </row>
    <row r="27472" spans="8:8">
      <c r="H27472" s="680" t="s">
        <v>6153</v>
      </c>
    </row>
    <row r="27473" spans="8:8">
      <c r="H27473" s="680" t="s">
        <v>6153</v>
      </c>
    </row>
    <row r="27474" spans="8:8">
      <c r="H27474" s="680" t="s">
        <v>6153</v>
      </c>
    </row>
    <row r="27475" spans="8:8">
      <c r="H27475" s="680" t="s">
        <v>6153</v>
      </c>
    </row>
    <row r="27476" spans="8:8">
      <c r="H27476" s="680" t="s">
        <v>6153</v>
      </c>
    </row>
    <row r="27477" spans="8:8">
      <c r="H27477" s="680" t="s">
        <v>6153</v>
      </c>
    </row>
    <row r="27478" spans="8:8">
      <c r="H27478" s="680" t="s">
        <v>6153</v>
      </c>
    </row>
    <row r="27479" spans="8:8">
      <c r="H27479" s="680" t="s">
        <v>6153</v>
      </c>
    </row>
    <row r="27480" spans="8:8">
      <c r="H27480" s="680" t="s">
        <v>6153</v>
      </c>
    </row>
    <row r="27481" spans="8:8">
      <c r="H27481" s="680" t="s">
        <v>6153</v>
      </c>
    </row>
    <row r="27482" spans="8:8">
      <c r="H27482" s="680" t="s">
        <v>6153</v>
      </c>
    </row>
    <row r="27483" spans="8:8">
      <c r="H27483" s="680" t="s">
        <v>6153</v>
      </c>
    </row>
    <row r="27484" spans="8:8">
      <c r="H27484" s="680" t="s">
        <v>6153</v>
      </c>
    </row>
    <row r="27485" spans="8:8">
      <c r="H27485" s="680" t="s">
        <v>6153</v>
      </c>
    </row>
    <row r="27486" spans="8:8">
      <c r="H27486" s="680" t="s">
        <v>6153</v>
      </c>
    </row>
    <row r="27487" spans="8:8">
      <c r="H27487" s="680" t="s">
        <v>6153</v>
      </c>
    </row>
    <row r="27488" spans="8:8">
      <c r="H27488" s="680" t="s">
        <v>6153</v>
      </c>
    </row>
    <row r="27489" spans="8:8">
      <c r="H27489" s="680" t="s">
        <v>6153</v>
      </c>
    </row>
    <row r="27490" spans="8:8">
      <c r="H27490" s="680" t="s">
        <v>6153</v>
      </c>
    </row>
    <row r="27491" spans="8:8">
      <c r="H27491" s="680" t="s">
        <v>6153</v>
      </c>
    </row>
    <row r="27492" spans="8:8">
      <c r="H27492" s="680" t="s">
        <v>6153</v>
      </c>
    </row>
    <row r="27493" spans="8:8">
      <c r="H27493" s="680" t="s">
        <v>6153</v>
      </c>
    </row>
    <row r="27494" spans="8:8">
      <c r="H27494" s="680" t="s">
        <v>6153</v>
      </c>
    </row>
    <row r="27495" spans="8:8">
      <c r="H27495" s="680" t="s">
        <v>6153</v>
      </c>
    </row>
    <row r="27496" spans="8:8">
      <c r="H27496" s="680" t="s">
        <v>6153</v>
      </c>
    </row>
    <row r="27497" spans="8:8">
      <c r="H27497" s="680" t="s">
        <v>6153</v>
      </c>
    </row>
    <row r="27498" spans="8:8">
      <c r="H27498" s="680" t="s">
        <v>6153</v>
      </c>
    </row>
    <row r="27499" spans="8:8">
      <c r="H27499" s="680" t="s">
        <v>6153</v>
      </c>
    </row>
    <row r="27500" spans="8:8">
      <c r="H27500" s="680" t="s">
        <v>6153</v>
      </c>
    </row>
    <row r="27501" spans="8:8">
      <c r="H27501" s="680" t="s">
        <v>6153</v>
      </c>
    </row>
    <row r="27502" spans="8:8">
      <c r="H27502" s="680" t="s">
        <v>6153</v>
      </c>
    </row>
    <row r="27503" spans="8:8">
      <c r="H27503" s="680" t="s">
        <v>6153</v>
      </c>
    </row>
    <row r="27504" spans="8:8">
      <c r="H27504" s="680" t="s">
        <v>6153</v>
      </c>
    </row>
    <row r="27505" spans="8:8">
      <c r="H27505" s="680" t="s">
        <v>6153</v>
      </c>
    </row>
    <row r="27506" spans="8:8">
      <c r="H27506" s="680" t="s">
        <v>6153</v>
      </c>
    </row>
    <row r="27507" spans="8:8">
      <c r="H27507" s="680" t="s">
        <v>6153</v>
      </c>
    </row>
    <row r="27508" spans="8:8">
      <c r="H27508" s="680" t="s">
        <v>6153</v>
      </c>
    </row>
    <row r="27509" spans="8:8">
      <c r="H27509" s="680" t="s">
        <v>6153</v>
      </c>
    </row>
    <row r="27510" spans="8:8">
      <c r="H27510" s="680" t="s">
        <v>6153</v>
      </c>
    </row>
    <row r="27511" spans="8:8">
      <c r="H27511" s="680" t="s">
        <v>6153</v>
      </c>
    </row>
    <row r="27512" spans="8:8">
      <c r="H27512" s="680" t="s">
        <v>6153</v>
      </c>
    </row>
    <row r="27513" spans="8:8">
      <c r="H27513" s="680" t="s">
        <v>6153</v>
      </c>
    </row>
    <row r="27514" spans="8:8">
      <c r="H27514" s="680" t="s">
        <v>6153</v>
      </c>
    </row>
    <row r="27515" spans="8:8">
      <c r="H27515" s="680" t="s">
        <v>6153</v>
      </c>
    </row>
    <row r="27516" spans="8:8">
      <c r="H27516" s="680" t="s">
        <v>6153</v>
      </c>
    </row>
    <row r="27517" spans="8:8">
      <c r="H27517" s="680" t="s">
        <v>6153</v>
      </c>
    </row>
    <row r="27518" spans="8:8">
      <c r="H27518" s="680" t="s">
        <v>6153</v>
      </c>
    </row>
    <row r="27519" spans="8:8">
      <c r="H27519" s="680" t="s">
        <v>6153</v>
      </c>
    </row>
    <row r="27520" spans="8:8">
      <c r="H27520" s="680" t="s">
        <v>6153</v>
      </c>
    </row>
    <row r="27521" spans="8:8">
      <c r="H27521" s="680" t="s">
        <v>6153</v>
      </c>
    </row>
    <row r="27522" spans="8:8">
      <c r="H27522" s="680" t="s">
        <v>6153</v>
      </c>
    </row>
    <row r="27523" spans="8:8">
      <c r="H27523" s="680" t="s">
        <v>6153</v>
      </c>
    </row>
    <row r="27524" spans="8:8">
      <c r="H27524" s="680" t="s">
        <v>6153</v>
      </c>
    </row>
    <row r="27525" spans="8:8">
      <c r="H27525" s="680" t="s">
        <v>6153</v>
      </c>
    </row>
    <row r="27526" spans="8:8">
      <c r="H27526" s="680" t="s">
        <v>6153</v>
      </c>
    </row>
    <row r="27527" spans="8:8">
      <c r="H27527" s="680" t="s">
        <v>6153</v>
      </c>
    </row>
    <row r="27528" spans="8:8">
      <c r="H27528" s="680" t="s">
        <v>6153</v>
      </c>
    </row>
    <row r="27529" spans="8:8">
      <c r="H27529" s="680" t="s">
        <v>6153</v>
      </c>
    </row>
    <row r="27530" spans="8:8">
      <c r="H27530" s="680" t="s">
        <v>6153</v>
      </c>
    </row>
    <row r="27531" spans="8:8">
      <c r="H27531" s="680" t="s">
        <v>6153</v>
      </c>
    </row>
    <row r="27532" spans="8:8">
      <c r="H27532" s="680" t="s">
        <v>6153</v>
      </c>
    </row>
    <row r="27533" spans="8:8">
      <c r="H27533" s="680" t="s">
        <v>6153</v>
      </c>
    </row>
    <row r="27534" spans="8:8">
      <c r="H27534" s="680" t="s">
        <v>6153</v>
      </c>
    </row>
    <row r="27535" spans="8:8">
      <c r="H27535" s="680" t="s">
        <v>6153</v>
      </c>
    </row>
    <row r="27536" spans="8:8">
      <c r="H27536" s="680" t="s">
        <v>6153</v>
      </c>
    </row>
    <row r="27537" spans="8:8">
      <c r="H27537" s="680" t="s">
        <v>6153</v>
      </c>
    </row>
    <row r="27538" spans="8:8">
      <c r="H27538" s="680" t="s">
        <v>6153</v>
      </c>
    </row>
    <row r="27539" spans="8:8">
      <c r="H27539" s="680" t="s">
        <v>6153</v>
      </c>
    </row>
    <row r="27540" spans="8:8">
      <c r="H27540" s="680" t="s">
        <v>6153</v>
      </c>
    </row>
    <row r="27541" spans="8:8">
      <c r="H27541" s="680" t="s">
        <v>6153</v>
      </c>
    </row>
    <row r="27542" spans="8:8">
      <c r="H27542" s="680" t="s">
        <v>6153</v>
      </c>
    </row>
    <row r="27543" spans="8:8">
      <c r="H27543" s="680" t="s">
        <v>6153</v>
      </c>
    </row>
    <row r="27544" spans="8:8">
      <c r="H27544" s="680" t="s">
        <v>6153</v>
      </c>
    </row>
    <row r="27545" spans="8:8">
      <c r="H27545" s="680" t="s">
        <v>6153</v>
      </c>
    </row>
    <row r="27546" spans="8:8">
      <c r="H27546" s="680" t="s">
        <v>6153</v>
      </c>
    </row>
    <row r="27547" spans="8:8">
      <c r="H27547" s="680" t="s">
        <v>6153</v>
      </c>
    </row>
    <row r="27548" spans="8:8">
      <c r="H27548" s="680" t="s">
        <v>6153</v>
      </c>
    </row>
    <row r="27549" spans="8:8">
      <c r="H27549" s="680" t="s">
        <v>6153</v>
      </c>
    </row>
    <row r="27550" spans="8:8">
      <c r="H27550" s="680" t="s">
        <v>6153</v>
      </c>
    </row>
    <row r="27551" spans="8:8">
      <c r="H27551" s="680" t="s">
        <v>6153</v>
      </c>
    </row>
    <row r="27552" spans="8:8">
      <c r="H27552" s="680" t="s">
        <v>6153</v>
      </c>
    </row>
    <row r="27553" spans="8:8">
      <c r="H27553" s="680" t="s">
        <v>6153</v>
      </c>
    </row>
    <row r="27554" spans="8:8">
      <c r="H27554" s="680" t="s">
        <v>6153</v>
      </c>
    </row>
    <row r="27555" spans="8:8">
      <c r="H27555" s="680" t="s">
        <v>6153</v>
      </c>
    </row>
    <row r="27556" spans="8:8">
      <c r="H27556" s="680" t="s">
        <v>6153</v>
      </c>
    </row>
    <row r="27557" spans="8:8">
      <c r="H27557" s="680" t="s">
        <v>6153</v>
      </c>
    </row>
    <row r="27558" spans="8:8">
      <c r="H27558" s="680" t="s">
        <v>6153</v>
      </c>
    </row>
    <row r="27559" spans="8:8">
      <c r="H27559" s="680" t="s">
        <v>6153</v>
      </c>
    </row>
    <row r="27560" spans="8:8">
      <c r="H27560" s="680" t="s">
        <v>6153</v>
      </c>
    </row>
    <row r="27561" spans="8:8">
      <c r="H27561" s="680" t="s">
        <v>6153</v>
      </c>
    </row>
    <row r="27562" spans="8:8">
      <c r="H27562" s="680" t="s">
        <v>6153</v>
      </c>
    </row>
    <row r="27563" spans="8:8">
      <c r="H27563" s="680" t="s">
        <v>6153</v>
      </c>
    </row>
    <row r="27564" spans="8:8">
      <c r="H27564" s="680" t="s">
        <v>6153</v>
      </c>
    </row>
    <row r="27565" spans="8:8">
      <c r="H27565" s="680" t="s">
        <v>6153</v>
      </c>
    </row>
    <row r="27566" spans="8:8">
      <c r="H27566" s="680" t="s">
        <v>6153</v>
      </c>
    </row>
    <row r="27567" spans="8:8">
      <c r="H27567" s="680" t="s">
        <v>6153</v>
      </c>
    </row>
    <row r="27568" spans="8:8">
      <c r="H27568" s="680" t="s">
        <v>6153</v>
      </c>
    </row>
    <row r="27569" spans="8:8">
      <c r="H27569" s="680" t="s">
        <v>6153</v>
      </c>
    </row>
    <row r="27570" spans="8:8">
      <c r="H27570" s="680" t="s">
        <v>6153</v>
      </c>
    </row>
    <row r="27571" spans="8:8">
      <c r="H27571" s="680" t="s">
        <v>6153</v>
      </c>
    </row>
    <row r="27572" spans="8:8">
      <c r="H27572" s="680" t="s">
        <v>6153</v>
      </c>
    </row>
    <row r="27573" spans="8:8">
      <c r="H27573" s="680" t="s">
        <v>6153</v>
      </c>
    </row>
    <row r="27574" spans="8:8">
      <c r="H27574" s="680" t="s">
        <v>6153</v>
      </c>
    </row>
    <row r="27575" spans="8:8">
      <c r="H27575" s="680" t="s">
        <v>6153</v>
      </c>
    </row>
    <row r="27576" spans="8:8">
      <c r="H27576" s="680" t="s">
        <v>6153</v>
      </c>
    </row>
    <row r="27577" spans="8:8">
      <c r="H27577" s="680" t="s">
        <v>6153</v>
      </c>
    </row>
    <row r="27578" spans="8:8">
      <c r="H27578" s="680" t="s">
        <v>6153</v>
      </c>
    </row>
    <row r="27579" spans="8:8">
      <c r="H27579" s="680" t="s">
        <v>6153</v>
      </c>
    </row>
    <row r="27580" spans="8:8">
      <c r="H27580" s="680" t="s">
        <v>6153</v>
      </c>
    </row>
    <row r="27581" spans="8:8">
      <c r="H27581" s="680" t="s">
        <v>6153</v>
      </c>
    </row>
    <row r="27582" spans="8:8">
      <c r="H27582" s="680" t="s">
        <v>6153</v>
      </c>
    </row>
    <row r="27583" spans="8:8">
      <c r="H27583" s="680" t="s">
        <v>6153</v>
      </c>
    </row>
    <row r="27584" spans="8:8">
      <c r="H27584" s="680" t="s">
        <v>6153</v>
      </c>
    </row>
    <row r="27585" spans="8:8">
      <c r="H27585" s="680" t="s">
        <v>6153</v>
      </c>
    </row>
    <row r="27586" spans="8:8">
      <c r="H27586" s="680" t="s">
        <v>6153</v>
      </c>
    </row>
    <row r="27587" spans="8:8">
      <c r="H27587" s="680" t="s">
        <v>6153</v>
      </c>
    </row>
    <row r="27588" spans="8:8">
      <c r="H27588" s="680" t="s">
        <v>6153</v>
      </c>
    </row>
    <row r="27589" spans="8:8">
      <c r="H27589" s="680" t="s">
        <v>6153</v>
      </c>
    </row>
    <row r="27590" spans="8:8">
      <c r="H27590" s="680" t="s">
        <v>6153</v>
      </c>
    </row>
    <row r="27591" spans="8:8">
      <c r="H27591" s="680" t="s">
        <v>6153</v>
      </c>
    </row>
    <row r="27592" spans="8:8">
      <c r="H27592" s="680" t="s">
        <v>6153</v>
      </c>
    </row>
    <row r="27593" spans="8:8">
      <c r="H27593" s="680" t="s">
        <v>6153</v>
      </c>
    </row>
    <row r="27594" spans="8:8">
      <c r="H27594" s="680" t="s">
        <v>6153</v>
      </c>
    </row>
    <row r="27595" spans="8:8">
      <c r="H27595" s="680" t="s">
        <v>6153</v>
      </c>
    </row>
    <row r="27596" spans="8:8">
      <c r="H27596" s="680" t="s">
        <v>6153</v>
      </c>
    </row>
    <row r="27597" spans="8:8">
      <c r="H27597" s="680" t="s">
        <v>6153</v>
      </c>
    </row>
    <row r="27598" spans="8:8">
      <c r="H27598" s="680" t="s">
        <v>6153</v>
      </c>
    </row>
    <row r="27599" spans="8:8">
      <c r="H27599" s="680" t="s">
        <v>6153</v>
      </c>
    </row>
    <row r="27600" spans="8:8">
      <c r="H27600" s="680" t="s">
        <v>6153</v>
      </c>
    </row>
    <row r="27601" spans="8:8">
      <c r="H27601" s="680" t="s">
        <v>6153</v>
      </c>
    </row>
    <row r="27602" spans="8:8">
      <c r="H27602" s="680" t="s">
        <v>6153</v>
      </c>
    </row>
    <row r="27603" spans="8:8">
      <c r="H27603" s="680" t="s">
        <v>6153</v>
      </c>
    </row>
    <row r="27604" spans="8:8">
      <c r="H27604" s="680" t="s">
        <v>6153</v>
      </c>
    </row>
    <row r="27605" spans="8:8">
      <c r="H27605" s="680" t="s">
        <v>6153</v>
      </c>
    </row>
    <row r="27606" spans="8:8">
      <c r="H27606" s="680" t="s">
        <v>6153</v>
      </c>
    </row>
    <row r="27607" spans="8:8">
      <c r="H27607" s="680" t="s">
        <v>6153</v>
      </c>
    </row>
    <row r="27608" spans="8:8">
      <c r="H27608" s="680" t="s">
        <v>6153</v>
      </c>
    </row>
    <row r="27609" spans="8:8">
      <c r="H27609" s="680" t="s">
        <v>6153</v>
      </c>
    </row>
    <row r="27610" spans="8:8">
      <c r="H27610" s="680" t="s">
        <v>6153</v>
      </c>
    </row>
    <row r="27611" spans="8:8">
      <c r="H27611" s="680" t="s">
        <v>6153</v>
      </c>
    </row>
    <row r="27612" spans="8:8">
      <c r="H27612" s="680" t="s">
        <v>6153</v>
      </c>
    </row>
    <row r="27613" spans="8:8">
      <c r="H27613" s="680" t="s">
        <v>6153</v>
      </c>
    </row>
    <row r="27614" spans="8:8">
      <c r="H27614" s="680" t="s">
        <v>6153</v>
      </c>
    </row>
    <row r="27615" spans="8:8">
      <c r="H27615" s="680" t="s">
        <v>6153</v>
      </c>
    </row>
    <row r="27616" spans="8:8">
      <c r="H27616" s="680" t="s">
        <v>6153</v>
      </c>
    </row>
    <row r="27617" spans="8:8">
      <c r="H27617" s="680" t="s">
        <v>6153</v>
      </c>
    </row>
    <row r="27618" spans="8:8">
      <c r="H27618" s="680" t="s">
        <v>6153</v>
      </c>
    </row>
    <row r="27619" spans="8:8">
      <c r="H27619" s="680" t="s">
        <v>6153</v>
      </c>
    </row>
    <row r="27620" spans="8:8">
      <c r="H27620" s="680" t="s">
        <v>6153</v>
      </c>
    </row>
    <row r="27621" spans="8:8">
      <c r="H27621" s="680" t="s">
        <v>6153</v>
      </c>
    </row>
    <row r="27622" spans="8:8">
      <c r="H27622" s="680" t="s">
        <v>6153</v>
      </c>
    </row>
    <row r="27623" spans="8:8">
      <c r="H27623" s="680" t="s">
        <v>6153</v>
      </c>
    </row>
    <row r="27624" spans="8:8">
      <c r="H27624" s="680" t="s">
        <v>6153</v>
      </c>
    </row>
    <row r="27625" spans="8:8">
      <c r="H27625" s="680" t="s">
        <v>6153</v>
      </c>
    </row>
    <row r="27626" spans="8:8">
      <c r="H27626" s="680" t="s">
        <v>6153</v>
      </c>
    </row>
    <row r="27627" spans="8:8">
      <c r="H27627" s="680" t="s">
        <v>6153</v>
      </c>
    </row>
    <row r="27628" spans="8:8">
      <c r="H27628" s="680" t="s">
        <v>6153</v>
      </c>
    </row>
    <row r="27629" spans="8:8">
      <c r="H27629" s="680" t="s">
        <v>6153</v>
      </c>
    </row>
    <row r="27630" spans="8:8">
      <c r="H27630" s="680" t="s">
        <v>6153</v>
      </c>
    </row>
    <row r="27631" spans="8:8">
      <c r="H27631" s="680" t="s">
        <v>6153</v>
      </c>
    </row>
    <row r="27632" spans="8:8">
      <c r="H27632" s="680" t="s">
        <v>6153</v>
      </c>
    </row>
    <row r="27633" spans="8:8">
      <c r="H27633" s="680" t="s">
        <v>6153</v>
      </c>
    </row>
    <row r="27634" spans="8:8">
      <c r="H27634" s="680" t="s">
        <v>6153</v>
      </c>
    </row>
    <row r="27635" spans="8:8">
      <c r="H27635" s="680" t="s">
        <v>6153</v>
      </c>
    </row>
    <row r="27636" spans="8:8">
      <c r="H27636" s="680" t="s">
        <v>6153</v>
      </c>
    </row>
    <row r="27637" spans="8:8">
      <c r="H27637" s="680" t="s">
        <v>6153</v>
      </c>
    </row>
    <row r="27638" spans="8:8">
      <c r="H27638" s="680" t="s">
        <v>6153</v>
      </c>
    </row>
    <row r="27639" spans="8:8">
      <c r="H27639" s="680" t="s">
        <v>6153</v>
      </c>
    </row>
    <row r="27640" spans="8:8">
      <c r="H27640" s="680" t="s">
        <v>6153</v>
      </c>
    </row>
    <row r="27641" spans="8:8">
      <c r="H27641" s="680" t="s">
        <v>6153</v>
      </c>
    </row>
    <row r="27642" spans="8:8">
      <c r="H27642" s="680" t="s">
        <v>6153</v>
      </c>
    </row>
    <row r="27643" spans="8:8">
      <c r="H27643" s="680" t="s">
        <v>6153</v>
      </c>
    </row>
    <row r="27644" spans="8:8">
      <c r="H27644" s="680" t="s">
        <v>6153</v>
      </c>
    </row>
    <row r="27645" spans="8:8">
      <c r="H27645" s="680" t="s">
        <v>6153</v>
      </c>
    </row>
    <row r="27646" spans="8:8">
      <c r="H27646" s="680" t="s">
        <v>6153</v>
      </c>
    </row>
    <row r="27647" spans="8:8">
      <c r="H27647" s="680" t="s">
        <v>6153</v>
      </c>
    </row>
    <row r="27648" spans="8:8">
      <c r="H27648" s="680" t="s">
        <v>6153</v>
      </c>
    </row>
    <row r="27649" spans="8:8">
      <c r="H27649" s="680" t="s">
        <v>6153</v>
      </c>
    </row>
    <row r="27650" spans="8:8">
      <c r="H27650" s="680" t="s">
        <v>6153</v>
      </c>
    </row>
    <row r="27651" spans="8:8">
      <c r="H27651" s="680" t="s">
        <v>6153</v>
      </c>
    </row>
    <row r="27652" spans="8:8">
      <c r="H27652" s="680" t="s">
        <v>6153</v>
      </c>
    </row>
    <row r="27653" spans="8:8">
      <c r="H27653" s="680" t="s">
        <v>6153</v>
      </c>
    </row>
    <row r="27654" spans="8:8">
      <c r="H27654" s="680" t="s">
        <v>6153</v>
      </c>
    </row>
    <row r="27655" spans="8:8">
      <c r="H27655" s="680" t="s">
        <v>6153</v>
      </c>
    </row>
    <row r="27656" spans="8:8">
      <c r="H27656" s="680" t="s">
        <v>6153</v>
      </c>
    </row>
    <row r="27657" spans="8:8">
      <c r="H27657" s="680" t="s">
        <v>6153</v>
      </c>
    </row>
    <row r="27658" spans="8:8">
      <c r="H27658" s="680" t="s">
        <v>6153</v>
      </c>
    </row>
    <row r="27659" spans="8:8">
      <c r="H27659" s="680" t="s">
        <v>6153</v>
      </c>
    </row>
    <row r="27660" spans="8:8">
      <c r="H27660" s="680" t="s">
        <v>6153</v>
      </c>
    </row>
    <row r="27661" spans="8:8">
      <c r="H27661" s="680" t="s">
        <v>6153</v>
      </c>
    </row>
    <row r="27662" spans="8:8">
      <c r="H27662" s="680" t="s">
        <v>6153</v>
      </c>
    </row>
    <row r="27663" spans="8:8">
      <c r="H27663" s="680" t="s">
        <v>6153</v>
      </c>
    </row>
    <row r="27664" spans="8:8">
      <c r="H27664" s="680" t="s">
        <v>6153</v>
      </c>
    </row>
    <row r="27665" spans="8:8">
      <c r="H27665" s="680" t="s">
        <v>6153</v>
      </c>
    </row>
    <row r="27666" spans="8:8">
      <c r="H27666" s="680" t="s">
        <v>6153</v>
      </c>
    </row>
    <row r="27667" spans="8:8">
      <c r="H27667" s="680" t="s">
        <v>6153</v>
      </c>
    </row>
    <row r="27668" spans="8:8">
      <c r="H27668" s="680" t="s">
        <v>6153</v>
      </c>
    </row>
    <row r="27669" spans="8:8">
      <c r="H27669" s="680" t="s">
        <v>6153</v>
      </c>
    </row>
    <row r="27670" spans="8:8">
      <c r="H27670" s="680" t="s">
        <v>6153</v>
      </c>
    </row>
    <row r="27671" spans="8:8">
      <c r="H27671" s="680" t="s">
        <v>6153</v>
      </c>
    </row>
    <row r="27672" spans="8:8">
      <c r="H27672" s="680" t="s">
        <v>6153</v>
      </c>
    </row>
    <row r="27673" spans="8:8">
      <c r="H27673" s="680" t="s">
        <v>6153</v>
      </c>
    </row>
    <row r="27674" spans="8:8">
      <c r="H27674" s="680" t="s">
        <v>6153</v>
      </c>
    </row>
    <row r="27675" spans="8:8">
      <c r="H27675" s="680" t="s">
        <v>6153</v>
      </c>
    </row>
    <row r="27676" spans="8:8">
      <c r="H27676" s="680" t="s">
        <v>6153</v>
      </c>
    </row>
    <row r="27677" spans="8:8">
      <c r="H27677" s="680" t="s">
        <v>6153</v>
      </c>
    </row>
    <row r="27678" spans="8:8">
      <c r="H27678" s="680" t="s">
        <v>6153</v>
      </c>
    </row>
    <row r="27679" spans="8:8">
      <c r="H27679" s="680" t="s">
        <v>6153</v>
      </c>
    </row>
    <row r="27680" spans="8:8">
      <c r="H27680" s="680" t="s">
        <v>6153</v>
      </c>
    </row>
    <row r="27681" spans="8:8">
      <c r="H27681" s="680" t="s">
        <v>6153</v>
      </c>
    </row>
    <row r="27682" spans="8:8">
      <c r="H27682" s="680" t="s">
        <v>6153</v>
      </c>
    </row>
    <row r="27683" spans="8:8">
      <c r="H27683" s="680" t="s">
        <v>6153</v>
      </c>
    </row>
    <row r="27684" spans="8:8">
      <c r="H27684" s="680" t="s">
        <v>6153</v>
      </c>
    </row>
    <row r="27685" spans="8:8">
      <c r="H27685" s="680" t="s">
        <v>6153</v>
      </c>
    </row>
    <row r="27686" spans="8:8">
      <c r="H27686" s="680" t="s">
        <v>6153</v>
      </c>
    </row>
    <row r="27687" spans="8:8">
      <c r="H27687" s="680" t="s">
        <v>6153</v>
      </c>
    </row>
    <row r="27688" spans="8:8">
      <c r="H27688" s="680" t="s">
        <v>6153</v>
      </c>
    </row>
    <row r="27689" spans="8:8">
      <c r="H27689" s="680" t="s">
        <v>6153</v>
      </c>
    </row>
    <row r="27690" spans="8:8">
      <c r="H27690" s="680" t="s">
        <v>6153</v>
      </c>
    </row>
    <row r="27691" spans="8:8">
      <c r="H27691" s="680" t="s">
        <v>6153</v>
      </c>
    </row>
    <row r="27692" spans="8:8">
      <c r="H27692" s="680" t="s">
        <v>6153</v>
      </c>
    </row>
    <row r="27693" spans="8:8">
      <c r="H27693" s="680" t="s">
        <v>6153</v>
      </c>
    </row>
    <row r="27694" spans="8:8">
      <c r="H27694" s="680" t="s">
        <v>6153</v>
      </c>
    </row>
    <row r="27695" spans="8:8">
      <c r="H27695" s="680" t="s">
        <v>6153</v>
      </c>
    </row>
    <row r="27696" spans="8:8">
      <c r="H27696" s="680" t="s">
        <v>6153</v>
      </c>
    </row>
    <row r="27697" spans="8:8">
      <c r="H27697" s="680" t="s">
        <v>6153</v>
      </c>
    </row>
    <row r="27698" spans="8:8">
      <c r="H27698" s="680" t="s">
        <v>6153</v>
      </c>
    </row>
    <row r="27699" spans="8:8">
      <c r="H27699" s="680" t="s">
        <v>6153</v>
      </c>
    </row>
    <row r="27700" spans="8:8">
      <c r="H27700" s="680" t="s">
        <v>6153</v>
      </c>
    </row>
    <row r="27701" spans="8:8">
      <c r="H27701" s="680" t="s">
        <v>6153</v>
      </c>
    </row>
    <row r="27702" spans="8:8">
      <c r="H27702" s="680" t="s">
        <v>6153</v>
      </c>
    </row>
    <row r="27703" spans="8:8">
      <c r="H27703" s="680" t="s">
        <v>6153</v>
      </c>
    </row>
    <row r="27704" spans="8:8">
      <c r="H27704" s="680" t="s">
        <v>6153</v>
      </c>
    </row>
    <row r="27705" spans="8:8">
      <c r="H27705" s="680" t="s">
        <v>6153</v>
      </c>
    </row>
    <row r="27706" spans="8:8">
      <c r="H27706" s="680" t="s">
        <v>6153</v>
      </c>
    </row>
    <row r="27707" spans="8:8">
      <c r="H27707" s="680" t="s">
        <v>6153</v>
      </c>
    </row>
    <row r="27708" spans="8:8">
      <c r="H27708" s="680" t="s">
        <v>6153</v>
      </c>
    </row>
    <row r="27709" spans="8:8">
      <c r="H27709" s="680" t="s">
        <v>6153</v>
      </c>
    </row>
    <row r="27710" spans="8:8">
      <c r="H27710" s="680" t="s">
        <v>6153</v>
      </c>
    </row>
    <row r="27711" spans="8:8">
      <c r="H27711" s="680" t="s">
        <v>6153</v>
      </c>
    </row>
    <row r="27712" spans="8:8">
      <c r="H27712" s="680" t="s">
        <v>6153</v>
      </c>
    </row>
    <row r="27713" spans="8:8">
      <c r="H27713" s="680" t="s">
        <v>6153</v>
      </c>
    </row>
    <row r="27714" spans="8:8">
      <c r="H27714" s="680" t="s">
        <v>6153</v>
      </c>
    </row>
    <row r="27715" spans="8:8">
      <c r="H27715" s="680" t="s">
        <v>6153</v>
      </c>
    </row>
    <row r="27716" spans="8:8">
      <c r="H27716" s="680" t="s">
        <v>6153</v>
      </c>
    </row>
    <row r="27717" spans="8:8">
      <c r="H27717" s="680" t="s">
        <v>6153</v>
      </c>
    </row>
    <row r="27718" spans="8:8">
      <c r="H27718" s="680" t="s">
        <v>6153</v>
      </c>
    </row>
    <row r="27719" spans="8:8">
      <c r="H27719" s="680" t="s">
        <v>6153</v>
      </c>
    </row>
    <row r="27720" spans="8:8">
      <c r="H27720" s="680" t="s">
        <v>6153</v>
      </c>
    </row>
    <row r="27721" spans="8:8">
      <c r="H27721" s="680" t="s">
        <v>6153</v>
      </c>
    </row>
    <row r="27722" spans="8:8">
      <c r="H27722" s="680" t="s">
        <v>6153</v>
      </c>
    </row>
    <row r="27723" spans="8:8">
      <c r="H27723" s="680" t="s">
        <v>6153</v>
      </c>
    </row>
    <row r="27724" spans="8:8">
      <c r="H27724" s="680" t="s">
        <v>6153</v>
      </c>
    </row>
    <row r="27725" spans="8:8">
      <c r="H27725" s="680" t="s">
        <v>6153</v>
      </c>
    </row>
    <row r="27726" spans="8:8">
      <c r="H27726" s="680" t="s">
        <v>6153</v>
      </c>
    </row>
    <row r="27727" spans="8:8">
      <c r="H27727" s="680" t="s">
        <v>6153</v>
      </c>
    </row>
    <row r="27728" spans="8:8">
      <c r="H27728" s="680" t="s">
        <v>6153</v>
      </c>
    </row>
    <row r="27729" spans="8:8">
      <c r="H27729" s="680" t="s">
        <v>6153</v>
      </c>
    </row>
    <row r="27730" spans="8:8">
      <c r="H27730" s="680" t="s">
        <v>6153</v>
      </c>
    </row>
    <row r="27731" spans="8:8">
      <c r="H27731" s="680" t="s">
        <v>6153</v>
      </c>
    </row>
    <row r="27732" spans="8:8">
      <c r="H27732" s="680" t="s">
        <v>6153</v>
      </c>
    </row>
    <row r="27733" spans="8:8">
      <c r="H27733" s="680" t="s">
        <v>6153</v>
      </c>
    </row>
    <row r="27734" spans="8:8">
      <c r="H27734" s="680" t="s">
        <v>6153</v>
      </c>
    </row>
    <row r="27735" spans="8:8">
      <c r="H27735" s="680" t="s">
        <v>6153</v>
      </c>
    </row>
    <row r="27736" spans="8:8">
      <c r="H27736" s="680" t="s">
        <v>6153</v>
      </c>
    </row>
    <row r="27737" spans="8:8">
      <c r="H27737" s="680" t="s">
        <v>6153</v>
      </c>
    </row>
    <row r="27738" spans="8:8">
      <c r="H27738" s="680" t="s">
        <v>6153</v>
      </c>
    </row>
    <row r="27739" spans="8:8">
      <c r="H27739" s="680" t="s">
        <v>6153</v>
      </c>
    </row>
    <row r="27740" spans="8:8">
      <c r="H27740" s="680" t="s">
        <v>6153</v>
      </c>
    </row>
    <row r="27741" spans="8:8">
      <c r="H27741" s="680" t="s">
        <v>6153</v>
      </c>
    </row>
    <row r="27742" spans="8:8">
      <c r="H27742" s="680" t="s">
        <v>6153</v>
      </c>
    </row>
    <row r="27743" spans="8:8">
      <c r="H27743" s="680" t="s">
        <v>6153</v>
      </c>
    </row>
    <row r="27744" spans="8:8">
      <c r="H27744" s="680" t="s">
        <v>6153</v>
      </c>
    </row>
    <row r="27745" spans="8:8">
      <c r="H27745" s="680" t="s">
        <v>6153</v>
      </c>
    </row>
    <row r="27746" spans="8:8">
      <c r="H27746" s="680" t="s">
        <v>6153</v>
      </c>
    </row>
    <row r="27747" spans="8:8">
      <c r="H27747" s="680" t="s">
        <v>6153</v>
      </c>
    </row>
    <row r="27748" spans="8:8">
      <c r="H27748" s="680" t="s">
        <v>6153</v>
      </c>
    </row>
    <row r="27749" spans="8:8">
      <c r="H27749" s="680" t="s">
        <v>6153</v>
      </c>
    </row>
    <row r="27750" spans="8:8">
      <c r="H27750" s="680" t="s">
        <v>6153</v>
      </c>
    </row>
    <row r="27751" spans="8:8">
      <c r="H27751" s="680" t="s">
        <v>6153</v>
      </c>
    </row>
    <row r="27752" spans="8:8">
      <c r="H27752" s="680" t="s">
        <v>6153</v>
      </c>
    </row>
    <row r="27753" spans="8:8">
      <c r="H27753" s="680" t="s">
        <v>6153</v>
      </c>
    </row>
    <row r="27754" spans="8:8">
      <c r="H27754" s="680" t="s">
        <v>6153</v>
      </c>
    </row>
    <row r="27755" spans="8:8">
      <c r="H27755" s="680" t="s">
        <v>6153</v>
      </c>
    </row>
    <row r="27756" spans="8:8">
      <c r="H27756" s="680" t="s">
        <v>6153</v>
      </c>
    </row>
    <row r="27757" spans="8:8">
      <c r="H27757" s="680" t="s">
        <v>6153</v>
      </c>
    </row>
    <row r="27758" spans="8:8">
      <c r="H27758" s="680" t="s">
        <v>6153</v>
      </c>
    </row>
    <row r="27759" spans="8:8">
      <c r="H27759" s="680" t="s">
        <v>6153</v>
      </c>
    </row>
    <row r="27760" spans="8:8">
      <c r="H27760" s="680" t="s">
        <v>6153</v>
      </c>
    </row>
    <row r="27761" spans="8:8">
      <c r="H27761" s="680" t="s">
        <v>6153</v>
      </c>
    </row>
    <row r="27762" spans="8:8">
      <c r="H27762" s="680" t="s">
        <v>6153</v>
      </c>
    </row>
    <row r="27763" spans="8:8">
      <c r="H27763" s="680" t="s">
        <v>6153</v>
      </c>
    </row>
    <row r="27764" spans="8:8">
      <c r="H27764" s="680" t="s">
        <v>6153</v>
      </c>
    </row>
    <row r="27765" spans="8:8">
      <c r="H27765" s="680" t="s">
        <v>6153</v>
      </c>
    </row>
    <row r="27766" spans="8:8">
      <c r="H27766" s="680" t="s">
        <v>6153</v>
      </c>
    </row>
    <row r="27767" spans="8:8">
      <c r="H27767" s="680" t="s">
        <v>6153</v>
      </c>
    </row>
    <row r="27768" spans="8:8">
      <c r="H27768" s="680" t="s">
        <v>6153</v>
      </c>
    </row>
    <row r="27769" spans="8:8">
      <c r="H27769" s="680" t="s">
        <v>6153</v>
      </c>
    </row>
    <row r="27770" spans="8:8">
      <c r="H27770" s="680" t="s">
        <v>6153</v>
      </c>
    </row>
    <row r="27771" spans="8:8">
      <c r="H27771" s="680" t="s">
        <v>6153</v>
      </c>
    </row>
    <row r="27772" spans="8:8">
      <c r="H27772" s="680" t="s">
        <v>6153</v>
      </c>
    </row>
    <row r="27773" spans="8:8">
      <c r="H27773" s="680" t="s">
        <v>6153</v>
      </c>
    </row>
    <row r="27774" spans="8:8">
      <c r="H27774" s="680" t="s">
        <v>6153</v>
      </c>
    </row>
    <row r="27775" spans="8:8">
      <c r="H27775" s="680" t="s">
        <v>6153</v>
      </c>
    </row>
    <row r="27776" spans="8:8">
      <c r="H27776" s="680" t="s">
        <v>6153</v>
      </c>
    </row>
    <row r="27777" spans="8:8">
      <c r="H27777" s="680" t="s">
        <v>6153</v>
      </c>
    </row>
    <row r="27778" spans="8:8">
      <c r="H27778" s="680" t="s">
        <v>6153</v>
      </c>
    </row>
    <row r="27779" spans="8:8">
      <c r="H27779" s="680" t="s">
        <v>6153</v>
      </c>
    </row>
    <row r="27780" spans="8:8">
      <c r="H27780" s="680" t="s">
        <v>6153</v>
      </c>
    </row>
    <row r="27781" spans="8:8">
      <c r="H27781" s="680" t="s">
        <v>6153</v>
      </c>
    </row>
    <row r="27782" spans="8:8">
      <c r="H27782" s="680" t="s">
        <v>6153</v>
      </c>
    </row>
    <row r="27783" spans="8:8">
      <c r="H27783" s="680" t="s">
        <v>6153</v>
      </c>
    </row>
    <row r="27784" spans="8:8">
      <c r="H27784" s="680" t="s">
        <v>6153</v>
      </c>
    </row>
    <row r="27785" spans="8:8">
      <c r="H27785" s="680" t="s">
        <v>6153</v>
      </c>
    </row>
    <row r="27786" spans="8:8">
      <c r="H27786" s="680" t="s">
        <v>6153</v>
      </c>
    </row>
    <row r="27787" spans="8:8">
      <c r="H27787" s="680" t="s">
        <v>6153</v>
      </c>
    </row>
    <row r="27788" spans="8:8">
      <c r="H27788" s="680" t="s">
        <v>6153</v>
      </c>
    </row>
    <row r="27789" spans="8:8">
      <c r="H27789" s="680" t="s">
        <v>6153</v>
      </c>
    </row>
    <row r="27790" spans="8:8">
      <c r="H27790" s="680" t="s">
        <v>6153</v>
      </c>
    </row>
    <row r="27791" spans="8:8">
      <c r="H27791" s="680" t="s">
        <v>6153</v>
      </c>
    </row>
    <row r="27792" spans="8:8">
      <c r="H27792" s="680" t="s">
        <v>6153</v>
      </c>
    </row>
    <row r="27793" spans="8:8">
      <c r="H27793" s="680" t="s">
        <v>6153</v>
      </c>
    </row>
    <row r="27794" spans="8:8">
      <c r="H27794" s="680" t="s">
        <v>6153</v>
      </c>
    </row>
    <row r="27795" spans="8:8">
      <c r="H27795" s="680" t="s">
        <v>6153</v>
      </c>
    </row>
    <row r="27796" spans="8:8">
      <c r="H27796" s="680" t="s">
        <v>6153</v>
      </c>
    </row>
    <row r="27797" spans="8:8">
      <c r="H27797" s="680" t="s">
        <v>6153</v>
      </c>
    </row>
    <row r="27798" spans="8:8">
      <c r="H27798" s="680" t="s">
        <v>6153</v>
      </c>
    </row>
    <row r="27799" spans="8:8">
      <c r="H27799" s="680" t="s">
        <v>6153</v>
      </c>
    </row>
    <row r="27800" spans="8:8">
      <c r="H27800" s="680" t="s">
        <v>6153</v>
      </c>
    </row>
    <row r="27801" spans="8:8">
      <c r="H27801" s="680" t="s">
        <v>6153</v>
      </c>
    </row>
    <row r="27802" spans="8:8">
      <c r="H27802" s="680" t="s">
        <v>6153</v>
      </c>
    </row>
    <row r="27803" spans="8:8">
      <c r="H27803" s="680" t="s">
        <v>6153</v>
      </c>
    </row>
    <row r="27804" spans="8:8">
      <c r="H27804" s="680" t="s">
        <v>6153</v>
      </c>
    </row>
    <row r="27805" spans="8:8">
      <c r="H27805" s="680" t="s">
        <v>6153</v>
      </c>
    </row>
    <row r="27806" spans="8:8">
      <c r="H27806" s="680" t="s">
        <v>6153</v>
      </c>
    </row>
    <row r="27807" spans="8:8">
      <c r="H27807" s="680" t="s">
        <v>6153</v>
      </c>
    </row>
    <row r="27808" spans="8:8">
      <c r="H27808" s="680" t="s">
        <v>6153</v>
      </c>
    </row>
    <row r="27809" spans="8:8">
      <c r="H27809" s="680" t="s">
        <v>6153</v>
      </c>
    </row>
    <row r="27810" spans="8:8">
      <c r="H27810" s="680" t="s">
        <v>6153</v>
      </c>
    </row>
    <row r="27811" spans="8:8">
      <c r="H27811" s="680" t="s">
        <v>6153</v>
      </c>
    </row>
    <row r="27812" spans="8:8">
      <c r="H27812" s="680" t="s">
        <v>6153</v>
      </c>
    </row>
    <row r="27813" spans="8:8">
      <c r="H27813" s="680" t="s">
        <v>6153</v>
      </c>
    </row>
    <row r="27814" spans="8:8">
      <c r="H27814" s="680" t="s">
        <v>6153</v>
      </c>
    </row>
    <row r="27815" spans="8:8">
      <c r="H27815" s="680" t="s">
        <v>6153</v>
      </c>
    </row>
    <row r="27816" spans="8:8">
      <c r="H27816" s="680" t="s">
        <v>6153</v>
      </c>
    </row>
    <row r="27817" spans="8:8">
      <c r="H27817" s="680" t="s">
        <v>6153</v>
      </c>
    </row>
    <row r="27818" spans="8:8">
      <c r="H27818" s="680" t="s">
        <v>6153</v>
      </c>
    </row>
    <row r="27819" spans="8:8">
      <c r="H27819" s="680" t="s">
        <v>6153</v>
      </c>
    </row>
    <row r="27820" spans="8:8">
      <c r="H27820" s="680" t="s">
        <v>6153</v>
      </c>
    </row>
    <row r="27821" spans="8:8">
      <c r="H27821" s="680" t="s">
        <v>6153</v>
      </c>
    </row>
    <row r="27822" spans="8:8">
      <c r="H27822" s="680" t="s">
        <v>6153</v>
      </c>
    </row>
    <row r="27823" spans="8:8">
      <c r="H27823" s="680" t="s">
        <v>6153</v>
      </c>
    </row>
    <row r="27824" spans="8:8">
      <c r="H27824" s="680" t="s">
        <v>6153</v>
      </c>
    </row>
    <row r="27825" spans="8:8">
      <c r="H27825" s="680" t="s">
        <v>6153</v>
      </c>
    </row>
    <row r="27826" spans="8:8">
      <c r="H27826" s="680" t="s">
        <v>6153</v>
      </c>
    </row>
    <row r="27827" spans="8:8">
      <c r="H27827" s="680" t="s">
        <v>6153</v>
      </c>
    </row>
    <row r="27828" spans="8:8">
      <c r="H27828" s="680" t="s">
        <v>6153</v>
      </c>
    </row>
    <row r="27829" spans="8:8">
      <c r="H27829" s="680" t="s">
        <v>6153</v>
      </c>
    </row>
    <row r="27830" spans="8:8">
      <c r="H27830" s="680" t="s">
        <v>6153</v>
      </c>
    </row>
    <row r="27831" spans="8:8">
      <c r="H27831" s="680" t="s">
        <v>6153</v>
      </c>
    </row>
    <row r="27832" spans="8:8">
      <c r="H27832" s="680" t="s">
        <v>6153</v>
      </c>
    </row>
    <row r="27833" spans="8:8">
      <c r="H27833" s="680" t="s">
        <v>6153</v>
      </c>
    </row>
    <row r="27834" spans="8:8">
      <c r="H27834" s="680" t="s">
        <v>6153</v>
      </c>
    </row>
    <row r="27835" spans="8:8">
      <c r="H27835" s="680" t="s">
        <v>6153</v>
      </c>
    </row>
    <row r="27836" spans="8:8">
      <c r="H27836" s="680" t="s">
        <v>6153</v>
      </c>
    </row>
    <row r="27837" spans="8:8">
      <c r="H27837" s="680" t="s">
        <v>6153</v>
      </c>
    </row>
    <row r="27838" spans="8:8">
      <c r="H27838" s="680" t="s">
        <v>6153</v>
      </c>
    </row>
    <row r="27839" spans="8:8">
      <c r="H27839" s="680" t="s">
        <v>6153</v>
      </c>
    </row>
    <row r="27840" spans="8:8">
      <c r="H27840" s="680" t="s">
        <v>6153</v>
      </c>
    </row>
    <row r="27841" spans="8:8">
      <c r="H27841" s="680" t="s">
        <v>6153</v>
      </c>
    </row>
    <row r="27842" spans="8:8">
      <c r="H27842" s="680" t="s">
        <v>6153</v>
      </c>
    </row>
    <row r="27843" spans="8:8">
      <c r="H27843" s="680" t="s">
        <v>6153</v>
      </c>
    </row>
    <row r="27844" spans="8:8">
      <c r="H27844" s="680" t="s">
        <v>6153</v>
      </c>
    </row>
    <row r="27845" spans="8:8">
      <c r="H27845" s="680" t="s">
        <v>6153</v>
      </c>
    </row>
    <row r="27846" spans="8:8">
      <c r="H27846" s="680" t="s">
        <v>6153</v>
      </c>
    </row>
    <row r="27847" spans="8:8">
      <c r="H27847" s="680" t="s">
        <v>6153</v>
      </c>
    </row>
    <row r="27848" spans="8:8">
      <c r="H27848" s="680" t="s">
        <v>6153</v>
      </c>
    </row>
    <row r="27849" spans="8:8">
      <c r="H27849" s="680" t="s">
        <v>6153</v>
      </c>
    </row>
    <row r="27850" spans="8:8">
      <c r="H27850" s="680" t="s">
        <v>6153</v>
      </c>
    </row>
    <row r="27851" spans="8:8">
      <c r="H27851" s="680" t="s">
        <v>6153</v>
      </c>
    </row>
    <row r="27852" spans="8:8">
      <c r="H27852" s="680" t="s">
        <v>6153</v>
      </c>
    </row>
    <row r="27853" spans="8:8">
      <c r="H27853" s="680" t="s">
        <v>6153</v>
      </c>
    </row>
    <row r="27854" spans="8:8">
      <c r="H27854" s="680" t="s">
        <v>6153</v>
      </c>
    </row>
    <row r="27855" spans="8:8">
      <c r="H27855" s="680" t="s">
        <v>6153</v>
      </c>
    </row>
    <row r="27856" spans="8:8">
      <c r="H27856" s="680" t="s">
        <v>6153</v>
      </c>
    </row>
    <row r="27857" spans="8:8">
      <c r="H27857" s="680" t="s">
        <v>6153</v>
      </c>
    </row>
    <row r="27858" spans="8:8">
      <c r="H27858" s="680" t="s">
        <v>6153</v>
      </c>
    </row>
    <row r="27859" spans="8:8">
      <c r="H27859" s="680" t="s">
        <v>6153</v>
      </c>
    </row>
    <row r="27860" spans="8:8">
      <c r="H27860" s="680" t="s">
        <v>6153</v>
      </c>
    </row>
    <row r="27861" spans="8:8">
      <c r="H27861" s="680" t="s">
        <v>6153</v>
      </c>
    </row>
    <row r="27862" spans="8:8">
      <c r="H27862" s="680" t="s">
        <v>6153</v>
      </c>
    </row>
    <row r="27863" spans="8:8">
      <c r="H27863" s="680" t="s">
        <v>6153</v>
      </c>
    </row>
    <row r="27864" spans="8:8">
      <c r="H27864" s="680" t="s">
        <v>6153</v>
      </c>
    </row>
    <row r="27865" spans="8:8">
      <c r="H27865" s="680" t="s">
        <v>6153</v>
      </c>
    </row>
    <row r="27866" spans="8:8">
      <c r="H27866" s="680" t="s">
        <v>6153</v>
      </c>
    </row>
    <row r="27867" spans="8:8">
      <c r="H27867" s="680" t="s">
        <v>6153</v>
      </c>
    </row>
    <row r="27868" spans="8:8">
      <c r="H27868" s="680" t="s">
        <v>6153</v>
      </c>
    </row>
    <row r="27869" spans="8:8">
      <c r="H27869" s="680" t="s">
        <v>6153</v>
      </c>
    </row>
    <row r="27870" spans="8:8">
      <c r="H27870" s="680" t="s">
        <v>6153</v>
      </c>
    </row>
    <row r="27871" spans="8:8">
      <c r="H27871" s="680" t="s">
        <v>6153</v>
      </c>
    </row>
    <row r="27872" spans="8:8">
      <c r="H27872" s="680" t="s">
        <v>6153</v>
      </c>
    </row>
    <row r="27873" spans="8:8">
      <c r="H27873" s="680" t="s">
        <v>6153</v>
      </c>
    </row>
    <row r="27874" spans="8:8">
      <c r="H27874" s="680" t="s">
        <v>6153</v>
      </c>
    </row>
    <row r="27875" spans="8:8">
      <c r="H27875" s="680" t="s">
        <v>6153</v>
      </c>
    </row>
    <row r="27876" spans="8:8">
      <c r="H27876" s="680" t="s">
        <v>6153</v>
      </c>
    </row>
    <row r="27877" spans="8:8">
      <c r="H27877" s="680" t="s">
        <v>6153</v>
      </c>
    </row>
    <row r="27878" spans="8:8">
      <c r="H27878" s="680" t="s">
        <v>6153</v>
      </c>
    </row>
    <row r="27879" spans="8:8">
      <c r="H27879" s="680" t="s">
        <v>6153</v>
      </c>
    </row>
    <row r="27880" spans="8:8">
      <c r="H27880" s="680" t="s">
        <v>6153</v>
      </c>
    </row>
    <row r="27881" spans="8:8">
      <c r="H27881" s="680" t="s">
        <v>6153</v>
      </c>
    </row>
    <row r="27882" spans="8:8">
      <c r="H27882" s="680" t="s">
        <v>6153</v>
      </c>
    </row>
    <row r="27883" spans="8:8">
      <c r="H27883" s="680" t="s">
        <v>6153</v>
      </c>
    </row>
    <row r="27884" spans="8:8">
      <c r="H27884" s="680" t="s">
        <v>6153</v>
      </c>
    </row>
    <row r="27885" spans="8:8">
      <c r="H27885" s="680" t="s">
        <v>6153</v>
      </c>
    </row>
    <row r="27886" spans="8:8">
      <c r="H27886" s="680" t="s">
        <v>6153</v>
      </c>
    </row>
    <row r="27887" spans="8:8">
      <c r="H27887" s="680" t="s">
        <v>6153</v>
      </c>
    </row>
    <row r="27888" spans="8:8">
      <c r="H27888" s="680" t="s">
        <v>6153</v>
      </c>
    </row>
    <row r="27889" spans="8:8">
      <c r="H27889" s="680" t="s">
        <v>6153</v>
      </c>
    </row>
    <row r="27890" spans="8:8">
      <c r="H27890" s="680" t="s">
        <v>6153</v>
      </c>
    </row>
    <row r="27891" spans="8:8">
      <c r="H27891" s="680" t="s">
        <v>6153</v>
      </c>
    </row>
    <row r="27892" spans="8:8">
      <c r="H27892" s="680" t="s">
        <v>6153</v>
      </c>
    </row>
    <row r="27893" spans="8:8">
      <c r="H27893" s="680" t="s">
        <v>6153</v>
      </c>
    </row>
    <row r="27894" spans="8:8">
      <c r="H27894" s="680" t="s">
        <v>6153</v>
      </c>
    </row>
    <row r="27895" spans="8:8">
      <c r="H27895" s="680" t="s">
        <v>6153</v>
      </c>
    </row>
    <row r="27896" spans="8:8">
      <c r="H27896" s="680" t="s">
        <v>6153</v>
      </c>
    </row>
    <row r="27897" spans="8:8">
      <c r="H27897" s="680" t="s">
        <v>6153</v>
      </c>
    </row>
    <row r="27898" spans="8:8">
      <c r="H27898" s="680" t="s">
        <v>6153</v>
      </c>
    </row>
    <row r="27899" spans="8:8">
      <c r="H27899" s="680" t="s">
        <v>6153</v>
      </c>
    </row>
    <row r="27900" spans="8:8">
      <c r="H27900" s="680" t="s">
        <v>6153</v>
      </c>
    </row>
    <row r="27901" spans="8:8">
      <c r="H27901" s="680" t="s">
        <v>6153</v>
      </c>
    </row>
    <row r="27902" spans="8:8">
      <c r="H27902" s="680" t="s">
        <v>6153</v>
      </c>
    </row>
    <row r="27903" spans="8:8">
      <c r="H27903" s="680" t="s">
        <v>6153</v>
      </c>
    </row>
    <row r="27904" spans="8:8">
      <c r="H27904" s="680" t="s">
        <v>6153</v>
      </c>
    </row>
    <row r="27905" spans="8:8">
      <c r="H27905" s="680" t="s">
        <v>6153</v>
      </c>
    </row>
    <row r="27906" spans="8:8">
      <c r="H27906" s="680" t="s">
        <v>6153</v>
      </c>
    </row>
    <row r="27907" spans="8:8">
      <c r="H27907" s="680" t="s">
        <v>6153</v>
      </c>
    </row>
    <row r="27908" spans="8:8">
      <c r="H27908" s="680" t="s">
        <v>6153</v>
      </c>
    </row>
    <row r="27909" spans="8:8">
      <c r="H27909" s="680" t="s">
        <v>6153</v>
      </c>
    </row>
    <row r="27910" spans="8:8">
      <c r="H27910" s="680" t="s">
        <v>6153</v>
      </c>
    </row>
    <row r="27911" spans="8:8">
      <c r="H27911" s="680" t="s">
        <v>6153</v>
      </c>
    </row>
    <row r="27912" spans="8:8">
      <c r="H27912" s="680" t="s">
        <v>6153</v>
      </c>
    </row>
    <row r="27913" spans="8:8">
      <c r="H27913" s="680" t="s">
        <v>6153</v>
      </c>
    </row>
    <row r="27914" spans="8:8">
      <c r="H27914" s="680" t="s">
        <v>6153</v>
      </c>
    </row>
    <row r="27915" spans="8:8">
      <c r="H27915" s="680" t="s">
        <v>6153</v>
      </c>
    </row>
    <row r="27916" spans="8:8">
      <c r="H27916" s="680" t="s">
        <v>6153</v>
      </c>
    </row>
    <row r="27917" spans="8:8">
      <c r="H27917" s="680" t="s">
        <v>6153</v>
      </c>
    </row>
    <row r="27918" spans="8:8">
      <c r="H27918" s="680" t="s">
        <v>6153</v>
      </c>
    </row>
    <row r="27919" spans="8:8">
      <c r="H27919" s="680" t="s">
        <v>6153</v>
      </c>
    </row>
    <row r="27920" spans="8:8">
      <c r="H27920" s="680" t="s">
        <v>6153</v>
      </c>
    </row>
    <row r="27921" spans="8:8">
      <c r="H27921" s="680" t="s">
        <v>6153</v>
      </c>
    </row>
    <row r="27922" spans="8:8">
      <c r="H27922" s="680" t="s">
        <v>6153</v>
      </c>
    </row>
    <row r="27923" spans="8:8">
      <c r="H27923" s="680" t="s">
        <v>6153</v>
      </c>
    </row>
    <row r="27924" spans="8:8">
      <c r="H27924" s="680" t="s">
        <v>6153</v>
      </c>
    </row>
    <row r="27925" spans="8:8">
      <c r="H27925" s="680" t="s">
        <v>6153</v>
      </c>
    </row>
    <row r="27926" spans="8:8">
      <c r="H27926" s="680" t="s">
        <v>6153</v>
      </c>
    </row>
    <row r="27927" spans="8:8">
      <c r="H27927" s="680" t="s">
        <v>6153</v>
      </c>
    </row>
    <row r="27928" spans="8:8">
      <c r="H27928" s="680" t="s">
        <v>6153</v>
      </c>
    </row>
    <row r="27929" spans="8:8">
      <c r="H27929" s="680" t="s">
        <v>6153</v>
      </c>
    </row>
    <row r="27930" spans="8:8">
      <c r="H27930" s="680" t="s">
        <v>6153</v>
      </c>
    </row>
    <row r="27931" spans="8:8">
      <c r="H27931" s="680" t="s">
        <v>6153</v>
      </c>
    </row>
    <row r="27932" spans="8:8">
      <c r="H27932" s="680" t="s">
        <v>6153</v>
      </c>
    </row>
    <row r="27933" spans="8:8">
      <c r="H27933" s="680" t="s">
        <v>6153</v>
      </c>
    </row>
    <row r="27934" spans="8:8">
      <c r="H27934" s="680" t="s">
        <v>6153</v>
      </c>
    </row>
    <row r="27935" spans="8:8">
      <c r="H27935" s="680" t="s">
        <v>6153</v>
      </c>
    </row>
    <row r="27936" spans="8:8">
      <c r="H27936" s="680" t="s">
        <v>6153</v>
      </c>
    </row>
    <row r="27937" spans="8:8">
      <c r="H27937" s="680" t="s">
        <v>6153</v>
      </c>
    </row>
    <row r="27938" spans="8:8">
      <c r="H27938" s="680" t="s">
        <v>6153</v>
      </c>
    </row>
    <row r="27939" spans="8:8">
      <c r="H27939" s="680" t="s">
        <v>6153</v>
      </c>
    </row>
    <row r="27940" spans="8:8">
      <c r="H27940" s="680" t="s">
        <v>6153</v>
      </c>
    </row>
    <row r="27941" spans="8:8">
      <c r="H27941" s="680" t="s">
        <v>6153</v>
      </c>
    </row>
    <row r="27942" spans="8:8">
      <c r="H27942" s="680" t="s">
        <v>6153</v>
      </c>
    </row>
    <row r="27943" spans="8:8">
      <c r="H27943" s="680" t="s">
        <v>6153</v>
      </c>
    </row>
    <row r="27944" spans="8:8">
      <c r="H27944" s="680" t="s">
        <v>6153</v>
      </c>
    </row>
    <row r="27945" spans="8:8">
      <c r="H27945" s="680" t="s">
        <v>6153</v>
      </c>
    </row>
    <row r="27946" spans="8:8">
      <c r="H27946" s="680" t="s">
        <v>6153</v>
      </c>
    </row>
    <row r="27947" spans="8:8">
      <c r="H27947" s="680" t="s">
        <v>6153</v>
      </c>
    </row>
    <row r="27948" spans="8:8">
      <c r="H27948" s="680" t="s">
        <v>6153</v>
      </c>
    </row>
    <row r="27949" spans="8:8">
      <c r="H27949" s="680" t="s">
        <v>6153</v>
      </c>
    </row>
    <row r="27950" spans="8:8">
      <c r="H27950" s="680" t="s">
        <v>6153</v>
      </c>
    </row>
    <row r="27951" spans="8:8">
      <c r="H27951" s="680" t="s">
        <v>6153</v>
      </c>
    </row>
    <row r="27952" spans="8:8">
      <c r="H27952" s="680" t="s">
        <v>6153</v>
      </c>
    </row>
    <row r="27953" spans="8:8">
      <c r="H27953" s="680" t="s">
        <v>6153</v>
      </c>
    </row>
    <row r="27954" spans="8:8">
      <c r="H27954" s="680" t="s">
        <v>6153</v>
      </c>
    </row>
    <row r="27955" spans="8:8">
      <c r="H27955" s="680" t="s">
        <v>6153</v>
      </c>
    </row>
    <row r="27956" spans="8:8">
      <c r="H27956" s="680" t="s">
        <v>6153</v>
      </c>
    </row>
    <row r="27957" spans="8:8">
      <c r="H27957" s="680" t="s">
        <v>6153</v>
      </c>
    </row>
    <row r="27958" spans="8:8">
      <c r="H27958" s="680" t="s">
        <v>6153</v>
      </c>
    </row>
    <row r="27959" spans="8:8">
      <c r="H27959" s="680" t="s">
        <v>6153</v>
      </c>
    </row>
    <row r="27960" spans="8:8">
      <c r="H27960" s="680" t="s">
        <v>6153</v>
      </c>
    </row>
    <row r="27961" spans="8:8">
      <c r="H27961" s="680" t="s">
        <v>6153</v>
      </c>
    </row>
    <row r="27962" spans="8:8">
      <c r="H27962" s="680" t="s">
        <v>6153</v>
      </c>
    </row>
    <row r="27963" spans="8:8">
      <c r="H27963" s="680" t="s">
        <v>6153</v>
      </c>
    </row>
    <row r="27964" spans="8:8">
      <c r="H27964" s="680" t="s">
        <v>6153</v>
      </c>
    </row>
    <row r="27965" spans="8:8">
      <c r="H27965" s="680" t="s">
        <v>6153</v>
      </c>
    </row>
    <row r="27966" spans="8:8">
      <c r="H27966" s="680" t="s">
        <v>6153</v>
      </c>
    </row>
    <row r="27967" spans="8:8">
      <c r="H27967" s="680" t="s">
        <v>6153</v>
      </c>
    </row>
    <row r="27968" spans="8:8">
      <c r="H27968" s="680" t="s">
        <v>6153</v>
      </c>
    </row>
    <row r="27969" spans="8:8">
      <c r="H27969" s="680" t="s">
        <v>6153</v>
      </c>
    </row>
    <row r="27970" spans="8:8">
      <c r="H27970" s="680" t="s">
        <v>6153</v>
      </c>
    </row>
    <row r="27971" spans="8:8">
      <c r="H27971" s="680" t="s">
        <v>6153</v>
      </c>
    </row>
    <row r="27972" spans="8:8">
      <c r="H27972" s="680" t="s">
        <v>6153</v>
      </c>
    </row>
    <row r="27973" spans="8:8">
      <c r="H27973" s="680" t="s">
        <v>6153</v>
      </c>
    </row>
    <row r="27974" spans="8:8">
      <c r="H27974" s="680" t="s">
        <v>6153</v>
      </c>
    </row>
    <row r="27975" spans="8:8">
      <c r="H27975" s="680" t="s">
        <v>6153</v>
      </c>
    </row>
    <row r="27976" spans="8:8">
      <c r="H27976" s="680" t="s">
        <v>6153</v>
      </c>
    </row>
    <row r="27977" spans="8:8">
      <c r="H27977" s="680" t="s">
        <v>6153</v>
      </c>
    </row>
    <row r="27978" spans="8:8">
      <c r="H27978" s="680" t="s">
        <v>6153</v>
      </c>
    </row>
    <row r="27979" spans="8:8">
      <c r="H27979" s="680" t="s">
        <v>6153</v>
      </c>
    </row>
    <row r="27980" spans="8:8">
      <c r="H27980" s="680" t="s">
        <v>6153</v>
      </c>
    </row>
    <row r="27981" spans="8:8">
      <c r="H27981" s="680" t="s">
        <v>6153</v>
      </c>
    </row>
    <row r="27982" spans="8:8">
      <c r="H27982" s="680" t="s">
        <v>6153</v>
      </c>
    </row>
    <row r="27983" spans="8:8">
      <c r="H27983" s="680" t="s">
        <v>6153</v>
      </c>
    </row>
    <row r="27984" spans="8:8">
      <c r="H27984" s="680" t="s">
        <v>6153</v>
      </c>
    </row>
    <row r="27985" spans="8:8">
      <c r="H27985" s="680" t="s">
        <v>6153</v>
      </c>
    </row>
    <row r="27986" spans="8:8">
      <c r="H27986" s="680" t="s">
        <v>6153</v>
      </c>
    </row>
    <row r="27987" spans="8:8">
      <c r="H27987" s="680" t="s">
        <v>6153</v>
      </c>
    </row>
    <row r="27988" spans="8:8">
      <c r="H27988" s="680" t="s">
        <v>6153</v>
      </c>
    </row>
    <row r="27989" spans="8:8">
      <c r="H27989" s="680" t="s">
        <v>6153</v>
      </c>
    </row>
    <row r="27990" spans="8:8">
      <c r="H27990" s="680" t="s">
        <v>6153</v>
      </c>
    </row>
    <row r="27991" spans="8:8">
      <c r="H27991" s="680" t="s">
        <v>6153</v>
      </c>
    </row>
    <row r="27992" spans="8:8">
      <c r="H27992" s="680" t="s">
        <v>6153</v>
      </c>
    </row>
    <row r="27993" spans="8:8">
      <c r="H27993" s="680" t="s">
        <v>6153</v>
      </c>
    </row>
    <row r="27994" spans="8:8">
      <c r="H27994" s="680" t="s">
        <v>6153</v>
      </c>
    </row>
    <row r="27995" spans="8:8">
      <c r="H27995" s="680" t="s">
        <v>6153</v>
      </c>
    </row>
    <row r="27996" spans="8:8">
      <c r="H27996" s="680" t="s">
        <v>6153</v>
      </c>
    </row>
    <row r="27997" spans="8:8">
      <c r="H27997" s="680" t="s">
        <v>6153</v>
      </c>
    </row>
    <row r="27998" spans="8:8">
      <c r="H27998" s="680" t="s">
        <v>6153</v>
      </c>
    </row>
    <row r="27999" spans="8:8">
      <c r="H27999" s="680" t="s">
        <v>6153</v>
      </c>
    </row>
    <row r="28000" spans="8:8">
      <c r="H28000" s="680" t="s">
        <v>6153</v>
      </c>
    </row>
    <row r="28001" spans="8:8">
      <c r="H28001" s="680" t="s">
        <v>6153</v>
      </c>
    </row>
    <row r="28002" spans="8:8">
      <c r="H28002" s="680" t="s">
        <v>6153</v>
      </c>
    </row>
    <row r="28003" spans="8:8">
      <c r="H28003" s="680" t="s">
        <v>6153</v>
      </c>
    </row>
    <row r="28004" spans="8:8">
      <c r="H28004" s="680" t="s">
        <v>6153</v>
      </c>
    </row>
    <row r="28005" spans="8:8">
      <c r="H28005" s="680" t="s">
        <v>6153</v>
      </c>
    </row>
    <row r="28006" spans="8:8">
      <c r="H28006" s="680" t="s">
        <v>6153</v>
      </c>
    </row>
    <row r="28007" spans="8:8">
      <c r="H28007" s="680" t="s">
        <v>6153</v>
      </c>
    </row>
    <row r="28008" spans="8:8">
      <c r="H28008" s="680" t="s">
        <v>6153</v>
      </c>
    </row>
    <row r="28009" spans="8:8">
      <c r="H28009" s="680" t="s">
        <v>6153</v>
      </c>
    </row>
    <row r="28010" spans="8:8">
      <c r="H28010" s="680" t="s">
        <v>6153</v>
      </c>
    </row>
    <row r="28011" spans="8:8">
      <c r="H28011" s="680" t="s">
        <v>6153</v>
      </c>
    </row>
    <row r="28012" spans="8:8">
      <c r="H28012" s="680" t="s">
        <v>6153</v>
      </c>
    </row>
    <row r="28013" spans="8:8">
      <c r="H28013" s="680" t="s">
        <v>6153</v>
      </c>
    </row>
    <row r="28014" spans="8:8">
      <c r="H28014" s="680" t="s">
        <v>6153</v>
      </c>
    </row>
    <row r="28015" spans="8:8">
      <c r="H28015" s="680" t="s">
        <v>6153</v>
      </c>
    </row>
    <row r="28016" spans="8:8">
      <c r="H28016" s="680" t="s">
        <v>6153</v>
      </c>
    </row>
    <row r="28017" spans="8:8">
      <c r="H28017" s="680" t="s">
        <v>6153</v>
      </c>
    </row>
    <row r="28018" spans="8:8">
      <c r="H28018" s="680" t="s">
        <v>6153</v>
      </c>
    </row>
    <row r="28019" spans="8:8">
      <c r="H28019" s="680" t="s">
        <v>6153</v>
      </c>
    </row>
    <row r="28020" spans="8:8">
      <c r="H28020" s="680" t="s">
        <v>6153</v>
      </c>
    </row>
    <row r="28021" spans="8:8">
      <c r="H28021" s="680" t="s">
        <v>6153</v>
      </c>
    </row>
    <row r="28022" spans="8:8">
      <c r="H28022" s="680" t="s">
        <v>6153</v>
      </c>
    </row>
    <row r="28023" spans="8:8">
      <c r="H28023" s="680" t="s">
        <v>6153</v>
      </c>
    </row>
    <row r="28024" spans="8:8">
      <c r="H28024" s="680" t="s">
        <v>6153</v>
      </c>
    </row>
    <row r="28025" spans="8:8">
      <c r="H28025" s="680" t="s">
        <v>6153</v>
      </c>
    </row>
    <row r="28026" spans="8:8">
      <c r="H28026" s="680" t="s">
        <v>6153</v>
      </c>
    </row>
    <row r="28027" spans="8:8">
      <c r="H28027" s="680" t="s">
        <v>6153</v>
      </c>
    </row>
    <row r="28028" spans="8:8">
      <c r="H28028" s="680" t="s">
        <v>6153</v>
      </c>
    </row>
    <row r="28029" spans="8:8">
      <c r="H28029" s="680" t="s">
        <v>6153</v>
      </c>
    </row>
    <row r="28030" spans="8:8">
      <c r="H28030" s="680" t="s">
        <v>6153</v>
      </c>
    </row>
    <row r="28031" spans="8:8">
      <c r="H28031" s="680" t="s">
        <v>6153</v>
      </c>
    </row>
    <row r="28032" spans="8:8">
      <c r="H28032" s="680" t="s">
        <v>6153</v>
      </c>
    </row>
    <row r="28033" spans="8:8">
      <c r="H28033" s="680" t="s">
        <v>6153</v>
      </c>
    </row>
    <row r="28034" spans="8:8">
      <c r="H28034" s="680" t="s">
        <v>6153</v>
      </c>
    </row>
    <row r="28035" spans="8:8">
      <c r="H28035" s="680" t="s">
        <v>6153</v>
      </c>
    </row>
    <row r="28036" spans="8:8">
      <c r="H28036" s="680" t="s">
        <v>6153</v>
      </c>
    </row>
    <row r="28037" spans="8:8">
      <c r="H28037" s="680" t="s">
        <v>6153</v>
      </c>
    </row>
    <row r="28038" spans="8:8">
      <c r="H28038" s="680" t="s">
        <v>6153</v>
      </c>
    </row>
    <row r="28039" spans="8:8">
      <c r="H28039" s="680" t="s">
        <v>6153</v>
      </c>
    </row>
    <row r="28040" spans="8:8">
      <c r="H28040" s="680" t="s">
        <v>6153</v>
      </c>
    </row>
    <row r="28041" spans="8:8">
      <c r="H28041" s="680" t="s">
        <v>6153</v>
      </c>
    </row>
    <row r="28042" spans="8:8">
      <c r="H28042" s="680" t="s">
        <v>6153</v>
      </c>
    </row>
    <row r="28043" spans="8:8">
      <c r="H28043" s="680" t="s">
        <v>6153</v>
      </c>
    </row>
    <row r="28044" spans="8:8">
      <c r="H28044" s="680" t="s">
        <v>6153</v>
      </c>
    </row>
    <row r="28045" spans="8:8">
      <c r="H28045" s="680" t="s">
        <v>6153</v>
      </c>
    </row>
    <row r="28046" spans="8:8">
      <c r="H28046" s="680" t="s">
        <v>6153</v>
      </c>
    </row>
    <row r="28047" spans="8:8">
      <c r="H28047" s="680" t="s">
        <v>6153</v>
      </c>
    </row>
    <row r="28048" spans="8:8">
      <c r="H28048" s="680" t="s">
        <v>6153</v>
      </c>
    </row>
    <row r="28049" spans="8:8">
      <c r="H28049" s="680" t="s">
        <v>6153</v>
      </c>
    </row>
    <row r="28050" spans="8:8">
      <c r="H28050" s="680" t="s">
        <v>6153</v>
      </c>
    </row>
    <row r="28051" spans="8:8">
      <c r="H28051" s="680" t="s">
        <v>6153</v>
      </c>
    </row>
    <row r="28052" spans="8:8">
      <c r="H28052" s="680" t="s">
        <v>6153</v>
      </c>
    </row>
    <row r="28053" spans="8:8">
      <c r="H28053" s="680" t="s">
        <v>6153</v>
      </c>
    </row>
    <row r="28054" spans="8:8">
      <c r="H28054" s="680" t="s">
        <v>6153</v>
      </c>
    </row>
    <row r="28055" spans="8:8">
      <c r="H28055" s="680" t="s">
        <v>6153</v>
      </c>
    </row>
    <row r="28056" spans="8:8">
      <c r="H28056" s="680" t="s">
        <v>6153</v>
      </c>
    </row>
    <row r="28057" spans="8:8">
      <c r="H28057" s="680" t="s">
        <v>6153</v>
      </c>
    </row>
    <row r="28058" spans="8:8">
      <c r="H28058" s="680" t="s">
        <v>6153</v>
      </c>
    </row>
    <row r="28059" spans="8:8">
      <c r="H28059" s="680" t="s">
        <v>6153</v>
      </c>
    </row>
    <row r="28060" spans="8:8">
      <c r="H28060" s="680" t="s">
        <v>6153</v>
      </c>
    </row>
    <row r="28061" spans="8:8">
      <c r="H28061" s="680" t="s">
        <v>6153</v>
      </c>
    </row>
    <row r="28062" spans="8:8">
      <c r="H28062" s="680" t="s">
        <v>6153</v>
      </c>
    </row>
    <row r="28063" spans="8:8">
      <c r="H28063" s="680" t="s">
        <v>6153</v>
      </c>
    </row>
    <row r="28064" spans="8:8">
      <c r="H28064" s="680" t="s">
        <v>6153</v>
      </c>
    </row>
    <row r="28065" spans="8:8">
      <c r="H28065" s="680" t="s">
        <v>6153</v>
      </c>
    </row>
    <row r="28066" spans="8:8">
      <c r="H28066" s="680" t="s">
        <v>6153</v>
      </c>
    </row>
    <row r="28067" spans="8:8">
      <c r="H28067" s="680" t="s">
        <v>6153</v>
      </c>
    </row>
    <row r="28068" spans="8:8">
      <c r="H28068" s="680" t="s">
        <v>6153</v>
      </c>
    </row>
    <row r="28069" spans="8:8">
      <c r="H28069" s="680" t="s">
        <v>6153</v>
      </c>
    </row>
    <row r="28070" spans="8:8">
      <c r="H28070" s="680" t="s">
        <v>6153</v>
      </c>
    </row>
    <row r="28071" spans="8:8">
      <c r="H28071" s="680" t="s">
        <v>6153</v>
      </c>
    </row>
    <row r="28072" spans="8:8">
      <c r="H28072" s="680" t="s">
        <v>6153</v>
      </c>
    </row>
    <row r="28073" spans="8:8">
      <c r="H28073" s="680" t="s">
        <v>6153</v>
      </c>
    </row>
    <row r="28074" spans="8:8">
      <c r="H28074" s="680" t="s">
        <v>6153</v>
      </c>
    </row>
    <row r="28075" spans="8:8">
      <c r="H28075" s="680" t="s">
        <v>6153</v>
      </c>
    </row>
    <row r="28076" spans="8:8">
      <c r="H28076" s="680" t="s">
        <v>6153</v>
      </c>
    </row>
    <row r="28077" spans="8:8">
      <c r="H28077" s="680" t="s">
        <v>6153</v>
      </c>
    </row>
    <row r="28078" spans="8:8">
      <c r="H28078" s="680" t="s">
        <v>6153</v>
      </c>
    </row>
    <row r="28079" spans="8:8">
      <c r="H28079" s="680" t="s">
        <v>6153</v>
      </c>
    </row>
    <row r="28080" spans="8:8">
      <c r="H28080" s="680" t="s">
        <v>6153</v>
      </c>
    </row>
    <row r="28081" spans="8:8">
      <c r="H28081" s="680" t="s">
        <v>6153</v>
      </c>
    </row>
    <row r="28082" spans="8:8">
      <c r="H28082" s="680" t="s">
        <v>6153</v>
      </c>
    </row>
    <row r="28083" spans="8:8">
      <c r="H28083" s="680" t="s">
        <v>6153</v>
      </c>
    </row>
    <row r="28084" spans="8:8">
      <c r="H28084" s="680" t="s">
        <v>6153</v>
      </c>
    </row>
    <row r="28085" spans="8:8">
      <c r="H28085" s="680" t="s">
        <v>6153</v>
      </c>
    </row>
    <row r="28086" spans="8:8">
      <c r="H28086" s="680" t="s">
        <v>6153</v>
      </c>
    </row>
    <row r="28087" spans="8:8">
      <c r="H28087" s="680" t="s">
        <v>6153</v>
      </c>
    </row>
    <row r="28088" spans="8:8">
      <c r="H28088" s="680" t="s">
        <v>6153</v>
      </c>
    </row>
    <row r="28089" spans="8:8">
      <c r="H28089" s="680" t="s">
        <v>6153</v>
      </c>
    </row>
    <row r="28090" spans="8:8">
      <c r="H28090" s="680" t="s">
        <v>6153</v>
      </c>
    </row>
    <row r="28091" spans="8:8">
      <c r="H28091" s="680" t="s">
        <v>6153</v>
      </c>
    </row>
    <row r="28092" spans="8:8">
      <c r="H28092" s="680" t="s">
        <v>6153</v>
      </c>
    </row>
    <row r="28093" spans="8:8">
      <c r="H28093" s="680" t="s">
        <v>6153</v>
      </c>
    </row>
    <row r="28094" spans="8:8">
      <c r="H28094" s="680" t="s">
        <v>6153</v>
      </c>
    </row>
    <row r="28095" spans="8:8">
      <c r="H28095" s="680" t="s">
        <v>6153</v>
      </c>
    </row>
    <row r="28096" spans="8:8">
      <c r="H28096" s="680" t="s">
        <v>6153</v>
      </c>
    </row>
    <row r="28097" spans="8:8">
      <c r="H28097" s="680" t="s">
        <v>6153</v>
      </c>
    </row>
    <row r="28098" spans="8:8">
      <c r="H28098" s="680" t="s">
        <v>6153</v>
      </c>
    </row>
    <row r="28099" spans="8:8">
      <c r="H28099" s="680" t="s">
        <v>6153</v>
      </c>
    </row>
    <row r="28100" spans="8:8">
      <c r="H28100" s="680" t="s">
        <v>6153</v>
      </c>
    </row>
    <row r="28101" spans="8:8">
      <c r="H28101" s="680" t="s">
        <v>6153</v>
      </c>
    </row>
    <row r="28102" spans="8:8">
      <c r="H28102" s="680" t="s">
        <v>6153</v>
      </c>
    </row>
    <row r="28103" spans="8:8">
      <c r="H28103" s="680" t="s">
        <v>6153</v>
      </c>
    </row>
    <row r="28104" spans="8:8">
      <c r="H28104" s="680" t="s">
        <v>6153</v>
      </c>
    </row>
    <row r="28105" spans="8:8">
      <c r="H28105" s="680" t="s">
        <v>6153</v>
      </c>
    </row>
    <row r="28106" spans="8:8">
      <c r="H28106" s="680" t="s">
        <v>6153</v>
      </c>
    </row>
    <row r="28107" spans="8:8">
      <c r="H28107" s="680" t="s">
        <v>6153</v>
      </c>
    </row>
    <row r="28108" spans="8:8">
      <c r="H28108" s="680" t="s">
        <v>6153</v>
      </c>
    </row>
    <row r="28109" spans="8:8">
      <c r="H28109" s="680" t="s">
        <v>6153</v>
      </c>
    </row>
    <row r="28110" spans="8:8">
      <c r="H28110" s="680" t="s">
        <v>6153</v>
      </c>
    </row>
    <row r="28111" spans="8:8">
      <c r="H28111" s="680" t="s">
        <v>6153</v>
      </c>
    </row>
    <row r="28112" spans="8:8">
      <c r="H28112" s="680" t="s">
        <v>6153</v>
      </c>
    </row>
    <row r="28113" spans="8:8">
      <c r="H28113" s="680" t="s">
        <v>6153</v>
      </c>
    </row>
    <row r="28114" spans="8:8">
      <c r="H28114" s="680" t="s">
        <v>6153</v>
      </c>
    </row>
    <row r="28115" spans="8:8">
      <c r="H28115" s="680" t="s">
        <v>6153</v>
      </c>
    </row>
    <row r="28116" spans="8:8">
      <c r="H28116" s="680" t="s">
        <v>6153</v>
      </c>
    </row>
    <row r="28117" spans="8:8">
      <c r="H28117" s="680" t="s">
        <v>6153</v>
      </c>
    </row>
    <row r="28118" spans="8:8">
      <c r="H28118" s="680" t="s">
        <v>6153</v>
      </c>
    </row>
    <row r="28119" spans="8:8">
      <c r="H28119" s="680" t="s">
        <v>6153</v>
      </c>
    </row>
    <row r="28120" spans="8:8">
      <c r="H28120" s="680" t="s">
        <v>6153</v>
      </c>
    </row>
    <row r="28121" spans="8:8">
      <c r="H28121" s="680" t="s">
        <v>6153</v>
      </c>
    </row>
    <row r="28122" spans="8:8">
      <c r="H28122" s="680" t="s">
        <v>6153</v>
      </c>
    </row>
    <row r="28123" spans="8:8">
      <c r="H28123" s="680" t="s">
        <v>6153</v>
      </c>
    </row>
    <row r="28124" spans="8:8">
      <c r="H28124" s="680" t="s">
        <v>6153</v>
      </c>
    </row>
    <row r="28125" spans="8:8">
      <c r="H28125" s="680" t="s">
        <v>6153</v>
      </c>
    </row>
    <row r="28126" spans="8:8">
      <c r="H28126" s="680" t="s">
        <v>6153</v>
      </c>
    </row>
    <row r="28127" spans="8:8">
      <c r="H28127" s="680" t="s">
        <v>6153</v>
      </c>
    </row>
    <row r="28128" spans="8:8">
      <c r="H28128" s="680" t="s">
        <v>6153</v>
      </c>
    </row>
    <row r="28129" spans="8:8">
      <c r="H28129" s="680" t="s">
        <v>6153</v>
      </c>
    </row>
    <row r="28130" spans="8:8">
      <c r="H28130" s="680" t="s">
        <v>6153</v>
      </c>
    </row>
    <row r="28131" spans="8:8">
      <c r="H28131" s="680" t="s">
        <v>6153</v>
      </c>
    </row>
    <row r="28132" spans="8:8">
      <c r="H28132" s="680" t="s">
        <v>6153</v>
      </c>
    </row>
    <row r="28133" spans="8:8">
      <c r="H28133" s="680" t="s">
        <v>6153</v>
      </c>
    </row>
    <row r="28134" spans="8:8">
      <c r="H28134" s="680" t="s">
        <v>6153</v>
      </c>
    </row>
    <row r="28135" spans="8:8">
      <c r="H28135" s="680" t="s">
        <v>6153</v>
      </c>
    </row>
    <row r="28136" spans="8:8">
      <c r="H28136" s="680" t="s">
        <v>6153</v>
      </c>
    </row>
    <row r="28137" spans="8:8">
      <c r="H28137" s="680" t="s">
        <v>6153</v>
      </c>
    </row>
    <row r="28138" spans="8:8">
      <c r="H28138" s="680" t="s">
        <v>6153</v>
      </c>
    </row>
    <row r="28139" spans="8:8">
      <c r="H28139" s="680" t="s">
        <v>6153</v>
      </c>
    </row>
    <row r="28140" spans="8:8">
      <c r="H28140" s="680" t="s">
        <v>6153</v>
      </c>
    </row>
    <row r="28141" spans="8:8">
      <c r="H28141" s="680" t="s">
        <v>6153</v>
      </c>
    </row>
    <row r="28142" spans="8:8">
      <c r="H28142" s="680" t="s">
        <v>6153</v>
      </c>
    </row>
    <row r="28143" spans="8:8">
      <c r="H28143" s="680" t="s">
        <v>6153</v>
      </c>
    </row>
    <row r="28144" spans="8:8">
      <c r="H28144" s="680" t="s">
        <v>6153</v>
      </c>
    </row>
    <row r="28145" spans="8:8">
      <c r="H28145" s="680" t="s">
        <v>6153</v>
      </c>
    </row>
    <row r="28146" spans="8:8">
      <c r="H28146" s="680" t="s">
        <v>6153</v>
      </c>
    </row>
    <row r="28147" spans="8:8">
      <c r="H28147" s="680" t="s">
        <v>6153</v>
      </c>
    </row>
    <row r="28148" spans="8:8">
      <c r="H28148" s="680" t="s">
        <v>6153</v>
      </c>
    </row>
    <row r="28149" spans="8:8">
      <c r="H28149" s="680" t="s">
        <v>6153</v>
      </c>
    </row>
    <row r="28150" spans="8:8">
      <c r="H28150" s="680" t="s">
        <v>6153</v>
      </c>
    </row>
    <row r="28151" spans="8:8">
      <c r="H28151" s="680" t="s">
        <v>6153</v>
      </c>
    </row>
    <row r="28152" spans="8:8">
      <c r="H28152" s="680" t="s">
        <v>6153</v>
      </c>
    </row>
    <row r="28153" spans="8:8">
      <c r="H28153" s="680" t="s">
        <v>6153</v>
      </c>
    </row>
    <row r="28154" spans="8:8">
      <c r="H28154" s="680" t="s">
        <v>6153</v>
      </c>
    </row>
    <row r="28155" spans="8:8">
      <c r="H28155" s="680" t="s">
        <v>6153</v>
      </c>
    </row>
    <row r="28156" spans="8:8">
      <c r="H28156" s="680" t="s">
        <v>6153</v>
      </c>
    </row>
    <row r="28157" spans="8:8">
      <c r="H28157" s="680" t="s">
        <v>6153</v>
      </c>
    </row>
    <row r="28158" spans="8:8">
      <c r="H28158" s="680" t="s">
        <v>6153</v>
      </c>
    </row>
    <row r="28159" spans="8:8">
      <c r="H28159" s="680" t="s">
        <v>6153</v>
      </c>
    </row>
    <row r="28160" spans="8:8">
      <c r="H28160" s="680" t="s">
        <v>6153</v>
      </c>
    </row>
    <row r="28161" spans="8:8">
      <c r="H28161" s="680" t="s">
        <v>6153</v>
      </c>
    </row>
    <row r="28162" spans="8:8">
      <c r="H28162" s="680" t="s">
        <v>6153</v>
      </c>
    </row>
    <row r="28163" spans="8:8">
      <c r="H28163" s="680" t="s">
        <v>6153</v>
      </c>
    </row>
    <row r="28164" spans="8:8">
      <c r="H28164" s="680" t="s">
        <v>6153</v>
      </c>
    </row>
    <row r="28165" spans="8:8">
      <c r="H28165" s="680" t="s">
        <v>6153</v>
      </c>
    </row>
    <row r="28166" spans="8:8">
      <c r="H28166" s="680" t="s">
        <v>6153</v>
      </c>
    </row>
    <row r="28167" spans="8:8">
      <c r="H28167" s="680" t="s">
        <v>6153</v>
      </c>
    </row>
    <row r="28168" spans="8:8">
      <c r="H28168" s="680" t="s">
        <v>6153</v>
      </c>
    </row>
    <row r="28169" spans="8:8">
      <c r="H28169" s="680" t="s">
        <v>6153</v>
      </c>
    </row>
    <row r="28170" spans="8:8">
      <c r="H28170" s="680" t="s">
        <v>6153</v>
      </c>
    </row>
    <row r="28171" spans="8:8">
      <c r="H28171" s="680" t="s">
        <v>6153</v>
      </c>
    </row>
    <row r="28172" spans="8:8">
      <c r="H28172" s="680" t="s">
        <v>6153</v>
      </c>
    </row>
    <row r="28173" spans="8:8">
      <c r="H28173" s="680" t="s">
        <v>6153</v>
      </c>
    </row>
    <row r="28174" spans="8:8">
      <c r="H28174" s="680" t="s">
        <v>6153</v>
      </c>
    </row>
    <row r="28175" spans="8:8">
      <c r="H28175" s="680" t="s">
        <v>6153</v>
      </c>
    </row>
    <row r="28176" spans="8:8">
      <c r="H28176" s="680" t="s">
        <v>6153</v>
      </c>
    </row>
    <row r="28177" spans="8:8">
      <c r="H28177" s="680" t="s">
        <v>6153</v>
      </c>
    </row>
    <row r="28178" spans="8:8">
      <c r="H28178" s="680" t="s">
        <v>6153</v>
      </c>
    </row>
    <row r="28179" spans="8:8">
      <c r="H28179" s="680" t="s">
        <v>6153</v>
      </c>
    </row>
    <row r="28180" spans="8:8">
      <c r="H28180" s="680" t="s">
        <v>6153</v>
      </c>
    </row>
    <row r="28181" spans="8:8">
      <c r="H28181" s="680" t="s">
        <v>6153</v>
      </c>
    </row>
    <row r="28182" spans="8:8">
      <c r="H28182" s="680" t="s">
        <v>6153</v>
      </c>
    </row>
    <row r="28183" spans="8:8">
      <c r="H28183" s="680" t="s">
        <v>6153</v>
      </c>
    </row>
    <row r="28184" spans="8:8">
      <c r="H28184" s="680" t="s">
        <v>6153</v>
      </c>
    </row>
    <row r="28185" spans="8:8">
      <c r="H28185" s="680" t="s">
        <v>6153</v>
      </c>
    </row>
    <row r="28186" spans="8:8">
      <c r="H28186" s="680" t="s">
        <v>6153</v>
      </c>
    </row>
    <row r="28187" spans="8:8">
      <c r="H28187" s="680" t="s">
        <v>6153</v>
      </c>
    </row>
    <row r="28188" spans="8:8">
      <c r="H28188" s="680" t="s">
        <v>6153</v>
      </c>
    </row>
    <row r="28189" spans="8:8">
      <c r="H28189" s="680" t="s">
        <v>6153</v>
      </c>
    </row>
    <row r="28190" spans="8:8">
      <c r="H28190" s="680" t="s">
        <v>6153</v>
      </c>
    </row>
    <row r="28191" spans="8:8">
      <c r="H28191" s="680" t="s">
        <v>6153</v>
      </c>
    </row>
    <row r="28192" spans="8:8">
      <c r="H28192" s="680" t="s">
        <v>6153</v>
      </c>
    </row>
    <row r="28193" spans="8:8">
      <c r="H28193" s="680" t="s">
        <v>6153</v>
      </c>
    </row>
    <row r="28194" spans="8:8">
      <c r="H28194" s="680" t="s">
        <v>6153</v>
      </c>
    </row>
    <row r="28195" spans="8:8">
      <c r="H28195" s="680" t="s">
        <v>6153</v>
      </c>
    </row>
    <row r="28196" spans="8:8">
      <c r="H28196" s="680" t="s">
        <v>6153</v>
      </c>
    </row>
    <row r="28197" spans="8:8">
      <c r="H28197" s="680" t="s">
        <v>6153</v>
      </c>
    </row>
    <row r="28198" spans="8:8">
      <c r="H28198" s="680" t="s">
        <v>6153</v>
      </c>
    </row>
    <row r="28199" spans="8:8">
      <c r="H28199" s="680" t="s">
        <v>6153</v>
      </c>
    </row>
    <row r="28200" spans="8:8">
      <c r="H28200" s="680" t="s">
        <v>6153</v>
      </c>
    </row>
    <row r="28201" spans="8:8">
      <c r="H28201" s="680" t="s">
        <v>6153</v>
      </c>
    </row>
    <row r="28202" spans="8:8">
      <c r="H28202" s="680" t="s">
        <v>6153</v>
      </c>
    </row>
    <row r="28203" spans="8:8">
      <c r="H28203" s="680" t="s">
        <v>6153</v>
      </c>
    </row>
    <row r="28204" spans="8:8">
      <c r="H28204" s="680" t="s">
        <v>6153</v>
      </c>
    </row>
    <row r="28205" spans="8:8">
      <c r="H28205" s="680" t="s">
        <v>6153</v>
      </c>
    </row>
    <row r="28206" spans="8:8">
      <c r="H28206" s="680" t="s">
        <v>6153</v>
      </c>
    </row>
    <row r="28207" spans="8:8">
      <c r="H28207" s="680" t="s">
        <v>6153</v>
      </c>
    </row>
    <row r="28208" spans="8:8">
      <c r="H28208" s="680" t="s">
        <v>6153</v>
      </c>
    </row>
    <row r="28209" spans="8:8">
      <c r="H28209" s="680" t="s">
        <v>6153</v>
      </c>
    </row>
    <row r="28210" spans="8:8">
      <c r="H28210" s="680" t="s">
        <v>6153</v>
      </c>
    </row>
    <row r="28211" spans="8:8">
      <c r="H28211" s="680" t="s">
        <v>6153</v>
      </c>
    </row>
    <row r="28212" spans="8:8">
      <c r="H28212" s="680" t="s">
        <v>6153</v>
      </c>
    </row>
    <row r="28213" spans="8:8">
      <c r="H28213" s="680" t="s">
        <v>6153</v>
      </c>
    </row>
    <row r="28214" spans="8:8">
      <c r="H28214" s="680" t="s">
        <v>6153</v>
      </c>
    </row>
    <row r="28215" spans="8:8">
      <c r="H28215" s="680" t="s">
        <v>6153</v>
      </c>
    </row>
    <row r="28216" spans="8:8">
      <c r="H28216" s="680" t="s">
        <v>6153</v>
      </c>
    </row>
    <row r="28217" spans="8:8">
      <c r="H28217" s="680" t="s">
        <v>6153</v>
      </c>
    </row>
    <row r="28218" spans="8:8">
      <c r="H28218" s="680" t="s">
        <v>6153</v>
      </c>
    </row>
    <row r="28219" spans="8:8">
      <c r="H28219" s="680" t="s">
        <v>6153</v>
      </c>
    </row>
    <row r="28220" spans="8:8">
      <c r="H28220" s="680" t="s">
        <v>6153</v>
      </c>
    </row>
    <row r="28221" spans="8:8">
      <c r="H28221" s="680" t="s">
        <v>6153</v>
      </c>
    </row>
    <row r="28222" spans="8:8">
      <c r="H28222" s="680" t="s">
        <v>6153</v>
      </c>
    </row>
    <row r="28223" spans="8:8">
      <c r="H28223" s="680" t="s">
        <v>6153</v>
      </c>
    </row>
    <row r="28224" spans="8:8">
      <c r="H28224" s="680" t="s">
        <v>6153</v>
      </c>
    </row>
    <row r="28225" spans="8:8">
      <c r="H28225" s="680" t="s">
        <v>6153</v>
      </c>
    </row>
    <row r="28226" spans="8:8">
      <c r="H28226" s="680" t="s">
        <v>6153</v>
      </c>
    </row>
    <row r="28227" spans="8:8">
      <c r="H28227" s="680" t="s">
        <v>6153</v>
      </c>
    </row>
    <row r="28228" spans="8:8">
      <c r="H28228" s="680" t="s">
        <v>6153</v>
      </c>
    </row>
    <row r="28229" spans="8:8">
      <c r="H28229" s="680" t="s">
        <v>6153</v>
      </c>
    </row>
    <row r="28230" spans="8:8">
      <c r="H28230" s="680" t="s">
        <v>6153</v>
      </c>
    </row>
    <row r="28231" spans="8:8">
      <c r="H28231" s="680" t="s">
        <v>6153</v>
      </c>
    </row>
    <row r="28232" spans="8:8">
      <c r="H28232" s="680" t="s">
        <v>6153</v>
      </c>
    </row>
    <row r="28233" spans="8:8">
      <c r="H28233" s="680" t="s">
        <v>6153</v>
      </c>
    </row>
    <row r="28234" spans="8:8">
      <c r="H28234" s="680" t="s">
        <v>6153</v>
      </c>
    </row>
    <row r="28235" spans="8:8">
      <c r="H28235" s="680" t="s">
        <v>6153</v>
      </c>
    </row>
    <row r="28236" spans="8:8">
      <c r="H28236" s="680" t="s">
        <v>6153</v>
      </c>
    </row>
    <row r="28237" spans="8:8">
      <c r="H28237" s="680" t="s">
        <v>6153</v>
      </c>
    </row>
    <row r="28238" spans="8:8">
      <c r="H28238" s="680" t="s">
        <v>6153</v>
      </c>
    </row>
    <row r="28239" spans="8:8">
      <c r="H28239" s="680" t="s">
        <v>6153</v>
      </c>
    </row>
    <row r="28240" spans="8:8">
      <c r="H28240" s="680" t="s">
        <v>6153</v>
      </c>
    </row>
    <row r="28241" spans="8:8">
      <c r="H28241" s="680" t="s">
        <v>6153</v>
      </c>
    </row>
    <row r="28242" spans="8:8">
      <c r="H28242" s="680" t="s">
        <v>6153</v>
      </c>
    </row>
    <row r="28243" spans="8:8">
      <c r="H28243" s="680" t="s">
        <v>6153</v>
      </c>
    </row>
    <row r="28244" spans="8:8">
      <c r="H28244" s="680" t="s">
        <v>6153</v>
      </c>
    </row>
    <row r="28245" spans="8:8">
      <c r="H28245" s="680" t="s">
        <v>6153</v>
      </c>
    </row>
    <row r="28246" spans="8:8">
      <c r="H28246" s="680" t="s">
        <v>6153</v>
      </c>
    </row>
    <row r="28247" spans="8:8">
      <c r="H28247" s="680" t="s">
        <v>6153</v>
      </c>
    </row>
    <row r="28248" spans="8:8">
      <c r="H28248" s="680" t="s">
        <v>6153</v>
      </c>
    </row>
    <row r="28249" spans="8:8">
      <c r="H28249" s="680" t="s">
        <v>6153</v>
      </c>
    </row>
    <row r="28250" spans="8:8">
      <c r="H28250" s="680" t="s">
        <v>6153</v>
      </c>
    </row>
    <row r="28251" spans="8:8">
      <c r="H28251" s="680" t="s">
        <v>6153</v>
      </c>
    </row>
    <row r="28252" spans="8:8">
      <c r="H28252" s="680" t="s">
        <v>6153</v>
      </c>
    </row>
    <row r="28253" spans="8:8">
      <c r="H28253" s="680" t="s">
        <v>6153</v>
      </c>
    </row>
    <row r="28254" spans="8:8">
      <c r="H28254" s="680" t="s">
        <v>6153</v>
      </c>
    </row>
    <row r="28255" spans="8:8">
      <c r="H28255" s="680" t="s">
        <v>6153</v>
      </c>
    </row>
    <row r="28256" spans="8:8">
      <c r="H28256" s="680" t="s">
        <v>6153</v>
      </c>
    </row>
    <row r="28257" spans="8:8">
      <c r="H28257" s="680" t="s">
        <v>6153</v>
      </c>
    </row>
    <row r="28258" spans="8:8">
      <c r="H28258" s="680" t="s">
        <v>6153</v>
      </c>
    </row>
    <row r="28259" spans="8:8">
      <c r="H28259" s="680" t="s">
        <v>6153</v>
      </c>
    </row>
    <row r="28260" spans="8:8">
      <c r="H28260" s="680" t="s">
        <v>6153</v>
      </c>
    </row>
    <row r="28261" spans="8:8">
      <c r="H28261" s="680" t="s">
        <v>6153</v>
      </c>
    </row>
    <row r="28262" spans="8:8">
      <c r="H28262" s="680" t="s">
        <v>6153</v>
      </c>
    </row>
    <row r="28263" spans="8:8">
      <c r="H28263" s="680" t="s">
        <v>6153</v>
      </c>
    </row>
    <row r="28264" spans="8:8">
      <c r="H28264" s="680" t="s">
        <v>6153</v>
      </c>
    </row>
    <row r="28265" spans="8:8">
      <c r="H28265" s="680" t="s">
        <v>6153</v>
      </c>
    </row>
    <row r="28266" spans="8:8">
      <c r="H28266" s="680" t="s">
        <v>6153</v>
      </c>
    </row>
    <row r="28267" spans="8:8">
      <c r="H28267" s="680" t="s">
        <v>6153</v>
      </c>
    </row>
    <row r="28268" spans="8:8">
      <c r="H28268" s="680" t="s">
        <v>6153</v>
      </c>
    </row>
    <row r="28269" spans="8:8">
      <c r="H28269" s="680" t="s">
        <v>6153</v>
      </c>
    </row>
    <row r="28270" spans="8:8">
      <c r="H28270" s="680" t="s">
        <v>6153</v>
      </c>
    </row>
    <row r="28271" spans="8:8">
      <c r="H28271" s="680" t="s">
        <v>6153</v>
      </c>
    </row>
    <row r="28272" spans="8:8">
      <c r="H28272" s="680" t="s">
        <v>6153</v>
      </c>
    </row>
    <row r="28273" spans="8:8">
      <c r="H28273" s="680" t="s">
        <v>6153</v>
      </c>
    </row>
    <row r="28274" spans="8:8">
      <c r="H28274" s="680" t="s">
        <v>6153</v>
      </c>
    </row>
    <row r="28275" spans="8:8">
      <c r="H28275" s="680" t="s">
        <v>6153</v>
      </c>
    </row>
    <row r="28276" spans="8:8">
      <c r="H28276" s="680" t="s">
        <v>6153</v>
      </c>
    </row>
    <row r="28277" spans="8:8">
      <c r="H28277" s="680" t="s">
        <v>6153</v>
      </c>
    </row>
    <row r="28278" spans="8:8">
      <c r="H28278" s="680" t="s">
        <v>6153</v>
      </c>
    </row>
    <row r="28279" spans="8:8">
      <c r="H28279" s="680" t="s">
        <v>6153</v>
      </c>
    </row>
    <row r="28280" spans="8:8">
      <c r="H28280" s="680" t="s">
        <v>6153</v>
      </c>
    </row>
    <row r="28281" spans="8:8">
      <c r="H28281" s="680" t="s">
        <v>6153</v>
      </c>
    </row>
    <row r="28282" spans="8:8">
      <c r="H28282" s="680" t="s">
        <v>6153</v>
      </c>
    </row>
    <row r="28283" spans="8:8">
      <c r="H28283" s="680" t="s">
        <v>6153</v>
      </c>
    </row>
    <row r="28284" spans="8:8">
      <c r="H28284" s="680" t="s">
        <v>6153</v>
      </c>
    </row>
    <row r="28285" spans="8:8">
      <c r="H28285" s="680" t="s">
        <v>6153</v>
      </c>
    </row>
    <row r="28286" spans="8:8">
      <c r="H28286" s="680" t="s">
        <v>6153</v>
      </c>
    </row>
    <row r="28287" spans="8:8">
      <c r="H28287" s="680" t="s">
        <v>6153</v>
      </c>
    </row>
    <row r="28288" spans="8:8">
      <c r="H28288" s="680" t="s">
        <v>6153</v>
      </c>
    </row>
    <row r="28289" spans="8:8">
      <c r="H28289" s="680" t="s">
        <v>6153</v>
      </c>
    </row>
    <row r="28290" spans="8:8">
      <c r="H28290" s="680" t="s">
        <v>6153</v>
      </c>
    </row>
    <row r="28291" spans="8:8">
      <c r="H28291" s="680" t="s">
        <v>6153</v>
      </c>
    </row>
    <row r="28292" spans="8:8">
      <c r="H28292" s="680" t="s">
        <v>6153</v>
      </c>
    </row>
    <row r="28293" spans="8:8">
      <c r="H28293" s="680" t="s">
        <v>6153</v>
      </c>
    </row>
    <row r="28294" spans="8:8">
      <c r="H28294" s="680" t="s">
        <v>6153</v>
      </c>
    </row>
    <row r="28295" spans="8:8">
      <c r="H28295" s="680" t="s">
        <v>6153</v>
      </c>
    </row>
    <row r="28296" spans="8:8">
      <c r="H28296" s="680" t="s">
        <v>6153</v>
      </c>
    </row>
    <row r="28297" spans="8:8">
      <c r="H28297" s="680" t="s">
        <v>6153</v>
      </c>
    </row>
    <row r="28298" spans="8:8">
      <c r="H28298" s="680" t="s">
        <v>6153</v>
      </c>
    </row>
    <row r="28299" spans="8:8">
      <c r="H28299" s="680" t="s">
        <v>6153</v>
      </c>
    </row>
    <row r="28300" spans="8:8">
      <c r="H28300" s="680" t="s">
        <v>6153</v>
      </c>
    </row>
    <row r="28301" spans="8:8">
      <c r="H28301" s="680" t="s">
        <v>6153</v>
      </c>
    </row>
    <row r="28302" spans="8:8">
      <c r="H28302" s="680" t="s">
        <v>6153</v>
      </c>
    </row>
    <row r="28303" spans="8:8">
      <c r="H28303" s="680" t="s">
        <v>6153</v>
      </c>
    </row>
    <row r="28304" spans="8:8">
      <c r="H28304" s="680" t="s">
        <v>6153</v>
      </c>
    </row>
    <row r="28305" spans="8:8">
      <c r="H28305" s="680" t="s">
        <v>6153</v>
      </c>
    </row>
    <row r="28306" spans="8:8">
      <c r="H28306" s="680" t="s">
        <v>6153</v>
      </c>
    </row>
    <row r="28307" spans="8:8">
      <c r="H28307" s="680" t="s">
        <v>6153</v>
      </c>
    </row>
    <row r="28308" spans="8:8">
      <c r="H28308" s="680" t="s">
        <v>6153</v>
      </c>
    </row>
    <row r="28309" spans="8:8">
      <c r="H28309" s="680" t="s">
        <v>6153</v>
      </c>
    </row>
    <row r="28310" spans="8:8">
      <c r="H28310" s="680" t="s">
        <v>6153</v>
      </c>
    </row>
    <row r="28311" spans="8:8">
      <c r="H28311" s="680" t="s">
        <v>6153</v>
      </c>
    </row>
    <row r="28312" spans="8:8">
      <c r="H28312" s="680" t="s">
        <v>6153</v>
      </c>
    </row>
    <row r="28313" spans="8:8">
      <c r="H28313" s="680" t="s">
        <v>6153</v>
      </c>
    </row>
    <row r="28314" spans="8:8">
      <c r="H28314" s="680" t="s">
        <v>6153</v>
      </c>
    </row>
    <row r="28315" spans="8:8">
      <c r="H28315" s="680" t="s">
        <v>6153</v>
      </c>
    </row>
    <row r="28316" spans="8:8">
      <c r="H28316" s="680" t="s">
        <v>6153</v>
      </c>
    </row>
    <row r="28317" spans="8:8">
      <c r="H28317" s="680" t="s">
        <v>6153</v>
      </c>
    </row>
    <row r="28318" spans="8:8">
      <c r="H28318" s="680" t="s">
        <v>6153</v>
      </c>
    </row>
    <row r="28319" spans="8:8">
      <c r="H28319" s="680" t="s">
        <v>6153</v>
      </c>
    </row>
    <row r="28320" spans="8:8">
      <c r="H28320" s="680" t="s">
        <v>6153</v>
      </c>
    </row>
    <row r="28321" spans="8:8">
      <c r="H28321" s="680" t="s">
        <v>6153</v>
      </c>
    </row>
    <row r="28322" spans="8:8">
      <c r="H28322" s="680" t="s">
        <v>6153</v>
      </c>
    </row>
    <row r="28323" spans="8:8">
      <c r="H28323" s="680" t="s">
        <v>6153</v>
      </c>
    </row>
    <row r="28324" spans="8:8">
      <c r="H28324" s="680" t="s">
        <v>6153</v>
      </c>
    </row>
    <row r="28325" spans="8:8">
      <c r="H28325" s="680" t="s">
        <v>6153</v>
      </c>
    </row>
    <row r="28326" spans="8:8">
      <c r="H28326" s="680" t="s">
        <v>6153</v>
      </c>
    </row>
    <row r="28327" spans="8:8">
      <c r="H28327" s="680" t="s">
        <v>6153</v>
      </c>
    </row>
    <row r="28328" spans="8:8">
      <c r="H28328" s="680" t="s">
        <v>6153</v>
      </c>
    </row>
    <row r="28329" spans="8:8">
      <c r="H28329" s="680" t="s">
        <v>6153</v>
      </c>
    </row>
    <row r="28330" spans="8:8">
      <c r="H28330" s="680" t="s">
        <v>6153</v>
      </c>
    </row>
    <row r="28331" spans="8:8">
      <c r="H28331" s="680" t="s">
        <v>6153</v>
      </c>
    </row>
    <row r="28332" spans="8:8">
      <c r="H28332" s="680" t="s">
        <v>6153</v>
      </c>
    </row>
    <row r="28333" spans="8:8">
      <c r="H28333" s="680" t="s">
        <v>6153</v>
      </c>
    </row>
    <row r="28334" spans="8:8">
      <c r="H28334" s="680" t="s">
        <v>6153</v>
      </c>
    </row>
    <row r="28335" spans="8:8">
      <c r="H28335" s="680" t="s">
        <v>6153</v>
      </c>
    </row>
    <row r="28336" spans="8:8">
      <c r="H28336" s="680" t="s">
        <v>6153</v>
      </c>
    </row>
    <row r="28337" spans="8:8">
      <c r="H28337" s="680" t="s">
        <v>6153</v>
      </c>
    </row>
    <row r="28338" spans="8:8">
      <c r="H28338" s="680" t="s">
        <v>6153</v>
      </c>
    </row>
    <row r="28339" spans="8:8">
      <c r="H28339" s="680" t="s">
        <v>6153</v>
      </c>
    </row>
    <row r="28340" spans="8:8">
      <c r="H28340" s="680" t="s">
        <v>6153</v>
      </c>
    </row>
    <row r="28341" spans="8:8">
      <c r="H28341" s="680" t="s">
        <v>6153</v>
      </c>
    </row>
    <row r="28342" spans="8:8">
      <c r="H28342" s="680" t="s">
        <v>6153</v>
      </c>
    </row>
    <row r="28343" spans="8:8">
      <c r="H28343" s="680" t="s">
        <v>6153</v>
      </c>
    </row>
    <row r="28344" spans="8:8">
      <c r="H28344" s="680" t="s">
        <v>6153</v>
      </c>
    </row>
    <row r="28345" spans="8:8">
      <c r="H28345" s="680" t="s">
        <v>6153</v>
      </c>
    </row>
    <row r="28346" spans="8:8">
      <c r="H28346" s="680" t="s">
        <v>6153</v>
      </c>
    </row>
    <row r="28347" spans="8:8">
      <c r="H28347" s="680" t="s">
        <v>6153</v>
      </c>
    </row>
    <row r="28348" spans="8:8">
      <c r="H28348" s="680" t="s">
        <v>6153</v>
      </c>
    </row>
    <row r="28349" spans="8:8">
      <c r="H28349" s="680" t="s">
        <v>6153</v>
      </c>
    </row>
    <row r="28350" spans="8:8">
      <c r="H28350" s="680" t="s">
        <v>6153</v>
      </c>
    </row>
    <row r="28351" spans="8:8">
      <c r="H28351" s="680" t="s">
        <v>6153</v>
      </c>
    </row>
    <row r="28352" spans="8:8">
      <c r="H28352" s="680" t="s">
        <v>6153</v>
      </c>
    </row>
    <row r="28353" spans="8:8">
      <c r="H28353" s="680" t="s">
        <v>6153</v>
      </c>
    </row>
    <row r="28354" spans="8:8">
      <c r="H28354" s="680" t="s">
        <v>6153</v>
      </c>
    </row>
    <row r="28355" spans="8:8">
      <c r="H28355" s="680" t="s">
        <v>6153</v>
      </c>
    </row>
    <row r="28356" spans="8:8">
      <c r="H28356" s="680" t="s">
        <v>6153</v>
      </c>
    </row>
    <row r="28357" spans="8:8">
      <c r="H28357" s="680" t="s">
        <v>6153</v>
      </c>
    </row>
    <row r="28358" spans="8:8">
      <c r="H28358" s="680" t="s">
        <v>6153</v>
      </c>
    </row>
    <row r="28359" spans="8:8">
      <c r="H28359" s="680" t="s">
        <v>6153</v>
      </c>
    </row>
    <row r="28360" spans="8:8">
      <c r="H28360" s="680" t="s">
        <v>6153</v>
      </c>
    </row>
    <row r="28361" spans="8:8">
      <c r="H28361" s="680" t="s">
        <v>6153</v>
      </c>
    </row>
    <row r="28362" spans="8:8">
      <c r="H28362" s="680" t="s">
        <v>6153</v>
      </c>
    </row>
    <row r="28363" spans="8:8">
      <c r="H28363" s="680" t="s">
        <v>6153</v>
      </c>
    </row>
    <row r="28364" spans="8:8">
      <c r="H28364" s="680" t="s">
        <v>6153</v>
      </c>
    </row>
    <row r="28365" spans="8:8">
      <c r="H28365" s="680" t="s">
        <v>6153</v>
      </c>
    </row>
    <row r="28366" spans="8:8">
      <c r="H28366" s="680" t="s">
        <v>6153</v>
      </c>
    </row>
    <row r="28367" spans="8:8">
      <c r="H28367" s="680" t="s">
        <v>6153</v>
      </c>
    </row>
    <row r="28368" spans="8:8">
      <c r="H28368" s="680" t="s">
        <v>6153</v>
      </c>
    </row>
    <row r="28369" spans="8:8">
      <c r="H28369" s="680" t="s">
        <v>6153</v>
      </c>
    </row>
    <row r="28370" spans="8:8">
      <c r="H28370" s="680" t="s">
        <v>6153</v>
      </c>
    </row>
    <row r="28371" spans="8:8">
      <c r="H28371" s="680" t="s">
        <v>6153</v>
      </c>
    </row>
    <row r="28372" spans="8:8">
      <c r="H28372" s="680" t="s">
        <v>6153</v>
      </c>
    </row>
    <row r="28373" spans="8:8">
      <c r="H28373" s="680" t="s">
        <v>6153</v>
      </c>
    </row>
    <row r="28374" spans="8:8">
      <c r="H28374" s="680" t="s">
        <v>6153</v>
      </c>
    </row>
    <row r="28375" spans="8:8">
      <c r="H28375" s="680" t="s">
        <v>6153</v>
      </c>
    </row>
    <row r="28376" spans="8:8">
      <c r="H28376" s="680" t="s">
        <v>6153</v>
      </c>
    </row>
    <row r="28377" spans="8:8">
      <c r="H28377" s="680" t="s">
        <v>6153</v>
      </c>
    </row>
    <row r="28378" spans="8:8">
      <c r="H28378" s="680" t="s">
        <v>6153</v>
      </c>
    </row>
    <row r="28379" spans="8:8">
      <c r="H28379" s="680" t="s">
        <v>6153</v>
      </c>
    </row>
    <row r="28380" spans="8:8">
      <c r="H28380" s="680" t="s">
        <v>6153</v>
      </c>
    </row>
    <row r="28381" spans="8:8">
      <c r="H28381" s="680" t="s">
        <v>6153</v>
      </c>
    </row>
    <row r="28382" spans="8:8">
      <c r="H28382" s="680" t="s">
        <v>6153</v>
      </c>
    </row>
    <row r="28383" spans="8:8">
      <c r="H28383" s="680" t="s">
        <v>6153</v>
      </c>
    </row>
    <row r="28384" spans="8:8">
      <c r="H28384" s="680" t="s">
        <v>6153</v>
      </c>
    </row>
    <row r="28385" spans="8:8">
      <c r="H28385" s="680" t="s">
        <v>6153</v>
      </c>
    </row>
    <row r="28386" spans="8:8">
      <c r="H28386" s="680" t="s">
        <v>6153</v>
      </c>
    </row>
    <row r="28387" spans="8:8">
      <c r="H28387" s="680" t="s">
        <v>6153</v>
      </c>
    </row>
    <row r="28388" spans="8:8">
      <c r="H28388" s="680" t="s">
        <v>6153</v>
      </c>
    </row>
    <row r="28389" spans="8:8">
      <c r="H28389" s="680" t="s">
        <v>6153</v>
      </c>
    </row>
    <row r="28390" spans="8:8">
      <c r="H28390" s="680" t="s">
        <v>6153</v>
      </c>
    </row>
    <row r="28391" spans="8:8">
      <c r="H28391" s="680" t="s">
        <v>6153</v>
      </c>
    </row>
    <row r="28392" spans="8:8">
      <c r="H28392" s="680" t="s">
        <v>6153</v>
      </c>
    </row>
    <row r="28393" spans="8:8">
      <c r="H28393" s="680" t="s">
        <v>6153</v>
      </c>
    </row>
    <row r="28394" spans="8:8">
      <c r="H28394" s="680" t="s">
        <v>6153</v>
      </c>
    </row>
    <row r="28395" spans="8:8">
      <c r="H28395" s="680" t="s">
        <v>6153</v>
      </c>
    </row>
    <row r="28396" spans="8:8">
      <c r="H28396" s="680" t="s">
        <v>6153</v>
      </c>
    </row>
    <row r="28397" spans="8:8">
      <c r="H28397" s="680" t="s">
        <v>6153</v>
      </c>
    </row>
    <row r="28398" spans="8:8">
      <c r="H28398" s="680" t="s">
        <v>6153</v>
      </c>
    </row>
    <row r="28399" spans="8:8">
      <c r="H28399" s="680" t="s">
        <v>6153</v>
      </c>
    </row>
    <row r="28400" spans="8:8">
      <c r="H28400" s="680" t="s">
        <v>6153</v>
      </c>
    </row>
    <row r="28401" spans="8:8">
      <c r="H28401" s="680" t="s">
        <v>6153</v>
      </c>
    </row>
    <row r="28402" spans="8:8">
      <c r="H28402" s="680" t="s">
        <v>6153</v>
      </c>
    </row>
    <row r="28403" spans="8:8">
      <c r="H28403" s="680" t="s">
        <v>6153</v>
      </c>
    </row>
    <row r="28404" spans="8:8">
      <c r="H28404" s="680" t="s">
        <v>6153</v>
      </c>
    </row>
    <row r="28405" spans="8:8">
      <c r="H28405" s="680" t="s">
        <v>6153</v>
      </c>
    </row>
    <row r="28406" spans="8:8">
      <c r="H28406" s="680" t="s">
        <v>6153</v>
      </c>
    </row>
    <row r="28407" spans="8:8">
      <c r="H28407" s="680" t="s">
        <v>6153</v>
      </c>
    </row>
    <row r="28408" spans="8:8">
      <c r="H28408" s="680" t="s">
        <v>6153</v>
      </c>
    </row>
    <row r="28409" spans="8:8">
      <c r="H28409" s="680" t="s">
        <v>6153</v>
      </c>
    </row>
    <row r="28410" spans="8:8">
      <c r="H28410" s="680" t="s">
        <v>6153</v>
      </c>
    </row>
    <row r="28411" spans="8:8">
      <c r="H28411" s="680" t="s">
        <v>6153</v>
      </c>
    </row>
    <row r="28412" spans="8:8">
      <c r="H28412" s="680" t="s">
        <v>6153</v>
      </c>
    </row>
    <row r="28413" spans="8:8">
      <c r="H28413" s="680" t="s">
        <v>6153</v>
      </c>
    </row>
    <row r="28414" spans="8:8">
      <c r="H28414" s="680" t="s">
        <v>6153</v>
      </c>
    </row>
    <row r="28415" spans="8:8">
      <c r="H28415" s="680" t="s">
        <v>6153</v>
      </c>
    </row>
    <row r="28416" spans="8:8">
      <c r="H28416" s="680" t="s">
        <v>6153</v>
      </c>
    </row>
    <row r="28417" spans="8:8">
      <c r="H28417" s="680" t="s">
        <v>6153</v>
      </c>
    </row>
    <row r="28418" spans="8:8">
      <c r="H28418" s="680" t="s">
        <v>6153</v>
      </c>
    </row>
    <row r="28419" spans="8:8">
      <c r="H28419" s="680" t="s">
        <v>6153</v>
      </c>
    </row>
    <row r="28420" spans="8:8">
      <c r="H28420" s="680" t="s">
        <v>6153</v>
      </c>
    </row>
    <row r="28421" spans="8:8">
      <c r="H28421" s="680" t="s">
        <v>6153</v>
      </c>
    </row>
    <row r="28422" spans="8:8">
      <c r="H28422" s="680" t="s">
        <v>6153</v>
      </c>
    </row>
    <row r="28423" spans="8:8">
      <c r="H28423" s="680" t="s">
        <v>6153</v>
      </c>
    </row>
    <row r="28424" spans="8:8">
      <c r="H28424" s="680" t="s">
        <v>6153</v>
      </c>
    </row>
    <row r="28425" spans="8:8">
      <c r="H28425" s="680" t="s">
        <v>6153</v>
      </c>
    </row>
    <row r="28426" spans="8:8">
      <c r="H28426" s="680" t="s">
        <v>6153</v>
      </c>
    </row>
    <row r="28427" spans="8:8">
      <c r="H28427" s="680" t="s">
        <v>6153</v>
      </c>
    </row>
    <row r="28428" spans="8:8">
      <c r="H28428" s="680" t="s">
        <v>6153</v>
      </c>
    </row>
    <row r="28429" spans="8:8">
      <c r="H28429" s="680" t="s">
        <v>6153</v>
      </c>
    </row>
    <row r="28430" spans="8:8">
      <c r="H28430" s="680" t="s">
        <v>6153</v>
      </c>
    </row>
    <row r="28431" spans="8:8">
      <c r="H28431" s="680" t="s">
        <v>6153</v>
      </c>
    </row>
    <row r="28432" spans="8:8">
      <c r="H28432" s="680" t="s">
        <v>6153</v>
      </c>
    </row>
    <row r="28433" spans="8:8">
      <c r="H28433" s="680" t="s">
        <v>6153</v>
      </c>
    </row>
    <row r="28434" spans="8:8">
      <c r="H28434" s="680" t="s">
        <v>6153</v>
      </c>
    </row>
    <row r="28435" spans="8:8">
      <c r="H28435" s="680" t="s">
        <v>6153</v>
      </c>
    </row>
    <row r="28436" spans="8:8">
      <c r="H28436" s="680" t="s">
        <v>6153</v>
      </c>
    </row>
    <row r="28437" spans="8:8">
      <c r="H28437" s="680" t="s">
        <v>6153</v>
      </c>
    </row>
    <row r="28438" spans="8:8">
      <c r="H28438" s="680" t="s">
        <v>6153</v>
      </c>
    </row>
    <row r="28439" spans="8:8">
      <c r="H28439" s="680" t="s">
        <v>6153</v>
      </c>
    </row>
    <row r="28440" spans="8:8">
      <c r="H28440" s="680" t="s">
        <v>6153</v>
      </c>
    </row>
    <row r="28441" spans="8:8">
      <c r="H28441" s="680" t="s">
        <v>6153</v>
      </c>
    </row>
    <row r="28442" spans="8:8">
      <c r="H28442" s="680" t="s">
        <v>6153</v>
      </c>
    </row>
    <row r="28443" spans="8:8">
      <c r="H28443" s="680" t="s">
        <v>6153</v>
      </c>
    </row>
    <row r="28444" spans="8:8">
      <c r="H28444" s="680" t="s">
        <v>6153</v>
      </c>
    </row>
    <row r="28445" spans="8:8">
      <c r="H28445" s="680" t="s">
        <v>6153</v>
      </c>
    </row>
    <row r="28446" spans="8:8">
      <c r="H28446" s="680" t="s">
        <v>6153</v>
      </c>
    </row>
    <row r="28447" spans="8:8">
      <c r="H28447" s="680" t="s">
        <v>6153</v>
      </c>
    </row>
    <row r="28448" spans="8:8">
      <c r="H28448" s="680" t="s">
        <v>6153</v>
      </c>
    </row>
    <row r="28449" spans="8:8">
      <c r="H28449" s="680" t="s">
        <v>6153</v>
      </c>
    </row>
    <row r="28450" spans="8:8">
      <c r="H28450" s="680" t="s">
        <v>6153</v>
      </c>
    </row>
    <row r="28451" spans="8:8">
      <c r="H28451" s="680" t="s">
        <v>6153</v>
      </c>
    </row>
    <row r="28452" spans="8:8">
      <c r="H28452" s="680" t="s">
        <v>6153</v>
      </c>
    </row>
    <row r="28453" spans="8:8">
      <c r="H28453" s="680" t="s">
        <v>6153</v>
      </c>
    </row>
    <row r="28454" spans="8:8">
      <c r="H28454" s="680" t="s">
        <v>6153</v>
      </c>
    </row>
    <row r="28455" spans="8:8">
      <c r="H28455" s="680" t="s">
        <v>6153</v>
      </c>
    </row>
    <row r="28456" spans="8:8">
      <c r="H28456" s="680" t="s">
        <v>6153</v>
      </c>
    </row>
    <row r="28457" spans="8:8">
      <c r="H28457" s="680" t="s">
        <v>6153</v>
      </c>
    </row>
    <row r="28458" spans="8:8">
      <c r="H28458" s="680" t="s">
        <v>6153</v>
      </c>
    </row>
    <row r="28459" spans="8:8">
      <c r="H28459" s="680" t="s">
        <v>6153</v>
      </c>
    </row>
    <row r="28460" spans="8:8">
      <c r="H28460" s="680" t="s">
        <v>6153</v>
      </c>
    </row>
    <row r="28461" spans="8:8">
      <c r="H28461" s="680" t="s">
        <v>6153</v>
      </c>
    </row>
    <row r="28462" spans="8:8">
      <c r="H28462" s="680" t="s">
        <v>6153</v>
      </c>
    </row>
    <row r="28463" spans="8:8">
      <c r="H28463" s="680" t="s">
        <v>6153</v>
      </c>
    </row>
    <row r="28464" spans="8:8">
      <c r="H28464" s="680" t="s">
        <v>6153</v>
      </c>
    </row>
    <row r="28465" spans="8:8">
      <c r="H28465" s="680" t="s">
        <v>6153</v>
      </c>
    </row>
    <row r="28466" spans="8:8">
      <c r="H28466" s="680" t="s">
        <v>6153</v>
      </c>
    </row>
    <row r="28467" spans="8:8">
      <c r="H28467" s="680" t="s">
        <v>6153</v>
      </c>
    </row>
    <row r="28468" spans="8:8">
      <c r="H28468" s="680" t="s">
        <v>6153</v>
      </c>
    </row>
    <row r="28469" spans="8:8">
      <c r="H28469" s="680" t="s">
        <v>6153</v>
      </c>
    </row>
    <row r="28470" spans="8:8">
      <c r="H28470" s="680" t="s">
        <v>6153</v>
      </c>
    </row>
    <row r="28471" spans="8:8">
      <c r="H28471" s="680" t="s">
        <v>6153</v>
      </c>
    </row>
    <row r="28472" spans="8:8">
      <c r="H28472" s="680" t="s">
        <v>6153</v>
      </c>
    </row>
    <row r="28473" spans="8:8">
      <c r="H28473" s="680" t="s">
        <v>6153</v>
      </c>
    </row>
    <row r="28474" spans="8:8">
      <c r="H28474" s="680" t="s">
        <v>6153</v>
      </c>
    </row>
    <row r="28475" spans="8:8">
      <c r="H28475" s="680" t="s">
        <v>6153</v>
      </c>
    </row>
    <row r="28476" spans="8:8">
      <c r="H28476" s="680" t="s">
        <v>6153</v>
      </c>
    </row>
    <row r="28477" spans="8:8">
      <c r="H28477" s="680" t="s">
        <v>6153</v>
      </c>
    </row>
    <row r="28478" spans="8:8">
      <c r="H28478" s="680" t="s">
        <v>6153</v>
      </c>
    </row>
    <row r="28479" spans="8:8">
      <c r="H28479" s="680" t="s">
        <v>6153</v>
      </c>
    </row>
    <row r="28480" spans="8:8">
      <c r="H28480" s="680" t="s">
        <v>6153</v>
      </c>
    </row>
    <row r="28481" spans="8:8">
      <c r="H28481" s="680" t="s">
        <v>6153</v>
      </c>
    </row>
    <row r="28482" spans="8:8">
      <c r="H28482" s="680" t="s">
        <v>6153</v>
      </c>
    </row>
    <row r="28483" spans="8:8">
      <c r="H28483" s="680" t="s">
        <v>6153</v>
      </c>
    </row>
    <row r="28484" spans="8:8">
      <c r="H28484" s="680" t="s">
        <v>6153</v>
      </c>
    </row>
    <row r="28485" spans="8:8">
      <c r="H28485" s="680" t="s">
        <v>6153</v>
      </c>
    </row>
    <row r="28486" spans="8:8">
      <c r="H28486" s="680" t="s">
        <v>6153</v>
      </c>
    </row>
    <row r="28487" spans="8:8">
      <c r="H28487" s="680" t="s">
        <v>6153</v>
      </c>
    </row>
    <row r="28488" spans="8:8">
      <c r="H28488" s="680" t="s">
        <v>6153</v>
      </c>
    </row>
    <row r="28489" spans="8:8">
      <c r="H28489" s="680" t="s">
        <v>6153</v>
      </c>
    </row>
    <row r="28490" spans="8:8">
      <c r="H28490" s="680" t="s">
        <v>6153</v>
      </c>
    </row>
    <row r="28491" spans="8:8">
      <c r="H28491" s="680" t="s">
        <v>6153</v>
      </c>
    </row>
    <row r="28492" spans="8:8">
      <c r="H28492" s="680" t="s">
        <v>6153</v>
      </c>
    </row>
    <row r="28493" spans="8:8">
      <c r="H28493" s="680" t="s">
        <v>6153</v>
      </c>
    </row>
    <row r="28494" spans="8:8">
      <c r="H28494" s="680" t="s">
        <v>6153</v>
      </c>
    </row>
    <row r="28495" spans="8:8">
      <c r="H28495" s="680" t="s">
        <v>6153</v>
      </c>
    </row>
    <row r="28496" spans="8:8">
      <c r="H28496" s="680" t="s">
        <v>6153</v>
      </c>
    </row>
    <row r="28497" spans="8:8">
      <c r="H28497" s="680" t="s">
        <v>6153</v>
      </c>
    </row>
    <row r="28498" spans="8:8">
      <c r="H28498" s="680" t="s">
        <v>6153</v>
      </c>
    </row>
    <row r="28499" spans="8:8">
      <c r="H28499" s="680" t="s">
        <v>6153</v>
      </c>
    </row>
    <row r="28500" spans="8:8">
      <c r="H28500" s="680" t="s">
        <v>6153</v>
      </c>
    </row>
    <row r="28501" spans="8:8">
      <c r="H28501" s="680" t="s">
        <v>6153</v>
      </c>
    </row>
    <row r="28502" spans="8:8">
      <c r="H28502" s="680" t="s">
        <v>6153</v>
      </c>
    </row>
    <row r="28503" spans="8:8">
      <c r="H28503" s="680" t="s">
        <v>6153</v>
      </c>
    </row>
    <row r="28504" spans="8:8">
      <c r="H28504" s="680" t="s">
        <v>6153</v>
      </c>
    </row>
    <row r="28505" spans="8:8">
      <c r="H28505" s="680" t="s">
        <v>6153</v>
      </c>
    </row>
    <row r="28506" spans="8:8">
      <c r="H28506" s="680" t="s">
        <v>6153</v>
      </c>
    </row>
    <row r="28507" spans="8:8">
      <c r="H28507" s="680" t="s">
        <v>6153</v>
      </c>
    </row>
    <row r="28508" spans="8:8">
      <c r="H28508" s="680" t="s">
        <v>6153</v>
      </c>
    </row>
    <row r="28509" spans="8:8">
      <c r="H28509" s="680" t="s">
        <v>6153</v>
      </c>
    </row>
    <row r="28510" spans="8:8">
      <c r="H28510" s="680" t="s">
        <v>6153</v>
      </c>
    </row>
    <row r="28511" spans="8:8">
      <c r="H28511" s="680" t="s">
        <v>6153</v>
      </c>
    </row>
    <row r="28512" spans="8:8">
      <c r="H28512" s="680" t="s">
        <v>6153</v>
      </c>
    </row>
    <row r="28513" spans="8:8">
      <c r="H28513" s="680" t="s">
        <v>6153</v>
      </c>
    </row>
    <row r="28514" spans="8:8">
      <c r="H28514" s="680" t="s">
        <v>6153</v>
      </c>
    </row>
    <row r="28515" spans="8:8">
      <c r="H28515" s="680" t="s">
        <v>6153</v>
      </c>
    </row>
    <row r="28516" spans="8:8">
      <c r="H28516" s="680" t="s">
        <v>6153</v>
      </c>
    </row>
    <row r="28517" spans="8:8">
      <c r="H28517" s="680" t="s">
        <v>6153</v>
      </c>
    </row>
    <row r="28518" spans="8:8">
      <c r="H28518" s="680" t="s">
        <v>6153</v>
      </c>
    </row>
    <row r="28519" spans="8:8">
      <c r="H28519" s="680" t="s">
        <v>6153</v>
      </c>
    </row>
    <row r="28520" spans="8:8">
      <c r="H28520" s="680" t="s">
        <v>6153</v>
      </c>
    </row>
    <row r="28521" spans="8:8">
      <c r="H28521" s="680" t="s">
        <v>6153</v>
      </c>
    </row>
    <row r="28522" spans="8:8">
      <c r="H28522" s="680" t="s">
        <v>6153</v>
      </c>
    </row>
    <row r="28523" spans="8:8">
      <c r="H28523" s="680" t="s">
        <v>6153</v>
      </c>
    </row>
    <row r="28524" spans="8:8">
      <c r="H28524" s="680" t="s">
        <v>6153</v>
      </c>
    </row>
    <row r="28525" spans="8:8">
      <c r="H28525" s="680" t="s">
        <v>6153</v>
      </c>
    </row>
    <row r="28526" spans="8:8">
      <c r="H28526" s="680" t="s">
        <v>6153</v>
      </c>
    </row>
    <row r="28527" spans="8:8">
      <c r="H28527" s="680" t="s">
        <v>6153</v>
      </c>
    </row>
    <row r="28528" spans="8:8">
      <c r="H28528" s="680" t="s">
        <v>6153</v>
      </c>
    </row>
    <row r="28529" spans="8:8">
      <c r="H28529" s="680" t="s">
        <v>6153</v>
      </c>
    </row>
    <row r="28530" spans="8:8">
      <c r="H28530" s="680" t="s">
        <v>6153</v>
      </c>
    </row>
    <row r="28531" spans="8:8">
      <c r="H28531" s="680" t="s">
        <v>6153</v>
      </c>
    </row>
    <row r="28532" spans="8:8">
      <c r="H28532" s="680" t="s">
        <v>6153</v>
      </c>
    </row>
    <row r="28533" spans="8:8">
      <c r="H28533" s="680" t="s">
        <v>6153</v>
      </c>
    </row>
    <row r="28534" spans="8:8">
      <c r="H28534" s="680" t="s">
        <v>6153</v>
      </c>
    </row>
    <row r="28535" spans="8:8">
      <c r="H28535" s="680" t="s">
        <v>6153</v>
      </c>
    </row>
    <row r="28536" spans="8:8">
      <c r="H28536" s="680" t="s">
        <v>6153</v>
      </c>
    </row>
    <row r="28537" spans="8:8">
      <c r="H28537" s="680" t="s">
        <v>6153</v>
      </c>
    </row>
    <row r="28538" spans="8:8">
      <c r="H28538" s="680" t="s">
        <v>6153</v>
      </c>
    </row>
    <row r="28539" spans="8:8">
      <c r="H28539" s="680" t="s">
        <v>6153</v>
      </c>
    </row>
    <row r="28540" spans="8:8">
      <c r="H28540" s="680" t="s">
        <v>6153</v>
      </c>
    </row>
    <row r="28541" spans="8:8">
      <c r="H28541" s="680" t="s">
        <v>6153</v>
      </c>
    </row>
    <row r="28542" spans="8:8">
      <c r="H28542" s="680" t="s">
        <v>6153</v>
      </c>
    </row>
    <row r="28543" spans="8:8">
      <c r="H28543" s="680" t="s">
        <v>6153</v>
      </c>
    </row>
    <row r="28544" spans="8:8">
      <c r="H28544" s="680" t="s">
        <v>6153</v>
      </c>
    </row>
    <row r="28545" spans="8:8">
      <c r="H28545" s="680" t="s">
        <v>6153</v>
      </c>
    </row>
    <row r="28546" spans="8:8">
      <c r="H28546" s="680" t="s">
        <v>6153</v>
      </c>
    </row>
    <row r="28547" spans="8:8">
      <c r="H28547" s="680" t="s">
        <v>6153</v>
      </c>
    </row>
    <row r="28548" spans="8:8">
      <c r="H28548" s="680" t="s">
        <v>6153</v>
      </c>
    </row>
    <row r="28549" spans="8:8">
      <c r="H28549" s="680" t="s">
        <v>6153</v>
      </c>
    </row>
    <row r="28550" spans="8:8">
      <c r="H28550" s="680" t="s">
        <v>6153</v>
      </c>
    </row>
    <row r="28551" spans="8:8">
      <c r="H28551" s="680" t="s">
        <v>6153</v>
      </c>
    </row>
    <row r="28552" spans="8:8">
      <c r="H28552" s="680" t="s">
        <v>6153</v>
      </c>
    </row>
    <row r="28553" spans="8:8">
      <c r="H28553" s="680" t="s">
        <v>6153</v>
      </c>
    </row>
    <row r="28554" spans="8:8">
      <c r="H28554" s="680" t="s">
        <v>6153</v>
      </c>
    </row>
    <row r="28555" spans="8:8">
      <c r="H28555" s="680" t="s">
        <v>6153</v>
      </c>
    </row>
    <row r="28556" spans="8:8">
      <c r="H28556" s="680" t="s">
        <v>6153</v>
      </c>
    </row>
    <row r="28557" spans="8:8">
      <c r="H28557" s="680" t="s">
        <v>6153</v>
      </c>
    </row>
    <row r="28558" spans="8:8">
      <c r="H28558" s="680" t="s">
        <v>6153</v>
      </c>
    </row>
    <row r="28559" spans="8:8">
      <c r="H28559" s="680" t="s">
        <v>6153</v>
      </c>
    </row>
    <row r="28560" spans="8:8">
      <c r="H28560" s="680" t="s">
        <v>6153</v>
      </c>
    </row>
    <row r="28561" spans="8:8">
      <c r="H28561" s="680" t="s">
        <v>6153</v>
      </c>
    </row>
    <row r="28562" spans="8:8">
      <c r="H28562" s="680" t="s">
        <v>6153</v>
      </c>
    </row>
    <row r="28563" spans="8:8">
      <c r="H28563" s="680" t="s">
        <v>6153</v>
      </c>
    </row>
    <row r="28564" spans="8:8">
      <c r="H28564" s="680" t="s">
        <v>6153</v>
      </c>
    </row>
    <row r="28565" spans="8:8">
      <c r="H28565" s="680" t="s">
        <v>6153</v>
      </c>
    </row>
    <row r="28566" spans="8:8">
      <c r="H28566" s="680" t="s">
        <v>6153</v>
      </c>
    </row>
    <row r="28567" spans="8:8">
      <c r="H28567" s="680" t="s">
        <v>6153</v>
      </c>
    </row>
    <row r="28568" spans="8:8">
      <c r="H28568" s="680" t="s">
        <v>6153</v>
      </c>
    </row>
    <row r="28569" spans="8:8">
      <c r="H28569" s="680" t="s">
        <v>6153</v>
      </c>
    </row>
    <row r="28570" spans="8:8">
      <c r="H28570" s="680" t="s">
        <v>6153</v>
      </c>
    </row>
    <row r="28571" spans="8:8">
      <c r="H28571" s="680" t="s">
        <v>6153</v>
      </c>
    </row>
    <row r="28572" spans="8:8">
      <c r="H28572" s="680" t="s">
        <v>6153</v>
      </c>
    </row>
    <row r="28573" spans="8:8">
      <c r="H28573" s="680" t="s">
        <v>6153</v>
      </c>
    </row>
    <row r="28574" spans="8:8">
      <c r="H28574" s="680" t="s">
        <v>6153</v>
      </c>
    </row>
    <row r="28575" spans="8:8">
      <c r="H28575" s="680" t="s">
        <v>6153</v>
      </c>
    </row>
    <row r="28576" spans="8:8">
      <c r="H28576" s="680" t="s">
        <v>6153</v>
      </c>
    </row>
    <row r="28577" spans="8:8">
      <c r="H28577" s="680" t="s">
        <v>6153</v>
      </c>
    </row>
    <row r="28578" spans="8:8">
      <c r="H28578" s="680" t="s">
        <v>6153</v>
      </c>
    </row>
    <row r="28579" spans="8:8">
      <c r="H28579" s="680" t="s">
        <v>6153</v>
      </c>
    </row>
    <row r="28580" spans="8:8">
      <c r="H28580" s="680" t="s">
        <v>6153</v>
      </c>
    </row>
    <row r="28581" spans="8:8">
      <c r="H28581" s="680" t="s">
        <v>6153</v>
      </c>
    </row>
    <row r="28582" spans="8:8">
      <c r="H28582" s="680" t="s">
        <v>6153</v>
      </c>
    </row>
    <row r="28583" spans="8:8">
      <c r="H28583" s="680" t="s">
        <v>6153</v>
      </c>
    </row>
    <row r="28584" spans="8:8">
      <c r="H28584" s="680" t="s">
        <v>6153</v>
      </c>
    </row>
    <row r="28585" spans="8:8">
      <c r="H28585" s="680" t="s">
        <v>6153</v>
      </c>
    </row>
    <row r="28586" spans="8:8">
      <c r="H28586" s="680" t="s">
        <v>6153</v>
      </c>
    </row>
    <row r="28587" spans="8:8">
      <c r="H28587" s="680" t="s">
        <v>6153</v>
      </c>
    </row>
    <row r="28588" spans="8:8">
      <c r="H28588" s="680" t="s">
        <v>6153</v>
      </c>
    </row>
    <row r="28589" spans="8:8">
      <c r="H28589" s="680" t="s">
        <v>6153</v>
      </c>
    </row>
    <row r="28590" spans="8:8">
      <c r="H28590" s="680" t="s">
        <v>6153</v>
      </c>
    </row>
    <row r="28591" spans="8:8">
      <c r="H28591" s="680" t="s">
        <v>6153</v>
      </c>
    </row>
    <row r="28592" spans="8:8">
      <c r="H28592" s="680" t="s">
        <v>6153</v>
      </c>
    </row>
    <row r="28593" spans="8:8">
      <c r="H28593" s="680" t="s">
        <v>6153</v>
      </c>
    </row>
    <row r="28594" spans="8:8">
      <c r="H28594" s="680" t="s">
        <v>6153</v>
      </c>
    </row>
    <row r="28595" spans="8:8">
      <c r="H28595" s="680" t="s">
        <v>6153</v>
      </c>
    </row>
    <row r="28596" spans="8:8">
      <c r="H28596" s="680" t="s">
        <v>6153</v>
      </c>
    </row>
    <row r="28597" spans="8:8">
      <c r="H28597" s="680" t="s">
        <v>6153</v>
      </c>
    </row>
    <row r="28598" spans="8:8">
      <c r="H28598" s="680" t="s">
        <v>6153</v>
      </c>
    </row>
    <row r="28599" spans="8:8">
      <c r="H28599" s="680" t="s">
        <v>6153</v>
      </c>
    </row>
    <row r="28600" spans="8:8">
      <c r="H28600" s="680" t="s">
        <v>6153</v>
      </c>
    </row>
    <row r="28601" spans="8:8">
      <c r="H28601" s="680" t="s">
        <v>6153</v>
      </c>
    </row>
    <row r="28602" spans="8:8">
      <c r="H28602" s="680" t="s">
        <v>6153</v>
      </c>
    </row>
    <row r="28603" spans="8:8">
      <c r="H28603" s="680" t="s">
        <v>6153</v>
      </c>
    </row>
    <row r="28604" spans="8:8">
      <c r="H28604" s="680" t="s">
        <v>6153</v>
      </c>
    </row>
    <row r="28605" spans="8:8">
      <c r="H28605" s="680" t="s">
        <v>6153</v>
      </c>
    </row>
    <row r="28606" spans="8:8">
      <c r="H28606" s="680" t="s">
        <v>6153</v>
      </c>
    </row>
    <row r="28607" spans="8:8">
      <c r="H28607" s="680" t="s">
        <v>6153</v>
      </c>
    </row>
    <row r="28608" spans="8:8">
      <c r="H28608" s="680" t="s">
        <v>6153</v>
      </c>
    </row>
    <row r="28609" spans="8:8">
      <c r="H28609" s="680" t="s">
        <v>6153</v>
      </c>
    </row>
    <row r="28610" spans="8:8">
      <c r="H28610" s="680" t="s">
        <v>6153</v>
      </c>
    </row>
    <row r="28611" spans="8:8">
      <c r="H28611" s="680" t="s">
        <v>6153</v>
      </c>
    </row>
    <row r="28612" spans="8:8">
      <c r="H28612" s="680" t="s">
        <v>6153</v>
      </c>
    </row>
    <row r="28613" spans="8:8">
      <c r="H28613" s="680" t="s">
        <v>6153</v>
      </c>
    </row>
    <row r="28614" spans="8:8">
      <c r="H28614" s="680" t="s">
        <v>6153</v>
      </c>
    </row>
    <row r="28615" spans="8:8">
      <c r="H28615" s="680" t="s">
        <v>6153</v>
      </c>
    </row>
    <row r="28616" spans="8:8">
      <c r="H28616" s="680" t="s">
        <v>6153</v>
      </c>
    </row>
    <row r="28617" spans="8:8">
      <c r="H28617" s="680" t="s">
        <v>6153</v>
      </c>
    </row>
    <row r="28618" spans="8:8">
      <c r="H28618" s="680" t="s">
        <v>6153</v>
      </c>
    </row>
    <row r="28619" spans="8:8">
      <c r="H28619" s="680" t="s">
        <v>6153</v>
      </c>
    </row>
    <row r="28620" spans="8:8">
      <c r="H28620" s="680" t="s">
        <v>6153</v>
      </c>
    </row>
    <row r="28621" spans="8:8">
      <c r="H28621" s="680" t="s">
        <v>6153</v>
      </c>
    </row>
    <row r="28622" spans="8:8">
      <c r="H28622" s="680" t="s">
        <v>6153</v>
      </c>
    </row>
    <row r="28623" spans="8:8">
      <c r="H28623" s="680" t="s">
        <v>6153</v>
      </c>
    </row>
    <row r="28624" spans="8:8">
      <c r="H28624" s="680" t="s">
        <v>6153</v>
      </c>
    </row>
    <row r="28625" spans="8:8">
      <c r="H28625" s="680" t="s">
        <v>6153</v>
      </c>
    </row>
    <row r="28626" spans="8:8">
      <c r="H28626" s="680" t="s">
        <v>6153</v>
      </c>
    </row>
    <row r="28627" spans="8:8">
      <c r="H28627" s="680" t="s">
        <v>6153</v>
      </c>
    </row>
    <row r="28628" spans="8:8">
      <c r="H28628" s="680" t="s">
        <v>6153</v>
      </c>
    </row>
    <row r="28629" spans="8:8">
      <c r="H28629" s="680" t="s">
        <v>6153</v>
      </c>
    </row>
    <row r="28630" spans="8:8">
      <c r="H28630" s="680" t="s">
        <v>6153</v>
      </c>
    </row>
    <row r="28631" spans="8:8">
      <c r="H28631" s="680" t="s">
        <v>6153</v>
      </c>
    </row>
    <row r="28632" spans="8:8">
      <c r="H28632" s="680" t="s">
        <v>6153</v>
      </c>
    </row>
    <row r="28633" spans="8:8">
      <c r="H28633" s="680" t="s">
        <v>6153</v>
      </c>
    </row>
    <row r="28634" spans="8:8">
      <c r="H28634" s="680" t="s">
        <v>6153</v>
      </c>
    </row>
    <row r="28635" spans="8:8">
      <c r="H28635" s="680" t="s">
        <v>6153</v>
      </c>
    </row>
    <row r="28636" spans="8:8">
      <c r="H28636" s="680" t="s">
        <v>6153</v>
      </c>
    </row>
    <row r="28637" spans="8:8">
      <c r="H28637" s="680" t="s">
        <v>6153</v>
      </c>
    </row>
    <row r="28638" spans="8:8">
      <c r="H28638" s="680" t="s">
        <v>6153</v>
      </c>
    </row>
    <row r="28639" spans="8:8">
      <c r="H28639" s="680" t="s">
        <v>6153</v>
      </c>
    </row>
    <row r="28640" spans="8:8">
      <c r="H28640" s="680" t="s">
        <v>6153</v>
      </c>
    </row>
    <row r="28641" spans="8:8">
      <c r="H28641" s="680" t="s">
        <v>6153</v>
      </c>
    </row>
    <row r="28642" spans="8:8">
      <c r="H28642" s="680" t="s">
        <v>6153</v>
      </c>
    </row>
    <row r="28643" spans="8:8">
      <c r="H28643" s="680" t="s">
        <v>6153</v>
      </c>
    </row>
    <row r="28644" spans="8:8">
      <c r="H28644" s="680" t="s">
        <v>6153</v>
      </c>
    </row>
    <row r="28645" spans="8:8">
      <c r="H28645" s="680" t="s">
        <v>6153</v>
      </c>
    </row>
    <row r="28646" spans="8:8">
      <c r="H28646" s="680" t="s">
        <v>6153</v>
      </c>
    </row>
    <row r="28647" spans="8:8">
      <c r="H28647" s="680" t="s">
        <v>6153</v>
      </c>
    </row>
    <row r="28648" spans="8:8">
      <c r="H28648" s="680" t="s">
        <v>6153</v>
      </c>
    </row>
    <row r="28649" spans="8:8">
      <c r="H28649" s="680" t="s">
        <v>6153</v>
      </c>
    </row>
    <row r="28650" spans="8:8">
      <c r="H28650" s="680" t="s">
        <v>6153</v>
      </c>
    </row>
    <row r="28651" spans="8:8">
      <c r="H28651" s="680" t="s">
        <v>6153</v>
      </c>
    </row>
    <row r="28652" spans="8:8">
      <c r="H28652" s="680" t="s">
        <v>6153</v>
      </c>
    </row>
    <row r="28653" spans="8:8">
      <c r="H28653" s="680" t="s">
        <v>6153</v>
      </c>
    </row>
    <row r="28654" spans="8:8">
      <c r="H28654" s="680" t="s">
        <v>6153</v>
      </c>
    </row>
    <row r="28655" spans="8:8">
      <c r="H28655" s="680" t="s">
        <v>6153</v>
      </c>
    </row>
    <row r="28656" spans="8:8">
      <c r="H28656" s="680" t="s">
        <v>6153</v>
      </c>
    </row>
    <row r="28657" spans="8:8">
      <c r="H28657" s="680" t="s">
        <v>6153</v>
      </c>
    </row>
    <row r="28658" spans="8:8">
      <c r="H28658" s="680" t="s">
        <v>6153</v>
      </c>
    </row>
    <row r="28659" spans="8:8">
      <c r="H28659" s="680" t="s">
        <v>6153</v>
      </c>
    </row>
    <row r="28660" spans="8:8">
      <c r="H28660" s="680" t="s">
        <v>6153</v>
      </c>
    </row>
    <row r="28661" spans="8:8">
      <c r="H28661" s="680" t="s">
        <v>6153</v>
      </c>
    </row>
    <row r="28662" spans="8:8">
      <c r="H28662" s="680" t="s">
        <v>6153</v>
      </c>
    </row>
    <row r="28663" spans="8:8">
      <c r="H28663" s="680" t="s">
        <v>6153</v>
      </c>
    </row>
    <row r="28664" spans="8:8">
      <c r="H28664" s="680" t="s">
        <v>6153</v>
      </c>
    </row>
    <row r="28665" spans="8:8">
      <c r="H28665" s="680" t="s">
        <v>6153</v>
      </c>
    </row>
    <row r="28666" spans="8:8">
      <c r="H28666" s="680" t="s">
        <v>6153</v>
      </c>
    </row>
    <row r="28667" spans="8:8">
      <c r="H28667" s="680" t="s">
        <v>6153</v>
      </c>
    </row>
    <row r="28668" spans="8:8">
      <c r="H28668" s="680" t="s">
        <v>6153</v>
      </c>
    </row>
    <row r="28669" spans="8:8">
      <c r="H28669" s="680" t="s">
        <v>6153</v>
      </c>
    </row>
    <row r="28670" spans="8:8">
      <c r="H28670" s="680" t="s">
        <v>6153</v>
      </c>
    </row>
    <row r="28671" spans="8:8">
      <c r="H28671" s="680" t="s">
        <v>6153</v>
      </c>
    </row>
    <row r="28672" spans="8:8">
      <c r="H28672" s="680" t="s">
        <v>6153</v>
      </c>
    </row>
    <row r="28673" spans="8:8">
      <c r="H28673" s="680" t="s">
        <v>6153</v>
      </c>
    </row>
    <row r="28674" spans="8:8">
      <c r="H28674" s="680" t="s">
        <v>6153</v>
      </c>
    </row>
    <row r="28675" spans="8:8">
      <c r="H28675" s="680" t="s">
        <v>6153</v>
      </c>
    </row>
    <row r="28676" spans="8:8">
      <c r="H28676" s="680" t="s">
        <v>6153</v>
      </c>
    </row>
    <row r="28677" spans="8:8">
      <c r="H28677" s="680" t="s">
        <v>6153</v>
      </c>
    </row>
    <row r="28678" spans="8:8">
      <c r="H28678" s="680" t="s">
        <v>6153</v>
      </c>
    </row>
    <row r="28679" spans="8:8">
      <c r="H28679" s="680" t="s">
        <v>6153</v>
      </c>
    </row>
    <row r="28680" spans="8:8">
      <c r="H28680" s="680" t="s">
        <v>6153</v>
      </c>
    </row>
    <row r="28681" spans="8:8">
      <c r="H28681" s="680" t="s">
        <v>6153</v>
      </c>
    </row>
    <row r="28682" spans="8:8">
      <c r="H28682" s="680" t="s">
        <v>6153</v>
      </c>
    </row>
    <row r="28683" spans="8:8">
      <c r="H28683" s="680" t="s">
        <v>6153</v>
      </c>
    </row>
    <row r="28684" spans="8:8">
      <c r="H28684" s="680" t="s">
        <v>6153</v>
      </c>
    </row>
    <row r="28685" spans="8:8">
      <c r="H28685" s="680" t="s">
        <v>6153</v>
      </c>
    </row>
    <row r="28686" spans="8:8">
      <c r="H28686" s="680" t="s">
        <v>6153</v>
      </c>
    </row>
    <row r="28687" spans="8:8">
      <c r="H28687" s="680" t="s">
        <v>6153</v>
      </c>
    </row>
    <row r="28688" spans="8:8">
      <c r="H28688" s="680" t="s">
        <v>6153</v>
      </c>
    </row>
    <row r="28689" spans="8:8">
      <c r="H28689" s="680" t="s">
        <v>6153</v>
      </c>
    </row>
    <row r="28690" spans="8:8">
      <c r="H28690" s="680" t="s">
        <v>6153</v>
      </c>
    </row>
    <row r="28691" spans="8:8">
      <c r="H28691" s="680" t="s">
        <v>6153</v>
      </c>
    </row>
    <row r="28692" spans="8:8">
      <c r="H28692" s="680" t="s">
        <v>6153</v>
      </c>
    </row>
    <row r="28693" spans="8:8">
      <c r="H28693" s="680" t="s">
        <v>6153</v>
      </c>
    </row>
    <row r="28694" spans="8:8">
      <c r="H28694" s="680" t="s">
        <v>6153</v>
      </c>
    </row>
    <row r="28695" spans="8:8">
      <c r="H28695" s="680" t="s">
        <v>6153</v>
      </c>
    </row>
    <row r="28696" spans="8:8">
      <c r="H28696" s="680" t="s">
        <v>6153</v>
      </c>
    </row>
    <row r="28697" spans="8:8">
      <c r="H28697" s="680" t="s">
        <v>6153</v>
      </c>
    </row>
    <row r="28698" spans="8:8">
      <c r="H28698" s="680" t="s">
        <v>6153</v>
      </c>
    </row>
    <row r="28699" spans="8:8">
      <c r="H28699" s="680" t="s">
        <v>6153</v>
      </c>
    </row>
    <row r="28700" spans="8:8">
      <c r="H28700" s="680" t="s">
        <v>6153</v>
      </c>
    </row>
    <row r="28701" spans="8:8">
      <c r="H28701" s="680" t="s">
        <v>6153</v>
      </c>
    </row>
    <row r="28702" spans="8:8">
      <c r="H28702" s="680" t="s">
        <v>6153</v>
      </c>
    </row>
    <row r="28703" spans="8:8">
      <c r="H28703" s="680" t="s">
        <v>6153</v>
      </c>
    </row>
    <row r="28704" spans="8:8">
      <c r="H28704" s="680" t="s">
        <v>6153</v>
      </c>
    </row>
    <row r="28705" spans="8:8">
      <c r="H28705" s="680" t="s">
        <v>6153</v>
      </c>
    </row>
    <row r="28706" spans="8:8">
      <c r="H28706" s="680" t="s">
        <v>6153</v>
      </c>
    </row>
    <row r="28707" spans="8:8">
      <c r="H28707" s="680" t="s">
        <v>6153</v>
      </c>
    </row>
    <row r="28708" spans="8:8">
      <c r="H28708" s="680" t="s">
        <v>6153</v>
      </c>
    </row>
    <row r="28709" spans="8:8">
      <c r="H28709" s="680" t="s">
        <v>6153</v>
      </c>
    </row>
    <row r="28710" spans="8:8">
      <c r="H28710" s="680" t="s">
        <v>6153</v>
      </c>
    </row>
    <row r="28711" spans="8:8">
      <c r="H28711" s="680" t="s">
        <v>6153</v>
      </c>
    </row>
    <row r="28712" spans="8:8">
      <c r="H28712" s="680" t="s">
        <v>6153</v>
      </c>
    </row>
    <row r="28713" spans="8:8">
      <c r="H28713" s="680" t="s">
        <v>6153</v>
      </c>
    </row>
    <row r="28714" spans="8:8">
      <c r="H28714" s="680" t="s">
        <v>6153</v>
      </c>
    </row>
    <row r="28715" spans="8:8">
      <c r="H28715" s="680" t="s">
        <v>6153</v>
      </c>
    </row>
    <row r="28716" spans="8:8">
      <c r="H28716" s="680" t="s">
        <v>6153</v>
      </c>
    </row>
    <row r="28717" spans="8:8">
      <c r="H28717" s="680" t="s">
        <v>6153</v>
      </c>
    </row>
    <row r="28718" spans="8:8">
      <c r="H28718" s="680" t="s">
        <v>6153</v>
      </c>
    </row>
    <row r="28719" spans="8:8">
      <c r="H28719" s="680" t="s">
        <v>6153</v>
      </c>
    </row>
    <row r="28720" spans="8:8">
      <c r="H28720" s="680" t="s">
        <v>6153</v>
      </c>
    </row>
    <row r="28721" spans="8:8">
      <c r="H28721" s="680" t="s">
        <v>6153</v>
      </c>
    </row>
    <row r="28722" spans="8:8">
      <c r="H28722" s="680" t="s">
        <v>6153</v>
      </c>
    </row>
    <row r="28723" spans="8:8">
      <c r="H28723" s="680" t="s">
        <v>6153</v>
      </c>
    </row>
    <row r="28724" spans="8:8">
      <c r="H28724" s="680" t="s">
        <v>6153</v>
      </c>
    </row>
    <row r="28725" spans="8:8">
      <c r="H28725" s="680" t="s">
        <v>6153</v>
      </c>
    </row>
    <row r="28726" spans="8:8">
      <c r="H28726" s="680" t="s">
        <v>6153</v>
      </c>
    </row>
    <row r="28727" spans="8:8">
      <c r="H28727" s="680" t="s">
        <v>6153</v>
      </c>
    </row>
    <row r="28728" spans="8:8">
      <c r="H28728" s="680" t="s">
        <v>6153</v>
      </c>
    </row>
    <row r="28729" spans="8:8">
      <c r="H28729" s="680" t="s">
        <v>6153</v>
      </c>
    </row>
    <row r="28730" spans="8:8">
      <c r="H28730" s="680" t="s">
        <v>6153</v>
      </c>
    </row>
    <row r="28731" spans="8:8">
      <c r="H28731" s="680" t="s">
        <v>6153</v>
      </c>
    </row>
    <row r="28732" spans="8:8">
      <c r="H28732" s="680" t="s">
        <v>6153</v>
      </c>
    </row>
    <row r="28733" spans="8:8">
      <c r="H28733" s="680" t="s">
        <v>6153</v>
      </c>
    </row>
    <row r="28734" spans="8:8">
      <c r="H28734" s="680" t="s">
        <v>6153</v>
      </c>
    </row>
    <row r="28735" spans="8:8">
      <c r="H28735" s="680" t="s">
        <v>6153</v>
      </c>
    </row>
    <row r="28736" spans="8:8">
      <c r="H28736" s="680" t="s">
        <v>6153</v>
      </c>
    </row>
    <row r="28737" spans="8:8">
      <c r="H28737" s="680" t="s">
        <v>6153</v>
      </c>
    </row>
    <row r="28738" spans="8:8">
      <c r="H28738" s="680" t="s">
        <v>6153</v>
      </c>
    </row>
    <row r="28739" spans="8:8">
      <c r="H28739" s="680" t="s">
        <v>6153</v>
      </c>
    </row>
    <row r="28740" spans="8:8">
      <c r="H28740" s="680" t="s">
        <v>6153</v>
      </c>
    </row>
    <row r="28741" spans="8:8">
      <c r="H28741" s="680" t="s">
        <v>6153</v>
      </c>
    </row>
    <row r="28742" spans="8:8">
      <c r="H28742" s="680" t="s">
        <v>6153</v>
      </c>
    </row>
    <row r="28743" spans="8:8">
      <c r="H28743" s="680" t="s">
        <v>6153</v>
      </c>
    </row>
    <row r="28744" spans="8:8">
      <c r="H28744" s="680" t="s">
        <v>6153</v>
      </c>
    </row>
    <row r="28745" spans="8:8">
      <c r="H28745" s="680" t="s">
        <v>6153</v>
      </c>
    </row>
    <row r="28746" spans="8:8">
      <c r="H28746" s="680" t="s">
        <v>6153</v>
      </c>
    </row>
    <row r="28747" spans="8:8">
      <c r="H28747" s="680" t="s">
        <v>6153</v>
      </c>
    </row>
    <row r="28748" spans="8:8">
      <c r="H28748" s="680" t="s">
        <v>6153</v>
      </c>
    </row>
    <row r="28749" spans="8:8">
      <c r="H28749" s="680" t="s">
        <v>6153</v>
      </c>
    </row>
    <row r="28750" spans="8:8">
      <c r="H28750" s="680" t="s">
        <v>6153</v>
      </c>
    </row>
    <row r="28751" spans="8:8">
      <c r="H28751" s="680" t="s">
        <v>6153</v>
      </c>
    </row>
    <row r="28752" spans="8:8">
      <c r="H28752" s="680" t="s">
        <v>6153</v>
      </c>
    </row>
    <row r="28753" spans="8:8">
      <c r="H28753" s="680" t="s">
        <v>6153</v>
      </c>
    </row>
    <row r="28754" spans="8:8">
      <c r="H28754" s="680" t="s">
        <v>6153</v>
      </c>
    </row>
    <row r="28755" spans="8:8">
      <c r="H28755" s="680" t="s">
        <v>6153</v>
      </c>
    </row>
    <row r="28756" spans="8:8">
      <c r="H28756" s="680" t="s">
        <v>6153</v>
      </c>
    </row>
    <row r="28757" spans="8:8">
      <c r="H28757" s="680" t="s">
        <v>6153</v>
      </c>
    </row>
    <row r="28758" spans="8:8">
      <c r="H28758" s="680" t="s">
        <v>6153</v>
      </c>
    </row>
    <row r="28759" spans="8:8">
      <c r="H28759" s="680" t="s">
        <v>6153</v>
      </c>
    </row>
    <row r="28760" spans="8:8">
      <c r="H28760" s="680" t="s">
        <v>6153</v>
      </c>
    </row>
    <row r="28761" spans="8:8">
      <c r="H28761" s="680" t="s">
        <v>6153</v>
      </c>
    </row>
    <row r="28762" spans="8:8">
      <c r="H28762" s="680" t="s">
        <v>6153</v>
      </c>
    </row>
    <row r="28763" spans="8:8">
      <c r="H28763" s="680" t="s">
        <v>6153</v>
      </c>
    </row>
    <row r="28764" spans="8:8">
      <c r="H28764" s="680" t="s">
        <v>6153</v>
      </c>
    </row>
    <row r="28765" spans="8:8">
      <c r="H28765" s="680" t="s">
        <v>6153</v>
      </c>
    </row>
    <row r="28766" spans="8:8">
      <c r="H28766" s="680" t="s">
        <v>6153</v>
      </c>
    </row>
    <row r="28767" spans="8:8">
      <c r="H28767" s="680" t="s">
        <v>6153</v>
      </c>
    </row>
    <row r="28768" spans="8:8">
      <c r="H28768" s="680" t="s">
        <v>6153</v>
      </c>
    </row>
    <row r="28769" spans="8:8">
      <c r="H28769" s="680" t="s">
        <v>6153</v>
      </c>
    </row>
    <row r="28770" spans="8:8">
      <c r="H28770" s="680" t="s">
        <v>6153</v>
      </c>
    </row>
    <row r="28771" spans="8:8">
      <c r="H28771" s="680" t="s">
        <v>6153</v>
      </c>
    </row>
    <row r="28772" spans="8:8">
      <c r="H28772" s="680" t="s">
        <v>6153</v>
      </c>
    </row>
    <row r="28773" spans="8:8">
      <c r="H28773" s="680" t="s">
        <v>6153</v>
      </c>
    </row>
    <row r="28774" spans="8:8">
      <c r="H28774" s="680" t="s">
        <v>6153</v>
      </c>
    </row>
    <row r="28775" spans="8:8">
      <c r="H28775" s="680" t="s">
        <v>6153</v>
      </c>
    </row>
    <row r="28776" spans="8:8">
      <c r="H28776" s="680" t="s">
        <v>6153</v>
      </c>
    </row>
    <row r="28777" spans="8:8">
      <c r="H28777" s="680" t="s">
        <v>6153</v>
      </c>
    </row>
    <row r="28778" spans="8:8">
      <c r="H28778" s="680" t="s">
        <v>6153</v>
      </c>
    </row>
    <row r="28779" spans="8:8">
      <c r="H28779" s="680" t="s">
        <v>6153</v>
      </c>
    </row>
    <row r="28780" spans="8:8">
      <c r="H28780" s="680" t="s">
        <v>6153</v>
      </c>
    </row>
    <row r="28781" spans="8:8">
      <c r="H28781" s="680" t="s">
        <v>6153</v>
      </c>
    </row>
    <row r="28782" spans="8:8">
      <c r="H28782" s="680" t="s">
        <v>6153</v>
      </c>
    </row>
    <row r="28783" spans="8:8">
      <c r="H28783" s="680" t="s">
        <v>6153</v>
      </c>
    </row>
    <row r="28784" spans="8:8">
      <c r="H28784" s="680" t="s">
        <v>6153</v>
      </c>
    </row>
    <row r="28785" spans="8:8">
      <c r="H28785" s="680" t="s">
        <v>6153</v>
      </c>
    </row>
    <row r="28786" spans="8:8">
      <c r="H28786" s="680" t="s">
        <v>6153</v>
      </c>
    </row>
    <row r="28787" spans="8:8">
      <c r="H28787" s="680" t="s">
        <v>6153</v>
      </c>
    </row>
    <row r="28788" spans="8:8">
      <c r="H28788" s="680" t="s">
        <v>6153</v>
      </c>
    </row>
    <row r="28789" spans="8:8">
      <c r="H28789" s="680" t="s">
        <v>6153</v>
      </c>
    </row>
    <row r="28790" spans="8:8">
      <c r="H28790" s="680" t="s">
        <v>6153</v>
      </c>
    </row>
    <row r="28791" spans="8:8">
      <c r="H28791" s="680" t="s">
        <v>6153</v>
      </c>
    </row>
    <row r="28792" spans="8:8">
      <c r="H28792" s="680" t="s">
        <v>6153</v>
      </c>
    </row>
    <row r="28793" spans="8:8">
      <c r="H28793" s="680" t="s">
        <v>6153</v>
      </c>
    </row>
    <row r="28794" spans="8:8">
      <c r="H28794" s="680" t="s">
        <v>6153</v>
      </c>
    </row>
    <row r="28795" spans="8:8">
      <c r="H28795" s="680" t="s">
        <v>6153</v>
      </c>
    </row>
    <row r="28796" spans="8:8">
      <c r="H28796" s="680" t="s">
        <v>6153</v>
      </c>
    </row>
    <row r="28797" spans="8:8">
      <c r="H28797" s="680" t="s">
        <v>6153</v>
      </c>
    </row>
    <row r="28798" spans="8:8">
      <c r="H28798" s="680" t="s">
        <v>6153</v>
      </c>
    </row>
    <row r="28799" spans="8:8">
      <c r="H28799" s="680" t="s">
        <v>6153</v>
      </c>
    </row>
    <row r="28800" spans="8:8">
      <c r="H28800" s="680" t="s">
        <v>6153</v>
      </c>
    </row>
    <row r="28801" spans="8:8">
      <c r="H28801" s="680" t="s">
        <v>6153</v>
      </c>
    </row>
    <row r="28802" spans="8:8">
      <c r="H28802" s="680" t="s">
        <v>6153</v>
      </c>
    </row>
    <row r="28803" spans="8:8">
      <c r="H28803" s="680" t="s">
        <v>6153</v>
      </c>
    </row>
    <row r="28804" spans="8:8">
      <c r="H28804" s="680" t="s">
        <v>6153</v>
      </c>
    </row>
    <row r="28805" spans="8:8">
      <c r="H28805" s="680" t="s">
        <v>6153</v>
      </c>
    </row>
    <row r="28806" spans="8:8">
      <c r="H28806" s="680" t="s">
        <v>6153</v>
      </c>
    </row>
    <row r="28807" spans="8:8">
      <c r="H28807" s="680" t="s">
        <v>6153</v>
      </c>
    </row>
    <row r="28808" spans="8:8">
      <c r="H28808" s="680" t="s">
        <v>6153</v>
      </c>
    </row>
    <row r="28809" spans="8:8">
      <c r="H28809" s="680" t="s">
        <v>6153</v>
      </c>
    </row>
    <row r="28810" spans="8:8">
      <c r="H28810" s="680" t="s">
        <v>6153</v>
      </c>
    </row>
    <row r="28811" spans="8:8">
      <c r="H28811" s="680" t="s">
        <v>6153</v>
      </c>
    </row>
    <row r="28812" spans="8:8">
      <c r="H28812" s="680" t="s">
        <v>6153</v>
      </c>
    </row>
    <row r="28813" spans="8:8">
      <c r="H28813" s="680" t="s">
        <v>6153</v>
      </c>
    </row>
    <row r="28814" spans="8:8">
      <c r="H28814" s="680" t="s">
        <v>6153</v>
      </c>
    </row>
    <row r="28815" spans="8:8">
      <c r="H28815" s="680" t="s">
        <v>6153</v>
      </c>
    </row>
    <row r="28816" spans="8:8">
      <c r="H28816" s="680" t="s">
        <v>6153</v>
      </c>
    </row>
    <row r="28817" spans="8:8">
      <c r="H28817" s="680" t="s">
        <v>6153</v>
      </c>
    </row>
    <row r="28818" spans="8:8">
      <c r="H28818" s="680" t="s">
        <v>6153</v>
      </c>
    </row>
    <row r="28819" spans="8:8">
      <c r="H28819" s="680" t="s">
        <v>6153</v>
      </c>
    </row>
    <row r="28820" spans="8:8">
      <c r="H28820" s="680" t="s">
        <v>6153</v>
      </c>
    </row>
    <row r="28821" spans="8:8">
      <c r="H28821" s="680" t="s">
        <v>6153</v>
      </c>
    </row>
    <row r="28822" spans="8:8">
      <c r="H28822" s="680" t="s">
        <v>6153</v>
      </c>
    </row>
    <row r="28823" spans="8:8">
      <c r="H28823" s="680" t="s">
        <v>6153</v>
      </c>
    </row>
    <row r="28824" spans="8:8">
      <c r="H28824" s="680" t="s">
        <v>6153</v>
      </c>
    </row>
    <row r="28825" spans="8:8">
      <c r="H28825" s="680" t="s">
        <v>6153</v>
      </c>
    </row>
    <row r="28826" spans="8:8">
      <c r="H28826" s="680" t="s">
        <v>6153</v>
      </c>
    </row>
    <row r="28827" spans="8:8">
      <c r="H28827" s="680" t="s">
        <v>6153</v>
      </c>
    </row>
    <row r="28828" spans="8:8">
      <c r="H28828" s="680" t="s">
        <v>6153</v>
      </c>
    </row>
    <row r="28829" spans="8:8">
      <c r="H28829" s="680" t="s">
        <v>6153</v>
      </c>
    </row>
    <row r="28830" spans="8:8">
      <c r="H28830" s="680" t="s">
        <v>6153</v>
      </c>
    </row>
    <row r="28831" spans="8:8">
      <c r="H28831" s="680" t="s">
        <v>6153</v>
      </c>
    </row>
    <row r="28832" spans="8:8">
      <c r="H28832" s="680" t="s">
        <v>6153</v>
      </c>
    </row>
    <row r="28833" spans="8:8">
      <c r="H28833" s="680" t="s">
        <v>6153</v>
      </c>
    </row>
    <row r="28834" spans="8:8">
      <c r="H28834" s="680" t="s">
        <v>6153</v>
      </c>
    </row>
    <row r="28835" spans="8:8">
      <c r="H28835" s="680" t="s">
        <v>6153</v>
      </c>
    </row>
    <row r="28836" spans="8:8">
      <c r="H28836" s="680" t="s">
        <v>6153</v>
      </c>
    </row>
    <row r="28837" spans="8:8">
      <c r="H28837" s="680" t="s">
        <v>6153</v>
      </c>
    </row>
    <row r="28838" spans="8:8">
      <c r="H28838" s="680" t="s">
        <v>6153</v>
      </c>
    </row>
    <row r="28839" spans="8:8">
      <c r="H28839" s="680" t="s">
        <v>6153</v>
      </c>
    </row>
    <row r="28840" spans="8:8">
      <c r="H28840" s="680" t="s">
        <v>6153</v>
      </c>
    </row>
    <row r="28841" spans="8:8">
      <c r="H28841" s="680" t="s">
        <v>6153</v>
      </c>
    </row>
    <row r="28842" spans="8:8">
      <c r="H28842" s="680" t="s">
        <v>6153</v>
      </c>
    </row>
    <row r="28843" spans="8:8">
      <c r="H28843" s="680" t="s">
        <v>6153</v>
      </c>
    </row>
    <row r="28844" spans="8:8">
      <c r="H28844" s="680" t="s">
        <v>6153</v>
      </c>
    </row>
    <row r="28845" spans="8:8">
      <c r="H28845" s="680" t="s">
        <v>6153</v>
      </c>
    </row>
    <row r="28846" spans="8:8">
      <c r="H28846" s="680" t="s">
        <v>6153</v>
      </c>
    </row>
    <row r="28847" spans="8:8">
      <c r="H28847" s="680" t="s">
        <v>6153</v>
      </c>
    </row>
    <row r="28848" spans="8:8">
      <c r="H28848" s="680" t="s">
        <v>6153</v>
      </c>
    </row>
    <row r="28849" spans="8:8">
      <c r="H28849" s="680" t="s">
        <v>6153</v>
      </c>
    </row>
    <row r="28850" spans="8:8">
      <c r="H28850" s="680" t="s">
        <v>6153</v>
      </c>
    </row>
    <row r="28851" spans="8:8">
      <c r="H28851" s="680" t="s">
        <v>6153</v>
      </c>
    </row>
    <row r="28852" spans="8:8">
      <c r="H28852" s="680" t="s">
        <v>6153</v>
      </c>
    </row>
    <row r="28853" spans="8:8">
      <c r="H28853" s="680" t="s">
        <v>6153</v>
      </c>
    </row>
    <row r="28854" spans="8:8">
      <c r="H28854" s="680" t="s">
        <v>6153</v>
      </c>
    </row>
    <row r="28855" spans="8:8">
      <c r="H28855" s="680" t="s">
        <v>6153</v>
      </c>
    </row>
    <row r="28856" spans="8:8">
      <c r="H28856" s="680" t="s">
        <v>6153</v>
      </c>
    </row>
    <row r="28857" spans="8:8">
      <c r="H28857" s="680" t="s">
        <v>6153</v>
      </c>
    </row>
    <row r="28858" spans="8:8">
      <c r="H28858" s="680" t="s">
        <v>6153</v>
      </c>
    </row>
    <row r="28859" spans="8:8">
      <c r="H28859" s="680" t="s">
        <v>6153</v>
      </c>
    </row>
    <row r="28860" spans="8:8">
      <c r="H28860" s="680" t="s">
        <v>6153</v>
      </c>
    </row>
    <row r="28861" spans="8:8">
      <c r="H28861" s="680" t="s">
        <v>6153</v>
      </c>
    </row>
    <row r="28862" spans="8:8">
      <c r="H28862" s="680" t="s">
        <v>6153</v>
      </c>
    </row>
    <row r="28863" spans="8:8">
      <c r="H28863" s="680" t="s">
        <v>6153</v>
      </c>
    </row>
    <row r="28864" spans="8:8">
      <c r="H28864" s="680" t="s">
        <v>6153</v>
      </c>
    </row>
    <row r="28865" spans="8:8">
      <c r="H28865" s="680" t="s">
        <v>6153</v>
      </c>
    </row>
    <row r="28866" spans="8:8">
      <c r="H28866" s="680" t="s">
        <v>6153</v>
      </c>
    </row>
    <row r="28867" spans="8:8">
      <c r="H28867" s="680" t="s">
        <v>6153</v>
      </c>
    </row>
    <row r="28868" spans="8:8">
      <c r="H28868" s="680" t="s">
        <v>6153</v>
      </c>
    </row>
    <row r="28869" spans="8:8">
      <c r="H28869" s="680" t="s">
        <v>6153</v>
      </c>
    </row>
    <row r="28870" spans="8:8">
      <c r="H28870" s="680" t="s">
        <v>6153</v>
      </c>
    </row>
    <row r="28871" spans="8:8">
      <c r="H28871" s="680" t="s">
        <v>6153</v>
      </c>
    </row>
    <row r="28872" spans="8:8">
      <c r="H28872" s="680" t="s">
        <v>6153</v>
      </c>
    </row>
    <row r="28873" spans="8:8">
      <c r="H28873" s="680" t="s">
        <v>6153</v>
      </c>
    </row>
    <row r="28874" spans="8:8">
      <c r="H28874" s="680" t="s">
        <v>6153</v>
      </c>
    </row>
    <row r="28875" spans="8:8">
      <c r="H28875" s="680" t="s">
        <v>6153</v>
      </c>
    </row>
    <row r="28876" spans="8:8">
      <c r="H28876" s="680" t="s">
        <v>6153</v>
      </c>
    </row>
    <row r="28877" spans="8:8">
      <c r="H28877" s="680" t="s">
        <v>6153</v>
      </c>
    </row>
    <row r="28878" spans="8:8">
      <c r="H28878" s="680" t="s">
        <v>6153</v>
      </c>
    </row>
    <row r="28879" spans="8:8">
      <c r="H28879" s="680" t="s">
        <v>6153</v>
      </c>
    </row>
    <row r="28880" spans="8:8">
      <c r="H28880" s="680" t="s">
        <v>6153</v>
      </c>
    </row>
    <row r="28881" spans="8:8">
      <c r="H28881" s="680" t="s">
        <v>6153</v>
      </c>
    </row>
    <row r="28882" spans="8:8">
      <c r="H28882" s="680" t="s">
        <v>6153</v>
      </c>
    </row>
    <row r="28883" spans="8:8">
      <c r="H28883" s="680" t="s">
        <v>6153</v>
      </c>
    </row>
    <row r="28884" spans="8:8">
      <c r="H28884" s="680" t="s">
        <v>6153</v>
      </c>
    </row>
    <row r="28885" spans="8:8">
      <c r="H28885" s="680" t="s">
        <v>6153</v>
      </c>
    </row>
    <row r="28886" spans="8:8">
      <c r="H28886" s="680" t="s">
        <v>6153</v>
      </c>
    </row>
    <row r="28887" spans="8:8">
      <c r="H28887" s="680" t="s">
        <v>6153</v>
      </c>
    </row>
    <row r="28888" spans="8:8">
      <c r="H28888" s="680" t="s">
        <v>6153</v>
      </c>
    </row>
    <row r="28889" spans="8:8">
      <c r="H28889" s="680" t="s">
        <v>6153</v>
      </c>
    </row>
    <row r="28890" spans="8:8">
      <c r="H28890" s="680" t="s">
        <v>6153</v>
      </c>
    </row>
    <row r="28891" spans="8:8">
      <c r="H28891" s="680" t="s">
        <v>6153</v>
      </c>
    </row>
    <row r="28892" spans="8:8">
      <c r="H28892" s="680" t="s">
        <v>6153</v>
      </c>
    </row>
    <row r="28893" spans="8:8">
      <c r="H28893" s="680" t="s">
        <v>6153</v>
      </c>
    </row>
    <row r="28894" spans="8:8">
      <c r="H28894" s="680" t="s">
        <v>6153</v>
      </c>
    </row>
    <row r="28895" spans="8:8">
      <c r="H28895" s="680" t="s">
        <v>6153</v>
      </c>
    </row>
    <row r="28896" spans="8:8">
      <c r="H28896" s="680" t="s">
        <v>6153</v>
      </c>
    </row>
    <row r="28897" spans="8:8">
      <c r="H28897" s="680" t="s">
        <v>6153</v>
      </c>
    </row>
    <row r="28898" spans="8:8">
      <c r="H28898" s="680" t="s">
        <v>6153</v>
      </c>
    </row>
    <row r="28899" spans="8:8">
      <c r="H28899" s="680" t="s">
        <v>6153</v>
      </c>
    </row>
    <row r="28900" spans="8:8">
      <c r="H28900" s="680" t="s">
        <v>6153</v>
      </c>
    </row>
    <row r="28901" spans="8:8">
      <c r="H28901" s="680" t="s">
        <v>6153</v>
      </c>
    </row>
    <row r="28902" spans="8:8">
      <c r="H28902" s="680" t="s">
        <v>6153</v>
      </c>
    </row>
    <row r="28903" spans="8:8">
      <c r="H28903" s="680" t="s">
        <v>6153</v>
      </c>
    </row>
    <row r="28904" spans="8:8">
      <c r="H28904" s="680" t="s">
        <v>6153</v>
      </c>
    </row>
    <row r="28905" spans="8:8">
      <c r="H28905" s="680" t="s">
        <v>6153</v>
      </c>
    </row>
    <row r="28906" spans="8:8">
      <c r="H28906" s="680" t="s">
        <v>6153</v>
      </c>
    </row>
    <row r="28907" spans="8:8">
      <c r="H28907" s="680" t="s">
        <v>6153</v>
      </c>
    </row>
    <row r="28908" spans="8:8">
      <c r="H28908" s="680" t="s">
        <v>6153</v>
      </c>
    </row>
    <row r="28909" spans="8:8">
      <c r="H28909" s="680" t="s">
        <v>6153</v>
      </c>
    </row>
    <row r="28910" spans="8:8">
      <c r="H28910" s="680" t="s">
        <v>6153</v>
      </c>
    </row>
    <row r="28911" spans="8:8">
      <c r="H28911" s="680" t="s">
        <v>6153</v>
      </c>
    </row>
    <row r="28912" spans="8:8">
      <c r="H28912" s="680" t="s">
        <v>6153</v>
      </c>
    </row>
    <row r="28913" spans="8:8">
      <c r="H28913" s="680" t="s">
        <v>6153</v>
      </c>
    </row>
    <row r="28914" spans="8:8">
      <c r="H28914" s="680" t="s">
        <v>6153</v>
      </c>
    </row>
    <row r="28915" spans="8:8">
      <c r="H28915" s="680" t="s">
        <v>6153</v>
      </c>
    </row>
    <row r="28916" spans="8:8">
      <c r="H28916" s="680" t="s">
        <v>6153</v>
      </c>
    </row>
    <row r="28917" spans="8:8">
      <c r="H28917" s="680" t="s">
        <v>6153</v>
      </c>
    </row>
    <row r="28918" spans="8:8">
      <c r="H28918" s="680" t="s">
        <v>6153</v>
      </c>
    </row>
    <row r="28919" spans="8:8">
      <c r="H28919" s="680" t="s">
        <v>6153</v>
      </c>
    </row>
    <row r="28920" spans="8:8">
      <c r="H28920" s="680" t="s">
        <v>6153</v>
      </c>
    </row>
    <row r="28921" spans="8:8">
      <c r="H28921" s="680" t="s">
        <v>6153</v>
      </c>
    </row>
    <row r="28922" spans="8:8">
      <c r="H28922" s="680" t="s">
        <v>6153</v>
      </c>
    </row>
    <row r="28923" spans="8:8">
      <c r="H28923" s="680" t="s">
        <v>6153</v>
      </c>
    </row>
    <row r="28924" spans="8:8">
      <c r="H28924" s="680" t="s">
        <v>6153</v>
      </c>
    </row>
    <row r="28925" spans="8:8">
      <c r="H28925" s="680" t="s">
        <v>6153</v>
      </c>
    </row>
    <row r="28926" spans="8:8">
      <c r="H28926" s="680" t="s">
        <v>6153</v>
      </c>
    </row>
    <row r="28927" spans="8:8">
      <c r="H28927" s="680" t="s">
        <v>6153</v>
      </c>
    </row>
    <row r="28928" spans="8:8">
      <c r="H28928" s="680" t="s">
        <v>6153</v>
      </c>
    </row>
    <row r="28929" spans="8:8">
      <c r="H28929" s="680" t="s">
        <v>6153</v>
      </c>
    </row>
    <row r="28930" spans="8:8">
      <c r="H28930" s="680" t="s">
        <v>6153</v>
      </c>
    </row>
    <row r="28931" spans="8:8">
      <c r="H28931" s="680" t="s">
        <v>6153</v>
      </c>
    </row>
    <row r="28932" spans="8:8">
      <c r="H28932" s="680" t="s">
        <v>6153</v>
      </c>
    </row>
    <row r="28933" spans="8:8">
      <c r="H28933" s="680" t="s">
        <v>6153</v>
      </c>
    </row>
    <row r="28934" spans="8:8">
      <c r="H28934" s="680" t="s">
        <v>6153</v>
      </c>
    </row>
    <row r="28935" spans="8:8">
      <c r="H28935" s="680" t="s">
        <v>6153</v>
      </c>
    </row>
    <row r="28936" spans="8:8">
      <c r="H28936" s="680" t="s">
        <v>6153</v>
      </c>
    </row>
    <row r="28937" spans="8:8">
      <c r="H28937" s="680" t="s">
        <v>6153</v>
      </c>
    </row>
    <row r="28938" spans="8:8">
      <c r="H28938" s="680" t="s">
        <v>6153</v>
      </c>
    </row>
    <row r="28939" spans="8:8">
      <c r="H28939" s="680" t="s">
        <v>6153</v>
      </c>
    </row>
    <row r="28940" spans="8:8">
      <c r="H28940" s="680" t="s">
        <v>6153</v>
      </c>
    </row>
    <row r="28941" spans="8:8">
      <c r="H28941" s="680" t="s">
        <v>6153</v>
      </c>
    </row>
    <row r="28942" spans="8:8">
      <c r="H28942" s="680" t="s">
        <v>6153</v>
      </c>
    </row>
    <row r="28943" spans="8:8">
      <c r="H28943" s="680" t="s">
        <v>6153</v>
      </c>
    </row>
    <row r="28944" spans="8:8">
      <c r="H28944" s="680" t="s">
        <v>6153</v>
      </c>
    </row>
    <row r="28945" spans="8:8">
      <c r="H28945" s="680" t="s">
        <v>6153</v>
      </c>
    </row>
    <row r="28946" spans="8:8">
      <c r="H28946" s="680" t="s">
        <v>6153</v>
      </c>
    </row>
    <row r="28947" spans="8:8">
      <c r="H28947" s="680" t="s">
        <v>6153</v>
      </c>
    </row>
    <row r="28948" spans="8:8">
      <c r="H28948" s="680" t="s">
        <v>6153</v>
      </c>
    </row>
    <row r="28949" spans="8:8">
      <c r="H28949" s="680" t="s">
        <v>6153</v>
      </c>
    </row>
    <row r="28950" spans="8:8">
      <c r="H28950" s="680" t="s">
        <v>6153</v>
      </c>
    </row>
    <row r="28951" spans="8:8">
      <c r="H28951" s="680" t="s">
        <v>6153</v>
      </c>
    </row>
    <row r="28952" spans="8:8">
      <c r="H28952" s="680" t="s">
        <v>6153</v>
      </c>
    </row>
    <row r="28953" spans="8:8">
      <c r="H28953" s="680" t="s">
        <v>6153</v>
      </c>
    </row>
    <row r="28954" spans="8:8">
      <c r="H28954" s="680" t="s">
        <v>6153</v>
      </c>
    </row>
    <row r="28955" spans="8:8">
      <c r="H28955" s="680" t="s">
        <v>6153</v>
      </c>
    </row>
    <row r="28956" spans="8:8">
      <c r="H28956" s="680" t="s">
        <v>6153</v>
      </c>
    </row>
    <row r="28957" spans="8:8">
      <c r="H28957" s="680" t="s">
        <v>6153</v>
      </c>
    </row>
    <row r="28958" spans="8:8">
      <c r="H28958" s="680" t="s">
        <v>6153</v>
      </c>
    </row>
    <row r="28959" spans="8:8">
      <c r="H28959" s="680" t="s">
        <v>6153</v>
      </c>
    </row>
    <row r="28960" spans="8:8">
      <c r="H28960" s="680" t="s">
        <v>6153</v>
      </c>
    </row>
    <row r="28961" spans="8:8">
      <c r="H28961" s="680" t="s">
        <v>6153</v>
      </c>
    </row>
    <row r="28962" spans="8:8">
      <c r="H28962" s="680" t="s">
        <v>6153</v>
      </c>
    </row>
    <row r="28963" spans="8:8">
      <c r="H28963" s="680" t="s">
        <v>6153</v>
      </c>
    </row>
    <row r="28964" spans="8:8">
      <c r="H28964" s="680" t="s">
        <v>6153</v>
      </c>
    </row>
    <row r="28965" spans="8:8">
      <c r="H28965" s="680" t="s">
        <v>6153</v>
      </c>
    </row>
    <row r="28966" spans="8:8">
      <c r="H28966" s="680" t="s">
        <v>6153</v>
      </c>
    </row>
    <row r="28967" spans="8:8">
      <c r="H28967" s="680" t="s">
        <v>6153</v>
      </c>
    </row>
    <row r="28968" spans="8:8">
      <c r="H28968" s="680" t="s">
        <v>6153</v>
      </c>
    </row>
    <row r="28969" spans="8:8">
      <c r="H28969" s="680" t="s">
        <v>6153</v>
      </c>
    </row>
    <row r="28970" spans="8:8">
      <c r="H28970" s="680" t="s">
        <v>6153</v>
      </c>
    </row>
    <row r="28971" spans="8:8">
      <c r="H28971" s="680" t="s">
        <v>6153</v>
      </c>
    </row>
    <row r="28972" spans="8:8">
      <c r="H28972" s="680" t="s">
        <v>6153</v>
      </c>
    </row>
    <row r="28973" spans="8:8">
      <c r="H28973" s="680" t="s">
        <v>6153</v>
      </c>
    </row>
    <row r="28974" spans="8:8">
      <c r="H28974" s="680" t="s">
        <v>6153</v>
      </c>
    </row>
    <row r="28975" spans="8:8">
      <c r="H28975" s="680" t="s">
        <v>6153</v>
      </c>
    </row>
    <row r="28976" spans="8:8">
      <c r="H28976" s="680" t="s">
        <v>6153</v>
      </c>
    </row>
    <row r="28977" spans="8:8">
      <c r="H28977" s="680" t="s">
        <v>6153</v>
      </c>
    </row>
    <row r="28978" spans="8:8">
      <c r="H28978" s="680" t="s">
        <v>6153</v>
      </c>
    </row>
    <row r="28979" spans="8:8">
      <c r="H28979" s="680" t="s">
        <v>6153</v>
      </c>
    </row>
    <row r="28980" spans="8:8">
      <c r="H28980" s="680" t="s">
        <v>6153</v>
      </c>
    </row>
    <row r="28981" spans="8:8">
      <c r="H28981" s="680" t="s">
        <v>6153</v>
      </c>
    </row>
    <row r="28982" spans="8:8">
      <c r="H28982" s="680" t="s">
        <v>6153</v>
      </c>
    </row>
    <row r="28983" spans="8:8">
      <c r="H28983" s="680" t="s">
        <v>6153</v>
      </c>
    </row>
    <row r="28984" spans="8:8">
      <c r="H28984" s="680" t="s">
        <v>6153</v>
      </c>
    </row>
    <row r="28985" spans="8:8">
      <c r="H28985" s="680" t="s">
        <v>6153</v>
      </c>
    </row>
    <row r="28986" spans="8:8">
      <c r="H28986" s="680" t="s">
        <v>6153</v>
      </c>
    </row>
    <row r="28987" spans="8:8">
      <c r="H28987" s="680" t="s">
        <v>6153</v>
      </c>
    </row>
    <row r="28988" spans="8:8">
      <c r="H28988" s="680" t="s">
        <v>6153</v>
      </c>
    </row>
    <row r="28989" spans="8:8">
      <c r="H28989" s="680" t="s">
        <v>6153</v>
      </c>
    </row>
    <row r="28990" spans="8:8">
      <c r="H28990" s="680" t="s">
        <v>6153</v>
      </c>
    </row>
    <row r="28991" spans="8:8">
      <c r="H28991" s="680" t="s">
        <v>6153</v>
      </c>
    </row>
    <row r="28992" spans="8:8">
      <c r="H28992" s="680" t="s">
        <v>6153</v>
      </c>
    </row>
    <row r="28993" spans="8:8">
      <c r="H28993" s="680" t="s">
        <v>6153</v>
      </c>
    </row>
    <row r="28994" spans="8:8">
      <c r="H28994" s="680" t="s">
        <v>6153</v>
      </c>
    </row>
    <row r="28995" spans="8:8">
      <c r="H28995" s="680" t="s">
        <v>6153</v>
      </c>
    </row>
    <row r="28996" spans="8:8">
      <c r="H28996" s="680" t="s">
        <v>6153</v>
      </c>
    </row>
    <row r="28997" spans="8:8">
      <c r="H28997" s="680" t="s">
        <v>6153</v>
      </c>
    </row>
    <row r="28998" spans="8:8">
      <c r="H28998" s="680" t="s">
        <v>6153</v>
      </c>
    </row>
    <row r="28999" spans="8:8">
      <c r="H28999" s="680" t="s">
        <v>6153</v>
      </c>
    </row>
    <row r="29000" spans="8:8">
      <c r="H29000" s="680" t="s">
        <v>6153</v>
      </c>
    </row>
    <row r="29001" spans="8:8">
      <c r="H29001" s="680" t="s">
        <v>6153</v>
      </c>
    </row>
    <row r="29002" spans="8:8">
      <c r="H29002" s="680" t="s">
        <v>6153</v>
      </c>
    </row>
    <row r="29003" spans="8:8">
      <c r="H29003" s="680" t="s">
        <v>6153</v>
      </c>
    </row>
    <row r="29004" spans="8:8">
      <c r="H29004" s="680" t="s">
        <v>6153</v>
      </c>
    </row>
    <row r="29005" spans="8:8">
      <c r="H29005" s="680" t="s">
        <v>6153</v>
      </c>
    </row>
    <row r="29006" spans="8:8">
      <c r="H29006" s="680" t="s">
        <v>6153</v>
      </c>
    </row>
    <row r="29007" spans="8:8">
      <c r="H29007" s="680" t="s">
        <v>6153</v>
      </c>
    </row>
    <row r="29008" spans="8:8">
      <c r="H29008" s="680" t="s">
        <v>6153</v>
      </c>
    </row>
    <row r="29009" spans="8:8">
      <c r="H29009" s="680" t="s">
        <v>6153</v>
      </c>
    </row>
    <row r="29010" spans="8:8">
      <c r="H29010" s="680" t="s">
        <v>6153</v>
      </c>
    </row>
    <row r="29011" spans="8:8">
      <c r="H29011" s="680" t="s">
        <v>6153</v>
      </c>
    </row>
    <row r="29012" spans="8:8">
      <c r="H29012" s="680" t="s">
        <v>6153</v>
      </c>
    </row>
    <row r="29013" spans="8:8">
      <c r="H29013" s="680" t="s">
        <v>6153</v>
      </c>
    </row>
    <row r="29014" spans="8:8">
      <c r="H29014" s="680" t="s">
        <v>6153</v>
      </c>
    </row>
    <row r="29015" spans="8:8">
      <c r="H29015" s="680" t="s">
        <v>6153</v>
      </c>
    </row>
    <row r="29016" spans="8:8">
      <c r="H29016" s="680" t="s">
        <v>6153</v>
      </c>
    </row>
    <row r="29017" spans="8:8">
      <c r="H29017" s="680" t="s">
        <v>6153</v>
      </c>
    </row>
    <row r="29018" spans="8:8">
      <c r="H29018" s="680" t="s">
        <v>6153</v>
      </c>
    </row>
    <row r="29019" spans="8:8">
      <c r="H29019" s="680" t="s">
        <v>6153</v>
      </c>
    </row>
    <row r="29020" spans="8:8">
      <c r="H29020" s="680" t="s">
        <v>6153</v>
      </c>
    </row>
    <row r="29021" spans="8:8">
      <c r="H29021" s="680" t="s">
        <v>6153</v>
      </c>
    </row>
    <row r="29022" spans="8:8">
      <c r="H29022" s="680" t="s">
        <v>6153</v>
      </c>
    </row>
    <row r="29023" spans="8:8">
      <c r="H29023" s="680" t="s">
        <v>6153</v>
      </c>
    </row>
    <row r="29024" spans="8:8">
      <c r="H29024" s="680" t="s">
        <v>6153</v>
      </c>
    </row>
    <row r="29025" spans="8:8">
      <c r="H29025" s="680" t="s">
        <v>6153</v>
      </c>
    </row>
    <row r="29026" spans="8:8">
      <c r="H29026" s="680" t="s">
        <v>6153</v>
      </c>
    </row>
    <row r="29027" spans="8:8">
      <c r="H29027" s="680" t="s">
        <v>6153</v>
      </c>
    </row>
    <row r="29028" spans="8:8">
      <c r="H29028" s="680" t="s">
        <v>6153</v>
      </c>
    </row>
    <row r="29029" spans="8:8">
      <c r="H29029" s="680" t="s">
        <v>6153</v>
      </c>
    </row>
    <row r="29030" spans="8:8">
      <c r="H29030" s="680" t="s">
        <v>6153</v>
      </c>
    </row>
    <row r="29031" spans="8:8">
      <c r="H29031" s="680" t="s">
        <v>6153</v>
      </c>
    </row>
    <row r="29032" spans="8:8">
      <c r="H29032" s="680" t="s">
        <v>6153</v>
      </c>
    </row>
    <row r="29033" spans="8:8">
      <c r="H29033" s="680" t="s">
        <v>6153</v>
      </c>
    </row>
    <row r="29034" spans="8:8">
      <c r="H29034" s="680" t="s">
        <v>6153</v>
      </c>
    </row>
    <row r="29035" spans="8:8">
      <c r="H29035" s="680" t="s">
        <v>6153</v>
      </c>
    </row>
    <row r="29036" spans="8:8">
      <c r="H29036" s="680" t="s">
        <v>6153</v>
      </c>
    </row>
    <row r="29037" spans="8:8">
      <c r="H29037" s="680" t="s">
        <v>6153</v>
      </c>
    </row>
    <row r="29038" spans="8:8">
      <c r="H29038" s="680" t="s">
        <v>6153</v>
      </c>
    </row>
    <row r="29039" spans="8:8">
      <c r="H29039" s="680" t="s">
        <v>6153</v>
      </c>
    </row>
    <row r="29040" spans="8:8">
      <c r="H29040" s="680" t="s">
        <v>6153</v>
      </c>
    </row>
    <row r="29041" spans="8:8">
      <c r="H29041" s="680" t="s">
        <v>6153</v>
      </c>
    </row>
    <row r="29042" spans="8:8">
      <c r="H29042" s="680" t="s">
        <v>6153</v>
      </c>
    </row>
    <row r="29043" spans="8:8">
      <c r="H29043" s="680" t="s">
        <v>6153</v>
      </c>
    </row>
    <row r="29044" spans="8:8">
      <c r="H29044" s="680" t="s">
        <v>6153</v>
      </c>
    </row>
    <row r="29045" spans="8:8">
      <c r="H29045" s="680" t="s">
        <v>6153</v>
      </c>
    </row>
    <row r="29046" spans="8:8">
      <c r="H29046" s="680" t="s">
        <v>6153</v>
      </c>
    </row>
    <row r="29047" spans="8:8">
      <c r="H29047" s="680" t="s">
        <v>6153</v>
      </c>
    </row>
    <row r="29048" spans="8:8">
      <c r="H29048" s="680" t="s">
        <v>6153</v>
      </c>
    </row>
    <row r="29049" spans="8:8">
      <c r="H29049" s="680" t="s">
        <v>6153</v>
      </c>
    </row>
    <row r="29050" spans="8:8">
      <c r="H29050" s="680" t="s">
        <v>6153</v>
      </c>
    </row>
    <row r="29051" spans="8:8">
      <c r="H29051" s="680" t="s">
        <v>6153</v>
      </c>
    </row>
    <row r="29052" spans="8:8">
      <c r="H29052" s="680" t="s">
        <v>6153</v>
      </c>
    </row>
    <row r="29053" spans="8:8">
      <c r="H29053" s="680" t="s">
        <v>6153</v>
      </c>
    </row>
    <row r="29054" spans="8:8">
      <c r="H29054" s="680" t="s">
        <v>6153</v>
      </c>
    </row>
    <row r="29055" spans="8:8">
      <c r="H29055" s="680" t="s">
        <v>6153</v>
      </c>
    </row>
    <row r="29056" spans="8:8">
      <c r="H29056" s="680" t="s">
        <v>6153</v>
      </c>
    </row>
    <row r="29057" spans="8:8">
      <c r="H29057" s="680" t="s">
        <v>6153</v>
      </c>
    </row>
    <row r="29058" spans="8:8">
      <c r="H29058" s="680" t="s">
        <v>6153</v>
      </c>
    </row>
    <row r="29059" spans="8:8">
      <c r="H29059" s="680" t="s">
        <v>6153</v>
      </c>
    </row>
    <row r="29060" spans="8:8">
      <c r="H29060" s="680" t="s">
        <v>6153</v>
      </c>
    </row>
    <row r="29061" spans="8:8">
      <c r="H29061" s="680" t="s">
        <v>6153</v>
      </c>
    </row>
    <row r="29062" spans="8:8">
      <c r="H29062" s="680" t="s">
        <v>6153</v>
      </c>
    </row>
    <row r="29063" spans="8:8">
      <c r="H29063" s="680" t="s">
        <v>6153</v>
      </c>
    </row>
    <row r="29064" spans="8:8">
      <c r="H29064" s="680" t="s">
        <v>6153</v>
      </c>
    </row>
    <row r="29065" spans="8:8">
      <c r="H29065" s="680" t="s">
        <v>6153</v>
      </c>
    </row>
    <row r="29066" spans="8:8">
      <c r="H29066" s="680" t="s">
        <v>6153</v>
      </c>
    </row>
    <row r="29067" spans="8:8">
      <c r="H29067" s="680" t="s">
        <v>6153</v>
      </c>
    </row>
    <row r="29068" spans="8:8">
      <c r="H29068" s="680" t="s">
        <v>6153</v>
      </c>
    </row>
    <row r="29069" spans="8:8">
      <c r="H29069" s="680" t="s">
        <v>6153</v>
      </c>
    </row>
    <row r="29070" spans="8:8">
      <c r="H29070" s="680" t="s">
        <v>6153</v>
      </c>
    </row>
    <row r="29071" spans="8:8">
      <c r="H29071" s="680" t="s">
        <v>6153</v>
      </c>
    </row>
    <row r="29072" spans="8:8">
      <c r="H29072" s="680" t="s">
        <v>6153</v>
      </c>
    </row>
    <row r="29073" spans="8:8">
      <c r="H29073" s="680" t="s">
        <v>6153</v>
      </c>
    </row>
    <row r="29074" spans="8:8">
      <c r="H29074" s="680" t="s">
        <v>6153</v>
      </c>
    </row>
    <row r="29075" spans="8:8">
      <c r="H29075" s="680" t="s">
        <v>6153</v>
      </c>
    </row>
    <row r="29076" spans="8:8">
      <c r="H29076" s="680" t="s">
        <v>6153</v>
      </c>
    </row>
    <row r="29077" spans="8:8">
      <c r="H29077" s="680" t="s">
        <v>6153</v>
      </c>
    </row>
    <row r="29078" spans="8:8">
      <c r="H29078" s="680" t="s">
        <v>6153</v>
      </c>
    </row>
    <row r="29079" spans="8:8">
      <c r="H29079" s="680" t="s">
        <v>6153</v>
      </c>
    </row>
    <row r="29080" spans="8:8">
      <c r="H29080" s="680" t="s">
        <v>6153</v>
      </c>
    </row>
    <row r="29081" spans="8:8">
      <c r="H29081" s="680" t="s">
        <v>6153</v>
      </c>
    </row>
    <row r="29082" spans="8:8">
      <c r="H29082" s="680" t="s">
        <v>6153</v>
      </c>
    </row>
    <row r="29083" spans="8:8">
      <c r="H29083" s="680" t="s">
        <v>6153</v>
      </c>
    </row>
    <row r="29084" spans="8:8">
      <c r="H29084" s="680" t="s">
        <v>6153</v>
      </c>
    </row>
    <row r="29085" spans="8:8">
      <c r="H29085" s="680" t="s">
        <v>6153</v>
      </c>
    </row>
    <row r="29086" spans="8:8">
      <c r="H29086" s="680" t="s">
        <v>6153</v>
      </c>
    </row>
    <row r="29087" spans="8:8">
      <c r="H29087" s="680" t="s">
        <v>6153</v>
      </c>
    </row>
    <row r="29088" spans="8:8">
      <c r="H29088" s="680" t="s">
        <v>6153</v>
      </c>
    </row>
    <row r="29089" spans="8:8">
      <c r="H29089" s="680" t="s">
        <v>6153</v>
      </c>
    </row>
    <row r="29090" spans="8:8">
      <c r="H29090" s="680" t="s">
        <v>6153</v>
      </c>
    </row>
    <row r="29091" spans="8:8">
      <c r="H29091" s="680" t="s">
        <v>6153</v>
      </c>
    </row>
    <row r="29092" spans="8:8">
      <c r="H29092" s="680" t="s">
        <v>6153</v>
      </c>
    </row>
    <row r="29093" spans="8:8">
      <c r="H29093" s="680" t="s">
        <v>6153</v>
      </c>
    </row>
    <row r="29094" spans="8:8">
      <c r="H29094" s="680" t="s">
        <v>6153</v>
      </c>
    </row>
    <row r="29095" spans="8:8">
      <c r="H29095" s="680" t="s">
        <v>6153</v>
      </c>
    </row>
    <row r="29096" spans="8:8">
      <c r="H29096" s="680" t="s">
        <v>6153</v>
      </c>
    </row>
    <row r="29097" spans="8:8">
      <c r="H29097" s="680" t="s">
        <v>6153</v>
      </c>
    </row>
    <row r="29098" spans="8:8">
      <c r="H29098" s="680" t="s">
        <v>6153</v>
      </c>
    </row>
    <row r="29099" spans="8:8">
      <c r="H29099" s="680" t="s">
        <v>6153</v>
      </c>
    </row>
    <row r="29100" spans="8:8">
      <c r="H29100" s="680" t="s">
        <v>6153</v>
      </c>
    </row>
    <row r="29101" spans="8:8">
      <c r="H29101" s="680" t="s">
        <v>6153</v>
      </c>
    </row>
    <row r="29102" spans="8:8">
      <c r="H29102" s="680" t="s">
        <v>6153</v>
      </c>
    </row>
    <row r="29103" spans="8:8">
      <c r="H29103" s="680" t="s">
        <v>6153</v>
      </c>
    </row>
    <row r="29104" spans="8:8">
      <c r="H29104" s="680" t="s">
        <v>6153</v>
      </c>
    </row>
    <row r="29105" spans="8:8">
      <c r="H29105" s="680" t="s">
        <v>6153</v>
      </c>
    </row>
    <row r="29106" spans="8:8">
      <c r="H29106" s="680" t="s">
        <v>6153</v>
      </c>
    </row>
    <row r="29107" spans="8:8">
      <c r="H29107" s="680" t="s">
        <v>6153</v>
      </c>
    </row>
    <row r="29108" spans="8:8">
      <c r="H29108" s="680" t="s">
        <v>6153</v>
      </c>
    </row>
    <row r="29109" spans="8:8">
      <c r="H29109" s="680" t="s">
        <v>6153</v>
      </c>
    </row>
    <row r="29110" spans="8:8">
      <c r="H29110" s="680" t="s">
        <v>6153</v>
      </c>
    </row>
    <row r="29111" spans="8:8">
      <c r="H29111" s="680" t="s">
        <v>6153</v>
      </c>
    </row>
    <row r="29112" spans="8:8">
      <c r="H29112" s="680" t="s">
        <v>6153</v>
      </c>
    </row>
    <row r="29113" spans="8:8">
      <c r="H29113" s="680" t="s">
        <v>6153</v>
      </c>
    </row>
    <row r="29114" spans="8:8">
      <c r="H29114" s="680" t="s">
        <v>6153</v>
      </c>
    </row>
    <row r="29115" spans="8:8">
      <c r="H29115" s="680" t="s">
        <v>6153</v>
      </c>
    </row>
    <row r="29116" spans="8:8">
      <c r="H29116" s="680" t="s">
        <v>6153</v>
      </c>
    </row>
    <row r="29117" spans="8:8">
      <c r="H29117" s="680" t="s">
        <v>6153</v>
      </c>
    </row>
    <row r="29118" spans="8:8">
      <c r="H29118" s="680" t="s">
        <v>6153</v>
      </c>
    </row>
    <row r="29119" spans="8:8">
      <c r="H29119" s="680" t="s">
        <v>6153</v>
      </c>
    </row>
    <row r="29120" spans="8:8">
      <c r="H29120" s="680" t="s">
        <v>6153</v>
      </c>
    </row>
    <row r="29121" spans="8:8">
      <c r="H29121" s="680" t="s">
        <v>6153</v>
      </c>
    </row>
    <row r="29122" spans="8:8">
      <c r="H29122" s="680" t="s">
        <v>6153</v>
      </c>
    </row>
    <row r="29123" spans="8:8">
      <c r="H29123" s="680" t="s">
        <v>6153</v>
      </c>
    </row>
    <row r="29124" spans="8:8">
      <c r="H29124" s="680" t="s">
        <v>6153</v>
      </c>
    </row>
    <row r="29125" spans="8:8">
      <c r="H29125" s="680" t="s">
        <v>6153</v>
      </c>
    </row>
    <row r="29126" spans="8:8">
      <c r="H29126" s="680" t="s">
        <v>6153</v>
      </c>
    </row>
    <row r="29127" spans="8:8">
      <c r="H29127" s="680" t="s">
        <v>6153</v>
      </c>
    </row>
    <row r="29128" spans="8:8">
      <c r="H29128" s="680" t="s">
        <v>6153</v>
      </c>
    </row>
    <row r="29129" spans="8:8">
      <c r="H29129" s="680" t="s">
        <v>6153</v>
      </c>
    </row>
    <row r="29130" spans="8:8">
      <c r="H29130" s="680" t="s">
        <v>6153</v>
      </c>
    </row>
    <row r="29131" spans="8:8">
      <c r="H29131" s="680" t="s">
        <v>6153</v>
      </c>
    </row>
    <row r="29132" spans="8:8">
      <c r="H29132" s="680" t="s">
        <v>6153</v>
      </c>
    </row>
    <row r="29133" spans="8:8">
      <c r="H29133" s="680" t="s">
        <v>6153</v>
      </c>
    </row>
    <row r="29134" spans="8:8">
      <c r="H29134" s="680" t="s">
        <v>6153</v>
      </c>
    </row>
    <row r="29135" spans="8:8">
      <c r="H29135" s="680" t="s">
        <v>6153</v>
      </c>
    </row>
    <row r="29136" spans="8:8">
      <c r="H29136" s="680" t="s">
        <v>6153</v>
      </c>
    </row>
    <row r="29137" spans="8:8">
      <c r="H29137" s="680" t="s">
        <v>6153</v>
      </c>
    </row>
    <row r="29138" spans="8:8">
      <c r="H29138" s="680" t="s">
        <v>6153</v>
      </c>
    </row>
    <row r="29139" spans="8:8">
      <c r="H29139" s="680" t="s">
        <v>6153</v>
      </c>
    </row>
    <row r="29140" spans="8:8">
      <c r="H29140" s="680" t="s">
        <v>6153</v>
      </c>
    </row>
    <row r="29141" spans="8:8">
      <c r="H29141" s="680" t="s">
        <v>6153</v>
      </c>
    </row>
    <row r="29142" spans="8:8">
      <c r="H29142" s="680" t="s">
        <v>6153</v>
      </c>
    </row>
    <row r="29143" spans="8:8">
      <c r="H29143" s="680" t="s">
        <v>6153</v>
      </c>
    </row>
    <row r="29144" spans="8:8">
      <c r="H29144" s="680" t="s">
        <v>6153</v>
      </c>
    </row>
    <row r="29145" spans="8:8">
      <c r="H29145" s="680" t="s">
        <v>6153</v>
      </c>
    </row>
    <row r="29146" spans="8:8">
      <c r="H29146" s="680" t="s">
        <v>6153</v>
      </c>
    </row>
    <row r="29147" spans="8:8">
      <c r="H29147" s="680" t="s">
        <v>6153</v>
      </c>
    </row>
    <row r="29148" spans="8:8">
      <c r="H29148" s="680" t="s">
        <v>6153</v>
      </c>
    </row>
    <row r="29149" spans="8:8">
      <c r="H29149" s="680" t="s">
        <v>6153</v>
      </c>
    </row>
    <row r="29150" spans="8:8">
      <c r="H29150" s="680" t="s">
        <v>6153</v>
      </c>
    </row>
    <row r="29151" spans="8:8">
      <c r="H29151" s="680" t="s">
        <v>6153</v>
      </c>
    </row>
    <row r="29152" spans="8:8">
      <c r="H29152" s="680" t="s">
        <v>6153</v>
      </c>
    </row>
    <row r="29153" spans="8:8">
      <c r="H29153" s="680" t="s">
        <v>6153</v>
      </c>
    </row>
    <row r="29154" spans="8:8">
      <c r="H29154" s="680" t="s">
        <v>6153</v>
      </c>
    </row>
    <row r="29155" spans="8:8">
      <c r="H29155" s="680" t="s">
        <v>6153</v>
      </c>
    </row>
    <row r="29156" spans="8:8">
      <c r="H29156" s="680" t="s">
        <v>6153</v>
      </c>
    </row>
    <row r="29157" spans="8:8">
      <c r="H29157" s="680" t="s">
        <v>6153</v>
      </c>
    </row>
    <row r="29158" spans="8:8">
      <c r="H29158" s="680" t="s">
        <v>6153</v>
      </c>
    </row>
    <row r="29159" spans="8:8">
      <c r="H29159" s="680" t="s">
        <v>6153</v>
      </c>
    </row>
    <row r="29160" spans="8:8">
      <c r="H29160" s="680" t="s">
        <v>6153</v>
      </c>
    </row>
    <row r="29161" spans="8:8">
      <c r="H29161" s="680" t="s">
        <v>6153</v>
      </c>
    </row>
    <row r="29162" spans="8:8">
      <c r="H29162" s="680" t="s">
        <v>6153</v>
      </c>
    </row>
    <row r="29163" spans="8:8">
      <c r="H29163" s="680" t="s">
        <v>6153</v>
      </c>
    </row>
    <row r="29164" spans="8:8">
      <c r="H29164" s="680" t="s">
        <v>6153</v>
      </c>
    </row>
    <row r="29165" spans="8:8">
      <c r="H29165" s="680" t="s">
        <v>6153</v>
      </c>
    </row>
    <row r="29166" spans="8:8">
      <c r="H29166" s="680" t="s">
        <v>6153</v>
      </c>
    </row>
    <row r="29167" spans="8:8">
      <c r="H29167" s="680" t="s">
        <v>6153</v>
      </c>
    </row>
    <row r="29168" spans="8:8">
      <c r="H29168" s="680" t="s">
        <v>6153</v>
      </c>
    </row>
    <row r="29169" spans="8:8">
      <c r="H29169" s="680" t="s">
        <v>6153</v>
      </c>
    </row>
    <row r="29170" spans="8:8">
      <c r="H29170" s="680" t="s">
        <v>6153</v>
      </c>
    </row>
    <row r="29171" spans="8:8">
      <c r="H29171" s="680" t="s">
        <v>6153</v>
      </c>
    </row>
    <row r="29172" spans="8:8">
      <c r="H29172" s="680" t="s">
        <v>6153</v>
      </c>
    </row>
    <row r="29173" spans="8:8">
      <c r="H29173" s="680" t="s">
        <v>6153</v>
      </c>
    </row>
    <row r="29174" spans="8:8">
      <c r="H29174" s="680" t="s">
        <v>6153</v>
      </c>
    </row>
    <row r="29175" spans="8:8">
      <c r="H29175" s="680" t="s">
        <v>6153</v>
      </c>
    </row>
    <row r="29176" spans="8:8">
      <c r="H29176" s="680" t="s">
        <v>6153</v>
      </c>
    </row>
    <row r="29177" spans="8:8">
      <c r="H29177" s="680" t="s">
        <v>6153</v>
      </c>
    </row>
    <row r="29178" spans="8:8">
      <c r="H29178" s="680" t="s">
        <v>6153</v>
      </c>
    </row>
    <row r="29179" spans="8:8">
      <c r="H29179" s="680" t="s">
        <v>6153</v>
      </c>
    </row>
    <row r="29180" spans="8:8">
      <c r="H29180" s="680" t="s">
        <v>6153</v>
      </c>
    </row>
    <row r="29181" spans="8:8">
      <c r="H29181" s="680" t="s">
        <v>6153</v>
      </c>
    </row>
    <row r="29182" spans="8:8">
      <c r="H29182" s="680" t="s">
        <v>6153</v>
      </c>
    </row>
    <row r="29183" spans="8:8">
      <c r="H29183" s="680" t="s">
        <v>6153</v>
      </c>
    </row>
    <row r="29184" spans="8:8">
      <c r="H29184" s="680" t="s">
        <v>6153</v>
      </c>
    </row>
    <row r="29185" spans="8:8">
      <c r="H29185" s="680" t="s">
        <v>6153</v>
      </c>
    </row>
    <row r="29186" spans="8:8">
      <c r="H29186" s="680" t="s">
        <v>6153</v>
      </c>
    </row>
    <row r="29187" spans="8:8">
      <c r="H29187" s="680" t="s">
        <v>6153</v>
      </c>
    </row>
    <row r="29188" spans="8:8">
      <c r="H29188" s="680" t="s">
        <v>6153</v>
      </c>
    </row>
    <row r="29189" spans="8:8">
      <c r="H29189" s="680" t="s">
        <v>6153</v>
      </c>
    </row>
    <row r="29190" spans="8:8">
      <c r="H29190" s="680" t="s">
        <v>6153</v>
      </c>
    </row>
    <row r="29191" spans="8:8">
      <c r="H29191" s="680" t="s">
        <v>6153</v>
      </c>
    </row>
    <row r="29192" spans="8:8">
      <c r="H29192" s="680" t="s">
        <v>6153</v>
      </c>
    </row>
    <row r="29193" spans="8:8">
      <c r="H29193" s="680" t="s">
        <v>6153</v>
      </c>
    </row>
    <row r="29194" spans="8:8">
      <c r="H29194" s="680" t="s">
        <v>6153</v>
      </c>
    </row>
    <row r="29195" spans="8:8">
      <c r="H29195" s="680" t="s">
        <v>6153</v>
      </c>
    </row>
    <row r="29196" spans="8:8">
      <c r="H29196" s="680" t="s">
        <v>6153</v>
      </c>
    </row>
    <row r="29197" spans="8:8">
      <c r="H29197" s="680" t="s">
        <v>6153</v>
      </c>
    </row>
    <row r="29198" spans="8:8">
      <c r="H29198" s="680" t="s">
        <v>6153</v>
      </c>
    </row>
    <row r="29199" spans="8:8">
      <c r="H29199" s="680" t="s">
        <v>6153</v>
      </c>
    </row>
    <row r="29200" spans="8:8">
      <c r="H29200" s="680" t="s">
        <v>6153</v>
      </c>
    </row>
    <row r="29201" spans="8:8">
      <c r="H29201" s="680" t="s">
        <v>6153</v>
      </c>
    </row>
    <row r="29202" spans="8:8">
      <c r="H29202" s="680" t="s">
        <v>6153</v>
      </c>
    </row>
    <row r="29203" spans="8:8">
      <c r="H29203" s="680" t="s">
        <v>6153</v>
      </c>
    </row>
    <row r="29204" spans="8:8">
      <c r="H29204" s="680" t="s">
        <v>6153</v>
      </c>
    </row>
    <row r="29205" spans="8:8">
      <c r="H29205" s="680" t="s">
        <v>6153</v>
      </c>
    </row>
    <row r="29206" spans="8:8">
      <c r="H29206" s="680" t="s">
        <v>6153</v>
      </c>
    </row>
    <row r="29207" spans="8:8">
      <c r="H29207" s="680" t="s">
        <v>6153</v>
      </c>
    </row>
    <row r="29208" spans="8:8">
      <c r="H29208" s="680" t="s">
        <v>6153</v>
      </c>
    </row>
    <row r="29209" spans="8:8">
      <c r="H29209" s="680" t="s">
        <v>6153</v>
      </c>
    </row>
    <row r="29210" spans="8:8">
      <c r="H29210" s="680" t="s">
        <v>6153</v>
      </c>
    </row>
    <row r="29211" spans="8:8">
      <c r="H29211" s="680" t="s">
        <v>6153</v>
      </c>
    </row>
    <row r="29212" spans="8:8">
      <c r="H29212" s="680" t="s">
        <v>6153</v>
      </c>
    </row>
    <row r="29213" spans="8:8">
      <c r="H29213" s="680" t="s">
        <v>6153</v>
      </c>
    </row>
    <row r="29214" spans="8:8">
      <c r="H29214" s="680" t="s">
        <v>6153</v>
      </c>
    </row>
    <row r="29215" spans="8:8">
      <c r="H29215" s="680" t="s">
        <v>6153</v>
      </c>
    </row>
    <row r="29216" spans="8:8">
      <c r="H29216" s="680" t="s">
        <v>6153</v>
      </c>
    </row>
    <row r="29217" spans="8:8">
      <c r="H29217" s="680" t="s">
        <v>6153</v>
      </c>
    </row>
    <row r="29218" spans="8:8">
      <c r="H29218" s="680" t="s">
        <v>6153</v>
      </c>
    </row>
    <row r="29219" spans="8:8">
      <c r="H29219" s="680" t="s">
        <v>6153</v>
      </c>
    </row>
    <row r="29220" spans="8:8">
      <c r="H29220" s="680" t="s">
        <v>6153</v>
      </c>
    </row>
    <row r="29221" spans="8:8">
      <c r="H29221" s="680" t="s">
        <v>6153</v>
      </c>
    </row>
    <row r="29222" spans="8:8">
      <c r="H29222" s="680" t="s">
        <v>6153</v>
      </c>
    </row>
    <row r="29223" spans="8:8">
      <c r="H29223" s="680" t="s">
        <v>6153</v>
      </c>
    </row>
    <row r="29224" spans="8:8">
      <c r="H29224" s="680" t="s">
        <v>6153</v>
      </c>
    </row>
    <row r="29225" spans="8:8">
      <c r="H29225" s="680" t="s">
        <v>6153</v>
      </c>
    </row>
    <row r="29226" spans="8:8">
      <c r="H29226" s="680" t="s">
        <v>6153</v>
      </c>
    </row>
    <row r="29227" spans="8:8">
      <c r="H29227" s="680" t="s">
        <v>6153</v>
      </c>
    </row>
    <row r="29228" spans="8:8">
      <c r="H29228" s="680" t="s">
        <v>6153</v>
      </c>
    </row>
    <row r="29229" spans="8:8">
      <c r="H29229" s="680" t="s">
        <v>6153</v>
      </c>
    </row>
    <row r="29230" spans="8:8">
      <c r="H29230" s="680" t="s">
        <v>6153</v>
      </c>
    </row>
    <row r="29231" spans="8:8">
      <c r="H29231" s="680" t="s">
        <v>6153</v>
      </c>
    </row>
    <row r="29232" spans="8:8">
      <c r="H29232" s="680" t="s">
        <v>6153</v>
      </c>
    </row>
    <row r="29233" spans="8:8">
      <c r="H29233" s="680" t="s">
        <v>6153</v>
      </c>
    </row>
    <row r="29234" spans="8:8">
      <c r="H29234" s="680" t="s">
        <v>6153</v>
      </c>
    </row>
    <row r="29235" spans="8:8">
      <c r="H29235" s="680" t="s">
        <v>6153</v>
      </c>
    </row>
    <row r="29236" spans="8:8">
      <c r="H29236" s="680" t="s">
        <v>6153</v>
      </c>
    </row>
    <row r="29237" spans="8:8">
      <c r="H29237" s="680" t="s">
        <v>6153</v>
      </c>
    </row>
    <row r="29238" spans="8:8">
      <c r="H29238" s="680" t="s">
        <v>6153</v>
      </c>
    </row>
    <row r="29239" spans="8:8">
      <c r="H29239" s="680" t="s">
        <v>6153</v>
      </c>
    </row>
    <row r="29240" spans="8:8">
      <c r="H29240" s="680" t="s">
        <v>6153</v>
      </c>
    </row>
    <row r="29241" spans="8:8">
      <c r="H29241" s="680" t="s">
        <v>6153</v>
      </c>
    </row>
    <row r="29242" spans="8:8">
      <c r="H29242" s="680" t="s">
        <v>6153</v>
      </c>
    </row>
    <row r="29243" spans="8:8">
      <c r="H29243" s="680" t="s">
        <v>6153</v>
      </c>
    </row>
    <row r="29244" spans="8:8">
      <c r="H29244" s="680" t="s">
        <v>6153</v>
      </c>
    </row>
    <row r="29245" spans="8:8">
      <c r="H29245" s="680" t="s">
        <v>6153</v>
      </c>
    </row>
    <row r="29246" spans="8:8">
      <c r="H29246" s="680" t="s">
        <v>6153</v>
      </c>
    </row>
    <row r="29247" spans="8:8">
      <c r="H29247" s="680" t="s">
        <v>6153</v>
      </c>
    </row>
    <row r="29248" spans="8:8">
      <c r="H29248" s="680" t="s">
        <v>6153</v>
      </c>
    </row>
    <row r="29249" spans="8:8">
      <c r="H29249" s="680" t="s">
        <v>6153</v>
      </c>
    </row>
    <row r="29250" spans="8:8">
      <c r="H29250" s="680" t="s">
        <v>6153</v>
      </c>
    </row>
    <row r="29251" spans="8:8">
      <c r="H29251" s="680" t="s">
        <v>6153</v>
      </c>
    </row>
    <row r="29252" spans="8:8">
      <c r="H29252" s="680" t="s">
        <v>6153</v>
      </c>
    </row>
    <row r="29253" spans="8:8">
      <c r="H29253" s="680" t="s">
        <v>6153</v>
      </c>
    </row>
    <row r="29254" spans="8:8">
      <c r="H29254" s="680" t="s">
        <v>6153</v>
      </c>
    </row>
    <row r="29255" spans="8:8">
      <c r="H29255" s="680" t="s">
        <v>6153</v>
      </c>
    </row>
    <row r="29256" spans="8:8">
      <c r="H29256" s="680" t="s">
        <v>6153</v>
      </c>
    </row>
    <row r="29257" spans="8:8">
      <c r="H29257" s="680" t="s">
        <v>6153</v>
      </c>
    </row>
    <row r="29258" spans="8:8">
      <c r="H29258" s="680" t="s">
        <v>6153</v>
      </c>
    </row>
    <row r="29259" spans="8:8">
      <c r="H29259" s="680" t="s">
        <v>6153</v>
      </c>
    </row>
    <row r="29260" spans="8:8">
      <c r="H29260" s="680" t="s">
        <v>6153</v>
      </c>
    </row>
    <row r="29261" spans="8:8">
      <c r="H29261" s="680" t="s">
        <v>6153</v>
      </c>
    </row>
    <row r="29262" spans="8:8">
      <c r="H29262" s="680" t="s">
        <v>6153</v>
      </c>
    </row>
    <row r="29263" spans="8:8">
      <c r="H29263" s="680" t="s">
        <v>6153</v>
      </c>
    </row>
    <row r="29264" spans="8:8">
      <c r="H29264" s="680" t="s">
        <v>6153</v>
      </c>
    </row>
    <row r="29265" spans="8:8">
      <c r="H29265" s="680" t="s">
        <v>6153</v>
      </c>
    </row>
    <row r="29266" spans="8:8">
      <c r="H29266" s="680" t="s">
        <v>6153</v>
      </c>
    </row>
    <row r="29267" spans="8:8">
      <c r="H29267" s="680" t="s">
        <v>6153</v>
      </c>
    </row>
    <row r="29268" spans="8:8">
      <c r="H29268" s="680" t="s">
        <v>6153</v>
      </c>
    </row>
    <row r="29269" spans="8:8">
      <c r="H29269" s="680" t="s">
        <v>6153</v>
      </c>
    </row>
    <row r="29270" spans="8:8">
      <c r="H29270" s="680" t="s">
        <v>6153</v>
      </c>
    </row>
    <row r="29271" spans="8:8">
      <c r="H29271" s="680" t="s">
        <v>6153</v>
      </c>
    </row>
    <row r="29272" spans="8:8">
      <c r="H29272" s="680" t="s">
        <v>6153</v>
      </c>
    </row>
    <row r="29273" spans="8:8">
      <c r="H29273" s="680" t="s">
        <v>6153</v>
      </c>
    </row>
    <row r="29274" spans="8:8">
      <c r="H29274" s="680" t="s">
        <v>6153</v>
      </c>
    </row>
    <row r="29275" spans="8:8">
      <c r="H29275" s="680" t="s">
        <v>6153</v>
      </c>
    </row>
    <row r="29276" spans="8:8">
      <c r="H29276" s="680" t="s">
        <v>6153</v>
      </c>
    </row>
    <row r="29277" spans="8:8">
      <c r="H29277" s="680" t="s">
        <v>6153</v>
      </c>
    </row>
    <row r="29278" spans="8:8">
      <c r="H29278" s="680" t="s">
        <v>6153</v>
      </c>
    </row>
    <row r="29279" spans="8:8">
      <c r="H29279" s="680" t="s">
        <v>6153</v>
      </c>
    </row>
    <row r="29280" spans="8:8">
      <c r="H29280" s="680" t="s">
        <v>6153</v>
      </c>
    </row>
    <row r="29281" spans="8:8">
      <c r="H29281" s="680" t="s">
        <v>6153</v>
      </c>
    </row>
    <row r="29282" spans="8:8">
      <c r="H29282" s="680" t="s">
        <v>6153</v>
      </c>
    </row>
    <row r="29283" spans="8:8">
      <c r="H29283" s="680" t="s">
        <v>6153</v>
      </c>
    </row>
    <row r="29284" spans="8:8">
      <c r="H29284" s="680" t="s">
        <v>6153</v>
      </c>
    </row>
    <row r="29285" spans="8:8">
      <c r="H29285" s="680" t="s">
        <v>6153</v>
      </c>
    </row>
    <row r="29286" spans="8:8">
      <c r="H29286" s="680" t="s">
        <v>6153</v>
      </c>
    </row>
    <row r="29287" spans="8:8">
      <c r="H29287" s="680" t="s">
        <v>6153</v>
      </c>
    </row>
    <row r="29288" spans="8:8">
      <c r="H29288" s="680" t="s">
        <v>6153</v>
      </c>
    </row>
    <row r="29289" spans="8:8">
      <c r="H29289" s="680" t="s">
        <v>6153</v>
      </c>
    </row>
    <row r="29290" spans="8:8">
      <c r="H29290" s="680" t="s">
        <v>6153</v>
      </c>
    </row>
    <row r="29291" spans="8:8">
      <c r="H29291" s="680" t="s">
        <v>6153</v>
      </c>
    </row>
    <row r="29292" spans="8:8">
      <c r="H29292" s="680" t="s">
        <v>6153</v>
      </c>
    </row>
    <row r="29293" spans="8:8">
      <c r="H29293" s="680" t="s">
        <v>6153</v>
      </c>
    </row>
    <row r="29294" spans="8:8">
      <c r="H29294" s="680" t="s">
        <v>6153</v>
      </c>
    </row>
    <row r="29295" spans="8:8">
      <c r="H29295" s="680" t="s">
        <v>6153</v>
      </c>
    </row>
    <row r="29296" spans="8:8">
      <c r="H29296" s="680" t="s">
        <v>6153</v>
      </c>
    </row>
    <row r="29297" spans="8:8">
      <c r="H29297" s="680" t="s">
        <v>6153</v>
      </c>
    </row>
    <row r="29298" spans="8:8">
      <c r="H29298" s="680" t="s">
        <v>6153</v>
      </c>
    </row>
    <row r="29299" spans="8:8">
      <c r="H29299" s="680" t="s">
        <v>6153</v>
      </c>
    </row>
    <row r="29300" spans="8:8">
      <c r="H29300" s="680" t="s">
        <v>6153</v>
      </c>
    </row>
    <row r="29301" spans="8:8">
      <c r="H29301" s="680" t="s">
        <v>6153</v>
      </c>
    </row>
    <row r="29302" spans="8:8">
      <c r="H29302" s="680" t="s">
        <v>6153</v>
      </c>
    </row>
    <row r="29303" spans="8:8">
      <c r="H29303" s="680" t="s">
        <v>6153</v>
      </c>
    </row>
    <row r="29304" spans="8:8">
      <c r="H29304" s="680" t="s">
        <v>6153</v>
      </c>
    </row>
    <row r="29305" spans="8:8">
      <c r="H29305" s="680" t="s">
        <v>6153</v>
      </c>
    </row>
    <row r="29306" spans="8:8">
      <c r="H29306" s="680" t="s">
        <v>6153</v>
      </c>
    </row>
    <row r="29307" spans="8:8">
      <c r="H29307" s="680" t="s">
        <v>6153</v>
      </c>
    </row>
    <row r="29308" spans="8:8">
      <c r="H29308" s="680" t="s">
        <v>6153</v>
      </c>
    </row>
    <row r="29309" spans="8:8">
      <c r="H29309" s="680" t="s">
        <v>6153</v>
      </c>
    </row>
    <row r="29310" spans="8:8">
      <c r="H29310" s="680" t="s">
        <v>6153</v>
      </c>
    </row>
    <row r="29311" spans="8:8">
      <c r="H29311" s="680" t="s">
        <v>6153</v>
      </c>
    </row>
    <row r="29312" spans="8:8">
      <c r="H29312" s="680" t="s">
        <v>6153</v>
      </c>
    </row>
    <row r="29313" spans="8:8">
      <c r="H29313" s="680" t="s">
        <v>6153</v>
      </c>
    </row>
    <row r="29314" spans="8:8">
      <c r="H29314" s="680" t="s">
        <v>6153</v>
      </c>
    </row>
    <row r="29315" spans="8:8">
      <c r="H29315" s="680" t="s">
        <v>6153</v>
      </c>
    </row>
    <row r="29316" spans="8:8">
      <c r="H29316" s="680" t="s">
        <v>6153</v>
      </c>
    </row>
    <row r="29317" spans="8:8">
      <c r="H29317" s="680" t="s">
        <v>6153</v>
      </c>
    </row>
    <row r="29318" spans="8:8">
      <c r="H29318" s="680" t="s">
        <v>6153</v>
      </c>
    </row>
    <row r="29319" spans="8:8">
      <c r="H29319" s="680" t="s">
        <v>6153</v>
      </c>
    </row>
    <row r="29320" spans="8:8">
      <c r="H29320" s="680" t="s">
        <v>6153</v>
      </c>
    </row>
    <row r="29321" spans="8:8">
      <c r="H29321" s="680" t="s">
        <v>6153</v>
      </c>
    </row>
    <row r="29322" spans="8:8">
      <c r="H29322" s="680" t="s">
        <v>6153</v>
      </c>
    </row>
    <row r="29323" spans="8:8">
      <c r="H29323" s="680" t="s">
        <v>6153</v>
      </c>
    </row>
    <row r="29324" spans="8:8">
      <c r="H29324" s="680" t="s">
        <v>6153</v>
      </c>
    </row>
    <row r="29325" spans="8:8">
      <c r="H29325" s="680" t="s">
        <v>6153</v>
      </c>
    </row>
    <row r="29326" spans="8:8">
      <c r="H29326" s="680" t="s">
        <v>6153</v>
      </c>
    </row>
    <row r="29327" spans="8:8">
      <c r="H29327" s="680" t="s">
        <v>6153</v>
      </c>
    </row>
    <row r="29328" spans="8:8">
      <c r="H29328" s="680" t="s">
        <v>6153</v>
      </c>
    </row>
    <row r="29329" spans="8:8">
      <c r="H29329" s="680" t="s">
        <v>6153</v>
      </c>
    </row>
    <row r="29330" spans="8:8">
      <c r="H29330" s="680" t="s">
        <v>6153</v>
      </c>
    </row>
    <row r="29331" spans="8:8">
      <c r="H29331" s="680" t="s">
        <v>6153</v>
      </c>
    </row>
    <row r="29332" spans="8:8">
      <c r="H29332" s="680" t="s">
        <v>6153</v>
      </c>
    </row>
    <row r="29333" spans="8:8">
      <c r="H29333" s="680" t="s">
        <v>6153</v>
      </c>
    </row>
    <row r="29334" spans="8:8">
      <c r="H29334" s="680" t="s">
        <v>6153</v>
      </c>
    </row>
    <row r="29335" spans="8:8">
      <c r="H29335" s="680" t="s">
        <v>6153</v>
      </c>
    </row>
    <row r="29336" spans="8:8">
      <c r="H29336" s="680" t="s">
        <v>6153</v>
      </c>
    </row>
    <row r="29337" spans="8:8">
      <c r="H29337" s="680" t="s">
        <v>6153</v>
      </c>
    </row>
    <row r="29338" spans="8:8">
      <c r="H29338" s="680" t="s">
        <v>6153</v>
      </c>
    </row>
    <row r="29339" spans="8:8">
      <c r="H29339" s="680" t="s">
        <v>6153</v>
      </c>
    </row>
    <row r="29340" spans="8:8">
      <c r="H29340" s="680" t="s">
        <v>6153</v>
      </c>
    </row>
    <row r="29341" spans="8:8">
      <c r="H29341" s="680" t="s">
        <v>6153</v>
      </c>
    </row>
    <row r="29342" spans="8:8">
      <c r="H29342" s="680" t="s">
        <v>6153</v>
      </c>
    </row>
    <row r="29343" spans="8:8">
      <c r="H29343" s="680" t="s">
        <v>6153</v>
      </c>
    </row>
    <row r="29344" spans="8:8">
      <c r="H29344" s="680" t="s">
        <v>6153</v>
      </c>
    </row>
    <row r="29345" spans="8:8">
      <c r="H29345" s="680" t="s">
        <v>6153</v>
      </c>
    </row>
    <row r="29346" spans="8:8">
      <c r="H29346" s="680" t="s">
        <v>6153</v>
      </c>
    </row>
    <row r="29347" spans="8:8">
      <c r="H29347" s="680" t="s">
        <v>6153</v>
      </c>
    </row>
    <row r="29348" spans="8:8">
      <c r="H29348" s="680" t="s">
        <v>6153</v>
      </c>
    </row>
    <row r="29349" spans="8:8">
      <c r="H29349" s="680" t="s">
        <v>6153</v>
      </c>
    </row>
    <row r="29350" spans="8:8">
      <c r="H29350" s="680" t="s">
        <v>6153</v>
      </c>
    </row>
    <row r="29351" spans="8:8">
      <c r="H29351" s="680" t="s">
        <v>6153</v>
      </c>
    </row>
    <row r="29352" spans="8:8">
      <c r="H29352" s="680" t="s">
        <v>6153</v>
      </c>
    </row>
    <row r="29353" spans="8:8">
      <c r="H29353" s="680" t="s">
        <v>6153</v>
      </c>
    </row>
    <row r="29354" spans="8:8">
      <c r="H29354" s="680" t="s">
        <v>6153</v>
      </c>
    </row>
    <row r="29355" spans="8:8">
      <c r="H29355" s="680" t="s">
        <v>6153</v>
      </c>
    </row>
    <row r="29356" spans="8:8">
      <c r="H29356" s="680" t="s">
        <v>6153</v>
      </c>
    </row>
    <row r="29357" spans="8:8">
      <c r="H29357" s="680" t="s">
        <v>6153</v>
      </c>
    </row>
    <row r="29358" spans="8:8">
      <c r="H29358" s="680" t="s">
        <v>6153</v>
      </c>
    </row>
    <row r="29359" spans="8:8">
      <c r="H29359" s="680" t="s">
        <v>6153</v>
      </c>
    </row>
    <row r="29360" spans="8:8">
      <c r="H29360" s="680" t="s">
        <v>6153</v>
      </c>
    </row>
    <row r="29361" spans="8:8">
      <c r="H29361" s="680" t="s">
        <v>6153</v>
      </c>
    </row>
    <row r="29362" spans="8:8">
      <c r="H29362" s="680" t="s">
        <v>6153</v>
      </c>
    </row>
    <row r="29363" spans="8:8">
      <c r="H29363" s="680" t="s">
        <v>6153</v>
      </c>
    </row>
    <row r="29364" spans="8:8">
      <c r="H29364" s="680" t="s">
        <v>6153</v>
      </c>
    </row>
    <row r="29365" spans="8:8">
      <c r="H29365" s="680" t="s">
        <v>6153</v>
      </c>
    </row>
    <row r="29366" spans="8:8">
      <c r="H29366" s="680" t="s">
        <v>6153</v>
      </c>
    </row>
    <row r="29367" spans="8:8">
      <c r="H29367" s="680" t="s">
        <v>6153</v>
      </c>
    </row>
    <row r="29368" spans="8:8">
      <c r="H29368" s="680" t="s">
        <v>6153</v>
      </c>
    </row>
    <row r="29369" spans="8:8">
      <c r="H29369" s="680" t="s">
        <v>6153</v>
      </c>
    </row>
    <row r="29370" spans="8:8">
      <c r="H29370" s="680" t="s">
        <v>6153</v>
      </c>
    </row>
    <row r="29371" spans="8:8">
      <c r="H29371" s="680" t="s">
        <v>6153</v>
      </c>
    </row>
    <row r="29372" spans="8:8">
      <c r="H29372" s="680" t="s">
        <v>6153</v>
      </c>
    </row>
    <row r="29373" spans="8:8">
      <c r="H29373" s="680" t="s">
        <v>6153</v>
      </c>
    </row>
    <row r="29374" spans="8:8">
      <c r="H29374" s="680" t="s">
        <v>6153</v>
      </c>
    </row>
    <row r="29375" spans="8:8">
      <c r="H29375" s="680" t="s">
        <v>6153</v>
      </c>
    </row>
    <row r="29376" spans="8:8">
      <c r="H29376" s="680" t="s">
        <v>6153</v>
      </c>
    </row>
    <row r="29377" spans="8:8">
      <c r="H29377" s="680" t="s">
        <v>6153</v>
      </c>
    </row>
    <row r="29378" spans="8:8">
      <c r="H29378" s="680" t="s">
        <v>6153</v>
      </c>
    </row>
    <row r="29379" spans="8:8">
      <c r="H29379" s="680" t="s">
        <v>6153</v>
      </c>
    </row>
    <row r="29380" spans="8:8">
      <c r="H29380" s="680" t="s">
        <v>6153</v>
      </c>
    </row>
    <row r="29381" spans="8:8">
      <c r="H29381" s="680" t="s">
        <v>6153</v>
      </c>
    </row>
    <row r="29382" spans="8:8">
      <c r="H29382" s="680" t="s">
        <v>6153</v>
      </c>
    </row>
    <row r="29383" spans="8:8">
      <c r="H29383" s="680" t="s">
        <v>6153</v>
      </c>
    </row>
    <row r="29384" spans="8:8">
      <c r="H29384" s="680" t="s">
        <v>6153</v>
      </c>
    </row>
    <row r="29385" spans="8:8">
      <c r="H29385" s="680" t="s">
        <v>6153</v>
      </c>
    </row>
    <row r="29386" spans="8:8">
      <c r="H29386" s="680" t="s">
        <v>6153</v>
      </c>
    </row>
    <row r="29387" spans="8:8">
      <c r="H29387" s="680" t="s">
        <v>6153</v>
      </c>
    </row>
    <row r="29388" spans="8:8">
      <c r="H29388" s="680" t="s">
        <v>6153</v>
      </c>
    </row>
    <row r="29389" spans="8:8">
      <c r="H29389" s="680" t="s">
        <v>6153</v>
      </c>
    </row>
    <row r="29390" spans="8:8">
      <c r="H29390" s="680" t="s">
        <v>6153</v>
      </c>
    </row>
    <row r="29391" spans="8:8">
      <c r="H29391" s="680" t="s">
        <v>6153</v>
      </c>
    </row>
    <row r="29392" spans="8:8">
      <c r="H29392" s="680" t="s">
        <v>6153</v>
      </c>
    </row>
    <row r="29393" spans="8:8">
      <c r="H29393" s="680" t="s">
        <v>6153</v>
      </c>
    </row>
    <row r="29394" spans="8:8">
      <c r="H29394" s="680" t="s">
        <v>6153</v>
      </c>
    </row>
    <row r="29395" spans="8:8">
      <c r="H29395" s="680" t="s">
        <v>6153</v>
      </c>
    </row>
    <row r="29396" spans="8:8">
      <c r="H29396" s="680" t="s">
        <v>6153</v>
      </c>
    </row>
    <row r="29397" spans="8:8">
      <c r="H29397" s="680" t="s">
        <v>6153</v>
      </c>
    </row>
    <row r="29398" spans="8:8">
      <c r="H29398" s="680" t="s">
        <v>6153</v>
      </c>
    </row>
    <row r="29399" spans="8:8">
      <c r="H29399" s="680" t="s">
        <v>6153</v>
      </c>
    </row>
    <row r="29400" spans="8:8">
      <c r="H29400" s="680" t="s">
        <v>6153</v>
      </c>
    </row>
    <row r="29401" spans="8:8">
      <c r="H29401" s="680" t="s">
        <v>6153</v>
      </c>
    </row>
    <row r="29402" spans="8:8">
      <c r="H29402" s="680" t="s">
        <v>6153</v>
      </c>
    </row>
    <row r="29403" spans="8:8">
      <c r="H29403" s="680" t="s">
        <v>6153</v>
      </c>
    </row>
    <row r="29404" spans="8:8">
      <c r="H29404" s="680" t="s">
        <v>6153</v>
      </c>
    </row>
    <row r="29405" spans="8:8">
      <c r="H29405" s="680" t="s">
        <v>6153</v>
      </c>
    </row>
    <row r="29406" spans="8:8">
      <c r="H29406" s="680" t="s">
        <v>6153</v>
      </c>
    </row>
    <row r="29407" spans="8:8">
      <c r="H29407" s="680" t="s">
        <v>6153</v>
      </c>
    </row>
    <row r="29408" spans="8:8">
      <c r="H29408" s="680" t="s">
        <v>6153</v>
      </c>
    </row>
    <row r="29409" spans="8:8">
      <c r="H29409" s="680" t="s">
        <v>6153</v>
      </c>
    </row>
    <row r="29410" spans="8:8">
      <c r="H29410" s="680" t="s">
        <v>6153</v>
      </c>
    </row>
    <row r="29411" spans="8:8">
      <c r="H29411" s="680" t="s">
        <v>6153</v>
      </c>
    </row>
    <row r="29412" spans="8:8">
      <c r="H29412" s="680" t="s">
        <v>6153</v>
      </c>
    </row>
    <row r="29413" spans="8:8">
      <c r="H29413" s="680" t="s">
        <v>6153</v>
      </c>
    </row>
    <row r="29414" spans="8:8">
      <c r="H29414" s="680" t="s">
        <v>6153</v>
      </c>
    </row>
    <row r="29415" spans="8:8">
      <c r="H29415" s="680" t="s">
        <v>6153</v>
      </c>
    </row>
    <row r="29416" spans="8:8">
      <c r="H29416" s="680" t="s">
        <v>6153</v>
      </c>
    </row>
    <row r="29417" spans="8:8">
      <c r="H29417" s="680" t="s">
        <v>6153</v>
      </c>
    </row>
    <row r="29418" spans="8:8">
      <c r="H29418" s="680" t="s">
        <v>6153</v>
      </c>
    </row>
    <row r="29419" spans="8:8">
      <c r="H29419" s="680" t="s">
        <v>6153</v>
      </c>
    </row>
    <row r="29420" spans="8:8">
      <c r="H29420" s="680" t="s">
        <v>6153</v>
      </c>
    </row>
    <row r="29421" spans="8:8">
      <c r="H29421" s="680" t="s">
        <v>6153</v>
      </c>
    </row>
    <row r="29422" spans="8:8">
      <c r="H29422" s="680" t="s">
        <v>6153</v>
      </c>
    </row>
    <row r="29423" spans="8:8">
      <c r="H29423" s="680" t="s">
        <v>6153</v>
      </c>
    </row>
    <row r="29424" spans="8:8">
      <c r="H29424" s="680" t="s">
        <v>6153</v>
      </c>
    </row>
    <row r="29425" spans="8:8">
      <c r="H29425" s="680" t="s">
        <v>6153</v>
      </c>
    </row>
    <row r="29426" spans="8:8">
      <c r="H29426" s="680" t="s">
        <v>6153</v>
      </c>
    </row>
    <row r="29427" spans="8:8">
      <c r="H29427" s="680" t="s">
        <v>6153</v>
      </c>
    </row>
    <row r="29428" spans="8:8">
      <c r="H29428" s="680" t="s">
        <v>6153</v>
      </c>
    </row>
    <row r="29429" spans="8:8">
      <c r="H29429" s="680" t="s">
        <v>6153</v>
      </c>
    </row>
    <row r="29430" spans="8:8">
      <c r="H29430" s="680" t="s">
        <v>6153</v>
      </c>
    </row>
    <row r="29431" spans="8:8">
      <c r="H29431" s="680" t="s">
        <v>6153</v>
      </c>
    </row>
    <row r="29432" spans="8:8">
      <c r="H29432" s="680" t="s">
        <v>6153</v>
      </c>
    </row>
    <row r="29433" spans="8:8">
      <c r="H29433" s="680" t="s">
        <v>6153</v>
      </c>
    </row>
    <row r="29434" spans="8:8">
      <c r="H29434" s="680" t="s">
        <v>6153</v>
      </c>
    </row>
    <row r="29435" spans="8:8">
      <c r="H29435" s="680" t="s">
        <v>6153</v>
      </c>
    </row>
    <row r="29436" spans="8:8">
      <c r="H29436" s="680" t="s">
        <v>6153</v>
      </c>
    </row>
    <row r="29437" spans="8:8">
      <c r="H29437" s="680" t="s">
        <v>6153</v>
      </c>
    </row>
    <row r="29438" spans="8:8">
      <c r="H29438" s="680" t="s">
        <v>6153</v>
      </c>
    </row>
    <row r="29439" spans="8:8">
      <c r="H29439" s="680" t="s">
        <v>6153</v>
      </c>
    </row>
    <row r="29440" spans="8:8">
      <c r="H29440" s="680" t="s">
        <v>6153</v>
      </c>
    </row>
    <row r="29441" spans="8:8">
      <c r="H29441" s="680" t="s">
        <v>6153</v>
      </c>
    </row>
    <row r="29442" spans="8:8">
      <c r="H29442" s="680" t="s">
        <v>6153</v>
      </c>
    </row>
    <row r="29443" spans="8:8">
      <c r="H29443" s="680" t="s">
        <v>6153</v>
      </c>
    </row>
    <row r="29444" spans="8:8">
      <c r="H29444" s="680" t="s">
        <v>6153</v>
      </c>
    </row>
    <row r="29445" spans="8:8">
      <c r="H29445" s="680" t="s">
        <v>6153</v>
      </c>
    </row>
    <row r="29446" spans="8:8">
      <c r="H29446" s="680" t="s">
        <v>6153</v>
      </c>
    </row>
    <row r="29447" spans="8:8">
      <c r="H29447" s="680" t="s">
        <v>6153</v>
      </c>
    </row>
    <row r="29448" spans="8:8">
      <c r="H29448" s="680" t="s">
        <v>6153</v>
      </c>
    </row>
    <row r="29449" spans="8:8">
      <c r="H29449" s="680" t="s">
        <v>6153</v>
      </c>
    </row>
    <row r="29450" spans="8:8">
      <c r="H29450" s="680" t="s">
        <v>6153</v>
      </c>
    </row>
    <row r="29451" spans="8:8">
      <c r="H29451" s="680" t="s">
        <v>6153</v>
      </c>
    </row>
    <row r="29452" spans="8:8">
      <c r="H29452" s="680" t="s">
        <v>6153</v>
      </c>
    </row>
    <row r="29453" spans="8:8">
      <c r="H29453" s="680" t="s">
        <v>6153</v>
      </c>
    </row>
    <row r="29454" spans="8:8">
      <c r="H29454" s="680" t="s">
        <v>6153</v>
      </c>
    </row>
    <row r="29455" spans="8:8">
      <c r="H29455" s="680" t="s">
        <v>6153</v>
      </c>
    </row>
    <row r="29456" spans="8:8">
      <c r="H29456" s="680" t="s">
        <v>6153</v>
      </c>
    </row>
    <row r="29457" spans="8:8">
      <c r="H29457" s="680" t="s">
        <v>6153</v>
      </c>
    </row>
    <row r="29458" spans="8:8">
      <c r="H29458" s="680" t="s">
        <v>6153</v>
      </c>
    </row>
    <row r="29459" spans="8:8">
      <c r="H29459" s="680" t="s">
        <v>6153</v>
      </c>
    </row>
    <row r="29460" spans="8:8">
      <c r="H29460" s="680" t="s">
        <v>6153</v>
      </c>
    </row>
    <row r="29461" spans="8:8">
      <c r="H29461" s="680" t="s">
        <v>6153</v>
      </c>
    </row>
    <row r="29462" spans="8:8">
      <c r="H29462" s="680" t="s">
        <v>6153</v>
      </c>
    </row>
    <row r="29463" spans="8:8">
      <c r="H29463" s="680" t="s">
        <v>6153</v>
      </c>
    </row>
    <row r="29464" spans="8:8">
      <c r="H29464" s="680" t="s">
        <v>6153</v>
      </c>
    </row>
    <row r="29465" spans="8:8">
      <c r="H29465" s="680" t="s">
        <v>6153</v>
      </c>
    </row>
    <row r="29466" spans="8:8">
      <c r="H29466" s="680" t="s">
        <v>6153</v>
      </c>
    </row>
    <row r="29467" spans="8:8">
      <c r="H29467" s="680" t="s">
        <v>6153</v>
      </c>
    </row>
    <row r="29468" spans="8:8">
      <c r="H29468" s="680" t="s">
        <v>6153</v>
      </c>
    </row>
    <row r="29469" spans="8:8">
      <c r="H29469" s="680" t="s">
        <v>6153</v>
      </c>
    </row>
    <row r="29470" spans="8:8">
      <c r="H29470" s="680" t="s">
        <v>6153</v>
      </c>
    </row>
    <row r="29471" spans="8:8">
      <c r="H29471" s="680" t="s">
        <v>6153</v>
      </c>
    </row>
    <row r="29472" spans="8:8">
      <c r="H29472" s="680" t="s">
        <v>6153</v>
      </c>
    </row>
    <row r="29473" spans="8:8">
      <c r="H29473" s="680" t="s">
        <v>6153</v>
      </c>
    </row>
    <row r="29474" spans="8:8">
      <c r="H29474" s="680" t="s">
        <v>6153</v>
      </c>
    </row>
    <row r="29475" spans="8:8">
      <c r="H29475" s="680" t="s">
        <v>6153</v>
      </c>
    </row>
    <row r="29476" spans="8:8">
      <c r="H29476" s="680" t="s">
        <v>6153</v>
      </c>
    </row>
    <row r="29477" spans="8:8">
      <c r="H29477" s="680" t="s">
        <v>6153</v>
      </c>
    </row>
    <row r="29478" spans="8:8">
      <c r="H29478" s="680" t="s">
        <v>6153</v>
      </c>
    </row>
    <row r="29479" spans="8:8">
      <c r="H29479" s="680" t="s">
        <v>6153</v>
      </c>
    </row>
    <row r="29480" spans="8:8">
      <c r="H29480" s="680" t="s">
        <v>6153</v>
      </c>
    </row>
    <row r="29481" spans="8:8">
      <c r="H29481" s="680" t="s">
        <v>6153</v>
      </c>
    </row>
    <row r="29482" spans="8:8">
      <c r="H29482" s="680" t="s">
        <v>6153</v>
      </c>
    </row>
    <row r="29483" spans="8:8">
      <c r="H29483" s="680" t="s">
        <v>6153</v>
      </c>
    </row>
    <row r="29484" spans="8:8">
      <c r="H29484" s="680" t="s">
        <v>6153</v>
      </c>
    </row>
    <row r="29485" spans="8:8">
      <c r="H29485" s="680" t="s">
        <v>6153</v>
      </c>
    </row>
    <row r="29486" spans="8:8">
      <c r="H29486" s="680" t="s">
        <v>6153</v>
      </c>
    </row>
    <row r="29487" spans="8:8">
      <c r="H29487" s="680" t="s">
        <v>6153</v>
      </c>
    </row>
    <row r="29488" spans="8:8">
      <c r="H29488" s="680" t="s">
        <v>6153</v>
      </c>
    </row>
    <row r="29489" spans="8:8">
      <c r="H29489" s="680" t="s">
        <v>6153</v>
      </c>
    </row>
    <row r="29490" spans="8:8">
      <c r="H29490" s="680" t="s">
        <v>6153</v>
      </c>
    </row>
    <row r="29491" spans="8:8">
      <c r="H29491" s="680" t="s">
        <v>6153</v>
      </c>
    </row>
    <row r="29492" spans="8:8">
      <c r="H29492" s="680" t="s">
        <v>6153</v>
      </c>
    </row>
    <row r="29493" spans="8:8">
      <c r="H29493" s="680" t="s">
        <v>6153</v>
      </c>
    </row>
    <row r="29494" spans="8:8">
      <c r="H29494" s="680" t="s">
        <v>6153</v>
      </c>
    </row>
    <row r="29495" spans="8:8">
      <c r="H29495" s="680" t="s">
        <v>6153</v>
      </c>
    </row>
    <row r="29496" spans="8:8">
      <c r="H29496" s="680" t="s">
        <v>6153</v>
      </c>
    </row>
    <row r="29497" spans="8:8">
      <c r="H29497" s="680" t="s">
        <v>6153</v>
      </c>
    </row>
    <row r="29498" spans="8:8">
      <c r="H29498" s="680" t="s">
        <v>6153</v>
      </c>
    </row>
    <row r="29499" spans="8:8">
      <c r="H29499" s="680" t="s">
        <v>6153</v>
      </c>
    </row>
    <row r="29500" spans="8:8">
      <c r="H29500" s="680" t="s">
        <v>6153</v>
      </c>
    </row>
    <row r="29501" spans="8:8">
      <c r="H29501" s="680" t="s">
        <v>6153</v>
      </c>
    </row>
    <row r="29502" spans="8:8">
      <c r="H29502" s="680" t="s">
        <v>6153</v>
      </c>
    </row>
    <row r="29503" spans="8:8">
      <c r="H29503" s="680" t="s">
        <v>6153</v>
      </c>
    </row>
    <row r="29504" spans="8:8">
      <c r="H29504" s="680" t="s">
        <v>6153</v>
      </c>
    </row>
    <row r="29505" spans="8:8">
      <c r="H29505" s="680" t="s">
        <v>6153</v>
      </c>
    </row>
    <row r="29506" spans="8:8">
      <c r="H29506" s="680" t="s">
        <v>6153</v>
      </c>
    </row>
    <row r="29507" spans="8:8">
      <c r="H29507" s="680" t="s">
        <v>6153</v>
      </c>
    </row>
    <row r="29508" spans="8:8">
      <c r="H29508" s="680" t="s">
        <v>6153</v>
      </c>
    </row>
    <row r="29509" spans="8:8">
      <c r="H29509" s="680" t="s">
        <v>6153</v>
      </c>
    </row>
    <row r="29510" spans="8:8">
      <c r="H29510" s="680" t="s">
        <v>6153</v>
      </c>
    </row>
    <row r="29511" spans="8:8">
      <c r="H29511" s="680" t="s">
        <v>6153</v>
      </c>
    </row>
    <row r="29512" spans="8:8">
      <c r="H29512" s="680" t="s">
        <v>6153</v>
      </c>
    </row>
    <row r="29513" spans="8:8">
      <c r="H29513" s="680" t="s">
        <v>6153</v>
      </c>
    </row>
    <row r="29514" spans="8:8">
      <c r="H29514" s="680" t="s">
        <v>6153</v>
      </c>
    </row>
    <row r="29515" spans="8:8">
      <c r="H29515" s="680" t="s">
        <v>6153</v>
      </c>
    </row>
    <row r="29516" spans="8:8">
      <c r="H29516" s="680" t="s">
        <v>6153</v>
      </c>
    </row>
    <row r="29517" spans="8:8">
      <c r="H29517" s="680" t="s">
        <v>6153</v>
      </c>
    </row>
    <row r="29518" spans="8:8">
      <c r="H29518" s="680" t="s">
        <v>6153</v>
      </c>
    </row>
    <row r="29519" spans="8:8">
      <c r="H29519" s="680" t="s">
        <v>6153</v>
      </c>
    </row>
    <row r="29520" spans="8:8">
      <c r="H29520" s="680" t="s">
        <v>6153</v>
      </c>
    </row>
    <row r="29521" spans="8:8">
      <c r="H29521" s="680" t="s">
        <v>6153</v>
      </c>
    </row>
    <row r="29522" spans="8:8">
      <c r="H29522" s="680" t="s">
        <v>6153</v>
      </c>
    </row>
    <row r="29523" spans="8:8">
      <c r="H29523" s="680" t="s">
        <v>6153</v>
      </c>
    </row>
    <row r="29524" spans="8:8">
      <c r="H29524" s="680" t="s">
        <v>6153</v>
      </c>
    </row>
    <row r="29525" spans="8:8">
      <c r="H29525" s="680" t="s">
        <v>6153</v>
      </c>
    </row>
    <row r="29526" spans="8:8">
      <c r="H29526" s="680" t="s">
        <v>6153</v>
      </c>
    </row>
    <row r="29527" spans="8:8">
      <c r="H29527" s="680" t="s">
        <v>6153</v>
      </c>
    </row>
    <row r="29528" spans="8:8">
      <c r="H29528" s="680" t="s">
        <v>6153</v>
      </c>
    </row>
    <row r="29529" spans="8:8">
      <c r="H29529" s="680" t="s">
        <v>6153</v>
      </c>
    </row>
    <row r="29530" spans="8:8">
      <c r="H29530" s="680" t="s">
        <v>6153</v>
      </c>
    </row>
    <row r="29531" spans="8:8">
      <c r="H29531" s="680" t="s">
        <v>6153</v>
      </c>
    </row>
    <row r="29532" spans="8:8">
      <c r="H29532" s="680" t="s">
        <v>6153</v>
      </c>
    </row>
    <row r="29533" spans="8:8">
      <c r="H29533" s="680" t="s">
        <v>6153</v>
      </c>
    </row>
    <row r="29534" spans="8:8">
      <c r="H29534" s="680" t="s">
        <v>6153</v>
      </c>
    </row>
    <row r="29535" spans="8:8">
      <c r="H29535" s="680" t="s">
        <v>6153</v>
      </c>
    </row>
    <row r="29536" spans="8:8">
      <c r="H29536" s="680" t="s">
        <v>6153</v>
      </c>
    </row>
    <row r="29537" spans="8:8">
      <c r="H29537" s="680" t="s">
        <v>6153</v>
      </c>
    </row>
    <row r="29538" spans="8:8">
      <c r="H29538" s="680" t="s">
        <v>6153</v>
      </c>
    </row>
    <row r="29539" spans="8:8">
      <c r="H29539" s="680" t="s">
        <v>6153</v>
      </c>
    </row>
    <row r="29540" spans="8:8">
      <c r="H29540" s="680" t="s">
        <v>6153</v>
      </c>
    </row>
    <row r="29541" spans="8:8">
      <c r="H29541" s="680" t="s">
        <v>6153</v>
      </c>
    </row>
    <row r="29542" spans="8:8">
      <c r="H29542" s="680" t="s">
        <v>6153</v>
      </c>
    </row>
    <row r="29543" spans="8:8">
      <c r="H29543" s="680" t="s">
        <v>6153</v>
      </c>
    </row>
    <row r="29544" spans="8:8">
      <c r="H29544" s="680" t="s">
        <v>6153</v>
      </c>
    </row>
    <row r="29545" spans="8:8">
      <c r="H29545" s="680" t="s">
        <v>6153</v>
      </c>
    </row>
    <row r="29546" spans="8:8">
      <c r="H29546" s="680" t="s">
        <v>6153</v>
      </c>
    </row>
    <row r="29547" spans="8:8">
      <c r="H29547" s="680" t="s">
        <v>6153</v>
      </c>
    </row>
    <row r="29548" spans="8:8">
      <c r="H29548" s="680" t="s">
        <v>6153</v>
      </c>
    </row>
    <row r="29549" spans="8:8">
      <c r="H29549" s="680" t="s">
        <v>6153</v>
      </c>
    </row>
    <row r="29550" spans="8:8">
      <c r="H29550" s="680" t="s">
        <v>6153</v>
      </c>
    </row>
    <row r="29551" spans="8:8">
      <c r="H29551" s="680" t="s">
        <v>6153</v>
      </c>
    </row>
    <row r="29552" spans="8:8">
      <c r="H29552" s="680" t="s">
        <v>6153</v>
      </c>
    </row>
    <row r="29553" spans="8:8">
      <c r="H29553" s="680" t="s">
        <v>6153</v>
      </c>
    </row>
    <row r="29554" spans="8:8">
      <c r="H29554" s="680" t="s">
        <v>6153</v>
      </c>
    </row>
    <row r="29555" spans="8:8">
      <c r="H29555" s="680" t="s">
        <v>6153</v>
      </c>
    </row>
    <row r="29556" spans="8:8">
      <c r="H29556" s="680" t="s">
        <v>6153</v>
      </c>
    </row>
    <row r="29557" spans="8:8">
      <c r="H29557" s="680" t="s">
        <v>6153</v>
      </c>
    </row>
    <row r="29558" spans="8:8">
      <c r="H29558" s="680" t="s">
        <v>6153</v>
      </c>
    </row>
    <row r="29559" spans="8:8">
      <c r="H29559" s="680" t="s">
        <v>6153</v>
      </c>
    </row>
    <row r="29560" spans="8:8">
      <c r="H29560" s="680" t="s">
        <v>6153</v>
      </c>
    </row>
    <row r="29561" spans="8:8">
      <c r="H29561" s="680" t="s">
        <v>6153</v>
      </c>
    </row>
    <row r="29562" spans="8:8">
      <c r="H29562" s="680" t="s">
        <v>6153</v>
      </c>
    </row>
    <row r="29563" spans="8:8">
      <c r="H29563" s="680" t="s">
        <v>6153</v>
      </c>
    </row>
    <row r="29564" spans="8:8">
      <c r="H29564" s="680" t="s">
        <v>6153</v>
      </c>
    </row>
    <row r="29565" spans="8:8">
      <c r="H29565" s="680" t="s">
        <v>6153</v>
      </c>
    </row>
    <row r="29566" spans="8:8">
      <c r="H29566" s="680" t="s">
        <v>6153</v>
      </c>
    </row>
    <row r="29567" spans="8:8">
      <c r="H29567" s="680" t="s">
        <v>6153</v>
      </c>
    </row>
    <row r="29568" spans="8:8">
      <c r="H29568" s="680" t="s">
        <v>6153</v>
      </c>
    </row>
    <row r="29569" spans="8:8">
      <c r="H29569" s="680" t="s">
        <v>6153</v>
      </c>
    </row>
    <row r="29570" spans="8:8">
      <c r="H29570" s="680" t="s">
        <v>6153</v>
      </c>
    </row>
    <row r="29571" spans="8:8">
      <c r="H29571" s="680" t="s">
        <v>6153</v>
      </c>
    </row>
    <row r="29572" spans="8:8">
      <c r="H29572" s="680" t="s">
        <v>6153</v>
      </c>
    </row>
    <row r="29573" spans="8:8">
      <c r="H29573" s="680" t="s">
        <v>6153</v>
      </c>
    </row>
    <row r="29574" spans="8:8">
      <c r="H29574" s="680" t="s">
        <v>6153</v>
      </c>
    </row>
    <row r="29575" spans="8:8">
      <c r="H29575" s="680" t="s">
        <v>6153</v>
      </c>
    </row>
    <row r="29576" spans="8:8">
      <c r="H29576" s="680" t="s">
        <v>6153</v>
      </c>
    </row>
    <row r="29577" spans="8:8">
      <c r="H29577" s="680" t="s">
        <v>6153</v>
      </c>
    </row>
    <row r="29578" spans="8:8">
      <c r="H29578" s="680" t="s">
        <v>6153</v>
      </c>
    </row>
    <row r="29579" spans="8:8">
      <c r="H29579" s="680" t="s">
        <v>6153</v>
      </c>
    </row>
    <row r="29580" spans="8:8">
      <c r="H29580" s="680" t="s">
        <v>6153</v>
      </c>
    </row>
    <row r="29581" spans="8:8">
      <c r="H29581" s="680" t="s">
        <v>6153</v>
      </c>
    </row>
    <row r="29582" spans="8:8">
      <c r="H29582" s="680" t="s">
        <v>6153</v>
      </c>
    </row>
    <row r="29583" spans="8:8">
      <c r="H29583" s="680" t="s">
        <v>6153</v>
      </c>
    </row>
    <row r="29584" spans="8:8">
      <c r="H29584" s="680" t="s">
        <v>6153</v>
      </c>
    </row>
    <row r="29585" spans="8:8">
      <c r="H29585" s="680" t="s">
        <v>6153</v>
      </c>
    </row>
    <row r="29586" spans="8:8">
      <c r="H29586" s="680" t="s">
        <v>6153</v>
      </c>
    </row>
    <row r="29587" spans="8:8">
      <c r="H29587" s="680" t="s">
        <v>6153</v>
      </c>
    </row>
    <row r="29588" spans="8:8">
      <c r="H29588" s="680" t="s">
        <v>6153</v>
      </c>
    </row>
    <row r="29589" spans="8:8">
      <c r="H29589" s="680" t="s">
        <v>6153</v>
      </c>
    </row>
    <row r="29590" spans="8:8">
      <c r="H29590" s="680" t="s">
        <v>6153</v>
      </c>
    </row>
    <row r="29591" spans="8:8">
      <c r="H29591" s="680" t="s">
        <v>6153</v>
      </c>
    </row>
    <row r="29592" spans="8:8">
      <c r="H29592" s="680" t="s">
        <v>6153</v>
      </c>
    </row>
    <row r="29593" spans="8:8">
      <c r="H29593" s="680" t="s">
        <v>6153</v>
      </c>
    </row>
    <row r="29594" spans="8:8">
      <c r="H29594" s="680" t="s">
        <v>6153</v>
      </c>
    </row>
    <row r="29595" spans="8:8">
      <c r="H29595" s="680" t="s">
        <v>6153</v>
      </c>
    </row>
    <row r="29596" spans="8:8">
      <c r="H29596" s="680" t="s">
        <v>6153</v>
      </c>
    </row>
    <row r="29597" spans="8:8">
      <c r="H29597" s="680" t="s">
        <v>6153</v>
      </c>
    </row>
    <row r="29598" spans="8:8">
      <c r="H29598" s="680" t="s">
        <v>6153</v>
      </c>
    </row>
    <row r="29599" spans="8:8">
      <c r="H29599" s="680" t="s">
        <v>6153</v>
      </c>
    </row>
    <row r="29600" spans="8:8">
      <c r="H29600" s="680" t="s">
        <v>6153</v>
      </c>
    </row>
    <row r="29601" spans="8:8">
      <c r="H29601" s="680" t="s">
        <v>6153</v>
      </c>
    </row>
    <row r="29602" spans="8:8">
      <c r="H29602" s="680" t="s">
        <v>6153</v>
      </c>
    </row>
    <row r="29603" spans="8:8">
      <c r="H29603" s="680" t="s">
        <v>6153</v>
      </c>
    </row>
    <row r="29604" spans="8:8">
      <c r="H29604" s="680" t="s">
        <v>6153</v>
      </c>
    </row>
    <row r="29605" spans="8:8">
      <c r="H29605" s="680" t="s">
        <v>6153</v>
      </c>
    </row>
    <row r="29606" spans="8:8">
      <c r="H29606" s="680" t="s">
        <v>6153</v>
      </c>
    </row>
    <row r="29607" spans="8:8">
      <c r="H29607" s="680" t="s">
        <v>6153</v>
      </c>
    </row>
    <row r="29608" spans="8:8">
      <c r="H29608" s="680" t="s">
        <v>6153</v>
      </c>
    </row>
    <row r="29609" spans="8:8">
      <c r="H29609" s="680" t="s">
        <v>6153</v>
      </c>
    </row>
    <row r="29610" spans="8:8">
      <c r="H29610" s="680" t="s">
        <v>6153</v>
      </c>
    </row>
    <row r="29611" spans="8:8">
      <c r="H29611" s="680" t="s">
        <v>6153</v>
      </c>
    </row>
    <row r="29612" spans="8:8">
      <c r="H29612" s="680" t="s">
        <v>6153</v>
      </c>
    </row>
    <row r="29613" spans="8:8">
      <c r="H29613" s="680" t="s">
        <v>6153</v>
      </c>
    </row>
    <row r="29614" spans="8:8">
      <c r="H29614" s="680" t="s">
        <v>6153</v>
      </c>
    </row>
    <row r="29615" spans="8:8">
      <c r="H29615" s="680" t="s">
        <v>6153</v>
      </c>
    </row>
    <row r="29616" spans="8:8">
      <c r="H29616" s="680" t="s">
        <v>6153</v>
      </c>
    </row>
    <row r="29617" spans="8:8">
      <c r="H29617" s="680" t="s">
        <v>6153</v>
      </c>
    </row>
    <row r="29618" spans="8:8">
      <c r="H29618" s="680" t="s">
        <v>6153</v>
      </c>
    </row>
    <row r="29619" spans="8:8">
      <c r="H29619" s="680" t="s">
        <v>6153</v>
      </c>
    </row>
    <row r="29620" spans="8:8">
      <c r="H29620" s="680" t="s">
        <v>6153</v>
      </c>
    </row>
    <row r="29621" spans="8:8">
      <c r="H29621" s="680" t="s">
        <v>6153</v>
      </c>
    </row>
    <row r="29622" spans="8:8">
      <c r="H29622" s="680" t="s">
        <v>6153</v>
      </c>
    </row>
    <row r="29623" spans="8:8">
      <c r="H29623" s="680" t="s">
        <v>6153</v>
      </c>
    </row>
    <row r="29624" spans="8:8">
      <c r="H29624" s="680" t="s">
        <v>6153</v>
      </c>
    </row>
    <row r="29625" spans="8:8">
      <c r="H29625" s="680" t="s">
        <v>6153</v>
      </c>
    </row>
    <row r="29626" spans="8:8">
      <c r="H29626" s="680" t="s">
        <v>6153</v>
      </c>
    </row>
    <row r="29627" spans="8:8">
      <c r="H29627" s="680" t="s">
        <v>6153</v>
      </c>
    </row>
    <row r="29628" spans="8:8">
      <c r="H29628" s="680" t="s">
        <v>6153</v>
      </c>
    </row>
    <row r="29629" spans="8:8">
      <c r="H29629" s="680" t="s">
        <v>6153</v>
      </c>
    </row>
    <row r="29630" spans="8:8">
      <c r="H29630" s="680" t="s">
        <v>6153</v>
      </c>
    </row>
    <row r="29631" spans="8:8">
      <c r="H29631" s="680" t="s">
        <v>6153</v>
      </c>
    </row>
    <row r="29632" spans="8:8">
      <c r="H29632" s="680" t="s">
        <v>6153</v>
      </c>
    </row>
    <row r="29633" spans="8:8">
      <c r="H29633" s="680" t="s">
        <v>6153</v>
      </c>
    </row>
    <row r="29634" spans="8:8">
      <c r="H29634" s="680" t="s">
        <v>6153</v>
      </c>
    </row>
    <row r="29635" spans="8:8">
      <c r="H29635" s="680" t="s">
        <v>6153</v>
      </c>
    </row>
    <row r="29636" spans="8:8">
      <c r="H29636" s="680" t="s">
        <v>6153</v>
      </c>
    </row>
    <row r="29637" spans="8:8">
      <c r="H29637" s="680" t="s">
        <v>6153</v>
      </c>
    </row>
    <row r="29638" spans="8:8">
      <c r="H29638" s="680" t="s">
        <v>6153</v>
      </c>
    </row>
    <row r="29639" spans="8:8">
      <c r="H29639" s="680" t="s">
        <v>6153</v>
      </c>
    </row>
    <row r="29640" spans="8:8">
      <c r="H29640" s="680" t="s">
        <v>6153</v>
      </c>
    </row>
    <row r="29641" spans="8:8">
      <c r="H29641" s="680" t="s">
        <v>6153</v>
      </c>
    </row>
    <row r="29642" spans="8:8">
      <c r="H29642" s="680" t="s">
        <v>6153</v>
      </c>
    </row>
    <row r="29643" spans="8:8">
      <c r="H29643" s="680" t="s">
        <v>6153</v>
      </c>
    </row>
    <row r="29644" spans="8:8">
      <c r="H29644" s="680" t="s">
        <v>6153</v>
      </c>
    </row>
    <row r="29645" spans="8:8">
      <c r="H29645" s="680" t="s">
        <v>6153</v>
      </c>
    </row>
    <row r="29646" spans="8:8">
      <c r="H29646" s="680" t="s">
        <v>6153</v>
      </c>
    </row>
    <row r="29647" spans="8:8">
      <c r="H29647" s="680" t="s">
        <v>6153</v>
      </c>
    </row>
    <row r="29648" spans="8:8">
      <c r="H29648" s="680" t="s">
        <v>6153</v>
      </c>
    </row>
    <row r="29649" spans="8:8">
      <c r="H29649" s="680" t="s">
        <v>6153</v>
      </c>
    </row>
    <row r="29650" spans="8:8">
      <c r="H29650" s="680" t="s">
        <v>6153</v>
      </c>
    </row>
    <row r="29651" spans="8:8">
      <c r="H29651" s="680" t="s">
        <v>6153</v>
      </c>
    </row>
    <row r="29652" spans="8:8">
      <c r="H29652" s="680" t="s">
        <v>6153</v>
      </c>
    </row>
    <row r="29653" spans="8:8">
      <c r="H29653" s="680" t="s">
        <v>6153</v>
      </c>
    </row>
    <row r="29654" spans="8:8">
      <c r="H29654" s="680" t="s">
        <v>6153</v>
      </c>
    </row>
    <row r="29655" spans="8:8">
      <c r="H29655" s="680" t="s">
        <v>6153</v>
      </c>
    </row>
    <row r="29656" spans="8:8">
      <c r="H29656" s="680" t="s">
        <v>6153</v>
      </c>
    </row>
    <row r="29657" spans="8:8">
      <c r="H29657" s="680" t="s">
        <v>6153</v>
      </c>
    </row>
    <row r="29658" spans="8:8">
      <c r="H29658" s="680" t="s">
        <v>6153</v>
      </c>
    </row>
    <row r="29659" spans="8:8">
      <c r="H29659" s="680" t="s">
        <v>6153</v>
      </c>
    </row>
    <row r="29660" spans="8:8">
      <c r="H29660" s="680" t="s">
        <v>6153</v>
      </c>
    </row>
    <row r="29661" spans="8:8">
      <c r="H29661" s="680" t="s">
        <v>6153</v>
      </c>
    </row>
    <row r="29662" spans="8:8">
      <c r="H29662" s="680" t="s">
        <v>6153</v>
      </c>
    </row>
    <row r="29663" spans="8:8">
      <c r="H29663" s="680" t="s">
        <v>6153</v>
      </c>
    </row>
    <row r="29664" spans="8:8">
      <c r="H29664" s="680" t="s">
        <v>6153</v>
      </c>
    </row>
    <row r="29665" spans="8:8">
      <c r="H29665" s="680" t="s">
        <v>6153</v>
      </c>
    </row>
    <row r="29666" spans="8:8">
      <c r="H29666" s="680" t="s">
        <v>6153</v>
      </c>
    </row>
    <row r="29667" spans="8:8">
      <c r="H29667" s="680" t="s">
        <v>6153</v>
      </c>
    </row>
    <row r="29668" spans="8:8">
      <c r="H29668" s="680" t="s">
        <v>6153</v>
      </c>
    </row>
    <row r="29669" spans="8:8">
      <c r="H29669" s="680" t="s">
        <v>6153</v>
      </c>
    </row>
    <row r="29670" spans="8:8">
      <c r="H29670" s="680" t="s">
        <v>6153</v>
      </c>
    </row>
    <row r="29671" spans="8:8">
      <c r="H29671" s="680" t="s">
        <v>6153</v>
      </c>
    </row>
    <row r="29672" spans="8:8">
      <c r="H29672" s="680" t="s">
        <v>6153</v>
      </c>
    </row>
    <row r="29673" spans="8:8">
      <c r="H29673" s="680" t="s">
        <v>6153</v>
      </c>
    </row>
    <row r="29674" spans="8:8">
      <c r="H29674" s="680" t="s">
        <v>6153</v>
      </c>
    </row>
    <row r="29675" spans="8:8">
      <c r="H29675" s="680" t="s">
        <v>6153</v>
      </c>
    </row>
    <row r="29676" spans="8:8">
      <c r="H29676" s="680" t="s">
        <v>6153</v>
      </c>
    </row>
    <row r="29677" spans="8:8">
      <c r="H29677" s="680" t="s">
        <v>6153</v>
      </c>
    </row>
    <row r="29678" spans="8:8">
      <c r="H29678" s="680" t="s">
        <v>6153</v>
      </c>
    </row>
    <row r="29679" spans="8:8">
      <c r="H29679" s="680" t="s">
        <v>6153</v>
      </c>
    </row>
    <row r="29680" spans="8:8">
      <c r="H29680" s="680" t="s">
        <v>6153</v>
      </c>
    </row>
    <row r="29681" spans="8:8">
      <c r="H29681" s="680" t="s">
        <v>6153</v>
      </c>
    </row>
    <row r="29682" spans="8:8">
      <c r="H29682" s="680" t="s">
        <v>6153</v>
      </c>
    </row>
    <row r="29683" spans="8:8">
      <c r="H29683" s="680" t="s">
        <v>6153</v>
      </c>
    </row>
    <row r="29684" spans="8:8">
      <c r="H29684" s="680" t="s">
        <v>6153</v>
      </c>
    </row>
    <row r="29685" spans="8:8">
      <c r="H29685" s="680" t="s">
        <v>6153</v>
      </c>
    </row>
    <row r="29686" spans="8:8">
      <c r="H29686" s="680" t="s">
        <v>6153</v>
      </c>
    </row>
    <row r="29687" spans="8:8">
      <c r="H29687" s="680" t="s">
        <v>6153</v>
      </c>
    </row>
    <row r="29688" spans="8:8">
      <c r="H29688" s="680" t="s">
        <v>6153</v>
      </c>
    </row>
    <row r="29689" spans="8:8">
      <c r="H29689" s="680" t="s">
        <v>6153</v>
      </c>
    </row>
    <row r="29690" spans="8:8">
      <c r="H29690" s="680" t="s">
        <v>6153</v>
      </c>
    </row>
    <row r="29691" spans="8:8">
      <c r="H29691" s="680" t="s">
        <v>6153</v>
      </c>
    </row>
    <row r="29692" spans="8:8">
      <c r="H29692" s="680" t="s">
        <v>6153</v>
      </c>
    </row>
    <row r="29693" spans="8:8">
      <c r="H29693" s="680" t="s">
        <v>6153</v>
      </c>
    </row>
    <row r="29694" spans="8:8">
      <c r="H29694" s="680" t="s">
        <v>6153</v>
      </c>
    </row>
    <row r="29695" spans="8:8">
      <c r="H29695" s="680" t="s">
        <v>6153</v>
      </c>
    </row>
    <row r="29696" spans="8:8">
      <c r="H29696" s="680" t="s">
        <v>6153</v>
      </c>
    </row>
    <row r="29697" spans="8:8">
      <c r="H29697" s="680" t="s">
        <v>6153</v>
      </c>
    </row>
    <row r="29698" spans="8:8">
      <c r="H29698" s="680" t="s">
        <v>6153</v>
      </c>
    </row>
    <row r="29699" spans="8:8">
      <c r="H29699" s="680" t="s">
        <v>6153</v>
      </c>
    </row>
    <row r="29700" spans="8:8">
      <c r="H29700" s="680" t="s">
        <v>6153</v>
      </c>
    </row>
    <row r="29701" spans="8:8">
      <c r="H29701" s="680" t="s">
        <v>6153</v>
      </c>
    </row>
    <row r="29702" spans="8:8">
      <c r="H29702" s="680" t="s">
        <v>6153</v>
      </c>
    </row>
    <row r="29703" spans="8:8">
      <c r="H29703" s="680" t="s">
        <v>6153</v>
      </c>
    </row>
    <row r="29704" spans="8:8">
      <c r="H29704" s="680" t="s">
        <v>6153</v>
      </c>
    </row>
    <row r="29705" spans="8:8">
      <c r="H29705" s="680" t="s">
        <v>6153</v>
      </c>
    </row>
    <row r="29706" spans="8:8">
      <c r="H29706" s="680" t="s">
        <v>6153</v>
      </c>
    </row>
    <row r="29707" spans="8:8">
      <c r="H29707" s="680" t="s">
        <v>6153</v>
      </c>
    </row>
    <row r="29708" spans="8:8">
      <c r="H29708" s="680" t="s">
        <v>6153</v>
      </c>
    </row>
    <row r="29709" spans="8:8">
      <c r="H29709" s="680" t="s">
        <v>6153</v>
      </c>
    </row>
    <row r="29710" spans="8:8">
      <c r="H29710" s="680" t="s">
        <v>6153</v>
      </c>
    </row>
    <row r="29711" spans="8:8">
      <c r="H29711" s="680" t="s">
        <v>6153</v>
      </c>
    </row>
    <row r="29712" spans="8:8">
      <c r="H29712" s="680" t="s">
        <v>6153</v>
      </c>
    </row>
    <row r="29713" spans="8:8">
      <c r="H29713" s="680" t="s">
        <v>6153</v>
      </c>
    </row>
    <row r="29714" spans="8:8">
      <c r="H29714" s="680" t="s">
        <v>6153</v>
      </c>
    </row>
    <row r="29715" spans="8:8">
      <c r="H29715" s="680" t="s">
        <v>6153</v>
      </c>
    </row>
    <row r="29716" spans="8:8">
      <c r="H29716" s="680" t="s">
        <v>6153</v>
      </c>
    </row>
    <row r="29717" spans="8:8">
      <c r="H29717" s="680" t="s">
        <v>6153</v>
      </c>
    </row>
    <row r="29718" spans="8:8">
      <c r="H29718" s="680" t="s">
        <v>6153</v>
      </c>
    </row>
    <row r="29719" spans="8:8">
      <c r="H29719" s="680" t="s">
        <v>6153</v>
      </c>
    </row>
    <row r="29720" spans="8:8">
      <c r="H29720" s="680" t="s">
        <v>6153</v>
      </c>
    </row>
    <row r="29721" spans="8:8">
      <c r="H29721" s="680" t="s">
        <v>6153</v>
      </c>
    </row>
    <row r="29722" spans="8:8">
      <c r="H29722" s="680" t="s">
        <v>6153</v>
      </c>
    </row>
    <row r="29723" spans="8:8">
      <c r="H29723" s="680" t="s">
        <v>6153</v>
      </c>
    </row>
    <row r="29724" spans="8:8">
      <c r="H29724" s="680" t="s">
        <v>6153</v>
      </c>
    </row>
    <row r="29725" spans="8:8">
      <c r="H29725" s="680" t="s">
        <v>6153</v>
      </c>
    </row>
    <row r="29726" spans="8:8">
      <c r="H29726" s="680" t="s">
        <v>6153</v>
      </c>
    </row>
    <row r="29727" spans="8:8">
      <c r="H29727" s="680" t="s">
        <v>6153</v>
      </c>
    </row>
    <row r="29728" spans="8:8">
      <c r="H29728" s="680" t="s">
        <v>6153</v>
      </c>
    </row>
    <row r="29729" spans="8:8">
      <c r="H29729" s="680" t="s">
        <v>6153</v>
      </c>
    </row>
    <row r="29730" spans="8:8">
      <c r="H29730" s="680" t="s">
        <v>6153</v>
      </c>
    </row>
    <row r="29731" spans="8:8">
      <c r="H29731" s="680" t="s">
        <v>6153</v>
      </c>
    </row>
    <row r="29732" spans="8:8">
      <c r="H29732" s="680" t="s">
        <v>6153</v>
      </c>
    </row>
    <row r="29733" spans="8:8">
      <c r="H29733" s="680" t="s">
        <v>6153</v>
      </c>
    </row>
    <row r="29734" spans="8:8">
      <c r="H29734" s="680" t="s">
        <v>6153</v>
      </c>
    </row>
    <row r="29735" spans="8:8">
      <c r="H29735" s="680" t="s">
        <v>6153</v>
      </c>
    </row>
    <row r="29736" spans="8:8">
      <c r="H29736" s="680" t="s">
        <v>6153</v>
      </c>
    </row>
    <row r="29737" spans="8:8">
      <c r="H29737" s="680" t="s">
        <v>6153</v>
      </c>
    </row>
    <row r="29738" spans="8:8">
      <c r="H29738" s="680" t="s">
        <v>6153</v>
      </c>
    </row>
    <row r="29739" spans="8:8">
      <c r="H29739" s="680" t="s">
        <v>6153</v>
      </c>
    </row>
    <row r="29740" spans="8:8">
      <c r="H29740" s="680" t="s">
        <v>6153</v>
      </c>
    </row>
    <row r="29741" spans="8:8">
      <c r="H29741" s="680" t="s">
        <v>6153</v>
      </c>
    </row>
    <row r="29742" spans="8:8">
      <c r="H29742" s="680" t="s">
        <v>6153</v>
      </c>
    </row>
    <row r="29743" spans="8:8">
      <c r="H29743" s="680" t="s">
        <v>6153</v>
      </c>
    </row>
    <row r="29744" spans="8:8">
      <c r="H29744" s="680" t="s">
        <v>6153</v>
      </c>
    </row>
    <row r="29745" spans="8:8">
      <c r="H29745" s="680" t="s">
        <v>6153</v>
      </c>
    </row>
    <row r="29746" spans="8:8">
      <c r="H29746" s="680" t="s">
        <v>6153</v>
      </c>
    </row>
    <row r="29747" spans="8:8">
      <c r="H29747" s="680" t="s">
        <v>6153</v>
      </c>
    </row>
    <row r="29748" spans="8:8">
      <c r="H29748" s="680" t="s">
        <v>6153</v>
      </c>
    </row>
    <row r="29749" spans="8:8">
      <c r="H29749" s="680" t="s">
        <v>6153</v>
      </c>
    </row>
    <row r="29750" spans="8:8">
      <c r="H29750" s="680" t="s">
        <v>6153</v>
      </c>
    </row>
    <row r="29751" spans="8:8">
      <c r="H29751" s="680" t="s">
        <v>6153</v>
      </c>
    </row>
    <row r="29752" spans="8:8">
      <c r="H29752" s="680" t="s">
        <v>6153</v>
      </c>
    </row>
    <row r="29753" spans="8:8">
      <c r="H29753" s="680" t="s">
        <v>6153</v>
      </c>
    </row>
    <row r="29754" spans="8:8">
      <c r="H29754" s="680" t="s">
        <v>6153</v>
      </c>
    </row>
    <row r="29755" spans="8:8">
      <c r="H29755" s="680" t="s">
        <v>6153</v>
      </c>
    </row>
    <row r="29756" spans="8:8">
      <c r="H29756" s="680" t="s">
        <v>6153</v>
      </c>
    </row>
    <row r="29757" spans="8:8">
      <c r="H29757" s="680" t="s">
        <v>6153</v>
      </c>
    </row>
    <row r="29758" spans="8:8">
      <c r="H29758" s="680" t="s">
        <v>6153</v>
      </c>
    </row>
    <row r="29759" spans="8:8">
      <c r="H29759" s="680" t="s">
        <v>6153</v>
      </c>
    </row>
    <row r="29760" spans="8:8">
      <c r="H29760" s="680" t="s">
        <v>6153</v>
      </c>
    </row>
    <row r="29761" spans="8:8">
      <c r="H29761" s="680" t="s">
        <v>6153</v>
      </c>
    </row>
    <row r="29762" spans="8:8">
      <c r="H29762" s="680" t="s">
        <v>6153</v>
      </c>
    </row>
    <row r="29763" spans="8:8">
      <c r="H29763" s="680" t="s">
        <v>6153</v>
      </c>
    </row>
    <row r="29764" spans="8:8">
      <c r="H29764" s="680" t="s">
        <v>6153</v>
      </c>
    </row>
    <row r="29765" spans="8:8">
      <c r="H29765" s="680" t="s">
        <v>6153</v>
      </c>
    </row>
    <row r="29766" spans="8:8">
      <c r="H29766" s="680" t="s">
        <v>6153</v>
      </c>
    </row>
    <row r="29767" spans="8:8">
      <c r="H29767" s="680" t="s">
        <v>6153</v>
      </c>
    </row>
    <row r="29768" spans="8:8">
      <c r="H29768" s="680" t="s">
        <v>6153</v>
      </c>
    </row>
    <row r="29769" spans="8:8">
      <c r="H29769" s="680" t="s">
        <v>6153</v>
      </c>
    </row>
    <row r="29770" spans="8:8">
      <c r="H29770" s="680" t="s">
        <v>6153</v>
      </c>
    </row>
    <row r="29771" spans="8:8">
      <c r="H29771" s="680" t="s">
        <v>6153</v>
      </c>
    </row>
    <row r="29772" spans="8:8">
      <c r="H29772" s="680" t="s">
        <v>6153</v>
      </c>
    </row>
    <row r="29773" spans="8:8">
      <c r="H29773" s="680" t="s">
        <v>6153</v>
      </c>
    </row>
    <row r="29774" spans="8:8">
      <c r="H29774" s="680" t="s">
        <v>6153</v>
      </c>
    </row>
    <row r="29775" spans="8:8">
      <c r="H29775" s="680" t="s">
        <v>6153</v>
      </c>
    </row>
    <row r="29776" spans="8:8">
      <c r="H29776" s="680" t="s">
        <v>6153</v>
      </c>
    </row>
    <row r="29777" spans="8:8">
      <c r="H29777" s="680" t="s">
        <v>6153</v>
      </c>
    </row>
    <row r="29778" spans="8:8">
      <c r="H29778" s="680" t="s">
        <v>6153</v>
      </c>
    </row>
    <row r="29779" spans="8:8">
      <c r="H29779" s="680" t="s">
        <v>6153</v>
      </c>
    </row>
    <row r="29780" spans="8:8">
      <c r="H29780" s="680" t="s">
        <v>6153</v>
      </c>
    </row>
    <row r="29781" spans="8:8">
      <c r="H29781" s="680" t="s">
        <v>6153</v>
      </c>
    </row>
    <row r="29782" spans="8:8">
      <c r="H29782" s="680" t="s">
        <v>6153</v>
      </c>
    </row>
    <row r="29783" spans="8:8">
      <c r="H29783" s="680" t="s">
        <v>6153</v>
      </c>
    </row>
    <row r="29784" spans="8:8">
      <c r="H29784" s="680" t="s">
        <v>6153</v>
      </c>
    </row>
    <row r="29785" spans="8:8">
      <c r="H29785" s="680" t="s">
        <v>6153</v>
      </c>
    </row>
    <row r="29786" spans="8:8">
      <c r="H29786" s="680" t="s">
        <v>6153</v>
      </c>
    </row>
    <row r="29787" spans="8:8">
      <c r="H29787" s="680" t="s">
        <v>6153</v>
      </c>
    </row>
    <row r="29788" spans="8:8">
      <c r="H29788" s="680" t="s">
        <v>6153</v>
      </c>
    </row>
    <row r="29789" spans="8:8">
      <c r="H29789" s="680" t="s">
        <v>6153</v>
      </c>
    </row>
    <row r="29790" spans="8:8">
      <c r="H29790" s="680" t="s">
        <v>6153</v>
      </c>
    </row>
    <row r="29791" spans="8:8">
      <c r="H29791" s="680" t="s">
        <v>6153</v>
      </c>
    </row>
    <row r="29792" spans="8:8">
      <c r="H29792" s="680" t="s">
        <v>6153</v>
      </c>
    </row>
    <row r="29793" spans="8:8">
      <c r="H29793" s="680" t="s">
        <v>6153</v>
      </c>
    </row>
    <row r="29794" spans="8:8">
      <c r="H29794" s="680" t="s">
        <v>6153</v>
      </c>
    </row>
    <row r="29795" spans="8:8">
      <c r="H29795" s="680" t="s">
        <v>6153</v>
      </c>
    </row>
    <row r="29796" spans="8:8">
      <c r="H29796" s="680" t="s">
        <v>6153</v>
      </c>
    </row>
    <row r="29797" spans="8:8">
      <c r="H29797" s="680" t="s">
        <v>6153</v>
      </c>
    </row>
    <row r="29798" spans="8:8">
      <c r="H29798" s="680" t="s">
        <v>6153</v>
      </c>
    </row>
    <row r="29799" spans="8:8">
      <c r="H29799" s="680" t="s">
        <v>6153</v>
      </c>
    </row>
    <row r="29800" spans="8:8">
      <c r="H29800" s="680" t="s">
        <v>6153</v>
      </c>
    </row>
    <row r="29801" spans="8:8">
      <c r="H29801" s="680" t="s">
        <v>6153</v>
      </c>
    </row>
    <row r="29802" spans="8:8">
      <c r="H29802" s="680" t="s">
        <v>6153</v>
      </c>
    </row>
    <row r="29803" spans="8:8">
      <c r="H29803" s="680" t="s">
        <v>6153</v>
      </c>
    </row>
    <row r="29804" spans="8:8">
      <c r="H29804" s="680" t="s">
        <v>6153</v>
      </c>
    </row>
    <row r="29805" spans="8:8">
      <c r="H29805" s="680" t="s">
        <v>6153</v>
      </c>
    </row>
    <row r="29806" spans="8:8">
      <c r="H29806" s="680" t="s">
        <v>6153</v>
      </c>
    </row>
    <row r="29807" spans="8:8">
      <c r="H29807" s="680" t="s">
        <v>6153</v>
      </c>
    </row>
    <row r="29808" spans="8:8">
      <c r="H29808" s="680" t="s">
        <v>6153</v>
      </c>
    </row>
    <row r="29809" spans="8:8">
      <c r="H29809" s="680" t="s">
        <v>6153</v>
      </c>
    </row>
    <row r="29810" spans="8:8">
      <c r="H29810" s="680" t="s">
        <v>6153</v>
      </c>
    </row>
    <row r="29811" spans="8:8">
      <c r="H29811" s="680" t="s">
        <v>6153</v>
      </c>
    </row>
    <row r="29812" spans="8:8">
      <c r="H29812" s="680" t="s">
        <v>6153</v>
      </c>
    </row>
    <row r="29813" spans="8:8">
      <c r="H29813" s="680" t="s">
        <v>6153</v>
      </c>
    </row>
    <row r="29814" spans="8:8">
      <c r="H29814" s="680" t="s">
        <v>6153</v>
      </c>
    </row>
    <row r="29815" spans="8:8">
      <c r="H29815" s="680" t="s">
        <v>6153</v>
      </c>
    </row>
    <row r="29816" spans="8:8">
      <c r="H29816" s="680" t="s">
        <v>6153</v>
      </c>
    </row>
    <row r="29817" spans="8:8">
      <c r="H29817" s="680" t="s">
        <v>6153</v>
      </c>
    </row>
    <row r="29818" spans="8:8">
      <c r="H29818" s="680" t="s">
        <v>6153</v>
      </c>
    </row>
    <row r="29819" spans="8:8">
      <c r="H29819" s="680" t="s">
        <v>6153</v>
      </c>
    </row>
    <row r="29820" spans="8:8">
      <c r="H29820" s="680" t="s">
        <v>6153</v>
      </c>
    </row>
    <row r="29821" spans="8:8">
      <c r="H29821" s="680" t="s">
        <v>6153</v>
      </c>
    </row>
    <row r="29822" spans="8:8">
      <c r="H29822" s="680" t="s">
        <v>6153</v>
      </c>
    </row>
    <row r="29823" spans="8:8">
      <c r="H29823" s="680" t="s">
        <v>6153</v>
      </c>
    </row>
    <row r="29824" spans="8:8">
      <c r="H29824" s="680" t="s">
        <v>6153</v>
      </c>
    </row>
    <row r="29825" spans="8:8">
      <c r="H29825" s="680" t="s">
        <v>6153</v>
      </c>
    </row>
    <row r="29826" spans="8:8">
      <c r="H29826" s="680" t="s">
        <v>6153</v>
      </c>
    </row>
    <row r="29827" spans="8:8">
      <c r="H29827" s="680" t="s">
        <v>6153</v>
      </c>
    </row>
    <row r="29828" spans="8:8">
      <c r="H29828" s="680" t="s">
        <v>6153</v>
      </c>
    </row>
    <row r="29829" spans="8:8">
      <c r="H29829" s="680" t="s">
        <v>6153</v>
      </c>
    </row>
    <row r="29830" spans="8:8">
      <c r="H29830" s="680" t="s">
        <v>6153</v>
      </c>
    </row>
    <row r="29831" spans="8:8">
      <c r="H29831" s="680" t="s">
        <v>6153</v>
      </c>
    </row>
    <row r="29832" spans="8:8">
      <c r="H29832" s="680" t="s">
        <v>6153</v>
      </c>
    </row>
    <row r="29833" spans="8:8">
      <c r="H29833" s="680" t="s">
        <v>6153</v>
      </c>
    </row>
    <row r="29834" spans="8:8">
      <c r="H29834" s="680" t="s">
        <v>6153</v>
      </c>
    </row>
    <row r="29835" spans="8:8">
      <c r="H29835" s="680" t="s">
        <v>6153</v>
      </c>
    </row>
    <row r="29836" spans="8:8">
      <c r="H29836" s="680" t="s">
        <v>6153</v>
      </c>
    </row>
    <row r="29837" spans="8:8">
      <c r="H29837" s="680" t="s">
        <v>6153</v>
      </c>
    </row>
    <row r="29838" spans="8:8">
      <c r="H29838" s="680" t="s">
        <v>6153</v>
      </c>
    </row>
    <row r="29839" spans="8:8">
      <c r="H29839" s="680" t="s">
        <v>6153</v>
      </c>
    </row>
    <row r="29840" spans="8:8">
      <c r="H29840" s="680" t="s">
        <v>6153</v>
      </c>
    </row>
    <row r="29841" spans="8:8">
      <c r="H29841" s="680" t="s">
        <v>6153</v>
      </c>
    </row>
    <row r="29842" spans="8:8">
      <c r="H29842" s="680" t="s">
        <v>6153</v>
      </c>
    </row>
    <row r="29843" spans="8:8">
      <c r="H29843" s="680" t="s">
        <v>6153</v>
      </c>
    </row>
    <row r="29844" spans="8:8">
      <c r="H29844" s="680" t="s">
        <v>6153</v>
      </c>
    </row>
    <row r="29845" spans="8:8">
      <c r="H29845" s="680" t="s">
        <v>6153</v>
      </c>
    </row>
    <row r="29846" spans="8:8">
      <c r="H29846" s="680" t="s">
        <v>6153</v>
      </c>
    </row>
    <row r="29847" spans="8:8">
      <c r="H29847" s="680" t="s">
        <v>6153</v>
      </c>
    </row>
    <row r="29848" spans="8:8">
      <c r="H29848" s="680" t="s">
        <v>6153</v>
      </c>
    </row>
    <row r="29849" spans="8:8">
      <c r="H29849" s="680" t="s">
        <v>6153</v>
      </c>
    </row>
    <row r="29850" spans="8:8">
      <c r="H29850" s="680" t="s">
        <v>6153</v>
      </c>
    </row>
    <row r="29851" spans="8:8">
      <c r="H29851" s="680" t="s">
        <v>6153</v>
      </c>
    </row>
    <row r="29852" spans="8:8">
      <c r="H29852" s="680" t="s">
        <v>6153</v>
      </c>
    </row>
    <row r="29853" spans="8:8">
      <c r="H29853" s="680" t="s">
        <v>6153</v>
      </c>
    </row>
    <row r="29854" spans="8:8">
      <c r="H29854" s="680" t="s">
        <v>6153</v>
      </c>
    </row>
    <row r="29855" spans="8:8">
      <c r="H29855" s="680" t="s">
        <v>6153</v>
      </c>
    </row>
    <row r="29856" spans="8:8">
      <c r="H29856" s="680" t="s">
        <v>6153</v>
      </c>
    </row>
    <row r="29857" spans="8:8">
      <c r="H29857" s="680" t="s">
        <v>6153</v>
      </c>
    </row>
    <row r="29858" spans="8:8">
      <c r="H29858" s="680" t="s">
        <v>6153</v>
      </c>
    </row>
    <row r="29859" spans="8:8">
      <c r="H29859" s="680" t="s">
        <v>6153</v>
      </c>
    </row>
    <row r="29860" spans="8:8">
      <c r="H29860" s="680" t="s">
        <v>6153</v>
      </c>
    </row>
    <row r="29861" spans="8:8">
      <c r="H29861" s="680" t="s">
        <v>6153</v>
      </c>
    </row>
    <row r="29862" spans="8:8">
      <c r="H29862" s="680" t="s">
        <v>6153</v>
      </c>
    </row>
    <row r="29863" spans="8:8">
      <c r="H29863" s="680" t="s">
        <v>6153</v>
      </c>
    </row>
    <row r="29864" spans="8:8">
      <c r="H29864" s="680" t="s">
        <v>6153</v>
      </c>
    </row>
    <row r="29865" spans="8:8">
      <c r="H29865" s="680" t="s">
        <v>6153</v>
      </c>
    </row>
    <row r="29866" spans="8:8">
      <c r="H29866" s="680" t="s">
        <v>6153</v>
      </c>
    </row>
    <row r="29867" spans="8:8">
      <c r="H29867" s="680" t="s">
        <v>6153</v>
      </c>
    </row>
    <row r="29868" spans="8:8">
      <c r="H29868" s="680" t="s">
        <v>6153</v>
      </c>
    </row>
    <row r="29869" spans="8:8">
      <c r="H29869" s="680" t="s">
        <v>6153</v>
      </c>
    </row>
    <row r="29870" spans="8:8">
      <c r="H29870" s="680" t="s">
        <v>6153</v>
      </c>
    </row>
    <row r="29871" spans="8:8">
      <c r="H29871" s="680" t="s">
        <v>6153</v>
      </c>
    </row>
    <row r="29872" spans="8:8">
      <c r="H29872" s="680" t="s">
        <v>6153</v>
      </c>
    </row>
    <row r="29873" spans="8:8">
      <c r="H29873" s="680" t="s">
        <v>6153</v>
      </c>
    </row>
    <row r="29874" spans="8:8">
      <c r="H29874" s="680" t="s">
        <v>6153</v>
      </c>
    </row>
    <row r="29875" spans="8:8">
      <c r="H29875" s="680" t="s">
        <v>6153</v>
      </c>
    </row>
    <row r="29876" spans="8:8">
      <c r="H29876" s="680" t="s">
        <v>6153</v>
      </c>
    </row>
    <row r="29877" spans="8:8">
      <c r="H29877" s="680" t="s">
        <v>6153</v>
      </c>
    </row>
    <row r="29878" spans="8:8">
      <c r="H29878" s="680" t="s">
        <v>6153</v>
      </c>
    </row>
    <row r="29879" spans="8:8">
      <c r="H29879" s="680" t="s">
        <v>6153</v>
      </c>
    </row>
    <row r="29880" spans="8:8">
      <c r="H29880" s="680" t="s">
        <v>6153</v>
      </c>
    </row>
    <row r="29881" spans="8:8">
      <c r="H29881" s="680" t="s">
        <v>6153</v>
      </c>
    </row>
    <row r="29882" spans="8:8">
      <c r="H29882" s="680" t="s">
        <v>6153</v>
      </c>
    </row>
    <row r="29883" spans="8:8">
      <c r="H29883" s="680" t="s">
        <v>6153</v>
      </c>
    </row>
    <row r="29884" spans="8:8">
      <c r="H29884" s="680" t="s">
        <v>6153</v>
      </c>
    </row>
    <row r="29885" spans="8:8">
      <c r="H29885" s="680" t="s">
        <v>6153</v>
      </c>
    </row>
    <row r="29886" spans="8:8">
      <c r="H29886" s="680" t="s">
        <v>6153</v>
      </c>
    </row>
    <row r="29887" spans="8:8">
      <c r="H29887" s="680" t="s">
        <v>6153</v>
      </c>
    </row>
    <row r="29888" spans="8:8">
      <c r="H29888" s="680" t="s">
        <v>6153</v>
      </c>
    </row>
    <row r="29889" spans="8:8">
      <c r="H29889" s="680" t="s">
        <v>6153</v>
      </c>
    </row>
    <row r="29890" spans="8:8">
      <c r="H29890" s="680" t="s">
        <v>6153</v>
      </c>
    </row>
    <row r="29891" spans="8:8">
      <c r="H29891" s="680" t="s">
        <v>6153</v>
      </c>
    </row>
    <row r="29892" spans="8:8">
      <c r="H29892" s="680" t="s">
        <v>6153</v>
      </c>
    </row>
    <row r="29893" spans="8:8">
      <c r="H29893" s="680" t="s">
        <v>6153</v>
      </c>
    </row>
    <row r="29894" spans="8:8">
      <c r="H29894" s="680" t="s">
        <v>6153</v>
      </c>
    </row>
    <row r="29895" spans="8:8">
      <c r="H29895" s="680" t="s">
        <v>6153</v>
      </c>
    </row>
    <row r="29896" spans="8:8">
      <c r="H29896" s="680" t="s">
        <v>6153</v>
      </c>
    </row>
    <row r="29897" spans="8:8">
      <c r="H29897" s="680" t="s">
        <v>6153</v>
      </c>
    </row>
    <row r="29898" spans="8:8">
      <c r="H29898" s="680" t="s">
        <v>6153</v>
      </c>
    </row>
    <row r="29899" spans="8:8">
      <c r="H29899" s="680" t="s">
        <v>6153</v>
      </c>
    </row>
    <row r="29900" spans="8:8">
      <c r="H29900" s="680" t="s">
        <v>6153</v>
      </c>
    </row>
    <row r="29901" spans="8:8">
      <c r="H29901" s="680" t="s">
        <v>6153</v>
      </c>
    </row>
    <row r="29902" spans="8:8">
      <c r="H29902" s="680" t="s">
        <v>6153</v>
      </c>
    </row>
    <row r="29903" spans="8:8">
      <c r="H29903" s="680" t="s">
        <v>6153</v>
      </c>
    </row>
    <row r="29904" spans="8:8">
      <c r="H29904" s="680" t="s">
        <v>6153</v>
      </c>
    </row>
    <row r="29905" spans="8:8">
      <c r="H29905" s="680" t="s">
        <v>6153</v>
      </c>
    </row>
    <row r="29906" spans="8:8">
      <c r="H29906" s="680" t="s">
        <v>6153</v>
      </c>
    </row>
    <row r="29907" spans="8:8">
      <c r="H29907" s="680" t="s">
        <v>6153</v>
      </c>
    </row>
    <row r="29908" spans="8:8">
      <c r="H29908" s="680" t="s">
        <v>6153</v>
      </c>
    </row>
    <row r="29909" spans="8:8">
      <c r="H29909" s="680" t="s">
        <v>6153</v>
      </c>
    </row>
    <row r="29910" spans="8:8">
      <c r="H29910" s="680" t="s">
        <v>6153</v>
      </c>
    </row>
    <row r="29911" spans="8:8">
      <c r="H29911" s="680" t="s">
        <v>6153</v>
      </c>
    </row>
    <row r="29912" spans="8:8">
      <c r="H29912" s="680" t="s">
        <v>6153</v>
      </c>
    </row>
    <row r="29913" spans="8:8">
      <c r="H29913" s="680" t="s">
        <v>6153</v>
      </c>
    </row>
    <row r="29914" spans="8:8">
      <c r="H29914" s="680" t="s">
        <v>6153</v>
      </c>
    </row>
    <row r="29915" spans="8:8">
      <c r="H29915" s="680" t="s">
        <v>6153</v>
      </c>
    </row>
    <row r="29916" spans="8:8">
      <c r="H29916" s="680" t="s">
        <v>6153</v>
      </c>
    </row>
    <row r="29917" spans="8:8">
      <c r="H29917" s="680" t="s">
        <v>6153</v>
      </c>
    </row>
    <row r="29918" spans="8:8">
      <c r="H29918" s="680" t="s">
        <v>6153</v>
      </c>
    </row>
    <row r="29919" spans="8:8">
      <c r="H29919" s="680" t="s">
        <v>6153</v>
      </c>
    </row>
    <row r="29920" spans="8:8">
      <c r="H29920" s="680" t="s">
        <v>6153</v>
      </c>
    </row>
    <row r="29921" spans="8:8">
      <c r="H29921" s="680" t="s">
        <v>6153</v>
      </c>
    </row>
    <row r="29922" spans="8:8">
      <c r="H29922" s="680" t="s">
        <v>6153</v>
      </c>
    </row>
    <row r="29923" spans="8:8">
      <c r="H29923" s="680" t="s">
        <v>6153</v>
      </c>
    </row>
    <row r="29924" spans="8:8">
      <c r="H29924" s="680" t="s">
        <v>6153</v>
      </c>
    </row>
    <row r="29925" spans="8:8">
      <c r="H29925" s="680" t="s">
        <v>6153</v>
      </c>
    </row>
    <row r="29926" spans="8:8">
      <c r="H29926" s="680" t="s">
        <v>6153</v>
      </c>
    </row>
    <row r="29927" spans="8:8">
      <c r="H29927" s="680" t="s">
        <v>6153</v>
      </c>
    </row>
    <row r="29928" spans="8:8">
      <c r="H29928" s="680" t="s">
        <v>6153</v>
      </c>
    </row>
    <row r="29929" spans="8:8">
      <c r="H29929" s="680" t="s">
        <v>6153</v>
      </c>
    </row>
    <row r="29930" spans="8:8">
      <c r="H29930" s="680" t="s">
        <v>6153</v>
      </c>
    </row>
    <row r="29931" spans="8:8">
      <c r="H29931" s="680" t="s">
        <v>6153</v>
      </c>
    </row>
    <row r="29932" spans="8:8">
      <c r="H29932" s="680" t="s">
        <v>6153</v>
      </c>
    </row>
    <row r="29933" spans="8:8">
      <c r="H29933" s="680" t="s">
        <v>6153</v>
      </c>
    </row>
    <row r="29934" spans="8:8">
      <c r="H29934" s="680" t="s">
        <v>6153</v>
      </c>
    </row>
    <row r="29935" spans="8:8">
      <c r="H29935" s="680" t="s">
        <v>6153</v>
      </c>
    </row>
    <row r="29936" spans="8:8">
      <c r="H29936" s="680" t="s">
        <v>6153</v>
      </c>
    </row>
    <row r="29937" spans="8:8">
      <c r="H29937" s="680" t="s">
        <v>6153</v>
      </c>
    </row>
    <row r="29938" spans="8:8">
      <c r="H29938" s="680" t="s">
        <v>6153</v>
      </c>
    </row>
    <row r="29939" spans="8:8">
      <c r="H29939" s="680" t="s">
        <v>6153</v>
      </c>
    </row>
    <row r="29940" spans="8:8">
      <c r="H29940" s="680" t="s">
        <v>6153</v>
      </c>
    </row>
    <row r="29941" spans="8:8">
      <c r="H29941" s="680" t="s">
        <v>6153</v>
      </c>
    </row>
    <row r="29942" spans="8:8">
      <c r="H29942" s="680" t="s">
        <v>6153</v>
      </c>
    </row>
    <row r="29943" spans="8:8">
      <c r="H29943" s="680" t="s">
        <v>6153</v>
      </c>
    </row>
    <row r="29944" spans="8:8">
      <c r="H29944" s="680" t="s">
        <v>6153</v>
      </c>
    </row>
    <row r="29945" spans="8:8">
      <c r="H29945" s="680" t="s">
        <v>6153</v>
      </c>
    </row>
    <row r="29946" spans="8:8">
      <c r="H29946" s="680" t="s">
        <v>6153</v>
      </c>
    </row>
    <row r="29947" spans="8:8">
      <c r="H29947" s="680" t="s">
        <v>6153</v>
      </c>
    </row>
    <row r="29948" spans="8:8">
      <c r="H29948" s="680" t="s">
        <v>6153</v>
      </c>
    </row>
    <row r="29949" spans="8:8">
      <c r="H29949" s="680" t="s">
        <v>6153</v>
      </c>
    </row>
    <row r="29950" spans="8:8">
      <c r="H29950" s="680" t="s">
        <v>6153</v>
      </c>
    </row>
    <row r="29951" spans="8:8">
      <c r="H29951" s="680" t="s">
        <v>6153</v>
      </c>
    </row>
    <row r="29952" spans="8:8">
      <c r="H29952" s="680" t="s">
        <v>6153</v>
      </c>
    </row>
    <row r="29953" spans="8:8">
      <c r="H29953" s="680" t="s">
        <v>6153</v>
      </c>
    </row>
    <row r="29954" spans="8:8">
      <c r="H29954" s="680" t="s">
        <v>6153</v>
      </c>
    </row>
    <row r="29955" spans="8:8">
      <c r="H29955" s="680" t="s">
        <v>6153</v>
      </c>
    </row>
    <row r="29956" spans="8:8">
      <c r="H29956" s="680" t="s">
        <v>6153</v>
      </c>
    </row>
    <row r="29957" spans="8:8">
      <c r="H29957" s="680" t="s">
        <v>6153</v>
      </c>
    </row>
    <row r="29958" spans="8:8">
      <c r="H29958" s="680" t="s">
        <v>6153</v>
      </c>
    </row>
    <row r="29959" spans="8:8">
      <c r="H29959" s="680" t="s">
        <v>6153</v>
      </c>
    </row>
    <row r="29960" spans="8:8">
      <c r="H29960" s="680" t="s">
        <v>6153</v>
      </c>
    </row>
    <row r="29961" spans="8:8">
      <c r="H29961" s="680" t="s">
        <v>6153</v>
      </c>
    </row>
    <row r="29962" spans="8:8">
      <c r="H29962" s="680" t="s">
        <v>6153</v>
      </c>
    </row>
    <row r="29963" spans="8:8">
      <c r="H29963" s="680" t="s">
        <v>6153</v>
      </c>
    </row>
    <row r="29964" spans="8:8">
      <c r="H29964" s="680" t="s">
        <v>6153</v>
      </c>
    </row>
    <row r="29965" spans="8:8">
      <c r="H29965" s="680" t="s">
        <v>6153</v>
      </c>
    </row>
    <row r="29966" spans="8:8">
      <c r="H29966" s="680" t="s">
        <v>6153</v>
      </c>
    </row>
    <row r="29967" spans="8:8">
      <c r="H29967" s="680" t="s">
        <v>6153</v>
      </c>
    </row>
    <row r="29968" spans="8:8">
      <c r="H29968" s="680" t="s">
        <v>6153</v>
      </c>
    </row>
    <row r="29969" spans="8:8">
      <c r="H29969" s="680" t="s">
        <v>6153</v>
      </c>
    </row>
    <row r="29970" spans="8:8">
      <c r="H29970" s="680" t="s">
        <v>6153</v>
      </c>
    </row>
    <row r="29971" spans="8:8">
      <c r="H29971" s="680" t="s">
        <v>6153</v>
      </c>
    </row>
    <row r="29972" spans="8:8">
      <c r="H29972" s="680" t="s">
        <v>6153</v>
      </c>
    </row>
    <row r="29973" spans="8:8">
      <c r="H29973" s="680" t="s">
        <v>6153</v>
      </c>
    </row>
    <row r="29974" spans="8:8">
      <c r="H29974" s="680" t="s">
        <v>6153</v>
      </c>
    </row>
    <row r="29975" spans="8:8">
      <c r="H29975" s="680" t="s">
        <v>6153</v>
      </c>
    </row>
    <row r="29976" spans="8:8">
      <c r="H29976" s="680" t="s">
        <v>6153</v>
      </c>
    </row>
    <row r="29977" spans="8:8">
      <c r="H29977" s="680" t="s">
        <v>6153</v>
      </c>
    </row>
    <row r="29978" spans="8:8">
      <c r="H29978" s="680" t="s">
        <v>6153</v>
      </c>
    </row>
    <row r="29979" spans="8:8">
      <c r="H29979" s="680" t="s">
        <v>6153</v>
      </c>
    </row>
    <row r="29980" spans="8:8">
      <c r="H29980" s="680" t="s">
        <v>6153</v>
      </c>
    </row>
    <row r="29981" spans="8:8">
      <c r="H29981" s="680" t="s">
        <v>6153</v>
      </c>
    </row>
    <row r="29982" spans="8:8">
      <c r="H29982" s="680" t="s">
        <v>6153</v>
      </c>
    </row>
    <row r="29983" spans="8:8">
      <c r="H29983" s="680" t="s">
        <v>6153</v>
      </c>
    </row>
    <row r="29984" spans="8:8">
      <c r="H29984" s="680" t="s">
        <v>6153</v>
      </c>
    </row>
    <row r="29985" spans="8:8">
      <c r="H29985" s="680" t="s">
        <v>6153</v>
      </c>
    </row>
    <row r="29986" spans="8:8">
      <c r="H29986" s="680" t="s">
        <v>6153</v>
      </c>
    </row>
    <row r="29987" spans="8:8">
      <c r="H29987" s="680" t="s">
        <v>6153</v>
      </c>
    </row>
    <row r="29988" spans="8:8">
      <c r="H29988" s="680" t="s">
        <v>6153</v>
      </c>
    </row>
    <row r="29989" spans="8:8">
      <c r="H29989" s="680" t="s">
        <v>6153</v>
      </c>
    </row>
    <row r="29990" spans="8:8">
      <c r="H29990" s="680" t="s">
        <v>6153</v>
      </c>
    </row>
    <row r="29991" spans="8:8">
      <c r="H29991" s="680" t="s">
        <v>6153</v>
      </c>
    </row>
    <row r="29992" spans="8:8">
      <c r="H29992" s="680" t="s">
        <v>6153</v>
      </c>
    </row>
    <row r="29993" spans="8:8">
      <c r="H29993" s="680" t="s">
        <v>6153</v>
      </c>
    </row>
    <row r="29994" spans="8:8">
      <c r="H29994" s="680" t="s">
        <v>6153</v>
      </c>
    </row>
    <row r="29995" spans="8:8">
      <c r="H29995" s="680" t="s">
        <v>6153</v>
      </c>
    </row>
    <row r="29996" spans="8:8">
      <c r="H29996" s="680" t="s">
        <v>6153</v>
      </c>
    </row>
    <row r="29997" spans="8:8">
      <c r="H29997" s="680" t="s">
        <v>6153</v>
      </c>
    </row>
    <row r="29998" spans="8:8">
      <c r="H29998" s="680" t="s">
        <v>6153</v>
      </c>
    </row>
    <row r="29999" spans="8:8">
      <c r="H29999" s="680" t="s">
        <v>6153</v>
      </c>
    </row>
    <row r="30000" spans="8:8">
      <c r="H30000" s="680" t="s">
        <v>6153</v>
      </c>
    </row>
    <row r="30001" spans="8:8">
      <c r="H30001" s="680" t="s">
        <v>6153</v>
      </c>
    </row>
    <row r="30002" spans="8:8">
      <c r="H30002" s="680" t="s">
        <v>6153</v>
      </c>
    </row>
    <row r="30003" spans="8:8">
      <c r="H30003" s="680" t="s">
        <v>6153</v>
      </c>
    </row>
    <row r="30004" spans="8:8">
      <c r="H30004" s="680" t="s">
        <v>6153</v>
      </c>
    </row>
    <row r="30005" spans="8:8">
      <c r="H30005" s="680" t="s">
        <v>6153</v>
      </c>
    </row>
    <row r="30006" spans="8:8">
      <c r="H30006" s="680" t="s">
        <v>6153</v>
      </c>
    </row>
    <row r="30007" spans="8:8">
      <c r="H30007" s="680" t="s">
        <v>6153</v>
      </c>
    </row>
    <row r="30008" spans="8:8">
      <c r="H30008" s="680" t="s">
        <v>6153</v>
      </c>
    </row>
    <row r="30009" spans="8:8">
      <c r="H30009" s="680" t="s">
        <v>6153</v>
      </c>
    </row>
    <row r="30010" spans="8:8">
      <c r="H30010" s="680" t="s">
        <v>6153</v>
      </c>
    </row>
    <row r="30011" spans="8:8">
      <c r="H30011" s="680" t="s">
        <v>6153</v>
      </c>
    </row>
    <row r="30012" spans="8:8">
      <c r="H30012" s="680" t="s">
        <v>6153</v>
      </c>
    </row>
    <row r="30013" spans="8:8">
      <c r="H30013" s="680" t="s">
        <v>6153</v>
      </c>
    </row>
    <row r="30014" spans="8:8">
      <c r="H30014" s="680" t="s">
        <v>6153</v>
      </c>
    </row>
    <row r="30015" spans="8:8">
      <c r="H30015" s="680" t="s">
        <v>6153</v>
      </c>
    </row>
    <row r="30016" spans="8:8">
      <c r="H30016" s="680" t="s">
        <v>6153</v>
      </c>
    </row>
    <row r="30017" spans="8:8">
      <c r="H30017" s="680" t="s">
        <v>6153</v>
      </c>
    </row>
    <row r="30018" spans="8:8">
      <c r="H30018" s="680" t="s">
        <v>6153</v>
      </c>
    </row>
    <row r="30019" spans="8:8">
      <c r="H30019" s="680" t="s">
        <v>6153</v>
      </c>
    </row>
    <row r="30020" spans="8:8">
      <c r="H30020" s="680" t="s">
        <v>6153</v>
      </c>
    </row>
    <row r="30021" spans="8:8">
      <c r="H30021" s="680" t="s">
        <v>6153</v>
      </c>
    </row>
    <row r="30022" spans="8:8">
      <c r="H30022" s="680" t="s">
        <v>6153</v>
      </c>
    </row>
    <row r="30023" spans="8:8">
      <c r="H30023" s="680" t="s">
        <v>6153</v>
      </c>
    </row>
    <row r="30024" spans="8:8">
      <c r="H30024" s="680" t="s">
        <v>6153</v>
      </c>
    </row>
    <row r="30025" spans="8:8">
      <c r="H30025" s="680" t="s">
        <v>6153</v>
      </c>
    </row>
    <row r="30026" spans="8:8">
      <c r="H30026" s="680" t="s">
        <v>6153</v>
      </c>
    </row>
    <row r="30027" spans="8:8">
      <c r="H30027" s="680" t="s">
        <v>6153</v>
      </c>
    </row>
    <row r="30028" spans="8:8">
      <c r="H30028" s="680" t="s">
        <v>6153</v>
      </c>
    </row>
    <row r="30029" spans="8:8">
      <c r="H30029" s="680" t="s">
        <v>6153</v>
      </c>
    </row>
    <row r="30030" spans="8:8">
      <c r="H30030" s="680" t="s">
        <v>6153</v>
      </c>
    </row>
    <row r="30031" spans="8:8">
      <c r="H30031" s="680" t="s">
        <v>6153</v>
      </c>
    </row>
    <row r="30032" spans="8:8">
      <c r="H30032" s="680" t="s">
        <v>6153</v>
      </c>
    </row>
    <row r="30033" spans="8:8">
      <c r="H30033" s="680" t="s">
        <v>6153</v>
      </c>
    </row>
    <row r="30034" spans="8:8">
      <c r="H30034" s="680" t="s">
        <v>6153</v>
      </c>
    </row>
    <row r="30035" spans="8:8">
      <c r="H30035" s="680" t="s">
        <v>6153</v>
      </c>
    </row>
    <row r="30036" spans="8:8">
      <c r="H30036" s="680" t="s">
        <v>6153</v>
      </c>
    </row>
    <row r="30037" spans="8:8">
      <c r="H30037" s="680" t="s">
        <v>6153</v>
      </c>
    </row>
    <row r="30038" spans="8:8">
      <c r="H30038" s="680" t="s">
        <v>6153</v>
      </c>
    </row>
    <row r="30039" spans="8:8">
      <c r="H30039" s="680" t="s">
        <v>6153</v>
      </c>
    </row>
    <row r="30040" spans="8:8">
      <c r="H30040" s="680" t="s">
        <v>6153</v>
      </c>
    </row>
    <row r="30041" spans="8:8">
      <c r="H30041" s="680" t="s">
        <v>6153</v>
      </c>
    </row>
    <row r="30042" spans="8:8">
      <c r="H30042" s="680" t="s">
        <v>6153</v>
      </c>
    </row>
    <row r="30043" spans="8:8">
      <c r="H30043" s="680" t="s">
        <v>6153</v>
      </c>
    </row>
    <row r="30044" spans="8:8">
      <c r="H30044" s="680" t="s">
        <v>6153</v>
      </c>
    </row>
    <row r="30045" spans="8:8">
      <c r="H30045" s="680" t="s">
        <v>6153</v>
      </c>
    </row>
    <row r="30046" spans="8:8">
      <c r="H30046" s="680" t="s">
        <v>6153</v>
      </c>
    </row>
    <row r="30047" spans="8:8">
      <c r="H30047" s="680" t="s">
        <v>6153</v>
      </c>
    </row>
    <row r="30048" spans="8:8">
      <c r="H30048" s="680" t="s">
        <v>6153</v>
      </c>
    </row>
    <row r="30049" spans="8:8">
      <c r="H30049" s="680" t="s">
        <v>6153</v>
      </c>
    </row>
    <row r="30050" spans="8:8">
      <c r="H30050" s="680" t="s">
        <v>6153</v>
      </c>
    </row>
    <row r="30051" spans="8:8">
      <c r="H30051" s="680" t="s">
        <v>6153</v>
      </c>
    </row>
    <row r="30052" spans="8:8">
      <c r="H30052" s="680" t="s">
        <v>6153</v>
      </c>
    </row>
    <row r="30053" spans="8:8">
      <c r="H30053" s="680" t="s">
        <v>6153</v>
      </c>
    </row>
    <row r="30054" spans="8:8">
      <c r="H30054" s="680" t="s">
        <v>6153</v>
      </c>
    </row>
    <row r="30055" spans="8:8">
      <c r="H30055" s="680" t="s">
        <v>6153</v>
      </c>
    </row>
    <row r="30056" spans="8:8">
      <c r="H30056" s="680" t="s">
        <v>6153</v>
      </c>
    </row>
    <row r="30057" spans="8:8">
      <c r="H30057" s="680" t="s">
        <v>6153</v>
      </c>
    </row>
    <row r="30058" spans="8:8">
      <c r="H30058" s="680" t="s">
        <v>6153</v>
      </c>
    </row>
    <row r="30059" spans="8:8">
      <c r="H30059" s="680" t="s">
        <v>6153</v>
      </c>
    </row>
    <row r="30060" spans="8:8">
      <c r="H30060" s="680" t="s">
        <v>6153</v>
      </c>
    </row>
    <row r="30061" spans="8:8">
      <c r="H30061" s="680" t="s">
        <v>6153</v>
      </c>
    </row>
    <row r="30062" spans="8:8">
      <c r="H30062" s="680" t="s">
        <v>6153</v>
      </c>
    </row>
    <row r="30063" spans="8:8">
      <c r="H30063" s="680" t="s">
        <v>6153</v>
      </c>
    </row>
    <row r="30064" spans="8:8">
      <c r="H30064" s="680" t="s">
        <v>6153</v>
      </c>
    </row>
    <row r="30065" spans="8:8">
      <c r="H30065" s="680" t="s">
        <v>6153</v>
      </c>
    </row>
    <row r="30066" spans="8:8">
      <c r="H30066" s="680" t="s">
        <v>6153</v>
      </c>
    </row>
    <row r="30067" spans="8:8">
      <c r="H30067" s="680" t="s">
        <v>6153</v>
      </c>
    </row>
    <row r="30068" spans="8:8">
      <c r="H30068" s="680" t="s">
        <v>6153</v>
      </c>
    </row>
    <row r="30069" spans="8:8">
      <c r="H30069" s="680" t="s">
        <v>6153</v>
      </c>
    </row>
    <row r="30070" spans="8:8">
      <c r="H30070" s="680" t="s">
        <v>6153</v>
      </c>
    </row>
    <row r="30071" spans="8:8">
      <c r="H30071" s="680" t="s">
        <v>6153</v>
      </c>
    </row>
    <row r="30072" spans="8:8">
      <c r="H30072" s="680" t="s">
        <v>6153</v>
      </c>
    </row>
    <row r="30073" spans="8:8">
      <c r="H30073" s="680" t="s">
        <v>6153</v>
      </c>
    </row>
    <row r="30074" spans="8:8">
      <c r="H30074" s="680" t="s">
        <v>6153</v>
      </c>
    </row>
    <row r="30075" spans="8:8">
      <c r="H30075" s="680" t="s">
        <v>6153</v>
      </c>
    </row>
    <row r="30076" spans="8:8">
      <c r="H30076" s="680" t="s">
        <v>6153</v>
      </c>
    </row>
    <row r="30077" spans="8:8">
      <c r="H30077" s="680" t="s">
        <v>6153</v>
      </c>
    </row>
    <row r="30078" spans="8:8">
      <c r="H30078" s="680" t="s">
        <v>6153</v>
      </c>
    </row>
    <row r="30079" spans="8:8">
      <c r="H30079" s="680" t="s">
        <v>6153</v>
      </c>
    </row>
    <row r="30080" spans="8:8">
      <c r="H30080" s="680" t="s">
        <v>6153</v>
      </c>
    </row>
    <row r="30081" spans="8:8">
      <c r="H30081" s="680" t="s">
        <v>6153</v>
      </c>
    </row>
    <row r="30082" spans="8:8">
      <c r="H30082" s="680" t="s">
        <v>6153</v>
      </c>
    </row>
    <row r="30083" spans="8:8">
      <c r="H30083" s="680" t="s">
        <v>6153</v>
      </c>
    </row>
    <row r="30084" spans="8:8">
      <c r="H30084" s="680" t="s">
        <v>6153</v>
      </c>
    </row>
    <row r="30085" spans="8:8">
      <c r="H30085" s="680" t="s">
        <v>6153</v>
      </c>
    </row>
    <row r="30086" spans="8:8">
      <c r="H30086" s="680" t="s">
        <v>6153</v>
      </c>
    </row>
    <row r="30087" spans="8:8">
      <c r="H30087" s="680" t="s">
        <v>6153</v>
      </c>
    </row>
    <row r="30088" spans="8:8">
      <c r="H30088" s="680" t="s">
        <v>6153</v>
      </c>
    </row>
    <row r="30089" spans="8:8">
      <c r="H30089" s="680" t="s">
        <v>6153</v>
      </c>
    </row>
    <row r="30090" spans="8:8">
      <c r="H30090" s="680" t="s">
        <v>6153</v>
      </c>
    </row>
    <row r="30091" spans="8:8">
      <c r="H30091" s="680" t="s">
        <v>6153</v>
      </c>
    </row>
    <row r="30092" spans="8:8">
      <c r="H30092" s="680" t="s">
        <v>6153</v>
      </c>
    </row>
    <row r="30093" spans="8:8">
      <c r="H30093" s="680" t="s">
        <v>6153</v>
      </c>
    </row>
    <row r="30094" spans="8:8">
      <c r="H30094" s="680" t="s">
        <v>6153</v>
      </c>
    </row>
    <row r="30095" spans="8:8">
      <c r="H30095" s="680" t="s">
        <v>6153</v>
      </c>
    </row>
    <row r="30096" spans="8:8">
      <c r="H30096" s="680" t="s">
        <v>6153</v>
      </c>
    </row>
    <row r="30097" spans="8:8">
      <c r="H30097" s="680" t="s">
        <v>6153</v>
      </c>
    </row>
    <row r="30098" spans="8:8">
      <c r="H30098" s="680" t="s">
        <v>6153</v>
      </c>
    </row>
    <row r="30099" spans="8:8">
      <c r="H30099" s="680" t="s">
        <v>6153</v>
      </c>
    </row>
    <row r="30100" spans="8:8">
      <c r="H30100" s="680" t="s">
        <v>6153</v>
      </c>
    </row>
    <row r="30101" spans="8:8">
      <c r="H30101" s="680" t="s">
        <v>6153</v>
      </c>
    </row>
    <row r="30102" spans="8:8">
      <c r="H30102" s="680" t="s">
        <v>6153</v>
      </c>
    </row>
    <row r="30103" spans="8:8">
      <c r="H30103" s="680" t="s">
        <v>6153</v>
      </c>
    </row>
    <row r="30104" spans="8:8">
      <c r="H30104" s="680" t="s">
        <v>6153</v>
      </c>
    </row>
    <row r="30105" spans="8:8">
      <c r="H30105" s="680" t="s">
        <v>6153</v>
      </c>
    </row>
    <row r="30106" spans="8:8">
      <c r="H30106" s="680" t="s">
        <v>6153</v>
      </c>
    </row>
    <row r="30107" spans="8:8">
      <c r="H30107" s="680" t="s">
        <v>6153</v>
      </c>
    </row>
    <row r="30108" spans="8:8">
      <c r="H30108" s="680" t="s">
        <v>6153</v>
      </c>
    </row>
    <row r="30109" spans="8:8">
      <c r="H30109" s="680" t="s">
        <v>6153</v>
      </c>
    </row>
    <row r="30110" spans="8:8">
      <c r="H30110" s="680" t="s">
        <v>6153</v>
      </c>
    </row>
    <row r="30111" spans="8:8">
      <c r="H30111" s="680" t="s">
        <v>6153</v>
      </c>
    </row>
    <row r="30112" spans="8:8">
      <c r="H30112" s="680" t="s">
        <v>6153</v>
      </c>
    </row>
    <row r="30113" spans="8:8">
      <c r="H30113" s="680" t="s">
        <v>6153</v>
      </c>
    </row>
    <row r="30114" spans="8:8">
      <c r="H30114" s="680" t="s">
        <v>6153</v>
      </c>
    </row>
    <row r="30115" spans="8:8">
      <c r="H30115" s="680" t="s">
        <v>6153</v>
      </c>
    </row>
    <row r="30116" spans="8:8">
      <c r="H30116" s="680" t="s">
        <v>6153</v>
      </c>
    </row>
    <row r="30117" spans="8:8">
      <c r="H30117" s="680" t="s">
        <v>6153</v>
      </c>
    </row>
    <row r="30118" spans="8:8">
      <c r="H30118" s="680" t="s">
        <v>6153</v>
      </c>
    </row>
    <row r="30119" spans="8:8">
      <c r="H30119" s="680" t="s">
        <v>6153</v>
      </c>
    </row>
    <row r="30120" spans="8:8">
      <c r="H30120" s="680" t="s">
        <v>6153</v>
      </c>
    </row>
    <row r="30121" spans="8:8">
      <c r="H30121" s="680" t="s">
        <v>6153</v>
      </c>
    </row>
    <row r="30122" spans="8:8">
      <c r="H30122" s="680" t="s">
        <v>6153</v>
      </c>
    </row>
    <row r="30123" spans="8:8">
      <c r="H30123" s="680" t="s">
        <v>6153</v>
      </c>
    </row>
    <row r="30124" spans="8:8">
      <c r="H30124" s="680" t="s">
        <v>6153</v>
      </c>
    </row>
    <row r="30125" spans="8:8">
      <c r="H30125" s="680" t="s">
        <v>6153</v>
      </c>
    </row>
    <row r="30126" spans="8:8">
      <c r="H30126" s="680" t="s">
        <v>6153</v>
      </c>
    </row>
    <row r="30127" spans="8:8">
      <c r="H30127" s="680" t="s">
        <v>6153</v>
      </c>
    </row>
    <row r="30128" spans="8:8">
      <c r="H30128" s="680" t="s">
        <v>6153</v>
      </c>
    </row>
    <row r="30129" spans="8:8">
      <c r="H30129" s="680" t="s">
        <v>6153</v>
      </c>
    </row>
    <row r="30130" spans="8:8">
      <c r="H30130" s="680" t="s">
        <v>6153</v>
      </c>
    </row>
    <row r="30131" spans="8:8">
      <c r="H30131" s="680" t="s">
        <v>6153</v>
      </c>
    </row>
    <row r="30132" spans="8:8">
      <c r="H30132" s="680" t="s">
        <v>6153</v>
      </c>
    </row>
    <row r="30133" spans="8:8">
      <c r="H30133" s="680" t="s">
        <v>6153</v>
      </c>
    </row>
    <row r="30134" spans="8:8">
      <c r="H30134" s="680" t="s">
        <v>6153</v>
      </c>
    </row>
    <row r="30135" spans="8:8">
      <c r="H30135" s="680" t="s">
        <v>6153</v>
      </c>
    </row>
    <row r="30136" spans="8:8">
      <c r="H30136" s="680" t="s">
        <v>6153</v>
      </c>
    </row>
    <row r="30137" spans="8:8">
      <c r="H30137" s="680" t="s">
        <v>6153</v>
      </c>
    </row>
    <row r="30138" spans="8:8">
      <c r="H30138" s="680" t="s">
        <v>6153</v>
      </c>
    </row>
    <row r="30139" spans="8:8">
      <c r="H30139" s="680" t="s">
        <v>6153</v>
      </c>
    </row>
    <row r="30140" spans="8:8">
      <c r="H30140" s="680" t="s">
        <v>6153</v>
      </c>
    </row>
    <row r="30141" spans="8:8">
      <c r="H30141" s="680" t="s">
        <v>6153</v>
      </c>
    </row>
    <row r="30142" spans="8:8">
      <c r="H30142" s="680" t="s">
        <v>6153</v>
      </c>
    </row>
    <row r="30143" spans="8:8">
      <c r="H30143" s="680" t="s">
        <v>6153</v>
      </c>
    </row>
    <row r="30144" spans="8:8">
      <c r="H30144" s="680" t="s">
        <v>6153</v>
      </c>
    </row>
    <row r="30145" spans="8:8">
      <c r="H30145" s="680" t="s">
        <v>6153</v>
      </c>
    </row>
    <row r="30146" spans="8:8">
      <c r="H30146" s="680" t="s">
        <v>6153</v>
      </c>
    </row>
    <row r="30147" spans="8:8">
      <c r="H30147" s="680" t="s">
        <v>6153</v>
      </c>
    </row>
    <row r="30148" spans="8:8">
      <c r="H30148" s="680" t="s">
        <v>6153</v>
      </c>
    </row>
    <row r="30149" spans="8:8">
      <c r="H30149" s="680" t="s">
        <v>6153</v>
      </c>
    </row>
    <row r="30150" spans="8:8">
      <c r="H30150" s="680" t="s">
        <v>6153</v>
      </c>
    </row>
    <row r="30151" spans="8:8">
      <c r="H30151" s="680" t="s">
        <v>6153</v>
      </c>
    </row>
    <row r="30152" spans="8:8">
      <c r="H30152" s="680" t="s">
        <v>6153</v>
      </c>
    </row>
    <row r="30153" spans="8:8">
      <c r="H30153" s="680" t="s">
        <v>6153</v>
      </c>
    </row>
    <row r="30154" spans="8:8">
      <c r="H30154" s="680" t="s">
        <v>6153</v>
      </c>
    </row>
    <row r="30155" spans="8:8">
      <c r="H30155" s="680" t="s">
        <v>6153</v>
      </c>
    </row>
    <row r="30156" spans="8:8">
      <c r="H30156" s="680" t="s">
        <v>6153</v>
      </c>
    </row>
    <row r="30157" spans="8:8">
      <c r="H30157" s="680" t="s">
        <v>6153</v>
      </c>
    </row>
    <row r="30158" spans="8:8">
      <c r="H30158" s="680" t="s">
        <v>6153</v>
      </c>
    </row>
    <row r="30159" spans="8:8">
      <c r="H30159" s="680" t="s">
        <v>6153</v>
      </c>
    </row>
    <row r="30160" spans="8:8">
      <c r="H30160" s="680" t="s">
        <v>6153</v>
      </c>
    </row>
    <row r="30161" spans="8:8">
      <c r="H30161" s="680" t="s">
        <v>6153</v>
      </c>
    </row>
    <row r="30162" spans="8:8">
      <c r="H30162" s="680" t="s">
        <v>6153</v>
      </c>
    </row>
    <row r="30163" spans="8:8">
      <c r="H30163" s="680" t="s">
        <v>6153</v>
      </c>
    </row>
    <row r="30164" spans="8:8">
      <c r="H30164" s="680" t="s">
        <v>6153</v>
      </c>
    </row>
    <row r="30165" spans="8:8">
      <c r="H30165" s="680" t="s">
        <v>6153</v>
      </c>
    </row>
    <row r="30166" spans="8:8">
      <c r="H30166" s="680" t="s">
        <v>6153</v>
      </c>
    </row>
    <row r="30167" spans="8:8">
      <c r="H30167" s="680" t="s">
        <v>6153</v>
      </c>
    </row>
    <row r="30168" spans="8:8">
      <c r="H30168" s="680" t="s">
        <v>6153</v>
      </c>
    </row>
    <row r="30169" spans="8:8">
      <c r="H30169" s="680" t="s">
        <v>6153</v>
      </c>
    </row>
    <row r="30170" spans="8:8">
      <c r="H30170" s="680" t="s">
        <v>6153</v>
      </c>
    </row>
    <row r="30171" spans="8:8">
      <c r="H30171" s="680" t="s">
        <v>6153</v>
      </c>
    </row>
    <row r="30172" spans="8:8">
      <c r="H30172" s="680" t="s">
        <v>6153</v>
      </c>
    </row>
    <row r="30173" spans="8:8">
      <c r="H30173" s="680" t="s">
        <v>6153</v>
      </c>
    </row>
    <row r="30174" spans="8:8">
      <c r="H30174" s="680" t="s">
        <v>6153</v>
      </c>
    </row>
    <row r="30175" spans="8:8">
      <c r="H30175" s="680" t="s">
        <v>6153</v>
      </c>
    </row>
    <row r="30176" spans="8:8">
      <c r="H30176" s="680" t="s">
        <v>6153</v>
      </c>
    </row>
    <row r="30177" spans="8:8">
      <c r="H30177" s="680" t="s">
        <v>6153</v>
      </c>
    </row>
    <row r="30178" spans="8:8">
      <c r="H30178" s="680" t="s">
        <v>6153</v>
      </c>
    </row>
    <row r="30179" spans="8:8">
      <c r="H30179" s="680" t="s">
        <v>6153</v>
      </c>
    </row>
    <row r="30180" spans="8:8">
      <c r="H30180" s="680" t="s">
        <v>6153</v>
      </c>
    </row>
    <row r="30181" spans="8:8">
      <c r="H30181" s="680" t="s">
        <v>6153</v>
      </c>
    </row>
    <row r="30182" spans="8:8">
      <c r="H30182" s="680" t="s">
        <v>6153</v>
      </c>
    </row>
    <row r="30183" spans="8:8">
      <c r="H30183" s="680" t="s">
        <v>6153</v>
      </c>
    </row>
    <row r="30184" spans="8:8">
      <c r="H30184" s="680" t="s">
        <v>6153</v>
      </c>
    </row>
    <row r="30185" spans="8:8">
      <c r="H30185" s="680" t="s">
        <v>6153</v>
      </c>
    </row>
    <row r="30186" spans="8:8">
      <c r="H30186" s="680" t="s">
        <v>6153</v>
      </c>
    </row>
    <row r="30187" spans="8:8">
      <c r="H30187" s="680" t="s">
        <v>6153</v>
      </c>
    </row>
    <row r="30188" spans="8:8">
      <c r="H30188" s="680" t="s">
        <v>6153</v>
      </c>
    </row>
    <row r="30189" spans="8:8">
      <c r="H30189" s="680" t="s">
        <v>6153</v>
      </c>
    </row>
    <row r="30190" spans="8:8">
      <c r="H30190" s="680" t="s">
        <v>6153</v>
      </c>
    </row>
    <row r="30191" spans="8:8">
      <c r="H30191" s="680" t="s">
        <v>6153</v>
      </c>
    </row>
    <row r="30192" spans="8:8">
      <c r="H30192" s="680" t="s">
        <v>6153</v>
      </c>
    </row>
    <row r="30193" spans="8:8">
      <c r="H30193" s="680" t="s">
        <v>6153</v>
      </c>
    </row>
    <row r="30194" spans="8:8">
      <c r="H30194" s="680" t="s">
        <v>6153</v>
      </c>
    </row>
    <row r="30195" spans="8:8">
      <c r="H30195" s="680" t="s">
        <v>6153</v>
      </c>
    </row>
    <row r="30196" spans="8:8">
      <c r="H30196" s="680" t="s">
        <v>6153</v>
      </c>
    </row>
    <row r="30197" spans="8:8">
      <c r="H30197" s="680" t="s">
        <v>6153</v>
      </c>
    </row>
    <row r="30198" spans="8:8">
      <c r="H30198" s="680" t="s">
        <v>6153</v>
      </c>
    </row>
    <row r="30199" spans="8:8">
      <c r="H30199" s="680" t="s">
        <v>6153</v>
      </c>
    </row>
    <row r="30200" spans="8:8">
      <c r="H30200" s="680" t="s">
        <v>6153</v>
      </c>
    </row>
    <row r="30201" spans="8:8">
      <c r="H30201" s="680" t="s">
        <v>6153</v>
      </c>
    </row>
    <row r="30202" spans="8:8">
      <c r="H30202" s="680" t="s">
        <v>6153</v>
      </c>
    </row>
    <row r="30203" spans="8:8">
      <c r="H30203" s="680" t="s">
        <v>6153</v>
      </c>
    </row>
    <row r="30204" spans="8:8">
      <c r="H30204" s="680" t="s">
        <v>6153</v>
      </c>
    </row>
    <row r="30205" spans="8:8">
      <c r="H30205" s="680" t="s">
        <v>6153</v>
      </c>
    </row>
    <row r="30206" spans="8:8">
      <c r="H30206" s="680" t="s">
        <v>6153</v>
      </c>
    </row>
    <row r="30207" spans="8:8">
      <c r="H30207" s="680" t="s">
        <v>6153</v>
      </c>
    </row>
    <row r="30208" spans="8:8">
      <c r="H30208" s="680" t="s">
        <v>6153</v>
      </c>
    </row>
    <row r="30209" spans="8:8">
      <c r="H30209" s="680" t="s">
        <v>6153</v>
      </c>
    </row>
    <row r="30210" spans="8:8">
      <c r="H30210" s="680" t="s">
        <v>6153</v>
      </c>
    </row>
    <row r="30211" spans="8:8">
      <c r="H30211" s="680" t="s">
        <v>6153</v>
      </c>
    </row>
    <row r="30212" spans="8:8">
      <c r="H30212" s="680" t="s">
        <v>6153</v>
      </c>
    </row>
    <row r="30213" spans="8:8">
      <c r="H30213" s="680" t="s">
        <v>6153</v>
      </c>
    </row>
    <row r="30214" spans="8:8">
      <c r="H30214" s="680" t="s">
        <v>6153</v>
      </c>
    </row>
    <row r="30215" spans="8:8">
      <c r="H30215" s="680" t="s">
        <v>6153</v>
      </c>
    </row>
    <row r="30216" spans="8:8">
      <c r="H30216" s="680" t="s">
        <v>6153</v>
      </c>
    </row>
    <row r="30217" spans="8:8">
      <c r="H30217" s="680" t="s">
        <v>6153</v>
      </c>
    </row>
    <row r="30218" spans="8:8">
      <c r="H30218" s="680" t="s">
        <v>6153</v>
      </c>
    </row>
    <row r="30219" spans="8:8">
      <c r="H30219" s="680" t="s">
        <v>6153</v>
      </c>
    </row>
    <row r="30220" spans="8:8">
      <c r="H30220" s="680" t="s">
        <v>6153</v>
      </c>
    </row>
    <row r="30221" spans="8:8">
      <c r="H30221" s="680" t="s">
        <v>6153</v>
      </c>
    </row>
    <row r="30222" spans="8:8">
      <c r="H30222" s="680" t="s">
        <v>6153</v>
      </c>
    </row>
    <row r="30223" spans="8:8">
      <c r="H30223" s="680" t="s">
        <v>6153</v>
      </c>
    </row>
    <row r="30224" spans="8:8">
      <c r="H30224" s="680" t="s">
        <v>6153</v>
      </c>
    </row>
    <row r="30225" spans="8:8">
      <c r="H30225" s="680" t="s">
        <v>6153</v>
      </c>
    </row>
    <row r="30226" spans="8:8">
      <c r="H30226" s="680" t="s">
        <v>6153</v>
      </c>
    </row>
    <row r="30227" spans="8:8">
      <c r="H30227" s="680" t="s">
        <v>6153</v>
      </c>
    </row>
    <row r="30228" spans="8:8">
      <c r="H30228" s="680" t="s">
        <v>6153</v>
      </c>
    </row>
    <row r="30229" spans="8:8">
      <c r="H30229" s="680" t="s">
        <v>6153</v>
      </c>
    </row>
    <row r="30230" spans="8:8">
      <c r="H30230" s="680" t="s">
        <v>6153</v>
      </c>
    </row>
    <row r="30231" spans="8:8">
      <c r="H30231" s="680" t="s">
        <v>6153</v>
      </c>
    </row>
    <row r="30232" spans="8:8">
      <c r="H30232" s="680" t="s">
        <v>6153</v>
      </c>
    </row>
    <row r="30233" spans="8:8">
      <c r="H30233" s="680" t="s">
        <v>6153</v>
      </c>
    </row>
    <row r="30234" spans="8:8">
      <c r="H30234" s="680" t="s">
        <v>6153</v>
      </c>
    </row>
    <row r="30235" spans="8:8">
      <c r="H30235" s="680" t="s">
        <v>6153</v>
      </c>
    </row>
    <row r="30236" spans="8:8">
      <c r="H30236" s="680" t="s">
        <v>6153</v>
      </c>
    </row>
    <row r="30237" spans="8:8">
      <c r="H30237" s="680" t="s">
        <v>6153</v>
      </c>
    </row>
    <row r="30238" spans="8:8">
      <c r="H30238" s="680" t="s">
        <v>6153</v>
      </c>
    </row>
    <row r="30239" spans="8:8">
      <c r="H30239" s="680" t="s">
        <v>6153</v>
      </c>
    </row>
    <row r="30240" spans="8:8">
      <c r="H30240" s="680" t="s">
        <v>6153</v>
      </c>
    </row>
    <row r="30241" spans="8:8">
      <c r="H30241" s="680" t="s">
        <v>6153</v>
      </c>
    </row>
    <row r="30242" spans="8:8">
      <c r="H30242" s="680" t="s">
        <v>6153</v>
      </c>
    </row>
    <row r="30243" spans="8:8">
      <c r="H30243" s="680" t="s">
        <v>6153</v>
      </c>
    </row>
    <row r="30244" spans="8:8">
      <c r="H30244" s="680" t="s">
        <v>6153</v>
      </c>
    </row>
    <row r="30245" spans="8:8">
      <c r="H30245" s="680" t="s">
        <v>6153</v>
      </c>
    </row>
    <row r="30246" spans="8:8">
      <c r="H30246" s="680" t="s">
        <v>6153</v>
      </c>
    </row>
    <row r="30247" spans="8:8">
      <c r="H30247" s="680" t="s">
        <v>6153</v>
      </c>
    </row>
    <row r="30248" spans="8:8">
      <c r="H30248" s="680" t="s">
        <v>6153</v>
      </c>
    </row>
    <row r="30249" spans="8:8">
      <c r="H30249" s="680" t="s">
        <v>6153</v>
      </c>
    </row>
    <row r="30250" spans="8:8">
      <c r="H30250" s="680" t="s">
        <v>6153</v>
      </c>
    </row>
    <row r="30251" spans="8:8">
      <c r="H30251" s="680" t="s">
        <v>6153</v>
      </c>
    </row>
    <row r="30252" spans="8:8">
      <c r="H30252" s="680" t="s">
        <v>6153</v>
      </c>
    </row>
    <row r="30253" spans="8:8">
      <c r="H30253" s="680" t="s">
        <v>6153</v>
      </c>
    </row>
    <row r="30254" spans="8:8">
      <c r="H30254" s="680" t="s">
        <v>6153</v>
      </c>
    </row>
    <row r="30255" spans="8:8">
      <c r="H30255" s="680" t="s">
        <v>6153</v>
      </c>
    </row>
    <row r="30256" spans="8:8">
      <c r="H30256" s="680" t="s">
        <v>6153</v>
      </c>
    </row>
    <row r="30257" spans="8:8">
      <c r="H30257" s="680" t="s">
        <v>6153</v>
      </c>
    </row>
    <row r="30258" spans="8:8">
      <c r="H30258" s="680" t="s">
        <v>6153</v>
      </c>
    </row>
    <row r="30259" spans="8:8">
      <c r="H30259" s="680" t="s">
        <v>6153</v>
      </c>
    </row>
    <row r="30260" spans="8:8">
      <c r="H30260" s="680" t="s">
        <v>6153</v>
      </c>
    </row>
    <row r="30261" spans="8:8">
      <c r="H30261" s="680" t="s">
        <v>6153</v>
      </c>
    </row>
    <row r="30262" spans="8:8">
      <c r="H30262" s="680" t="s">
        <v>6153</v>
      </c>
    </row>
    <row r="30263" spans="8:8">
      <c r="H30263" s="680" t="s">
        <v>6153</v>
      </c>
    </row>
    <row r="30264" spans="8:8">
      <c r="H30264" s="680" t="s">
        <v>6153</v>
      </c>
    </row>
    <row r="30265" spans="8:8">
      <c r="H30265" s="680" t="s">
        <v>6153</v>
      </c>
    </row>
    <row r="30266" spans="8:8">
      <c r="H30266" s="680" t="s">
        <v>6153</v>
      </c>
    </row>
    <row r="30267" spans="8:8">
      <c r="H30267" s="680" t="s">
        <v>6153</v>
      </c>
    </row>
    <row r="30268" spans="8:8">
      <c r="H30268" s="680" t="s">
        <v>6153</v>
      </c>
    </row>
    <row r="30269" spans="8:8">
      <c r="H30269" s="680" t="s">
        <v>6153</v>
      </c>
    </row>
    <row r="30270" spans="8:8">
      <c r="H30270" s="680" t="s">
        <v>6153</v>
      </c>
    </row>
    <row r="30271" spans="8:8">
      <c r="H30271" s="680" t="s">
        <v>6153</v>
      </c>
    </row>
    <row r="30272" spans="8:8">
      <c r="H30272" s="680" t="s">
        <v>6153</v>
      </c>
    </row>
    <row r="30273" spans="8:8">
      <c r="H30273" s="680" t="s">
        <v>6153</v>
      </c>
    </row>
    <row r="30274" spans="8:8">
      <c r="H30274" s="680" t="s">
        <v>6153</v>
      </c>
    </row>
    <row r="30275" spans="8:8">
      <c r="H30275" s="680" t="s">
        <v>6153</v>
      </c>
    </row>
    <row r="30276" spans="8:8">
      <c r="H30276" s="680" t="s">
        <v>6153</v>
      </c>
    </row>
    <row r="30277" spans="8:8">
      <c r="H30277" s="680" t="s">
        <v>6153</v>
      </c>
    </row>
    <row r="30278" spans="8:8">
      <c r="H30278" s="680" t="s">
        <v>6153</v>
      </c>
    </row>
    <row r="30279" spans="8:8">
      <c r="H30279" s="680" t="s">
        <v>6153</v>
      </c>
    </row>
    <row r="30280" spans="8:8">
      <c r="H30280" s="680" t="s">
        <v>6153</v>
      </c>
    </row>
    <row r="30281" spans="8:8">
      <c r="H30281" s="680" t="s">
        <v>6153</v>
      </c>
    </row>
    <row r="30282" spans="8:8">
      <c r="H30282" s="680" t="s">
        <v>6153</v>
      </c>
    </row>
    <row r="30283" spans="8:8">
      <c r="H30283" s="680" t="s">
        <v>6153</v>
      </c>
    </row>
    <row r="30284" spans="8:8">
      <c r="H30284" s="680" t="s">
        <v>6153</v>
      </c>
    </row>
    <row r="30285" spans="8:8">
      <c r="H30285" s="680" t="s">
        <v>6153</v>
      </c>
    </row>
    <row r="30286" spans="8:8">
      <c r="H30286" s="680" t="s">
        <v>6153</v>
      </c>
    </row>
    <row r="30287" spans="8:8">
      <c r="H30287" s="680" t="s">
        <v>6153</v>
      </c>
    </row>
    <row r="30288" spans="8:8">
      <c r="H30288" s="680" t="s">
        <v>6153</v>
      </c>
    </row>
    <row r="30289" spans="8:8">
      <c r="H30289" s="680" t="s">
        <v>6153</v>
      </c>
    </row>
    <row r="30290" spans="8:8">
      <c r="H30290" s="680" t="s">
        <v>6153</v>
      </c>
    </row>
    <row r="30291" spans="8:8">
      <c r="H30291" s="680" t="s">
        <v>6153</v>
      </c>
    </row>
    <row r="30292" spans="8:8">
      <c r="H30292" s="680" t="s">
        <v>6153</v>
      </c>
    </row>
    <row r="30293" spans="8:8">
      <c r="H30293" s="680" t="s">
        <v>6153</v>
      </c>
    </row>
    <row r="30294" spans="8:8">
      <c r="H30294" s="680" t="s">
        <v>6153</v>
      </c>
    </row>
    <row r="30295" spans="8:8">
      <c r="H30295" s="680" t="s">
        <v>6153</v>
      </c>
    </row>
    <row r="30296" spans="8:8">
      <c r="H30296" s="680" t="s">
        <v>6153</v>
      </c>
    </row>
    <row r="30297" spans="8:8">
      <c r="H30297" s="680" t="s">
        <v>6153</v>
      </c>
    </row>
    <row r="30298" spans="8:8">
      <c r="H30298" s="680" t="s">
        <v>6153</v>
      </c>
    </row>
    <row r="30299" spans="8:8">
      <c r="H30299" s="680" t="s">
        <v>6153</v>
      </c>
    </row>
    <row r="30300" spans="8:8">
      <c r="H30300" s="680" t="s">
        <v>6153</v>
      </c>
    </row>
    <row r="30301" spans="8:8">
      <c r="H30301" s="680" t="s">
        <v>6153</v>
      </c>
    </row>
    <row r="30302" spans="8:8">
      <c r="H30302" s="680" t="s">
        <v>6153</v>
      </c>
    </row>
    <row r="30303" spans="8:8">
      <c r="H30303" s="680" t="s">
        <v>6153</v>
      </c>
    </row>
    <row r="30304" spans="8:8">
      <c r="H30304" s="680" t="s">
        <v>6153</v>
      </c>
    </row>
    <row r="30305" spans="8:8">
      <c r="H30305" s="680" t="s">
        <v>6153</v>
      </c>
    </row>
    <row r="30306" spans="8:8">
      <c r="H30306" s="680" t="s">
        <v>6153</v>
      </c>
    </row>
    <row r="30307" spans="8:8">
      <c r="H30307" s="680" t="s">
        <v>6153</v>
      </c>
    </row>
    <row r="30308" spans="8:8">
      <c r="H30308" s="680" t="s">
        <v>6153</v>
      </c>
    </row>
    <row r="30309" spans="8:8">
      <c r="H30309" s="680" t="s">
        <v>6153</v>
      </c>
    </row>
    <row r="30310" spans="8:8">
      <c r="H30310" s="680" t="s">
        <v>6153</v>
      </c>
    </row>
    <row r="30311" spans="8:8">
      <c r="H30311" s="680" t="s">
        <v>6153</v>
      </c>
    </row>
    <row r="30312" spans="8:8">
      <c r="H30312" s="680" t="s">
        <v>6153</v>
      </c>
    </row>
    <row r="30313" spans="8:8">
      <c r="H30313" s="680" t="s">
        <v>6153</v>
      </c>
    </row>
    <row r="30314" spans="8:8">
      <c r="H30314" s="680" t="s">
        <v>6153</v>
      </c>
    </row>
    <row r="30315" spans="8:8">
      <c r="H30315" s="680" t="s">
        <v>6153</v>
      </c>
    </row>
    <row r="30316" spans="8:8">
      <c r="H30316" s="680" t="s">
        <v>6153</v>
      </c>
    </row>
    <row r="30317" spans="8:8">
      <c r="H30317" s="680" t="s">
        <v>6153</v>
      </c>
    </row>
    <row r="30318" spans="8:8">
      <c r="H30318" s="680" t="s">
        <v>6153</v>
      </c>
    </row>
    <row r="30319" spans="8:8">
      <c r="H30319" s="680" t="s">
        <v>6153</v>
      </c>
    </row>
    <row r="30320" spans="8:8">
      <c r="H30320" s="680" t="s">
        <v>6153</v>
      </c>
    </row>
    <row r="30321" spans="8:8">
      <c r="H30321" s="680" t="s">
        <v>6153</v>
      </c>
    </row>
    <row r="30322" spans="8:8">
      <c r="H30322" s="680" t="s">
        <v>6153</v>
      </c>
    </row>
    <row r="30323" spans="8:8">
      <c r="H30323" s="680" t="s">
        <v>6153</v>
      </c>
    </row>
    <row r="30324" spans="8:8">
      <c r="H30324" s="680" t="s">
        <v>6153</v>
      </c>
    </row>
    <row r="30325" spans="8:8">
      <c r="H30325" s="680" t="s">
        <v>6153</v>
      </c>
    </row>
    <row r="30326" spans="8:8">
      <c r="H30326" s="680" t="s">
        <v>6153</v>
      </c>
    </row>
    <row r="30327" spans="8:8">
      <c r="H30327" s="680" t="s">
        <v>6153</v>
      </c>
    </row>
    <row r="30328" spans="8:8">
      <c r="H30328" s="680" t="s">
        <v>6153</v>
      </c>
    </row>
    <row r="30329" spans="8:8">
      <c r="H30329" s="680" t="s">
        <v>6153</v>
      </c>
    </row>
    <row r="30330" spans="8:8">
      <c r="H30330" s="680" t="s">
        <v>6153</v>
      </c>
    </row>
    <row r="30331" spans="8:8">
      <c r="H30331" s="680" t="s">
        <v>6153</v>
      </c>
    </row>
    <row r="30332" spans="8:8">
      <c r="H30332" s="680" t="s">
        <v>6153</v>
      </c>
    </row>
    <row r="30333" spans="8:8">
      <c r="H30333" s="680" t="s">
        <v>6153</v>
      </c>
    </row>
    <row r="30334" spans="8:8">
      <c r="H30334" s="680" t="s">
        <v>6153</v>
      </c>
    </row>
    <row r="30335" spans="8:8">
      <c r="H30335" s="680" t="s">
        <v>6153</v>
      </c>
    </row>
    <row r="30336" spans="8:8">
      <c r="H30336" s="680" t="s">
        <v>6153</v>
      </c>
    </row>
    <row r="30337" spans="8:8">
      <c r="H30337" s="680" t="s">
        <v>6153</v>
      </c>
    </row>
    <row r="30338" spans="8:8">
      <c r="H30338" s="680" t="s">
        <v>6153</v>
      </c>
    </row>
    <row r="30339" spans="8:8">
      <c r="H30339" s="680" t="s">
        <v>6153</v>
      </c>
    </row>
    <row r="30340" spans="8:8">
      <c r="H30340" s="680" t="s">
        <v>6153</v>
      </c>
    </row>
    <row r="30341" spans="8:8">
      <c r="H30341" s="680" t="s">
        <v>6153</v>
      </c>
    </row>
    <row r="30342" spans="8:8">
      <c r="H30342" s="680" t="s">
        <v>6153</v>
      </c>
    </row>
    <row r="30343" spans="8:8">
      <c r="H30343" s="680" t="s">
        <v>6153</v>
      </c>
    </row>
    <row r="30344" spans="8:8">
      <c r="H30344" s="680" t="s">
        <v>6153</v>
      </c>
    </row>
    <row r="30345" spans="8:8">
      <c r="H30345" s="680" t="s">
        <v>6153</v>
      </c>
    </row>
    <row r="30346" spans="8:8">
      <c r="H30346" s="680" t="s">
        <v>6153</v>
      </c>
    </row>
    <row r="30347" spans="8:8">
      <c r="H30347" s="680" t="s">
        <v>6153</v>
      </c>
    </row>
    <row r="30348" spans="8:8">
      <c r="H30348" s="680" t="s">
        <v>6153</v>
      </c>
    </row>
    <row r="30349" spans="8:8">
      <c r="H30349" s="680" t="s">
        <v>6153</v>
      </c>
    </row>
    <row r="30350" spans="8:8">
      <c r="H30350" s="680" t="s">
        <v>6153</v>
      </c>
    </row>
    <row r="30351" spans="8:8">
      <c r="H30351" s="680" t="s">
        <v>6153</v>
      </c>
    </row>
    <row r="30352" spans="8:8">
      <c r="H30352" s="680" t="s">
        <v>6153</v>
      </c>
    </row>
    <row r="30353" spans="8:8">
      <c r="H30353" s="680" t="s">
        <v>6153</v>
      </c>
    </row>
    <row r="30354" spans="8:8">
      <c r="H30354" s="680" t="s">
        <v>6153</v>
      </c>
    </row>
    <row r="30355" spans="8:8">
      <c r="H30355" s="680" t="s">
        <v>6153</v>
      </c>
    </row>
    <row r="30356" spans="8:8">
      <c r="H30356" s="680" t="s">
        <v>6153</v>
      </c>
    </row>
    <row r="30357" spans="8:8">
      <c r="H30357" s="680" t="s">
        <v>6153</v>
      </c>
    </row>
    <row r="30358" spans="8:8">
      <c r="H30358" s="680" t="s">
        <v>6153</v>
      </c>
    </row>
    <row r="30359" spans="8:8">
      <c r="H30359" s="680" t="s">
        <v>6153</v>
      </c>
    </row>
    <row r="30360" spans="8:8">
      <c r="H30360" s="680" t="s">
        <v>6153</v>
      </c>
    </row>
    <row r="30361" spans="8:8">
      <c r="H30361" s="680" t="s">
        <v>6153</v>
      </c>
    </row>
    <row r="30362" spans="8:8">
      <c r="H30362" s="680" t="s">
        <v>6153</v>
      </c>
    </row>
    <row r="30363" spans="8:8">
      <c r="H30363" s="680" t="s">
        <v>6153</v>
      </c>
    </row>
    <row r="30364" spans="8:8">
      <c r="H30364" s="680" t="s">
        <v>6153</v>
      </c>
    </row>
    <row r="30365" spans="8:8">
      <c r="H30365" s="680" t="s">
        <v>6153</v>
      </c>
    </row>
    <row r="30366" spans="8:8">
      <c r="H30366" s="680" t="s">
        <v>6153</v>
      </c>
    </row>
    <row r="30367" spans="8:8">
      <c r="H30367" s="680" t="s">
        <v>6153</v>
      </c>
    </row>
    <row r="30368" spans="8:8">
      <c r="H30368" s="680" t="s">
        <v>6153</v>
      </c>
    </row>
    <row r="30369" spans="8:8">
      <c r="H30369" s="680" t="s">
        <v>6153</v>
      </c>
    </row>
    <row r="30370" spans="8:8">
      <c r="H30370" s="680" t="s">
        <v>6153</v>
      </c>
    </row>
    <row r="30371" spans="8:8">
      <c r="H30371" s="680" t="s">
        <v>6153</v>
      </c>
    </row>
    <row r="30372" spans="8:8">
      <c r="H30372" s="680" t="s">
        <v>6153</v>
      </c>
    </row>
    <row r="30373" spans="8:8">
      <c r="H30373" s="680" t="s">
        <v>6153</v>
      </c>
    </row>
    <row r="30374" spans="8:8">
      <c r="H30374" s="680" t="s">
        <v>6153</v>
      </c>
    </row>
    <row r="30375" spans="8:8">
      <c r="H30375" s="680" t="s">
        <v>6153</v>
      </c>
    </row>
    <row r="30376" spans="8:8">
      <c r="H30376" s="680" t="s">
        <v>6153</v>
      </c>
    </row>
    <row r="30377" spans="8:8">
      <c r="H30377" s="680" t="s">
        <v>6153</v>
      </c>
    </row>
    <row r="30378" spans="8:8">
      <c r="H30378" s="680" t="s">
        <v>6153</v>
      </c>
    </row>
    <row r="30379" spans="8:8">
      <c r="H30379" s="680" t="s">
        <v>6153</v>
      </c>
    </row>
    <row r="30380" spans="8:8">
      <c r="H30380" s="680" t="s">
        <v>6153</v>
      </c>
    </row>
    <row r="30381" spans="8:8">
      <c r="H30381" s="680" t="s">
        <v>6153</v>
      </c>
    </row>
    <row r="30382" spans="8:8">
      <c r="H30382" s="680" t="s">
        <v>6153</v>
      </c>
    </row>
    <row r="30383" spans="8:8">
      <c r="H30383" s="680" t="s">
        <v>6153</v>
      </c>
    </row>
    <row r="30384" spans="8:8">
      <c r="H30384" s="680" t="s">
        <v>6153</v>
      </c>
    </row>
    <row r="30385" spans="8:8">
      <c r="H30385" s="680" t="s">
        <v>6153</v>
      </c>
    </row>
    <row r="30386" spans="8:8">
      <c r="H30386" s="680" t="s">
        <v>6153</v>
      </c>
    </row>
    <row r="30387" spans="8:8">
      <c r="H30387" s="680" t="s">
        <v>6153</v>
      </c>
    </row>
    <row r="30388" spans="8:8">
      <c r="H30388" s="680" t="s">
        <v>6153</v>
      </c>
    </row>
    <row r="30389" spans="8:8">
      <c r="H30389" s="680" t="s">
        <v>6153</v>
      </c>
    </row>
    <row r="30390" spans="8:8">
      <c r="H30390" s="680" t="s">
        <v>6153</v>
      </c>
    </row>
    <row r="30391" spans="8:8">
      <c r="H30391" s="680" t="s">
        <v>6153</v>
      </c>
    </row>
    <row r="30392" spans="8:8">
      <c r="H30392" s="680" t="s">
        <v>6153</v>
      </c>
    </row>
    <row r="30393" spans="8:8">
      <c r="H30393" s="680" t="s">
        <v>6153</v>
      </c>
    </row>
    <row r="30394" spans="8:8">
      <c r="H30394" s="680" t="s">
        <v>6153</v>
      </c>
    </row>
    <row r="30395" spans="8:8">
      <c r="H30395" s="680" t="s">
        <v>6153</v>
      </c>
    </row>
    <row r="30396" spans="8:8">
      <c r="H30396" s="680" t="s">
        <v>6153</v>
      </c>
    </row>
    <row r="30397" spans="8:8">
      <c r="H30397" s="680" t="s">
        <v>6153</v>
      </c>
    </row>
    <row r="30398" spans="8:8">
      <c r="H30398" s="680" t="s">
        <v>6153</v>
      </c>
    </row>
    <row r="30399" spans="8:8">
      <c r="H30399" s="680" t="s">
        <v>6153</v>
      </c>
    </row>
    <row r="30400" spans="8:8">
      <c r="H30400" s="680" t="s">
        <v>6153</v>
      </c>
    </row>
    <row r="30401" spans="8:8">
      <c r="H30401" s="680" t="s">
        <v>6153</v>
      </c>
    </row>
    <row r="30402" spans="8:8">
      <c r="H30402" s="680" t="s">
        <v>6153</v>
      </c>
    </row>
    <row r="30403" spans="8:8">
      <c r="H30403" s="680" t="s">
        <v>6153</v>
      </c>
    </row>
    <row r="30404" spans="8:8">
      <c r="H30404" s="680" t="s">
        <v>6153</v>
      </c>
    </row>
    <row r="30405" spans="8:8">
      <c r="H30405" s="680" t="s">
        <v>6153</v>
      </c>
    </row>
    <row r="30406" spans="8:8">
      <c r="H30406" s="680" t="s">
        <v>6153</v>
      </c>
    </row>
    <row r="30407" spans="8:8">
      <c r="H30407" s="680" t="s">
        <v>6153</v>
      </c>
    </row>
    <row r="30408" spans="8:8">
      <c r="H30408" s="680" t="s">
        <v>6153</v>
      </c>
    </row>
    <row r="30409" spans="8:8">
      <c r="H30409" s="680" t="s">
        <v>6153</v>
      </c>
    </row>
    <row r="30410" spans="8:8">
      <c r="H30410" s="680" t="s">
        <v>6153</v>
      </c>
    </row>
    <row r="30411" spans="8:8">
      <c r="H30411" s="680" t="s">
        <v>6153</v>
      </c>
    </row>
    <row r="30412" spans="8:8">
      <c r="H30412" s="680" t="s">
        <v>6153</v>
      </c>
    </row>
    <row r="30413" spans="8:8">
      <c r="H30413" s="680" t="s">
        <v>6153</v>
      </c>
    </row>
    <row r="30414" spans="8:8">
      <c r="H30414" s="680" t="s">
        <v>6153</v>
      </c>
    </row>
    <row r="30415" spans="8:8">
      <c r="H30415" s="680" t="s">
        <v>6153</v>
      </c>
    </row>
    <row r="30416" spans="8:8">
      <c r="H30416" s="680" t="s">
        <v>6153</v>
      </c>
    </row>
    <row r="30417" spans="8:8">
      <c r="H30417" s="680" t="s">
        <v>6153</v>
      </c>
    </row>
    <row r="30418" spans="8:8">
      <c r="H30418" s="680" t="s">
        <v>6153</v>
      </c>
    </row>
    <row r="30419" spans="8:8">
      <c r="H30419" s="680" t="s">
        <v>6153</v>
      </c>
    </row>
    <row r="30420" spans="8:8">
      <c r="H30420" s="680" t="s">
        <v>6153</v>
      </c>
    </row>
    <row r="30421" spans="8:8">
      <c r="H30421" s="680" t="s">
        <v>6153</v>
      </c>
    </row>
    <row r="30422" spans="8:8">
      <c r="H30422" s="680" t="s">
        <v>6153</v>
      </c>
    </row>
    <row r="30423" spans="8:8">
      <c r="H30423" s="680" t="s">
        <v>6153</v>
      </c>
    </row>
    <row r="30424" spans="8:8">
      <c r="H30424" s="680" t="s">
        <v>6153</v>
      </c>
    </row>
    <row r="30425" spans="8:8">
      <c r="H30425" s="680" t="s">
        <v>6153</v>
      </c>
    </row>
    <row r="30426" spans="8:8">
      <c r="H30426" s="680" t="s">
        <v>6153</v>
      </c>
    </row>
    <row r="30427" spans="8:8">
      <c r="H30427" s="680" t="s">
        <v>6153</v>
      </c>
    </row>
    <row r="30428" spans="8:8">
      <c r="H30428" s="680" t="s">
        <v>6153</v>
      </c>
    </row>
    <row r="30429" spans="8:8">
      <c r="H30429" s="680" t="s">
        <v>6153</v>
      </c>
    </row>
    <row r="30430" spans="8:8">
      <c r="H30430" s="680" t="s">
        <v>6153</v>
      </c>
    </row>
    <row r="30431" spans="8:8">
      <c r="H30431" s="680" t="s">
        <v>6153</v>
      </c>
    </row>
    <row r="30432" spans="8:8">
      <c r="H30432" s="680" t="s">
        <v>6153</v>
      </c>
    </row>
    <row r="30433" spans="8:8">
      <c r="H30433" s="680" t="s">
        <v>6153</v>
      </c>
    </row>
    <row r="30434" spans="8:8">
      <c r="H30434" s="680" t="s">
        <v>6153</v>
      </c>
    </row>
    <row r="30435" spans="8:8">
      <c r="H30435" s="680" t="s">
        <v>6153</v>
      </c>
    </row>
    <row r="30436" spans="8:8">
      <c r="H30436" s="680" t="s">
        <v>6153</v>
      </c>
    </row>
    <row r="30437" spans="8:8">
      <c r="H30437" s="680" t="s">
        <v>6153</v>
      </c>
    </row>
    <row r="30438" spans="8:8">
      <c r="H30438" s="680" t="s">
        <v>6153</v>
      </c>
    </row>
    <row r="30439" spans="8:8">
      <c r="H30439" s="680" t="s">
        <v>6153</v>
      </c>
    </row>
    <row r="30440" spans="8:8">
      <c r="H30440" s="680" t="s">
        <v>6153</v>
      </c>
    </row>
    <row r="30441" spans="8:8">
      <c r="H30441" s="680" t="s">
        <v>6153</v>
      </c>
    </row>
    <row r="30442" spans="8:8">
      <c r="H30442" s="680" t="s">
        <v>6153</v>
      </c>
    </row>
    <row r="30443" spans="8:8">
      <c r="H30443" s="680" t="s">
        <v>6153</v>
      </c>
    </row>
    <row r="30444" spans="8:8">
      <c r="H30444" s="680" t="s">
        <v>6153</v>
      </c>
    </row>
    <row r="30445" spans="8:8">
      <c r="H30445" s="680" t="s">
        <v>6153</v>
      </c>
    </row>
    <row r="30446" spans="8:8">
      <c r="H30446" s="680" t="s">
        <v>6153</v>
      </c>
    </row>
    <row r="30447" spans="8:8">
      <c r="H30447" s="680" t="s">
        <v>6153</v>
      </c>
    </row>
    <row r="30448" spans="8:8">
      <c r="H30448" s="680" t="s">
        <v>6153</v>
      </c>
    </row>
    <row r="30449" spans="8:8">
      <c r="H30449" s="680" t="s">
        <v>6153</v>
      </c>
    </row>
    <row r="30450" spans="8:8">
      <c r="H30450" s="680" t="s">
        <v>6153</v>
      </c>
    </row>
    <row r="30451" spans="8:8">
      <c r="H30451" s="680" t="s">
        <v>6153</v>
      </c>
    </row>
    <row r="30452" spans="8:8">
      <c r="H30452" s="680" t="s">
        <v>6153</v>
      </c>
    </row>
    <row r="30453" spans="8:8">
      <c r="H30453" s="680" t="s">
        <v>6153</v>
      </c>
    </row>
    <row r="30454" spans="8:8">
      <c r="H30454" s="680" t="s">
        <v>6153</v>
      </c>
    </row>
    <row r="30455" spans="8:8">
      <c r="H30455" s="680" t="s">
        <v>6153</v>
      </c>
    </row>
    <row r="30456" spans="8:8">
      <c r="H30456" s="680" t="s">
        <v>6153</v>
      </c>
    </row>
    <row r="30457" spans="8:8">
      <c r="H30457" s="680" t="s">
        <v>6153</v>
      </c>
    </row>
    <row r="30458" spans="8:8">
      <c r="H30458" s="680" t="s">
        <v>6153</v>
      </c>
    </row>
    <row r="30459" spans="8:8">
      <c r="H30459" s="680" t="s">
        <v>6153</v>
      </c>
    </row>
    <row r="30460" spans="8:8">
      <c r="H30460" s="680" t="s">
        <v>6153</v>
      </c>
    </row>
    <row r="30461" spans="8:8">
      <c r="H30461" s="680" t="s">
        <v>6153</v>
      </c>
    </row>
    <row r="30462" spans="8:8">
      <c r="H30462" s="680" t="s">
        <v>6153</v>
      </c>
    </row>
    <row r="30463" spans="8:8">
      <c r="H30463" s="680" t="s">
        <v>6153</v>
      </c>
    </row>
    <row r="30464" spans="8:8">
      <c r="H30464" s="680" t="s">
        <v>6153</v>
      </c>
    </row>
    <row r="30465" spans="8:8">
      <c r="H30465" s="680" t="s">
        <v>6153</v>
      </c>
    </row>
    <row r="30466" spans="8:8">
      <c r="H30466" s="680" t="s">
        <v>6153</v>
      </c>
    </row>
    <row r="30467" spans="8:8">
      <c r="H30467" s="680" t="s">
        <v>6153</v>
      </c>
    </row>
    <row r="30468" spans="8:8">
      <c r="H30468" s="680" t="s">
        <v>6153</v>
      </c>
    </row>
    <row r="30469" spans="8:8">
      <c r="H30469" s="680" t="s">
        <v>6153</v>
      </c>
    </row>
    <row r="30470" spans="8:8">
      <c r="H30470" s="680" t="s">
        <v>6153</v>
      </c>
    </row>
    <row r="30471" spans="8:8">
      <c r="H30471" s="680" t="s">
        <v>6153</v>
      </c>
    </row>
    <row r="30472" spans="8:8">
      <c r="H30472" s="680" t="s">
        <v>6153</v>
      </c>
    </row>
    <row r="30473" spans="8:8">
      <c r="H30473" s="680" t="s">
        <v>6153</v>
      </c>
    </row>
    <row r="30474" spans="8:8">
      <c r="H30474" s="680" t="s">
        <v>6153</v>
      </c>
    </row>
    <row r="30475" spans="8:8">
      <c r="H30475" s="680" t="s">
        <v>6153</v>
      </c>
    </row>
    <row r="30476" spans="8:8">
      <c r="H30476" s="680" t="s">
        <v>6153</v>
      </c>
    </row>
    <row r="30477" spans="8:8">
      <c r="H30477" s="680" t="s">
        <v>6153</v>
      </c>
    </row>
    <row r="30478" spans="8:8">
      <c r="H30478" s="680" t="s">
        <v>6153</v>
      </c>
    </row>
    <row r="30479" spans="8:8">
      <c r="H30479" s="680" t="s">
        <v>6153</v>
      </c>
    </row>
    <row r="30480" spans="8:8">
      <c r="H30480" s="680" t="s">
        <v>6153</v>
      </c>
    </row>
    <row r="30481" spans="8:8">
      <c r="H30481" s="680" t="s">
        <v>6153</v>
      </c>
    </row>
    <row r="30482" spans="8:8">
      <c r="H30482" s="680" t="s">
        <v>6153</v>
      </c>
    </row>
    <row r="30483" spans="8:8">
      <c r="H30483" s="680" t="s">
        <v>6153</v>
      </c>
    </row>
    <row r="30484" spans="8:8">
      <c r="H30484" s="680" t="s">
        <v>6153</v>
      </c>
    </row>
    <row r="30485" spans="8:8">
      <c r="H30485" s="680" t="s">
        <v>6153</v>
      </c>
    </row>
    <row r="30486" spans="8:8">
      <c r="H30486" s="680" t="s">
        <v>6153</v>
      </c>
    </row>
    <row r="30487" spans="8:8">
      <c r="H30487" s="680" t="s">
        <v>6153</v>
      </c>
    </row>
    <row r="30488" spans="8:8">
      <c r="H30488" s="680" t="s">
        <v>6153</v>
      </c>
    </row>
    <row r="30489" spans="8:8">
      <c r="H30489" s="680" t="s">
        <v>6153</v>
      </c>
    </row>
    <row r="30490" spans="8:8">
      <c r="H30490" s="680" t="s">
        <v>6153</v>
      </c>
    </row>
    <row r="30491" spans="8:8">
      <c r="H30491" s="680" t="s">
        <v>6153</v>
      </c>
    </row>
    <row r="30492" spans="8:8">
      <c r="H30492" s="680" t="s">
        <v>6153</v>
      </c>
    </row>
    <row r="30493" spans="8:8">
      <c r="H30493" s="680" t="s">
        <v>6153</v>
      </c>
    </row>
    <row r="30494" spans="8:8">
      <c r="H30494" s="680" t="s">
        <v>6153</v>
      </c>
    </row>
    <row r="30495" spans="8:8">
      <c r="H30495" s="680" t="s">
        <v>6153</v>
      </c>
    </row>
    <row r="30496" spans="8:8">
      <c r="H30496" s="680" t="s">
        <v>6153</v>
      </c>
    </row>
    <row r="30497" spans="8:8">
      <c r="H30497" s="680" t="s">
        <v>6153</v>
      </c>
    </row>
    <row r="30498" spans="8:8">
      <c r="H30498" s="680" t="s">
        <v>6153</v>
      </c>
    </row>
    <row r="30499" spans="8:8">
      <c r="H30499" s="680" t="s">
        <v>6153</v>
      </c>
    </row>
    <row r="30500" spans="8:8">
      <c r="H30500" s="680" t="s">
        <v>6153</v>
      </c>
    </row>
    <row r="30501" spans="8:8">
      <c r="H30501" s="680" t="s">
        <v>6153</v>
      </c>
    </row>
    <row r="30502" spans="8:8">
      <c r="H30502" s="680" t="s">
        <v>6153</v>
      </c>
    </row>
    <row r="30503" spans="8:8">
      <c r="H30503" s="680" t="s">
        <v>6153</v>
      </c>
    </row>
    <row r="30504" spans="8:8">
      <c r="H30504" s="680" t="s">
        <v>6153</v>
      </c>
    </row>
    <row r="30505" spans="8:8">
      <c r="H30505" s="680" t="s">
        <v>6153</v>
      </c>
    </row>
    <row r="30506" spans="8:8">
      <c r="H30506" s="680" t="s">
        <v>6153</v>
      </c>
    </row>
    <row r="30507" spans="8:8">
      <c r="H30507" s="680" t="s">
        <v>6153</v>
      </c>
    </row>
    <row r="30508" spans="8:8">
      <c r="H30508" s="680" t="s">
        <v>6153</v>
      </c>
    </row>
    <row r="30509" spans="8:8">
      <c r="H30509" s="680" t="s">
        <v>6153</v>
      </c>
    </row>
    <row r="30510" spans="8:8">
      <c r="H30510" s="680" t="s">
        <v>6153</v>
      </c>
    </row>
    <row r="30511" spans="8:8">
      <c r="H30511" s="680" t="s">
        <v>6153</v>
      </c>
    </row>
    <row r="30512" spans="8:8">
      <c r="H30512" s="680" t="s">
        <v>6153</v>
      </c>
    </row>
    <row r="30513" spans="8:8">
      <c r="H30513" s="680" t="s">
        <v>6153</v>
      </c>
    </row>
    <row r="30514" spans="8:8">
      <c r="H30514" s="680" t="s">
        <v>6153</v>
      </c>
    </row>
    <row r="30515" spans="8:8">
      <c r="H30515" s="680" t="s">
        <v>6153</v>
      </c>
    </row>
    <row r="30516" spans="8:8">
      <c r="H30516" s="680" t="s">
        <v>6153</v>
      </c>
    </row>
    <row r="30517" spans="8:8">
      <c r="H30517" s="680" t="s">
        <v>6153</v>
      </c>
    </row>
    <row r="30518" spans="8:8">
      <c r="H30518" s="680" t="s">
        <v>6153</v>
      </c>
    </row>
    <row r="30519" spans="8:8">
      <c r="H30519" s="680" t="s">
        <v>6153</v>
      </c>
    </row>
    <row r="30520" spans="8:8">
      <c r="H30520" s="680" t="s">
        <v>6153</v>
      </c>
    </row>
    <row r="30521" spans="8:8">
      <c r="H30521" s="680" t="s">
        <v>6153</v>
      </c>
    </row>
    <row r="30522" spans="8:8">
      <c r="H30522" s="680" t="s">
        <v>6153</v>
      </c>
    </row>
    <row r="30523" spans="8:8">
      <c r="H30523" s="680" t="s">
        <v>6153</v>
      </c>
    </row>
    <row r="30524" spans="8:8">
      <c r="H30524" s="680" t="s">
        <v>6153</v>
      </c>
    </row>
    <row r="30525" spans="8:8">
      <c r="H30525" s="680" t="s">
        <v>6153</v>
      </c>
    </row>
    <row r="30526" spans="8:8">
      <c r="H30526" s="680" t="s">
        <v>6153</v>
      </c>
    </row>
    <row r="30527" spans="8:8">
      <c r="H30527" s="680" t="s">
        <v>6153</v>
      </c>
    </row>
    <row r="30528" spans="8:8">
      <c r="H30528" s="680" t="s">
        <v>6153</v>
      </c>
    </row>
    <row r="30529" spans="8:8">
      <c r="H30529" s="680" t="s">
        <v>6153</v>
      </c>
    </row>
    <row r="30530" spans="8:8">
      <c r="H30530" s="680" t="s">
        <v>6153</v>
      </c>
    </row>
    <row r="30531" spans="8:8">
      <c r="H30531" s="680" t="s">
        <v>6153</v>
      </c>
    </row>
    <row r="30532" spans="8:8">
      <c r="H30532" s="680" t="s">
        <v>6153</v>
      </c>
    </row>
    <row r="30533" spans="8:8">
      <c r="H30533" s="680" t="s">
        <v>6153</v>
      </c>
    </row>
    <row r="30534" spans="8:8">
      <c r="H30534" s="680" t="s">
        <v>6153</v>
      </c>
    </row>
    <row r="30535" spans="8:8">
      <c r="H30535" s="680" t="s">
        <v>6153</v>
      </c>
    </row>
    <row r="30536" spans="8:8">
      <c r="H30536" s="680" t="s">
        <v>6153</v>
      </c>
    </row>
    <row r="30537" spans="8:8">
      <c r="H30537" s="680" t="s">
        <v>6153</v>
      </c>
    </row>
    <row r="30538" spans="8:8">
      <c r="H30538" s="680" t="s">
        <v>6153</v>
      </c>
    </row>
    <row r="30539" spans="8:8">
      <c r="H30539" s="680" t="s">
        <v>6153</v>
      </c>
    </row>
    <row r="30540" spans="8:8">
      <c r="H30540" s="680" t="s">
        <v>6153</v>
      </c>
    </row>
    <row r="30541" spans="8:8">
      <c r="H30541" s="680" t="s">
        <v>6153</v>
      </c>
    </row>
    <row r="30542" spans="8:8">
      <c r="H30542" s="680" t="s">
        <v>6153</v>
      </c>
    </row>
    <row r="30543" spans="8:8">
      <c r="H30543" s="680" t="s">
        <v>6153</v>
      </c>
    </row>
    <row r="30544" spans="8:8">
      <c r="H30544" s="680" t="s">
        <v>6153</v>
      </c>
    </row>
    <row r="30545" spans="8:8">
      <c r="H30545" s="680" t="s">
        <v>6153</v>
      </c>
    </row>
    <row r="30546" spans="8:8">
      <c r="H30546" s="680" t="s">
        <v>6153</v>
      </c>
    </row>
    <row r="30547" spans="8:8">
      <c r="H30547" s="680" t="s">
        <v>6153</v>
      </c>
    </row>
    <row r="30548" spans="8:8">
      <c r="H30548" s="680" t="s">
        <v>6153</v>
      </c>
    </row>
    <row r="30549" spans="8:8">
      <c r="H30549" s="680" t="s">
        <v>6153</v>
      </c>
    </row>
    <row r="30550" spans="8:8">
      <c r="H30550" s="680" t="s">
        <v>6153</v>
      </c>
    </row>
    <row r="30551" spans="8:8">
      <c r="H30551" s="680" t="s">
        <v>6153</v>
      </c>
    </row>
    <row r="30552" spans="8:8">
      <c r="H30552" s="680" t="s">
        <v>6153</v>
      </c>
    </row>
    <row r="30553" spans="8:8">
      <c r="H30553" s="680" t="s">
        <v>6153</v>
      </c>
    </row>
    <row r="30554" spans="8:8">
      <c r="H30554" s="680" t="s">
        <v>6153</v>
      </c>
    </row>
    <row r="30555" spans="8:8">
      <c r="H30555" s="680" t="s">
        <v>6153</v>
      </c>
    </row>
    <row r="30556" spans="8:8">
      <c r="H30556" s="680" t="s">
        <v>6153</v>
      </c>
    </row>
    <row r="30557" spans="8:8">
      <c r="H30557" s="680" t="s">
        <v>6153</v>
      </c>
    </row>
    <row r="30558" spans="8:8">
      <c r="H30558" s="680" t="s">
        <v>6153</v>
      </c>
    </row>
    <row r="30559" spans="8:8">
      <c r="H30559" s="680" t="s">
        <v>6153</v>
      </c>
    </row>
    <row r="30560" spans="8:8">
      <c r="H30560" s="680" t="s">
        <v>6153</v>
      </c>
    </row>
    <row r="30561" spans="8:8">
      <c r="H30561" s="680" t="s">
        <v>6153</v>
      </c>
    </row>
    <row r="30562" spans="8:8">
      <c r="H30562" s="680" t="s">
        <v>6153</v>
      </c>
    </row>
    <row r="30563" spans="8:8">
      <c r="H30563" s="680" t="s">
        <v>6153</v>
      </c>
    </row>
    <row r="30564" spans="8:8">
      <c r="H30564" s="680" t="s">
        <v>6153</v>
      </c>
    </row>
    <row r="30565" spans="8:8">
      <c r="H30565" s="680" t="s">
        <v>6153</v>
      </c>
    </row>
    <row r="30566" spans="8:8">
      <c r="H30566" s="680" t="s">
        <v>6153</v>
      </c>
    </row>
    <row r="30567" spans="8:8">
      <c r="H30567" s="680" t="s">
        <v>6153</v>
      </c>
    </row>
    <row r="30568" spans="8:8">
      <c r="H30568" s="680" t="s">
        <v>6153</v>
      </c>
    </row>
    <row r="30569" spans="8:8">
      <c r="H30569" s="680" t="s">
        <v>6153</v>
      </c>
    </row>
    <row r="30570" spans="8:8">
      <c r="H30570" s="680" t="s">
        <v>6153</v>
      </c>
    </row>
    <row r="30571" spans="8:8">
      <c r="H30571" s="680" t="s">
        <v>6153</v>
      </c>
    </row>
    <row r="30572" spans="8:8">
      <c r="H30572" s="680" t="s">
        <v>6153</v>
      </c>
    </row>
    <row r="30573" spans="8:8">
      <c r="H30573" s="680" t="s">
        <v>6153</v>
      </c>
    </row>
    <row r="30574" spans="8:8">
      <c r="H30574" s="680" t="s">
        <v>6153</v>
      </c>
    </row>
    <row r="30575" spans="8:8">
      <c r="H30575" s="680" t="s">
        <v>6153</v>
      </c>
    </row>
    <row r="30576" spans="8:8">
      <c r="H30576" s="680" t="s">
        <v>6153</v>
      </c>
    </row>
    <row r="30577" spans="8:8">
      <c r="H30577" s="680" t="s">
        <v>6153</v>
      </c>
    </row>
    <row r="30578" spans="8:8">
      <c r="H30578" s="680" t="s">
        <v>6153</v>
      </c>
    </row>
    <row r="30579" spans="8:8">
      <c r="H30579" s="680" t="s">
        <v>6153</v>
      </c>
    </row>
    <row r="30580" spans="8:8">
      <c r="H30580" s="680" t="s">
        <v>6153</v>
      </c>
    </row>
    <row r="30581" spans="8:8">
      <c r="H30581" s="680" t="s">
        <v>6153</v>
      </c>
    </row>
    <row r="30582" spans="8:8">
      <c r="H30582" s="680" t="s">
        <v>6153</v>
      </c>
    </row>
    <row r="30583" spans="8:8">
      <c r="H30583" s="680" t="s">
        <v>6153</v>
      </c>
    </row>
    <row r="30584" spans="8:8">
      <c r="H30584" s="680" t="s">
        <v>6153</v>
      </c>
    </row>
    <row r="30585" spans="8:8">
      <c r="H30585" s="680" t="s">
        <v>6153</v>
      </c>
    </row>
    <row r="30586" spans="8:8">
      <c r="H30586" s="680" t="s">
        <v>6153</v>
      </c>
    </row>
    <row r="30587" spans="8:8">
      <c r="H30587" s="680" t="s">
        <v>6153</v>
      </c>
    </row>
    <row r="30588" spans="8:8">
      <c r="H30588" s="680" t="s">
        <v>6153</v>
      </c>
    </row>
    <row r="30589" spans="8:8">
      <c r="H30589" s="680" t="s">
        <v>6153</v>
      </c>
    </row>
    <row r="30590" spans="8:8">
      <c r="H30590" s="680" t="s">
        <v>6153</v>
      </c>
    </row>
    <row r="30591" spans="8:8">
      <c r="H30591" s="680" t="s">
        <v>6153</v>
      </c>
    </row>
    <row r="30592" spans="8:8">
      <c r="H30592" s="680" t="s">
        <v>6153</v>
      </c>
    </row>
    <row r="30593" spans="8:8">
      <c r="H30593" s="680" t="s">
        <v>6153</v>
      </c>
    </row>
    <row r="30594" spans="8:8">
      <c r="H30594" s="680" t="s">
        <v>6153</v>
      </c>
    </row>
    <row r="30595" spans="8:8">
      <c r="H30595" s="680" t="s">
        <v>6153</v>
      </c>
    </row>
    <row r="30596" spans="8:8">
      <c r="H30596" s="680" t="s">
        <v>6153</v>
      </c>
    </row>
    <row r="30597" spans="8:8">
      <c r="H30597" s="680" t="s">
        <v>6153</v>
      </c>
    </row>
    <row r="30598" spans="8:8">
      <c r="H30598" s="680" t="s">
        <v>6153</v>
      </c>
    </row>
    <row r="30599" spans="8:8">
      <c r="H30599" s="680" t="s">
        <v>6153</v>
      </c>
    </row>
    <row r="30600" spans="8:8">
      <c r="H30600" s="680" t="s">
        <v>6153</v>
      </c>
    </row>
    <row r="30601" spans="8:8">
      <c r="H30601" s="680" t="s">
        <v>6153</v>
      </c>
    </row>
    <row r="30602" spans="8:8">
      <c r="H30602" s="680" t="s">
        <v>6153</v>
      </c>
    </row>
    <row r="30603" spans="8:8">
      <c r="H30603" s="680" t="s">
        <v>6153</v>
      </c>
    </row>
    <row r="30604" spans="8:8">
      <c r="H30604" s="680" t="s">
        <v>6153</v>
      </c>
    </row>
    <row r="30605" spans="8:8">
      <c r="H30605" s="680" t="s">
        <v>6153</v>
      </c>
    </row>
    <row r="30606" spans="8:8">
      <c r="H30606" s="680" t="s">
        <v>6153</v>
      </c>
    </row>
    <row r="30607" spans="8:8">
      <c r="H30607" s="680" t="s">
        <v>6153</v>
      </c>
    </row>
    <row r="30608" spans="8:8">
      <c r="H30608" s="680" t="s">
        <v>6153</v>
      </c>
    </row>
    <row r="30609" spans="8:8">
      <c r="H30609" s="680" t="s">
        <v>6153</v>
      </c>
    </row>
    <row r="30610" spans="8:8">
      <c r="H30610" s="680" t="s">
        <v>6153</v>
      </c>
    </row>
    <row r="30611" spans="8:8">
      <c r="H30611" s="680" t="s">
        <v>6153</v>
      </c>
    </row>
    <row r="30612" spans="8:8">
      <c r="H30612" s="680" t="s">
        <v>6153</v>
      </c>
    </row>
    <row r="30613" spans="8:8">
      <c r="H30613" s="680" t="s">
        <v>6153</v>
      </c>
    </row>
    <row r="30614" spans="8:8">
      <c r="H30614" s="680" t="s">
        <v>6153</v>
      </c>
    </row>
    <row r="30615" spans="8:8">
      <c r="H30615" s="680" t="s">
        <v>6153</v>
      </c>
    </row>
    <row r="30616" spans="8:8">
      <c r="H30616" s="680" t="s">
        <v>6153</v>
      </c>
    </row>
    <row r="30617" spans="8:8">
      <c r="H30617" s="680" t="s">
        <v>6153</v>
      </c>
    </row>
    <row r="30618" spans="8:8">
      <c r="H30618" s="680" t="s">
        <v>6153</v>
      </c>
    </row>
    <row r="30619" spans="8:8">
      <c r="H30619" s="680" t="s">
        <v>6153</v>
      </c>
    </row>
    <row r="30620" spans="8:8">
      <c r="H30620" s="680" t="s">
        <v>6153</v>
      </c>
    </row>
    <row r="30621" spans="8:8">
      <c r="H30621" s="680" t="s">
        <v>6153</v>
      </c>
    </row>
    <row r="30622" spans="8:8">
      <c r="H30622" s="680" t="s">
        <v>6153</v>
      </c>
    </row>
    <row r="30623" spans="8:8">
      <c r="H30623" s="680" t="s">
        <v>6153</v>
      </c>
    </row>
    <row r="30624" spans="8:8">
      <c r="H30624" s="680" t="s">
        <v>6153</v>
      </c>
    </row>
    <row r="30625" spans="8:8">
      <c r="H30625" s="680" t="s">
        <v>6153</v>
      </c>
    </row>
    <row r="30626" spans="8:8">
      <c r="H30626" s="680" t="s">
        <v>6153</v>
      </c>
    </row>
    <row r="30627" spans="8:8">
      <c r="H30627" s="680" t="s">
        <v>6153</v>
      </c>
    </row>
    <row r="30628" spans="8:8">
      <c r="H30628" s="680" t="s">
        <v>6153</v>
      </c>
    </row>
    <row r="30629" spans="8:8">
      <c r="H30629" s="680" t="s">
        <v>6153</v>
      </c>
    </row>
    <row r="30630" spans="8:8">
      <c r="H30630" s="680" t="s">
        <v>6153</v>
      </c>
    </row>
    <row r="30631" spans="8:8">
      <c r="H30631" s="680" t="s">
        <v>6153</v>
      </c>
    </row>
    <row r="30632" spans="8:8">
      <c r="H30632" s="680" t="s">
        <v>6153</v>
      </c>
    </row>
    <row r="30633" spans="8:8">
      <c r="H30633" s="680" t="s">
        <v>6153</v>
      </c>
    </row>
    <row r="30634" spans="8:8">
      <c r="H30634" s="680" t="s">
        <v>6153</v>
      </c>
    </row>
    <row r="30635" spans="8:8">
      <c r="H30635" s="680" t="s">
        <v>6153</v>
      </c>
    </row>
    <row r="30636" spans="8:8">
      <c r="H30636" s="680" t="s">
        <v>6153</v>
      </c>
    </row>
    <row r="30637" spans="8:8">
      <c r="H30637" s="680" t="s">
        <v>6153</v>
      </c>
    </row>
    <row r="30638" spans="8:8">
      <c r="H30638" s="680" t="s">
        <v>6153</v>
      </c>
    </row>
    <row r="30639" spans="8:8">
      <c r="H30639" s="680" t="s">
        <v>6153</v>
      </c>
    </row>
    <row r="30640" spans="8:8">
      <c r="H30640" s="680" t="s">
        <v>6153</v>
      </c>
    </row>
    <row r="30641" spans="8:8">
      <c r="H30641" s="680" t="s">
        <v>6153</v>
      </c>
    </row>
    <row r="30642" spans="8:8">
      <c r="H30642" s="680" t="s">
        <v>6153</v>
      </c>
    </row>
    <row r="30643" spans="8:8">
      <c r="H30643" s="680" t="s">
        <v>6153</v>
      </c>
    </row>
    <row r="30644" spans="8:8">
      <c r="H30644" s="680" t="s">
        <v>6153</v>
      </c>
    </row>
    <row r="30645" spans="8:8">
      <c r="H30645" s="680" t="s">
        <v>6153</v>
      </c>
    </row>
    <row r="30646" spans="8:8">
      <c r="H30646" s="680" t="s">
        <v>6153</v>
      </c>
    </row>
    <row r="30647" spans="8:8">
      <c r="H30647" s="680" t="s">
        <v>6153</v>
      </c>
    </row>
    <row r="30648" spans="8:8">
      <c r="H30648" s="680" t="s">
        <v>6153</v>
      </c>
    </row>
    <row r="30649" spans="8:8">
      <c r="H30649" s="680" t="s">
        <v>6153</v>
      </c>
    </row>
    <row r="30650" spans="8:8">
      <c r="H30650" s="680" t="s">
        <v>6153</v>
      </c>
    </row>
    <row r="30651" spans="8:8">
      <c r="H30651" s="680" t="s">
        <v>6153</v>
      </c>
    </row>
    <row r="30652" spans="8:8">
      <c r="H30652" s="680" t="s">
        <v>6153</v>
      </c>
    </row>
    <row r="30653" spans="8:8">
      <c r="H30653" s="680" t="s">
        <v>6153</v>
      </c>
    </row>
    <row r="30654" spans="8:8">
      <c r="H30654" s="680" t="s">
        <v>6153</v>
      </c>
    </row>
    <row r="30655" spans="8:8">
      <c r="H30655" s="680" t="s">
        <v>6153</v>
      </c>
    </row>
    <row r="30656" spans="8:8">
      <c r="H30656" s="680" t="s">
        <v>6153</v>
      </c>
    </row>
    <row r="30657" spans="8:8">
      <c r="H30657" s="680" t="s">
        <v>6153</v>
      </c>
    </row>
    <row r="30658" spans="8:8">
      <c r="H30658" s="680" t="s">
        <v>6153</v>
      </c>
    </row>
    <row r="30659" spans="8:8">
      <c r="H30659" s="680" t="s">
        <v>6153</v>
      </c>
    </row>
    <row r="30660" spans="8:8">
      <c r="H30660" s="680" t="s">
        <v>6153</v>
      </c>
    </row>
    <row r="30661" spans="8:8">
      <c r="H30661" s="680" t="s">
        <v>6153</v>
      </c>
    </row>
    <row r="30662" spans="8:8">
      <c r="H30662" s="680" t="s">
        <v>6153</v>
      </c>
    </row>
    <row r="30663" spans="8:8">
      <c r="H30663" s="680" t="s">
        <v>6153</v>
      </c>
    </row>
    <row r="30664" spans="8:8">
      <c r="H30664" s="680" t="s">
        <v>6153</v>
      </c>
    </row>
    <row r="30665" spans="8:8">
      <c r="H30665" s="680" t="s">
        <v>6153</v>
      </c>
    </row>
    <row r="30666" spans="8:8">
      <c r="H30666" s="680" t="s">
        <v>6153</v>
      </c>
    </row>
    <row r="30667" spans="8:8">
      <c r="H30667" s="680" t="s">
        <v>6153</v>
      </c>
    </row>
    <row r="30668" spans="8:8">
      <c r="H30668" s="680" t="s">
        <v>6153</v>
      </c>
    </row>
    <row r="30669" spans="8:8">
      <c r="H30669" s="680" t="s">
        <v>6153</v>
      </c>
    </row>
    <row r="30670" spans="8:8">
      <c r="H30670" s="680" t="s">
        <v>6153</v>
      </c>
    </row>
    <row r="30671" spans="8:8">
      <c r="H30671" s="680" t="s">
        <v>6153</v>
      </c>
    </row>
    <row r="30672" spans="8:8">
      <c r="H30672" s="680" t="s">
        <v>6153</v>
      </c>
    </row>
    <row r="30673" spans="8:8">
      <c r="H30673" s="680" t="s">
        <v>6153</v>
      </c>
    </row>
    <row r="30674" spans="8:8">
      <c r="H30674" s="680" t="s">
        <v>6153</v>
      </c>
    </row>
    <row r="30675" spans="8:8">
      <c r="H30675" s="680" t="s">
        <v>6153</v>
      </c>
    </row>
    <row r="30676" spans="8:8">
      <c r="H30676" s="680" t="s">
        <v>6153</v>
      </c>
    </row>
    <row r="30677" spans="8:8">
      <c r="H30677" s="680" t="s">
        <v>6153</v>
      </c>
    </row>
    <row r="30678" spans="8:8">
      <c r="H30678" s="680" t="s">
        <v>6153</v>
      </c>
    </row>
    <row r="30679" spans="8:8">
      <c r="H30679" s="680" t="s">
        <v>6153</v>
      </c>
    </row>
    <row r="30680" spans="8:8">
      <c r="H30680" s="680" t="s">
        <v>6153</v>
      </c>
    </row>
    <row r="30681" spans="8:8">
      <c r="H30681" s="680" t="s">
        <v>6153</v>
      </c>
    </row>
    <row r="30682" spans="8:8">
      <c r="H30682" s="680" t="s">
        <v>6153</v>
      </c>
    </row>
    <row r="30683" spans="8:8">
      <c r="H30683" s="680" t="s">
        <v>6153</v>
      </c>
    </row>
    <row r="30684" spans="8:8">
      <c r="H30684" s="680" t="s">
        <v>6153</v>
      </c>
    </row>
    <row r="30685" spans="8:8">
      <c r="H30685" s="680" t="s">
        <v>6153</v>
      </c>
    </row>
    <row r="30686" spans="8:8">
      <c r="H30686" s="680" t="s">
        <v>6153</v>
      </c>
    </row>
    <row r="30687" spans="8:8">
      <c r="H30687" s="680" t="s">
        <v>6153</v>
      </c>
    </row>
    <row r="30688" spans="8:8">
      <c r="H30688" s="680" t="s">
        <v>6153</v>
      </c>
    </row>
    <row r="30689" spans="8:8">
      <c r="H30689" s="680" t="s">
        <v>6153</v>
      </c>
    </row>
    <row r="30690" spans="8:8">
      <c r="H30690" s="680" t="s">
        <v>6153</v>
      </c>
    </row>
    <row r="30691" spans="8:8">
      <c r="H30691" s="680" t="s">
        <v>6153</v>
      </c>
    </row>
    <row r="30692" spans="8:8">
      <c r="H30692" s="680" t="s">
        <v>6153</v>
      </c>
    </row>
    <row r="30693" spans="8:8">
      <c r="H30693" s="680" t="s">
        <v>6153</v>
      </c>
    </row>
    <row r="30694" spans="8:8">
      <c r="H30694" s="680" t="s">
        <v>6153</v>
      </c>
    </row>
    <row r="30695" spans="8:8">
      <c r="H30695" s="680" t="s">
        <v>6153</v>
      </c>
    </row>
    <row r="30696" spans="8:8">
      <c r="H30696" s="680" t="s">
        <v>6153</v>
      </c>
    </row>
    <row r="30697" spans="8:8">
      <c r="H30697" s="680" t="s">
        <v>6153</v>
      </c>
    </row>
    <row r="30698" spans="8:8">
      <c r="H30698" s="680" t="s">
        <v>6153</v>
      </c>
    </row>
    <row r="30699" spans="8:8">
      <c r="H30699" s="680" t="s">
        <v>6153</v>
      </c>
    </row>
    <row r="30700" spans="8:8">
      <c r="H30700" s="680" t="s">
        <v>6153</v>
      </c>
    </row>
    <row r="30701" spans="8:8">
      <c r="H30701" s="680" t="s">
        <v>6153</v>
      </c>
    </row>
    <row r="30702" spans="8:8">
      <c r="H30702" s="680" t="s">
        <v>6153</v>
      </c>
    </row>
    <row r="30703" spans="8:8">
      <c r="H30703" s="680" t="s">
        <v>6153</v>
      </c>
    </row>
    <row r="30704" spans="8:8">
      <c r="H30704" s="680" t="s">
        <v>6153</v>
      </c>
    </row>
    <row r="30705" spans="8:8">
      <c r="H30705" s="680" t="s">
        <v>6153</v>
      </c>
    </row>
    <row r="30706" spans="8:8">
      <c r="H30706" s="680" t="s">
        <v>6153</v>
      </c>
    </row>
    <row r="30707" spans="8:8">
      <c r="H30707" s="680" t="s">
        <v>6153</v>
      </c>
    </row>
    <row r="30708" spans="8:8">
      <c r="H30708" s="680" t="s">
        <v>6153</v>
      </c>
    </row>
    <row r="30709" spans="8:8">
      <c r="H30709" s="680" t="s">
        <v>6153</v>
      </c>
    </row>
    <row r="30710" spans="8:8">
      <c r="H30710" s="680" t="s">
        <v>6153</v>
      </c>
    </row>
    <row r="30711" spans="8:8">
      <c r="H30711" s="680" t="s">
        <v>6153</v>
      </c>
    </row>
    <row r="30712" spans="8:8">
      <c r="H30712" s="680" t="s">
        <v>6153</v>
      </c>
    </row>
    <row r="30713" spans="8:8">
      <c r="H30713" s="680" t="s">
        <v>6153</v>
      </c>
    </row>
    <row r="30714" spans="8:8">
      <c r="H30714" s="680" t="s">
        <v>6153</v>
      </c>
    </row>
    <row r="30715" spans="8:8">
      <c r="H30715" s="680" t="s">
        <v>6153</v>
      </c>
    </row>
    <row r="30716" spans="8:8">
      <c r="H30716" s="680" t="s">
        <v>6153</v>
      </c>
    </row>
    <row r="30717" spans="8:8">
      <c r="H30717" s="680" t="s">
        <v>6153</v>
      </c>
    </row>
    <row r="30718" spans="8:8">
      <c r="H30718" s="680" t="s">
        <v>6153</v>
      </c>
    </row>
    <row r="30719" spans="8:8">
      <c r="H30719" s="680" t="s">
        <v>6153</v>
      </c>
    </row>
    <row r="30720" spans="8:8">
      <c r="H30720" s="680" t="s">
        <v>6153</v>
      </c>
    </row>
    <row r="30721" spans="8:8">
      <c r="H30721" s="680" t="s">
        <v>6153</v>
      </c>
    </row>
    <row r="30722" spans="8:8">
      <c r="H30722" s="680" t="s">
        <v>6153</v>
      </c>
    </row>
    <row r="30723" spans="8:8">
      <c r="H30723" s="680" t="s">
        <v>6153</v>
      </c>
    </row>
    <row r="30724" spans="8:8">
      <c r="H30724" s="680" t="s">
        <v>6153</v>
      </c>
    </row>
    <row r="30725" spans="8:8">
      <c r="H30725" s="680" t="s">
        <v>6153</v>
      </c>
    </row>
    <row r="30726" spans="8:8">
      <c r="H30726" s="680" t="s">
        <v>6153</v>
      </c>
    </row>
    <row r="30727" spans="8:8">
      <c r="H30727" s="680" t="s">
        <v>6153</v>
      </c>
    </row>
    <row r="30728" spans="8:8">
      <c r="H30728" s="680" t="s">
        <v>6153</v>
      </c>
    </row>
    <row r="30729" spans="8:8">
      <c r="H30729" s="680" t="s">
        <v>6153</v>
      </c>
    </row>
    <row r="30730" spans="8:8">
      <c r="H30730" s="680" t="s">
        <v>6153</v>
      </c>
    </row>
    <row r="30731" spans="8:8">
      <c r="H30731" s="680" t="s">
        <v>6153</v>
      </c>
    </row>
    <row r="30732" spans="8:8">
      <c r="H30732" s="680" t="s">
        <v>6153</v>
      </c>
    </row>
    <row r="30733" spans="8:8">
      <c r="H30733" s="680" t="s">
        <v>6153</v>
      </c>
    </row>
    <row r="30734" spans="8:8">
      <c r="H30734" s="680" t="s">
        <v>6153</v>
      </c>
    </row>
    <row r="30735" spans="8:8">
      <c r="H30735" s="680" t="s">
        <v>6153</v>
      </c>
    </row>
    <row r="30736" spans="8:8">
      <c r="H30736" s="680" t="s">
        <v>6153</v>
      </c>
    </row>
    <row r="30737" spans="8:8">
      <c r="H30737" s="680" t="s">
        <v>6153</v>
      </c>
    </row>
    <row r="30738" spans="8:8">
      <c r="H30738" s="680" t="s">
        <v>6153</v>
      </c>
    </row>
    <row r="30739" spans="8:8">
      <c r="H30739" s="680" t="s">
        <v>6153</v>
      </c>
    </row>
    <row r="30740" spans="8:8">
      <c r="H30740" s="680" t="s">
        <v>6153</v>
      </c>
    </row>
    <row r="30741" spans="8:8">
      <c r="H30741" s="680" t="s">
        <v>6153</v>
      </c>
    </row>
    <row r="30742" spans="8:8">
      <c r="H30742" s="680" t="s">
        <v>6153</v>
      </c>
    </row>
    <row r="30743" spans="8:8">
      <c r="H30743" s="680" t="s">
        <v>6153</v>
      </c>
    </row>
    <row r="30744" spans="8:8">
      <c r="H30744" s="680" t="s">
        <v>6153</v>
      </c>
    </row>
    <row r="30745" spans="8:8">
      <c r="H30745" s="680" t="s">
        <v>6153</v>
      </c>
    </row>
    <row r="30746" spans="8:8">
      <c r="H30746" s="680" t="s">
        <v>6153</v>
      </c>
    </row>
    <row r="30747" spans="8:8">
      <c r="H30747" s="680" t="s">
        <v>6153</v>
      </c>
    </row>
    <row r="30748" spans="8:8">
      <c r="H30748" s="680" t="s">
        <v>6153</v>
      </c>
    </row>
    <row r="30749" spans="8:8">
      <c r="H30749" s="680" t="s">
        <v>6153</v>
      </c>
    </row>
    <row r="30750" spans="8:8">
      <c r="H30750" s="680" t="s">
        <v>6153</v>
      </c>
    </row>
    <row r="30751" spans="8:8">
      <c r="H30751" s="680" t="s">
        <v>6153</v>
      </c>
    </row>
    <row r="30752" spans="8:8">
      <c r="H30752" s="680" t="s">
        <v>6153</v>
      </c>
    </row>
    <row r="30753" spans="8:8">
      <c r="H30753" s="680" t="s">
        <v>6153</v>
      </c>
    </row>
    <row r="30754" spans="8:8">
      <c r="H30754" s="680" t="s">
        <v>6153</v>
      </c>
    </row>
    <row r="30755" spans="8:8">
      <c r="H30755" s="680" t="s">
        <v>6153</v>
      </c>
    </row>
    <row r="30756" spans="8:8">
      <c r="H30756" s="680" t="s">
        <v>6153</v>
      </c>
    </row>
    <row r="30757" spans="8:8">
      <c r="H30757" s="680" t="s">
        <v>6153</v>
      </c>
    </row>
    <row r="30758" spans="8:8">
      <c r="H30758" s="680" t="s">
        <v>6153</v>
      </c>
    </row>
    <row r="30759" spans="8:8">
      <c r="H30759" s="680" t="s">
        <v>6153</v>
      </c>
    </row>
    <row r="30760" spans="8:8">
      <c r="H30760" s="680" t="s">
        <v>6153</v>
      </c>
    </row>
    <row r="30761" spans="8:8">
      <c r="H30761" s="680" t="s">
        <v>6153</v>
      </c>
    </row>
    <row r="30762" spans="8:8">
      <c r="H30762" s="680" t="s">
        <v>6153</v>
      </c>
    </row>
    <row r="30763" spans="8:8">
      <c r="H30763" s="680" t="s">
        <v>6153</v>
      </c>
    </row>
    <row r="30764" spans="8:8">
      <c r="H30764" s="680" t="s">
        <v>6153</v>
      </c>
    </row>
    <row r="30765" spans="8:8">
      <c r="H30765" s="680" t="s">
        <v>6153</v>
      </c>
    </row>
    <row r="30766" spans="8:8">
      <c r="H30766" s="680" t="s">
        <v>6153</v>
      </c>
    </row>
    <row r="30767" spans="8:8">
      <c r="H30767" s="680" t="s">
        <v>6153</v>
      </c>
    </row>
    <row r="30768" spans="8:8">
      <c r="H30768" s="680" t="s">
        <v>6153</v>
      </c>
    </row>
    <row r="30769" spans="8:8">
      <c r="H30769" s="680" t="s">
        <v>6153</v>
      </c>
    </row>
    <row r="30770" spans="8:8">
      <c r="H30770" s="680" t="s">
        <v>6153</v>
      </c>
    </row>
    <row r="30771" spans="8:8">
      <c r="H30771" s="680" t="s">
        <v>6153</v>
      </c>
    </row>
    <row r="30772" spans="8:8">
      <c r="H30772" s="680" t="s">
        <v>6153</v>
      </c>
    </row>
    <row r="30773" spans="8:8">
      <c r="H30773" s="680" t="s">
        <v>6153</v>
      </c>
    </row>
    <row r="30774" spans="8:8">
      <c r="H30774" s="680" t="s">
        <v>6153</v>
      </c>
    </row>
    <row r="30775" spans="8:8">
      <c r="H30775" s="680" t="s">
        <v>6153</v>
      </c>
    </row>
    <row r="30776" spans="8:8">
      <c r="H30776" s="680" t="s">
        <v>6153</v>
      </c>
    </row>
    <row r="30777" spans="8:8">
      <c r="H30777" s="680" t="s">
        <v>6153</v>
      </c>
    </row>
    <row r="30778" spans="8:8">
      <c r="H30778" s="680" t="s">
        <v>6153</v>
      </c>
    </row>
    <row r="30779" spans="8:8">
      <c r="H30779" s="680" t="s">
        <v>6153</v>
      </c>
    </row>
    <row r="30780" spans="8:8">
      <c r="H30780" s="680" t="s">
        <v>6153</v>
      </c>
    </row>
    <row r="30781" spans="8:8">
      <c r="H30781" s="680" t="s">
        <v>6153</v>
      </c>
    </row>
    <row r="30782" spans="8:8">
      <c r="H30782" s="680" t="s">
        <v>6153</v>
      </c>
    </row>
    <row r="30783" spans="8:8">
      <c r="H30783" s="680" t="s">
        <v>6153</v>
      </c>
    </row>
    <row r="30784" spans="8:8">
      <c r="H30784" s="680" t="s">
        <v>6153</v>
      </c>
    </row>
    <row r="30785" spans="8:8">
      <c r="H30785" s="680" t="s">
        <v>6153</v>
      </c>
    </row>
    <row r="30786" spans="8:8">
      <c r="H30786" s="680" t="s">
        <v>6153</v>
      </c>
    </row>
    <row r="30787" spans="8:8">
      <c r="H30787" s="680" t="s">
        <v>6153</v>
      </c>
    </row>
    <row r="30788" spans="8:8">
      <c r="H30788" s="680" t="s">
        <v>6153</v>
      </c>
    </row>
    <row r="30789" spans="8:8">
      <c r="H30789" s="680" t="s">
        <v>6153</v>
      </c>
    </row>
    <row r="30790" spans="8:8">
      <c r="H30790" s="680" t="s">
        <v>6153</v>
      </c>
    </row>
    <row r="30791" spans="8:8">
      <c r="H30791" s="680" t="s">
        <v>6153</v>
      </c>
    </row>
    <row r="30792" spans="8:8">
      <c r="H30792" s="680" t="s">
        <v>6153</v>
      </c>
    </row>
    <row r="30793" spans="8:8">
      <c r="H30793" s="680" t="s">
        <v>6153</v>
      </c>
    </row>
    <row r="30794" spans="8:8">
      <c r="H30794" s="680" t="s">
        <v>6153</v>
      </c>
    </row>
    <row r="30795" spans="8:8">
      <c r="H30795" s="680" t="s">
        <v>6153</v>
      </c>
    </row>
    <row r="30796" spans="8:8">
      <c r="H30796" s="680" t="s">
        <v>6153</v>
      </c>
    </row>
    <row r="30797" spans="8:8">
      <c r="H30797" s="680" t="s">
        <v>6153</v>
      </c>
    </row>
    <row r="30798" spans="8:8">
      <c r="H30798" s="680" t="s">
        <v>6153</v>
      </c>
    </row>
    <row r="30799" spans="8:8">
      <c r="H30799" s="680" t="s">
        <v>6153</v>
      </c>
    </row>
    <row r="30800" spans="8:8">
      <c r="H30800" s="680" t="s">
        <v>6153</v>
      </c>
    </row>
    <row r="30801" spans="8:8">
      <c r="H30801" s="680" t="s">
        <v>6153</v>
      </c>
    </row>
    <row r="30802" spans="8:8">
      <c r="H30802" s="680" t="s">
        <v>6153</v>
      </c>
    </row>
    <row r="30803" spans="8:8">
      <c r="H30803" s="680" t="s">
        <v>6153</v>
      </c>
    </row>
    <row r="30804" spans="8:8">
      <c r="H30804" s="680" t="s">
        <v>6153</v>
      </c>
    </row>
    <row r="30805" spans="8:8">
      <c r="H30805" s="680" t="s">
        <v>6153</v>
      </c>
    </row>
    <row r="30806" spans="8:8">
      <c r="H30806" s="680" t="s">
        <v>6153</v>
      </c>
    </row>
    <row r="30807" spans="8:8">
      <c r="H30807" s="680" t="s">
        <v>6153</v>
      </c>
    </row>
    <row r="30808" spans="8:8">
      <c r="H30808" s="680" t="s">
        <v>6153</v>
      </c>
    </row>
    <row r="30809" spans="8:8">
      <c r="H30809" s="680" t="s">
        <v>6153</v>
      </c>
    </row>
    <row r="30810" spans="8:8">
      <c r="H30810" s="680" t="s">
        <v>6153</v>
      </c>
    </row>
    <row r="30811" spans="8:8">
      <c r="H30811" s="680" t="s">
        <v>6153</v>
      </c>
    </row>
    <row r="30812" spans="8:8">
      <c r="H30812" s="680" t="s">
        <v>6153</v>
      </c>
    </row>
    <row r="30813" spans="8:8">
      <c r="H30813" s="680" t="s">
        <v>6153</v>
      </c>
    </row>
    <row r="30814" spans="8:8">
      <c r="H30814" s="680" t="s">
        <v>6153</v>
      </c>
    </row>
    <row r="30815" spans="8:8">
      <c r="H30815" s="680" t="s">
        <v>6153</v>
      </c>
    </row>
    <row r="30816" spans="8:8">
      <c r="H30816" s="680" t="s">
        <v>6153</v>
      </c>
    </row>
    <row r="30817" spans="8:8">
      <c r="H30817" s="680" t="s">
        <v>6153</v>
      </c>
    </row>
    <row r="30818" spans="8:8">
      <c r="H30818" s="680" t="s">
        <v>6153</v>
      </c>
    </row>
    <row r="30819" spans="8:8">
      <c r="H30819" s="680" t="s">
        <v>6153</v>
      </c>
    </row>
    <row r="30820" spans="8:8">
      <c r="H30820" s="680" t="s">
        <v>6153</v>
      </c>
    </row>
    <row r="30821" spans="8:8">
      <c r="H30821" s="680" t="s">
        <v>6153</v>
      </c>
    </row>
    <row r="30822" spans="8:8">
      <c r="H30822" s="680" t="s">
        <v>6153</v>
      </c>
    </row>
    <row r="30823" spans="8:8">
      <c r="H30823" s="680" t="s">
        <v>6153</v>
      </c>
    </row>
    <row r="30824" spans="8:8">
      <c r="H30824" s="680" t="s">
        <v>6153</v>
      </c>
    </row>
    <row r="30825" spans="8:8">
      <c r="H30825" s="680" t="s">
        <v>6153</v>
      </c>
    </row>
    <row r="30826" spans="8:8">
      <c r="H30826" s="680" t="s">
        <v>6153</v>
      </c>
    </row>
    <row r="30827" spans="8:8">
      <c r="H30827" s="680" t="s">
        <v>6153</v>
      </c>
    </row>
    <row r="30828" spans="8:8">
      <c r="H30828" s="680" t="s">
        <v>6153</v>
      </c>
    </row>
    <row r="30829" spans="8:8">
      <c r="H30829" s="680" t="s">
        <v>6153</v>
      </c>
    </row>
    <row r="30830" spans="8:8">
      <c r="H30830" s="680" t="s">
        <v>6153</v>
      </c>
    </row>
    <row r="30831" spans="8:8">
      <c r="H30831" s="680" t="s">
        <v>6153</v>
      </c>
    </row>
    <row r="30832" spans="8:8">
      <c r="H30832" s="680" t="s">
        <v>6153</v>
      </c>
    </row>
    <row r="30833" spans="8:8">
      <c r="H30833" s="680" t="s">
        <v>6153</v>
      </c>
    </row>
    <row r="30834" spans="8:8">
      <c r="H30834" s="680" t="s">
        <v>6153</v>
      </c>
    </row>
    <row r="30835" spans="8:8">
      <c r="H30835" s="680" t="s">
        <v>6153</v>
      </c>
    </row>
    <row r="30836" spans="8:8">
      <c r="H30836" s="680" t="s">
        <v>6153</v>
      </c>
    </row>
    <row r="30837" spans="8:8">
      <c r="H30837" s="680" t="s">
        <v>6153</v>
      </c>
    </row>
    <row r="30838" spans="8:8">
      <c r="H30838" s="680" t="s">
        <v>6153</v>
      </c>
    </row>
    <row r="30839" spans="8:8">
      <c r="H30839" s="680" t="s">
        <v>6153</v>
      </c>
    </row>
    <row r="30840" spans="8:8">
      <c r="H30840" s="680" t="s">
        <v>6153</v>
      </c>
    </row>
    <row r="30841" spans="8:8">
      <c r="H30841" s="680" t="s">
        <v>6153</v>
      </c>
    </row>
    <row r="30842" spans="8:8">
      <c r="H30842" s="680" t="s">
        <v>6153</v>
      </c>
    </row>
    <row r="30843" spans="8:8">
      <c r="H30843" s="680" t="s">
        <v>6153</v>
      </c>
    </row>
    <row r="30844" spans="8:8">
      <c r="H30844" s="680" t="s">
        <v>6153</v>
      </c>
    </row>
    <row r="30845" spans="8:8">
      <c r="H30845" s="680" t="s">
        <v>6153</v>
      </c>
    </row>
    <row r="30846" spans="8:8">
      <c r="H30846" s="680" t="s">
        <v>6153</v>
      </c>
    </row>
    <row r="30847" spans="8:8">
      <c r="H30847" s="680" t="s">
        <v>6153</v>
      </c>
    </row>
    <row r="30848" spans="8:8">
      <c r="H30848" s="680" t="s">
        <v>6153</v>
      </c>
    </row>
    <row r="30849" spans="8:8">
      <c r="H30849" s="680" t="s">
        <v>6153</v>
      </c>
    </row>
    <row r="30850" spans="8:8">
      <c r="H30850" s="680" t="s">
        <v>6153</v>
      </c>
    </row>
    <row r="30851" spans="8:8">
      <c r="H30851" s="680" t="s">
        <v>6153</v>
      </c>
    </row>
    <row r="30852" spans="8:8">
      <c r="H30852" s="680" t="s">
        <v>6153</v>
      </c>
    </row>
    <row r="30853" spans="8:8">
      <c r="H30853" s="680" t="s">
        <v>6153</v>
      </c>
    </row>
    <row r="30854" spans="8:8">
      <c r="H30854" s="680" t="s">
        <v>6153</v>
      </c>
    </row>
    <row r="30855" spans="8:8">
      <c r="H30855" s="680" t="s">
        <v>6153</v>
      </c>
    </row>
    <row r="30856" spans="8:8">
      <c r="H30856" s="680" t="s">
        <v>6153</v>
      </c>
    </row>
    <row r="30857" spans="8:8">
      <c r="H30857" s="680" t="s">
        <v>6153</v>
      </c>
    </row>
    <row r="30858" spans="8:8">
      <c r="H30858" s="680" t="s">
        <v>6153</v>
      </c>
    </row>
    <row r="30859" spans="8:8">
      <c r="H30859" s="680" t="s">
        <v>6153</v>
      </c>
    </row>
    <row r="30860" spans="8:8">
      <c r="H30860" s="680" t="s">
        <v>6153</v>
      </c>
    </row>
    <row r="30861" spans="8:8">
      <c r="H30861" s="680" t="s">
        <v>6153</v>
      </c>
    </row>
    <row r="30862" spans="8:8">
      <c r="H30862" s="680" t="s">
        <v>6153</v>
      </c>
    </row>
    <row r="30863" spans="8:8">
      <c r="H30863" s="680" t="s">
        <v>6153</v>
      </c>
    </row>
    <row r="30864" spans="8:8">
      <c r="H30864" s="680" t="s">
        <v>6153</v>
      </c>
    </row>
    <row r="30865" spans="8:8">
      <c r="H30865" s="680" t="s">
        <v>6153</v>
      </c>
    </row>
    <row r="30866" spans="8:8">
      <c r="H30866" s="680" t="s">
        <v>6153</v>
      </c>
    </row>
    <row r="30867" spans="8:8">
      <c r="H30867" s="680" t="s">
        <v>6153</v>
      </c>
    </row>
    <row r="30868" spans="8:8">
      <c r="H30868" s="680" t="s">
        <v>6153</v>
      </c>
    </row>
    <row r="30869" spans="8:8">
      <c r="H30869" s="680" t="s">
        <v>6153</v>
      </c>
    </row>
    <row r="30870" spans="8:8">
      <c r="H30870" s="680" t="s">
        <v>6153</v>
      </c>
    </row>
    <row r="30871" spans="8:8">
      <c r="H30871" s="680" t="s">
        <v>6153</v>
      </c>
    </row>
    <row r="30872" spans="8:8">
      <c r="H30872" s="680" t="s">
        <v>6153</v>
      </c>
    </row>
    <row r="30873" spans="8:8">
      <c r="H30873" s="680" t="s">
        <v>6153</v>
      </c>
    </row>
    <row r="30874" spans="8:8">
      <c r="H30874" s="680" t="s">
        <v>6153</v>
      </c>
    </row>
    <row r="30875" spans="8:8">
      <c r="H30875" s="680" t="s">
        <v>6153</v>
      </c>
    </row>
    <row r="30876" spans="8:8">
      <c r="H30876" s="680" t="s">
        <v>6153</v>
      </c>
    </row>
    <row r="30877" spans="8:8">
      <c r="H30877" s="680" t="s">
        <v>6153</v>
      </c>
    </row>
    <row r="30878" spans="8:8">
      <c r="H30878" s="680" t="s">
        <v>6153</v>
      </c>
    </row>
    <row r="30879" spans="8:8">
      <c r="H30879" s="680" t="s">
        <v>6153</v>
      </c>
    </row>
    <row r="30880" spans="8:8">
      <c r="H30880" s="680" t="s">
        <v>6153</v>
      </c>
    </row>
    <row r="30881" spans="8:8">
      <c r="H30881" s="680" t="s">
        <v>6153</v>
      </c>
    </row>
    <row r="30882" spans="8:8">
      <c r="H30882" s="680" t="s">
        <v>6153</v>
      </c>
    </row>
    <row r="30883" spans="8:8">
      <c r="H30883" s="680" t="s">
        <v>6153</v>
      </c>
    </row>
    <row r="30884" spans="8:8">
      <c r="H30884" s="680" t="s">
        <v>6153</v>
      </c>
    </row>
    <row r="30885" spans="8:8">
      <c r="H30885" s="680" t="s">
        <v>6153</v>
      </c>
    </row>
    <row r="30886" spans="8:8">
      <c r="H30886" s="680" t="s">
        <v>6153</v>
      </c>
    </row>
    <row r="30887" spans="8:8">
      <c r="H30887" s="680" t="s">
        <v>6153</v>
      </c>
    </row>
    <row r="30888" spans="8:8">
      <c r="H30888" s="680" t="s">
        <v>6153</v>
      </c>
    </row>
    <row r="30889" spans="8:8">
      <c r="H30889" s="680" t="s">
        <v>6153</v>
      </c>
    </row>
    <row r="30890" spans="8:8">
      <c r="H30890" s="680" t="s">
        <v>6153</v>
      </c>
    </row>
    <row r="30891" spans="8:8">
      <c r="H30891" s="680" t="s">
        <v>6153</v>
      </c>
    </row>
    <row r="30892" spans="8:8">
      <c r="H30892" s="680" t="s">
        <v>6153</v>
      </c>
    </row>
    <row r="30893" spans="8:8">
      <c r="H30893" s="680" t="s">
        <v>6153</v>
      </c>
    </row>
    <row r="30894" spans="8:8">
      <c r="H30894" s="680" t="s">
        <v>6153</v>
      </c>
    </row>
    <row r="30895" spans="8:8">
      <c r="H30895" s="680" t="s">
        <v>6153</v>
      </c>
    </row>
    <row r="30896" spans="8:8">
      <c r="H30896" s="680" t="s">
        <v>6153</v>
      </c>
    </row>
    <row r="30897" spans="8:8">
      <c r="H30897" s="680" t="s">
        <v>6153</v>
      </c>
    </row>
    <row r="30898" spans="8:8">
      <c r="H30898" s="680" t="s">
        <v>6153</v>
      </c>
    </row>
    <row r="30899" spans="8:8">
      <c r="H30899" s="680" t="s">
        <v>6153</v>
      </c>
    </row>
    <row r="30900" spans="8:8">
      <c r="H30900" s="680" t="s">
        <v>6153</v>
      </c>
    </row>
    <row r="30901" spans="8:8">
      <c r="H30901" s="680" t="s">
        <v>6153</v>
      </c>
    </row>
    <row r="30902" spans="8:8">
      <c r="H30902" s="680" t="s">
        <v>6153</v>
      </c>
    </row>
    <row r="30903" spans="8:8">
      <c r="H30903" s="680" t="s">
        <v>6153</v>
      </c>
    </row>
    <row r="30904" spans="8:8">
      <c r="H30904" s="680" t="s">
        <v>6153</v>
      </c>
    </row>
    <row r="30905" spans="8:8">
      <c r="H30905" s="680" t="s">
        <v>6153</v>
      </c>
    </row>
    <row r="30906" spans="8:8">
      <c r="H30906" s="680" t="s">
        <v>6153</v>
      </c>
    </row>
    <row r="30907" spans="8:8">
      <c r="H30907" s="680" t="s">
        <v>6153</v>
      </c>
    </row>
    <row r="30908" spans="8:8">
      <c r="H30908" s="680" t="s">
        <v>6153</v>
      </c>
    </row>
    <row r="30909" spans="8:8">
      <c r="H30909" s="680" t="s">
        <v>6153</v>
      </c>
    </row>
    <row r="30910" spans="8:8">
      <c r="H30910" s="680" t="s">
        <v>6153</v>
      </c>
    </row>
    <row r="30911" spans="8:8">
      <c r="H30911" s="680" t="s">
        <v>6153</v>
      </c>
    </row>
    <row r="30912" spans="8:8">
      <c r="H30912" s="680" t="s">
        <v>6153</v>
      </c>
    </row>
    <row r="30913" spans="8:8">
      <c r="H30913" s="680" t="s">
        <v>6153</v>
      </c>
    </row>
    <row r="30914" spans="8:8">
      <c r="H30914" s="680" t="s">
        <v>6153</v>
      </c>
    </row>
    <row r="30915" spans="8:8">
      <c r="H30915" s="680" t="s">
        <v>6153</v>
      </c>
    </row>
    <row r="30916" spans="8:8">
      <c r="H30916" s="680" t="s">
        <v>6153</v>
      </c>
    </row>
    <row r="30917" spans="8:8">
      <c r="H30917" s="680" t="s">
        <v>6153</v>
      </c>
    </row>
    <row r="30918" spans="8:8">
      <c r="H30918" s="680" t="s">
        <v>6153</v>
      </c>
    </row>
    <row r="30919" spans="8:8">
      <c r="H30919" s="680" t="s">
        <v>6153</v>
      </c>
    </row>
    <row r="30920" spans="8:8">
      <c r="H30920" s="680" t="s">
        <v>6153</v>
      </c>
    </row>
    <row r="30921" spans="8:8">
      <c r="H30921" s="680" t="s">
        <v>6153</v>
      </c>
    </row>
    <row r="30922" spans="8:8">
      <c r="H30922" s="680" t="s">
        <v>6153</v>
      </c>
    </row>
    <row r="30923" spans="8:8">
      <c r="H30923" s="680" t="s">
        <v>6153</v>
      </c>
    </row>
    <row r="30924" spans="8:8">
      <c r="H30924" s="680" t="s">
        <v>6153</v>
      </c>
    </row>
    <row r="30925" spans="8:8">
      <c r="H30925" s="680" t="s">
        <v>6153</v>
      </c>
    </row>
    <row r="30926" spans="8:8">
      <c r="H30926" s="680" t="s">
        <v>6153</v>
      </c>
    </row>
    <row r="30927" spans="8:8">
      <c r="H30927" s="680" t="s">
        <v>6153</v>
      </c>
    </row>
    <row r="30928" spans="8:8">
      <c r="H30928" s="680" t="s">
        <v>6153</v>
      </c>
    </row>
    <row r="30929" spans="8:8">
      <c r="H30929" s="680" t="s">
        <v>6153</v>
      </c>
    </row>
    <row r="30930" spans="8:8">
      <c r="H30930" s="680" t="s">
        <v>6153</v>
      </c>
    </row>
    <row r="30931" spans="8:8">
      <c r="H30931" s="680" t="s">
        <v>6153</v>
      </c>
    </row>
    <row r="30932" spans="8:8">
      <c r="H30932" s="680" t="s">
        <v>6153</v>
      </c>
    </row>
    <row r="30933" spans="8:8">
      <c r="H30933" s="680" t="s">
        <v>6153</v>
      </c>
    </row>
    <row r="30934" spans="8:8">
      <c r="H30934" s="680" t="s">
        <v>6153</v>
      </c>
    </row>
    <row r="30935" spans="8:8">
      <c r="H30935" s="680" t="s">
        <v>6153</v>
      </c>
    </row>
    <row r="30936" spans="8:8">
      <c r="H30936" s="680" t="s">
        <v>6153</v>
      </c>
    </row>
    <row r="30937" spans="8:8">
      <c r="H30937" s="680" t="s">
        <v>6153</v>
      </c>
    </row>
    <row r="30938" spans="8:8">
      <c r="H30938" s="680" t="s">
        <v>6153</v>
      </c>
    </row>
    <row r="30939" spans="8:8">
      <c r="H30939" s="680" t="s">
        <v>6153</v>
      </c>
    </row>
    <row r="30940" spans="8:8">
      <c r="H30940" s="680" t="s">
        <v>6153</v>
      </c>
    </row>
    <row r="30941" spans="8:8">
      <c r="H30941" s="680" t="s">
        <v>6153</v>
      </c>
    </row>
    <row r="30942" spans="8:8">
      <c r="H30942" s="680" t="s">
        <v>6153</v>
      </c>
    </row>
    <row r="30943" spans="8:8">
      <c r="H30943" s="680" t="s">
        <v>6153</v>
      </c>
    </row>
    <row r="30944" spans="8:8">
      <c r="H30944" s="680" t="s">
        <v>6153</v>
      </c>
    </row>
    <row r="30945" spans="8:8">
      <c r="H30945" s="680" t="s">
        <v>6153</v>
      </c>
    </row>
    <row r="30946" spans="8:8">
      <c r="H30946" s="680" t="s">
        <v>6153</v>
      </c>
    </row>
    <row r="30947" spans="8:8">
      <c r="H30947" s="680" t="s">
        <v>6153</v>
      </c>
    </row>
    <row r="30948" spans="8:8">
      <c r="H30948" s="680" t="s">
        <v>6153</v>
      </c>
    </row>
    <row r="30949" spans="8:8">
      <c r="H30949" s="680" t="s">
        <v>6153</v>
      </c>
    </row>
    <row r="30950" spans="8:8">
      <c r="H30950" s="680" t="s">
        <v>6153</v>
      </c>
    </row>
    <row r="30951" spans="8:8">
      <c r="H30951" s="680" t="s">
        <v>6153</v>
      </c>
    </row>
    <row r="30952" spans="8:8">
      <c r="H30952" s="680" t="s">
        <v>6153</v>
      </c>
    </row>
    <row r="30953" spans="8:8">
      <c r="H30953" s="680" t="s">
        <v>6153</v>
      </c>
    </row>
    <row r="30954" spans="8:8">
      <c r="H30954" s="680" t="s">
        <v>6153</v>
      </c>
    </row>
    <row r="30955" spans="8:8">
      <c r="H30955" s="680" t="s">
        <v>6153</v>
      </c>
    </row>
    <row r="30956" spans="8:8">
      <c r="H30956" s="680" t="s">
        <v>6153</v>
      </c>
    </row>
    <row r="30957" spans="8:8">
      <c r="H30957" s="680" t="s">
        <v>6153</v>
      </c>
    </row>
    <row r="30958" spans="8:8">
      <c r="H30958" s="680" t="s">
        <v>6153</v>
      </c>
    </row>
    <row r="30959" spans="8:8">
      <c r="H30959" s="680" t="s">
        <v>6153</v>
      </c>
    </row>
    <row r="30960" spans="8:8">
      <c r="H30960" s="680" t="s">
        <v>6153</v>
      </c>
    </row>
    <row r="30961" spans="8:8">
      <c r="H30961" s="680" t="s">
        <v>6153</v>
      </c>
    </row>
    <row r="30962" spans="8:8">
      <c r="H30962" s="680" t="s">
        <v>6153</v>
      </c>
    </row>
    <row r="30963" spans="8:8">
      <c r="H30963" s="680" t="s">
        <v>6153</v>
      </c>
    </row>
    <row r="30964" spans="8:8">
      <c r="H30964" s="680" t="s">
        <v>6153</v>
      </c>
    </row>
    <row r="30965" spans="8:8">
      <c r="H30965" s="680" t="s">
        <v>6153</v>
      </c>
    </row>
    <row r="30966" spans="8:8">
      <c r="H30966" s="680" t="s">
        <v>6153</v>
      </c>
    </row>
    <row r="30967" spans="8:8">
      <c r="H30967" s="680" t="s">
        <v>6153</v>
      </c>
    </row>
    <row r="30968" spans="8:8">
      <c r="H30968" s="680" t="s">
        <v>6153</v>
      </c>
    </row>
    <row r="30969" spans="8:8">
      <c r="H30969" s="680" t="s">
        <v>6153</v>
      </c>
    </row>
    <row r="30970" spans="8:8">
      <c r="H30970" s="680" t="s">
        <v>6153</v>
      </c>
    </row>
    <row r="30971" spans="8:8">
      <c r="H30971" s="680" t="s">
        <v>6153</v>
      </c>
    </row>
    <row r="30972" spans="8:8">
      <c r="H30972" s="680" t="s">
        <v>6153</v>
      </c>
    </row>
    <row r="30973" spans="8:8">
      <c r="H30973" s="680" t="s">
        <v>6153</v>
      </c>
    </row>
    <row r="30974" spans="8:8">
      <c r="H30974" s="680" t="s">
        <v>6153</v>
      </c>
    </row>
    <row r="30975" spans="8:8">
      <c r="H30975" s="680" t="s">
        <v>6153</v>
      </c>
    </row>
    <row r="30976" spans="8:8">
      <c r="H30976" s="680" t="s">
        <v>6153</v>
      </c>
    </row>
    <row r="30977" spans="8:8">
      <c r="H30977" s="680" t="s">
        <v>6153</v>
      </c>
    </row>
    <row r="30978" spans="8:8">
      <c r="H30978" s="680" t="s">
        <v>6153</v>
      </c>
    </row>
    <row r="30979" spans="8:8">
      <c r="H30979" s="680" t="s">
        <v>6153</v>
      </c>
    </row>
    <row r="30980" spans="8:8">
      <c r="H30980" s="680" t="s">
        <v>6153</v>
      </c>
    </row>
    <row r="30981" spans="8:8">
      <c r="H30981" s="680" t="s">
        <v>6153</v>
      </c>
    </row>
    <row r="30982" spans="8:8">
      <c r="H30982" s="680" t="s">
        <v>6153</v>
      </c>
    </row>
    <row r="30983" spans="8:8">
      <c r="H30983" s="680" t="s">
        <v>6153</v>
      </c>
    </row>
    <row r="30984" spans="8:8">
      <c r="H30984" s="680" t="s">
        <v>6153</v>
      </c>
    </row>
    <row r="30985" spans="8:8">
      <c r="H30985" s="680" t="s">
        <v>6153</v>
      </c>
    </row>
    <row r="30986" spans="8:8">
      <c r="H30986" s="680" t="s">
        <v>6153</v>
      </c>
    </row>
    <row r="30987" spans="8:8">
      <c r="H30987" s="680" t="s">
        <v>6153</v>
      </c>
    </row>
    <row r="30988" spans="8:8">
      <c r="H30988" s="680" t="s">
        <v>6153</v>
      </c>
    </row>
    <row r="30989" spans="8:8">
      <c r="H30989" s="680" t="s">
        <v>6153</v>
      </c>
    </row>
    <row r="30990" spans="8:8">
      <c r="H30990" s="680" t="s">
        <v>6153</v>
      </c>
    </row>
    <row r="30991" spans="8:8">
      <c r="H30991" s="680" t="s">
        <v>6153</v>
      </c>
    </row>
    <row r="30992" spans="8:8">
      <c r="H30992" s="680" t="s">
        <v>6153</v>
      </c>
    </row>
    <row r="30993" spans="8:8">
      <c r="H30993" s="680" t="s">
        <v>6153</v>
      </c>
    </row>
    <row r="30994" spans="8:8">
      <c r="H30994" s="680" t="s">
        <v>6153</v>
      </c>
    </row>
    <row r="30995" spans="8:8">
      <c r="H30995" s="680" t="s">
        <v>6153</v>
      </c>
    </row>
    <row r="30996" spans="8:8">
      <c r="H30996" s="680" t="s">
        <v>6153</v>
      </c>
    </row>
    <row r="30997" spans="8:8">
      <c r="H30997" s="680" t="s">
        <v>6153</v>
      </c>
    </row>
    <row r="30998" spans="8:8">
      <c r="H30998" s="680" t="s">
        <v>6153</v>
      </c>
    </row>
    <row r="30999" spans="8:8">
      <c r="H30999" s="680" t="s">
        <v>6153</v>
      </c>
    </row>
    <row r="31000" spans="8:8">
      <c r="H31000" s="680" t="s">
        <v>6153</v>
      </c>
    </row>
    <row r="31001" spans="8:8">
      <c r="H31001" s="680" t="s">
        <v>6153</v>
      </c>
    </row>
    <row r="31002" spans="8:8">
      <c r="H31002" s="680" t="s">
        <v>6153</v>
      </c>
    </row>
    <row r="31003" spans="8:8">
      <c r="H31003" s="680" t="s">
        <v>6153</v>
      </c>
    </row>
    <row r="31004" spans="8:8">
      <c r="H31004" s="680" t="s">
        <v>6153</v>
      </c>
    </row>
    <row r="31005" spans="8:8">
      <c r="H31005" s="680" t="s">
        <v>6153</v>
      </c>
    </row>
    <row r="31006" spans="8:8">
      <c r="H31006" s="680" t="s">
        <v>6153</v>
      </c>
    </row>
    <row r="31007" spans="8:8">
      <c r="H31007" s="680" t="s">
        <v>6153</v>
      </c>
    </row>
    <row r="31008" spans="8:8">
      <c r="H31008" s="680" t="s">
        <v>6153</v>
      </c>
    </row>
    <row r="31009" spans="8:8">
      <c r="H31009" s="680" t="s">
        <v>6153</v>
      </c>
    </row>
    <row r="31010" spans="8:8">
      <c r="H31010" s="680" t="s">
        <v>6153</v>
      </c>
    </row>
    <row r="31011" spans="8:8">
      <c r="H31011" s="680" t="s">
        <v>6153</v>
      </c>
    </row>
    <row r="31012" spans="8:8">
      <c r="H31012" s="680" t="s">
        <v>6153</v>
      </c>
    </row>
    <row r="31013" spans="8:8">
      <c r="H31013" s="680" t="s">
        <v>6153</v>
      </c>
    </row>
    <row r="31014" spans="8:8">
      <c r="H31014" s="680" t="s">
        <v>6153</v>
      </c>
    </row>
    <row r="31015" spans="8:8">
      <c r="H31015" s="680" t="s">
        <v>6153</v>
      </c>
    </row>
    <row r="31016" spans="8:8">
      <c r="H31016" s="680" t="s">
        <v>6153</v>
      </c>
    </row>
    <row r="31017" spans="8:8">
      <c r="H31017" s="680" t="s">
        <v>6153</v>
      </c>
    </row>
    <row r="31018" spans="8:8">
      <c r="H31018" s="680" t="s">
        <v>6153</v>
      </c>
    </row>
    <row r="31019" spans="8:8">
      <c r="H31019" s="680" t="s">
        <v>6153</v>
      </c>
    </row>
    <row r="31020" spans="8:8">
      <c r="H31020" s="680" t="s">
        <v>6153</v>
      </c>
    </row>
    <row r="31021" spans="8:8">
      <c r="H31021" s="680" t="s">
        <v>6153</v>
      </c>
    </row>
    <row r="31022" spans="8:8">
      <c r="H31022" s="680" t="s">
        <v>6153</v>
      </c>
    </row>
    <row r="31023" spans="8:8">
      <c r="H31023" s="680" t="s">
        <v>6153</v>
      </c>
    </row>
    <row r="31024" spans="8:8">
      <c r="H31024" s="680" t="s">
        <v>6153</v>
      </c>
    </row>
    <row r="31025" spans="8:8">
      <c r="H31025" s="680" t="s">
        <v>6153</v>
      </c>
    </row>
    <row r="31026" spans="8:8">
      <c r="H31026" s="680" t="s">
        <v>6153</v>
      </c>
    </row>
    <row r="31027" spans="8:8">
      <c r="H31027" s="680" t="s">
        <v>6153</v>
      </c>
    </row>
    <row r="31028" spans="8:8">
      <c r="H31028" s="680" t="s">
        <v>6153</v>
      </c>
    </row>
    <row r="31029" spans="8:8">
      <c r="H31029" s="680" t="s">
        <v>6153</v>
      </c>
    </row>
    <row r="31030" spans="8:8">
      <c r="H31030" s="680" t="s">
        <v>6153</v>
      </c>
    </row>
    <row r="31031" spans="8:8">
      <c r="H31031" s="680" t="s">
        <v>6153</v>
      </c>
    </row>
    <row r="31032" spans="8:8">
      <c r="H31032" s="680" t="s">
        <v>6153</v>
      </c>
    </row>
    <row r="31033" spans="8:8">
      <c r="H31033" s="680" t="s">
        <v>6153</v>
      </c>
    </row>
    <row r="31034" spans="8:8">
      <c r="H31034" s="680" t="s">
        <v>6153</v>
      </c>
    </row>
    <row r="31035" spans="8:8">
      <c r="H31035" s="680" t="s">
        <v>6153</v>
      </c>
    </row>
    <row r="31036" spans="8:8">
      <c r="H31036" s="680" t="s">
        <v>6153</v>
      </c>
    </row>
    <row r="31037" spans="8:8">
      <c r="H31037" s="680" t="s">
        <v>6153</v>
      </c>
    </row>
    <row r="31038" spans="8:8">
      <c r="H31038" s="680" t="s">
        <v>6153</v>
      </c>
    </row>
    <row r="31039" spans="8:8">
      <c r="H31039" s="680" t="s">
        <v>6153</v>
      </c>
    </row>
    <row r="31040" spans="8:8">
      <c r="H31040" s="680" t="s">
        <v>6153</v>
      </c>
    </row>
    <row r="31041" spans="8:8">
      <c r="H31041" s="680" t="s">
        <v>6153</v>
      </c>
    </row>
    <row r="31042" spans="8:8">
      <c r="H31042" s="680" t="s">
        <v>6153</v>
      </c>
    </row>
    <row r="31043" spans="8:8">
      <c r="H31043" s="680" t="s">
        <v>6153</v>
      </c>
    </row>
    <row r="31044" spans="8:8">
      <c r="H31044" s="680" t="s">
        <v>6153</v>
      </c>
    </row>
    <row r="31045" spans="8:8">
      <c r="H31045" s="680" t="s">
        <v>6153</v>
      </c>
    </row>
    <row r="31046" spans="8:8">
      <c r="H31046" s="680" t="s">
        <v>6153</v>
      </c>
    </row>
    <row r="31047" spans="8:8">
      <c r="H31047" s="680" t="s">
        <v>6153</v>
      </c>
    </row>
    <row r="31048" spans="8:8">
      <c r="H31048" s="680" t="s">
        <v>6153</v>
      </c>
    </row>
    <row r="31049" spans="8:8">
      <c r="H31049" s="680" t="s">
        <v>6153</v>
      </c>
    </row>
    <row r="31050" spans="8:8">
      <c r="H31050" s="680" t="s">
        <v>6153</v>
      </c>
    </row>
    <row r="31051" spans="8:8">
      <c r="H31051" s="680" t="s">
        <v>6153</v>
      </c>
    </row>
    <row r="31052" spans="8:8">
      <c r="H31052" s="680" t="s">
        <v>6153</v>
      </c>
    </row>
    <row r="31053" spans="8:8">
      <c r="H31053" s="680" t="s">
        <v>6153</v>
      </c>
    </row>
    <row r="31054" spans="8:8">
      <c r="H31054" s="680" t="s">
        <v>6153</v>
      </c>
    </row>
    <row r="31055" spans="8:8">
      <c r="H31055" s="680" t="s">
        <v>6153</v>
      </c>
    </row>
    <row r="31056" spans="8:8">
      <c r="H31056" s="680" t="s">
        <v>6153</v>
      </c>
    </row>
    <row r="31057" spans="8:8">
      <c r="H31057" s="680" t="s">
        <v>6153</v>
      </c>
    </row>
    <row r="31058" spans="8:8">
      <c r="H31058" s="680" t="s">
        <v>6153</v>
      </c>
    </row>
    <row r="31059" spans="8:8">
      <c r="H31059" s="680" t="s">
        <v>6153</v>
      </c>
    </row>
    <row r="31060" spans="8:8">
      <c r="H31060" s="680" t="s">
        <v>6153</v>
      </c>
    </row>
    <row r="31061" spans="8:8">
      <c r="H31061" s="680" t="s">
        <v>6153</v>
      </c>
    </row>
    <row r="31062" spans="8:8">
      <c r="H31062" s="680" t="s">
        <v>6153</v>
      </c>
    </row>
    <row r="31063" spans="8:8">
      <c r="H31063" s="680" t="s">
        <v>6153</v>
      </c>
    </row>
    <row r="31064" spans="8:8">
      <c r="H31064" s="680" t="s">
        <v>6153</v>
      </c>
    </row>
    <row r="31065" spans="8:8">
      <c r="H31065" s="680" t="s">
        <v>6153</v>
      </c>
    </row>
    <row r="31066" spans="8:8">
      <c r="H31066" s="680" t="s">
        <v>6153</v>
      </c>
    </row>
    <row r="31067" spans="8:8">
      <c r="H31067" s="680" t="s">
        <v>6153</v>
      </c>
    </row>
    <row r="31068" spans="8:8">
      <c r="H31068" s="680" t="s">
        <v>6153</v>
      </c>
    </row>
    <row r="31069" spans="8:8">
      <c r="H31069" s="680" t="s">
        <v>6153</v>
      </c>
    </row>
    <row r="31070" spans="8:8">
      <c r="H31070" s="680" t="s">
        <v>6153</v>
      </c>
    </row>
    <row r="31071" spans="8:8">
      <c r="H31071" s="680" t="s">
        <v>6153</v>
      </c>
    </row>
    <row r="31072" spans="8:8">
      <c r="H31072" s="680" t="s">
        <v>6153</v>
      </c>
    </row>
    <row r="31073" spans="8:8">
      <c r="H31073" s="680" t="s">
        <v>6153</v>
      </c>
    </row>
    <row r="31074" spans="8:8">
      <c r="H31074" s="680" t="s">
        <v>6153</v>
      </c>
    </row>
    <row r="31075" spans="8:8">
      <c r="H31075" s="680" t="s">
        <v>6153</v>
      </c>
    </row>
    <row r="31076" spans="8:8">
      <c r="H31076" s="680" t="s">
        <v>6153</v>
      </c>
    </row>
    <row r="31077" spans="8:8">
      <c r="H31077" s="680" t="s">
        <v>6153</v>
      </c>
    </row>
    <row r="31078" spans="8:8">
      <c r="H31078" s="680" t="s">
        <v>6153</v>
      </c>
    </row>
    <row r="31079" spans="8:8">
      <c r="H31079" s="680" t="s">
        <v>6153</v>
      </c>
    </row>
    <row r="31080" spans="8:8">
      <c r="H31080" s="680" t="s">
        <v>6153</v>
      </c>
    </row>
    <row r="31081" spans="8:8">
      <c r="H31081" s="680" t="s">
        <v>6153</v>
      </c>
    </row>
    <row r="31082" spans="8:8">
      <c r="H31082" s="680" t="s">
        <v>6153</v>
      </c>
    </row>
    <row r="31083" spans="8:8">
      <c r="H31083" s="680" t="s">
        <v>6153</v>
      </c>
    </row>
    <row r="31084" spans="8:8">
      <c r="H31084" s="680" t="s">
        <v>6153</v>
      </c>
    </row>
    <row r="31085" spans="8:8">
      <c r="H31085" s="680" t="s">
        <v>6153</v>
      </c>
    </row>
    <row r="31086" spans="8:8">
      <c r="H31086" s="680" t="s">
        <v>6153</v>
      </c>
    </row>
    <row r="31087" spans="8:8">
      <c r="H31087" s="680" t="s">
        <v>6153</v>
      </c>
    </row>
    <row r="31088" spans="8:8">
      <c r="H31088" s="680" t="s">
        <v>6153</v>
      </c>
    </row>
    <row r="31089" spans="8:8">
      <c r="H31089" s="680" t="s">
        <v>6153</v>
      </c>
    </row>
    <row r="31090" spans="8:8">
      <c r="H31090" s="680" t="s">
        <v>6153</v>
      </c>
    </row>
    <row r="31091" spans="8:8">
      <c r="H31091" s="680" t="s">
        <v>6153</v>
      </c>
    </row>
    <row r="31092" spans="8:8">
      <c r="H31092" s="680" t="s">
        <v>6153</v>
      </c>
    </row>
    <row r="31093" spans="8:8">
      <c r="H31093" s="680" t="s">
        <v>6153</v>
      </c>
    </row>
    <row r="31094" spans="8:8">
      <c r="H31094" s="680" t="s">
        <v>6153</v>
      </c>
    </row>
    <row r="31095" spans="8:8">
      <c r="H31095" s="680" t="s">
        <v>6153</v>
      </c>
    </row>
    <row r="31096" spans="8:8">
      <c r="H31096" s="680" t="s">
        <v>6153</v>
      </c>
    </row>
    <row r="31097" spans="8:8">
      <c r="H31097" s="680" t="s">
        <v>6153</v>
      </c>
    </row>
    <row r="31098" spans="8:8">
      <c r="H31098" s="680" t="s">
        <v>6153</v>
      </c>
    </row>
    <row r="31099" spans="8:8">
      <c r="H31099" s="680" t="s">
        <v>6153</v>
      </c>
    </row>
    <row r="31100" spans="8:8">
      <c r="H31100" s="680" t="s">
        <v>6153</v>
      </c>
    </row>
    <row r="31101" spans="8:8">
      <c r="H31101" s="680" t="s">
        <v>6153</v>
      </c>
    </row>
    <row r="31102" spans="8:8">
      <c r="H31102" s="680" t="s">
        <v>6153</v>
      </c>
    </row>
    <row r="31103" spans="8:8">
      <c r="H31103" s="680" t="s">
        <v>6153</v>
      </c>
    </row>
    <row r="31104" spans="8:8">
      <c r="H31104" s="680" t="s">
        <v>6153</v>
      </c>
    </row>
    <row r="31105" spans="8:8">
      <c r="H31105" s="680" t="s">
        <v>6153</v>
      </c>
    </row>
    <row r="31106" spans="8:8">
      <c r="H31106" s="680" t="s">
        <v>6153</v>
      </c>
    </row>
    <row r="31107" spans="8:8">
      <c r="H31107" s="680" t="s">
        <v>6153</v>
      </c>
    </row>
    <row r="31108" spans="8:8">
      <c r="H31108" s="680" t="s">
        <v>6153</v>
      </c>
    </row>
    <row r="31109" spans="8:8">
      <c r="H31109" s="680" t="s">
        <v>6153</v>
      </c>
    </row>
    <row r="31110" spans="8:8">
      <c r="H31110" s="680" t="s">
        <v>6153</v>
      </c>
    </row>
    <row r="31111" spans="8:8">
      <c r="H31111" s="680" t="s">
        <v>6153</v>
      </c>
    </row>
    <row r="31112" spans="8:8">
      <c r="H31112" s="680" t="s">
        <v>6153</v>
      </c>
    </row>
    <row r="31113" spans="8:8">
      <c r="H31113" s="680" t="s">
        <v>6153</v>
      </c>
    </row>
    <row r="31114" spans="8:8">
      <c r="H31114" s="680" t="s">
        <v>6153</v>
      </c>
    </row>
    <row r="31115" spans="8:8">
      <c r="H31115" s="680" t="s">
        <v>6153</v>
      </c>
    </row>
    <row r="31116" spans="8:8">
      <c r="H31116" s="680" t="s">
        <v>6153</v>
      </c>
    </row>
    <row r="31117" spans="8:8">
      <c r="H31117" s="680" t="s">
        <v>6153</v>
      </c>
    </row>
    <row r="31118" spans="8:8">
      <c r="H31118" s="680" t="s">
        <v>6153</v>
      </c>
    </row>
    <row r="31119" spans="8:8">
      <c r="H31119" s="680" t="s">
        <v>6153</v>
      </c>
    </row>
    <row r="31120" spans="8:8">
      <c r="H31120" s="680" t="s">
        <v>6153</v>
      </c>
    </row>
    <row r="31121" spans="8:8">
      <c r="H31121" s="680" t="s">
        <v>6153</v>
      </c>
    </row>
    <row r="31122" spans="8:8">
      <c r="H31122" s="680" t="s">
        <v>6153</v>
      </c>
    </row>
    <row r="31123" spans="8:8">
      <c r="H31123" s="680" t="s">
        <v>6153</v>
      </c>
    </row>
    <row r="31124" spans="8:8">
      <c r="H31124" s="680" t="s">
        <v>6153</v>
      </c>
    </row>
    <row r="31125" spans="8:8">
      <c r="H31125" s="680" t="s">
        <v>6153</v>
      </c>
    </row>
    <row r="31126" spans="8:8">
      <c r="H31126" s="680" t="s">
        <v>6153</v>
      </c>
    </row>
    <row r="31127" spans="8:8">
      <c r="H31127" s="680" t="s">
        <v>6153</v>
      </c>
    </row>
    <row r="31128" spans="8:8">
      <c r="H31128" s="680" t="s">
        <v>6153</v>
      </c>
    </row>
    <row r="31129" spans="8:8">
      <c r="H31129" s="680" t="s">
        <v>6153</v>
      </c>
    </row>
    <row r="31130" spans="8:8">
      <c r="H31130" s="680" t="s">
        <v>6153</v>
      </c>
    </row>
    <row r="31131" spans="8:8">
      <c r="H31131" s="680" t="s">
        <v>6153</v>
      </c>
    </row>
    <row r="31132" spans="8:8">
      <c r="H31132" s="680" t="s">
        <v>6153</v>
      </c>
    </row>
    <row r="31133" spans="8:8">
      <c r="H31133" s="680" t="s">
        <v>6153</v>
      </c>
    </row>
    <row r="31134" spans="8:8">
      <c r="H31134" s="680" t="s">
        <v>6153</v>
      </c>
    </row>
    <row r="31135" spans="8:8">
      <c r="H31135" s="680" t="s">
        <v>6153</v>
      </c>
    </row>
    <row r="31136" spans="8:8">
      <c r="H31136" s="680" t="s">
        <v>6153</v>
      </c>
    </row>
    <row r="31137" spans="8:8">
      <c r="H31137" s="680" t="s">
        <v>6153</v>
      </c>
    </row>
    <row r="31138" spans="8:8">
      <c r="H31138" s="680" t="s">
        <v>6153</v>
      </c>
    </row>
    <row r="31139" spans="8:8">
      <c r="H31139" s="680" t="s">
        <v>6153</v>
      </c>
    </row>
    <row r="31140" spans="8:8">
      <c r="H31140" s="680" t="s">
        <v>6153</v>
      </c>
    </row>
    <row r="31141" spans="8:8">
      <c r="H31141" s="680" t="s">
        <v>6153</v>
      </c>
    </row>
    <row r="31142" spans="8:8">
      <c r="H31142" s="680" t="s">
        <v>6153</v>
      </c>
    </row>
    <row r="31143" spans="8:8">
      <c r="H31143" s="680" t="s">
        <v>6153</v>
      </c>
    </row>
    <row r="31144" spans="8:8">
      <c r="H31144" s="680" t="s">
        <v>6153</v>
      </c>
    </row>
    <row r="31145" spans="8:8">
      <c r="H31145" s="680" t="s">
        <v>6153</v>
      </c>
    </row>
    <row r="31146" spans="8:8">
      <c r="H31146" s="680" t="s">
        <v>6153</v>
      </c>
    </row>
    <row r="31147" spans="8:8">
      <c r="H31147" s="680" t="s">
        <v>6153</v>
      </c>
    </row>
    <row r="31148" spans="8:8">
      <c r="H31148" s="680" t="s">
        <v>6153</v>
      </c>
    </row>
    <row r="31149" spans="8:8">
      <c r="H31149" s="680" t="s">
        <v>6153</v>
      </c>
    </row>
    <row r="31150" spans="8:8">
      <c r="H31150" s="680" t="s">
        <v>6153</v>
      </c>
    </row>
    <row r="31151" spans="8:8">
      <c r="H31151" s="680" t="s">
        <v>6153</v>
      </c>
    </row>
    <row r="31152" spans="8:8">
      <c r="H31152" s="680" t="s">
        <v>6153</v>
      </c>
    </row>
    <row r="31153" spans="8:8">
      <c r="H31153" s="680" t="s">
        <v>6153</v>
      </c>
    </row>
    <row r="31154" spans="8:8">
      <c r="H31154" s="680" t="s">
        <v>6153</v>
      </c>
    </row>
    <row r="31155" spans="8:8">
      <c r="H31155" s="680" t="s">
        <v>6153</v>
      </c>
    </row>
    <row r="31156" spans="8:8">
      <c r="H31156" s="680" t="s">
        <v>6153</v>
      </c>
    </row>
    <row r="31157" spans="8:8">
      <c r="H31157" s="680" t="s">
        <v>6153</v>
      </c>
    </row>
    <row r="31158" spans="8:8">
      <c r="H31158" s="680" t="s">
        <v>6153</v>
      </c>
    </row>
    <row r="31159" spans="8:8">
      <c r="H31159" s="680" t="s">
        <v>6153</v>
      </c>
    </row>
    <row r="31160" spans="8:8">
      <c r="H31160" s="680" t="s">
        <v>6153</v>
      </c>
    </row>
    <row r="31161" spans="8:8">
      <c r="H31161" s="680" t="s">
        <v>6153</v>
      </c>
    </row>
    <row r="31162" spans="8:8">
      <c r="H31162" s="680" t="s">
        <v>6153</v>
      </c>
    </row>
    <row r="31163" spans="8:8">
      <c r="H31163" s="680" t="s">
        <v>6153</v>
      </c>
    </row>
    <row r="31164" spans="8:8">
      <c r="H31164" s="680" t="s">
        <v>6153</v>
      </c>
    </row>
    <row r="31165" spans="8:8">
      <c r="H31165" s="680" t="s">
        <v>6153</v>
      </c>
    </row>
    <row r="31166" spans="8:8">
      <c r="H31166" s="680" t="s">
        <v>6153</v>
      </c>
    </row>
    <row r="31167" spans="8:8">
      <c r="H31167" s="680" t="s">
        <v>6153</v>
      </c>
    </row>
    <row r="31168" spans="8:8">
      <c r="H31168" s="680" t="s">
        <v>6153</v>
      </c>
    </row>
    <row r="31169" spans="8:8">
      <c r="H31169" s="680" t="s">
        <v>6153</v>
      </c>
    </row>
    <row r="31170" spans="8:8">
      <c r="H31170" s="680" t="s">
        <v>6153</v>
      </c>
    </row>
    <row r="31171" spans="8:8">
      <c r="H31171" s="680" t="s">
        <v>6153</v>
      </c>
    </row>
    <row r="31172" spans="8:8">
      <c r="H31172" s="680" t="s">
        <v>6153</v>
      </c>
    </row>
    <row r="31173" spans="8:8">
      <c r="H31173" s="680" t="s">
        <v>6153</v>
      </c>
    </row>
    <row r="31174" spans="8:8">
      <c r="H31174" s="680" t="s">
        <v>6153</v>
      </c>
    </row>
    <row r="31175" spans="8:8">
      <c r="H31175" s="680" t="s">
        <v>6153</v>
      </c>
    </row>
    <row r="31176" spans="8:8">
      <c r="H31176" s="680" t="s">
        <v>6153</v>
      </c>
    </row>
    <row r="31177" spans="8:8">
      <c r="H31177" s="680" t="s">
        <v>6153</v>
      </c>
    </row>
    <row r="31178" spans="8:8">
      <c r="H31178" s="680" t="s">
        <v>6153</v>
      </c>
    </row>
    <row r="31179" spans="8:8">
      <c r="H31179" s="680" t="s">
        <v>6153</v>
      </c>
    </row>
    <row r="31180" spans="8:8">
      <c r="H31180" s="680" t="s">
        <v>6153</v>
      </c>
    </row>
    <row r="31181" spans="8:8">
      <c r="H31181" s="680" t="s">
        <v>6153</v>
      </c>
    </row>
    <row r="31182" spans="8:8">
      <c r="H31182" s="680" t="s">
        <v>6153</v>
      </c>
    </row>
    <row r="31183" spans="8:8">
      <c r="H31183" s="680" t="s">
        <v>6153</v>
      </c>
    </row>
    <row r="31184" spans="8:8">
      <c r="H31184" s="680" t="s">
        <v>6153</v>
      </c>
    </row>
    <row r="31185" spans="8:8">
      <c r="H31185" s="680" t="s">
        <v>6153</v>
      </c>
    </row>
    <row r="31186" spans="8:8">
      <c r="H31186" s="680" t="s">
        <v>6153</v>
      </c>
    </row>
    <row r="31187" spans="8:8">
      <c r="H31187" s="680" t="s">
        <v>6153</v>
      </c>
    </row>
    <row r="31188" spans="8:8">
      <c r="H31188" s="680" t="s">
        <v>6153</v>
      </c>
    </row>
    <row r="31189" spans="8:8">
      <c r="H31189" s="680" t="s">
        <v>6153</v>
      </c>
    </row>
    <row r="31190" spans="8:8">
      <c r="H31190" s="680" t="s">
        <v>6153</v>
      </c>
    </row>
    <row r="31191" spans="8:8">
      <c r="H31191" s="680" t="s">
        <v>6153</v>
      </c>
    </row>
    <row r="31192" spans="8:8">
      <c r="H31192" s="680" t="s">
        <v>6153</v>
      </c>
    </row>
    <row r="31193" spans="8:8">
      <c r="H31193" s="680" t="s">
        <v>6153</v>
      </c>
    </row>
    <row r="31194" spans="8:8">
      <c r="H31194" s="680" t="s">
        <v>6153</v>
      </c>
    </row>
    <row r="31195" spans="8:8">
      <c r="H31195" s="680" t="s">
        <v>6153</v>
      </c>
    </row>
    <row r="31196" spans="8:8">
      <c r="H31196" s="680" t="s">
        <v>6153</v>
      </c>
    </row>
    <row r="31197" spans="8:8">
      <c r="H31197" s="680" t="s">
        <v>6153</v>
      </c>
    </row>
    <row r="31198" spans="8:8">
      <c r="H31198" s="680" t="s">
        <v>6153</v>
      </c>
    </row>
    <row r="31199" spans="8:8">
      <c r="H31199" s="680" t="s">
        <v>6153</v>
      </c>
    </row>
    <row r="31200" spans="8:8">
      <c r="H31200" s="680" t="s">
        <v>6153</v>
      </c>
    </row>
    <row r="31201" spans="8:8">
      <c r="H31201" s="680" t="s">
        <v>6153</v>
      </c>
    </row>
    <row r="31202" spans="8:8">
      <c r="H31202" s="680" t="s">
        <v>6153</v>
      </c>
    </row>
    <row r="31203" spans="8:8">
      <c r="H31203" s="680" t="s">
        <v>6153</v>
      </c>
    </row>
    <row r="31204" spans="8:8">
      <c r="H31204" s="680" t="s">
        <v>6153</v>
      </c>
    </row>
    <row r="31205" spans="8:8">
      <c r="H31205" s="680" t="s">
        <v>6153</v>
      </c>
    </row>
    <row r="31206" spans="8:8">
      <c r="H31206" s="680" t="s">
        <v>6153</v>
      </c>
    </row>
    <row r="31207" spans="8:8">
      <c r="H31207" s="680" t="s">
        <v>6153</v>
      </c>
    </row>
    <row r="31208" spans="8:8">
      <c r="H31208" s="680" t="s">
        <v>6153</v>
      </c>
    </row>
    <row r="31209" spans="8:8">
      <c r="H31209" s="680" t="s">
        <v>6153</v>
      </c>
    </row>
    <row r="31210" spans="8:8">
      <c r="H31210" s="680" t="s">
        <v>6153</v>
      </c>
    </row>
    <row r="31211" spans="8:8">
      <c r="H31211" s="680" t="s">
        <v>6153</v>
      </c>
    </row>
    <row r="31212" spans="8:8">
      <c r="H31212" s="680" t="s">
        <v>6153</v>
      </c>
    </row>
    <row r="31213" spans="8:8">
      <c r="H31213" s="680" t="s">
        <v>6153</v>
      </c>
    </row>
    <row r="31214" spans="8:8">
      <c r="H31214" s="680" t="s">
        <v>6153</v>
      </c>
    </row>
    <row r="31215" spans="8:8">
      <c r="H31215" s="680" t="s">
        <v>6153</v>
      </c>
    </row>
    <row r="31216" spans="8:8">
      <c r="H31216" s="680" t="s">
        <v>6153</v>
      </c>
    </row>
    <row r="31217" spans="8:8">
      <c r="H31217" s="680" t="s">
        <v>6153</v>
      </c>
    </row>
    <row r="31218" spans="8:8">
      <c r="H31218" s="680" t="s">
        <v>6153</v>
      </c>
    </row>
    <row r="31219" spans="8:8">
      <c r="H31219" s="680" t="s">
        <v>6153</v>
      </c>
    </row>
    <row r="31220" spans="8:8">
      <c r="H31220" s="680" t="s">
        <v>6153</v>
      </c>
    </row>
    <row r="31221" spans="8:8">
      <c r="H31221" s="680" t="s">
        <v>6153</v>
      </c>
    </row>
    <row r="31222" spans="8:8">
      <c r="H31222" s="680" t="s">
        <v>6153</v>
      </c>
    </row>
    <row r="31223" spans="8:8">
      <c r="H31223" s="680" t="s">
        <v>6153</v>
      </c>
    </row>
    <row r="31224" spans="8:8">
      <c r="H31224" s="680" t="s">
        <v>6153</v>
      </c>
    </row>
    <row r="31225" spans="8:8">
      <c r="H31225" s="680" t="s">
        <v>6153</v>
      </c>
    </row>
    <row r="31226" spans="8:8">
      <c r="H31226" s="680" t="s">
        <v>6153</v>
      </c>
    </row>
    <row r="31227" spans="8:8">
      <c r="H31227" s="680" t="s">
        <v>6153</v>
      </c>
    </row>
    <row r="31228" spans="8:8">
      <c r="H31228" s="680" t="s">
        <v>6153</v>
      </c>
    </row>
    <row r="31229" spans="8:8">
      <c r="H31229" s="680" t="s">
        <v>6153</v>
      </c>
    </row>
    <row r="31230" spans="8:8">
      <c r="H31230" s="680" t="s">
        <v>6153</v>
      </c>
    </row>
    <row r="31231" spans="8:8">
      <c r="H31231" s="680" t="s">
        <v>6153</v>
      </c>
    </row>
    <row r="31232" spans="8:8">
      <c r="H31232" s="680" t="s">
        <v>6153</v>
      </c>
    </row>
    <row r="31233" spans="8:8">
      <c r="H31233" s="680" t="s">
        <v>6153</v>
      </c>
    </row>
    <row r="31234" spans="8:8">
      <c r="H31234" s="680" t="s">
        <v>6153</v>
      </c>
    </row>
    <row r="31235" spans="8:8">
      <c r="H31235" s="680" t="s">
        <v>6153</v>
      </c>
    </row>
    <row r="31236" spans="8:8">
      <c r="H31236" s="680" t="s">
        <v>6153</v>
      </c>
    </row>
    <row r="31237" spans="8:8">
      <c r="H31237" s="680" t="s">
        <v>6153</v>
      </c>
    </row>
    <row r="31238" spans="8:8">
      <c r="H31238" s="680" t="s">
        <v>6153</v>
      </c>
    </row>
    <row r="31239" spans="8:8">
      <c r="H31239" s="680" t="s">
        <v>6153</v>
      </c>
    </row>
    <row r="31240" spans="8:8">
      <c r="H31240" s="680" t="s">
        <v>6153</v>
      </c>
    </row>
    <row r="31241" spans="8:8">
      <c r="H31241" s="680" t="s">
        <v>6153</v>
      </c>
    </row>
    <row r="31242" spans="8:8">
      <c r="H31242" s="680" t="s">
        <v>6153</v>
      </c>
    </row>
    <row r="31243" spans="8:8">
      <c r="H31243" s="680" t="s">
        <v>6153</v>
      </c>
    </row>
    <row r="31244" spans="8:8">
      <c r="H31244" s="680" t="s">
        <v>6153</v>
      </c>
    </row>
    <row r="31245" spans="8:8">
      <c r="H31245" s="680" t="s">
        <v>6153</v>
      </c>
    </row>
    <row r="31246" spans="8:8">
      <c r="H31246" s="680" t="s">
        <v>6153</v>
      </c>
    </row>
    <row r="31247" spans="8:8">
      <c r="H31247" s="680" t="s">
        <v>6153</v>
      </c>
    </row>
    <row r="31248" spans="8:8">
      <c r="H31248" s="680" t="s">
        <v>6153</v>
      </c>
    </row>
    <row r="31249" spans="8:8">
      <c r="H31249" s="680" t="s">
        <v>6153</v>
      </c>
    </row>
    <row r="31250" spans="8:8">
      <c r="H31250" s="680" t="s">
        <v>6153</v>
      </c>
    </row>
    <row r="31251" spans="8:8">
      <c r="H31251" s="680" t="s">
        <v>6153</v>
      </c>
    </row>
    <row r="31252" spans="8:8">
      <c r="H31252" s="680" t="s">
        <v>6153</v>
      </c>
    </row>
    <row r="31253" spans="8:8">
      <c r="H31253" s="680" t="s">
        <v>6153</v>
      </c>
    </row>
    <row r="31254" spans="8:8">
      <c r="H31254" s="680" t="s">
        <v>6153</v>
      </c>
    </row>
    <row r="31255" spans="8:8">
      <c r="H31255" s="680" t="s">
        <v>6153</v>
      </c>
    </row>
    <row r="31256" spans="8:8">
      <c r="H31256" s="680" t="s">
        <v>6153</v>
      </c>
    </row>
    <row r="31257" spans="8:8">
      <c r="H31257" s="680" t="s">
        <v>6153</v>
      </c>
    </row>
    <row r="31258" spans="8:8">
      <c r="H31258" s="680" t="s">
        <v>6153</v>
      </c>
    </row>
    <row r="31259" spans="8:8">
      <c r="H31259" s="680" t="s">
        <v>6153</v>
      </c>
    </row>
    <row r="31260" spans="8:8">
      <c r="H31260" s="680" t="s">
        <v>6153</v>
      </c>
    </row>
    <row r="31261" spans="8:8">
      <c r="H31261" s="680" t="s">
        <v>6153</v>
      </c>
    </row>
    <row r="31262" spans="8:8">
      <c r="H31262" s="680" t="s">
        <v>6153</v>
      </c>
    </row>
    <row r="31263" spans="8:8">
      <c r="H31263" s="680" t="s">
        <v>6153</v>
      </c>
    </row>
    <row r="31264" spans="8:8">
      <c r="H31264" s="680" t="s">
        <v>6153</v>
      </c>
    </row>
    <row r="31265" spans="8:8">
      <c r="H31265" s="680" t="s">
        <v>6153</v>
      </c>
    </row>
    <row r="31266" spans="8:8">
      <c r="H31266" s="680" t="s">
        <v>6153</v>
      </c>
    </row>
    <row r="31267" spans="8:8">
      <c r="H31267" s="680" t="s">
        <v>6153</v>
      </c>
    </row>
    <row r="31268" spans="8:8">
      <c r="H31268" s="680" t="s">
        <v>6153</v>
      </c>
    </row>
    <row r="31269" spans="8:8">
      <c r="H31269" s="680" t="s">
        <v>6153</v>
      </c>
    </row>
    <row r="31270" spans="8:8">
      <c r="H31270" s="680" t="s">
        <v>6153</v>
      </c>
    </row>
    <row r="31271" spans="8:8">
      <c r="H31271" s="680" t="s">
        <v>6153</v>
      </c>
    </row>
    <row r="31272" spans="8:8">
      <c r="H31272" s="680" t="s">
        <v>6153</v>
      </c>
    </row>
    <row r="31273" spans="8:8">
      <c r="H31273" s="680" t="s">
        <v>6153</v>
      </c>
    </row>
    <row r="31274" spans="8:8">
      <c r="H31274" s="680" t="s">
        <v>6153</v>
      </c>
    </row>
    <row r="31275" spans="8:8">
      <c r="H31275" s="680" t="s">
        <v>6153</v>
      </c>
    </row>
    <row r="31276" spans="8:8">
      <c r="H31276" s="680" t="s">
        <v>6153</v>
      </c>
    </row>
    <row r="31277" spans="8:8">
      <c r="H31277" s="680" t="s">
        <v>6153</v>
      </c>
    </row>
    <row r="31278" spans="8:8">
      <c r="H31278" s="680" t="s">
        <v>6153</v>
      </c>
    </row>
    <row r="31279" spans="8:8">
      <c r="H31279" s="680" t="s">
        <v>6153</v>
      </c>
    </row>
    <row r="31280" spans="8:8">
      <c r="H31280" s="680" t="s">
        <v>6153</v>
      </c>
    </row>
    <row r="31281" spans="8:8">
      <c r="H31281" s="680" t="s">
        <v>6153</v>
      </c>
    </row>
    <row r="31282" spans="8:8">
      <c r="H31282" s="680" t="s">
        <v>6153</v>
      </c>
    </row>
    <row r="31283" spans="8:8">
      <c r="H31283" s="680" t="s">
        <v>6153</v>
      </c>
    </row>
    <row r="31284" spans="8:8">
      <c r="H31284" s="680" t="s">
        <v>6153</v>
      </c>
    </row>
    <row r="31285" spans="8:8">
      <c r="H31285" s="680" t="s">
        <v>6153</v>
      </c>
    </row>
    <row r="31286" spans="8:8">
      <c r="H31286" s="680" t="s">
        <v>6153</v>
      </c>
    </row>
    <row r="31287" spans="8:8">
      <c r="H31287" s="680" t="s">
        <v>6153</v>
      </c>
    </row>
    <row r="31288" spans="8:8">
      <c r="H31288" s="680" t="s">
        <v>6153</v>
      </c>
    </row>
    <row r="31289" spans="8:8">
      <c r="H31289" s="680" t="s">
        <v>6153</v>
      </c>
    </row>
    <row r="31290" spans="8:8">
      <c r="H31290" s="680" t="s">
        <v>6153</v>
      </c>
    </row>
    <row r="31291" spans="8:8">
      <c r="H31291" s="680" t="s">
        <v>6153</v>
      </c>
    </row>
    <row r="31292" spans="8:8">
      <c r="H31292" s="680" t="s">
        <v>6153</v>
      </c>
    </row>
    <row r="31293" spans="8:8">
      <c r="H31293" s="680" t="s">
        <v>6153</v>
      </c>
    </row>
    <row r="31294" spans="8:8">
      <c r="H31294" s="680" t="s">
        <v>6153</v>
      </c>
    </row>
    <row r="31295" spans="8:8">
      <c r="H31295" s="680" t="s">
        <v>6153</v>
      </c>
    </row>
    <row r="31296" spans="8:8">
      <c r="H31296" s="680" t="s">
        <v>6153</v>
      </c>
    </row>
    <row r="31297" spans="8:8">
      <c r="H31297" s="680" t="s">
        <v>6153</v>
      </c>
    </row>
    <row r="31298" spans="8:8">
      <c r="H31298" s="680" t="s">
        <v>6153</v>
      </c>
    </row>
    <row r="31299" spans="8:8">
      <c r="H31299" s="680" t="s">
        <v>6153</v>
      </c>
    </row>
    <row r="31300" spans="8:8">
      <c r="H31300" s="680" t="s">
        <v>6153</v>
      </c>
    </row>
    <row r="31301" spans="8:8">
      <c r="H31301" s="680" t="s">
        <v>6153</v>
      </c>
    </row>
    <row r="31302" spans="8:8">
      <c r="H31302" s="680" t="s">
        <v>6153</v>
      </c>
    </row>
    <row r="31303" spans="8:8">
      <c r="H31303" s="680" t="s">
        <v>6153</v>
      </c>
    </row>
    <row r="31304" spans="8:8">
      <c r="H31304" s="680" t="s">
        <v>6153</v>
      </c>
    </row>
    <row r="31305" spans="8:8">
      <c r="H31305" s="680" t="s">
        <v>6153</v>
      </c>
    </row>
    <row r="31306" spans="8:8">
      <c r="H31306" s="680" t="s">
        <v>6153</v>
      </c>
    </row>
    <row r="31307" spans="8:8">
      <c r="H31307" s="680" t="s">
        <v>6153</v>
      </c>
    </row>
    <row r="31308" spans="8:8">
      <c r="H31308" s="680" t="s">
        <v>6153</v>
      </c>
    </row>
    <row r="31309" spans="8:8">
      <c r="H31309" s="680" t="s">
        <v>6153</v>
      </c>
    </row>
    <row r="31310" spans="8:8">
      <c r="H31310" s="680" t="s">
        <v>6153</v>
      </c>
    </row>
    <row r="31311" spans="8:8">
      <c r="H31311" s="680" t="s">
        <v>6153</v>
      </c>
    </row>
    <row r="31312" spans="8:8">
      <c r="H31312" s="680" t="s">
        <v>6153</v>
      </c>
    </row>
    <row r="31313" spans="8:8">
      <c r="H31313" s="680" t="s">
        <v>6153</v>
      </c>
    </row>
    <row r="31314" spans="8:8">
      <c r="H31314" s="680" t="s">
        <v>6153</v>
      </c>
    </row>
    <row r="31315" spans="8:8">
      <c r="H31315" s="680" t="s">
        <v>6153</v>
      </c>
    </row>
    <row r="31316" spans="8:8">
      <c r="H31316" s="680" t="s">
        <v>6153</v>
      </c>
    </row>
    <row r="31317" spans="8:8">
      <c r="H31317" s="680" t="s">
        <v>6153</v>
      </c>
    </row>
    <row r="31318" spans="8:8">
      <c r="H31318" s="680" t="s">
        <v>6153</v>
      </c>
    </row>
    <row r="31319" spans="8:8">
      <c r="H31319" s="680" t="s">
        <v>6153</v>
      </c>
    </row>
    <row r="31320" spans="8:8">
      <c r="H31320" s="680" t="s">
        <v>6153</v>
      </c>
    </row>
    <row r="31321" spans="8:8">
      <c r="H31321" s="680" t="s">
        <v>6153</v>
      </c>
    </row>
    <row r="31322" spans="8:8">
      <c r="H31322" s="680" t="s">
        <v>6153</v>
      </c>
    </row>
    <row r="31323" spans="8:8">
      <c r="H31323" s="680" t="s">
        <v>6153</v>
      </c>
    </row>
    <row r="31324" spans="8:8">
      <c r="H31324" s="680" t="s">
        <v>6153</v>
      </c>
    </row>
    <row r="31325" spans="8:8">
      <c r="H31325" s="680" t="s">
        <v>6153</v>
      </c>
    </row>
    <row r="31326" spans="8:8">
      <c r="H31326" s="680" t="s">
        <v>6153</v>
      </c>
    </row>
    <row r="31327" spans="8:8">
      <c r="H31327" s="680" t="s">
        <v>6153</v>
      </c>
    </row>
    <row r="31328" spans="8:8">
      <c r="H31328" s="680" t="s">
        <v>6153</v>
      </c>
    </row>
    <row r="31329" spans="8:8">
      <c r="H31329" s="680" t="s">
        <v>6153</v>
      </c>
    </row>
    <row r="31330" spans="8:8">
      <c r="H31330" s="680" t="s">
        <v>6153</v>
      </c>
    </row>
    <row r="31331" spans="8:8">
      <c r="H31331" s="680" t="s">
        <v>6153</v>
      </c>
    </row>
    <row r="31332" spans="8:8">
      <c r="H31332" s="680" t="s">
        <v>6153</v>
      </c>
    </row>
    <row r="31333" spans="8:8">
      <c r="H31333" s="680" t="s">
        <v>6153</v>
      </c>
    </row>
    <row r="31334" spans="8:8">
      <c r="H31334" s="680" t="s">
        <v>6153</v>
      </c>
    </row>
    <row r="31335" spans="8:8">
      <c r="H31335" s="680" t="s">
        <v>6153</v>
      </c>
    </row>
    <row r="31336" spans="8:8">
      <c r="H31336" s="680" t="s">
        <v>6153</v>
      </c>
    </row>
    <row r="31337" spans="8:8">
      <c r="H31337" s="680" t="s">
        <v>6153</v>
      </c>
    </row>
    <row r="31338" spans="8:8">
      <c r="H31338" s="680" t="s">
        <v>6153</v>
      </c>
    </row>
    <row r="31339" spans="8:8">
      <c r="H31339" s="680" t="s">
        <v>6153</v>
      </c>
    </row>
    <row r="31340" spans="8:8">
      <c r="H31340" s="680" t="s">
        <v>6153</v>
      </c>
    </row>
    <row r="31341" spans="8:8">
      <c r="H31341" s="680" t="s">
        <v>6153</v>
      </c>
    </row>
    <row r="31342" spans="8:8">
      <c r="H31342" s="680" t="s">
        <v>6153</v>
      </c>
    </row>
    <row r="31343" spans="8:8">
      <c r="H31343" s="680" t="s">
        <v>6153</v>
      </c>
    </row>
    <row r="31344" spans="8:8">
      <c r="H31344" s="680" t="s">
        <v>6153</v>
      </c>
    </row>
    <row r="31345" spans="8:8">
      <c r="H31345" s="680" t="s">
        <v>6153</v>
      </c>
    </row>
    <row r="31346" spans="8:8">
      <c r="H31346" s="680" t="s">
        <v>6153</v>
      </c>
    </row>
    <row r="31347" spans="8:8">
      <c r="H31347" s="680" t="s">
        <v>6153</v>
      </c>
    </row>
    <row r="31348" spans="8:8">
      <c r="H31348" s="680" t="s">
        <v>6153</v>
      </c>
    </row>
    <row r="31349" spans="8:8">
      <c r="H31349" s="680" t="s">
        <v>6153</v>
      </c>
    </row>
    <row r="31350" spans="8:8">
      <c r="H31350" s="680" t="s">
        <v>6153</v>
      </c>
    </row>
    <row r="31351" spans="8:8">
      <c r="H31351" s="680" t="s">
        <v>6153</v>
      </c>
    </row>
    <row r="31352" spans="8:8">
      <c r="H31352" s="680" t="s">
        <v>6153</v>
      </c>
    </row>
    <row r="31353" spans="8:8">
      <c r="H31353" s="680" t="s">
        <v>6153</v>
      </c>
    </row>
    <row r="31354" spans="8:8">
      <c r="H31354" s="680" t="s">
        <v>6153</v>
      </c>
    </row>
    <row r="31355" spans="8:8">
      <c r="H31355" s="680" t="s">
        <v>6153</v>
      </c>
    </row>
    <row r="31356" spans="8:8">
      <c r="H31356" s="680" t="s">
        <v>6153</v>
      </c>
    </row>
    <row r="31357" spans="8:8">
      <c r="H31357" s="680" t="s">
        <v>6153</v>
      </c>
    </row>
    <row r="31358" spans="8:8">
      <c r="H31358" s="680" t="s">
        <v>6153</v>
      </c>
    </row>
    <row r="31359" spans="8:8">
      <c r="H31359" s="680" t="s">
        <v>6153</v>
      </c>
    </row>
    <row r="31360" spans="8:8">
      <c r="H31360" s="680" t="s">
        <v>6153</v>
      </c>
    </row>
    <row r="31361" spans="8:8">
      <c r="H31361" s="680" t="s">
        <v>6153</v>
      </c>
    </row>
    <row r="31362" spans="8:8">
      <c r="H31362" s="680" t="s">
        <v>6153</v>
      </c>
    </row>
    <row r="31363" spans="8:8">
      <c r="H31363" s="680" t="s">
        <v>6153</v>
      </c>
    </row>
    <row r="31364" spans="8:8">
      <c r="H31364" s="680" t="s">
        <v>6153</v>
      </c>
    </row>
    <row r="31365" spans="8:8">
      <c r="H31365" s="680" t="s">
        <v>6153</v>
      </c>
    </row>
    <row r="31366" spans="8:8">
      <c r="H31366" s="680" t="s">
        <v>6153</v>
      </c>
    </row>
    <row r="31367" spans="8:8">
      <c r="H31367" s="680" t="s">
        <v>6153</v>
      </c>
    </row>
    <row r="31368" spans="8:8">
      <c r="H31368" s="680" t="s">
        <v>6153</v>
      </c>
    </row>
    <row r="31369" spans="8:8">
      <c r="H31369" s="680" t="s">
        <v>6153</v>
      </c>
    </row>
    <row r="31370" spans="8:8">
      <c r="H31370" s="680" t="s">
        <v>6153</v>
      </c>
    </row>
    <row r="31371" spans="8:8">
      <c r="H31371" s="680" t="s">
        <v>6153</v>
      </c>
    </row>
    <row r="31372" spans="8:8">
      <c r="H31372" s="680" t="s">
        <v>6153</v>
      </c>
    </row>
    <row r="31373" spans="8:8">
      <c r="H31373" s="680" t="s">
        <v>6153</v>
      </c>
    </row>
    <row r="31374" spans="8:8">
      <c r="H31374" s="680" t="s">
        <v>6153</v>
      </c>
    </row>
    <row r="31375" spans="8:8">
      <c r="H31375" s="680" t="s">
        <v>6153</v>
      </c>
    </row>
    <row r="31376" spans="8:8">
      <c r="H31376" s="680" t="s">
        <v>6153</v>
      </c>
    </row>
    <row r="31377" spans="8:8">
      <c r="H31377" s="680" t="s">
        <v>6153</v>
      </c>
    </row>
    <row r="31378" spans="8:8">
      <c r="H31378" s="680" t="s">
        <v>6153</v>
      </c>
    </row>
    <row r="31379" spans="8:8">
      <c r="H31379" s="680" t="s">
        <v>6153</v>
      </c>
    </row>
    <row r="31380" spans="8:8">
      <c r="H31380" s="680" t="s">
        <v>6153</v>
      </c>
    </row>
    <row r="31381" spans="8:8">
      <c r="H31381" s="680" t="s">
        <v>6153</v>
      </c>
    </row>
    <row r="31382" spans="8:8">
      <c r="H31382" s="680" t="s">
        <v>6153</v>
      </c>
    </row>
    <row r="31383" spans="8:8">
      <c r="H31383" s="680" t="s">
        <v>6153</v>
      </c>
    </row>
    <row r="31384" spans="8:8">
      <c r="H31384" s="680" t="s">
        <v>6153</v>
      </c>
    </row>
    <row r="31385" spans="8:8">
      <c r="H31385" s="680" t="s">
        <v>6153</v>
      </c>
    </row>
    <row r="31386" spans="8:8">
      <c r="H31386" s="680" t="s">
        <v>6153</v>
      </c>
    </row>
    <row r="31387" spans="8:8">
      <c r="H31387" s="680" t="s">
        <v>6153</v>
      </c>
    </row>
    <row r="31388" spans="8:8">
      <c r="H31388" s="680" t="s">
        <v>6153</v>
      </c>
    </row>
    <row r="31389" spans="8:8">
      <c r="H31389" s="680" t="s">
        <v>6153</v>
      </c>
    </row>
    <row r="31390" spans="8:8">
      <c r="H31390" s="680" t="s">
        <v>6153</v>
      </c>
    </row>
    <row r="31391" spans="8:8">
      <c r="H31391" s="680" t="s">
        <v>6153</v>
      </c>
    </row>
    <row r="31392" spans="8:8">
      <c r="H31392" s="680" t="s">
        <v>6153</v>
      </c>
    </row>
    <row r="31393" spans="8:8">
      <c r="H31393" s="680" t="s">
        <v>6153</v>
      </c>
    </row>
    <row r="31394" spans="8:8">
      <c r="H31394" s="680" t="s">
        <v>6153</v>
      </c>
    </row>
    <row r="31395" spans="8:8">
      <c r="H31395" s="680" t="s">
        <v>6153</v>
      </c>
    </row>
    <row r="31396" spans="8:8">
      <c r="H31396" s="680" t="s">
        <v>6153</v>
      </c>
    </row>
    <row r="31397" spans="8:8">
      <c r="H31397" s="680" t="s">
        <v>6153</v>
      </c>
    </row>
    <row r="31398" spans="8:8">
      <c r="H31398" s="680" t="s">
        <v>6153</v>
      </c>
    </row>
    <row r="31399" spans="8:8">
      <c r="H31399" s="680" t="s">
        <v>6153</v>
      </c>
    </row>
    <row r="31400" spans="8:8">
      <c r="H31400" s="680" t="s">
        <v>6153</v>
      </c>
    </row>
    <row r="31401" spans="8:8">
      <c r="H31401" s="680" t="s">
        <v>6153</v>
      </c>
    </row>
    <row r="31402" spans="8:8">
      <c r="H31402" s="680" t="s">
        <v>6153</v>
      </c>
    </row>
    <row r="31403" spans="8:8">
      <c r="H31403" s="680" t="s">
        <v>6153</v>
      </c>
    </row>
    <row r="31404" spans="8:8">
      <c r="H31404" s="680" t="s">
        <v>6153</v>
      </c>
    </row>
    <row r="31405" spans="8:8">
      <c r="H31405" s="680" t="s">
        <v>6153</v>
      </c>
    </row>
    <row r="31406" spans="8:8">
      <c r="H31406" s="680" t="s">
        <v>6153</v>
      </c>
    </row>
    <row r="31407" spans="8:8">
      <c r="H31407" s="680" t="s">
        <v>6153</v>
      </c>
    </row>
    <row r="31408" spans="8:8">
      <c r="H31408" s="680" t="s">
        <v>6153</v>
      </c>
    </row>
    <row r="31409" spans="8:8">
      <c r="H31409" s="680" t="s">
        <v>6153</v>
      </c>
    </row>
    <row r="31410" spans="8:8">
      <c r="H31410" s="680" t="s">
        <v>6153</v>
      </c>
    </row>
    <row r="31411" spans="8:8">
      <c r="H31411" s="680" t="s">
        <v>6153</v>
      </c>
    </row>
    <row r="31412" spans="8:8">
      <c r="H31412" s="680" t="s">
        <v>6153</v>
      </c>
    </row>
    <row r="31413" spans="8:8">
      <c r="H31413" s="680" t="s">
        <v>6153</v>
      </c>
    </row>
    <row r="31414" spans="8:8">
      <c r="H31414" s="680" t="s">
        <v>6153</v>
      </c>
    </row>
    <row r="31415" spans="8:8">
      <c r="H31415" s="680" t="s">
        <v>6153</v>
      </c>
    </row>
    <row r="31416" spans="8:8">
      <c r="H31416" s="680" t="s">
        <v>6153</v>
      </c>
    </row>
    <row r="31417" spans="8:8">
      <c r="H31417" s="680" t="s">
        <v>6153</v>
      </c>
    </row>
    <row r="31418" spans="8:8">
      <c r="H31418" s="680" t="s">
        <v>6153</v>
      </c>
    </row>
    <row r="31419" spans="8:8">
      <c r="H31419" s="680" t="s">
        <v>6153</v>
      </c>
    </row>
    <row r="31420" spans="8:8">
      <c r="H31420" s="680" t="s">
        <v>6153</v>
      </c>
    </row>
    <row r="31421" spans="8:8">
      <c r="H31421" s="680" t="s">
        <v>6153</v>
      </c>
    </row>
    <row r="31422" spans="8:8">
      <c r="H31422" s="680" t="s">
        <v>6153</v>
      </c>
    </row>
    <row r="31423" spans="8:8">
      <c r="H31423" s="680" t="s">
        <v>6153</v>
      </c>
    </row>
    <row r="31424" spans="8:8">
      <c r="H31424" s="680" t="s">
        <v>6153</v>
      </c>
    </row>
    <row r="31425" spans="8:8">
      <c r="H31425" s="680" t="s">
        <v>6153</v>
      </c>
    </row>
    <row r="31426" spans="8:8">
      <c r="H31426" s="680" t="s">
        <v>6153</v>
      </c>
    </row>
    <row r="31427" spans="8:8">
      <c r="H31427" s="680" t="s">
        <v>6153</v>
      </c>
    </row>
    <row r="31428" spans="8:8">
      <c r="H31428" s="680" t="s">
        <v>6153</v>
      </c>
    </row>
    <row r="31429" spans="8:8">
      <c r="H31429" s="680" t="s">
        <v>6153</v>
      </c>
    </row>
    <row r="31430" spans="8:8">
      <c r="H31430" s="680" t="s">
        <v>6153</v>
      </c>
    </row>
    <row r="31431" spans="8:8">
      <c r="H31431" s="680" t="s">
        <v>6153</v>
      </c>
    </row>
    <row r="31432" spans="8:8">
      <c r="H31432" s="680" t="s">
        <v>6153</v>
      </c>
    </row>
    <row r="31433" spans="8:8">
      <c r="H31433" s="680" t="s">
        <v>6153</v>
      </c>
    </row>
    <row r="31434" spans="8:8">
      <c r="H31434" s="680" t="s">
        <v>6153</v>
      </c>
    </row>
    <row r="31435" spans="8:8">
      <c r="H31435" s="680" t="s">
        <v>6153</v>
      </c>
    </row>
    <row r="31436" spans="8:8">
      <c r="H31436" s="680" t="s">
        <v>6153</v>
      </c>
    </row>
    <row r="31437" spans="8:8">
      <c r="H31437" s="680" t="s">
        <v>6153</v>
      </c>
    </row>
    <row r="31438" spans="8:8">
      <c r="H31438" s="680" t="s">
        <v>6153</v>
      </c>
    </row>
    <row r="31439" spans="8:8">
      <c r="H31439" s="680" t="s">
        <v>6153</v>
      </c>
    </row>
    <row r="31440" spans="8:8">
      <c r="H31440" s="680" t="s">
        <v>6153</v>
      </c>
    </row>
    <row r="31441" spans="8:8">
      <c r="H31441" s="680" t="s">
        <v>6153</v>
      </c>
    </row>
    <row r="31442" spans="8:8">
      <c r="H31442" s="680" t="s">
        <v>6153</v>
      </c>
    </row>
    <row r="31443" spans="8:8">
      <c r="H31443" s="680" t="s">
        <v>6153</v>
      </c>
    </row>
    <row r="31444" spans="8:8">
      <c r="H31444" s="680" t="s">
        <v>6153</v>
      </c>
    </row>
    <row r="31445" spans="8:8">
      <c r="H31445" s="680" t="s">
        <v>6153</v>
      </c>
    </row>
    <row r="31446" spans="8:8">
      <c r="H31446" s="680" t="s">
        <v>6153</v>
      </c>
    </row>
    <row r="31447" spans="8:8">
      <c r="H31447" s="680" t="s">
        <v>6153</v>
      </c>
    </row>
    <row r="31448" spans="8:8">
      <c r="H31448" s="680" t="s">
        <v>6153</v>
      </c>
    </row>
    <row r="31449" spans="8:8">
      <c r="H31449" s="680" t="s">
        <v>6153</v>
      </c>
    </row>
    <row r="31450" spans="8:8">
      <c r="H31450" s="680" t="s">
        <v>6153</v>
      </c>
    </row>
    <row r="31451" spans="8:8">
      <c r="H31451" s="680" t="s">
        <v>6153</v>
      </c>
    </row>
    <row r="31452" spans="8:8">
      <c r="H31452" s="680" t="s">
        <v>6153</v>
      </c>
    </row>
    <row r="31453" spans="8:8">
      <c r="H31453" s="680" t="s">
        <v>6153</v>
      </c>
    </row>
    <row r="31454" spans="8:8">
      <c r="H31454" s="680" t="s">
        <v>6153</v>
      </c>
    </row>
    <row r="31455" spans="8:8">
      <c r="H31455" s="680" t="s">
        <v>6153</v>
      </c>
    </row>
    <row r="31456" spans="8:8">
      <c r="H31456" s="680" t="s">
        <v>6153</v>
      </c>
    </row>
    <row r="31457" spans="8:8">
      <c r="H31457" s="680" t="s">
        <v>6153</v>
      </c>
    </row>
    <row r="31458" spans="8:8">
      <c r="H31458" s="680" t="s">
        <v>6153</v>
      </c>
    </row>
    <row r="31459" spans="8:8">
      <c r="H31459" s="680" t="s">
        <v>6153</v>
      </c>
    </row>
    <row r="31460" spans="8:8">
      <c r="H31460" s="680" t="s">
        <v>6153</v>
      </c>
    </row>
    <row r="31461" spans="8:8">
      <c r="H31461" s="680" t="s">
        <v>6153</v>
      </c>
    </row>
    <row r="31462" spans="8:8">
      <c r="H31462" s="680" t="s">
        <v>6153</v>
      </c>
    </row>
    <row r="31463" spans="8:8">
      <c r="H31463" s="680" t="s">
        <v>6153</v>
      </c>
    </row>
    <row r="31464" spans="8:8">
      <c r="H31464" s="680" t="s">
        <v>6153</v>
      </c>
    </row>
    <row r="31465" spans="8:8">
      <c r="H31465" s="680" t="s">
        <v>6153</v>
      </c>
    </row>
    <row r="31466" spans="8:8">
      <c r="H31466" s="680" t="s">
        <v>6153</v>
      </c>
    </row>
    <row r="31467" spans="8:8">
      <c r="H31467" s="680" t="s">
        <v>6153</v>
      </c>
    </row>
    <row r="31468" spans="8:8">
      <c r="H31468" s="680" t="s">
        <v>6153</v>
      </c>
    </row>
    <row r="31469" spans="8:8">
      <c r="H31469" s="680" t="s">
        <v>6153</v>
      </c>
    </row>
    <row r="31470" spans="8:8">
      <c r="H31470" s="680" t="s">
        <v>6153</v>
      </c>
    </row>
    <row r="31471" spans="8:8">
      <c r="H31471" s="680" t="s">
        <v>6153</v>
      </c>
    </row>
    <row r="31472" spans="8:8">
      <c r="H31472" s="680" t="s">
        <v>6153</v>
      </c>
    </row>
    <row r="31473" spans="8:8">
      <c r="H31473" s="680" t="s">
        <v>6153</v>
      </c>
    </row>
    <row r="31474" spans="8:8">
      <c r="H31474" s="680" t="s">
        <v>6153</v>
      </c>
    </row>
    <row r="31475" spans="8:8">
      <c r="H31475" s="680" t="s">
        <v>6153</v>
      </c>
    </row>
    <row r="31476" spans="8:8">
      <c r="H31476" s="680" t="s">
        <v>6153</v>
      </c>
    </row>
    <row r="31477" spans="8:8">
      <c r="H31477" s="680" t="s">
        <v>6153</v>
      </c>
    </row>
    <row r="31478" spans="8:8">
      <c r="H31478" s="680" t="s">
        <v>6153</v>
      </c>
    </row>
    <row r="31479" spans="8:8">
      <c r="H31479" s="680" t="s">
        <v>6153</v>
      </c>
    </row>
    <row r="31480" spans="8:8">
      <c r="H31480" s="680" t="s">
        <v>6153</v>
      </c>
    </row>
    <row r="31481" spans="8:8">
      <c r="H31481" s="680" t="s">
        <v>6153</v>
      </c>
    </row>
    <row r="31482" spans="8:8">
      <c r="H31482" s="680" t="s">
        <v>6153</v>
      </c>
    </row>
    <row r="31483" spans="8:8">
      <c r="H31483" s="680" t="s">
        <v>6153</v>
      </c>
    </row>
    <row r="31484" spans="8:8">
      <c r="H31484" s="680" t="s">
        <v>6153</v>
      </c>
    </row>
    <row r="31485" spans="8:8">
      <c r="H31485" s="680" t="s">
        <v>6153</v>
      </c>
    </row>
    <row r="31486" spans="8:8">
      <c r="H31486" s="680" t="s">
        <v>6153</v>
      </c>
    </row>
    <row r="31487" spans="8:8">
      <c r="H31487" s="680" t="s">
        <v>6153</v>
      </c>
    </row>
    <row r="31488" spans="8:8">
      <c r="H31488" s="680" t="s">
        <v>6153</v>
      </c>
    </row>
    <row r="31489" spans="8:8">
      <c r="H31489" s="680" t="s">
        <v>6153</v>
      </c>
    </row>
    <row r="31490" spans="8:8">
      <c r="H31490" s="680" t="s">
        <v>6153</v>
      </c>
    </row>
    <row r="31491" spans="8:8">
      <c r="H31491" s="680" t="s">
        <v>6153</v>
      </c>
    </row>
    <row r="31492" spans="8:8">
      <c r="H31492" s="680" t="s">
        <v>6153</v>
      </c>
    </row>
    <row r="31493" spans="8:8">
      <c r="H31493" s="680" t="s">
        <v>6153</v>
      </c>
    </row>
    <row r="31494" spans="8:8">
      <c r="H31494" s="680" t="s">
        <v>6153</v>
      </c>
    </row>
    <row r="31495" spans="8:8">
      <c r="H31495" s="680" t="s">
        <v>6153</v>
      </c>
    </row>
    <row r="31496" spans="8:8">
      <c r="H31496" s="680" t="s">
        <v>6153</v>
      </c>
    </row>
    <row r="31497" spans="8:8">
      <c r="H31497" s="680" t="s">
        <v>6153</v>
      </c>
    </row>
    <row r="31498" spans="8:8">
      <c r="H31498" s="680" t="s">
        <v>6153</v>
      </c>
    </row>
    <row r="31499" spans="8:8">
      <c r="H31499" s="680" t="s">
        <v>6153</v>
      </c>
    </row>
    <row r="31500" spans="8:8">
      <c r="H31500" s="680" t="s">
        <v>6153</v>
      </c>
    </row>
    <row r="31501" spans="8:8">
      <c r="H31501" s="680" t="s">
        <v>6153</v>
      </c>
    </row>
    <row r="31502" spans="8:8">
      <c r="H31502" s="680" t="s">
        <v>6153</v>
      </c>
    </row>
    <row r="31503" spans="8:8">
      <c r="H31503" s="680" t="s">
        <v>6153</v>
      </c>
    </row>
    <row r="31504" spans="8:8">
      <c r="H31504" s="680" t="s">
        <v>6153</v>
      </c>
    </row>
    <row r="31505" spans="8:8">
      <c r="H31505" s="680" t="s">
        <v>6153</v>
      </c>
    </row>
    <row r="31506" spans="8:8">
      <c r="H31506" s="680" t="s">
        <v>6153</v>
      </c>
    </row>
    <row r="31507" spans="8:8">
      <c r="H31507" s="680" t="s">
        <v>6153</v>
      </c>
    </row>
    <row r="31508" spans="8:8">
      <c r="H31508" s="680" t="s">
        <v>6153</v>
      </c>
    </row>
    <row r="31509" spans="8:8">
      <c r="H31509" s="680" t="s">
        <v>6153</v>
      </c>
    </row>
    <row r="31510" spans="8:8">
      <c r="H31510" s="680" t="s">
        <v>6153</v>
      </c>
    </row>
    <row r="31511" spans="8:8">
      <c r="H31511" s="680" t="s">
        <v>6153</v>
      </c>
    </row>
    <row r="31512" spans="8:8">
      <c r="H31512" s="680" t="s">
        <v>6153</v>
      </c>
    </row>
    <row r="31513" spans="8:8">
      <c r="H31513" s="680" t="s">
        <v>6153</v>
      </c>
    </row>
    <row r="31514" spans="8:8">
      <c r="H31514" s="680" t="s">
        <v>6153</v>
      </c>
    </row>
    <row r="31515" spans="8:8">
      <c r="H31515" s="680" t="s">
        <v>6153</v>
      </c>
    </row>
    <row r="31516" spans="8:8">
      <c r="H31516" s="680" t="s">
        <v>6153</v>
      </c>
    </row>
    <row r="31517" spans="8:8">
      <c r="H31517" s="680" t="s">
        <v>6153</v>
      </c>
    </row>
    <row r="31518" spans="8:8">
      <c r="H31518" s="680" t="s">
        <v>6153</v>
      </c>
    </row>
    <row r="31519" spans="8:8">
      <c r="H31519" s="680" t="s">
        <v>6153</v>
      </c>
    </row>
    <row r="31520" spans="8:8">
      <c r="H31520" s="680" t="s">
        <v>6153</v>
      </c>
    </row>
    <row r="31521" spans="8:8">
      <c r="H31521" s="680" t="s">
        <v>6153</v>
      </c>
    </row>
    <row r="31522" spans="8:8">
      <c r="H31522" s="680" t="s">
        <v>6153</v>
      </c>
    </row>
    <row r="31523" spans="8:8">
      <c r="H31523" s="680" t="s">
        <v>6153</v>
      </c>
    </row>
    <row r="31524" spans="8:8">
      <c r="H31524" s="680" t="s">
        <v>6153</v>
      </c>
    </row>
    <row r="31525" spans="8:8">
      <c r="H31525" s="680" t="s">
        <v>6153</v>
      </c>
    </row>
    <row r="31526" spans="8:8">
      <c r="H31526" s="680" t="s">
        <v>6153</v>
      </c>
    </row>
    <row r="31527" spans="8:8">
      <c r="H31527" s="680" t="s">
        <v>6153</v>
      </c>
    </row>
    <row r="31528" spans="8:8">
      <c r="H31528" s="680" t="s">
        <v>6153</v>
      </c>
    </row>
    <row r="31529" spans="8:8">
      <c r="H31529" s="680" t="s">
        <v>6153</v>
      </c>
    </row>
    <row r="31530" spans="8:8">
      <c r="H31530" s="680" t="s">
        <v>6153</v>
      </c>
    </row>
    <row r="31531" spans="8:8">
      <c r="H31531" s="680" t="s">
        <v>6153</v>
      </c>
    </row>
    <row r="31532" spans="8:8">
      <c r="H31532" s="680" t="s">
        <v>6153</v>
      </c>
    </row>
    <row r="31533" spans="8:8">
      <c r="H31533" s="680" t="s">
        <v>6153</v>
      </c>
    </row>
    <row r="31534" spans="8:8">
      <c r="H31534" s="680" t="s">
        <v>6153</v>
      </c>
    </row>
    <row r="31535" spans="8:8">
      <c r="H31535" s="680" t="s">
        <v>6153</v>
      </c>
    </row>
    <row r="31536" spans="8:8">
      <c r="H31536" s="680" t="s">
        <v>6153</v>
      </c>
    </row>
    <row r="31537" spans="8:8">
      <c r="H31537" s="680" t="s">
        <v>6153</v>
      </c>
    </row>
    <row r="31538" spans="8:8">
      <c r="H31538" s="680" t="s">
        <v>6153</v>
      </c>
    </row>
    <row r="31539" spans="8:8">
      <c r="H31539" s="680" t="s">
        <v>6153</v>
      </c>
    </row>
    <row r="31540" spans="8:8">
      <c r="H31540" s="680" t="s">
        <v>6153</v>
      </c>
    </row>
    <row r="31541" spans="8:8">
      <c r="H31541" s="680" t="s">
        <v>6153</v>
      </c>
    </row>
    <row r="31542" spans="8:8">
      <c r="H31542" s="680" t="s">
        <v>6153</v>
      </c>
    </row>
    <row r="31543" spans="8:8">
      <c r="H31543" s="680" t="s">
        <v>6153</v>
      </c>
    </row>
    <row r="31544" spans="8:8">
      <c r="H31544" s="680" t="s">
        <v>6153</v>
      </c>
    </row>
    <row r="31545" spans="8:8">
      <c r="H31545" s="680" t="s">
        <v>6153</v>
      </c>
    </row>
    <row r="31546" spans="8:8">
      <c r="H31546" s="680" t="s">
        <v>6153</v>
      </c>
    </row>
    <row r="31547" spans="8:8">
      <c r="H31547" s="680" t="s">
        <v>6153</v>
      </c>
    </row>
    <row r="31548" spans="8:8">
      <c r="H31548" s="680" t="s">
        <v>6153</v>
      </c>
    </row>
    <row r="31549" spans="8:8">
      <c r="H31549" s="680" t="s">
        <v>6153</v>
      </c>
    </row>
    <row r="31550" spans="8:8">
      <c r="H31550" s="680" t="s">
        <v>6153</v>
      </c>
    </row>
    <row r="31551" spans="8:8">
      <c r="H31551" s="680" t="s">
        <v>6153</v>
      </c>
    </row>
    <row r="31552" spans="8:8">
      <c r="H31552" s="680" t="s">
        <v>6153</v>
      </c>
    </row>
    <row r="31553" spans="8:8">
      <c r="H31553" s="680" t="s">
        <v>6153</v>
      </c>
    </row>
    <row r="31554" spans="8:8">
      <c r="H31554" s="680" t="s">
        <v>6153</v>
      </c>
    </row>
    <row r="31555" spans="8:8">
      <c r="H31555" s="680" t="s">
        <v>6153</v>
      </c>
    </row>
    <row r="31556" spans="8:8">
      <c r="H31556" s="680" t="s">
        <v>6153</v>
      </c>
    </row>
    <row r="31557" spans="8:8">
      <c r="H31557" s="680" t="s">
        <v>6153</v>
      </c>
    </row>
    <row r="31558" spans="8:8">
      <c r="H31558" s="680" t="s">
        <v>6153</v>
      </c>
    </row>
    <row r="31559" spans="8:8">
      <c r="H31559" s="680" t="s">
        <v>6153</v>
      </c>
    </row>
    <row r="31560" spans="8:8">
      <c r="H31560" s="680" t="s">
        <v>6153</v>
      </c>
    </row>
    <row r="31561" spans="8:8">
      <c r="H31561" s="680" t="s">
        <v>6153</v>
      </c>
    </row>
    <row r="31562" spans="8:8">
      <c r="H31562" s="680" t="s">
        <v>6153</v>
      </c>
    </row>
    <row r="31563" spans="8:8">
      <c r="H31563" s="680" t="s">
        <v>6153</v>
      </c>
    </row>
    <row r="31564" spans="8:8">
      <c r="H31564" s="680" t="s">
        <v>6153</v>
      </c>
    </row>
    <row r="31565" spans="8:8">
      <c r="H31565" s="680" t="s">
        <v>6153</v>
      </c>
    </row>
    <row r="31566" spans="8:8">
      <c r="H31566" s="680" t="s">
        <v>6153</v>
      </c>
    </row>
    <row r="31567" spans="8:8">
      <c r="H31567" s="680" t="s">
        <v>6153</v>
      </c>
    </row>
    <row r="31568" spans="8:8">
      <c r="H31568" s="680" t="s">
        <v>6153</v>
      </c>
    </row>
    <row r="31569" spans="8:8">
      <c r="H31569" s="680" t="s">
        <v>6153</v>
      </c>
    </row>
    <row r="31570" spans="8:8">
      <c r="H31570" s="680" t="s">
        <v>6153</v>
      </c>
    </row>
    <row r="31571" spans="8:8">
      <c r="H31571" s="680" t="s">
        <v>6153</v>
      </c>
    </row>
    <row r="31572" spans="8:8">
      <c r="H31572" s="680" t="s">
        <v>6153</v>
      </c>
    </row>
    <row r="31573" spans="8:8">
      <c r="H31573" s="680" t="s">
        <v>6153</v>
      </c>
    </row>
    <row r="31574" spans="8:8">
      <c r="H31574" s="680" t="s">
        <v>6153</v>
      </c>
    </row>
    <row r="31575" spans="8:8">
      <c r="H31575" s="680" t="s">
        <v>6153</v>
      </c>
    </row>
    <row r="31576" spans="8:8">
      <c r="H31576" s="680" t="s">
        <v>6153</v>
      </c>
    </row>
    <row r="31577" spans="8:8">
      <c r="H31577" s="680" t="s">
        <v>6153</v>
      </c>
    </row>
    <row r="31578" spans="8:8">
      <c r="H31578" s="680" t="s">
        <v>6153</v>
      </c>
    </row>
    <row r="31579" spans="8:8">
      <c r="H31579" s="680" t="s">
        <v>6153</v>
      </c>
    </row>
    <row r="31580" spans="8:8">
      <c r="H31580" s="680" t="s">
        <v>6153</v>
      </c>
    </row>
    <row r="31581" spans="8:8">
      <c r="H31581" s="680" t="s">
        <v>6153</v>
      </c>
    </row>
    <row r="31582" spans="8:8">
      <c r="H31582" s="680" t="s">
        <v>6153</v>
      </c>
    </row>
    <row r="31583" spans="8:8">
      <c r="H31583" s="680" t="s">
        <v>6153</v>
      </c>
    </row>
    <row r="31584" spans="8:8">
      <c r="H31584" s="680" t="s">
        <v>6153</v>
      </c>
    </row>
    <row r="31585" spans="8:8">
      <c r="H31585" s="680" t="s">
        <v>6153</v>
      </c>
    </row>
    <row r="31586" spans="8:8">
      <c r="H31586" s="680" t="s">
        <v>6153</v>
      </c>
    </row>
    <row r="31587" spans="8:8">
      <c r="H31587" s="680" t="s">
        <v>6153</v>
      </c>
    </row>
    <row r="31588" spans="8:8">
      <c r="H31588" s="680" t="s">
        <v>6153</v>
      </c>
    </row>
    <row r="31589" spans="8:8">
      <c r="H31589" s="680" t="s">
        <v>6153</v>
      </c>
    </row>
    <row r="31590" spans="8:8">
      <c r="H31590" s="680" t="s">
        <v>6153</v>
      </c>
    </row>
    <row r="31591" spans="8:8">
      <c r="H31591" s="680" t="s">
        <v>6153</v>
      </c>
    </row>
    <row r="31592" spans="8:8">
      <c r="H31592" s="680" t="s">
        <v>6153</v>
      </c>
    </row>
    <row r="31593" spans="8:8">
      <c r="H31593" s="680" t="s">
        <v>6153</v>
      </c>
    </row>
    <row r="31594" spans="8:8">
      <c r="H31594" s="680" t="s">
        <v>6153</v>
      </c>
    </row>
    <row r="31595" spans="8:8">
      <c r="H31595" s="680" t="s">
        <v>6153</v>
      </c>
    </row>
    <row r="31596" spans="8:8">
      <c r="H31596" s="680" t="s">
        <v>6153</v>
      </c>
    </row>
    <row r="31597" spans="8:8">
      <c r="H31597" s="680" t="s">
        <v>6153</v>
      </c>
    </row>
    <row r="31598" spans="8:8">
      <c r="H31598" s="680" t="s">
        <v>6153</v>
      </c>
    </row>
    <row r="31599" spans="8:8">
      <c r="H31599" s="680" t="s">
        <v>6153</v>
      </c>
    </row>
    <row r="31600" spans="8:8">
      <c r="H31600" s="680" t="s">
        <v>6153</v>
      </c>
    </row>
    <row r="31601" spans="8:8">
      <c r="H31601" s="680" t="s">
        <v>6153</v>
      </c>
    </row>
    <row r="31602" spans="8:8">
      <c r="H31602" s="680" t="s">
        <v>6153</v>
      </c>
    </row>
    <row r="31603" spans="8:8">
      <c r="H31603" s="680" t="s">
        <v>6153</v>
      </c>
    </row>
    <row r="31604" spans="8:8">
      <c r="H31604" s="680" t="s">
        <v>6153</v>
      </c>
    </row>
    <row r="31605" spans="8:8">
      <c r="H31605" s="680" t="s">
        <v>6153</v>
      </c>
    </row>
    <row r="31606" spans="8:8">
      <c r="H31606" s="680" t="s">
        <v>6153</v>
      </c>
    </row>
    <row r="31607" spans="8:8">
      <c r="H31607" s="680" t="s">
        <v>6153</v>
      </c>
    </row>
    <row r="31608" spans="8:8">
      <c r="H31608" s="680" t="s">
        <v>6153</v>
      </c>
    </row>
    <row r="31609" spans="8:8">
      <c r="H31609" s="680" t="s">
        <v>6153</v>
      </c>
    </row>
    <row r="31610" spans="8:8">
      <c r="H31610" s="680" t="s">
        <v>6153</v>
      </c>
    </row>
    <row r="31611" spans="8:8">
      <c r="H31611" s="680" t="s">
        <v>6153</v>
      </c>
    </row>
    <row r="31612" spans="8:8">
      <c r="H31612" s="680" t="s">
        <v>6153</v>
      </c>
    </row>
    <row r="31613" spans="8:8">
      <c r="H31613" s="680" t="s">
        <v>6153</v>
      </c>
    </row>
    <row r="31614" spans="8:8">
      <c r="H31614" s="680" t="s">
        <v>6153</v>
      </c>
    </row>
    <row r="31615" spans="8:8">
      <c r="H31615" s="680" t="s">
        <v>6153</v>
      </c>
    </row>
    <row r="31616" spans="8:8">
      <c r="H31616" s="680" t="s">
        <v>6153</v>
      </c>
    </row>
    <row r="31617" spans="8:8">
      <c r="H31617" s="680" t="s">
        <v>6153</v>
      </c>
    </row>
    <row r="31618" spans="8:8">
      <c r="H31618" s="680" t="s">
        <v>6153</v>
      </c>
    </row>
    <row r="31619" spans="8:8">
      <c r="H31619" s="680" t="s">
        <v>6153</v>
      </c>
    </row>
    <row r="31620" spans="8:8">
      <c r="H31620" s="680" t="s">
        <v>6153</v>
      </c>
    </row>
    <row r="31621" spans="8:8">
      <c r="H31621" s="680" t="s">
        <v>6153</v>
      </c>
    </row>
    <row r="31622" spans="8:8">
      <c r="H31622" s="680" t="s">
        <v>6153</v>
      </c>
    </row>
    <row r="31623" spans="8:8">
      <c r="H31623" s="680" t="s">
        <v>6153</v>
      </c>
    </row>
    <row r="31624" spans="8:8">
      <c r="H31624" s="680" t="s">
        <v>6153</v>
      </c>
    </row>
    <row r="31625" spans="8:8">
      <c r="H31625" s="680" t="s">
        <v>6153</v>
      </c>
    </row>
    <row r="31626" spans="8:8">
      <c r="H31626" s="680" t="s">
        <v>6153</v>
      </c>
    </row>
    <row r="31627" spans="8:8">
      <c r="H31627" s="680" t="s">
        <v>6153</v>
      </c>
    </row>
    <row r="31628" spans="8:8">
      <c r="H31628" s="680" t="s">
        <v>6153</v>
      </c>
    </row>
    <row r="31629" spans="8:8">
      <c r="H31629" s="680" t="s">
        <v>6153</v>
      </c>
    </row>
    <row r="31630" spans="8:8">
      <c r="H31630" s="680" t="s">
        <v>6153</v>
      </c>
    </row>
    <row r="31631" spans="8:8">
      <c r="H31631" s="680" t="s">
        <v>6153</v>
      </c>
    </row>
    <row r="31632" spans="8:8">
      <c r="H31632" s="680" t="s">
        <v>6153</v>
      </c>
    </row>
    <row r="31633" spans="8:8">
      <c r="H31633" s="680" t="s">
        <v>6153</v>
      </c>
    </row>
    <row r="31634" spans="8:8">
      <c r="H31634" s="680" t="s">
        <v>6153</v>
      </c>
    </row>
    <row r="31635" spans="8:8">
      <c r="H31635" s="680" t="s">
        <v>6153</v>
      </c>
    </row>
    <row r="31636" spans="8:8">
      <c r="H31636" s="680" t="s">
        <v>6153</v>
      </c>
    </row>
    <row r="31637" spans="8:8">
      <c r="H31637" s="680" t="s">
        <v>6153</v>
      </c>
    </row>
    <row r="31638" spans="8:8">
      <c r="H31638" s="680" t="s">
        <v>6153</v>
      </c>
    </row>
    <row r="31639" spans="8:8">
      <c r="H31639" s="680" t="s">
        <v>6153</v>
      </c>
    </row>
    <row r="31640" spans="8:8">
      <c r="H31640" s="680" t="s">
        <v>6153</v>
      </c>
    </row>
    <row r="31641" spans="8:8">
      <c r="H31641" s="680" t="s">
        <v>6153</v>
      </c>
    </row>
    <row r="31642" spans="8:8">
      <c r="H31642" s="680" t="s">
        <v>6153</v>
      </c>
    </row>
    <row r="31643" spans="8:8">
      <c r="H31643" s="680" t="s">
        <v>6153</v>
      </c>
    </row>
    <row r="31644" spans="8:8">
      <c r="H31644" s="680" t="s">
        <v>6153</v>
      </c>
    </row>
    <row r="31645" spans="8:8">
      <c r="H31645" s="680" t="s">
        <v>6153</v>
      </c>
    </row>
    <row r="31646" spans="8:8">
      <c r="H31646" s="680" t="s">
        <v>6153</v>
      </c>
    </row>
    <row r="31647" spans="8:8">
      <c r="H31647" s="680" t="s">
        <v>6153</v>
      </c>
    </row>
    <row r="31648" spans="8:8">
      <c r="H31648" s="680" t="s">
        <v>6153</v>
      </c>
    </row>
    <row r="31649" spans="8:8">
      <c r="H31649" s="680" t="s">
        <v>6153</v>
      </c>
    </row>
    <row r="31650" spans="8:8">
      <c r="H31650" s="680" t="s">
        <v>6153</v>
      </c>
    </row>
    <row r="31651" spans="8:8">
      <c r="H31651" s="680" t="s">
        <v>6153</v>
      </c>
    </row>
    <row r="31652" spans="8:8">
      <c r="H31652" s="680" t="s">
        <v>6153</v>
      </c>
    </row>
    <row r="31653" spans="8:8">
      <c r="H31653" s="680" t="s">
        <v>6153</v>
      </c>
    </row>
    <row r="31654" spans="8:8">
      <c r="H31654" s="680" t="s">
        <v>6153</v>
      </c>
    </row>
    <row r="31655" spans="8:8">
      <c r="H31655" s="680" t="s">
        <v>6153</v>
      </c>
    </row>
    <row r="31656" spans="8:8">
      <c r="H31656" s="680" t="s">
        <v>6153</v>
      </c>
    </row>
    <row r="31657" spans="8:8">
      <c r="H31657" s="680" t="s">
        <v>6153</v>
      </c>
    </row>
    <row r="31658" spans="8:8">
      <c r="H31658" s="680" t="s">
        <v>6153</v>
      </c>
    </row>
    <row r="31659" spans="8:8">
      <c r="H31659" s="680" t="s">
        <v>6153</v>
      </c>
    </row>
    <row r="31660" spans="8:8">
      <c r="H31660" s="680" t="s">
        <v>6153</v>
      </c>
    </row>
    <row r="31661" spans="8:8">
      <c r="H31661" s="680" t="s">
        <v>6153</v>
      </c>
    </row>
    <row r="31662" spans="8:8">
      <c r="H31662" s="680" t="s">
        <v>6153</v>
      </c>
    </row>
    <row r="31663" spans="8:8">
      <c r="H31663" s="680" t="s">
        <v>6153</v>
      </c>
    </row>
    <row r="31664" spans="8:8">
      <c r="H31664" s="680" t="s">
        <v>6153</v>
      </c>
    </row>
    <row r="31665" spans="8:8">
      <c r="H31665" s="680" t="s">
        <v>6153</v>
      </c>
    </row>
    <row r="31666" spans="8:8">
      <c r="H31666" s="680" t="s">
        <v>6153</v>
      </c>
    </row>
    <row r="31667" spans="8:8">
      <c r="H31667" s="680" t="s">
        <v>6153</v>
      </c>
    </row>
    <row r="31668" spans="8:8">
      <c r="H31668" s="680" t="s">
        <v>6153</v>
      </c>
    </row>
    <row r="31669" spans="8:8">
      <c r="H31669" s="680" t="s">
        <v>6153</v>
      </c>
    </row>
    <row r="31670" spans="8:8">
      <c r="H31670" s="680" t="s">
        <v>6153</v>
      </c>
    </row>
    <row r="31671" spans="8:8">
      <c r="H31671" s="680" t="s">
        <v>6153</v>
      </c>
    </row>
    <row r="31672" spans="8:8">
      <c r="H31672" s="680" t="s">
        <v>6153</v>
      </c>
    </row>
    <row r="31673" spans="8:8">
      <c r="H31673" s="680" t="s">
        <v>6153</v>
      </c>
    </row>
    <row r="31674" spans="8:8">
      <c r="H31674" s="680" t="s">
        <v>6153</v>
      </c>
    </row>
    <row r="31675" spans="8:8">
      <c r="H31675" s="680" t="s">
        <v>6153</v>
      </c>
    </row>
    <row r="31676" spans="8:8">
      <c r="H31676" s="680" t="s">
        <v>6153</v>
      </c>
    </row>
    <row r="31677" spans="8:8">
      <c r="H31677" s="680" t="s">
        <v>6153</v>
      </c>
    </row>
    <row r="31678" spans="8:8">
      <c r="H31678" s="680" t="s">
        <v>6153</v>
      </c>
    </row>
    <row r="31679" spans="8:8">
      <c r="H31679" s="680" t="s">
        <v>6153</v>
      </c>
    </row>
    <row r="31680" spans="8:8">
      <c r="H31680" s="680" t="s">
        <v>6153</v>
      </c>
    </row>
    <row r="31681" spans="8:8">
      <c r="H31681" s="680" t="s">
        <v>6153</v>
      </c>
    </row>
    <row r="31682" spans="8:8">
      <c r="H31682" s="680" t="s">
        <v>6153</v>
      </c>
    </row>
    <row r="31683" spans="8:8">
      <c r="H31683" s="680" t="s">
        <v>6153</v>
      </c>
    </row>
    <row r="31684" spans="8:8">
      <c r="H31684" s="680" t="s">
        <v>6153</v>
      </c>
    </row>
    <row r="31685" spans="8:8">
      <c r="H31685" s="680" t="s">
        <v>6153</v>
      </c>
    </row>
    <row r="31686" spans="8:8">
      <c r="H31686" s="680" t="s">
        <v>6153</v>
      </c>
    </row>
    <row r="31687" spans="8:8">
      <c r="H31687" s="680" t="s">
        <v>6153</v>
      </c>
    </row>
    <row r="31688" spans="8:8">
      <c r="H31688" s="680" t="s">
        <v>6153</v>
      </c>
    </row>
    <row r="31689" spans="8:8">
      <c r="H31689" s="680" t="s">
        <v>6153</v>
      </c>
    </row>
    <row r="31690" spans="8:8">
      <c r="H31690" s="680" t="s">
        <v>6153</v>
      </c>
    </row>
    <row r="31691" spans="8:8">
      <c r="H31691" s="680" t="s">
        <v>6153</v>
      </c>
    </row>
    <row r="31692" spans="8:8">
      <c r="H31692" s="680" t="s">
        <v>6153</v>
      </c>
    </row>
    <row r="31693" spans="8:8">
      <c r="H31693" s="680" t="s">
        <v>6153</v>
      </c>
    </row>
    <row r="31694" spans="8:8">
      <c r="H31694" s="680" t="s">
        <v>6153</v>
      </c>
    </row>
    <row r="31695" spans="8:8">
      <c r="H31695" s="680" t="s">
        <v>6153</v>
      </c>
    </row>
    <row r="31696" spans="8:8">
      <c r="H31696" s="680" t="s">
        <v>6153</v>
      </c>
    </row>
    <row r="31697" spans="8:8">
      <c r="H31697" s="680" t="s">
        <v>6153</v>
      </c>
    </row>
    <row r="31698" spans="8:8">
      <c r="H31698" s="680" t="s">
        <v>6153</v>
      </c>
    </row>
    <row r="31699" spans="8:8">
      <c r="H31699" s="680" t="s">
        <v>6153</v>
      </c>
    </row>
    <row r="31700" spans="8:8">
      <c r="H31700" s="680" t="s">
        <v>6153</v>
      </c>
    </row>
    <row r="31701" spans="8:8">
      <c r="H31701" s="680" t="s">
        <v>6153</v>
      </c>
    </row>
    <row r="31702" spans="8:8">
      <c r="H31702" s="680" t="s">
        <v>6153</v>
      </c>
    </row>
    <row r="31703" spans="8:8">
      <c r="H31703" s="680" t="s">
        <v>6153</v>
      </c>
    </row>
    <row r="31704" spans="8:8">
      <c r="H31704" s="680" t="s">
        <v>6153</v>
      </c>
    </row>
    <row r="31705" spans="8:8">
      <c r="H31705" s="680" t="s">
        <v>6153</v>
      </c>
    </row>
    <row r="31706" spans="8:8">
      <c r="H31706" s="680" t="s">
        <v>6153</v>
      </c>
    </row>
    <row r="31707" spans="8:8">
      <c r="H31707" s="680" t="s">
        <v>6153</v>
      </c>
    </row>
    <row r="31708" spans="8:8">
      <c r="H31708" s="680" t="s">
        <v>6153</v>
      </c>
    </row>
    <row r="31709" spans="8:8">
      <c r="H31709" s="680" t="s">
        <v>6153</v>
      </c>
    </row>
    <row r="31710" spans="8:8">
      <c r="H31710" s="680" t="s">
        <v>6153</v>
      </c>
    </row>
    <row r="31711" spans="8:8">
      <c r="H31711" s="680" t="s">
        <v>6153</v>
      </c>
    </row>
    <row r="31712" spans="8:8">
      <c r="H31712" s="680" t="s">
        <v>6153</v>
      </c>
    </row>
    <row r="31713" spans="8:8">
      <c r="H31713" s="680" t="s">
        <v>6153</v>
      </c>
    </row>
    <row r="31714" spans="8:8">
      <c r="H31714" s="680" t="s">
        <v>6153</v>
      </c>
    </row>
    <row r="31715" spans="8:8">
      <c r="H31715" s="680" t="s">
        <v>6153</v>
      </c>
    </row>
    <row r="31716" spans="8:8">
      <c r="H31716" s="680" t="s">
        <v>6153</v>
      </c>
    </row>
    <row r="31717" spans="8:8">
      <c r="H31717" s="680" t="s">
        <v>6153</v>
      </c>
    </row>
    <row r="31718" spans="8:8">
      <c r="H31718" s="680" t="s">
        <v>6153</v>
      </c>
    </row>
    <row r="31719" spans="8:8">
      <c r="H31719" s="680" t="s">
        <v>6153</v>
      </c>
    </row>
    <row r="31720" spans="8:8">
      <c r="H31720" s="680" t="s">
        <v>6153</v>
      </c>
    </row>
    <row r="31721" spans="8:8">
      <c r="H31721" s="680" t="s">
        <v>6153</v>
      </c>
    </row>
    <row r="31722" spans="8:8">
      <c r="H31722" s="680" t="s">
        <v>6153</v>
      </c>
    </row>
    <row r="31723" spans="8:8">
      <c r="H31723" s="680" t="s">
        <v>6153</v>
      </c>
    </row>
    <row r="31724" spans="8:8">
      <c r="H31724" s="680" t="s">
        <v>6153</v>
      </c>
    </row>
    <row r="31725" spans="8:8">
      <c r="H31725" s="680" t="s">
        <v>6153</v>
      </c>
    </row>
    <row r="31726" spans="8:8">
      <c r="H31726" s="680" t="s">
        <v>6153</v>
      </c>
    </row>
    <row r="31727" spans="8:8">
      <c r="H31727" s="680" t="s">
        <v>6153</v>
      </c>
    </row>
    <row r="31728" spans="8:8">
      <c r="H31728" s="680" t="s">
        <v>6153</v>
      </c>
    </row>
    <row r="31729" spans="8:8">
      <c r="H31729" s="680" t="s">
        <v>6153</v>
      </c>
    </row>
    <row r="31730" spans="8:8">
      <c r="H31730" s="680" t="s">
        <v>6153</v>
      </c>
    </row>
    <row r="31731" spans="8:8">
      <c r="H31731" s="680" t="s">
        <v>6153</v>
      </c>
    </row>
    <row r="31732" spans="8:8">
      <c r="H31732" s="680" t="s">
        <v>6153</v>
      </c>
    </row>
    <row r="31733" spans="8:8">
      <c r="H31733" s="680" t="s">
        <v>6153</v>
      </c>
    </row>
    <row r="31734" spans="8:8">
      <c r="H31734" s="680" t="s">
        <v>6153</v>
      </c>
    </row>
    <row r="31735" spans="8:8">
      <c r="H31735" s="680" t="s">
        <v>6153</v>
      </c>
    </row>
    <row r="31736" spans="8:8">
      <c r="H31736" s="680" t="s">
        <v>6153</v>
      </c>
    </row>
    <row r="31737" spans="8:8">
      <c r="H31737" s="680" t="s">
        <v>6153</v>
      </c>
    </row>
    <row r="31738" spans="8:8">
      <c r="H31738" s="680" t="s">
        <v>6153</v>
      </c>
    </row>
    <row r="31739" spans="8:8">
      <c r="H31739" s="680" t="s">
        <v>6153</v>
      </c>
    </row>
    <row r="31740" spans="8:8">
      <c r="H31740" s="680" t="s">
        <v>6153</v>
      </c>
    </row>
    <row r="31741" spans="8:8">
      <c r="H31741" s="680" t="s">
        <v>6153</v>
      </c>
    </row>
    <row r="31742" spans="8:8">
      <c r="H31742" s="680" t="s">
        <v>6153</v>
      </c>
    </row>
    <row r="31743" spans="8:8">
      <c r="H31743" s="680" t="s">
        <v>6153</v>
      </c>
    </row>
    <row r="31744" spans="8:8">
      <c r="H31744" s="680" t="s">
        <v>6153</v>
      </c>
    </row>
    <row r="31745" spans="8:8">
      <c r="H31745" s="680" t="s">
        <v>6153</v>
      </c>
    </row>
    <row r="31746" spans="8:8">
      <c r="H31746" s="680" t="s">
        <v>6153</v>
      </c>
    </row>
    <row r="31747" spans="8:8">
      <c r="H31747" s="680" t="s">
        <v>6153</v>
      </c>
    </row>
    <row r="31748" spans="8:8">
      <c r="H31748" s="680" t="s">
        <v>6153</v>
      </c>
    </row>
    <row r="31749" spans="8:8">
      <c r="H31749" s="680" t="s">
        <v>6153</v>
      </c>
    </row>
    <row r="31750" spans="8:8">
      <c r="H31750" s="680" t="s">
        <v>6153</v>
      </c>
    </row>
    <row r="31751" spans="8:8">
      <c r="H31751" s="680" t="s">
        <v>6153</v>
      </c>
    </row>
    <row r="31752" spans="8:8">
      <c r="H31752" s="680" t="s">
        <v>6153</v>
      </c>
    </row>
    <row r="31753" spans="8:8">
      <c r="H31753" s="680" t="s">
        <v>6153</v>
      </c>
    </row>
    <row r="31754" spans="8:8">
      <c r="H31754" s="680" t="s">
        <v>6153</v>
      </c>
    </row>
    <row r="31755" spans="8:8">
      <c r="H31755" s="680" t="s">
        <v>6153</v>
      </c>
    </row>
    <row r="31756" spans="8:8">
      <c r="H31756" s="680" t="s">
        <v>6153</v>
      </c>
    </row>
    <row r="31757" spans="8:8">
      <c r="H31757" s="680" t="s">
        <v>6153</v>
      </c>
    </row>
    <row r="31758" spans="8:8">
      <c r="H31758" s="680" t="s">
        <v>6153</v>
      </c>
    </row>
    <row r="31759" spans="8:8">
      <c r="H31759" s="680" t="s">
        <v>6153</v>
      </c>
    </row>
    <row r="31760" spans="8:8">
      <c r="H31760" s="680" t="s">
        <v>6153</v>
      </c>
    </row>
    <row r="31761" spans="8:8">
      <c r="H31761" s="680" t="s">
        <v>6153</v>
      </c>
    </row>
    <row r="31762" spans="8:8">
      <c r="H31762" s="680" t="s">
        <v>6153</v>
      </c>
    </row>
    <row r="31763" spans="8:8">
      <c r="H31763" s="680" t="s">
        <v>6153</v>
      </c>
    </row>
    <row r="31764" spans="8:8">
      <c r="H31764" s="680" t="s">
        <v>6153</v>
      </c>
    </row>
    <row r="31765" spans="8:8">
      <c r="H31765" s="680" t="s">
        <v>6153</v>
      </c>
    </row>
    <row r="31766" spans="8:8">
      <c r="H31766" s="680" t="s">
        <v>6153</v>
      </c>
    </row>
    <row r="31767" spans="8:8">
      <c r="H31767" s="680" t="s">
        <v>6153</v>
      </c>
    </row>
    <row r="31768" spans="8:8">
      <c r="H31768" s="680" t="s">
        <v>6153</v>
      </c>
    </row>
    <row r="31769" spans="8:8">
      <c r="H31769" s="680" t="s">
        <v>6153</v>
      </c>
    </row>
    <row r="31770" spans="8:8">
      <c r="H31770" s="680" t="s">
        <v>6153</v>
      </c>
    </row>
    <row r="31771" spans="8:8">
      <c r="H31771" s="680" t="s">
        <v>6153</v>
      </c>
    </row>
    <row r="31772" spans="8:8">
      <c r="H31772" s="680" t="s">
        <v>6153</v>
      </c>
    </row>
    <row r="31773" spans="8:8">
      <c r="H31773" s="680" t="s">
        <v>6153</v>
      </c>
    </row>
    <row r="31774" spans="8:8">
      <c r="H31774" s="680" t="s">
        <v>6153</v>
      </c>
    </row>
    <row r="31775" spans="8:8">
      <c r="H31775" s="680" t="s">
        <v>6153</v>
      </c>
    </row>
    <row r="31776" spans="8:8">
      <c r="H31776" s="680" t="s">
        <v>6153</v>
      </c>
    </row>
    <row r="31777" spans="8:8">
      <c r="H31777" s="680" t="s">
        <v>6153</v>
      </c>
    </row>
    <row r="31778" spans="8:8">
      <c r="H31778" s="680" t="s">
        <v>6153</v>
      </c>
    </row>
    <row r="31779" spans="8:8">
      <c r="H31779" s="680" t="s">
        <v>6153</v>
      </c>
    </row>
    <row r="31780" spans="8:8">
      <c r="H31780" s="680" t="s">
        <v>6153</v>
      </c>
    </row>
    <row r="31781" spans="8:8">
      <c r="H31781" s="680" t="s">
        <v>6153</v>
      </c>
    </row>
    <row r="31782" spans="8:8">
      <c r="H31782" s="680" t="s">
        <v>6153</v>
      </c>
    </row>
    <row r="31783" spans="8:8">
      <c r="H31783" s="680" t="s">
        <v>6153</v>
      </c>
    </row>
    <row r="31784" spans="8:8">
      <c r="H31784" s="680" t="s">
        <v>6153</v>
      </c>
    </row>
    <row r="31785" spans="8:8">
      <c r="H31785" s="680" t="s">
        <v>6153</v>
      </c>
    </row>
    <row r="31786" spans="8:8">
      <c r="H31786" s="680" t="s">
        <v>6153</v>
      </c>
    </row>
    <row r="31787" spans="8:8">
      <c r="H31787" s="680" t="s">
        <v>6153</v>
      </c>
    </row>
    <row r="31788" spans="8:8">
      <c r="H31788" s="680" t="s">
        <v>6153</v>
      </c>
    </row>
    <row r="31789" spans="8:8">
      <c r="H31789" s="680" t="s">
        <v>6153</v>
      </c>
    </row>
    <row r="31790" spans="8:8">
      <c r="H31790" s="680" t="s">
        <v>6153</v>
      </c>
    </row>
    <row r="31791" spans="8:8">
      <c r="H31791" s="680" t="s">
        <v>6153</v>
      </c>
    </row>
    <row r="31792" spans="8:8">
      <c r="H31792" s="680" t="s">
        <v>6153</v>
      </c>
    </row>
    <row r="31793" spans="8:8">
      <c r="H31793" s="680" t="s">
        <v>6153</v>
      </c>
    </row>
    <row r="31794" spans="8:8">
      <c r="H31794" s="680" t="s">
        <v>6153</v>
      </c>
    </row>
    <row r="31795" spans="8:8">
      <c r="H31795" s="680" t="s">
        <v>6153</v>
      </c>
    </row>
    <row r="31796" spans="8:8">
      <c r="H31796" s="680" t="s">
        <v>6153</v>
      </c>
    </row>
    <row r="31797" spans="8:8">
      <c r="H31797" s="680" t="s">
        <v>6153</v>
      </c>
    </row>
    <row r="31798" spans="8:8">
      <c r="H31798" s="680" t="s">
        <v>6153</v>
      </c>
    </row>
    <row r="31799" spans="8:8">
      <c r="H31799" s="680" t="s">
        <v>6153</v>
      </c>
    </row>
    <row r="31800" spans="8:8">
      <c r="H31800" s="680" t="s">
        <v>6153</v>
      </c>
    </row>
    <row r="31801" spans="8:8">
      <c r="H31801" s="680" t="s">
        <v>6153</v>
      </c>
    </row>
    <row r="31802" spans="8:8">
      <c r="H31802" s="680" t="s">
        <v>6153</v>
      </c>
    </row>
    <row r="31803" spans="8:8">
      <c r="H31803" s="680" t="s">
        <v>6153</v>
      </c>
    </row>
    <row r="31804" spans="8:8">
      <c r="H31804" s="680" t="s">
        <v>6153</v>
      </c>
    </row>
    <row r="31805" spans="8:8">
      <c r="H31805" s="680" t="s">
        <v>6153</v>
      </c>
    </row>
    <row r="31806" spans="8:8">
      <c r="H31806" s="680" t="s">
        <v>6153</v>
      </c>
    </row>
    <row r="31807" spans="8:8">
      <c r="H31807" s="680" t="s">
        <v>6153</v>
      </c>
    </row>
    <row r="31808" spans="8:8">
      <c r="H31808" s="680" t="s">
        <v>6153</v>
      </c>
    </row>
    <row r="31809" spans="8:8">
      <c r="H31809" s="680" t="s">
        <v>6153</v>
      </c>
    </row>
    <row r="31810" spans="8:8">
      <c r="H31810" s="680" t="s">
        <v>6153</v>
      </c>
    </row>
    <row r="31811" spans="8:8">
      <c r="H31811" s="680" t="s">
        <v>6153</v>
      </c>
    </row>
    <row r="31812" spans="8:8">
      <c r="H31812" s="680" t="s">
        <v>6153</v>
      </c>
    </row>
    <row r="31813" spans="8:8">
      <c r="H31813" s="680" t="s">
        <v>6153</v>
      </c>
    </row>
    <row r="31814" spans="8:8">
      <c r="H31814" s="680" t="s">
        <v>6153</v>
      </c>
    </row>
    <row r="31815" spans="8:8">
      <c r="H31815" s="680" t="s">
        <v>6153</v>
      </c>
    </row>
    <row r="31816" spans="8:8">
      <c r="H31816" s="680" t="s">
        <v>6153</v>
      </c>
    </row>
    <row r="31817" spans="8:8">
      <c r="H31817" s="680" t="s">
        <v>6153</v>
      </c>
    </row>
    <row r="31818" spans="8:8">
      <c r="H31818" s="680" t="s">
        <v>6153</v>
      </c>
    </row>
    <row r="31819" spans="8:8">
      <c r="H31819" s="680" t="s">
        <v>6153</v>
      </c>
    </row>
    <row r="31820" spans="8:8">
      <c r="H31820" s="680" t="s">
        <v>6153</v>
      </c>
    </row>
    <row r="31821" spans="8:8">
      <c r="H31821" s="680" t="s">
        <v>6153</v>
      </c>
    </row>
    <row r="31822" spans="8:8">
      <c r="H31822" s="680" t="s">
        <v>6153</v>
      </c>
    </row>
    <row r="31823" spans="8:8">
      <c r="H31823" s="680" t="s">
        <v>6153</v>
      </c>
    </row>
    <row r="31824" spans="8:8">
      <c r="H31824" s="680" t="s">
        <v>6153</v>
      </c>
    </row>
    <row r="31825" spans="8:8">
      <c r="H31825" s="680" t="s">
        <v>6153</v>
      </c>
    </row>
    <row r="31826" spans="8:8">
      <c r="H31826" s="680" t="s">
        <v>6153</v>
      </c>
    </row>
    <row r="31827" spans="8:8">
      <c r="H31827" s="680" t="s">
        <v>6153</v>
      </c>
    </row>
    <row r="31828" spans="8:8">
      <c r="H31828" s="680" t="s">
        <v>6153</v>
      </c>
    </row>
    <row r="31829" spans="8:8">
      <c r="H31829" s="680" t="s">
        <v>6153</v>
      </c>
    </row>
    <row r="31830" spans="8:8">
      <c r="H31830" s="680" t="s">
        <v>6153</v>
      </c>
    </row>
    <row r="31831" spans="8:8">
      <c r="H31831" s="680" t="s">
        <v>6153</v>
      </c>
    </row>
    <row r="31832" spans="8:8">
      <c r="H31832" s="680" t="s">
        <v>6153</v>
      </c>
    </row>
    <row r="31833" spans="8:8">
      <c r="H31833" s="680" t="s">
        <v>6153</v>
      </c>
    </row>
    <row r="31834" spans="8:8">
      <c r="H31834" s="680" t="s">
        <v>6153</v>
      </c>
    </row>
    <row r="31835" spans="8:8">
      <c r="H31835" s="680" t="s">
        <v>6153</v>
      </c>
    </row>
    <row r="31836" spans="8:8">
      <c r="H31836" s="680" t="s">
        <v>6153</v>
      </c>
    </row>
    <row r="31837" spans="8:8">
      <c r="H31837" s="680" t="s">
        <v>6153</v>
      </c>
    </row>
    <row r="31838" spans="8:8">
      <c r="H31838" s="680" t="s">
        <v>6153</v>
      </c>
    </row>
    <row r="31839" spans="8:8">
      <c r="H31839" s="680" t="s">
        <v>6153</v>
      </c>
    </row>
    <row r="31840" spans="8:8">
      <c r="H31840" s="680" t="s">
        <v>6153</v>
      </c>
    </row>
    <row r="31841" spans="8:8">
      <c r="H31841" s="680" t="s">
        <v>6153</v>
      </c>
    </row>
    <row r="31842" spans="8:8">
      <c r="H31842" s="680" t="s">
        <v>6153</v>
      </c>
    </row>
    <row r="31843" spans="8:8">
      <c r="H31843" s="680" t="s">
        <v>6153</v>
      </c>
    </row>
    <row r="31844" spans="8:8">
      <c r="H31844" s="680" t="s">
        <v>6153</v>
      </c>
    </row>
    <row r="31845" spans="8:8">
      <c r="H31845" s="680" t="s">
        <v>6153</v>
      </c>
    </row>
    <row r="31846" spans="8:8">
      <c r="H31846" s="680" t="s">
        <v>6153</v>
      </c>
    </row>
    <row r="31847" spans="8:8">
      <c r="H31847" s="680" t="s">
        <v>6153</v>
      </c>
    </row>
    <row r="31848" spans="8:8">
      <c r="H31848" s="680" t="s">
        <v>6153</v>
      </c>
    </row>
    <row r="31849" spans="8:8">
      <c r="H31849" s="680" t="s">
        <v>6153</v>
      </c>
    </row>
    <row r="31850" spans="8:8">
      <c r="H31850" s="680" t="s">
        <v>6153</v>
      </c>
    </row>
    <row r="31851" spans="8:8">
      <c r="H31851" s="680" t="s">
        <v>6153</v>
      </c>
    </row>
    <row r="31852" spans="8:8">
      <c r="H31852" s="680" t="s">
        <v>6153</v>
      </c>
    </row>
    <row r="31853" spans="8:8">
      <c r="H31853" s="680" t="s">
        <v>6153</v>
      </c>
    </row>
    <row r="31854" spans="8:8">
      <c r="H31854" s="680" t="s">
        <v>6153</v>
      </c>
    </row>
    <row r="31855" spans="8:8">
      <c r="H31855" s="680" t="s">
        <v>6153</v>
      </c>
    </row>
    <row r="31856" spans="8:8">
      <c r="H31856" s="680" t="s">
        <v>6153</v>
      </c>
    </row>
    <row r="31857" spans="8:8">
      <c r="H31857" s="680" t="s">
        <v>6153</v>
      </c>
    </row>
    <row r="31858" spans="8:8">
      <c r="H31858" s="680" t="s">
        <v>6153</v>
      </c>
    </row>
    <row r="31859" spans="8:8">
      <c r="H31859" s="680" t="s">
        <v>6153</v>
      </c>
    </row>
    <row r="31860" spans="8:8">
      <c r="H31860" s="680" t="s">
        <v>6153</v>
      </c>
    </row>
    <row r="31861" spans="8:8">
      <c r="H31861" s="680" t="s">
        <v>6153</v>
      </c>
    </row>
    <row r="31862" spans="8:8">
      <c r="H31862" s="680" t="s">
        <v>6153</v>
      </c>
    </row>
    <row r="31863" spans="8:8">
      <c r="H31863" s="680" t="s">
        <v>6153</v>
      </c>
    </row>
    <row r="31864" spans="8:8">
      <c r="H31864" s="680" t="s">
        <v>6153</v>
      </c>
    </row>
    <row r="31865" spans="8:8">
      <c r="H31865" s="680" t="s">
        <v>6153</v>
      </c>
    </row>
    <row r="31866" spans="8:8">
      <c r="H31866" s="680" t="s">
        <v>6153</v>
      </c>
    </row>
    <row r="31867" spans="8:8">
      <c r="H31867" s="680" t="s">
        <v>6153</v>
      </c>
    </row>
    <row r="31868" spans="8:8">
      <c r="H31868" s="680" t="s">
        <v>6153</v>
      </c>
    </row>
    <row r="31869" spans="8:8">
      <c r="H31869" s="680" t="s">
        <v>6153</v>
      </c>
    </row>
    <row r="31870" spans="8:8">
      <c r="H31870" s="680" t="s">
        <v>6153</v>
      </c>
    </row>
    <row r="31871" spans="8:8">
      <c r="H31871" s="680" t="s">
        <v>6153</v>
      </c>
    </row>
    <row r="31872" spans="8:8">
      <c r="H31872" s="680" t="s">
        <v>6153</v>
      </c>
    </row>
    <row r="31873" spans="8:8">
      <c r="H31873" s="680" t="s">
        <v>6153</v>
      </c>
    </row>
    <row r="31874" spans="8:8">
      <c r="H31874" s="680" t="s">
        <v>6153</v>
      </c>
    </row>
    <row r="31875" spans="8:8">
      <c r="H31875" s="680" t="s">
        <v>6153</v>
      </c>
    </row>
    <row r="31876" spans="8:8">
      <c r="H31876" s="680" t="s">
        <v>6153</v>
      </c>
    </row>
    <row r="31877" spans="8:8">
      <c r="H31877" s="680" t="s">
        <v>6153</v>
      </c>
    </row>
    <row r="31878" spans="8:8">
      <c r="H31878" s="680" t="s">
        <v>6153</v>
      </c>
    </row>
    <row r="31879" spans="8:8">
      <c r="H31879" s="680" t="s">
        <v>6153</v>
      </c>
    </row>
    <row r="31880" spans="8:8">
      <c r="H31880" s="680" t="s">
        <v>6153</v>
      </c>
    </row>
    <row r="31881" spans="8:8">
      <c r="H31881" s="680" t="s">
        <v>6153</v>
      </c>
    </row>
    <row r="31882" spans="8:8">
      <c r="H31882" s="680" t="s">
        <v>6153</v>
      </c>
    </row>
    <row r="31883" spans="8:8">
      <c r="H31883" s="680" t="s">
        <v>6153</v>
      </c>
    </row>
    <row r="31884" spans="8:8">
      <c r="H31884" s="680" t="s">
        <v>6153</v>
      </c>
    </row>
    <row r="31885" spans="8:8">
      <c r="H31885" s="680" t="s">
        <v>6153</v>
      </c>
    </row>
    <row r="31886" spans="8:8">
      <c r="H31886" s="680" t="s">
        <v>6153</v>
      </c>
    </row>
    <row r="31887" spans="8:8">
      <c r="H31887" s="680" t="s">
        <v>6153</v>
      </c>
    </row>
    <row r="31888" spans="8:8">
      <c r="H31888" s="680" t="s">
        <v>6153</v>
      </c>
    </row>
    <row r="31889" spans="8:8">
      <c r="H31889" s="680" t="s">
        <v>6153</v>
      </c>
    </row>
    <row r="31890" spans="8:8">
      <c r="H31890" s="680" t="s">
        <v>6153</v>
      </c>
    </row>
    <row r="31891" spans="8:8">
      <c r="H31891" s="680" t="s">
        <v>6153</v>
      </c>
    </row>
    <row r="31892" spans="8:8">
      <c r="H31892" s="680" t="s">
        <v>6153</v>
      </c>
    </row>
    <row r="31893" spans="8:8">
      <c r="H31893" s="680" t="s">
        <v>6153</v>
      </c>
    </row>
    <row r="31894" spans="8:8">
      <c r="H31894" s="680" t="s">
        <v>6153</v>
      </c>
    </row>
    <row r="31895" spans="8:8">
      <c r="H31895" s="680" t="s">
        <v>6153</v>
      </c>
    </row>
    <row r="31896" spans="8:8">
      <c r="H31896" s="680" t="s">
        <v>6153</v>
      </c>
    </row>
    <row r="31897" spans="8:8">
      <c r="H31897" s="680" t="s">
        <v>6153</v>
      </c>
    </row>
    <row r="31898" spans="8:8">
      <c r="H31898" s="680" t="s">
        <v>6153</v>
      </c>
    </row>
    <row r="31899" spans="8:8">
      <c r="H31899" s="680" t="s">
        <v>6153</v>
      </c>
    </row>
    <row r="31900" spans="8:8">
      <c r="H31900" s="680" t="s">
        <v>6153</v>
      </c>
    </row>
    <row r="31901" spans="8:8">
      <c r="H31901" s="680" t="s">
        <v>6153</v>
      </c>
    </row>
    <row r="31902" spans="8:8">
      <c r="H31902" s="680" t="s">
        <v>6153</v>
      </c>
    </row>
    <row r="31903" spans="8:8">
      <c r="H31903" s="680" t="s">
        <v>6153</v>
      </c>
    </row>
    <row r="31904" spans="8:8">
      <c r="H31904" s="680" t="s">
        <v>6153</v>
      </c>
    </row>
    <row r="31905" spans="8:8">
      <c r="H31905" s="680" t="s">
        <v>6153</v>
      </c>
    </row>
    <row r="31906" spans="8:8">
      <c r="H31906" s="680" t="s">
        <v>6153</v>
      </c>
    </row>
    <row r="31907" spans="8:8">
      <c r="H31907" s="680" t="s">
        <v>6153</v>
      </c>
    </row>
    <row r="31908" spans="8:8">
      <c r="H31908" s="680" t="s">
        <v>6153</v>
      </c>
    </row>
    <row r="31909" spans="8:8">
      <c r="H31909" s="680" t="s">
        <v>6153</v>
      </c>
    </row>
    <row r="31910" spans="8:8">
      <c r="H31910" s="680" t="s">
        <v>6153</v>
      </c>
    </row>
    <row r="31911" spans="8:8">
      <c r="H31911" s="680" t="s">
        <v>6153</v>
      </c>
    </row>
    <row r="31912" spans="8:8">
      <c r="H31912" s="680" t="s">
        <v>6153</v>
      </c>
    </row>
    <row r="31913" spans="8:8">
      <c r="H31913" s="680" t="s">
        <v>6153</v>
      </c>
    </row>
    <row r="31914" spans="8:8">
      <c r="H31914" s="680" t="s">
        <v>6153</v>
      </c>
    </row>
    <row r="31915" spans="8:8">
      <c r="H31915" s="680" t="s">
        <v>6153</v>
      </c>
    </row>
    <row r="31916" spans="8:8">
      <c r="H31916" s="680" t="s">
        <v>6153</v>
      </c>
    </row>
    <row r="31917" spans="8:8">
      <c r="H31917" s="680" t="s">
        <v>6153</v>
      </c>
    </row>
    <row r="31918" spans="8:8">
      <c r="H31918" s="680" t="s">
        <v>6153</v>
      </c>
    </row>
    <row r="31919" spans="8:8">
      <c r="H31919" s="680" t="s">
        <v>6153</v>
      </c>
    </row>
    <row r="31920" spans="8:8">
      <c r="H31920" s="680" t="s">
        <v>6153</v>
      </c>
    </row>
    <row r="31921" spans="8:8">
      <c r="H31921" s="680" t="s">
        <v>6153</v>
      </c>
    </row>
    <row r="31922" spans="8:8">
      <c r="H31922" s="680" t="s">
        <v>6153</v>
      </c>
    </row>
    <row r="31923" spans="8:8">
      <c r="H31923" s="680" t="s">
        <v>6153</v>
      </c>
    </row>
    <row r="31924" spans="8:8">
      <c r="H31924" s="680" t="s">
        <v>6153</v>
      </c>
    </row>
    <row r="31925" spans="8:8">
      <c r="H31925" s="680" t="s">
        <v>6153</v>
      </c>
    </row>
    <row r="31926" spans="8:8">
      <c r="H31926" s="680" t="s">
        <v>6153</v>
      </c>
    </row>
    <row r="31927" spans="8:8">
      <c r="H31927" s="680" t="s">
        <v>6153</v>
      </c>
    </row>
    <row r="31928" spans="8:8">
      <c r="H31928" s="680" t="s">
        <v>6153</v>
      </c>
    </row>
    <row r="31929" spans="8:8">
      <c r="H31929" s="680" t="s">
        <v>6153</v>
      </c>
    </row>
    <row r="31930" spans="8:8">
      <c r="H31930" s="680" t="s">
        <v>6153</v>
      </c>
    </row>
    <row r="31931" spans="8:8">
      <c r="H31931" s="680" t="s">
        <v>6153</v>
      </c>
    </row>
    <row r="31932" spans="8:8">
      <c r="H31932" s="680" t="s">
        <v>6153</v>
      </c>
    </row>
    <row r="31933" spans="8:8">
      <c r="H31933" s="680" t="s">
        <v>6153</v>
      </c>
    </row>
    <row r="31934" spans="8:8">
      <c r="H31934" s="680" t="s">
        <v>6153</v>
      </c>
    </row>
    <row r="31935" spans="8:8">
      <c r="H31935" s="680" t="s">
        <v>6153</v>
      </c>
    </row>
    <row r="31936" spans="8:8">
      <c r="H31936" s="680" t="s">
        <v>6153</v>
      </c>
    </row>
    <row r="31937" spans="8:8">
      <c r="H31937" s="680" t="s">
        <v>6153</v>
      </c>
    </row>
    <row r="31938" spans="8:8">
      <c r="H31938" s="680" t="s">
        <v>6153</v>
      </c>
    </row>
    <row r="31939" spans="8:8">
      <c r="H31939" s="680" t="s">
        <v>6153</v>
      </c>
    </row>
    <row r="31940" spans="8:8">
      <c r="H31940" s="680" t="s">
        <v>6153</v>
      </c>
    </row>
    <row r="31941" spans="8:8">
      <c r="H31941" s="680" t="s">
        <v>6153</v>
      </c>
    </row>
    <row r="31942" spans="8:8">
      <c r="H31942" s="680" t="s">
        <v>6153</v>
      </c>
    </row>
    <row r="31943" spans="8:8">
      <c r="H31943" s="680" t="s">
        <v>6153</v>
      </c>
    </row>
    <row r="31944" spans="8:8">
      <c r="H31944" s="680" t="s">
        <v>6153</v>
      </c>
    </row>
    <row r="31945" spans="8:8">
      <c r="H31945" s="680" t="s">
        <v>6153</v>
      </c>
    </row>
    <row r="31946" spans="8:8">
      <c r="H31946" s="680" t="s">
        <v>6153</v>
      </c>
    </row>
    <row r="31947" spans="8:8">
      <c r="H31947" s="680" t="s">
        <v>6153</v>
      </c>
    </row>
    <row r="31948" spans="8:8">
      <c r="H31948" s="680" t="s">
        <v>6153</v>
      </c>
    </row>
    <row r="31949" spans="8:8">
      <c r="H31949" s="680" t="s">
        <v>6153</v>
      </c>
    </row>
    <row r="31950" spans="8:8">
      <c r="H31950" s="680" t="s">
        <v>6153</v>
      </c>
    </row>
    <row r="31951" spans="8:8">
      <c r="H31951" s="680" t="s">
        <v>6153</v>
      </c>
    </row>
    <row r="31952" spans="8:8">
      <c r="H31952" s="680" t="s">
        <v>6153</v>
      </c>
    </row>
    <row r="31953" spans="8:8">
      <c r="H31953" s="680" t="s">
        <v>6153</v>
      </c>
    </row>
    <row r="31954" spans="8:8">
      <c r="H31954" s="680" t="s">
        <v>6153</v>
      </c>
    </row>
    <row r="31955" spans="8:8">
      <c r="H31955" s="680" t="s">
        <v>6153</v>
      </c>
    </row>
    <row r="31956" spans="8:8">
      <c r="H31956" s="680" t="s">
        <v>6153</v>
      </c>
    </row>
    <row r="31957" spans="8:8">
      <c r="H31957" s="680" t="s">
        <v>6153</v>
      </c>
    </row>
    <row r="31958" spans="8:8">
      <c r="H31958" s="680" t="s">
        <v>6153</v>
      </c>
    </row>
    <row r="31959" spans="8:8">
      <c r="H31959" s="680" t="s">
        <v>6153</v>
      </c>
    </row>
    <row r="31960" spans="8:8">
      <c r="H31960" s="680" t="s">
        <v>6153</v>
      </c>
    </row>
    <row r="31961" spans="8:8">
      <c r="H31961" s="680" t="s">
        <v>6153</v>
      </c>
    </row>
    <row r="31962" spans="8:8">
      <c r="H31962" s="680" t="s">
        <v>6153</v>
      </c>
    </row>
    <row r="31963" spans="8:8">
      <c r="H31963" s="680" t="s">
        <v>6153</v>
      </c>
    </row>
    <row r="31964" spans="8:8">
      <c r="H31964" s="680" t="s">
        <v>6153</v>
      </c>
    </row>
    <row r="31965" spans="8:8">
      <c r="H31965" s="680" t="s">
        <v>6153</v>
      </c>
    </row>
    <row r="31966" spans="8:8">
      <c r="H31966" s="680" t="s">
        <v>6153</v>
      </c>
    </row>
    <row r="31967" spans="8:8">
      <c r="H31967" s="680" t="s">
        <v>6153</v>
      </c>
    </row>
    <row r="31968" spans="8:8">
      <c r="H31968" s="680" t="s">
        <v>6153</v>
      </c>
    </row>
    <row r="31969" spans="8:8">
      <c r="H31969" s="680" t="s">
        <v>6153</v>
      </c>
    </row>
    <row r="31970" spans="8:8">
      <c r="H31970" s="680" t="s">
        <v>6153</v>
      </c>
    </row>
    <row r="31971" spans="8:8">
      <c r="H31971" s="680" t="s">
        <v>6153</v>
      </c>
    </row>
    <row r="31972" spans="8:8">
      <c r="H31972" s="680" t="s">
        <v>6153</v>
      </c>
    </row>
    <row r="31973" spans="8:8">
      <c r="H31973" s="680" t="s">
        <v>6153</v>
      </c>
    </row>
    <row r="31974" spans="8:8">
      <c r="H31974" s="680" t="s">
        <v>6153</v>
      </c>
    </row>
    <row r="31975" spans="8:8">
      <c r="H31975" s="680" t="s">
        <v>6153</v>
      </c>
    </row>
    <row r="31976" spans="8:8">
      <c r="H31976" s="680" t="s">
        <v>6153</v>
      </c>
    </row>
    <row r="31977" spans="8:8">
      <c r="H31977" s="680" t="s">
        <v>6153</v>
      </c>
    </row>
    <row r="31978" spans="8:8">
      <c r="H31978" s="680" t="s">
        <v>6153</v>
      </c>
    </row>
    <row r="31979" spans="8:8">
      <c r="H31979" s="680" t="s">
        <v>6153</v>
      </c>
    </row>
    <row r="31980" spans="8:8">
      <c r="H31980" s="680" t="s">
        <v>6153</v>
      </c>
    </row>
    <row r="31981" spans="8:8">
      <c r="H31981" s="680" t="s">
        <v>6153</v>
      </c>
    </row>
    <row r="31982" spans="8:8">
      <c r="H31982" s="680" t="s">
        <v>6153</v>
      </c>
    </row>
    <row r="31983" spans="8:8">
      <c r="H31983" s="680" t="s">
        <v>6153</v>
      </c>
    </row>
    <row r="31984" spans="8:8">
      <c r="H31984" s="680" t="s">
        <v>6153</v>
      </c>
    </row>
    <row r="31985" spans="8:8">
      <c r="H31985" s="680" t="s">
        <v>6153</v>
      </c>
    </row>
    <row r="31986" spans="8:8">
      <c r="H31986" s="680" t="s">
        <v>6153</v>
      </c>
    </row>
    <row r="31987" spans="8:8">
      <c r="H31987" s="680" t="s">
        <v>6153</v>
      </c>
    </row>
    <row r="31988" spans="8:8">
      <c r="H31988" s="680" t="s">
        <v>6153</v>
      </c>
    </row>
    <row r="31989" spans="8:8">
      <c r="H31989" s="680" t="s">
        <v>6153</v>
      </c>
    </row>
    <row r="31990" spans="8:8">
      <c r="H31990" s="680" t="s">
        <v>6153</v>
      </c>
    </row>
    <row r="31991" spans="8:8">
      <c r="H31991" s="680" t="s">
        <v>6153</v>
      </c>
    </row>
    <row r="31992" spans="8:8">
      <c r="H31992" s="680" t="s">
        <v>6153</v>
      </c>
    </row>
    <row r="31993" spans="8:8">
      <c r="H31993" s="680" t="s">
        <v>6153</v>
      </c>
    </row>
    <row r="31994" spans="8:8">
      <c r="H31994" s="680" t="s">
        <v>6153</v>
      </c>
    </row>
    <row r="31995" spans="8:8">
      <c r="H31995" s="680" t="s">
        <v>6153</v>
      </c>
    </row>
    <row r="31996" spans="8:8">
      <c r="H31996" s="680" t="s">
        <v>6153</v>
      </c>
    </row>
    <row r="31997" spans="8:8">
      <c r="H31997" s="680" t="s">
        <v>6153</v>
      </c>
    </row>
    <row r="31998" spans="8:8">
      <c r="H31998" s="680" t="s">
        <v>6153</v>
      </c>
    </row>
    <row r="31999" spans="8:8">
      <c r="H31999" s="680" t="s">
        <v>6153</v>
      </c>
    </row>
    <row r="32000" spans="8:8">
      <c r="H32000" s="680" t="s">
        <v>6153</v>
      </c>
    </row>
    <row r="32001" spans="8:8">
      <c r="H32001" s="680" t="s">
        <v>6153</v>
      </c>
    </row>
    <row r="32002" spans="8:8">
      <c r="H32002" s="680" t="s">
        <v>6153</v>
      </c>
    </row>
    <row r="32003" spans="8:8">
      <c r="H32003" s="680" t="s">
        <v>6153</v>
      </c>
    </row>
    <row r="32004" spans="8:8">
      <c r="H32004" s="680" t="s">
        <v>6153</v>
      </c>
    </row>
    <row r="32005" spans="8:8">
      <c r="H32005" s="680" t="s">
        <v>6153</v>
      </c>
    </row>
    <row r="32006" spans="8:8">
      <c r="H32006" s="680" t="s">
        <v>6153</v>
      </c>
    </row>
    <row r="32007" spans="8:8">
      <c r="H32007" s="680" t="s">
        <v>6153</v>
      </c>
    </row>
    <row r="32008" spans="8:8">
      <c r="H32008" s="680" t="s">
        <v>6153</v>
      </c>
    </row>
    <row r="32009" spans="8:8">
      <c r="H32009" s="680" t="s">
        <v>6153</v>
      </c>
    </row>
    <row r="32010" spans="8:8">
      <c r="H32010" s="680" t="s">
        <v>6153</v>
      </c>
    </row>
    <row r="32011" spans="8:8">
      <c r="H32011" s="680" t="s">
        <v>6153</v>
      </c>
    </row>
    <row r="32012" spans="8:8">
      <c r="H32012" s="680" t="s">
        <v>6153</v>
      </c>
    </row>
    <row r="32013" spans="8:8">
      <c r="H32013" s="680" t="s">
        <v>6153</v>
      </c>
    </row>
    <row r="32014" spans="8:8">
      <c r="H32014" s="680" t="s">
        <v>6153</v>
      </c>
    </row>
    <row r="32015" spans="8:8">
      <c r="H32015" s="680" t="s">
        <v>6153</v>
      </c>
    </row>
    <row r="32016" spans="8:8">
      <c r="H32016" s="680" t="s">
        <v>6153</v>
      </c>
    </row>
    <row r="32017" spans="8:8">
      <c r="H32017" s="680" t="s">
        <v>6153</v>
      </c>
    </row>
    <row r="32018" spans="8:8">
      <c r="H32018" s="680" t="s">
        <v>6153</v>
      </c>
    </row>
    <row r="32019" spans="8:8">
      <c r="H32019" s="680" t="s">
        <v>6153</v>
      </c>
    </row>
    <row r="32020" spans="8:8">
      <c r="H32020" s="680" t="s">
        <v>6153</v>
      </c>
    </row>
    <row r="32021" spans="8:8">
      <c r="H32021" s="680" t="s">
        <v>6153</v>
      </c>
    </row>
    <row r="32022" spans="8:8">
      <c r="H32022" s="680" t="s">
        <v>6153</v>
      </c>
    </row>
    <row r="32023" spans="8:8">
      <c r="H32023" s="680" t="s">
        <v>6153</v>
      </c>
    </row>
    <row r="32024" spans="8:8">
      <c r="H32024" s="680" t="s">
        <v>6153</v>
      </c>
    </row>
    <row r="32025" spans="8:8">
      <c r="H32025" s="680" t="s">
        <v>6153</v>
      </c>
    </row>
    <row r="32026" spans="8:8">
      <c r="H32026" s="680" t="s">
        <v>6153</v>
      </c>
    </row>
    <row r="32027" spans="8:8">
      <c r="H32027" s="680" t="s">
        <v>6153</v>
      </c>
    </row>
    <row r="32028" spans="8:8">
      <c r="H32028" s="680" t="s">
        <v>6153</v>
      </c>
    </row>
    <row r="32029" spans="8:8">
      <c r="H32029" s="680" t="s">
        <v>6153</v>
      </c>
    </row>
    <row r="32030" spans="8:8">
      <c r="H32030" s="680" t="s">
        <v>6153</v>
      </c>
    </row>
    <row r="32031" spans="8:8">
      <c r="H32031" s="680" t="s">
        <v>6153</v>
      </c>
    </row>
    <row r="32032" spans="8:8">
      <c r="H32032" s="680" t="s">
        <v>6153</v>
      </c>
    </row>
    <row r="32033" spans="8:8">
      <c r="H32033" s="680" t="s">
        <v>6153</v>
      </c>
    </row>
    <row r="32034" spans="8:8">
      <c r="H32034" s="680" t="s">
        <v>6153</v>
      </c>
    </row>
    <row r="32035" spans="8:8">
      <c r="H32035" s="680" t="s">
        <v>6153</v>
      </c>
    </row>
    <row r="32036" spans="8:8">
      <c r="H32036" s="680" t="s">
        <v>6153</v>
      </c>
    </row>
    <row r="32037" spans="8:8">
      <c r="H32037" s="680" t="s">
        <v>6153</v>
      </c>
    </row>
    <row r="32038" spans="8:8">
      <c r="H32038" s="680" t="s">
        <v>6153</v>
      </c>
    </row>
    <row r="32039" spans="8:8">
      <c r="H32039" s="680" t="s">
        <v>6153</v>
      </c>
    </row>
    <row r="32040" spans="8:8">
      <c r="H32040" s="680" t="s">
        <v>6153</v>
      </c>
    </row>
    <row r="32041" spans="8:8">
      <c r="H32041" s="680" t="s">
        <v>6153</v>
      </c>
    </row>
    <row r="32042" spans="8:8">
      <c r="H32042" s="680" t="s">
        <v>6153</v>
      </c>
    </row>
    <row r="32043" spans="8:8">
      <c r="H32043" s="680" t="s">
        <v>6153</v>
      </c>
    </row>
    <row r="32044" spans="8:8">
      <c r="H32044" s="680" t="s">
        <v>6153</v>
      </c>
    </row>
    <row r="32045" spans="8:8">
      <c r="H32045" s="680" t="s">
        <v>6153</v>
      </c>
    </row>
    <row r="32046" spans="8:8">
      <c r="H32046" s="680" t="s">
        <v>6153</v>
      </c>
    </row>
    <row r="32047" spans="8:8">
      <c r="H32047" s="680" t="s">
        <v>6153</v>
      </c>
    </row>
    <row r="32048" spans="8:8">
      <c r="H32048" s="680" t="s">
        <v>6153</v>
      </c>
    </row>
    <row r="32049" spans="8:8">
      <c r="H32049" s="680" t="s">
        <v>6153</v>
      </c>
    </row>
    <row r="32050" spans="8:8">
      <c r="H32050" s="680" t="s">
        <v>6153</v>
      </c>
    </row>
    <row r="32051" spans="8:8">
      <c r="H32051" s="680" t="s">
        <v>6153</v>
      </c>
    </row>
    <row r="32052" spans="8:8">
      <c r="H32052" s="680" t="s">
        <v>6153</v>
      </c>
    </row>
    <row r="32053" spans="8:8">
      <c r="H32053" s="680" t="s">
        <v>6153</v>
      </c>
    </row>
    <row r="32054" spans="8:8">
      <c r="H32054" s="680" t="s">
        <v>6153</v>
      </c>
    </row>
    <row r="32055" spans="8:8">
      <c r="H32055" s="680" t="s">
        <v>6153</v>
      </c>
    </row>
    <row r="32056" spans="8:8">
      <c r="H32056" s="680" t="s">
        <v>6153</v>
      </c>
    </row>
    <row r="32057" spans="8:8">
      <c r="H32057" s="680" t="s">
        <v>6153</v>
      </c>
    </row>
    <row r="32058" spans="8:8">
      <c r="H32058" s="680" t="s">
        <v>6153</v>
      </c>
    </row>
    <row r="32059" spans="8:8">
      <c r="H32059" s="680" t="s">
        <v>6153</v>
      </c>
    </row>
    <row r="32060" spans="8:8">
      <c r="H32060" s="680" t="s">
        <v>6153</v>
      </c>
    </row>
    <row r="32061" spans="8:8">
      <c r="H32061" s="680" t="s">
        <v>6153</v>
      </c>
    </row>
    <row r="32062" spans="8:8">
      <c r="H32062" s="680" t="s">
        <v>6153</v>
      </c>
    </row>
    <row r="32063" spans="8:8">
      <c r="H32063" s="680" t="s">
        <v>6153</v>
      </c>
    </row>
    <row r="32064" spans="8:8">
      <c r="H32064" s="680" t="s">
        <v>6153</v>
      </c>
    </row>
    <row r="32065" spans="8:8">
      <c r="H32065" s="680" t="s">
        <v>6153</v>
      </c>
    </row>
    <row r="32066" spans="8:8">
      <c r="H32066" s="680" t="s">
        <v>6153</v>
      </c>
    </row>
    <row r="32067" spans="8:8">
      <c r="H32067" s="680" t="s">
        <v>6153</v>
      </c>
    </row>
    <row r="32068" spans="8:8">
      <c r="H32068" s="680" t="s">
        <v>6153</v>
      </c>
    </row>
    <row r="32069" spans="8:8">
      <c r="H32069" s="680" t="s">
        <v>6153</v>
      </c>
    </row>
    <row r="32070" spans="8:8">
      <c r="H32070" s="680" t="s">
        <v>6153</v>
      </c>
    </row>
    <row r="32071" spans="8:8">
      <c r="H32071" s="680" t="s">
        <v>6153</v>
      </c>
    </row>
    <row r="32072" spans="8:8">
      <c r="H32072" s="680" t="s">
        <v>6153</v>
      </c>
    </row>
    <row r="32073" spans="8:8">
      <c r="H32073" s="680" t="s">
        <v>6153</v>
      </c>
    </row>
    <row r="32074" spans="8:8">
      <c r="H32074" s="680" t="s">
        <v>6153</v>
      </c>
    </row>
    <row r="32075" spans="8:8">
      <c r="H32075" s="680" t="s">
        <v>6153</v>
      </c>
    </row>
    <row r="32076" spans="8:8">
      <c r="H32076" s="680" t="s">
        <v>6153</v>
      </c>
    </row>
    <row r="32077" spans="8:8">
      <c r="H32077" s="680" t="s">
        <v>6153</v>
      </c>
    </row>
    <row r="32078" spans="8:8">
      <c r="H32078" s="680" t="s">
        <v>6153</v>
      </c>
    </row>
    <row r="32079" spans="8:8">
      <c r="H32079" s="680" t="s">
        <v>6153</v>
      </c>
    </row>
    <row r="32080" spans="8:8">
      <c r="H32080" s="680" t="s">
        <v>6153</v>
      </c>
    </row>
    <row r="32081" spans="8:8">
      <c r="H32081" s="680" t="s">
        <v>6153</v>
      </c>
    </row>
    <row r="32082" spans="8:8">
      <c r="H32082" s="680" t="s">
        <v>6153</v>
      </c>
    </row>
    <row r="32083" spans="8:8">
      <c r="H32083" s="680" t="s">
        <v>6153</v>
      </c>
    </row>
    <row r="32084" spans="8:8">
      <c r="H32084" s="680" t="s">
        <v>6153</v>
      </c>
    </row>
    <row r="32085" spans="8:8">
      <c r="H32085" s="680" t="s">
        <v>6153</v>
      </c>
    </row>
    <row r="32086" spans="8:8">
      <c r="H32086" s="680" t="s">
        <v>6153</v>
      </c>
    </row>
    <row r="32087" spans="8:8">
      <c r="H32087" s="680" t="s">
        <v>6153</v>
      </c>
    </row>
    <row r="32088" spans="8:8">
      <c r="H32088" s="680" t="s">
        <v>6153</v>
      </c>
    </row>
    <row r="32089" spans="8:8">
      <c r="H32089" s="680" t="s">
        <v>6153</v>
      </c>
    </row>
    <row r="32090" spans="8:8">
      <c r="H32090" s="680" t="s">
        <v>6153</v>
      </c>
    </row>
    <row r="32091" spans="8:8">
      <c r="H32091" s="680" t="s">
        <v>6153</v>
      </c>
    </row>
    <row r="32092" spans="8:8">
      <c r="H32092" s="680" t="s">
        <v>6153</v>
      </c>
    </row>
    <row r="32093" spans="8:8">
      <c r="H32093" s="680" t="s">
        <v>6153</v>
      </c>
    </row>
    <row r="32094" spans="8:8">
      <c r="H32094" s="680" t="s">
        <v>6153</v>
      </c>
    </row>
    <row r="32095" spans="8:8">
      <c r="H32095" s="680" t="s">
        <v>6153</v>
      </c>
    </row>
    <row r="32096" spans="8:8">
      <c r="H32096" s="680" t="s">
        <v>6153</v>
      </c>
    </row>
    <row r="32097" spans="8:8">
      <c r="H32097" s="680" t="s">
        <v>6153</v>
      </c>
    </row>
    <row r="32098" spans="8:8">
      <c r="H32098" s="680" t="s">
        <v>6153</v>
      </c>
    </row>
    <row r="32099" spans="8:8">
      <c r="H32099" s="680" t="s">
        <v>6153</v>
      </c>
    </row>
    <row r="32100" spans="8:8">
      <c r="H32100" s="680" t="s">
        <v>6153</v>
      </c>
    </row>
    <row r="32101" spans="8:8">
      <c r="H32101" s="680" t="s">
        <v>6153</v>
      </c>
    </row>
    <row r="32102" spans="8:8">
      <c r="H32102" s="680" t="s">
        <v>6153</v>
      </c>
    </row>
    <row r="32103" spans="8:8">
      <c r="H32103" s="680" t="s">
        <v>6153</v>
      </c>
    </row>
    <row r="32104" spans="8:8">
      <c r="H32104" s="680" t="s">
        <v>6153</v>
      </c>
    </row>
    <row r="32105" spans="8:8">
      <c r="H32105" s="680" t="s">
        <v>6153</v>
      </c>
    </row>
    <row r="32106" spans="8:8">
      <c r="H32106" s="680" t="s">
        <v>6153</v>
      </c>
    </row>
    <row r="32107" spans="8:8">
      <c r="H32107" s="680" t="s">
        <v>6153</v>
      </c>
    </row>
    <row r="32108" spans="8:8">
      <c r="H32108" s="680" t="s">
        <v>6153</v>
      </c>
    </row>
    <row r="32109" spans="8:8">
      <c r="H32109" s="680" t="s">
        <v>6153</v>
      </c>
    </row>
    <row r="32110" spans="8:8">
      <c r="H32110" s="680" t="s">
        <v>6153</v>
      </c>
    </row>
    <row r="32111" spans="8:8">
      <c r="H32111" s="680" t="s">
        <v>6153</v>
      </c>
    </row>
    <row r="32112" spans="8:8">
      <c r="H32112" s="680" t="s">
        <v>6153</v>
      </c>
    </row>
    <row r="32113" spans="8:8">
      <c r="H32113" s="680" t="s">
        <v>6153</v>
      </c>
    </row>
    <row r="32114" spans="8:8">
      <c r="H32114" s="680" t="s">
        <v>6153</v>
      </c>
    </row>
    <row r="32115" spans="8:8">
      <c r="H32115" s="680" t="s">
        <v>6153</v>
      </c>
    </row>
    <row r="32116" spans="8:8">
      <c r="H32116" s="680" t="s">
        <v>6153</v>
      </c>
    </row>
    <row r="32117" spans="8:8">
      <c r="H32117" s="680" t="s">
        <v>6153</v>
      </c>
    </row>
    <row r="32118" spans="8:8">
      <c r="H32118" s="680" t="s">
        <v>6153</v>
      </c>
    </row>
    <row r="32119" spans="8:8">
      <c r="H32119" s="680" t="s">
        <v>6153</v>
      </c>
    </row>
    <row r="32120" spans="8:8">
      <c r="H32120" s="680" t="s">
        <v>6153</v>
      </c>
    </row>
    <row r="32121" spans="8:8">
      <c r="H32121" s="680" t="s">
        <v>6153</v>
      </c>
    </row>
    <row r="32122" spans="8:8">
      <c r="H32122" s="680" t="s">
        <v>6153</v>
      </c>
    </row>
    <row r="32123" spans="8:8">
      <c r="H32123" s="680" t="s">
        <v>6153</v>
      </c>
    </row>
    <row r="32124" spans="8:8">
      <c r="H32124" s="680" t="s">
        <v>6153</v>
      </c>
    </row>
    <row r="32125" spans="8:8">
      <c r="H32125" s="680" t="s">
        <v>6153</v>
      </c>
    </row>
    <row r="32126" spans="8:8">
      <c r="H32126" s="680" t="s">
        <v>6153</v>
      </c>
    </row>
    <row r="32127" spans="8:8">
      <c r="H32127" s="680" t="s">
        <v>6153</v>
      </c>
    </row>
    <row r="32128" spans="8:8">
      <c r="H32128" s="680" t="s">
        <v>6153</v>
      </c>
    </row>
    <row r="32129" spans="8:8">
      <c r="H32129" s="680" t="s">
        <v>6153</v>
      </c>
    </row>
    <row r="32130" spans="8:8">
      <c r="H32130" s="680" t="s">
        <v>6153</v>
      </c>
    </row>
    <row r="32131" spans="8:8">
      <c r="H32131" s="680" t="s">
        <v>6153</v>
      </c>
    </row>
    <row r="32132" spans="8:8">
      <c r="H32132" s="680" t="s">
        <v>6153</v>
      </c>
    </row>
    <row r="32133" spans="8:8">
      <c r="H32133" s="680" t="s">
        <v>6153</v>
      </c>
    </row>
    <row r="32134" spans="8:8">
      <c r="H32134" s="680" t="s">
        <v>6153</v>
      </c>
    </row>
    <row r="32135" spans="8:8">
      <c r="H32135" s="680" t="s">
        <v>6153</v>
      </c>
    </row>
    <row r="32136" spans="8:8">
      <c r="H32136" s="680" t="s">
        <v>6153</v>
      </c>
    </row>
    <row r="32137" spans="8:8">
      <c r="H32137" s="680" t="s">
        <v>6153</v>
      </c>
    </row>
    <row r="32138" spans="8:8">
      <c r="H32138" s="680" t="s">
        <v>6153</v>
      </c>
    </row>
    <row r="32139" spans="8:8">
      <c r="H32139" s="680" t="s">
        <v>6153</v>
      </c>
    </row>
    <row r="32140" spans="8:8">
      <c r="H32140" s="680" t="s">
        <v>6153</v>
      </c>
    </row>
    <row r="32141" spans="8:8">
      <c r="H32141" s="680" t="s">
        <v>6153</v>
      </c>
    </row>
    <row r="32142" spans="8:8">
      <c r="H32142" s="680" t="s">
        <v>6153</v>
      </c>
    </row>
    <row r="32143" spans="8:8">
      <c r="H32143" s="680" t="s">
        <v>6153</v>
      </c>
    </row>
    <row r="32144" spans="8:8">
      <c r="H32144" s="680" t="s">
        <v>6153</v>
      </c>
    </row>
    <row r="32145" spans="8:8">
      <c r="H32145" s="680" t="s">
        <v>6153</v>
      </c>
    </row>
    <row r="32146" spans="8:8">
      <c r="H32146" s="680" t="s">
        <v>6153</v>
      </c>
    </row>
    <row r="32147" spans="8:8">
      <c r="H32147" s="680" t="s">
        <v>6153</v>
      </c>
    </row>
    <row r="32148" spans="8:8">
      <c r="H32148" s="680" t="s">
        <v>6153</v>
      </c>
    </row>
    <row r="32149" spans="8:8">
      <c r="H32149" s="680" t="s">
        <v>6153</v>
      </c>
    </row>
    <row r="32150" spans="8:8">
      <c r="H32150" s="680" t="s">
        <v>6153</v>
      </c>
    </row>
    <row r="32151" spans="8:8">
      <c r="H32151" s="680" t="s">
        <v>6153</v>
      </c>
    </row>
    <row r="32152" spans="8:8">
      <c r="H32152" s="680" t="s">
        <v>6153</v>
      </c>
    </row>
    <row r="32153" spans="8:8">
      <c r="H32153" s="680" t="s">
        <v>6153</v>
      </c>
    </row>
    <row r="32154" spans="8:8">
      <c r="H32154" s="680" t="s">
        <v>6153</v>
      </c>
    </row>
    <row r="32155" spans="8:8">
      <c r="H32155" s="680" t="s">
        <v>6153</v>
      </c>
    </row>
    <row r="32156" spans="8:8">
      <c r="H32156" s="680" t="s">
        <v>6153</v>
      </c>
    </row>
    <row r="32157" spans="8:8">
      <c r="H32157" s="680" t="s">
        <v>6153</v>
      </c>
    </row>
    <row r="32158" spans="8:8">
      <c r="H32158" s="680" t="s">
        <v>6153</v>
      </c>
    </row>
    <row r="32159" spans="8:8">
      <c r="H32159" s="680" t="s">
        <v>6153</v>
      </c>
    </row>
    <row r="32160" spans="8:8">
      <c r="H32160" s="680" t="s">
        <v>6153</v>
      </c>
    </row>
    <row r="32161" spans="8:8">
      <c r="H32161" s="680" t="s">
        <v>6153</v>
      </c>
    </row>
    <row r="32162" spans="8:8">
      <c r="H32162" s="680" t="s">
        <v>6153</v>
      </c>
    </row>
    <row r="32163" spans="8:8">
      <c r="H32163" s="680" t="s">
        <v>6153</v>
      </c>
    </row>
    <row r="32164" spans="8:8">
      <c r="H32164" s="680" t="s">
        <v>6153</v>
      </c>
    </row>
    <row r="32165" spans="8:8">
      <c r="H32165" s="680" t="s">
        <v>6153</v>
      </c>
    </row>
    <row r="32166" spans="8:8">
      <c r="H32166" s="680" t="s">
        <v>6153</v>
      </c>
    </row>
    <row r="32167" spans="8:8">
      <c r="H32167" s="680" t="s">
        <v>6153</v>
      </c>
    </row>
    <row r="32168" spans="8:8">
      <c r="H32168" s="680" t="s">
        <v>6153</v>
      </c>
    </row>
    <row r="32169" spans="8:8">
      <c r="H32169" s="680" t="s">
        <v>6153</v>
      </c>
    </row>
    <row r="32170" spans="8:8">
      <c r="H32170" s="680" t="s">
        <v>6153</v>
      </c>
    </row>
    <row r="32171" spans="8:8">
      <c r="H32171" s="680" t="s">
        <v>6153</v>
      </c>
    </row>
    <row r="32172" spans="8:8">
      <c r="H32172" s="680" t="s">
        <v>6153</v>
      </c>
    </row>
    <row r="32173" spans="8:8">
      <c r="H32173" s="680" t="s">
        <v>6153</v>
      </c>
    </row>
    <row r="32174" spans="8:8">
      <c r="H32174" s="680" t="s">
        <v>6153</v>
      </c>
    </row>
    <row r="32175" spans="8:8">
      <c r="H32175" s="680" t="s">
        <v>6153</v>
      </c>
    </row>
    <row r="32176" spans="8:8">
      <c r="H32176" s="680" t="s">
        <v>6153</v>
      </c>
    </row>
    <row r="32177" spans="8:8">
      <c r="H32177" s="680" t="s">
        <v>6153</v>
      </c>
    </row>
    <row r="32178" spans="8:8">
      <c r="H32178" s="680" t="s">
        <v>6153</v>
      </c>
    </row>
    <row r="32179" spans="8:8">
      <c r="H32179" s="680" t="s">
        <v>6153</v>
      </c>
    </row>
    <row r="32180" spans="8:8">
      <c r="H32180" s="680" t="s">
        <v>6153</v>
      </c>
    </row>
    <row r="32181" spans="8:8">
      <c r="H32181" s="680" t="s">
        <v>6153</v>
      </c>
    </row>
    <row r="32182" spans="8:8">
      <c r="H32182" s="680" t="s">
        <v>6153</v>
      </c>
    </row>
    <row r="32183" spans="8:8">
      <c r="H32183" s="680" t="s">
        <v>6153</v>
      </c>
    </row>
    <row r="32184" spans="8:8">
      <c r="H32184" s="680" t="s">
        <v>6153</v>
      </c>
    </row>
    <row r="32185" spans="8:8">
      <c r="H32185" s="680" t="s">
        <v>6153</v>
      </c>
    </row>
    <row r="32186" spans="8:8">
      <c r="H32186" s="680" t="s">
        <v>6153</v>
      </c>
    </row>
    <row r="32187" spans="8:8">
      <c r="H32187" s="680" t="s">
        <v>6153</v>
      </c>
    </row>
    <row r="32188" spans="8:8">
      <c r="H32188" s="680" t="s">
        <v>6153</v>
      </c>
    </row>
    <row r="32189" spans="8:8">
      <c r="H32189" s="680" t="s">
        <v>6153</v>
      </c>
    </row>
    <row r="32190" spans="8:8">
      <c r="H32190" s="680" t="s">
        <v>6153</v>
      </c>
    </row>
    <row r="32191" spans="8:8">
      <c r="H32191" s="680" t="s">
        <v>6153</v>
      </c>
    </row>
    <row r="32192" spans="8:8">
      <c r="H32192" s="680" t="s">
        <v>6153</v>
      </c>
    </row>
    <row r="32193" spans="8:8">
      <c r="H32193" s="680" t="s">
        <v>6153</v>
      </c>
    </row>
    <row r="32194" spans="8:8">
      <c r="H32194" s="680" t="s">
        <v>6153</v>
      </c>
    </row>
    <row r="32195" spans="8:8">
      <c r="H32195" s="680" t="s">
        <v>6153</v>
      </c>
    </row>
    <row r="32196" spans="8:8">
      <c r="H32196" s="680" t="s">
        <v>6153</v>
      </c>
    </row>
    <row r="32197" spans="8:8">
      <c r="H32197" s="680" t="s">
        <v>6153</v>
      </c>
    </row>
    <row r="32198" spans="8:8">
      <c r="H32198" s="680" t="s">
        <v>6153</v>
      </c>
    </row>
    <row r="32199" spans="8:8">
      <c r="H32199" s="680" t="s">
        <v>6153</v>
      </c>
    </row>
    <row r="32200" spans="8:8">
      <c r="H32200" s="680" t="s">
        <v>6153</v>
      </c>
    </row>
    <row r="32201" spans="8:8">
      <c r="H32201" s="680" t="s">
        <v>6153</v>
      </c>
    </row>
    <row r="32202" spans="8:8">
      <c r="H32202" s="680" t="s">
        <v>6153</v>
      </c>
    </row>
    <row r="32203" spans="8:8">
      <c r="H32203" s="680" t="s">
        <v>6153</v>
      </c>
    </row>
    <row r="32204" spans="8:8">
      <c r="H32204" s="680" t="s">
        <v>6153</v>
      </c>
    </row>
    <row r="32205" spans="8:8">
      <c r="H32205" s="680" t="s">
        <v>6153</v>
      </c>
    </row>
    <row r="32206" spans="8:8">
      <c r="H32206" s="680" t="s">
        <v>6153</v>
      </c>
    </row>
    <row r="32207" spans="8:8">
      <c r="H32207" s="680" t="s">
        <v>6153</v>
      </c>
    </row>
    <row r="32208" spans="8:8">
      <c r="H32208" s="680" t="s">
        <v>6153</v>
      </c>
    </row>
    <row r="32209" spans="8:8">
      <c r="H32209" s="680" t="s">
        <v>6153</v>
      </c>
    </row>
    <row r="32210" spans="8:8">
      <c r="H32210" s="680" t="s">
        <v>6153</v>
      </c>
    </row>
    <row r="32211" spans="8:8">
      <c r="H32211" s="680" t="s">
        <v>6153</v>
      </c>
    </row>
    <row r="32212" spans="8:8">
      <c r="H32212" s="680" t="s">
        <v>6153</v>
      </c>
    </row>
    <row r="32213" spans="8:8">
      <c r="H32213" s="680" t="s">
        <v>6153</v>
      </c>
    </row>
    <row r="32214" spans="8:8">
      <c r="H32214" s="680" t="s">
        <v>6153</v>
      </c>
    </row>
    <row r="32215" spans="8:8">
      <c r="H32215" s="680" t="s">
        <v>6153</v>
      </c>
    </row>
    <row r="32216" spans="8:8">
      <c r="H32216" s="680" t="s">
        <v>6153</v>
      </c>
    </row>
    <row r="32217" spans="8:8">
      <c r="H32217" s="680" t="s">
        <v>6153</v>
      </c>
    </row>
    <row r="32218" spans="8:8">
      <c r="H32218" s="680" t="s">
        <v>6153</v>
      </c>
    </row>
    <row r="32219" spans="8:8">
      <c r="H32219" s="680" t="s">
        <v>6153</v>
      </c>
    </row>
    <row r="32220" spans="8:8">
      <c r="H32220" s="680" t="s">
        <v>6153</v>
      </c>
    </row>
    <row r="32221" spans="8:8">
      <c r="H32221" s="680" t="s">
        <v>6153</v>
      </c>
    </row>
    <row r="32222" spans="8:8">
      <c r="H32222" s="680" t="s">
        <v>6153</v>
      </c>
    </row>
    <row r="32223" spans="8:8">
      <c r="H32223" s="680" t="s">
        <v>6153</v>
      </c>
    </row>
    <row r="32224" spans="8:8">
      <c r="H32224" s="680" t="s">
        <v>6153</v>
      </c>
    </row>
    <row r="32225" spans="8:8">
      <c r="H32225" s="680" t="s">
        <v>6153</v>
      </c>
    </row>
    <row r="32226" spans="8:8">
      <c r="H32226" s="680" t="s">
        <v>6153</v>
      </c>
    </row>
    <row r="32227" spans="8:8">
      <c r="H32227" s="680" t="s">
        <v>6153</v>
      </c>
    </row>
    <row r="32228" spans="8:8">
      <c r="H32228" s="680" t="s">
        <v>6153</v>
      </c>
    </row>
    <row r="32229" spans="8:8">
      <c r="H32229" s="680" t="s">
        <v>6153</v>
      </c>
    </row>
    <row r="32230" spans="8:8">
      <c r="H32230" s="680" t="s">
        <v>6153</v>
      </c>
    </row>
    <row r="32231" spans="8:8">
      <c r="H32231" s="680" t="s">
        <v>6153</v>
      </c>
    </row>
    <row r="32232" spans="8:8">
      <c r="H32232" s="680" t="s">
        <v>6153</v>
      </c>
    </row>
    <row r="32233" spans="8:8">
      <c r="H32233" s="680" t="s">
        <v>6153</v>
      </c>
    </row>
    <row r="32234" spans="8:8">
      <c r="H32234" s="680" t="s">
        <v>6153</v>
      </c>
    </row>
    <row r="32235" spans="8:8">
      <c r="H32235" s="680" t="s">
        <v>6153</v>
      </c>
    </row>
    <row r="32236" spans="8:8">
      <c r="H32236" s="680" t="s">
        <v>6153</v>
      </c>
    </row>
    <row r="32237" spans="8:8">
      <c r="H32237" s="680" t="s">
        <v>6153</v>
      </c>
    </row>
    <row r="32238" spans="8:8">
      <c r="H32238" s="680" t="s">
        <v>6153</v>
      </c>
    </row>
    <row r="32239" spans="8:8">
      <c r="H32239" s="680" t="s">
        <v>6153</v>
      </c>
    </row>
    <row r="32240" spans="8:8">
      <c r="H32240" s="680" t="s">
        <v>6153</v>
      </c>
    </row>
    <row r="32241" spans="8:8">
      <c r="H32241" s="680" t="s">
        <v>6153</v>
      </c>
    </row>
    <row r="32242" spans="8:8">
      <c r="H32242" s="680" t="s">
        <v>6153</v>
      </c>
    </row>
    <row r="32243" spans="8:8">
      <c r="H32243" s="680" t="s">
        <v>6153</v>
      </c>
    </row>
    <row r="32244" spans="8:8">
      <c r="H32244" s="680" t="s">
        <v>6153</v>
      </c>
    </row>
    <row r="32245" spans="8:8">
      <c r="H32245" s="680" t="s">
        <v>6153</v>
      </c>
    </row>
    <row r="32246" spans="8:8">
      <c r="H32246" s="680" t="s">
        <v>6153</v>
      </c>
    </row>
    <row r="32247" spans="8:8">
      <c r="H32247" s="680" t="s">
        <v>6153</v>
      </c>
    </row>
    <row r="32248" spans="8:8">
      <c r="H32248" s="680" t="s">
        <v>6153</v>
      </c>
    </row>
    <row r="32249" spans="8:8">
      <c r="H32249" s="680" t="s">
        <v>6153</v>
      </c>
    </row>
    <row r="32250" spans="8:8">
      <c r="H32250" s="680" t="s">
        <v>6153</v>
      </c>
    </row>
    <row r="32251" spans="8:8">
      <c r="H32251" s="680" t="s">
        <v>6153</v>
      </c>
    </row>
    <row r="32252" spans="8:8">
      <c r="H32252" s="680" t="s">
        <v>6153</v>
      </c>
    </row>
    <row r="32253" spans="8:8">
      <c r="H32253" s="680" t="s">
        <v>6153</v>
      </c>
    </row>
    <row r="32254" spans="8:8">
      <c r="H32254" s="680" t="s">
        <v>6153</v>
      </c>
    </row>
    <row r="32255" spans="8:8">
      <c r="H32255" s="680" t="s">
        <v>6153</v>
      </c>
    </row>
    <row r="32256" spans="8:8">
      <c r="H32256" s="680" t="s">
        <v>6153</v>
      </c>
    </row>
    <row r="32257" spans="8:8">
      <c r="H32257" s="680" t="s">
        <v>6153</v>
      </c>
    </row>
    <row r="32258" spans="8:8">
      <c r="H32258" s="680" t="s">
        <v>6153</v>
      </c>
    </row>
    <row r="32259" spans="8:8">
      <c r="H32259" s="680" t="s">
        <v>6153</v>
      </c>
    </row>
    <row r="32260" spans="8:8">
      <c r="H32260" s="680" t="s">
        <v>6153</v>
      </c>
    </row>
    <row r="32261" spans="8:8">
      <c r="H32261" s="680" t="s">
        <v>6153</v>
      </c>
    </row>
    <row r="32262" spans="8:8">
      <c r="H32262" s="680" t="s">
        <v>6153</v>
      </c>
    </row>
    <row r="32263" spans="8:8">
      <c r="H32263" s="680" t="s">
        <v>6153</v>
      </c>
    </row>
    <row r="32264" spans="8:8">
      <c r="H32264" s="680" t="s">
        <v>6153</v>
      </c>
    </row>
    <row r="32265" spans="8:8">
      <c r="H32265" s="680" t="s">
        <v>6153</v>
      </c>
    </row>
    <row r="32266" spans="8:8">
      <c r="H32266" s="680" t="s">
        <v>6153</v>
      </c>
    </row>
    <row r="32267" spans="8:8">
      <c r="H32267" s="680" t="s">
        <v>6153</v>
      </c>
    </row>
    <row r="32268" spans="8:8">
      <c r="H32268" s="680" t="s">
        <v>6153</v>
      </c>
    </row>
    <row r="32269" spans="8:8">
      <c r="H32269" s="680" t="s">
        <v>6153</v>
      </c>
    </row>
    <row r="32270" spans="8:8">
      <c r="H32270" s="680" t="s">
        <v>6153</v>
      </c>
    </row>
    <row r="32271" spans="8:8">
      <c r="H32271" s="680" t="s">
        <v>6153</v>
      </c>
    </row>
    <row r="32272" spans="8:8">
      <c r="H32272" s="680" t="s">
        <v>6153</v>
      </c>
    </row>
    <row r="32273" spans="8:8">
      <c r="H32273" s="680" t="s">
        <v>6153</v>
      </c>
    </row>
    <row r="32274" spans="8:8">
      <c r="H32274" s="680" t="s">
        <v>6153</v>
      </c>
    </row>
    <row r="32275" spans="8:8">
      <c r="H32275" s="680" t="s">
        <v>6153</v>
      </c>
    </row>
    <row r="32276" spans="8:8">
      <c r="H32276" s="680" t="s">
        <v>6153</v>
      </c>
    </row>
    <row r="32277" spans="8:8">
      <c r="H32277" s="680" t="s">
        <v>6153</v>
      </c>
    </row>
    <row r="32278" spans="8:8">
      <c r="H32278" s="680" t="s">
        <v>6153</v>
      </c>
    </row>
    <row r="32279" spans="8:8">
      <c r="H32279" s="680" t="s">
        <v>6153</v>
      </c>
    </row>
    <row r="32280" spans="8:8">
      <c r="H32280" s="680" t="s">
        <v>6153</v>
      </c>
    </row>
    <row r="32281" spans="8:8">
      <c r="H32281" s="680" t="s">
        <v>6153</v>
      </c>
    </row>
    <row r="32282" spans="8:8">
      <c r="H32282" s="680" t="s">
        <v>6153</v>
      </c>
    </row>
    <row r="32283" spans="8:8">
      <c r="H32283" s="680" t="s">
        <v>6153</v>
      </c>
    </row>
    <row r="32284" spans="8:8">
      <c r="H32284" s="680" t="s">
        <v>6153</v>
      </c>
    </row>
    <row r="32285" spans="8:8">
      <c r="H32285" s="680" t="s">
        <v>6153</v>
      </c>
    </row>
    <row r="32286" spans="8:8">
      <c r="H32286" s="680" t="s">
        <v>6153</v>
      </c>
    </row>
    <row r="32287" spans="8:8">
      <c r="H32287" s="680" t="s">
        <v>6153</v>
      </c>
    </row>
    <row r="32288" spans="8:8">
      <c r="H32288" s="680" t="s">
        <v>6153</v>
      </c>
    </row>
    <row r="32289" spans="8:8">
      <c r="H32289" s="680" t="s">
        <v>6153</v>
      </c>
    </row>
    <row r="32290" spans="8:8">
      <c r="H32290" s="680" t="s">
        <v>6153</v>
      </c>
    </row>
    <row r="32291" spans="8:8">
      <c r="H32291" s="680" t="s">
        <v>6153</v>
      </c>
    </row>
    <row r="32292" spans="8:8">
      <c r="H32292" s="680" t="s">
        <v>6153</v>
      </c>
    </row>
    <row r="32293" spans="8:8">
      <c r="H32293" s="680" t="s">
        <v>6153</v>
      </c>
    </row>
    <row r="32294" spans="8:8">
      <c r="H32294" s="680" t="s">
        <v>6153</v>
      </c>
    </row>
    <row r="32295" spans="8:8">
      <c r="H32295" s="680" t="s">
        <v>6153</v>
      </c>
    </row>
    <row r="32296" spans="8:8">
      <c r="H32296" s="680" t="s">
        <v>6153</v>
      </c>
    </row>
    <row r="32297" spans="8:8">
      <c r="H32297" s="680" t="s">
        <v>6153</v>
      </c>
    </row>
    <row r="32298" spans="8:8">
      <c r="H32298" s="680" t="s">
        <v>6153</v>
      </c>
    </row>
    <row r="32299" spans="8:8">
      <c r="H32299" s="680" t="s">
        <v>6153</v>
      </c>
    </row>
    <row r="32300" spans="8:8">
      <c r="H32300" s="680" t="s">
        <v>6153</v>
      </c>
    </row>
    <row r="32301" spans="8:8">
      <c r="H32301" s="680" t="s">
        <v>6153</v>
      </c>
    </row>
    <row r="32302" spans="8:8">
      <c r="H32302" s="680" t="s">
        <v>6153</v>
      </c>
    </row>
    <row r="32303" spans="8:8">
      <c r="H32303" s="680" t="s">
        <v>6153</v>
      </c>
    </row>
    <row r="32304" spans="8:8">
      <c r="H32304" s="680" t="s">
        <v>6153</v>
      </c>
    </row>
    <row r="32305" spans="8:8">
      <c r="H32305" s="680" t="s">
        <v>6153</v>
      </c>
    </row>
    <row r="32306" spans="8:8">
      <c r="H32306" s="680" t="s">
        <v>6153</v>
      </c>
    </row>
    <row r="32307" spans="8:8">
      <c r="H32307" s="680" t="s">
        <v>6153</v>
      </c>
    </row>
    <row r="32308" spans="8:8">
      <c r="H32308" s="680" t="s">
        <v>6153</v>
      </c>
    </row>
    <row r="32309" spans="8:8">
      <c r="H32309" s="680" t="s">
        <v>6153</v>
      </c>
    </row>
    <row r="32310" spans="8:8">
      <c r="H32310" s="680" t="s">
        <v>6153</v>
      </c>
    </row>
    <row r="32311" spans="8:8">
      <c r="H32311" s="680" t="s">
        <v>6153</v>
      </c>
    </row>
    <row r="32312" spans="8:8">
      <c r="H32312" s="680" t="s">
        <v>6153</v>
      </c>
    </row>
    <row r="32313" spans="8:8">
      <c r="H32313" s="680" t="s">
        <v>6153</v>
      </c>
    </row>
    <row r="32314" spans="8:8">
      <c r="H32314" s="680" t="s">
        <v>6153</v>
      </c>
    </row>
    <row r="32315" spans="8:8">
      <c r="H32315" s="680" t="s">
        <v>6153</v>
      </c>
    </row>
    <row r="32316" spans="8:8">
      <c r="H32316" s="680" t="s">
        <v>6153</v>
      </c>
    </row>
    <row r="32317" spans="8:8">
      <c r="H32317" s="680" t="s">
        <v>6153</v>
      </c>
    </row>
    <row r="32318" spans="8:8">
      <c r="H32318" s="680" t="s">
        <v>6153</v>
      </c>
    </row>
    <row r="32319" spans="8:8">
      <c r="H32319" s="680" t="s">
        <v>6153</v>
      </c>
    </row>
    <row r="32320" spans="8:8">
      <c r="H32320" s="680" t="s">
        <v>6153</v>
      </c>
    </row>
    <row r="32321" spans="8:8">
      <c r="H32321" s="680" t="s">
        <v>6153</v>
      </c>
    </row>
    <row r="32322" spans="8:8">
      <c r="H32322" s="680" t="s">
        <v>6153</v>
      </c>
    </row>
    <row r="32323" spans="8:8">
      <c r="H32323" s="680" t="s">
        <v>6153</v>
      </c>
    </row>
    <row r="32324" spans="8:8">
      <c r="H32324" s="680" t="s">
        <v>6153</v>
      </c>
    </row>
    <row r="32325" spans="8:8">
      <c r="H32325" s="680" t="s">
        <v>6153</v>
      </c>
    </row>
    <row r="32326" spans="8:8">
      <c r="H32326" s="680" t="s">
        <v>6153</v>
      </c>
    </row>
    <row r="32327" spans="8:8">
      <c r="H32327" s="680" t="s">
        <v>6153</v>
      </c>
    </row>
    <row r="32328" spans="8:8">
      <c r="H32328" s="680" t="s">
        <v>6153</v>
      </c>
    </row>
    <row r="32329" spans="8:8">
      <c r="H32329" s="680" t="s">
        <v>6153</v>
      </c>
    </row>
    <row r="32330" spans="8:8">
      <c r="H32330" s="680" t="s">
        <v>6153</v>
      </c>
    </row>
    <row r="32331" spans="8:8">
      <c r="H32331" s="680" t="s">
        <v>6153</v>
      </c>
    </row>
    <row r="32332" spans="8:8">
      <c r="H32332" s="680" t="s">
        <v>6153</v>
      </c>
    </row>
    <row r="32333" spans="8:8">
      <c r="H32333" s="680" t="s">
        <v>6153</v>
      </c>
    </row>
    <row r="32334" spans="8:8">
      <c r="H32334" s="680" t="s">
        <v>6153</v>
      </c>
    </row>
    <row r="32335" spans="8:8">
      <c r="H32335" s="680" t="s">
        <v>6153</v>
      </c>
    </row>
    <row r="32336" spans="8:8">
      <c r="H32336" s="680" t="s">
        <v>6153</v>
      </c>
    </row>
    <row r="32337" spans="8:8">
      <c r="H32337" s="680" t="s">
        <v>6153</v>
      </c>
    </row>
    <row r="32338" spans="8:8">
      <c r="H32338" s="680" t="s">
        <v>6153</v>
      </c>
    </row>
    <row r="32339" spans="8:8">
      <c r="H32339" s="680" t="s">
        <v>6153</v>
      </c>
    </row>
    <row r="32340" spans="8:8">
      <c r="H32340" s="680" t="s">
        <v>6153</v>
      </c>
    </row>
    <row r="32341" spans="8:8">
      <c r="H32341" s="680" t="s">
        <v>6153</v>
      </c>
    </row>
    <row r="32342" spans="8:8">
      <c r="H32342" s="680" t="s">
        <v>6153</v>
      </c>
    </row>
    <row r="32343" spans="8:8">
      <c r="H32343" s="680" t="s">
        <v>6153</v>
      </c>
    </row>
    <row r="32344" spans="8:8">
      <c r="H32344" s="680" t="s">
        <v>6153</v>
      </c>
    </row>
    <row r="32345" spans="8:8">
      <c r="H32345" s="680" t="s">
        <v>6153</v>
      </c>
    </row>
    <row r="32346" spans="8:8">
      <c r="H32346" s="680" t="s">
        <v>6153</v>
      </c>
    </row>
    <row r="32347" spans="8:8">
      <c r="H32347" s="680" t="s">
        <v>6153</v>
      </c>
    </row>
    <row r="32348" spans="8:8">
      <c r="H32348" s="680" t="s">
        <v>6153</v>
      </c>
    </row>
    <row r="32349" spans="8:8">
      <c r="H32349" s="680" t="s">
        <v>6153</v>
      </c>
    </row>
    <row r="32350" spans="8:8">
      <c r="H32350" s="680" t="s">
        <v>6153</v>
      </c>
    </row>
    <row r="32351" spans="8:8">
      <c r="H32351" s="680" t="s">
        <v>6153</v>
      </c>
    </row>
    <row r="32352" spans="8:8">
      <c r="H32352" s="680" t="s">
        <v>6153</v>
      </c>
    </row>
    <row r="32353" spans="8:8">
      <c r="H32353" s="680" t="s">
        <v>6153</v>
      </c>
    </row>
    <row r="32354" spans="8:8">
      <c r="H32354" s="680" t="s">
        <v>6153</v>
      </c>
    </row>
    <row r="32355" spans="8:8">
      <c r="H32355" s="680" t="s">
        <v>6153</v>
      </c>
    </row>
    <row r="32356" spans="8:8">
      <c r="H32356" s="680" t="s">
        <v>6153</v>
      </c>
    </row>
    <row r="32357" spans="8:8">
      <c r="H32357" s="680" t="s">
        <v>6153</v>
      </c>
    </row>
    <row r="32358" spans="8:8">
      <c r="H32358" s="680" t="s">
        <v>6153</v>
      </c>
    </row>
    <row r="32359" spans="8:8">
      <c r="H32359" s="680" t="s">
        <v>6153</v>
      </c>
    </row>
    <row r="32360" spans="8:8">
      <c r="H32360" s="680" t="s">
        <v>6153</v>
      </c>
    </row>
    <row r="32361" spans="8:8">
      <c r="H32361" s="680" t="s">
        <v>6153</v>
      </c>
    </row>
    <row r="32362" spans="8:8">
      <c r="H32362" s="680" t="s">
        <v>6153</v>
      </c>
    </row>
    <row r="32363" spans="8:8">
      <c r="H32363" s="680" t="s">
        <v>6153</v>
      </c>
    </row>
    <row r="32364" spans="8:8">
      <c r="H32364" s="680" t="s">
        <v>6153</v>
      </c>
    </row>
    <row r="32365" spans="8:8">
      <c r="H32365" s="680" t="s">
        <v>6153</v>
      </c>
    </row>
    <row r="32366" spans="8:8">
      <c r="H32366" s="680" t="s">
        <v>6153</v>
      </c>
    </row>
    <row r="32367" spans="8:8">
      <c r="H32367" s="680" t="s">
        <v>6153</v>
      </c>
    </row>
    <row r="32368" spans="8:8">
      <c r="H32368" s="680" t="s">
        <v>6153</v>
      </c>
    </row>
    <row r="32369" spans="8:8">
      <c r="H32369" s="680" t="s">
        <v>6153</v>
      </c>
    </row>
    <row r="32370" spans="8:8">
      <c r="H32370" s="680" t="s">
        <v>6153</v>
      </c>
    </row>
    <row r="32371" spans="8:8">
      <c r="H32371" s="680" t="s">
        <v>6153</v>
      </c>
    </row>
    <row r="32372" spans="8:8">
      <c r="H32372" s="680" t="s">
        <v>6153</v>
      </c>
    </row>
    <row r="32373" spans="8:8">
      <c r="H32373" s="680" t="s">
        <v>6153</v>
      </c>
    </row>
    <row r="32374" spans="8:8">
      <c r="H32374" s="680" t="s">
        <v>6153</v>
      </c>
    </row>
    <row r="32375" spans="8:8">
      <c r="H32375" s="680" t="s">
        <v>6153</v>
      </c>
    </row>
    <row r="32376" spans="8:8">
      <c r="H32376" s="680" t="s">
        <v>6153</v>
      </c>
    </row>
    <row r="32377" spans="8:8">
      <c r="H32377" s="680" t="s">
        <v>6153</v>
      </c>
    </row>
    <row r="32378" spans="8:8">
      <c r="H32378" s="680" t="s">
        <v>6153</v>
      </c>
    </row>
    <row r="32379" spans="8:8">
      <c r="H32379" s="680" t="s">
        <v>6153</v>
      </c>
    </row>
    <row r="32380" spans="8:8">
      <c r="H32380" s="680" t="s">
        <v>6153</v>
      </c>
    </row>
    <row r="32381" spans="8:8">
      <c r="H32381" s="680" t="s">
        <v>6153</v>
      </c>
    </row>
    <row r="32382" spans="8:8">
      <c r="H32382" s="680" t="s">
        <v>6153</v>
      </c>
    </row>
    <row r="32383" spans="8:8">
      <c r="H32383" s="680" t="s">
        <v>6153</v>
      </c>
    </row>
    <row r="32384" spans="8:8">
      <c r="H32384" s="680" t="s">
        <v>6153</v>
      </c>
    </row>
    <row r="32385" spans="8:8">
      <c r="H32385" s="680" t="s">
        <v>6153</v>
      </c>
    </row>
    <row r="32386" spans="8:8">
      <c r="H32386" s="680" t="s">
        <v>6153</v>
      </c>
    </row>
    <row r="32387" spans="8:8">
      <c r="H32387" s="680" t="s">
        <v>6153</v>
      </c>
    </row>
    <row r="32388" spans="8:8">
      <c r="H32388" s="680" t="s">
        <v>6153</v>
      </c>
    </row>
    <row r="32389" spans="8:8">
      <c r="H32389" s="680" t="s">
        <v>6153</v>
      </c>
    </row>
    <row r="32390" spans="8:8">
      <c r="H32390" s="680" t="s">
        <v>6153</v>
      </c>
    </row>
    <row r="32391" spans="8:8">
      <c r="H32391" s="680" t="s">
        <v>6153</v>
      </c>
    </row>
    <row r="32392" spans="8:8">
      <c r="H32392" s="680" t="s">
        <v>6153</v>
      </c>
    </row>
    <row r="32393" spans="8:8">
      <c r="H32393" s="680" t="s">
        <v>6153</v>
      </c>
    </row>
    <row r="32394" spans="8:8">
      <c r="H32394" s="680" t="s">
        <v>6153</v>
      </c>
    </row>
    <row r="32395" spans="8:8">
      <c r="H32395" s="680" t="s">
        <v>6153</v>
      </c>
    </row>
    <row r="32396" spans="8:8">
      <c r="H32396" s="680" t="s">
        <v>6153</v>
      </c>
    </row>
    <row r="32397" spans="8:8">
      <c r="H32397" s="680" t="s">
        <v>6153</v>
      </c>
    </row>
    <row r="32398" spans="8:8">
      <c r="H32398" s="680" t="s">
        <v>6153</v>
      </c>
    </row>
    <row r="32399" spans="8:8">
      <c r="H32399" s="680" t="s">
        <v>6153</v>
      </c>
    </row>
    <row r="32400" spans="8:8">
      <c r="H32400" s="680" t="s">
        <v>6153</v>
      </c>
    </row>
    <row r="32401" spans="8:8">
      <c r="H32401" s="680" t="s">
        <v>6153</v>
      </c>
    </row>
    <row r="32402" spans="8:8">
      <c r="H32402" s="680" t="s">
        <v>6153</v>
      </c>
    </row>
    <row r="32403" spans="8:8">
      <c r="H32403" s="680" t="s">
        <v>6153</v>
      </c>
    </row>
    <row r="32404" spans="8:8">
      <c r="H32404" s="680" t="s">
        <v>6153</v>
      </c>
    </row>
    <row r="32405" spans="8:8">
      <c r="H32405" s="680" t="s">
        <v>6153</v>
      </c>
    </row>
    <row r="32406" spans="8:8">
      <c r="H32406" s="680" t="s">
        <v>6153</v>
      </c>
    </row>
    <row r="32407" spans="8:8">
      <c r="H32407" s="680" t="s">
        <v>6153</v>
      </c>
    </row>
    <row r="32408" spans="8:8">
      <c r="H32408" s="680" t="s">
        <v>6153</v>
      </c>
    </row>
    <row r="32409" spans="8:8">
      <c r="H32409" s="680" t="s">
        <v>6153</v>
      </c>
    </row>
    <row r="32410" spans="8:8">
      <c r="H32410" s="680" t="s">
        <v>6153</v>
      </c>
    </row>
    <row r="32411" spans="8:8">
      <c r="H32411" s="680" t="s">
        <v>6153</v>
      </c>
    </row>
    <row r="32412" spans="8:8">
      <c r="H32412" s="680" t="s">
        <v>6153</v>
      </c>
    </row>
    <row r="32413" spans="8:8">
      <c r="H32413" s="680" t="s">
        <v>6153</v>
      </c>
    </row>
    <row r="32414" spans="8:8">
      <c r="H32414" s="680" t="s">
        <v>6153</v>
      </c>
    </row>
    <row r="32415" spans="8:8">
      <c r="H32415" s="680" t="s">
        <v>6153</v>
      </c>
    </row>
    <row r="32416" spans="8:8">
      <c r="H32416" s="680" t="s">
        <v>6153</v>
      </c>
    </row>
    <row r="32417" spans="8:8">
      <c r="H32417" s="680" t="s">
        <v>6153</v>
      </c>
    </row>
    <row r="32418" spans="8:8">
      <c r="H32418" s="680" t="s">
        <v>6153</v>
      </c>
    </row>
    <row r="32419" spans="8:8">
      <c r="H32419" s="680" t="s">
        <v>6153</v>
      </c>
    </row>
    <row r="32420" spans="8:8">
      <c r="H32420" s="680" t="s">
        <v>6153</v>
      </c>
    </row>
    <row r="32421" spans="8:8">
      <c r="H32421" s="680" t="s">
        <v>6153</v>
      </c>
    </row>
    <row r="32422" spans="8:8">
      <c r="H32422" s="680" t="s">
        <v>6153</v>
      </c>
    </row>
    <row r="32423" spans="8:8">
      <c r="H32423" s="680" t="s">
        <v>6153</v>
      </c>
    </row>
    <row r="32424" spans="8:8">
      <c r="H32424" s="680" t="s">
        <v>6153</v>
      </c>
    </row>
    <row r="32425" spans="8:8">
      <c r="H32425" s="680" t="s">
        <v>6153</v>
      </c>
    </row>
    <row r="32426" spans="8:8">
      <c r="H32426" s="680" t="s">
        <v>6153</v>
      </c>
    </row>
    <row r="32427" spans="8:8">
      <c r="H32427" s="680" t="s">
        <v>6153</v>
      </c>
    </row>
    <row r="32428" spans="8:8">
      <c r="H32428" s="680" t="s">
        <v>6153</v>
      </c>
    </row>
    <row r="32429" spans="8:8">
      <c r="H32429" s="680" t="s">
        <v>6153</v>
      </c>
    </row>
    <row r="32430" spans="8:8">
      <c r="H32430" s="680" t="s">
        <v>6153</v>
      </c>
    </row>
    <row r="32431" spans="8:8">
      <c r="H32431" s="680" t="s">
        <v>6153</v>
      </c>
    </row>
    <row r="32432" spans="8:8">
      <c r="H32432" s="680" t="s">
        <v>6153</v>
      </c>
    </row>
    <row r="32433" spans="8:8">
      <c r="H32433" s="680" t="s">
        <v>6153</v>
      </c>
    </row>
    <row r="32434" spans="8:8">
      <c r="H32434" s="680" t="s">
        <v>6153</v>
      </c>
    </row>
    <row r="32435" spans="8:8">
      <c r="H32435" s="680" t="s">
        <v>6153</v>
      </c>
    </row>
    <row r="32436" spans="8:8">
      <c r="H32436" s="680" t="s">
        <v>6153</v>
      </c>
    </row>
    <row r="32437" spans="8:8">
      <c r="H32437" s="680" t="s">
        <v>6153</v>
      </c>
    </row>
    <row r="32438" spans="8:8">
      <c r="H32438" s="680" t="s">
        <v>6153</v>
      </c>
    </row>
    <row r="32439" spans="8:8">
      <c r="H32439" s="680" t="s">
        <v>6153</v>
      </c>
    </row>
    <row r="32440" spans="8:8">
      <c r="H32440" s="680" t="s">
        <v>6153</v>
      </c>
    </row>
    <row r="32441" spans="8:8">
      <c r="H32441" s="680" t="s">
        <v>6153</v>
      </c>
    </row>
    <row r="32442" spans="8:8">
      <c r="H32442" s="680" t="s">
        <v>6153</v>
      </c>
    </row>
    <row r="32443" spans="8:8">
      <c r="H32443" s="680" t="s">
        <v>6153</v>
      </c>
    </row>
    <row r="32444" spans="8:8">
      <c r="H32444" s="680" t="s">
        <v>6153</v>
      </c>
    </row>
    <row r="32445" spans="8:8">
      <c r="H32445" s="680" t="s">
        <v>6153</v>
      </c>
    </row>
    <row r="32446" spans="8:8">
      <c r="H32446" s="680" t="s">
        <v>6153</v>
      </c>
    </row>
    <row r="32447" spans="8:8">
      <c r="H32447" s="680" t="s">
        <v>6153</v>
      </c>
    </row>
    <row r="32448" spans="8:8">
      <c r="H32448" s="680" t="s">
        <v>6153</v>
      </c>
    </row>
    <row r="32449" spans="8:8">
      <c r="H32449" s="680" t="s">
        <v>6153</v>
      </c>
    </row>
    <row r="32450" spans="8:8">
      <c r="H32450" s="680" t="s">
        <v>6153</v>
      </c>
    </row>
    <row r="32451" spans="8:8">
      <c r="H32451" s="680" t="s">
        <v>6153</v>
      </c>
    </row>
    <row r="32452" spans="8:8">
      <c r="H32452" s="680" t="s">
        <v>6153</v>
      </c>
    </row>
    <row r="32453" spans="8:8">
      <c r="H32453" s="680" t="s">
        <v>6153</v>
      </c>
    </row>
    <row r="32454" spans="8:8">
      <c r="H32454" s="680" t="s">
        <v>6153</v>
      </c>
    </row>
    <row r="32455" spans="8:8">
      <c r="H32455" s="680" t="s">
        <v>6153</v>
      </c>
    </row>
    <row r="32456" spans="8:8">
      <c r="H32456" s="680" t="s">
        <v>6153</v>
      </c>
    </row>
    <row r="32457" spans="8:8">
      <c r="H32457" s="680" t="s">
        <v>6153</v>
      </c>
    </row>
    <row r="32458" spans="8:8">
      <c r="H32458" s="680" t="s">
        <v>6153</v>
      </c>
    </row>
    <row r="32459" spans="8:8">
      <c r="H32459" s="680" t="s">
        <v>6153</v>
      </c>
    </row>
    <row r="32460" spans="8:8">
      <c r="H32460" s="680" t="s">
        <v>6153</v>
      </c>
    </row>
    <row r="32461" spans="8:8">
      <c r="H32461" s="680" t="s">
        <v>6153</v>
      </c>
    </row>
    <row r="32462" spans="8:8">
      <c r="H32462" s="680" t="s">
        <v>6153</v>
      </c>
    </row>
    <row r="32463" spans="8:8">
      <c r="H32463" s="680" t="s">
        <v>6153</v>
      </c>
    </row>
    <row r="32464" spans="8:8">
      <c r="H32464" s="680" t="s">
        <v>6153</v>
      </c>
    </row>
    <row r="32465" spans="8:8">
      <c r="H32465" s="680" t="s">
        <v>6153</v>
      </c>
    </row>
    <row r="32466" spans="8:8">
      <c r="H32466" s="680" t="s">
        <v>6153</v>
      </c>
    </row>
    <row r="32467" spans="8:8">
      <c r="H32467" s="680" t="s">
        <v>6153</v>
      </c>
    </row>
    <row r="32468" spans="8:8">
      <c r="H32468" s="680" t="s">
        <v>6153</v>
      </c>
    </row>
    <row r="32469" spans="8:8">
      <c r="H32469" s="680" t="s">
        <v>6153</v>
      </c>
    </row>
    <row r="32470" spans="8:8">
      <c r="H32470" s="680" t="s">
        <v>6153</v>
      </c>
    </row>
    <row r="32471" spans="8:8">
      <c r="H32471" s="680" t="s">
        <v>6153</v>
      </c>
    </row>
    <row r="32472" spans="8:8">
      <c r="H32472" s="680" t="s">
        <v>6153</v>
      </c>
    </row>
    <row r="32473" spans="8:8">
      <c r="H32473" s="680" t="s">
        <v>6153</v>
      </c>
    </row>
    <row r="32474" spans="8:8">
      <c r="H32474" s="680" t="s">
        <v>6153</v>
      </c>
    </row>
    <row r="32475" spans="8:8">
      <c r="H32475" s="680" t="s">
        <v>6153</v>
      </c>
    </row>
    <row r="32476" spans="8:8">
      <c r="H32476" s="680" t="s">
        <v>6153</v>
      </c>
    </row>
    <row r="32477" spans="8:8">
      <c r="H32477" s="680" t="s">
        <v>6153</v>
      </c>
    </row>
    <row r="32478" spans="8:8">
      <c r="H32478" s="680" t="s">
        <v>6153</v>
      </c>
    </row>
    <row r="32479" spans="8:8">
      <c r="H32479" s="680" t="s">
        <v>6153</v>
      </c>
    </row>
    <row r="32480" spans="8:8">
      <c r="H32480" s="680" t="s">
        <v>6153</v>
      </c>
    </row>
    <row r="32481" spans="8:8">
      <c r="H32481" s="680" t="s">
        <v>6153</v>
      </c>
    </row>
    <row r="32482" spans="8:8">
      <c r="H32482" s="680" t="s">
        <v>6153</v>
      </c>
    </row>
    <row r="32483" spans="8:8">
      <c r="H32483" s="680" t="s">
        <v>6153</v>
      </c>
    </row>
    <row r="32484" spans="8:8">
      <c r="H32484" s="680" t="s">
        <v>6153</v>
      </c>
    </row>
    <row r="32485" spans="8:8">
      <c r="H32485" s="680" t="s">
        <v>6153</v>
      </c>
    </row>
    <row r="32486" spans="8:8">
      <c r="H32486" s="680" t="s">
        <v>6153</v>
      </c>
    </row>
    <row r="32487" spans="8:8">
      <c r="H32487" s="680" t="s">
        <v>6153</v>
      </c>
    </row>
    <row r="32488" spans="8:8">
      <c r="H32488" s="680" t="s">
        <v>6153</v>
      </c>
    </row>
    <row r="32489" spans="8:8">
      <c r="H32489" s="680" t="s">
        <v>6153</v>
      </c>
    </row>
    <row r="32490" spans="8:8">
      <c r="H32490" s="680" t="s">
        <v>6153</v>
      </c>
    </row>
    <row r="32491" spans="8:8">
      <c r="H32491" s="680" t="s">
        <v>6153</v>
      </c>
    </row>
    <row r="32492" spans="8:8">
      <c r="H32492" s="680" t="s">
        <v>6153</v>
      </c>
    </row>
    <row r="32493" spans="8:8">
      <c r="H32493" s="680" t="s">
        <v>6153</v>
      </c>
    </row>
    <row r="32494" spans="8:8">
      <c r="H32494" s="680" t="s">
        <v>6153</v>
      </c>
    </row>
    <row r="32495" spans="8:8">
      <c r="H32495" s="680" t="s">
        <v>6153</v>
      </c>
    </row>
    <row r="32496" spans="8:8">
      <c r="H32496" s="680" t="s">
        <v>6153</v>
      </c>
    </row>
    <row r="32497" spans="8:8">
      <c r="H32497" s="680" t="s">
        <v>6153</v>
      </c>
    </row>
    <row r="32498" spans="8:8">
      <c r="H32498" s="680" t="s">
        <v>6153</v>
      </c>
    </row>
    <row r="32499" spans="8:8">
      <c r="H32499" s="680" t="s">
        <v>6153</v>
      </c>
    </row>
    <row r="32500" spans="8:8">
      <c r="H32500" s="680" t="s">
        <v>6153</v>
      </c>
    </row>
    <row r="32501" spans="8:8">
      <c r="H32501" s="680" t="s">
        <v>6153</v>
      </c>
    </row>
    <row r="32502" spans="8:8">
      <c r="H32502" s="680" t="s">
        <v>6153</v>
      </c>
    </row>
    <row r="32503" spans="8:8">
      <c r="H32503" s="680" t="s">
        <v>6153</v>
      </c>
    </row>
    <row r="32504" spans="8:8">
      <c r="H32504" s="680" t="s">
        <v>6153</v>
      </c>
    </row>
    <row r="32505" spans="8:8">
      <c r="H32505" s="680" t="s">
        <v>6153</v>
      </c>
    </row>
    <row r="32506" spans="8:8">
      <c r="H32506" s="680" t="s">
        <v>6153</v>
      </c>
    </row>
    <row r="32507" spans="8:8">
      <c r="H32507" s="680" t="s">
        <v>6153</v>
      </c>
    </row>
    <row r="32508" spans="8:8">
      <c r="H32508" s="680" t="s">
        <v>6153</v>
      </c>
    </row>
    <row r="32509" spans="8:8">
      <c r="H32509" s="680" t="s">
        <v>6153</v>
      </c>
    </row>
    <row r="32510" spans="8:8">
      <c r="H32510" s="680" t="s">
        <v>6153</v>
      </c>
    </row>
    <row r="32511" spans="8:8">
      <c r="H32511" s="680" t="s">
        <v>6153</v>
      </c>
    </row>
    <row r="32512" spans="8:8">
      <c r="H32512" s="680" t="s">
        <v>6153</v>
      </c>
    </row>
    <row r="32513" spans="8:8">
      <c r="H32513" s="680" t="s">
        <v>6153</v>
      </c>
    </row>
    <row r="32514" spans="8:8">
      <c r="H32514" s="680" t="s">
        <v>6153</v>
      </c>
    </row>
    <row r="32515" spans="8:8">
      <c r="H32515" s="680" t="s">
        <v>6153</v>
      </c>
    </row>
    <row r="32516" spans="8:8">
      <c r="H32516" s="680" t="s">
        <v>6153</v>
      </c>
    </row>
    <row r="32517" spans="8:8">
      <c r="H32517" s="680" t="s">
        <v>6153</v>
      </c>
    </row>
    <row r="32518" spans="8:8">
      <c r="H32518" s="680" t="s">
        <v>6153</v>
      </c>
    </row>
    <row r="32519" spans="8:8">
      <c r="H32519" s="680" t="s">
        <v>6153</v>
      </c>
    </row>
    <row r="32520" spans="8:8">
      <c r="H32520" s="680" t="s">
        <v>6153</v>
      </c>
    </row>
    <row r="32521" spans="8:8">
      <c r="H32521" s="680" t="s">
        <v>6153</v>
      </c>
    </row>
    <row r="32522" spans="8:8">
      <c r="H32522" s="680" t="s">
        <v>6153</v>
      </c>
    </row>
    <row r="32523" spans="8:8">
      <c r="H32523" s="680" t="s">
        <v>6153</v>
      </c>
    </row>
    <row r="32524" spans="8:8">
      <c r="H32524" s="680" t="s">
        <v>6153</v>
      </c>
    </row>
    <row r="32525" spans="8:8">
      <c r="H32525" s="680" t="s">
        <v>6153</v>
      </c>
    </row>
    <row r="32526" spans="8:8">
      <c r="H32526" s="680" t="s">
        <v>6153</v>
      </c>
    </row>
    <row r="32527" spans="8:8">
      <c r="H32527" s="680" t="s">
        <v>6153</v>
      </c>
    </row>
    <row r="32528" spans="8:8">
      <c r="H32528" s="680" t="s">
        <v>6153</v>
      </c>
    </row>
    <row r="32529" spans="8:8">
      <c r="H32529" s="680" t="s">
        <v>6153</v>
      </c>
    </row>
    <row r="32530" spans="8:8">
      <c r="H32530" s="680" t="s">
        <v>6153</v>
      </c>
    </row>
    <row r="32531" spans="8:8">
      <c r="H32531" s="680" t="s">
        <v>6153</v>
      </c>
    </row>
    <row r="32532" spans="8:8">
      <c r="H32532" s="680" t="s">
        <v>6153</v>
      </c>
    </row>
    <row r="32533" spans="8:8">
      <c r="H32533" s="680" t="s">
        <v>6153</v>
      </c>
    </row>
    <row r="32534" spans="8:8">
      <c r="H32534" s="680" t="s">
        <v>6153</v>
      </c>
    </row>
    <row r="32535" spans="8:8">
      <c r="H32535" s="680" t="s">
        <v>6153</v>
      </c>
    </row>
    <row r="32536" spans="8:8">
      <c r="H32536" s="680" t="s">
        <v>6153</v>
      </c>
    </row>
    <row r="32537" spans="8:8">
      <c r="H32537" s="680" t="s">
        <v>6153</v>
      </c>
    </row>
    <row r="32538" spans="8:8">
      <c r="H32538" s="680" t="s">
        <v>6153</v>
      </c>
    </row>
    <row r="32539" spans="8:8">
      <c r="H32539" s="680" t="s">
        <v>6153</v>
      </c>
    </row>
    <row r="32540" spans="8:8">
      <c r="H32540" s="680" t="s">
        <v>6153</v>
      </c>
    </row>
    <row r="32541" spans="8:8">
      <c r="H32541" s="680" t="s">
        <v>6153</v>
      </c>
    </row>
    <row r="32542" spans="8:8">
      <c r="H32542" s="680" t="s">
        <v>6153</v>
      </c>
    </row>
    <row r="32543" spans="8:8">
      <c r="H32543" s="680" t="s">
        <v>6153</v>
      </c>
    </row>
    <row r="32544" spans="8:8">
      <c r="H32544" s="680" t="s">
        <v>6153</v>
      </c>
    </row>
    <row r="32545" spans="8:8">
      <c r="H32545" s="680" t="s">
        <v>6153</v>
      </c>
    </row>
    <row r="32546" spans="8:8">
      <c r="H32546" s="680" t="s">
        <v>6153</v>
      </c>
    </row>
    <row r="32547" spans="8:8">
      <c r="H32547" s="680" t="s">
        <v>6153</v>
      </c>
    </row>
    <row r="32548" spans="8:8">
      <c r="H32548" s="680" t="s">
        <v>6153</v>
      </c>
    </row>
    <row r="32549" spans="8:8">
      <c r="H32549" s="680" t="s">
        <v>6153</v>
      </c>
    </row>
    <row r="32550" spans="8:8">
      <c r="H32550" s="680" t="s">
        <v>6153</v>
      </c>
    </row>
    <row r="32551" spans="8:8">
      <c r="H32551" s="680" t="s">
        <v>6153</v>
      </c>
    </row>
    <row r="32552" spans="8:8">
      <c r="H32552" s="680" t="s">
        <v>6153</v>
      </c>
    </row>
    <row r="32553" spans="8:8">
      <c r="H32553" s="680" t="s">
        <v>6153</v>
      </c>
    </row>
    <row r="32554" spans="8:8">
      <c r="H32554" s="680" t="s">
        <v>6153</v>
      </c>
    </row>
    <row r="32555" spans="8:8">
      <c r="H32555" s="680" t="s">
        <v>6153</v>
      </c>
    </row>
    <row r="32556" spans="8:8">
      <c r="H32556" s="680" t="s">
        <v>6153</v>
      </c>
    </row>
    <row r="32557" spans="8:8">
      <c r="H32557" s="680" t="s">
        <v>6153</v>
      </c>
    </row>
    <row r="32558" spans="8:8">
      <c r="H32558" s="680" t="s">
        <v>6153</v>
      </c>
    </row>
    <row r="32559" spans="8:8">
      <c r="H32559" s="680" t="s">
        <v>6153</v>
      </c>
    </row>
    <row r="32560" spans="8:8">
      <c r="H32560" s="680" t="s">
        <v>6153</v>
      </c>
    </row>
    <row r="32561" spans="8:8">
      <c r="H32561" s="680" t="s">
        <v>6153</v>
      </c>
    </row>
    <row r="32562" spans="8:8">
      <c r="H32562" s="680" t="s">
        <v>6153</v>
      </c>
    </row>
    <row r="32563" spans="8:8">
      <c r="H32563" s="680" t="s">
        <v>6153</v>
      </c>
    </row>
    <row r="32564" spans="8:8">
      <c r="H32564" s="680" t="s">
        <v>6153</v>
      </c>
    </row>
    <row r="32565" spans="8:8">
      <c r="H32565" s="680" t="s">
        <v>6153</v>
      </c>
    </row>
    <row r="32566" spans="8:8">
      <c r="H32566" s="680" t="s">
        <v>6153</v>
      </c>
    </row>
    <row r="32567" spans="8:8">
      <c r="H32567" s="680" t="s">
        <v>6153</v>
      </c>
    </row>
    <row r="32568" spans="8:8">
      <c r="H32568" s="680" t="s">
        <v>6153</v>
      </c>
    </row>
    <row r="32569" spans="8:8">
      <c r="H32569" s="680" t="s">
        <v>6153</v>
      </c>
    </row>
    <row r="32570" spans="8:8">
      <c r="H32570" s="680" t="s">
        <v>6153</v>
      </c>
    </row>
    <row r="32571" spans="8:8">
      <c r="H32571" s="680" t="s">
        <v>6153</v>
      </c>
    </row>
    <row r="32572" spans="8:8">
      <c r="H32572" s="680" t="s">
        <v>6153</v>
      </c>
    </row>
    <row r="32573" spans="8:8">
      <c r="H32573" s="680" t="s">
        <v>6153</v>
      </c>
    </row>
    <row r="32574" spans="8:8">
      <c r="H32574" s="680" t="s">
        <v>6153</v>
      </c>
    </row>
    <row r="32575" spans="8:8">
      <c r="H32575" s="680" t="s">
        <v>6153</v>
      </c>
    </row>
    <row r="32576" spans="8:8">
      <c r="H32576" s="680" t="s">
        <v>6153</v>
      </c>
    </row>
    <row r="32577" spans="8:8">
      <c r="H32577" s="680" t="s">
        <v>6153</v>
      </c>
    </row>
    <row r="32578" spans="8:8">
      <c r="H32578" s="680" t="s">
        <v>6153</v>
      </c>
    </row>
    <row r="32579" spans="8:8">
      <c r="H32579" s="680" t="s">
        <v>6153</v>
      </c>
    </row>
    <row r="32580" spans="8:8">
      <c r="H32580" s="680" t="s">
        <v>6153</v>
      </c>
    </row>
    <row r="32581" spans="8:8">
      <c r="H32581" s="680" t="s">
        <v>6153</v>
      </c>
    </row>
    <row r="32582" spans="8:8">
      <c r="H32582" s="680" t="s">
        <v>6153</v>
      </c>
    </row>
    <row r="32583" spans="8:8">
      <c r="H32583" s="680" t="s">
        <v>6153</v>
      </c>
    </row>
    <row r="32584" spans="8:8">
      <c r="H32584" s="680" t="s">
        <v>6153</v>
      </c>
    </row>
    <row r="32585" spans="8:8">
      <c r="H32585" s="680" t="s">
        <v>6153</v>
      </c>
    </row>
    <row r="32586" spans="8:8">
      <c r="H32586" s="680" t="s">
        <v>6153</v>
      </c>
    </row>
    <row r="32587" spans="8:8">
      <c r="H32587" s="680" t="s">
        <v>6153</v>
      </c>
    </row>
    <row r="32588" spans="8:8">
      <c r="H32588" s="680" t="s">
        <v>6153</v>
      </c>
    </row>
    <row r="32589" spans="8:8">
      <c r="H32589" s="680" t="s">
        <v>6153</v>
      </c>
    </row>
    <row r="32590" spans="8:8">
      <c r="H32590" s="680" t="s">
        <v>6153</v>
      </c>
    </row>
    <row r="32591" spans="8:8">
      <c r="H32591" s="680" t="s">
        <v>6153</v>
      </c>
    </row>
    <row r="32592" spans="8:8">
      <c r="H32592" s="680" t="s">
        <v>6153</v>
      </c>
    </row>
    <row r="32593" spans="8:8">
      <c r="H32593" s="680" t="s">
        <v>6153</v>
      </c>
    </row>
    <row r="32594" spans="8:8">
      <c r="H32594" s="680" t="s">
        <v>6153</v>
      </c>
    </row>
    <row r="32595" spans="8:8">
      <c r="H32595" s="680" t="s">
        <v>6153</v>
      </c>
    </row>
    <row r="32596" spans="8:8">
      <c r="H32596" s="680" t="s">
        <v>6153</v>
      </c>
    </row>
    <row r="32597" spans="8:8">
      <c r="H32597" s="680" t="s">
        <v>6153</v>
      </c>
    </row>
    <row r="32598" spans="8:8">
      <c r="H32598" s="680" t="s">
        <v>6153</v>
      </c>
    </row>
    <row r="32599" spans="8:8">
      <c r="H32599" s="680" t="s">
        <v>6153</v>
      </c>
    </row>
    <row r="32600" spans="8:8">
      <c r="H32600" s="680" t="s">
        <v>6153</v>
      </c>
    </row>
    <row r="32601" spans="8:8">
      <c r="H32601" s="680" t="s">
        <v>6153</v>
      </c>
    </row>
    <row r="32602" spans="8:8">
      <c r="H32602" s="680" t="s">
        <v>6153</v>
      </c>
    </row>
    <row r="32603" spans="8:8">
      <c r="H32603" s="680" t="s">
        <v>6153</v>
      </c>
    </row>
    <row r="32604" spans="8:8">
      <c r="H32604" s="680" t="s">
        <v>6153</v>
      </c>
    </row>
    <row r="32605" spans="8:8">
      <c r="H32605" s="680" t="s">
        <v>6153</v>
      </c>
    </row>
    <row r="32606" spans="8:8">
      <c r="H32606" s="680" t="s">
        <v>6153</v>
      </c>
    </row>
    <row r="32607" spans="8:8">
      <c r="H32607" s="680" t="s">
        <v>6153</v>
      </c>
    </row>
    <row r="32608" spans="8:8">
      <c r="H32608" s="680" t="s">
        <v>6153</v>
      </c>
    </row>
    <row r="32609" spans="8:8">
      <c r="H32609" s="680" t="s">
        <v>6153</v>
      </c>
    </row>
    <row r="32610" spans="8:8">
      <c r="H32610" s="680" t="s">
        <v>6153</v>
      </c>
    </row>
    <row r="32611" spans="8:8">
      <c r="H32611" s="680" t="s">
        <v>6153</v>
      </c>
    </row>
    <row r="32612" spans="8:8">
      <c r="H32612" s="680" t="s">
        <v>6153</v>
      </c>
    </row>
    <row r="32613" spans="8:8">
      <c r="H32613" s="680" t="s">
        <v>6153</v>
      </c>
    </row>
    <row r="32614" spans="8:8">
      <c r="H32614" s="680" t="s">
        <v>6153</v>
      </c>
    </row>
    <row r="32615" spans="8:8">
      <c r="H32615" s="680" t="s">
        <v>6153</v>
      </c>
    </row>
    <row r="32616" spans="8:8">
      <c r="H32616" s="680" t="s">
        <v>6153</v>
      </c>
    </row>
    <row r="32617" spans="8:8">
      <c r="H32617" s="680" t="s">
        <v>6153</v>
      </c>
    </row>
    <row r="32618" spans="8:8">
      <c r="H32618" s="680" t="s">
        <v>6153</v>
      </c>
    </row>
    <row r="32619" spans="8:8">
      <c r="H32619" s="680" t="s">
        <v>6153</v>
      </c>
    </row>
    <row r="32620" spans="8:8">
      <c r="H32620" s="680" t="s">
        <v>6153</v>
      </c>
    </row>
    <row r="32621" spans="8:8">
      <c r="H32621" s="680" t="s">
        <v>6153</v>
      </c>
    </row>
    <row r="32622" spans="8:8">
      <c r="H32622" s="680" t="s">
        <v>6153</v>
      </c>
    </row>
    <row r="32623" spans="8:8">
      <c r="H32623" s="680" t="s">
        <v>6153</v>
      </c>
    </row>
    <row r="32624" spans="8:8">
      <c r="H32624" s="680" t="s">
        <v>6153</v>
      </c>
    </row>
    <row r="32625" spans="8:8">
      <c r="H32625" s="680" t="s">
        <v>6153</v>
      </c>
    </row>
    <row r="32626" spans="8:8">
      <c r="H32626" s="680" t="s">
        <v>6153</v>
      </c>
    </row>
    <row r="32627" spans="8:8">
      <c r="H32627" s="680" t="s">
        <v>6153</v>
      </c>
    </row>
    <row r="32628" spans="8:8">
      <c r="H32628" s="680" t="s">
        <v>6153</v>
      </c>
    </row>
    <row r="32629" spans="8:8">
      <c r="H32629" s="680" t="s">
        <v>6153</v>
      </c>
    </row>
    <row r="32630" spans="8:8">
      <c r="H32630" s="680" t="s">
        <v>6153</v>
      </c>
    </row>
    <row r="32631" spans="8:8">
      <c r="H32631" s="680" t="s">
        <v>6153</v>
      </c>
    </row>
    <row r="32632" spans="8:8">
      <c r="H32632" s="680" t="s">
        <v>6153</v>
      </c>
    </row>
    <row r="32633" spans="8:8">
      <c r="H32633" s="680" t="s">
        <v>6153</v>
      </c>
    </row>
    <row r="32634" spans="8:8">
      <c r="H32634" s="680" t="s">
        <v>6153</v>
      </c>
    </row>
    <row r="32635" spans="8:8">
      <c r="H32635" s="680" t="s">
        <v>6153</v>
      </c>
    </row>
    <row r="32636" spans="8:8">
      <c r="H32636" s="680" t="s">
        <v>6153</v>
      </c>
    </row>
    <row r="32637" spans="8:8">
      <c r="H32637" s="680" t="s">
        <v>6153</v>
      </c>
    </row>
    <row r="32638" spans="8:8">
      <c r="H32638" s="680" t="s">
        <v>6153</v>
      </c>
    </row>
    <row r="32639" spans="8:8">
      <c r="H32639" s="680" t="s">
        <v>6153</v>
      </c>
    </row>
    <row r="32640" spans="8:8">
      <c r="H32640" s="680" t="s">
        <v>6153</v>
      </c>
    </row>
    <row r="32641" spans="8:8">
      <c r="H32641" s="680" t="s">
        <v>6153</v>
      </c>
    </row>
    <row r="32642" spans="8:8">
      <c r="H32642" s="680" t="s">
        <v>6153</v>
      </c>
    </row>
    <row r="32643" spans="8:8">
      <c r="H32643" s="680" t="s">
        <v>6153</v>
      </c>
    </row>
    <row r="32644" spans="8:8">
      <c r="H32644" s="680" t="s">
        <v>6153</v>
      </c>
    </row>
    <row r="32645" spans="8:8">
      <c r="H32645" s="680" t="s">
        <v>6153</v>
      </c>
    </row>
    <row r="32646" spans="8:8">
      <c r="H32646" s="680" t="s">
        <v>6153</v>
      </c>
    </row>
    <row r="32647" spans="8:8">
      <c r="H32647" s="680" t="s">
        <v>6153</v>
      </c>
    </row>
    <row r="32648" spans="8:8">
      <c r="H32648" s="680" t="s">
        <v>6153</v>
      </c>
    </row>
    <row r="32649" spans="8:8">
      <c r="H32649" s="680" t="s">
        <v>6153</v>
      </c>
    </row>
    <row r="32650" spans="8:8">
      <c r="H32650" s="680" t="s">
        <v>6153</v>
      </c>
    </row>
    <row r="32651" spans="8:8">
      <c r="H32651" s="680" t="s">
        <v>6153</v>
      </c>
    </row>
    <row r="32652" spans="8:8">
      <c r="H32652" s="680" t="s">
        <v>6153</v>
      </c>
    </row>
    <row r="32653" spans="8:8">
      <c r="H32653" s="680" t="s">
        <v>6153</v>
      </c>
    </row>
    <row r="32654" spans="8:8">
      <c r="H32654" s="680" t="s">
        <v>6153</v>
      </c>
    </row>
    <row r="32655" spans="8:8">
      <c r="H32655" s="680" t="s">
        <v>6153</v>
      </c>
    </row>
    <row r="32656" spans="8:8">
      <c r="H32656" s="680" t="s">
        <v>6153</v>
      </c>
    </row>
    <row r="32657" spans="8:8">
      <c r="H32657" s="680" t="s">
        <v>6153</v>
      </c>
    </row>
    <row r="32658" spans="8:8">
      <c r="H32658" s="680" t="s">
        <v>6153</v>
      </c>
    </row>
    <row r="32659" spans="8:8">
      <c r="H32659" s="680" t="s">
        <v>6153</v>
      </c>
    </row>
    <row r="32660" spans="8:8">
      <c r="H32660" s="680" t="s">
        <v>6153</v>
      </c>
    </row>
    <row r="32661" spans="8:8">
      <c r="H32661" s="680" t="s">
        <v>6153</v>
      </c>
    </row>
    <row r="32662" spans="8:8">
      <c r="H32662" s="680" t="s">
        <v>6153</v>
      </c>
    </row>
    <row r="32663" spans="8:8">
      <c r="H32663" s="680" t="s">
        <v>6153</v>
      </c>
    </row>
    <row r="32664" spans="8:8">
      <c r="H32664" s="680" t="s">
        <v>6153</v>
      </c>
    </row>
    <row r="32665" spans="8:8">
      <c r="H32665" s="680" t="s">
        <v>6153</v>
      </c>
    </row>
    <row r="32666" spans="8:8">
      <c r="H32666" s="680" t="s">
        <v>6153</v>
      </c>
    </row>
    <row r="32667" spans="8:8">
      <c r="H32667" s="680" t="s">
        <v>6153</v>
      </c>
    </row>
    <row r="32668" spans="8:8">
      <c r="H32668" s="680" t="s">
        <v>6153</v>
      </c>
    </row>
    <row r="32669" spans="8:8">
      <c r="H32669" s="680" t="s">
        <v>6153</v>
      </c>
    </row>
    <row r="32670" spans="8:8">
      <c r="H32670" s="680" t="s">
        <v>6153</v>
      </c>
    </row>
    <row r="32671" spans="8:8">
      <c r="H32671" s="680" t="s">
        <v>6153</v>
      </c>
    </row>
    <row r="32672" spans="8:8">
      <c r="H32672" s="680" t="s">
        <v>6153</v>
      </c>
    </row>
    <row r="32673" spans="8:8">
      <c r="H32673" s="680" t="s">
        <v>6153</v>
      </c>
    </row>
    <row r="32674" spans="8:8">
      <c r="H32674" s="680" t="s">
        <v>6153</v>
      </c>
    </row>
    <row r="32675" spans="8:8">
      <c r="H32675" s="680" t="s">
        <v>6153</v>
      </c>
    </row>
    <row r="32676" spans="8:8">
      <c r="H32676" s="680" t="s">
        <v>6153</v>
      </c>
    </row>
    <row r="32677" spans="8:8">
      <c r="H32677" s="680" t="s">
        <v>6153</v>
      </c>
    </row>
    <row r="32678" spans="8:8">
      <c r="H32678" s="680" t="s">
        <v>6153</v>
      </c>
    </row>
    <row r="32679" spans="8:8">
      <c r="H32679" s="680" t="s">
        <v>6153</v>
      </c>
    </row>
    <row r="32680" spans="8:8">
      <c r="H32680" s="680" t="s">
        <v>6153</v>
      </c>
    </row>
    <row r="32681" spans="8:8">
      <c r="H32681" s="680" t="s">
        <v>6153</v>
      </c>
    </row>
    <row r="32682" spans="8:8">
      <c r="H32682" s="680" t="s">
        <v>6153</v>
      </c>
    </row>
    <row r="32683" spans="8:8">
      <c r="H32683" s="680" t="s">
        <v>6153</v>
      </c>
    </row>
    <row r="32684" spans="8:8">
      <c r="H32684" s="680" t="s">
        <v>6153</v>
      </c>
    </row>
    <row r="32685" spans="8:8">
      <c r="H32685" s="680" t="s">
        <v>6153</v>
      </c>
    </row>
    <row r="32686" spans="8:8">
      <c r="H32686" s="680" t="s">
        <v>6153</v>
      </c>
    </row>
    <row r="32687" spans="8:8">
      <c r="H32687" s="680" t="s">
        <v>6153</v>
      </c>
    </row>
    <row r="32688" spans="8:8">
      <c r="H32688" s="680" t="s">
        <v>6153</v>
      </c>
    </row>
    <row r="32689" spans="8:8">
      <c r="H32689" s="680" t="s">
        <v>6153</v>
      </c>
    </row>
    <row r="32690" spans="8:8">
      <c r="H32690" s="680" t="s">
        <v>6153</v>
      </c>
    </row>
    <row r="32691" spans="8:8">
      <c r="H32691" s="680" t="s">
        <v>6153</v>
      </c>
    </row>
    <row r="32692" spans="8:8">
      <c r="H32692" s="680" t="s">
        <v>6153</v>
      </c>
    </row>
    <row r="32693" spans="8:8">
      <c r="H32693" s="680" t="s">
        <v>6153</v>
      </c>
    </row>
    <row r="32694" spans="8:8">
      <c r="H32694" s="680" t="s">
        <v>6153</v>
      </c>
    </row>
    <row r="32695" spans="8:8">
      <c r="H32695" s="680" t="s">
        <v>6153</v>
      </c>
    </row>
    <row r="32696" spans="8:8">
      <c r="H32696" s="680" t="s">
        <v>6153</v>
      </c>
    </row>
    <row r="32697" spans="8:8">
      <c r="H32697" s="680" t="s">
        <v>6153</v>
      </c>
    </row>
    <row r="32698" spans="8:8">
      <c r="H32698" s="680" t="s">
        <v>6153</v>
      </c>
    </row>
    <row r="32699" spans="8:8">
      <c r="H32699" s="680" t="s">
        <v>6153</v>
      </c>
    </row>
    <row r="32700" spans="8:8">
      <c r="H32700" s="680" t="s">
        <v>6153</v>
      </c>
    </row>
    <row r="32701" spans="8:8">
      <c r="H32701" s="680" t="s">
        <v>6153</v>
      </c>
    </row>
    <row r="32702" spans="8:8">
      <c r="H32702" s="680" t="s">
        <v>6153</v>
      </c>
    </row>
    <row r="32703" spans="8:8">
      <c r="H32703" s="680" t="s">
        <v>6153</v>
      </c>
    </row>
    <row r="32704" spans="8:8">
      <c r="H32704" s="680" t="s">
        <v>6153</v>
      </c>
    </row>
    <row r="32705" spans="8:8">
      <c r="H32705" s="680" t="s">
        <v>6153</v>
      </c>
    </row>
    <row r="32706" spans="8:8">
      <c r="H32706" s="680" t="s">
        <v>6153</v>
      </c>
    </row>
    <row r="32707" spans="8:8">
      <c r="H32707" s="680" t="s">
        <v>6153</v>
      </c>
    </row>
    <row r="32708" spans="8:8">
      <c r="H32708" s="680" t="s">
        <v>6153</v>
      </c>
    </row>
    <row r="32709" spans="8:8">
      <c r="H32709" s="680" t="s">
        <v>6153</v>
      </c>
    </row>
    <row r="32710" spans="8:8">
      <c r="H32710" s="680" t="s">
        <v>6153</v>
      </c>
    </row>
    <row r="32711" spans="8:8">
      <c r="H32711" s="680" t="s">
        <v>6153</v>
      </c>
    </row>
    <row r="32712" spans="8:8">
      <c r="H32712" s="680" t="s">
        <v>6153</v>
      </c>
    </row>
    <row r="32713" spans="8:8">
      <c r="H32713" s="680" t="s">
        <v>6153</v>
      </c>
    </row>
    <row r="32714" spans="8:8">
      <c r="H32714" s="680" t="s">
        <v>6153</v>
      </c>
    </row>
    <row r="32715" spans="8:8">
      <c r="H32715" s="680" t="s">
        <v>6153</v>
      </c>
    </row>
    <row r="32716" spans="8:8">
      <c r="H32716" s="680" t="s">
        <v>6153</v>
      </c>
    </row>
    <row r="32717" spans="8:8">
      <c r="H32717" s="680" t="s">
        <v>6153</v>
      </c>
    </row>
    <row r="32718" spans="8:8">
      <c r="H32718" s="680" t="s">
        <v>6153</v>
      </c>
    </row>
    <row r="32719" spans="8:8">
      <c r="H32719" s="680" t="s">
        <v>6153</v>
      </c>
    </row>
    <row r="32720" spans="8:8">
      <c r="H32720" s="680" t="s">
        <v>6153</v>
      </c>
    </row>
    <row r="32721" spans="8:8">
      <c r="H32721" s="680" t="s">
        <v>6153</v>
      </c>
    </row>
    <row r="32722" spans="8:8">
      <c r="H32722" s="680" t="s">
        <v>6153</v>
      </c>
    </row>
    <row r="32723" spans="8:8">
      <c r="H32723" s="680" t="s">
        <v>6153</v>
      </c>
    </row>
    <row r="32724" spans="8:8">
      <c r="H32724" s="680" t="s">
        <v>6153</v>
      </c>
    </row>
    <row r="32725" spans="8:8">
      <c r="H32725" s="680" t="s">
        <v>6153</v>
      </c>
    </row>
    <row r="32726" spans="8:8">
      <c r="H32726" s="680" t="s">
        <v>6153</v>
      </c>
    </row>
    <row r="32727" spans="8:8">
      <c r="H32727" s="680" t="s">
        <v>6153</v>
      </c>
    </row>
    <row r="32728" spans="8:8">
      <c r="H32728" s="680" t="s">
        <v>6153</v>
      </c>
    </row>
    <row r="32729" spans="8:8">
      <c r="H32729" s="680" t="s">
        <v>6153</v>
      </c>
    </row>
    <row r="32730" spans="8:8">
      <c r="H32730" s="680" t="s">
        <v>6153</v>
      </c>
    </row>
    <row r="32731" spans="8:8">
      <c r="H32731" s="680" t="s">
        <v>6153</v>
      </c>
    </row>
    <row r="32732" spans="8:8">
      <c r="H32732" s="680" t="s">
        <v>6153</v>
      </c>
    </row>
    <row r="32733" spans="8:8">
      <c r="H32733" s="680" t="s">
        <v>6153</v>
      </c>
    </row>
    <row r="32734" spans="8:8">
      <c r="H32734" s="680" t="s">
        <v>6153</v>
      </c>
    </row>
    <row r="32735" spans="8:8">
      <c r="H32735" s="680" t="s">
        <v>6153</v>
      </c>
    </row>
    <row r="32736" spans="8:8">
      <c r="H32736" s="680" t="s">
        <v>6153</v>
      </c>
    </row>
    <row r="32737" spans="8:8">
      <c r="H32737" s="680" t="s">
        <v>6153</v>
      </c>
    </row>
    <row r="32738" spans="8:8">
      <c r="H32738" s="680" t="s">
        <v>6153</v>
      </c>
    </row>
    <row r="32739" spans="8:8">
      <c r="H32739" s="680" t="s">
        <v>6153</v>
      </c>
    </row>
    <row r="32740" spans="8:8">
      <c r="H32740" s="680" t="s">
        <v>6153</v>
      </c>
    </row>
    <row r="32741" spans="8:8">
      <c r="H32741" s="680" t="s">
        <v>6153</v>
      </c>
    </row>
    <row r="32742" spans="8:8">
      <c r="H32742" s="680" t="s">
        <v>6153</v>
      </c>
    </row>
    <row r="32743" spans="8:8">
      <c r="H32743" s="680" t="s">
        <v>6153</v>
      </c>
    </row>
    <row r="32744" spans="8:8">
      <c r="H32744" s="680" t="s">
        <v>6153</v>
      </c>
    </row>
    <row r="32745" spans="8:8">
      <c r="H32745" s="680" t="s">
        <v>6153</v>
      </c>
    </row>
    <row r="32746" spans="8:8">
      <c r="H32746" s="680" t="s">
        <v>6153</v>
      </c>
    </row>
    <row r="32747" spans="8:8">
      <c r="H32747" s="680" t="s">
        <v>6153</v>
      </c>
    </row>
    <row r="32748" spans="8:8">
      <c r="H32748" s="680" t="s">
        <v>6153</v>
      </c>
    </row>
    <row r="32749" spans="8:8">
      <c r="H32749" s="680" t="s">
        <v>6153</v>
      </c>
    </row>
    <row r="32750" spans="8:8">
      <c r="H32750" s="680" t="s">
        <v>6153</v>
      </c>
    </row>
    <row r="32751" spans="8:8">
      <c r="H32751" s="680" t="s">
        <v>6153</v>
      </c>
    </row>
    <row r="32752" spans="8:8">
      <c r="H32752" s="680" t="s">
        <v>6153</v>
      </c>
    </row>
    <row r="32753" spans="8:8">
      <c r="H32753" s="680" t="s">
        <v>6153</v>
      </c>
    </row>
    <row r="32754" spans="8:8">
      <c r="H32754" s="680" t="s">
        <v>6153</v>
      </c>
    </row>
    <row r="32755" spans="8:8">
      <c r="H32755" s="680" t="s">
        <v>6153</v>
      </c>
    </row>
    <row r="32756" spans="8:8">
      <c r="H32756" s="680" t="s">
        <v>6153</v>
      </c>
    </row>
    <row r="32757" spans="8:8">
      <c r="H32757" s="680" t="s">
        <v>6153</v>
      </c>
    </row>
    <row r="32758" spans="8:8">
      <c r="H32758" s="680" t="s">
        <v>6153</v>
      </c>
    </row>
    <row r="32759" spans="8:8">
      <c r="H32759" s="680" t="s">
        <v>6153</v>
      </c>
    </row>
    <row r="32760" spans="8:8">
      <c r="H32760" s="680" t="s">
        <v>6153</v>
      </c>
    </row>
    <row r="32761" spans="8:8">
      <c r="H32761" s="680" t="s">
        <v>6153</v>
      </c>
    </row>
    <row r="32762" spans="8:8">
      <c r="H32762" s="680" t="s">
        <v>6153</v>
      </c>
    </row>
    <row r="32763" spans="8:8">
      <c r="H32763" s="680" t="s">
        <v>6153</v>
      </c>
    </row>
    <row r="32764" spans="8:8">
      <c r="H32764" s="680" t="s">
        <v>6153</v>
      </c>
    </row>
    <row r="32765" spans="8:8">
      <c r="H32765" s="680" t="s">
        <v>6153</v>
      </c>
    </row>
    <row r="32766" spans="8:8">
      <c r="H32766" s="680" t="s">
        <v>6153</v>
      </c>
    </row>
    <row r="32767" spans="8:8">
      <c r="H32767" s="680" t="s">
        <v>6153</v>
      </c>
    </row>
    <row r="32768" spans="8:8">
      <c r="H32768" s="680" t="s">
        <v>6153</v>
      </c>
    </row>
    <row r="32769" spans="8:8">
      <c r="H32769" s="680" t="s">
        <v>6153</v>
      </c>
    </row>
    <row r="32770" spans="8:8">
      <c r="H32770" s="680" t="s">
        <v>6153</v>
      </c>
    </row>
    <row r="32771" spans="8:8">
      <c r="H32771" s="680" t="s">
        <v>6153</v>
      </c>
    </row>
    <row r="32772" spans="8:8">
      <c r="H32772" s="680" t="s">
        <v>6153</v>
      </c>
    </row>
    <row r="32773" spans="8:8">
      <c r="H32773" s="680" t="s">
        <v>6153</v>
      </c>
    </row>
    <row r="32774" spans="8:8">
      <c r="H32774" s="680" t="s">
        <v>6153</v>
      </c>
    </row>
    <row r="32775" spans="8:8">
      <c r="H32775" s="680" t="s">
        <v>6153</v>
      </c>
    </row>
    <row r="32776" spans="8:8">
      <c r="H32776" s="680" t="s">
        <v>6153</v>
      </c>
    </row>
    <row r="32777" spans="8:8">
      <c r="H32777" s="680" t="s">
        <v>6153</v>
      </c>
    </row>
    <row r="32778" spans="8:8">
      <c r="H32778" s="680" t="s">
        <v>6153</v>
      </c>
    </row>
    <row r="32779" spans="8:8">
      <c r="H32779" s="680" t="s">
        <v>6153</v>
      </c>
    </row>
    <row r="32780" spans="8:8">
      <c r="H32780" s="680" t="s">
        <v>6153</v>
      </c>
    </row>
    <row r="32781" spans="8:8">
      <c r="H32781" s="680" t="s">
        <v>6153</v>
      </c>
    </row>
    <row r="32782" spans="8:8">
      <c r="H32782" s="680" t="s">
        <v>6153</v>
      </c>
    </row>
    <row r="32783" spans="8:8">
      <c r="H32783" s="680" t="s">
        <v>6153</v>
      </c>
    </row>
    <row r="32784" spans="8:8">
      <c r="H32784" s="680" t="s">
        <v>6153</v>
      </c>
    </row>
    <row r="32785" spans="8:8">
      <c r="H32785" s="680" t="s">
        <v>6153</v>
      </c>
    </row>
    <row r="32786" spans="8:8">
      <c r="H32786" s="680" t="s">
        <v>6153</v>
      </c>
    </row>
    <row r="32787" spans="8:8">
      <c r="H32787" s="680" t="s">
        <v>6153</v>
      </c>
    </row>
    <row r="32788" spans="8:8">
      <c r="H32788" s="680" t="s">
        <v>6153</v>
      </c>
    </row>
    <row r="32789" spans="8:8">
      <c r="H32789" s="680" t="s">
        <v>6153</v>
      </c>
    </row>
    <row r="32790" spans="8:8">
      <c r="H32790" s="680" t="s">
        <v>6153</v>
      </c>
    </row>
    <row r="32791" spans="8:8">
      <c r="H32791" s="680" t="s">
        <v>6153</v>
      </c>
    </row>
    <row r="32792" spans="8:8">
      <c r="H32792" s="680" t="s">
        <v>6153</v>
      </c>
    </row>
    <row r="32793" spans="8:8">
      <c r="H32793" s="680" t="s">
        <v>6153</v>
      </c>
    </row>
    <row r="32794" spans="8:8">
      <c r="H32794" s="680" t="s">
        <v>6153</v>
      </c>
    </row>
    <row r="32795" spans="8:8">
      <c r="H32795" s="680" t="s">
        <v>6153</v>
      </c>
    </row>
    <row r="32796" spans="8:8">
      <c r="H32796" s="680" t="s">
        <v>6153</v>
      </c>
    </row>
    <row r="32797" spans="8:8">
      <c r="H32797" s="680" t="s">
        <v>6153</v>
      </c>
    </row>
    <row r="32798" spans="8:8">
      <c r="H32798" s="680" t="s">
        <v>6153</v>
      </c>
    </row>
    <row r="32799" spans="8:8">
      <c r="H32799" s="680" t="s">
        <v>6153</v>
      </c>
    </row>
    <row r="32800" spans="8:8">
      <c r="H32800" s="680" t="s">
        <v>6153</v>
      </c>
    </row>
    <row r="32801" spans="8:8">
      <c r="H32801" s="680" t="s">
        <v>6153</v>
      </c>
    </row>
    <row r="32802" spans="8:8">
      <c r="H32802" s="680" t="s">
        <v>6153</v>
      </c>
    </row>
    <row r="32803" spans="8:8">
      <c r="H32803" s="680" t="s">
        <v>6153</v>
      </c>
    </row>
    <row r="32804" spans="8:8">
      <c r="H32804" s="680" t="s">
        <v>6153</v>
      </c>
    </row>
    <row r="32805" spans="8:8">
      <c r="H32805" s="680" t="s">
        <v>6153</v>
      </c>
    </row>
    <row r="32806" spans="8:8">
      <c r="H32806" s="680" t="s">
        <v>6153</v>
      </c>
    </row>
    <row r="32807" spans="8:8">
      <c r="H32807" s="680" t="s">
        <v>6153</v>
      </c>
    </row>
    <row r="32808" spans="8:8">
      <c r="H32808" s="680" t="s">
        <v>6153</v>
      </c>
    </row>
    <row r="32809" spans="8:8">
      <c r="H32809" s="680" t="s">
        <v>6153</v>
      </c>
    </row>
    <row r="32810" spans="8:8">
      <c r="H32810" s="680" t="s">
        <v>6153</v>
      </c>
    </row>
    <row r="32811" spans="8:8">
      <c r="H32811" s="680" t="s">
        <v>6153</v>
      </c>
    </row>
    <row r="32812" spans="8:8">
      <c r="H32812" s="680" t="s">
        <v>6153</v>
      </c>
    </row>
    <row r="32813" spans="8:8">
      <c r="H32813" s="680" t="s">
        <v>6153</v>
      </c>
    </row>
    <row r="32814" spans="8:8">
      <c r="H32814" s="680" t="s">
        <v>6153</v>
      </c>
    </row>
    <row r="32815" spans="8:8">
      <c r="H32815" s="680" t="s">
        <v>6153</v>
      </c>
    </row>
    <row r="32816" spans="8:8">
      <c r="H32816" s="680" t="s">
        <v>6153</v>
      </c>
    </row>
    <row r="32817" spans="8:8">
      <c r="H32817" s="680" t="s">
        <v>6153</v>
      </c>
    </row>
    <row r="32818" spans="8:8">
      <c r="H32818" s="680" t="s">
        <v>6153</v>
      </c>
    </row>
    <row r="32819" spans="8:8">
      <c r="H32819" s="680" t="s">
        <v>6153</v>
      </c>
    </row>
    <row r="32820" spans="8:8">
      <c r="H32820" s="680" t="s">
        <v>6153</v>
      </c>
    </row>
    <row r="32821" spans="8:8">
      <c r="H32821" s="680" t="s">
        <v>6153</v>
      </c>
    </row>
    <row r="32822" spans="8:8">
      <c r="H32822" s="680" t="s">
        <v>6153</v>
      </c>
    </row>
    <row r="32823" spans="8:8">
      <c r="H32823" s="680" t="s">
        <v>6153</v>
      </c>
    </row>
    <row r="32824" spans="8:8">
      <c r="H32824" s="680" t="s">
        <v>6153</v>
      </c>
    </row>
    <row r="32825" spans="8:8">
      <c r="H32825" s="680" t="s">
        <v>6153</v>
      </c>
    </row>
    <row r="32826" spans="8:8">
      <c r="H32826" s="680" t="s">
        <v>6153</v>
      </c>
    </row>
    <row r="32827" spans="8:8">
      <c r="H32827" s="680" t="s">
        <v>6153</v>
      </c>
    </row>
    <row r="32828" spans="8:8">
      <c r="H32828" s="680" t="s">
        <v>6153</v>
      </c>
    </row>
    <row r="32829" spans="8:8">
      <c r="H32829" s="680" t="s">
        <v>6153</v>
      </c>
    </row>
    <row r="32830" spans="8:8">
      <c r="H32830" s="680" t="s">
        <v>6153</v>
      </c>
    </row>
    <row r="32831" spans="8:8">
      <c r="H32831" s="680" t="s">
        <v>6153</v>
      </c>
    </row>
    <row r="32832" spans="8:8">
      <c r="H32832" s="680" t="s">
        <v>6153</v>
      </c>
    </row>
    <row r="32833" spans="8:8">
      <c r="H32833" s="680" t="s">
        <v>6153</v>
      </c>
    </row>
    <row r="32834" spans="8:8">
      <c r="H32834" s="680" t="s">
        <v>6153</v>
      </c>
    </row>
    <row r="32835" spans="8:8">
      <c r="H32835" s="680" t="s">
        <v>6153</v>
      </c>
    </row>
    <row r="32836" spans="8:8">
      <c r="H32836" s="680" t="s">
        <v>6153</v>
      </c>
    </row>
    <row r="32837" spans="8:8">
      <c r="H32837" s="680" t="s">
        <v>6153</v>
      </c>
    </row>
    <row r="32838" spans="8:8">
      <c r="H32838" s="680" t="s">
        <v>6153</v>
      </c>
    </row>
    <row r="32839" spans="8:8">
      <c r="H32839" s="680" t="s">
        <v>6153</v>
      </c>
    </row>
    <row r="32840" spans="8:8">
      <c r="H32840" s="680" t="s">
        <v>6153</v>
      </c>
    </row>
    <row r="32841" spans="8:8">
      <c r="H32841" s="680" t="s">
        <v>6153</v>
      </c>
    </row>
    <row r="32842" spans="8:8">
      <c r="H32842" s="680" t="s">
        <v>6153</v>
      </c>
    </row>
    <row r="32843" spans="8:8">
      <c r="H32843" s="680" t="s">
        <v>6153</v>
      </c>
    </row>
    <row r="32844" spans="8:8">
      <c r="H32844" s="680" t="s">
        <v>6153</v>
      </c>
    </row>
    <row r="32845" spans="8:8">
      <c r="H32845" s="680" t="s">
        <v>6153</v>
      </c>
    </row>
    <row r="32846" spans="8:8">
      <c r="H32846" s="680" t="s">
        <v>6153</v>
      </c>
    </row>
    <row r="32847" spans="8:8">
      <c r="H32847" s="680" t="s">
        <v>6153</v>
      </c>
    </row>
    <row r="32848" spans="8:8">
      <c r="H32848" s="680" t="s">
        <v>6153</v>
      </c>
    </row>
    <row r="32849" spans="8:8">
      <c r="H32849" s="680" t="s">
        <v>6153</v>
      </c>
    </row>
    <row r="32850" spans="8:8">
      <c r="H32850" s="680" t="s">
        <v>6153</v>
      </c>
    </row>
    <row r="32851" spans="8:8">
      <c r="H32851" s="680" t="s">
        <v>6153</v>
      </c>
    </row>
    <row r="32852" spans="8:8">
      <c r="H32852" s="680" t="s">
        <v>6153</v>
      </c>
    </row>
    <row r="32853" spans="8:8">
      <c r="H32853" s="680" t="s">
        <v>6153</v>
      </c>
    </row>
    <row r="32854" spans="8:8">
      <c r="H32854" s="680" t="s">
        <v>6153</v>
      </c>
    </row>
    <row r="32855" spans="8:8">
      <c r="H32855" s="680" t="s">
        <v>6153</v>
      </c>
    </row>
    <row r="32856" spans="8:8">
      <c r="H32856" s="680" t="s">
        <v>6153</v>
      </c>
    </row>
    <row r="32857" spans="8:8">
      <c r="H32857" s="680" t="s">
        <v>6153</v>
      </c>
    </row>
    <row r="32858" spans="8:8">
      <c r="H32858" s="680" t="s">
        <v>6153</v>
      </c>
    </row>
    <row r="32859" spans="8:8">
      <c r="H32859" s="680" t="s">
        <v>6153</v>
      </c>
    </row>
    <row r="32860" spans="8:8">
      <c r="H32860" s="680" t="s">
        <v>6153</v>
      </c>
    </row>
    <row r="32861" spans="8:8">
      <c r="H32861" s="680" t="s">
        <v>6153</v>
      </c>
    </row>
    <row r="32862" spans="8:8">
      <c r="H32862" s="680" t="s">
        <v>6153</v>
      </c>
    </row>
    <row r="32863" spans="8:8">
      <c r="H32863" s="680" t="s">
        <v>6153</v>
      </c>
    </row>
    <row r="32864" spans="8:8">
      <c r="H32864" s="680" t="s">
        <v>6153</v>
      </c>
    </row>
    <row r="32865" spans="8:8">
      <c r="H32865" s="680" t="s">
        <v>6153</v>
      </c>
    </row>
    <row r="32866" spans="8:8">
      <c r="H32866" s="680" t="s">
        <v>6153</v>
      </c>
    </row>
    <row r="32867" spans="8:8">
      <c r="H32867" s="680" t="s">
        <v>6153</v>
      </c>
    </row>
    <row r="32868" spans="8:8">
      <c r="H32868" s="680" t="s">
        <v>6153</v>
      </c>
    </row>
    <row r="32869" spans="8:8">
      <c r="H32869" s="680" t="s">
        <v>6153</v>
      </c>
    </row>
    <row r="32870" spans="8:8">
      <c r="H32870" s="680" t="s">
        <v>6153</v>
      </c>
    </row>
    <row r="32871" spans="8:8">
      <c r="H32871" s="680" t="s">
        <v>6153</v>
      </c>
    </row>
    <row r="32872" spans="8:8">
      <c r="H32872" s="680" t="s">
        <v>6153</v>
      </c>
    </row>
    <row r="32873" spans="8:8">
      <c r="H32873" s="680" t="s">
        <v>6153</v>
      </c>
    </row>
    <row r="32874" spans="8:8">
      <c r="H32874" s="680" t="s">
        <v>6153</v>
      </c>
    </row>
    <row r="32875" spans="8:8">
      <c r="H32875" s="680" t="s">
        <v>6153</v>
      </c>
    </row>
    <row r="32876" spans="8:8">
      <c r="H32876" s="680" t="s">
        <v>6153</v>
      </c>
    </row>
    <row r="32877" spans="8:8">
      <c r="H32877" s="680" t="s">
        <v>6153</v>
      </c>
    </row>
    <row r="32878" spans="8:8">
      <c r="H32878" s="680" t="s">
        <v>6153</v>
      </c>
    </row>
    <row r="32879" spans="8:8">
      <c r="H32879" s="680" t="s">
        <v>6153</v>
      </c>
    </row>
    <row r="32880" spans="8:8">
      <c r="H32880" s="680" t="s">
        <v>6153</v>
      </c>
    </row>
    <row r="32881" spans="8:8">
      <c r="H32881" s="680" t="s">
        <v>6153</v>
      </c>
    </row>
    <row r="32882" spans="8:8">
      <c r="H32882" s="680" t="s">
        <v>6153</v>
      </c>
    </row>
    <row r="32883" spans="8:8">
      <c r="H32883" s="680" t="s">
        <v>6153</v>
      </c>
    </row>
    <row r="32884" spans="8:8">
      <c r="H32884" s="680" t="s">
        <v>6153</v>
      </c>
    </row>
    <row r="32885" spans="8:8">
      <c r="H32885" s="680" t="s">
        <v>6153</v>
      </c>
    </row>
    <row r="32886" spans="8:8">
      <c r="H32886" s="680" t="s">
        <v>6153</v>
      </c>
    </row>
    <row r="32887" spans="8:8">
      <c r="H32887" s="680" t="s">
        <v>6153</v>
      </c>
    </row>
    <row r="32888" spans="8:8">
      <c r="H32888" s="680" t="s">
        <v>6153</v>
      </c>
    </row>
    <row r="32889" spans="8:8">
      <c r="H32889" s="680" t="s">
        <v>6153</v>
      </c>
    </row>
    <row r="32890" spans="8:8">
      <c r="H32890" s="680" t="s">
        <v>6153</v>
      </c>
    </row>
    <row r="32891" spans="8:8">
      <c r="H32891" s="680" t="s">
        <v>6153</v>
      </c>
    </row>
    <row r="32892" spans="8:8">
      <c r="H32892" s="680" t="s">
        <v>6153</v>
      </c>
    </row>
    <row r="32893" spans="8:8">
      <c r="H32893" s="680" t="s">
        <v>6153</v>
      </c>
    </row>
    <row r="32894" spans="8:8">
      <c r="H32894" s="680" t="s">
        <v>6153</v>
      </c>
    </row>
    <row r="32895" spans="8:8">
      <c r="H32895" s="680" t="s">
        <v>6153</v>
      </c>
    </row>
    <row r="32896" spans="8:8">
      <c r="H32896" s="680" t="s">
        <v>6153</v>
      </c>
    </row>
    <row r="32897" spans="8:8">
      <c r="H32897" s="680" t="s">
        <v>6153</v>
      </c>
    </row>
    <row r="32898" spans="8:8">
      <c r="H32898" s="680" t="s">
        <v>6153</v>
      </c>
    </row>
    <row r="32899" spans="8:8">
      <c r="H32899" s="680" t="s">
        <v>6153</v>
      </c>
    </row>
    <row r="32900" spans="8:8">
      <c r="H32900" s="680" t="s">
        <v>6153</v>
      </c>
    </row>
    <row r="32901" spans="8:8">
      <c r="H32901" s="680" t="s">
        <v>6153</v>
      </c>
    </row>
    <row r="32902" spans="8:8">
      <c r="H32902" s="680" t="s">
        <v>6153</v>
      </c>
    </row>
    <row r="32903" spans="8:8">
      <c r="H32903" s="680" t="s">
        <v>6153</v>
      </c>
    </row>
    <row r="32904" spans="8:8">
      <c r="H32904" s="680" t="s">
        <v>6153</v>
      </c>
    </row>
    <row r="32905" spans="8:8">
      <c r="H32905" s="680" t="s">
        <v>6153</v>
      </c>
    </row>
    <row r="32906" spans="8:8">
      <c r="H32906" s="680" t="s">
        <v>6153</v>
      </c>
    </row>
    <row r="32907" spans="8:8">
      <c r="H32907" s="680" t="s">
        <v>6153</v>
      </c>
    </row>
    <row r="32908" spans="8:8">
      <c r="H32908" s="680" t="s">
        <v>6153</v>
      </c>
    </row>
    <row r="32909" spans="8:8">
      <c r="H32909" s="680" t="s">
        <v>6153</v>
      </c>
    </row>
    <row r="32910" spans="8:8">
      <c r="H32910" s="680" t="s">
        <v>6153</v>
      </c>
    </row>
    <row r="32911" spans="8:8">
      <c r="H32911" s="680" t="s">
        <v>6153</v>
      </c>
    </row>
    <row r="32912" spans="8:8">
      <c r="H32912" s="680" t="s">
        <v>6153</v>
      </c>
    </row>
    <row r="32913" spans="8:8">
      <c r="H32913" s="680" t="s">
        <v>6153</v>
      </c>
    </row>
    <row r="32914" spans="8:8">
      <c r="H32914" s="680" t="s">
        <v>6153</v>
      </c>
    </row>
    <row r="32915" spans="8:8">
      <c r="H32915" s="680" t="s">
        <v>6153</v>
      </c>
    </row>
    <row r="32916" spans="8:8">
      <c r="H32916" s="680" t="s">
        <v>6153</v>
      </c>
    </row>
    <row r="32917" spans="8:8">
      <c r="H32917" s="680" t="s">
        <v>6153</v>
      </c>
    </row>
    <row r="32918" spans="8:8">
      <c r="H32918" s="680" t="s">
        <v>6153</v>
      </c>
    </row>
    <row r="32919" spans="8:8">
      <c r="H32919" s="680" t="s">
        <v>6153</v>
      </c>
    </row>
    <row r="32920" spans="8:8">
      <c r="H32920" s="680" t="s">
        <v>6153</v>
      </c>
    </row>
    <row r="32921" spans="8:8">
      <c r="H32921" s="680" t="s">
        <v>6153</v>
      </c>
    </row>
    <row r="32922" spans="8:8">
      <c r="H32922" s="680" t="s">
        <v>6153</v>
      </c>
    </row>
    <row r="32923" spans="8:8">
      <c r="H32923" s="680" t="s">
        <v>6153</v>
      </c>
    </row>
    <row r="32924" spans="8:8">
      <c r="H32924" s="680" t="s">
        <v>6153</v>
      </c>
    </row>
    <row r="32925" spans="8:8">
      <c r="H32925" s="680" t="s">
        <v>6153</v>
      </c>
    </row>
    <row r="32926" spans="8:8">
      <c r="H32926" s="680" t="s">
        <v>6153</v>
      </c>
    </row>
    <row r="32927" spans="8:8">
      <c r="H32927" s="680" t="s">
        <v>6153</v>
      </c>
    </row>
    <row r="32928" spans="8:8">
      <c r="H32928" s="680" t="s">
        <v>6153</v>
      </c>
    </row>
    <row r="32929" spans="8:8">
      <c r="H32929" s="680" t="s">
        <v>6153</v>
      </c>
    </row>
    <row r="32930" spans="8:8">
      <c r="H32930" s="680" t="s">
        <v>6153</v>
      </c>
    </row>
    <row r="32931" spans="8:8">
      <c r="H32931" s="680" t="s">
        <v>6153</v>
      </c>
    </row>
    <row r="32932" spans="8:8">
      <c r="H32932" s="680" t="s">
        <v>6153</v>
      </c>
    </row>
    <row r="32933" spans="8:8">
      <c r="H32933" s="680" t="s">
        <v>6153</v>
      </c>
    </row>
    <row r="32934" spans="8:8">
      <c r="H32934" s="680" t="s">
        <v>6153</v>
      </c>
    </row>
    <row r="32935" spans="8:8">
      <c r="H32935" s="680" t="s">
        <v>6153</v>
      </c>
    </row>
    <row r="32936" spans="8:8">
      <c r="H32936" s="680" t="s">
        <v>6153</v>
      </c>
    </row>
    <row r="32937" spans="8:8">
      <c r="H32937" s="680" t="s">
        <v>6153</v>
      </c>
    </row>
    <row r="32938" spans="8:8">
      <c r="H32938" s="680" t="s">
        <v>6153</v>
      </c>
    </row>
    <row r="32939" spans="8:8">
      <c r="H32939" s="680" t="s">
        <v>6153</v>
      </c>
    </row>
    <row r="32940" spans="8:8">
      <c r="H32940" s="680" t="s">
        <v>6153</v>
      </c>
    </row>
    <row r="32941" spans="8:8">
      <c r="H32941" s="680" t="s">
        <v>6153</v>
      </c>
    </row>
    <row r="32942" spans="8:8">
      <c r="H32942" s="680" t="s">
        <v>6153</v>
      </c>
    </row>
    <row r="32943" spans="8:8">
      <c r="H32943" s="680" t="s">
        <v>6153</v>
      </c>
    </row>
    <row r="32944" spans="8:8">
      <c r="H32944" s="680" t="s">
        <v>6153</v>
      </c>
    </row>
    <row r="32945" spans="8:8">
      <c r="H32945" s="680" t="s">
        <v>6153</v>
      </c>
    </row>
    <row r="32946" spans="8:8">
      <c r="H32946" s="680" t="s">
        <v>6153</v>
      </c>
    </row>
    <row r="32947" spans="8:8">
      <c r="H32947" s="680" t="s">
        <v>6153</v>
      </c>
    </row>
    <row r="32948" spans="8:8">
      <c r="H32948" s="680" t="s">
        <v>6153</v>
      </c>
    </row>
    <row r="32949" spans="8:8">
      <c r="H32949" s="680" t="s">
        <v>6153</v>
      </c>
    </row>
    <row r="32950" spans="8:8">
      <c r="H32950" s="680" t="s">
        <v>6153</v>
      </c>
    </row>
    <row r="32951" spans="8:8">
      <c r="H32951" s="680" t="s">
        <v>6153</v>
      </c>
    </row>
    <row r="32952" spans="8:8">
      <c r="H32952" s="680" t="s">
        <v>6153</v>
      </c>
    </row>
    <row r="32953" spans="8:8">
      <c r="H32953" s="680" t="s">
        <v>6153</v>
      </c>
    </row>
    <row r="32954" spans="8:8">
      <c r="H32954" s="680" t="s">
        <v>6153</v>
      </c>
    </row>
    <row r="32955" spans="8:8">
      <c r="H32955" s="680" t="s">
        <v>6153</v>
      </c>
    </row>
    <row r="32956" spans="8:8">
      <c r="H32956" s="680" t="s">
        <v>6153</v>
      </c>
    </row>
    <row r="32957" spans="8:8">
      <c r="H32957" s="680" t="s">
        <v>6153</v>
      </c>
    </row>
    <row r="32958" spans="8:8">
      <c r="H32958" s="680" t="s">
        <v>6153</v>
      </c>
    </row>
    <row r="32959" spans="8:8">
      <c r="H32959" s="680" t="s">
        <v>6153</v>
      </c>
    </row>
    <row r="32960" spans="8:8">
      <c r="H32960" s="680" t="s">
        <v>6153</v>
      </c>
    </row>
    <row r="32961" spans="8:8">
      <c r="H32961" s="680" t="s">
        <v>6153</v>
      </c>
    </row>
    <row r="32962" spans="8:8">
      <c r="H32962" s="680" t="s">
        <v>6153</v>
      </c>
    </row>
    <row r="32963" spans="8:8">
      <c r="H32963" s="680" t="s">
        <v>6153</v>
      </c>
    </row>
    <row r="32964" spans="8:8">
      <c r="H32964" s="680" t="s">
        <v>6153</v>
      </c>
    </row>
    <row r="32965" spans="8:8">
      <c r="H32965" s="680" t="s">
        <v>6153</v>
      </c>
    </row>
    <row r="32966" spans="8:8">
      <c r="H32966" s="680" t="s">
        <v>6153</v>
      </c>
    </row>
    <row r="32967" spans="8:8">
      <c r="H32967" s="680" t="s">
        <v>6153</v>
      </c>
    </row>
    <row r="32968" spans="8:8">
      <c r="H32968" s="680" t="s">
        <v>6153</v>
      </c>
    </row>
    <row r="32969" spans="8:8">
      <c r="H32969" s="680" t="s">
        <v>6153</v>
      </c>
    </row>
    <row r="32970" spans="8:8">
      <c r="H32970" s="680" t="s">
        <v>6153</v>
      </c>
    </row>
    <row r="32971" spans="8:8">
      <c r="H32971" s="680" t="s">
        <v>6153</v>
      </c>
    </row>
    <row r="32972" spans="8:8">
      <c r="H32972" s="680" t="s">
        <v>6153</v>
      </c>
    </row>
    <row r="32973" spans="8:8">
      <c r="H32973" s="680" t="s">
        <v>6153</v>
      </c>
    </row>
    <row r="32974" spans="8:8">
      <c r="H32974" s="680" t="s">
        <v>6153</v>
      </c>
    </row>
    <row r="32975" spans="8:8">
      <c r="H32975" s="680" t="s">
        <v>6153</v>
      </c>
    </row>
    <row r="32976" spans="8:8">
      <c r="H32976" s="680" t="s">
        <v>6153</v>
      </c>
    </row>
    <row r="32977" spans="8:8">
      <c r="H32977" s="680" t="s">
        <v>6153</v>
      </c>
    </row>
    <row r="32978" spans="8:8">
      <c r="H32978" s="680" t="s">
        <v>6153</v>
      </c>
    </row>
    <row r="32979" spans="8:8">
      <c r="H32979" s="680" t="s">
        <v>6153</v>
      </c>
    </row>
    <row r="32980" spans="8:8">
      <c r="H32980" s="680" t="s">
        <v>6153</v>
      </c>
    </row>
    <row r="32981" spans="8:8">
      <c r="H32981" s="680" t="s">
        <v>6153</v>
      </c>
    </row>
    <row r="32982" spans="8:8">
      <c r="H32982" s="680" t="s">
        <v>6153</v>
      </c>
    </row>
    <row r="32983" spans="8:8">
      <c r="H32983" s="680" t="s">
        <v>6153</v>
      </c>
    </row>
    <row r="32984" spans="8:8">
      <c r="H32984" s="680" t="s">
        <v>6153</v>
      </c>
    </row>
    <row r="32985" spans="8:8">
      <c r="H32985" s="680" t="s">
        <v>6153</v>
      </c>
    </row>
    <row r="32986" spans="8:8">
      <c r="H32986" s="680" t="s">
        <v>6153</v>
      </c>
    </row>
    <row r="32987" spans="8:8">
      <c r="H32987" s="680" t="s">
        <v>6153</v>
      </c>
    </row>
    <row r="32988" spans="8:8">
      <c r="H32988" s="680" t="s">
        <v>6153</v>
      </c>
    </row>
    <row r="32989" spans="8:8">
      <c r="H32989" s="680" t="s">
        <v>6153</v>
      </c>
    </row>
    <row r="32990" spans="8:8">
      <c r="H32990" s="680" t="s">
        <v>6153</v>
      </c>
    </row>
    <row r="32991" spans="8:8">
      <c r="H32991" s="680" t="s">
        <v>6153</v>
      </c>
    </row>
    <row r="32992" spans="8:8">
      <c r="H32992" s="680" t="s">
        <v>6153</v>
      </c>
    </row>
    <row r="32993" spans="8:8">
      <c r="H32993" s="680" t="s">
        <v>6153</v>
      </c>
    </row>
    <row r="32994" spans="8:8">
      <c r="H32994" s="680" t="s">
        <v>6153</v>
      </c>
    </row>
    <row r="32995" spans="8:8">
      <c r="H32995" s="680" t="s">
        <v>6153</v>
      </c>
    </row>
    <row r="32996" spans="8:8">
      <c r="H32996" s="680" t="s">
        <v>6153</v>
      </c>
    </row>
    <row r="32997" spans="8:8">
      <c r="H32997" s="680" t="s">
        <v>6153</v>
      </c>
    </row>
    <row r="32998" spans="8:8">
      <c r="H32998" s="680" t="s">
        <v>6153</v>
      </c>
    </row>
    <row r="32999" spans="8:8">
      <c r="H32999" s="680" t="s">
        <v>6153</v>
      </c>
    </row>
    <row r="33000" spans="8:8">
      <c r="H33000" s="680" t="s">
        <v>6153</v>
      </c>
    </row>
    <row r="33001" spans="8:8">
      <c r="H33001" s="680" t="s">
        <v>6153</v>
      </c>
    </row>
    <row r="33002" spans="8:8">
      <c r="H33002" s="680" t="s">
        <v>6153</v>
      </c>
    </row>
    <row r="33003" spans="8:8">
      <c r="H33003" s="680" t="s">
        <v>6153</v>
      </c>
    </row>
    <row r="33004" spans="8:8">
      <c r="H33004" s="680" t="s">
        <v>6153</v>
      </c>
    </row>
    <row r="33005" spans="8:8">
      <c r="H33005" s="680" t="s">
        <v>6153</v>
      </c>
    </row>
    <row r="33006" spans="8:8">
      <c r="H33006" s="680" t="s">
        <v>6153</v>
      </c>
    </row>
    <row r="33007" spans="8:8">
      <c r="H33007" s="680" t="s">
        <v>6153</v>
      </c>
    </row>
    <row r="33008" spans="8:8">
      <c r="H33008" s="680" t="s">
        <v>6153</v>
      </c>
    </row>
    <row r="33009" spans="8:8">
      <c r="H33009" s="680" t="s">
        <v>6153</v>
      </c>
    </row>
    <row r="33010" spans="8:8">
      <c r="H33010" s="680" t="s">
        <v>6153</v>
      </c>
    </row>
    <row r="33011" spans="8:8">
      <c r="H33011" s="680" t="s">
        <v>6153</v>
      </c>
    </row>
    <row r="33012" spans="8:8">
      <c r="H33012" s="680" t="s">
        <v>6153</v>
      </c>
    </row>
    <row r="33013" spans="8:8">
      <c r="H33013" s="680" t="s">
        <v>6153</v>
      </c>
    </row>
    <row r="33014" spans="8:8">
      <c r="H33014" s="680" t="s">
        <v>6153</v>
      </c>
    </row>
    <row r="33015" spans="8:8">
      <c r="H33015" s="680" t="s">
        <v>6153</v>
      </c>
    </row>
    <row r="33016" spans="8:8">
      <c r="H33016" s="680" t="s">
        <v>6153</v>
      </c>
    </row>
    <row r="33017" spans="8:8">
      <c r="H33017" s="680" t="s">
        <v>6153</v>
      </c>
    </row>
    <row r="33018" spans="8:8">
      <c r="H33018" s="680" t="s">
        <v>6153</v>
      </c>
    </row>
    <row r="33019" spans="8:8">
      <c r="H33019" s="680" t="s">
        <v>6153</v>
      </c>
    </row>
    <row r="33020" spans="8:8">
      <c r="H33020" s="680" t="s">
        <v>6153</v>
      </c>
    </row>
    <row r="33021" spans="8:8">
      <c r="H33021" s="680" t="s">
        <v>6153</v>
      </c>
    </row>
    <row r="33022" spans="8:8">
      <c r="H33022" s="680" t="s">
        <v>6153</v>
      </c>
    </row>
    <row r="33023" spans="8:8">
      <c r="H33023" s="680" t="s">
        <v>6153</v>
      </c>
    </row>
    <row r="33024" spans="8:8">
      <c r="H33024" s="680" t="s">
        <v>6153</v>
      </c>
    </row>
    <row r="33025" spans="8:8">
      <c r="H33025" s="680" t="s">
        <v>6153</v>
      </c>
    </row>
    <row r="33026" spans="8:8">
      <c r="H33026" s="680" t="s">
        <v>6153</v>
      </c>
    </row>
    <row r="33027" spans="8:8">
      <c r="H33027" s="680" t="s">
        <v>6153</v>
      </c>
    </row>
    <row r="33028" spans="8:8">
      <c r="H33028" s="680" t="s">
        <v>6153</v>
      </c>
    </row>
    <row r="33029" spans="8:8">
      <c r="H33029" s="680" t="s">
        <v>6153</v>
      </c>
    </row>
    <row r="33030" spans="8:8">
      <c r="H33030" s="680" t="s">
        <v>6153</v>
      </c>
    </row>
    <row r="33031" spans="8:8">
      <c r="H33031" s="680" t="s">
        <v>6153</v>
      </c>
    </row>
    <row r="33032" spans="8:8">
      <c r="H33032" s="680" t="s">
        <v>6153</v>
      </c>
    </row>
    <row r="33033" spans="8:8">
      <c r="H33033" s="680" t="s">
        <v>6153</v>
      </c>
    </row>
    <row r="33034" spans="8:8">
      <c r="H33034" s="680" t="s">
        <v>6153</v>
      </c>
    </row>
    <row r="33035" spans="8:8">
      <c r="H33035" s="680" t="s">
        <v>6153</v>
      </c>
    </row>
    <row r="33036" spans="8:8">
      <c r="H33036" s="680" t="s">
        <v>6153</v>
      </c>
    </row>
    <row r="33037" spans="8:8">
      <c r="H33037" s="680" t="s">
        <v>6153</v>
      </c>
    </row>
    <row r="33038" spans="8:8">
      <c r="H33038" s="680" t="s">
        <v>6153</v>
      </c>
    </row>
    <row r="33039" spans="8:8">
      <c r="H33039" s="680" t="s">
        <v>6153</v>
      </c>
    </row>
    <row r="33040" spans="8:8">
      <c r="H33040" s="680" t="s">
        <v>6153</v>
      </c>
    </row>
    <row r="33041" spans="8:8">
      <c r="H33041" s="680" t="s">
        <v>6153</v>
      </c>
    </row>
    <row r="33042" spans="8:8">
      <c r="H33042" s="680" t="s">
        <v>6153</v>
      </c>
    </row>
    <row r="33043" spans="8:8">
      <c r="H33043" s="680" t="s">
        <v>6153</v>
      </c>
    </row>
    <row r="33044" spans="8:8">
      <c r="H33044" s="680" t="s">
        <v>6153</v>
      </c>
    </row>
    <row r="33045" spans="8:8">
      <c r="H33045" s="680" t="s">
        <v>6153</v>
      </c>
    </row>
    <row r="33046" spans="8:8">
      <c r="H33046" s="680" t="s">
        <v>6153</v>
      </c>
    </row>
    <row r="33047" spans="8:8">
      <c r="H33047" s="680" t="s">
        <v>6153</v>
      </c>
    </row>
    <row r="33048" spans="8:8">
      <c r="H33048" s="680" t="s">
        <v>6153</v>
      </c>
    </row>
    <row r="33049" spans="8:8">
      <c r="H33049" s="680" t="s">
        <v>6153</v>
      </c>
    </row>
    <row r="33050" spans="8:8">
      <c r="H33050" s="680" t="s">
        <v>6153</v>
      </c>
    </row>
    <row r="33051" spans="8:8">
      <c r="H33051" s="680" t="s">
        <v>6153</v>
      </c>
    </row>
    <row r="33052" spans="8:8">
      <c r="H33052" s="680" t="s">
        <v>6153</v>
      </c>
    </row>
    <row r="33053" spans="8:8">
      <c r="H33053" s="680" t="s">
        <v>6153</v>
      </c>
    </row>
    <row r="33054" spans="8:8">
      <c r="H33054" s="680" t="s">
        <v>6153</v>
      </c>
    </row>
    <row r="33055" spans="8:8">
      <c r="H33055" s="680" t="s">
        <v>6153</v>
      </c>
    </row>
    <row r="33056" spans="8:8">
      <c r="H33056" s="680" t="s">
        <v>6153</v>
      </c>
    </row>
    <row r="33057" spans="8:8">
      <c r="H33057" s="680" t="s">
        <v>6153</v>
      </c>
    </row>
    <row r="33058" spans="8:8">
      <c r="H33058" s="680" t="s">
        <v>6153</v>
      </c>
    </row>
    <row r="33059" spans="8:8">
      <c r="H33059" s="680" t="s">
        <v>6153</v>
      </c>
    </row>
    <row r="33060" spans="8:8">
      <c r="H33060" s="680" t="s">
        <v>6153</v>
      </c>
    </row>
    <row r="33061" spans="8:8">
      <c r="H33061" s="680" t="s">
        <v>6153</v>
      </c>
    </row>
    <row r="33062" spans="8:8">
      <c r="H33062" s="680" t="s">
        <v>6153</v>
      </c>
    </row>
    <row r="33063" spans="8:8">
      <c r="H33063" s="680" t="s">
        <v>6153</v>
      </c>
    </row>
    <row r="33064" spans="8:8">
      <c r="H33064" s="680" t="s">
        <v>6153</v>
      </c>
    </row>
    <row r="33065" spans="8:8">
      <c r="H33065" s="680" t="s">
        <v>6153</v>
      </c>
    </row>
    <row r="33066" spans="8:8">
      <c r="H33066" s="680" t="s">
        <v>6153</v>
      </c>
    </row>
    <row r="33067" spans="8:8">
      <c r="H33067" s="680" t="s">
        <v>6153</v>
      </c>
    </row>
    <row r="33068" spans="8:8">
      <c r="H33068" s="680" t="s">
        <v>6153</v>
      </c>
    </row>
    <row r="33069" spans="8:8">
      <c r="H33069" s="680" t="s">
        <v>6153</v>
      </c>
    </row>
    <row r="33070" spans="8:8">
      <c r="H33070" s="680" t="s">
        <v>6153</v>
      </c>
    </row>
    <row r="33071" spans="8:8">
      <c r="H33071" s="680" t="s">
        <v>6153</v>
      </c>
    </row>
    <row r="33072" spans="8:8">
      <c r="H33072" s="680" t="s">
        <v>6153</v>
      </c>
    </row>
    <row r="33073" spans="8:8">
      <c r="H33073" s="680" t="s">
        <v>6153</v>
      </c>
    </row>
    <row r="33074" spans="8:8">
      <c r="H33074" s="680" t="s">
        <v>6153</v>
      </c>
    </row>
    <row r="33075" spans="8:8">
      <c r="H33075" s="680" t="s">
        <v>6153</v>
      </c>
    </row>
    <row r="33076" spans="8:8">
      <c r="H33076" s="680" t="s">
        <v>6153</v>
      </c>
    </row>
    <row r="33077" spans="8:8">
      <c r="H33077" s="680" t="s">
        <v>6153</v>
      </c>
    </row>
    <row r="33078" spans="8:8">
      <c r="H33078" s="680" t="s">
        <v>6153</v>
      </c>
    </row>
    <row r="33079" spans="8:8">
      <c r="H33079" s="680" t="s">
        <v>6153</v>
      </c>
    </row>
    <row r="33080" spans="8:8">
      <c r="H33080" s="680" t="s">
        <v>6153</v>
      </c>
    </row>
    <row r="33081" spans="8:8">
      <c r="H33081" s="680" t="s">
        <v>6153</v>
      </c>
    </row>
    <row r="33082" spans="8:8">
      <c r="H33082" s="680" t="s">
        <v>6153</v>
      </c>
    </row>
    <row r="33083" spans="8:8">
      <c r="H33083" s="680" t="s">
        <v>6153</v>
      </c>
    </row>
    <row r="33084" spans="8:8">
      <c r="H33084" s="680" t="s">
        <v>6153</v>
      </c>
    </row>
    <row r="33085" spans="8:8">
      <c r="H33085" s="680" t="s">
        <v>6153</v>
      </c>
    </row>
    <row r="33086" spans="8:8">
      <c r="H33086" s="680" t="s">
        <v>6153</v>
      </c>
    </row>
    <row r="33087" spans="8:8">
      <c r="H33087" s="680" t="s">
        <v>6153</v>
      </c>
    </row>
    <row r="33088" spans="8:8">
      <c r="H33088" s="680" t="s">
        <v>6153</v>
      </c>
    </row>
    <row r="33089" spans="8:8">
      <c r="H33089" s="680" t="s">
        <v>6153</v>
      </c>
    </row>
    <row r="33090" spans="8:8">
      <c r="H33090" s="680" t="s">
        <v>6153</v>
      </c>
    </row>
    <row r="33091" spans="8:8">
      <c r="H33091" s="680" t="s">
        <v>6153</v>
      </c>
    </row>
    <row r="33092" spans="8:8">
      <c r="H33092" s="680" t="s">
        <v>6153</v>
      </c>
    </row>
    <row r="33093" spans="8:8">
      <c r="H33093" s="680" t="s">
        <v>6153</v>
      </c>
    </row>
    <row r="33094" spans="8:8">
      <c r="H33094" s="680" t="s">
        <v>6153</v>
      </c>
    </row>
    <row r="33095" spans="8:8">
      <c r="H33095" s="680" t="s">
        <v>6153</v>
      </c>
    </row>
    <row r="33096" spans="8:8">
      <c r="H33096" s="680" t="s">
        <v>6153</v>
      </c>
    </row>
    <row r="33097" spans="8:8">
      <c r="H33097" s="680" t="s">
        <v>6153</v>
      </c>
    </row>
    <row r="33098" spans="8:8">
      <c r="H33098" s="680" t="s">
        <v>6153</v>
      </c>
    </row>
    <row r="33099" spans="8:8">
      <c r="H33099" s="680" t="s">
        <v>6153</v>
      </c>
    </row>
    <row r="33100" spans="8:8">
      <c r="H33100" s="680" t="s">
        <v>6153</v>
      </c>
    </row>
    <row r="33101" spans="8:8">
      <c r="H33101" s="680" t="s">
        <v>6153</v>
      </c>
    </row>
    <row r="33102" spans="8:8">
      <c r="H33102" s="680" t="s">
        <v>6153</v>
      </c>
    </row>
    <row r="33103" spans="8:8">
      <c r="H33103" s="680" t="s">
        <v>6153</v>
      </c>
    </row>
    <row r="33104" spans="8:8">
      <c r="H33104" s="680" t="s">
        <v>6153</v>
      </c>
    </row>
    <row r="33105" spans="8:8">
      <c r="H33105" s="680" t="s">
        <v>6153</v>
      </c>
    </row>
    <row r="33106" spans="8:8">
      <c r="H33106" s="680" t="s">
        <v>6153</v>
      </c>
    </row>
    <row r="33107" spans="8:8">
      <c r="H33107" s="680" t="s">
        <v>6153</v>
      </c>
    </row>
    <row r="33108" spans="8:8">
      <c r="H33108" s="680" t="s">
        <v>6153</v>
      </c>
    </row>
    <row r="33109" spans="8:8">
      <c r="H33109" s="680" t="s">
        <v>6153</v>
      </c>
    </row>
    <row r="33110" spans="8:8">
      <c r="H33110" s="680" t="s">
        <v>6153</v>
      </c>
    </row>
    <row r="33111" spans="8:8">
      <c r="H33111" s="680" t="s">
        <v>6153</v>
      </c>
    </row>
    <row r="33112" spans="8:8">
      <c r="H33112" s="680" t="s">
        <v>6153</v>
      </c>
    </row>
    <row r="33113" spans="8:8">
      <c r="H33113" s="680" t="s">
        <v>6153</v>
      </c>
    </row>
    <row r="33114" spans="8:8">
      <c r="H33114" s="680" t="s">
        <v>6153</v>
      </c>
    </row>
    <row r="33115" spans="8:8">
      <c r="H33115" s="680" t="s">
        <v>6153</v>
      </c>
    </row>
    <row r="33116" spans="8:8">
      <c r="H33116" s="680" t="s">
        <v>6153</v>
      </c>
    </row>
    <row r="33117" spans="8:8">
      <c r="H33117" s="680" t="s">
        <v>6153</v>
      </c>
    </row>
    <row r="33118" spans="8:8">
      <c r="H33118" s="680" t="s">
        <v>6153</v>
      </c>
    </row>
    <row r="33119" spans="8:8">
      <c r="H33119" s="680" t="s">
        <v>6153</v>
      </c>
    </row>
    <row r="33120" spans="8:8">
      <c r="H33120" s="680" t="s">
        <v>6153</v>
      </c>
    </row>
    <row r="33121" spans="8:8">
      <c r="H33121" s="680" t="s">
        <v>6153</v>
      </c>
    </row>
    <row r="33122" spans="8:8">
      <c r="H33122" s="680" t="s">
        <v>6153</v>
      </c>
    </row>
    <row r="33123" spans="8:8">
      <c r="H33123" s="680" t="s">
        <v>6153</v>
      </c>
    </row>
    <row r="33124" spans="8:8">
      <c r="H33124" s="680" t="s">
        <v>6153</v>
      </c>
    </row>
    <row r="33125" spans="8:8">
      <c r="H33125" s="680" t="s">
        <v>6153</v>
      </c>
    </row>
    <row r="33126" spans="8:8">
      <c r="H33126" s="680" t="s">
        <v>6153</v>
      </c>
    </row>
    <row r="33127" spans="8:8">
      <c r="H33127" s="680" t="s">
        <v>6153</v>
      </c>
    </row>
    <row r="33128" spans="8:8">
      <c r="H33128" s="680" t="s">
        <v>6153</v>
      </c>
    </row>
    <row r="33129" spans="8:8">
      <c r="H33129" s="680" t="s">
        <v>6153</v>
      </c>
    </row>
    <row r="33130" spans="8:8">
      <c r="H33130" s="680" t="s">
        <v>6153</v>
      </c>
    </row>
    <row r="33131" spans="8:8">
      <c r="H33131" s="680" t="s">
        <v>6153</v>
      </c>
    </row>
    <row r="33132" spans="8:8">
      <c r="H33132" s="680" t="s">
        <v>6153</v>
      </c>
    </row>
    <row r="33133" spans="8:8">
      <c r="H33133" s="680" t="s">
        <v>6153</v>
      </c>
    </row>
    <row r="33134" spans="8:8">
      <c r="H33134" s="680" t="s">
        <v>6153</v>
      </c>
    </row>
    <row r="33135" spans="8:8">
      <c r="H33135" s="680" t="s">
        <v>6153</v>
      </c>
    </row>
    <row r="33136" spans="8:8">
      <c r="H33136" s="680" t="s">
        <v>6153</v>
      </c>
    </row>
    <row r="33137" spans="8:8">
      <c r="H33137" s="680" t="s">
        <v>6153</v>
      </c>
    </row>
    <row r="33138" spans="8:8">
      <c r="H33138" s="680" t="s">
        <v>6153</v>
      </c>
    </row>
    <row r="33139" spans="8:8">
      <c r="H33139" s="680" t="s">
        <v>6153</v>
      </c>
    </row>
    <row r="33140" spans="8:8">
      <c r="H33140" s="680" t="s">
        <v>6153</v>
      </c>
    </row>
    <row r="33141" spans="8:8">
      <c r="H33141" s="680" t="s">
        <v>6153</v>
      </c>
    </row>
    <row r="33142" spans="8:8">
      <c r="H33142" s="680" t="s">
        <v>6153</v>
      </c>
    </row>
    <row r="33143" spans="8:8">
      <c r="H33143" s="680" t="s">
        <v>6153</v>
      </c>
    </row>
    <row r="33144" spans="8:8">
      <c r="H33144" s="680" t="s">
        <v>6153</v>
      </c>
    </row>
    <row r="33145" spans="8:8">
      <c r="H33145" s="680" t="s">
        <v>6153</v>
      </c>
    </row>
    <row r="33146" spans="8:8">
      <c r="H33146" s="680" t="s">
        <v>6153</v>
      </c>
    </row>
    <row r="33147" spans="8:8">
      <c r="H33147" s="680" t="s">
        <v>6153</v>
      </c>
    </row>
    <row r="33148" spans="8:8">
      <c r="H33148" s="680" t="s">
        <v>6153</v>
      </c>
    </row>
    <row r="33149" spans="8:8">
      <c r="H33149" s="680" t="s">
        <v>6153</v>
      </c>
    </row>
    <row r="33150" spans="8:8">
      <c r="H33150" s="680" t="s">
        <v>6153</v>
      </c>
    </row>
    <row r="33151" spans="8:8">
      <c r="H33151" s="680" t="s">
        <v>6153</v>
      </c>
    </row>
    <row r="33152" spans="8:8">
      <c r="H33152" s="680" t="s">
        <v>6153</v>
      </c>
    </row>
    <row r="33153" spans="8:8">
      <c r="H33153" s="680" t="s">
        <v>6153</v>
      </c>
    </row>
    <row r="33154" spans="8:8">
      <c r="H33154" s="680" t="s">
        <v>6153</v>
      </c>
    </row>
    <row r="33155" spans="8:8">
      <c r="H33155" s="680" t="s">
        <v>6153</v>
      </c>
    </row>
    <row r="33156" spans="8:8">
      <c r="H33156" s="680" t="s">
        <v>6153</v>
      </c>
    </row>
    <row r="33157" spans="8:8">
      <c r="H33157" s="680" t="s">
        <v>6153</v>
      </c>
    </row>
    <row r="33158" spans="8:8">
      <c r="H33158" s="680" t="s">
        <v>6153</v>
      </c>
    </row>
    <row r="33159" spans="8:8">
      <c r="H33159" s="680" t="s">
        <v>6153</v>
      </c>
    </row>
    <row r="33160" spans="8:8">
      <c r="H33160" s="680" t="s">
        <v>6153</v>
      </c>
    </row>
    <row r="33161" spans="8:8">
      <c r="H33161" s="680" t="s">
        <v>6153</v>
      </c>
    </row>
    <row r="33162" spans="8:8">
      <c r="H33162" s="680" t="s">
        <v>6153</v>
      </c>
    </row>
    <row r="33163" spans="8:8">
      <c r="H33163" s="680" t="s">
        <v>6153</v>
      </c>
    </row>
    <row r="33164" spans="8:8">
      <c r="H33164" s="680" t="s">
        <v>6153</v>
      </c>
    </row>
    <row r="33165" spans="8:8">
      <c r="H33165" s="680" t="s">
        <v>6153</v>
      </c>
    </row>
    <row r="33166" spans="8:8">
      <c r="H33166" s="680" t="s">
        <v>6153</v>
      </c>
    </row>
    <row r="33167" spans="8:8">
      <c r="H33167" s="680" t="s">
        <v>6153</v>
      </c>
    </row>
    <row r="33168" spans="8:8">
      <c r="H33168" s="680" t="s">
        <v>6153</v>
      </c>
    </row>
    <row r="33169" spans="8:8">
      <c r="H33169" s="680" t="s">
        <v>6153</v>
      </c>
    </row>
    <row r="33170" spans="8:8">
      <c r="H33170" s="680" t="s">
        <v>6153</v>
      </c>
    </row>
    <row r="33171" spans="8:8">
      <c r="H33171" s="680" t="s">
        <v>6153</v>
      </c>
    </row>
    <row r="33172" spans="8:8">
      <c r="H33172" s="680" t="s">
        <v>6153</v>
      </c>
    </row>
    <row r="33173" spans="8:8">
      <c r="H33173" s="680" t="s">
        <v>6153</v>
      </c>
    </row>
    <row r="33174" spans="8:8">
      <c r="H33174" s="680" t="s">
        <v>6153</v>
      </c>
    </row>
    <row r="33175" spans="8:8">
      <c r="H33175" s="680" t="s">
        <v>6153</v>
      </c>
    </row>
    <row r="33176" spans="8:8">
      <c r="H33176" s="680" t="s">
        <v>6153</v>
      </c>
    </row>
    <row r="33177" spans="8:8">
      <c r="H33177" s="680" t="s">
        <v>6153</v>
      </c>
    </row>
    <row r="33178" spans="8:8">
      <c r="H33178" s="680" t="s">
        <v>6153</v>
      </c>
    </row>
    <row r="33179" spans="8:8">
      <c r="H33179" s="680" t="s">
        <v>6153</v>
      </c>
    </row>
    <row r="33180" spans="8:8">
      <c r="H33180" s="680" t="s">
        <v>6153</v>
      </c>
    </row>
    <row r="33181" spans="8:8">
      <c r="H33181" s="680" t="s">
        <v>6153</v>
      </c>
    </row>
    <row r="33182" spans="8:8">
      <c r="H33182" s="680" t="s">
        <v>6153</v>
      </c>
    </row>
    <row r="33183" spans="8:8">
      <c r="H33183" s="680" t="s">
        <v>6153</v>
      </c>
    </row>
    <row r="33184" spans="8:8">
      <c r="H33184" s="680" t="s">
        <v>6153</v>
      </c>
    </row>
    <row r="33185" spans="8:8">
      <c r="H33185" s="680" t="s">
        <v>6153</v>
      </c>
    </row>
    <row r="33186" spans="8:8">
      <c r="H33186" s="680" t="s">
        <v>6153</v>
      </c>
    </row>
    <row r="33187" spans="8:8">
      <c r="H33187" s="680" t="s">
        <v>6153</v>
      </c>
    </row>
    <row r="33188" spans="8:8">
      <c r="H33188" s="680" t="s">
        <v>6153</v>
      </c>
    </row>
    <row r="33189" spans="8:8">
      <c r="H33189" s="680" t="s">
        <v>6153</v>
      </c>
    </row>
    <row r="33190" spans="8:8">
      <c r="H33190" s="680" t="s">
        <v>6153</v>
      </c>
    </row>
    <row r="33191" spans="8:8">
      <c r="H33191" s="680" t="s">
        <v>6153</v>
      </c>
    </row>
    <row r="33192" spans="8:8">
      <c r="H33192" s="680" t="s">
        <v>6153</v>
      </c>
    </row>
    <row r="33193" spans="8:8">
      <c r="H33193" s="680" t="s">
        <v>6153</v>
      </c>
    </row>
    <row r="33194" spans="8:8">
      <c r="H33194" s="680" t="s">
        <v>6153</v>
      </c>
    </row>
    <row r="33195" spans="8:8">
      <c r="H33195" s="680" t="s">
        <v>6153</v>
      </c>
    </row>
    <row r="33196" spans="8:8">
      <c r="H33196" s="680" t="s">
        <v>6153</v>
      </c>
    </row>
    <row r="33197" spans="8:8">
      <c r="H33197" s="680" t="s">
        <v>6153</v>
      </c>
    </row>
    <row r="33198" spans="8:8">
      <c r="H33198" s="680" t="s">
        <v>6153</v>
      </c>
    </row>
    <row r="33199" spans="8:8">
      <c r="H33199" s="680" t="s">
        <v>6153</v>
      </c>
    </row>
    <row r="33200" spans="8:8">
      <c r="H33200" s="680" t="s">
        <v>6153</v>
      </c>
    </row>
    <row r="33201" spans="8:8">
      <c r="H33201" s="680" t="s">
        <v>6153</v>
      </c>
    </row>
    <row r="33202" spans="8:8">
      <c r="H33202" s="680" t="s">
        <v>6153</v>
      </c>
    </row>
    <row r="33203" spans="8:8">
      <c r="H33203" s="680" t="s">
        <v>6153</v>
      </c>
    </row>
    <row r="33204" spans="8:8">
      <c r="H33204" s="680" t="s">
        <v>6153</v>
      </c>
    </row>
    <row r="33205" spans="8:8">
      <c r="H33205" s="680" t="s">
        <v>6153</v>
      </c>
    </row>
    <row r="33206" spans="8:8">
      <c r="H33206" s="680" t="s">
        <v>6153</v>
      </c>
    </row>
    <row r="33207" spans="8:8">
      <c r="H33207" s="680" t="s">
        <v>6153</v>
      </c>
    </row>
    <row r="33208" spans="8:8">
      <c r="H33208" s="680" t="s">
        <v>6153</v>
      </c>
    </row>
    <row r="33209" spans="8:8">
      <c r="H33209" s="680" t="s">
        <v>6153</v>
      </c>
    </row>
    <row r="33210" spans="8:8">
      <c r="H33210" s="680" t="s">
        <v>6153</v>
      </c>
    </row>
    <row r="33211" spans="8:8">
      <c r="H33211" s="680" t="s">
        <v>6153</v>
      </c>
    </row>
    <row r="33212" spans="8:8">
      <c r="H33212" s="680" t="s">
        <v>6153</v>
      </c>
    </row>
    <row r="33213" spans="8:8">
      <c r="H33213" s="680" t="s">
        <v>6153</v>
      </c>
    </row>
    <row r="33214" spans="8:8">
      <c r="H33214" s="680" t="s">
        <v>6153</v>
      </c>
    </row>
    <row r="33215" spans="8:8">
      <c r="H33215" s="680" t="s">
        <v>6153</v>
      </c>
    </row>
    <row r="33216" spans="8:8">
      <c r="H33216" s="680" t="s">
        <v>6153</v>
      </c>
    </row>
    <row r="33217" spans="8:8">
      <c r="H33217" s="680" t="s">
        <v>6153</v>
      </c>
    </row>
    <row r="33218" spans="8:8">
      <c r="H33218" s="680" t="s">
        <v>6153</v>
      </c>
    </row>
    <row r="33219" spans="8:8">
      <c r="H33219" s="680" t="s">
        <v>6153</v>
      </c>
    </row>
    <row r="33220" spans="8:8">
      <c r="H33220" s="680" t="s">
        <v>6153</v>
      </c>
    </row>
    <row r="33221" spans="8:8">
      <c r="H33221" s="680" t="s">
        <v>6153</v>
      </c>
    </row>
    <row r="33222" spans="8:8">
      <c r="H33222" s="680" t="s">
        <v>6153</v>
      </c>
    </row>
    <row r="33223" spans="8:8">
      <c r="H33223" s="680" t="s">
        <v>6153</v>
      </c>
    </row>
    <row r="33224" spans="8:8">
      <c r="H33224" s="680" t="s">
        <v>6153</v>
      </c>
    </row>
    <row r="33225" spans="8:8">
      <c r="H33225" s="680" t="s">
        <v>6153</v>
      </c>
    </row>
    <row r="33226" spans="8:8">
      <c r="H33226" s="680" t="s">
        <v>6153</v>
      </c>
    </row>
    <row r="33227" spans="8:8">
      <c r="H33227" s="680" t="s">
        <v>6153</v>
      </c>
    </row>
    <row r="33228" spans="8:8">
      <c r="H33228" s="680" t="s">
        <v>6153</v>
      </c>
    </row>
    <row r="33229" spans="8:8">
      <c r="H33229" s="680" t="s">
        <v>6153</v>
      </c>
    </row>
    <row r="33230" spans="8:8">
      <c r="H33230" s="680" t="s">
        <v>6153</v>
      </c>
    </row>
    <row r="33231" spans="8:8">
      <c r="H33231" s="680" t="s">
        <v>6153</v>
      </c>
    </row>
    <row r="33232" spans="8:8">
      <c r="H33232" s="680" t="s">
        <v>6153</v>
      </c>
    </row>
    <row r="33233" spans="8:8">
      <c r="H33233" s="680" t="s">
        <v>6153</v>
      </c>
    </row>
    <row r="33234" spans="8:8">
      <c r="H33234" s="680" t="s">
        <v>6153</v>
      </c>
    </row>
    <row r="33235" spans="8:8">
      <c r="H33235" s="680" t="s">
        <v>6153</v>
      </c>
    </row>
    <row r="33236" spans="8:8">
      <c r="H33236" s="680" t="s">
        <v>6153</v>
      </c>
    </row>
    <row r="33237" spans="8:8">
      <c r="H33237" s="680" t="s">
        <v>6153</v>
      </c>
    </row>
    <row r="33238" spans="8:8">
      <c r="H33238" s="680" t="s">
        <v>6153</v>
      </c>
    </row>
    <row r="33239" spans="8:8">
      <c r="H33239" s="680" t="s">
        <v>6153</v>
      </c>
    </row>
    <row r="33240" spans="8:8">
      <c r="H33240" s="680" t="s">
        <v>6153</v>
      </c>
    </row>
    <row r="33241" spans="8:8">
      <c r="H33241" s="680" t="s">
        <v>6153</v>
      </c>
    </row>
    <row r="33242" spans="8:8">
      <c r="H33242" s="680" t="s">
        <v>6153</v>
      </c>
    </row>
    <row r="33243" spans="8:8">
      <c r="H33243" s="680" t="s">
        <v>6153</v>
      </c>
    </row>
    <row r="33244" spans="8:8">
      <c r="H33244" s="680" t="s">
        <v>6153</v>
      </c>
    </row>
    <row r="33245" spans="8:8">
      <c r="H33245" s="680" t="s">
        <v>6153</v>
      </c>
    </row>
    <row r="33246" spans="8:8">
      <c r="H33246" s="680" t="s">
        <v>6153</v>
      </c>
    </row>
    <row r="33247" spans="8:8">
      <c r="H33247" s="680" t="s">
        <v>6153</v>
      </c>
    </row>
    <row r="33248" spans="8:8">
      <c r="H33248" s="680" t="s">
        <v>6153</v>
      </c>
    </row>
    <row r="33249" spans="8:8">
      <c r="H33249" s="680" t="s">
        <v>6153</v>
      </c>
    </row>
    <row r="33250" spans="8:8">
      <c r="H33250" s="680" t="s">
        <v>6153</v>
      </c>
    </row>
    <row r="33251" spans="8:8">
      <c r="H33251" s="680" t="s">
        <v>6153</v>
      </c>
    </row>
    <row r="33252" spans="8:8">
      <c r="H33252" s="680" t="s">
        <v>6153</v>
      </c>
    </row>
    <row r="33253" spans="8:8">
      <c r="H33253" s="680" t="s">
        <v>6153</v>
      </c>
    </row>
    <row r="33254" spans="8:8">
      <c r="H33254" s="680" t="s">
        <v>6153</v>
      </c>
    </row>
    <row r="33255" spans="8:8">
      <c r="H33255" s="680" t="s">
        <v>6153</v>
      </c>
    </row>
    <row r="33256" spans="8:8">
      <c r="H33256" s="680" t="s">
        <v>6153</v>
      </c>
    </row>
    <row r="33257" spans="8:8">
      <c r="H33257" s="680" t="s">
        <v>6153</v>
      </c>
    </row>
    <row r="33258" spans="8:8">
      <c r="H33258" s="680" t="s">
        <v>6153</v>
      </c>
    </row>
    <row r="33259" spans="8:8">
      <c r="H33259" s="680" t="s">
        <v>6153</v>
      </c>
    </row>
    <row r="33260" spans="8:8">
      <c r="H33260" s="680" t="s">
        <v>6153</v>
      </c>
    </row>
    <row r="33261" spans="8:8">
      <c r="H33261" s="680" t="s">
        <v>6153</v>
      </c>
    </row>
    <row r="33262" spans="8:8">
      <c r="H33262" s="680" t="s">
        <v>6153</v>
      </c>
    </row>
    <row r="33263" spans="8:8">
      <c r="H33263" s="680" t="s">
        <v>6153</v>
      </c>
    </row>
    <row r="33264" spans="8:8">
      <c r="H33264" s="680" t="s">
        <v>6153</v>
      </c>
    </row>
    <row r="33265" spans="8:8">
      <c r="H33265" s="680" t="s">
        <v>6153</v>
      </c>
    </row>
    <row r="33266" spans="8:8">
      <c r="H33266" s="680" t="s">
        <v>6153</v>
      </c>
    </row>
    <row r="33267" spans="8:8">
      <c r="H33267" s="680" t="s">
        <v>6153</v>
      </c>
    </row>
    <row r="33268" spans="8:8">
      <c r="H33268" s="680" t="s">
        <v>6153</v>
      </c>
    </row>
    <row r="33269" spans="8:8">
      <c r="H33269" s="680" t="s">
        <v>6153</v>
      </c>
    </row>
    <row r="33270" spans="8:8">
      <c r="H33270" s="680" t="s">
        <v>6153</v>
      </c>
    </row>
    <row r="33271" spans="8:8">
      <c r="H33271" s="680" t="s">
        <v>6153</v>
      </c>
    </row>
    <row r="33272" spans="8:8">
      <c r="H33272" s="680" t="s">
        <v>6153</v>
      </c>
    </row>
    <row r="33273" spans="8:8">
      <c r="H33273" s="680" t="s">
        <v>6153</v>
      </c>
    </row>
    <row r="33274" spans="8:8">
      <c r="H33274" s="680" t="s">
        <v>6153</v>
      </c>
    </row>
    <row r="33275" spans="8:8">
      <c r="H33275" s="680" t="s">
        <v>6153</v>
      </c>
    </row>
    <row r="33276" spans="8:8">
      <c r="H33276" s="680" t="s">
        <v>6153</v>
      </c>
    </row>
    <row r="33277" spans="8:8">
      <c r="H33277" s="680" t="s">
        <v>6153</v>
      </c>
    </row>
    <row r="33278" spans="8:8">
      <c r="H33278" s="680" t="s">
        <v>6153</v>
      </c>
    </row>
    <row r="33279" spans="8:8">
      <c r="H33279" s="680" t="s">
        <v>6153</v>
      </c>
    </row>
    <row r="33280" spans="8:8">
      <c r="H33280" s="680" t="s">
        <v>6153</v>
      </c>
    </row>
    <row r="33281" spans="8:8">
      <c r="H33281" s="680" t="s">
        <v>6153</v>
      </c>
    </row>
    <row r="33282" spans="8:8">
      <c r="H33282" s="680" t="s">
        <v>6153</v>
      </c>
    </row>
    <row r="33283" spans="8:8">
      <c r="H33283" s="680" t="s">
        <v>6153</v>
      </c>
    </row>
    <row r="33284" spans="8:8">
      <c r="H33284" s="680" t="s">
        <v>6153</v>
      </c>
    </row>
    <row r="33285" spans="8:8">
      <c r="H33285" s="680" t="s">
        <v>6153</v>
      </c>
    </row>
    <row r="33286" spans="8:8">
      <c r="H33286" s="680" t="s">
        <v>6153</v>
      </c>
    </row>
    <row r="33287" spans="8:8">
      <c r="H33287" s="680" t="s">
        <v>6153</v>
      </c>
    </row>
    <row r="33288" spans="8:8">
      <c r="H33288" s="680" t="s">
        <v>6153</v>
      </c>
    </row>
    <row r="33289" spans="8:8">
      <c r="H33289" s="680" t="s">
        <v>6153</v>
      </c>
    </row>
    <row r="33290" spans="8:8">
      <c r="H33290" s="680" t="s">
        <v>6153</v>
      </c>
    </row>
    <row r="33291" spans="8:8">
      <c r="H33291" s="680" t="s">
        <v>6153</v>
      </c>
    </row>
    <row r="33292" spans="8:8">
      <c r="H33292" s="680" t="s">
        <v>6153</v>
      </c>
    </row>
    <row r="33293" spans="8:8">
      <c r="H33293" s="680" t="s">
        <v>6153</v>
      </c>
    </row>
    <row r="33294" spans="8:8">
      <c r="H33294" s="680" t="s">
        <v>6153</v>
      </c>
    </row>
    <row r="33295" spans="8:8">
      <c r="H33295" s="680" t="s">
        <v>6153</v>
      </c>
    </row>
    <row r="33296" spans="8:8">
      <c r="H33296" s="680" t="s">
        <v>6153</v>
      </c>
    </row>
    <row r="33297" spans="8:8">
      <c r="H33297" s="680" t="s">
        <v>6153</v>
      </c>
    </row>
    <row r="33298" spans="8:8">
      <c r="H33298" s="680" t="s">
        <v>6153</v>
      </c>
    </row>
    <row r="33299" spans="8:8">
      <c r="H33299" s="680" t="s">
        <v>6153</v>
      </c>
    </row>
    <row r="33300" spans="8:8">
      <c r="H33300" s="680" t="s">
        <v>6153</v>
      </c>
    </row>
    <row r="33301" spans="8:8">
      <c r="H33301" s="680" t="s">
        <v>6153</v>
      </c>
    </row>
    <row r="33302" spans="8:8">
      <c r="H33302" s="680" t="s">
        <v>6153</v>
      </c>
    </row>
    <row r="33303" spans="8:8">
      <c r="H33303" s="680" t="s">
        <v>6153</v>
      </c>
    </row>
    <row r="33304" spans="8:8">
      <c r="H33304" s="680" t="s">
        <v>6153</v>
      </c>
    </row>
    <row r="33305" spans="8:8">
      <c r="H33305" s="680" t="s">
        <v>6153</v>
      </c>
    </row>
    <row r="33306" spans="8:8">
      <c r="H33306" s="680" t="s">
        <v>6153</v>
      </c>
    </row>
    <row r="33307" spans="8:8">
      <c r="H33307" s="680" t="s">
        <v>6153</v>
      </c>
    </row>
    <row r="33308" spans="8:8">
      <c r="H33308" s="680" t="s">
        <v>6153</v>
      </c>
    </row>
    <row r="33309" spans="8:8">
      <c r="H33309" s="680" t="s">
        <v>6153</v>
      </c>
    </row>
    <row r="33310" spans="8:8">
      <c r="H33310" s="680" t="s">
        <v>6153</v>
      </c>
    </row>
    <row r="33311" spans="8:8">
      <c r="H33311" s="680" t="s">
        <v>6153</v>
      </c>
    </row>
    <row r="33312" spans="8:8">
      <c r="H33312" s="680" t="s">
        <v>6153</v>
      </c>
    </row>
    <row r="33313" spans="8:8">
      <c r="H33313" s="680" t="s">
        <v>6153</v>
      </c>
    </row>
    <row r="33314" spans="8:8">
      <c r="H33314" s="680" t="s">
        <v>6153</v>
      </c>
    </row>
    <row r="33315" spans="8:8">
      <c r="H33315" s="680" t="s">
        <v>6153</v>
      </c>
    </row>
    <row r="33316" spans="8:8">
      <c r="H33316" s="680" t="s">
        <v>6153</v>
      </c>
    </row>
    <row r="33317" spans="8:8">
      <c r="H33317" s="680" t="s">
        <v>6153</v>
      </c>
    </row>
    <row r="33318" spans="8:8">
      <c r="H33318" s="680" t="s">
        <v>6153</v>
      </c>
    </row>
    <row r="33319" spans="8:8">
      <c r="H33319" s="680" t="s">
        <v>6153</v>
      </c>
    </row>
    <row r="33320" spans="8:8">
      <c r="H33320" s="680" t="s">
        <v>6153</v>
      </c>
    </row>
    <row r="33321" spans="8:8">
      <c r="H33321" s="680" t="s">
        <v>6153</v>
      </c>
    </row>
    <row r="33322" spans="8:8">
      <c r="H33322" s="680" t="s">
        <v>6153</v>
      </c>
    </row>
    <row r="33323" spans="8:8">
      <c r="H33323" s="680" t="s">
        <v>6153</v>
      </c>
    </row>
    <row r="33324" spans="8:8">
      <c r="H33324" s="680" t="s">
        <v>6153</v>
      </c>
    </row>
    <row r="33325" spans="8:8">
      <c r="H33325" s="680" t="s">
        <v>6153</v>
      </c>
    </row>
    <row r="33326" spans="8:8">
      <c r="H33326" s="680" t="s">
        <v>6153</v>
      </c>
    </row>
    <row r="33327" spans="8:8">
      <c r="H33327" s="680" t="s">
        <v>6153</v>
      </c>
    </row>
    <row r="33328" spans="8:8">
      <c r="H33328" s="680" t="s">
        <v>6153</v>
      </c>
    </row>
    <row r="33329" spans="8:8">
      <c r="H33329" s="680" t="s">
        <v>6153</v>
      </c>
    </row>
    <row r="33330" spans="8:8">
      <c r="H33330" s="680" t="s">
        <v>6153</v>
      </c>
    </row>
    <row r="33331" spans="8:8">
      <c r="H33331" s="680" t="s">
        <v>6153</v>
      </c>
    </row>
    <row r="33332" spans="8:8">
      <c r="H33332" s="680" t="s">
        <v>6153</v>
      </c>
    </row>
    <row r="33333" spans="8:8">
      <c r="H33333" s="680" t="s">
        <v>6153</v>
      </c>
    </row>
    <row r="33334" spans="8:8">
      <c r="H33334" s="680" t="s">
        <v>6153</v>
      </c>
    </row>
    <row r="33335" spans="8:8">
      <c r="H33335" s="680" t="s">
        <v>6153</v>
      </c>
    </row>
    <row r="33336" spans="8:8">
      <c r="H33336" s="680" t="s">
        <v>6153</v>
      </c>
    </row>
    <row r="33337" spans="8:8">
      <c r="H33337" s="680" t="s">
        <v>6153</v>
      </c>
    </row>
    <row r="33338" spans="8:8">
      <c r="H33338" s="680" t="s">
        <v>6153</v>
      </c>
    </row>
    <row r="33339" spans="8:8">
      <c r="H33339" s="680" t="s">
        <v>6153</v>
      </c>
    </row>
    <row r="33340" spans="8:8">
      <c r="H33340" s="680" t="s">
        <v>6153</v>
      </c>
    </row>
    <row r="33341" spans="8:8">
      <c r="H33341" s="680" t="s">
        <v>6153</v>
      </c>
    </row>
    <row r="33342" spans="8:8">
      <c r="H33342" s="680" t="s">
        <v>6153</v>
      </c>
    </row>
    <row r="33343" spans="8:8">
      <c r="H33343" s="680" t="s">
        <v>6153</v>
      </c>
    </row>
    <row r="33344" spans="8:8">
      <c r="H33344" s="680" t="s">
        <v>6153</v>
      </c>
    </row>
    <row r="33345" spans="8:8">
      <c r="H33345" s="680" t="s">
        <v>6153</v>
      </c>
    </row>
    <row r="33346" spans="8:8">
      <c r="H33346" s="680" t="s">
        <v>6153</v>
      </c>
    </row>
    <row r="33347" spans="8:8">
      <c r="H33347" s="680" t="s">
        <v>6153</v>
      </c>
    </row>
    <row r="33348" spans="8:8">
      <c r="H33348" s="680" t="s">
        <v>6153</v>
      </c>
    </row>
    <row r="33349" spans="8:8">
      <c r="H33349" s="680" t="s">
        <v>6153</v>
      </c>
    </row>
    <row r="33350" spans="8:8">
      <c r="H33350" s="680" t="s">
        <v>6153</v>
      </c>
    </row>
    <row r="33351" spans="8:8">
      <c r="H33351" s="680" t="s">
        <v>6153</v>
      </c>
    </row>
    <row r="33352" spans="8:8">
      <c r="H33352" s="680" t="s">
        <v>6153</v>
      </c>
    </row>
    <row r="33353" spans="8:8">
      <c r="H33353" s="680" t="s">
        <v>6153</v>
      </c>
    </row>
    <row r="33354" spans="8:8">
      <c r="H33354" s="680" t="s">
        <v>6153</v>
      </c>
    </row>
    <row r="33355" spans="8:8">
      <c r="H33355" s="680" t="s">
        <v>6153</v>
      </c>
    </row>
    <row r="33356" spans="8:8">
      <c r="H33356" s="680" t="s">
        <v>6153</v>
      </c>
    </row>
    <row r="33357" spans="8:8">
      <c r="H33357" s="680" t="s">
        <v>6153</v>
      </c>
    </row>
    <row r="33358" spans="8:8">
      <c r="H33358" s="680" t="s">
        <v>6153</v>
      </c>
    </row>
    <row r="33359" spans="8:8">
      <c r="H33359" s="680" t="s">
        <v>6153</v>
      </c>
    </row>
    <row r="33360" spans="8:8">
      <c r="H33360" s="680" t="s">
        <v>6153</v>
      </c>
    </row>
    <row r="33361" spans="8:8">
      <c r="H33361" s="680" t="s">
        <v>6153</v>
      </c>
    </row>
    <row r="33362" spans="8:8">
      <c r="H33362" s="680" t="s">
        <v>6153</v>
      </c>
    </row>
    <row r="33363" spans="8:8">
      <c r="H33363" s="680" t="s">
        <v>6153</v>
      </c>
    </row>
    <row r="33364" spans="8:8">
      <c r="H33364" s="680" t="s">
        <v>6153</v>
      </c>
    </row>
    <row r="33365" spans="8:8">
      <c r="H33365" s="680" t="s">
        <v>6153</v>
      </c>
    </row>
    <row r="33366" spans="8:8">
      <c r="H33366" s="680" t="s">
        <v>6153</v>
      </c>
    </row>
    <row r="33367" spans="8:8">
      <c r="H33367" s="680" t="s">
        <v>6153</v>
      </c>
    </row>
    <row r="33368" spans="8:8">
      <c r="H33368" s="680" t="s">
        <v>6153</v>
      </c>
    </row>
    <row r="33369" spans="8:8">
      <c r="H33369" s="680" t="s">
        <v>6153</v>
      </c>
    </row>
    <row r="33370" spans="8:8">
      <c r="H33370" s="680" t="s">
        <v>6153</v>
      </c>
    </row>
    <row r="33371" spans="8:8">
      <c r="H33371" s="680" t="s">
        <v>6153</v>
      </c>
    </row>
    <row r="33372" spans="8:8">
      <c r="H33372" s="680" t="s">
        <v>6153</v>
      </c>
    </row>
    <row r="33373" spans="8:8">
      <c r="H33373" s="680" t="s">
        <v>6153</v>
      </c>
    </row>
    <row r="33374" spans="8:8">
      <c r="H33374" s="680" t="s">
        <v>6153</v>
      </c>
    </row>
    <row r="33375" spans="8:8">
      <c r="H33375" s="680" t="s">
        <v>6153</v>
      </c>
    </row>
    <row r="33376" spans="8:8">
      <c r="H33376" s="680" t="s">
        <v>6153</v>
      </c>
    </row>
    <row r="33377" spans="8:8">
      <c r="H33377" s="680" t="s">
        <v>6153</v>
      </c>
    </row>
    <row r="33378" spans="8:8">
      <c r="H33378" s="680" t="s">
        <v>6153</v>
      </c>
    </row>
    <row r="33379" spans="8:8">
      <c r="H33379" s="680" t="s">
        <v>6153</v>
      </c>
    </row>
    <row r="33380" spans="8:8">
      <c r="H33380" s="680" t="s">
        <v>6153</v>
      </c>
    </row>
    <row r="33381" spans="8:8">
      <c r="H33381" s="680" t="s">
        <v>6153</v>
      </c>
    </row>
    <row r="33382" spans="8:8">
      <c r="H33382" s="680" t="s">
        <v>6153</v>
      </c>
    </row>
    <row r="33383" spans="8:8">
      <c r="H33383" s="680" t="s">
        <v>6153</v>
      </c>
    </row>
    <row r="33384" spans="8:8">
      <c r="H33384" s="680" t="s">
        <v>6153</v>
      </c>
    </row>
    <row r="33385" spans="8:8">
      <c r="H33385" s="680" t="s">
        <v>6153</v>
      </c>
    </row>
    <row r="33386" spans="8:8">
      <c r="H33386" s="680" t="s">
        <v>6153</v>
      </c>
    </row>
    <row r="33387" spans="8:8">
      <c r="H33387" s="680" t="s">
        <v>6153</v>
      </c>
    </row>
    <row r="33388" spans="8:8">
      <c r="H33388" s="680" t="s">
        <v>6153</v>
      </c>
    </row>
    <row r="33389" spans="8:8">
      <c r="H33389" s="680" t="s">
        <v>6153</v>
      </c>
    </row>
    <row r="33390" spans="8:8">
      <c r="H33390" s="680" t="s">
        <v>6153</v>
      </c>
    </row>
    <row r="33391" spans="8:8">
      <c r="H33391" s="680" t="s">
        <v>6153</v>
      </c>
    </row>
    <row r="33392" spans="8:8">
      <c r="H33392" s="680" t="s">
        <v>6153</v>
      </c>
    </row>
    <row r="33393" spans="8:8">
      <c r="H33393" s="680" t="s">
        <v>6153</v>
      </c>
    </row>
    <row r="33394" spans="8:8">
      <c r="H33394" s="680" t="s">
        <v>6153</v>
      </c>
    </row>
    <row r="33395" spans="8:8">
      <c r="H33395" s="680" t="s">
        <v>6153</v>
      </c>
    </row>
    <row r="33396" spans="8:8">
      <c r="H33396" s="680" t="s">
        <v>6153</v>
      </c>
    </row>
    <row r="33397" spans="8:8">
      <c r="H33397" s="680" t="s">
        <v>6153</v>
      </c>
    </row>
    <row r="33398" spans="8:8">
      <c r="H33398" s="680" t="s">
        <v>6153</v>
      </c>
    </row>
    <row r="33399" spans="8:8">
      <c r="H33399" s="680" t="s">
        <v>6153</v>
      </c>
    </row>
    <row r="33400" spans="8:8">
      <c r="H33400" s="680" t="s">
        <v>6153</v>
      </c>
    </row>
    <row r="33401" spans="8:8">
      <c r="H33401" s="680" t="s">
        <v>6153</v>
      </c>
    </row>
    <row r="33402" spans="8:8">
      <c r="H33402" s="680" t="s">
        <v>6153</v>
      </c>
    </row>
    <row r="33403" spans="8:8">
      <c r="H33403" s="680" t="s">
        <v>6153</v>
      </c>
    </row>
    <row r="33404" spans="8:8">
      <c r="H33404" s="680" t="s">
        <v>6153</v>
      </c>
    </row>
    <row r="33405" spans="8:8">
      <c r="H33405" s="680" t="s">
        <v>6153</v>
      </c>
    </row>
    <row r="33406" spans="8:8">
      <c r="H33406" s="680" t="s">
        <v>6153</v>
      </c>
    </row>
    <row r="33407" spans="8:8">
      <c r="H33407" s="680" t="s">
        <v>6153</v>
      </c>
    </row>
    <row r="33408" spans="8:8">
      <c r="H33408" s="680" t="s">
        <v>6153</v>
      </c>
    </row>
    <row r="33409" spans="8:8">
      <c r="H33409" s="680" t="s">
        <v>6153</v>
      </c>
    </row>
    <row r="33410" spans="8:8">
      <c r="H33410" s="680" t="s">
        <v>6153</v>
      </c>
    </row>
    <row r="33411" spans="8:8">
      <c r="H33411" s="680" t="s">
        <v>6153</v>
      </c>
    </row>
    <row r="33412" spans="8:8">
      <c r="H33412" s="680" t="s">
        <v>6153</v>
      </c>
    </row>
    <row r="33413" spans="8:8">
      <c r="H33413" s="680" t="s">
        <v>6153</v>
      </c>
    </row>
    <row r="33414" spans="8:8">
      <c r="H33414" s="680" t="s">
        <v>6153</v>
      </c>
    </row>
    <row r="33415" spans="8:8">
      <c r="H33415" s="680" t="s">
        <v>6153</v>
      </c>
    </row>
    <row r="33416" spans="8:8">
      <c r="H33416" s="680" t="s">
        <v>6153</v>
      </c>
    </row>
    <row r="33417" spans="8:8">
      <c r="H33417" s="680" t="s">
        <v>6153</v>
      </c>
    </row>
    <row r="33418" spans="8:8">
      <c r="H33418" s="680" t="s">
        <v>6153</v>
      </c>
    </row>
    <row r="33419" spans="8:8">
      <c r="H33419" s="680" t="s">
        <v>6153</v>
      </c>
    </row>
    <row r="33420" spans="8:8">
      <c r="H33420" s="680" t="s">
        <v>6153</v>
      </c>
    </row>
    <row r="33421" spans="8:8">
      <c r="H33421" s="680" t="s">
        <v>6153</v>
      </c>
    </row>
    <row r="33422" spans="8:8">
      <c r="H33422" s="680" t="s">
        <v>6153</v>
      </c>
    </row>
    <row r="33423" spans="8:8">
      <c r="H33423" s="680" t="s">
        <v>6153</v>
      </c>
    </row>
    <row r="33424" spans="8:8">
      <c r="H33424" s="680" t="s">
        <v>6153</v>
      </c>
    </row>
    <row r="33425" spans="8:8">
      <c r="H33425" s="680" t="s">
        <v>6153</v>
      </c>
    </row>
    <row r="33426" spans="8:8">
      <c r="H33426" s="680" t="s">
        <v>6153</v>
      </c>
    </row>
    <row r="33427" spans="8:8">
      <c r="H33427" s="680" t="s">
        <v>6153</v>
      </c>
    </row>
    <row r="33428" spans="8:8">
      <c r="H33428" s="680" t="s">
        <v>6153</v>
      </c>
    </row>
    <row r="33429" spans="8:8">
      <c r="H33429" s="680" t="s">
        <v>6153</v>
      </c>
    </row>
    <row r="33430" spans="8:8">
      <c r="H33430" s="680" t="s">
        <v>6153</v>
      </c>
    </row>
    <row r="33431" spans="8:8">
      <c r="H33431" s="680" t="s">
        <v>6153</v>
      </c>
    </row>
    <row r="33432" spans="8:8">
      <c r="H33432" s="680" t="s">
        <v>6153</v>
      </c>
    </row>
    <row r="33433" spans="8:8">
      <c r="H33433" s="680" t="s">
        <v>6153</v>
      </c>
    </row>
    <row r="33434" spans="8:8">
      <c r="H33434" s="680" t="s">
        <v>6153</v>
      </c>
    </row>
    <row r="33435" spans="8:8">
      <c r="H33435" s="680" t="s">
        <v>6153</v>
      </c>
    </row>
    <row r="33436" spans="8:8">
      <c r="H33436" s="680" t="s">
        <v>6153</v>
      </c>
    </row>
    <row r="33437" spans="8:8">
      <c r="H33437" s="680" t="s">
        <v>6153</v>
      </c>
    </row>
    <row r="33438" spans="8:8">
      <c r="H33438" s="680" t="s">
        <v>6153</v>
      </c>
    </row>
    <row r="33439" spans="8:8">
      <c r="H33439" s="680" t="s">
        <v>6153</v>
      </c>
    </row>
    <row r="33440" spans="8:8">
      <c r="H33440" s="680" t="s">
        <v>6153</v>
      </c>
    </row>
    <row r="33441" spans="8:8">
      <c r="H33441" s="680" t="s">
        <v>6153</v>
      </c>
    </row>
    <row r="33442" spans="8:8">
      <c r="H33442" s="680" t="s">
        <v>6153</v>
      </c>
    </row>
    <row r="33443" spans="8:8">
      <c r="H33443" s="680" t="s">
        <v>6153</v>
      </c>
    </row>
    <row r="33444" spans="8:8">
      <c r="H33444" s="680" t="s">
        <v>6153</v>
      </c>
    </row>
    <row r="33445" spans="8:8">
      <c r="H33445" s="680" t="s">
        <v>6153</v>
      </c>
    </row>
    <row r="33446" spans="8:8">
      <c r="H33446" s="680" t="s">
        <v>6153</v>
      </c>
    </row>
    <row r="33447" spans="8:8">
      <c r="H33447" s="680" t="s">
        <v>6153</v>
      </c>
    </row>
    <row r="33448" spans="8:8">
      <c r="H33448" s="680" t="s">
        <v>6153</v>
      </c>
    </row>
    <row r="33449" spans="8:8">
      <c r="H33449" s="680" t="s">
        <v>6153</v>
      </c>
    </row>
    <row r="33450" spans="8:8">
      <c r="H33450" s="680" t="s">
        <v>6153</v>
      </c>
    </row>
    <row r="33451" spans="8:8">
      <c r="H33451" s="680" t="s">
        <v>6153</v>
      </c>
    </row>
    <row r="33452" spans="8:8">
      <c r="H33452" s="680" t="s">
        <v>6153</v>
      </c>
    </row>
    <row r="33453" spans="8:8">
      <c r="H33453" s="680" t="s">
        <v>6153</v>
      </c>
    </row>
    <row r="33454" spans="8:8">
      <c r="H33454" s="680" t="s">
        <v>6153</v>
      </c>
    </row>
    <row r="33455" spans="8:8">
      <c r="H33455" s="680" t="s">
        <v>6153</v>
      </c>
    </row>
    <row r="33456" spans="8:8">
      <c r="H33456" s="680" t="s">
        <v>6153</v>
      </c>
    </row>
    <row r="33457" spans="8:8">
      <c r="H33457" s="680" t="s">
        <v>6153</v>
      </c>
    </row>
    <row r="33458" spans="8:8">
      <c r="H33458" s="680" t="s">
        <v>6153</v>
      </c>
    </row>
    <row r="33459" spans="8:8">
      <c r="H33459" s="680" t="s">
        <v>6153</v>
      </c>
    </row>
    <row r="33460" spans="8:8">
      <c r="H33460" s="680" t="s">
        <v>6153</v>
      </c>
    </row>
    <row r="33461" spans="8:8">
      <c r="H33461" s="680" t="s">
        <v>6153</v>
      </c>
    </row>
    <row r="33462" spans="8:8">
      <c r="H33462" s="680" t="s">
        <v>6153</v>
      </c>
    </row>
    <row r="33463" spans="8:8">
      <c r="H33463" s="680" t="s">
        <v>6153</v>
      </c>
    </row>
    <row r="33464" spans="8:8">
      <c r="H33464" s="680" t="s">
        <v>6153</v>
      </c>
    </row>
    <row r="33465" spans="8:8">
      <c r="H33465" s="680" t="s">
        <v>6153</v>
      </c>
    </row>
    <row r="33466" spans="8:8">
      <c r="H33466" s="680" t="s">
        <v>6153</v>
      </c>
    </row>
    <row r="33467" spans="8:8">
      <c r="H33467" s="680" t="s">
        <v>6153</v>
      </c>
    </row>
    <row r="33468" spans="8:8">
      <c r="H33468" s="680" t="s">
        <v>6153</v>
      </c>
    </row>
    <row r="33469" spans="8:8">
      <c r="H33469" s="680" t="s">
        <v>6153</v>
      </c>
    </row>
    <row r="33470" spans="8:8">
      <c r="H33470" s="680" t="s">
        <v>6153</v>
      </c>
    </row>
    <row r="33471" spans="8:8">
      <c r="H33471" s="680" t="s">
        <v>6153</v>
      </c>
    </row>
    <row r="33472" spans="8:8">
      <c r="H33472" s="680" t="s">
        <v>6153</v>
      </c>
    </row>
    <row r="33473" spans="8:8">
      <c r="H33473" s="680" t="s">
        <v>6153</v>
      </c>
    </row>
    <row r="33474" spans="8:8">
      <c r="H33474" s="680" t="s">
        <v>6153</v>
      </c>
    </row>
    <row r="33475" spans="8:8">
      <c r="H33475" s="680" t="s">
        <v>6153</v>
      </c>
    </row>
    <row r="33476" spans="8:8">
      <c r="H33476" s="680" t="s">
        <v>6153</v>
      </c>
    </row>
    <row r="33477" spans="8:8">
      <c r="H33477" s="680" t="s">
        <v>6153</v>
      </c>
    </row>
    <row r="33478" spans="8:8">
      <c r="H33478" s="680" t="s">
        <v>6153</v>
      </c>
    </row>
    <row r="33479" spans="8:8">
      <c r="H33479" s="680" t="s">
        <v>6153</v>
      </c>
    </row>
    <row r="33480" spans="8:8">
      <c r="H33480" s="680" t="s">
        <v>6153</v>
      </c>
    </row>
    <row r="33481" spans="8:8">
      <c r="H33481" s="680" t="s">
        <v>6153</v>
      </c>
    </row>
    <row r="33482" spans="8:8">
      <c r="H33482" s="680" t="s">
        <v>6153</v>
      </c>
    </row>
    <row r="33483" spans="8:8">
      <c r="H33483" s="680" t="s">
        <v>6153</v>
      </c>
    </row>
    <row r="33484" spans="8:8">
      <c r="H33484" s="680" t="s">
        <v>6153</v>
      </c>
    </row>
    <row r="33485" spans="8:8">
      <c r="H33485" s="680" t="s">
        <v>6153</v>
      </c>
    </row>
    <row r="33486" spans="8:8">
      <c r="H33486" s="680" t="s">
        <v>6153</v>
      </c>
    </row>
    <row r="33487" spans="8:8">
      <c r="H33487" s="680" t="s">
        <v>6153</v>
      </c>
    </row>
    <row r="33488" spans="8:8">
      <c r="H33488" s="680" t="s">
        <v>6153</v>
      </c>
    </row>
    <row r="33489" spans="8:8">
      <c r="H33489" s="680" t="s">
        <v>6153</v>
      </c>
    </row>
    <row r="33490" spans="8:8">
      <c r="H33490" s="680" t="s">
        <v>6153</v>
      </c>
    </row>
    <row r="33491" spans="8:8">
      <c r="H33491" s="680" t="s">
        <v>6153</v>
      </c>
    </row>
    <row r="33492" spans="8:8">
      <c r="H33492" s="680" t="s">
        <v>6153</v>
      </c>
    </row>
    <row r="33493" spans="8:8">
      <c r="H33493" s="680" t="s">
        <v>6153</v>
      </c>
    </row>
    <row r="33494" spans="8:8">
      <c r="H33494" s="680" t="s">
        <v>6153</v>
      </c>
    </row>
    <row r="33495" spans="8:8">
      <c r="H33495" s="680" t="s">
        <v>6153</v>
      </c>
    </row>
    <row r="33496" spans="8:8">
      <c r="H33496" s="680" t="s">
        <v>6153</v>
      </c>
    </row>
    <row r="33497" spans="8:8">
      <c r="H33497" s="680" t="s">
        <v>6153</v>
      </c>
    </row>
    <row r="33498" spans="8:8">
      <c r="H33498" s="680" t="s">
        <v>6153</v>
      </c>
    </row>
    <row r="33499" spans="8:8">
      <c r="H33499" s="680" t="s">
        <v>6153</v>
      </c>
    </row>
    <row r="33500" spans="8:8">
      <c r="H33500" s="680" t="s">
        <v>6153</v>
      </c>
    </row>
    <row r="33501" spans="8:8">
      <c r="H33501" s="680" t="s">
        <v>6153</v>
      </c>
    </row>
    <row r="33502" spans="8:8">
      <c r="H33502" s="680" t="s">
        <v>6153</v>
      </c>
    </row>
    <row r="33503" spans="8:8">
      <c r="H33503" s="680" t="s">
        <v>6153</v>
      </c>
    </row>
    <row r="33504" spans="8:8">
      <c r="H33504" s="680" t="s">
        <v>6153</v>
      </c>
    </row>
    <row r="33505" spans="8:8">
      <c r="H33505" s="680" t="s">
        <v>6153</v>
      </c>
    </row>
    <row r="33506" spans="8:8">
      <c r="H33506" s="680" t="s">
        <v>6153</v>
      </c>
    </row>
    <row r="33507" spans="8:8">
      <c r="H33507" s="680" t="s">
        <v>6153</v>
      </c>
    </row>
    <row r="33508" spans="8:8">
      <c r="H33508" s="680" t="s">
        <v>6153</v>
      </c>
    </row>
    <row r="33509" spans="8:8">
      <c r="H33509" s="680" t="s">
        <v>6153</v>
      </c>
    </row>
    <row r="33510" spans="8:8">
      <c r="H33510" s="680" t="s">
        <v>6153</v>
      </c>
    </row>
    <row r="33511" spans="8:8">
      <c r="H33511" s="680" t="s">
        <v>6153</v>
      </c>
    </row>
    <row r="33512" spans="8:8">
      <c r="H33512" s="680" t="s">
        <v>6153</v>
      </c>
    </row>
    <row r="33513" spans="8:8">
      <c r="H33513" s="680" t="s">
        <v>6153</v>
      </c>
    </row>
    <row r="33514" spans="8:8">
      <c r="H33514" s="680" t="s">
        <v>6153</v>
      </c>
    </row>
    <row r="33515" spans="8:8">
      <c r="H33515" s="680" t="s">
        <v>6153</v>
      </c>
    </row>
    <row r="33516" spans="8:8">
      <c r="H33516" s="680" t="s">
        <v>6153</v>
      </c>
    </row>
    <row r="33517" spans="8:8">
      <c r="H33517" s="680" t="s">
        <v>6153</v>
      </c>
    </row>
    <row r="33518" spans="8:8">
      <c r="H33518" s="680" t="s">
        <v>6153</v>
      </c>
    </row>
    <row r="33519" spans="8:8">
      <c r="H33519" s="680" t="s">
        <v>6153</v>
      </c>
    </row>
    <row r="33520" spans="8:8">
      <c r="H33520" s="680" t="s">
        <v>6153</v>
      </c>
    </row>
    <row r="33521" spans="8:8">
      <c r="H33521" s="680" t="s">
        <v>6153</v>
      </c>
    </row>
    <row r="33522" spans="8:8">
      <c r="H33522" s="680" t="s">
        <v>6153</v>
      </c>
    </row>
    <row r="33523" spans="8:8">
      <c r="H33523" s="680" t="s">
        <v>6153</v>
      </c>
    </row>
    <row r="33524" spans="8:8">
      <c r="H33524" s="680" t="s">
        <v>6153</v>
      </c>
    </row>
    <row r="33525" spans="8:8">
      <c r="H33525" s="680" t="s">
        <v>6153</v>
      </c>
    </row>
    <row r="33526" spans="8:8">
      <c r="H33526" s="680" t="s">
        <v>6153</v>
      </c>
    </row>
    <row r="33527" spans="8:8">
      <c r="H33527" s="680" t="s">
        <v>6153</v>
      </c>
    </row>
    <row r="33528" spans="8:8">
      <c r="H33528" s="680" t="s">
        <v>6153</v>
      </c>
    </row>
    <row r="33529" spans="8:8">
      <c r="H33529" s="680" t="s">
        <v>6153</v>
      </c>
    </row>
    <row r="33530" spans="8:8">
      <c r="H33530" s="680" t="s">
        <v>6153</v>
      </c>
    </row>
    <row r="33531" spans="8:8">
      <c r="H33531" s="680" t="s">
        <v>6153</v>
      </c>
    </row>
    <row r="33532" spans="8:8">
      <c r="H33532" s="680" t="s">
        <v>6153</v>
      </c>
    </row>
    <row r="33533" spans="8:8">
      <c r="H33533" s="680" t="s">
        <v>6153</v>
      </c>
    </row>
    <row r="33534" spans="8:8">
      <c r="H33534" s="680" t="s">
        <v>6153</v>
      </c>
    </row>
    <row r="33535" spans="8:8">
      <c r="H33535" s="680" t="s">
        <v>6153</v>
      </c>
    </row>
    <row r="33536" spans="8:8">
      <c r="H33536" s="680" t="s">
        <v>6153</v>
      </c>
    </row>
    <row r="33537" spans="8:8">
      <c r="H33537" s="680" t="s">
        <v>6153</v>
      </c>
    </row>
    <row r="33538" spans="8:8">
      <c r="H33538" s="680" t="s">
        <v>6153</v>
      </c>
    </row>
    <row r="33539" spans="8:8">
      <c r="H33539" s="680" t="s">
        <v>6153</v>
      </c>
    </row>
    <row r="33540" spans="8:8">
      <c r="H33540" s="680" t="s">
        <v>6153</v>
      </c>
    </row>
    <row r="33541" spans="8:8">
      <c r="H33541" s="680" t="s">
        <v>6153</v>
      </c>
    </row>
    <row r="33542" spans="8:8">
      <c r="H33542" s="680" t="s">
        <v>6153</v>
      </c>
    </row>
    <row r="33543" spans="8:8">
      <c r="H33543" s="680" t="s">
        <v>6153</v>
      </c>
    </row>
    <row r="33544" spans="8:8">
      <c r="H33544" s="680" t="s">
        <v>6153</v>
      </c>
    </row>
    <row r="33545" spans="8:8">
      <c r="H33545" s="680" t="s">
        <v>6153</v>
      </c>
    </row>
    <row r="33546" spans="8:8">
      <c r="H33546" s="680" t="s">
        <v>6153</v>
      </c>
    </row>
    <row r="33547" spans="8:8">
      <c r="H33547" s="680" t="s">
        <v>6153</v>
      </c>
    </row>
    <row r="33548" spans="8:8">
      <c r="H33548" s="680" t="s">
        <v>6153</v>
      </c>
    </row>
    <row r="33549" spans="8:8">
      <c r="H33549" s="680" t="s">
        <v>6153</v>
      </c>
    </row>
    <row r="33550" spans="8:8">
      <c r="H33550" s="680" t="s">
        <v>6153</v>
      </c>
    </row>
    <row r="33551" spans="8:8">
      <c r="H33551" s="680" t="s">
        <v>6153</v>
      </c>
    </row>
    <row r="33552" spans="8:8">
      <c r="H33552" s="680" t="s">
        <v>6153</v>
      </c>
    </row>
    <row r="33553" spans="8:8">
      <c r="H33553" s="680" t="s">
        <v>6153</v>
      </c>
    </row>
    <row r="33554" spans="8:8">
      <c r="H33554" s="680" t="s">
        <v>6153</v>
      </c>
    </row>
    <row r="33555" spans="8:8">
      <c r="H33555" s="680" t="s">
        <v>6153</v>
      </c>
    </row>
    <row r="33556" spans="8:8">
      <c r="H33556" s="680" t="s">
        <v>6153</v>
      </c>
    </row>
    <row r="33557" spans="8:8">
      <c r="H33557" s="680" t="s">
        <v>6153</v>
      </c>
    </row>
    <row r="33558" spans="8:8">
      <c r="H33558" s="680" t="s">
        <v>6153</v>
      </c>
    </row>
    <row r="33559" spans="8:8">
      <c r="H33559" s="680" t="s">
        <v>6153</v>
      </c>
    </row>
    <row r="33560" spans="8:8">
      <c r="H33560" s="680" t="s">
        <v>6153</v>
      </c>
    </row>
    <row r="33561" spans="8:8">
      <c r="H33561" s="680" t="s">
        <v>6153</v>
      </c>
    </row>
    <row r="33562" spans="8:8">
      <c r="H33562" s="680" t="s">
        <v>6153</v>
      </c>
    </row>
    <row r="33563" spans="8:8">
      <c r="H33563" s="680" t="s">
        <v>6153</v>
      </c>
    </row>
    <row r="33564" spans="8:8">
      <c r="H33564" s="680" t="s">
        <v>6153</v>
      </c>
    </row>
    <row r="33565" spans="8:8">
      <c r="H33565" s="680" t="s">
        <v>6153</v>
      </c>
    </row>
    <row r="33566" spans="8:8">
      <c r="H33566" s="680" t="s">
        <v>6153</v>
      </c>
    </row>
    <row r="33567" spans="8:8">
      <c r="H33567" s="680" t="s">
        <v>6153</v>
      </c>
    </row>
    <row r="33568" spans="8:8">
      <c r="H33568" s="680" t="s">
        <v>6153</v>
      </c>
    </row>
    <row r="33569" spans="8:8">
      <c r="H33569" s="680" t="s">
        <v>6153</v>
      </c>
    </row>
    <row r="33570" spans="8:8">
      <c r="H33570" s="680" t="s">
        <v>6153</v>
      </c>
    </row>
    <row r="33571" spans="8:8">
      <c r="H33571" s="680" t="s">
        <v>6153</v>
      </c>
    </row>
    <row r="33572" spans="8:8">
      <c r="H33572" s="680" t="s">
        <v>6153</v>
      </c>
    </row>
    <row r="33573" spans="8:8">
      <c r="H33573" s="680" t="s">
        <v>6153</v>
      </c>
    </row>
    <row r="33574" spans="8:8">
      <c r="H33574" s="680" t="s">
        <v>6153</v>
      </c>
    </row>
    <row r="33575" spans="8:8">
      <c r="H33575" s="680" t="s">
        <v>6153</v>
      </c>
    </row>
    <row r="33576" spans="8:8">
      <c r="H33576" s="680" t="s">
        <v>6153</v>
      </c>
    </row>
    <row r="33577" spans="8:8">
      <c r="H33577" s="680" t="s">
        <v>6153</v>
      </c>
    </row>
    <row r="33578" spans="8:8">
      <c r="H33578" s="680" t="s">
        <v>6153</v>
      </c>
    </row>
    <row r="33579" spans="8:8">
      <c r="H33579" s="680" t="s">
        <v>6153</v>
      </c>
    </row>
    <row r="33580" spans="8:8">
      <c r="H33580" s="680" t="s">
        <v>6153</v>
      </c>
    </row>
    <row r="33581" spans="8:8">
      <c r="H33581" s="680" t="s">
        <v>6153</v>
      </c>
    </row>
    <row r="33582" spans="8:8">
      <c r="H33582" s="680" t="s">
        <v>6153</v>
      </c>
    </row>
    <row r="33583" spans="8:8">
      <c r="H33583" s="680" t="s">
        <v>6153</v>
      </c>
    </row>
    <row r="33584" spans="8:8">
      <c r="H33584" s="680" t="s">
        <v>6153</v>
      </c>
    </row>
    <row r="33585" spans="8:8">
      <c r="H33585" s="680" t="s">
        <v>6153</v>
      </c>
    </row>
    <row r="33586" spans="8:8">
      <c r="H33586" s="680" t="s">
        <v>6153</v>
      </c>
    </row>
    <row r="33587" spans="8:8">
      <c r="H33587" s="680" t="s">
        <v>6153</v>
      </c>
    </row>
    <row r="33588" spans="8:8">
      <c r="H33588" s="680" t="s">
        <v>6153</v>
      </c>
    </row>
    <row r="33589" spans="8:8">
      <c r="H33589" s="680" t="s">
        <v>6153</v>
      </c>
    </row>
    <row r="33590" spans="8:8">
      <c r="H33590" s="680" t="s">
        <v>6153</v>
      </c>
    </row>
    <row r="33591" spans="8:8">
      <c r="H33591" s="680" t="s">
        <v>6153</v>
      </c>
    </row>
    <row r="33592" spans="8:8">
      <c r="H33592" s="680" t="s">
        <v>6153</v>
      </c>
    </row>
    <row r="33593" spans="8:8">
      <c r="H33593" s="680" t="s">
        <v>6153</v>
      </c>
    </row>
    <row r="33594" spans="8:8">
      <c r="H33594" s="680" t="s">
        <v>6153</v>
      </c>
    </row>
    <row r="33595" spans="8:8">
      <c r="H33595" s="680" t="s">
        <v>6153</v>
      </c>
    </row>
    <row r="33596" spans="8:8">
      <c r="H33596" s="680" t="s">
        <v>6153</v>
      </c>
    </row>
    <row r="33597" spans="8:8">
      <c r="H33597" s="680" t="s">
        <v>6153</v>
      </c>
    </row>
    <row r="33598" spans="8:8">
      <c r="H33598" s="680" t="s">
        <v>6153</v>
      </c>
    </row>
    <row r="33599" spans="8:8">
      <c r="H33599" s="680" t="s">
        <v>6153</v>
      </c>
    </row>
    <row r="33600" spans="8:8">
      <c r="H33600" s="680" t="s">
        <v>6153</v>
      </c>
    </row>
    <row r="33601" spans="8:8">
      <c r="H33601" s="680" t="s">
        <v>6153</v>
      </c>
    </row>
    <row r="33602" spans="8:8">
      <c r="H33602" s="680" t="s">
        <v>6153</v>
      </c>
    </row>
    <row r="33603" spans="8:8">
      <c r="H33603" s="680" t="s">
        <v>6153</v>
      </c>
    </row>
    <row r="33604" spans="8:8">
      <c r="H33604" s="680" t="s">
        <v>6153</v>
      </c>
    </row>
    <row r="33605" spans="8:8">
      <c r="H33605" s="680" t="s">
        <v>6153</v>
      </c>
    </row>
    <row r="33606" spans="8:8">
      <c r="H33606" s="680" t="s">
        <v>6153</v>
      </c>
    </row>
    <row r="33607" spans="8:8">
      <c r="H33607" s="680" t="s">
        <v>6153</v>
      </c>
    </row>
    <row r="33608" spans="8:8">
      <c r="H33608" s="680" t="s">
        <v>6153</v>
      </c>
    </row>
    <row r="33609" spans="8:8">
      <c r="H33609" s="680" t="s">
        <v>6153</v>
      </c>
    </row>
    <row r="33610" spans="8:8">
      <c r="H33610" s="680" t="s">
        <v>6153</v>
      </c>
    </row>
    <row r="33611" spans="8:8">
      <c r="H33611" s="680" t="s">
        <v>6153</v>
      </c>
    </row>
    <row r="33612" spans="8:8">
      <c r="H33612" s="680" t="s">
        <v>6153</v>
      </c>
    </row>
    <row r="33613" spans="8:8">
      <c r="H33613" s="680" t="s">
        <v>6153</v>
      </c>
    </row>
    <row r="33614" spans="8:8">
      <c r="H33614" s="680" t="s">
        <v>6153</v>
      </c>
    </row>
    <row r="33615" spans="8:8">
      <c r="H33615" s="680" t="s">
        <v>6153</v>
      </c>
    </row>
    <row r="33616" spans="8:8">
      <c r="H33616" s="680" t="s">
        <v>6153</v>
      </c>
    </row>
    <row r="33617" spans="8:8">
      <c r="H33617" s="680" t="s">
        <v>6153</v>
      </c>
    </row>
    <row r="33618" spans="8:8">
      <c r="H33618" s="680" t="s">
        <v>6153</v>
      </c>
    </row>
    <row r="33619" spans="8:8">
      <c r="H33619" s="680" t="s">
        <v>6153</v>
      </c>
    </row>
    <row r="33620" spans="8:8">
      <c r="H33620" s="680" t="s">
        <v>6153</v>
      </c>
    </row>
    <row r="33621" spans="8:8">
      <c r="H33621" s="680" t="s">
        <v>6153</v>
      </c>
    </row>
    <row r="33622" spans="8:8">
      <c r="H33622" s="680" t="s">
        <v>6153</v>
      </c>
    </row>
    <row r="33623" spans="8:8">
      <c r="H33623" s="680" t="s">
        <v>6153</v>
      </c>
    </row>
    <row r="33624" spans="8:8">
      <c r="H33624" s="680" t="s">
        <v>6153</v>
      </c>
    </row>
    <row r="33625" spans="8:8">
      <c r="H33625" s="680" t="s">
        <v>6153</v>
      </c>
    </row>
    <row r="33626" spans="8:8">
      <c r="H33626" s="680" t="s">
        <v>6153</v>
      </c>
    </row>
    <row r="33627" spans="8:8">
      <c r="H33627" s="680" t="s">
        <v>6153</v>
      </c>
    </row>
    <row r="33628" spans="8:8">
      <c r="H33628" s="680" t="s">
        <v>6153</v>
      </c>
    </row>
    <row r="33629" spans="8:8">
      <c r="H33629" s="680" t="s">
        <v>6153</v>
      </c>
    </row>
    <row r="33630" spans="8:8">
      <c r="H33630" s="680" t="s">
        <v>6153</v>
      </c>
    </row>
    <row r="33631" spans="8:8">
      <c r="H33631" s="680" t="s">
        <v>6153</v>
      </c>
    </row>
    <row r="33632" spans="8:8">
      <c r="H33632" s="680" t="s">
        <v>6153</v>
      </c>
    </row>
    <row r="33633" spans="8:8">
      <c r="H33633" s="680" t="s">
        <v>6153</v>
      </c>
    </row>
    <row r="33634" spans="8:8">
      <c r="H33634" s="680" t="s">
        <v>6153</v>
      </c>
    </row>
    <row r="33635" spans="8:8">
      <c r="H33635" s="680" t="s">
        <v>6153</v>
      </c>
    </row>
    <row r="33636" spans="8:8">
      <c r="H33636" s="680" t="s">
        <v>6153</v>
      </c>
    </row>
    <row r="33637" spans="8:8">
      <c r="H33637" s="680" t="s">
        <v>6153</v>
      </c>
    </row>
    <row r="33638" spans="8:8">
      <c r="H33638" s="680" t="s">
        <v>6153</v>
      </c>
    </row>
    <row r="33639" spans="8:8">
      <c r="H33639" s="680" t="s">
        <v>6153</v>
      </c>
    </row>
    <row r="33640" spans="8:8">
      <c r="H33640" s="680" t="s">
        <v>6153</v>
      </c>
    </row>
    <row r="33641" spans="8:8">
      <c r="H33641" s="680" t="s">
        <v>6153</v>
      </c>
    </row>
    <row r="33642" spans="8:8">
      <c r="H33642" s="680" t="s">
        <v>6153</v>
      </c>
    </row>
    <row r="33643" spans="8:8">
      <c r="H33643" s="680" t="s">
        <v>6153</v>
      </c>
    </row>
    <row r="33644" spans="8:8">
      <c r="H33644" s="680" t="s">
        <v>6153</v>
      </c>
    </row>
    <row r="33645" spans="8:8">
      <c r="H33645" s="680" t="s">
        <v>6153</v>
      </c>
    </row>
    <row r="33646" spans="8:8">
      <c r="H33646" s="680" t="s">
        <v>6153</v>
      </c>
    </row>
    <row r="33647" spans="8:8">
      <c r="H33647" s="680" t="s">
        <v>6153</v>
      </c>
    </row>
    <row r="33648" spans="8:8">
      <c r="H33648" s="680" t="s">
        <v>6153</v>
      </c>
    </row>
    <row r="33649" spans="8:8">
      <c r="H33649" s="680" t="s">
        <v>6153</v>
      </c>
    </row>
    <row r="33650" spans="8:8">
      <c r="H33650" s="680" t="s">
        <v>6153</v>
      </c>
    </row>
    <row r="33651" spans="8:8">
      <c r="H33651" s="680" t="s">
        <v>6153</v>
      </c>
    </row>
    <row r="33652" spans="8:8">
      <c r="H33652" s="680" t="s">
        <v>6153</v>
      </c>
    </row>
    <row r="33653" spans="8:8">
      <c r="H33653" s="680" t="s">
        <v>6153</v>
      </c>
    </row>
    <row r="33654" spans="8:8">
      <c r="H33654" s="680" t="s">
        <v>6153</v>
      </c>
    </row>
    <row r="33655" spans="8:8">
      <c r="H33655" s="680" t="s">
        <v>6153</v>
      </c>
    </row>
    <row r="33656" spans="8:8">
      <c r="H33656" s="680" t="s">
        <v>6153</v>
      </c>
    </row>
    <row r="33657" spans="8:8">
      <c r="H33657" s="680" t="s">
        <v>6153</v>
      </c>
    </row>
    <row r="33658" spans="8:8">
      <c r="H33658" s="680" t="s">
        <v>6153</v>
      </c>
    </row>
    <row r="33659" spans="8:8">
      <c r="H33659" s="680" t="s">
        <v>6153</v>
      </c>
    </row>
    <row r="33660" spans="8:8">
      <c r="H33660" s="680" t="s">
        <v>6153</v>
      </c>
    </row>
    <row r="33661" spans="8:8">
      <c r="H33661" s="680" t="s">
        <v>6153</v>
      </c>
    </row>
    <row r="33662" spans="8:8">
      <c r="H33662" s="680" t="s">
        <v>6153</v>
      </c>
    </row>
    <row r="33663" spans="8:8">
      <c r="H33663" s="680" t="s">
        <v>6153</v>
      </c>
    </row>
    <row r="33664" spans="8:8">
      <c r="H33664" s="680" t="s">
        <v>6153</v>
      </c>
    </row>
    <row r="33665" spans="8:8">
      <c r="H33665" s="680" t="s">
        <v>6153</v>
      </c>
    </row>
    <row r="33666" spans="8:8">
      <c r="H33666" s="680" t="s">
        <v>6153</v>
      </c>
    </row>
    <row r="33667" spans="8:8">
      <c r="H33667" s="680" t="s">
        <v>6153</v>
      </c>
    </row>
    <row r="33668" spans="8:8">
      <c r="H33668" s="680" t="s">
        <v>6153</v>
      </c>
    </row>
    <row r="33669" spans="8:8">
      <c r="H33669" s="680" t="s">
        <v>6153</v>
      </c>
    </row>
    <row r="33670" spans="8:8">
      <c r="H33670" s="680" t="s">
        <v>6153</v>
      </c>
    </row>
    <row r="33671" spans="8:8">
      <c r="H33671" s="680" t="s">
        <v>6153</v>
      </c>
    </row>
    <row r="33672" spans="8:8">
      <c r="H33672" s="680" t="s">
        <v>6153</v>
      </c>
    </row>
    <row r="33673" spans="8:8">
      <c r="H33673" s="680" t="s">
        <v>6153</v>
      </c>
    </row>
    <row r="33674" spans="8:8">
      <c r="H33674" s="680" t="s">
        <v>6153</v>
      </c>
    </row>
    <row r="33675" spans="8:8">
      <c r="H33675" s="680" t="s">
        <v>6153</v>
      </c>
    </row>
    <row r="33676" spans="8:8">
      <c r="H33676" s="680" t="s">
        <v>6153</v>
      </c>
    </row>
    <row r="33677" spans="8:8">
      <c r="H33677" s="680" t="s">
        <v>6153</v>
      </c>
    </row>
    <row r="33678" spans="8:8">
      <c r="H33678" s="680" t="s">
        <v>6153</v>
      </c>
    </row>
    <row r="33679" spans="8:8">
      <c r="H33679" s="680" t="s">
        <v>6153</v>
      </c>
    </row>
    <row r="33680" spans="8:8">
      <c r="H33680" s="680" t="s">
        <v>6153</v>
      </c>
    </row>
    <row r="33681" spans="8:8">
      <c r="H33681" s="680" t="s">
        <v>6153</v>
      </c>
    </row>
    <row r="33682" spans="8:8">
      <c r="H33682" s="680" t="s">
        <v>6153</v>
      </c>
    </row>
    <row r="33683" spans="8:8">
      <c r="H33683" s="680" t="s">
        <v>6153</v>
      </c>
    </row>
    <row r="33684" spans="8:8">
      <c r="H33684" s="680" t="s">
        <v>6153</v>
      </c>
    </row>
    <row r="33685" spans="8:8">
      <c r="H33685" s="680" t="s">
        <v>6153</v>
      </c>
    </row>
    <row r="33686" spans="8:8">
      <c r="H33686" s="680" t="s">
        <v>6153</v>
      </c>
    </row>
    <row r="33687" spans="8:8">
      <c r="H33687" s="680" t="s">
        <v>6153</v>
      </c>
    </row>
    <row r="33688" spans="8:8">
      <c r="H33688" s="680" t="s">
        <v>6153</v>
      </c>
    </row>
    <row r="33689" spans="8:8">
      <c r="H33689" s="680" t="s">
        <v>6153</v>
      </c>
    </row>
    <row r="33690" spans="8:8">
      <c r="H33690" s="680" t="s">
        <v>6153</v>
      </c>
    </row>
    <row r="33691" spans="8:8">
      <c r="H33691" s="680" t="s">
        <v>6153</v>
      </c>
    </row>
    <row r="33692" spans="8:8">
      <c r="H33692" s="680" t="s">
        <v>6153</v>
      </c>
    </row>
    <row r="33693" spans="8:8">
      <c r="H33693" s="680" t="s">
        <v>6153</v>
      </c>
    </row>
    <row r="33694" spans="8:8">
      <c r="H33694" s="680" t="s">
        <v>6153</v>
      </c>
    </row>
    <row r="33695" spans="8:8">
      <c r="H33695" s="680" t="s">
        <v>6153</v>
      </c>
    </row>
    <row r="33696" spans="8:8">
      <c r="H33696" s="680" t="s">
        <v>6153</v>
      </c>
    </row>
    <row r="33697" spans="8:8">
      <c r="H33697" s="680" t="s">
        <v>6153</v>
      </c>
    </row>
    <row r="33698" spans="8:8">
      <c r="H33698" s="680" t="s">
        <v>6153</v>
      </c>
    </row>
    <row r="33699" spans="8:8">
      <c r="H33699" s="680" t="s">
        <v>6153</v>
      </c>
    </row>
    <row r="33700" spans="8:8">
      <c r="H33700" s="680" t="s">
        <v>6153</v>
      </c>
    </row>
    <row r="33701" spans="8:8">
      <c r="H33701" s="680" t="s">
        <v>6153</v>
      </c>
    </row>
    <row r="33702" spans="8:8">
      <c r="H33702" s="680" t="s">
        <v>6153</v>
      </c>
    </row>
    <row r="33703" spans="8:8">
      <c r="H33703" s="680" t="s">
        <v>6153</v>
      </c>
    </row>
    <row r="33704" spans="8:8">
      <c r="H33704" s="680" t="s">
        <v>6153</v>
      </c>
    </row>
    <row r="33705" spans="8:8">
      <c r="H33705" s="680" t="s">
        <v>6153</v>
      </c>
    </row>
    <row r="33706" spans="8:8">
      <c r="H33706" s="680" t="s">
        <v>6153</v>
      </c>
    </row>
    <row r="33707" spans="8:8">
      <c r="H33707" s="680" t="s">
        <v>6153</v>
      </c>
    </row>
    <row r="33708" spans="8:8">
      <c r="H33708" s="680" t="s">
        <v>6153</v>
      </c>
    </row>
    <row r="33709" spans="8:8">
      <c r="H33709" s="680" t="s">
        <v>6153</v>
      </c>
    </row>
    <row r="33710" spans="8:8">
      <c r="H33710" s="680" t="s">
        <v>6153</v>
      </c>
    </row>
    <row r="33711" spans="8:8">
      <c r="H33711" s="680" t="s">
        <v>6153</v>
      </c>
    </row>
    <row r="33712" spans="8:8">
      <c r="H33712" s="680" t="s">
        <v>6153</v>
      </c>
    </row>
    <row r="33713" spans="8:8">
      <c r="H33713" s="680" t="s">
        <v>6153</v>
      </c>
    </row>
    <row r="33714" spans="8:8">
      <c r="H33714" s="680" t="s">
        <v>6153</v>
      </c>
    </row>
    <row r="33715" spans="8:8">
      <c r="H33715" s="680" t="s">
        <v>6153</v>
      </c>
    </row>
    <row r="33716" spans="8:8">
      <c r="H33716" s="680" t="s">
        <v>6153</v>
      </c>
    </row>
    <row r="33717" spans="8:8">
      <c r="H33717" s="680" t="s">
        <v>6153</v>
      </c>
    </row>
    <row r="33718" spans="8:8">
      <c r="H33718" s="680" t="s">
        <v>6153</v>
      </c>
    </row>
    <row r="33719" spans="8:8">
      <c r="H33719" s="680" t="s">
        <v>6153</v>
      </c>
    </row>
    <row r="33720" spans="8:8">
      <c r="H33720" s="680" t="s">
        <v>6153</v>
      </c>
    </row>
    <row r="33721" spans="8:8">
      <c r="H33721" s="680" t="s">
        <v>6153</v>
      </c>
    </row>
    <row r="33722" spans="8:8">
      <c r="H33722" s="680" t="s">
        <v>6153</v>
      </c>
    </row>
    <row r="33723" spans="8:8">
      <c r="H33723" s="680" t="s">
        <v>6153</v>
      </c>
    </row>
    <row r="33724" spans="8:8">
      <c r="H33724" s="680" t="s">
        <v>6153</v>
      </c>
    </row>
    <row r="33725" spans="8:8">
      <c r="H33725" s="680" t="s">
        <v>6153</v>
      </c>
    </row>
    <row r="33726" spans="8:8">
      <c r="H33726" s="680" t="s">
        <v>6153</v>
      </c>
    </row>
    <row r="33727" spans="8:8">
      <c r="H33727" s="680" t="s">
        <v>6153</v>
      </c>
    </row>
    <row r="33728" spans="8:8">
      <c r="H33728" s="680" t="s">
        <v>6153</v>
      </c>
    </row>
    <row r="33729" spans="8:8">
      <c r="H33729" s="680" t="s">
        <v>6153</v>
      </c>
    </row>
    <row r="33730" spans="8:8">
      <c r="H33730" s="680" t="s">
        <v>6153</v>
      </c>
    </row>
    <row r="33731" spans="8:8">
      <c r="H33731" s="680" t="s">
        <v>6153</v>
      </c>
    </row>
    <row r="33732" spans="8:8">
      <c r="H33732" s="680" t="s">
        <v>6153</v>
      </c>
    </row>
    <row r="33733" spans="8:8">
      <c r="H33733" s="680" t="s">
        <v>6153</v>
      </c>
    </row>
    <row r="33734" spans="8:8">
      <c r="H33734" s="680" t="s">
        <v>6153</v>
      </c>
    </row>
    <row r="33735" spans="8:8">
      <c r="H33735" s="680" t="s">
        <v>6153</v>
      </c>
    </row>
    <row r="33736" spans="8:8">
      <c r="H33736" s="680" t="s">
        <v>6153</v>
      </c>
    </row>
    <row r="33737" spans="8:8">
      <c r="H33737" s="680" t="s">
        <v>6153</v>
      </c>
    </row>
    <row r="33738" spans="8:8">
      <c r="H33738" s="680" t="s">
        <v>6153</v>
      </c>
    </row>
    <row r="33739" spans="8:8">
      <c r="H33739" s="680" t="s">
        <v>6153</v>
      </c>
    </row>
    <row r="33740" spans="8:8">
      <c r="H33740" s="680" t="s">
        <v>6153</v>
      </c>
    </row>
    <row r="33741" spans="8:8">
      <c r="H33741" s="680" t="s">
        <v>6153</v>
      </c>
    </row>
    <row r="33742" spans="8:8">
      <c r="H33742" s="680" t="s">
        <v>6153</v>
      </c>
    </row>
    <row r="33743" spans="8:8">
      <c r="H33743" s="680" t="s">
        <v>6153</v>
      </c>
    </row>
    <row r="33744" spans="8:8">
      <c r="H33744" s="680" t="s">
        <v>6153</v>
      </c>
    </row>
    <row r="33745" spans="8:8">
      <c r="H33745" s="680" t="s">
        <v>6153</v>
      </c>
    </row>
    <row r="33746" spans="8:8">
      <c r="H33746" s="680" t="s">
        <v>6153</v>
      </c>
    </row>
    <row r="33747" spans="8:8">
      <c r="H33747" s="680" t="s">
        <v>6153</v>
      </c>
    </row>
    <row r="33748" spans="8:8">
      <c r="H33748" s="680" t="s">
        <v>6153</v>
      </c>
    </row>
    <row r="33749" spans="8:8">
      <c r="H33749" s="680" t="s">
        <v>6153</v>
      </c>
    </row>
    <row r="33750" spans="8:8">
      <c r="H33750" s="680" t="s">
        <v>6153</v>
      </c>
    </row>
    <row r="33751" spans="8:8">
      <c r="H33751" s="680" t="s">
        <v>6153</v>
      </c>
    </row>
    <row r="33752" spans="8:8">
      <c r="H33752" s="680" t="s">
        <v>6153</v>
      </c>
    </row>
    <row r="33753" spans="8:8">
      <c r="H33753" s="680" t="s">
        <v>6153</v>
      </c>
    </row>
    <row r="33754" spans="8:8">
      <c r="H33754" s="680" t="s">
        <v>6153</v>
      </c>
    </row>
    <row r="33755" spans="8:8">
      <c r="H33755" s="680" t="s">
        <v>6153</v>
      </c>
    </row>
    <row r="33756" spans="8:8">
      <c r="H33756" s="680" t="s">
        <v>6153</v>
      </c>
    </row>
    <row r="33757" spans="8:8">
      <c r="H33757" s="680" t="s">
        <v>6153</v>
      </c>
    </row>
    <row r="33758" spans="8:8">
      <c r="H33758" s="680" t="s">
        <v>6153</v>
      </c>
    </row>
    <row r="33759" spans="8:8">
      <c r="H33759" s="680" t="s">
        <v>6153</v>
      </c>
    </row>
    <row r="33760" spans="8:8">
      <c r="H33760" s="680" t="s">
        <v>6153</v>
      </c>
    </row>
    <row r="33761" spans="8:8">
      <c r="H33761" s="680" t="s">
        <v>6153</v>
      </c>
    </row>
    <row r="33762" spans="8:8">
      <c r="H33762" s="680" t="s">
        <v>6153</v>
      </c>
    </row>
    <row r="33763" spans="8:8">
      <c r="H33763" s="680" t="s">
        <v>6153</v>
      </c>
    </row>
    <row r="33764" spans="8:8">
      <c r="H33764" s="680" t="s">
        <v>6153</v>
      </c>
    </row>
    <row r="33765" spans="8:8">
      <c r="H33765" s="680" t="s">
        <v>6153</v>
      </c>
    </row>
    <row r="33766" spans="8:8">
      <c r="H33766" s="680" t="s">
        <v>6153</v>
      </c>
    </row>
    <row r="33767" spans="8:8">
      <c r="H33767" s="680" t="s">
        <v>6153</v>
      </c>
    </row>
    <row r="33768" spans="8:8">
      <c r="H33768" s="680" t="s">
        <v>6153</v>
      </c>
    </row>
    <row r="33769" spans="8:8">
      <c r="H33769" s="680" t="s">
        <v>6153</v>
      </c>
    </row>
    <row r="33770" spans="8:8">
      <c r="H33770" s="680" t="s">
        <v>6153</v>
      </c>
    </row>
    <row r="33771" spans="8:8">
      <c r="H33771" s="680" t="s">
        <v>6153</v>
      </c>
    </row>
    <row r="33772" spans="8:8">
      <c r="H33772" s="680" t="s">
        <v>6153</v>
      </c>
    </row>
    <row r="33773" spans="8:8">
      <c r="H33773" s="680" t="s">
        <v>6153</v>
      </c>
    </row>
    <row r="33774" spans="8:8">
      <c r="H33774" s="680" t="s">
        <v>6153</v>
      </c>
    </row>
    <row r="33775" spans="8:8">
      <c r="H33775" s="680" t="s">
        <v>6153</v>
      </c>
    </row>
    <row r="33776" spans="8:8">
      <c r="H33776" s="680" t="s">
        <v>6153</v>
      </c>
    </row>
    <row r="33777" spans="8:8">
      <c r="H33777" s="680" t="s">
        <v>6153</v>
      </c>
    </row>
    <row r="33778" spans="8:8">
      <c r="H33778" s="680" t="s">
        <v>6153</v>
      </c>
    </row>
    <row r="33779" spans="8:8">
      <c r="H33779" s="680" t="s">
        <v>6153</v>
      </c>
    </row>
    <row r="33780" spans="8:8">
      <c r="H33780" s="680" t="s">
        <v>6153</v>
      </c>
    </row>
    <row r="33781" spans="8:8">
      <c r="H33781" s="680" t="s">
        <v>6153</v>
      </c>
    </row>
    <row r="33782" spans="8:8">
      <c r="H33782" s="680" t="s">
        <v>6153</v>
      </c>
    </row>
    <row r="33783" spans="8:8">
      <c r="H33783" s="680" t="s">
        <v>6153</v>
      </c>
    </row>
    <row r="33784" spans="8:8">
      <c r="H33784" s="680" t="s">
        <v>6153</v>
      </c>
    </row>
    <row r="33785" spans="8:8">
      <c r="H33785" s="680" t="s">
        <v>6153</v>
      </c>
    </row>
    <row r="33786" spans="8:8">
      <c r="H33786" s="680" t="s">
        <v>6153</v>
      </c>
    </row>
    <row r="33787" spans="8:8">
      <c r="H33787" s="680" t="s">
        <v>6153</v>
      </c>
    </row>
    <row r="33788" spans="8:8">
      <c r="H33788" s="680" t="s">
        <v>6153</v>
      </c>
    </row>
    <row r="33789" spans="8:8">
      <c r="H33789" s="680" t="s">
        <v>6153</v>
      </c>
    </row>
    <row r="33790" spans="8:8">
      <c r="H33790" s="680" t="s">
        <v>6153</v>
      </c>
    </row>
    <row r="33791" spans="8:8">
      <c r="H33791" s="680" t="s">
        <v>6153</v>
      </c>
    </row>
    <row r="33792" spans="8:8">
      <c r="H33792" s="680" t="s">
        <v>6153</v>
      </c>
    </row>
    <row r="33793" spans="8:8">
      <c r="H33793" s="680" t="s">
        <v>6153</v>
      </c>
    </row>
    <row r="33794" spans="8:8">
      <c r="H33794" s="680" t="s">
        <v>6153</v>
      </c>
    </row>
    <row r="33795" spans="8:8">
      <c r="H33795" s="680" t="s">
        <v>6153</v>
      </c>
    </row>
    <row r="33796" spans="8:8">
      <c r="H33796" s="680" t="s">
        <v>6153</v>
      </c>
    </row>
    <row r="33797" spans="8:8">
      <c r="H33797" s="680" t="s">
        <v>6153</v>
      </c>
    </row>
    <row r="33798" spans="8:8">
      <c r="H33798" s="680" t="s">
        <v>6153</v>
      </c>
    </row>
    <row r="33799" spans="8:8">
      <c r="H33799" s="680" t="s">
        <v>6153</v>
      </c>
    </row>
    <row r="33800" spans="8:8">
      <c r="H33800" s="680" t="s">
        <v>6153</v>
      </c>
    </row>
    <row r="33801" spans="8:8">
      <c r="H33801" s="680" t="s">
        <v>6153</v>
      </c>
    </row>
    <row r="33802" spans="8:8">
      <c r="H33802" s="680" t="s">
        <v>6153</v>
      </c>
    </row>
    <row r="33803" spans="8:8">
      <c r="H33803" s="680" t="s">
        <v>6153</v>
      </c>
    </row>
    <row r="33804" spans="8:8">
      <c r="H33804" s="680" t="s">
        <v>6153</v>
      </c>
    </row>
    <row r="33805" spans="8:8">
      <c r="H33805" s="680" t="s">
        <v>6153</v>
      </c>
    </row>
    <row r="33806" spans="8:8">
      <c r="H33806" s="680" t="s">
        <v>6153</v>
      </c>
    </row>
    <row r="33807" spans="8:8">
      <c r="H33807" s="680" t="s">
        <v>6153</v>
      </c>
    </row>
    <row r="33808" spans="8:8">
      <c r="H33808" s="680" t="s">
        <v>6153</v>
      </c>
    </row>
    <row r="33809" spans="8:8">
      <c r="H33809" s="680" t="s">
        <v>6153</v>
      </c>
    </row>
    <row r="33810" spans="8:8">
      <c r="H33810" s="680" t="s">
        <v>6153</v>
      </c>
    </row>
    <row r="33811" spans="8:8">
      <c r="H33811" s="680" t="s">
        <v>6153</v>
      </c>
    </row>
    <row r="33812" spans="8:8">
      <c r="H33812" s="680" t="s">
        <v>6153</v>
      </c>
    </row>
    <row r="33813" spans="8:8">
      <c r="H33813" s="680" t="s">
        <v>6153</v>
      </c>
    </row>
    <row r="33814" spans="8:8">
      <c r="H33814" s="680" t="s">
        <v>6153</v>
      </c>
    </row>
    <row r="33815" spans="8:8">
      <c r="H33815" s="680" t="s">
        <v>6153</v>
      </c>
    </row>
    <row r="33816" spans="8:8">
      <c r="H33816" s="680" t="s">
        <v>6153</v>
      </c>
    </row>
    <row r="33817" spans="8:8">
      <c r="H33817" s="680" t="s">
        <v>6153</v>
      </c>
    </row>
    <row r="33818" spans="8:8">
      <c r="H33818" s="680" t="s">
        <v>6153</v>
      </c>
    </row>
    <row r="33819" spans="8:8">
      <c r="H33819" s="680" t="s">
        <v>6153</v>
      </c>
    </row>
    <row r="33820" spans="8:8">
      <c r="H33820" s="680" t="s">
        <v>6153</v>
      </c>
    </row>
    <row r="33821" spans="8:8">
      <c r="H33821" s="680" t="s">
        <v>6153</v>
      </c>
    </row>
    <row r="33822" spans="8:8">
      <c r="H33822" s="680" t="s">
        <v>6153</v>
      </c>
    </row>
    <row r="33823" spans="8:8">
      <c r="H33823" s="680" t="s">
        <v>6153</v>
      </c>
    </row>
    <row r="33824" spans="8:8">
      <c r="H33824" s="680" t="s">
        <v>6153</v>
      </c>
    </row>
    <row r="33825" spans="8:8">
      <c r="H33825" s="680" t="s">
        <v>6153</v>
      </c>
    </row>
    <row r="33826" spans="8:8">
      <c r="H33826" s="680" t="s">
        <v>6153</v>
      </c>
    </row>
    <row r="33827" spans="8:8">
      <c r="H33827" s="680" t="s">
        <v>6153</v>
      </c>
    </row>
    <row r="33828" spans="8:8">
      <c r="H33828" s="680" t="s">
        <v>6153</v>
      </c>
    </row>
    <row r="33829" spans="8:8">
      <c r="H33829" s="680" t="s">
        <v>6153</v>
      </c>
    </row>
    <row r="33830" spans="8:8">
      <c r="H33830" s="680" t="s">
        <v>6153</v>
      </c>
    </row>
    <row r="33831" spans="8:8">
      <c r="H33831" s="680" t="s">
        <v>6153</v>
      </c>
    </row>
    <row r="33832" spans="8:8">
      <c r="H33832" s="680" t="s">
        <v>6153</v>
      </c>
    </row>
    <row r="33833" spans="8:8">
      <c r="H33833" s="680" t="s">
        <v>6153</v>
      </c>
    </row>
    <row r="33834" spans="8:8">
      <c r="H33834" s="680" t="s">
        <v>6153</v>
      </c>
    </row>
    <row r="33835" spans="8:8">
      <c r="H33835" s="680" t="s">
        <v>6153</v>
      </c>
    </row>
    <row r="33836" spans="8:8">
      <c r="H33836" s="680" t="s">
        <v>6153</v>
      </c>
    </row>
    <row r="33837" spans="8:8">
      <c r="H33837" s="680" t="s">
        <v>6153</v>
      </c>
    </row>
    <row r="33838" spans="8:8">
      <c r="H33838" s="680" t="s">
        <v>6153</v>
      </c>
    </row>
    <row r="33839" spans="8:8">
      <c r="H33839" s="680" t="s">
        <v>6153</v>
      </c>
    </row>
    <row r="33840" spans="8:8">
      <c r="H33840" s="680" t="s">
        <v>6153</v>
      </c>
    </row>
    <row r="33841" spans="8:8">
      <c r="H33841" s="680" t="s">
        <v>6153</v>
      </c>
    </row>
    <row r="33842" spans="8:8">
      <c r="H33842" s="680" t="s">
        <v>6153</v>
      </c>
    </row>
    <row r="33843" spans="8:8">
      <c r="H33843" s="680" t="s">
        <v>6153</v>
      </c>
    </row>
    <row r="33844" spans="8:8">
      <c r="H33844" s="680" t="s">
        <v>6153</v>
      </c>
    </row>
    <row r="33845" spans="8:8">
      <c r="H33845" s="680" t="s">
        <v>6153</v>
      </c>
    </row>
    <row r="33846" spans="8:8">
      <c r="H33846" s="680" t="s">
        <v>6153</v>
      </c>
    </row>
    <row r="33847" spans="8:8">
      <c r="H33847" s="680" t="s">
        <v>6153</v>
      </c>
    </row>
    <row r="33848" spans="8:8">
      <c r="H33848" s="680" t="s">
        <v>6153</v>
      </c>
    </row>
    <row r="33849" spans="8:8">
      <c r="H33849" s="680" t="s">
        <v>6153</v>
      </c>
    </row>
    <row r="33850" spans="8:8">
      <c r="H33850" s="680" t="s">
        <v>6153</v>
      </c>
    </row>
    <row r="33851" spans="8:8">
      <c r="H33851" s="680" t="s">
        <v>6153</v>
      </c>
    </row>
    <row r="33852" spans="8:8">
      <c r="H33852" s="680" t="s">
        <v>6153</v>
      </c>
    </row>
    <row r="33853" spans="8:8">
      <c r="H33853" s="680" t="s">
        <v>6153</v>
      </c>
    </row>
    <row r="33854" spans="8:8">
      <c r="H33854" s="680" t="s">
        <v>6153</v>
      </c>
    </row>
    <row r="33855" spans="8:8">
      <c r="H33855" s="680" t="s">
        <v>6153</v>
      </c>
    </row>
    <row r="33856" spans="8:8">
      <c r="H33856" s="680" t="s">
        <v>6153</v>
      </c>
    </row>
    <row r="33857" spans="8:8">
      <c r="H33857" s="680" t="s">
        <v>6153</v>
      </c>
    </row>
    <row r="33858" spans="8:8">
      <c r="H33858" s="680" t="s">
        <v>6153</v>
      </c>
    </row>
    <row r="33859" spans="8:8">
      <c r="H33859" s="680" t="s">
        <v>6153</v>
      </c>
    </row>
    <row r="33860" spans="8:8">
      <c r="H33860" s="680" t="s">
        <v>6153</v>
      </c>
    </row>
    <row r="33861" spans="8:8">
      <c r="H33861" s="680" t="s">
        <v>6153</v>
      </c>
    </row>
    <row r="33862" spans="8:8">
      <c r="H33862" s="680" t="s">
        <v>6153</v>
      </c>
    </row>
    <row r="33863" spans="8:8">
      <c r="H33863" s="680" t="s">
        <v>6153</v>
      </c>
    </row>
    <row r="33864" spans="8:8">
      <c r="H33864" s="680" t="s">
        <v>6153</v>
      </c>
    </row>
    <row r="33865" spans="8:8">
      <c r="H33865" s="680" t="s">
        <v>6153</v>
      </c>
    </row>
    <row r="33866" spans="8:8">
      <c r="H33866" s="680" t="s">
        <v>6153</v>
      </c>
    </row>
    <row r="33867" spans="8:8">
      <c r="H33867" s="680" t="s">
        <v>6153</v>
      </c>
    </row>
    <row r="33868" spans="8:8">
      <c r="H33868" s="680" t="s">
        <v>6153</v>
      </c>
    </row>
    <row r="33869" spans="8:8">
      <c r="H33869" s="680" t="s">
        <v>6153</v>
      </c>
    </row>
    <row r="33870" spans="8:8">
      <c r="H33870" s="680" t="s">
        <v>6153</v>
      </c>
    </row>
    <row r="33871" spans="8:8">
      <c r="H33871" s="680" t="s">
        <v>6153</v>
      </c>
    </row>
    <row r="33872" spans="8:8">
      <c r="H33872" s="680" t="s">
        <v>6153</v>
      </c>
    </row>
    <row r="33873" spans="8:8">
      <c r="H33873" s="680" t="s">
        <v>6153</v>
      </c>
    </row>
    <row r="33874" spans="8:8">
      <c r="H33874" s="680" t="s">
        <v>6153</v>
      </c>
    </row>
    <row r="33875" spans="8:8">
      <c r="H33875" s="680" t="s">
        <v>6153</v>
      </c>
    </row>
    <row r="33876" spans="8:8">
      <c r="H33876" s="680" t="s">
        <v>6153</v>
      </c>
    </row>
    <row r="33877" spans="8:8">
      <c r="H33877" s="680" t="s">
        <v>6153</v>
      </c>
    </row>
    <row r="33878" spans="8:8">
      <c r="H33878" s="680" t="s">
        <v>6153</v>
      </c>
    </row>
    <row r="33879" spans="8:8">
      <c r="H33879" s="680" t="s">
        <v>6153</v>
      </c>
    </row>
    <row r="33880" spans="8:8">
      <c r="H33880" s="680" t="s">
        <v>6153</v>
      </c>
    </row>
    <row r="33881" spans="8:8">
      <c r="H33881" s="680" t="s">
        <v>6153</v>
      </c>
    </row>
    <row r="33882" spans="8:8">
      <c r="H33882" s="680" t="s">
        <v>6153</v>
      </c>
    </row>
    <row r="33883" spans="8:8">
      <c r="H33883" s="680" t="s">
        <v>6153</v>
      </c>
    </row>
    <row r="33884" spans="8:8">
      <c r="H33884" s="680" t="s">
        <v>6153</v>
      </c>
    </row>
    <row r="33885" spans="8:8">
      <c r="H33885" s="680" t="s">
        <v>6153</v>
      </c>
    </row>
    <row r="33886" spans="8:8">
      <c r="H33886" s="680" t="s">
        <v>6153</v>
      </c>
    </row>
    <row r="33887" spans="8:8">
      <c r="H33887" s="680" t="s">
        <v>6153</v>
      </c>
    </row>
    <row r="33888" spans="8:8">
      <c r="H33888" s="680" t="s">
        <v>6153</v>
      </c>
    </row>
    <row r="33889" spans="8:8">
      <c r="H33889" s="680" t="s">
        <v>6153</v>
      </c>
    </row>
    <row r="33890" spans="8:8">
      <c r="H33890" s="680" t="s">
        <v>6153</v>
      </c>
    </row>
    <row r="33891" spans="8:8">
      <c r="H33891" s="680" t="s">
        <v>6153</v>
      </c>
    </row>
    <row r="33892" spans="8:8">
      <c r="H33892" s="680" t="s">
        <v>6153</v>
      </c>
    </row>
    <row r="33893" spans="8:8">
      <c r="H33893" s="680" t="s">
        <v>6153</v>
      </c>
    </row>
    <row r="33894" spans="8:8">
      <c r="H33894" s="680" t="s">
        <v>6153</v>
      </c>
    </row>
    <row r="33895" spans="8:8">
      <c r="H33895" s="680" t="s">
        <v>6153</v>
      </c>
    </row>
    <row r="33896" spans="8:8">
      <c r="H33896" s="680" t="s">
        <v>6153</v>
      </c>
    </row>
    <row r="33897" spans="8:8">
      <c r="H33897" s="680" t="s">
        <v>6153</v>
      </c>
    </row>
    <row r="33898" spans="8:8">
      <c r="H33898" s="680" t="s">
        <v>6153</v>
      </c>
    </row>
    <row r="33899" spans="8:8">
      <c r="H33899" s="680" t="s">
        <v>6153</v>
      </c>
    </row>
    <row r="33900" spans="8:8">
      <c r="H33900" s="680" t="s">
        <v>6153</v>
      </c>
    </row>
    <row r="33901" spans="8:8">
      <c r="H33901" s="680" t="s">
        <v>6153</v>
      </c>
    </row>
    <row r="33902" spans="8:8">
      <c r="H33902" s="680" t="s">
        <v>6153</v>
      </c>
    </row>
    <row r="33903" spans="8:8">
      <c r="H33903" s="680" t="s">
        <v>6153</v>
      </c>
    </row>
    <row r="33904" spans="8:8">
      <c r="H33904" s="680" t="s">
        <v>6153</v>
      </c>
    </row>
    <row r="33905" spans="8:8">
      <c r="H33905" s="680" t="s">
        <v>6153</v>
      </c>
    </row>
    <row r="33906" spans="8:8">
      <c r="H33906" s="680" t="s">
        <v>6153</v>
      </c>
    </row>
    <row r="33907" spans="8:8">
      <c r="H33907" s="680" t="s">
        <v>6153</v>
      </c>
    </row>
    <row r="33908" spans="8:8">
      <c r="H33908" s="680" t="s">
        <v>6153</v>
      </c>
    </row>
    <row r="33909" spans="8:8">
      <c r="H33909" s="680" t="s">
        <v>6153</v>
      </c>
    </row>
    <row r="33910" spans="8:8">
      <c r="H33910" s="680" t="s">
        <v>6153</v>
      </c>
    </row>
    <row r="33911" spans="8:8">
      <c r="H33911" s="680" t="s">
        <v>6153</v>
      </c>
    </row>
    <row r="33912" spans="8:8">
      <c r="H33912" s="680" t="s">
        <v>6153</v>
      </c>
    </row>
    <row r="33913" spans="8:8">
      <c r="H33913" s="680" t="s">
        <v>6153</v>
      </c>
    </row>
    <row r="33914" spans="8:8">
      <c r="H33914" s="680" t="s">
        <v>6153</v>
      </c>
    </row>
    <row r="33915" spans="8:8">
      <c r="H33915" s="680" t="s">
        <v>6153</v>
      </c>
    </row>
    <row r="33916" spans="8:8">
      <c r="H33916" s="680" t="s">
        <v>6153</v>
      </c>
    </row>
    <row r="33917" spans="8:8">
      <c r="H33917" s="680" t="s">
        <v>6153</v>
      </c>
    </row>
    <row r="33918" spans="8:8">
      <c r="H33918" s="680" t="s">
        <v>6153</v>
      </c>
    </row>
    <row r="33919" spans="8:8">
      <c r="H33919" s="680" t="s">
        <v>6153</v>
      </c>
    </row>
    <row r="33920" spans="8:8">
      <c r="H33920" s="680" t="s">
        <v>6153</v>
      </c>
    </row>
    <row r="33921" spans="8:8">
      <c r="H33921" s="680" t="s">
        <v>6153</v>
      </c>
    </row>
    <row r="33922" spans="8:8">
      <c r="H33922" s="680" t="s">
        <v>6153</v>
      </c>
    </row>
    <row r="33923" spans="8:8">
      <c r="H33923" s="680" t="s">
        <v>6153</v>
      </c>
    </row>
    <row r="33924" spans="8:8">
      <c r="H33924" s="680" t="s">
        <v>6153</v>
      </c>
    </row>
    <row r="33925" spans="8:8">
      <c r="H33925" s="680" t="s">
        <v>6153</v>
      </c>
    </row>
    <row r="33926" spans="8:8">
      <c r="H33926" s="680" t="s">
        <v>6153</v>
      </c>
    </row>
    <row r="33927" spans="8:8">
      <c r="H33927" s="680" t="s">
        <v>6153</v>
      </c>
    </row>
    <row r="33928" spans="8:8">
      <c r="H33928" s="680" t="s">
        <v>6153</v>
      </c>
    </row>
    <row r="33929" spans="8:8">
      <c r="H33929" s="680" t="s">
        <v>6153</v>
      </c>
    </row>
    <row r="33930" spans="8:8">
      <c r="H33930" s="680" t="s">
        <v>6153</v>
      </c>
    </row>
    <row r="33931" spans="8:8">
      <c r="H33931" s="680" t="s">
        <v>6153</v>
      </c>
    </row>
    <row r="33932" spans="8:8">
      <c r="H33932" s="680" t="s">
        <v>6153</v>
      </c>
    </row>
    <row r="33933" spans="8:8">
      <c r="H33933" s="680" t="s">
        <v>6153</v>
      </c>
    </row>
    <row r="33934" spans="8:8">
      <c r="H33934" s="680" t="s">
        <v>6153</v>
      </c>
    </row>
    <row r="33935" spans="8:8">
      <c r="H33935" s="680" t="s">
        <v>6153</v>
      </c>
    </row>
    <row r="33936" spans="8:8">
      <c r="H33936" s="680" t="s">
        <v>6153</v>
      </c>
    </row>
    <row r="33937" spans="8:8">
      <c r="H33937" s="680" t="s">
        <v>6153</v>
      </c>
    </row>
    <row r="33938" spans="8:8">
      <c r="H33938" s="680" t="s">
        <v>6153</v>
      </c>
    </row>
    <row r="33939" spans="8:8">
      <c r="H33939" s="680" t="s">
        <v>6153</v>
      </c>
    </row>
    <row r="33940" spans="8:8">
      <c r="H33940" s="680" t="s">
        <v>6153</v>
      </c>
    </row>
    <row r="33941" spans="8:8">
      <c r="H33941" s="680" t="s">
        <v>6153</v>
      </c>
    </row>
    <row r="33942" spans="8:8">
      <c r="H33942" s="680" t="s">
        <v>6153</v>
      </c>
    </row>
    <row r="33943" spans="8:8">
      <c r="H33943" s="680" t="s">
        <v>6153</v>
      </c>
    </row>
    <row r="33944" spans="8:8">
      <c r="H33944" s="680" t="s">
        <v>6153</v>
      </c>
    </row>
    <row r="33945" spans="8:8">
      <c r="H33945" s="680" t="s">
        <v>6153</v>
      </c>
    </row>
    <row r="33946" spans="8:8">
      <c r="H33946" s="680" t="s">
        <v>6153</v>
      </c>
    </row>
    <row r="33947" spans="8:8">
      <c r="H33947" s="680" t="s">
        <v>6153</v>
      </c>
    </row>
    <row r="33948" spans="8:8">
      <c r="H33948" s="680" t="s">
        <v>6153</v>
      </c>
    </row>
    <row r="33949" spans="8:8">
      <c r="H33949" s="680" t="s">
        <v>6153</v>
      </c>
    </row>
    <row r="33950" spans="8:8">
      <c r="H33950" s="680" t="s">
        <v>6153</v>
      </c>
    </row>
    <row r="33951" spans="8:8">
      <c r="H33951" s="680" t="s">
        <v>6153</v>
      </c>
    </row>
    <row r="33952" spans="8:8">
      <c r="H33952" s="680" t="s">
        <v>6153</v>
      </c>
    </row>
    <row r="33953" spans="8:8">
      <c r="H33953" s="680" t="s">
        <v>6153</v>
      </c>
    </row>
    <row r="33954" spans="8:8">
      <c r="H33954" s="680" t="s">
        <v>6153</v>
      </c>
    </row>
    <row r="33955" spans="8:8">
      <c r="H33955" s="680" t="s">
        <v>6153</v>
      </c>
    </row>
    <row r="33956" spans="8:8">
      <c r="H33956" s="680" t="s">
        <v>6153</v>
      </c>
    </row>
    <row r="33957" spans="8:8">
      <c r="H33957" s="680" t="s">
        <v>6153</v>
      </c>
    </row>
    <row r="33958" spans="8:8">
      <c r="H33958" s="680" t="s">
        <v>6153</v>
      </c>
    </row>
    <row r="33959" spans="8:8">
      <c r="H33959" s="680" t="s">
        <v>6153</v>
      </c>
    </row>
    <row r="33960" spans="8:8">
      <c r="H33960" s="680" t="s">
        <v>6153</v>
      </c>
    </row>
    <row r="33961" spans="8:8">
      <c r="H33961" s="680" t="s">
        <v>6153</v>
      </c>
    </row>
    <row r="33962" spans="8:8">
      <c r="H33962" s="680" t="s">
        <v>6153</v>
      </c>
    </row>
    <row r="33963" spans="8:8">
      <c r="H33963" s="680" t="s">
        <v>6153</v>
      </c>
    </row>
    <row r="33964" spans="8:8">
      <c r="H33964" s="680" t="s">
        <v>6153</v>
      </c>
    </row>
    <row r="33965" spans="8:8">
      <c r="H33965" s="680" t="s">
        <v>6153</v>
      </c>
    </row>
    <row r="33966" spans="8:8">
      <c r="H33966" s="680" t="s">
        <v>6153</v>
      </c>
    </row>
    <row r="33967" spans="8:8">
      <c r="H33967" s="680" t="s">
        <v>6153</v>
      </c>
    </row>
    <row r="33968" spans="8:8">
      <c r="H33968" s="680" t="s">
        <v>6153</v>
      </c>
    </row>
    <row r="33969" spans="8:8">
      <c r="H33969" s="680" t="s">
        <v>6153</v>
      </c>
    </row>
    <row r="33970" spans="8:8">
      <c r="H33970" s="680" t="s">
        <v>6153</v>
      </c>
    </row>
    <row r="33971" spans="8:8">
      <c r="H33971" s="680" t="s">
        <v>6153</v>
      </c>
    </row>
    <row r="33972" spans="8:8">
      <c r="H33972" s="680" t="s">
        <v>6153</v>
      </c>
    </row>
    <row r="33973" spans="8:8">
      <c r="H33973" s="680" t="s">
        <v>6153</v>
      </c>
    </row>
    <row r="33974" spans="8:8">
      <c r="H33974" s="680" t="s">
        <v>6153</v>
      </c>
    </row>
    <row r="33975" spans="8:8">
      <c r="H33975" s="680" t="s">
        <v>6153</v>
      </c>
    </row>
    <row r="33976" spans="8:8">
      <c r="H33976" s="680" t="s">
        <v>6153</v>
      </c>
    </row>
    <row r="33977" spans="8:8">
      <c r="H33977" s="680" t="s">
        <v>6153</v>
      </c>
    </row>
    <row r="33978" spans="8:8">
      <c r="H33978" s="680" t="s">
        <v>6153</v>
      </c>
    </row>
    <row r="33979" spans="8:8">
      <c r="H33979" s="680" t="s">
        <v>6153</v>
      </c>
    </row>
    <row r="33980" spans="8:8">
      <c r="H33980" s="680" t="s">
        <v>6153</v>
      </c>
    </row>
    <row r="33981" spans="8:8">
      <c r="H33981" s="680" t="s">
        <v>6153</v>
      </c>
    </row>
    <row r="33982" spans="8:8">
      <c r="H33982" s="680" t="s">
        <v>6153</v>
      </c>
    </row>
    <row r="33983" spans="8:8">
      <c r="H33983" s="680" t="s">
        <v>6153</v>
      </c>
    </row>
    <row r="33984" spans="8:8">
      <c r="H33984" s="680" t="s">
        <v>6153</v>
      </c>
    </row>
    <row r="33985" spans="8:8">
      <c r="H33985" s="680" t="s">
        <v>6153</v>
      </c>
    </row>
    <row r="33986" spans="8:8">
      <c r="H33986" s="680" t="s">
        <v>6153</v>
      </c>
    </row>
    <row r="33987" spans="8:8">
      <c r="H33987" s="680" t="s">
        <v>6153</v>
      </c>
    </row>
    <row r="33988" spans="8:8">
      <c r="H33988" s="680" t="s">
        <v>6153</v>
      </c>
    </row>
    <row r="33989" spans="8:8">
      <c r="H33989" s="680" t="s">
        <v>6153</v>
      </c>
    </row>
    <row r="33990" spans="8:8">
      <c r="H33990" s="680" t="s">
        <v>6153</v>
      </c>
    </row>
    <row r="33991" spans="8:8">
      <c r="H33991" s="680" t="s">
        <v>6153</v>
      </c>
    </row>
    <row r="33992" spans="8:8">
      <c r="H33992" s="680" t="s">
        <v>6153</v>
      </c>
    </row>
    <row r="33993" spans="8:8">
      <c r="H33993" s="680" t="s">
        <v>6153</v>
      </c>
    </row>
    <row r="33994" spans="8:8">
      <c r="H33994" s="680" t="s">
        <v>6153</v>
      </c>
    </row>
    <row r="33995" spans="8:8">
      <c r="H33995" s="680" t="s">
        <v>6153</v>
      </c>
    </row>
    <row r="33996" spans="8:8">
      <c r="H33996" s="680" t="s">
        <v>6153</v>
      </c>
    </row>
    <row r="33997" spans="8:8">
      <c r="H33997" s="680" t="s">
        <v>6153</v>
      </c>
    </row>
    <row r="33998" spans="8:8">
      <c r="H33998" s="680" t="s">
        <v>6153</v>
      </c>
    </row>
    <row r="33999" spans="8:8">
      <c r="H33999" s="680" t="s">
        <v>6153</v>
      </c>
    </row>
    <row r="34000" spans="8:8">
      <c r="H34000" s="680" t="s">
        <v>6153</v>
      </c>
    </row>
    <row r="34001" spans="8:8">
      <c r="H34001" s="680" t="s">
        <v>6153</v>
      </c>
    </row>
    <row r="34002" spans="8:8">
      <c r="H34002" s="680" t="s">
        <v>6153</v>
      </c>
    </row>
    <row r="34003" spans="8:8">
      <c r="H34003" s="680" t="s">
        <v>6153</v>
      </c>
    </row>
    <row r="34004" spans="8:8">
      <c r="H34004" s="680" t="s">
        <v>6153</v>
      </c>
    </row>
    <row r="34005" spans="8:8">
      <c r="H34005" s="680" t="s">
        <v>6153</v>
      </c>
    </row>
    <row r="34006" spans="8:8">
      <c r="H34006" s="680" t="s">
        <v>6153</v>
      </c>
    </row>
    <row r="34007" spans="8:8">
      <c r="H34007" s="680" t="s">
        <v>6153</v>
      </c>
    </row>
    <row r="34008" spans="8:8">
      <c r="H34008" s="680" t="s">
        <v>6153</v>
      </c>
    </row>
    <row r="34009" spans="8:8">
      <c r="H34009" s="680" t="s">
        <v>6153</v>
      </c>
    </row>
    <row r="34010" spans="8:8">
      <c r="H34010" s="680" t="s">
        <v>6153</v>
      </c>
    </row>
    <row r="34011" spans="8:8">
      <c r="H34011" s="680" t="s">
        <v>6153</v>
      </c>
    </row>
    <row r="34012" spans="8:8">
      <c r="H34012" s="680" t="s">
        <v>6153</v>
      </c>
    </row>
    <row r="34013" spans="8:8">
      <c r="H34013" s="680" t="s">
        <v>6153</v>
      </c>
    </row>
    <row r="34014" spans="8:8">
      <c r="H34014" s="680" t="s">
        <v>6153</v>
      </c>
    </row>
    <row r="34015" spans="8:8">
      <c r="H34015" s="680" t="s">
        <v>6153</v>
      </c>
    </row>
    <row r="34016" spans="8:8">
      <c r="H34016" s="680" t="s">
        <v>6153</v>
      </c>
    </row>
    <row r="34017" spans="8:8">
      <c r="H34017" s="680" t="s">
        <v>6153</v>
      </c>
    </row>
    <row r="34018" spans="8:8">
      <c r="H34018" s="680" t="s">
        <v>6153</v>
      </c>
    </row>
    <row r="34019" spans="8:8">
      <c r="H34019" s="680" t="s">
        <v>6153</v>
      </c>
    </row>
    <row r="34020" spans="8:8">
      <c r="H34020" s="680" t="s">
        <v>6153</v>
      </c>
    </row>
    <row r="34021" spans="8:8">
      <c r="H34021" s="680" t="s">
        <v>6153</v>
      </c>
    </row>
    <row r="34022" spans="8:8">
      <c r="H34022" s="680" t="s">
        <v>6153</v>
      </c>
    </row>
    <row r="34023" spans="8:8">
      <c r="H34023" s="680" t="s">
        <v>6153</v>
      </c>
    </row>
    <row r="34024" spans="8:8">
      <c r="H34024" s="680" t="s">
        <v>6153</v>
      </c>
    </row>
    <row r="34025" spans="8:8">
      <c r="H34025" s="680" t="s">
        <v>6153</v>
      </c>
    </row>
    <row r="34026" spans="8:8">
      <c r="H34026" s="680" t="s">
        <v>6153</v>
      </c>
    </row>
    <row r="34027" spans="8:8">
      <c r="H34027" s="680" t="s">
        <v>6153</v>
      </c>
    </row>
    <row r="34028" spans="8:8">
      <c r="H34028" s="680" t="s">
        <v>6153</v>
      </c>
    </row>
    <row r="34029" spans="8:8">
      <c r="H34029" s="680" t="s">
        <v>6153</v>
      </c>
    </row>
    <row r="34030" spans="8:8">
      <c r="H34030" s="680" t="s">
        <v>6153</v>
      </c>
    </row>
    <row r="34031" spans="8:8">
      <c r="H34031" s="680" t="s">
        <v>6153</v>
      </c>
    </row>
    <row r="34032" spans="8:8">
      <c r="H34032" s="680" t="s">
        <v>6153</v>
      </c>
    </row>
    <row r="34033" spans="8:8">
      <c r="H34033" s="680" t="s">
        <v>6153</v>
      </c>
    </row>
    <row r="34034" spans="8:8">
      <c r="H34034" s="680" t="s">
        <v>6153</v>
      </c>
    </row>
    <row r="34035" spans="8:8">
      <c r="H34035" s="680" t="s">
        <v>6153</v>
      </c>
    </row>
    <row r="34036" spans="8:8">
      <c r="H34036" s="680" t="s">
        <v>6153</v>
      </c>
    </row>
    <row r="34037" spans="8:8">
      <c r="H34037" s="680" t="s">
        <v>6153</v>
      </c>
    </row>
    <row r="34038" spans="8:8">
      <c r="H34038" s="680" t="s">
        <v>6153</v>
      </c>
    </row>
    <row r="34039" spans="8:8">
      <c r="H34039" s="680" t="s">
        <v>6153</v>
      </c>
    </row>
    <row r="34040" spans="8:8">
      <c r="H34040" s="680" t="s">
        <v>6153</v>
      </c>
    </row>
    <row r="34041" spans="8:8">
      <c r="H34041" s="680" t="s">
        <v>6153</v>
      </c>
    </row>
    <row r="34042" spans="8:8">
      <c r="H34042" s="680" t="s">
        <v>6153</v>
      </c>
    </row>
    <row r="34043" spans="8:8">
      <c r="H34043" s="680" t="s">
        <v>6153</v>
      </c>
    </row>
    <row r="34044" spans="8:8">
      <c r="H34044" s="680" t="s">
        <v>6153</v>
      </c>
    </row>
    <row r="34045" spans="8:8">
      <c r="H34045" s="680" t="s">
        <v>6153</v>
      </c>
    </row>
    <row r="34046" spans="8:8">
      <c r="H34046" s="680" t="s">
        <v>6153</v>
      </c>
    </row>
    <row r="34047" spans="8:8">
      <c r="H34047" s="680" t="s">
        <v>6153</v>
      </c>
    </row>
    <row r="34048" spans="8:8">
      <c r="H34048" s="680" t="s">
        <v>6153</v>
      </c>
    </row>
    <row r="34049" spans="8:8">
      <c r="H34049" s="680" t="s">
        <v>6153</v>
      </c>
    </row>
    <row r="34050" spans="8:8">
      <c r="H34050" s="680" t="s">
        <v>6153</v>
      </c>
    </row>
    <row r="34051" spans="8:8">
      <c r="H34051" s="680" t="s">
        <v>6153</v>
      </c>
    </row>
    <row r="34052" spans="8:8">
      <c r="H34052" s="680" t="s">
        <v>6153</v>
      </c>
    </row>
    <row r="34053" spans="8:8">
      <c r="H34053" s="680" t="s">
        <v>6153</v>
      </c>
    </row>
    <row r="34054" spans="8:8">
      <c r="H34054" s="680" t="s">
        <v>6153</v>
      </c>
    </row>
    <row r="34055" spans="8:8">
      <c r="H34055" s="680" t="s">
        <v>6153</v>
      </c>
    </row>
    <row r="34056" spans="8:8">
      <c r="H34056" s="680" t="s">
        <v>6153</v>
      </c>
    </row>
    <row r="34057" spans="8:8">
      <c r="H34057" s="680" t="s">
        <v>6153</v>
      </c>
    </row>
    <row r="34058" spans="8:8">
      <c r="H34058" s="680" t="s">
        <v>6153</v>
      </c>
    </row>
    <row r="34059" spans="8:8">
      <c r="H34059" s="680" t="s">
        <v>6153</v>
      </c>
    </row>
    <row r="34060" spans="8:8">
      <c r="H34060" s="680" t="s">
        <v>6153</v>
      </c>
    </row>
    <row r="34061" spans="8:8">
      <c r="H34061" s="680" t="s">
        <v>6153</v>
      </c>
    </row>
    <row r="34062" spans="8:8">
      <c r="H34062" s="680" t="s">
        <v>6153</v>
      </c>
    </row>
    <row r="34063" spans="8:8">
      <c r="H34063" s="680" t="s">
        <v>6153</v>
      </c>
    </row>
    <row r="34064" spans="8:8">
      <c r="H34064" s="680" t="s">
        <v>6153</v>
      </c>
    </row>
    <row r="34065" spans="8:8">
      <c r="H34065" s="680" t="s">
        <v>6153</v>
      </c>
    </row>
    <row r="34066" spans="8:8">
      <c r="H34066" s="680" t="s">
        <v>6153</v>
      </c>
    </row>
    <row r="34067" spans="8:8">
      <c r="H34067" s="680" t="s">
        <v>6153</v>
      </c>
    </row>
    <row r="34068" spans="8:8">
      <c r="H34068" s="680" t="s">
        <v>6153</v>
      </c>
    </row>
    <row r="34069" spans="8:8">
      <c r="H34069" s="680" t="s">
        <v>6153</v>
      </c>
    </row>
    <row r="34070" spans="8:8">
      <c r="H34070" s="680" t="s">
        <v>6153</v>
      </c>
    </row>
    <row r="34071" spans="8:8">
      <c r="H34071" s="680" t="s">
        <v>6153</v>
      </c>
    </row>
    <row r="34072" spans="8:8">
      <c r="H34072" s="680" t="s">
        <v>6153</v>
      </c>
    </row>
    <row r="34073" spans="8:8">
      <c r="H34073" s="680" t="s">
        <v>6153</v>
      </c>
    </row>
    <row r="34074" spans="8:8">
      <c r="H34074" s="680" t="s">
        <v>6153</v>
      </c>
    </row>
    <row r="34075" spans="8:8">
      <c r="H34075" s="680" t="s">
        <v>6153</v>
      </c>
    </row>
    <row r="34076" spans="8:8">
      <c r="H34076" s="680" t="s">
        <v>6153</v>
      </c>
    </row>
    <row r="34077" spans="8:8">
      <c r="H34077" s="680" t="s">
        <v>6153</v>
      </c>
    </row>
    <row r="34078" spans="8:8">
      <c r="H34078" s="680" t="s">
        <v>6153</v>
      </c>
    </row>
    <row r="34079" spans="8:8">
      <c r="H34079" s="680" t="s">
        <v>6153</v>
      </c>
    </row>
    <row r="34080" spans="8:8">
      <c r="H34080" s="680" t="s">
        <v>6153</v>
      </c>
    </row>
    <row r="34081" spans="8:8">
      <c r="H34081" s="680" t="s">
        <v>6153</v>
      </c>
    </row>
    <row r="34082" spans="8:8">
      <c r="H34082" s="680" t="s">
        <v>6153</v>
      </c>
    </row>
    <row r="34083" spans="8:8">
      <c r="H34083" s="680" t="s">
        <v>6153</v>
      </c>
    </row>
    <row r="34084" spans="8:8">
      <c r="H34084" s="680" t="s">
        <v>6153</v>
      </c>
    </row>
    <row r="34085" spans="8:8">
      <c r="H34085" s="680" t="s">
        <v>6153</v>
      </c>
    </row>
    <row r="34086" spans="8:8">
      <c r="H34086" s="680" t="s">
        <v>6153</v>
      </c>
    </row>
    <row r="34087" spans="8:8">
      <c r="H34087" s="680" t="s">
        <v>6153</v>
      </c>
    </row>
    <row r="34088" spans="8:8">
      <c r="H34088" s="680" t="s">
        <v>6153</v>
      </c>
    </row>
    <row r="34089" spans="8:8">
      <c r="H34089" s="680" t="s">
        <v>6153</v>
      </c>
    </row>
    <row r="34090" spans="8:8">
      <c r="H34090" s="680" t="s">
        <v>6153</v>
      </c>
    </row>
    <row r="34091" spans="8:8">
      <c r="H34091" s="680" t="s">
        <v>6153</v>
      </c>
    </row>
    <row r="34092" spans="8:8">
      <c r="H34092" s="680" t="s">
        <v>6153</v>
      </c>
    </row>
    <row r="34093" spans="8:8">
      <c r="H34093" s="680" t="s">
        <v>6153</v>
      </c>
    </row>
    <row r="34094" spans="8:8">
      <c r="H34094" s="680" t="s">
        <v>6153</v>
      </c>
    </row>
    <row r="34095" spans="8:8">
      <c r="H34095" s="680" t="s">
        <v>6153</v>
      </c>
    </row>
    <row r="34096" spans="8:8">
      <c r="H34096" s="680" t="s">
        <v>6153</v>
      </c>
    </row>
    <row r="34097" spans="8:8">
      <c r="H34097" s="680" t="s">
        <v>6153</v>
      </c>
    </row>
    <row r="34098" spans="8:8">
      <c r="H34098" s="680" t="s">
        <v>6153</v>
      </c>
    </row>
    <row r="34099" spans="8:8">
      <c r="H34099" s="680" t="s">
        <v>6153</v>
      </c>
    </row>
    <row r="34100" spans="8:8">
      <c r="H34100" s="680" t="s">
        <v>6153</v>
      </c>
    </row>
    <row r="34101" spans="8:8">
      <c r="H34101" s="680" t="s">
        <v>6153</v>
      </c>
    </row>
    <row r="34102" spans="8:8">
      <c r="H34102" s="680" t="s">
        <v>6153</v>
      </c>
    </row>
    <row r="34103" spans="8:8">
      <c r="H34103" s="680" t="s">
        <v>6153</v>
      </c>
    </row>
    <row r="34104" spans="8:8">
      <c r="H34104" s="680" t="s">
        <v>6153</v>
      </c>
    </row>
    <row r="34105" spans="8:8">
      <c r="H34105" s="680" t="s">
        <v>6153</v>
      </c>
    </row>
    <row r="34106" spans="8:8">
      <c r="H34106" s="680" t="s">
        <v>6153</v>
      </c>
    </row>
    <row r="34107" spans="8:8">
      <c r="H34107" s="680" t="s">
        <v>6153</v>
      </c>
    </row>
    <row r="34108" spans="8:8">
      <c r="H34108" s="680" t="s">
        <v>6153</v>
      </c>
    </row>
    <row r="34109" spans="8:8">
      <c r="H34109" s="680" t="s">
        <v>6153</v>
      </c>
    </row>
    <row r="34110" spans="8:8">
      <c r="H34110" s="680" t="s">
        <v>6153</v>
      </c>
    </row>
    <row r="34111" spans="8:8">
      <c r="H34111" s="680" t="s">
        <v>6153</v>
      </c>
    </row>
    <row r="34112" spans="8:8">
      <c r="H34112" s="680" t="s">
        <v>6153</v>
      </c>
    </row>
    <row r="34113" spans="8:8">
      <c r="H34113" s="680" t="s">
        <v>6153</v>
      </c>
    </row>
    <row r="34114" spans="8:8">
      <c r="H34114" s="680" t="s">
        <v>6153</v>
      </c>
    </row>
    <row r="34115" spans="8:8">
      <c r="H34115" s="680" t="s">
        <v>6153</v>
      </c>
    </row>
    <row r="34116" spans="8:8">
      <c r="H34116" s="680" t="s">
        <v>6153</v>
      </c>
    </row>
    <row r="34117" spans="8:8">
      <c r="H34117" s="680" t="s">
        <v>6153</v>
      </c>
    </row>
    <row r="34118" spans="8:8">
      <c r="H34118" s="680" t="s">
        <v>6153</v>
      </c>
    </row>
    <row r="34119" spans="8:8">
      <c r="H34119" s="680" t="s">
        <v>6153</v>
      </c>
    </row>
    <row r="34120" spans="8:8">
      <c r="H34120" s="680" t="s">
        <v>6153</v>
      </c>
    </row>
    <row r="34121" spans="8:8">
      <c r="H34121" s="680" t="s">
        <v>6153</v>
      </c>
    </row>
    <row r="34122" spans="8:8">
      <c r="H34122" s="680" t="s">
        <v>6153</v>
      </c>
    </row>
    <row r="34123" spans="8:8">
      <c r="H34123" s="680" t="s">
        <v>6153</v>
      </c>
    </row>
    <row r="34124" spans="8:8">
      <c r="H34124" s="680" t="s">
        <v>6153</v>
      </c>
    </row>
    <row r="34125" spans="8:8">
      <c r="H34125" s="680" t="s">
        <v>6153</v>
      </c>
    </row>
    <row r="34126" spans="8:8">
      <c r="H34126" s="680" t="s">
        <v>6153</v>
      </c>
    </row>
    <row r="34127" spans="8:8">
      <c r="H34127" s="680" t="s">
        <v>6153</v>
      </c>
    </row>
    <row r="34128" spans="8:8">
      <c r="H34128" s="680" t="s">
        <v>6153</v>
      </c>
    </row>
    <row r="34129" spans="8:8">
      <c r="H34129" s="680" t="s">
        <v>6153</v>
      </c>
    </row>
    <row r="34130" spans="8:8">
      <c r="H34130" s="680" t="s">
        <v>6153</v>
      </c>
    </row>
    <row r="34131" spans="8:8">
      <c r="H34131" s="680" t="s">
        <v>6153</v>
      </c>
    </row>
    <row r="34132" spans="8:8">
      <c r="H34132" s="680" t="s">
        <v>6153</v>
      </c>
    </row>
    <row r="34133" spans="8:8">
      <c r="H34133" s="680" t="s">
        <v>6153</v>
      </c>
    </row>
    <row r="34134" spans="8:8">
      <c r="H34134" s="680" t="s">
        <v>6153</v>
      </c>
    </row>
    <row r="34135" spans="8:8">
      <c r="H34135" s="680" t="s">
        <v>6153</v>
      </c>
    </row>
    <row r="34136" spans="8:8">
      <c r="H34136" s="680" t="s">
        <v>6153</v>
      </c>
    </row>
    <row r="34137" spans="8:8">
      <c r="H34137" s="680" t="s">
        <v>6153</v>
      </c>
    </row>
    <row r="34138" spans="8:8">
      <c r="H34138" s="680" t="s">
        <v>6153</v>
      </c>
    </row>
    <row r="34139" spans="8:8">
      <c r="H34139" s="680" t="s">
        <v>6153</v>
      </c>
    </row>
    <row r="34140" spans="8:8">
      <c r="H34140" s="680" t="s">
        <v>6153</v>
      </c>
    </row>
    <row r="34141" spans="8:8">
      <c r="H34141" s="680" t="s">
        <v>6153</v>
      </c>
    </row>
    <row r="34142" spans="8:8">
      <c r="H34142" s="680" t="s">
        <v>6153</v>
      </c>
    </row>
    <row r="34143" spans="8:8">
      <c r="H34143" s="680" t="s">
        <v>6153</v>
      </c>
    </row>
    <row r="34144" spans="8:8">
      <c r="H34144" s="680" t="s">
        <v>6153</v>
      </c>
    </row>
    <row r="34145" spans="8:8">
      <c r="H34145" s="680" t="s">
        <v>6153</v>
      </c>
    </row>
    <row r="34146" spans="8:8">
      <c r="H34146" s="680" t="s">
        <v>6153</v>
      </c>
    </row>
    <row r="34147" spans="8:8">
      <c r="H34147" s="680" t="s">
        <v>6153</v>
      </c>
    </row>
    <row r="34148" spans="8:8">
      <c r="H34148" s="680" t="s">
        <v>6153</v>
      </c>
    </row>
    <row r="34149" spans="8:8">
      <c r="H34149" s="680" t="s">
        <v>6153</v>
      </c>
    </row>
    <row r="34150" spans="8:8">
      <c r="H34150" s="680" t="s">
        <v>6153</v>
      </c>
    </row>
    <row r="34151" spans="8:8">
      <c r="H34151" s="680" t="s">
        <v>6153</v>
      </c>
    </row>
    <row r="34152" spans="8:8">
      <c r="H34152" s="680" t="s">
        <v>6153</v>
      </c>
    </row>
    <row r="34153" spans="8:8">
      <c r="H34153" s="680" t="s">
        <v>6153</v>
      </c>
    </row>
    <row r="34154" spans="8:8">
      <c r="H34154" s="680" t="s">
        <v>6153</v>
      </c>
    </row>
    <row r="34155" spans="8:8">
      <c r="H34155" s="680" t="s">
        <v>6153</v>
      </c>
    </row>
    <row r="34156" spans="8:8">
      <c r="H34156" s="680" t="s">
        <v>6153</v>
      </c>
    </row>
    <row r="34157" spans="8:8">
      <c r="H34157" s="680" t="s">
        <v>6153</v>
      </c>
    </row>
    <row r="34158" spans="8:8">
      <c r="H34158" s="680" t="s">
        <v>6153</v>
      </c>
    </row>
    <row r="34159" spans="8:8">
      <c r="H34159" s="680" t="s">
        <v>6153</v>
      </c>
    </row>
    <row r="34160" spans="8:8">
      <c r="H34160" s="680" t="s">
        <v>6153</v>
      </c>
    </row>
    <row r="34161" spans="8:8">
      <c r="H34161" s="680" t="s">
        <v>6153</v>
      </c>
    </row>
    <row r="34162" spans="8:8">
      <c r="H34162" s="680" t="s">
        <v>6153</v>
      </c>
    </row>
    <row r="34163" spans="8:8">
      <c r="H34163" s="680" t="s">
        <v>6153</v>
      </c>
    </row>
    <row r="34164" spans="8:8">
      <c r="H34164" s="680" t="s">
        <v>6153</v>
      </c>
    </row>
    <row r="34165" spans="8:8">
      <c r="H34165" s="680" t="s">
        <v>6153</v>
      </c>
    </row>
    <row r="34166" spans="8:8">
      <c r="H34166" s="680" t="s">
        <v>6153</v>
      </c>
    </row>
    <row r="34167" spans="8:8">
      <c r="H34167" s="680" t="s">
        <v>6153</v>
      </c>
    </row>
    <row r="34168" spans="8:8">
      <c r="H34168" s="680" t="s">
        <v>6153</v>
      </c>
    </row>
    <row r="34169" spans="8:8">
      <c r="H34169" s="680" t="s">
        <v>6153</v>
      </c>
    </row>
    <row r="34170" spans="8:8">
      <c r="H34170" s="680" t="s">
        <v>6153</v>
      </c>
    </row>
    <row r="34171" spans="8:8">
      <c r="H34171" s="680" t="s">
        <v>6153</v>
      </c>
    </row>
    <row r="34172" spans="8:8">
      <c r="H34172" s="680" t="s">
        <v>6153</v>
      </c>
    </row>
    <row r="34173" spans="8:8">
      <c r="H34173" s="680" t="s">
        <v>6153</v>
      </c>
    </row>
    <row r="34174" spans="8:8">
      <c r="H34174" s="680" t="s">
        <v>6153</v>
      </c>
    </row>
    <row r="34175" spans="8:8">
      <c r="H34175" s="680" t="s">
        <v>6153</v>
      </c>
    </row>
    <row r="34176" spans="8:8">
      <c r="H34176" s="680" t="s">
        <v>6153</v>
      </c>
    </row>
    <row r="34177" spans="8:8">
      <c r="H34177" s="680" t="s">
        <v>6153</v>
      </c>
    </row>
    <row r="34178" spans="8:8">
      <c r="H34178" s="680" t="s">
        <v>6153</v>
      </c>
    </row>
    <row r="34179" spans="8:8">
      <c r="H34179" s="680" t="s">
        <v>6153</v>
      </c>
    </row>
    <row r="34180" spans="8:8">
      <c r="H34180" s="680" t="s">
        <v>6153</v>
      </c>
    </row>
    <row r="34181" spans="8:8">
      <c r="H34181" s="680" t="s">
        <v>6153</v>
      </c>
    </row>
    <row r="34182" spans="8:8">
      <c r="H34182" s="680" t="s">
        <v>6153</v>
      </c>
    </row>
    <row r="34183" spans="8:8">
      <c r="H34183" s="680" t="s">
        <v>6153</v>
      </c>
    </row>
    <row r="34184" spans="8:8">
      <c r="H34184" s="680" t="s">
        <v>6153</v>
      </c>
    </row>
    <row r="34185" spans="8:8">
      <c r="H34185" s="680" t="s">
        <v>6153</v>
      </c>
    </row>
    <row r="34186" spans="8:8">
      <c r="H34186" s="680" t="s">
        <v>6153</v>
      </c>
    </row>
    <row r="34187" spans="8:8">
      <c r="H34187" s="680" t="s">
        <v>6153</v>
      </c>
    </row>
    <row r="34188" spans="8:8">
      <c r="H34188" s="680" t="s">
        <v>6153</v>
      </c>
    </row>
    <row r="34189" spans="8:8">
      <c r="H34189" s="680" t="s">
        <v>6153</v>
      </c>
    </row>
    <row r="34190" spans="8:8">
      <c r="H34190" s="680" t="s">
        <v>6153</v>
      </c>
    </row>
    <row r="34191" spans="8:8">
      <c r="H34191" s="680" t="s">
        <v>6153</v>
      </c>
    </row>
    <row r="34192" spans="8:8">
      <c r="H34192" s="680" t="s">
        <v>6153</v>
      </c>
    </row>
    <row r="34193" spans="8:8">
      <c r="H34193" s="680" t="s">
        <v>6153</v>
      </c>
    </row>
    <row r="34194" spans="8:8">
      <c r="H34194" s="680" t="s">
        <v>6153</v>
      </c>
    </row>
    <row r="34195" spans="8:8">
      <c r="H34195" s="680" t="s">
        <v>6153</v>
      </c>
    </row>
    <row r="34196" spans="8:8">
      <c r="H34196" s="680" t="s">
        <v>6153</v>
      </c>
    </row>
    <row r="34197" spans="8:8">
      <c r="H34197" s="680" t="s">
        <v>6153</v>
      </c>
    </row>
    <row r="34198" spans="8:8">
      <c r="H34198" s="680" t="s">
        <v>6153</v>
      </c>
    </row>
    <row r="34199" spans="8:8">
      <c r="H34199" s="680" t="s">
        <v>6153</v>
      </c>
    </row>
    <row r="34200" spans="8:8">
      <c r="H34200" s="680" t="s">
        <v>6153</v>
      </c>
    </row>
    <row r="34201" spans="8:8">
      <c r="H34201" s="680" t="s">
        <v>6153</v>
      </c>
    </row>
    <row r="34202" spans="8:8">
      <c r="H34202" s="680" t="s">
        <v>6153</v>
      </c>
    </row>
    <row r="34203" spans="8:8">
      <c r="H34203" s="680" t="s">
        <v>6153</v>
      </c>
    </row>
    <row r="34204" spans="8:8">
      <c r="H34204" s="680" t="s">
        <v>6153</v>
      </c>
    </row>
    <row r="34205" spans="8:8">
      <c r="H34205" s="680" t="s">
        <v>6153</v>
      </c>
    </row>
    <row r="34206" spans="8:8">
      <c r="H34206" s="680" t="s">
        <v>6153</v>
      </c>
    </row>
    <row r="34207" spans="8:8">
      <c r="H34207" s="680" t="s">
        <v>6153</v>
      </c>
    </row>
    <row r="34208" spans="8:8">
      <c r="H34208" s="680" t="s">
        <v>6153</v>
      </c>
    </row>
    <row r="34209" spans="8:8">
      <c r="H34209" s="680" t="s">
        <v>6153</v>
      </c>
    </row>
    <row r="34210" spans="8:8">
      <c r="H34210" s="680" t="s">
        <v>6153</v>
      </c>
    </row>
    <row r="34211" spans="8:8">
      <c r="H34211" s="680" t="s">
        <v>6153</v>
      </c>
    </row>
    <row r="34212" spans="8:8">
      <c r="H34212" s="680" t="s">
        <v>6153</v>
      </c>
    </row>
    <row r="34213" spans="8:8">
      <c r="H34213" s="680" t="s">
        <v>6153</v>
      </c>
    </row>
    <row r="34214" spans="8:8">
      <c r="H34214" s="680" t="s">
        <v>6153</v>
      </c>
    </row>
    <row r="34215" spans="8:8">
      <c r="H34215" s="680" t="s">
        <v>6153</v>
      </c>
    </row>
    <row r="34216" spans="8:8">
      <c r="H34216" s="680" t="s">
        <v>6153</v>
      </c>
    </row>
    <row r="34217" spans="8:8">
      <c r="H34217" s="680" t="s">
        <v>6153</v>
      </c>
    </row>
    <row r="34218" spans="8:8">
      <c r="H34218" s="680" t="s">
        <v>6153</v>
      </c>
    </row>
    <row r="34219" spans="8:8">
      <c r="H34219" s="680" t="s">
        <v>6153</v>
      </c>
    </row>
    <row r="34220" spans="8:8">
      <c r="H34220" s="680" t="s">
        <v>6153</v>
      </c>
    </row>
    <row r="34221" spans="8:8">
      <c r="H34221" s="680" t="s">
        <v>6153</v>
      </c>
    </row>
    <row r="34222" spans="8:8">
      <c r="H34222" s="680" t="s">
        <v>6153</v>
      </c>
    </row>
    <row r="34223" spans="8:8">
      <c r="H34223" s="680" t="s">
        <v>6153</v>
      </c>
    </row>
    <row r="34224" spans="8:8">
      <c r="H34224" s="680" t="s">
        <v>6153</v>
      </c>
    </row>
    <row r="34225" spans="8:8">
      <c r="H34225" s="680" t="s">
        <v>6153</v>
      </c>
    </row>
    <row r="34226" spans="8:8">
      <c r="H34226" s="680" t="s">
        <v>6153</v>
      </c>
    </row>
    <row r="34227" spans="8:8">
      <c r="H34227" s="680" t="s">
        <v>6153</v>
      </c>
    </row>
    <row r="34228" spans="8:8">
      <c r="H34228" s="680" t="s">
        <v>6153</v>
      </c>
    </row>
    <row r="34229" spans="8:8">
      <c r="H34229" s="680" t="s">
        <v>6153</v>
      </c>
    </row>
    <row r="34230" spans="8:8">
      <c r="H34230" s="680" t="s">
        <v>6153</v>
      </c>
    </row>
    <row r="34231" spans="8:8">
      <c r="H34231" s="680" t="s">
        <v>6153</v>
      </c>
    </row>
    <row r="34232" spans="8:8">
      <c r="H34232" s="680" t="s">
        <v>6153</v>
      </c>
    </row>
    <row r="34233" spans="8:8">
      <c r="H34233" s="680" t="s">
        <v>6153</v>
      </c>
    </row>
    <row r="34234" spans="8:8">
      <c r="H34234" s="680" t="s">
        <v>6153</v>
      </c>
    </row>
    <row r="34235" spans="8:8">
      <c r="H34235" s="680" t="s">
        <v>6153</v>
      </c>
    </row>
    <row r="34236" spans="8:8">
      <c r="H34236" s="680" t="s">
        <v>6153</v>
      </c>
    </row>
    <row r="34237" spans="8:8">
      <c r="H34237" s="680" t="s">
        <v>6153</v>
      </c>
    </row>
    <row r="34238" spans="8:8">
      <c r="H34238" s="680" t="s">
        <v>6153</v>
      </c>
    </row>
    <row r="34239" spans="8:8">
      <c r="H34239" s="680" t="s">
        <v>6153</v>
      </c>
    </row>
    <row r="34240" spans="8:8">
      <c r="H34240" s="680" t="s">
        <v>6153</v>
      </c>
    </row>
    <row r="34241" spans="8:8">
      <c r="H34241" s="680" t="s">
        <v>6153</v>
      </c>
    </row>
    <row r="34242" spans="8:8">
      <c r="H34242" s="680" t="s">
        <v>6153</v>
      </c>
    </row>
    <row r="34243" spans="8:8">
      <c r="H34243" s="680" t="s">
        <v>6153</v>
      </c>
    </row>
    <row r="34244" spans="8:8">
      <c r="H34244" s="680" t="s">
        <v>6153</v>
      </c>
    </row>
    <row r="34245" spans="8:8">
      <c r="H34245" s="680" t="s">
        <v>6153</v>
      </c>
    </row>
    <row r="34246" spans="8:8">
      <c r="H34246" s="680" t="s">
        <v>6153</v>
      </c>
    </row>
    <row r="34247" spans="8:8">
      <c r="H34247" s="680" t="s">
        <v>6153</v>
      </c>
    </row>
    <row r="34248" spans="8:8">
      <c r="H34248" s="680" t="s">
        <v>6153</v>
      </c>
    </row>
    <row r="34249" spans="8:8">
      <c r="H34249" s="680" t="s">
        <v>6153</v>
      </c>
    </row>
    <row r="34250" spans="8:8">
      <c r="H34250" s="680" t="s">
        <v>6153</v>
      </c>
    </row>
    <row r="34251" spans="8:8">
      <c r="H34251" s="680" t="s">
        <v>6153</v>
      </c>
    </row>
    <row r="34252" spans="8:8">
      <c r="H34252" s="680" t="s">
        <v>6153</v>
      </c>
    </row>
    <row r="34253" spans="8:8">
      <c r="H34253" s="680" t="s">
        <v>6153</v>
      </c>
    </row>
    <row r="34254" spans="8:8">
      <c r="H34254" s="680" t="s">
        <v>6153</v>
      </c>
    </row>
    <row r="34255" spans="8:8">
      <c r="H34255" s="680" t="s">
        <v>6153</v>
      </c>
    </row>
    <row r="34256" spans="8:8">
      <c r="H34256" s="680" t="s">
        <v>6153</v>
      </c>
    </row>
    <row r="34257" spans="8:8">
      <c r="H34257" s="680" t="s">
        <v>6153</v>
      </c>
    </row>
    <row r="34258" spans="8:8">
      <c r="H34258" s="680" t="s">
        <v>6153</v>
      </c>
    </row>
    <row r="34259" spans="8:8">
      <c r="H34259" s="680" t="s">
        <v>6153</v>
      </c>
    </row>
    <row r="34260" spans="8:8">
      <c r="H34260" s="680" t="s">
        <v>6153</v>
      </c>
    </row>
    <row r="34261" spans="8:8">
      <c r="H34261" s="680" t="s">
        <v>6153</v>
      </c>
    </row>
    <row r="34262" spans="8:8">
      <c r="H34262" s="680" t="s">
        <v>6153</v>
      </c>
    </row>
    <row r="34263" spans="8:8">
      <c r="H34263" s="680" t="s">
        <v>6153</v>
      </c>
    </row>
    <row r="34264" spans="8:8">
      <c r="H34264" s="680" t="s">
        <v>6153</v>
      </c>
    </row>
    <row r="34265" spans="8:8">
      <c r="H34265" s="680" t="s">
        <v>6153</v>
      </c>
    </row>
    <row r="34266" spans="8:8">
      <c r="H34266" s="680" t="s">
        <v>6153</v>
      </c>
    </row>
    <row r="34267" spans="8:8">
      <c r="H34267" s="680" t="s">
        <v>6153</v>
      </c>
    </row>
    <row r="34268" spans="8:8">
      <c r="H34268" s="680" t="s">
        <v>6153</v>
      </c>
    </row>
    <row r="34269" spans="8:8">
      <c r="H34269" s="680" t="s">
        <v>6153</v>
      </c>
    </row>
    <row r="34270" spans="8:8">
      <c r="H34270" s="680" t="s">
        <v>6153</v>
      </c>
    </row>
    <row r="34271" spans="8:8">
      <c r="H34271" s="680" t="s">
        <v>6153</v>
      </c>
    </row>
    <row r="34272" spans="8:8">
      <c r="H34272" s="680" t="s">
        <v>6153</v>
      </c>
    </row>
    <row r="34273" spans="8:8">
      <c r="H34273" s="680" t="s">
        <v>6153</v>
      </c>
    </row>
    <row r="34274" spans="8:8">
      <c r="H34274" s="680" t="s">
        <v>6153</v>
      </c>
    </row>
    <row r="34275" spans="8:8">
      <c r="H34275" s="680" t="s">
        <v>6153</v>
      </c>
    </row>
    <row r="34276" spans="8:8">
      <c r="H34276" s="680" t="s">
        <v>6153</v>
      </c>
    </row>
    <row r="34277" spans="8:8">
      <c r="H34277" s="680" t="s">
        <v>6153</v>
      </c>
    </row>
    <row r="34278" spans="8:8">
      <c r="H34278" s="680" t="s">
        <v>6153</v>
      </c>
    </row>
    <row r="34279" spans="8:8">
      <c r="H34279" s="680" t="s">
        <v>6153</v>
      </c>
    </row>
    <row r="34280" spans="8:8">
      <c r="H34280" s="680" t="s">
        <v>6153</v>
      </c>
    </row>
    <row r="34281" spans="8:8">
      <c r="H34281" s="680" t="s">
        <v>6153</v>
      </c>
    </row>
    <row r="34282" spans="8:8">
      <c r="H34282" s="680" t="s">
        <v>6153</v>
      </c>
    </row>
    <row r="34283" spans="8:8">
      <c r="H34283" s="680" t="s">
        <v>6153</v>
      </c>
    </row>
    <row r="34284" spans="8:8">
      <c r="H34284" s="680" t="s">
        <v>6153</v>
      </c>
    </row>
    <row r="34285" spans="8:8">
      <c r="H34285" s="680" t="s">
        <v>6153</v>
      </c>
    </row>
    <row r="34286" spans="8:8">
      <c r="H34286" s="680" t="s">
        <v>6153</v>
      </c>
    </row>
    <row r="34287" spans="8:8">
      <c r="H34287" s="680" t="s">
        <v>6153</v>
      </c>
    </row>
    <row r="34288" spans="8:8">
      <c r="H34288" s="680" t="s">
        <v>6153</v>
      </c>
    </row>
    <row r="34289" spans="8:8">
      <c r="H34289" s="680" t="s">
        <v>6153</v>
      </c>
    </row>
    <row r="34290" spans="8:8">
      <c r="H34290" s="680" t="s">
        <v>6153</v>
      </c>
    </row>
    <row r="34291" spans="8:8">
      <c r="H34291" s="680" t="s">
        <v>6153</v>
      </c>
    </row>
    <row r="34292" spans="8:8">
      <c r="H34292" s="680" t="s">
        <v>6153</v>
      </c>
    </row>
    <row r="34293" spans="8:8">
      <c r="H34293" s="680" t="s">
        <v>6153</v>
      </c>
    </row>
    <row r="34294" spans="8:8">
      <c r="H34294" s="680" t="s">
        <v>6153</v>
      </c>
    </row>
    <row r="34295" spans="8:8">
      <c r="H34295" s="680" t="s">
        <v>6153</v>
      </c>
    </row>
    <row r="34296" spans="8:8">
      <c r="H34296" s="680" t="s">
        <v>6153</v>
      </c>
    </row>
    <row r="34297" spans="8:8">
      <c r="H34297" s="680" t="s">
        <v>6153</v>
      </c>
    </row>
    <row r="34298" spans="8:8">
      <c r="H34298" s="680" t="s">
        <v>6153</v>
      </c>
    </row>
    <row r="34299" spans="8:8">
      <c r="H34299" s="680" t="s">
        <v>6153</v>
      </c>
    </row>
    <row r="34300" spans="8:8">
      <c r="H34300" s="680" t="s">
        <v>6153</v>
      </c>
    </row>
    <row r="34301" spans="8:8">
      <c r="H34301" s="680" t="s">
        <v>6153</v>
      </c>
    </row>
    <row r="34302" spans="8:8">
      <c r="H34302" s="680" t="s">
        <v>6153</v>
      </c>
    </row>
    <row r="34303" spans="8:8">
      <c r="H34303" s="680" t="s">
        <v>6153</v>
      </c>
    </row>
    <row r="34304" spans="8:8">
      <c r="H34304" s="680" t="s">
        <v>6153</v>
      </c>
    </row>
    <row r="34305" spans="8:8">
      <c r="H34305" s="680" t="s">
        <v>6153</v>
      </c>
    </row>
    <row r="34306" spans="8:8">
      <c r="H34306" s="680" t="s">
        <v>6153</v>
      </c>
    </row>
    <row r="34307" spans="8:8">
      <c r="H34307" s="680" t="s">
        <v>6153</v>
      </c>
    </row>
    <row r="34308" spans="8:8">
      <c r="H34308" s="680" t="s">
        <v>6153</v>
      </c>
    </row>
    <row r="34309" spans="8:8">
      <c r="H34309" s="680" t="s">
        <v>6153</v>
      </c>
    </row>
    <row r="34310" spans="8:8">
      <c r="H34310" s="680" t="s">
        <v>6153</v>
      </c>
    </row>
    <row r="34311" spans="8:8">
      <c r="H34311" s="680" t="s">
        <v>6153</v>
      </c>
    </row>
    <row r="34312" spans="8:8">
      <c r="H34312" s="680" t="s">
        <v>6153</v>
      </c>
    </row>
    <row r="34313" spans="8:8">
      <c r="H34313" s="680" t="s">
        <v>6153</v>
      </c>
    </row>
    <row r="34314" spans="8:8">
      <c r="H34314" s="680" t="s">
        <v>6153</v>
      </c>
    </row>
    <row r="34315" spans="8:8">
      <c r="H34315" s="680" t="s">
        <v>6153</v>
      </c>
    </row>
    <row r="34316" spans="8:8">
      <c r="H34316" s="680" t="s">
        <v>6153</v>
      </c>
    </row>
    <row r="34317" spans="8:8">
      <c r="H34317" s="680" t="s">
        <v>6153</v>
      </c>
    </row>
    <row r="34318" spans="8:8">
      <c r="H34318" s="680" t="s">
        <v>6153</v>
      </c>
    </row>
    <row r="34319" spans="8:8">
      <c r="H34319" s="680" t="s">
        <v>6153</v>
      </c>
    </row>
    <row r="34320" spans="8:8">
      <c r="H34320" s="680" t="s">
        <v>6153</v>
      </c>
    </row>
    <row r="34321" spans="8:8">
      <c r="H34321" s="680" t="s">
        <v>6153</v>
      </c>
    </row>
    <row r="34322" spans="8:8">
      <c r="H34322" s="680" t="s">
        <v>6153</v>
      </c>
    </row>
    <row r="34323" spans="8:8">
      <c r="H34323" s="680" t="s">
        <v>6153</v>
      </c>
    </row>
    <row r="34324" spans="8:8">
      <c r="H34324" s="680" t="s">
        <v>6153</v>
      </c>
    </row>
    <row r="34325" spans="8:8">
      <c r="H34325" s="680" t="s">
        <v>6153</v>
      </c>
    </row>
    <row r="34326" spans="8:8">
      <c r="H34326" s="680" t="s">
        <v>6153</v>
      </c>
    </row>
    <row r="34327" spans="8:8">
      <c r="H34327" s="680" t="s">
        <v>6153</v>
      </c>
    </row>
    <row r="34328" spans="8:8">
      <c r="H34328" s="680" t="s">
        <v>6153</v>
      </c>
    </row>
    <row r="34329" spans="8:8">
      <c r="H34329" s="680" t="s">
        <v>6153</v>
      </c>
    </row>
    <row r="34330" spans="8:8">
      <c r="H34330" s="680" t="s">
        <v>6153</v>
      </c>
    </row>
    <row r="34331" spans="8:8">
      <c r="H34331" s="680" t="s">
        <v>6153</v>
      </c>
    </row>
    <row r="34332" spans="8:8">
      <c r="H34332" s="680" t="s">
        <v>6153</v>
      </c>
    </row>
    <row r="34333" spans="8:8">
      <c r="H34333" s="680" t="s">
        <v>6153</v>
      </c>
    </row>
    <row r="34334" spans="8:8">
      <c r="H34334" s="680" t="s">
        <v>6153</v>
      </c>
    </row>
    <row r="34335" spans="8:8">
      <c r="H34335" s="680" t="s">
        <v>6153</v>
      </c>
    </row>
    <row r="34336" spans="8:8">
      <c r="H34336" s="680" t="s">
        <v>6153</v>
      </c>
    </row>
    <row r="34337" spans="8:8">
      <c r="H34337" s="680" t="s">
        <v>6153</v>
      </c>
    </row>
    <row r="34338" spans="8:8">
      <c r="H34338" s="680" t="s">
        <v>6153</v>
      </c>
    </row>
    <row r="34339" spans="8:8">
      <c r="H34339" s="680" t="s">
        <v>6153</v>
      </c>
    </row>
    <row r="34340" spans="8:8">
      <c r="H34340" s="680" t="s">
        <v>6153</v>
      </c>
    </row>
    <row r="34341" spans="8:8">
      <c r="H34341" s="680" t="s">
        <v>6153</v>
      </c>
    </row>
    <row r="34342" spans="8:8">
      <c r="H34342" s="680" t="s">
        <v>6153</v>
      </c>
    </row>
    <row r="34343" spans="8:8">
      <c r="H34343" s="680" t="s">
        <v>6153</v>
      </c>
    </row>
    <row r="34344" spans="8:8">
      <c r="H34344" s="680" t="s">
        <v>6153</v>
      </c>
    </row>
    <row r="34345" spans="8:8">
      <c r="H34345" s="680" t="s">
        <v>6153</v>
      </c>
    </row>
    <row r="34346" spans="8:8">
      <c r="H34346" s="680" t="s">
        <v>6153</v>
      </c>
    </row>
    <row r="34347" spans="8:8">
      <c r="H34347" s="680" t="s">
        <v>6153</v>
      </c>
    </row>
    <row r="34348" spans="8:8">
      <c r="H34348" s="680" t="s">
        <v>6153</v>
      </c>
    </row>
    <row r="34349" spans="8:8">
      <c r="H34349" s="680" t="s">
        <v>6153</v>
      </c>
    </row>
    <row r="34350" spans="8:8">
      <c r="H34350" s="680" t="s">
        <v>6153</v>
      </c>
    </row>
    <row r="34351" spans="8:8">
      <c r="H34351" s="680" t="s">
        <v>6153</v>
      </c>
    </row>
    <row r="34352" spans="8:8">
      <c r="H34352" s="680" t="s">
        <v>6153</v>
      </c>
    </row>
    <row r="34353" spans="8:8">
      <c r="H34353" s="680" t="s">
        <v>6153</v>
      </c>
    </row>
    <row r="34354" spans="8:8">
      <c r="H34354" s="680" t="s">
        <v>6153</v>
      </c>
    </row>
    <row r="34355" spans="8:8">
      <c r="H34355" s="680" t="s">
        <v>6153</v>
      </c>
    </row>
    <row r="34356" spans="8:8">
      <c r="H34356" s="680" t="s">
        <v>6153</v>
      </c>
    </row>
    <row r="34357" spans="8:8">
      <c r="H34357" s="680" t="s">
        <v>6153</v>
      </c>
    </row>
    <row r="34358" spans="8:8">
      <c r="H34358" s="680" t="s">
        <v>6153</v>
      </c>
    </row>
    <row r="34359" spans="8:8">
      <c r="H34359" s="680" t="s">
        <v>6153</v>
      </c>
    </row>
    <row r="34360" spans="8:8">
      <c r="H34360" s="680" t="s">
        <v>6153</v>
      </c>
    </row>
    <row r="34361" spans="8:8">
      <c r="H34361" s="680" t="s">
        <v>6153</v>
      </c>
    </row>
    <row r="34362" spans="8:8">
      <c r="H34362" s="680" t="s">
        <v>6153</v>
      </c>
    </row>
    <row r="34363" spans="8:8">
      <c r="H34363" s="680" t="s">
        <v>6153</v>
      </c>
    </row>
    <row r="34364" spans="8:8">
      <c r="H34364" s="680" t="s">
        <v>6153</v>
      </c>
    </row>
    <row r="34365" spans="8:8">
      <c r="H34365" s="680" t="s">
        <v>6153</v>
      </c>
    </row>
    <row r="34366" spans="8:8">
      <c r="H34366" s="680" t="s">
        <v>6153</v>
      </c>
    </row>
    <row r="34367" spans="8:8">
      <c r="H34367" s="680" t="s">
        <v>6153</v>
      </c>
    </row>
    <row r="34368" spans="8:8">
      <c r="H34368" s="680" t="s">
        <v>6153</v>
      </c>
    </row>
    <row r="34369" spans="8:8">
      <c r="H34369" s="680" t="s">
        <v>6153</v>
      </c>
    </row>
    <row r="34370" spans="8:8">
      <c r="H34370" s="680" t="s">
        <v>6153</v>
      </c>
    </row>
    <row r="34371" spans="8:8">
      <c r="H34371" s="680" t="s">
        <v>6153</v>
      </c>
    </row>
    <row r="34372" spans="8:8">
      <c r="H34372" s="680" t="s">
        <v>6153</v>
      </c>
    </row>
    <row r="34373" spans="8:8">
      <c r="H34373" s="680" t="s">
        <v>6153</v>
      </c>
    </row>
    <row r="34374" spans="8:8">
      <c r="H34374" s="680" t="s">
        <v>6153</v>
      </c>
    </row>
    <row r="34375" spans="8:8">
      <c r="H34375" s="680" t="s">
        <v>6153</v>
      </c>
    </row>
    <row r="34376" spans="8:8">
      <c r="H34376" s="680" t="s">
        <v>6153</v>
      </c>
    </row>
    <row r="34377" spans="8:8">
      <c r="H34377" s="680" t="s">
        <v>6153</v>
      </c>
    </row>
    <row r="34378" spans="8:8">
      <c r="H34378" s="680" t="s">
        <v>6153</v>
      </c>
    </row>
    <row r="34379" spans="8:8">
      <c r="H34379" s="680" t="s">
        <v>6153</v>
      </c>
    </row>
    <row r="34380" spans="8:8">
      <c r="H34380" s="680" t="s">
        <v>6153</v>
      </c>
    </row>
    <row r="34381" spans="8:8">
      <c r="H34381" s="680" t="s">
        <v>6153</v>
      </c>
    </row>
    <row r="34382" spans="8:8">
      <c r="H34382" s="680" t="s">
        <v>6153</v>
      </c>
    </row>
    <row r="34383" spans="8:8">
      <c r="H34383" s="680" t="s">
        <v>6153</v>
      </c>
    </row>
    <row r="34384" spans="8:8">
      <c r="H34384" s="680" t="s">
        <v>6153</v>
      </c>
    </row>
    <row r="34385" spans="8:8">
      <c r="H34385" s="680" t="s">
        <v>6153</v>
      </c>
    </row>
    <row r="34386" spans="8:8">
      <c r="H34386" s="680" t="s">
        <v>6153</v>
      </c>
    </row>
    <row r="34387" spans="8:8">
      <c r="H34387" s="680" t="s">
        <v>6153</v>
      </c>
    </row>
    <row r="34388" spans="8:8">
      <c r="H34388" s="680" t="s">
        <v>6153</v>
      </c>
    </row>
    <row r="34389" spans="8:8">
      <c r="H34389" s="680" t="s">
        <v>6153</v>
      </c>
    </row>
    <row r="34390" spans="8:8">
      <c r="H34390" s="680" t="s">
        <v>6153</v>
      </c>
    </row>
    <row r="34391" spans="8:8">
      <c r="H34391" s="680" t="s">
        <v>6153</v>
      </c>
    </row>
    <row r="34392" spans="8:8">
      <c r="H34392" s="680" t="s">
        <v>6153</v>
      </c>
    </row>
    <row r="34393" spans="8:8">
      <c r="H34393" s="680" t="s">
        <v>6153</v>
      </c>
    </row>
    <row r="34394" spans="8:8">
      <c r="H34394" s="680" t="s">
        <v>6153</v>
      </c>
    </row>
    <row r="34395" spans="8:8">
      <c r="H34395" s="680" t="s">
        <v>6153</v>
      </c>
    </row>
    <row r="34396" spans="8:8">
      <c r="H34396" s="680" t="s">
        <v>6153</v>
      </c>
    </row>
    <row r="34397" spans="8:8">
      <c r="H34397" s="680" t="s">
        <v>6153</v>
      </c>
    </row>
    <row r="34398" spans="8:8">
      <c r="H34398" s="680" t="s">
        <v>6153</v>
      </c>
    </row>
    <row r="34399" spans="8:8">
      <c r="H34399" s="680" t="s">
        <v>6153</v>
      </c>
    </row>
    <row r="34400" spans="8:8">
      <c r="H34400" s="680" t="s">
        <v>6153</v>
      </c>
    </row>
    <row r="34401" spans="8:8">
      <c r="H34401" s="680" t="s">
        <v>6153</v>
      </c>
    </row>
    <row r="34402" spans="8:8">
      <c r="H34402" s="680" t="s">
        <v>6153</v>
      </c>
    </row>
    <row r="34403" spans="8:8">
      <c r="H34403" s="680" t="s">
        <v>6153</v>
      </c>
    </row>
    <row r="34404" spans="8:8">
      <c r="H34404" s="680" t="s">
        <v>6153</v>
      </c>
    </row>
    <row r="34405" spans="8:8">
      <c r="H34405" s="680" t="s">
        <v>6153</v>
      </c>
    </row>
    <row r="34406" spans="8:8">
      <c r="H34406" s="680" t="s">
        <v>6153</v>
      </c>
    </row>
    <row r="34407" spans="8:8">
      <c r="H34407" s="680" t="s">
        <v>6153</v>
      </c>
    </row>
    <row r="34408" spans="8:8">
      <c r="H34408" s="680" t="s">
        <v>6153</v>
      </c>
    </row>
    <row r="34409" spans="8:8">
      <c r="H34409" s="680" t="s">
        <v>6153</v>
      </c>
    </row>
    <row r="34410" spans="8:8">
      <c r="H34410" s="680" t="s">
        <v>6153</v>
      </c>
    </row>
    <row r="34411" spans="8:8">
      <c r="H34411" s="680" t="s">
        <v>6153</v>
      </c>
    </row>
    <row r="34412" spans="8:8">
      <c r="H34412" s="680" t="s">
        <v>6153</v>
      </c>
    </row>
    <row r="34413" spans="8:8">
      <c r="H34413" s="680" t="s">
        <v>6153</v>
      </c>
    </row>
    <row r="34414" spans="8:8">
      <c r="H34414" s="680" t="s">
        <v>6153</v>
      </c>
    </row>
    <row r="34415" spans="8:8">
      <c r="H34415" s="680" t="s">
        <v>6153</v>
      </c>
    </row>
    <row r="34416" spans="8:8">
      <c r="H34416" s="680" t="s">
        <v>6153</v>
      </c>
    </row>
    <row r="34417" spans="8:8">
      <c r="H34417" s="680" t="s">
        <v>6153</v>
      </c>
    </row>
    <row r="34418" spans="8:8">
      <c r="H34418" s="680" t="s">
        <v>6153</v>
      </c>
    </row>
    <row r="34419" spans="8:8">
      <c r="H34419" s="680" t="s">
        <v>6153</v>
      </c>
    </row>
    <row r="34420" spans="8:8">
      <c r="H34420" s="680" t="s">
        <v>6153</v>
      </c>
    </row>
    <row r="34421" spans="8:8">
      <c r="H34421" s="680" t="s">
        <v>6153</v>
      </c>
    </row>
    <row r="34422" spans="8:8">
      <c r="H34422" s="680" t="s">
        <v>6153</v>
      </c>
    </row>
    <row r="34423" spans="8:8">
      <c r="H34423" s="680" t="s">
        <v>6153</v>
      </c>
    </row>
    <row r="34424" spans="8:8">
      <c r="H34424" s="680" t="s">
        <v>6153</v>
      </c>
    </row>
    <row r="34425" spans="8:8">
      <c r="H34425" s="680" t="s">
        <v>6153</v>
      </c>
    </row>
    <row r="34426" spans="8:8">
      <c r="H34426" s="680" t="s">
        <v>6153</v>
      </c>
    </row>
    <row r="34427" spans="8:8">
      <c r="H34427" s="680" t="s">
        <v>6153</v>
      </c>
    </row>
    <row r="34428" spans="8:8">
      <c r="H34428" s="680" t="s">
        <v>6153</v>
      </c>
    </row>
    <row r="34429" spans="8:8">
      <c r="H34429" s="680" t="s">
        <v>6153</v>
      </c>
    </row>
    <row r="34430" spans="8:8">
      <c r="H34430" s="680" t="s">
        <v>6153</v>
      </c>
    </row>
    <row r="34431" spans="8:8">
      <c r="H34431" s="680" t="s">
        <v>6153</v>
      </c>
    </row>
    <row r="34432" spans="8:8">
      <c r="H34432" s="680" t="s">
        <v>6153</v>
      </c>
    </row>
    <row r="34433" spans="8:8">
      <c r="H34433" s="680" t="s">
        <v>6153</v>
      </c>
    </row>
    <row r="34434" spans="8:8">
      <c r="H34434" s="680" t="s">
        <v>6153</v>
      </c>
    </row>
    <row r="34435" spans="8:8">
      <c r="H34435" s="680" t="s">
        <v>6153</v>
      </c>
    </row>
    <row r="34436" spans="8:8">
      <c r="H34436" s="680" t="s">
        <v>6153</v>
      </c>
    </row>
    <row r="34437" spans="8:8">
      <c r="H34437" s="680" t="s">
        <v>6153</v>
      </c>
    </row>
    <row r="34438" spans="8:8">
      <c r="H34438" s="680" t="s">
        <v>6153</v>
      </c>
    </row>
    <row r="34439" spans="8:8">
      <c r="H34439" s="680" t="s">
        <v>6153</v>
      </c>
    </row>
    <row r="34440" spans="8:8">
      <c r="H34440" s="680" t="s">
        <v>6153</v>
      </c>
    </row>
    <row r="34441" spans="8:8">
      <c r="H34441" s="680" t="s">
        <v>6153</v>
      </c>
    </row>
    <row r="34442" spans="8:8">
      <c r="H34442" s="680" t="s">
        <v>6153</v>
      </c>
    </row>
    <row r="34443" spans="8:8">
      <c r="H34443" s="680" t="s">
        <v>6153</v>
      </c>
    </row>
    <row r="34444" spans="8:8">
      <c r="H34444" s="680" t="s">
        <v>6153</v>
      </c>
    </row>
    <row r="34445" spans="8:8">
      <c r="H34445" s="680" t="s">
        <v>6153</v>
      </c>
    </row>
    <row r="34446" spans="8:8">
      <c r="H34446" s="680" t="s">
        <v>6153</v>
      </c>
    </row>
    <row r="34447" spans="8:8">
      <c r="H34447" s="680" t="s">
        <v>6153</v>
      </c>
    </row>
    <row r="34448" spans="8:8">
      <c r="H34448" s="680" t="s">
        <v>6153</v>
      </c>
    </row>
    <row r="34449" spans="8:8">
      <c r="H34449" s="680" t="s">
        <v>6153</v>
      </c>
    </row>
    <row r="34450" spans="8:8">
      <c r="H34450" s="680" t="s">
        <v>6153</v>
      </c>
    </row>
    <row r="34451" spans="8:8">
      <c r="H34451" s="680" t="s">
        <v>6153</v>
      </c>
    </row>
    <row r="34452" spans="8:8">
      <c r="H34452" s="680" t="s">
        <v>6153</v>
      </c>
    </row>
    <row r="34453" spans="8:8">
      <c r="H34453" s="680" t="s">
        <v>6153</v>
      </c>
    </row>
    <row r="34454" spans="8:8">
      <c r="H34454" s="680" t="s">
        <v>6153</v>
      </c>
    </row>
    <row r="34455" spans="8:8">
      <c r="H34455" s="680" t="s">
        <v>6153</v>
      </c>
    </row>
    <row r="34456" spans="8:8">
      <c r="H34456" s="680" t="s">
        <v>6153</v>
      </c>
    </row>
    <row r="34457" spans="8:8">
      <c r="H34457" s="680" t="s">
        <v>6153</v>
      </c>
    </row>
    <row r="34458" spans="8:8">
      <c r="H34458" s="680" t="s">
        <v>6153</v>
      </c>
    </row>
    <row r="34459" spans="8:8">
      <c r="H34459" s="680" t="s">
        <v>6153</v>
      </c>
    </row>
    <row r="34460" spans="8:8">
      <c r="H34460" s="680" t="s">
        <v>6153</v>
      </c>
    </row>
    <row r="34461" spans="8:8">
      <c r="H34461" s="680" t="s">
        <v>6153</v>
      </c>
    </row>
    <row r="34462" spans="8:8">
      <c r="H34462" s="680" t="s">
        <v>6153</v>
      </c>
    </row>
    <row r="34463" spans="8:8">
      <c r="H34463" s="680" t="s">
        <v>6153</v>
      </c>
    </row>
    <row r="34464" spans="8:8">
      <c r="H34464" s="680" t="s">
        <v>6153</v>
      </c>
    </row>
    <row r="34465" spans="8:8">
      <c r="H34465" s="680" t="s">
        <v>6153</v>
      </c>
    </row>
    <row r="34466" spans="8:8">
      <c r="H34466" s="680" t="s">
        <v>6153</v>
      </c>
    </row>
    <row r="34467" spans="8:8">
      <c r="H34467" s="680" t="s">
        <v>6153</v>
      </c>
    </row>
    <row r="34468" spans="8:8">
      <c r="H34468" s="680" t="s">
        <v>6153</v>
      </c>
    </row>
    <row r="34469" spans="8:8">
      <c r="H34469" s="680" t="s">
        <v>6153</v>
      </c>
    </row>
    <row r="34470" spans="8:8">
      <c r="H34470" s="680" t="s">
        <v>6153</v>
      </c>
    </row>
    <row r="34471" spans="8:8">
      <c r="H34471" s="680" t="s">
        <v>6153</v>
      </c>
    </row>
    <row r="34472" spans="8:8">
      <c r="H34472" s="680" t="s">
        <v>6153</v>
      </c>
    </row>
    <row r="34473" spans="8:8">
      <c r="H34473" s="680" t="s">
        <v>6153</v>
      </c>
    </row>
    <row r="34474" spans="8:8">
      <c r="H34474" s="680" t="s">
        <v>6153</v>
      </c>
    </row>
    <row r="34475" spans="8:8">
      <c r="H34475" s="680" t="s">
        <v>6153</v>
      </c>
    </row>
    <row r="34476" spans="8:8">
      <c r="H34476" s="680" t="s">
        <v>6153</v>
      </c>
    </row>
    <row r="34477" spans="8:8">
      <c r="H34477" s="680" t="s">
        <v>6153</v>
      </c>
    </row>
    <row r="34478" spans="8:8">
      <c r="H34478" s="680" t="s">
        <v>6153</v>
      </c>
    </row>
    <row r="34479" spans="8:8">
      <c r="H34479" s="680" t="s">
        <v>6153</v>
      </c>
    </row>
    <row r="34480" spans="8:8">
      <c r="H34480" s="680" t="s">
        <v>6153</v>
      </c>
    </row>
    <row r="34481" spans="8:8">
      <c r="H34481" s="680" t="s">
        <v>6153</v>
      </c>
    </row>
    <row r="34482" spans="8:8">
      <c r="H34482" s="680" t="s">
        <v>6153</v>
      </c>
    </row>
    <row r="34483" spans="8:8">
      <c r="H34483" s="680" t="s">
        <v>6153</v>
      </c>
    </row>
    <row r="34484" spans="8:8">
      <c r="H34484" s="680" t="s">
        <v>6153</v>
      </c>
    </row>
    <row r="34485" spans="8:8">
      <c r="H34485" s="680" t="s">
        <v>6153</v>
      </c>
    </row>
    <row r="34486" spans="8:8">
      <c r="H34486" s="680" t="s">
        <v>6153</v>
      </c>
    </row>
    <row r="34487" spans="8:8">
      <c r="H34487" s="680" t="s">
        <v>6153</v>
      </c>
    </row>
    <row r="34488" spans="8:8">
      <c r="H34488" s="680" t="s">
        <v>6153</v>
      </c>
    </row>
    <row r="34489" spans="8:8">
      <c r="H34489" s="680" t="s">
        <v>6153</v>
      </c>
    </row>
    <row r="34490" spans="8:8">
      <c r="H34490" s="680" t="s">
        <v>6153</v>
      </c>
    </row>
    <row r="34491" spans="8:8">
      <c r="H34491" s="680" t="s">
        <v>6153</v>
      </c>
    </row>
    <row r="34492" spans="8:8">
      <c r="H34492" s="680" t="s">
        <v>6153</v>
      </c>
    </row>
    <row r="34493" spans="8:8">
      <c r="H34493" s="680" t="s">
        <v>6153</v>
      </c>
    </row>
    <row r="34494" spans="8:8">
      <c r="H34494" s="680" t="s">
        <v>6153</v>
      </c>
    </row>
    <row r="34495" spans="8:8">
      <c r="H34495" s="680" t="s">
        <v>6153</v>
      </c>
    </row>
    <row r="34496" spans="8:8">
      <c r="H34496" s="680" t="s">
        <v>6153</v>
      </c>
    </row>
    <row r="34497" spans="8:8">
      <c r="H34497" s="680" t="s">
        <v>6153</v>
      </c>
    </row>
    <row r="34498" spans="8:8">
      <c r="H34498" s="680" t="s">
        <v>6153</v>
      </c>
    </row>
    <row r="34499" spans="8:8">
      <c r="H34499" s="680" t="s">
        <v>6153</v>
      </c>
    </row>
    <row r="34500" spans="8:8">
      <c r="H34500" s="680" t="s">
        <v>6153</v>
      </c>
    </row>
    <row r="34501" spans="8:8">
      <c r="H34501" s="680" t="s">
        <v>6153</v>
      </c>
    </row>
    <row r="34502" spans="8:8">
      <c r="H34502" s="680" t="s">
        <v>6153</v>
      </c>
    </row>
    <row r="34503" spans="8:8">
      <c r="H34503" s="680" t="s">
        <v>6153</v>
      </c>
    </row>
    <row r="34504" spans="8:8">
      <c r="H34504" s="680" t="s">
        <v>6153</v>
      </c>
    </row>
    <row r="34505" spans="8:8">
      <c r="H34505" s="680" t="s">
        <v>6153</v>
      </c>
    </row>
    <row r="34506" spans="8:8">
      <c r="H34506" s="680" t="s">
        <v>6153</v>
      </c>
    </row>
    <row r="34507" spans="8:8">
      <c r="H34507" s="680" t="s">
        <v>6153</v>
      </c>
    </row>
    <row r="34508" spans="8:8">
      <c r="H34508" s="680" t="s">
        <v>6153</v>
      </c>
    </row>
    <row r="34509" spans="8:8">
      <c r="H34509" s="680" t="s">
        <v>6153</v>
      </c>
    </row>
    <row r="34510" spans="8:8">
      <c r="H34510" s="680" t="s">
        <v>6153</v>
      </c>
    </row>
    <row r="34511" spans="8:8">
      <c r="H34511" s="680" t="s">
        <v>6153</v>
      </c>
    </row>
    <row r="34512" spans="8:8">
      <c r="H34512" s="680" t="s">
        <v>6153</v>
      </c>
    </row>
    <row r="34513" spans="8:8">
      <c r="H34513" s="680" t="s">
        <v>6153</v>
      </c>
    </row>
    <row r="34514" spans="8:8">
      <c r="H34514" s="680" t="s">
        <v>6153</v>
      </c>
    </row>
    <row r="34515" spans="8:8">
      <c r="H34515" s="680" t="s">
        <v>6153</v>
      </c>
    </row>
    <row r="34516" spans="8:8">
      <c r="H34516" s="680" t="s">
        <v>6153</v>
      </c>
    </row>
    <row r="34517" spans="8:8">
      <c r="H34517" s="680" t="s">
        <v>6153</v>
      </c>
    </row>
    <row r="34518" spans="8:8">
      <c r="H34518" s="680" t="s">
        <v>6153</v>
      </c>
    </row>
    <row r="34519" spans="8:8">
      <c r="H34519" s="680" t="s">
        <v>6153</v>
      </c>
    </row>
    <row r="34520" spans="8:8">
      <c r="H34520" s="680" t="s">
        <v>6153</v>
      </c>
    </row>
    <row r="34521" spans="8:8">
      <c r="H34521" s="680" t="s">
        <v>6153</v>
      </c>
    </row>
    <row r="34522" spans="8:8">
      <c r="H34522" s="680" t="s">
        <v>6153</v>
      </c>
    </row>
    <row r="34523" spans="8:8">
      <c r="H34523" s="680" t="s">
        <v>6153</v>
      </c>
    </row>
    <row r="34524" spans="8:8">
      <c r="H34524" s="680" t="s">
        <v>6153</v>
      </c>
    </row>
    <row r="34525" spans="8:8">
      <c r="H34525" s="680" t="s">
        <v>6153</v>
      </c>
    </row>
    <row r="34526" spans="8:8">
      <c r="H34526" s="680" t="s">
        <v>6153</v>
      </c>
    </row>
    <row r="34527" spans="8:8">
      <c r="H34527" s="680" t="s">
        <v>6153</v>
      </c>
    </row>
    <row r="34528" spans="8:8">
      <c r="H34528" s="680" t="s">
        <v>6153</v>
      </c>
    </row>
    <row r="34529" spans="8:8">
      <c r="H34529" s="680" t="s">
        <v>6153</v>
      </c>
    </row>
    <row r="34530" spans="8:8">
      <c r="H34530" s="680" t="s">
        <v>6153</v>
      </c>
    </row>
    <row r="34531" spans="8:8">
      <c r="H34531" s="680" t="s">
        <v>6153</v>
      </c>
    </row>
    <row r="34532" spans="8:8">
      <c r="H34532" s="680" t="s">
        <v>6153</v>
      </c>
    </row>
    <row r="34533" spans="8:8">
      <c r="H34533" s="680" t="s">
        <v>6153</v>
      </c>
    </row>
    <row r="34534" spans="8:8">
      <c r="H34534" s="680" t="s">
        <v>6153</v>
      </c>
    </row>
    <row r="34535" spans="8:8">
      <c r="H34535" s="680" t="s">
        <v>6153</v>
      </c>
    </row>
    <row r="34536" spans="8:8">
      <c r="H34536" s="680" t="s">
        <v>6153</v>
      </c>
    </row>
    <row r="34537" spans="8:8">
      <c r="H34537" s="680" t="s">
        <v>6153</v>
      </c>
    </row>
    <row r="34538" spans="8:8">
      <c r="H34538" s="680" t="s">
        <v>6153</v>
      </c>
    </row>
    <row r="34539" spans="8:8">
      <c r="H34539" s="680" t="s">
        <v>6153</v>
      </c>
    </row>
    <row r="34540" spans="8:8">
      <c r="H34540" s="680" t="s">
        <v>6153</v>
      </c>
    </row>
    <row r="34541" spans="8:8">
      <c r="H34541" s="680" t="s">
        <v>6153</v>
      </c>
    </row>
    <row r="34542" spans="8:8">
      <c r="H34542" s="680" t="s">
        <v>6153</v>
      </c>
    </row>
    <row r="34543" spans="8:8">
      <c r="H34543" s="680" t="s">
        <v>6153</v>
      </c>
    </row>
    <row r="34544" spans="8:8">
      <c r="H34544" s="680" t="s">
        <v>6153</v>
      </c>
    </row>
    <row r="34545" spans="8:8">
      <c r="H34545" s="680" t="s">
        <v>6153</v>
      </c>
    </row>
    <row r="34546" spans="8:8">
      <c r="H34546" s="680" t="s">
        <v>6153</v>
      </c>
    </row>
    <row r="34547" spans="8:8">
      <c r="H34547" s="680" t="s">
        <v>6153</v>
      </c>
    </row>
    <row r="34548" spans="8:8">
      <c r="H34548" s="680" t="s">
        <v>6153</v>
      </c>
    </row>
    <row r="34549" spans="8:8">
      <c r="H34549" s="680" t="s">
        <v>6153</v>
      </c>
    </row>
    <row r="34550" spans="8:8">
      <c r="H34550" s="680" t="s">
        <v>6153</v>
      </c>
    </row>
    <row r="34551" spans="8:8">
      <c r="H34551" s="680" t="s">
        <v>6153</v>
      </c>
    </row>
    <row r="34552" spans="8:8">
      <c r="H34552" s="680" t="s">
        <v>6153</v>
      </c>
    </row>
    <row r="34553" spans="8:8">
      <c r="H34553" s="680" t="s">
        <v>6153</v>
      </c>
    </row>
    <row r="34554" spans="8:8">
      <c r="H34554" s="680" t="s">
        <v>6153</v>
      </c>
    </row>
    <row r="34555" spans="8:8">
      <c r="H34555" s="680" t="s">
        <v>6153</v>
      </c>
    </row>
    <row r="34556" spans="8:8">
      <c r="H34556" s="680" t="s">
        <v>6153</v>
      </c>
    </row>
    <row r="34557" spans="8:8">
      <c r="H34557" s="680" t="s">
        <v>6153</v>
      </c>
    </row>
    <row r="34558" spans="8:8">
      <c r="H34558" s="680" t="s">
        <v>6153</v>
      </c>
    </row>
    <row r="34559" spans="8:8">
      <c r="H34559" s="680" t="s">
        <v>6153</v>
      </c>
    </row>
    <row r="34560" spans="8:8">
      <c r="H34560" s="680" t="s">
        <v>6153</v>
      </c>
    </row>
    <row r="34561" spans="8:8">
      <c r="H34561" s="680" t="s">
        <v>6153</v>
      </c>
    </row>
    <row r="34562" spans="8:8">
      <c r="H34562" s="680" t="s">
        <v>6153</v>
      </c>
    </row>
    <row r="34563" spans="8:8">
      <c r="H34563" s="680" t="s">
        <v>6153</v>
      </c>
    </row>
    <row r="34564" spans="8:8">
      <c r="H34564" s="680" t="s">
        <v>6153</v>
      </c>
    </row>
    <row r="34565" spans="8:8">
      <c r="H34565" s="680" t="s">
        <v>6153</v>
      </c>
    </row>
    <row r="34566" spans="8:8">
      <c r="H34566" s="680" t="s">
        <v>6153</v>
      </c>
    </row>
    <row r="34567" spans="8:8">
      <c r="H34567" s="680" t="s">
        <v>6153</v>
      </c>
    </row>
    <row r="34568" spans="8:8">
      <c r="H34568" s="680" t="s">
        <v>6153</v>
      </c>
    </row>
    <row r="34569" spans="8:8">
      <c r="H34569" s="680" t="s">
        <v>6153</v>
      </c>
    </row>
    <row r="34570" spans="8:8">
      <c r="H34570" s="680" t="s">
        <v>6153</v>
      </c>
    </row>
    <row r="34571" spans="8:8">
      <c r="H34571" s="680" t="s">
        <v>6153</v>
      </c>
    </row>
    <row r="34572" spans="8:8">
      <c r="H34572" s="680" t="s">
        <v>6153</v>
      </c>
    </row>
    <row r="34573" spans="8:8">
      <c r="H34573" s="680" t="s">
        <v>6153</v>
      </c>
    </row>
    <row r="34574" spans="8:8">
      <c r="H34574" s="680" t="s">
        <v>6153</v>
      </c>
    </row>
    <row r="34575" spans="8:8">
      <c r="H34575" s="680" t="s">
        <v>6153</v>
      </c>
    </row>
    <row r="34576" spans="8:8">
      <c r="H34576" s="680" t="s">
        <v>6153</v>
      </c>
    </row>
    <row r="34577" spans="8:8">
      <c r="H34577" s="680" t="s">
        <v>6153</v>
      </c>
    </row>
    <row r="34578" spans="8:8">
      <c r="H34578" s="680" t="s">
        <v>6153</v>
      </c>
    </row>
    <row r="34579" spans="8:8">
      <c r="H34579" s="680" t="s">
        <v>6153</v>
      </c>
    </row>
    <row r="34580" spans="8:8">
      <c r="H34580" s="680" t="s">
        <v>6153</v>
      </c>
    </row>
    <row r="34581" spans="8:8">
      <c r="H34581" s="680" t="s">
        <v>6153</v>
      </c>
    </row>
    <row r="34582" spans="8:8">
      <c r="H34582" s="680" t="s">
        <v>6153</v>
      </c>
    </row>
    <row r="34583" spans="8:8">
      <c r="H34583" s="680" t="s">
        <v>6153</v>
      </c>
    </row>
    <row r="34584" spans="8:8">
      <c r="H34584" s="680" t="s">
        <v>6153</v>
      </c>
    </row>
    <row r="34585" spans="8:8">
      <c r="H34585" s="680" t="s">
        <v>6153</v>
      </c>
    </row>
    <row r="34586" spans="8:8">
      <c r="H34586" s="680" t="s">
        <v>6153</v>
      </c>
    </row>
    <row r="34587" spans="8:8">
      <c r="H34587" s="680" t="s">
        <v>6153</v>
      </c>
    </row>
    <row r="34588" spans="8:8">
      <c r="H34588" s="680" t="s">
        <v>6153</v>
      </c>
    </row>
    <row r="34589" spans="8:8">
      <c r="H34589" s="680" t="s">
        <v>6153</v>
      </c>
    </row>
    <row r="34590" spans="8:8">
      <c r="H34590" s="680" t="s">
        <v>6153</v>
      </c>
    </row>
    <row r="34591" spans="8:8">
      <c r="H34591" s="680" t="s">
        <v>6153</v>
      </c>
    </row>
    <row r="34592" spans="8:8">
      <c r="H34592" s="680" t="s">
        <v>6153</v>
      </c>
    </row>
    <row r="34593" spans="8:8">
      <c r="H34593" s="680" t="s">
        <v>6153</v>
      </c>
    </row>
    <row r="34594" spans="8:8">
      <c r="H34594" s="680" t="s">
        <v>6153</v>
      </c>
    </row>
    <row r="34595" spans="8:8">
      <c r="H34595" s="680" t="s">
        <v>6153</v>
      </c>
    </row>
    <row r="34596" spans="8:8">
      <c r="H34596" s="680" t="s">
        <v>6153</v>
      </c>
    </row>
    <row r="34597" spans="8:8">
      <c r="H34597" s="680" t="s">
        <v>6153</v>
      </c>
    </row>
    <row r="34598" spans="8:8">
      <c r="H34598" s="680" t="s">
        <v>6153</v>
      </c>
    </row>
    <row r="34599" spans="8:8">
      <c r="H34599" s="680" t="s">
        <v>6153</v>
      </c>
    </row>
    <row r="34600" spans="8:8">
      <c r="H34600" s="680" t="s">
        <v>6153</v>
      </c>
    </row>
    <row r="34601" spans="8:8">
      <c r="H34601" s="680" t="s">
        <v>6153</v>
      </c>
    </row>
    <row r="34602" spans="8:8">
      <c r="H34602" s="680" t="s">
        <v>6153</v>
      </c>
    </row>
    <row r="34603" spans="8:8">
      <c r="H34603" s="680" t="s">
        <v>6153</v>
      </c>
    </row>
    <row r="34604" spans="8:8">
      <c r="H34604" s="680" t="s">
        <v>6153</v>
      </c>
    </row>
    <row r="34605" spans="8:8">
      <c r="H34605" s="680" t="s">
        <v>6153</v>
      </c>
    </row>
    <row r="34606" spans="8:8">
      <c r="H34606" s="680" t="s">
        <v>6153</v>
      </c>
    </row>
    <row r="34607" spans="8:8">
      <c r="H34607" s="680" t="s">
        <v>6153</v>
      </c>
    </row>
    <row r="34608" spans="8:8">
      <c r="H34608" s="680" t="s">
        <v>6153</v>
      </c>
    </row>
    <row r="34609" spans="8:8">
      <c r="H34609" s="680" t="s">
        <v>6153</v>
      </c>
    </row>
    <row r="34610" spans="8:8">
      <c r="H34610" s="680" t="s">
        <v>6153</v>
      </c>
    </row>
    <row r="34611" spans="8:8">
      <c r="H34611" s="680" t="s">
        <v>6153</v>
      </c>
    </row>
    <row r="34612" spans="8:8">
      <c r="H34612" s="680" t="s">
        <v>6153</v>
      </c>
    </row>
    <row r="34613" spans="8:8">
      <c r="H34613" s="680" t="s">
        <v>6153</v>
      </c>
    </row>
    <row r="34614" spans="8:8">
      <c r="H34614" s="680" t="s">
        <v>6153</v>
      </c>
    </row>
    <row r="34615" spans="8:8">
      <c r="H34615" s="680" t="s">
        <v>6153</v>
      </c>
    </row>
    <row r="34616" spans="8:8">
      <c r="H34616" s="680" t="s">
        <v>6153</v>
      </c>
    </row>
    <row r="34617" spans="8:8">
      <c r="H34617" s="680" t="s">
        <v>6153</v>
      </c>
    </row>
    <row r="34618" spans="8:8">
      <c r="H34618" s="680" t="s">
        <v>6153</v>
      </c>
    </row>
    <row r="34619" spans="8:8">
      <c r="H34619" s="680" t="s">
        <v>6153</v>
      </c>
    </row>
    <row r="34620" spans="8:8">
      <c r="H34620" s="680" t="s">
        <v>6153</v>
      </c>
    </row>
    <row r="34621" spans="8:8">
      <c r="H34621" s="680" t="s">
        <v>6153</v>
      </c>
    </row>
    <row r="34622" spans="8:8">
      <c r="H34622" s="680" t="s">
        <v>6153</v>
      </c>
    </row>
    <row r="34623" spans="8:8">
      <c r="H34623" s="680" t="s">
        <v>6153</v>
      </c>
    </row>
    <row r="34624" spans="8:8">
      <c r="H34624" s="680" t="s">
        <v>6153</v>
      </c>
    </row>
    <row r="34625" spans="8:8">
      <c r="H34625" s="680" t="s">
        <v>6153</v>
      </c>
    </row>
    <row r="34626" spans="8:8">
      <c r="H34626" s="680" t="s">
        <v>6153</v>
      </c>
    </row>
    <row r="34627" spans="8:8">
      <c r="H34627" s="680" t="s">
        <v>6153</v>
      </c>
    </row>
    <row r="34628" spans="8:8">
      <c r="H34628" s="680" t="s">
        <v>6153</v>
      </c>
    </row>
    <row r="34629" spans="8:8">
      <c r="H34629" s="680" t="s">
        <v>6153</v>
      </c>
    </row>
    <row r="34630" spans="8:8">
      <c r="H34630" s="680" t="s">
        <v>6153</v>
      </c>
    </row>
    <row r="34631" spans="8:8">
      <c r="H34631" s="680" t="s">
        <v>6153</v>
      </c>
    </row>
    <row r="34632" spans="8:8">
      <c r="H34632" s="680" t="s">
        <v>6153</v>
      </c>
    </row>
    <row r="34633" spans="8:8">
      <c r="H34633" s="680" t="s">
        <v>6153</v>
      </c>
    </row>
    <row r="34634" spans="8:8">
      <c r="H34634" s="680" t="s">
        <v>6153</v>
      </c>
    </row>
    <row r="34635" spans="8:8">
      <c r="H34635" s="680" t="s">
        <v>6153</v>
      </c>
    </row>
    <row r="34636" spans="8:8">
      <c r="H34636" s="680" t="s">
        <v>6153</v>
      </c>
    </row>
    <row r="34637" spans="8:8">
      <c r="H34637" s="680" t="s">
        <v>6153</v>
      </c>
    </row>
    <row r="34638" spans="8:8">
      <c r="H34638" s="680" t="s">
        <v>6153</v>
      </c>
    </row>
    <row r="34639" spans="8:8">
      <c r="H34639" s="680" t="s">
        <v>6153</v>
      </c>
    </row>
    <row r="34640" spans="8:8">
      <c r="H34640" s="680" t="s">
        <v>6153</v>
      </c>
    </row>
    <row r="34641" spans="8:8">
      <c r="H34641" s="680" t="s">
        <v>6153</v>
      </c>
    </row>
    <row r="34642" spans="8:8">
      <c r="H34642" s="680" t="s">
        <v>6153</v>
      </c>
    </row>
    <row r="34643" spans="8:8">
      <c r="H34643" s="680" t="s">
        <v>6153</v>
      </c>
    </row>
    <row r="34644" spans="8:8">
      <c r="H34644" s="680" t="s">
        <v>6153</v>
      </c>
    </row>
    <row r="34645" spans="8:8">
      <c r="H34645" s="680" t="s">
        <v>6153</v>
      </c>
    </row>
    <row r="34646" spans="8:8">
      <c r="H34646" s="680" t="s">
        <v>6153</v>
      </c>
    </row>
    <row r="34647" spans="8:8">
      <c r="H34647" s="680" t="s">
        <v>6153</v>
      </c>
    </row>
    <row r="34648" spans="8:8">
      <c r="H34648" s="680" t="s">
        <v>6153</v>
      </c>
    </row>
    <row r="34649" spans="8:8">
      <c r="H34649" s="680" t="s">
        <v>6153</v>
      </c>
    </row>
    <row r="34650" spans="8:8">
      <c r="H34650" s="680" t="s">
        <v>6153</v>
      </c>
    </row>
    <row r="34651" spans="8:8">
      <c r="H34651" s="680" t="s">
        <v>6153</v>
      </c>
    </row>
    <row r="34652" spans="8:8">
      <c r="H34652" s="680" t="s">
        <v>6153</v>
      </c>
    </row>
    <row r="34653" spans="8:8">
      <c r="H34653" s="680" t="s">
        <v>6153</v>
      </c>
    </row>
    <row r="34654" spans="8:8">
      <c r="H34654" s="680" t="s">
        <v>6153</v>
      </c>
    </row>
    <row r="34655" spans="8:8">
      <c r="H34655" s="680" t="s">
        <v>6153</v>
      </c>
    </row>
    <row r="34656" spans="8:8">
      <c r="H34656" s="680" t="s">
        <v>6153</v>
      </c>
    </row>
    <row r="34657" spans="8:8">
      <c r="H34657" s="680" t="s">
        <v>6153</v>
      </c>
    </row>
    <row r="34658" spans="8:8">
      <c r="H34658" s="680" t="s">
        <v>6153</v>
      </c>
    </row>
    <row r="34659" spans="8:8">
      <c r="H34659" s="680" t="s">
        <v>6153</v>
      </c>
    </row>
    <row r="34660" spans="8:8">
      <c r="H34660" s="680" t="s">
        <v>6153</v>
      </c>
    </row>
    <row r="34661" spans="8:8">
      <c r="H34661" s="680" t="s">
        <v>6153</v>
      </c>
    </row>
    <row r="34662" spans="8:8">
      <c r="H34662" s="680" t="s">
        <v>6153</v>
      </c>
    </row>
    <row r="34663" spans="8:8">
      <c r="H34663" s="680" t="s">
        <v>6153</v>
      </c>
    </row>
    <row r="34664" spans="8:8">
      <c r="H34664" s="680" t="s">
        <v>6153</v>
      </c>
    </row>
    <row r="34665" spans="8:8">
      <c r="H34665" s="680" t="s">
        <v>6153</v>
      </c>
    </row>
    <row r="34666" spans="8:8">
      <c r="H34666" s="680" t="s">
        <v>6153</v>
      </c>
    </row>
    <row r="34667" spans="8:8">
      <c r="H34667" s="680" t="s">
        <v>6153</v>
      </c>
    </row>
    <row r="34668" spans="8:8">
      <c r="H34668" s="680" t="s">
        <v>6153</v>
      </c>
    </row>
    <row r="34669" spans="8:8">
      <c r="H34669" s="680" t="s">
        <v>6153</v>
      </c>
    </row>
    <row r="34670" spans="8:8">
      <c r="H34670" s="680" t="s">
        <v>6153</v>
      </c>
    </row>
    <row r="34671" spans="8:8">
      <c r="H34671" s="680" t="s">
        <v>6153</v>
      </c>
    </row>
    <row r="34672" spans="8:8">
      <c r="H34672" s="680" t="s">
        <v>6153</v>
      </c>
    </row>
    <row r="34673" spans="8:8">
      <c r="H34673" s="680" t="s">
        <v>6153</v>
      </c>
    </row>
    <row r="34674" spans="8:8">
      <c r="H34674" s="680" t="s">
        <v>6153</v>
      </c>
    </row>
    <row r="34675" spans="8:8">
      <c r="H34675" s="680" t="s">
        <v>6153</v>
      </c>
    </row>
    <row r="34676" spans="8:8">
      <c r="H34676" s="680" t="s">
        <v>6153</v>
      </c>
    </row>
    <row r="34677" spans="8:8">
      <c r="H34677" s="680" t="s">
        <v>6153</v>
      </c>
    </row>
    <row r="34678" spans="8:8">
      <c r="H34678" s="680" t="s">
        <v>6153</v>
      </c>
    </row>
    <row r="34679" spans="8:8">
      <c r="H34679" s="680" t="s">
        <v>6153</v>
      </c>
    </row>
    <row r="34680" spans="8:8">
      <c r="H34680" s="680" t="s">
        <v>6153</v>
      </c>
    </row>
    <row r="34681" spans="8:8">
      <c r="H34681" s="680" t="s">
        <v>6153</v>
      </c>
    </row>
    <row r="34682" spans="8:8">
      <c r="H34682" s="680" t="s">
        <v>6153</v>
      </c>
    </row>
    <row r="34683" spans="8:8">
      <c r="H34683" s="680" t="s">
        <v>6153</v>
      </c>
    </row>
    <row r="34684" spans="8:8">
      <c r="H34684" s="680" t="s">
        <v>6153</v>
      </c>
    </row>
    <row r="34685" spans="8:8">
      <c r="H34685" s="680" t="s">
        <v>6153</v>
      </c>
    </row>
    <row r="34686" spans="8:8">
      <c r="H34686" s="680" t="s">
        <v>6153</v>
      </c>
    </row>
    <row r="34687" spans="8:8">
      <c r="H34687" s="680" t="s">
        <v>6153</v>
      </c>
    </row>
    <row r="34688" spans="8:8">
      <c r="H34688" s="680" t="s">
        <v>6153</v>
      </c>
    </row>
    <row r="34689" spans="8:8">
      <c r="H34689" s="680" t="s">
        <v>6153</v>
      </c>
    </row>
    <row r="34690" spans="8:8">
      <c r="H34690" s="680" t="s">
        <v>6153</v>
      </c>
    </row>
    <row r="34691" spans="8:8">
      <c r="H34691" s="680" t="s">
        <v>6153</v>
      </c>
    </row>
    <row r="34692" spans="8:8">
      <c r="H34692" s="680" t="s">
        <v>6153</v>
      </c>
    </row>
    <row r="34693" spans="8:8">
      <c r="H34693" s="680" t="s">
        <v>6153</v>
      </c>
    </row>
    <row r="34694" spans="8:8">
      <c r="H34694" s="680" t="s">
        <v>6153</v>
      </c>
    </row>
    <row r="34695" spans="8:8">
      <c r="H34695" s="680" t="s">
        <v>6153</v>
      </c>
    </row>
    <row r="34696" spans="8:8">
      <c r="H34696" s="680" t="s">
        <v>6153</v>
      </c>
    </row>
    <row r="34697" spans="8:8">
      <c r="H34697" s="680" t="s">
        <v>6153</v>
      </c>
    </row>
    <row r="34698" spans="8:8">
      <c r="H34698" s="680" t="s">
        <v>6153</v>
      </c>
    </row>
    <row r="34699" spans="8:8">
      <c r="H34699" s="680" t="s">
        <v>6153</v>
      </c>
    </row>
    <row r="34700" spans="8:8">
      <c r="H34700" s="680" t="s">
        <v>6153</v>
      </c>
    </row>
    <row r="34701" spans="8:8">
      <c r="H34701" s="680" t="s">
        <v>6153</v>
      </c>
    </row>
    <row r="34702" spans="8:8">
      <c r="H34702" s="680" t="s">
        <v>6153</v>
      </c>
    </row>
    <row r="34703" spans="8:8">
      <c r="H34703" s="680" t="s">
        <v>6153</v>
      </c>
    </row>
    <row r="34704" spans="8:8">
      <c r="H34704" s="680" t="s">
        <v>6153</v>
      </c>
    </row>
    <row r="34705" spans="8:8">
      <c r="H34705" s="680" t="s">
        <v>6153</v>
      </c>
    </row>
    <row r="34706" spans="8:8">
      <c r="H34706" s="680" t="s">
        <v>6153</v>
      </c>
    </row>
    <row r="34707" spans="8:8">
      <c r="H34707" s="680" t="s">
        <v>6153</v>
      </c>
    </row>
    <row r="34708" spans="8:8">
      <c r="H34708" s="680" t="s">
        <v>6153</v>
      </c>
    </row>
    <row r="34709" spans="8:8">
      <c r="H34709" s="680" t="s">
        <v>6153</v>
      </c>
    </row>
    <row r="34710" spans="8:8">
      <c r="H34710" s="680" t="s">
        <v>6153</v>
      </c>
    </row>
    <row r="34711" spans="8:8">
      <c r="H34711" s="680" t="s">
        <v>6153</v>
      </c>
    </row>
    <row r="34712" spans="8:8">
      <c r="H34712" s="680" t="s">
        <v>6153</v>
      </c>
    </row>
    <row r="34713" spans="8:8">
      <c r="H34713" s="680" t="s">
        <v>6153</v>
      </c>
    </row>
    <row r="34714" spans="8:8">
      <c r="H34714" s="680" t="s">
        <v>6153</v>
      </c>
    </row>
    <row r="34715" spans="8:8">
      <c r="H34715" s="680" t="s">
        <v>6153</v>
      </c>
    </row>
    <row r="34716" spans="8:8">
      <c r="H34716" s="680" t="s">
        <v>6153</v>
      </c>
    </row>
    <row r="34717" spans="8:8">
      <c r="H34717" s="680" t="s">
        <v>6153</v>
      </c>
    </row>
    <row r="34718" spans="8:8">
      <c r="H34718" s="680" t="s">
        <v>6153</v>
      </c>
    </row>
    <row r="34719" spans="8:8">
      <c r="H34719" s="680" t="s">
        <v>6153</v>
      </c>
    </row>
    <row r="34720" spans="8:8">
      <c r="H34720" s="680" t="s">
        <v>6153</v>
      </c>
    </row>
    <row r="34721" spans="8:8">
      <c r="H34721" s="680" t="s">
        <v>6153</v>
      </c>
    </row>
    <row r="34722" spans="8:8">
      <c r="H34722" s="680" t="s">
        <v>6153</v>
      </c>
    </row>
    <row r="34723" spans="8:8">
      <c r="H34723" s="680" t="s">
        <v>6153</v>
      </c>
    </row>
    <row r="34724" spans="8:8">
      <c r="H34724" s="680" t="s">
        <v>6153</v>
      </c>
    </row>
    <row r="34725" spans="8:8">
      <c r="H34725" s="680" t="s">
        <v>6153</v>
      </c>
    </row>
    <row r="34726" spans="8:8">
      <c r="H34726" s="680" t="s">
        <v>6153</v>
      </c>
    </row>
    <row r="34727" spans="8:8">
      <c r="H34727" s="680" t="s">
        <v>6153</v>
      </c>
    </row>
    <row r="34728" spans="8:8">
      <c r="H34728" s="680" t="s">
        <v>6153</v>
      </c>
    </row>
    <row r="34729" spans="8:8">
      <c r="H34729" s="680" t="s">
        <v>6153</v>
      </c>
    </row>
    <row r="34730" spans="8:8">
      <c r="H34730" s="680" t="s">
        <v>6153</v>
      </c>
    </row>
    <row r="34731" spans="8:8">
      <c r="H34731" s="680" t="s">
        <v>6153</v>
      </c>
    </row>
    <row r="34732" spans="8:8">
      <c r="H34732" s="680" t="s">
        <v>6153</v>
      </c>
    </row>
    <row r="34733" spans="8:8">
      <c r="H34733" s="680" t="s">
        <v>6153</v>
      </c>
    </row>
    <row r="34734" spans="8:8">
      <c r="H34734" s="680" t="s">
        <v>6153</v>
      </c>
    </row>
    <row r="34735" spans="8:8">
      <c r="H34735" s="680" t="s">
        <v>6153</v>
      </c>
    </row>
    <row r="34736" spans="8:8">
      <c r="H34736" s="680" t="s">
        <v>6153</v>
      </c>
    </row>
    <row r="34737" spans="8:8">
      <c r="H34737" s="680" t="s">
        <v>6153</v>
      </c>
    </row>
    <row r="34738" spans="8:8">
      <c r="H34738" s="680" t="s">
        <v>6153</v>
      </c>
    </row>
    <row r="34739" spans="8:8">
      <c r="H34739" s="680" t="s">
        <v>6153</v>
      </c>
    </row>
    <row r="34740" spans="8:8">
      <c r="H34740" s="680" t="s">
        <v>6153</v>
      </c>
    </row>
    <row r="34741" spans="8:8">
      <c r="H34741" s="680" t="s">
        <v>6153</v>
      </c>
    </row>
    <row r="34742" spans="8:8">
      <c r="H34742" s="680" t="s">
        <v>6153</v>
      </c>
    </row>
    <row r="34743" spans="8:8">
      <c r="H34743" s="680" t="s">
        <v>6153</v>
      </c>
    </row>
    <row r="34744" spans="8:8">
      <c r="H34744" s="680" t="s">
        <v>6153</v>
      </c>
    </row>
    <row r="34745" spans="8:8">
      <c r="H34745" s="680" t="s">
        <v>6153</v>
      </c>
    </row>
    <row r="34746" spans="8:8">
      <c r="H34746" s="680" t="s">
        <v>6153</v>
      </c>
    </row>
    <row r="34747" spans="8:8">
      <c r="H34747" s="680" t="s">
        <v>6153</v>
      </c>
    </row>
    <row r="34748" spans="8:8">
      <c r="H34748" s="680" t="s">
        <v>6153</v>
      </c>
    </row>
    <row r="34749" spans="8:8">
      <c r="H34749" s="680" t="s">
        <v>6153</v>
      </c>
    </row>
    <row r="34750" spans="8:8">
      <c r="H34750" s="680" t="s">
        <v>6153</v>
      </c>
    </row>
    <row r="34751" spans="8:8">
      <c r="H34751" s="680" t="s">
        <v>6153</v>
      </c>
    </row>
    <row r="34752" spans="8:8">
      <c r="H34752" s="680" t="s">
        <v>6153</v>
      </c>
    </row>
    <row r="34753" spans="8:8">
      <c r="H34753" s="680" t="s">
        <v>6153</v>
      </c>
    </row>
    <row r="34754" spans="8:8">
      <c r="H34754" s="680" t="s">
        <v>6153</v>
      </c>
    </row>
    <row r="34755" spans="8:8">
      <c r="H34755" s="680" t="s">
        <v>6153</v>
      </c>
    </row>
    <row r="34756" spans="8:8">
      <c r="H34756" s="680" t="s">
        <v>6153</v>
      </c>
    </row>
    <row r="34757" spans="8:8">
      <c r="H34757" s="680" t="s">
        <v>6153</v>
      </c>
    </row>
    <row r="34758" spans="8:8">
      <c r="H34758" s="680" t="s">
        <v>6153</v>
      </c>
    </row>
    <row r="34759" spans="8:8">
      <c r="H34759" s="680" t="s">
        <v>6153</v>
      </c>
    </row>
    <row r="34760" spans="8:8">
      <c r="H34760" s="680" t="s">
        <v>6153</v>
      </c>
    </row>
    <row r="34761" spans="8:8">
      <c r="H34761" s="680" t="s">
        <v>6153</v>
      </c>
    </row>
    <row r="34762" spans="8:8">
      <c r="H34762" s="680" t="s">
        <v>6153</v>
      </c>
    </row>
    <row r="34763" spans="8:8">
      <c r="H34763" s="680" t="s">
        <v>6153</v>
      </c>
    </row>
    <row r="34764" spans="8:8">
      <c r="H34764" s="680" t="s">
        <v>6153</v>
      </c>
    </row>
    <row r="34765" spans="8:8">
      <c r="H34765" s="680" t="s">
        <v>6153</v>
      </c>
    </row>
    <row r="34766" spans="8:8">
      <c r="H34766" s="680" t="s">
        <v>6153</v>
      </c>
    </row>
    <row r="34767" spans="8:8">
      <c r="H34767" s="680" t="s">
        <v>6153</v>
      </c>
    </row>
    <row r="34768" spans="8:8">
      <c r="H34768" s="680" t="s">
        <v>6153</v>
      </c>
    </row>
    <row r="34769" spans="8:8">
      <c r="H34769" s="680" t="s">
        <v>6153</v>
      </c>
    </row>
    <row r="34770" spans="8:8">
      <c r="H34770" s="680" t="s">
        <v>6153</v>
      </c>
    </row>
    <row r="34771" spans="8:8">
      <c r="H34771" s="680" t="s">
        <v>6153</v>
      </c>
    </row>
    <row r="34772" spans="8:8">
      <c r="H34772" s="680" t="s">
        <v>6153</v>
      </c>
    </row>
    <row r="34773" spans="8:8">
      <c r="H34773" s="680" t="s">
        <v>6153</v>
      </c>
    </row>
    <row r="34774" spans="8:8">
      <c r="H34774" s="680" t="s">
        <v>6153</v>
      </c>
    </row>
    <row r="34775" spans="8:8">
      <c r="H34775" s="680" t="s">
        <v>6153</v>
      </c>
    </row>
    <row r="34776" spans="8:8">
      <c r="H34776" s="680" t="s">
        <v>6153</v>
      </c>
    </row>
    <row r="34777" spans="8:8">
      <c r="H34777" s="680" t="s">
        <v>6153</v>
      </c>
    </row>
    <row r="34778" spans="8:8">
      <c r="H34778" s="680" t="s">
        <v>6153</v>
      </c>
    </row>
    <row r="34779" spans="8:8">
      <c r="H34779" s="680" t="s">
        <v>6153</v>
      </c>
    </row>
    <row r="34780" spans="8:8">
      <c r="H34780" s="680" t="s">
        <v>6153</v>
      </c>
    </row>
    <row r="34781" spans="8:8">
      <c r="H34781" s="680" t="s">
        <v>6153</v>
      </c>
    </row>
    <row r="34782" spans="8:8">
      <c r="H34782" s="680" t="s">
        <v>6153</v>
      </c>
    </row>
    <row r="34783" spans="8:8">
      <c r="H34783" s="680" t="s">
        <v>6153</v>
      </c>
    </row>
    <row r="34784" spans="8:8">
      <c r="H34784" s="680" t="s">
        <v>6153</v>
      </c>
    </row>
    <row r="34785" spans="8:8">
      <c r="H34785" s="680" t="s">
        <v>6153</v>
      </c>
    </row>
    <row r="34786" spans="8:8">
      <c r="H34786" s="680" t="s">
        <v>6153</v>
      </c>
    </row>
    <row r="34787" spans="8:8">
      <c r="H34787" s="680" t="s">
        <v>6153</v>
      </c>
    </row>
    <row r="34788" spans="8:8">
      <c r="H34788" s="680" t="s">
        <v>6153</v>
      </c>
    </row>
    <row r="34789" spans="8:8">
      <c r="H34789" s="680" t="s">
        <v>6153</v>
      </c>
    </row>
    <row r="34790" spans="8:8">
      <c r="H34790" s="680" t="s">
        <v>6153</v>
      </c>
    </row>
    <row r="34791" spans="8:8">
      <c r="H34791" s="680" t="s">
        <v>6153</v>
      </c>
    </row>
    <row r="34792" spans="8:8">
      <c r="H34792" s="680" t="s">
        <v>6153</v>
      </c>
    </row>
    <row r="34793" spans="8:8">
      <c r="H34793" s="680" t="s">
        <v>6153</v>
      </c>
    </row>
    <row r="34794" spans="8:8">
      <c r="H34794" s="680" t="s">
        <v>6153</v>
      </c>
    </row>
    <row r="34795" spans="8:8">
      <c r="H34795" s="680" t="s">
        <v>6153</v>
      </c>
    </row>
    <row r="34796" spans="8:8">
      <c r="H34796" s="680" t="s">
        <v>6153</v>
      </c>
    </row>
    <row r="34797" spans="8:8">
      <c r="H34797" s="680" t="s">
        <v>6153</v>
      </c>
    </row>
    <row r="34798" spans="8:8">
      <c r="H34798" s="680" t="s">
        <v>6153</v>
      </c>
    </row>
    <row r="34799" spans="8:8">
      <c r="H34799" s="680" t="s">
        <v>6153</v>
      </c>
    </row>
    <row r="34800" spans="8:8">
      <c r="H34800" s="680" t="s">
        <v>6153</v>
      </c>
    </row>
    <row r="34801" spans="8:8">
      <c r="H34801" s="680" t="s">
        <v>6153</v>
      </c>
    </row>
    <row r="34802" spans="8:8">
      <c r="H34802" s="680" t="s">
        <v>6153</v>
      </c>
    </row>
    <row r="34803" spans="8:8">
      <c r="H34803" s="680" t="s">
        <v>6153</v>
      </c>
    </row>
    <row r="34804" spans="8:8">
      <c r="H34804" s="680" t="s">
        <v>6153</v>
      </c>
    </row>
    <row r="34805" spans="8:8">
      <c r="H34805" s="680" t="s">
        <v>6153</v>
      </c>
    </row>
    <row r="34806" spans="8:8">
      <c r="H34806" s="680" t="s">
        <v>6153</v>
      </c>
    </row>
    <row r="34807" spans="8:8">
      <c r="H34807" s="680" t="s">
        <v>6153</v>
      </c>
    </row>
    <row r="34808" spans="8:8">
      <c r="H34808" s="680" t="s">
        <v>6153</v>
      </c>
    </row>
    <row r="34809" spans="8:8">
      <c r="H34809" s="680" t="s">
        <v>6153</v>
      </c>
    </row>
    <row r="34810" spans="8:8">
      <c r="H34810" s="680" t="s">
        <v>6153</v>
      </c>
    </row>
    <row r="34811" spans="8:8">
      <c r="H34811" s="680" t="s">
        <v>6153</v>
      </c>
    </row>
    <row r="34812" spans="8:8">
      <c r="H34812" s="680" t="s">
        <v>6153</v>
      </c>
    </row>
    <row r="34813" spans="8:8">
      <c r="H34813" s="680" t="s">
        <v>6153</v>
      </c>
    </row>
    <row r="34814" spans="8:8">
      <c r="H34814" s="680" t="s">
        <v>6153</v>
      </c>
    </row>
    <row r="34815" spans="8:8">
      <c r="H34815" s="680" t="s">
        <v>6153</v>
      </c>
    </row>
    <row r="34816" spans="8:8">
      <c r="H34816" s="680" t="s">
        <v>6153</v>
      </c>
    </row>
    <row r="34817" spans="8:8">
      <c r="H34817" s="680" t="s">
        <v>6153</v>
      </c>
    </row>
    <row r="34818" spans="8:8">
      <c r="H34818" s="680" t="s">
        <v>6153</v>
      </c>
    </row>
    <row r="34819" spans="8:8">
      <c r="H34819" s="680" t="s">
        <v>6153</v>
      </c>
    </row>
    <row r="34820" spans="8:8">
      <c r="H34820" s="680" t="s">
        <v>6153</v>
      </c>
    </row>
    <row r="34821" spans="8:8">
      <c r="H34821" s="680" t="s">
        <v>6153</v>
      </c>
    </row>
    <row r="34822" spans="8:8">
      <c r="H34822" s="680" t="s">
        <v>6153</v>
      </c>
    </row>
    <row r="34823" spans="8:8">
      <c r="H34823" s="680" t="s">
        <v>6153</v>
      </c>
    </row>
    <row r="34824" spans="8:8">
      <c r="H34824" s="680" t="s">
        <v>6153</v>
      </c>
    </row>
    <row r="34825" spans="8:8">
      <c r="H34825" s="680" t="s">
        <v>6153</v>
      </c>
    </row>
    <row r="34826" spans="8:8">
      <c r="H34826" s="680" t="s">
        <v>6153</v>
      </c>
    </row>
    <row r="34827" spans="8:8">
      <c r="H34827" s="680" t="s">
        <v>6153</v>
      </c>
    </row>
    <row r="34828" spans="8:8">
      <c r="H34828" s="680" t="s">
        <v>6153</v>
      </c>
    </row>
    <row r="34829" spans="8:8">
      <c r="H34829" s="680" t="s">
        <v>6153</v>
      </c>
    </row>
    <row r="34830" spans="8:8">
      <c r="H34830" s="680" t="s">
        <v>6153</v>
      </c>
    </row>
    <row r="34831" spans="8:8">
      <c r="H34831" s="680" t="s">
        <v>6153</v>
      </c>
    </row>
    <row r="34832" spans="8:8">
      <c r="H34832" s="680" t="s">
        <v>6153</v>
      </c>
    </row>
    <row r="34833" spans="8:8">
      <c r="H34833" s="680" t="s">
        <v>6153</v>
      </c>
    </row>
    <row r="34834" spans="8:8">
      <c r="H34834" s="680" t="s">
        <v>6153</v>
      </c>
    </row>
    <row r="34835" spans="8:8">
      <c r="H34835" s="680" t="s">
        <v>6153</v>
      </c>
    </row>
    <row r="34836" spans="8:8">
      <c r="H34836" s="680" t="s">
        <v>6153</v>
      </c>
    </row>
    <row r="34837" spans="8:8">
      <c r="H34837" s="680" t="s">
        <v>6153</v>
      </c>
    </row>
    <row r="34838" spans="8:8">
      <c r="H34838" s="680" t="s">
        <v>6153</v>
      </c>
    </row>
    <row r="34839" spans="8:8">
      <c r="H34839" s="680" t="s">
        <v>6153</v>
      </c>
    </row>
    <row r="34840" spans="8:8">
      <c r="H34840" s="680" t="s">
        <v>6153</v>
      </c>
    </row>
    <row r="34841" spans="8:8">
      <c r="H34841" s="680" t="s">
        <v>6153</v>
      </c>
    </row>
    <row r="34842" spans="8:8">
      <c r="H34842" s="680" t="s">
        <v>6153</v>
      </c>
    </row>
    <row r="34843" spans="8:8">
      <c r="H34843" s="680" t="s">
        <v>6153</v>
      </c>
    </row>
    <row r="34844" spans="8:8">
      <c r="H34844" s="680" t="s">
        <v>6153</v>
      </c>
    </row>
    <row r="34845" spans="8:8">
      <c r="H34845" s="680" t="s">
        <v>6153</v>
      </c>
    </row>
    <row r="34846" spans="8:8">
      <c r="H34846" s="680" t="s">
        <v>6153</v>
      </c>
    </row>
    <row r="34847" spans="8:8">
      <c r="H34847" s="680" t="s">
        <v>6153</v>
      </c>
    </row>
    <row r="34848" spans="8:8">
      <c r="H34848" s="680" t="s">
        <v>6153</v>
      </c>
    </row>
    <row r="34849" spans="8:8">
      <c r="H34849" s="680" t="s">
        <v>6153</v>
      </c>
    </row>
    <row r="34850" spans="8:8">
      <c r="H34850" s="680" t="s">
        <v>6153</v>
      </c>
    </row>
    <row r="34851" spans="8:8">
      <c r="H34851" s="680" t="s">
        <v>6153</v>
      </c>
    </row>
    <row r="34852" spans="8:8">
      <c r="H34852" s="680" t="s">
        <v>6153</v>
      </c>
    </row>
    <row r="34853" spans="8:8">
      <c r="H34853" s="680" t="s">
        <v>6153</v>
      </c>
    </row>
    <row r="34854" spans="8:8">
      <c r="H34854" s="680" t="s">
        <v>6153</v>
      </c>
    </row>
    <row r="34855" spans="8:8">
      <c r="H34855" s="680" t="s">
        <v>6153</v>
      </c>
    </row>
    <row r="34856" spans="8:8">
      <c r="H34856" s="680" t="s">
        <v>6153</v>
      </c>
    </row>
    <row r="34857" spans="8:8">
      <c r="H34857" s="680" t="s">
        <v>6153</v>
      </c>
    </row>
    <row r="34858" spans="8:8">
      <c r="H34858" s="680" t="s">
        <v>6153</v>
      </c>
    </row>
    <row r="34859" spans="8:8">
      <c r="H34859" s="680" t="s">
        <v>6153</v>
      </c>
    </row>
    <row r="34860" spans="8:8">
      <c r="H34860" s="680" t="s">
        <v>6153</v>
      </c>
    </row>
    <row r="34861" spans="8:8">
      <c r="H34861" s="680" t="s">
        <v>6153</v>
      </c>
    </row>
    <row r="34862" spans="8:8">
      <c r="H34862" s="680" t="s">
        <v>6153</v>
      </c>
    </row>
    <row r="34863" spans="8:8">
      <c r="H34863" s="680" t="s">
        <v>6153</v>
      </c>
    </row>
    <row r="34864" spans="8:8">
      <c r="H34864" s="680" t="s">
        <v>6153</v>
      </c>
    </row>
    <row r="34865" spans="8:8">
      <c r="H34865" s="680" t="s">
        <v>6153</v>
      </c>
    </row>
    <row r="34866" spans="8:8">
      <c r="H34866" s="680" t="s">
        <v>6153</v>
      </c>
    </row>
    <row r="34867" spans="8:8">
      <c r="H34867" s="680" t="s">
        <v>6153</v>
      </c>
    </row>
    <row r="34868" spans="8:8">
      <c r="H34868" s="680" t="s">
        <v>6153</v>
      </c>
    </row>
    <row r="34869" spans="8:8">
      <c r="H34869" s="680" t="s">
        <v>6153</v>
      </c>
    </row>
    <row r="34870" spans="8:8">
      <c r="H34870" s="680" t="s">
        <v>6153</v>
      </c>
    </row>
    <row r="34871" spans="8:8">
      <c r="H34871" s="680" t="s">
        <v>6153</v>
      </c>
    </row>
    <row r="34872" spans="8:8">
      <c r="H34872" s="680" t="s">
        <v>6153</v>
      </c>
    </row>
    <row r="34873" spans="8:8">
      <c r="H34873" s="680" t="s">
        <v>6153</v>
      </c>
    </row>
    <row r="34874" spans="8:8">
      <c r="H34874" s="680" t="s">
        <v>6153</v>
      </c>
    </row>
    <row r="34875" spans="8:8">
      <c r="H34875" s="680" t="s">
        <v>6153</v>
      </c>
    </row>
    <row r="34876" spans="8:8">
      <c r="H34876" s="680" t="s">
        <v>6153</v>
      </c>
    </row>
    <row r="34877" spans="8:8">
      <c r="H34877" s="680" t="s">
        <v>6153</v>
      </c>
    </row>
    <row r="34878" spans="8:8">
      <c r="H34878" s="680" t="s">
        <v>6153</v>
      </c>
    </row>
    <row r="34879" spans="8:8">
      <c r="H34879" s="680" t="s">
        <v>6153</v>
      </c>
    </row>
    <row r="34880" spans="8:8">
      <c r="H34880" s="680" t="s">
        <v>6153</v>
      </c>
    </row>
    <row r="34881" spans="8:8">
      <c r="H34881" s="680" t="s">
        <v>6153</v>
      </c>
    </row>
    <row r="34882" spans="8:8">
      <c r="H34882" s="680" t="s">
        <v>6153</v>
      </c>
    </row>
    <row r="34883" spans="8:8">
      <c r="H34883" s="680" t="s">
        <v>6153</v>
      </c>
    </row>
    <row r="34884" spans="8:8">
      <c r="H34884" s="680" t="s">
        <v>6153</v>
      </c>
    </row>
    <row r="34885" spans="8:8">
      <c r="H34885" s="680" t="s">
        <v>6153</v>
      </c>
    </row>
    <row r="34886" spans="8:8">
      <c r="H34886" s="680" t="s">
        <v>6153</v>
      </c>
    </row>
    <row r="34887" spans="8:8">
      <c r="H34887" s="680" t="s">
        <v>6153</v>
      </c>
    </row>
    <row r="34888" spans="8:8">
      <c r="H34888" s="680" t="s">
        <v>6153</v>
      </c>
    </row>
    <row r="34889" spans="8:8">
      <c r="H34889" s="680" t="s">
        <v>6153</v>
      </c>
    </row>
    <row r="34890" spans="8:8">
      <c r="H34890" s="680" t="s">
        <v>6153</v>
      </c>
    </row>
    <row r="34891" spans="8:8">
      <c r="H34891" s="680" t="s">
        <v>6153</v>
      </c>
    </row>
    <row r="34892" spans="8:8">
      <c r="H34892" s="680" t="s">
        <v>6153</v>
      </c>
    </row>
    <row r="34893" spans="8:8">
      <c r="H34893" s="680" t="s">
        <v>6153</v>
      </c>
    </row>
    <row r="34894" spans="8:8">
      <c r="H34894" s="680" t="s">
        <v>6153</v>
      </c>
    </row>
    <row r="34895" spans="8:8">
      <c r="H34895" s="680" t="s">
        <v>6153</v>
      </c>
    </row>
    <row r="34896" spans="8:8">
      <c r="H34896" s="680" t="s">
        <v>6153</v>
      </c>
    </row>
    <row r="34897" spans="8:8">
      <c r="H34897" s="680" t="s">
        <v>6153</v>
      </c>
    </row>
    <row r="34898" spans="8:8">
      <c r="H34898" s="680" t="s">
        <v>6153</v>
      </c>
    </row>
    <row r="34899" spans="8:8">
      <c r="H34899" s="680" t="s">
        <v>6153</v>
      </c>
    </row>
    <row r="34900" spans="8:8">
      <c r="H34900" s="680" t="s">
        <v>6153</v>
      </c>
    </row>
    <row r="34901" spans="8:8">
      <c r="H34901" s="680" t="s">
        <v>6153</v>
      </c>
    </row>
    <row r="34902" spans="8:8">
      <c r="H34902" s="680" t="s">
        <v>6153</v>
      </c>
    </row>
    <row r="34903" spans="8:8">
      <c r="H34903" s="680" t="s">
        <v>6153</v>
      </c>
    </row>
    <row r="34904" spans="8:8">
      <c r="H34904" s="680" t="s">
        <v>6153</v>
      </c>
    </row>
    <row r="34905" spans="8:8">
      <c r="H34905" s="680" t="s">
        <v>6153</v>
      </c>
    </row>
    <row r="34906" spans="8:8">
      <c r="H34906" s="680" t="s">
        <v>6153</v>
      </c>
    </row>
    <row r="34907" spans="8:8">
      <c r="H34907" s="680" t="s">
        <v>6153</v>
      </c>
    </row>
    <row r="34908" spans="8:8">
      <c r="H34908" s="680" t="s">
        <v>6153</v>
      </c>
    </row>
    <row r="34909" spans="8:8">
      <c r="H34909" s="680" t="s">
        <v>6153</v>
      </c>
    </row>
    <row r="34910" spans="8:8">
      <c r="H34910" s="680" t="s">
        <v>6153</v>
      </c>
    </row>
    <row r="34911" spans="8:8">
      <c r="H34911" s="680" t="s">
        <v>6153</v>
      </c>
    </row>
    <row r="34912" spans="8:8">
      <c r="H34912" s="680" t="s">
        <v>6153</v>
      </c>
    </row>
    <row r="34913" spans="8:8">
      <c r="H34913" s="680" t="s">
        <v>6153</v>
      </c>
    </row>
    <row r="34914" spans="8:8">
      <c r="H34914" s="680" t="s">
        <v>6153</v>
      </c>
    </row>
    <row r="34915" spans="8:8">
      <c r="H34915" s="680" t="s">
        <v>6153</v>
      </c>
    </row>
    <row r="34916" spans="8:8">
      <c r="H34916" s="680" t="s">
        <v>6153</v>
      </c>
    </row>
    <row r="34917" spans="8:8">
      <c r="H34917" s="680" t="s">
        <v>6153</v>
      </c>
    </row>
    <row r="34918" spans="8:8">
      <c r="H34918" s="680" t="s">
        <v>6153</v>
      </c>
    </row>
    <row r="34919" spans="8:8">
      <c r="H34919" s="680" t="s">
        <v>6153</v>
      </c>
    </row>
    <row r="34920" spans="8:8">
      <c r="H34920" s="680" t="s">
        <v>6153</v>
      </c>
    </row>
    <row r="34921" spans="8:8">
      <c r="H34921" s="680" t="s">
        <v>6153</v>
      </c>
    </row>
    <row r="34922" spans="8:8">
      <c r="H34922" s="680" t="s">
        <v>6153</v>
      </c>
    </row>
    <row r="34923" spans="8:8">
      <c r="H34923" s="680" t="s">
        <v>6153</v>
      </c>
    </row>
    <row r="34924" spans="8:8">
      <c r="H34924" s="680" t="s">
        <v>6153</v>
      </c>
    </row>
    <row r="34925" spans="8:8">
      <c r="H34925" s="680" t="s">
        <v>6153</v>
      </c>
    </row>
    <row r="34926" spans="8:8">
      <c r="H34926" s="680" t="s">
        <v>6153</v>
      </c>
    </row>
    <row r="34927" spans="8:8">
      <c r="H34927" s="680" t="s">
        <v>6153</v>
      </c>
    </row>
    <row r="34928" spans="8:8">
      <c r="H34928" s="680" t="s">
        <v>6153</v>
      </c>
    </row>
    <row r="34929" spans="8:8">
      <c r="H34929" s="680" t="s">
        <v>6153</v>
      </c>
    </row>
    <row r="34930" spans="8:8">
      <c r="H34930" s="680" t="s">
        <v>6153</v>
      </c>
    </row>
    <row r="34931" spans="8:8">
      <c r="H34931" s="680" t="s">
        <v>6153</v>
      </c>
    </row>
    <row r="34932" spans="8:8">
      <c r="H34932" s="680" t="s">
        <v>6153</v>
      </c>
    </row>
    <row r="34933" spans="8:8">
      <c r="H34933" s="680" t="s">
        <v>6153</v>
      </c>
    </row>
    <row r="34934" spans="8:8">
      <c r="H34934" s="680" t="s">
        <v>6153</v>
      </c>
    </row>
    <row r="34935" spans="8:8">
      <c r="H34935" s="680" t="s">
        <v>6153</v>
      </c>
    </row>
    <row r="34936" spans="8:8">
      <c r="H34936" s="680" t="s">
        <v>6153</v>
      </c>
    </row>
    <row r="34937" spans="8:8">
      <c r="H34937" s="680" t="s">
        <v>6153</v>
      </c>
    </row>
    <row r="34938" spans="8:8">
      <c r="H34938" s="680" t="s">
        <v>6153</v>
      </c>
    </row>
    <row r="34939" spans="8:8">
      <c r="H34939" s="680" t="s">
        <v>6153</v>
      </c>
    </row>
    <row r="34940" spans="8:8">
      <c r="H34940" s="680" t="s">
        <v>6153</v>
      </c>
    </row>
    <row r="34941" spans="8:8">
      <c r="H34941" s="680" t="s">
        <v>6153</v>
      </c>
    </row>
    <row r="34942" spans="8:8">
      <c r="H34942" s="680" t="s">
        <v>6153</v>
      </c>
    </row>
    <row r="34943" spans="8:8">
      <c r="H34943" s="680" t="s">
        <v>6153</v>
      </c>
    </row>
    <row r="34944" spans="8:8">
      <c r="H34944" s="680" t="s">
        <v>6153</v>
      </c>
    </row>
    <row r="34945" spans="8:8">
      <c r="H34945" s="680" t="s">
        <v>6153</v>
      </c>
    </row>
    <row r="34946" spans="8:8">
      <c r="H34946" s="680" t="s">
        <v>6153</v>
      </c>
    </row>
    <row r="34947" spans="8:8">
      <c r="H34947" s="680" t="s">
        <v>6153</v>
      </c>
    </row>
    <row r="34948" spans="8:8">
      <c r="H34948" s="680" t="s">
        <v>6153</v>
      </c>
    </row>
    <row r="34949" spans="8:8">
      <c r="H34949" s="680" t="s">
        <v>6153</v>
      </c>
    </row>
    <row r="34950" spans="8:8">
      <c r="H34950" s="680" t="s">
        <v>6153</v>
      </c>
    </row>
    <row r="34951" spans="8:8">
      <c r="H34951" s="680" t="s">
        <v>6153</v>
      </c>
    </row>
    <row r="34952" spans="8:8">
      <c r="H34952" s="680" t="s">
        <v>6153</v>
      </c>
    </row>
    <row r="34953" spans="8:8">
      <c r="H34953" s="680" t="s">
        <v>6153</v>
      </c>
    </row>
    <row r="34954" spans="8:8">
      <c r="H34954" s="680" t="s">
        <v>6153</v>
      </c>
    </row>
    <row r="34955" spans="8:8">
      <c r="H34955" s="680" t="s">
        <v>6153</v>
      </c>
    </row>
    <row r="34956" spans="8:8">
      <c r="H34956" s="680" t="s">
        <v>6153</v>
      </c>
    </row>
    <row r="34957" spans="8:8">
      <c r="H34957" s="680" t="s">
        <v>6153</v>
      </c>
    </row>
    <row r="34958" spans="8:8">
      <c r="H34958" s="680" t="s">
        <v>6153</v>
      </c>
    </row>
    <row r="34959" spans="8:8">
      <c r="H34959" s="680" t="s">
        <v>6153</v>
      </c>
    </row>
    <row r="34960" spans="8:8">
      <c r="H34960" s="680" t="s">
        <v>6153</v>
      </c>
    </row>
    <row r="34961" spans="8:8">
      <c r="H34961" s="680" t="s">
        <v>6153</v>
      </c>
    </row>
    <row r="34962" spans="8:8">
      <c r="H34962" s="680" t="s">
        <v>6153</v>
      </c>
    </row>
    <row r="34963" spans="8:8">
      <c r="H34963" s="680" t="s">
        <v>6153</v>
      </c>
    </row>
    <row r="34964" spans="8:8">
      <c r="H34964" s="680" t="s">
        <v>6153</v>
      </c>
    </row>
    <row r="34965" spans="8:8">
      <c r="H34965" s="680" t="s">
        <v>6153</v>
      </c>
    </row>
    <row r="34966" spans="8:8">
      <c r="H34966" s="680" t="s">
        <v>6153</v>
      </c>
    </row>
    <row r="34967" spans="8:8">
      <c r="H34967" s="680" t="s">
        <v>6153</v>
      </c>
    </row>
    <row r="34968" spans="8:8">
      <c r="H34968" s="680" t="s">
        <v>6153</v>
      </c>
    </row>
    <row r="34969" spans="8:8">
      <c r="H34969" s="680" t="s">
        <v>6153</v>
      </c>
    </row>
    <row r="34970" spans="8:8">
      <c r="H34970" s="680" t="s">
        <v>6153</v>
      </c>
    </row>
    <row r="34971" spans="8:8">
      <c r="H34971" s="680" t="s">
        <v>6153</v>
      </c>
    </row>
    <row r="34972" spans="8:8">
      <c r="H34972" s="680" t="s">
        <v>6153</v>
      </c>
    </row>
    <row r="34973" spans="8:8">
      <c r="H34973" s="680" t="s">
        <v>6153</v>
      </c>
    </row>
    <row r="34974" spans="8:8">
      <c r="H34974" s="680" t="s">
        <v>6153</v>
      </c>
    </row>
    <row r="34975" spans="8:8">
      <c r="H34975" s="680" t="s">
        <v>6153</v>
      </c>
    </row>
    <row r="34976" spans="8:8">
      <c r="H34976" s="680" t="s">
        <v>6153</v>
      </c>
    </row>
    <row r="34977" spans="8:8">
      <c r="H34977" s="680" t="s">
        <v>6153</v>
      </c>
    </row>
    <row r="34978" spans="8:8">
      <c r="H34978" s="680" t="s">
        <v>6153</v>
      </c>
    </row>
    <row r="34979" spans="8:8">
      <c r="H34979" s="680" t="s">
        <v>6153</v>
      </c>
    </row>
    <row r="34980" spans="8:8">
      <c r="H34980" s="680" t="s">
        <v>6153</v>
      </c>
    </row>
    <row r="34981" spans="8:8">
      <c r="H34981" s="680" t="s">
        <v>6153</v>
      </c>
    </row>
    <row r="34982" spans="8:8">
      <c r="H34982" s="680" t="s">
        <v>6153</v>
      </c>
    </row>
    <row r="34983" spans="8:8">
      <c r="H34983" s="680" t="s">
        <v>6153</v>
      </c>
    </row>
    <row r="34984" spans="8:8">
      <c r="H34984" s="680" t="s">
        <v>6153</v>
      </c>
    </row>
    <row r="34985" spans="8:8">
      <c r="H34985" s="680" t="s">
        <v>6153</v>
      </c>
    </row>
    <row r="34986" spans="8:8">
      <c r="H34986" s="680" t="s">
        <v>6153</v>
      </c>
    </row>
    <row r="34987" spans="8:8">
      <c r="H34987" s="680" t="s">
        <v>6153</v>
      </c>
    </row>
    <row r="34988" spans="8:8">
      <c r="H34988" s="680" t="s">
        <v>6153</v>
      </c>
    </row>
    <row r="34989" spans="8:8">
      <c r="H34989" s="680" t="s">
        <v>6153</v>
      </c>
    </row>
    <row r="34990" spans="8:8">
      <c r="H34990" s="680" t="s">
        <v>6153</v>
      </c>
    </row>
    <row r="34991" spans="8:8">
      <c r="H34991" s="680" t="s">
        <v>6153</v>
      </c>
    </row>
    <row r="34992" spans="8:8">
      <c r="H34992" s="680" t="s">
        <v>6153</v>
      </c>
    </row>
    <row r="34993" spans="8:8">
      <c r="H34993" s="680" t="s">
        <v>6153</v>
      </c>
    </row>
    <row r="34994" spans="8:8">
      <c r="H34994" s="680" t="s">
        <v>6153</v>
      </c>
    </row>
    <row r="34995" spans="8:8">
      <c r="H34995" s="680" t="s">
        <v>6153</v>
      </c>
    </row>
    <row r="34996" spans="8:8">
      <c r="H34996" s="680" t="s">
        <v>6153</v>
      </c>
    </row>
    <row r="34997" spans="8:8">
      <c r="H34997" s="680" t="s">
        <v>6153</v>
      </c>
    </row>
    <row r="34998" spans="8:8">
      <c r="H34998" s="680" t="s">
        <v>6153</v>
      </c>
    </row>
    <row r="34999" spans="8:8">
      <c r="H34999" s="680" t="s">
        <v>6153</v>
      </c>
    </row>
    <row r="35000" spans="8:8">
      <c r="H35000" s="680" t="s">
        <v>6153</v>
      </c>
    </row>
    <row r="35001" spans="8:8">
      <c r="H35001" s="680" t="s">
        <v>6153</v>
      </c>
    </row>
    <row r="35002" spans="8:8">
      <c r="H35002" s="680" t="s">
        <v>6153</v>
      </c>
    </row>
    <row r="35003" spans="8:8">
      <c r="H35003" s="680" t="s">
        <v>6153</v>
      </c>
    </row>
    <row r="35004" spans="8:8">
      <c r="H35004" s="680" t="s">
        <v>6153</v>
      </c>
    </row>
    <row r="35005" spans="8:8">
      <c r="H35005" s="680" t="s">
        <v>6153</v>
      </c>
    </row>
    <row r="35006" spans="8:8">
      <c r="H35006" s="680" t="s">
        <v>6153</v>
      </c>
    </row>
    <row r="35007" spans="8:8">
      <c r="H35007" s="680" t="s">
        <v>6153</v>
      </c>
    </row>
    <row r="35008" spans="8:8">
      <c r="H35008" s="680" t="s">
        <v>6153</v>
      </c>
    </row>
    <row r="35009" spans="8:8">
      <c r="H35009" s="680" t="s">
        <v>6153</v>
      </c>
    </row>
    <row r="35010" spans="8:8">
      <c r="H35010" s="680" t="s">
        <v>6153</v>
      </c>
    </row>
    <row r="35011" spans="8:8">
      <c r="H35011" s="680" t="s">
        <v>6153</v>
      </c>
    </row>
    <row r="35012" spans="8:8">
      <c r="H35012" s="680" t="s">
        <v>6153</v>
      </c>
    </row>
    <row r="35013" spans="8:8">
      <c r="H35013" s="680" t="s">
        <v>6153</v>
      </c>
    </row>
    <row r="35014" spans="8:8">
      <c r="H35014" s="680" t="s">
        <v>6153</v>
      </c>
    </row>
    <row r="35015" spans="8:8">
      <c r="H35015" s="680" t="s">
        <v>6153</v>
      </c>
    </row>
    <row r="35016" spans="8:8">
      <c r="H35016" s="680" t="s">
        <v>6153</v>
      </c>
    </row>
    <row r="35017" spans="8:8">
      <c r="H35017" s="680" t="s">
        <v>6153</v>
      </c>
    </row>
    <row r="35018" spans="8:8">
      <c r="H35018" s="680" t="s">
        <v>6153</v>
      </c>
    </row>
    <row r="35019" spans="8:8">
      <c r="H35019" s="680" t="s">
        <v>6153</v>
      </c>
    </row>
    <row r="35020" spans="8:8">
      <c r="H35020" s="680" t="s">
        <v>6153</v>
      </c>
    </row>
    <row r="35021" spans="8:8">
      <c r="H35021" s="680" t="s">
        <v>6153</v>
      </c>
    </row>
    <row r="35022" spans="8:8">
      <c r="H35022" s="680" t="s">
        <v>6153</v>
      </c>
    </row>
    <row r="35023" spans="8:8">
      <c r="H35023" s="680" t="s">
        <v>6153</v>
      </c>
    </row>
    <row r="35024" spans="8:8">
      <c r="H35024" s="680" t="s">
        <v>6153</v>
      </c>
    </row>
    <row r="35025" spans="8:8">
      <c r="H35025" s="680" t="s">
        <v>6153</v>
      </c>
    </row>
    <row r="35026" spans="8:8">
      <c r="H35026" s="680" t="s">
        <v>6153</v>
      </c>
    </row>
    <row r="35027" spans="8:8">
      <c r="H35027" s="680" t="s">
        <v>6153</v>
      </c>
    </row>
    <row r="35028" spans="8:8">
      <c r="H35028" s="680" t="s">
        <v>6153</v>
      </c>
    </row>
    <row r="35029" spans="8:8">
      <c r="H35029" s="680" t="s">
        <v>6153</v>
      </c>
    </row>
    <row r="35030" spans="8:8">
      <c r="H35030" s="680" t="s">
        <v>6153</v>
      </c>
    </row>
    <row r="35031" spans="8:8">
      <c r="H35031" s="680" t="s">
        <v>6153</v>
      </c>
    </row>
    <row r="35032" spans="8:8">
      <c r="H35032" s="680" t="s">
        <v>6153</v>
      </c>
    </row>
    <row r="35033" spans="8:8">
      <c r="H35033" s="680" t="s">
        <v>6153</v>
      </c>
    </row>
    <row r="35034" spans="8:8">
      <c r="H35034" s="680" t="s">
        <v>6153</v>
      </c>
    </row>
    <row r="35035" spans="8:8">
      <c r="H35035" s="680" t="s">
        <v>6153</v>
      </c>
    </row>
    <row r="35036" spans="8:8">
      <c r="H35036" s="680" t="s">
        <v>6153</v>
      </c>
    </row>
    <row r="35037" spans="8:8">
      <c r="H35037" s="680" t="s">
        <v>6153</v>
      </c>
    </row>
    <row r="35038" spans="8:8">
      <c r="H35038" s="680" t="s">
        <v>6153</v>
      </c>
    </row>
    <row r="35039" spans="8:8">
      <c r="H35039" s="680" t="s">
        <v>6153</v>
      </c>
    </row>
    <row r="35040" spans="8:8">
      <c r="H35040" s="680" t="s">
        <v>6153</v>
      </c>
    </row>
    <row r="35041" spans="8:8">
      <c r="H35041" s="680" t="s">
        <v>6153</v>
      </c>
    </row>
    <row r="35042" spans="8:8">
      <c r="H35042" s="680" t="s">
        <v>6153</v>
      </c>
    </row>
    <row r="35043" spans="8:8">
      <c r="H35043" s="680" t="s">
        <v>6153</v>
      </c>
    </row>
    <row r="35044" spans="8:8">
      <c r="H35044" s="680" t="s">
        <v>6153</v>
      </c>
    </row>
    <row r="35045" spans="8:8">
      <c r="H35045" s="680" t="s">
        <v>6153</v>
      </c>
    </row>
    <row r="35046" spans="8:8">
      <c r="H35046" s="680" t="s">
        <v>6153</v>
      </c>
    </row>
    <row r="35047" spans="8:8">
      <c r="H35047" s="680" t="s">
        <v>6153</v>
      </c>
    </row>
    <row r="35048" spans="8:8">
      <c r="H35048" s="680" t="s">
        <v>6153</v>
      </c>
    </row>
    <row r="35049" spans="8:8">
      <c r="H35049" s="680" t="s">
        <v>6153</v>
      </c>
    </row>
    <row r="35050" spans="8:8">
      <c r="H35050" s="680" t="s">
        <v>6153</v>
      </c>
    </row>
    <row r="35051" spans="8:8">
      <c r="H35051" s="680" t="s">
        <v>6153</v>
      </c>
    </row>
    <row r="35052" spans="8:8">
      <c r="H35052" s="680" t="s">
        <v>6153</v>
      </c>
    </row>
    <row r="35053" spans="8:8">
      <c r="H35053" s="680" t="s">
        <v>6153</v>
      </c>
    </row>
    <row r="35054" spans="8:8">
      <c r="H35054" s="680" t="s">
        <v>6153</v>
      </c>
    </row>
    <row r="35055" spans="8:8">
      <c r="H35055" s="680" t="s">
        <v>6153</v>
      </c>
    </row>
    <row r="35056" spans="8:8">
      <c r="H35056" s="680" t="s">
        <v>6153</v>
      </c>
    </row>
    <row r="35057" spans="8:8">
      <c r="H35057" s="680" t="s">
        <v>6153</v>
      </c>
    </row>
    <row r="35058" spans="8:8">
      <c r="H35058" s="680" t="s">
        <v>6153</v>
      </c>
    </row>
    <row r="35059" spans="8:8">
      <c r="H35059" s="680" t="s">
        <v>6153</v>
      </c>
    </row>
    <row r="35060" spans="8:8">
      <c r="H35060" s="680" t="s">
        <v>6153</v>
      </c>
    </row>
    <row r="35061" spans="8:8">
      <c r="H35061" s="680" t="s">
        <v>6153</v>
      </c>
    </row>
    <row r="35062" spans="8:8">
      <c r="H35062" s="680" t="s">
        <v>6153</v>
      </c>
    </row>
    <row r="35063" spans="8:8">
      <c r="H35063" s="680" t="s">
        <v>6153</v>
      </c>
    </row>
    <row r="35064" spans="8:8">
      <c r="H35064" s="680" t="s">
        <v>6153</v>
      </c>
    </row>
    <row r="35065" spans="8:8">
      <c r="H35065" s="680" t="s">
        <v>6153</v>
      </c>
    </row>
    <row r="35066" spans="8:8">
      <c r="H35066" s="680" t="s">
        <v>6153</v>
      </c>
    </row>
    <row r="35067" spans="8:8">
      <c r="H35067" s="680" t="s">
        <v>6153</v>
      </c>
    </row>
    <row r="35068" spans="8:8">
      <c r="H35068" s="680" t="s">
        <v>6153</v>
      </c>
    </row>
    <row r="35069" spans="8:8">
      <c r="H35069" s="680" t="s">
        <v>6153</v>
      </c>
    </row>
    <row r="35070" spans="8:8">
      <c r="H35070" s="680" t="s">
        <v>6153</v>
      </c>
    </row>
    <row r="35071" spans="8:8">
      <c r="H35071" s="680" t="s">
        <v>6153</v>
      </c>
    </row>
    <row r="35072" spans="8:8">
      <c r="H35072" s="680" t="s">
        <v>6153</v>
      </c>
    </row>
    <row r="35073" spans="8:8">
      <c r="H35073" s="680" t="s">
        <v>6153</v>
      </c>
    </row>
    <row r="35074" spans="8:8">
      <c r="H35074" s="680" t="s">
        <v>6153</v>
      </c>
    </row>
    <row r="35075" spans="8:8">
      <c r="H35075" s="680" t="s">
        <v>6153</v>
      </c>
    </row>
    <row r="35076" spans="8:8">
      <c r="H35076" s="680" t="s">
        <v>6153</v>
      </c>
    </row>
    <row r="35077" spans="8:8">
      <c r="H35077" s="680" t="s">
        <v>6153</v>
      </c>
    </row>
    <row r="35078" spans="8:8">
      <c r="H35078" s="680" t="s">
        <v>6153</v>
      </c>
    </row>
    <row r="35079" spans="8:8">
      <c r="H35079" s="680" t="s">
        <v>6153</v>
      </c>
    </row>
    <row r="35080" spans="8:8">
      <c r="H35080" s="680" t="s">
        <v>6153</v>
      </c>
    </row>
    <row r="35081" spans="8:8">
      <c r="H35081" s="680" t="s">
        <v>6153</v>
      </c>
    </row>
    <row r="35082" spans="8:8">
      <c r="H35082" s="680" t="s">
        <v>6153</v>
      </c>
    </row>
    <row r="35083" spans="8:8">
      <c r="H35083" s="680" t="s">
        <v>6153</v>
      </c>
    </row>
    <row r="35084" spans="8:8">
      <c r="H35084" s="680" t="s">
        <v>6153</v>
      </c>
    </row>
    <row r="35085" spans="8:8">
      <c r="H35085" s="680" t="s">
        <v>6153</v>
      </c>
    </row>
    <row r="35086" spans="8:8">
      <c r="H35086" s="680" t="s">
        <v>6153</v>
      </c>
    </row>
    <row r="35087" spans="8:8">
      <c r="H35087" s="680" t="s">
        <v>6153</v>
      </c>
    </row>
    <row r="35088" spans="8:8">
      <c r="H35088" s="680" t="s">
        <v>6153</v>
      </c>
    </row>
    <row r="35089" spans="8:8">
      <c r="H35089" s="680" t="s">
        <v>6153</v>
      </c>
    </row>
    <row r="35090" spans="8:8">
      <c r="H35090" s="680" t="s">
        <v>6153</v>
      </c>
    </row>
    <row r="35091" spans="8:8">
      <c r="H35091" s="680" t="s">
        <v>6153</v>
      </c>
    </row>
    <row r="35092" spans="8:8">
      <c r="H35092" s="680" t="s">
        <v>6153</v>
      </c>
    </row>
    <row r="35093" spans="8:8">
      <c r="H35093" s="680" t="s">
        <v>6153</v>
      </c>
    </row>
    <row r="35094" spans="8:8">
      <c r="H35094" s="680" t="s">
        <v>6153</v>
      </c>
    </row>
    <row r="35095" spans="8:8">
      <c r="H35095" s="680" t="s">
        <v>6153</v>
      </c>
    </row>
    <row r="35096" spans="8:8">
      <c r="H35096" s="680" t="s">
        <v>6153</v>
      </c>
    </row>
    <row r="35097" spans="8:8">
      <c r="H35097" s="680" t="s">
        <v>6153</v>
      </c>
    </row>
    <row r="35098" spans="8:8">
      <c r="H35098" s="680" t="s">
        <v>6153</v>
      </c>
    </row>
    <row r="35099" spans="8:8">
      <c r="H35099" s="680" t="s">
        <v>6153</v>
      </c>
    </row>
    <row r="35100" spans="8:8">
      <c r="H35100" s="680" t="s">
        <v>6153</v>
      </c>
    </row>
    <row r="35101" spans="8:8">
      <c r="H35101" s="680" t="s">
        <v>6153</v>
      </c>
    </row>
    <row r="35102" spans="8:8">
      <c r="H35102" s="680" t="s">
        <v>6153</v>
      </c>
    </row>
    <row r="35103" spans="8:8">
      <c r="H35103" s="680" t="s">
        <v>6153</v>
      </c>
    </row>
    <row r="35104" spans="8:8">
      <c r="H35104" s="680" t="s">
        <v>6153</v>
      </c>
    </row>
    <row r="35105" spans="8:8">
      <c r="H35105" s="680" t="s">
        <v>6153</v>
      </c>
    </row>
    <row r="35106" spans="8:8">
      <c r="H35106" s="680" t="s">
        <v>6153</v>
      </c>
    </row>
    <row r="35107" spans="8:8">
      <c r="H35107" s="680" t="s">
        <v>6153</v>
      </c>
    </row>
    <row r="35108" spans="8:8">
      <c r="H35108" s="680" t="s">
        <v>6153</v>
      </c>
    </row>
    <row r="35109" spans="8:8">
      <c r="H35109" s="680" t="s">
        <v>6153</v>
      </c>
    </row>
    <row r="35110" spans="8:8">
      <c r="H35110" s="680" t="s">
        <v>6153</v>
      </c>
    </row>
    <row r="35111" spans="8:8">
      <c r="H35111" s="680" t="s">
        <v>6153</v>
      </c>
    </row>
    <row r="35112" spans="8:8">
      <c r="H35112" s="680" t="s">
        <v>6153</v>
      </c>
    </row>
    <row r="35113" spans="8:8">
      <c r="H35113" s="680" t="s">
        <v>6153</v>
      </c>
    </row>
    <row r="35114" spans="8:8">
      <c r="H35114" s="680" t="s">
        <v>6153</v>
      </c>
    </row>
    <row r="35115" spans="8:8">
      <c r="H35115" s="680" t="s">
        <v>6153</v>
      </c>
    </row>
    <row r="35116" spans="8:8">
      <c r="H35116" s="680" t="s">
        <v>6153</v>
      </c>
    </row>
    <row r="35117" spans="8:8">
      <c r="H35117" s="680" t="s">
        <v>6153</v>
      </c>
    </row>
    <row r="35118" spans="8:8">
      <c r="H35118" s="680" t="s">
        <v>6153</v>
      </c>
    </row>
    <row r="35119" spans="8:8">
      <c r="H35119" s="680" t="s">
        <v>6153</v>
      </c>
    </row>
    <row r="35120" spans="8:8">
      <c r="H35120" s="680" t="s">
        <v>6153</v>
      </c>
    </row>
    <row r="35121" spans="8:8">
      <c r="H35121" s="680" t="s">
        <v>6153</v>
      </c>
    </row>
    <row r="35122" spans="8:8">
      <c r="H35122" s="680" t="s">
        <v>6153</v>
      </c>
    </row>
    <row r="35123" spans="8:8">
      <c r="H35123" s="680" t="s">
        <v>6153</v>
      </c>
    </row>
    <row r="35124" spans="8:8">
      <c r="H35124" s="680" t="s">
        <v>6153</v>
      </c>
    </row>
    <row r="35125" spans="8:8">
      <c r="H35125" s="680" t="s">
        <v>6153</v>
      </c>
    </row>
    <row r="35126" spans="8:8">
      <c r="H35126" s="680" t="s">
        <v>6153</v>
      </c>
    </row>
    <row r="35127" spans="8:8">
      <c r="H35127" s="680" t="s">
        <v>6153</v>
      </c>
    </row>
    <row r="35128" spans="8:8">
      <c r="H35128" s="680" t="s">
        <v>6153</v>
      </c>
    </row>
    <row r="35129" spans="8:8">
      <c r="H35129" s="680" t="s">
        <v>6153</v>
      </c>
    </row>
    <row r="35130" spans="8:8">
      <c r="H35130" s="680" t="s">
        <v>6153</v>
      </c>
    </row>
    <row r="35131" spans="8:8">
      <c r="H35131" s="680" t="s">
        <v>6153</v>
      </c>
    </row>
    <row r="35132" spans="8:8">
      <c r="H35132" s="680" t="s">
        <v>6153</v>
      </c>
    </row>
    <row r="35133" spans="8:8">
      <c r="H35133" s="680" t="s">
        <v>6153</v>
      </c>
    </row>
    <row r="35134" spans="8:8">
      <c r="H35134" s="680" t="s">
        <v>6153</v>
      </c>
    </row>
    <row r="35135" spans="8:8">
      <c r="H35135" s="680" t="s">
        <v>6153</v>
      </c>
    </row>
    <row r="35136" spans="8:8">
      <c r="H35136" s="680" t="s">
        <v>6153</v>
      </c>
    </row>
    <row r="35137" spans="8:8">
      <c r="H35137" s="680" t="s">
        <v>6153</v>
      </c>
    </row>
    <row r="35138" spans="8:8">
      <c r="H35138" s="680" t="s">
        <v>6153</v>
      </c>
    </row>
    <row r="35139" spans="8:8">
      <c r="H35139" s="680" t="s">
        <v>6153</v>
      </c>
    </row>
    <row r="35140" spans="8:8">
      <c r="H35140" s="680" t="s">
        <v>6153</v>
      </c>
    </row>
    <row r="35141" spans="8:8">
      <c r="H35141" s="680" t="s">
        <v>6153</v>
      </c>
    </row>
    <row r="35142" spans="8:8">
      <c r="H35142" s="680" t="s">
        <v>6153</v>
      </c>
    </row>
    <row r="35143" spans="8:8">
      <c r="H35143" s="680" t="s">
        <v>6153</v>
      </c>
    </row>
    <row r="35144" spans="8:8">
      <c r="H35144" s="680" t="s">
        <v>6153</v>
      </c>
    </row>
    <row r="35145" spans="8:8">
      <c r="H35145" s="680" t="s">
        <v>6153</v>
      </c>
    </row>
    <row r="35146" spans="8:8">
      <c r="H35146" s="680" t="s">
        <v>6153</v>
      </c>
    </row>
    <row r="35147" spans="8:8">
      <c r="H35147" s="680" t="s">
        <v>6153</v>
      </c>
    </row>
    <row r="35148" spans="8:8">
      <c r="H35148" s="680" t="s">
        <v>6153</v>
      </c>
    </row>
    <row r="35149" spans="8:8">
      <c r="H35149" s="680" t="s">
        <v>6153</v>
      </c>
    </row>
    <row r="35150" spans="8:8">
      <c r="H35150" s="680" t="s">
        <v>6153</v>
      </c>
    </row>
    <row r="35151" spans="8:8">
      <c r="H35151" s="680" t="s">
        <v>6153</v>
      </c>
    </row>
    <row r="35152" spans="8:8">
      <c r="H35152" s="680" t="s">
        <v>6153</v>
      </c>
    </row>
    <row r="35153" spans="8:8">
      <c r="H35153" s="680" t="s">
        <v>6153</v>
      </c>
    </row>
    <row r="35154" spans="8:8">
      <c r="H35154" s="680" t="s">
        <v>6153</v>
      </c>
    </row>
    <row r="35155" spans="8:8">
      <c r="H35155" s="680" t="s">
        <v>6153</v>
      </c>
    </row>
    <row r="35156" spans="8:8">
      <c r="H35156" s="680" t="s">
        <v>6153</v>
      </c>
    </row>
    <row r="35157" spans="8:8">
      <c r="H35157" s="680" t="s">
        <v>6153</v>
      </c>
    </row>
    <row r="35158" spans="8:8">
      <c r="H35158" s="680" t="s">
        <v>6153</v>
      </c>
    </row>
    <row r="35159" spans="8:8">
      <c r="H35159" s="680" t="s">
        <v>6153</v>
      </c>
    </row>
    <row r="35160" spans="8:8">
      <c r="H35160" s="680" t="s">
        <v>6153</v>
      </c>
    </row>
    <row r="35161" spans="8:8">
      <c r="H35161" s="680" t="s">
        <v>6153</v>
      </c>
    </row>
    <row r="35162" spans="8:8">
      <c r="H35162" s="680" t="s">
        <v>6153</v>
      </c>
    </row>
    <row r="35163" spans="8:8">
      <c r="H35163" s="680" t="s">
        <v>6153</v>
      </c>
    </row>
    <row r="35164" spans="8:8">
      <c r="H35164" s="680" t="s">
        <v>6153</v>
      </c>
    </row>
    <row r="35165" spans="8:8">
      <c r="H35165" s="680" t="s">
        <v>6153</v>
      </c>
    </row>
    <row r="35166" spans="8:8">
      <c r="H35166" s="680" t="s">
        <v>6153</v>
      </c>
    </row>
    <row r="35167" spans="8:8">
      <c r="H35167" s="680" t="s">
        <v>6153</v>
      </c>
    </row>
    <row r="35168" spans="8:8">
      <c r="H35168" s="680" t="s">
        <v>6153</v>
      </c>
    </row>
    <row r="35169" spans="8:8">
      <c r="H35169" s="680" t="s">
        <v>6153</v>
      </c>
    </row>
    <row r="35170" spans="8:8">
      <c r="H35170" s="680" t="s">
        <v>6153</v>
      </c>
    </row>
    <row r="35171" spans="8:8">
      <c r="H35171" s="680" t="s">
        <v>6153</v>
      </c>
    </row>
    <row r="35172" spans="8:8">
      <c r="H35172" s="680" t="s">
        <v>6153</v>
      </c>
    </row>
    <row r="35173" spans="8:8">
      <c r="H35173" s="680" t="s">
        <v>6153</v>
      </c>
    </row>
    <row r="35174" spans="8:8">
      <c r="H35174" s="680" t="s">
        <v>6153</v>
      </c>
    </row>
    <row r="35175" spans="8:8">
      <c r="H35175" s="680" t="s">
        <v>6153</v>
      </c>
    </row>
    <row r="35176" spans="8:8">
      <c r="H35176" s="680" t="s">
        <v>6153</v>
      </c>
    </row>
    <row r="35177" spans="8:8">
      <c r="H35177" s="680" t="s">
        <v>6153</v>
      </c>
    </row>
    <row r="35178" spans="8:8">
      <c r="H35178" s="680" t="s">
        <v>6153</v>
      </c>
    </row>
    <row r="35179" spans="8:8">
      <c r="H35179" s="680" t="s">
        <v>6153</v>
      </c>
    </row>
    <row r="35180" spans="8:8">
      <c r="H35180" s="680" t="s">
        <v>6153</v>
      </c>
    </row>
    <row r="35181" spans="8:8">
      <c r="H35181" s="680" t="s">
        <v>6153</v>
      </c>
    </row>
    <row r="35182" spans="8:8">
      <c r="H35182" s="680" t="s">
        <v>6153</v>
      </c>
    </row>
    <row r="35183" spans="8:8">
      <c r="H35183" s="680" t="s">
        <v>6153</v>
      </c>
    </row>
    <row r="35184" spans="8:8">
      <c r="H35184" s="680" t="s">
        <v>6153</v>
      </c>
    </row>
    <row r="35185" spans="8:8">
      <c r="H35185" s="680" t="s">
        <v>6153</v>
      </c>
    </row>
    <row r="35186" spans="8:8">
      <c r="H35186" s="680" t="s">
        <v>6153</v>
      </c>
    </row>
    <row r="35187" spans="8:8">
      <c r="H35187" s="680" t="s">
        <v>6153</v>
      </c>
    </row>
    <row r="35188" spans="8:8">
      <c r="H35188" s="680" t="s">
        <v>6153</v>
      </c>
    </row>
    <row r="35189" spans="8:8">
      <c r="H35189" s="680" t="s">
        <v>6153</v>
      </c>
    </row>
    <row r="35190" spans="8:8">
      <c r="H35190" s="680" t="s">
        <v>6153</v>
      </c>
    </row>
    <row r="35191" spans="8:8">
      <c r="H35191" s="680" t="s">
        <v>6153</v>
      </c>
    </row>
    <row r="35192" spans="8:8">
      <c r="H35192" s="680" t="s">
        <v>6153</v>
      </c>
    </row>
    <row r="35193" spans="8:8">
      <c r="H35193" s="680" t="s">
        <v>6153</v>
      </c>
    </row>
    <row r="35194" spans="8:8">
      <c r="H35194" s="680" t="s">
        <v>6153</v>
      </c>
    </row>
    <row r="35195" spans="8:8">
      <c r="H35195" s="680" t="s">
        <v>6153</v>
      </c>
    </row>
    <row r="35196" spans="8:8">
      <c r="H35196" s="680" t="s">
        <v>6153</v>
      </c>
    </row>
    <row r="35197" spans="8:8">
      <c r="H35197" s="680" t="s">
        <v>6153</v>
      </c>
    </row>
    <row r="35198" spans="8:8">
      <c r="H35198" s="680" t="s">
        <v>6153</v>
      </c>
    </row>
    <row r="35199" spans="8:8">
      <c r="H35199" s="680" t="s">
        <v>6153</v>
      </c>
    </row>
    <row r="35200" spans="8:8">
      <c r="H35200" s="680" t="s">
        <v>6153</v>
      </c>
    </row>
    <row r="35201" spans="8:8">
      <c r="H35201" s="680" t="s">
        <v>6153</v>
      </c>
    </row>
    <row r="35202" spans="8:8">
      <c r="H35202" s="680" t="s">
        <v>6153</v>
      </c>
    </row>
    <row r="35203" spans="8:8">
      <c r="H35203" s="680" t="s">
        <v>6153</v>
      </c>
    </row>
    <row r="35204" spans="8:8">
      <c r="H35204" s="680" t="s">
        <v>6153</v>
      </c>
    </row>
    <row r="35205" spans="8:8">
      <c r="H35205" s="680" t="s">
        <v>6153</v>
      </c>
    </row>
    <row r="35206" spans="8:8">
      <c r="H35206" s="680" t="s">
        <v>6153</v>
      </c>
    </row>
    <row r="35207" spans="8:8">
      <c r="H35207" s="680" t="s">
        <v>6153</v>
      </c>
    </row>
    <row r="35208" spans="8:8">
      <c r="H35208" s="680" t="s">
        <v>6153</v>
      </c>
    </row>
    <row r="35209" spans="8:8">
      <c r="H35209" s="680" t="s">
        <v>6153</v>
      </c>
    </row>
    <row r="35210" spans="8:8">
      <c r="H35210" s="680" t="s">
        <v>6153</v>
      </c>
    </row>
    <row r="35211" spans="8:8">
      <c r="H35211" s="680" t="s">
        <v>6153</v>
      </c>
    </row>
    <row r="35212" spans="8:8">
      <c r="H35212" s="680" t="s">
        <v>6153</v>
      </c>
    </row>
    <row r="35213" spans="8:8">
      <c r="H35213" s="680" t="s">
        <v>6153</v>
      </c>
    </row>
    <row r="35214" spans="8:8">
      <c r="H35214" s="680" t="s">
        <v>6153</v>
      </c>
    </row>
    <row r="35215" spans="8:8">
      <c r="H35215" s="680" t="s">
        <v>6153</v>
      </c>
    </row>
    <row r="35216" spans="8:8">
      <c r="H35216" s="680" t="s">
        <v>6153</v>
      </c>
    </row>
    <row r="35217" spans="8:8">
      <c r="H35217" s="680" t="s">
        <v>6153</v>
      </c>
    </row>
    <row r="35218" spans="8:8">
      <c r="H35218" s="680" t="s">
        <v>6153</v>
      </c>
    </row>
    <row r="35219" spans="8:8">
      <c r="H35219" s="680" t="s">
        <v>6153</v>
      </c>
    </row>
    <row r="35220" spans="8:8">
      <c r="H35220" s="680" t="s">
        <v>6153</v>
      </c>
    </row>
    <row r="35221" spans="8:8">
      <c r="H35221" s="680" t="s">
        <v>6153</v>
      </c>
    </row>
    <row r="35222" spans="8:8">
      <c r="H35222" s="680" t="s">
        <v>6153</v>
      </c>
    </row>
    <row r="35223" spans="8:8">
      <c r="H35223" s="680" t="s">
        <v>6153</v>
      </c>
    </row>
    <row r="35224" spans="8:8">
      <c r="H35224" s="680" t="s">
        <v>6153</v>
      </c>
    </row>
    <row r="35225" spans="8:8">
      <c r="H35225" s="680" t="s">
        <v>6153</v>
      </c>
    </row>
    <row r="35226" spans="8:8">
      <c r="H35226" s="680" t="s">
        <v>6153</v>
      </c>
    </row>
    <row r="35227" spans="8:8">
      <c r="H35227" s="680" t="s">
        <v>6153</v>
      </c>
    </row>
    <row r="35228" spans="8:8">
      <c r="H35228" s="680" t="s">
        <v>6153</v>
      </c>
    </row>
    <row r="35229" spans="8:8">
      <c r="H35229" s="680" t="s">
        <v>6153</v>
      </c>
    </row>
    <row r="35230" spans="8:8">
      <c r="H35230" s="680" t="s">
        <v>6153</v>
      </c>
    </row>
    <row r="35231" spans="8:8">
      <c r="H35231" s="680" t="s">
        <v>6153</v>
      </c>
    </row>
    <row r="35232" spans="8:8">
      <c r="H35232" s="680" t="s">
        <v>6153</v>
      </c>
    </row>
    <row r="35233" spans="8:8">
      <c r="H35233" s="680" t="s">
        <v>6153</v>
      </c>
    </row>
    <row r="35234" spans="8:8">
      <c r="H35234" s="680" t="s">
        <v>6153</v>
      </c>
    </row>
    <row r="35235" spans="8:8">
      <c r="H35235" s="680" t="s">
        <v>6153</v>
      </c>
    </row>
    <row r="35236" spans="8:8">
      <c r="H35236" s="680" t="s">
        <v>6153</v>
      </c>
    </row>
    <row r="35237" spans="8:8">
      <c r="H35237" s="680" t="s">
        <v>6153</v>
      </c>
    </row>
    <row r="35238" spans="8:8">
      <c r="H35238" s="680" t="s">
        <v>6153</v>
      </c>
    </row>
    <row r="35239" spans="8:8">
      <c r="H35239" s="680" t="s">
        <v>6153</v>
      </c>
    </row>
    <row r="35240" spans="8:8">
      <c r="H35240" s="680" t="s">
        <v>6153</v>
      </c>
    </row>
    <row r="35241" spans="8:8">
      <c r="H35241" s="680" t="s">
        <v>6153</v>
      </c>
    </row>
    <row r="35242" spans="8:8">
      <c r="H35242" s="680" t="s">
        <v>6153</v>
      </c>
    </row>
    <row r="35243" spans="8:8">
      <c r="H35243" s="680" t="s">
        <v>6153</v>
      </c>
    </row>
    <row r="35244" spans="8:8">
      <c r="H35244" s="680" t="s">
        <v>6153</v>
      </c>
    </row>
    <row r="35245" spans="8:8">
      <c r="H35245" s="680" t="s">
        <v>6153</v>
      </c>
    </row>
    <row r="35246" spans="8:8">
      <c r="H35246" s="680" t="s">
        <v>6153</v>
      </c>
    </row>
    <row r="35247" spans="8:8">
      <c r="H35247" s="680" t="s">
        <v>6153</v>
      </c>
    </row>
    <row r="35248" spans="8:8">
      <c r="H35248" s="680" t="s">
        <v>6153</v>
      </c>
    </row>
    <row r="35249" spans="8:8">
      <c r="H35249" s="680" t="s">
        <v>6153</v>
      </c>
    </row>
    <row r="35250" spans="8:8">
      <c r="H35250" s="680" t="s">
        <v>6153</v>
      </c>
    </row>
    <row r="35251" spans="8:8">
      <c r="H35251" s="680" t="s">
        <v>6153</v>
      </c>
    </row>
    <row r="35252" spans="8:8">
      <c r="H35252" s="680" t="s">
        <v>6153</v>
      </c>
    </row>
    <row r="35253" spans="8:8">
      <c r="H35253" s="680" t="s">
        <v>6153</v>
      </c>
    </row>
    <row r="35254" spans="8:8">
      <c r="H35254" s="680" t="s">
        <v>6153</v>
      </c>
    </row>
    <row r="35255" spans="8:8">
      <c r="H35255" s="680" t="s">
        <v>6153</v>
      </c>
    </row>
    <row r="35256" spans="8:8">
      <c r="H35256" s="680" t="s">
        <v>6153</v>
      </c>
    </row>
    <row r="35257" spans="8:8">
      <c r="H35257" s="680" t="s">
        <v>6153</v>
      </c>
    </row>
    <row r="35258" spans="8:8">
      <c r="H35258" s="680" t="s">
        <v>6153</v>
      </c>
    </row>
    <row r="35259" spans="8:8">
      <c r="H35259" s="680" t="s">
        <v>6153</v>
      </c>
    </row>
    <row r="35260" spans="8:8">
      <c r="H35260" s="680" t="s">
        <v>6153</v>
      </c>
    </row>
    <row r="35261" spans="8:8">
      <c r="H35261" s="680" t="s">
        <v>6153</v>
      </c>
    </row>
    <row r="35262" spans="8:8">
      <c r="H35262" s="680" t="s">
        <v>6153</v>
      </c>
    </row>
    <row r="35263" spans="8:8">
      <c r="H35263" s="680" t="s">
        <v>6153</v>
      </c>
    </row>
    <row r="35264" spans="8:8">
      <c r="H35264" s="680" t="s">
        <v>6153</v>
      </c>
    </row>
    <row r="35265" spans="8:8">
      <c r="H35265" s="680" t="s">
        <v>6153</v>
      </c>
    </row>
    <row r="35266" spans="8:8">
      <c r="H35266" s="680" t="s">
        <v>6153</v>
      </c>
    </row>
    <row r="35267" spans="8:8">
      <c r="H35267" s="680" t="s">
        <v>6153</v>
      </c>
    </row>
    <row r="35268" spans="8:8">
      <c r="H35268" s="680" t="s">
        <v>6153</v>
      </c>
    </row>
    <row r="35269" spans="8:8">
      <c r="H35269" s="680" t="s">
        <v>6153</v>
      </c>
    </row>
    <row r="35270" spans="8:8">
      <c r="H35270" s="680" t="s">
        <v>6153</v>
      </c>
    </row>
    <row r="35271" spans="8:8">
      <c r="H35271" s="680" t="s">
        <v>6153</v>
      </c>
    </row>
    <row r="35272" spans="8:8">
      <c r="H35272" s="680" t="s">
        <v>6153</v>
      </c>
    </row>
    <row r="35273" spans="8:8">
      <c r="H35273" s="680" t="s">
        <v>6153</v>
      </c>
    </row>
    <row r="35274" spans="8:8">
      <c r="H35274" s="680" t="s">
        <v>6153</v>
      </c>
    </row>
    <row r="35275" spans="8:8">
      <c r="H35275" s="680" t="s">
        <v>6153</v>
      </c>
    </row>
    <row r="35276" spans="8:8">
      <c r="H35276" s="680" t="s">
        <v>6153</v>
      </c>
    </row>
    <row r="35277" spans="8:8">
      <c r="H35277" s="680" t="s">
        <v>6153</v>
      </c>
    </row>
    <row r="35278" spans="8:8">
      <c r="H35278" s="680" t="s">
        <v>6153</v>
      </c>
    </row>
    <row r="35279" spans="8:8">
      <c r="H35279" s="680" t="s">
        <v>6153</v>
      </c>
    </row>
    <row r="35280" spans="8:8">
      <c r="H35280" s="680" t="s">
        <v>6153</v>
      </c>
    </row>
    <row r="35281" spans="8:8">
      <c r="H35281" s="680" t="s">
        <v>6153</v>
      </c>
    </row>
    <row r="35282" spans="8:8">
      <c r="H35282" s="680" t="s">
        <v>6153</v>
      </c>
    </row>
    <row r="35283" spans="8:8">
      <c r="H35283" s="680" t="s">
        <v>6153</v>
      </c>
    </row>
    <row r="35284" spans="8:8">
      <c r="H35284" s="680" t="s">
        <v>6153</v>
      </c>
    </row>
    <row r="35285" spans="8:8">
      <c r="H35285" s="680" t="s">
        <v>6153</v>
      </c>
    </row>
    <row r="35286" spans="8:8">
      <c r="H35286" s="680" t="s">
        <v>6153</v>
      </c>
    </row>
    <row r="35287" spans="8:8">
      <c r="H35287" s="680" t="s">
        <v>6153</v>
      </c>
    </row>
    <row r="35288" spans="8:8">
      <c r="H35288" s="680" t="s">
        <v>6153</v>
      </c>
    </row>
    <row r="35289" spans="8:8">
      <c r="H35289" s="680" t="s">
        <v>6153</v>
      </c>
    </row>
    <row r="35290" spans="8:8">
      <c r="H35290" s="680" t="s">
        <v>6153</v>
      </c>
    </row>
    <row r="35291" spans="8:8">
      <c r="H35291" s="680" t="s">
        <v>6153</v>
      </c>
    </row>
    <row r="35292" spans="8:8">
      <c r="H35292" s="680" t="s">
        <v>6153</v>
      </c>
    </row>
    <row r="35293" spans="8:8">
      <c r="H35293" s="680" t="s">
        <v>6153</v>
      </c>
    </row>
    <row r="35294" spans="8:8">
      <c r="H35294" s="680" t="s">
        <v>6153</v>
      </c>
    </row>
    <row r="35295" spans="8:8">
      <c r="H35295" s="680" t="s">
        <v>6153</v>
      </c>
    </row>
    <row r="35296" spans="8:8">
      <c r="H35296" s="680" t="s">
        <v>6153</v>
      </c>
    </row>
    <row r="35297" spans="8:8">
      <c r="H35297" s="680" t="s">
        <v>6153</v>
      </c>
    </row>
    <row r="35298" spans="8:8">
      <c r="H35298" s="680" t="s">
        <v>6153</v>
      </c>
    </row>
    <row r="35299" spans="8:8">
      <c r="H35299" s="680" t="s">
        <v>6153</v>
      </c>
    </row>
    <row r="35300" spans="8:8">
      <c r="H35300" s="680" t="s">
        <v>6153</v>
      </c>
    </row>
    <row r="35301" spans="8:8">
      <c r="H35301" s="680" t="s">
        <v>6153</v>
      </c>
    </row>
    <row r="35302" spans="8:8">
      <c r="H35302" s="680" t="s">
        <v>6153</v>
      </c>
    </row>
    <row r="35303" spans="8:8">
      <c r="H35303" s="680" t="s">
        <v>6153</v>
      </c>
    </row>
    <row r="35304" spans="8:8">
      <c r="H35304" s="680" t="s">
        <v>6153</v>
      </c>
    </row>
    <row r="35305" spans="8:8">
      <c r="H35305" s="680" t="s">
        <v>6153</v>
      </c>
    </row>
    <row r="35306" spans="8:8">
      <c r="H35306" s="680" t="s">
        <v>6153</v>
      </c>
    </row>
    <row r="35307" spans="8:8">
      <c r="H35307" s="680" t="s">
        <v>6153</v>
      </c>
    </row>
    <row r="35308" spans="8:8">
      <c r="H35308" s="680" t="s">
        <v>6153</v>
      </c>
    </row>
    <row r="35309" spans="8:8">
      <c r="H35309" s="680" t="s">
        <v>6153</v>
      </c>
    </row>
    <row r="35310" spans="8:8">
      <c r="H35310" s="680" t="s">
        <v>6153</v>
      </c>
    </row>
    <row r="35311" spans="8:8">
      <c r="H35311" s="680" t="s">
        <v>6153</v>
      </c>
    </row>
    <row r="35312" spans="8:8">
      <c r="H35312" s="680" t="s">
        <v>6153</v>
      </c>
    </row>
    <row r="35313" spans="8:8">
      <c r="H35313" s="680" t="s">
        <v>6153</v>
      </c>
    </row>
    <row r="35314" spans="8:8">
      <c r="H35314" s="680" t="s">
        <v>6153</v>
      </c>
    </row>
    <row r="35315" spans="8:8">
      <c r="H35315" s="680" t="s">
        <v>6153</v>
      </c>
    </row>
    <row r="35316" spans="8:8">
      <c r="H35316" s="680" t="s">
        <v>6153</v>
      </c>
    </row>
    <row r="35317" spans="8:8">
      <c r="H35317" s="680" t="s">
        <v>6153</v>
      </c>
    </row>
    <row r="35318" spans="8:8">
      <c r="H35318" s="680" t="s">
        <v>6153</v>
      </c>
    </row>
    <row r="35319" spans="8:8">
      <c r="H35319" s="680" t="s">
        <v>6153</v>
      </c>
    </row>
    <row r="35320" spans="8:8">
      <c r="H35320" s="680" t="s">
        <v>6153</v>
      </c>
    </row>
    <row r="35321" spans="8:8">
      <c r="H35321" s="680" t="s">
        <v>6153</v>
      </c>
    </row>
    <row r="35322" spans="8:8">
      <c r="H35322" s="680" t="s">
        <v>6153</v>
      </c>
    </row>
    <row r="35323" spans="8:8">
      <c r="H35323" s="680" t="s">
        <v>6153</v>
      </c>
    </row>
    <row r="35324" spans="8:8">
      <c r="H35324" s="680" t="s">
        <v>6153</v>
      </c>
    </row>
    <row r="35325" spans="8:8">
      <c r="H35325" s="680" t="s">
        <v>6153</v>
      </c>
    </row>
    <row r="35326" spans="8:8">
      <c r="H35326" s="680" t="s">
        <v>6153</v>
      </c>
    </row>
    <row r="35327" spans="8:8">
      <c r="H35327" s="680" t="s">
        <v>6153</v>
      </c>
    </row>
    <row r="35328" spans="8:8">
      <c r="H35328" s="680" t="s">
        <v>6153</v>
      </c>
    </row>
    <row r="35329" spans="8:8">
      <c r="H35329" s="680" t="s">
        <v>6153</v>
      </c>
    </row>
    <row r="35330" spans="8:8">
      <c r="H35330" s="680" t="s">
        <v>6153</v>
      </c>
    </row>
    <row r="35331" spans="8:8">
      <c r="H35331" s="680" t="s">
        <v>6153</v>
      </c>
    </row>
    <row r="35332" spans="8:8">
      <c r="H35332" s="680" t="s">
        <v>6153</v>
      </c>
    </row>
    <row r="35333" spans="8:8">
      <c r="H35333" s="680" t="s">
        <v>6153</v>
      </c>
    </row>
    <row r="35334" spans="8:8">
      <c r="H35334" s="680" t="s">
        <v>6153</v>
      </c>
    </row>
    <row r="35335" spans="8:8">
      <c r="H35335" s="680" t="s">
        <v>6153</v>
      </c>
    </row>
    <row r="35336" spans="8:8">
      <c r="H35336" s="680" t="s">
        <v>6153</v>
      </c>
    </row>
    <row r="35337" spans="8:8">
      <c r="H35337" s="680" t="s">
        <v>6153</v>
      </c>
    </row>
    <row r="35338" spans="8:8">
      <c r="H35338" s="680" t="s">
        <v>6153</v>
      </c>
    </row>
    <row r="35339" spans="8:8">
      <c r="H35339" s="680" t="s">
        <v>6153</v>
      </c>
    </row>
    <row r="35340" spans="8:8">
      <c r="H35340" s="680" t="s">
        <v>6153</v>
      </c>
    </row>
    <row r="35341" spans="8:8">
      <c r="H35341" s="680" t="s">
        <v>6153</v>
      </c>
    </row>
    <row r="35342" spans="8:8">
      <c r="H35342" s="680" t="s">
        <v>6153</v>
      </c>
    </row>
    <row r="35343" spans="8:8">
      <c r="H35343" s="680" t="s">
        <v>6153</v>
      </c>
    </row>
    <row r="35344" spans="8:8">
      <c r="H35344" s="680" t="s">
        <v>6153</v>
      </c>
    </row>
    <row r="35345" spans="8:8">
      <c r="H35345" s="680" t="s">
        <v>6153</v>
      </c>
    </row>
    <row r="35346" spans="8:8">
      <c r="H35346" s="680" t="s">
        <v>6153</v>
      </c>
    </row>
    <row r="35347" spans="8:8">
      <c r="H35347" s="680" t="s">
        <v>6153</v>
      </c>
    </row>
    <row r="35348" spans="8:8">
      <c r="H35348" s="680" t="s">
        <v>6153</v>
      </c>
    </row>
    <row r="35349" spans="8:8">
      <c r="H35349" s="680" t="s">
        <v>6153</v>
      </c>
    </row>
    <row r="35350" spans="8:8">
      <c r="H35350" s="680" t="s">
        <v>6153</v>
      </c>
    </row>
    <row r="35351" spans="8:8">
      <c r="H35351" s="680" t="s">
        <v>6153</v>
      </c>
    </row>
    <row r="35352" spans="8:8">
      <c r="H35352" s="680" t="s">
        <v>6153</v>
      </c>
    </row>
    <row r="35353" spans="8:8">
      <c r="H35353" s="680" t="s">
        <v>6153</v>
      </c>
    </row>
    <row r="35354" spans="8:8">
      <c r="H35354" s="680" t="s">
        <v>6153</v>
      </c>
    </row>
    <row r="35355" spans="8:8">
      <c r="H35355" s="680" t="s">
        <v>6153</v>
      </c>
    </row>
    <row r="35356" spans="8:8">
      <c r="H35356" s="680" t="s">
        <v>6153</v>
      </c>
    </row>
    <row r="35357" spans="8:8">
      <c r="H35357" s="680" t="s">
        <v>6153</v>
      </c>
    </row>
    <row r="35358" spans="8:8">
      <c r="H35358" s="680" t="s">
        <v>6153</v>
      </c>
    </row>
    <row r="35359" spans="8:8">
      <c r="H35359" s="680" t="s">
        <v>6153</v>
      </c>
    </row>
    <row r="35360" spans="8:8">
      <c r="H35360" s="680" t="s">
        <v>6153</v>
      </c>
    </row>
    <row r="35361" spans="8:8">
      <c r="H35361" s="680" t="s">
        <v>6153</v>
      </c>
    </row>
    <row r="35362" spans="8:8">
      <c r="H35362" s="680" t="s">
        <v>6153</v>
      </c>
    </row>
    <row r="35363" spans="8:8">
      <c r="H35363" s="680" t="s">
        <v>6153</v>
      </c>
    </row>
    <row r="35364" spans="8:8">
      <c r="H35364" s="680" t="s">
        <v>6153</v>
      </c>
    </row>
    <row r="35365" spans="8:8">
      <c r="H35365" s="680" t="s">
        <v>6153</v>
      </c>
    </row>
    <row r="35366" spans="8:8">
      <c r="H35366" s="680" t="s">
        <v>6153</v>
      </c>
    </row>
    <row r="35367" spans="8:8">
      <c r="H35367" s="680" t="s">
        <v>6153</v>
      </c>
    </row>
    <row r="35368" spans="8:8">
      <c r="H35368" s="680" t="s">
        <v>6153</v>
      </c>
    </row>
    <row r="35369" spans="8:8">
      <c r="H35369" s="680" t="s">
        <v>6153</v>
      </c>
    </row>
    <row r="35370" spans="8:8">
      <c r="H35370" s="680" t="s">
        <v>6153</v>
      </c>
    </row>
    <row r="35371" spans="8:8">
      <c r="H35371" s="680" t="s">
        <v>6153</v>
      </c>
    </row>
    <row r="35372" spans="8:8">
      <c r="H35372" s="680" t="s">
        <v>6153</v>
      </c>
    </row>
    <row r="35373" spans="8:8">
      <c r="H35373" s="680" t="s">
        <v>6153</v>
      </c>
    </row>
    <row r="35374" spans="8:8">
      <c r="H35374" s="680" t="s">
        <v>6153</v>
      </c>
    </row>
    <row r="35375" spans="8:8">
      <c r="H35375" s="680" t="s">
        <v>6153</v>
      </c>
    </row>
    <row r="35376" spans="8:8">
      <c r="H35376" s="680" t="s">
        <v>6153</v>
      </c>
    </row>
    <row r="35377" spans="8:8">
      <c r="H35377" s="680" t="s">
        <v>6153</v>
      </c>
    </row>
    <row r="35378" spans="8:8">
      <c r="H35378" s="680" t="s">
        <v>6153</v>
      </c>
    </row>
    <row r="35379" spans="8:8">
      <c r="H35379" s="680" t="s">
        <v>6153</v>
      </c>
    </row>
    <row r="35380" spans="8:8">
      <c r="H35380" s="680" t="s">
        <v>6153</v>
      </c>
    </row>
    <row r="35381" spans="8:8">
      <c r="H35381" s="680" t="s">
        <v>6153</v>
      </c>
    </row>
    <row r="35382" spans="8:8">
      <c r="H35382" s="680" t="s">
        <v>6153</v>
      </c>
    </row>
    <row r="35383" spans="8:8">
      <c r="H35383" s="680" t="s">
        <v>6153</v>
      </c>
    </row>
    <row r="35384" spans="8:8">
      <c r="H35384" s="680" t="s">
        <v>6153</v>
      </c>
    </row>
    <row r="35385" spans="8:8">
      <c r="H35385" s="680" t="s">
        <v>6153</v>
      </c>
    </row>
    <row r="35386" spans="8:8">
      <c r="H35386" s="680" t="s">
        <v>6153</v>
      </c>
    </row>
    <row r="35387" spans="8:8">
      <c r="H35387" s="680" t="s">
        <v>6153</v>
      </c>
    </row>
    <row r="35388" spans="8:8">
      <c r="H35388" s="680" t="s">
        <v>6153</v>
      </c>
    </row>
    <row r="35389" spans="8:8">
      <c r="H35389" s="680" t="s">
        <v>6153</v>
      </c>
    </row>
    <row r="35390" spans="8:8">
      <c r="H35390" s="680" t="s">
        <v>6153</v>
      </c>
    </row>
    <row r="35391" spans="8:8">
      <c r="H35391" s="680" t="s">
        <v>6153</v>
      </c>
    </row>
    <row r="35392" spans="8:8">
      <c r="H35392" s="680" t="s">
        <v>6153</v>
      </c>
    </row>
    <row r="35393" spans="8:8">
      <c r="H35393" s="680" t="s">
        <v>6153</v>
      </c>
    </row>
    <row r="35394" spans="8:8">
      <c r="H35394" s="680" t="s">
        <v>6153</v>
      </c>
    </row>
    <row r="35395" spans="8:8">
      <c r="H35395" s="680" t="s">
        <v>6153</v>
      </c>
    </row>
    <row r="35396" spans="8:8">
      <c r="H35396" s="680" t="s">
        <v>6153</v>
      </c>
    </row>
    <row r="35397" spans="8:8">
      <c r="H35397" s="680" t="s">
        <v>6153</v>
      </c>
    </row>
    <row r="35398" spans="8:8">
      <c r="H35398" s="680" t="s">
        <v>6153</v>
      </c>
    </row>
    <row r="35399" spans="8:8">
      <c r="H35399" s="680" t="s">
        <v>6153</v>
      </c>
    </row>
    <row r="35400" spans="8:8">
      <c r="H35400" s="680" t="s">
        <v>6153</v>
      </c>
    </row>
    <row r="35401" spans="8:8">
      <c r="H35401" s="680" t="s">
        <v>6153</v>
      </c>
    </row>
    <row r="35402" spans="8:8">
      <c r="H35402" s="680" t="s">
        <v>6153</v>
      </c>
    </row>
    <row r="35403" spans="8:8">
      <c r="H35403" s="680" t="s">
        <v>6153</v>
      </c>
    </row>
    <row r="35404" spans="8:8">
      <c r="H35404" s="680" t="s">
        <v>6153</v>
      </c>
    </row>
    <row r="35405" spans="8:8">
      <c r="H35405" s="680" t="s">
        <v>6153</v>
      </c>
    </row>
    <row r="35406" spans="8:8">
      <c r="H35406" s="680" t="s">
        <v>6153</v>
      </c>
    </row>
    <row r="35407" spans="8:8">
      <c r="H35407" s="680" t="s">
        <v>6153</v>
      </c>
    </row>
    <row r="35408" spans="8:8">
      <c r="H35408" s="680" t="s">
        <v>6153</v>
      </c>
    </row>
    <row r="35409" spans="8:8">
      <c r="H35409" s="680" t="s">
        <v>6153</v>
      </c>
    </row>
    <row r="35410" spans="8:8">
      <c r="H35410" s="680" t="s">
        <v>6153</v>
      </c>
    </row>
    <row r="35411" spans="8:8">
      <c r="H35411" s="680" t="s">
        <v>6153</v>
      </c>
    </row>
    <row r="35412" spans="8:8">
      <c r="H35412" s="680" t="s">
        <v>6153</v>
      </c>
    </row>
    <row r="35413" spans="8:8">
      <c r="H35413" s="680" t="s">
        <v>6153</v>
      </c>
    </row>
    <row r="35414" spans="8:8">
      <c r="H35414" s="680" t="s">
        <v>6153</v>
      </c>
    </row>
    <row r="35415" spans="8:8">
      <c r="H35415" s="680" t="s">
        <v>6153</v>
      </c>
    </row>
    <row r="35416" spans="8:8">
      <c r="H35416" s="680" t="s">
        <v>6153</v>
      </c>
    </row>
    <row r="35417" spans="8:8">
      <c r="H35417" s="680" t="s">
        <v>6153</v>
      </c>
    </row>
    <row r="35418" spans="8:8">
      <c r="H35418" s="680" t="s">
        <v>6153</v>
      </c>
    </row>
    <row r="35419" spans="8:8">
      <c r="H35419" s="680" t="s">
        <v>6153</v>
      </c>
    </row>
    <row r="35420" spans="8:8">
      <c r="H35420" s="680" t="s">
        <v>6153</v>
      </c>
    </row>
    <row r="35421" spans="8:8">
      <c r="H35421" s="680" t="s">
        <v>6153</v>
      </c>
    </row>
    <row r="35422" spans="8:8">
      <c r="H35422" s="680" t="s">
        <v>6153</v>
      </c>
    </row>
    <row r="35423" spans="8:8">
      <c r="H35423" s="680" t="s">
        <v>6153</v>
      </c>
    </row>
    <row r="35424" spans="8:8">
      <c r="H35424" s="680" t="s">
        <v>6153</v>
      </c>
    </row>
    <row r="35425" spans="8:8">
      <c r="H35425" s="680" t="s">
        <v>6153</v>
      </c>
    </row>
    <row r="35426" spans="8:8">
      <c r="H35426" s="680" t="s">
        <v>6153</v>
      </c>
    </row>
    <row r="35427" spans="8:8">
      <c r="H35427" s="680" t="s">
        <v>6153</v>
      </c>
    </row>
    <row r="35428" spans="8:8">
      <c r="H35428" s="680" t="s">
        <v>6153</v>
      </c>
    </row>
    <row r="35429" spans="8:8">
      <c r="H35429" s="680" t="s">
        <v>6153</v>
      </c>
    </row>
    <row r="35430" spans="8:8">
      <c r="H35430" s="680" t="s">
        <v>6153</v>
      </c>
    </row>
    <row r="35431" spans="8:8">
      <c r="H35431" s="680" t="s">
        <v>6153</v>
      </c>
    </row>
    <row r="35432" spans="8:8">
      <c r="H35432" s="680" t="s">
        <v>6153</v>
      </c>
    </row>
    <row r="35433" spans="8:8">
      <c r="H35433" s="680" t="s">
        <v>6153</v>
      </c>
    </row>
    <row r="35434" spans="8:8">
      <c r="H35434" s="680" t="s">
        <v>6153</v>
      </c>
    </row>
    <row r="35435" spans="8:8">
      <c r="H35435" s="680" t="s">
        <v>6153</v>
      </c>
    </row>
    <row r="35436" spans="8:8">
      <c r="H35436" s="680" t="s">
        <v>6153</v>
      </c>
    </row>
    <row r="35437" spans="8:8">
      <c r="H35437" s="680" t="s">
        <v>6153</v>
      </c>
    </row>
    <row r="35438" spans="8:8">
      <c r="H35438" s="680" t="s">
        <v>6153</v>
      </c>
    </row>
    <row r="35439" spans="8:8">
      <c r="H35439" s="680" t="s">
        <v>6153</v>
      </c>
    </row>
    <row r="35440" spans="8:8">
      <c r="H35440" s="680" t="s">
        <v>6153</v>
      </c>
    </row>
    <row r="35441" spans="8:8">
      <c r="H35441" s="680" t="s">
        <v>6153</v>
      </c>
    </row>
    <row r="35442" spans="8:8">
      <c r="H35442" s="680" t="s">
        <v>6153</v>
      </c>
    </row>
    <row r="35443" spans="8:8">
      <c r="H35443" s="680" t="s">
        <v>6153</v>
      </c>
    </row>
    <row r="35444" spans="8:8">
      <c r="H35444" s="680" t="s">
        <v>6153</v>
      </c>
    </row>
    <row r="35445" spans="8:8">
      <c r="H35445" s="680" t="s">
        <v>6153</v>
      </c>
    </row>
    <row r="35446" spans="8:8">
      <c r="H35446" s="680" t="s">
        <v>6153</v>
      </c>
    </row>
    <row r="35447" spans="8:8">
      <c r="H35447" s="680" t="s">
        <v>6153</v>
      </c>
    </row>
    <row r="35448" spans="8:8">
      <c r="H35448" s="680" t="s">
        <v>6153</v>
      </c>
    </row>
    <row r="35449" spans="8:8">
      <c r="H35449" s="680" t="s">
        <v>6153</v>
      </c>
    </row>
    <row r="35450" spans="8:8">
      <c r="H35450" s="680" t="s">
        <v>6153</v>
      </c>
    </row>
    <row r="35451" spans="8:8">
      <c r="H35451" s="680" t="s">
        <v>6153</v>
      </c>
    </row>
    <row r="35452" spans="8:8">
      <c r="H35452" s="680" t="s">
        <v>6153</v>
      </c>
    </row>
    <row r="35453" spans="8:8">
      <c r="H35453" s="680" t="s">
        <v>6153</v>
      </c>
    </row>
    <row r="35454" spans="8:8">
      <c r="H35454" s="680" t="s">
        <v>6153</v>
      </c>
    </row>
    <row r="35455" spans="8:8">
      <c r="H35455" s="680" t="s">
        <v>6153</v>
      </c>
    </row>
    <row r="35456" spans="8:8">
      <c r="H35456" s="680" t="s">
        <v>6153</v>
      </c>
    </row>
    <row r="35457" spans="8:8">
      <c r="H35457" s="680" t="s">
        <v>6153</v>
      </c>
    </row>
    <row r="35458" spans="8:8">
      <c r="H35458" s="680" t="s">
        <v>6153</v>
      </c>
    </row>
    <row r="35459" spans="8:8">
      <c r="H35459" s="680" t="s">
        <v>6153</v>
      </c>
    </row>
    <row r="35460" spans="8:8">
      <c r="H35460" s="680" t="s">
        <v>6153</v>
      </c>
    </row>
    <row r="35461" spans="8:8">
      <c r="H35461" s="680" t="s">
        <v>6153</v>
      </c>
    </row>
    <row r="35462" spans="8:8">
      <c r="H35462" s="680" t="s">
        <v>6153</v>
      </c>
    </row>
    <row r="35463" spans="8:8">
      <c r="H35463" s="680" t="s">
        <v>6153</v>
      </c>
    </row>
    <row r="35464" spans="8:8">
      <c r="H35464" s="680" t="s">
        <v>6153</v>
      </c>
    </row>
    <row r="35465" spans="8:8">
      <c r="H35465" s="680" t="s">
        <v>6153</v>
      </c>
    </row>
    <row r="35466" spans="8:8">
      <c r="H35466" s="680" t="s">
        <v>6153</v>
      </c>
    </row>
    <row r="35467" spans="8:8">
      <c r="H35467" s="680" t="s">
        <v>6153</v>
      </c>
    </row>
    <row r="35468" spans="8:8">
      <c r="H35468" s="680" t="s">
        <v>6153</v>
      </c>
    </row>
    <row r="35469" spans="8:8">
      <c r="H35469" s="680" t="s">
        <v>6153</v>
      </c>
    </row>
    <row r="35470" spans="8:8">
      <c r="H35470" s="680" t="s">
        <v>6153</v>
      </c>
    </row>
    <row r="35471" spans="8:8">
      <c r="H35471" s="680" t="s">
        <v>6153</v>
      </c>
    </row>
    <row r="35472" spans="8:8">
      <c r="H35472" s="680" t="s">
        <v>6153</v>
      </c>
    </row>
    <row r="35473" spans="8:8">
      <c r="H35473" s="680" t="s">
        <v>6153</v>
      </c>
    </row>
    <row r="35474" spans="8:8">
      <c r="H35474" s="680" t="s">
        <v>6153</v>
      </c>
    </row>
    <row r="35475" spans="8:8">
      <c r="H35475" s="680" t="s">
        <v>6153</v>
      </c>
    </row>
    <row r="35476" spans="8:8">
      <c r="H35476" s="680" t="s">
        <v>6153</v>
      </c>
    </row>
    <row r="35477" spans="8:8">
      <c r="H35477" s="680" t="s">
        <v>6153</v>
      </c>
    </row>
    <row r="35478" spans="8:8">
      <c r="H35478" s="680" t="s">
        <v>6153</v>
      </c>
    </row>
    <row r="35479" spans="8:8">
      <c r="H35479" s="680" t="s">
        <v>6153</v>
      </c>
    </row>
    <row r="35480" spans="8:8">
      <c r="H35480" s="680" t="s">
        <v>6153</v>
      </c>
    </row>
    <row r="35481" spans="8:8">
      <c r="H35481" s="680" t="s">
        <v>6153</v>
      </c>
    </row>
    <row r="35482" spans="8:8">
      <c r="H35482" s="680" t="s">
        <v>6153</v>
      </c>
    </row>
    <row r="35483" spans="8:8">
      <c r="H35483" s="680" t="s">
        <v>6153</v>
      </c>
    </row>
    <row r="35484" spans="8:8">
      <c r="H35484" s="680" t="s">
        <v>6153</v>
      </c>
    </row>
    <row r="35485" spans="8:8">
      <c r="H35485" s="680" t="s">
        <v>6153</v>
      </c>
    </row>
    <row r="35486" spans="8:8">
      <c r="H35486" s="680" t="s">
        <v>6153</v>
      </c>
    </row>
    <row r="35487" spans="8:8">
      <c r="H35487" s="680" t="s">
        <v>6153</v>
      </c>
    </row>
    <row r="35488" spans="8:8">
      <c r="H35488" s="680" t="s">
        <v>6153</v>
      </c>
    </row>
    <row r="35489" spans="8:8">
      <c r="H35489" s="680" t="s">
        <v>6153</v>
      </c>
    </row>
    <row r="35490" spans="8:8">
      <c r="H35490" s="680" t="s">
        <v>6153</v>
      </c>
    </row>
    <row r="35491" spans="8:8">
      <c r="H35491" s="680" t="s">
        <v>6153</v>
      </c>
    </row>
    <row r="35492" spans="8:8">
      <c r="H35492" s="680" t="s">
        <v>6153</v>
      </c>
    </row>
    <row r="35493" spans="8:8">
      <c r="H35493" s="680" t="s">
        <v>6153</v>
      </c>
    </row>
    <row r="35494" spans="8:8">
      <c r="H35494" s="680" t="s">
        <v>6153</v>
      </c>
    </row>
    <row r="35495" spans="8:8">
      <c r="H35495" s="680" t="s">
        <v>6153</v>
      </c>
    </row>
    <row r="35496" spans="8:8">
      <c r="H35496" s="680" t="s">
        <v>6153</v>
      </c>
    </row>
    <row r="35497" spans="8:8">
      <c r="H35497" s="680" t="s">
        <v>6153</v>
      </c>
    </row>
    <row r="35498" spans="8:8">
      <c r="H35498" s="680" t="s">
        <v>6153</v>
      </c>
    </row>
    <row r="35499" spans="8:8">
      <c r="H35499" s="680" t="s">
        <v>6153</v>
      </c>
    </row>
    <row r="35500" spans="8:8">
      <c r="H35500" s="680" t="s">
        <v>6153</v>
      </c>
    </row>
    <row r="35501" spans="8:8">
      <c r="H35501" s="680" t="s">
        <v>6153</v>
      </c>
    </row>
    <row r="35502" spans="8:8">
      <c r="H35502" s="680" t="s">
        <v>6153</v>
      </c>
    </row>
    <row r="35503" spans="8:8">
      <c r="H35503" s="680" t="s">
        <v>6153</v>
      </c>
    </row>
    <row r="35504" spans="8:8">
      <c r="H35504" s="680" t="s">
        <v>6153</v>
      </c>
    </row>
    <row r="35505" spans="8:8">
      <c r="H35505" s="680" t="s">
        <v>6153</v>
      </c>
    </row>
    <row r="35506" spans="8:8">
      <c r="H35506" s="680" t="s">
        <v>6153</v>
      </c>
    </row>
    <row r="35507" spans="8:8">
      <c r="H35507" s="680" t="s">
        <v>6153</v>
      </c>
    </row>
    <row r="35508" spans="8:8">
      <c r="H35508" s="680" t="s">
        <v>6153</v>
      </c>
    </row>
    <row r="35509" spans="8:8">
      <c r="H35509" s="680" t="s">
        <v>6153</v>
      </c>
    </row>
    <row r="35510" spans="8:8">
      <c r="H35510" s="680" t="s">
        <v>6153</v>
      </c>
    </row>
    <row r="35511" spans="8:8">
      <c r="H35511" s="680" t="s">
        <v>6153</v>
      </c>
    </row>
    <row r="35512" spans="8:8">
      <c r="H35512" s="680" t="s">
        <v>6153</v>
      </c>
    </row>
    <row r="35513" spans="8:8">
      <c r="H35513" s="680" t="s">
        <v>6153</v>
      </c>
    </row>
    <row r="35514" spans="8:8">
      <c r="H35514" s="680" t="s">
        <v>6153</v>
      </c>
    </row>
    <row r="35515" spans="8:8">
      <c r="H35515" s="680" t="s">
        <v>6153</v>
      </c>
    </row>
    <row r="35516" spans="8:8">
      <c r="H35516" s="680" t="s">
        <v>6153</v>
      </c>
    </row>
    <row r="35517" spans="8:8">
      <c r="H35517" s="680" t="s">
        <v>6153</v>
      </c>
    </row>
    <row r="35518" spans="8:8">
      <c r="H35518" s="680" t="s">
        <v>6153</v>
      </c>
    </row>
    <row r="35519" spans="8:8">
      <c r="H35519" s="680" t="s">
        <v>6153</v>
      </c>
    </row>
    <row r="35520" spans="8:8">
      <c r="H35520" s="680" t="s">
        <v>6153</v>
      </c>
    </row>
    <row r="35521" spans="8:8">
      <c r="H35521" s="680" t="s">
        <v>6153</v>
      </c>
    </row>
    <row r="35522" spans="8:8">
      <c r="H35522" s="680" t="s">
        <v>6153</v>
      </c>
    </row>
    <row r="35523" spans="8:8">
      <c r="H35523" s="680" t="s">
        <v>6153</v>
      </c>
    </row>
    <row r="35524" spans="8:8">
      <c r="H35524" s="680" t="s">
        <v>6153</v>
      </c>
    </row>
    <row r="35525" spans="8:8">
      <c r="H35525" s="680" t="s">
        <v>6153</v>
      </c>
    </row>
    <row r="35526" spans="8:8">
      <c r="H35526" s="680" t="s">
        <v>6153</v>
      </c>
    </row>
    <row r="35527" spans="8:8">
      <c r="H35527" s="680" t="s">
        <v>6153</v>
      </c>
    </row>
    <row r="35528" spans="8:8">
      <c r="H35528" s="680" t="s">
        <v>6153</v>
      </c>
    </row>
    <row r="35529" spans="8:8">
      <c r="H35529" s="680" t="s">
        <v>6153</v>
      </c>
    </row>
    <row r="35530" spans="8:8">
      <c r="H35530" s="680" t="s">
        <v>6153</v>
      </c>
    </row>
    <row r="35531" spans="8:8">
      <c r="H35531" s="680" t="s">
        <v>6153</v>
      </c>
    </row>
    <row r="35532" spans="8:8">
      <c r="H35532" s="680" t="s">
        <v>6153</v>
      </c>
    </row>
    <row r="35533" spans="8:8">
      <c r="H35533" s="680" t="s">
        <v>6153</v>
      </c>
    </row>
    <row r="35534" spans="8:8">
      <c r="H35534" s="680" t="s">
        <v>6153</v>
      </c>
    </row>
    <row r="35535" spans="8:8">
      <c r="H35535" s="680" t="s">
        <v>6153</v>
      </c>
    </row>
    <row r="35536" spans="8:8">
      <c r="H35536" s="680" t="s">
        <v>6153</v>
      </c>
    </row>
    <row r="35537" spans="8:8">
      <c r="H35537" s="680" t="s">
        <v>6153</v>
      </c>
    </row>
    <row r="35538" spans="8:8">
      <c r="H35538" s="680" t="s">
        <v>6153</v>
      </c>
    </row>
    <row r="35539" spans="8:8">
      <c r="H35539" s="680" t="s">
        <v>6153</v>
      </c>
    </row>
    <row r="35540" spans="8:8">
      <c r="H35540" s="680" t="s">
        <v>6153</v>
      </c>
    </row>
    <row r="35541" spans="8:8">
      <c r="H35541" s="680" t="s">
        <v>6153</v>
      </c>
    </row>
    <row r="35542" spans="8:8">
      <c r="H35542" s="680" t="s">
        <v>6153</v>
      </c>
    </row>
    <row r="35543" spans="8:8">
      <c r="H35543" s="680" t="s">
        <v>6153</v>
      </c>
    </row>
    <row r="35544" spans="8:8">
      <c r="H35544" s="680" t="s">
        <v>6153</v>
      </c>
    </row>
    <row r="35545" spans="8:8">
      <c r="H35545" s="680" t="s">
        <v>6153</v>
      </c>
    </row>
    <row r="35546" spans="8:8">
      <c r="H35546" s="680" t="s">
        <v>6153</v>
      </c>
    </row>
    <row r="35547" spans="8:8">
      <c r="H35547" s="680" t="s">
        <v>6153</v>
      </c>
    </row>
    <row r="35548" spans="8:8">
      <c r="H35548" s="680" t="s">
        <v>6153</v>
      </c>
    </row>
    <row r="35549" spans="8:8">
      <c r="H35549" s="680" t="s">
        <v>6153</v>
      </c>
    </row>
    <row r="35550" spans="8:8">
      <c r="H35550" s="680" t="s">
        <v>6153</v>
      </c>
    </row>
    <row r="35551" spans="8:8">
      <c r="H35551" s="680" t="s">
        <v>6153</v>
      </c>
    </row>
    <row r="35552" spans="8:8">
      <c r="H35552" s="680" t="s">
        <v>6153</v>
      </c>
    </row>
    <row r="35553" spans="8:8">
      <c r="H35553" s="680" t="s">
        <v>6153</v>
      </c>
    </row>
    <row r="35554" spans="8:8">
      <c r="H35554" s="680" t="s">
        <v>6153</v>
      </c>
    </row>
    <row r="35555" spans="8:8">
      <c r="H35555" s="680" t="s">
        <v>6153</v>
      </c>
    </row>
    <row r="35556" spans="8:8">
      <c r="H35556" s="680" t="s">
        <v>6153</v>
      </c>
    </row>
    <row r="35557" spans="8:8">
      <c r="H35557" s="680" t="s">
        <v>6153</v>
      </c>
    </row>
    <row r="35558" spans="8:8">
      <c r="H35558" s="680" t="s">
        <v>6153</v>
      </c>
    </row>
    <row r="35559" spans="8:8">
      <c r="H35559" s="680" t="s">
        <v>6153</v>
      </c>
    </row>
    <row r="35560" spans="8:8">
      <c r="H35560" s="680" t="s">
        <v>6153</v>
      </c>
    </row>
    <row r="35561" spans="8:8">
      <c r="H35561" s="680" t="s">
        <v>6153</v>
      </c>
    </row>
    <row r="35562" spans="8:8">
      <c r="H35562" s="680" t="s">
        <v>6153</v>
      </c>
    </row>
    <row r="35563" spans="8:8">
      <c r="H35563" s="680" t="s">
        <v>6153</v>
      </c>
    </row>
    <row r="35564" spans="8:8">
      <c r="H35564" s="680" t="s">
        <v>6153</v>
      </c>
    </row>
    <row r="35565" spans="8:8">
      <c r="H35565" s="680" t="s">
        <v>6153</v>
      </c>
    </row>
    <row r="35566" spans="8:8">
      <c r="H35566" s="680" t="s">
        <v>6153</v>
      </c>
    </row>
    <row r="35567" spans="8:8">
      <c r="H35567" s="680" t="s">
        <v>6153</v>
      </c>
    </row>
    <row r="35568" spans="8:8">
      <c r="H35568" s="680" t="s">
        <v>6153</v>
      </c>
    </row>
    <row r="35569" spans="8:8">
      <c r="H35569" s="680" t="s">
        <v>6153</v>
      </c>
    </row>
    <row r="35570" spans="8:8">
      <c r="H35570" s="680" t="s">
        <v>6153</v>
      </c>
    </row>
    <row r="35571" spans="8:8">
      <c r="H35571" s="680" t="s">
        <v>6153</v>
      </c>
    </row>
    <row r="35572" spans="8:8">
      <c r="H35572" s="680" t="s">
        <v>6153</v>
      </c>
    </row>
    <row r="35573" spans="8:8">
      <c r="H35573" s="680" t="s">
        <v>6153</v>
      </c>
    </row>
    <row r="35574" spans="8:8">
      <c r="H35574" s="680" t="s">
        <v>6153</v>
      </c>
    </row>
    <row r="35575" spans="8:8">
      <c r="H35575" s="680" t="s">
        <v>6153</v>
      </c>
    </row>
    <row r="35576" spans="8:8">
      <c r="H35576" s="680" t="s">
        <v>6153</v>
      </c>
    </row>
    <row r="35577" spans="8:8">
      <c r="H35577" s="680" t="s">
        <v>6153</v>
      </c>
    </row>
    <row r="35578" spans="8:8">
      <c r="H35578" s="680" t="s">
        <v>6153</v>
      </c>
    </row>
    <row r="35579" spans="8:8">
      <c r="H35579" s="680" t="s">
        <v>6153</v>
      </c>
    </row>
    <row r="35580" spans="8:8">
      <c r="H35580" s="680" t="s">
        <v>6153</v>
      </c>
    </row>
    <row r="35581" spans="8:8">
      <c r="H35581" s="680" t="s">
        <v>6153</v>
      </c>
    </row>
    <row r="35582" spans="8:8">
      <c r="H35582" s="680" t="s">
        <v>6153</v>
      </c>
    </row>
    <row r="35583" spans="8:8">
      <c r="H35583" s="680" t="s">
        <v>6153</v>
      </c>
    </row>
    <row r="35584" spans="8:8">
      <c r="H35584" s="680" t="s">
        <v>6153</v>
      </c>
    </row>
    <row r="35585" spans="8:8">
      <c r="H35585" s="680" t="s">
        <v>6153</v>
      </c>
    </row>
    <row r="35586" spans="8:8">
      <c r="H35586" s="680" t="s">
        <v>6153</v>
      </c>
    </row>
    <row r="35587" spans="8:8">
      <c r="H35587" s="680" t="s">
        <v>6153</v>
      </c>
    </row>
    <row r="35588" spans="8:8">
      <c r="H35588" s="680" t="s">
        <v>6153</v>
      </c>
    </row>
    <row r="35589" spans="8:8">
      <c r="H35589" s="680" t="s">
        <v>6153</v>
      </c>
    </row>
    <row r="35590" spans="8:8">
      <c r="H35590" s="680" t="s">
        <v>6153</v>
      </c>
    </row>
    <row r="35591" spans="8:8">
      <c r="H35591" s="680" t="s">
        <v>6153</v>
      </c>
    </row>
    <row r="35592" spans="8:8">
      <c r="H35592" s="680" t="s">
        <v>6153</v>
      </c>
    </row>
    <row r="35593" spans="8:8">
      <c r="H35593" s="680" t="s">
        <v>6153</v>
      </c>
    </row>
    <row r="35594" spans="8:8">
      <c r="H35594" s="680" t="s">
        <v>6153</v>
      </c>
    </row>
    <row r="35595" spans="8:8">
      <c r="H35595" s="680" t="s">
        <v>6153</v>
      </c>
    </row>
    <row r="35596" spans="8:8">
      <c r="H35596" s="680" t="s">
        <v>6153</v>
      </c>
    </row>
    <row r="35597" spans="8:8">
      <c r="H35597" s="680" t="s">
        <v>6153</v>
      </c>
    </row>
    <row r="35598" spans="8:8">
      <c r="H35598" s="680" t="s">
        <v>6153</v>
      </c>
    </row>
    <row r="35599" spans="8:8">
      <c r="H35599" s="680" t="s">
        <v>6153</v>
      </c>
    </row>
    <row r="35600" spans="8:8">
      <c r="H35600" s="680" t="s">
        <v>6153</v>
      </c>
    </row>
    <row r="35601" spans="8:8">
      <c r="H35601" s="680" t="s">
        <v>6153</v>
      </c>
    </row>
    <row r="35602" spans="8:8">
      <c r="H35602" s="680" t="s">
        <v>6153</v>
      </c>
    </row>
    <row r="35603" spans="8:8">
      <c r="H35603" s="680" t="s">
        <v>6153</v>
      </c>
    </row>
    <row r="35604" spans="8:8">
      <c r="H35604" s="680" t="s">
        <v>6153</v>
      </c>
    </row>
    <row r="35605" spans="8:8">
      <c r="H35605" s="680" t="s">
        <v>6153</v>
      </c>
    </row>
    <row r="35606" spans="8:8">
      <c r="H35606" s="680" t="s">
        <v>6153</v>
      </c>
    </row>
    <row r="35607" spans="8:8">
      <c r="H35607" s="680" t="s">
        <v>6153</v>
      </c>
    </row>
    <row r="35608" spans="8:8">
      <c r="H35608" s="680" t="s">
        <v>6153</v>
      </c>
    </row>
    <row r="35609" spans="8:8">
      <c r="H35609" s="680" t="s">
        <v>6153</v>
      </c>
    </row>
    <row r="35610" spans="8:8">
      <c r="H35610" s="680" t="s">
        <v>6153</v>
      </c>
    </row>
    <row r="35611" spans="8:8">
      <c r="H35611" s="680" t="s">
        <v>6153</v>
      </c>
    </row>
    <row r="35612" spans="8:8">
      <c r="H35612" s="680" t="s">
        <v>6153</v>
      </c>
    </row>
    <row r="35613" spans="8:8">
      <c r="H35613" s="680" t="s">
        <v>6153</v>
      </c>
    </row>
    <row r="35614" spans="8:8">
      <c r="H35614" s="680" t="s">
        <v>6153</v>
      </c>
    </row>
    <row r="35615" spans="8:8">
      <c r="H35615" s="680" t="s">
        <v>6153</v>
      </c>
    </row>
    <row r="35616" spans="8:8">
      <c r="H35616" s="680" t="s">
        <v>6153</v>
      </c>
    </row>
    <row r="35617" spans="8:8">
      <c r="H35617" s="680" t="s">
        <v>6153</v>
      </c>
    </row>
    <row r="35618" spans="8:8">
      <c r="H35618" s="680" t="s">
        <v>6153</v>
      </c>
    </row>
    <row r="35619" spans="8:8">
      <c r="H35619" s="680" t="s">
        <v>6153</v>
      </c>
    </row>
    <row r="35620" spans="8:8">
      <c r="H35620" s="680" t="s">
        <v>6153</v>
      </c>
    </row>
    <row r="35621" spans="8:8">
      <c r="H35621" s="680" t="s">
        <v>6153</v>
      </c>
    </row>
    <row r="35622" spans="8:8">
      <c r="H35622" s="680" t="s">
        <v>6153</v>
      </c>
    </row>
    <row r="35623" spans="8:8">
      <c r="H35623" s="680" t="s">
        <v>6153</v>
      </c>
    </row>
    <row r="35624" spans="8:8">
      <c r="H35624" s="680" t="s">
        <v>6153</v>
      </c>
    </row>
    <row r="35625" spans="8:8">
      <c r="H35625" s="680" t="s">
        <v>6153</v>
      </c>
    </row>
    <row r="35626" spans="8:8">
      <c r="H35626" s="680" t="s">
        <v>6153</v>
      </c>
    </row>
    <row r="35627" spans="8:8">
      <c r="H35627" s="680" t="s">
        <v>6153</v>
      </c>
    </row>
    <row r="35628" spans="8:8">
      <c r="H35628" s="680" t="s">
        <v>6153</v>
      </c>
    </row>
    <row r="35629" spans="8:8">
      <c r="H35629" s="680" t="s">
        <v>6153</v>
      </c>
    </row>
    <row r="35630" spans="8:8">
      <c r="H35630" s="680" t="s">
        <v>6153</v>
      </c>
    </row>
    <row r="35631" spans="8:8">
      <c r="H35631" s="680" t="s">
        <v>6153</v>
      </c>
    </row>
    <row r="35632" spans="8:8">
      <c r="H35632" s="680" t="s">
        <v>6153</v>
      </c>
    </row>
    <row r="35633" spans="8:8">
      <c r="H35633" s="680" t="s">
        <v>6153</v>
      </c>
    </row>
    <row r="35634" spans="8:8">
      <c r="H35634" s="680" t="s">
        <v>6153</v>
      </c>
    </row>
    <row r="35635" spans="8:8">
      <c r="H35635" s="680" t="s">
        <v>6153</v>
      </c>
    </row>
    <row r="35636" spans="8:8">
      <c r="H35636" s="680" t="s">
        <v>6153</v>
      </c>
    </row>
    <row r="35637" spans="8:8">
      <c r="H35637" s="680" t="s">
        <v>6153</v>
      </c>
    </row>
    <row r="35638" spans="8:8">
      <c r="H35638" s="680" t="s">
        <v>6153</v>
      </c>
    </row>
    <row r="35639" spans="8:8">
      <c r="H35639" s="680" t="s">
        <v>6153</v>
      </c>
    </row>
    <row r="35640" spans="8:8">
      <c r="H35640" s="680" t="s">
        <v>6153</v>
      </c>
    </row>
    <row r="35641" spans="8:8">
      <c r="H35641" s="680" t="s">
        <v>6153</v>
      </c>
    </row>
    <row r="35642" spans="8:8">
      <c r="H35642" s="680" t="s">
        <v>6153</v>
      </c>
    </row>
    <row r="35643" spans="8:8">
      <c r="H35643" s="680" t="s">
        <v>6153</v>
      </c>
    </row>
    <row r="35644" spans="8:8">
      <c r="H35644" s="680" t="s">
        <v>6153</v>
      </c>
    </row>
    <row r="35645" spans="8:8">
      <c r="H35645" s="680" t="s">
        <v>6153</v>
      </c>
    </row>
    <row r="35646" spans="8:8">
      <c r="H35646" s="680" t="s">
        <v>6153</v>
      </c>
    </row>
    <row r="35647" spans="8:8">
      <c r="H35647" s="680" t="s">
        <v>6153</v>
      </c>
    </row>
    <row r="35648" spans="8:8">
      <c r="H35648" s="680" t="s">
        <v>6153</v>
      </c>
    </row>
    <row r="35649" spans="8:8">
      <c r="H35649" s="680" t="s">
        <v>6153</v>
      </c>
    </row>
    <row r="35650" spans="8:8">
      <c r="H35650" s="680" t="s">
        <v>6153</v>
      </c>
    </row>
    <row r="35651" spans="8:8">
      <c r="H35651" s="680" t="s">
        <v>6153</v>
      </c>
    </row>
    <row r="35652" spans="8:8">
      <c r="H35652" s="680" t="s">
        <v>6153</v>
      </c>
    </row>
    <row r="35653" spans="8:8">
      <c r="H35653" s="680" t="s">
        <v>6153</v>
      </c>
    </row>
    <row r="35654" spans="8:8">
      <c r="H35654" s="680" t="s">
        <v>6153</v>
      </c>
    </row>
    <row r="35655" spans="8:8">
      <c r="H35655" s="680" t="s">
        <v>6153</v>
      </c>
    </row>
    <row r="35656" spans="8:8">
      <c r="H35656" s="680" t="s">
        <v>6153</v>
      </c>
    </row>
    <row r="35657" spans="8:8">
      <c r="H35657" s="680" t="s">
        <v>6153</v>
      </c>
    </row>
    <row r="35658" spans="8:8">
      <c r="H35658" s="680" t="s">
        <v>6153</v>
      </c>
    </row>
    <row r="35659" spans="8:8">
      <c r="H35659" s="680" t="s">
        <v>6153</v>
      </c>
    </row>
    <row r="35660" spans="8:8">
      <c r="H35660" s="680" t="s">
        <v>6153</v>
      </c>
    </row>
    <row r="35661" spans="8:8">
      <c r="H35661" s="680" t="s">
        <v>6153</v>
      </c>
    </row>
    <row r="35662" spans="8:8">
      <c r="H35662" s="680" t="s">
        <v>6153</v>
      </c>
    </row>
    <row r="35663" spans="8:8">
      <c r="H35663" s="680" t="s">
        <v>6153</v>
      </c>
    </row>
    <row r="35664" spans="8:8">
      <c r="H35664" s="680" t="s">
        <v>6153</v>
      </c>
    </row>
    <row r="35665" spans="8:8">
      <c r="H35665" s="680" t="s">
        <v>6153</v>
      </c>
    </row>
    <row r="35666" spans="8:8">
      <c r="H35666" s="680" t="s">
        <v>6153</v>
      </c>
    </row>
    <row r="35667" spans="8:8">
      <c r="H35667" s="680" t="s">
        <v>6153</v>
      </c>
    </row>
    <row r="35668" spans="8:8">
      <c r="H35668" s="680" t="s">
        <v>6153</v>
      </c>
    </row>
    <row r="35669" spans="8:8">
      <c r="H35669" s="680" t="s">
        <v>6153</v>
      </c>
    </row>
    <row r="35670" spans="8:8">
      <c r="H35670" s="680" t="s">
        <v>6153</v>
      </c>
    </row>
    <row r="35671" spans="8:8">
      <c r="H35671" s="680" t="s">
        <v>6153</v>
      </c>
    </row>
    <row r="35672" spans="8:8">
      <c r="H35672" s="680" t="s">
        <v>6153</v>
      </c>
    </row>
    <row r="35673" spans="8:8">
      <c r="H35673" s="680" t="s">
        <v>6153</v>
      </c>
    </row>
    <row r="35674" spans="8:8">
      <c r="H35674" s="680" t="s">
        <v>6153</v>
      </c>
    </row>
    <row r="35675" spans="8:8">
      <c r="H35675" s="680" t="s">
        <v>6153</v>
      </c>
    </row>
    <row r="35676" spans="8:8">
      <c r="H35676" s="680" t="s">
        <v>6153</v>
      </c>
    </row>
    <row r="35677" spans="8:8">
      <c r="H35677" s="680" t="s">
        <v>6153</v>
      </c>
    </row>
    <row r="35678" spans="8:8">
      <c r="H35678" s="680" t="s">
        <v>6153</v>
      </c>
    </row>
    <row r="35679" spans="8:8">
      <c r="H35679" s="680" t="s">
        <v>6153</v>
      </c>
    </row>
    <row r="35680" spans="8:8">
      <c r="H35680" s="680" t="s">
        <v>6153</v>
      </c>
    </row>
    <row r="35681" spans="8:8">
      <c r="H35681" s="680" t="s">
        <v>6153</v>
      </c>
    </row>
    <row r="35682" spans="8:8">
      <c r="H35682" s="680" t="s">
        <v>6153</v>
      </c>
    </row>
    <row r="35683" spans="8:8">
      <c r="H35683" s="680" t="s">
        <v>6153</v>
      </c>
    </row>
    <row r="35684" spans="8:8">
      <c r="H35684" s="680" t="s">
        <v>6153</v>
      </c>
    </row>
    <row r="35685" spans="8:8">
      <c r="H35685" s="680" t="s">
        <v>6153</v>
      </c>
    </row>
    <row r="35686" spans="8:8">
      <c r="H35686" s="680" t="s">
        <v>6153</v>
      </c>
    </row>
    <row r="35687" spans="8:8">
      <c r="H35687" s="680" t="s">
        <v>6153</v>
      </c>
    </row>
    <row r="35688" spans="8:8">
      <c r="H35688" s="680" t="s">
        <v>6153</v>
      </c>
    </row>
    <row r="35689" spans="8:8">
      <c r="H35689" s="680" t="s">
        <v>6153</v>
      </c>
    </row>
    <row r="35690" spans="8:8">
      <c r="H35690" s="680" t="s">
        <v>6153</v>
      </c>
    </row>
    <row r="35691" spans="8:8">
      <c r="H35691" s="680" t="s">
        <v>6153</v>
      </c>
    </row>
    <row r="35692" spans="8:8">
      <c r="H35692" s="680" t="s">
        <v>6153</v>
      </c>
    </row>
    <row r="35693" spans="8:8">
      <c r="H35693" s="680" t="s">
        <v>6153</v>
      </c>
    </row>
    <row r="35694" spans="8:8">
      <c r="H35694" s="680" t="s">
        <v>6153</v>
      </c>
    </row>
    <row r="35695" spans="8:8">
      <c r="H35695" s="680" t="s">
        <v>6153</v>
      </c>
    </row>
    <row r="35696" spans="8:8">
      <c r="H35696" s="680" t="s">
        <v>6153</v>
      </c>
    </row>
    <row r="35697" spans="8:8">
      <c r="H35697" s="680" t="s">
        <v>6153</v>
      </c>
    </row>
    <row r="35698" spans="8:8">
      <c r="H35698" s="680" t="s">
        <v>6153</v>
      </c>
    </row>
    <row r="35699" spans="8:8">
      <c r="H35699" s="680" t="s">
        <v>6153</v>
      </c>
    </row>
    <row r="35700" spans="8:8">
      <c r="H35700" s="680" t="s">
        <v>6153</v>
      </c>
    </row>
    <row r="35701" spans="8:8">
      <c r="H35701" s="680" t="s">
        <v>6153</v>
      </c>
    </row>
    <row r="35702" spans="8:8">
      <c r="H35702" s="680" t="s">
        <v>6153</v>
      </c>
    </row>
    <row r="35703" spans="8:8">
      <c r="H35703" s="680" t="s">
        <v>6153</v>
      </c>
    </row>
    <row r="35704" spans="8:8">
      <c r="H35704" s="680" t="s">
        <v>6153</v>
      </c>
    </row>
    <row r="35705" spans="8:8">
      <c r="H35705" s="680" t="s">
        <v>6153</v>
      </c>
    </row>
    <row r="35706" spans="8:8">
      <c r="H35706" s="680" t="s">
        <v>6153</v>
      </c>
    </row>
    <row r="35707" spans="8:8">
      <c r="H35707" s="680" t="s">
        <v>6153</v>
      </c>
    </row>
    <row r="35708" spans="8:8">
      <c r="H35708" s="680" t="s">
        <v>6153</v>
      </c>
    </row>
    <row r="35709" spans="8:8">
      <c r="H35709" s="680" t="s">
        <v>6153</v>
      </c>
    </row>
    <row r="35710" spans="8:8">
      <c r="H35710" s="680" t="s">
        <v>6153</v>
      </c>
    </row>
    <row r="35711" spans="8:8">
      <c r="H35711" s="680" t="s">
        <v>6153</v>
      </c>
    </row>
    <row r="35712" spans="8:8">
      <c r="H35712" s="680" t="s">
        <v>6153</v>
      </c>
    </row>
    <row r="35713" spans="8:8">
      <c r="H35713" s="680" t="s">
        <v>6153</v>
      </c>
    </row>
    <row r="35714" spans="8:8">
      <c r="H35714" s="680" t="s">
        <v>6153</v>
      </c>
    </row>
    <row r="35715" spans="8:8">
      <c r="H35715" s="680" t="s">
        <v>6153</v>
      </c>
    </row>
    <row r="35716" spans="8:8">
      <c r="H35716" s="680" t="s">
        <v>6153</v>
      </c>
    </row>
    <row r="35717" spans="8:8">
      <c r="H35717" s="680" t="s">
        <v>6153</v>
      </c>
    </row>
    <row r="35718" spans="8:8">
      <c r="H35718" s="680" t="s">
        <v>6153</v>
      </c>
    </row>
    <row r="35719" spans="8:8">
      <c r="H35719" s="680" t="s">
        <v>6153</v>
      </c>
    </row>
    <row r="35720" spans="8:8">
      <c r="H35720" s="680" t="s">
        <v>6153</v>
      </c>
    </row>
    <row r="35721" spans="8:8">
      <c r="H35721" s="680" t="s">
        <v>6153</v>
      </c>
    </row>
    <row r="35722" spans="8:8">
      <c r="H35722" s="680" t="s">
        <v>6153</v>
      </c>
    </row>
    <row r="35723" spans="8:8">
      <c r="H35723" s="680" t="s">
        <v>6153</v>
      </c>
    </row>
    <row r="35724" spans="8:8">
      <c r="H35724" s="680" t="s">
        <v>6153</v>
      </c>
    </row>
    <row r="35725" spans="8:8">
      <c r="H35725" s="680" t="s">
        <v>6153</v>
      </c>
    </row>
    <row r="35726" spans="8:8">
      <c r="H35726" s="680" t="s">
        <v>6153</v>
      </c>
    </row>
    <row r="35727" spans="8:8">
      <c r="H35727" s="680" t="s">
        <v>6153</v>
      </c>
    </row>
    <row r="35728" spans="8:8">
      <c r="H35728" s="680" t="s">
        <v>6153</v>
      </c>
    </row>
    <row r="35729" spans="8:8">
      <c r="H35729" s="680" t="s">
        <v>6153</v>
      </c>
    </row>
    <row r="35730" spans="8:8">
      <c r="H35730" s="680" t="s">
        <v>6153</v>
      </c>
    </row>
    <row r="35731" spans="8:8">
      <c r="H35731" s="680" t="s">
        <v>6153</v>
      </c>
    </row>
    <row r="35732" spans="8:8">
      <c r="H35732" s="680" t="s">
        <v>6153</v>
      </c>
    </row>
    <row r="35733" spans="8:8">
      <c r="H35733" s="680" t="s">
        <v>6153</v>
      </c>
    </row>
    <row r="35734" spans="8:8">
      <c r="H35734" s="680" t="s">
        <v>6153</v>
      </c>
    </row>
    <row r="35735" spans="8:8">
      <c r="H35735" s="680" t="s">
        <v>6153</v>
      </c>
    </row>
    <row r="35736" spans="8:8">
      <c r="H35736" s="680" t="s">
        <v>6153</v>
      </c>
    </row>
    <row r="35737" spans="8:8">
      <c r="H35737" s="680" t="s">
        <v>6153</v>
      </c>
    </row>
    <row r="35738" spans="8:8">
      <c r="H35738" s="680" t="s">
        <v>6153</v>
      </c>
    </row>
    <row r="35739" spans="8:8">
      <c r="H35739" s="680" t="s">
        <v>6153</v>
      </c>
    </row>
    <row r="35740" spans="8:8">
      <c r="H35740" s="680" t="s">
        <v>6153</v>
      </c>
    </row>
    <row r="35741" spans="8:8">
      <c r="H35741" s="680" t="s">
        <v>6153</v>
      </c>
    </row>
    <row r="35742" spans="8:8">
      <c r="H35742" s="680" t="s">
        <v>6153</v>
      </c>
    </row>
    <row r="35743" spans="8:8">
      <c r="H35743" s="680" t="s">
        <v>6153</v>
      </c>
    </row>
    <row r="35744" spans="8:8">
      <c r="H35744" s="680" t="s">
        <v>6153</v>
      </c>
    </row>
    <row r="35745" spans="8:8">
      <c r="H35745" s="680" t="s">
        <v>6153</v>
      </c>
    </row>
    <row r="35746" spans="8:8">
      <c r="H35746" s="680" t="s">
        <v>6153</v>
      </c>
    </row>
    <row r="35747" spans="8:8">
      <c r="H35747" s="680" t="s">
        <v>6153</v>
      </c>
    </row>
    <row r="35748" spans="8:8">
      <c r="H35748" s="680" t="s">
        <v>6153</v>
      </c>
    </row>
    <row r="35749" spans="8:8">
      <c r="H35749" s="680" t="s">
        <v>6153</v>
      </c>
    </row>
    <row r="35750" spans="8:8">
      <c r="H35750" s="680" t="s">
        <v>6153</v>
      </c>
    </row>
    <row r="35751" spans="8:8">
      <c r="H35751" s="680" t="s">
        <v>6153</v>
      </c>
    </row>
    <row r="35752" spans="8:8">
      <c r="H35752" s="680" t="s">
        <v>6153</v>
      </c>
    </row>
    <row r="35753" spans="8:8">
      <c r="H35753" s="680" t="s">
        <v>6153</v>
      </c>
    </row>
    <row r="35754" spans="8:8">
      <c r="H35754" s="680" t="s">
        <v>6153</v>
      </c>
    </row>
    <row r="35755" spans="8:8">
      <c r="H35755" s="680" t="s">
        <v>6153</v>
      </c>
    </row>
    <row r="35756" spans="8:8">
      <c r="H35756" s="680" t="s">
        <v>6153</v>
      </c>
    </row>
    <row r="35757" spans="8:8">
      <c r="H35757" s="680" t="s">
        <v>6153</v>
      </c>
    </row>
    <row r="35758" spans="8:8">
      <c r="H35758" s="680" t="s">
        <v>6153</v>
      </c>
    </row>
    <row r="35759" spans="8:8">
      <c r="H35759" s="680" t="s">
        <v>6153</v>
      </c>
    </row>
    <row r="35760" spans="8:8">
      <c r="H35760" s="680" t="s">
        <v>6153</v>
      </c>
    </row>
    <row r="35761" spans="8:8">
      <c r="H35761" s="680" t="s">
        <v>6153</v>
      </c>
    </row>
    <row r="35762" spans="8:8">
      <c r="H35762" s="680" t="s">
        <v>6153</v>
      </c>
    </row>
    <row r="35763" spans="8:8">
      <c r="H35763" s="680" t="s">
        <v>6153</v>
      </c>
    </row>
    <row r="35764" spans="8:8">
      <c r="H35764" s="680" t="s">
        <v>6153</v>
      </c>
    </row>
    <row r="35765" spans="8:8">
      <c r="H35765" s="680" t="s">
        <v>6153</v>
      </c>
    </row>
    <row r="35766" spans="8:8">
      <c r="H35766" s="680" t="s">
        <v>6153</v>
      </c>
    </row>
    <row r="35767" spans="8:8">
      <c r="H35767" s="680" t="s">
        <v>6153</v>
      </c>
    </row>
    <row r="35768" spans="8:8">
      <c r="H35768" s="680" t="s">
        <v>6153</v>
      </c>
    </row>
    <row r="35769" spans="8:8">
      <c r="H35769" s="680" t="s">
        <v>6153</v>
      </c>
    </row>
    <row r="35770" spans="8:8">
      <c r="H35770" s="680" t="s">
        <v>6153</v>
      </c>
    </row>
    <row r="35771" spans="8:8">
      <c r="H35771" s="680" t="s">
        <v>6153</v>
      </c>
    </row>
    <row r="35772" spans="8:8">
      <c r="H35772" s="680" t="s">
        <v>6153</v>
      </c>
    </row>
    <row r="35773" spans="8:8">
      <c r="H35773" s="680" t="s">
        <v>6153</v>
      </c>
    </row>
    <row r="35774" spans="8:8">
      <c r="H35774" s="680" t="s">
        <v>6153</v>
      </c>
    </row>
    <row r="35775" spans="8:8">
      <c r="H35775" s="680" t="s">
        <v>6153</v>
      </c>
    </row>
    <row r="35776" spans="8:8">
      <c r="H35776" s="680" t="s">
        <v>6153</v>
      </c>
    </row>
    <row r="35777" spans="8:8">
      <c r="H35777" s="680" t="s">
        <v>6153</v>
      </c>
    </row>
    <row r="35778" spans="8:8">
      <c r="H35778" s="680" t="s">
        <v>6153</v>
      </c>
    </row>
    <row r="35779" spans="8:8">
      <c r="H35779" s="680" t="s">
        <v>6153</v>
      </c>
    </row>
    <row r="35780" spans="8:8">
      <c r="H35780" s="680" t="s">
        <v>6153</v>
      </c>
    </row>
    <row r="35781" spans="8:8">
      <c r="H35781" s="680" t="s">
        <v>6153</v>
      </c>
    </row>
    <row r="35782" spans="8:8">
      <c r="H35782" s="680" t="s">
        <v>6153</v>
      </c>
    </row>
    <row r="35783" spans="8:8">
      <c r="H35783" s="680" t="s">
        <v>6153</v>
      </c>
    </row>
    <row r="35784" spans="8:8">
      <c r="H35784" s="680" t="s">
        <v>6153</v>
      </c>
    </row>
    <row r="35785" spans="8:8">
      <c r="H35785" s="680" t="s">
        <v>6153</v>
      </c>
    </row>
    <row r="35786" spans="8:8">
      <c r="H35786" s="680" t="s">
        <v>6153</v>
      </c>
    </row>
    <row r="35787" spans="8:8">
      <c r="H35787" s="680" t="s">
        <v>6153</v>
      </c>
    </row>
    <row r="35788" spans="8:8">
      <c r="H35788" s="680" t="s">
        <v>6153</v>
      </c>
    </row>
    <row r="35789" spans="8:8">
      <c r="H35789" s="680" t="s">
        <v>6153</v>
      </c>
    </row>
    <row r="35790" spans="8:8">
      <c r="H35790" s="680" t="s">
        <v>6153</v>
      </c>
    </row>
    <row r="35791" spans="8:8">
      <c r="H35791" s="680" t="s">
        <v>6153</v>
      </c>
    </row>
    <row r="35792" spans="8:8">
      <c r="H35792" s="680" t="s">
        <v>6153</v>
      </c>
    </row>
    <row r="35793" spans="8:8">
      <c r="H35793" s="680" t="s">
        <v>6153</v>
      </c>
    </row>
    <row r="35794" spans="8:8">
      <c r="H35794" s="680" t="s">
        <v>6153</v>
      </c>
    </row>
    <row r="35795" spans="8:8">
      <c r="H35795" s="680" t="s">
        <v>6153</v>
      </c>
    </row>
    <row r="35796" spans="8:8">
      <c r="H35796" s="680" t="s">
        <v>6153</v>
      </c>
    </row>
    <row r="35797" spans="8:8">
      <c r="H35797" s="680" t="s">
        <v>6153</v>
      </c>
    </row>
    <row r="35798" spans="8:8">
      <c r="H35798" s="680" t="s">
        <v>6153</v>
      </c>
    </row>
    <row r="35799" spans="8:8">
      <c r="H35799" s="680" t="s">
        <v>6153</v>
      </c>
    </row>
    <row r="35800" spans="8:8">
      <c r="H35800" s="680" t="s">
        <v>6153</v>
      </c>
    </row>
    <row r="35801" spans="8:8">
      <c r="H35801" s="680" t="s">
        <v>6153</v>
      </c>
    </row>
    <row r="35802" spans="8:8">
      <c r="H35802" s="680" t="s">
        <v>6153</v>
      </c>
    </row>
    <row r="35803" spans="8:8">
      <c r="H35803" s="680" t="s">
        <v>6153</v>
      </c>
    </row>
    <row r="35804" spans="8:8">
      <c r="H35804" s="680" t="s">
        <v>6153</v>
      </c>
    </row>
    <row r="35805" spans="8:8">
      <c r="H35805" s="680" t="s">
        <v>6153</v>
      </c>
    </row>
    <row r="35806" spans="8:8">
      <c r="H35806" s="680" t="s">
        <v>6153</v>
      </c>
    </row>
    <row r="35807" spans="8:8">
      <c r="H35807" s="680" t="s">
        <v>6153</v>
      </c>
    </row>
    <row r="35808" spans="8:8">
      <c r="H35808" s="680" t="s">
        <v>6153</v>
      </c>
    </row>
    <row r="35809" spans="8:8">
      <c r="H35809" s="680" t="s">
        <v>6153</v>
      </c>
    </row>
    <row r="35810" spans="8:8">
      <c r="H35810" s="680" t="s">
        <v>6153</v>
      </c>
    </row>
    <row r="35811" spans="8:8">
      <c r="H35811" s="680" t="s">
        <v>6153</v>
      </c>
    </row>
    <row r="35812" spans="8:8">
      <c r="H35812" s="680" t="s">
        <v>6153</v>
      </c>
    </row>
    <row r="35813" spans="8:8">
      <c r="H35813" s="680" t="s">
        <v>6153</v>
      </c>
    </row>
    <row r="35814" spans="8:8">
      <c r="H35814" s="680" t="s">
        <v>6153</v>
      </c>
    </row>
    <row r="35815" spans="8:8">
      <c r="H35815" s="680" t="s">
        <v>6153</v>
      </c>
    </row>
    <row r="35816" spans="8:8">
      <c r="H35816" s="680" t="s">
        <v>6153</v>
      </c>
    </row>
    <row r="35817" spans="8:8">
      <c r="H35817" s="680" t="s">
        <v>6153</v>
      </c>
    </row>
    <row r="35818" spans="8:8">
      <c r="H35818" s="680" t="s">
        <v>6153</v>
      </c>
    </row>
    <row r="35819" spans="8:8">
      <c r="H35819" s="680" t="s">
        <v>6153</v>
      </c>
    </row>
    <row r="35820" spans="8:8">
      <c r="H35820" s="680" t="s">
        <v>6153</v>
      </c>
    </row>
    <row r="35821" spans="8:8">
      <c r="H35821" s="680" t="s">
        <v>6153</v>
      </c>
    </row>
    <row r="35822" spans="8:8">
      <c r="H35822" s="680" t="s">
        <v>6153</v>
      </c>
    </row>
    <row r="35823" spans="8:8">
      <c r="H35823" s="680" t="s">
        <v>6153</v>
      </c>
    </row>
    <row r="35824" spans="8:8">
      <c r="H35824" s="680" t="s">
        <v>6153</v>
      </c>
    </row>
    <row r="35825" spans="8:8">
      <c r="H35825" s="680" t="s">
        <v>6153</v>
      </c>
    </row>
    <row r="35826" spans="8:8">
      <c r="H35826" s="680" t="s">
        <v>6153</v>
      </c>
    </row>
    <row r="35827" spans="8:8">
      <c r="H35827" s="680" t="s">
        <v>6153</v>
      </c>
    </row>
    <row r="35828" spans="8:8">
      <c r="H35828" s="680" t="s">
        <v>6153</v>
      </c>
    </row>
    <row r="35829" spans="8:8">
      <c r="H35829" s="680" t="s">
        <v>6153</v>
      </c>
    </row>
    <row r="35830" spans="8:8">
      <c r="H35830" s="680" t="s">
        <v>6153</v>
      </c>
    </row>
    <row r="35831" spans="8:8">
      <c r="H35831" s="680" t="s">
        <v>6153</v>
      </c>
    </row>
    <row r="35832" spans="8:8">
      <c r="H35832" s="680" t="s">
        <v>6153</v>
      </c>
    </row>
    <row r="35833" spans="8:8">
      <c r="H35833" s="680" t="s">
        <v>6153</v>
      </c>
    </row>
    <row r="35834" spans="8:8">
      <c r="H35834" s="680" t="s">
        <v>6153</v>
      </c>
    </row>
    <row r="35835" spans="8:8">
      <c r="H35835" s="680" t="s">
        <v>6153</v>
      </c>
    </row>
    <row r="35836" spans="8:8">
      <c r="H35836" s="680" t="s">
        <v>6153</v>
      </c>
    </row>
    <row r="35837" spans="8:8">
      <c r="H35837" s="680" t="s">
        <v>6153</v>
      </c>
    </row>
    <row r="35838" spans="8:8">
      <c r="H35838" s="680" t="s">
        <v>6153</v>
      </c>
    </row>
    <row r="35839" spans="8:8">
      <c r="H35839" s="680" t="s">
        <v>6153</v>
      </c>
    </row>
    <row r="35840" spans="8:8">
      <c r="H35840" s="680" t="s">
        <v>6153</v>
      </c>
    </row>
    <row r="35841" spans="8:8">
      <c r="H35841" s="680" t="s">
        <v>6153</v>
      </c>
    </row>
    <row r="35842" spans="8:8">
      <c r="H35842" s="680" t="s">
        <v>6153</v>
      </c>
    </row>
    <row r="35843" spans="8:8">
      <c r="H35843" s="680" t="s">
        <v>6153</v>
      </c>
    </row>
    <row r="35844" spans="8:8">
      <c r="H35844" s="680" t="s">
        <v>6153</v>
      </c>
    </row>
    <row r="35845" spans="8:8">
      <c r="H35845" s="680" t="s">
        <v>6153</v>
      </c>
    </row>
    <row r="35846" spans="8:8">
      <c r="H35846" s="680" t="s">
        <v>6153</v>
      </c>
    </row>
    <row r="35847" spans="8:8">
      <c r="H35847" s="680" t="s">
        <v>6153</v>
      </c>
    </row>
    <row r="35848" spans="8:8">
      <c r="H35848" s="680" t="s">
        <v>6153</v>
      </c>
    </row>
    <row r="35849" spans="8:8">
      <c r="H35849" s="680" t="s">
        <v>6153</v>
      </c>
    </row>
    <row r="35850" spans="8:8">
      <c r="H35850" s="680" t="s">
        <v>6153</v>
      </c>
    </row>
    <row r="35851" spans="8:8">
      <c r="H35851" s="680" t="s">
        <v>6153</v>
      </c>
    </row>
    <row r="35852" spans="8:8">
      <c r="H35852" s="680" t="s">
        <v>6153</v>
      </c>
    </row>
    <row r="35853" spans="8:8">
      <c r="H35853" s="680" t="s">
        <v>6153</v>
      </c>
    </row>
    <row r="35854" spans="8:8">
      <c r="H35854" s="680" t="s">
        <v>6153</v>
      </c>
    </row>
    <row r="35855" spans="8:8">
      <c r="H35855" s="680" t="s">
        <v>6153</v>
      </c>
    </row>
    <row r="35856" spans="8:8">
      <c r="H35856" s="680" t="s">
        <v>6153</v>
      </c>
    </row>
    <row r="35857" spans="8:8">
      <c r="H35857" s="680" t="s">
        <v>6153</v>
      </c>
    </row>
    <row r="35858" spans="8:8">
      <c r="H35858" s="680" t="s">
        <v>6153</v>
      </c>
    </row>
    <row r="35859" spans="8:8">
      <c r="H35859" s="680" t="s">
        <v>6153</v>
      </c>
    </row>
    <row r="35860" spans="8:8">
      <c r="H35860" s="680" t="s">
        <v>6153</v>
      </c>
    </row>
    <row r="35861" spans="8:8">
      <c r="H35861" s="680" t="s">
        <v>6153</v>
      </c>
    </row>
    <row r="35862" spans="8:8">
      <c r="H35862" s="680" t="s">
        <v>6153</v>
      </c>
    </row>
    <row r="35863" spans="8:8">
      <c r="H35863" s="680" t="s">
        <v>6153</v>
      </c>
    </row>
    <row r="35864" spans="8:8">
      <c r="H35864" s="680" t="s">
        <v>6153</v>
      </c>
    </row>
    <row r="35865" spans="8:8">
      <c r="H35865" s="680" t="s">
        <v>6153</v>
      </c>
    </row>
    <row r="35866" spans="8:8">
      <c r="H35866" s="680" t="s">
        <v>6153</v>
      </c>
    </row>
    <row r="35867" spans="8:8">
      <c r="H35867" s="680" t="s">
        <v>6153</v>
      </c>
    </row>
    <row r="35868" spans="8:8">
      <c r="H35868" s="680" t="s">
        <v>6153</v>
      </c>
    </row>
    <row r="35869" spans="8:8">
      <c r="H35869" s="680" t="s">
        <v>6153</v>
      </c>
    </row>
    <row r="35870" spans="8:8">
      <c r="H35870" s="680" t="s">
        <v>6153</v>
      </c>
    </row>
    <row r="35871" spans="8:8">
      <c r="H35871" s="680" t="s">
        <v>6153</v>
      </c>
    </row>
    <row r="35872" spans="8:8">
      <c r="H35872" s="680" t="s">
        <v>6153</v>
      </c>
    </row>
    <row r="35873" spans="8:8">
      <c r="H35873" s="680" t="s">
        <v>6153</v>
      </c>
    </row>
    <row r="35874" spans="8:8">
      <c r="H35874" s="680" t="s">
        <v>6153</v>
      </c>
    </row>
    <row r="35875" spans="8:8">
      <c r="H35875" s="680" t="s">
        <v>6153</v>
      </c>
    </row>
    <row r="35876" spans="8:8">
      <c r="H35876" s="680" t="s">
        <v>6153</v>
      </c>
    </row>
    <row r="35877" spans="8:8">
      <c r="H35877" s="680" t="s">
        <v>6153</v>
      </c>
    </row>
    <row r="35878" spans="8:8">
      <c r="H35878" s="680" t="s">
        <v>6153</v>
      </c>
    </row>
    <row r="35879" spans="8:8">
      <c r="H35879" s="680" t="s">
        <v>6153</v>
      </c>
    </row>
    <row r="35880" spans="8:8">
      <c r="H35880" s="680" t="s">
        <v>6153</v>
      </c>
    </row>
    <row r="35881" spans="8:8">
      <c r="H35881" s="680" t="s">
        <v>6153</v>
      </c>
    </row>
    <row r="35882" spans="8:8">
      <c r="H35882" s="680" t="s">
        <v>6153</v>
      </c>
    </row>
    <row r="35883" spans="8:8">
      <c r="H35883" s="680" t="s">
        <v>6153</v>
      </c>
    </row>
    <row r="35884" spans="8:8">
      <c r="H35884" s="680" t="s">
        <v>6153</v>
      </c>
    </row>
    <row r="35885" spans="8:8">
      <c r="H35885" s="680" t="s">
        <v>6153</v>
      </c>
    </row>
    <row r="35886" spans="8:8">
      <c r="H35886" s="680" t="s">
        <v>6153</v>
      </c>
    </row>
    <row r="35887" spans="8:8">
      <c r="H35887" s="680" t="s">
        <v>6153</v>
      </c>
    </row>
    <row r="35888" spans="8:8">
      <c r="H35888" s="680" t="s">
        <v>6153</v>
      </c>
    </row>
    <row r="35889" spans="8:8">
      <c r="H35889" s="680" t="s">
        <v>6153</v>
      </c>
    </row>
    <row r="35890" spans="8:8">
      <c r="H35890" s="680" t="s">
        <v>6153</v>
      </c>
    </row>
    <row r="35891" spans="8:8">
      <c r="H35891" s="680" t="s">
        <v>6153</v>
      </c>
    </row>
    <row r="35892" spans="8:8">
      <c r="H35892" s="680" t="s">
        <v>6153</v>
      </c>
    </row>
    <row r="35893" spans="8:8">
      <c r="H35893" s="680" t="s">
        <v>6153</v>
      </c>
    </row>
    <row r="35894" spans="8:8">
      <c r="H35894" s="680" t="s">
        <v>6153</v>
      </c>
    </row>
    <row r="35895" spans="8:8">
      <c r="H35895" s="680" t="s">
        <v>6153</v>
      </c>
    </row>
    <row r="35896" spans="8:8">
      <c r="H35896" s="680" t="s">
        <v>6153</v>
      </c>
    </row>
    <row r="35897" spans="8:8">
      <c r="H35897" s="680" t="s">
        <v>6153</v>
      </c>
    </row>
    <row r="35898" spans="8:8">
      <c r="H35898" s="680" t="s">
        <v>6153</v>
      </c>
    </row>
    <row r="35899" spans="8:8">
      <c r="H35899" s="680" t="s">
        <v>6153</v>
      </c>
    </row>
    <row r="35900" spans="8:8">
      <c r="H35900" s="680" t="s">
        <v>6153</v>
      </c>
    </row>
    <row r="35901" spans="8:8">
      <c r="H35901" s="680" t="s">
        <v>6153</v>
      </c>
    </row>
    <row r="35902" spans="8:8">
      <c r="H35902" s="680" t="s">
        <v>6153</v>
      </c>
    </row>
    <row r="35903" spans="8:8">
      <c r="H35903" s="680" t="s">
        <v>6153</v>
      </c>
    </row>
    <row r="35904" spans="8:8">
      <c r="H35904" s="680" t="s">
        <v>6153</v>
      </c>
    </row>
    <row r="35905" spans="8:8">
      <c r="H35905" s="680" t="s">
        <v>6153</v>
      </c>
    </row>
    <row r="35906" spans="8:8">
      <c r="H35906" s="680" t="s">
        <v>6153</v>
      </c>
    </row>
    <row r="35907" spans="8:8">
      <c r="H35907" s="680" t="s">
        <v>6153</v>
      </c>
    </row>
    <row r="35908" spans="8:8">
      <c r="H35908" s="680" t="s">
        <v>6153</v>
      </c>
    </row>
    <row r="35909" spans="8:8">
      <c r="H35909" s="680" t="s">
        <v>6153</v>
      </c>
    </row>
    <row r="35910" spans="8:8">
      <c r="H35910" s="680" t="s">
        <v>6153</v>
      </c>
    </row>
    <row r="35911" spans="8:8">
      <c r="H35911" s="680" t="s">
        <v>6153</v>
      </c>
    </row>
    <row r="35912" spans="8:8">
      <c r="H35912" s="680" t="s">
        <v>6153</v>
      </c>
    </row>
    <row r="35913" spans="8:8">
      <c r="H35913" s="680" t="s">
        <v>6153</v>
      </c>
    </row>
    <row r="35914" spans="8:8">
      <c r="H35914" s="680" t="s">
        <v>6153</v>
      </c>
    </row>
    <row r="35915" spans="8:8">
      <c r="H35915" s="680" t="s">
        <v>6153</v>
      </c>
    </row>
    <row r="35916" spans="8:8">
      <c r="H35916" s="680" t="s">
        <v>6153</v>
      </c>
    </row>
    <row r="35917" spans="8:8">
      <c r="H35917" s="680" t="s">
        <v>6153</v>
      </c>
    </row>
    <row r="35918" spans="8:8">
      <c r="H35918" s="680" t="s">
        <v>6153</v>
      </c>
    </row>
    <row r="35919" spans="8:8">
      <c r="H35919" s="680" t="s">
        <v>6153</v>
      </c>
    </row>
    <row r="35920" spans="8:8">
      <c r="H35920" s="680" t="s">
        <v>6153</v>
      </c>
    </row>
    <row r="35921" spans="8:8">
      <c r="H35921" s="680" t="s">
        <v>6153</v>
      </c>
    </row>
    <row r="35922" spans="8:8">
      <c r="H35922" s="680" t="s">
        <v>6153</v>
      </c>
    </row>
    <row r="35923" spans="8:8">
      <c r="H35923" s="680" t="s">
        <v>6153</v>
      </c>
    </row>
    <row r="35924" spans="8:8">
      <c r="H35924" s="680" t="s">
        <v>6153</v>
      </c>
    </row>
    <row r="35925" spans="8:8">
      <c r="H35925" s="680" t="s">
        <v>6153</v>
      </c>
    </row>
    <row r="35926" spans="8:8">
      <c r="H35926" s="680" t="s">
        <v>6153</v>
      </c>
    </row>
    <row r="35927" spans="8:8">
      <c r="H35927" s="680" t="s">
        <v>6153</v>
      </c>
    </row>
    <row r="35928" spans="8:8">
      <c r="H35928" s="680" t="s">
        <v>6153</v>
      </c>
    </row>
    <row r="35929" spans="8:8">
      <c r="H35929" s="680" t="s">
        <v>6153</v>
      </c>
    </row>
    <row r="35930" spans="8:8">
      <c r="H35930" s="680" t="s">
        <v>6153</v>
      </c>
    </row>
    <row r="35931" spans="8:8">
      <c r="H35931" s="680" t="s">
        <v>6153</v>
      </c>
    </row>
    <row r="35932" spans="8:8">
      <c r="H35932" s="680" t="s">
        <v>6153</v>
      </c>
    </row>
    <row r="35933" spans="8:8">
      <c r="H35933" s="680" t="s">
        <v>6153</v>
      </c>
    </row>
    <row r="35934" spans="8:8">
      <c r="H35934" s="680" t="s">
        <v>6153</v>
      </c>
    </row>
    <row r="35935" spans="8:8">
      <c r="H35935" s="680" t="s">
        <v>6153</v>
      </c>
    </row>
    <row r="35936" spans="8:8">
      <c r="H35936" s="680" t="s">
        <v>6153</v>
      </c>
    </row>
    <row r="35937" spans="8:8">
      <c r="H35937" s="680" t="s">
        <v>6153</v>
      </c>
    </row>
    <row r="35938" spans="8:8">
      <c r="H35938" s="680" t="s">
        <v>6153</v>
      </c>
    </row>
    <row r="35939" spans="8:8">
      <c r="H35939" s="680" t="s">
        <v>6153</v>
      </c>
    </row>
    <row r="35940" spans="8:8">
      <c r="H35940" s="680" t="s">
        <v>6153</v>
      </c>
    </row>
    <row r="35941" spans="8:8">
      <c r="H35941" s="680" t="s">
        <v>6153</v>
      </c>
    </row>
    <row r="35942" spans="8:8">
      <c r="H35942" s="680" t="s">
        <v>6153</v>
      </c>
    </row>
    <row r="35943" spans="8:8">
      <c r="H35943" s="680" t="s">
        <v>6153</v>
      </c>
    </row>
    <row r="35944" spans="8:8">
      <c r="H35944" s="680" t="s">
        <v>6153</v>
      </c>
    </row>
    <row r="35945" spans="8:8">
      <c r="H35945" s="680" t="s">
        <v>6153</v>
      </c>
    </row>
    <row r="35946" spans="8:8">
      <c r="H35946" s="680" t="s">
        <v>6153</v>
      </c>
    </row>
    <row r="35947" spans="8:8">
      <c r="H35947" s="680" t="s">
        <v>6153</v>
      </c>
    </row>
    <row r="35948" spans="8:8">
      <c r="H35948" s="680" t="s">
        <v>6153</v>
      </c>
    </row>
    <row r="35949" spans="8:8">
      <c r="H35949" s="680" t="s">
        <v>6153</v>
      </c>
    </row>
    <row r="35950" spans="8:8">
      <c r="H35950" s="680" t="s">
        <v>6153</v>
      </c>
    </row>
    <row r="35951" spans="8:8">
      <c r="H35951" s="680" t="s">
        <v>6153</v>
      </c>
    </row>
    <row r="35952" spans="8:8">
      <c r="H35952" s="680" t="s">
        <v>6153</v>
      </c>
    </row>
    <row r="35953" spans="8:8">
      <c r="H35953" s="680" t="s">
        <v>6153</v>
      </c>
    </row>
    <row r="35954" spans="8:8">
      <c r="H35954" s="680" t="s">
        <v>6153</v>
      </c>
    </row>
    <row r="35955" spans="8:8">
      <c r="H35955" s="680" t="s">
        <v>6153</v>
      </c>
    </row>
    <row r="35956" spans="8:8">
      <c r="H35956" s="680" t="s">
        <v>6153</v>
      </c>
    </row>
    <row r="35957" spans="8:8">
      <c r="H35957" s="680" t="s">
        <v>6153</v>
      </c>
    </row>
    <row r="35958" spans="8:8">
      <c r="H35958" s="680" t="s">
        <v>6153</v>
      </c>
    </row>
    <row r="35959" spans="8:8">
      <c r="H35959" s="680" t="s">
        <v>6153</v>
      </c>
    </row>
    <row r="35960" spans="8:8">
      <c r="H35960" s="680" t="s">
        <v>6153</v>
      </c>
    </row>
    <row r="35961" spans="8:8">
      <c r="H35961" s="680" t="s">
        <v>6153</v>
      </c>
    </row>
    <row r="35962" spans="8:8">
      <c r="H35962" s="680" t="s">
        <v>6153</v>
      </c>
    </row>
    <row r="35963" spans="8:8">
      <c r="H35963" s="680" t="s">
        <v>6153</v>
      </c>
    </row>
    <row r="35964" spans="8:8">
      <c r="H35964" s="680" t="s">
        <v>6153</v>
      </c>
    </row>
    <row r="35965" spans="8:8">
      <c r="H35965" s="680" t="s">
        <v>6153</v>
      </c>
    </row>
    <row r="35966" spans="8:8">
      <c r="H35966" s="680" t="s">
        <v>6153</v>
      </c>
    </row>
    <row r="35967" spans="8:8">
      <c r="H35967" s="680" t="s">
        <v>6153</v>
      </c>
    </row>
    <row r="35968" spans="8:8">
      <c r="H35968" s="680" t="s">
        <v>6153</v>
      </c>
    </row>
    <row r="35969" spans="8:8">
      <c r="H35969" s="680" t="s">
        <v>6153</v>
      </c>
    </row>
    <row r="35970" spans="8:8">
      <c r="H35970" s="680" t="s">
        <v>6153</v>
      </c>
    </row>
    <row r="35971" spans="8:8">
      <c r="H35971" s="680" t="s">
        <v>6153</v>
      </c>
    </row>
    <row r="35972" spans="8:8">
      <c r="H35972" s="680" t="s">
        <v>6153</v>
      </c>
    </row>
    <row r="35973" spans="8:8">
      <c r="H35973" s="680" t="s">
        <v>6153</v>
      </c>
    </row>
    <row r="35974" spans="8:8">
      <c r="H35974" s="680" t="s">
        <v>6153</v>
      </c>
    </row>
    <row r="35975" spans="8:8">
      <c r="H35975" s="680" t="s">
        <v>6153</v>
      </c>
    </row>
    <row r="35976" spans="8:8">
      <c r="H35976" s="680" t="s">
        <v>6153</v>
      </c>
    </row>
    <row r="35977" spans="8:8">
      <c r="H35977" s="680" t="s">
        <v>6153</v>
      </c>
    </row>
    <row r="35978" spans="8:8">
      <c r="H35978" s="680" t="s">
        <v>6153</v>
      </c>
    </row>
    <row r="35979" spans="8:8">
      <c r="H35979" s="680" t="s">
        <v>6153</v>
      </c>
    </row>
    <row r="35980" spans="8:8">
      <c r="H35980" s="680" t="s">
        <v>6153</v>
      </c>
    </row>
    <row r="35981" spans="8:8">
      <c r="H35981" s="680" t="s">
        <v>6153</v>
      </c>
    </row>
    <row r="35982" spans="8:8">
      <c r="H35982" s="680" t="s">
        <v>6153</v>
      </c>
    </row>
    <row r="35983" spans="8:8">
      <c r="H35983" s="680" t="s">
        <v>6153</v>
      </c>
    </row>
    <row r="35984" spans="8:8">
      <c r="H35984" s="680" t="s">
        <v>6153</v>
      </c>
    </row>
    <row r="35985" spans="8:8">
      <c r="H35985" s="680" t="s">
        <v>6153</v>
      </c>
    </row>
    <row r="35986" spans="8:8">
      <c r="H35986" s="680" t="s">
        <v>6153</v>
      </c>
    </row>
    <row r="35987" spans="8:8">
      <c r="H35987" s="680" t="s">
        <v>6153</v>
      </c>
    </row>
    <row r="35988" spans="8:8">
      <c r="H35988" s="680" t="s">
        <v>6153</v>
      </c>
    </row>
    <row r="35989" spans="8:8">
      <c r="H35989" s="680" t="s">
        <v>6153</v>
      </c>
    </row>
    <row r="35990" spans="8:8">
      <c r="H35990" s="680" t="s">
        <v>6153</v>
      </c>
    </row>
    <row r="35991" spans="8:8">
      <c r="H35991" s="680" t="s">
        <v>6153</v>
      </c>
    </row>
    <row r="35992" spans="8:8">
      <c r="H35992" s="680" t="s">
        <v>6153</v>
      </c>
    </row>
    <row r="35993" spans="8:8">
      <c r="H35993" s="680" t="s">
        <v>6153</v>
      </c>
    </row>
    <row r="35994" spans="8:8">
      <c r="H35994" s="680" t="s">
        <v>6153</v>
      </c>
    </row>
    <row r="35995" spans="8:8">
      <c r="H35995" s="680" t="s">
        <v>6153</v>
      </c>
    </row>
    <row r="35996" spans="8:8">
      <c r="H35996" s="680" t="s">
        <v>6153</v>
      </c>
    </row>
    <row r="35997" spans="8:8">
      <c r="H35997" s="680" t="s">
        <v>6153</v>
      </c>
    </row>
    <row r="35998" spans="8:8">
      <c r="H35998" s="680" t="s">
        <v>6153</v>
      </c>
    </row>
    <row r="35999" spans="8:8">
      <c r="H35999" s="680" t="s">
        <v>6153</v>
      </c>
    </row>
    <row r="36000" spans="8:8">
      <c r="H36000" s="680" t="s">
        <v>6153</v>
      </c>
    </row>
    <row r="36001" spans="8:8">
      <c r="H36001" s="680" t="s">
        <v>6153</v>
      </c>
    </row>
    <row r="36002" spans="8:8">
      <c r="H36002" s="680" t="s">
        <v>6153</v>
      </c>
    </row>
    <row r="36003" spans="8:8">
      <c r="H36003" s="680" t="s">
        <v>6153</v>
      </c>
    </row>
    <row r="36004" spans="8:8">
      <c r="H36004" s="680" t="s">
        <v>6153</v>
      </c>
    </row>
    <row r="36005" spans="8:8">
      <c r="H36005" s="680" t="s">
        <v>6153</v>
      </c>
    </row>
    <row r="36006" spans="8:8">
      <c r="H36006" s="680" t="s">
        <v>6153</v>
      </c>
    </row>
    <row r="36007" spans="8:8">
      <c r="H36007" s="680" t="s">
        <v>6153</v>
      </c>
    </row>
    <row r="36008" spans="8:8">
      <c r="H36008" s="680" t="s">
        <v>6153</v>
      </c>
    </row>
    <row r="36009" spans="8:8">
      <c r="H36009" s="680" t="s">
        <v>6153</v>
      </c>
    </row>
    <row r="36010" spans="8:8">
      <c r="H36010" s="680" t="s">
        <v>6153</v>
      </c>
    </row>
    <row r="36011" spans="8:8">
      <c r="H36011" s="680" t="s">
        <v>6153</v>
      </c>
    </row>
    <row r="36012" spans="8:8">
      <c r="H36012" s="680" t="s">
        <v>6153</v>
      </c>
    </row>
    <row r="36013" spans="8:8">
      <c r="H36013" s="680" t="s">
        <v>6153</v>
      </c>
    </row>
    <row r="36014" spans="8:8">
      <c r="H36014" s="680" t="s">
        <v>6153</v>
      </c>
    </row>
    <row r="36015" spans="8:8">
      <c r="H36015" s="680" t="s">
        <v>6153</v>
      </c>
    </row>
    <row r="36016" spans="8:8">
      <c r="H36016" s="680" t="s">
        <v>6153</v>
      </c>
    </row>
    <row r="36017" spans="8:8">
      <c r="H36017" s="680" t="s">
        <v>6153</v>
      </c>
    </row>
    <row r="36018" spans="8:8">
      <c r="H36018" s="680" t="s">
        <v>6153</v>
      </c>
    </row>
    <row r="36019" spans="8:8">
      <c r="H36019" s="680" t="s">
        <v>6153</v>
      </c>
    </row>
    <row r="36020" spans="8:8">
      <c r="H36020" s="680" t="s">
        <v>6153</v>
      </c>
    </row>
    <row r="36021" spans="8:8">
      <c r="H36021" s="680" t="s">
        <v>6153</v>
      </c>
    </row>
    <row r="36022" spans="8:8">
      <c r="H36022" s="680" t="s">
        <v>6153</v>
      </c>
    </row>
    <row r="36023" spans="8:8">
      <c r="H36023" s="680" t="s">
        <v>6153</v>
      </c>
    </row>
    <row r="36024" spans="8:8">
      <c r="H36024" s="680" t="s">
        <v>6153</v>
      </c>
    </row>
    <row r="36025" spans="8:8">
      <c r="H36025" s="680" t="s">
        <v>6153</v>
      </c>
    </row>
    <row r="36026" spans="8:8">
      <c r="H36026" s="680" t="s">
        <v>6153</v>
      </c>
    </row>
    <row r="36027" spans="8:8">
      <c r="H36027" s="680" t="s">
        <v>6153</v>
      </c>
    </row>
    <row r="36028" spans="8:8">
      <c r="H36028" s="680" t="s">
        <v>6153</v>
      </c>
    </row>
    <row r="36029" spans="8:8">
      <c r="H36029" s="680" t="s">
        <v>6153</v>
      </c>
    </row>
    <row r="36030" spans="8:8">
      <c r="H36030" s="680" t="s">
        <v>6153</v>
      </c>
    </row>
    <row r="36031" spans="8:8">
      <c r="H36031" s="680" t="s">
        <v>6153</v>
      </c>
    </row>
    <row r="36032" spans="8:8">
      <c r="H36032" s="680" t="s">
        <v>6153</v>
      </c>
    </row>
    <row r="36033" spans="8:8">
      <c r="H36033" s="680" t="s">
        <v>6153</v>
      </c>
    </row>
    <row r="36034" spans="8:8">
      <c r="H36034" s="680" t="s">
        <v>6153</v>
      </c>
    </row>
    <row r="36035" spans="8:8">
      <c r="H36035" s="680" t="s">
        <v>6153</v>
      </c>
    </row>
    <row r="36036" spans="8:8">
      <c r="H36036" s="680" t="s">
        <v>6153</v>
      </c>
    </row>
    <row r="36037" spans="8:8">
      <c r="H36037" s="680" t="s">
        <v>6153</v>
      </c>
    </row>
    <row r="36038" spans="8:8">
      <c r="H36038" s="680" t="s">
        <v>6153</v>
      </c>
    </row>
    <row r="36039" spans="8:8">
      <c r="H36039" s="680" t="s">
        <v>6153</v>
      </c>
    </row>
    <row r="36040" spans="8:8">
      <c r="H36040" s="680" t="s">
        <v>6153</v>
      </c>
    </row>
    <row r="36041" spans="8:8">
      <c r="H36041" s="680" t="s">
        <v>6153</v>
      </c>
    </row>
    <row r="36042" spans="8:8">
      <c r="H36042" s="680" t="s">
        <v>6153</v>
      </c>
    </row>
    <row r="36043" spans="8:8">
      <c r="H36043" s="680" t="s">
        <v>6153</v>
      </c>
    </row>
    <row r="36044" spans="8:8">
      <c r="H36044" s="680" t="s">
        <v>6153</v>
      </c>
    </row>
    <row r="36045" spans="8:8">
      <c r="H36045" s="680" t="s">
        <v>6153</v>
      </c>
    </row>
    <row r="36046" spans="8:8">
      <c r="H36046" s="680" t="s">
        <v>6153</v>
      </c>
    </row>
    <row r="36047" spans="8:8">
      <c r="H36047" s="680" t="s">
        <v>6153</v>
      </c>
    </row>
    <row r="36048" spans="8:8">
      <c r="H36048" s="680" t="s">
        <v>6153</v>
      </c>
    </row>
    <row r="36049" spans="8:8">
      <c r="H36049" s="680" t="s">
        <v>6153</v>
      </c>
    </row>
    <row r="36050" spans="8:8">
      <c r="H36050" s="680" t="s">
        <v>6153</v>
      </c>
    </row>
    <row r="36051" spans="8:8">
      <c r="H36051" s="680" t="s">
        <v>6153</v>
      </c>
    </row>
    <row r="36052" spans="8:8">
      <c r="H36052" s="680" t="s">
        <v>6153</v>
      </c>
    </row>
    <row r="36053" spans="8:8">
      <c r="H36053" s="680" t="s">
        <v>6153</v>
      </c>
    </row>
    <row r="36054" spans="8:8">
      <c r="H36054" s="680" t="s">
        <v>6153</v>
      </c>
    </row>
    <row r="36055" spans="8:8">
      <c r="H36055" s="680" t="s">
        <v>6153</v>
      </c>
    </row>
    <row r="36056" spans="8:8">
      <c r="H36056" s="680" t="s">
        <v>6153</v>
      </c>
    </row>
    <row r="36057" spans="8:8">
      <c r="H36057" s="680" t="s">
        <v>6153</v>
      </c>
    </row>
    <row r="36058" spans="8:8">
      <c r="H36058" s="680" t="s">
        <v>6153</v>
      </c>
    </row>
    <row r="36059" spans="8:8">
      <c r="H36059" s="680" t="s">
        <v>6153</v>
      </c>
    </row>
    <row r="36060" spans="8:8">
      <c r="H36060" s="680" t="s">
        <v>6153</v>
      </c>
    </row>
    <row r="36061" spans="8:8">
      <c r="H36061" s="680" t="s">
        <v>6153</v>
      </c>
    </row>
    <row r="36062" spans="8:8">
      <c r="H36062" s="680" t="s">
        <v>6153</v>
      </c>
    </row>
    <row r="36063" spans="8:8">
      <c r="H36063" s="680" t="s">
        <v>6153</v>
      </c>
    </row>
    <row r="36064" spans="8:8">
      <c r="H36064" s="680" t="s">
        <v>6153</v>
      </c>
    </row>
    <row r="36065" spans="8:8">
      <c r="H36065" s="680" t="s">
        <v>6153</v>
      </c>
    </row>
    <row r="36066" spans="8:8">
      <c r="H36066" s="680" t="s">
        <v>6153</v>
      </c>
    </row>
    <row r="36067" spans="8:8">
      <c r="H36067" s="680" t="s">
        <v>6153</v>
      </c>
    </row>
    <row r="36068" spans="8:8">
      <c r="H36068" s="680" t="s">
        <v>6153</v>
      </c>
    </row>
    <row r="36069" spans="8:8">
      <c r="H36069" s="680" t="s">
        <v>6153</v>
      </c>
    </row>
    <row r="36070" spans="8:8">
      <c r="H36070" s="680" t="s">
        <v>6153</v>
      </c>
    </row>
    <row r="36071" spans="8:8">
      <c r="H36071" s="680" t="s">
        <v>6153</v>
      </c>
    </row>
    <row r="36072" spans="8:8">
      <c r="H36072" s="680" t="s">
        <v>6153</v>
      </c>
    </row>
    <row r="36073" spans="8:8">
      <c r="H36073" s="680" t="s">
        <v>6153</v>
      </c>
    </row>
    <row r="36074" spans="8:8">
      <c r="H36074" s="680" t="s">
        <v>6153</v>
      </c>
    </row>
    <row r="36075" spans="8:8">
      <c r="H36075" s="680" t="s">
        <v>6153</v>
      </c>
    </row>
    <row r="36076" spans="8:8">
      <c r="H36076" s="680" t="s">
        <v>6153</v>
      </c>
    </row>
    <row r="36077" spans="8:8">
      <c r="H36077" s="680" t="s">
        <v>6153</v>
      </c>
    </row>
    <row r="36078" spans="8:8">
      <c r="H36078" s="680" t="s">
        <v>6153</v>
      </c>
    </row>
    <row r="36079" spans="8:8">
      <c r="H36079" s="680" t="s">
        <v>6153</v>
      </c>
    </row>
    <row r="36080" spans="8:8">
      <c r="H36080" s="680" t="s">
        <v>6153</v>
      </c>
    </row>
    <row r="36081" spans="8:8">
      <c r="H36081" s="680" t="s">
        <v>6153</v>
      </c>
    </row>
    <row r="36082" spans="8:8">
      <c r="H36082" s="680" t="s">
        <v>6153</v>
      </c>
    </row>
    <row r="36083" spans="8:8">
      <c r="H36083" s="680" t="s">
        <v>6153</v>
      </c>
    </row>
    <row r="36084" spans="8:8">
      <c r="H36084" s="680" t="s">
        <v>6153</v>
      </c>
    </row>
    <row r="36085" spans="8:8">
      <c r="H36085" s="680" t="s">
        <v>6153</v>
      </c>
    </row>
    <row r="36086" spans="8:8">
      <c r="H36086" s="680" t="s">
        <v>6153</v>
      </c>
    </row>
    <row r="36087" spans="8:8">
      <c r="H36087" s="680" t="s">
        <v>6153</v>
      </c>
    </row>
    <row r="36088" spans="8:8">
      <c r="H36088" s="680" t="s">
        <v>6153</v>
      </c>
    </row>
    <row r="36089" spans="8:8">
      <c r="H36089" s="680" t="s">
        <v>6153</v>
      </c>
    </row>
    <row r="36090" spans="8:8">
      <c r="H36090" s="680" t="s">
        <v>6153</v>
      </c>
    </row>
    <row r="36091" spans="8:8">
      <c r="H36091" s="680" t="s">
        <v>6153</v>
      </c>
    </row>
    <row r="36092" spans="8:8">
      <c r="H36092" s="680" t="s">
        <v>6153</v>
      </c>
    </row>
    <row r="36093" spans="8:8">
      <c r="H36093" s="680" t="s">
        <v>6153</v>
      </c>
    </row>
    <row r="36094" spans="8:8">
      <c r="H36094" s="680" t="s">
        <v>6153</v>
      </c>
    </row>
    <row r="36095" spans="8:8">
      <c r="H36095" s="680" t="s">
        <v>6153</v>
      </c>
    </row>
    <row r="36096" spans="8:8">
      <c r="H36096" s="680" t="s">
        <v>6153</v>
      </c>
    </row>
    <row r="36097" spans="8:8">
      <c r="H36097" s="680" t="s">
        <v>6153</v>
      </c>
    </row>
    <row r="36098" spans="8:8">
      <c r="H36098" s="680" t="s">
        <v>6153</v>
      </c>
    </row>
    <row r="36099" spans="8:8">
      <c r="H36099" s="680" t="s">
        <v>6153</v>
      </c>
    </row>
    <row r="36100" spans="8:8">
      <c r="H36100" s="680" t="s">
        <v>6153</v>
      </c>
    </row>
    <row r="36101" spans="8:8">
      <c r="H36101" s="680" t="s">
        <v>6153</v>
      </c>
    </row>
    <row r="36102" spans="8:8">
      <c r="H36102" s="680" t="s">
        <v>6153</v>
      </c>
    </row>
    <row r="36103" spans="8:8">
      <c r="H36103" s="680" t="s">
        <v>6153</v>
      </c>
    </row>
    <row r="36104" spans="8:8">
      <c r="H36104" s="680" t="s">
        <v>6153</v>
      </c>
    </row>
    <row r="36105" spans="8:8">
      <c r="H36105" s="680" t="s">
        <v>6153</v>
      </c>
    </row>
    <row r="36106" spans="8:8">
      <c r="H36106" s="680" t="s">
        <v>6153</v>
      </c>
    </row>
    <row r="36107" spans="8:8">
      <c r="H36107" s="680" t="s">
        <v>6153</v>
      </c>
    </row>
    <row r="36108" spans="8:8">
      <c r="H36108" s="680" t="s">
        <v>6153</v>
      </c>
    </row>
    <row r="36109" spans="8:8">
      <c r="H36109" s="680" t="s">
        <v>6153</v>
      </c>
    </row>
    <row r="36110" spans="8:8">
      <c r="H36110" s="680" t="s">
        <v>6153</v>
      </c>
    </row>
    <row r="36111" spans="8:8">
      <c r="H36111" s="680" t="s">
        <v>6153</v>
      </c>
    </row>
    <row r="36112" spans="8:8">
      <c r="H36112" s="680" t="s">
        <v>6153</v>
      </c>
    </row>
    <row r="36113" spans="8:8">
      <c r="H36113" s="680" t="s">
        <v>6153</v>
      </c>
    </row>
    <row r="36114" spans="8:8">
      <c r="H36114" s="680" t="s">
        <v>6153</v>
      </c>
    </row>
    <row r="36115" spans="8:8">
      <c r="H36115" s="680" t="s">
        <v>6153</v>
      </c>
    </row>
    <row r="36116" spans="8:8">
      <c r="H36116" s="680" t="s">
        <v>6153</v>
      </c>
    </row>
    <row r="36117" spans="8:8">
      <c r="H36117" s="680" t="s">
        <v>6153</v>
      </c>
    </row>
    <row r="36118" spans="8:8">
      <c r="H36118" s="680" t="s">
        <v>6153</v>
      </c>
    </row>
    <row r="36119" spans="8:8">
      <c r="H36119" s="680" t="s">
        <v>6153</v>
      </c>
    </row>
    <row r="36120" spans="8:8">
      <c r="H36120" s="680" t="s">
        <v>6153</v>
      </c>
    </row>
    <row r="36121" spans="8:8">
      <c r="H36121" s="680" t="s">
        <v>6153</v>
      </c>
    </row>
    <row r="36122" spans="8:8">
      <c r="H36122" s="680" t="s">
        <v>6153</v>
      </c>
    </row>
    <row r="36123" spans="8:8">
      <c r="H36123" s="680" t="s">
        <v>6153</v>
      </c>
    </row>
    <row r="36124" spans="8:8">
      <c r="H36124" s="680" t="s">
        <v>6153</v>
      </c>
    </row>
    <row r="36125" spans="8:8">
      <c r="H36125" s="680" t="s">
        <v>6153</v>
      </c>
    </row>
    <row r="36126" spans="8:8">
      <c r="H36126" s="680" t="s">
        <v>6153</v>
      </c>
    </row>
    <row r="36127" spans="8:8">
      <c r="H36127" s="680" t="s">
        <v>6153</v>
      </c>
    </row>
    <row r="36128" spans="8:8">
      <c r="H36128" s="680" t="s">
        <v>6153</v>
      </c>
    </row>
    <row r="36129" spans="8:8">
      <c r="H36129" s="680" t="s">
        <v>6153</v>
      </c>
    </row>
    <row r="36130" spans="8:8">
      <c r="H36130" s="680" t="s">
        <v>6153</v>
      </c>
    </row>
    <row r="36131" spans="8:8">
      <c r="H36131" s="680" t="s">
        <v>6153</v>
      </c>
    </row>
    <row r="36132" spans="8:8">
      <c r="H36132" s="680" t="s">
        <v>6153</v>
      </c>
    </row>
    <row r="36133" spans="8:8">
      <c r="H36133" s="680" t="s">
        <v>6153</v>
      </c>
    </row>
    <row r="36134" spans="8:8">
      <c r="H36134" s="680" t="s">
        <v>6153</v>
      </c>
    </row>
    <row r="36135" spans="8:8">
      <c r="H36135" s="680" t="s">
        <v>6153</v>
      </c>
    </row>
    <row r="36136" spans="8:8">
      <c r="H36136" s="680" t="s">
        <v>6153</v>
      </c>
    </row>
    <row r="36137" spans="8:8">
      <c r="H36137" s="680" t="s">
        <v>6153</v>
      </c>
    </row>
    <row r="36138" spans="8:8">
      <c r="H36138" s="680" t="s">
        <v>6153</v>
      </c>
    </row>
    <row r="36139" spans="8:8">
      <c r="H36139" s="680" t="s">
        <v>6153</v>
      </c>
    </row>
    <row r="36140" spans="8:8">
      <c r="H36140" s="680" t="s">
        <v>6153</v>
      </c>
    </row>
    <row r="36141" spans="8:8">
      <c r="H36141" s="680" t="s">
        <v>6153</v>
      </c>
    </row>
    <row r="36142" spans="8:8">
      <c r="H36142" s="680" t="s">
        <v>6153</v>
      </c>
    </row>
    <row r="36143" spans="8:8">
      <c r="H36143" s="680" t="s">
        <v>6153</v>
      </c>
    </row>
    <row r="36144" spans="8:8">
      <c r="H36144" s="680" t="s">
        <v>6153</v>
      </c>
    </row>
    <row r="36145" spans="8:8">
      <c r="H36145" s="680" t="s">
        <v>6153</v>
      </c>
    </row>
    <row r="36146" spans="8:8">
      <c r="H36146" s="680" t="s">
        <v>6153</v>
      </c>
    </row>
    <row r="36147" spans="8:8">
      <c r="H36147" s="680" t="s">
        <v>6153</v>
      </c>
    </row>
    <row r="36148" spans="8:8">
      <c r="H36148" s="680" t="s">
        <v>6153</v>
      </c>
    </row>
    <row r="36149" spans="8:8">
      <c r="H36149" s="680" t="s">
        <v>6153</v>
      </c>
    </row>
    <row r="36150" spans="8:8">
      <c r="H36150" s="680" t="s">
        <v>6153</v>
      </c>
    </row>
    <row r="36151" spans="8:8">
      <c r="H36151" s="680" t="s">
        <v>6153</v>
      </c>
    </row>
    <row r="36152" spans="8:8">
      <c r="H36152" s="680" t="s">
        <v>6153</v>
      </c>
    </row>
    <row r="36153" spans="8:8">
      <c r="H36153" s="680" t="s">
        <v>6153</v>
      </c>
    </row>
    <row r="36154" spans="8:8">
      <c r="H36154" s="680" t="s">
        <v>6153</v>
      </c>
    </row>
    <row r="36155" spans="8:8">
      <c r="H36155" s="680" t="s">
        <v>6153</v>
      </c>
    </row>
    <row r="36156" spans="8:8">
      <c r="H36156" s="680" t="s">
        <v>6153</v>
      </c>
    </row>
    <row r="36157" spans="8:8">
      <c r="H36157" s="680" t="s">
        <v>6153</v>
      </c>
    </row>
    <row r="36158" spans="8:8">
      <c r="H36158" s="680" t="s">
        <v>6153</v>
      </c>
    </row>
    <row r="36159" spans="8:8">
      <c r="H36159" s="680" t="s">
        <v>6153</v>
      </c>
    </row>
    <row r="36160" spans="8:8">
      <c r="H36160" s="680" t="s">
        <v>6153</v>
      </c>
    </row>
    <row r="36161" spans="8:8">
      <c r="H36161" s="680" t="s">
        <v>6153</v>
      </c>
    </row>
    <row r="36162" spans="8:8">
      <c r="H36162" s="680" t="s">
        <v>6153</v>
      </c>
    </row>
    <row r="36163" spans="8:8">
      <c r="H36163" s="680" t="s">
        <v>6153</v>
      </c>
    </row>
    <row r="36164" spans="8:8">
      <c r="H36164" s="680" t="s">
        <v>6153</v>
      </c>
    </row>
    <row r="36165" spans="8:8">
      <c r="H36165" s="680" t="s">
        <v>6153</v>
      </c>
    </row>
    <row r="36166" spans="8:8">
      <c r="H36166" s="680" t="s">
        <v>6153</v>
      </c>
    </row>
    <row r="36167" spans="8:8">
      <c r="H36167" s="680" t="s">
        <v>6153</v>
      </c>
    </row>
    <row r="36168" spans="8:8">
      <c r="H36168" s="680" t="s">
        <v>6153</v>
      </c>
    </row>
    <row r="36169" spans="8:8">
      <c r="H36169" s="680" t="s">
        <v>6153</v>
      </c>
    </row>
    <row r="36170" spans="8:8">
      <c r="H36170" s="680" t="s">
        <v>6153</v>
      </c>
    </row>
    <row r="36171" spans="8:8">
      <c r="H36171" s="680" t="s">
        <v>6153</v>
      </c>
    </row>
    <row r="36172" spans="8:8">
      <c r="H36172" s="680" t="s">
        <v>6153</v>
      </c>
    </row>
    <row r="36173" spans="8:8">
      <c r="H36173" s="680" t="s">
        <v>6153</v>
      </c>
    </row>
    <row r="36174" spans="8:8">
      <c r="H36174" s="680" t="s">
        <v>6153</v>
      </c>
    </row>
    <row r="36175" spans="8:8">
      <c r="H36175" s="680" t="s">
        <v>6153</v>
      </c>
    </row>
    <row r="36176" spans="8:8">
      <c r="H36176" s="680" t="s">
        <v>6153</v>
      </c>
    </row>
    <row r="36177" spans="8:8">
      <c r="H36177" s="680" t="s">
        <v>6153</v>
      </c>
    </row>
    <row r="36178" spans="8:8">
      <c r="H36178" s="680" t="s">
        <v>6153</v>
      </c>
    </row>
    <row r="36179" spans="8:8">
      <c r="H36179" s="680" t="s">
        <v>6153</v>
      </c>
    </row>
    <row r="36180" spans="8:8">
      <c r="H36180" s="680" t="s">
        <v>6153</v>
      </c>
    </row>
    <row r="36181" spans="8:8">
      <c r="H36181" s="680" t="s">
        <v>6153</v>
      </c>
    </row>
    <row r="36182" spans="8:8">
      <c r="H36182" s="680" t="s">
        <v>6153</v>
      </c>
    </row>
    <row r="36183" spans="8:8">
      <c r="H36183" s="680" t="s">
        <v>6153</v>
      </c>
    </row>
    <row r="36184" spans="8:8">
      <c r="H36184" s="680" t="s">
        <v>6153</v>
      </c>
    </row>
    <row r="36185" spans="8:8">
      <c r="H36185" s="680" t="s">
        <v>6153</v>
      </c>
    </row>
    <row r="36186" spans="8:8">
      <c r="H36186" s="680" t="s">
        <v>6153</v>
      </c>
    </row>
    <row r="36187" spans="8:8">
      <c r="H36187" s="680" t="s">
        <v>6153</v>
      </c>
    </row>
    <row r="36188" spans="8:8">
      <c r="H36188" s="680" t="s">
        <v>6153</v>
      </c>
    </row>
    <row r="36189" spans="8:8">
      <c r="H36189" s="680" t="s">
        <v>6153</v>
      </c>
    </row>
    <row r="36190" spans="8:8">
      <c r="H36190" s="680" t="s">
        <v>6153</v>
      </c>
    </row>
    <row r="36191" spans="8:8">
      <c r="H36191" s="680" t="s">
        <v>6153</v>
      </c>
    </row>
    <row r="36192" spans="8:8">
      <c r="H36192" s="680" t="s">
        <v>6153</v>
      </c>
    </row>
    <row r="36193" spans="8:8">
      <c r="H36193" s="680" t="s">
        <v>6153</v>
      </c>
    </row>
    <row r="36194" spans="8:8">
      <c r="H36194" s="680" t="s">
        <v>6153</v>
      </c>
    </row>
    <row r="36195" spans="8:8">
      <c r="H36195" s="680" t="s">
        <v>6153</v>
      </c>
    </row>
    <row r="36196" spans="8:8">
      <c r="H36196" s="680" t="s">
        <v>6153</v>
      </c>
    </row>
    <row r="36197" spans="8:8">
      <c r="H36197" s="680" t="s">
        <v>6153</v>
      </c>
    </row>
    <row r="36198" spans="8:8">
      <c r="H36198" s="680" t="s">
        <v>6153</v>
      </c>
    </row>
    <row r="36199" spans="8:8">
      <c r="H36199" s="680" t="s">
        <v>6153</v>
      </c>
    </row>
    <row r="36200" spans="8:8">
      <c r="H36200" s="680" t="s">
        <v>6153</v>
      </c>
    </row>
    <row r="36201" spans="8:8">
      <c r="H36201" s="680" t="s">
        <v>6153</v>
      </c>
    </row>
    <row r="36202" spans="8:8">
      <c r="H36202" s="680" t="s">
        <v>6153</v>
      </c>
    </row>
    <row r="36203" spans="8:8">
      <c r="H36203" s="680" t="s">
        <v>6153</v>
      </c>
    </row>
    <row r="36204" spans="8:8">
      <c r="H36204" s="680" t="s">
        <v>6153</v>
      </c>
    </row>
    <row r="36205" spans="8:8">
      <c r="H36205" s="680" t="s">
        <v>6153</v>
      </c>
    </row>
    <row r="36206" spans="8:8">
      <c r="H36206" s="680" t="s">
        <v>6153</v>
      </c>
    </row>
    <row r="36207" spans="8:8">
      <c r="H36207" s="680" t="s">
        <v>6153</v>
      </c>
    </row>
    <row r="36208" spans="8:8">
      <c r="H36208" s="680" t="s">
        <v>6153</v>
      </c>
    </row>
    <row r="36209" spans="8:8">
      <c r="H36209" s="680" t="s">
        <v>6153</v>
      </c>
    </row>
    <row r="36210" spans="8:8">
      <c r="H36210" s="680" t="s">
        <v>6153</v>
      </c>
    </row>
    <row r="36211" spans="8:8">
      <c r="H36211" s="680" t="s">
        <v>6153</v>
      </c>
    </row>
    <row r="36212" spans="8:8">
      <c r="H36212" s="680" t="s">
        <v>6153</v>
      </c>
    </row>
    <row r="36213" spans="8:8">
      <c r="H36213" s="680" t="s">
        <v>6153</v>
      </c>
    </row>
    <row r="36214" spans="8:8">
      <c r="H36214" s="680" t="s">
        <v>6153</v>
      </c>
    </row>
    <row r="36215" spans="8:8">
      <c r="H36215" s="680" t="s">
        <v>6153</v>
      </c>
    </row>
    <row r="36216" spans="8:8">
      <c r="H36216" s="680" t="s">
        <v>6153</v>
      </c>
    </row>
    <row r="36217" spans="8:8">
      <c r="H36217" s="680" t="s">
        <v>6153</v>
      </c>
    </row>
    <row r="36218" spans="8:8">
      <c r="H36218" s="680" t="s">
        <v>6153</v>
      </c>
    </row>
    <row r="36219" spans="8:8">
      <c r="H36219" s="680" t="s">
        <v>6153</v>
      </c>
    </row>
    <row r="36220" spans="8:8">
      <c r="H36220" s="680" t="s">
        <v>6153</v>
      </c>
    </row>
    <row r="36221" spans="8:8">
      <c r="H36221" s="680" t="s">
        <v>6153</v>
      </c>
    </row>
    <row r="36222" spans="8:8">
      <c r="H36222" s="680" t="s">
        <v>6153</v>
      </c>
    </row>
    <row r="36223" spans="8:8">
      <c r="H36223" s="680" t="s">
        <v>6153</v>
      </c>
    </row>
    <row r="36224" spans="8:8">
      <c r="H36224" s="680" t="s">
        <v>6153</v>
      </c>
    </row>
    <row r="36225" spans="8:8">
      <c r="H36225" s="680" t="s">
        <v>6153</v>
      </c>
    </row>
    <row r="36226" spans="8:8">
      <c r="H36226" s="680" t="s">
        <v>6153</v>
      </c>
    </row>
    <row r="36227" spans="8:8">
      <c r="H36227" s="680" t="s">
        <v>6153</v>
      </c>
    </row>
    <row r="36228" spans="8:8">
      <c r="H36228" s="680" t="s">
        <v>6153</v>
      </c>
    </row>
    <row r="36229" spans="8:8">
      <c r="H36229" s="680" t="s">
        <v>6153</v>
      </c>
    </row>
    <row r="36230" spans="8:8">
      <c r="H36230" s="680" t="s">
        <v>6153</v>
      </c>
    </row>
    <row r="36231" spans="8:8">
      <c r="H36231" s="680" t="s">
        <v>6153</v>
      </c>
    </row>
    <row r="36232" spans="8:8">
      <c r="H36232" s="680" t="s">
        <v>6153</v>
      </c>
    </row>
    <row r="36233" spans="8:8">
      <c r="H36233" s="680" t="s">
        <v>6153</v>
      </c>
    </row>
    <row r="36234" spans="8:8">
      <c r="H36234" s="680" t="s">
        <v>6153</v>
      </c>
    </row>
    <row r="36235" spans="8:8">
      <c r="H36235" s="680" t="s">
        <v>6153</v>
      </c>
    </row>
    <row r="36236" spans="8:8">
      <c r="H36236" s="680" t="s">
        <v>6153</v>
      </c>
    </row>
    <row r="36237" spans="8:8">
      <c r="H36237" s="680" t="s">
        <v>6153</v>
      </c>
    </row>
    <row r="36238" spans="8:8">
      <c r="H36238" s="680" t="s">
        <v>6153</v>
      </c>
    </row>
    <row r="36239" spans="8:8">
      <c r="H36239" s="680" t="s">
        <v>6153</v>
      </c>
    </row>
    <row r="36240" spans="8:8">
      <c r="H36240" s="680" t="s">
        <v>6153</v>
      </c>
    </row>
    <row r="36241" spans="8:8">
      <c r="H36241" s="680" t="s">
        <v>6153</v>
      </c>
    </row>
    <row r="36242" spans="8:8">
      <c r="H36242" s="680" t="s">
        <v>6153</v>
      </c>
    </row>
    <row r="36243" spans="8:8">
      <c r="H36243" s="680" t="s">
        <v>6153</v>
      </c>
    </row>
    <row r="36244" spans="8:8">
      <c r="H36244" s="680" t="s">
        <v>6153</v>
      </c>
    </row>
    <row r="36245" spans="8:8">
      <c r="H36245" s="680" t="s">
        <v>6153</v>
      </c>
    </row>
    <row r="36246" spans="8:8">
      <c r="H36246" s="680" t="s">
        <v>6153</v>
      </c>
    </row>
    <row r="36247" spans="8:8">
      <c r="H36247" s="680" t="s">
        <v>6153</v>
      </c>
    </row>
    <row r="36248" spans="8:8">
      <c r="H36248" s="680" t="s">
        <v>6153</v>
      </c>
    </row>
    <row r="36249" spans="8:8">
      <c r="H36249" s="680" t="s">
        <v>6153</v>
      </c>
    </row>
    <row r="36250" spans="8:8">
      <c r="H36250" s="680" t="s">
        <v>6153</v>
      </c>
    </row>
    <row r="36251" spans="8:8">
      <c r="H36251" s="680" t="s">
        <v>6153</v>
      </c>
    </row>
    <row r="36252" spans="8:8">
      <c r="H36252" s="680" t="s">
        <v>6153</v>
      </c>
    </row>
    <row r="36253" spans="8:8">
      <c r="H36253" s="680" t="s">
        <v>6153</v>
      </c>
    </row>
    <row r="36254" spans="8:8">
      <c r="H36254" s="680" t="s">
        <v>6153</v>
      </c>
    </row>
    <row r="36255" spans="8:8">
      <c r="H36255" s="680" t="s">
        <v>6153</v>
      </c>
    </row>
    <row r="36256" spans="8:8">
      <c r="H36256" s="680" t="s">
        <v>6153</v>
      </c>
    </row>
    <row r="36257" spans="8:8">
      <c r="H36257" s="680" t="s">
        <v>6153</v>
      </c>
    </row>
    <row r="36258" spans="8:8">
      <c r="H36258" s="680" t="s">
        <v>6153</v>
      </c>
    </row>
    <row r="36259" spans="8:8">
      <c r="H36259" s="680" t="s">
        <v>6153</v>
      </c>
    </row>
    <row r="36260" spans="8:8">
      <c r="H36260" s="680" t="s">
        <v>6153</v>
      </c>
    </row>
    <row r="36261" spans="8:8">
      <c r="H36261" s="680" t="s">
        <v>6153</v>
      </c>
    </row>
    <row r="36262" spans="8:8">
      <c r="H36262" s="680" t="s">
        <v>6153</v>
      </c>
    </row>
    <row r="36263" spans="8:8">
      <c r="H36263" s="680" t="s">
        <v>6153</v>
      </c>
    </row>
    <row r="36264" spans="8:8">
      <c r="H36264" s="680" t="s">
        <v>6153</v>
      </c>
    </row>
    <row r="36265" spans="8:8">
      <c r="H36265" s="680" t="s">
        <v>6153</v>
      </c>
    </row>
    <row r="36266" spans="8:8">
      <c r="H36266" s="680" t="s">
        <v>6153</v>
      </c>
    </row>
    <row r="36267" spans="8:8">
      <c r="H36267" s="680" t="s">
        <v>6153</v>
      </c>
    </row>
    <row r="36268" spans="8:8">
      <c r="H36268" s="680" t="s">
        <v>6153</v>
      </c>
    </row>
    <row r="36269" spans="8:8">
      <c r="H36269" s="680" t="s">
        <v>6153</v>
      </c>
    </row>
    <row r="36270" spans="8:8">
      <c r="H36270" s="680" t="s">
        <v>6153</v>
      </c>
    </row>
    <row r="36271" spans="8:8">
      <c r="H36271" s="680" t="s">
        <v>6153</v>
      </c>
    </row>
    <row r="36272" spans="8:8">
      <c r="H36272" s="680" t="s">
        <v>6153</v>
      </c>
    </row>
    <row r="36273" spans="8:8">
      <c r="H36273" s="680" t="s">
        <v>6153</v>
      </c>
    </row>
    <row r="36274" spans="8:8">
      <c r="H36274" s="680" t="s">
        <v>6153</v>
      </c>
    </row>
    <row r="36275" spans="8:8">
      <c r="H36275" s="680" t="s">
        <v>6153</v>
      </c>
    </row>
    <row r="36276" spans="8:8">
      <c r="H36276" s="680" t="s">
        <v>6153</v>
      </c>
    </row>
    <row r="36277" spans="8:8">
      <c r="H36277" s="680" t="s">
        <v>6153</v>
      </c>
    </row>
    <row r="36278" spans="8:8">
      <c r="H36278" s="680" t="s">
        <v>6153</v>
      </c>
    </row>
    <row r="36279" spans="8:8">
      <c r="H36279" s="680" t="s">
        <v>6153</v>
      </c>
    </row>
    <row r="36280" spans="8:8">
      <c r="H36280" s="680" t="s">
        <v>6153</v>
      </c>
    </row>
    <row r="36281" spans="8:8">
      <c r="H36281" s="680" t="s">
        <v>6153</v>
      </c>
    </row>
    <row r="36282" spans="8:8">
      <c r="H36282" s="680" t="s">
        <v>6153</v>
      </c>
    </row>
    <row r="36283" spans="8:8">
      <c r="H36283" s="680" t="s">
        <v>6153</v>
      </c>
    </row>
    <row r="36284" spans="8:8">
      <c r="H36284" s="680" t="s">
        <v>6153</v>
      </c>
    </row>
    <row r="36285" spans="8:8">
      <c r="H36285" s="680" t="s">
        <v>6153</v>
      </c>
    </row>
    <row r="36286" spans="8:8">
      <c r="H36286" s="680" t="s">
        <v>6153</v>
      </c>
    </row>
    <row r="36287" spans="8:8">
      <c r="H36287" s="680" t="s">
        <v>6153</v>
      </c>
    </row>
    <row r="36288" spans="8:8">
      <c r="H36288" s="680" t="s">
        <v>6153</v>
      </c>
    </row>
    <row r="36289" spans="8:8">
      <c r="H36289" s="680" t="s">
        <v>6153</v>
      </c>
    </row>
    <row r="36290" spans="8:8">
      <c r="H36290" s="680" t="s">
        <v>6153</v>
      </c>
    </row>
    <row r="36291" spans="8:8">
      <c r="H36291" s="680" t="s">
        <v>6153</v>
      </c>
    </row>
    <row r="36292" spans="8:8">
      <c r="H36292" s="680" t="s">
        <v>6153</v>
      </c>
    </row>
    <row r="36293" spans="8:8">
      <c r="H36293" s="680" t="s">
        <v>6153</v>
      </c>
    </row>
    <row r="36294" spans="8:8">
      <c r="H36294" s="680" t="s">
        <v>6153</v>
      </c>
    </row>
    <row r="36295" spans="8:8">
      <c r="H36295" s="680" t="s">
        <v>6153</v>
      </c>
    </row>
    <row r="36296" spans="8:8">
      <c r="H36296" s="680" t="s">
        <v>6153</v>
      </c>
    </row>
    <row r="36297" spans="8:8">
      <c r="H36297" s="680" t="s">
        <v>6153</v>
      </c>
    </row>
    <row r="36298" spans="8:8">
      <c r="H36298" s="680" t="s">
        <v>6153</v>
      </c>
    </row>
    <row r="36299" spans="8:8">
      <c r="H36299" s="680" t="s">
        <v>6153</v>
      </c>
    </row>
    <row r="36300" spans="8:8">
      <c r="H36300" s="680" t="s">
        <v>6153</v>
      </c>
    </row>
    <row r="36301" spans="8:8">
      <c r="H36301" s="680" t="s">
        <v>6153</v>
      </c>
    </row>
    <row r="36302" spans="8:8">
      <c r="H36302" s="680" t="s">
        <v>6153</v>
      </c>
    </row>
    <row r="36303" spans="8:8">
      <c r="H36303" s="680" t="s">
        <v>6153</v>
      </c>
    </row>
    <row r="36304" spans="8:8">
      <c r="H36304" s="680" t="s">
        <v>6153</v>
      </c>
    </row>
    <row r="36305" spans="8:8">
      <c r="H36305" s="680" t="s">
        <v>6153</v>
      </c>
    </row>
    <row r="36306" spans="8:8">
      <c r="H36306" s="680" t="s">
        <v>6153</v>
      </c>
    </row>
    <row r="36307" spans="8:8">
      <c r="H36307" s="680" t="s">
        <v>6153</v>
      </c>
    </row>
    <row r="36308" spans="8:8">
      <c r="H36308" s="680" t="s">
        <v>6153</v>
      </c>
    </row>
    <row r="36309" spans="8:8">
      <c r="H36309" s="680" t="s">
        <v>6153</v>
      </c>
    </row>
    <row r="36310" spans="8:8">
      <c r="H36310" s="680" t="s">
        <v>6153</v>
      </c>
    </row>
    <row r="36311" spans="8:8">
      <c r="H36311" s="680" t="s">
        <v>6153</v>
      </c>
    </row>
    <row r="36312" spans="8:8">
      <c r="H36312" s="680" t="s">
        <v>6153</v>
      </c>
    </row>
    <row r="36313" spans="8:8">
      <c r="H36313" s="680" t="s">
        <v>6153</v>
      </c>
    </row>
    <row r="36314" spans="8:8">
      <c r="H36314" s="680" t="s">
        <v>6153</v>
      </c>
    </row>
    <row r="36315" spans="8:8">
      <c r="H36315" s="680" t="s">
        <v>6153</v>
      </c>
    </row>
    <row r="36316" spans="8:8">
      <c r="H36316" s="680" t="s">
        <v>6153</v>
      </c>
    </row>
    <row r="36317" spans="8:8">
      <c r="H36317" s="680" t="s">
        <v>6153</v>
      </c>
    </row>
    <row r="36318" spans="8:8">
      <c r="H36318" s="680" t="s">
        <v>6153</v>
      </c>
    </row>
    <row r="36319" spans="8:8">
      <c r="H36319" s="680" t="s">
        <v>6153</v>
      </c>
    </row>
    <row r="36320" spans="8:8">
      <c r="H36320" s="680" t="s">
        <v>6153</v>
      </c>
    </row>
    <row r="36321" spans="8:8">
      <c r="H36321" s="680" t="s">
        <v>6153</v>
      </c>
    </row>
    <row r="36322" spans="8:8">
      <c r="H36322" s="680" t="s">
        <v>6153</v>
      </c>
    </row>
    <row r="36323" spans="8:8">
      <c r="H36323" s="680" t="s">
        <v>6153</v>
      </c>
    </row>
    <row r="36324" spans="8:8">
      <c r="H36324" s="680" t="s">
        <v>6153</v>
      </c>
    </row>
    <row r="36325" spans="8:8">
      <c r="H36325" s="680" t="s">
        <v>6153</v>
      </c>
    </row>
    <row r="36326" spans="8:8">
      <c r="H36326" s="680" t="s">
        <v>6153</v>
      </c>
    </row>
    <row r="36327" spans="8:8">
      <c r="H36327" s="680" t="s">
        <v>6153</v>
      </c>
    </row>
    <row r="36328" spans="8:8">
      <c r="H36328" s="680" t="s">
        <v>6153</v>
      </c>
    </row>
    <row r="36329" spans="8:8">
      <c r="H36329" s="680" t="s">
        <v>6153</v>
      </c>
    </row>
    <row r="36330" spans="8:8">
      <c r="H36330" s="680" t="s">
        <v>6153</v>
      </c>
    </row>
    <row r="36331" spans="8:8">
      <c r="H36331" s="680" t="s">
        <v>6153</v>
      </c>
    </row>
    <row r="36332" spans="8:8">
      <c r="H36332" s="680" t="s">
        <v>6153</v>
      </c>
    </row>
    <row r="36333" spans="8:8">
      <c r="H36333" s="680" t="s">
        <v>6153</v>
      </c>
    </row>
    <row r="36334" spans="8:8">
      <c r="H36334" s="680" t="s">
        <v>6153</v>
      </c>
    </row>
    <row r="36335" spans="8:8">
      <c r="H36335" s="680" t="s">
        <v>6153</v>
      </c>
    </row>
    <row r="36336" spans="8:8">
      <c r="H36336" s="680" t="s">
        <v>6153</v>
      </c>
    </row>
    <row r="36337" spans="8:8">
      <c r="H36337" s="680" t="s">
        <v>6153</v>
      </c>
    </row>
    <row r="36338" spans="8:8">
      <c r="H36338" s="680" t="s">
        <v>6153</v>
      </c>
    </row>
    <row r="36339" spans="8:8">
      <c r="H36339" s="680" t="s">
        <v>6153</v>
      </c>
    </row>
    <row r="36340" spans="8:8">
      <c r="H36340" s="680" t="s">
        <v>6153</v>
      </c>
    </row>
    <row r="36341" spans="8:8">
      <c r="H36341" s="680" t="s">
        <v>6153</v>
      </c>
    </row>
    <row r="36342" spans="8:8">
      <c r="H36342" s="680" t="s">
        <v>6153</v>
      </c>
    </row>
    <row r="36343" spans="8:8">
      <c r="H36343" s="680" t="s">
        <v>6153</v>
      </c>
    </row>
    <row r="36344" spans="8:8">
      <c r="H36344" s="680" t="s">
        <v>6153</v>
      </c>
    </row>
    <row r="36345" spans="8:8">
      <c r="H36345" s="680" t="s">
        <v>6153</v>
      </c>
    </row>
    <row r="36346" spans="8:8">
      <c r="H36346" s="680" t="s">
        <v>6153</v>
      </c>
    </row>
    <row r="36347" spans="8:8">
      <c r="H36347" s="680" t="s">
        <v>6153</v>
      </c>
    </row>
    <row r="36348" spans="8:8">
      <c r="H36348" s="680" t="s">
        <v>6153</v>
      </c>
    </row>
    <row r="36349" spans="8:8">
      <c r="H36349" s="680" t="s">
        <v>6153</v>
      </c>
    </row>
    <row r="36350" spans="8:8">
      <c r="H36350" s="680" t="s">
        <v>6153</v>
      </c>
    </row>
    <row r="36351" spans="8:8">
      <c r="H36351" s="680" t="s">
        <v>6153</v>
      </c>
    </row>
    <row r="36352" spans="8:8">
      <c r="H36352" s="680" t="s">
        <v>6153</v>
      </c>
    </row>
    <row r="36353" spans="8:8">
      <c r="H36353" s="680" t="s">
        <v>6153</v>
      </c>
    </row>
    <row r="36354" spans="8:8">
      <c r="H36354" s="680" t="s">
        <v>6153</v>
      </c>
    </row>
    <row r="36355" spans="8:8">
      <c r="H36355" s="680" t="s">
        <v>6153</v>
      </c>
    </row>
    <row r="36356" spans="8:8">
      <c r="H36356" s="680" t="s">
        <v>6153</v>
      </c>
    </row>
    <row r="36357" spans="8:8">
      <c r="H36357" s="680" t="s">
        <v>6153</v>
      </c>
    </row>
    <row r="36358" spans="8:8">
      <c r="H36358" s="680" t="s">
        <v>6153</v>
      </c>
    </row>
    <row r="36359" spans="8:8">
      <c r="H36359" s="680" t="s">
        <v>6153</v>
      </c>
    </row>
    <row r="36360" spans="8:8">
      <c r="H36360" s="680" t="s">
        <v>6153</v>
      </c>
    </row>
    <row r="36361" spans="8:8">
      <c r="H36361" s="680" t="s">
        <v>6153</v>
      </c>
    </row>
    <row r="36362" spans="8:8">
      <c r="H36362" s="680" t="s">
        <v>6153</v>
      </c>
    </row>
    <row r="36363" spans="8:8">
      <c r="H36363" s="680" t="s">
        <v>6153</v>
      </c>
    </row>
    <row r="36364" spans="8:8">
      <c r="H36364" s="680" t="s">
        <v>6153</v>
      </c>
    </row>
    <row r="36365" spans="8:8">
      <c r="H36365" s="680" t="s">
        <v>6153</v>
      </c>
    </row>
    <row r="36366" spans="8:8">
      <c r="H36366" s="680" t="s">
        <v>6153</v>
      </c>
    </row>
    <row r="36367" spans="8:8">
      <c r="H36367" s="680" t="s">
        <v>6153</v>
      </c>
    </row>
    <row r="36368" spans="8:8">
      <c r="H36368" s="680" t="s">
        <v>6153</v>
      </c>
    </row>
    <row r="36369" spans="8:8">
      <c r="H36369" s="680" t="s">
        <v>6153</v>
      </c>
    </row>
    <row r="36370" spans="8:8">
      <c r="H36370" s="680" t="s">
        <v>6153</v>
      </c>
    </row>
    <row r="36371" spans="8:8">
      <c r="H36371" s="680" t="s">
        <v>6153</v>
      </c>
    </row>
    <row r="36372" spans="8:8">
      <c r="H36372" s="680" t="s">
        <v>6153</v>
      </c>
    </row>
    <row r="36373" spans="8:8">
      <c r="H36373" s="680" t="s">
        <v>6153</v>
      </c>
    </row>
    <row r="36374" spans="8:8">
      <c r="H36374" s="680" t="s">
        <v>6153</v>
      </c>
    </row>
    <row r="36375" spans="8:8">
      <c r="H36375" s="680" t="s">
        <v>6153</v>
      </c>
    </row>
    <row r="36376" spans="8:8">
      <c r="H36376" s="680" t="s">
        <v>6153</v>
      </c>
    </row>
    <row r="36377" spans="8:8">
      <c r="H36377" s="680" t="s">
        <v>6153</v>
      </c>
    </row>
    <row r="36378" spans="8:8">
      <c r="H36378" s="680" t="s">
        <v>6153</v>
      </c>
    </row>
    <row r="36379" spans="8:8">
      <c r="H36379" s="680" t="s">
        <v>6153</v>
      </c>
    </row>
    <row r="36380" spans="8:8">
      <c r="H36380" s="680" t="s">
        <v>6153</v>
      </c>
    </row>
    <row r="36381" spans="8:8">
      <c r="H36381" s="680" t="s">
        <v>6153</v>
      </c>
    </row>
    <row r="36382" spans="8:8">
      <c r="H36382" s="680" t="s">
        <v>6153</v>
      </c>
    </row>
    <row r="36383" spans="8:8">
      <c r="H36383" s="680" t="s">
        <v>6153</v>
      </c>
    </row>
    <row r="36384" spans="8:8">
      <c r="H36384" s="680" t="s">
        <v>6153</v>
      </c>
    </row>
    <row r="36385" spans="8:8">
      <c r="H36385" s="680" t="s">
        <v>6153</v>
      </c>
    </row>
    <row r="36386" spans="8:8">
      <c r="H36386" s="680" t="s">
        <v>6153</v>
      </c>
    </row>
    <row r="36387" spans="8:8">
      <c r="H36387" s="680" t="s">
        <v>6153</v>
      </c>
    </row>
    <row r="36388" spans="8:8">
      <c r="H36388" s="680" t="s">
        <v>6153</v>
      </c>
    </row>
    <row r="36389" spans="8:8">
      <c r="H36389" s="680" t="s">
        <v>6153</v>
      </c>
    </row>
    <row r="36390" spans="8:8">
      <c r="H36390" s="680" t="s">
        <v>6153</v>
      </c>
    </row>
    <row r="36391" spans="8:8">
      <c r="H36391" s="680" t="s">
        <v>6153</v>
      </c>
    </row>
    <row r="36392" spans="8:8">
      <c r="H36392" s="680" t="s">
        <v>6153</v>
      </c>
    </row>
    <row r="36393" spans="8:8">
      <c r="H36393" s="680" t="s">
        <v>6153</v>
      </c>
    </row>
    <row r="36394" spans="8:8">
      <c r="H36394" s="680" t="s">
        <v>6153</v>
      </c>
    </row>
    <row r="36395" spans="8:8">
      <c r="H36395" s="680" t="s">
        <v>6153</v>
      </c>
    </row>
    <row r="36396" spans="8:8">
      <c r="H36396" s="680" t="s">
        <v>6153</v>
      </c>
    </row>
    <row r="36397" spans="8:8">
      <c r="H36397" s="680" t="s">
        <v>6153</v>
      </c>
    </row>
    <row r="36398" spans="8:8">
      <c r="H36398" s="680" t="s">
        <v>6153</v>
      </c>
    </row>
    <row r="36399" spans="8:8">
      <c r="H36399" s="680" t="s">
        <v>6153</v>
      </c>
    </row>
    <row r="36400" spans="8:8">
      <c r="H36400" s="680" t="s">
        <v>6153</v>
      </c>
    </row>
    <row r="36401" spans="8:8">
      <c r="H36401" s="680" t="s">
        <v>6153</v>
      </c>
    </row>
    <row r="36402" spans="8:8">
      <c r="H36402" s="680" t="s">
        <v>6153</v>
      </c>
    </row>
    <row r="36403" spans="8:8">
      <c r="H36403" s="680" t="s">
        <v>6153</v>
      </c>
    </row>
    <row r="36404" spans="8:8">
      <c r="H36404" s="680" t="s">
        <v>6153</v>
      </c>
    </row>
    <row r="36405" spans="8:8">
      <c r="H36405" s="680" t="s">
        <v>6153</v>
      </c>
    </row>
    <row r="36406" spans="8:8">
      <c r="H36406" s="680" t="s">
        <v>6153</v>
      </c>
    </row>
    <row r="36407" spans="8:8">
      <c r="H36407" s="680" t="s">
        <v>6153</v>
      </c>
    </row>
    <row r="36408" spans="8:8">
      <c r="H36408" s="680" t="s">
        <v>6153</v>
      </c>
    </row>
    <row r="36409" spans="8:8">
      <c r="H36409" s="680" t="s">
        <v>6153</v>
      </c>
    </row>
    <row r="36410" spans="8:8">
      <c r="H36410" s="680" t="s">
        <v>6153</v>
      </c>
    </row>
    <row r="36411" spans="8:8">
      <c r="H36411" s="680" t="s">
        <v>6153</v>
      </c>
    </row>
    <row r="36412" spans="8:8">
      <c r="H36412" s="680" t="s">
        <v>6153</v>
      </c>
    </row>
    <row r="36413" spans="8:8">
      <c r="H36413" s="680" t="s">
        <v>6153</v>
      </c>
    </row>
    <row r="36414" spans="8:8">
      <c r="H36414" s="680" t="s">
        <v>6153</v>
      </c>
    </row>
    <row r="36415" spans="8:8">
      <c r="H36415" s="680" t="s">
        <v>6153</v>
      </c>
    </row>
    <row r="36416" spans="8:8">
      <c r="H36416" s="680" t="s">
        <v>6153</v>
      </c>
    </row>
    <row r="36417" spans="8:8">
      <c r="H36417" s="680" t="s">
        <v>6153</v>
      </c>
    </row>
    <row r="36418" spans="8:8">
      <c r="H36418" s="680" t="s">
        <v>6153</v>
      </c>
    </row>
    <row r="36419" spans="8:8">
      <c r="H36419" s="680" t="s">
        <v>6153</v>
      </c>
    </row>
    <row r="36420" spans="8:8">
      <c r="H36420" s="680" t="s">
        <v>6153</v>
      </c>
    </row>
    <row r="36421" spans="8:8">
      <c r="H36421" s="680" t="s">
        <v>6153</v>
      </c>
    </row>
    <row r="36422" spans="8:8">
      <c r="H36422" s="680" t="s">
        <v>6153</v>
      </c>
    </row>
    <row r="36423" spans="8:8">
      <c r="H36423" s="680" t="s">
        <v>6153</v>
      </c>
    </row>
    <row r="36424" spans="8:8">
      <c r="H36424" s="680" t="s">
        <v>6153</v>
      </c>
    </row>
    <row r="36425" spans="8:8">
      <c r="H36425" s="680" t="s">
        <v>6153</v>
      </c>
    </row>
    <row r="36426" spans="8:8">
      <c r="H36426" s="680" t="s">
        <v>6153</v>
      </c>
    </row>
    <row r="36427" spans="8:8">
      <c r="H36427" s="680" t="s">
        <v>6153</v>
      </c>
    </row>
    <row r="36428" spans="8:8">
      <c r="H36428" s="680" t="s">
        <v>6153</v>
      </c>
    </row>
    <row r="36429" spans="8:8">
      <c r="H36429" s="680" t="s">
        <v>6153</v>
      </c>
    </row>
    <row r="36430" spans="8:8">
      <c r="H36430" s="680" t="s">
        <v>6153</v>
      </c>
    </row>
    <row r="36431" spans="8:8">
      <c r="H36431" s="680" t="s">
        <v>6153</v>
      </c>
    </row>
    <row r="36432" spans="8:8">
      <c r="H36432" s="680" t="s">
        <v>6153</v>
      </c>
    </row>
    <row r="36433" spans="8:8">
      <c r="H36433" s="680" t="s">
        <v>6153</v>
      </c>
    </row>
    <row r="36434" spans="8:8">
      <c r="H36434" s="680" t="s">
        <v>6153</v>
      </c>
    </row>
    <row r="36435" spans="8:8">
      <c r="H36435" s="680" t="s">
        <v>6153</v>
      </c>
    </row>
    <row r="36436" spans="8:8">
      <c r="H36436" s="680" t="s">
        <v>6153</v>
      </c>
    </row>
    <row r="36437" spans="8:8">
      <c r="H36437" s="680" t="s">
        <v>6153</v>
      </c>
    </row>
    <row r="36438" spans="8:8">
      <c r="H36438" s="680" t="s">
        <v>6153</v>
      </c>
    </row>
    <row r="36439" spans="8:8">
      <c r="H36439" s="680" t="s">
        <v>6153</v>
      </c>
    </row>
    <row r="36440" spans="8:8">
      <c r="H36440" s="680" t="s">
        <v>6153</v>
      </c>
    </row>
    <row r="36441" spans="8:8">
      <c r="H36441" s="680" t="s">
        <v>6153</v>
      </c>
    </row>
    <row r="36442" spans="8:8">
      <c r="H36442" s="680" t="s">
        <v>6153</v>
      </c>
    </row>
    <row r="36443" spans="8:8">
      <c r="H36443" s="680" t="s">
        <v>6153</v>
      </c>
    </row>
    <row r="36444" spans="8:8">
      <c r="H36444" s="680" t="s">
        <v>6153</v>
      </c>
    </row>
    <row r="36445" spans="8:8">
      <c r="H36445" s="680" t="s">
        <v>6153</v>
      </c>
    </row>
    <row r="36446" spans="8:8">
      <c r="H36446" s="680" t="s">
        <v>6153</v>
      </c>
    </row>
    <row r="36447" spans="8:8">
      <c r="H36447" s="680" t="s">
        <v>6153</v>
      </c>
    </row>
    <row r="36448" spans="8:8">
      <c r="H36448" s="680" t="s">
        <v>6153</v>
      </c>
    </row>
    <row r="36449" spans="8:8">
      <c r="H36449" s="680" t="s">
        <v>6153</v>
      </c>
    </row>
    <row r="36450" spans="8:8">
      <c r="H36450" s="680" t="s">
        <v>6153</v>
      </c>
    </row>
    <row r="36451" spans="8:8">
      <c r="H36451" s="680" t="s">
        <v>6153</v>
      </c>
    </row>
    <row r="36452" spans="8:8">
      <c r="H36452" s="680" t="s">
        <v>6153</v>
      </c>
    </row>
    <row r="36453" spans="8:8">
      <c r="H36453" s="680" t="s">
        <v>6153</v>
      </c>
    </row>
    <row r="36454" spans="8:8">
      <c r="H36454" s="680" t="s">
        <v>6153</v>
      </c>
    </row>
    <row r="36455" spans="8:8">
      <c r="H36455" s="680" t="s">
        <v>6153</v>
      </c>
    </row>
    <row r="36456" spans="8:8">
      <c r="H36456" s="680" t="s">
        <v>6153</v>
      </c>
    </row>
    <row r="36457" spans="8:8">
      <c r="H36457" s="680" t="s">
        <v>6153</v>
      </c>
    </row>
    <row r="36458" spans="8:8">
      <c r="H36458" s="680" t="s">
        <v>6153</v>
      </c>
    </row>
    <row r="36459" spans="8:8">
      <c r="H36459" s="680" t="s">
        <v>6153</v>
      </c>
    </row>
    <row r="36460" spans="8:8">
      <c r="H36460" s="680" t="s">
        <v>6153</v>
      </c>
    </row>
    <row r="36461" spans="8:8">
      <c r="H36461" s="680" t="s">
        <v>6153</v>
      </c>
    </row>
    <row r="36462" spans="8:8">
      <c r="H36462" s="680" t="s">
        <v>6153</v>
      </c>
    </row>
    <row r="36463" spans="8:8">
      <c r="H36463" s="680" t="s">
        <v>6153</v>
      </c>
    </row>
    <row r="36464" spans="8:8">
      <c r="H36464" s="680" t="s">
        <v>6153</v>
      </c>
    </row>
    <row r="36465" spans="8:8">
      <c r="H36465" s="680" t="s">
        <v>6153</v>
      </c>
    </row>
    <row r="36466" spans="8:8">
      <c r="H36466" s="680" t="s">
        <v>6153</v>
      </c>
    </row>
    <row r="36467" spans="8:8">
      <c r="H36467" s="680" t="s">
        <v>6153</v>
      </c>
    </row>
    <row r="36468" spans="8:8">
      <c r="H36468" s="680" t="s">
        <v>6153</v>
      </c>
    </row>
    <row r="36469" spans="8:8">
      <c r="H36469" s="680" t="s">
        <v>6153</v>
      </c>
    </row>
    <row r="36470" spans="8:8">
      <c r="H36470" s="680" t="s">
        <v>6153</v>
      </c>
    </row>
    <row r="36471" spans="8:8">
      <c r="H36471" s="680" t="s">
        <v>6153</v>
      </c>
    </row>
    <row r="36472" spans="8:8">
      <c r="H36472" s="680" t="s">
        <v>6153</v>
      </c>
    </row>
    <row r="36473" spans="8:8">
      <c r="H36473" s="680" t="s">
        <v>6153</v>
      </c>
    </row>
    <row r="36474" spans="8:8">
      <c r="H36474" s="680" t="s">
        <v>6153</v>
      </c>
    </row>
    <row r="36475" spans="8:8">
      <c r="H36475" s="680" t="s">
        <v>6153</v>
      </c>
    </row>
    <row r="36476" spans="8:8">
      <c r="H36476" s="680" t="s">
        <v>6153</v>
      </c>
    </row>
    <row r="36477" spans="8:8">
      <c r="H36477" s="680" t="s">
        <v>6153</v>
      </c>
    </row>
    <row r="36478" spans="8:8">
      <c r="H36478" s="680" t="s">
        <v>6153</v>
      </c>
    </row>
    <row r="36479" spans="8:8">
      <c r="H36479" s="680" t="s">
        <v>6153</v>
      </c>
    </row>
    <row r="36480" spans="8:8">
      <c r="H36480" s="680" t="s">
        <v>6153</v>
      </c>
    </row>
    <row r="36481" spans="8:8">
      <c r="H36481" s="680" t="s">
        <v>6153</v>
      </c>
    </row>
    <row r="36482" spans="8:8">
      <c r="H36482" s="680" t="s">
        <v>6153</v>
      </c>
    </row>
    <row r="36483" spans="8:8">
      <c r="H36483" s="680" t="s">
        <v>6153</v>
      </c>
    </row>
    <row r="36484" spans="8:8">
      <c r="H36484" s="680" t="s">
        <v>6153</v>
      </c>
    </row>
    <row r="36485" spans="8:8">
      <c r="H36485" s="680" t="s">
        <v>6153</v>
      </c>
    </row>
    <row r="36486" spans="8:8">
      <c r="H36486" s="680" t="s">
        <v>6153</v>
      </c>
    </row>
    <row r="36487" spans="8:8">
      <c r="H36487" s="680" t="s">
        <v>6153</v>
      </c>
    </row>
    <row r="36488" spans="8:8">
      <c r="H36488" s="680" t="s">
        <v>6153</v>
      </c>
    </row>
    <row r="36489" spans="8:8">
      <c r="H36489" s="680" t="s">
        <v>6153</v>
      </c>
    </row>
    <row r="36490" spans="8:8">
      <c r="H36490" s="680" t="s">
        <v>6153</v>
      </c>
    </row>
    <row r="36491" spans="8:8">
      <c r="H36491" s="680" t="s">
        <v>6153</v>
      </c>
    </row>
    <row r="36492" spans="8:8">
      <c r="H36492" s="680" t="s">
        <v>6153</v>
      </c>
    </row>
    <row r="36493" spans="8:8">
      <c r="H36493" s="680" t="s">
        <v>6153</v>
      </c>
    </row>
    <row r="36494" spans="8:8">
      <c r="H36494" s="680" t="s">
        <v>6153</v>
      </c>
    </row>
    <row r="36495" spans="8:8">
      <c r="H36495" s="680" t="s">
        <v>6153</v>
      </c>
    </row>
    <row r="36496" spans="8:8">
      <c r="H36496" s="680" t="s">
        <v>6153</v>
      </c>
    </row>
    <row r="36497" spans="8:8">
      <c r="H36497" s="680" t="s">
        <v>6153</v>
      </c>
    </row>
    <row r="36498" spans="8:8">
      <c r="H36498" s="680" t="s">
        <v>6153</v>
      </c>
    </row>
    <row r="36499" spans="8:8">
      <c r="H36499" s="680" t="s">
        <v>6153</v>
      </c>
    </row>
    <row r="36500" spans="8:8">
      <c r="H36500" s="680" t="s">
        <v>6153</v>
      </c>
    </row>
    <row r="36501" spans="8:8">
      <c r="H36501" s="680" t="s">
        <v>6153</v>
      </c>
    </row>
    <row r="36502" spans="8:8">
      <c r="H36502" s="680" t="s">
        <v>6153</v>
      </c>
    </row>
    <row r="36503" spans="8:8">
      <c r="H36503" s="680" t="s">
        <v>6153</v>
      </c>
    </row>
    <row r="36504" spans="8:8">
      <c r="H36504" s="680" t="s">
        <v>6153</v>
      </c>
    </row>
    <row r="36505" spans="8:8">
      <c r="H36505" s="680" t="s">
        <v>6153</v>
      </c>
    </row>
    <row r="36506" spans="8:8">
      <c r="H36506" s="680" t="s">
        <v>6153</v>
      </c>
    </row>
    <row r="36507" spans="8:8">
      <c r="H36507" s="680" t="s">
        <v>6153</v>
      </c>
    </row>
    <row r="36508" spans="8:8">
      <c r="H36508" s="680" t="s">
        <v>6153</v>
      </c>
    </row>
    <row r="36509" spans="8:8">
      <c r="H36509" s="680" t="s">
        <v>6153</v>
      </c>
    </row>
    <row r="36510" spans="8:8">
      <c r="H36510" s="680" t="s">
        <v>6153</v>
      </c>
    </row>
    <row r="36511" spans="8:8">
      <c r="H36511" s="680" t="s">
        <v>6153</v>
      </c>
    </row>
    <row r="36512" spans="8:8">
      <c r="H36512" s="680" t="s">
        <v>6153</v>
      </c>
    </row>
    <row r="36513" spans="8:8">
      <c r="H36513" s="680" t="s">
        <v>6153</v>
      </c>
    </row>
    <row r="36514" spans="8:8">
      <c r="H36514" s="680" t="s">
        <v>6153</v>
      </c>
    </row>
    <row r="36515" spans="8:8">
      <c r="H36515" s="680" t="s">
        <v>6153</v>
      </c>
    </row>
    <row r="36516" spans="8:8">
      <c r="H36516" s="680" t="s">
        <v>6153</v>
      </c>
    </row>
    <row r="36517" spans="8:8">
      <c r="H36517" s="680" t="s">
        <v>6153</v>
      </c>
    </row>
    <row r="36518" spans="8:8">
      <c r="H36518" s="680" t="s">
        <v>6153</v>
      </c>
    </row>
    <row r="36519" spans="8:8">
      <c r="H36519" s="680" t="s">
        <v>6153</v>
      </c>
    </row>
    <row r="36520" spans="8:8">
      <c r="H36520" s="680" t="s">
        <v>6153</v>
      </c>
    </row>
    <row r="36521" spans="8:8">
      <c r="H36521" s="680" t="s">
        <v>6153</v>
      </c>
    </row>
    <row r="36522" spans="8:8">
      <c r="H36522" s="680" t="s">
        <v>6153</v>
      </c>
    </row>
    <row r="36523" spans="8:8">
      <c r="H36523" s="680" t="s">
        <v>6153</v>
      </c>
    </row>
    <row r="36524" spans="8:8">
      <c r="H36524" s="680" t="s">
        <v>6153</v>
      </c>
    </row>
    <row r="36525" spans="8:8">
      <c r="H36525" s="680" t="s">
        <v>6153</v>
      </c>
    </row>
    <row r="36526" spans="8:8">
      <c r="H36526" s="680" t="s">
        <v>6153</v>
      </c>
    </row>
    <row r="36527" spans="8:8">
      <c r="H36527" s="680" t="s">
        <v>6153</v>
      </c>
    </row>
    <row r="36528" spans="8:8">
      <c r="H36528" s="680" t="s">
        <v>6153</v>
      </c>
    </row>
    <row r="36529" spans="8:8">
      <c r="H36529" s="680" t="s">
        <v>6153</v>
      </c>
    </row>
    <row r="36530" spans="8:8">
      <c r="H36530" s="680" t="s">
        <v>6153</v>
      </c>
    </row>
    <row r="36531" spans="8:8">
      <c r="H36531" s="680" t="s">
        <v>6153</v>
      </c>
    </row>
    <row r="36532" spans="8:8">
      <c r="H36532" s="680" t="s">
        <v>6153</v>
      </c>
    </row>
    <row r="36533" spans="8:8">
      <c r="H36533" s="680" t="s">
        <v>6153</v>
      </c>
    </row>
    <row r="36534" spans="8:8">
      <c r="H36534" s="680" t="s">
        <v>6153</v>
      </c>
    </row>
    <row r="36535" spans="8:8">
      <c r="H36535" s="680" t="s">
        <v>6153</v>
      </c>
    </row>
    <row r="36536" spans="8:8">
      <c r="H36536" s="680" t="s">
        <v>6153</v>
      </c>
    </row>
    <row r="36537" spans="8:8">
      <c r="H36537" s="680" t="s">
        <v>6153</v>
      </c>
    </row>
    <row r="36538" spans="8:8">
      <c r="H36538" s="680" t="s">
        <v>6153</v>
      </c>
    </row>
    <row r="36539" spans="8:8">
      <c r="H36539" s="680" t="s">
        <v>6153</v>
      </c>
    </row>
    <row r="36540" spans="8:8">
      <c r="H36540" s="680" t="s">
        <v>6153</v>
      </c>
    </row>
    <row r="36541" spans="8:8">
      <c r="H36541" s="680" t="s">
        <v>6153</v>
      </c>
    </row>
    <row r="36542" spans="8:8">
      <c r="H36542" s="680" t="s">
        <v>6153</v>
      </c>
    </row>
    <row r="36543" spans="8:8">
      <c r="H36543" s="680" t="s">
        <v>6153</v>
      </c>
    </row>
    <row r="36544" spans="8:8">
      <c r="H36544" s="680" t="s">
        <v>6153</v>
      </c>
    </row>
    <row r="36545" spans="8:8">
      <c r="H36545" s="680" t="s">
        <v>6153</v>
      </c>
    </row>
    <row r="36546" spans="8:8">
      <c r="H36546" s="680" t="s">
        <v>6153</v>
      </c>
    </row>
    <row r="36547" spans="8:8">
      <c r="H36547" s="680" t="s">
        <v>6153</v>
      </c>
    </row>
    <row r="36548" spans="8:8">
      <c r="H36548" s="680" t="s">
        <v>6153</v>
      </c>
    </row>
    <row r="36549" spans="8:8">
      <c r="H36549" s="680" t="s">
        <v>6153</v>
      </c>
    </row>
    <row r="36550" spans="8:8">
      <c r="H36550" s="680" t="s">
        <v>6153</v>
      </c>
    </row>
    <row r="36551" spans="8:8">
      <c r="H36551" s="680" t="s">
        <v>6153</v>
      </c>
    </row>
    <row r="36552" spans="8:8">
      <c r="H36552" s="680" t="s">
        <v>6153</v>
      </c>
    </row>
    <row r="36553" spans="8:8">
      <c r="H36553" s="680" t="s">
        <v>6153</v>
      </c>
    </row>
    <row r="36554" spans="8:8">
      <c r="H36554" s="680" t="s">
        <v>6153</v>
      </c>
    </row>
    <row r="36555" spans="8:8">
      <c r="H36555" s="680" t="s">
        <v>6153</v>
      </c>
    </row>
    <row r="36556" spans="8:8">
      <c r="H36556" s="680" t="s">
        <v>6153</v>
      </c>
    </row>
    <row r="36557" spans="8:8">
      <c r="H36557" s="680" t="s">
        <v>6153</v>
      </c>
    </row>
    <row r="36558" spans="8:8">
      <c r="H36558" s="680" t="s">
        <v>6153</v>
      </c>
    </row>
    <row r="36559" spans="8:8">
      <c r="H36559" s="680" t="s">
        <v>6153</v>
      </c>
    </row>
    <row r="36560" spans="8:8">
      <c r="H36560" s="680" t="s">
        <v>6153</v>
      </c>
    </row>
    <row r="36561" spans="8:8">
      <c r="H36561" s="680" t="s">
        <v>6153</v>
      </c>
    </row>
    <row r="36562" spans="8:8">
      <c r="H36562" s="680" t="s">
        <v>6153</v>
      </c>
    </row>
    <row r="36563" spans="8:8">
      <c r="H36563" s="680" t="s">
        <v>6153</v>
      </c>
    </row>
    <row r="36564" spans="8:8">
      <c r="H36564" s="680" t="s">
        <v>6153</v>
      </c>
    </row>
    <row r="36565" spans="8:8">
      <c r="H36565" s="680" t="s">
        <v>6153</v>
      </c>
    </row>
    <row r="36566" spans="8:8">
      <c r="H36566" s="680" t="s">
        <v>6153</v>
      </c>
    </row>
    <row r="36567" spans="8:8">
      <c r="H36567" s="680" t="s">
        <v>6153</v>
      </c>
    </row>
    <row r="36568" spans="8:8">
      <c r="H36568" s="680" t="s">
        <v>6153</v>
      </c>
    </row>
    <row r="36569" spans="8:8">
      <c r="H36569" s="680" t="s">
        <v>6153</v>
      </c>
    </row>
    <row r="36570" spans="8:8">
      <c r="H36570" s="680" t="s">
        <v>6153</v>
      </c>
    </row>
    <row r="36571" spans="8:8">
      <c r="H36571" s="680" t="s">
        <v>6153</v>
      </c>
    </row>
    <row r="36572" spans="8:8">
      <c r="H36572" s="680" t="s">
        <v>6153</v>
      </c>
    </row>
    <row r="36573" spans="8:8">
      <c r="H36573" s="680" t="s">
        <v>6153</v>
      </c>
    </row>
    <row r="36574" spans="8:8">
      <c r="H36574" s="680" t="s">
        <v>6153</v>
      </c>
    </row>
    <row r="36575" spans="8:8">
      <c r="H36575" s="680" t="s">
        <v>6153</v>
      </c>
    </row>
    <row r="36576" spans="8:8">
      <c r="H36576" s="680" t="s">
        <v>6153</v>
      </c>
    </row>
    <row r="36577" spans="8:8">
      <c r="H36577" s="680" t="s">
        <v>6153</v>
      </c>
    </row>
    <row r="36578" spans="8:8">
      <c r="H36578" s="680" t="s">
        <v>6153</v>
      </c>
    </row>
    <row r="36579" spans="8:8">
      <c r="H36579" s="680" t="s">
        <v>6153</v>
      </c>
    </row>
    <row r="36580" spans="8:8">
      <c r="H36580" s="680" t="s">
        <v>6153</v>
      </c>
    </row>
    <row r="36581" spans="8:8">
      <c r="H36581" s="680" t="s">
        <v>6153</v>
      </c>
    </row>
    <row r="36582" spans="8:8">
      <c r="H36582" s="680" t="s">
        <v>6153</v>
      </c>
    </row>
    <row r="36583" spans="8:8">
      <c r="H36583" s="680" t="s">
        <v>6153</v>
      </c>
    </row>
    <row r="36584" spans="8:8">
      <c r="H36584" s="680" t="s">
        <v>6153</v>
      </c>
    </row>
    <row r="36585" spans="8:8">
      <c r="H36585" s="680" t="s">
        <v>6153</v>
      </c>
    </row>
    <row r="36586" spans="8:8">
      <c r="H36586" s="680" t="s">
        <v>6153</v>
      </c>
    </row>
    <row r="36587" spans="8:8">
      <c r="H36587" s="680" t="s">
        <v>6153</v>
      </c>
    </row>
    <row r="36588" spans="8:8">
      <c r="H36588" s="680" t="s">
        <v>6153</v>
      </c>
    </row>
    <row r="36589" spans="8:8">
      <c r="H36589" s="680" t="s">
        <v>6153</v>
      </c>
    </row>
    <row r="36590" spans="8:8">
      <c r="H36590" s="680" t="s">
        <v>6153</v>
      </c>
    </row>
    <row r="36591" spans="8:8">
      <c r="H36591" s="680" t="s">
        <v>6153</v>
      </c>
    </row>
    <row r="36592" spans="8:8">
      <c r="H36592" s="680" t="s">
        <v>6153</v>
      </c>
    </row>
    <row r="36593" spans="8:8">
      <c r="H36593" s="680" t="s">
        <v>6153</v>
      </c>
    </row>
    <row r="36594" spans="8:8">
      <c r="H36594" s="680" t="s">
        <v>6153</v>
      </c>
    </row>
    <row r="36595" spans="8:8">
      <c r="H36595" s="680" t="s">
        <v>6153</v>
      </c>
    </row>
    <row r="36596" spans="8:8">
      <c r="H36596" s="680" t="s">
        <v>6153</v>
      </c>
    </row>
    <row r="36597" spans="8:8">
      <c r="H36597" s="680" t="s">
        <v>6153</v>
      </c>
    </row>
    <row r="36598" spans="8:8">
      <c r="H36598" s="680" t="s">
        <v>6153</v>
      </c>
    </row>
    <row r="36599" spans="8:8">
      <c r="H36599" s="680" t="s">
        <v>6153</v>
      </c>
    </row>
    <row r="36600" spans="8:8">
      <c r="H36600" s="680" t="s">
        <v>6153</v>
      </c>
    </row>
    <row r="36601" spans="8:8">
      <c r="H36601" s="680" t="s">
        <v>6153</v>
      </c>
    </row>
    <row r="36602" spans="8:8">
      <c r="H36602" s="680" t="s">
        <v>6153</v>
      </c>
    </row>
    <row r="36603" spans="8:8">
      <c r="H36603" s="680" t="s">
        <v>6153</v>
      </c>
    </row>
    <row r="36604" spans="8:8">
      <c r="H36604" s="680" t="s">
        <v>6153</v>
      </c>
    </row>
    <row r="36605" spans="8:8">
      <c r="H36605" s="680" t="s">
        <v>6153</v>
      </c>
    </row>
    <row r="36606" spans="8:8">
      <c r="H36606" s="680" t="s">
        <v>6153</v>
      </c>
    </row>
    <row r="36607" spans="8:8">
      <c r="H36607" s="680" t="s">
        <v>6153</v>
      </c>
    </row>
    <row r="36608" spans="8:8">
      <c r="H36608" s="680" t="s">
        <v>6153</v>
      </c>
    </row>
    <row r="36609" spans="8:8">
      <c r="H36609" s="680" t="s">
        <v>6153</v>
      </c>
    </row>
    <row r="36610" spans="8:8">
      <c r="H36610" s="680" t="s">
        <v>6153</v>
      </c>
    </row>
    <row r="36611" spans="8:8">
      <c r="H36611" s="680" t="s">
        <v>6153</v>
      </c>
    </row>
    <row r="36612" spans="8:8">
      <c r="H36612" s="680" t="s">
        <v>6153</v>
      </c>
    </row>
    <row r="36613" spans="8:8">
      <c r="H36613" s="680" t="s">
        <v>6153</v>
      </c>
    </row>
    <row r="36614" spans="8:8">
      <c r="H36614" s="680" t="s">
        <v>6153</v>
      </c>
    </row>
    <row r="36615" spans="8:8">
      <c r="H36615" s="680" t="s">
        <v>6153</v>
      </c>
    </row>
    <row r="36616" spans="8:8">
      <c r="H36616" s="680" t="s">
        <v>6153</v>
      </c>
    </row>
    <row r="36617" spans="8:8">
      <c r="H36617" s="680" t="s">
        <v>6153</v>
      </c>
    </row>
    <row r="36618" spans="8:8">
      <c r="H36618" s="680" t="s">
        <v>6153</v>
      </c>
    </row>
    <row r="36619" spans="8:8">
      <c r="H36619" s="680" t="s">
        <v>6153</v>
      </c>
    </row>
    <row r="36620" spans="8:8">
      <c r="H36620" s="680" t="s">
        <v>6153</v>
      </c>
    </row>
    <row r="36621" spans="8:8">
      <c r="H36621" s="680" t="s">
        <v>6153</v>
      </c>
    </row>
    <row r="36622" spans="8:8">
      <c r="H36622" s="680" t="s">
        <v>6153</v>
      </c>
    </row>
    <row r="36623" spans="8:8">
      <c r="H36623" s="680" t="s">
        <v>6153</v>
      </c>
    </row>
    <row r="36624" spans="8:8">
      <c r="H36624" s="680" t="s">
        <v>6153</v>
      </c>
    </row>
    <row r="36625" spans="8:8">
      <c r="H36625" s="680" t="s">
        <v>6153</v>
      </c>
    </row>
    <row r="36626" spans="8:8">
      <c r="H36626" s="680" t="s">
        <v>6153</v>
      </c>
    </row>
    <row r="36627" spans="8:8">
      <c r="H36627" s="680" t="s">
        <v>6153</v>
      </c>
    </row>
    <row r="36628" spans="8:8">
      <c r="H36628" s="680" t="s">
        <v>6153</v>
      </c>
    </row>
    <row r="36629" spans="8:8">
      <c r="H36629" s="680" t="s">
        <v>6153</v>
      </c>
    </row>
    <row r="36630" spans="8:8">
      <c r="H36630" s="680" t="s">
        <v>6153</v>
      </c>
    </row>
    <row r="36631" spans="8:8">
      <c r="H36631" s="680" t="s">
        <v>6153</v>
      </c>
    </row>
    <row r="36632" spans="8:8">
      <c r="H36632" s="680" t="s">
        <v>6153</v>
      </c>
    </row>
    <row r="36633" spans="8:8">
      <c r="H36633" s="680" t="s">
        <v>6153</v>
      </c>
    </row>
    <row r="36634" spans="8:8">
      <c r="H36634" s="680" t="s">
        <v>6153</v>
      </c>
    </row>
    <row r="36635" spans="8:8">
      <c r="H36635" s="680" t="s">
        <v>6153</v>
      </c>
    </row>
    <row r="36636" spans="8:8">
      <c r="H36636" s="680" t="s">
        <v>6153</v>
      </c>
    </row>
    <row r="36637" spans="8:8">
      <c r="H36637" s="680" t="s">
        <v>6153</v>
      </c>
    </row>
    <row r="36638" spans="8:8">
      <c r="H36638" s="680" t="s">
        <v>6153</v>
      </c>
    </row>
    <row r="36639" spans="8:8">
      <c r="H36639" s="680" t="s">
        <v>6153</v>
      </c>
    </row>
    <row r="36640" spans="8:8">
      <c r="H36640" s="680" t="s">
        <v>6153</v>
      </c>
    </row>
    <row r="36641" spans="8:8">
      <c r="H36641" s="680" t="s">
        <v>6153</v>
      </c>
    </row>
    <row r="36642" spans="8:8">
      <c r="H36642" s="680" t="s">
        <v>6153</v>
      </c>
    </row>
    <row r="36643" spans="8:8">
      <c r="H36643" s="680" t="s">
        <v>6153</v>
      </c>
    </row>
    <row r="36644" spans="8:8">
      <c r="H36644" s="680" t="s">
        <v>6153</v>
      </c>
    </row>
    <row r="36645" spans="8:8">
      <c r="H36645" s="680" t="s">
        <v>6153</v>
      </c>
    </row>
    <row r="36646" spans="8:8">
      <c r="H36646" s="680" t="s">
        <v>6153</v>
      </c>
    </row>
    <row r="36647" spans="8:8">
      <c r="H36647" s="680" t="s">
        <v>6153</v>
      </c>
    </row>
    <row r="36648" spans="8:8">
      <c r="H36648" s="680" t="s">
        <v>6153</v>
      </c>
    </row>
    <row r="36649" spans="8:8">
      <c r="H36649" s="680" t="s">
        <v>6153</v>
      </c>
    </row>
    <row r="36650" spans="8:8">
      <c r="H36650" s="680" t="s">
        <v>6153</v>
      </c>
    </row>
    <row r="36651" spans="8:8">
      <c r="H36651" s="680" t="s">
        <v>6153</v>
      </c>
    </row>
    <row r="36652" spans="8:8">
      <c r="H36652" s="680" t="s">
        <v>6153</v>
      </c>
    </row>
    <row r="36653" spans="8:8">
      <c r="H36653" s="680" t="s">
        <v>6153</v>
      </c>
    </row>
    <row r="36654" spans="8:8">
      <c r="H36654" s="680" t="s">
        <v>6153</v>
      </c>
    </row>
    <row r="36655" spans="8:8">
      <c r="H36655" s="680" t="s">
        <v>6153</v>
      </c>
    </row>
    <row r="36656" spans="8:8">
      <c r="H36656" s="680" t="s">
        <v>6153</v>
      </c>
    </row>
    <row r="36657" spans="8:8">
      <c r="H36657" s="680" t="s">
        <v>6153</v>
      </c>
    </row>
    <row r="36658" spans="8:8">
      <c r="H36658" s="680" t="s">
        <v>6153</v>
      </c>
    </row>
    <row r="36659" spans="8:8">
      <c r="H36659" s="680" t="s">
        <v>6153</v>
      </c>
    </row>
    <row r="36660" spans="8:8">
      <c r="H36660" s="680" t="s">
        <v>6153</v>
      </c>
    </row>
    <row r="36661" spans="8:8">
      <c r="H36661" s="680" t="s">
        <v>6153</v>
      </c>
    </row>
    <row r="36662" spans="8:8">
      <c r="H36662" s="680" t="s">
        <v>6153</v>
      </c>
    </row>
    <row r="36663" spans="8:8">
      <c r="H36663" s="680" t="s">
        <v>6153</v>
      </c>
    </row>
    <row r="36664" spans="8:8">
      <c r="H36664" s="680" t="s">
        <v>6153</v>
      </c>
    </row>
    <row r="36665" spans="8:8">
      <c r="H36665" s="680" t="s">
        <v>6153</v>
      </c>
    </row>
    <row r="36666" spans="8:8">
      <c r="H36666" s="680" t="s">
        <v>6153</v>
      </c>
    </row>
    <row r="36667" spans="8:8">
      <c r="H36667" s="680" t="s">
        <v>6153</v>
      </c>
    </row>
    <row r="36668" spans="8:8">
      <c r="H36668" s="680" t="s">
        <v>6153</v>
      </c>
    </row>
    <row r="36669" spans="8:8">
      <c r="H36669" s="680" t="s">
        <v>6153</v>
      </c>
    </row>
    <row r="36670" spans="8:8">
      <c r="H36670" s="680" t="s">
        <v>6153</v>
      </c>
    </row>
    <row r="36671" spans="8:8">
      <c r="H36671" s="680" t="s">
        <v>6153</v>
      </c>
    </row>
    <row r="36672" spans="8:8">
      <c r="H36672" s="680" t="s">
        <v>6153</v>
      </c>
    </row>
    <row r="36673" spans="8:8">
      <c r="H36673" s="680" t="s">
        <v>6153</v>
      </c>
    </row>
    <row r="36674" spans="8:8">
      <c r="H36674" s="680" t="s">
        <v>6153</v>
      </c>
    </row>
    <row r="36675" spans="8:8">
      <c r="H36675" s="680" t="s">
        <v>6153</v>
      </c>
    </row>
    <row r="36676" spans="8:8">
      <c r="H36676" s="680" t="s">
        <v>6153</v>
      </c>
    </row>
    <row r="36677" spans="8:8">
      <c r="H36677" s="680" t="s">
        <v>6153</v>
      </c>
    </row>
    <row r="36678" spans="8:8">
      <c r="H36678" s="680" t="s">
        <v>6153</v>
      </c>
    </row>
    <row r="36679" spans="8:8">
      <c r="H36679" s="680" t="s">
        <v>6153</v>
      </c>
    </row>
    <row r="36680" spans="8:8">
      <c r="H36680" s="680" t="s">
        <v>6153</v>
      </c>
    </row>
    <row r="36681" spans="8:8">
      <c r="H36681" s="680" t="s">
        <v>6153</v>
      </c>
    </row>
    <row r="36682" spans="8:8">
      <c r="H36682" s="680" t="s">
        <v>6153</v>
      </c>
    </row>
    <row r="36683" spans="8:8">
      <c r="H36683" s="680" t="s">
        <v>6153</v>
      </c>
    </row>
    <row r="36684" spans="8:8">
      <c r="H36684" s="680" t="s">
        <v>6153</v>
      </c>
    </row>
    <row r="36685" spans="8:8">
      <c r="H36685" s="680" t="s">
        <v>6153</v>
      </c>
    </row>
    <row r="36686" spans="8:8">
      <c r="H36686" s="680" t="s">
        <v>6153</v>
      </c>
    </row>
    <row r="36687" spans="8:8">
      <c r="H36687" s="680" t="s">
        <v>6153</v>
      </c>
    </row>
    <row r="36688" spans="8:8">
      <c r="H36688" s="680" t="s">
        <v>6153</v>
      </c>
    </row>
    <row r="36689" spans="8:8">
      <c r="H36689" s="680" t="s">
        <v>6153</v>
      </c>
    </row>
    <row r="36690" spans="8:8">
      <c r="H36690" s="680" t="s">
        <v>6153</v>
      </c>
    </row>
    <row r="36691" spans="8:8">
      <c r="H36691" s="680" t="s">
        <v>6153</v>
      </c>
    </row>
    <row r="36692" spans="8:8">
      <c r="H36692" s="680" t="s">
        <v>6153</v>
      </c>
    </row>
    <row r="36693" spans="8:8">
      <c r="H36693" s="680" t="s">
        <v>6153</v>
      </c>
    </row>
    <row r="36694" spans="8:8">
      <c r="H36694" s="680" t="s">
        <v>6153</v>
      </c>
    </row>
    <row r="36695" spans="8:8">
      <c r="H36695" s="680" t="s">
        <v>6153</v>
      </c>
    </row>
    <row r="36696" spans="8:8">
      <c r="H36696" s="680" t="s">
        <v>6153</v>
      </c>
    </row>
    <row r="36697" spans="8:8">
      <c r="H36697" s="680" t="s">
        <v>6153</v>
      </c>
    </row>
    <row r="36698" spans="8:8">
      <c r="H36698" s="680" t="s">
        <v>6153</v>
      </c>
    </row>
    <row r="36699" spans="8:8">
      <c r="H36699" s="680" t="s">
        <v>6153</v>
      </c>
    </row>
    <row r="36700" spans="8:8">
      <c r="H36700" s="680" t="s">
        <v>6153</v>
      </c>
    </row>
    <row r="36701" spans="8:8">
      <c r="H36701" s="680" t="s">
        <v>6153</v>
      </c>
    </row>
    <row r="36702" spans="8:8">
      <c r="H36702" s="680" t="s">
        <v>6153</v>
      </c>
    </row>
    <row r="36703" spans="8:8">
      <c r="H36703" s="680" t="s">
        <v>6153</v>
      </c>
    </row>
    <row r="36704" spans="8:8">
      <c r="H36704" s="680" t="s">
        <v>6153</v>
      </c>
    </row>
    <row r="36705" spans="8:8">
      <c r="H36705" s="680" t="s">
        <v>6153</v>
      </c>
    </row>
    <row r="36706" spans="8:8">
      <c r="H36706" s="680" t="s">
        <v>6153</v>
      </c>
    </row>
    <row r="36707" spans="8:8">
      <c r="H36707" s="680" t="s">
        <v>6153</v>
      </c>
    </row>
    <row r="36708" spans="8:8">
      <c r="H36708" s="680" t="s">
        <v>6153</v>
      </c>
    </row>
    <row r="36709" spans="8:8">
      <c r="H36709" s="680" t="s">
        <v>6153</v>
      </c>
    </row>
    <row r="36710" spans="8:8">
      <c r="H36710" s="680" t="s">
        <v>6153</v>
      </c>
    </row>
    <row r="36711" spans="8:8">
      <c r="H36711" s="680" t="s">
        <v>6153</v>
      </c>
    </row>
    <row r="36712" spans="8:8">
      <c r="H36712" s="680" t="s">
        <v>6153</v>
      </c>
    </row>
    <row r="36713" spans="8:8">
      <c r="H36713" s="680" t="s">
        <v>6153</v>
      </c>
    </row>
    <row r="36714" spans="8:8">
      <c r="H36714" s="680" t="s">
        <v>6153</v>
      </c>
    </row>
    <row r="36715" spans="8:8">
      <c r="H36715" s="680" t="s">
        <v>6153</v>
      </c>
    </row>
    <row r="36716" spans="8:8">
      <c r="H36716" s="680" t="s">
        <v>6153</v>
      </c>
    </row>
    <row r="36717" spans="8:8">
      <c r="H36717" s="680" t="s">
        <v>6153</v>
      </c>
    </row>
    <row r="36718" spans="8:8">
      <c r="H36718" s="680" t="s">
        <v>6153</v>
      </c>
    </row>
    <row r="36719" spans="8:8">
      <c r="H36719" s="680" t="s">
        <v>6153</v>
      </c>
    </row>
    <row r="36720" spans="8:8">
      <c r="H36720" s="680" t="s">
        <v>6153</v>
      </c>
    </row>
    <row r="36721" spans="8:8">
      <c r="H36721" s="680" t="s">
        <v>6153</v>
      </c>
    </row>
    <row r="36722" spans="8:8">
      <c r="H36722" s="680" t="s">
        <v>6153</v>
      </c>
    </row>
    <row r="36723" spans="8:8">
      <c r="H36723" s="680" t="s">
        <v>6153</v>
      </c>
    </row>
    <row r="36724" spans="8:8">
      <c r="H36724" s="680" t="s">
        <v>6153</v>
      </c>
    </row>
    <row r="36725" spans="8:8">
      <c r="H36725" s="680" t="s">
        <v>6153</v>
      </c>
    </row>
    <row r="36726" spans="8:8">
      <c r="H36726" s="680" t="s">
        <v>6153</v>
      </c>
    </row>
    <row r="36727" spans="8:8">
      <c r="H36727" s="680" t="s">
        <v>6153</v>
      </c>
    </row>
    <row r="36728" spans="8:8">
      <c r="H36728" s="680" t="s">
        <v>6153</v>
      </c>
    </row>
    <row r="36729" spans="8:8">
      <c r="H36729" s="680" t="s">
        <v>6153</v>
      </c>
    </row>
    <row r="36730" spans="8:8">
      <c r="H36730" s="680" t="s">
        <v>6153</v>
      </c>
    </row>
    <row r="36731" spans="8:8">
      <c r="H36731" s="680" t="s">
        <v>6153</v>
      </c>
    </row>
    <row r="36732" spans="8:8">
      <c r="H36732" s="680" t="s">
        <v>6153</v>
      </c>
    </row>
    <row r="36733" spans="8:8">
      <c r="H36733" s="680" t="s">
        <v>6153</v>
      </c>
    </row>
    <row r="36734" spans="8:8">
      <c r="H36734" s="680" t="s">
        <v>6153</v>
      </c>
    </row>
    <row r="36735" spans="8:8">
      <c r="H36735" s="680" t="s">
        <v>6153</v>
      </c>
    </row>
    <row r="36736" spans="8:8">
      <c r="H36736" s="680" t="s">
        <v>6153</v>
      </c>
    </row>
    <row r="36737" spans="8:8">
      <c r="H36737" s="680" t="s">
        <v>6153</v>
      </c>
    </row>
    <row r="36738" spans="8:8">
      <c r="H36738" s="680" t="s">
        <v>6153</v>
      </c>
    </row>
    <row r="36739" spans="8:8">
      <c r="H36739" s="680" t="s">
        <v>6153</v>
      </c>
    </row>
    <row r="36740" spans="8:8">
      <c r="H36740" s="680" t="s">
        <v>6153</v>
      </c>
    </row>
    <row r="36741" spans="8:8">
      <c r="H36741" s="680" t="s">
        <v>6153</v>
      </c>
    </row>
    <row r="36742" spans="8:8">
      <c r="H36742" s="680" t="s">
        <v>6153</v>
      </c>
    </row>
    <row r="36743" spans="8:8">
      <c r="H36743" s="680" t="s">
        <v>6153</v>
      </c>
    </row>
    <row r="36744" spans="8:8">
      <c r="H36744" s="680" t="s">
        <v>6153</v>
      </c>
    </row>
    <row r="36745" spans="8:8">
      <c r="H36745" s="680" t="s">
        <v>6153</v>
      </c>
    </row>
    <row r="36746" spans="8:8">
      <c r="H36746" s="680" t="s">
        <v>6153</v>
      </c>
    </row>
    <row r="36747" spans="8:8">
      <c r="H36747" s="680" t="s">
        <v>6153</v>
      </c>
    </row>
    <row r="36748" spans="8:8">
      <c r="H36748" s="680" t="s">
        <v>6153</v>
      </c>
    </row>
    <row r="36749" spans="8:8">
      <c r="H36749" s="680" t="s">
        <v>6153</v>
      </c>
    </row>
    <row r="36750" spans="8:8">
      <c r="H36750" s="680" t="s">
        <v>6153</v>
      </c>
    </row>
    <row r="36751" spans="8:8">
      <c r="H36751" s="680" t="s">
        <v>6153</v>
      </c>
    </row>
    <row r="36752" spans="8:8">
      <c r="H36752" s="680" t="s">
        <v>6153</v>
      </c>
    </row>
    <row r="36753" spans="8:8">
      <c r="H36753" s="680" t="s">
        <v>6153</v>
      </c>
    </row>
    <row r="36754" spans="8:8">
      <c r="H36754" s="680" t="s">
        <v>6153</v>
      </c>
    </row>
    <row r="36755" spans="8:8">
      <c r="H36755" s="680" t="s">
        <v>6153</v>
      </c>
    </row>
    <row r="36756" spans="8:8">
      <c r="H36756" s="680" t="s">
        <v>6153</v>
      </c>
    </row>
    <row r="36757" spans="8:8">
      <c r="H36757" s="680" t="s">
        <v>6153</v>
      </c>
    </row>
    <row r="36758" spans="8:8">
      <c r="H36758" s="680" t="s">
        <v>6153</v>
      </c>
    </row>
    <row r="36759" spans="8:8">
      <c r="H36759" s="680" t="s">
        <v>6153</v>
      </c>
    </row>
    <row r="36760" spans="8:8">
      <c r="H36760" s="680" t="s">
        <v>6153</v>
      </c>
    </row>
    <row r="36761" spans="8:8">
      <c r="H36761" s="680" t="s">
        <v>6153</v>
      </c>
    </row>
    <row r="36762" spans="8:8">
      <c r="H36762" s="680" t="s">
        <v>6153</v>
      </c>
    </row>
    <row r="36763" spans="8:8">
      <c r="H36763" s="680" t="s">
        <v>6153</v>
      </c>
    </row>
    <row r="36764" spans="8:8">
      <c r="H36764" s="680" t="s">
        <v>6153</v>
      </c>
    </row>
    <row r="36765" spans="8:8">
      <c r="H36765" s="680" t="s">
        <v>6153</v>
      </c>
    </row>
    <row r="36766" spans="8:8">
      <c r="H36766" s="680" t="s">
        <v>6153</v>
      </c>
    </row>
    <row r="36767" spans="8:8">
      <c r="H36767" s="680" t="s">
        <v>6153</v>
      </c>
    </row>
    <row r="36768" spans="8:8">
      <c r="H36768" s="680" t="s">
        <v>6153</v>
      </c>
    </row>
    <row r="36769" spans="8:8">
      <c r="H36769" s="680" t="s">
        <v>6153</v>
      </c>
    </row>
    <row r="36770" spans="8:8">
      <c r="H36770" s="680" t="s">
        <v>6153</v>
      </c>
    </row>
    <row r="36771" spans="8:8">
      <c r="H36771" s="680" t="s">
        <v>6153</v>
      </c>
    </row>
    <row r="36772" spans="8:8">
      <c r="H36772" s="680" t="s">
        <v>6153</v>
      </c>
    </row>
    <row r="36773" spans="8:8">
      <c r="H36773" s="680" t="s">
        <v>6153</v>
      </c>
    </row>
    <row r="36774" spans="8:8">
      <c r="H36774" s="680" t="s">
        <v>6153</v>
      </c>
    </row>
    <row r="36775" spans="8:8">
      <c r="H36775" s="680" t="s">
        <v>6153</v>
      </c>
    </row>
    <row r="36776" spans="8:8">
      <c r="H36776" s="680" t="s">
        <v>6153</v>
      </c>
    </row>
    <row r="36777" spans="8:8">
      <c r="H36777" s="680" t="s">
        <v>6153</v>
      </c>
    </row>
    <row r="36778" spans="8:8">
      <c r="H36778" s="680" t="s">
        <v>6153</v>
      </c>
    </row>
    <row r="36779" spans="8:8">
      <c r="H36779" s="680" t="s">
        <v>6153</v>
      </c>
    </row>
    <row r="36780" spans="8:8">
      <c r="H36780" s="680" t="s">
        <v>6153</v>
      </c>
    </row>
    <row r="36781" spans="8:8">
      <c r="H36781" s="680" t="s">
        <v>6153</v>
      </c>
    </row>
    <row r="36782" spans="8:8">
      <c r="H36782" s="680" t="s">
        <v>6153</v>
      </c>
    </row>
    <row r="36783" spans="8:8">
      <c r="H36783" s="680" t="s">
        <v>6153</v>
      </c>
    </row>
    <row r="36784" spans="8:8">
      <c r="H36784" s="680" t="s">
        <v>6153</v>
      </c>
    </row>
    <row r="36785" spans="8:8">
      <c r="H36785" s="680" t="s">
        <v>6153</v>
      </c>
    </row>
    <row r="36786" spans="8:8">
      <c r="H36786" s="680" t="s">
        <v>6153</v>
      </c>
    </row>
    <row r="36787" spans="8:8">
      <c r="H36787" s="680" t="s">
        <v>6153</v>
      </c>
    </row>
    <row r="36788" spans="8:8">
      <c r="H36788" s="680" t="s">
        <v>6153</v>
      </c>
    </row>
    <row r="36789" spans="8:8">
      <c r="H36789" s="680" t="s">
        <v>6153</v>
      </c>
    </row>
    <row r="36790" spans="8:8">
      <c r="H36790" s="680" t="s">
        <v>6153</v>
      </c>
    </row>
    <row r="36791" spans="8:8">
      <c r="H36791" s="680" t="s">
        <v>6153</v>
      </c>
    </row>
    <row r="36792" spans="8:8">
      <c r="H36792" s="680" t="s">
        <v>6153</v>
      </c>
    </row>
    <row r="36793" spans="8:8">
      <c r="H36793" s="680" t="s">
        <v>6153</v>
      </c>
    </row>
    <row r="36794" spans="8:8">
      <c r="H36794" s="680" t="s">
        <v>6153</v>
      </c>
    </row>
    <row r="36795" spans="8:8">
      <c r="H36795" s="680" t="s">
        <v>6153</v>
      </c>
    </row>
    <row r="36796" spans="8:8">
      <c r="H36796" s="680" t="s">
        <v>6153</v>
      </c>
    </row>
    <row r="36797" spans="8:8">
      <c r="H36797" s="680" t="s">
        <v>6153</v>
      </c>
    </row>
    <row r="36798" spans="8:8">
      <c r="H36798" s="680" t="s">
        <v>6153</v>
      </c>
    </row>
    <row r="36799" spans="8:8">
      <c r="H36799" s="680" t="s">
        <v>6153</v>
      </c>
    </row>
    <row r="36800" spans="8:8">
      <c r="H36800" s="680" t="s">
        <v>6153</v>
      </c>
    </row>
    <row r="36801" spans="8:8">
      <c r="H36801" s="680" t="s">
        <v>6153</v>
      </c>
    </row>
    <row r="36802" spans="8:8">
      <c r="H36802" s="680" t="s">
        <v>6153</v>
      </c>
    </row>
    <row r="36803" spans="8:8">
      <c r="H36803" s="680" t="s">
        <v>6153</v>
      </c>
    </row>
    <row r="36804" spans="8:8">
      <c r="H36804" s="680" t="s">
        <v>6153</v>
      </c>
    </row>
    <row r="36805" spans="8:8">
      <c r="H36805" s="680" t="s">
        <v>6153</v>
      </c>
    </row>
    <row r="36806" spans="8:8">
      <c r="H36806" s="680" t="s">
        <v>6153</v>
      </c>
    </row>
    <row r="36807" spans="8:8">
      <c r="H36807" s="680" t="s">
        <v>6153</v>
      </c>
    </row>
    <row r="36808" spans="8:8">
      <c r="H36808" s="680" t="s">
        <v>6153</v>
      </c>
    </row>
    <row r="36809" spans="8:8">
      <c r="H36809" s="680" t="s">
        <v>6153</v>
      </c>
    </row>
    <row r="36810" spans="8:8">
      <c r="H36810" s="680" t="s">
        <v>6153</v>
      </c>
    </row>
    <row r="36811" spans="8:8">
      <c r="H36811" s="680" t="s">
        <v>6153</v>
      </c>
    </row>
    <row r="36812" spans="8:8">
      <c r="H36812" s="680" t="s">
        <v>6153</v>
      </c>
    </row>
    <row r="36813" spans="8:8">
      <c r="H36813" s="680" t="s">
        <v>6153</v>
      </c>
    </row>
    <row r="36814" spans="8:8">
      <c r="H36814" s="680" t="s">
        <v>6153</v>
      </c>
    </row>
    <row r="36815" spans="8:8">
      <c r="H36815" s="680" t="s">
        <v>6153</v>
      </c>
    </row>
    <row r="36816" spans="8:8">
      <c r="H36816" s="680" t="s">
        <v>6153</v>
      </c>
    </row>
    <row r="36817" spans="8:8">
      <c r="H36817" s="680" t="s">
        <v>6153</v>
      </c>
    </row>
    <row r="36818" spans="8:8">
      <c r="H36818" s="680" t="s">
        <v>6153</v>
      </c>
    </row>
    <row r="36819" spans="8:8">
      <c r="H36819" s="680" t="s">
        <v>6153</v>
      </c>
    </row>
    <row r="36820" spans="8:8">
      <c r="H36820" s="680" t="s">
        <v>6153</v>
      </c>
    </row>
    <row r="36821" spans="8:8">
      <c r="H36821" s="680" t="s">
        <v>6153</v>
      </c>
    </row>
    <row r="36822" spans="8:8">
      <c r="H36822" s="680" t="s">
        <v>6153</v>
      </c>
    </row>
    <row r="36823" spans="8:8">
      <c r="H36823" s="680" t="s">
        <v>6153</v>
      </c>
    </row>
    <row r="36824" spans="8:8">
      <c r="H36824" s="680" t="s">
        <v>6153</v>
      </c>
    </row>
    <row r="36825" spans="8:8">
      <c r="H36825" s="680" t="s">
        <v>6153</v>
      </c>
    </row>
    <row r="36826" spans="8:8">
      <c r="H36826" s="680" t="s">
        <v>6153</v>
      </c>
    </row>
    <row r="36827" spans="8:8">
      <c r="H36827" s="680" t="s">
        <v>6153</v>
      </c>
    </row>
    <row r="36828" spans="8:8">
      <c r="H36828" s="680" t="s">
        <v>6153</v>
      </c>
    </row>
    <row r="36829" spans="8:8">
      <c r="H36829" s="680" t="s">
        <v>6153</v>
      </c>
    </row>
    <row r="36830" spans="8:8">
      <c r="H36830" s="680" t="s">
        <v>6153</v>
      </c>
    </row>
    <row r="36831" spans="8:8">
      <c r="H36831" s="680" t="s">
        <v>6153</v>
      </c>
    </row>
    <row r="36832" spans="8:8">
      <c r="H36832" s="680" t="s">
        <v>6153</v>
      </c>
    </row>
    <row r="36833" spans="8:8">
      <c r="H36833" s="680" t="s">
        <v>6153</v>
      </c>
    </row>
    <row r="36834" spans="8:8">
      <c r="H36834" s="680" t="s">
        <v>6153</v>
      </c>
    </row>
    <row r="36835" spans="8:8">
      <c r="H36835" s="680" t="s">
        <v>6153</v>
      </c>
    </row>
    <row r="36836" spans="8:8">
      <c r="H36836" s="680" t="s">
        <v>6153</v>
      </c>
    </row>
    <row r="36837" spans="8:8">
      <c r="H36837" s="680" t="s">
        <v>6153</v>
      </c>
    </row>
    <row r="36838" spans="8:8">
      <c r="H36838" s="680" t="s">
        <v>6153</v>
      </c>
    </row>
    <row r="36839" spans="8:8">
      <c r="H36839" s="680" t="s">
        <v>6153</v>
      </c>
    </row>
    <row r="36840" spans="8:8">
      <c r="H36840" s="680" t="s">
        <v>6153</v>
      </c>
    </row>
    <row r="36841" spans="8:8">
      <c r="H36841" s="680" t="s">
        <v>6153</v>
      </c>
    </row>
    <row r="36842" spans="8:8">
      <c r="H36842" s="680" t="s">
        <v>6153</v>
      </c>
    </row>
    <row r="36843" spans="8:8">
      <c r="H36843" s="680" t="s">
        <v>6153</v>
      </c>
    </row>
    <row r="36844" spans="8:8">
      <c r="H36844" s="680" t="s">
        <v>6153</v>
      </c>
    </row>
    <row r="36845" spans="8:8">
      <c r="H36845" s="680" t="s">
        <v>6153</v>
      </c>
    </row>
    <row r="36846" spans="8:8">
      <c r="H36846" s="680" t="s">
        <v>6153</v>
      </c>
    </row>
    <row r="36847" spans="8:8">
      <c r="H36847" s="680" t="s">
        <v>6153</v>
      </c>
    </row>
    <row r="36848" spans="8:8">
      <c r="H36848" s="680" t="s">
        <v>6153</v>
      </c>
    </row>
    <row r="36849" spans="8:8">
      <c r="H36849" s="680" t="s">
        <v>6153</v>
      </c>
    </row>
    <row r="36850" spans="8:8">
      <c r="H36850" s="680" t="s">
        <v>6153</v>
      </c>
    </row>
    <row r="36851" spans="8:8">
      <c r="H36851" s="680" t="s">
        <v>6153</v>
      </c>
    </row>
    <row r="36852" spans="8:8">
      <c r="H36852" s="680" t="s">
        <v>6153</v>
      </c>
    </row>
    <row r="36853" spans="8:8">
      <c r="H36853" s="680" t="s">
        <v>6153</v>
      </c>
    </row>
    <row r="36854" spans="8:8">
      <c r="H36854" s="680" t="s">
        <v>6153</v>
      </c>
    </row>
    <row r="36855" spans="8:8">
      <c r="H36855" s="680" t="s">
        <v>6153</v>
      </c>
    </row>
    <row r="36856" spans="8:8">
      <c r="H36856" s="680" t="s">
        <v>6153</v>
      </c>
    </row>
    <row r="36857" spans="8:8">
      <c r="H36857" s="680" t="s">
        <v>6153</v>
      </c>
    </row>
    <row r="36858" spans="8:8">
      <c r="H36858" s="680" t="s">
        <v>6153</v>
      </c>
    </row>
    <row r="36859" spans="8:8">
      <c r="H36859" s="680" t="s">
        <v>6153</v>
      </c>
    </row>
    <row r="36860" spans="8:8">
      <c r="H36860" s="680" t="s">
        <v>6153</v>
      </c>
    </row>
    <row r="36861" spans="8:8">
      <c r="H36861" s="680" t="s">
        <v>6153</v>
      </c>
    </row>
    <row r="36862" spans="8:8">
      <c r="H36862" s="680" t="s">
        <v>6153</v>
      </c>
    </row>
    <row r="36863" spans="8:8">
      <c r="H36863" s="680" t="s">
        <v>6153</v>
      </c>
    </row>
    <row r="36864" spans="8:8">
      <c r="H36864" s="680" t="s">
        <v>6153</v>
      </c>
    </row>
    <row r="36865" spans="8:8">
      <c r="H36865" s="680" t="s">
        <v>6153</v>
      </c>
    </row>
    <row r="36866" spans="8:8">
      <c r="H36866" s="680" t="s">
        <v>6153</v>
      </c>
    </row>
    <row r="36867" spans="8:8">
      <c r="H36867" s="680" t="s">
        <v>6153</v>
      </c>
    </row>
    <row r="36868" spans="8:8">
      <c r="H36868" s="680" t="s">
        <v>6153</v>
      </c>
    </row>
    <row r="36869" spans="8:8">
      <c r="H36869" s="680" t="s">
        <v>6153</v>
      </c>
    </row>
    <row r="36870" spans="8:8">
      <c r="H36870" s="680" t="s">
        <v>6153</v>
      </c>
    </row>
    <row r="36871" spans="8:8">
      <c r="H36871" s="680" t="s">
        <v>6153</v>
      </c>
    </row>
    <row r="36872" spans="8:8">
      <c r="H36872" s="680" t="s">
        <v>6153</v>
      </c>
    </row>
    <row r="36873" spans="8:8">
      <c r="H36873" s="680" t="s">
        <v>6153</v>
      </c>
    </row>
    <row r="36874" spans="8:8">
      <c r="H36874" s="680" t="s">
        <v>6153</v>
      </c>
    </row>
    <row r="36875" spans="8:8">
      <c r="H36875" s="680" t="s">
        <v>6153</v>
      </c>
    </row>
    <row r="36876" spans="8:8">
      <c r="H36876" s="680" t="s">
        <v>6153</v>
      </c>
    </row>
    <row r="36877" spans="8:8">
      <c r="H36877" s="680" t="s">
        <v>6153</v>
      </c>
    </row>
    <row r="36878" spans="8:8">
      <c r="H36878" s="680" t="s">
        <v>6153</v>
      </c>
    </row>
    <row r="36879" spans="8:8">
      <c r="H36879" s="680" t="s">
        <v>6153</v>
      </c>
    </row>
    <row r="36880" spans="8:8">
      <c r="H36880" s="680" t="s">
        <v>6153</v>
      </c>
    </row>
    <row r="36881" spans="8:8">
      <c r="H36881" s="680" t="s">
        <v>6153</v>
      </c>
    </row>
    <row r="36882" spans="8:8">
      <c r="H36882" s="680" t="s">
        <v>6153</v>
      </c>
    </row>
    <row r="36883" spans="8:8">
      <c r="H36883" s="680" t="s">
        <v>6153</v>
      </c>
    </row>
    <row r="36884" spans="8:8">
      <c r="H36884" s="680" t="s">
        <v>6153</v>
      </c>
    </row>
    <row r="36885" spans="8:8">
      <c r="H36885" s="680" t="s">
        <v>6153</v>
      </c>
    </row>
    <row r="36886" spans="8:8">
      <c r="H36886" s="680" t="s">
        <v>6153</v>
      </c>
    </row>
    <row r="36887" spans="8:8">
      <c r="H36887" s="680" t="s">
        <v>6153</v>
      </c>
    </row>
    <row r="36888" spans="8:8">
      <c r="H36888" s="680" t="s">
        <v>6153</v>
      </c>
    </row>
    <row r="36889" spans="8:8">
      <c r="H36889" s="680" t="s">
        <v>6153</v>
      </c>
    </row>
    <row r="36890" spans="8:8">
      <c r="H36890" s="680" t="s">
        <v>6153</v>
      </c>
    </row>
    <row r="36891" spans="8:8">
      <c r="H36891" s="680" t="s">
        <v>6153</v>
      </c>
    </row>
    <row r="36892" spans="8:8">
      <c r="H36892" s="680" t="s">
        <v>6153</v>
      </c>
    </row>
    <row r="36893" spans="8:8">
      <c r="H36893" s="680" t="s">
        <v>6153</v>
      </c>
    </row>
    <row r="36894" spans="8:8">
      <c r="H36894" s="680" t="s">
        <v>6153</v>
      </c>
    </row>
    <row r="36895" spans="8:8">
      <c r="H36895" s="680" t="s">
        <v>6153</v>
      </c>
    </row>
    <row r="36896" spans="8:8">
      <c r="H36896" s="680" t="s">
        <v>6153</v>
      </c>
    </row>
    <row r="36897" spans="8:8">
      <c r="H36897" s="680" t="s">
        <v>6153</v>
      </c>
    </row>
    <row r="36898" spans="8:8">
      <c r="H36898" s="680" t="s">
        <v>6153</v>
      </c>
    </row>
    <row r="36899" spans="8:8">
      <c r="H36899" s="680" t="s">
        <v>6153</v>
      </c>
    </row>
    <row r="36900" spans="8:8">
      <c r="H36900" s="680" t="s">
        <v>6153</v>
      </c>
    </row>
    <row r="36901" spans="8:8">
      <c r="H36901" s="680" t="s">
        <v>6153</v>
      </c>
    </row>
    <row r="36902" spans="8:8">
      <c r="H36902" s="680" t="s">
        <v>6153</v>
      </c>
    </row>
    <row r="36903" spans="8:8">
      <c r="H36903" s="680" t="s">
        <v>6153</v>
      </c>
    </row>
    <row r="36904" spans="8:8">
      <c r="H36904" s="680" t="s">
        <v>6153</v>
      </c>
    </row>
    <row r="36905" spans="8:8">
      <c r="H36905" s="680" t="s">
        <v>6153</v>
      </c>
    </row>
    <row r="36906" spans="8:8">
      <c r="H36906" s="680" t="s">
        <v>6153</v>
      </c>
    </row>
    <row r="36907" spans="8:8">
      <c r="H36907" s="680" t="s">
        <v>6153</v>
      </c>
    </row>
    <row r="36908" spans="8:8">
      <c r="H36908" s="680" t="s">
        <v>6153</v>
      </c>
    </row>
    <row r="36909" spans="8:8">
      <c r="H36909" s="680" t="s">
        <v>6153</v>
      </c>
    </row>
    <row r="36910" spans="8:8">
      <c r="H36910" s="680" t="s">
        <v>6153</v>
      </c>
    </row>
    <row r="36911" spans="8:8">
      <c r="H36911" s="680" t="s">
        <v>6153</v>
      </c>
    </row>
    <row r="36912" spans="8:8">
      <c r="H36912" s="680" t="s">
        <v>6153</v>
      </c>
    </row>
    <row r="36913" spans="8:8">
      <c r="H36913" s="680" t="s">
        <v>6153</v>
      </c>
    </row>
    <row r="36914" spans="8:8">
      <c r="H36914" s="680" t="s">
        <v>6153</v>
      </c>
    </row>
    <row r="36915" spans="8:8">
      <c r="H36915" s="680" t="s">
        <v>6153</v>
      </c>
    </row>
    <row r="36916" spans="8:8">
      <c r="H36916" s="680" t="s">
        <v>6153</v>
      </c>
    </row>
    <row r="36917" spans="8:8">
      <c r="H36917" s="680" t="s">
        <v>6153</v>
      </c>
    </row>
    <row r="36918" spans="8:8">
      <c r="H36918" s="680" t="s">
        <v>6153</v>
      </c>
    </row>
    <row r="36919" spans="8:8">
      <c r="H36919" s="680" t="s">
        <v>6153</v>
      </c>
    </row>
    <row r="36920" spans="8:8">
      <c r="H36920" s="680" t="s">
        <v>6153</v>
      </c>
    </row>
    <row r="36921" spans="8:8">
      <c r="H36921" s="680" t="s">
        <v>6153</v>
      </c>
    </row>
    <row r="36922" spans="8:8">
      <c r="H36922" s="680" t="s">
        <v>6153</v>
      </c>
    </row>
    <row r="36923" spans="8:8">
      <c r="H36923" s="680" t="s">
        <v>6153</v>
      </c>
    </row>
    <row r="36924" spans="8:8">
      <c r="H36924" s="680" t="s">
        <v>6153</v>
      </c>
    </row>
    <row r="36925" spans="8:8">
      <c r="H36925" s="680" t="s">
        <v>6153</v>
      </c>
    </row>
    <row r="36926" spans="8:8">
      <c r="H36926" s="680" t="s">
        <v>6153</v>
      </c>
    </row>
    <row r="36927" spans="8:8">
      <c r="H36927" s="680" t="s">
        <v>6153</v>
      </c>
    </row>
    <row r="36928" spans="8:8">
      <c r="H36928" s="680" t="s">
        <v>6153</v>
      </c>
    </row>
    <row r="36929" spans="8:8">
      <c r="H36929" s="680" t="s">
        <v>6153</v>
      </c>
    </row>
    <row r="36930" spans="8:8">
      <c r="H36930" s="680" t="s">
        <v>6153</v>
      </c>
    </row>
    <row r="36931" spans="8:8">
      <c r="H36931" s="680" t="s">
        <v>6153</v>
      </c>
    </row>
    <row r="36932" spans="8:8">
      <c r="H36932" s="680" t="s">
        <v>6153</v>
      </c>
    </row>
    <row r="36933" spans="8:8">
      <c r="H36933" s="680" t="s">
        <v>6153</v>
      </c>
    </row>
    <row r="36934" spans="8:8">
      <c r="H36934" s="680" t="s">
        <v>6153</v>
      </c>
    </row>
    <row r="36935" spans="8:8">
      <c r="H36935" s="680" t="s">
        <v>6153</v>
      </c>
    </row>
    <row r="36936" spans="8:8">
      <c r="H36936" s="680" t="s">
        <v>6153</v>
      </c>
    </row>
    <row r="36937" spans="8:8">
      <c r="H36937" s="680" t="s">
        <v>6153</v>
      </c>
    </row>
    <row r="36938" spans="8:8">
      <c r="H36938" s="680" t="s">
        <v>6153</v>
      </c>
    </row>
    <row r="36939" spans="8:8">
      <c r="H36939" s="680" t="s">
        <v>6153</v>
      </c>
    </row>
    <row r="36940" spans="8:8">
      <c r="H36940" s="680" t="s">
        <v>6153</v>
      </c>
    </row>
    <row r="36941" spans="8:8">
      <c r="H36941" s="680" t="s">
        <v>6153</v>
      </c>
    </row>
    <row r="36942" spans="8:8">
      <c r="H36942" s="680" t="s">
        <v>6153</v>
      </c>
    </row>
    <row r="36943" spans="8:8">
      <c r="H36943" s="680" t="s">
        <v>6153</v>
      </c>
    </row>
    <row r="36944" spans="8:8">
      <c r="H36944" s="680" t="s">
        <v>6153</v>
      </c>
    </row>
    <row r="36945" spans="8:8">
      <c r="H36945" s="680" t="s">
        <v>6153</v>
      </c>
    </row>
    <row r="36946" spans="8:8">
      <c r="H36946" s="680" t="s">
        <v>6153</v>
      </c>
    </row>
    <row r="36947" spans="8:8">
      <c r="H36947" s="680" t="s">
        <v>6153</v>
      </c>
    </row>
    <row r="36948" spans="8:8">
      <c r="H36948" s="680" t="s">
        <v>6153</v>
      </c>
    </row>
    <row r="36949" spans="8:8">
      <c r="H36949" s="680" t="s">
        <v>6153</v>
      </c>
    </row>
    <row r="36950" spans="8:8">
      <c r="H36950" s="680" t="s">
        <v>6153</v>
      </c>
    </row>
    <row r="36951" spans="8:8">
      <c r="H36951" s="680" t="s">
        <v>6153</v>
      </c>
    </row>
    <row r="36952" spans="8:8">
      <c r="H36952" s="680" t="s">
        <v>6153</v>
      </c>
    </row>
    <row r="36953" spans="8:8">
      <c r="H36953" s="680" t="s">
        <v>6153</v>
      </c>
    </row>
    <row r="36954" spans="8:8">
      <c r="H36954" s="680" t="s">
        <v>6153</v>
      </c>
    </row>
    <row r="36955" spans="8:8">
      <c r="H36955" s="680" t="s">
        <v>6153</v>
      </c>
    </row>
    <row r="36956" spans="8:8">
      <c r="H36956" s="680" t="s">
        <v>6153</v>
      </c>
    </row>
    <row r="36957" spans="8:8">
      <c r="H36957" s="680" t="s">
        <v>6153</v>
      </c>
    </row>
    <row r="36958" spans="8:8">
      <c r="H36958" s="680" t="s">
        <v>6153</v>
      </c>
    </row>
    <row r="36959" spans="8:8">
      <c r="H36959" s="680" t="s">
        <v>6153</v>
      </c>
    </row>
    <row r="36960" spans="8:8">
      <c r="H36960" s="680" t="s">
        <v>6153</v>
      </c>
    </row>
    <row r="36961" spans="8:8">
      <c r="H36961" s="680" t="s">
        <v>6153</v>
      </c>
    </row>
    <row r="36962" spans="8:8">
      <c r="H36962" s="680" t="s">
        <v>6153</v>
      </c>
    </row>
    <row r="36963" spans="8:8">
      <c r="H36963" s="680" t="s">
        <v>6153</v>
      </c>
    </row>
    <row r="36964" spans="8:8">
      <c r="H36964" s="680" t="s">
        <v>6153</v>
      </c>
    </row>
    <row r="36965" spans="8:8">
      <c r="H36965" s="680" t="s">
        <v>6153</v>
      </c>
    </row>
    <row r="36966" spans="8:8">
      <c r="H36966" s="680" t="s">
        <v>6153</v>
      </c>
    </row>
    <row r="36967" spans="8:8">
      <c r="H36967" s="680" t="s">
        <v>6153</v>
      </c>
    </row>
    <row r="36968" spans="8:8">
      <c r="H36968" s="680" t="s">
        <v>6153</v>
      </c>
    </row>
    <row r="36969" spans="8:8">
      <c r="H36969" s="680" t="s">
        <v>6153</v>
      </c>
    </row>
    <row r="36970" spans="8:8">
      <c r="H36970" s="680" t="s">
        <v>6153</v>
      </c>
    </row>
    <row r="36971" spans="8:8">
      <c r="H36971" s="680" t="s">
        <v>6153</v>
      </c>
    </row>
    <row r="36972" spans="8:8">
      <c r="H36972" s="680" t="s">
        <v>6153</v>
      </c>
    </row>
    <row r="36973" spans="8:8">
      <c r="H36973" s="680" t="s">
        <v>6153</v>
      </c>
    </row>
    <row r="36974" spans="8:8">
      <c r="H36974" s="680" t="s">
        <v>6153</v>
      </c>
    </row>
    <row r="36975" spans="8:8">
      <c r="H36975" s="680" t="s">
        <v>6153</v>
      </c>
    </row>
    <row r="36976" spans="8:8">
      <c r="H36976" s="680" t="s">
        <v>6153</v>
      </c>
    </row>
    <row r="36977" spans="8:8">
      <c r="H36977" s="680" t="s">
        <v>6153</v>
      </c>
    </row>
    <row r="36978" spans="8:8">
      <c r="H36978" s="680" t="s">
        <v>6153</v>
      </c>
    </row>
    <row r="36979" spans="8:8">
      <c r="H36979" s="680" t="s">
        <v>6153</v>
      </c>
    </row>
    <row r="36980" spans="8:8">
      <c r="H36980" s="680" t="s">
        <v>6153</v>
      </c>
    </row>
    <row r="36981" spans="8:8">
      <c r="H36981" s="680" t="s">
        <v>6153</v>
      </c>
    </row>
    <row r="36982" spans="8:8">
      <c r="H36982" s="680" t="s">
        <v>6153</v>
      </c>
    </row>
    <row r="36983" spans="8:8">
      <c r="H36983" s="680" t="s">
        <v>6153</v>
      </c>
    </row>
    <row r="36984" spans="8:8">
      <c r="H36984" s="680" t="s">
        <v>6153</v>
      </c>
    </row>
    <row r="36985" spans="8:8">
      <c r="H36985" s="680" t="s">
        <v>6153</v>
      </c>
    </row>
    <row r="36986" spans="8:8">
      <c r="H36986" s="680" t="s">
        <v>6153</v>
      </c>
    </row>
    <row r="36987" spans="8:8">
      <c r="H36987" s="680" t="s">
        <v>6153</v>
      </c>
    </row>
    <row r="36988" spans="8:8">
      <c r="H36988" s="680" t="s">
        <v>6153</v>
      </c>
    </row>
    <row r="36989" spans="8:8">
      <c r="H36989" s="680" t="s">
        <v>6153</v>
      </c>
    </row>
    <row r="36990" spans="8:8">
      <c r="H36990" s="680" t="s">
        <v>6153</v>
      </c>
    </row>
    <row r="36991" spans="8:8">
      <c r="H36991" s="680" t="s">
        <v>6153</v>
      </c>
    </row>
    <row r="36992" spans="8:8">
      <c r="H36992" s="680" t="s">
        <v>6153</v>
      </c>
    </row>
    <row r="36993" spans="8:8">
      <c r="H36993" s="680" t="s">
        <v>6153</v>
      </c>
    </row>
    <row r="36994" spans="8:8">
      <c r="H36994" s="680" t="s">
        <v>6153</v>
      </c>
    </row>
    <row r="36995" spans="8:8">
      <c r="H36995" s="680" t="s">
        <v>6153</v>
      </c>
    </row>
    <row r="36996" spans="8:8">
      <c r="H36996" s="680" t="s">
        <v>6153</v>
      </c>
    </row>
    <row r="36997" spans="8:8">
      <c r="H36997" s="680" t="s">
        <v>6153</v>
      </c>
    </row>
    <row r="36998" spans="8:8">
      <c r="H36998" s="680" t="s">
        <v>6153</v>
      </c>
    </row>
    <row r="36999" spans="8:8">
      <c r="H36999" s="680" t="s">
        <v>6153</v>
      </c>
    </row>
    <row r="37000" spans="8:8">
      <c r="H37000" s="680" t="s">
        <v>6153</v>
      </c>
    </row>
    <row r="37001" spans="8:8">
      <c r="H37001" s="680" t="s">
        <v>6153</v>
      </c>
    </row>
    <row r="37002" spans="8:8">
      <c r="H37002" s="680" t="s">
        <v>6153</v>
      </c>
    </row>
    <row r="37003" spans="8:8">
      <c r="H37003" s="680" t="s">
        <v>6153</v>
      </c>
    </row>
    <row r="37004" spans="8:8">
      <c r="H37004" s="680" t="s">
        <v>6153</v>
      </c>
    </row>
    <row r="37005" spans="8:8">
      <c r="H37005" s="680" t="s">
        <v>6153</v>
      </c>
    </row>
    <row r="37006" spans="8:8">
      <c r="H37006" s="680" t="s">
        <v>6153</v>
      </c>
    </row>
    <row r="37007" spans="8:8">
      <c r="H37007" s="680" t="s">
        <v>6153</v>
      </c>
    </row>
    <row r="37008" spans="8:8">
      <c r="H37008" s="680" t="s">
        <v>6153</v>
      </c>
    </row>
    <row r="37009" spans="8:8">
      <c r="H37009" s="680" t="s">
        <v>6153</v>
      </c>
    </row>
    <row r="37010" spans="8:8">
      <c r="H37010" s="680" t="s">
        <v>6153</v>
      </c>
    </row>
    <row r="37011" spans="8:8">
      <c r="H37011" s="680" t="s">
        <v>6153</v>
      </c>
    </row>
    <row r="37012" spans="8:8">
      <c r="H37012" s="680" t="s">
        <v>6153</v>
      </c>
    </row>
    <row r="37013" spans="8:8">
      <c r="H37013" s="680" t="s">
        <v>6153</v>
      </c>
    </row>
    <row r="37014" spans="8:8">
      <c r="H37014" s="680" t="s">
        <v>6153</v>
      </c>
    </row>
    <row r="37015" spans="8:8">
      <c r="H37015" s="680" t="s">
        <v>6153</v>
      </c>
    </row>
    <row r="37016" spans="8:8">
      <c r="H37016" s="680" t="s">
        <v>6153</v>
      </c>
    </row>
    <row r="37017" spans="8:8">
      <c r="H37017" s="680" t="s">
        <v>6153</v>
      </c>
    </row>
    <row r="37018" spans="8:8">
      <c r="H37018" s="680" t="s">
        <v>6153</v>
      </c>
    </row>
    <row r="37019" spans="8:8">
      <c r="H37019" s="680" t="s">
        <v>6153</v>
      </c>
    </row>
    <row r="37020" spans="8:8">
      <c r="H37020" s="680" t="s">
        <v>6153</v>
      </c>
    </row>
    <row r="37021" spans="8:8">
      <c r="H37021" s="680" t="s">
        <v>6153</v>
      </c>
    </row>
    <row r="37022" spans="8:8">
      <c r="H37022" s="680" t="s">
        <v>6153</v>
      </c>
    </row>
    <row r="37023" spans="8:8">
      <c r="H37023" s="680" t="s">
        <v>6153</v>
      </c>
    </row>
    <row r="37024" spans="8:8">
      <c r="H37024" s="680" t="s">
        <v>6153</v>
      </c>
    </row>
    <row r="37025" spans="8:8">
      <c r="H37025" s="680" t="s">
        <v>6153</v>
      </c>
    </row>
    <row r="37026" spans="8:8">
      <c r="H37026" s="680" t="s">
        <v>6153</v>
      </c>
    </row>
    <row r="37027" spans="8:8">
      <c r="H37027" s="680" t="s">
        <v>6153</v>
      </c>
    </row>
    <row r="37028" spans="8:8">
      <c r="H37028" s="680" t="s">
        <v>6153</v>
      </c>
    </row>
    <row r="37029" spans="8:8">
      <c r="H37029" s="680" t="s">
        <v>6153</v>
      </c>
    </row>
    <row r="37030" spans="8:8">
      <c r="H37030" s="680" t="s">
        <v>6153</v>
      </c>
    </row>
    <row r="37031" spans="8:8">
      <c r="H37031" s="680" t="s">
        <v>6153</v>
      </c>
    </row>
    <row r="37032" spans="8:8">
      <c r="H37032" s="680" t="s">
        <v>6153</v>
      </c>
    </row>
    <row r="37033" spans="8:8">
      <c r="H37033" s="680" t="s">
        <v>6153</v>
      </c>
    </row>
    <row r="37034" spans="8:8">
      <c r="H37034" s="680" t="s">
        <v>6153</v>
      </c>
    </row>
    <row r="37035" spans="8:8">
      <c r="H37035" s="680" t="s">
        <v>6153</v>
      </c>
    </row>
    <row r="37036" spans="8:8">
      <c r="H37036" s="680" t="s">
        <v>6153</v>
      </c>
    </row>
    <row r="37037" spans="8:8">
      <c r="H37037" s="680" t="s">
        <v>6153</v>
      </c>
    </row>
    <row r="37038" spans="8:8">
      <c r="H37038" s="680" t="s">
        <v>6153</v>
      </c>
    </row>
    <row r="37039" spans="8:8">
      <c r="H37039" s="680" t="s">
        <v>6153</v>
      </c>
    </row>
    <row r="37040" spans="8:8">
      <c r="H37040" s="680" t="s">
        <v>6153</v>
      </c>
    </row>
    <row r="37041" spans="8:8">
      <c r="H37041" s="680" t="s">
        <v>6153</v>
      </c>
    </row>
    <row r="37042" spans="8:8">
      <c r="H37042" s="680" t="s">
        <v>6153</v>
      </c>
    </row>
    <row r="37043" spans="8:8">
      <c r="H37043" s="680" t="s">
        <v>6153</v>
      </c>
    </row>
    <row r="37044" spans="8:8">
      <c r="H37044" s="680" t="s">
        <v>6153</v>
      </c>
    </row>
    <row r="37045" spans="8:8">
      <c r="H37045" s="680" t="s">
        <v>6153</v>
      </c>
    </row>
    <row r="37046" spans="8:8">
      <c r="H37046" s="680" t="s">
        <v>6153</v>
      </c>
    </row>
    <row r="37047" spans="8:8">
      <c r="H37047" s="680" t="s">
        <v>6153</v>
      </c>
    </row>
    <row r="37048" spans="8:8">
      <c r="H37048" s="680" t="s">
        <v>6153</v>
      </c>
    </row>
    <row r="37049" spans="8:8">
      <c r="H37049" s="680" t="s">
        <v>6153</v>
      </c>
    </row>
    <row r="37050" spans="8:8">
      <c r="H37050" s="680" t="s">
        <v>6153</v>
      </c>
    </row>
    <row r="37051" spans="8:8">
      <c r="H37051" s="680" t="s">
        <v>6153</v>
      </c>
    </row>
    <row r="37052" spans="8:8">
      <c r="H37052" s="680" t="s">
        <v>6153</v>
      </c>
    </row>
    <row r="37053" spans="8:8">
      <c r="H37053" s="680" t="s">
        <v>6153</v>
      </c>
    </row>
    <row r="37054" spans="8:8">
      <c r="H37054" s="680" t="s">
        <v>6153</v>
      </c>
    </row>
    <row r="37055" spans="8:8">
      <c r="H37055" s="680" t="s">
        <v>6153</v>
      </c>
    </row>
    <row r="37056" spans="8:8">
      <c r="H37056" s="680" t="s">
        <v>6153</v>
      </c>
    </row>
    <row r="37057" spans="8:8">
      <c r="H37057" s="680" t="s">
        <v>6153</v>
      </c>
    </row>
    <row r="37058" spans="8:8">
      <c r="H37058" s="680" t="s">
        <v>6153</v>
      </c>
    </row>
    <row r="37059" spans="8:8">
      <c r="H37059" s="680" t="s">
        <v>6153</v>
      </c>
    </row>
    <row r="37060" spans="8:8">
      <c r="H37060" s="680" t="s">
        <v>6153</v>
      </c>
    </row>
    <row r="37061" spans="8:8">
      <c r="H37061" s="680" t="s">
        <v>6153</v>
      </c>
    </row>
    <row r="37062" spans="8:8">
      <c r="H37062" s="680" t="s">
        <v>6153</v>
      </c>
    </row>
    <row r="37063" spans="8:8">
      <c r="H37063" s="680" t="s">
        <v>6153</v>
      </c>
    </row>
    <row r="37064" spans="8:8">
      <c r="H37064" s="680" t="s">
        <v>6153</v>
      </c>
    </row>
    <row r="37065" spans="8:8">
      <c r="H37065" s="680" t="s">
        <v>6153</v>
      </c>
    </row>
    <row r="37066" spans="8:8">
      <c r="H37066" s="680" t="s">
        <v>6153</v>
      </c>
    </row>
    <row r="37067" spans="8:8">
      <c r="H37067" s="680" t="s">
        <v>6153</v>
      </c>
    </row>
    <row r="37068" spans="8:8">
      <c r="H37068" s="680" t="s">
        <v>6153</v>
      </c>
    </row>
    <row r="37069" spans="8:8">
      <c r="H37069" s="680" t="s">
        <v>6153</v>
      </c>
    </row>
    <row r="37070" spans="8:8">
      <c r="H37070" s="680" t="s">
        <v>6153</v>
      </c>
    </row>
    <row r="37071" spans="8:8">
      <c r="H37071" s="680" t="s">
        <v>6153</v>
      </c>
    </row>
    <row r="37072" spans="8:8">
      <c r="H37072" s="680" t="s">
        <v>6153</v>
      </c>
    </row>
    <row r="37073" spans="8:8">
      <c r="H37073" s="680" t="s">
        <v>6153</v>
      </c>
    </row>
    <row r="37074" spans="8:8">
      <c r="H37074" s="680" t="s">
        <v>6153</v>
      </c>
    </row>
    <row r="37075" spans="8:8">
      <c r="H37075" s="680" t="s">
        <v>6153</v>
      </c>
    </row>
    <row r="37076" spans="8:8">
      <c r="H37076" s="680" t="s">
        <v>6153</v>
      </c>
    </row>
    <row r="37077" spans="8:8">
      <c r="H37077" s="680" t="s">
        <v>6153</v>
      </c>
    </row>
    <row r="37078" spans="8:8">
      <c r="H37078" s="680" t="s">
        <v>6153</v>
      </c>
    </row>
    <row r="37079" spans="8:8">
      <c r="H37079" s="680" t="s">
        <v>6153</v>
      </c>
    </row>
    <row r="37080" spans="8:8">
      <c r="H37080" s="680" t="s">
        <v>6153</v>
      </c>
    </row>
    <row r="37081" spans="8:8">
      <c r="H37081" s="680" t="s">
        <v>6153</v>
      </c>
    </row>
    <row r="37082" spans="8:8">
      <c r="H37082" s="680" t="s">
        <v>6153</v>
      </c>
    </row>
    <row r="37083" spans="8:8">
      <c r="H37083" s="680" t="s">
        <v>6153</v>
      </c>
    </row>
    <row r="37084" spans="8:8">
      <c r="H37084" s="680" t="s">
        <v>6153</v>
      </c>
    </row>
    <row r="37085" spans="8:8">
      <c r="H37085" s="680" t="s">
        <v>6153</v>
      </c>
    </row>
    <row r="37086" spans="8:8">
      <c r="H37086" s="680" t="s">
        <v>6153</v>
      </c>
    </row>
    <row r="37087" spans="8:8">
      <c r="H37087" s="680" t="s">
        <v>6153</v>
      </c>
    </row>
    <row r="37088" spans="8:8">
      <c r="H37088" s="680" t="s">
        <v>6153</v>
      </c>
    </row>
    <row r="37089" spans="8:8">
      <c r="H37089" s="680" t="s">
        <v>6153</v>
      </c>
    </row>
    <row r="37090" spans="8:8">
      <c r="H37090" s="680" t="s">
        <v>6153</v>
      </c>
    </row>
    <row r="37091" spans="8:8">
      <c r="H37091" s="680" t="s">
        <v>6153</v>
      </c>
    </row>
    <row r="37092" spans="8:8">
      <c r="H37092" s="680" t="s">
        <v>6153</v>
      </c>
    </row>
    <row r="37093" spans="8:8">
      <c r="H37093" s="680" t="s">
        <v>6153</v>
      </c>
    </row>
    <row r="37094" spans="8:8">
      <c r="H37094" s="680" t="s">
        <v>6153</v>
      </c>
    </row>
    <row r="37095" spans="8:8">
      <c r="H37095" s="680" t="s">
        <v>6153</v>
      </c>
    </row>
    <row r="37096" spans="8:8">
      <c r="H37096" s="680" t="s">
        <v>6153</v>
      </c>
    </row>
    <row r="37097" spans="8:8">
      <c r="H37097" s="680" t="s">
        <v>6153</v>
      </c>
    </row>
    <row r="37098" spans="8:8">
      <c r="H37098" s="680" t="s">
        <v>6153</v>
      </c>
    </row>
    <row r="37099" spans="8:8">
      <c r="H37099" s="680" t="s">
        <v>6153</v>
      </c>
    </row>
    <row r="37100" spans="8:8">
      <c r="H37100" s="680" t="s">
        <v>6153</v>
      </c>
    </row>
    <row r="37101" spans="8:8">
      <c r="H37101" s="680" t="s">
        <v>6153</v>
      </c>
    </row>
    <row r="37102" spans="8:8">
      <c r="H37102" s="680" t="s">
        <v>6153</v>
      </c>
    </row>
    <row r="37103" spans="8:8">
      <c r="H37103" s="680" t="s">
        <v>6153</v>
      </c>
    </row>
    <row r="37104" spans="8:8">
      <c r="H37104" s="680" t="s">
        <v>6153</v>
      </c>
    </row>
    <row r="37105" spans="8:8">
      <c r="H37105" s="680" t="s">
        <v>6153</v>
      </c>
    </row>
    <row r="37106" spans="8:8">
      <c r="H37106" s="680" t="s">
        <v>6153</v>
      </c>
    </row>
    <row r="37107" spans="8:8">
      <c r="H37107" s="680" t="s">
        <v>6153</v>
      </c>
    </row>
    <row r="37108" spans="8:8">
      <c r="H37108" s="680" t="s">
        <v>6153</v>
      </c>
    </row>
    <row r="37109" spans="8:8">
      <c r="H37109" s="680" t="s">
        <v>6153</v>
      </c>
    </row>
    <row r="37110" spans="8:8">
      <c r="H37110" s="680" t="s">
        <v>6153</v>
      </c>
    </row>
    <row r="37111" spans="8:8">
      <c r="H37111" s="680" t="s">
        <v>6153</v>
      </c>
    </row>
    <row r="37112" spans="8:8">
      <c r="H37112" s="680" t="s">
        <v>6153</v>
      </c>
    </row>
    <row r="37113" spans="8:8">
      <c r="H37113" s="680" t="s">
        <v>6153</v>
      </c>
    </row>
    <row r="37114" spans="8:8">
      <c r="H37114" s="680" t="s">
        <v>6153</v>
      </c>
    </row>
    <row r="37115" spans="8:8">
      <c r="H37115" s="680" t="s">
        <v>6153</v>
      </c>
    </row>
    <row r="37116" spans="8:8">
      <c r="H37116" s="680" t="s">
        <v>6153</v>
      </c>
    </row>
    <row r="37117" spans="8:8">
      <c r="H37117" s="680" t="s">
        <v>6153</v>
      </c>
    </row>
    <row r="37118" spans="8:8">
      <c r="H37118" s="680" t="s">
        <v>6153</v>
      </c>
    </row>
    <row r="37119" spans="8:8">
      <c r="H37119" s="680" t="s">
        <v>6153</v>
      </c>
    </row>
    <row r="37120" spans="8:8">
      <c r="H37120" s="680" t="s">
        <v>6153</v>
      </c>
    </row>
    <row r="37121" spans="8:8">
      <c r="H37121" s="680" t="s">
        <v>6153</v>
      </c>
    </row>
    <row r="37122" spans="8:8">
      <c r="H37122" s="680" t="s">
        <v>6153</v>
      </c>
    </row>
    <row r="37123" spans="8:8">
      <c r="H37123" s="680" t="s">
        <v>6153</v>
      </c>
    </row>
    <row r="37124" spans="8:8">
      <c r="H37124" s="680" t="s">
        <v>6153</v>
      </c>
    </row>
    <row r="37125" spans="8:8">
      <c r="H37125" s="680" t="s">
        <v>6153</v>
      </c>
    </row>
    <row r="37126" spans="8:8">
      <c r="H37126" s="680" t="s">
        <v>6153</v>
      </c>
    </row>
    <row r="37127" spans="8:8">
      <c r="H37127" s="680" t="s">
        <v>6153</v>
      </c>
    </row>
    <row r="37128" spans="8:8">
      <c r="H37128" s="680" t="s">
        <v>6153</v>
      </c>
    </row>
    <row r="37129" spans="8:8">
      <c r="H37129" s="680" t="s">
        <v>6153</v>
      </c>
    </row>
    <row r="37130" spans="8:8">
      <c r="H37130" s="680" t="s">
        <v>6153</v>
      </c>
    </row>
    <row r="37131" spans="8:8">
      <c r="H37131" s="680" t="s">
        <v>6153</v>
      </c>
    </row>
    <row r="37132" spans="8:8">
      <c r="H37132" s="680" t="s">
        <v>6153</v>
      </c>
    </row>
    <row r="37133" spans="8:8">
      <c r="H37133" s="680" t="s">
        <v>6153</v>
      </c>
    </row>
    <row r="37134" spans="8:8">
      <c r="H37134" s="680" t="s">
        <v>6153</v>
      </c>
    </row>
    <row r="37135" spans="8:8">
      <c r="H37135" s="680" t="s">
        <v>6153</v>
      </c>
    </row>
    <row r="37136" spans="8:8">
      <c r="H37136" s="680" t="s">
        <v>6153</v>
      </c>
    </row>
    <row r="37137" spans="8:8">
      <c r="H37137" s="680" t="s">
        <v>6153</v>
      </c>
    </row>
    <row r="37138" spans="8:8">
      <c r="H37138" s="680" t="s">
        <v>6153</v>
      </c>
    </row>
    <row r="37139" spans="8:8">
      <c r="H37139" s="680" t="s">
        <v>6153</v>
      </c>
    </row>
    <row r="37140" spans="8:8">
      <c r="H37140" s="680" t="s">
        <v>6153</v>
      </c>
    </row>
    <row r="37141" spans="8:8">
      <c r="H37141" s="680" t="s">
        <v>6153</v>
      </c>
    </row>
    <row r="37142" spans="8:8">
      <c r="H37142" s="680" t="s">
        <v>6153</v>
      </c>
    </row>
    <row r="37143" spans="8:8">
      <c r="H37143" s="680" t="s">
        <v>6153</v>
      </c>
    </row>
    <row r="37144" spans="8:8">
      <c r="H37144" s="680" t="s">
        <v>6153</v>
      </c>
    </row>
    <row r="37145" spans="8:8">
      <c r="H37145" s="680" t="s">
        <v>6153</v>
      </c>
    </row>
    <row r="37146" spans="8:8">
      <c r="H37146" s="680" t="s">
        <v>6153</v>
      </c>
    </row>
    <row r="37147" spans="8:8">
      <c r="H37147" s="680" t="s">
        <v>6153</v>
      </c>
    </row>
    <row r="37148" spans="8:8">
      <c r="H37148" s="680" t="s">
        <v>6153</v>
      </c>
    </row>
    <row r="37149" spans="8:8">
      <c r="H37149" s="680" t="s">
        <v>6153</v>
      </c>
    </row>
    <row r="37150" spans="8:8">
      <c r="H37150" s="680" t="s">
        <v>6153</v>
      </c>
    </row>
    <row r="37151" spans="8:8">
      <c r="H37151" s="680" t="s">
        <v>6153</v>
      </c>
    </row>
    <row r="37152" spans="8:8">
      <c r="H37152" s="680" t="s">
        <v>6153</v>
      </c>
    </row>
    <row r="37153" spans="8:8">
      <c r="H37153" s="680" t="s">
        <v>6153</v>
      </c>
    </row>
    <row r="37154" spans="8:8">
      <c r="H37154" s="680" t="s">
        <v>6153</v>
      </c>
    </row>
    <row r="37155" spans="8:8">
      <c r="H37155" s="680" t="s">
        <v>6153</v>
      </c>
    </row>
    <row r="37156" spans="8:8">
      <c r="H37156" s="680" t="s">
        <v>6153</v>
      </c>
    </row>
    <row r="37157" spans="8:8">
      <c r="H37157" s="680" t="s">
        <v>6153</v>
      </c>
    </row>
    <row r="37158" spans="8:8">
      <c r="H37158" s="680" t="s">
        <v>6153</v>
      </c>
    </row>
    <row r="37159" spans="8:8">
      <c r="H37159" s="680" t="s">
        <v>6153</v>
      </c>
    </row>
    <row r="37160" spans="8:8">
      <c r="H37160" s="680" t="s">
        <v>6153</v>
      </c>
    </row>
    <row r="37161" spans="8:8">
      <c r="H37161" s="680" t="s">
        <v>6153</v>
      </c>
    </row>
    <row r="37162" spans="8:8">
      <c r="H37162" s="680" t="s">
        <v>6153</v>
      </c>
    </row>
    <row r="37163" spans="8:8">
      <c r="H37163" s="680" t="s">
        <v>6153</v>
      </c>
    </row>
    <row r="37164" spans="8:8">
      <c r="H37164" s="680" t="s">
        <v>6153</v>
      </c>
    </row>
    <row r="37165" spans="8:8">
      <c r="H37165" s="680" t="s">
        <v>6153</v>
      </c>
    </row>
    <row r="37166" spans="8:8">
      <c r="H37166" s="680" t="s">
        <v>6153</v>
      </c>
    </row>
    <row r="37167" spans="8:8">
      <c r="H37167" s="680" t="s">
        <v>6153</v>
      </c>
    </row>
    <row r="37168" spans="8:8">
      <c r="H37168" s="680" t="s">
        <v>6153</v>
      </c>
    </row>
    <row r="37169" spans="8:8">
      <c r="H37169" s="680" t="s">
        <v>6153</v>
      </c>
    </row>
    <row r="37170" spans="8:8">
      <c r="H37170" s="680" t="s">
        <v>6153</v>
      </c>
    </row>
    <row r="37171" spans="8:8">
      <c r="H37171" s="680" t="s">
        <v>6153</v>
      </c>
    </row>
    <row r="37172" spans="8:8">
      <c r="H37172" s="680" t="s">
        <v>6153</v>
      </c>
    </row>
    <row r="37173" spans="8:8">
      <c r="H37173" s="680" t="s">
        <v>6153</v>
      </c>
    </row>
    <row r="37174" spans="8:8">
      <c r="H37174" s="680" t="s">
        <v>6153</v>
      </c>
    </row>
    <row r="37175" spans="8:8">
      <c r="H37175" s="680" t="s">
        <v>6153</v>
      </c>
    </row>
    <row r="37176" spans="8:8">
      <c r="H37176" s="680" t="s">
        <v>6153</v>
      </c>
    </row>
    <row r="37177" spans="8:8">
      <c r="H37177" s="680" t="s">
        <v>6153</v>
      </c>
    </row>
    <row r="37178" spans="8:8">
      <c r="H37178" s="680" t="s">
        <v>6153</v>
      </c>
    </row>
    <row r="37179" spans="8:8">
      <c r="H37179" s="680" t="s">
        <v>6153</v>
      </c>
    </row>
    <row r="37180" spans="8:8">
      <c r="H37180" s="680" t="s">
        <v>6153</v>
      </c>
    </row>
    <row r="37181" spans="8:8">
      <c r="H37181" s="680" t="s">
        <v>6153</v>
      </c>
    </row>
    <row r="37182" spans="8:8">
      <c r="H37182" s="680" t="s">
        <v>6153</v>
      </c>
    </row>
    <row r="37183" spans="8:8">
      <c r="H37183" s="680" t="s">
        <v>6153</v>
      </c>
    </row>
    <row r="37184" spans="8:8">
      <c r="H37184" s="680" t="s">
        <v>6153</v>
      </c>
    </row>
    <row r="37185" spans="8:8">
      <c r="H37185" s="680" t="s">
        <v>6153</v>
      </c>
    </row>
    <row r="37186" spans="8:8">
      <c r="H37186" s="680" t="s">
        <v>6153</v>
      </c>
    </row>
    <row r="37187" spans="8:8">
      <c r="H37187" s="680" t="s">
        <v>6153</v>
      </c>
    </row>
    <row r="37188" spans="8:8">
      <c r="H37188" s="680" t="s">
        <v>6153</v>
      </c>
    </row>
    <row r="37189" spans="8:8">
      <c r="H37189" s="680" t="s">
        <v>6153</v>
      </c>
    </row>
    <row r="37190" spans="8:8">
      <c r="H37190" s="680" t="s">
        <v>6153</v>
      </c>
    </row>
    <row r="37191" spans="8:8">
      <c r="H37191" s="680" t="s">
        <v>6153</v>
      </c>
    </row>
    <row r="37192" spans="8:8">
      <c r="H37192" s="680" t="s">
        <v>6153</v>
      </c>
    </row>
    <row r="37193" spans="8:8">
      <c r="H37193" s="680" t="s">
        <v>6153</v>
      </c>
    </row>
    <row r="37194" spans="8:8">
      <c r="H37194" s="680" t="s">
        <v>6153</v>
      </c>
    </row>
    <row r="37195" spans="8:8">
      <c r="H37195" s="680" t="s">
        <v>6153</v>
      </c>
    </row>
    <row r="37196" spans="8:8">
      <c r="H37196" s="680" t="s">
        <v>6153</v>
      </c>
    </row>
    <row r="37197" spans="8:8">
      <c r="H37197" s="680" t="s">
        <v>6153</v>
      </c>
    </row>
    <row r="37198" spans="8:8">
      <c r="H37198" s="680" t="s">
        <v>6153</v>
      </c>
    </row>
    <row r="37199" spans="8:8">
      <c r="H37199" s="680" t="s">
        <v>6153</v>
      </c>
    </row>
    <row r="37200" spans="8:8">
      <c r="H37200" s="680" t="s">
        <v>6153</v>
      </c>
    </row>
    <row r="37201" spans="8:8">
      <c r="H37201" s="680" t="s">
        <v>6153</v>
      </c>
    </row>
    <row r="37202" spans="8:8">
      <c r="H37202" s="680" t="s">
        <v>6153</v>
      </c>
    </row>
    <row r="37203" spans="8:8">
      <c r="H37203" s="680" t="s">
        <v>6153</v>
      </c>
    </row>
    <row r="37204" spans="8:8">
      <c r="H37204" s="680" t="s">
        <v>6153</v>
      </c>
    </row>
    <row r="37205" spans="8:8">
      <c r="H37205" s="680" t="s">
        <v>6153</v>
      </c>
    </row>
    <row r="37206" spans="8:8">
      <c r="H37206" s="680" t="s">
        <v>6153</v>
      </c>
    </row>
    <row r="37207" spans="8:8">
      <c r="H37207" s="680" t="s">
        <v>6153</v>
      </c>
    </row>
    <row r="37208" spans="8:8">
      <c r="H37208" s="680" t="s">
        <v>6153</v>
      </c>
    </row>
    <row r="37209" spans="8:8">
      <c r="H37209" s="680" t="s">
        <v>6153</v>
      </c>
    </row>
    <row r="37210" spans="8:8">
      <c r="H37210" s="680" t="s">
        <v>6153</v>
      </c>
    </row>
    <row r="37211" spans="8:8">
      <c r="H37211" s="680" t="s">
        <v>6153</v>
      </c>
    </row>
    <row r="37212" spans="8:8">
      <c r="H37212" s="680" t="s">
        <v>6153</v>
      </c>
    </row>
    <row r="37213" spans="8:8">
      <c r="H37213" s="680" t="s">
        <v>6153</v>
      </c>
    </row>
    <row r="37214" spans="8:8">
      <c r="H37214" s="680" t="s">
        <v>6153</v>
      </c>
    </row>
    <row r="37215" spans="8:8">
      <c r="H37215" s="680" t="s">
        <v>6153</v>
      </c>
    </row>
    <row r="37216" spans="8:8">
      <c r="H37216" s="680" t="s">
        <v>6153</v>
      </c>
    </row>
    <row r="37217" spans="8:8">
      <c r="H37217" s="680" t="s">
        <v>6153</v>
      </c>
    </row>
    <row r="37218" spans="8:8">
      <c r="H37218" s="680" t="s">
        <v>6153</v>
      </c>
    </row>
    <row r="37219" spans="8:8">
      <c r="H37219" s="680" t="s">
        <v>6153</v>
      </c>
    </row>
    <row r="37220" spans="8:8">
      <c r="H37220" s="680" t="s">
        <v>6153</v>
      </c>
    </row>
    <row r="37221" spans="8:8">
      <c r="H37221" s="680" t="s">
        <v>6153</v>
      </c>
    </row>
    <row r="37222" spans="8:8">
      <c r="H37222" s="680" t="s">
        <v>6153</v>
      </c>
    </row>
    <row r="37223" spans="8:8">
      <c r="H37223" s="680" t="s">
        <v>6153</v>
      </c>
    </row>
    <row r="37224" spans="8:8">
      <c r="H37224" s="680" t="s">
        <v>6153</v>
      </c>
    </row>
    <row r="37225" spans="8:8">
      <c r="H37225" s="680" t="s">
        <v>6153</v>
      </c>
    </row>
    <row r="37226" spans="8:8">
      <c r="H37226" s="680" t="s">
        <v>6153</v>
      </c>
    </row>
    <row r="37227" spans="8:8">
      <c r="H37227" s="680" t="s">
        <v>6153</v>
      </c>
    </row>
    <row r="37228" spans="8:8">
      <c r="H37228" s="680" t="s">
        <v>6153</v>
      </c>
    </row>
    <row r="37229" spans="8:8">
      <c r="H37229" s="680" t="s">
        <v>6153</v>
      </c>
    </row>
    <row r="37230" spans="8:8">
      <c r="H37230" s="680" t="s">
        <v>6153</v>
      </c>
    </row>
    <row r="37231" spans="8:8">
      <c r="H37231" s="680" t="s">
        <v>6153</v>
      </c>
    </row>
    <row r="37232" spans="8:8">
      <c r="H37232" s="680" t="s">
        <v>6153</v>
      </c>
    </row>
    <row r="37233" spans="8:8">
      <c r="H37233" s="680" t="s">
        <v>6153</v>
      </c>
    </row>
    <row r="37234" spans="8:8">
      <c r="H37234" s="680" t="s">
        <v>6153</v>
      </c>
    </row>
    <row r="37235" spans="8:8">
      <c r="H37235" s="680" t="s">
        <v>6153</v>
      </c>
    </row>
    <row r="37236" spans="8:8">
      <c r="H37236" s="680" t="s">
        <v>6153</v>
      </c>
    </row>
    <row r="37237" spans="8:8">
      <c r="H37237" s="680" t="s">
        <v>6153</v>
      </c>
    </row>
    <row r="37238" spans="8:8">
      <c r="H37238" s="680" t="s">
        <v>6153</v>
      </c>
    </row>
    <row r="37239" spans="8:8">
      <c r="H37239" s="680" t="s">
        <v>6153</v>
      </c>
    </row>
    <row r="37240" spans="8:8">
      <c r="H37240" s="680" t="s">
        <v>6153</v>
      </c>
    </row>
    <row r="37241" spans="8:8">
      <c r="H37241" s="680" t="s">
        <v>6153</v>
      </c>
    </row>
    <row r="37242" spans="8:8">
      <c r="H37242" s="680" t="s">
        <v>6153</v>
      </c>
    </row>
    <row r="37243" spans="8:8">
      <c r="H37243" s="680" t="s">
        <v>6153</v>
      </c>
    </row>
    <row r="37244" spans="8:8">
      <c r="H37244" s="680" t="s">
        <v>6153</v>
      </c>
    </row>
    <row r="37245" spans="8:8">
      <c r="H37245" s="680" t="s">
        <v>6153</v>
      </c>
    </row>
    <row r="37246" spans="8:8">
      <c r="H37246" s="680" t="s">
        <v>6153</v>
      </c>
    </row>
    <row r="37247" spans="8:8">
      <c r="H37247" s="680" t="s">
        <v>6153</v>
      </c>
    </row>
    <row r="37248" spans="8:8">
      <c r="H37248" s="680" t="s">
        <v>6153</v>
      </c>
    </row>
    <row r="37249" spans="8:8">
      <c r="H37249" s="680" t="s">
        <v>6153</v>
      </c>
    </row>
    <row r="37250" spans="8:8">
      <c r="H37250" s="680" t="s">
        <v>6153</v>
      </c>
    </row>
    <row r="37251" spans="8:8">
      <c r="H37251" s="680" t="s">
        <v>6153</v>
      </c>
    </row>
    <row r="37252" spans="8:8">
      <c r="H37252" s="680" t="s">
        <v>6153</v>
      </c>
    </row>
    <row r="37253" spans="8:8">
      <c r="H37253" s="680" t="s">
        <v>6153</v>
      </c>
    </row>
    <row r="37254" spans="8:8">
      <c r="H37254" s="680" t="s">
        <v>6153</v>
      </c>
    </row>
    <row r="37255" spans="8:8">
      <c r="H37255" s="680" t="s">
        <v>6153</v>
      </c>
    </row>
    <row r="37256" spans="8:8">
      <c r="H37256" s="680" t="s">
        <v>6153</v>
      </c>
    </row>
    <row r="37257" spans="8:8">
      <c r="H37257" s="680" t="s">
        <v>6153</v>
      </c>
    </row>
    <row r="37258" spans="8:8">
      <c r="H37258" s="680" t="s">
        <v>6153</v>
      </c>
    </row>
    <row r="37259" spans="8:8">
      <c r="H37259" s="680" t="s">
        <v>6153</v>
      </c>
    </row>
    <row r="37260" spans="8:8">
      <c r="H37260" s="680" t="s">
        <v>6153</v>
      </c>
    </row>
    <row r="37261" spans="8:8">
      <c r="H37261" s="680" t="s">
        <v>6153</v>
      </c>
    </row>
    <row r="37262" spans="8:8">
      <c r="H37262" s="680" t="s">
        <v>6153</v>
      </c>
    </row>
    <row r="37263" spans="8:8">
      <c r="H37263" s="680" t="s">
        <v>6153</v>
      </c>
    </row>
    <row r="37264" spans="8:8">
      <c r="H37264" s="680" t="s">
        <v>6153</v>
      </c>
    </row>
    <row r="37265" spans="8:8">
      <c r="H37265" s="680" t="s">
        <v>6153</v>
      </c>
    </row>
    <row r="37266" spans="8:8">
      <c r="H37266" s="680" t="s">
        <v>6153</v>
      </c>
    </row>
    <row r="37267" spans="8:8">
      <c r="H37267" s="680" t="s">
        <v>6153</v>
      </c>
    </row>
    <row r="37268" spans="8:8">
      <c r="H37268" s="680" t="s">
        <v>6153</v>
      </c>
    </row>
    <row r="37269" spans="8:8">
      <c r="H37269" s="680" t="s">
        <v>6153</v>
      </c>
    </row>
    <row r="37270" spans="8:8">
      <c r="H37270" s="680" t="s">
        <v>6153</v>
      </c>
    </row>
    <row r="37271" spans="8:8">
      <c r="H37271" s="680" t="s">
        <v>6153</v>
      </c>
    </row>
    <row r="37272" spans="8:8">
      <c r="H37272" s="680" t="s">
        <v>6153</v>
      </c>
    </row>
    <row r="37273" spans="8:8">
      <c r="H37273" s="680" t="s">
        <v>6153</v>
      </c>
    </row>
    <row r="37274" spans="8:8">
      <c r="H37274" s="680" t="s">
        <v>6153</v>
      </c>
    </row>
    <row r="37275" spans="8:8">
      <c r="H37275" s="680" t="s">
        <v>6153</v>
      </c>
    </row>
    <row r="37276" spans="8:8">
      <c r="H37276" s="680" t="s">
        <v>6153</v>
      </c>
    </row>
    <row r="37277" spans="8:8">
      <c r="H37277" s="680" t="s">
        <v>6153</v>
      </c>
    </row>
    <row r="37278" spans="8:8">
      <c r="H37278" s="680" t="s">
        <v>6153</v>
      </c>
    </row>
    <row r="37279" spans="8:8">
      <c r="H37279" s="680" t="s">
        <v>6153</v>
      </c>
    </row>
    <row r="37280" spans="8:8">
      <c r="H37280" s="680" t="s">
        <v>6153</v>
      </c>
    </row>
    <row r="37281" spans="8:8">
      <c r="H37281" s="680" t="s">
        <v>6153</v>
      </c>
    </row>
    <row r="37282" spans="8:8">
      <c r="H37282" s="680" t="s">
        <v>6153</v>
      </c>
    </row>
    <row r="37283" spans="8:8">
      <c r="H37283" s="680" t="s">
        <v>6153</v>
      </c>
    </row>
    <row r="37284" spans="8:8">
      <c r="H37284" s="680" t="s">
        <v>6153</v>
      </c>
    </row>
    <row r="37285" spans="8:8">
      <c r="H37285" s="680" t="s">
        <v>6153</v>
      </c>
    </row>
    <row r="37286" spans="8:8">
      <c r="H37286" s="680" t="s">
        <v>6153</v>
      </c>
    </row>
    <row r="37287" spans="8:8">
      <c r="H37287" s="680" t="s">
        <v>6153</v>
      </c>
    </row>
    <row r="37288" spans="8:8">
      <c r="H37288" s="680" t="s">
        <v>6153</v>
      </c>
    </row>
    <row r="37289" spans="8:8">
      <c r="H37289" s="680" t="s">
        <v>6153</v>
      </c>
    </row>
    <row r="37290" spans="8:8">
      <c r="H37290" s="680" t="s">
        <v>6153</v>
      </c>
    </row>
    <row r="37291" spans="8:8">
      <c r="H37291" s="680" t="s">
        <v>6153</v>
      </c>
    </row>
    <row r="37292" spans="8:8">
      <c r="H37292" s="680" t="s">
        <v>6153</v>
      </c>
    </row>
    <row r="37293" spans="8:8">
      <c r="H37293" s="680" t="s">
        <v>6153</v>
      </c>
    </row>
    <row r="37294" spans="8:8">
      <c r="H37294" s="680" t="s">
        <v>6153</v>
      </c>
    </row>
    <row r="37295" spans="8:8">
      <c r="H37295" s="680" t="s">
        <v>6153</v>
      </c>
    </row>
    <row r="37296" spans="8:8">
      <c r="H37296" s="680" t="s">
        <v>6153</v>
      </c>
    </row>
    <row r="37297" spans="8:8">
      <c r="H37297" s="680" t="s">
        <v>6153</v>
      </c>
    </row>
    <row r="37298" spans="8:8">
      <c r="H37298" s="680" t="s">
        <v>6153</v>
      </c>
    </row>
    <row r="37299" spans="8:8">
      <c r="H37299" s="680" t="s">
        <v>6153</v>
      </c>
    </row>
    <row r="37300" spans="8:8">
      <c r="H37300" s="680" t="s">
        <v>6153</v>
      </c>
    </row>
    <row r="37301" spans="8:8">
      <c r="H37301" s="680" t="s">
        <v>6153</v>
      </c>
    </row>
    <row r="37302" spans="8:8">
      <c r="H37302" s="680" t="s">
        <v>6153</v>
      </c>
    </row>
    <row r="37303" spans="8:8">
      <c r="H37303" s="680" t="s">
        <v>6153</v>
      </c>
    </row>
    <row r="37304" spans="8:8">
      <c r="H37304" s="680" t="s">
        <v>6153</v>
      </c>
    </row>
    <row r="37305" spans="8:8">
      <c r="H37305" s="680" t="s">
        <v>6153</v>
      </c>
    </row>
    <row r="37306" spans="8:8">
      <c r="H37306" s="680" t="s">
        <v>6153</v>
      </c>
    </row>
    <row r="37307" spans="8:8">
      <c r="H37307" s="680" t="s">
        <v>6153</v>
      </c>
    </row>
    <row r="37308" spans="8:8">
      <c r="H37308" s="680" t="s">
        <v>6153</v>
      </c>
    </row>
    <row r="37309" spans="8:8">
      <c r="H37309" s="680" t="s">
        <v>6153</v>
      </c>
    </row>
    <row r="37310" spans="8:8">
      <c r="H37310" s="680" t="s">
        <v>6153</v>
      </c>
    </row>
    <row r="37311" spans="8:8">
      <c r="H37311" s="680" t="s">
        <v>6153</v>
      </c>
    </row>
    <row r="37312" spans="8:8">
      <c r="H37312" s="680" t="s">
        <v>6153</v>
      </c>
    </row>
    <row r="37313" spans="8:8">
      <c r="H37313" s="680" t="s">
        <v>6153</v>
      </c>
    </row>
    <row r="37314" spans="8:8">
      <c r="H37314" s="680" t="s">
        <v>6153</v>
      </c>
    </row>
    <row r="37315" spans="8:8">
      <c r="H37315" s="680" t="s">
        <v>6153</v>
      </c>
    </row>
    <row r="37316" spans="8:8">
      <c r="H37316" s="680" t="s">
        <v>6153</v>
      </c>
    </row>
    <row r="37317" spans="8:8">
      <c r="H37317" s="680" t="s">
        <v>6153</v>
      </c>
    </row>
    <row r="37318" spans="8:8">
      <c r="H37318" s="680" t="s">
        <v>6153</v>
      </c>
    </row>
    <row r="37319" spans="8:8">
      <c r="H37319" s="680" t="s">
        <v>6153</v>
      </c>
    </row>
    <row r="37320" spans="8:8">
      <c r="H37320" s="680" t="s">
        <v>6153</v>
      </c>
    </row>
    <row r="37321" spans="8:8">
      <c r="H37321" s="680" t="s">
        <v>6153</v>
      </c>
    </row>
    <row r="37322" spans="8:8">
      <c r="H37322" s="680" t="s">
        <v>6153</v>
      </c>
    </row>
    <row r="37323" spans="8:8">
      <c r="H37323" s="680" t="s">
        <v>6153</v>
      </c>
    </row>
    <row r="37324" spans="8:8">
      <c r="H37324" s="680" t="s">
        <v>6153</v>
      </c>
    </row>
    <row r="37325" spans="8:8">
      <c r="H37325" s="680" t="s">
        <v>6153</v>
      </c>
    </row>
    <row r="37326" spans="8:8">
      <c r="H37326" s="680" t="s">
        <v>6153</v>
      </c>
    </row>
    <row r="37327" spans="8:8">
      <c r="H37327" s="680" t="s">
        <v>6153</v>
      </c>
    </row>
    <row r="37328" spans="8:8">
      <c r="H37328" s="680" t="s">
        <v>6153</v>
      </c>
    </row>
    <row r="37329" spans="8:8">
      <c r="H37329" s="680" t="s">
        <v>6153</v>
      </c>
    </row>
    <row r="37330" spans="8:8">
      <c r="H37330" s="680" t="s">
        <v>6153</v>
      </c>
    </row>
    <row r="37331" spans="8:8">
      <c r="H37331" s="680" t="s">
        <v>6153</v>
      </c>
    </row>
    <row r="37332" spans="8:8">
      <c r="H37332" s="680" t="s">
        <v>6153</v>
      </c>
    </row>
    <row r="37333" spans="8:8">
      <c r="H37333" s="680" t="s">
        <v>6153</v>
      </c>
    </row>
    <row r="37334" spans="8:8">
      <c r="H37334" s="680" t="s">
        <v>6153</v>
      </c>
    </row>
    <row r="37335" spans="8:8">
      <c r="H37335" s="680" t="s">
        <v>6153</v>
      </c>
    </row>
    <row r="37336" spans="8:8">
      <c r="H37336" s="680" t="s">
        <v>6153</v>
      </c>
    </row>
    <row r="37337" spans="8:8">
      <c r="H37337" s="680" t="s">
        <v>6153</v>
      </c>
    </row>
    <row r="37338" spans="8:8">
      <c r="H37338" s="680" t="s">
        <v>6153</v>
      </c>
    </row>
    <row r="37339" spans="8:8">
      <c r="H37339" s="680" t="s">
        <v>6153</v>
      </c>
    </row>
    <row r="37340" spans="8:8">
      <c r="H37340" s="680" t="s">
        <v>6153</v>
      </c>
    </row>
    <row r="37341" spans="8:8">
      <c r="H37341" s="680" t="s">
        <v>6153</v>
      </c>
    </row>
    <row r="37342" spans="8:8">
      <c r="H37342" s="680" t="s">
        <v>6153</v>
      </c>
    </row>
    <row r="37343" spans="8:8">
      <c r="H37343" s="680" t="s">
        <v>6153</v>
      </c>
    </row>
    <row r="37344" spans="8:8">
      <c r="H37344" s="680" t="s">
        <v>6153</v>
      </c>
    </row>
    <row r="37345" spans="8:8">
      <c r="H37345" s="680" t="s">
        <v>6153</v>
      </c>
    </row>
    <row r="37346" spans="8:8">
      <c r="H37346" s="680" t="s">
        <v>6153</v>
      </c>
    </row>
    <row r="37347" spans="8:8">
      <c r="H37347" s="680" t="s">
        <v>6153</v>
      </c>
    </row>
    <row r="37348" spans="8:8">
      <c r="H37348" s="680" t="s">
        <v>6153</v>
      </c>
    </row>
    <row r="37349" spans="8:8">
      <c r="H37349" s="680" t="s">
        <v>6153</v>
      </c>
    </row>
    <row r="37350" spans="8:8">
      <c r="H37350" s="680" t="s">
        <v>6153</v>
      </c>
    </row>
    <row r="37351" spans="8:8">
      <c r="H37351" s="680" t="s">
        <v>6153</v>
      </c>
    </row>
    <row r="37352" spans="8:8">
      <c r="H37352" s="680" t="s">
        <v>6153</v>
      </c>
    </row>
    <row r="37353" spans="8:8">
      <c r="H37353" s="680" t="s">
        <v>6153</v>
      </c>
    </row>
    <row r="37354" spans="8:8">
      <c r="H37354" s="680" t="s">
        <v>6153</v>
      </c>
    </row>
    <row r="37355" spans="8:8">
      <c r="H37355" s="680" t="s">
        <v>6153</v>
      </c>
    </row>
    <row r="37356" spans="8:8">
      <c r="H37356" s="680" t="s">
        <v>6153</v>
      </c>
    </row>
    <row r="37357" spans="8:8">
      <c r="H37357" s="680" t="s">
        <v>6153</v>
      </c>
    </row>
    <row r="37358" spans="8:8">
      <c r="H37358" s="680" t="s">
        <v>6153</v>
      </c>
    </row>
    <row r="37359" spans="8:8">
      <c r="H37359" s="680" t="s">
        <v>6153</v>
      </c>
    </row>
    <row r="37360" spans="8:8">
      <c r="H37360" s="680" t="s">
        <v>6153</v>
      </c>
    </row>
    <row r="37361" spans="8:8">
      <c r="H37361" s="680" t="s">
        <v>6153</v>
      </c>
    </row>
    <row r="37362" spans="8:8">
      <c r="H37362" s="680" t="s">
        <v>6153</v>
      </c>
    </row>
    <row r="37363" spans="8:8">
      <c r="H37363" s="680" t="s">
        <v>6153</v>
      </c>
    </row>
    <row r="37364" spans="8:8">
      <c r="H37364" s="680" t="s">
        <v>6153</v>
      </c>
    </row>
    <row r="37365" spans="8:8">
      <c r="H37365" s="680" t="s">
        <v>6153</v>
      </c>
    </row>
    <row r="37366" spans="8:8">
      <c r="H37366" s="680" t="s">
        <v>6153</v>
      </c>
    </row>
    <row r="37367" spans="8:8">
      <c r="H37367" s="680" t="s">
        <v>6153</v>
      </c>
    </row>
    <row r="37368" spans="8:8">
      <c r="H37368" s="680" t="s">
        <v>6153</v>
      </c>
    </row>
    <row r="37369" spans="8:8">
      <c r="H37369" s="680" t="s">
        <v>6153</v>
      </c>
    </row>
    <row r="37370" spans="8:8">
      <c r="H37370" s="680" t="s">
        <v>6153</v>
      </c>
    </row>
    <row r="37371" spans="8:8">
      <c r="H37371" s="680" t="s">
        <v>6153</v>
      </c>
    </row>
    <row r="37372" spans="8:8">
      <c r="H37372" s="680" t="s">
        <v>6153</v>
      </c>
    </row>
    <row r="37373" spans="8:8">
      <c r="H37373" s="680" t="s">
        <v>6153</v>
      </c>
    </row>
    <row r="37374" spans="8:8">
      <c r="H37374" s="680" t="s">
        <v>6153</v>
      </c>
    </row>
    <row r="37375" spans="8:8">
      <c r="H37375" s="680" t="s">
        <v>6153</v>
      </c>
    </row>
    <row r="37376" spans="8:8">
      <c r="H37376" s="680" t="s">
        <v>6153</v>
      </c>
    </row>
    <row r="37377" spans="8:8">
      <c r="H37377" s="680" t="s">
        <v>6153</v>
      </c>
    </row>
    <row r="37378" spans="8:8">
      <c r="H37378" s="680" t="s">
        <v>6153</v>
      </c>
    </row>
    <row r="37379" spans="8:8">
      <c r="H37379" s="680" t="s">
        <v>6153</v>
      </c>
    </row>
    <row r="37380" spans="8:8">
      <c r="H37380" s="680" t="s">
        <v>6153</v>
      </c>
    </row>
    <row r="37381" spans="8:8">
      <c r="H37381" s="680" t="s">
        <v>6153</v>
      </c>
    </row>
    <row r="37382" spans="8:8">
      <c r="H37382" s="680" t="s">
        <v>6153</v>
      </c>
    </row>
    <row r="37383" spans="8:8">
      <c r="H37383" s="680" t="s">
        <v>6153</v>
      </c>
    </row>
    <row r="37384" spans="8:8">
      <c r="H37384" s="680" t="s">
        <v>6153</v>
      </c>
    </row>
    <row r="37385" spans="8:8">
      <c r="H37385" s="680" t="s">
        <v>6153</v>
      </c>
    </row>
    <row r="37386" spans="8:8">
      <c r="H37386" s="680" t="s">
        <v>6153</v>
      </c>
    </row>
    <row r="37387" spans="8:8">
      <c r="H37387" s="680" t="s">
        <v>6153</v>
      </c>
    </row>
    <row r="37388" spans="8:8">
      <c r="H37388" s="680" t="s">
        <v>6153</v>
      </c>
    </row>
    <row r="37389" spans="8:8">
      <c r="H37389" s="680" t="s">
        <v>6153</v>
      </c>
    </row>
    <row r="37390" spans="8:8">
      <c r="H37390" s="680" t="s">
        <v>6153</v>
      </c>
    </row>
    <row r="37391" spans="8:8">
      <c r="H37391" s="680" t="s">
        <v>6153</v>
      </c>
    </row>
    <row r="37392" spans="8:8">
      <c r="H37392" s="680" t="s">
        <v>6153</v>
      </c>
    </row>
    <row r="37393" spans="8:8">
      <c r="H37393" s="680" t="s">
        <v>6153</v>
      </c>
    </row>
    <row r="37394" spans="8:8">
      <c r="H37394" s="680" t="s">
        <v>6153</v>
      </c>
    </row>
    <row r="37395" spans="8:8">
      <c r="H37395" s="680" t="s">
        <v>6153</v>
      </c>
    </row>
    <row r="37396" spans="8:8">
      <c r="H37396" s="680" t="s">
        <v>6153</v>
      </c>
    </row>
    <row r="37397" spans="8:8">
      <c r="H37397" s="680" t="s">
        <v>6153</v>
      </c>
    </row>
    <row r="37398" spans="8:8">
      <c r="H37398" s="680" t="s">
        <v>6153</v>
      </c>
    </row>
    <row r="37399" spans="8:8">
      <c r="H37399" s="680" t="s">
        <v>6153</v>
      </c>
    </row>
    <row r="37400" spans="8:8">
      <c r="H37400" s="680" t="s">
        <v>6153</v>
      </c>
    </row>
    <row r="37401" spans="8:8">
      <c r="H37401" s="680" t="s">
        <v>6153</v>
      </c>
    </row>
    <row r="37402" spans="8:8">
      <c r="H37402" s="680" t="s">
        <v>6153</v>
      </c>
    </row>
    <row r="37403" spans="8:8">
      <c r="H37403" s="680" t="s">
        <v>6153</v>
      </c>
    </row>
    <row r="37404" spans="8:8">
      <c r="H37404" s="680" t="s">
        <v>6153</v>
      </c>
    </row>
    <row r="37405" spans="8:8">
      <c r="H37405" s="680" t="s">
        <v>6153</v>
      </c>
    </row>
    <row r="37406" spans="8:8">
      <c r="H37406" s="680" t="s">
        <v>6153</v>
      </c>
    </row>
    <row r="37407" spans="8:8">
      <c r="H37407" s="680" t="s">
        <v>6153</v>
      </c>
    </row>
    <row r="37408" spans="8:8">
      <c r="H37408" s="680" t="s">
        <v>6153</v>
      </c>
    </row>
    <row r="37409" spans="8:8">
      <c r="H37409" s="680" t="s">
        <v>6153</v>
      </c>
    </row>
    <row r="37410" spans="8:8">
      <c r="H37410" s="680" t="s">
        <v>6153</v>
      </c>
    </row>
    <row r="37411" spans="8:8">
      <c r="H37411" s="680" t="s">
        <v>6153</v>
      </c>
    </row>
    <row r="37412" spans="8:8">
      <c r="H37412" s="680" t="s">
        <v>6153</v>
      </c>
    </row>
    <row r="37413" spans="8:8">
      <c r="H37413" s="680" t="s">
        <v>6153</v>
      </c>
    </row>
    <row r="37414" spans="8:8">
      <c r="H37414" s="680" t="s">
        <v>6153</v>
      </c>
    </row>
    <row r="37415" spans="8:8">
      <c r="H37415" s="680" t="s">
        <v>6153</v>
      </c>
    </row>
    <row r="37416" spans="8:8">
      <c r="H37416" s="680" t="s">
        <v>6153</v>
      </c>
    </row>
    <row r="37417" spans="8:8">
      <c r="H37417" s="680" t="s">
        <v>6153</v>
      </c>
    </row>
    <row r="37418" spans="8:8">
      <c r="H37418" s="680" t="s">
        <v>6153</v>
      </c>
    </row>
    <row r="37419" spans="8:8">
      <c r="H37419" s="680" t="s">
        <v>6153</v>
      </c>
    </row>
    <row r="37420" spans="8:8">
      <c r="H37420" s="680" t="s">
        <v>6153</v>
      </c>
    </row>
    <row r="37421" spans="8:8">
      <c r="H37421" s="680" t="s">
        <v>6153</v>
      </c>
    </row>
    <row r="37422" spans="8:8">
      <c r="H37422" s="680" t="s">
        <v>6153</v>
      </c>
    </row>
    <row r="37423" spans="8:8">
      <c r="H37423" s="680" t="s">
        <v>6153</v>
      </c>
    </row>
    <row r="37424" spans="8:8">
      <c r="H37424" s="680" t="s">
        <v>6153</v>
      </c>
    </row>
    <row r="37425" spans="8:8">
      <c r="H37425" s="680" t="s">
        <v>6153</v>
      </c>
    </row>
    <row r="37426" spans="8:8">
      <c r="H37426" s="680" t="s">
        <v>6153</v>
      </c>
    </row>
    <row r="37427" spans="8:8">
      <c r="H37427" s="680" t="s">
        <v>6153</v>
      </c>
    </row>
    <row r="37428" spans="8:8">
      <c r="H37428" s="680" t="s">
        <v>6153</v>
      </c>
    </row>
    <row r="37429" spans="8:8">
      <c r="H37429" s="680" t="s">
        <v>6153</v>
      </c>
    </row>
    <row r="37430" spans="8:8">
      <c r="H37430" s="680" t="s">
        <v>6153</v>
      </c>
    </row>
    <row r="37431" spans="8:8">
      <c r="H37431" s="680" t="s">
        <v>6153</v>
      </c>
    </row>
    <row r="37432" spans="8:8">
      <c r="H37432" s="680" t="s">
        <v>6153</v>
      </c>
    </row>
    <row r="37433" spans="8:8">
      <c r="H37433" s="680" t="s">
        <v>6153</v>
      </c>
    </row>
    <row r="37434" spans="8:8">
      <c r="H37434" s="680" t="s">
        <v>6153</v>
      </c>
    </row>
    <row r="37435" spans="8:8">
      <c r="H37435" s="680" t="s">
        <v>6153</v>
      </c>
    </row>
    <row r="37436" spans="8:8">
      <c r="H37436" s="680" t="s">
        <v>6153</v>
      </c>
    </row>
    <row r="37437" spans="8:8">
      <c r="H37437" s="680" t="s">
        <v>6153</v>
      </c>
    </row>
    <row r="37438" spans="8:8">
      <c r="H37438" s="680" t="s">
        <v>6153</v>
      </c>
    </row>
    <row r="37439" spans="8:8">
      <c r="H37439" s="680" t="s">
        <v>6153</v>
      </c>
    </row>
    <row r="37440" spans="8:8">
      <c r="H37440" s="680" t="s">
        <v>6153</v>
      </c>
    </row>
    <row r="37441" spans="8:8">
      <c r="H37441" s="680" t="s">
        <v>6153</v>
      </c>
    </row>
    <row r="37442" spans="8:8">
      <c r="H37442" s="680" t="s">
        <v>6153</v>
      </c>
    </row>
    <row r="37443" spans="8:8">
      <c r="H37443" s="680" t="s">
        <v>6153</v>
      </c>
    </row>
    <row r="37444" spans="8:8">
      <c r="H37444" s="680" t="s">
        <v>6153</v>
      </c>
    </row>
    <row r="37445" spans="8:8">
      <c r="H37445" s="680" t="s">
        <v>6153</v>
      </c>
    </row>
    <row r="37446" spans="8:8">
      <c r="H37446" s="680" t="s">
        <v>6153</v>
      </c>
    </row>
    <row r="37447" spans="8:8">
      <c r="H37447" s="680" t="s">
        <v>6153</v>
      </c>
    </row>
    <row r="37448" spans="8:8">
      <c r="H37448" s="680" t="s">
        <v>6153</v>
      </c>
    </row>
    <row r="37449" spans="8:8">
      <c r="H37449" s="680" t="s">
        <v>6153</v>
      </c>
    </row>
    <row r="37450" spans="8:8">
      <c r="H37450" s="680" t="s">
        <v>6153</v>
      </c>
    </row>
    <row r="37451" spans="8:8">
      <c r="H37451" s="680" t="s">
        <v>6153</v>
      </c>
    </row>
    <row r="37452" spans="8:8">
      <c r="H37452" s="680" t="s">
        <v>6153</v>
      </c>
    </row>
    <row r="37453" spans="8:8">
      <c r="H37453" s="680" t="s">
        <v>6153</v>
      </c>
    </row>
    <row r="37454" spans="8:8">
      <c r="H37454" s="680" t="s">
        <v>6153</v>
      </c>
    </row>
    <row r="37455" spans="8:8">
      <c r="H37455" s="680" t="s">
        <v>6153</v>
      </c>
    </row>
    <row r="37456" spans="8:8">
      <c r="H37456" s="680" t="s">
        <v>6153</v>
      </c>
    </row>
    <row r="37457" spans="8:8">
      <c r="H37457" s="680" t="s">
        <v>6153</v>
      </c>
    </row>
    <row r="37458" spans="8:8">
      <c r="H37458" s="680" t="s">
        <v>6153</v>
      </c>
    </row>
    <row r="37459" spans="8:8">
      <c r="H37459" s="680" t="s">
        <v>6153</v>
      </c>
    </row>
    <row r="37460" spans="8:8">
      <c r="H37460" s="680" t="s">
        <v>6153</v>
      </c>
    </row>
    <row r="37461" spans="8:8">
      <c r="H37461" s="680" t="s">
        <v>6153</v>
      </c>
    </row>
    <row r="37462" spans="8:8">
      <c r="H37462" s="680" t="s">
        <v>6153</v>
      </c>
    </row>
    <row r="37463" spans="8:8">
      <c r="H37463" s="680" t="s">
        <v>6153</v>
      </c>
    </row>
    <row r="37464" spans="8:8">
      <c r="H37464" s="680" t="s">
        <v>6153</v>
      </c>
    </row>
    <row r="37465" spans="8:8">
      <c r="H37465" s="680" t="s">
        <v>6153</v>
      </c>
    </row>
    <row r="37466" spans="8:8">
      <c r="H37466" s="680" t="s">
        <v>6153</v>
      </c>
    </row>
    <row r="37467" spans="8:8">
      <c r="H37467" s="680" t="s">
        <v>6153</v>
      </c>
    </row>
    <row r="37468" spans="8:8">
      <c r="H37468" s="680" t="s">
        <v>6153</v>
      </c>
    </row>
    <row r="37469" spans="8:8">
      <c r="H37469" s="680" t="s">
        <v>6153</v>
      </c>
    </row>
    <row r="37470" spans="8:8">
      <c r="H37470" s="680" t="s">
        <v>6153</v>
      </c>
    </row>
    <row r="37471" spans="8:8">
      <c r="H37471" s="680" t="s">
        <v>6153</v>
      </c>
    </row>
    <row r="37472" spans="8:8">
      <c r="H37472" s="680" t="s">
        <v>6153</v>
      </c>
    </row>
    <row r="37473" spans="8:8">
      <c r="H37473" s="680" t="s">
        <v>6153</v>
      </c>
    </row>
    <row r="37474" spans="8:8">
      <c r="H37474" s="680" t="s">
        <v>6153</v>
      </c>
    </row>
    <row r="37475" spans="8:8">
      <c r="H37475" s="680" t="s">
        <v>6153</v>
      </c>
    </row>
    <row r="37476" spans="8:8">
      <c r="H37476" s="680" t="s">
        <v>6153</v>
      </c>
    </row>
    <row r="37477" spans="8:8">
      <c r="H37477" s="680" t="s">
        <v>6153</v>
      </c>
    </row>
    <row r="37478" spans="8:8">
      <c r="H37478" s="680" t="s">
        <v>6153</v>
      </c>
    </row>
    <row r="37479" spans="8:8">
      <c r="H37479" s="680" t="s">
        <v>6153</v>
      </c>
    </row>
    <row r="37480" spans="8:8">
      <c r="H37480" s="680" t="s">
        <v>6153</v>
      </c>
    </row>
    <row r="37481" spans="8:8">
      <c r="H37481" s="680" t="s">
        <v>6153</v>
      </c>
    </row>
    <row r="37482" spans="8:8">
      <c r="H37482" s="680" t="s">
        <v>6153</v>
      </c>
    </row>
    <row r="37483" spans="8:8">
      <c r="H37483" s="680" t="s">
        <v>6153</v>
      </c>
    </row>
    <row r="37484" spans="8:8">
      <c r="H37484" s="680" t="s">
        <v>6153</v>
      </c>
    </row>
    <row r="37485" spans="8:8">
      <c r="H37485" s="680" t="s">
        <v>6153</v>
      </c>
    </row>
    <row r="37486" spans="8:8">
      <c r="H37486" s="680" t="s">
        <v>6153</v>
      </c>
    </row>
    <row r="37487" spans="8:8">
      <c r="H37487" s="680" t="s">
        <v>6153</v>
      </c>
    </row>
    <row r="37488" spans="8:8">
      <c r="H37488" s="680" t="s">
        <v>6153</v>
      </c>
    </row>
    <row r="37489" spans="8:8">
      <c r="H37489" s="680" t="s">
        <v>6153</v>
      </c>
    </row>
    <row r="37490" spans="8:8">
      <c r="H37490" s="680" t="s">
        <v>6153</v>
      </c>
    </row>
    <row r="37491" spans="8:8">
      <c r="H37491" s="680" t="s">
        <v>6153</v>
      </c>
    </row>
    <row r="37492" spans="8:8">
      <c r="H37492" s="680" t="s">
        <v>6153</v>
      </c>
    </row>
    <row r="37493" spans="8:8">
      <c r="H37493" s="680" t="s">
        <v>6153</v>
      </c>
    </row>
    <row r="37494" spans="8:8">
      <c r="H37494" s="680" t="s">
        <v>6153</v>
      </c>
    </row>
    <row r="37495" spans="8:8">
      <c r="H37495" s="680" t="s">
        <v>6153</v>
      </c>
    </row>
    <row r="37496" spans="8:8">
      <c r="H37496" s="680" t="s">
        <v>6153</v>
      </c>
    </row>
    <row r="37497" spans="8:8">
      <c r="H37497" s="680" t="s">
        <v>6153</v>
      </c>
    </row>
    <row r="37498" spans="8:8">
      <c r="H37498" s="680" t="s">
        <v>6153</v>
      </c>
    </row>
    <row r="37499" spans="8:8">
      <c r="H37499" s="680" t="s">
        <v>6153</v>
      </c>
    </row>
    <row r="37500" spans="8:8">
      <c r="H37500" s="680" t="s">
        <v>6153</v>
      </c>
    </row>
    <row r="37501" spans="8:8">
      <c r="H37501" s="680" t="s">
        <v>6153</v>
      </c>
    </row>
    <row r="37502" spans="8:8">
      <c r="H37502" s="680" t="s">
        <v>6153</v>
      </c>
    </row>
    <row r="37503" spans="8:8">
      <c r="H37503" s="680" t="s">
        <v>6153</v>
      </c>
    </row>
    <row r="37504" spans="8:8">
      <c r="H37504" s="680" t="s">
        <v>6153</v>
      </c>
    </row>
    <row r="37505" spans="8:8">
      <c r="H37505" s="680" t="s">
        <v>6153</v>
      </c>
    </row>
    <row r="37506" spans="8:8">
      <c r="H37506" s="680" t="s">
        <v>6153</v>
      </c>
    </row>
    <row r="37507" spans="8:8">
      <c r="H37507" s="680" t="s">
        <v>6153</v>
      </c>
    </row>
    <row r="37508" spans="8:8">
      <c r="H37508" s="680" t="s">
        <v>6153</v>
      </c>
    </row>
    <row r="37509" spans="8:8">
      <c r="H37509" s="680" t="s">
        <v>6153</v>
      </c>
    </row>
    <row r="37510" spans="8:8">
      <c r="H37510" s="680" t="s">
        <v>6153</v>
      </c>
    </row>
    <row r="37511" spans="8:8">
      <c r="H37511" s="680" t="s">
        <v>6153</v>
      </c>
    </row>
    <row r="37512" spans="8:8">
      <c r="H37512" s="680" t="s">
        <v>6153</v>
      </c>
    </row>
    <row r="37513" spans="8:8">
      <c r="H37513" s="680" t="s">
        <v>6153</v>
      </c>
    </row>
    <row r="37514" spans="8:8">
      <c r="H37514" s="680" t="s">
        <v>6153</v>
      </c>
    </row>
    <row r="37515" spans="8:8">
      <c r="H37515" s="680" t="s">
        <v>6153</v>
      </c>
    </row>
    <row r="37516" spans="8:8">
      <c r="H37516" s="680" t="s">
        <v>6153</v>
      </c>
    </row>
    <row r="37517" spans="8:8">
      <c r="H37517" s="680" t="s">
        <v>6153</v>
      </c>
    </row>
    <row r="37518" spans="8:8">
      <c r="H37518" s="680" t="s">
        <v>6153</v>
      </c>
    </row>
    <row r="37519" spans="8:8">
      <c r="H37519" s="680" t="s">
        <v>6153</v>
      </c>
    </row>
    <row r="37520" spans="8:8">
      <c r="H37520" s="680" t="s">
        <v>6153</v>
      </c>
    </row>
    <row r="37521" spans="8:8">
      <c r="H37521" s="680" t="s">
        <v>6153</v>
      </c>
    </row>
    <row r="37522" spans="8:8">
      <c r="H37522" s="680" t="s">
        <v>6153</v>
      </c>
    </row>
    <row r="37523" spans="8:8">
      <c r="H37523" s="680" t="s">
        <v>6153</v>
      </c>
    </row>
    <row r="37524" spans="8:8">
      <c r="H37524" s="680" t="s">
        <v>6153</v>
      </c>
    </row>
    <row r="37525" spans="8:8">
      <c r="H37525" s="680" t="s">
        <v>6153</v>
      </c>
    </row>
    <row r="37526" spans="8:8">
      <c r="H37526" s="680" t="s">
        <v>6153</v>
      </c>
    </row>
    <row r="37527" spans="8:8">
      <c r="H37527" s="680" t="s">
        <v>6153</v>
      </c>
    </row>
    <row r="37528" spans="8:8">
      <c r="H37528" s="680" t="s">
        <v>6153</v>
      </c>
    </row>
    <row r="37529" spans="8:8">
      <c r="H37529" s="680" t="s">
        <v>6153</v>
      </c>
    </row>
    <row r="37530" spans="8:8">
      <c r="H37530" s="680" t="s">
        <v>6153</v>
      </c>
    </row>
    <row r="37531" spans="8:8">
      <c r="H37531" s="680" t="s">
        <v>6153</v>
      </c>
    </row>
    <row r="37532" spans="8:8">
      <c r="H37532" s="680" t="s">
        <v>6153</v>
      </c>
    </row>
    <row r="37533" spans="8:8">
      <c r="H37533" s="680" t="s">
        <v>6153</v>
      </c>
    </row>
    <row r="37534" spans="8:8">
      <c r="H37534" s="680" t="s">
        <v>6153</v>
      </c>
    </row>
    <row r="37535" spans="8:8">
      <c r="H37535" s="680" t="s">
        <v>6153</v>
      </c>
    </row>
    <row r="37536" spans="8:8">
      <c r="H37536" s="680" t="s">
        <v>6153</v>
      </c>
    </row>
    <row r="37537" spans="8:8">
      <c r="H37537" s="680" t="s">
        <v>6153</v>
      </c>
    </row>
    <row r="37538" spans="8:8">
      <c r="H37538" s="680" t="s">
        <v>6153</v>
      </c>
    </row>
    <row r="37539" spans="8:8">
      <c r="H37539" s="680" t="s">
        <v>6153</v>
      </c>
    </row>
    <row r="37540" spans="8:8">
      <c r="H37540" s="680" t="s">
        <v>6153</v>
      </c>
    </row>
    <row r="37541" spans="8:8">
      <c r="H37541" s="680" t="s">
        <v>6153</v>
      </c>
    </row>
    <row r="37542" spans="8:8">
      <c r="H37542" s="680" t="s">
        <v>6153</v>
      </c>
    </row>
    <row r="37543" spans="8:8">
      <c r="H37543" s="680" t="s">
        <v>6153</v>
      </c>
    </row>
    <row r="37544" spans="8:8">
      <c r="H37544" s="680" t="s">
        <v>6153</v>
      </c>
    </row>
    <row r="37545" spans="8:8">
      <c r="H37545" s="680" t="s">
        <v>6153</v>
      </c>
    </row>
    <row r="37546" spans="8:8">
      <c r="H37546" s="680" t="s">
        <v>6153</v>
      </c>
    </row>
    <row r="37547" spans="8:8">
      <c r="H37547" s="680" t="s">
        <v>6153</v>
      </c>
    </row>
    <row r="37548" spans="8:8">
      <c r="H37548" s="680" t="s">
        <v>6153</v>
      </c>
    </row>
    <row r="37549" spans="8:8">
      <c r="H37549" s="680" t="s">
        <v>6153</v>
      </c>
    </row>
    <row r="37550" spans="8:8">
      <c r="H37550" s="680" t="s">
        <v>6153</v>
      </c>
    </row>
    <row r="37551" spans="8:8">
      <c r="H37551" s="680" t="s">
        <v>6153</v>
      </c>
    </row>
    <row r="37552" spans="8:8">
      <c r="H37552" s="680" t="s">
        <v>6153</v>
      </c>
    </row>
    <row r="37553" spans="8:8">
      <c r="H37553" s="680" t="s">
        <v>6153</v>
      </c>
    </row>
    <row r="37554" spans="8:8">
      <c r="H37554" s="680" t="s">
        <v>6153</v>
      </c>
    </row>
    <row r="37555" spans="8:8">
      <c r="H37555" s="680" t="s">
        <v>6153</v>
      </c>
    </row>
    <row r="37556" spans="8:8">
      <c r="H37556" s="680" t="s">
        <v>6153</v>
      </c>
    </row>
    <row r="37557" spans="8:8">
      <c r="H37557" s="680" t="s">
        <v>6153</v>
      </c>
    </row>
    <row r="37558" spans="8:8">
      <c r="H37558" s="680" t="s">
        <v>6153</v>
      </c>
    </row>
    <row r="37559" spans="8:8">
      <c r="H37559" s="680" t="s">
        <v>6153</v>
      </c>
    </row>
    <row r="37560" spans="8:8">
      <c r="H37560" s="680" t="s">
        <v>6153</v>
      </c>
    </row>
    <row r="37561" spans="8:8">
      <c r="H37561" s="680" t="s">
        <v>6153</v>
      </c>
    </row>
    <row r="37562" spans="8:8">
      <c r="H37562" s="680" t="s">
        <v>6153</v>
      </c>
    </row>
    <row r="37563" spans="8:8">
      <c r="H37563" s="680" t="s">
        <v>6153</v>
      </c>
    </row>
    <row r="37564" spans="8:8">
      <c r="H37564" s="680" t="s">
        <v>6153</v>
      </c>
    </row>
    <row r="37565" spans="8:8">
      <c r="H37565" s="680" t="s">
        <v>6153</v>
      </c>
    </row>
    <row r="37566" spans="8:8">
      <c r="H37566" s="680" t="s">
        <v>6153</v>
      </c>
    </row>
    <row r="37567" spans="8:8">
      <c r="H37567" s="680" t="s">
        <v>6153</v>
      </c>
    </row>
    <row r="37568" spans="8:8">
      <c r="H37568" s="680" t="s">
        <v>6153</v>
      </c>
    </row>
    <row r="37569" spans="8:8">
      <c r="H37569" s="680" t="s">
        <v>6153</v>
      </c>
    </row>
    <row r="37570" spans="8:8">
      <c r="H37570" s="680" t="s">
        <v>6153</v>
      </c>
    </row>
    <row r="37571" spans="8:8">
      <c r="H37571" s="680" t="s">
        <v>6153</v>
      </c>
    </row>
    <row r="37572" spans="8:8">
      <c r="H37572" s="680" t="s">
        <v>6153</v>
      </c>
    </row>
    <row r="37573" spans="8:8">
      <c r="H37573" s="680" t="s">
        <v>6153</v>
      </c>
    </row>
    <row r="37574" spans="8:8">
      <c r="H37574" s="680" t="s">
        <v>6153</v>
      </c>
    </row>
    <row r="37575" spans="8:8">
      <c r="H37575" s="680" t="s">
        <v>6153</v>
      </c>
    </row>
    <row r="37576" spans="8:8">
      <c r="H37576" s="680" t="s">
        <v>6153</v>
      </c>
    </row>
    <row r="37577" spans="8:8">
      <c r="H37577" s="680" t="s">
        <v>6153</v>
      </c>
    </row>
    <row r="37578" spans="8:8">
      <c r="H37578" s="680" t="s">
        <v>6153</v>
      </c>
    </row>
    <row r="37579" spans="8:8">
      <c r="H37579" s="680" t="s">
        <v>6153</v>
      </c>
    </row>
    <row r="37580" spans="8:8">
      <c r="H37580" s="680" t="s">
        <v>6153</v>
      </c>
    </row>
    <row r="37581" spans="8:8">
      <c r="H37581" s="680" t="s">
        <v>6153</v>
      </c>
    </row>
    <row r="37582" spans="8:8">
      <c r="H37582" s="680" t="s">
        <v>6153</v>
      </c>
    </row>
    <row r="37583" spans="8:8">
      <c r="H37583" s="680" t="s">
        <v>6153</v>
      </c>
    </row>
    <row r="37584" spans="8:8">
      <c r="H37584" s="680" t="s">
        <v>6153</v>
      </c>
    </row>
    <row r="37585" spans="8:8">
      <c r="H37585" s="680" t="s">
        <v>6153</v>
      </c>
    </row>
    <row r="37586" spans="8:8">
      <c r="H37586" s="680" t="s">
        <v>6153</v>
      </c>
    </row>
    <row r="37587" spans="8:8">
      <c r="H37587" s="680" t="s">
        <v>6153</v>
      </c>
    </row>
    <row r="37588" spans="8:8">
      <c r="H37588" s="680" t="s">
        <v>6153</v>
      </c>
    </row>
    <row r="37589" spans="8:8">
      <c r="H37589" s="680" t="s">
        <v>6153</v>
      </c>
    </row>
    <row r="37590" spans="8:8">
      <c r="H37590" s="680" t="s">
        <v>6153</v>
      </c>
    </row>
    <row r="37591" spans="8:8">
      <c r="H37591" s="680" t="s">
        <v>6153</v>
      </c>
    </row>
    <row r="37592" spans="8:8">
      <c r="H37592" s="680" t="s">
        <v>6153</v>
      </c>
    </row>
    <row r="37593" spans="8:8">
      <c r="H37593" s="680" t="s">
        <v>6153</v>
      </c>
    </row>
    <row r="37594" spans="8:8">
      <c r="H37594" s="680" t="s">
        <v>6153</v>
      </c>
    </row>
    <row r="37595" spans="8:8">
      <c r="H37595" s="680" t="s">
        <v>6153</v>
      </c>
    </row>
    <row r="37596" spans="8:8">
      <c r="H37596" s="680" t="s">
        <v>6153</v>
      </c>
    </row>
    <row r="37597" spans="8:8">
      <c r="H37597" s="680" t="s">
        <v>6153</v>
      </c>
    </row>
    <row r="37598" spans="8:8">
      <c r="H37598" s="680" t="s">
        <v>6153</v>
      </c>
    </row>
    <row r="37599" spans="8:8">
      <c r="H37599" s="680" t="s">
        <v>6153</v>
      </c>
    </row>
    <row r="37600" spans="8:8">
      <c r="H37600" s="680" t="s">
        <v>6153</v>
      </c>
    </row>
    <row r="37601" spans="8:8">
      <c r="H37601" s="680" t="s">
        <v>6153</v>
      </c>
    </row>
    <row r="37602" spans="8:8">
      <c r="H37602" s="680" t="s">
        <v>6153</v>
      </c>
    </row>
    <row r="37603" spans="8:8">
      <c r="H37603" s="680" t="s">
        <v>6153</v>
      </c>
    </row>
    <row r="37604" spans="8:8">
      <c r="H37604" s="680" t="s">
        <v>6153</v>
      </c>
    </row>
    <row r="37605" spans="8:8">
      <c r="H37605" s="680" t="s">
        <v>6153</v>
      </c>
    </row>
    <row r="37606" spans="8:8">
      <c r="H37606" s="680" t="s">
        <v>6153</v>
      </c>
    </row>
    <row r="37607" spans="8:8">
      <c r="H37607" s="680" t="s">
        <v>6153</v>
      </c>
    </row>
    <row r="37608" spans="8:8">
      <c r="H37608" s="680" t="s">
        <v>6153</v>
      </c>
    </row>
    <row r="37609" spans="8:8">
      <c r="H37609" s="680" t="s">
        <v>6153</v>
      </c>
    </row>
    <row r="37610" spans="8:8">
      <c r="H37610" s="680" t="s">
        <v>6153</v>
      </c>
    </row>
    <row r="37611" spans="8:8">
      <c r="H37611" s="680" t="s">
        <v>6153</v>
      </c>
    </row>
    <row r="37612" spans="8:8">
      <c r="H37612" s="680" t="s">
        <v>6153</v>
      </c>
    </row>
    <row r="37613" spans="8:8">
      <c r="H37613" s="680" t="s">
        <v>6153</v>
      </c>
    </row>
    <row r="37614" spans="8:8">
      <c r="H37614" s="680" t="s">
        <v>6153</v>
      </c>
    </row>
    <row r="37615" spans="8:8">
      <c r="H37615" s="680" t="s">
        <v>6153</v>
      </c>
    </row>
    <row r="37616" spans="8:8">
      <c r="H37616" s="680" t="s">
        <v>6153</v>
      </c>
    </row>
    <row r="37617" spans="8:8">
      <c r="H37617" s="680" t="s">
        <v>6153</v>
      </c>
    </row>
    <row r="37618" spans="8:8">
      <c r="H37618" s="680" t="s">
        <v>6153</v>
      </c>
    </row>
    <row r="37619" spans="8:8">
      <c r="H37619" s="680" t="s">
        <v>6153</v>
      </c>
    </row>
    <row r="37620" spans="8:8">
      <c r="H37620" s="680" t="s">
        <v>6153</v>
      </c>
    </row>
    <row r="37621" spans="8:8">
      <c r="H37621" s="680" t="s">
        <v>6153</v>
      </c>
    </row>
    <row r="37622" spans="8:8">
      <c r="H37622" s="680" t="s">
        <v>6153</v>
      </c>
    </row>
    <row r="37623" spans="8:8">
      <c r="H37623" s="680" t="s">
        <v>6153</v>
      </c>
    </row>
    <row r="37624" spans="8:8">
      <c r="H37624" s="680" t="s">
        <v>6153</v>
      </c>
    </row>
    <row r="37625" spans="8:8">
      <c r="H37625" s="680" t="s">
        <v>6153</v>
      </c>
    </row>
    <row r="37626" spans="8:8">
      <c r="H37626" s="680" t="s">
        <v>6153</v>
      </c>
    </row>
    <row r="37627" spans="8:8">
      <c r="H37627" s="680" t="s">
        <v>6153</v>
      </c>
    </row>
    <row r="37628" spans="8:8">
      <c r="H37628" s="680" t="s">
        <v>6153</v>
      </c>
    </row>
    <row r="37629" spans="8:8">
      <c r="H37629" s="680" t="s">
        <v>6153</v>
      </c>
    </row>
    <row r="37630" spans="8:8">
      <c r="H37630" s="680" t="s">
        <v>6153</v>
      </c>
    </row>
    <row r="37631" spans="8:8">
      <c r="H37631" s="680" t="s">
        <v>6153</v>
      </c>
    </row>
    <row r="37632" spans="8:8">
      <c r="H37632" s="680" t="s">
        <v>6153</v>
      </c>
    </row>
    <row r="37633" spans="8:8">
      <c r="H37633" s="680" t="s">
        <v>6153</v>
      </c>
    </row>
    <row r="37634" spans="8:8">
      <c r="H37634" s="680" t="s">
        <v>6153</v>
      </c>
    </row>
    <row r="37635" spans="8:8">
      <c r="H37635" s="680" t="s">
        <v>6153</v>
      </c>
    </row>
    <row r="37636" spans="8:8">
      <c r="H37636" s="680" t="s">
        <v>6153</v>
      </c>
    </row>
    <row r="37637" spans="8:8">
      <c r="H37637" s="680" t="s">
        <v>6153</v>
      </c>
    </row>
    <row r="37638" spans="8:8">
      <c r="H37638" s="680" t="s">
        <v>6153</v>
      </c>
    </row>
    <row r="37639" spans="8:8">
      <c r="H37639" s="680" t="s">
        <v>6153</v>
      </c>
    </row>
    <row r="37640" spans="8:8">
      <c r="H37640" s="680" t="s">
        <v>6153</v>
      </c>
    </row>
    <row r="37641" spans="8:8">
      <c r="H37641" s="680" t="s">
        <v>6153</v>
      </c>
    </row>
    <row r="37642" spans="8:8">
      <c r="H37642" s="680" t="s">
        <v>6153</v>
      </c>
    </row>
    <row r="37643" spans="8:8">
      <c r="H37643" s="680" t="s">
        <v>6153</v>
      </c>
    </row>
    <row r="37644" spans="8:8">
      <c r="H37644" s="680" t="s">
        <v>6153</v>
      </c>
    </row>
    <row r="37645" spans="8:8">
      <c r="H37645" s="680" t="s">
        <v>6153</v>
      </c>
    </row>
    <row r="37646" spans="8:8">
      <c r="H37646" s="680" t="s">
        <v>6153</v>
      </c>
    </row>
    <row r="37647" spans="8:8">
      <c r="H37647" s="680" t="s">
        <v>6153</v>
      </c>
    </row>
    <row r="37648" spans="8:8">
      <c r="H37648" s="680" t="s">
        <v>6153</v>
      </c>
    </row>
    <row r="37649" spans="8:8">
      <c r="H37649" s="680" t="s">
        <v>6153</v>
      </c>
    </row>
    <row r="37650" spans="8:8">
      <c r="H37650" s="680" t="s">
        <v>6153</v>
      </c>
    </row>
    <row r="37651" spans="8:8">
      <c r="H37651" s="680" t="s">
        <v>6153</v>
      </c>
    </row>
    <row r="37652" spans="8:8">
      <c r="H37652" s="680" t="s">
        <v>6153</v>
      </c>
    </row>
    <row r="37653" spans="8:8">
      <c r="H37653" s="680" t="s">
        <v>6153</v>
      </c>
    </row>
    <row r="37654" spans="8:8">
      <c r="H37654" s="680" t="s">
        <v>6153</v>
      </c>
    </row>
    <row r="37655" spans="8:8">
      <c r="H37655" s="680" t="s">
        <v>6153</v>
      </c>
    </row>
    <row r="37656" spans="8:8">
      <c r="H37656" s="680" t="s">
        <v>6153</v>
      </c>
    </row>
    <row r="37657" spans="8:8">
      <c r="H37657" s="680" t="s">
        <v>6153</v>
      </c>
    </row>
    <row r="37658" spans="8:8">
      <c r="H37658" s="680" t="s">
        <v>6153</v>
      </c>
    </row>
    <row r="37659" spans="8:8">
      <c r="H37659" s="680" t="s">
        <v>6153</v>
      </c>
    </row>
    <row r="37660" spans="8:8">
      <c r="H37660" s="680" t="s">
        <v>6153</v>
      </c>
    </row>
    <row r="37661" spans="8:8">
      <c r="H37661" s="680" t="s">
        <v>6153</v>
      </c>
    </row>
    <row r="37662" spans="8:8">
      <c r="H37662" s="680" t="s">
        <v>6153</v>
      </c>
    </row>
    <row r="37663" spans="8:8">
      <c r="H37663" s="680" t="s">
        <v>6153</v>
      </c>
    </row>
    <row r="37664" spans="8:8">
      <c r="H37664" s="680" t="s">
        <v>6153</v>
      </c>
    </row>
    <row r="37665" spans="8:8">
      <c r="H37665" s="680" t="s">
        <v>6153</v>
      </c>
    </row>
    <row r="37666" spans="8:8">
      <c r="H37666" s="680" t="s">
        <v>6153</v>
      </c>
    </row>
    <row r="37667" spans="8:8">
      <c r="H37667" s="680" t="s">
        <v>6153</v>
      </c>
    </row>
    <row r="37668" spans="8:8">
      <c r="H37668" s="680" t="s">
        <v>6153</v>
      </c>
    </row>
    <row r="37669" spans="8:8">
      <c r="H37669" s="680" t="s">
        <v>6153</v>
      </c>
    </row>
    <row r="37670" spans="8:8">
      <c r="H37670" s="680" t="s">
        <v>6153</v>
      </c>
    </row>
    <row r="37671" spans="8:8">
      <c r="H37671" s="680" t="s">
        <v>6153</v>
      </c>
    </row>
    <row r="37672" spans="8:8">
      <c r="H37672" s="680" t="s">
        <v>6153</v>
      </c>
    </row>
    <row r="37673" spans="8:8">
      <c r="H37673" s="680" t="s">
        <v>6153</v>
      </c>
    </row>
    <row r="37674" spans="8:8">
      <c r="H37674" s="680" t="s">
        <v>6153</v>
      </c>
    </row>
    <row r="37675" spans="8:8">
      <c r="H37675" s="680" t="s">
        <v>6153</v>
      </c>
    </row>
    <row r="37676" spans="8:8">
      <c r="H37676" s="680" t="s">
        <v>6153</v>
      </c>
    </row>
    <row r="37677" spans="8:8">
      <c r="H37677" s="680" t="s">
        <v>6153</v>
      </c>
    </row>
    <row r="37678" spans="8:8">
      <c r="H37678" s="680" t="s">
        <v>6153</v>
      </c>
    </row>
    <row r="37679" spans="8:8">
      <c r="H37679" s="680" t="s">
        <v>6153</v>
      </c>
    </row>
    <row r="37680" spans="8:8">
      <c r="H37680" s="680" t="s">
        <v>6153</v>
      </c>
    </row>
    <row r="37681" spans="8:8">
      <c r="H37681" s="680" t="s">
        <v>6153</v>
      </c>
    </row>
    <row r="37682" spans="8:8">
      <c r="H37682" s="680" t="s">
        <v>6153</v>
      </c>
    </row>
    <row r="37683" spans="8:8">
      <c r="H37683" s="680" t="s">
        <v>6153</v>
      </c>
    </row>
    <row r="37684" spans="8:8">
      <c r="H37684" s="680" t="s">
        <v>6153</v>
      </c>
    </row>
    <row r="37685" spans="8:8">
      <c r="H37685" s="680" t="s">
        <v>6153</v>
      </c>
    </row>
    <row r="37686" spans="8:8">
      <c r="H37686" s="680" t="s">
        <v>6153</v>
      </c>
    </row>
    <row r="37687" spans="8:8">
      <c r="H37687" s="680" t="s">
        <v>6153</v>
      </c>
    </row>
    <row r="37688" spans="8:8">
      <c r="H37688" s="680" t="s">
        <v>6153</v>
      </c>
    </row>
    <row r="37689" spans="8:8">
      <c r="H37689" s="680" t="s">
        <v>6153</v>
      </c>
    </row>
    <row r="37690" spans="8:8">
      <c r="H37690" s="680" t="s">
        <v>6153</v>
      </c>
    </row>
    <row r="37691" spans="8:8">
      <c r="H37691" s="680" t="s">
        <v>6153</v>
      </c>
    </row>
    <row r="37692" spans="8:8">
      <c r="H37692" s="680" t="s">
        <v>6153</v>
      </c>
    </row>
    <row r="37693" spans="8:8">
      <c r="H37693" s="680" t="s">
        <v>6153</v>
      </c>
    </row>
    <row r="37694" spans="8:8">
      <c r="H37694" s="680" t="s">
        <v>6153</v>
      </c>
    </row>
    <row r="37695" spans="8:8">
      <c r="H37695" s="680" t="s">
        <v>6153</v>
      </c>
    </row>
    <row r="37696" spans="8:8">
      <c r="H37696" s="680" t="s">
        <v>6153</v>
      </c>
    </row>
    <row r="37697" spans="8:8">
      <c r="H37697" s="680" t="s">
        <v>6153</v>
      </c>
    </row>
    <row r="37698" spans="8:8">
      <c r="H37698" s="680" t="s">
        <v>6153</v>
      </c>
    </row>
    <row r="37699" spans="8:8">
      <c r="H37699" s="680" t="s">
        <v>6153</v>
      </c>
    </row>
    <row r="37700" spans="8:8">
      <c r="H37700" s="680" t="s">
        <v>6153</v>
      </c>
    </row>
    <row r="37701" spans="8:8">
      <c r="H37701" s="680" t="s">
        <v>6153</v>
      </c>
    </row>
    <row r="37702" spans="8:8">
      <c r="H37702" s="680" t="s">
        <v>6153</v>
      </c>
    </row>
    <row r="37703" spans="8:8">
      <c r="H37703" s="680" t="s">
        <v>6153</v>
      </c>
    </row>
    <row r="37704" spans="8:8">
      <c r="H37704" s="680" t="s">
        <v>6153</v>
      </c>
    </row>
    <row r="37705" spans="8:8">
      <c r="H37705" s="680" t="s">
        <v>6153</v>
      </c>
    </row>
    <row r="37706" spans="8:8">
      <c r="H37706" s="680" t="s">
        <v>6153</v>
      </c>
    </row>
    <row r="37707" spans="8:8">
      <c r="H37707" s="680" t="s">
        <v>6153</v>
      </c>
    </row>
    <row r="37708" spans="8:8">
      <c r="H37708" s="680" t="s">
        <v>6153</v>
      </c>
    </row>
    <row r="37709" spans="8:8">
      <c r="H37709" s="680" t="s">
        <v>6153</v>
      </c>
    </row>
    <row r="37710" spans="8:8">
      <c r="H37710" s="680" t="s">
        <v>6153</v>
      </c>
    </row>
    <row r="37711" spans="8:8">
      <c r="H37711" s="680" t="s">
        <v>6153</v>
      </c>
    </row>
    <row r="37712" spans="8:8">
      <c r="H37712" s="680" t="s">
        <v>6153</v>
      </c>
    </row>
    <row r="37713" spans="8:8">
      <c r="H37713" s="680" t="s">
        <v>6153</v>
      </c>
    </row>
    <row r="37714" spans="8:8">
      <c r="H37714" s="680" t="s">
        <v>6153</v>
      </c>
    </row>
    <row r="37715" spans="8:8">
      <c r="H37715" s="680" t="s">
        <v>6153</v>
      </c>
    </row>
    <row r="37716" spans="8:8">
      <c r="H37716" s="680" t="s">
        <v>6153</v>
      </c>
    </row>
    <row r="37717" spans="8:8">
      <c r="H37717" s="680" t="s">
        <v>6153</v>
      </c>
    </row>
    <row r="37718" spans="8:8">
      <c r="H37718" s="680" t="s">
        <v>6153</v>
      </c>
    </row>
    <row r="37719" spans="8:8">
      <c r="H37719" s="680" t="s">
        <v>6153</v>
      </c>
    </row>
    <row r="37720" spans="8:8">
      <c r="H37720" s="680" t="s">
        <v>6153</v>
      </c>
    </row>
    <row r="37721" spans="8:8">
      <c r="H37721" s="680" t="s">
        <v>6153</v>
      </c>
    </row>
    <row r="37722" spans="8:8">
      <c r="H37722" s="680" t="s">
        <v>6153</v>
      </c>
    </row>
    <row r="37723" spans="8:8">
      <c r="H37723" s="680" t="s">
        <v>6153</v>
      </c>
    </row>
    <row r="37724" spans="8:8">
      <c r="H37724" s="680" t="s">
        <v>6153</v>
      </c>
    </row>
    <row r="37725" spans="8:8">
      <c r="H37725" s="680" t="s">
        <v>6153</v>
      </c>
    </row>
    <row r="37726" spans="8:8">
      <c r="H37726" s="680" t="s">
        <v>6153</v>
      </c>
    </row>
    <row r="37727" spans="8:8">
      <c r="H37727" s="680" t="s">
        <v>6153</v>
      </c>
    </row>
    <row r="37728" spans="8:8">
      <c r="H37728" s="680" t="s">
        <v>6153</v>
      </c>
    </row>
    <row r="37729" spans="8:8">
      <c r="H37729" s="680" t="s">
        <v>6153</v>
      </c>
    </row>
    <row r="37730" spans="8:8">
      <c r="H37730" s="680" t="s">
        <v>6153</v>
      </c>
    </row>
    <row r="37731" spans="8:8">
      <c r="H37731" s="680" t="s">
        <v>6153</v>
      </c>
    </row>
    <row r="37732" spans="8:8">
      <c r="H37732" s="680" t="s">
        <v>6153</v>
      </c>
    </row>
    <row r="37733" spans="8:8">
      <c r="H37733" s="680" t="s">
        <v>6153</v>
      </c>
    </row>
    <row r="37734" spans="8:8">
      <c r="H37734" s="680" t="s">
        <v>6153</v>
      </c>
    </row>
    <row r="37735" spans="8:8">
      <c r="H37735" s="680" t="s">
        <v>6153</v>
      </c>
    </row>
    <row r="37736" spans="8:8">
      <c r="H37736" s="680" t="s">
        <v>6153</v>
      </c>
    </row>
    <row r="37737" spans="8:8">
      <c r="H37737" s="680" t="s">
        <v>6153</v>
      </c>
    </row>
    <row r="37738" spans="8:8">
      <c r="H37738" s="680" t="s">
        <v>6153</v>
      </c>
    </row>
    <row r="37739" spans="8:8">
      <c r="H37739" s="680" t="s">
        <v>6153</v>
      </c>
    </row>
    <row r="37740" spans="8:8">
      <c r="H37740" s="680" t="s">
        <v>6153</v>
      </c>
    </row>
    <row r="37741" spans="8:8">
      <c r="H37741" s="680" t="s">
        <v>6153</v>
      </c>
    </row>
    <row r="37742" spans="8:8">
      <c r="H37742" s="680" t="s">
        <v>6153</v>
      </c>
    </row>
    <row r="37743" spans="8:8">
      <c r="H37743" s="680" t="s">
        <v>6153</v>
      </c>
    </row>
    <row r="37744" spans="8:8">
      <c r="H37744" s="680" t="s">
        <v>6153</v>
      </c>
    </row>
    <row r="37745" spans="8:8">
      <c r="H37745" s="680" t="s">
        <v>6153</v>
      </c>
    </row>
    <row r="37746" spans="8:8">
      <c r="H37746" s="680" t="s">
        <v>6153</v>
      </c>
    </row>
    <row r="37747" spans="8:8">
      <c r="H37747" s="680" t="s">
        <v>6153</v>
      </c>
    </row>
    <row r="37748" spans="8:8">
      <c r="H37748" s="680" t="s">
        <v>6153</v>
      </c>
    </row>
    <row r="37749" spans="8:8">
      <c r="H37749" s="680" t="s">
        <v>6153</v>
      </c>
    </row>
    <row r="37750" spans="8:8">
      <c r="H37750" s="680" t="s">
        <v>6153</v>
      </c>
    </row>
    <row r="37751" spans="8:8">
      <c r="H37751" s="680" t="s">
        <v>6153</v>
      </c>
    </row>
    <row r="37752" spans="8:8">
      <c r="H37752" s="680" t="s">
        <v>6153</v>
      </c>
    </row>
    <row r="37753" spans="8:8">
      <c r="H37753" s="680" t="s">
        <v>6153</v>
      </c>
    </row>
    <row r="37754" spans="8:8">
      <c r="H37754" s="680" t="s">
        <v>6153</v>
      </c>
    </row>
    <row r="37755" spans="8:8">
      <c r="H37755" s="680" t="s">
        <v>6153</v>
      </c>
    </row>
    <row r="37756" spans="8:8">
      <c r="H37756" s="680" t="s">
        <v>6153</v>
      </c>
    </row>
    <row r="37757" spans="8:8">
      <c r="H37757" s="680" t="s">
        <v>6153</v>
      </c>
    </row>
    <row r="37758" spans="8:8">
      <c r="H37758" s="680" t="s">
        <v>6153</v>
      </c>
    </row>
    <row r="37759" spans="8:8">
      <c r="H37759" s="680" t="s">
        <v>6153</v>
      </c>
    </row>
    <row r="37760" spans="8:8">
      <c r="H37760" s="680" t="s">
        <v>6153</v>
      </c>
    </row>
    <row r="37761" spans="8:8">
      <c r="H37761" s="680" t="s">
        <v>6153</v>
      </c>
    </row>
    <row r="37762" spans="8:8">
      <c r="H37762" s="680" t="s">
        <v>6153</v>
      </c>
    </row>
    <row r="37763" spans="8:8">
      <c r="H37763" s="680" t="s">
        <v>6153</v>
      </c>
    </row>
    <row r="37764" spans="8:8">
      <c r="H37764" s="680" t="s">
        <v>6153</v>
      </c>
    </row>
    <row r="37765" spans="8:8">
      <c r="H37765" s="680" t="s">
        <v>6153</v>
      </c>
    </row>
    <row r="37766" spans="8:8">
      <c r="H37766" s="680" t="s">
        <v>6153</v>
      </c>
    </row>
    <row r="37767" spans="8:8">
      <c r="H37767" s="680" t="s">
        <v>6153</v>
      </c>
    </row>
    <row r="37768" spans="8:8">
      <c r="H37768" s="680" t="s">
        <v>6153</v>
      </c>
    </row>
    <row r="37769" spans="8:8">
      <c r="H37769" s="680" t="s">
        <v>6153</v>
      </c>
    </row>
    <row r="37770" spans="8:8">
      <c r="H37770" s="680" t="s">
        <v>6153</v>
      </c>
    </row>
    <row r="37771" spans="8:8">
      <c r="H37771" s="680" t="s">
        <v>6153</v>
      </c>
    </row>
    <row r="37772" spans="8:8">
      <c r="H37772" s="680" t="s">
        <v>6153</v>
      </c>
    </row>
    <row r="37773" spans="8:8">
      <c r="H37773" s="680" t="s">
        <v>6153</v>
      </c>
    </row>
    <row r="37774" spans="8:8">
      <c r="H37774" s="680" t="s">
        <v>6153</v>
      </c>
    </row>
    <row r="37775" spans="8:8">
      <c r="H37775" s="680" t="s">
        <v>6153</v>
      </c>
    </row>
    <row r="37776" spans="8:8">
      <c r="H37776" s="680" t="s">
        <v>6153</v>
      </c>
    </row>
    <row r="37777" spans="8:8">
      <c r="H37777" s="680" t="s">
        <v>6153</v>
      </c>
    </row>
    <row r="37778" spans="8:8">
      <c r="H37778" s="680" t="s">
        <v>6153</v>
      </c>
    </row>
    <row r="37779" spans="8:8">
      <c r="H37779" s="680" t="s">
        <v>6153</v>
      </c>
    </row>
    <row r="37780" spans="8:8">
      <c r="H37780" s="680" t="s">
        <v>6153</v>
      </c>
    </row>
    <row r="37781" spans="8:8">
      <c r="H37781" s="680" t="s">
        <v>6153</v>
      </c>
    </row>
    <row r="37782" spans="8:8">
      <c r="H37782" s="680" t="s">
        <v>6153</v>
      </c>
    </row>
    <row r="37783" spans="8:8">
      <c r="H37783" s="680" t="s">
        <v>6153</v>
      </c>
    </row>
    <row r="37784" spans="8:8">
      <c r="H37784" s="680" t="s">
        <v>6153</v>
      </c>
    </row>
    <row r="37785" spans="8:8">
      <c r="H37785" s="680" t="s">
        <v>6153</v>
      </c>
    </row>
    <row r="37786" spans="8:8">
      <c r="H37786" s="680" t="s">
        <v>6153</v>
      </c>
    </row>
    <row r="37787" spans="8:8">
      <c r="H37787" s="680" t="s">
        <v>6153</v>
      </c>
    </row>
    <row r="37788" spans="8:8">
      <c r="H37788" s="680" t="s">
        <v>6153</v>
      </c>
    </row>
    <row r="37789" spans="8:8">
      <c r="H37789" s="680" t="s">
        <v>6153</v>
      </c>
    </row>
    <row r="37790" spans="8:8">
      <c r="H37790" s="680" t="s">
        <v>6153</v>
      </c>
    </row>
    <row r="37791" spans="8:8">
      <c r="H37791" s="680" t="s">
        <v>6153</v>
      </c>
    </row>
    <row r="37792" spans="8:8">
      <c r="H37792" s="680" t="s">
        <v>6153</v>
      </c>
    </row>
    <row r="37793" spans="8:8">
      <c r="H37793" s="680" t="s">
        <v>6153</v>
      </c>
    </row>
    <row r="37794" spans="8:8">
      <c r="H37794" s="680" t="s">
        <v>6153</v>
      </c>
    </row>
    <row r="37795" spans="8:8">
      <c r="H37795" s="680" t="s">
        <v>6153</v>
      </c>
    </row>
    <row r="37796" spans="8:8">
      <c r="H37796" s="680" t="s">
        <v>6153</v>
      </c>
    </row>
    <row r="37797" spans="8:8">
      <c r="H37797" s="680" t="s">
        <v>6153</v>
      </c>
    </row>
    <row r="37798" spans="8:8">
      <c r="H37798" s="680" t="s">
        <v>6153</v>
      </c>
    </row>
    <row r="37799" spans="8:8">
      <c r="H37799" s="680" t="s">
        <v>6153</v>
      </c>
    </row>
    <row r="37800" spans="8:8">
      <c r="H37800" s="680" t="s">
        <v>6153</v>
      </c>
    </row>
    <row r="37801" spans="8:8">
      <c r="H37801" s="680" t="s">
        <v>6153</v>
      </c>
    </row>
    <row r="37802" spans="8:8">
      <c r="H37802" s="680" t="s">
        <v>6153</v>
      </c>
    </row>
    <row r="37803" spans="8:8">
      <c r="H37803" s="680" t="s">
        <v>6153</v>
      </c>
    </row>
    <row r="37804" spans="8:8">
      <c r="H37804" s="680" t="s">
        <v>6153</v>
      </c>
    </row>
    <row r="37805" spans="8:8">
      <c r="H37805" s="680" t="s">
        <v>6153</v>
      </c>
    </row>
    <row r="37806" spans="8:8">
      <c r="H37806" s="680" t="s">
        <v>6153</v>
      </c>
    </row>
    <row r="37807" spans="8:8">
      <c r="H37807" s="680" t="s">
        <v>6153</v>
      </c>
    </row>
    <row r="37808" spans="8:8">
      <c r="H37808" s="680" t="s">
        <v>6153</v>
      </c>
    </row>
    <row r="37809" spans="8:8">
      <c r="H37809" s="680" t="s">
        <v>6153</v>
      </c>
    </row>
    <row r="37810" spans="8:8">
      <c r="H37810" s="680" t="s">
        <v>6153</v>
      </c>
    </row>
    <row r="37811" spans="8:8">
      <c r="H37811" s="680" t="s">
        <v>6153</v>
      </c>
    </row>
    <row r="37812" spans="8:8">
      <c r="H37812" s="680" t="s">
        <v>6153</v>
      </c>
    </row>
    <row r="37813" spans="8:8">
      <c r="H37813" s="680" t="s">
        <v>6153</v>
      </c>
    </row>
    <row r="37814" spans="8:8">
      <c r="H37814" s="680" t="s">
        <v>6153</v>
      </c>
    </row>
    <row r="37815" spans="8:8">
      <c r="H37815" s="680" t="s">
        <v>6153</v>
      </c>
    </row>
    <row r="37816" spans="8:8">
      <c r="H37816" s="680" t="s">
        <v>6153</v>
      </c>
    </row>
    <row r="37817" spans="8:8">
      <c r="H37817" s="680" t="s">
        <v>6153</v>
      </c>
    </row>
    <row r="37818" spans="8:8">
      <c r="H37818" s="680" t="s">
        <v>6153</v>
      </c>
    </row>
    <row r="37819" spans="8:8">
      <c r="H37819" s="680" t="s">
        <v>6153</v>
      </c>
    </row>
    <row r="37820" spans="8:8">
      <c r="H37820" s="680" t="s">
        <v>6153</v>
      </c>
    </row>
    <row r="37821" spans="8:8">
      <c r="H37821" s="680" t="s">
        <v>6153</v>
      </c>
    </row>
    <row r="37822" spans="8:8">
      <c r="H37822" s="680" t="s">
        <v>6153</v>
      </c>
    </row>
    <row r="37823" spans="8:8">
      <c r="H37823" s="680" t="s">
        <v>6153</v>
      </c>
    </row>
    <row r="37824" spans="8:8">
      <c r="H37824" s="680" t="s">
        <v>6153</v>
      </c>
    </row>
    <row r="37825" spans="8:8">
      <c r="H37825" s="680" t="s">
        <v>6153</v>
      </c>
    </row>
    <row r="37826" spans="8:8">
      <c r="H37826" s="680" t="s">
        <v>6153</v>
      </c>
    </row>
    <row r="37827" spans="8:8">
      <c r="H37827" s="680" t="s">
        <v>6153</v>
      </c>
    </row>
    <row r="37828" spans="8:8">
      <c r="H37828" s="680" t="s">
        <v>6153</v>
      </c>
    </row>
    <row r="37829" spans="8:8">
      <c r="H37829" s="680" t="s">
        <v>6153</v>
      </c>
    </row>
    <row r="37830" spans="8:8">
      <c r="H37830" s="680" t="s">
        <v>6153</v>
      </c>
    </row>
    <row r="37831" spans="8:8">
      <c r="H37831" s="680" t="s">
        <v>6153</v>
      </c>
    </row>
    <row r="37832" spans="8:8">
      <c r="H37832" s="680" t="s">
        <v>6153</v>
      </c>
    </row>
    <row r="37833" spans="8:8">
      <c r="H37833" s="680" t="s">
        <v>6153</v>
      </c>
    </row>
    <row r="37834" spans="8:8">
      <c r="H37834" s="680" t="s">
        <v>6153</v>
      </c>
    </row>
    <row r="37835" spans="8:8">
      <c r="H37835" s="680" t="s">
        <v>6153</v>
      </c>
    </row>
    <row r="37836" spans="8:8">
      <c r="H37836" s="680" t="s">
        <v>6153</v>
      </c>
    </row>
    <row r="37837" spans="8:8">
      <c r="H37837" s="680" t="s">
        <v>6153</v>
      </c>
    </row>
    <row r="37838" spans="8:8">
      <c r="H37838" s="680" t="s">
        <v>6153</v>
      </c>
    </row>
    <row r="37839" spans="8:8">
      <c r="H37839" s="680" t="s">
        <v>6153</v>
      </c>
    </row>
    <row r="37840" spans="8:8">
      <c r="H37840" s="680" t="s">
        <v>6153</v>
      </c>
    </row>
    <row r="37841" spans="8:8">
      <c r="H37841" s="680" t="s">
        <v>6153</v>
      </c>
    </row>
    <row r="37842" spans="8:8">
      <c r="H37842" s="680" t="s">
        <v>6153</v>
      </c>
    </row>
    <row r="37843" spans="8:8">
      <c r="H37843" s="680" t="s">
        <v>6153</v>
      </c>
    </row>
    <row r="37844" spans="8:8">
      <c r="H37844" s="680" t="s">
        <v>6153</v>
      </c>
    </row>
    <row r="37845" spans="8:8">
      <c r="H37845" s="680" t="s">
        <v>6153</v>
      </c>
    </row>
    <row r="37846" spans="8:8">
      <c r="H37846" s="680" t="s">
        <v>6153</v>
      </c>
    </row>
    <row r="37847" spans="8:8">
      <c r="H37847" s="680" t="s">
        <v>6153</v>
      </c>
    </row>
    <row r="37848" spans="8:8">
      <c r="H37848" s="680" t="s">
        <v>6153</v>
      </c>
    </row>
    <row r="37849" spans="8:8">
      <c r="H37849" s="680" t="s">
        <v>6153</v>
      </c>
    </row>
    <row r="37850" spans="8:8">
      <c r="H37850" s="680" t="s">
        <v>6153</v>
      </c>
    </row>
    <row r="37851" spans="8:8">
      <c r="H37851" s="680" t="s">
        <v>6153</v>
      </c>
    </row>
    <row r="37852" spans="8:8">
      <c r="H37852" s="680" t="s">
        <v>6153</v>
      </c>
    </row>
    <row r="37853" spans="8:8">
      <c r="H37853" s="680" t="s">
        <v>6153</v>
      </c>
    </row>
    <row r="37854" spans="8:8">
      <c r="H37854" s="680" t="s">
        <v>6153</v>
      </c>
    </row>
    <row r="37855" spans="8:8">
      <c r="H37855" s="680" t="s">
        <v>6153</v>
      </c>
    </row>
    <row r="37856" spans="8:8">
      <c r="H37856" s="680" t="s">
        <v>6153</v>
      </c>
    </row>
    <row r="37857" spans="8:8">
      <c r="H37857" s="680" t="s">
        <v>6153</v>
      </c>
    </row>
    <row r="37858" spans="8:8">
      <c r="H37858" s="680" t="s">
        <v>6153</v>
      </c>
    </row>
    <row r="37859" spans="8:8">
      <c r="H37859" s="680" t="s">
        <v>6153</v>
      </c>
    </row>
    <row r="37860" spans="8:8">
      <c r="H37860" s="680" t="s">
        <v>6153</v>
      </c>
    </row>
    <row r="37861" spans="8:8">
      <c r="H37861" s="680" t="s">
        <v>6153</v>
      </c>
    </row>
    <row r="37862" spans="8:8">
      <c r="H37862" s="680" t="s">
        <v>6153</v>
      </c>
    </row>
    <row r="37863" spans="8:8">
      <c r="H37863" s="680" t="s">
        <v>6153</v>
      </c>
    </row>
    <row r="37864" spans="8:8">
      <c r="H37864" s="680" t="s">
        <v>6153</v>
      </c>
    </row>
    <row r="37865" spans="8:8">
      <c r="H37865" s="680" t="s">
        <v>6153</v>
      </c>
    </row>
    <row r="37866" spans="8:8">
      <c r="H37866" s="680" t="s">
        <v>6153</v>
      </c>
    </row>
    <row r="37867" spans="8:8">
      <c r="H37867" s="680" t="s">
        <v>6153</v>
      </c>
    </row>
    <row r="37868" spans="8:8">
      <c r="H37868" s="680" t="s">
        <v>6153</v>
      </c>
    </row>
    <row r="37869" spans="8:8">
      <c r="H37869" s="680" t="s">
        <v>6153</v>
      </c>
    </row>
    <row r="37870" spans="8:8">
      <c r="H37870" s="680" t="s">
        <v>6153</v>
      </c>
    </row>
    <row r="37871" spans="8:8">
      <c r="H37871" s="680" t="s">
        <v>6153</v>
      </c>
    </row>
    <row r="37872" spans="8:8">
      <c r="H37872" s="680" t="s">
        <v>6153</v>
      </c>
    </row>
    <row r="37873" spans="8:8">
      <c r="H37873" s="680" t="s">
        <v>6153</v>
      </c>
    </row>
    <row r="37874" spans="8:8">
      <c r="H37874" s="680" t="s">
        <v>6153</v>
      </c>
    </row>
    <row r="37875" spans="8:8">
      <c r="H37875" s="680" t="s">
        <v>6153</v>
      </c>
    </row>
    <row r="37876" spans="8:8">
      <c r="H37876" s="680" t="s">
        <v>6153</v>
      </c>
    </row>
    <row r="37877" spans="8:8">
      <c r="H37877" s="680" t="s">
        <v>6153</v>
      </c>
    </row>
    <row r="37878" spans="8:8">
      <c r="H37878" s="680" t="s">
        <v>6153</v>
      </c>
    </row>
    <row r="37879" spans="8:8">
      <c r="H37879" s="680" t="s">
        <v>6153</v>
      </c>
    </row>
    <row r="37880" spans="8:8">
      <c r="H37880" s="680" t="s">
        <v>6153</v>
      </c>
    </row>
    <row r="37881" spans="8:8">
      <c r="H37881" s="680" t="s">
        <v>6153</v>
      </c>
    </row>
    <row r="37882" spans="8:8">
      <c r="H37882" s="680" t="s">
        <v>6153</v>
      </c>
    </row>
    <row r="37883" spans="8:8">
      <c r="H37883" s="680" t="s">
        <v>6153</v>
      </c>
    </row>
    <row r="37884" spans="8:8">
      <c r="H37884" s="680" t="s">
        <v>6153</v>
      </c>
    </row>
    <row r="37885" spans="8:8">
      <c r="H37885" s="680" t="s">
        <v>6153</v>
      </c>
    </row>
    <row r="37886" spans="8:8">
      <c r="H37886" s="680" t="s">
        <v>6153</v>
      </c>
    </row>
    <row r="37887" spans="8:8">
      <c r="H37887" s="680" t="s">
        <v>6153</v>
      </c>
    </row>
    <row r="37888" spans="8:8">
      <c r="H37888" s="680" t="s">
        <v>6153</v>
      </c>
    </row>
    <row r="37889" spans="8:8">
      <c r="H37889" s="680" t="s">
        <v>6153</v>
      </c>
    </row>
    <row r="37890" spans="8:8">
      <c r="H37890" s="680" t="s">
        <v>6153</v>
      </c>
    </row>
    <row r="37891" spans="8:8">
      <c r="H37891" s="680" t="s">
        <v>6153</v>
      </c>
    </row>
    <row r="37892" spans="8:8">
      <c r="H37892" s="680" t="s">
        <v>6153</v>
      </c>
    </row>
    <row r="37893" spans="8:8">
      <c r="H37893" s="680" t="s">
        <v>6153</v>
      </c>
    </row>
    <row r="37894" spans="8:8">
      <c r="H37894" s="680" t="s">
        <v>6153</v>
      </c>
    </row>
    <row r="37895" spans="8:8">
      <c r="H37895" s="680" t="s">
        <v>6153</v>
      </c>
    </row>
    <row r="37896" spans="8:8">
      <c r="H37896" s="680" t="s">
        <v>6153</v>
      </c>
    </row>
    <row r="37897" spans="8:8">
      <c r="H37897" s="680" t="s">
        <v>6153</v>
      </c>
    </row>
    <row r="37898" spans="8:8">
      <c r="H37898" s="680" t="s">
        <v>6153</v>
      </c>
    </row>
    <row r="37899" spans="8:8">
      <c r="H37899" s="680" t="s">
        <v>6153</v>
      </c>
    </row>
    <row r="37900" spans="8:8">
      <c r="H37900" s="680" t="s">
        <v>6153</v>
      </c>
    </row>
    <row r="37901" spans="8:8">
      <c r="H37901" s="680" t="s">
        <v>6153</v>
      </c>
    </row>
    <row r="37902" spans="8:8">
      <c r="H37902" s="680" t="s">
        <v>6153</v>
      </c>
    </row>
    <row r="37903" spans="8:8">
      <c r="H37903" s="680" t="s">
        <v>6153</v>
      </c>
    </row>
    <row r="37904" spans="8:8">
      <c r="H37904" s="680" t="s">
        <v>6153</v>
      </c>
    </row>
    <row r="37905" spans="8:8">
      <c r="H37905" s="680" t="s">
        <v>6153</v>
      </c>
    </row>
    <row r="37906" spans="8:8">
      <c r="H37906" s="680" t="s">
        <v>6153</v>
      </c>
    </row>
    <row r="37907" spans="8:8">
      <c r="H37907" s="680" t="s">
        <v>6153</v>
      </c>
    </row>
    <row r="37908" spans="8:8">
      <c r="H37908" s="680" t="s">
        <v>6153</v>
      </c>
    </row>
    <row r="37909" spans="8:8">
      <c r="H37909" s="680" t="s">
        <v>6153</v>
      </c>
    </row>
    <row r="37910" spans="8:8">
      <c r="H37910" s="680" t="s">
        <v>6153</v>
      </c>
    </row>
    <row r="37911" spans="8:8">
      <c r="H37911" s="680" t="s">
        <v>6153</v>
      </c>
    </row>
    <row r="37912" spans="8:8">
      <c r="H37912" s="680" t="s">
        <v>6153</v>
      </c>
    </row>
    <row r="37913" spans="8:8">
      <c r="H37913" s="680" t="s">
        <v>6153</v>
      </c>
    </row>
    <row r="37914" spans="8:8">
      <c r="H37914" s="680" t="s">
        <v>6153</v>
      </c>
    </row>
    <row r="37915" spans="8:8">
      <c r="H37915" s="680" t="s">
        <v>6153</v>
      </c>
    </row>
    <row r="37916" spans="8:8">
      <c r="H37916" s="680" t="s">
        <v>6153</v>
      </c>
    </row>
    <row r="37917" spans="8:8">
      <c r="H37917" s="680" t="s">
        <v>6153</v>
      </c>
    </row>
    <row r="37918" spans="8:8">
      <c r="H37918" s="680" t="s">
        <v>6153</v>
      </c>
    </row>
    <row r="37919" spans="8:8">
      <c r="H37919" s="680" t="s">
        <v>6153</v>
      </c>
    </row>
    <row r="37920" spans="8:8">
      <c r="H37920" s="680" t="s">
        <v>6153</v>
      </c>
    </row>
    <row r="37921" spans="8:8">
      <c r="H37921" s="680" t="s">
        <v>6153</v>
      </c>
    </row>
    <row r="37922" spans="8:8">
      <c r="H37922" s="680" t="s">
        <v>6153</v>
      </c>
    </row>
    <row r="37923" spans="8:8">
      <c r="H37923" s="680" t="s">
        <v>6153</v>
      </c>
    </row>
    <row r="37924" spans="8:8">
      <c r="H37924" s="680" t="s">
        <v>6153</v>
      </c>
    </row>
    <row r="37925" spans="8:8">
      <c r="H37925" s="680" t="s">
        <v>6153</v>
      </c>
    </row>
    <row r="37926" spans="8:8">
      <c r="H37926" s="680" t="s">
        <v>6153</v>
      </c>
    </row>
    <row r="37927" spans="8:8">
      <c r="H37927" s="680" t="s">
        <v>6153</v>
      </c>
    </row>
    <row r="37928" spans="8:8">
      <c r="H37928" s="680" t="s">
        <v>6153</v>
      </c>
    </row>
    <row r="37929" spans="8:8">
      <c r="H37929" s="680" t="s">
        <v>6153</v>
      </c>
    </row>
    <row r="37930" spans="8:8">
      <c r="H37930" s="680" t="s">
        <v>6153</v>
      </c>
    </row>
    <row r="37931" spans="8:8">
      <c r="H37931" s="680" t="s">
        <v>6153</v>
      </c>
    </row>
    <row r="37932" spans="8:8">
      <c r="H37932" s="680" t="s">
        <v>6153</v>
      </c>
    </row>
    <row r="37933" spans="8:8">
      <c r="H37933" s="680" t="s">
        <v>6153</v>
      </c>
    </row>
    <row r="37934" spans="8:8">
      <c r="H37934" s="680" t="s">
        <v>6153</v>
      </c>
    </row>
    <row r="37935" spans="8:8">
      <c r="H37935" s="680" t="s">
        <v>6153</v>
      </c>
    </row>
    <row r="37936" spans="8:8">
      <c r="H37936" s="680" t="s">
        <v>6153</v>
      </c>
    </row>
    <row r="37937" spans="8:8">
      <c r="H37937" s="680" t="s">
        <v>6153</v>
      </c>
    </row>
    <row r="37938" spans="8:8">
      <c r="H37938" s="680" t="s">
        <v>6153</v>
      </c>
    </row>
    <row r="37939" spans="8:8">
      <c r="H37939" s="680" t="s">
        <v>6153</v>
      </c>
    </row>
    <row r="37940" spans="8:8">
      <c r="H37940" s="680" t="s">
        <v>6153</v>
      </c>
    </row>
    <row r="37941" spans="8:8">
      <c r="H37941" s="680" t="s">
        <v>6153</v>
      </c>
    </row>
    <row r="37942" spans="8:8">
      <c r="H37942" s="680" t="s">
        <v>6153</v>
      </c>
    </row>
    <row r="37943" spans="8:8">
      <c r="H37943" s="680" t="s">
        <v>6153</v>
      </c>
    </row>
    <row r="37944" spans="8:8">
      <c r="H37944" s="680" t="s">
        <v>6153</v>
      </c>
    </row>
    <row r="37945" spans="8:8">
      <c r="H37945" s="680" t="s">
        <v>6153</v>
      </c>
    </row>
    <row r="37946" spans="8:8">
      <c r="H37946" s="680" t="s">
        <v>6153</v>
      </c>
    </row>
    <row r="37947" spans="8:8">
      <c r="H37947" s="680" t="s">
        <v>6153</v>
      </c>
    </row>
    <row r="37948" spans="8:8">
      <c r="H37948" s="680" t="s">
        <v>6153</v>
      </c>
    </row>
    <row r="37949" spans="8:8">
      <c r="H37949" s="680" t="s">
        <v>6153</v>
      </c>
    </row>
    <row r="37950" spans="8:8">
      <c r="H37950" s="680" t="s">
        <v>6153</v>
      </c>
    </row>
    <row r="37951" spans="8:8">
      <c r="H37951" s="680" t="s">
        <v>6153</v>
      </c>
    </row>
    <row r="37952" spans="8:8">
      <c r="H37952" s="680" t="s">
        <v>6153</v>
      </c>
    </row>
    <row r="37953" spans="8:8">
      <c r="H37953" s="680" t="s">
        <v>6153</v>
      </c>
    </row>
    <row r="37954" spans="8:8">
      <c r="H37954" s="680" t="s">
        <v>6153</v>
      </c>
    </row>
    <row r="37955" spans="8:8">
      <c r="H37955" s="680" t="s">
        <v>6153</v>
      </c>
    </row>
    <row r="37956" spans="8:8">
      <c r="H37956" s="680" t="s">
        <v>6153</v>
      </c>
    </row>
    <row r="37957" spans="8:8">
      <c r="H37957" s="680" t="s">
        <v>6153</v>
      </c>
    </row>
    <row r="37958" spans="8:8">
      <c r="H37958" s="680" t="s">
        <v>6153</v>
      </c>
    </row>
    <row r="37959" spans="8:8">
      <c r="H37959" s="680" t="s">
        <v>6153</v>
      </c>
    </row>
    <row r="37960" spans="8:8">
      <c r="H37960" s="680" t="s">
        <v>6153</v>
      </c>
    </row>
    <row r="37961" spans="8:8">
      <c r="H37961" s="680" t="s">
        <v>6153</v>
      </c>
    </row>
    <row r="37962" spans="8:8">
      <c r="H37962" s="680" t="s">
        <v>6153</v>
      </c>
    </row>
    <row r="37963" spans="8:8">
      <c r="H37963" s="680" t="s">
        <v>6153</v>
      </c>
    </row>
    <row r="37964" spans="8:8">
      <c r="H37964" s="680" t="s">
        <v>6153</v>
      </c>
    </row>
    <row r="37965" spans="8:8">
      <c r="H37965" s="680" t="s">
        <v>6153</v>
      </c>
    </row>
    <row r="37966" spans="8:8">
      <c r="H37966" s="680" t="s">
        <v>6153</v>
      </c>
    </row>
    <row r="37967" spans="8:8">
      <c r="H37967" s="680" t="s">
        <v>6153</v>
      </c>
    </row>
    <row r="37968" spans="8:8">
      <c r="H37968" s="680" t="s">
        <v>6153</v>
      </c>
    </row>
    <row r="37969" spans="8:8">
      <c r="H37969" s="680" t="s">
        <v>6153</v>
      </c>
    </row>
    <row r="37970" spans="8:8">
      <c r="H37970" s="680" t="s">
        <v>6153</v>
      </c>
    </row>
    <row r="37971" spans="8:8">
      <c r="H37971" s="680" t="s">
        <v>6153</v>
      </c>
    </row>
    <row r="37972" spans="8:8">
      <c r="H37972" s="680" t="s">
        <v>6153</v>
      </c>
    </row>
    <row r="37973" spans="8:8">
      <c r="H37973" s="680" t="s">
        <v>6153</v>
      </c>
    </row>
    <row r="37974" spans="8:8">
      <c r="H37974" s="680" t="s">
        <v>6153</v>
      </c>
    </row>
    <row r="37975" spans="8:8">
      <c r="H37975" s="680" t="s">
        <v>6153</v>
      </c>
    </row>
    <row r="37976" spans="8:8">
      <c r="H37976" s="680" t="s">
        <v>6153</v>
      </c>
    </row>
    <row r="37977" spans="8:8">
      <c r="H37977" s="680" t="s">
        <v>6153</v>
      </c>
    </row>
    <row r="37978" spans="8:8">
      <c r="H37978" s="680" t="s">
        <v>6153</v>
      </c>
    </row>
    <row r="37979" spans="8:8">
      <c r="H37979" s="680" t="s">
        <v>6153</v>
      </c>
    </row>
    <row r="37980" spans="8:8">
      <c r="H37980" s="680" t="s">
        <v>6153</v>
      </c>
    </row>
    <row r="37981" spans="8:8">
      <c r="H37981" s="680" t="s">
        <v>6153</v>
      </c>
    </row>
    <row r="37982" spans="8:8">
      <c r="H37982" s="680" t="s">
        <v>6153</v>
      </c>
    </row>
    <row r="37983" spans="8:8">
      <c r="H37983" s="680" t="s">
        <v>6153</v>
      </c>
    </row>
    <row r="37984" spans="8:8">
      <c r="H37984" s="680" t="s">
        <v>6153</v>
      </c>
    </row>
    <row r="37985" spans="8:8">
      <c r="H37985" s="680" t="s">
        <v>6153</v>
      </c>
    </row>
    <row r="37986" spans="8:8">
      <c r="H37986" s="680" t="s">
        <v>6153</v>
      </c>
    </row>
    <row r="37987" spans="8:8">
      <c r="H37987" s="680" t="s">
        <v>6153</v>
      </c>
    </row>
    <row r="37988" spans="8:8">
      <c r="H37988" s="680" t="s">
        <v>6153</v>
      </c>
    </row>
    <row r="37989" spans="8:8">
      <c r="H37989" s="680" t="s">
        <v>6153</v>
      </c>
    </row>
    <row r="37990" spans="8:8">
      <c r="H37990" s="680" t="s">
        <v>6153</v>
      </c>
    </row>
    <row r="37991" spans="8:8">
      <c r="H37991" s="680" t="s">
        <v>6153</v>
      </c>
    </row>
    <row r="37992" spans="8:8">
      <c r="H37992" s="680" t="s">
        <v>6153</v>
      </c>
    </row>
    <row r="37993" spans="8:8">
      <c r="H37993" s="680" t="s">
        <v>6153</v>
      </c>
    </row>
    <row r="37994" spans="8:8">
      <c r="H37994" s="680" t="s">
        <v>6153</v>
      </c>
    </row>
    <row r="37995" spans="8:8">
      <c r="H37995" s="680" t="s">
        <v>6153</v>
      </c>
    </row>
    <row r="37996" spans="8:8">
      <c r="H37996" s="680" t="s">
        <v>6153</v>
      </c>
    </row>
    <row r="37997" spans="8:8">
      <c r="H37997" s="680" t="s">
        <v>6153</v>
      </c>
    </row>
    <row r="37998" spans="8:8">
      <c r="H37998" s="680" t="s">
        <v>6153</v>
      </c>
    </row>
    <row r="37999" spans="8:8">
      <c r="H37999" s="680" t="s">
        <v>6153</v>
      </c>
    </row>
    <row r="38000" spans="8:8">
      <c r="H38000" s="680" t="s">
        <v>6153</v>
      </c>
    </row>
    <row r="38001" spans="8:8">
      <c r="H38001" s="680" t="s">
        <v>6153</v>
      </c>
    </row>
    <row r="38002" spans="8:8">
      <c r="H38002" s="680" t="s">
        <v>6153</v>
      </c>
    </row>
    <row r="38003" spans="8:8">
      <c r="H38003" s="680" t="s">
        <v>6153</v>
      </c>
    </row>
    <row r="38004" spans="8:8">
      <c r="H38004" s="680" t="s">
        <v>6153</v>
      </c>
    </row>
    <row r="38005" spans="8:8">
      <c r="H38005" s="680" t="s">
        <v>6153</v>
      </c>
    </row>
    <row r="38006" spans="8:8">
      <c r="H38006" s="680" t="s">
        <v>6153</v>
      </c>
    </row>
    <row r="38007" spans="8:8">
      <c r="H38007" s="680" t="s">
        <v>6153</v>
      </c>
    </row>
    <row r="38008" spans="8:8">
      <c r="H38008" s="680" t="s">
        <v>6153</v>
      </c>
    </row>
    <row r="38009" spans="8:8">
      <c r="H38009" s="680" t="s">
        <v>6153</v>
      </c>
    </row>
    <row r="38010" spans="8:8">
      <c r="H38010" s="680" t="s">
        <v>6153</v>
      </c>
    </row>
    <row r="38011" spans="8:8">
      <c r="H38011" s="680" t="s">
        <v>6153</v>
      </c>
    </row>
    <row r="38012" spans="8:8">
      <c r="H38012" s="680" t="s">
        <v>6153</v>
      </c>
    </row>
    <row r="38013" spans="8:8">
      <c r="H38013" s="680" t="s">
        <v>6153</v>
      </c>
    </row>
    <row r="38014" spans="8:8">
      <c r="H38014" s="680" t="s">
        <v>6153</v>
      </c>
    </row>
    <row r="38015" spans="8:8">
      <c r="H38015" s="680" t="s">
        <v>6153</v>
      </c>
    </row>
    <row r="38016" spans="8:8">
      <c r="H38016" s="680" t="s">
        <v>6153</v>
      </c>
    </row>
    <row r="38017" spans="8:8">
      <c r="H38017" s="680" t="s">
        <v>6153</v>
      </c>
    </row>
    <row r="38018" spans="8:8">
      <c r="H38018" s="680" t="s">
        <v>6153</v>
      </c>
    </row>
    <row r="38019" spans="8:8">
      <c r="H38019" s="680" t="s">
        <v>6153</v>
      </c>
    </row>
    <row r="38020" spans="8:8">
      <c r="H38020" s="680" t="s">
        <v>6153</v>
      </c>
    </row>
    <row r="38021" spans="8:8">
      <c r="H38021" s="680" t="s">
        <v>6153</v>
      </c>
    </row>
    <row r="38022" spans="8:8">
      <c r="H38022" s="680" t="s">
        <v>6153</v>
      </c>
    </row>
    <row r="38023" spans="8:8">
      <c r="H38023" s="680" t="s">
        <v>6153</v>
      </c>
    </row>
    <row r="38024" spans="8:8">
      <c r="H38024" s="680" t="s">
        <v>6153</v>
      </c>
    </row>
    <row r="38025" spans="8:8">
      <c r="H38025" s="680" t="s">
        <v>6153</v>
      </c>
    </row>
    <row r="38026" spans="8:8">
      <c r="H38026" s="680" t="s">
        <v>6153</v>
      </c>
    </row>
    <row r="38027" spans="8:8">
      <c r="H38027" s="680" t="s">
        <v>6153</v>
      </c>
    </row>
    <row r="38028" spans="8:8">
      <c r="H38028" s="680" t="s">
        <v>6153</v>
      </c>
    </row>
    <row r="38029" spans="8:8">
      <c r="H38029" s="680" t="s">
        <v>6153</v>
      </c>
    </row>
    <row r="38030" spans="8:8">
      <c r="H38030" s="680" t="s">
        <v>6153</v>
      </c>
    </row>
    <row r="38031" spans="8:8">
      <c r="H38031" s="680" t="s">
        <v>6153</v>
      </c>
    </row>
    <row r="38032" spans="8:8">
      <c r="H38032" s="680" t="s">
        <v>6153</v>
      </c>
    </row>
    <row r="38033" spans="8:8">
      <c r="H38033" s="680" t="s">
        <v>6153</v>
      </c>
    </row>
    <row r="38034" spans="8:8">
      <c r="H38034" s="680" t="s">
        <v>6153</v>
      </c>
    </row>
    <row r="38035" spans="8:8">
      <c r="H38035" s="680" t="s">
        <v>6153</v>
      </c>
    </row>
    <row r="38036" spans="8:8">
      <c r="H38036" s="680" t="s">
        <v>6153</v>
      </c>
    </row>
    <row r="38037" spans="8:8">
      <c r="H38037" s="680" t="s">
        <v>6153</v>
      </c>
    </row>
    <row r="38038" spans="8:8">
      <c r="H38038" s="680" t="s">
        <v>6153</v>
      </c>
    </row>
    <row r="38039" spans="8:8">
      <c r="H38039" s="680" t="s">
        <v>6153</v>
      </c>
    </row>
    <row r="38040" spans="8:8">
      <c r="H38040" s="680" t="s">
        <v>6153</v>
      </c>
    </row>
    <row r="38041" spans="8:8">
      <c r="H38041" s="680" t="s">
        <v>6153</v>
      </c>
    </row>
    <row r="38042" spans="8:8">
      <c r="H38042" s="680" t="s">
        <v>6153</v>
      </c>
    </row>
    <row r="38043" spans="8:8">
      <c r="H38043" s="680" t="s">
        <v>6153</v>
      </c>
    </row>
    <row r="38044" spans="8:8">
      <c r="H38044" s="680" t="s">
        <v>6153</v>
      </c>
    </row>
    <row r="38045" spans="8:8">
      <c r="H38045" s="680" t="s">
        <v>6153</v>
      </c>
    </row>
    <row r="38046" spans="8:8">
      <c r="H38046" s="680" t="s">
        <v>6153</v>
      </c>
    </row>
    <row r="38047" spans="8:8">
      <c r="H38047" s="680" t="s">
        <v>6153</v>
      </c>
    </row>
    <row r="38048" spans="8:8">
      <c r="H38048" s="680" t="s">
        <v>6153</v>
      </c>
    </row>
    <row r="38049" spans="8:8">
      <c r="H38049" s="680" t="s">
        <v>6153</v>
      </c>
    </row>
    <row r="38050" spans="8:8">
      <c r="H38050" s="680" t="s">
        <v>6153</v>
      </c>
    </row>
    <row r="38051" spans="8:8">
      <c r="H38051" s="680" t="s">
        <v>6153</v>
      </c>
    </row>
    <row r="38052" spans="8:8">
      <c r="H38052" s="680" t="s">
        <v>6153</v>
      </c>
    </row>
    <row r="38053" spans="8:8">
      <c r="H38053" s="680" t="s">
        <v>6153</v>
      </c>
    </row>
    <row r="38054" spans="8:8">
      <c r="H38054" s="680" t="s">
        <v>6153</v>
      </c>
    </row>
    <row r="38055" spans="8:8">
      <c r="H38055" s="680" t="s">
        <v>6153</v>
      </c>
    </row>
    <row r="38056" spans="8:8">
      <c r="H38056" s="680" t="s">
        <v>6153</v>
      </c>
    </row>
    <row r="38057" spans="8:8">
      <c r="H38057" s="680" t="s">
        <v>6153</v>
      </c>
    </row>
    <row r="38058" spans="8:8">
      <c r="H38058" s="680" t="s">
        <v>6153</v>
      </c>
    </row>
    <row r="38059" spans="8:8">
      <c r="H38059" s="680" t="s">
        <v>6153</v>
      </c>
    </row>
    <row r="38060" spans="8:8">
      <c r="H38060" s="680" t="s">
        <v>6153</v>
      </c>
    </row>
    <row r="38061" spans="8:8">
      <c r="H38061" s="680" t="s">
        <v>6153</v>
      </c>
    </row>
    <row r="38062" spans="8:8">
      <c r="H38062" s="680" t="s">
        <v>6153</v>
      </c>
    </row>
    <row r="38063" spans="8:8">
      <c r="H38063" s="680" t="s">
        <v>6153</v>
      </c>
    </row>
    <row r="38064" spans="8:8">
      <c r="H38064" s="680" t="s">
        <v>6153</v>
      </c>
    </row>
    <row r="38065" spans="8:8">
      <c r="H38065" s="680" t="s">
        <v>6153</v>
      </c>
    </row>
    <row r="38066" spans="8:8">
      <c r="H38066" s="680" t="s">
        <v>6153</v>
      </c>
    </row>
    <row r="38067" spans="8:8">
      <c r="H38067" s="680" t="s">
        <v>6153</v>
      </c>
    </row>
    <row r="38068" spans="8:8">
      <c r="H38068" s="680" t="s">
        <v>6153</v>
      </c>
    </row>
    <row r="38069" spans="8:8">
      <c r="H38069" s="680" t="s">
        <v>6153</v>
      </c>
    </row>
    <row r="38070" spans="8:8">
      <c r="H38070" s="680" t="s">
        <v>6153</v>
      </c>
    </row>
    <row r="38071" spans="8:8">
      <c r="H38071" s="680" t="s">
        <v>6153</v>
      </c>
    </row>
    <row r="38072" spans="8:8">
      <c r="H38072" s="680" t="s">
        <v>6153</v>
      </c>
    </row>
    <row r="38073" spans="8:8">
      <c r="H38073" s="680" t="s">
        <v>6153</v>
      </c>
    </row>
    <row r="38074" spans="8:8">
      <c r="H38074" s="680" t="s">
        <v>6153</v>
      </c>
    </row>
    <row r="38075" spans="8:8">
      <c r="H38075" s="680" t="s">
        <v>6153</v>
      </c>
    </row>
    <row r="38076" spans="8:8">
      <c r="H38076" s="680" t="s">
        <v>6153</v>
      </c>
    </row>
    <row r="38077" spans="8:8">
      <c r="H38077" s="680" t="s">
        <v>6153</v>
      </c>
    </row>
    <row r="38078" spans="8:8">
      <c r="H38078" s="680" t="s">
        <v>6153</v>
      </c>
    </row>
    <row r="38079" spans="8:8">
      <c r="H38079" s="680" t="s">
        <v>6153</v>
      </c>
    </row>
    <row r="38080" spans="8:8">
      <c r="H38080" s="680" t="s">
        <v>6153</v>
      </c>
    </row>
    <row r="38081" spans="8:8">
      <c r="H38081" s="680" t="s">
        <v>6153</v>
      </c>
    </row>
    <row r="38082" spans="8:8">
      <c r="H38082" s="680" t="s">
        <v>6153</v>
      </c>
    </row>
    <row r="38083" spans="8:8">
      <c r="H38083" s="680" t="s">
        <v>6153</v>
      </c>
    </row>
    <row r="38084" spans="8:8">
      <c r="H38084" s="680" t="s">
        <v>6153</v>
      </c>
    </row>
    <row r="38085" spans="8:8">
      <c r="H38085" s="680" t="s">
        <v>6153</v>
      </c>
    </row>
    <row r="38086" spans="8:8">
      <c r="H38086" s="680" t="s">
        <v>6153</v>
      </c>
    </row>
    <row r="38087" spans="8:8">
      <c r="H38087" s="680" t="s">
        <v>6153</v>
      </c>
    </row>
    <row r="38088" spans="8:8">
      <c r="H38088" s="680" t="s">
        <v>6153</v>
      </c>
    </row>
    <row r="38089" spans="8:8">
      <c r="H38089" s="680" t="s">
        <v>6153</v>
      </c>
    </row>
    <row r="38090" spans="8:8">
      <c r="H38090" s="680" t="s">
        <v>6153</v>
      </c>
    </row>
    <row r="38091" spans="8:8">
      <c r="H38091" s="680" t="s">
        <v>6153</v>
      </c>
    </row>
    <row r="38092" spans="8:8">
      <c r="H38092" s="680" t="s">
        <v>6153</v>
      </c>
    </row>
    <row r="38093" spans="8:8">
      <c r="H38093" s="680" t="s">
        <v>6153</v>
      </c>
    </row>
    <row r="38094" spans="8:8">
      <c r="H38094" s="680" t="s">
        <v>6153</v>
      </c>
    </row>
    <row r="38095" spans="8:8">
      <c r="H38095" s="680" t="s">
        <v>6153</v>
      </c>
    </row>
    <row r="38096" spans="8:8">
      <c r="H38096" s="680" t="s">
        <v>6153</v>
      </c>
    </row>
    <row r="38097" spans="8:8">
      <c r="H38097" s="680" t="s">
        <v>6153</v>
      </c>
    </row>
    <row r="38098" spans="8:8">
      <c r="H38098" s="680" t="s">
        <v>6153</v>
      </c>
    </row>
    <row r="38099" spans="8:8">
      <c r="H38099" s="680" t="s">
        <v>6153</v>
      </c>
    </row>
    <row r="38100" spans="8:8">
      <c r="H38100" s="680" t="s">
        <v>6153</v>
      </c>
    </row>
    <row r="38101" spans="8:8">
      <c r="H38101" s="680" t="s">
        <v>6153</v>
      </c>
    </row>
    <row r="38102" spans="8:8">
      <c r="H38102" s="680" t="s">
        <v>6153</v>
      </c>
    </row>
    <row r="38103" spans="8:8">
      <c r="H38103" s="680" t="s">
        <v>6153</v>
      </c>
    </row>
    <row r="38104" spans="8:8">
      <c r="H38104" s="680" t="s">
        <v>6153</v>
      </c>
    </row>
    <row r="38105" spans="8:8">
      <c r="H38105" s="680" t="s">
        <v>6153</v>
      </c>
    </row>
    <row r="38106" spans="8:8">
      <c r="H38106" s="680" t="s">
        <v>6153</v>
      </c>
    </row>
    <row r="38107" spans="8:8">
      <c r="H38107" s="680" t="s">
        <v>6153</v>
      </c>
    </row>
    <row r="38108" spans="8:8">
      <c r="H38108" s="680" t="s">
        <v>6153</v>
      </c>
    </row>
    <row r="38109" spans="8:8">
      <c r="H38109" s="680" t="s">
        <v>6153</v>
      </c>
    </row>
    <row r="38110" spans="8:8">
      <c r="H38110" s="680" t="s">
        <v>6153</v>
      </c>
    </row>
    <row r="38111" spans="8:8">
      <c r="H38111" s="680" t="s">
        <v>6153</v>
      </c>
    </row>
    <row r="38112" spans="8:8">
      <c r="H38112" s="680" t="s">
        <v>6153</v>
      </c>
    </row>
    <row r="38113" spans="8:8">
      <c r="H38113" s="680" t="s">
        <v>6153</v>
      </c>
    </row>
    <row r="38114" spans="8:8">
      <c r="H38114" s="680" t="s">
        <v>6153</v>
      </c>
    </row>
    <row r="38115" spans="8:8">
      <c r="H38115" s="680" t="s">
        <v>6153</v>
      </c>
    </row>
    <row r="38116" spans="8:8">
      <c r="H38116" s="680" t="s">
        <v>6153</v>
      </c>
    </row>
    <row r="38117" spans="8:8">
      <c r="H38117" s="680" t="s">
        <v>6153</v>
      </c>
    </row>
    <row r="38118" spans="8:8">
      <c r="H38118" s="680" t="s">
        <v>6153</v>
      </c>
    </row>
    <row r="38119" spans="8:8">
      <c r="H38119" s="680" t="s">
        <v>6153</v>
      </c>
    </row>
    <row r="38120" spans="8:8">
      <c r="H38120" s="680" t="s">
        <v>6153</v>
      </c>
    </row>
    <row r="38121" spans="8:8">
      <c r="H38121" s="680" t="s">
        <v>6153</v>
      </c>
    </row>
    <row r="38122" spans="8:8">
      <c r="H38122" s="680" t="s">
        <v>6153</v>
      </c>
    </row>
    <row r="38123" spans="8:8">
      <c r="H38123" s="680" t="s">
        <v>6153</v>
      </c>
    </row>
    <row r="38124" spans="8:8">
      <c r="H38124" s="680" t="s">
        <v>6153</v>
      </c>
    </row>
    <row r="38125" spans="8:8">
      <c r="H38125" s="680" t="s">
        <v>6153</v>
      </c>
    </row>
    <row r="38126" spans="8:8">
      <c r="H38126" s="680" t="s">
        <v>6153</v>
      </c>
    </row>
    <row r="38127" spans="8:8">
      <c r="H38127" s="680" t="s">
        <v>6153</v>
      </c>
    </row>
    <row r="38128" spans="8:8">
      <c r="H38128" s="680" t="s">
        <v>6153</v>
      </c>
    </row>
    <row r="38129" spans="8:8">
      <c r="H38129" s="680" t="s">
        <v>6153</v>
      </c>
    </row>
    <row r="38130" spans="8:8">
      <c r="H38130" s="680" t="s">
        <v>6153</v>
      </c>
    </row>
    <row r="38131" spans="8:8">
      <c r="H38131" s="680" t="s">
        <v>6153</v>
      </c>
    </row>
    <row r="38132" spans="8:8">
      <c r="H38132" s="680" t="s">
        <v>6153</v>
      </c>
    </row>
    <row r="38133" spans="8:8">
      <c r="H38133" s="680" t="s">
        <v>6153</v>
      </c>
    </row>
    <row r="38134" spans="8:8">
      <c r="H38134" s="680" t="s">
        <v>6153</v>
      </c>
    </row>
    <row r="38135" spans="8:8">
      <c r="H38135" s="680" t="s">
        <v>6153</v>
      </c>
    </row>
    <row r="38136" spans="8:8">
      <c r="H38136" s="680" t="s">
        <v>6153</v>
      </c>
    </row>
    <row r="38137" spans="8:8">
      <c r="H38137" s="680" t="s">
        <v>6153</v>
      </c>
    </row>
    <row r="38138" spans="8:8">
      <c r="H38138" s="680" t="s">
        <v>6153</v>
      </c>
    </row>
    <row r="38139" spans="8:8">
      <c r="H38139" s="680" t="s">
        <v>6153</v>
      </c>
    </row>
    <row r="38140" spans="8:8">
      <c r="H38140" s="680" t="s">
        <v>6153</v>
      </c>
    </row>
    <row r="38141" spans="8:8">
      <c r="H38141" s="680" t="s">
        <v>6153</v>
      </c>
    </row>
    <row r="38142" spans="8:8">
      <c r="H38142" s="680" t="s">
        <v>6153</v>
      </c>
    </row>
    <row r="38143" spans="8:8">
      <c r="H38143" s="680" t="s">
        <v>6153</v>
      </c>
    </row>
    <row r="38144" spans="8:8">
      <c r="H38144" s="680" t="s">
        <v>6153</v>
      </c>
    </row>
    <row r="38145" spans="8:8">
      <c r="H38145" s="680" t="s">
        <v>6153</v>
      </c>
    </row>
    <row r="38146" spans="8:8">
      <c r="H38146" s="680" t="s">
        <v>6153</v>
      </c>
    </row>
    <row r="38147" spans="8:8">
      <c r="H38147" s="680" t="s">
        <v>6153</v>
      </c>
    </row>
    <row r="38148" spans="8:8">
      <c r="H38148" s="680" t="s">
        <v>6153</v>
      </c>
    </row>
    <row r="38149" spans="8:8">
      <c r="H38149" s="680" t="s">
        <v>6153</v>
      </c>
    </row>
    <row r="38150" spans="8:8">
      <c r="H38150" s="680" t="s">
        <v>6153</v>
      </c>
    </row>
    <row r="38151" spans="8:8">
      <c r="H38151" s="680" t="s">
        <v>6153</v>
      </c>
    </row>
    <row r="38152" spans="8:8">
      <c r="H38152" s="680" t="s">
        <v>6153</v>
      </c>
    </row>
    <row r="38153" spans="8:8">
      <c r="H38153" s="680" t="s">
        <v>6153</v>
      </c>
    </row>
    <row r="38154" spans="8:8">
      <c r="H38154" s="680" t="s">
        <v>6153</v>
      </c>
    </row>
    <row r="38155" spans="8:8">
      <c r="H38155" s="680" t="s">
        <v>6153</v>
      </c>
    </row>
    <row r="38156" spans="8:8">
      <c r="H38156" s="680" t="s">
        <v>6153</v>
      </c>
    </row>
    <row r="38157" spans="8:8">
      <c r="H38157" s="680" t="s">
        <v>6153</v>
      </c>
    </row>
    <row r="38158" spans="8:8">
      <c r="H38158" s="680" t="s">
        <v>6153</v>
      </c>
    </row>
    <row r="38159" spans="8:8">
      <c r="H38159" s="680" t="s">
        <v>6153</v>
      </c>
    </row>
    <row r="38160" spans="8:8">
      <c r="H38160" s="680" t="s">
        <v>6153</v>
      </c>
    </row>
    <row r="38161" spans="8:8">
      <c r="H38161" s="680" t="s">
        <v>6153</v>
      </c>
    </row>
    <row r="38162" spans="8:8">
      <c r="H38162" s="680" t="s">
        <v>6153</v>
      </c>
    </row>
    <row r="38163" spans="8:8">
      <c r="H38163" s="680" t="s">
        <v>6153</v>
      </c>
    </row>
    <row r="38164" spans="8:8">
      <c r="H38164" s="680" t="s">
        <v>6153</v>
      </c>
    </row>
    <row r="38165" spans="8:8">
      <c r="H38165" s="680" t="s">
        <v>6153</v>
      </c>
    </row>
    <row r="38166" spans="8:8">
      <c r="H38166" s="680" t="s">
        <v>6153</v>
      </c>
    </row>
    <row r="38167" spans="8:8">
      <c r="H38167" s="680" t="s">
        <v>6153</v>
      </c>
    </row>
    <row r="38168" spans="8:8">
      <c r="H38168" s="680" t="s">
        <v>6153</v>
      </c>
    </row>
    <row r="38169" spans="8:8">
      <c r="H38169" s="680" t="s">
        <v>6153</v>
      </c>
    </row>
    <row r="38170" spans="8:8">
      <c r="H38170" s="680" t="s">
        <v>6153</v>
      </c>
    </row>
    <row r="38171" spans="8:8">
      <c r="H38171" s="680" t="s">
        <v>6153</v>
      </c>
    </row>
    <row r="38172" spans="8:8">
      <c r="H38172" s="680" t="s">
        <v>6153</v>
      </c>
    </row>
    <row r="38173" spans="8:8">
      <c r="H38173" s="680" t="s">
        <v>6153</v>
      </c>
    </row>
    <row r="38174" spans="8:8">
      <c r="H38174" s="680" t="s">
        <v>6153</v>
      </c>
    </row>
    <row r="38175" spans="8:8">
      <c r="H38175" s="680" t="s">
        <v>6153</v>
      </c>
    </row>
    <row r="38176" spans="8:8">
      <c r="H38176" s="680" t="s">
        <v>6153</v>
      </c>
    </row>
    <row r="38177" spans="8:8">
      <c r="H38177" s="680" t="s">
        <v>6153</v>
      </c>
    </row>
    <row r="38178" spans="8:8">
      <c r="H38178" s="680" t="s">
        <v>6153</v>
      </c>
    </row>
    <row r="38179" spans="8:8">
      <c r="H38179" s="680" t="s">
        <v>6153</v>
      </c>
    </row>
    <row r="38180" spans="8:8">
      <c r="H38180" s="680" t="s">
        <v>6153</v>
      </c>
    </row>
    <row r="38181" spans="8:8">
      <c r="H38181" s="680" t="s">
        <v>6153</v>
      </c>
    </row>
    <row r="38182" spans="8:8">
      <c r="H38182" s="680" t="s">
        <v>6153</v>
      </c>
    </row>
    <row r="38183" spans="8:8">
      <c r="H38183" s="680" t="s">
        <v>6153</v>
      </c>
    </row>
    <row r="38184" spans="8:8">
      <c r="H38184" s="680" t="s">
        <v>6153</v>
      </c>
    </row>
    <row r="38185" spans="8:8">
      <c r="H38185" s="680" t="s">
        <v>6153</v>
      </c>
    </row>
    <row r="38186" spans="8:8">
      <c r="H38186" s="680" t="s">
        <v>6153</v>
      </c>
    </row>
    <row r="38187" spans="8:8">
      <c r="H38187" s="680" t="s">
        <v>6153</v>
      </c>
    </row>
    <row r="38188" spans="8:8">
      <c r="H38188" s="680" t="s">
        <v>6153</v>
      </c>
    </row>
    <row r="38189" spans="8:8">
      <c r="H38189" s="680" t="s">
        <v>6153</v>
      </c>
    </row>
    <row r="38190" spans="8:8">
      <c r="H38190" s="680" t="s">
        <v>6153</v>
      </c>
    </row>
    <row r="38191" spans="8:8">
      <c r="H38191" s="680" t="s">
        <v>6153</v>
      </c>
    </row>
    <row r="38192" spans="8:8">
      <c r="H38192" s="680" t="s">
        <v>6153</v>
      </c>
    </row>
    <row r="38193" spans="8:8">
      <c r="H38193" s="680" t="s">
        <v>6153</v>
      </c>
    </row>
    <row r="38194" spans="8:8">
      <c r="H38194" s="680" t="s">
        <v>6153</v>
      </c>
    </row>
    <row r="38195" spans="8:8">
      <c r="H38195" s="680" t="s">
        <v>6153</v>
      </c>
    </row>
    <row r="38196" spans="8:8">
      <c r="H38196" s="680" t="s">
        <v>6153</v>
      </c>
    </row>
    <row r="38197" spans="8:8">
      <c r="H38197" s="680" t="s">
        <v>6153</v>
      </c>
    </row>
    <row r="38198" spans="8:8">
      <c r="H38198" s="680" t="s">
        <v>6153</v>
      </c>
    </row>
    <row r="38199" spans="8:8">
      <c r="H38199" s="680" t="s">
        <v>6153</v>
      </c>
    </row>
    <row r="38200" spans="8:8">
      <c r="H38200" s="680" t="s">
        <v>6153</v>
      </c>
    </row>
    <row r="38201" spans="8:8">
      <c r="H38201" s="680" t="s">
        <v>6153</v>
      </c>
    </row>
    <row r="38202" spans="8:8">
      <c r="H38202" s="680" t="s">
        <v>6153</v>
      </c>
    </row>
    <row r="38203" spans="8:8">
      <c r="H38203" s="680" t="s">
        <v>6153</v>
      </c>
    </row>
    <row r="38204" spans="8:8">
      <c r="H38204" s="680" t="s">
        <v>6153</v>
      </c>
    </row>
    <row r="38205" spans="8:8">
      <c r="H38205" s="680" t="s">
        <v>6153</v>
      </c>
    </row>
    <row r="38206" spans="8:8">
      <c r="H38206" s="680" t="s">
        <v>6153</v>
      </c>
    </row>
    <row r="38207" spans="8:8">
      <c r="H38207" s="680" t="s">
        <v>6153</v>
      </c>
    </row>
    <row r="38208" spans="8:8">
      <c r="H38208" s="680" t="s">
        <v>6153</v>
      </c>
    </row>
    <row r="38209" spans="8:8">
      <c r="H38209" s="680" t="s">
        <v>6153</v>
      </c>
    </row>
    <row r="38210" spans="8:8">
      <c r="H38210" s="680" t="s">
        <v>6153</v>
      </c>
    </row>
    <row r="38211" spans="8:8">
      <c r="H38211" s="680" t="s">
        <v>6153</v>
      </c>
    </row>
    <row r="38212" spans="8:8">
      <c r="H38212" s="680" t="s">
        <v>6153</v>
      </c>
    </row>
    <row r="38213" spans="8:8">
      <c r="H38213" s="680" t="s">
        <v>6153</v>
      </c>
    </row>
    <row r="38214" spans="8:8">
      <c r="H38214" s="680" t="s">
        <v>6153</v>
      </c>
    </row>
    <row r="38215" spans="8:8">
      <c r="H38215" s="680" t="s">
        <v>6153</v>
      </c>
    </row>
    <row r="38216" spans="8:8">
      <c r="H38216" s="680" t="s">
        <v>6153</v>
      </c>
    </row>
    <row r="38217" spans="8:8">
      <c r="H38217" s="680" t="s">
        <v>6153</v>
      </c>
    </row>
    <row r="38218" spans="8:8">
      <c r="H38218" s="680" t="s">
        <v>6153</v>
      </c>
    </row>
    <row r="38219" spans="8:8">
      <c r="H38219" s="680" t="s">
        <v>6153</v>
      </c>
    </row>
    <row r="38220" spans="8:8">
      <c r="H38220" s="680" t="s">
        <v>6153</v>
      </c>
    </row>
    <row r="38221" spans="8:8">
      <c r="H38221" s="680" t="s">
        <v>6153</v>
      </c>
    </row>
    <row r="38222" spans="8:8">
      <c r="H38222" s="680" t="s">
        <v>6153</v>
      </c>
    </row>
    <row r="38223" spans="8:8">
      <c r="H38223" s="680" t="s">
        <v>6153</v>
      </c>
    </row>
    <row r="38224" spans="8:8">
      <c r="H38224" s="680" t="s">
        <v>6153</v>
      </c>
    </row>
    <row r="38225" spans="8:8">
      <c r="H38225" s="680" t="s">
        <v>6153</v>
      </c>
    </row>
    <row r="38226" spans="8:8">
      <c r="H38226" s="680" t="s">
        <v>6153</v>
      </c>
    </row>
    <row r="38227" spans="8:8">
      <c r="H38227" s="680" t="s">
        <v>6153</v>
      </c>
    </row>
    <row r="38228" spans="8:8">
      <c r="H38228" s="680" t="s">
        <v>6153</v>
      </c>
    </row>
    <row r="38229" spans="8:8">
      <c r="H38229" s="680" t="s">
        <v>6153</v>
      </c>
    </row>
    <row r="38230" spans="8:8">
      <c r="H38230" s="680" t="s">
        <v>6153</v>
      </c>
    </row>
    <row r="38231" spans="8:8">
      <c r="H38231" s="680" t="s">
        <v>6153</v>
      </c>
    </row>
    <row r="38232" spans="8:8">
      <c r="H38232" s="680" t="s">
        <v>6153</v>
      </c>
    </row>
    <row r="38233" spans="8:8">
      <c r="H38233" s="680" t="s">
        <v>6153</v>
      </c>
    </row>
    <row r="38234" spans="8:8">
      <c r="H38234" s="680" t="s">
        <v>6153</v>
      </c>
    </row>
    <row r="38235" spans="8:8">
      <c r="H38235" s="680" t="s">
        <v>6153</v>
      </c>
    </row>
    <row r="38236" spans="8:8">
      <c r="H38236" s="680" t="s">
        <v>6153</v>
      </c>
    </row>
    <row r="38237" spans="8:8">
      <c r="H38237" s="680" t="s">
        <v>6153</v>
      </c>
    </row>
    <row r="38238" spans="8:8">
      <c r="H38238" s="680" t="s">
        <v>6153</v>
      </c>
    </row>
    <row r="38239" spans="8:8">
      <c r="H38239" s="680" t="s">
        <v>6153</v>
      </c>
    </row>
    <row r="38240" spans="8:8">
      <c r="H38240" s="680" t="s">
        <v>6153</v>
      </c>
    </row>
    <row r="38241" spans="8:8">
      <c r="H38241" s="680" t="s">
        <v>6153</v>
      </c>
    </row>
    <row r="38242" spans="8:8">
      <c r="H38242" s="680" t="s">
        <v>6153</v>
      </c>
    </row>
    <row r="38243" spans="8:8">
      <c r="H38243" s="680" t="s">
        <v>6153</v>
      </c>
    </row>
    <row r="38244" spans="8:8">
      <c r="H38244" s="680" t="s">
        <v>6153</v>
      </c>
    </row>
    <row r="38245" spans="8:8">
      <c r="H38245" s="680" t="s">
        <v>6153</v>
      </c>
    </row>
    <row r="38246" spans="8:8">
      <c r="H38246" s="680" t="s">
        <v>6153</v>
      </c>
    </row>
    <row r="38247" spans="8:8">
      <c r="H38247" s="680" t="s">
        <v>6153</v>
      </c>
    </row>
    <row r="38248" spans="8:8">
      <c r="H38248" s="680" t="s">
        <v>6153</v>
      </c>
    </row>
    <row r="38249" spans="8:8">
      <c r="H38249" s="680" t="s">
        <v>6153</v>
      </c>
    </row>
    <row r="38250" spans="8:8">
      <c r="H38250" s="680" t="s">
        <v>6153</v>
      </c>
    </row>
    <row r="38251" spans="8:8">
      <c r="H38251" s="680" t="s">
        <v>6153</v>
      </c>
    </row>
    <row r="38252" spans="8:8">
      <c r="H38252" s="680" t="s">
        <v>6153</v>
      </c>
    </row>
    <row r="38253" spans="8:8">
      <c r="H38253" s="680" t="s">
        <v>6153</v>
      </c>
    </row>
    <row r="38254" spans="8:8">
      <c r="H38254" s="680" t="s">
        <v>6153</v>
      </c>
    </row>
    <row r="38255" spans="8:8">
      <c r="H38255" s="680" t="s">
        <v>6153</v>
      </c>
    </row>
    <row r="38256" spans="8:8">
      <c r="H38256" s="680" t="s">
        <v>6153</v>
      </c>
    </row>
    <row r="38257" spans="8:8">
      <c r="H38257" s="680" t="s">
        <v>6153</v>
      </c>
    </row>
    <row r="38258" spans="8:8">
      <c r="H38258" s="680" t="s">
        <v>6153</v>
      </c>
    </row>
    <row r="38259" spans="8:8">
      <c r="H38259" s="680" t="s">
        <v>6153</v>
      </c>
    </row>
    <row r="38260" spans="8:8">
      <c r="H38260" s="680" t="s">
        <v>6153</v>
      </c>
    </row>
    <row r="38261" spans="8:8">
      <c r="H38261" s="680" t="s">
        <v>6153</v>
      </c>
    </row>
    <row r="38262" spans="8:8">
      <c r="H38262" s="680" t="s">
        <v>6153</v>
      </c>
    </row>
    <row r="38263" spans="8:8">
      <c r="H38263" s="680" t="s">
        <v>6153</v>
      </c>
    </row>
    <row r="38264" spans="8:8">
      <c r="H38264" s="680" t="s">
        <v>6153</v>
      </c>
    </row>
    <row r="38265" spans="8:8">
      <c r="H38265" s="680" t="s">
        <v>6153</v>
      </c>
    </row>
    <row r="38266" spans="8:8">
      <c r="H38266" s="680" t="s">
        <v>6153</v>
      </c>
    </row>
    <row r="38267" spans="8:8">
      <c r="H38267" s="680" t="s">
        <v>6153</v>
      </c>
    </row>
    <row r="38268" spans="8:8">
      <c r="H38268" s="680" t="s">
        <v>6153</v>
      </c>
    </row>
    <row r="38269" spans="8:8">
      <c r="H38269" s="680" t="s">
        <v>6153</v>
      </c>
    </row>
    <row r="38270" spans="8:8">
      <c r="H38270" s="680" t="s">
        <v>6153</v>
      </c>
    </row>
    <row r="38271" spans="8:8">
      <c r="H38271" s="680" t="s">
        <v>6153</v>
      </c>
    </row>
    <row r="38272" spans="8:8">
      <c r="H38272" s="680" t="s">
        <v>6153</v>
      </c>
    </row>
    <row r="38273" spans="8:8">
      <c r="H38273" s="680" t="s">
        <v>6153</v>
      </c>
    </row>
    <row r="38274" spans="8:8">
      <c r="H38274" s="680" t="s">
        <v>6153</v>
      </c>
    </row>
    <row r="38275" spans="8:8">
      <c r="H38275" s="680" t="s">
        <v>6153</v>
      </c>
    </row>
    <row r="38276" spans="8:8">
      <c r="H38276" s="680" t="s">
        <v>6153</v>
      </c>
    </row>
    <row r="38277" spans="8:8">
      <c r="H38277" s="680" t="s">
        <v>6153</v>
      </c>
    </row>
    <row r="38278" spans="8:8">
      <c r="H38278" s="680" t="s">
        <v>6153</v>
      </c>
    </row>
    <row r="38279" spans="8:8">
      <c r="H38279" s="680" t="s">
        <v>6153</v>
      </c>
    </row>
    <row r="38280" spans="8:8">
      <c r="H38280" s="680" t="s">
        <v>6153</v>
      </c>
    </row>
    <row r="38281" spans="8:8">
      <c r="H38281" s="680" t="s">
        <v>6153</v>
      </c>
    </row>
    <row r="38282" spans="8:8">
      <c r="H38282" s="680" t="s">
        <v>6153</v>
      </c>
    </row>
    <row r="38283" spans="8:8">
      <c r="H38283" s="680" t="s">
        <v>6153</v>
      </c>
    </row>
    <row r="38284" spans="8:8">
      <c r="H38284" s="680" t="s">
        <v>6153</v>
      </c>
    </row>
    <row r="38285" spans="8:8">
      <c r="H38285" s="680" t="s">
        <v>6153</v>
      </c>
    </row>
    <row r="38286" spans="8:8">
      <c r="H38286" s="680" t="s">
        <v>6153</v>
      </c>
    </row>
    <row r="38287" spans="8:8">
      <c r="H38287" s="680" t="s">
        <v>6153</v>
      </c>
    </row>
    <row r="38288" spans="8:8">
      <c r="H38288" s="680" t="s">
        <v>6153</v>
      </c>
    </row>
    <row r="38289" spans="8:8">
      <c r="H38289" s="680" t="s">
        <v>6153</v>
      </c>
    </row>
    <row r="38290" spans="8:8">
      <c r="H38290" s="680" t="s">
        <v>6153</v>
      </c>
    </row>
    <row r="38291" spans="8:8">
      <c r="H38291" s="680" t="s">
        <v>6153</v>
      </c>
    </row>
    <row r="38292" spans="8:8">
      <c r="H38292" s="680" t="s">
        <v>6153</v>
      </c>
    </row>
    <row r="38293" spans="8:8">
      <c r="H38293" s="680" t="s">
        <v>6153</v>
      </c>
    </row>
    <row r="38294" spans="8:8">
      <c r="H38294" s="680" t="s">
        <v>6153</v>
      </c>
    </row>
    <row r="38295" spans="8:8">
      <c r="H38295" s="680" t="s">
        <v>6153</v>
      </c>
    </row>
    <row r="38296" spans="8:8">
      <c r="H38296" s="680" t="s">
        <v>6153</v>
      </c>
    </row>
    <row r="38297" spans="8:8">
      <c r="H38297" s="680" t="s">
        <v>6153</v>
      </c>
    </row>
    <row r="38298" spans="8:8">
      <c r="H38298" s="680" t="s">
        <v>6153</v>
      </c>
    </row>
    <row r="38299" spans="8:8">
      <c r="H38299" s="680" t="s">
        <v>6153</v>
      </c>
    </row>
    <row r="38300" spans="8:8">
      <c r="H38300" s="680" t="s">
        <v>6153</v>
      </c>
    </row>
    <row r="38301" spans="8:8">
      <c r="H38301" s="680" t="s">
        <v>6153</v>
      </c>
    </row>
    <row r="38302" spans="8:8">
      <c r="H38302" s="680" t="s">
        <v>6153</v>
      </c>
    </row>
    <row r="38303" spans="8:8">
      <c r="H38303" s="680" t="s">
        <v>6153</v>
      </c>
    </row>
    <row r="38304" spans="8:8">
      <c r="H38304" s="680" t="s">
        <v>6153</v>
      </c>
    </row>
    <row r="38305" spans="8:8">
      <c r="H38305" s="680" t="s">
        <v>6153</v>
      </c>
    </row>
    <row r="38306" spans="8:8">
      <c r="H38306" s="680" t="s">
        <v>6153</v>
      </c>
    </row>
    <row r="38307" spans="8:8">
      <c r="H38307" s="680" t="s">
        <v>6153</v>
      </c>
    </row>
    <row r="38308" spans="8:8">
      <c r="H38308" s="680" t="s">
        <v>6153</v>
      </c>
    </row>
    <row r="38309" spans="8:8">
      <c r="H38309" s="680" t="s">
        <v>6153</v>
      </c>
    </row>
    <row r="38310" spans="8:8">
      <c r="H38310" s="680" t="s">
        <v>6153</v>
      </c>
    </row>
    <row r="38311" spans="8:8">
      <c r="H38311" s="680" t="s">
        <v>6153</v>
      </c>
    </row>
    <row r="38312" spans="8:8">
      <c r="H38312" s="680" t="s">
        <v>6153</v>
      </c>
    </row>
    <row r="38313" spans="8:8">
      <c r="H38313" s="680" t="s">
        <v>6153</v>
      </c>
    </row>
    <row r="38314" spans="8:8">
      <c r="H38314" s="680" t="s">
        <v>6153</v>
      </c>
    </row>
    <row r="38315" spans="8:8">
      <c r="H38315" s="680" t="s">
        <v>6153</v>
      </c>
    </row>
    <row r="38316" spans="8:8">
      <c r="H38316" s="680" t="s">
        <v>6153</v>
      </c>
    </row>
    <row r="38317" spans="8:8">
      <c r="H38317" s="680" t="s">
        <v>6153</v>
      </c>
    </row>
    <row r="38318" spans="8:8">
      <c r="H38318" s="680" t="s">
        <v>6153</v>
      </c>
    </row>
    <row r="38319" spans="8:8">
      <c r="H38319" s="680" t="s">
        <v>6153</v>
      </c>
    </row>
    <row r="38320" spans="8:8">
      <c r="H38320" s="680" t="s">
        <v>6153</v>
      </c>
    </row>
    <row r="38321" spans="8:8">
      <c r="H38321" s="680" t="s">
        <v>6153</v>
      </c>
    </row>
    <row r="38322" spans="8:8">
      <c r="H38322" s="680" t="s">
        <v>6153</v>
      </c>
    </row>
    <row r="38323" spans="8:8">
      <c r="H38323" s="680" t="s">
        <v>6153</v>
      </c>
    </row>
    <row r="38324" spans="8:8">
      <c r="H38324" s="680" t="s">
        <v>6153</v>
      </c>
    </row>
    <row r="38325" spans="8:8">
      <c r="H38325" s="680" t="s">
        <v>6153</v>
      </c>
    </row>
    <row r="38326" spans="8:8">
      <c r="H38326" s="680" t="s">
        <v>6153</v>
      </c>
    </row>
    <row r="38327" spans="8:8">
      <c r="H38327" s="680" t="s">
        <v>6153</v>
      </c>
    </row>
    <row r="38328" spans="8:8">
      <c r="H38328" s="680" t="s">
        <v>6153</v>
      </c>
    </row>
    <row r="38329" spans="8:8">
      <c r="H38329" s="680" t="s">
        <v>6153</v>
      </c>
    </row>
    <row r="38330" spans="8:8">
      <c r="H38330" s="680" t="s">
        <v>6153</v>
      </c>
    </row>
    <row r="38331" spans="8:8">
      <c r="H38331" s="680" t="s">
        <v>6153</v>
      </c>
    </row>
    <row r="38332" spans="8:8">
      <c r="H38332" s="680" t="s">
        <v>6153</v>
      </c>
    </row>
    <row r="38333" spans="8:8">
      <c r="H38333" s="680" t="s">
        <v>6153</v>
      </c>
    </row>
    <row r="38334" spans="8:8">
      <c r="H38334" s="680" t="s">
        <v>6153</v>
      </c>
    </row>
    <row r="38335" spans="8:8">
      <c r="H38335" s="680" t="s">
        <v>6153</v>
      </c>
    </row>
    <row r="38336" spans="8:8">
      <c r="H38336" s="680" t="s">
        <v>6153</v>
      </c>
    </row>
    <row r="38337" spans="8:8">
      <c r="H38337" s="680" t="s">
        <v>6153</v>
      </c>
    </row>
    <row r="38338" spans="8:8">
      <c r="H38338" s="680" t="s">
        <v>6153</v>
      </c>
    </row>
    <row r="38339" spans="8:8">
      <c r="H38339" s="680" t="s">
        <v>6153</v>
      </c>
    </row>
    <row r="38340" spans="8:8">
      <c r="H38340" s="680" t="s">
        <v>6153</v>
      </c>
    </row>
    <row r="38341" spans="8:8">
      <c r="H38341" s="680" t="s">
        <v>6153</v>
      </c>
    </row>
    <row r="38342" spans="8:8">
      <c r="H38342" s="680" t="s">
        <v>6153</v>
      </c>
    </row>
    <row r="38343" spans="8:8">
      <c r="H38343" s="680" t="s">
        <v>6153</v>
      </c>
    </row>
    <row r="38344" spans="8:8">
      <c r="H38344" s="680" t="s">
        <v>6153</v>
      </c>
    </row>
    <row r="38345" spans="8:8">
      <c r="H38345" s="680" t="s">
        <v>6153</v>
      </c>
    </row>
    <row r="38346" spans="8:8">
      <c r="H38346" s="680" t="s">
        <v>6153</v>
      </c>
    </row>
    <row r="38347" spans="8:8">
      <c r="H38347" s="680" t="s">
        <v>6153</v>
      </c>
    </row>
    <row r="38348" spans="8:8">
      <c r="H38348" s="680" t="s">
        <v>6153</v>
      </c>
    </row>
    <row r="38349" spans="8:8">
      <c r="H38349" s="680" t="s">
        <v>6153</v>
      </c>
    </row>
    <row r="38350" spans="8:8">
      <c r="H38350" s="680" t="s">
        <v>6153</v>
      </c>
    </row>
    <row r="38351" spans="8:8">
      <c r="H38351" s="680" t="s">
        <v>6153</v>
      </c>
    </row>
    <row r="38352" spans="8:8">
      <c r="H38352" s="680" t="s">
        <v>6153</v>
      </c>
    </row>
    <row r="38353" spans="8:8">
      <c r="H38353" s="680" t="s">
        <v>6153</v>
      </c>
    </row>
    <row r="38354" spans="8:8">
      <c r="H38354" s="680" t="s">
        <v>6153</v>
      </c>
    </row>
    <row r="38355" spans="8:8">
      <c r="H38355" s="680" t="s">
        <v>6153</v>
      </c>
    </row>
    <row r="38356" spans="8:8">
      <c r="H38356" s="680" t="s">
        <v>6153</v>
      </c>
    </row>
    <row r="38357" spans="8:8">
      <c r="H38357" s="680" t="s">
        <v>6153</v>
      </c>
    </row>
    <row r="38358" spans="8:8">
      <c r="H38358" s="680" t="s">
        <v>6153</v>
      </c>
    </row>
    <row r="38359" spans="8:8">
      <c r="H38359" s="680" t="s">
        <v>6153</v>
      </c>
    </row>
    <row r="38360" spans="8:8">
      <c r="H38360" s="680" t="s">
        <v>6153</v>
      </c>
    </row>
    <row r="38361" spans="8:8">
      <c r="H38361" s="680" t="s">
        <v>6153</v>
      </c>
    </row>
    <row r="38362" spans="8:8">
      <c r="H38362" s="680" t="s">
        <v>6153</v>
      </c>
    </row>
    <row r="38363" spans="8:8">
      <c r="H38363" s="680" t="s">
        <v>6153</v>
      </c>
    </row>
    <row r="38364" spans="8:8">
      <c r="H38364" s="680" t="s">
        <v>6153</v>
      </c>
    </row>
    <row r="38365" spans="8:8">
      <c r="H38365" s="680" t="s">
        <v>6153</v>
      </c>
    </row>
    <row r="38366" spans="8:8">
      <c r="H38366" s="680" t="s">
        <v>6153</v>
      </c>
    </row>
    <row r="38367" spans="8:8">
      <c r="H38367" s="680" t="s">
        <v>6153</v>
      </c>
    </row>
    <row r="38368" spans="8:8">
      <c r="H38368" s="680" t="s">
        <v>6153</v>
      </c>
    </row>
    <row r="38369" spans="8:8">
      <c r="H38369" s="680" t="s">
        <v>6153</v>
      </c>
    </row>
    <row r="38370" spans="8:8">
      <c r="H38370" s="680" t="s">
        <v>6153</v>
      </c>
    </row>
    <row r="38371" spans="8:8">
      <c r="H38371" s="680" t="s">
        <v>6153</v>
      </c>
    </row>
    <row r="38372" spans="8:8">
      <c r="H38372" s="680" t="s">
        <v>6153</v>
      </c>
    </row>
    <row r="38373" spans="8:8">
      <c r="H38373" s="680" t="s">
        <v>6153</v>
      </c>
    </row>
    <row r="38374" spans="8:8">
      <c r="H38374" s="680" t="s">
        <v>6153</v>
      </c>
    </row>
    <row r="38375" spans="8:8">
      <c r="H38375" s="680" t="s">
        <v>6153</v>
      </c>
    </row>
    <row r="38376" spans="8:8">
      <c r="H38376" s="680" t="s">
        <v>6153</v>
      </c>
    </row>
    <row r="38377" spans="8:8">
      <c r="H38377" s="680" t="s">
        <v>6153</v>
      </c>
    </row>
    <row r="38378" spans="8:8">
      <c r="H38378" s="680" t="s">
        <v>6153</v>
      </c>
    </row>
    <row r="38379" spans="8:8">
      <c r="H38379" s="680" t="s">
        <v>6153</v>
      </c>
    </row>
    <row r="38380" spans="8:8">
      <c r="H38380" s="680" t="s">
        <v>6153</v>
      </c>
    </row>
    <row r="38381" spans="8:8">
      <c r="H38381" s="680" t="s">
        <v>6153</v>
      </c>
    </row>
    <row r="38382" spans="8:8">
      <c r="H38382" s="680" t="s">
        <v>6153</v>
      </c>
    </row>
    <row r="38383" spans="8:8">
      <c r="H38383" s="680" t="s">
        <v>6153</v>
      </c>
    </row>
    <row r="38384" spans="8:8">
      <c r="H38384" s="680" t="s">
        <v>6153</v>
      </c>
    </row>
    <row r="38385" spans="8:8">
      <c r="H38385" s="680" t="s">
        <v>6153</v>
      </c>
    </row>
    <row r="38386" spans="8:8">
      <c r="H38386" s="680" t="s">
        <v>6153</v>
      </c>
    </row>
    <row r="38387" spans="8:8">
      <c r="H38387" s="680" t="s">
        <v>6153</v>
      </c>
    </row>
    <row r="38388" spans="8:8">
      <c r="H38388" s="680" t="s">
        <v>6153</v>
      </c>
    </row>
    <row r="38389" spans="8:8">
      <c r="H38389" s="680" t="s">
        <v>6153</v>
      </c>
    </row>
    <row r="38390" spans="8:8">
      <c r="H38390" s="680" t="s">
        <v>6153</v>
      </c>
    </row>
    <row r="38391" spans="8:8">
      <c r="H38391" s="680" t="s">
        <v>6153</v>
      </c>
    </row>
    <row r="38392" spans="8:8">
      <c r="H38392" s="680" t="s">
        <v>6153</v>
      </c>
    </row>
    <row r="38393" spans="8:8">
      <c r="H38393" s="680" t="s">
        <v>6153</v>
      </c>
    </row>
    <row r="38394" spans="8:8">
      <c r="H38394" s="680" t="s">
        <v>6153</v>
      </c>
    </row>
    <row r="38395" spans="8:8">
      <c r="H38395" s="680" t="s">
        <v>6153</v>
      </c>
    </row>
    <row r="38396" spans="8:8">
      <c r="H38396" s="680" t="s">
        <v>6153</v>
      </c>
    </row>
    <row r="38397" spans="8:8">
      <c r="H38397" s="680" t="s">
        <v>6153</v>
      </c>
    </row>
    <row r="38398" spans="8:8">
      <c r="H38398" s="680" t="s">
        <v>6153</v>
      </c>
    </row>
    <row r="38399" spans="8:8">
      <c r="H38399" s="680" t="s">
        <v>6153</v>
      </c>
    </row>
    <row r="38400" spans="8:8">
      <c r="H38400" s="680" t="s">
        <v>6153</v>
      </c>
    </row>
    <row r="38401" spans="8:8">
      <c r="H38401" s="680" t="s">
        <v>6153</v>
      </c>
    </row>
    <row r="38402" spans="8:8">
      <c r="H38402" s="680" t="s">
        <v>6153</v>
      </c>
    </row>
    <row r="38403" spans="8:8">
      <c r="H38403" s="680" t="s">
        <v>6153</v>
      </c>
    </row>
    <row r="38404" spans="8:8">
      <c r="H38404" s="680" t="s">
        <v>6153</v>
      </c>
    </row>
    <row r="38405" spans="8:8">
      <c r="H38405" s="680" t="s">
        <v>6153</v>
      </c>
    </row>
    <row r="38406" spans="8:8">
      <c r="H38406" s="680" t="s">
        <v>6153</v>
      </c>
    </row>
    <row r="38407" spans="8:8">
      <c r="H38407" s="680" t="s">
        <v>6153</v>
      </c>
    </row>
    <row r="38408" spans="8:8">
      <c r="H38408" s="680" t="s">
        <v>6153</v>
      </c>
    </row>
    <row r="38409" spans="8:8">
      <c r="H38409" s="680" t="s">
        <v>6153</v>
      </c>
    </row>
    <row r="38410" spans="8:8">
      <c r="H38410" s="680" t="s">
        <v>6153</v>
      </c>
    </row>
    <row r="38411" spans="8:8">
      <c r="H38411" s="680" t="s">
        <v>6153</v>
      </c>
    </row>
    <row r="38412" spans="8:8">
      <c r="H38412" s="680" t="s">
        <v>6153</v>
      </c>
    </row>
    <row r="38413" spans="8:8">
      <c r="H38413" s="680" t="s">
        <v>6153</v>
      </c>
    </row>
    <row r="38414" spans="8:8">
      <c r="H38414" s="680" t="s">
        <v>6153</v>
      </c>
    </row>
    <row r="38415" spans="8:8">
      <c r="H38415" s="680" t="s">
        <v>6153</v>
      </c>
    </row>
    <row r="38416" spans="8:8">
      <c r="H38416" s="680" t="s">
        <v>6153</v>
      </c>
    </row>
    <row r="38417" spans="8:8">
      <c r="H38417" s="680" t="s">
        <v>6153</v>
      </c>
    </row>
    <row r="38418" spans="8:8">
      <c r="H38418" s="680" t="s">
        <v>6153</v>
      </c>
    </row>
    <row r="38419" spans="8:8">
      <c r="H38419" s="680" t="s">
        <v>6153</v>
      </c>
    </row>
    <row r="38420" spans="8:8">
      <c r="H38420" s="680" t="s">
        <v>6153</v>
      </c>
    </row>
    <row r="38421" spans="8:8">
      <c r="H38421" s="680" t="s">
        <v>6153</v>
      </c>
    </row>
    <row r="38422" spans="8:8">
      <c r="H38422" s="680" t="s">
        <v>6153</v>
      </c>
    </row>
    <row r="38423" spans="8:8">
      <c r="H38423" s="680" t="s">
        <v>6153</v>
      </c>
    </row>
    <row r="38424" spans="8:8">
      <c r="H38424" s="680" t="s">
        <v>6153</v>
      </c>
    </row>
    <row r="38425" spans="8:8">
      <c r="H38425" s="680" t="s">
        <v>6153</v>
      </c>
    </row>
    <row r="38426" spans="8:8">
      <c r="H38426" s="680" t="s">
        <v>6153</v>
      </c>
    </row>
    <row r="38427" spans="8:8">
      <c r="H38427" s="680" t="s">
        <v>6153</v>
      </c>
    </row>
    <row r="38428" spans="8:8">
      <c r="H38428" s="680" t="s">
        <v>6153</v>
      </c>
    </row>
    <row r="38429" spans="8:8">
      <c r="H38429" s="680" t="s">
        <v>6153</v>
      </c>
    </row>
    <row r="38430" spans="8:8">
      <c r="H38430" s="680" t="s">
        <v>6153</v>
      </c>
    </row>
    <row r="38431" spans="8:8">
      <c r="H38431" s="680" t="s">
        <v>6153</v>
      </c>
    </row>
    <row r="38432" spans="8:8">
      <c r="H38432" s="680" t="s">
        <v>6153</v>
      </c>
    </row>
    <row r="38433" spans="8:8">
      <c r="H38433" s="680" t="s">
        <v>6153</v>
      </c>
    </row>
    <row r="38434" spans="8:8">
      <c r="H38434" s="680" t="s">
        <v>6153</v>
      </c>
    </row>
    <row r="38435" spans="8:8">
      <c r="H38435" s="680" t="s">
        <v>6153</v>
      </c>
    </row>
    <row r="38436" spans="8:8">
      <c r="H38436" s="680" t="s">
        <v>6153</v>
      </c>
    </row>
    <row r="38437" spans="8:8">
      <c r="H38437" s="680" t="s">
        <v>6153</v>
      </c>
    </row>
    <row r="38438" spans="8:8">
      <c r="H38438" s="680" t="s">
        <v>6153</v>
      </c>
    </row>
    <row r="38439" spans="8:8">
      <c r="H38439" s="680" t="s">
        <v>6153</v>
      </c>
    </row>
    <row r="38440" spans="8:8">
      <c r="H38440" s="680" t="s">
        <v>6153</v>
      </c>
    </row>
    <row r="38441" spans="8:8">
      <c r="H38441" s="680" t="s">
        <v>6153</v>
      </c>
    </row>
    <row r="38442" spans="8:8">
      <c r="H38442" s="680" t="s">
        <v>6153</v>
      </c>
    </row>
    <row r="38443" spans="8:8">
      <c r="H38443" s="680" t="s">
        <v>6153</v>
      </c>
    </row>
    <row r="38444" spans="8:8">
      <c r="H38444" s="680" t="s">
        <v>6153</v>
      </c>
    </row>
    <row r="38445" spans="8:8">
      <c r="H38445" s="680" t="s">
        <v>6153</v>
      </c>
    </row>
    <row r="38446" spans="8:8">
      <c r="H38446" s="680" t="s">
        <v>6153</v>
      </c>
    </row>
    <row r="38447" spans="8:8">
      <c r="H38447" s="680" t="s">
        <v>6153</v>
      </c>
    </row>
    <row r="38448" spans="8:8">
      <c r="H38448" s="680" t="s">
        <v>6153</v>
      </c>
    </row>
    <row r="38449" spans="8:8">
      <c r="H38449" s="680" t="s">
        <v>6153</v>
      </c>
    </row>
    <row r="38450" spans="8:8">
      <c r="H38450" s="680" t="s">
        <v>6153</v>
      </c>
    </row>
    <row r="38451" spans="8:8">
      <c r="H38451" s="680" t="s">
        <v>6153</v>
      </c>
    </row>
    <row r="38452" spans="8:8">
      <c r="H38452" s="680" t="s">
        <v>6153</v>
      </c>
    </row>
    <row r="38453" spans="8:8">
      <c r="H38453" s="680" t="s">
        <v>6153</v>
      </c>
    </row>
    <row r="38454" spans="8:8">
      <c r="H38454" s="680" t="s">
        <v>6153</v>
      </c>
    </row>
    <row r="38455" spans="8:8">
      <c r="H38455" s="680" t="s">
        <v>6153</v>
      </c>
    </row>
    <row r="38456" spans="8:8">
      <c r="H38456" s="680" t="s">
        <v>6153</v>
      </c>
    </row>
    <row r="38457" spans="8:8">
      <c r="H38457" s="680" t="s">
        <v>6153</v>
      </c>
    </row>
    <row r="38458" spans="8:8">
      <c r="H38458" s="680" t="s">
        <v>6153</v>
      </c>
    </row>
    <row r="38459" spans="8:8">
      <c r="H38459" s="680" t="s">
        <v>6153</v>
      </c>
    </row>
    <row r="38460" spans="8:8">
      <c r="H38460" s="680" t="s">
        <v>6153</v>
      </c>
    </row>
    <row r="38461" spans="8:8">
      <c r="H38461" s="680" t="s">
        <v>6153</v>
      </c>
    </row>
    <row r="38462" spans="8:8">
      <c r="H38462" s="680" t="s">
        <v>6153</v>
      </c>
    </row>
    <row r="38463" spans="8:8">
      <c r="H38463" s="680" t="s">
        <v>6153</v>
      </c>
    </row>
    <row r="38464" spans="8:8">
      <c r="H38464" s="680" t="s">
        <v>6153</v>
      </c>
    </row>
    <row r="38465" spans="8:8">
      <c r="H38465" s="680" t="s">
        <v>6153</v>
      </c>
    </row>
    <row r="38466" spans="8:8">
      <c r="H38466" s="680" t="s">
        <v>6153</v>
      </c>
    </row>
    <row r="38467" spans="8:8">
      <c r="H38467" s="680" t="s">
        <v>6153</v>
      </c>
    </row>
    <row r="38468" spans="8:8">
      <c r="H38468" s="680" t="s">
        <v>6153</v>
      </c>
    </row>
    <row r="38469" spans="8:8">
      <c r="H38469" s="680" t="s">
        <v>6153</v>
      </c>
    </row>
    <row r="38470" spans="8:8">
      <c r="H38470" s="680" t="s">
        <v>6153</v>
      </c>
    </row>
    <row r="38471" spans="8:8">
      <c r="H38471" s="680" t="s">
        <v>6153</v>
      </c>
    </row>
    <row r="38472" spans="8:8">
      <c r="H38472" s="680" t="s">
        <v>6153</v>
      </c>
    </row>
    <row r="38473" spans="8:8">
      <c r="H38473" s="680" t="s">
        <v>6153</v>
      </c>
    </row>
    <row r="38474" spans="8:8">
      <c r="H38474" s="680" t="s">
        <v>6153</v>
      </c>
    </row>
    <row r="38475" spans="8:8">
      <c r="H38475" s="680" t="s">
        <v>6153</v>
      </c>
    </row>
    <row r="38476" spans="8:8">
      <c r="H38476" s="680" t="s">
        <v>6153</v>
      </c>
    </row>
    <row r="38477" spans="8:8">
      <c r="H38477" s="680" t="s">
        <v>6153</v>
      </c>
    </row>
    <row r="38478" spans="8:8">
      <c r="H38478" s="680" t="s">
        <v>6153</v>
      </c>
    </row>
    <row r="38479" spans="8:8">
      <c r="H38479" s="680" t="s">
        <v>6153</v>
      </c>
    </row>
    <row r="38480" spans="8:8">
      <c r="H38480" s="680" t="s">
        <v>6153</v>
      </c>
    </row>
    <row r="38481" spans="8:8">
      <c r="H38481" s="680" t="s">
        <v>6153</v>
      </c>
    </row>
    <row r="38482" spans="8:8">
      <c r="H38482" s="680" t="s">
        <v>6153</v>
      </c>
    </row>
    <row r="38483" spans="8:8">
      <c r="H38483" s="680" t="s">
        <v>6153</v>
      </c>
    </row>
    <row r="38484" spans="8:8">
      <c r="H38484" s="680" t="s">
        <v>6153</v>
      </c>
    </row>
    <row r="38485" spans="8:8">
      <c r="H38485" s="680" t="s">
        <v>6153</v>
      </c>
    </row>
    <row r="38486" spans="8:8">
      <c r="H38486" s="680" t="s">
        <v>6153</v>
      </c>
    </row>
    <row r="38487" spans="8:8">
      <c r="H38487" s="680" t="s">
        <v>6153</v>
      </c>
    </row>
    <row r="38488" spans="8:8">
      <c r="H38488" s="680" t="s">
        <v>6153</v>
      </c>
    </row>
    <row r="38489" spans="8:8">
      <c r="H38489" s="680" t="s">
        <v>6153</v>
      </c>
    </row>
    <row r="38490" spans="8:8">
      <c r="H38490" s="680" t="s">
        <v>6153</v>
      </c>
    </row>
    <row r="38491" spans="8:8">
      <c r="H38491" s="680" t="s">
        <v>6153</v>
      </c>
    </row>
    <row r="38492" spans="8:8">
      <c r="H38492" s="680" t="s">
        <v>6153</v>
      </c>
    </row>
    <row r="38493" spans="8:8">
      <c r="H38493" s="680" t="s">
        <v>6153</v>
      </c>
    </row>
    <row r="38494" spans="8:8">
      <c r="H38494" s="680" t="s">
        <v>6153</v>
      </c>
    </row>
    <row r="38495" spans="8:8">
      <c r="H38495" s="680" t="s">
        <v>6153</v>
      </c>
    </row>
    <row r="38496" spans="8:8">
      <c r="H38496" s="680" t="s">
        <v>6153</v>
      </c>
    </row>
    <row r="38497" spans="8:8">
      <c r="H38497" s="680" t="s">
        <v>6153</v>
      </c>
    </row>
    <row r="38498" spans="8:8">
      <c r="H38498" s="680" t="s">
        <v>6153</v>
      </c>
    </row>
    <row r="38499" spans="8:8">
      <c r="H38499" s="680" t="s">
        <v>6153</v>
      </c>
    </row>
    <row r="38500" spans="8:8">
      <c r="H38500" s="680" t="s">
        <v>6153</v>
      </c>
    </row>
    <row r="38501" spans="8:8">
      <c r="H38501" s="680" t="s">
        <v>6153</v>
      </c>
    </row>
    <row r="38502" spans="8:8">
      <c r="H38502" s="680" t="s">
        <v>6153</v>
      </c>
    </row>
    <row r="38503" spans="8:8">
      <c r="H38503" s="680" t="s">
        <v>6153</v>
      </c>
    </row>
    <row r="38504" spans="8:8">
      <c r="H38504" s="680" t="s">
        <v>6153</v>
      </c>
    </row>
    <row r="38505" spans="8:8">
      <c r="H38505" s="680" t="s">
        <v>6153</v>
      </c>
    </row>
    <row r="38506" spans="8:8">
      <c r="H38506" s="680" t="s">
        <v>6153</v>
      </c>
    </row>
    <row r="38507" spans="8:8">
      <c r="H38507" s="680" t="s">
        <v>6153</v>
      </c>
    </row>
    <row r="38508" spans="8:8">
      <c r="H38508" s="680" t="s">
        <v>6153</v>
      </c>
    </row>
    <row r="38509" spans="8:8">
      <c r="H38509" s="680" t="s">
        <v>6153</v>
      </c>
    </row>
    <row r="38510" spans="8:8">
      <c r="H38510" s="680" t="s">
        <v>6153</v>
      </c>
    </row>
    <row r="38511" spans="8:8">
      <c r="H38511" s="680" t="s">
        <v>6153</v>
      </c>
    </row>
    <row r="38512" spans="8:8">
      <c r="H38512" s="680" t="s">
        <v>6153</v>
      </c>
    </row>
    <row r="38513" spans="8:8">
      <c r="H38513" s="680" t="s">
        <v>6153</v>
      </c>
    </row>
    <row r="38514" spans="8:8">
      <c r="H38514" s="680" t="s">
        <v>6153</v>
      </c>
    </row>
    <row r="38515" spans="8:8">
      <c r="H38515" s="680" t="s">
        <v>6153</v>
      </c>
    </row>
    <row r="38516" spans="8:8">
      <c r="H38516" s="680" t="s">
        <v>6153</v>
      </c>
    </row>
    <row r="38517" spans="8:8">
      <c r="H38517" s="680" t="s">
        <v>6153</v>
      </c>
    </row>
    <row r="38518" spans="8:8">
      <c r="H38518" s="680" t="s">
        <v>6153</v>
      </c>
    </row>
    <row r="38519" spans="8:8">
      <c r="H38519" s="680" t="s">
        <v>6153</v>
      </c>
    </row>
    <row r="38520" spans="8:8">
      <c r="H38520" s="680" t="s">
        <v>6153</v>
      </c>
    </row>
    <row r="38521" spans="8:8">
      <c r="H38521" s="680" t="s">
        <v>6153</v>
      </c>
    </row>
    <row r="38522" spans="8:8">
      <c r="H38522" s="680" t="s">
        <v>6153</v>
      </c>
    </row>
    <row r="38523" spans="8:8">
      <c r="H38523" s="680" t="s">
        <v>6153</v>
      </c>
    </row>
    <row r="38524" spans="8:8">
      <c r="H38524" s="680" t="s">
        <v>6153</v>
      </c>
    </row>
    <row r="38525" spans="8:8">
      <c r="H38525" s="680" t="s">
        <v>6153</v>
      </c>
    </row>
    <row r="38526" spans="8:8">
      <c r="H38526" s="680" t="s">
        <v>6153</v>
      </c>
    </row>
    <row r="38527" spans="8:8">
      <c r="H38527" s="680" t="s">
        <v>6153</v>
      </c>
    </row>
    <row r="38528" spans="8:8">
      <c r="H38528" s="680" t="s">
        <v>6153</v>
      </c>
    </row>
    <row r="38529" spans="8:8">
      <c r="H38529" s="680" t="s">
        <v>6153</v>
      </c>
    </row>
    <row r="38530" spans="8:8">
      <c r="H38530" s="680" t="s">
        <v>6153</v>
      </c>
    </row>
    <row r="38531" spans="8:8">
      <c r="H38531" s="680" t="s">
        <v>6153</v>
      </c>
    </row>
    <row r="38532" spans="8:8">
      <c r="H38532" s="680" t="s">
        <v>6153</v>
      </c>
    </row>
    <row r="38533" spans="8:8">
      <c r="H38533" s="680" t="s">
        <v>6153</v>
      </c>
    </row>
    <row r="38534" spans="8:8">
      <c r="H38534" s="680" t="s">
        <v>6153</v>
      </c>
    </row>
    <row r="38535" spans="8:8">
      <c r="H38535" s="680" t="s">
        <v>6153</v>
      </c>
    </row>
    <row r="38536" spans="8:8">
      <c r="H38536" s="680" t="s">
        <v>6153</v>
      </c>
    </row>
    <row r="38537" spans="8:8">
      <c r="H38537" s="680" t="s">
        <v>6153</v>
      </c>
    </row>
    <row r="38538" spans="8:8">
      <c r="H38538" s="680" t="s">
        <v>6153</v>
      </c>
    </row>
    <row r="38539" spans="8:8">
      <c r="H38539" s="680" t="s">
        <v>6153</v>
      </c>
    </row>
    <row r="38540" spans="8:8">
      <c r="H38540" s="680" t="s">
        <v>6153</v>
      </c>
    </row>
    <row r="38541" spans="8:8">
      <c r="H38541" s="680" t="s">
        <v>6153</v>
      </c>
    </row>
    <row r="38542" spans="8:8">
      <c r="H38542" s="680" t="s">
        <v>6153</v>
      </c>
    </row>
    <row r="38543" spans="8:8">
      <c r="H38543" s="680" t="s">
        <v>6153</v>
      </c>
    </row>
    <row r="38544" spans="8:8">
      <c r="H38544" s="680" t="s">
        <v>6153</v>
      </c>
    </row>
    <row r="38545" spans="8:8">
      <c r="H38545" s="680" t="s">
        <v>6153</v>
      </c>
    </row>
    <row r="38546" spans="8:8">
      <c r="H38546" s="680" t="s">
        <v>6153</v>
      </c>
    </row>
    <row r="38547" spans="8:8">
      <c r="H38547" s="680" t="s">
        <v>6153</v>
      </c>
    </row>
    <row r="38548" spans="8:8">
      <c r="H38548" s="680" t="s">
        <v>6153</v>
      </c>
    </row>
    <row r="38549" spans="8:8">
      <c r="H38549" s="680" t="s">
        <v>6153</v>
      </c>
    </row>
    <row r="38550" spans="8:8">
      <c r="H38550" s="680" t="s">
        <v>6153</v>
      </c>
    </row>
    <row r="38551" spans="8:8">
      <c r="H38551" s="680" t="s">
        <v>6153</v>
      </c>
    </row>
    <row r="38552" spans="8:8">
      <c r="H38552" s="680" t="s">
        <v>6153</v>
      </c>
    </row>
    <row r="38553" spans="8:8">
      <c r="H38553" s="680" t="s">
        <v>6153</v>
      </c>
    </row>
    <row r="38554" spans="8:8">
      <c r="H38554" s="680" t="s">
        <v>6153</v>
      </c>
    </row>
    <row r="38555" spans="8:8">
      <c r="H38555" s="680" t="s">
        <v>6153</v>
      </c>
    </row>
    <row r="38556" spans="8:8">
      <c r="H38556" s="680" t="s">
        <v>6153</v>
      </c>
    </row>
    <row r="38557" spans="8:8">
      <c r="H38557" s="680" t="s">
        <v>6153</v>
      </c>
    </row>
    <row r="38558" spans="8:8">
      <c r="H38558" s="680" t="s">
        <v>6153</v>
      </c>
    </row>
    <row r="38559" spans="8:8">
      <c r="H38559" s="680" t="s">
        <v>6153</v>
      </c>
    </row>
    <row r="38560" spans="8:8">
      <c r="H38560" s="680" t="s">
        <v>6153</v>
      </c>
    </row>
    <row r="38561" spans="8:8">
      <c r="H38561" s="680" t="s">
        <v>6153</v>
      </c>
    </row>
    <row r="38562" spans="8:8">
      <c r="H38562" s="680" t="s">
        <v>6153</v>
      </c>
    </row>
    <row r="38563" spans="8:8">
      <c r="H38563" s="680" t="s">
        <v>6153</v>
      </c>
    </row>
    <row r="38564" spans="8:8">
      <c r="H38564" s="680" t="s">
        <v>6153</v>
      </c>
    </row>
    <row r="38565" spans="8:8">
      <c r="H38565" s="680" t="s">
        <v>6153</v>
      </c>
    </row>
    <row r="38566" spans="8:8">
      <c r="H38566" s="680" t="s">
        <v>6153</v>
      </c>
    </row>
    <row r="38567" spans="8:8">
      <c r="H38567" s="680" t="s">
        <v>6153</v>
      </c>
    </row>
    <row r="38568" spans="8:8">
      <c r="H38568" s="680" t="s">
        <v>6153</v>
      </c>
    </row>
    <row r="38569" spans="8:8">
      <c r="H38569" s="680" t="s">
        <v>6153</v>
      </c>
    </row>
    <row r="38570" spans="8:8">
      <c r="H38570" s="680" t="s">
        <v>6153</v>
      </c>
    </row>
    <row r="38571" spans="8:8">
      <c r="H38571" s="680" t="s">
        <v>6153</v>
      </c>
    </row>
    <row r="38572" spans="8:8">
      <c r="H38572" s="680" t="s">
        <v>6153</v>
      </c>
    </row>
    <row r="38573" spans="8:8">
      <c r="H38573" s="680" t="s">
        <v>6153</v>
      </c>
    </row>
    <row r="38574" spans="8:8">
      <c r="H38574" s="680" t="s">
        <v>6153</v>
      </c>
    </row>
    <row r="38575" spans="8:8">
      <c r="H38575" s="680" t="s">
        <v>6153</v>
      </c>
    </row>
    <row r="38576" spans="8:8">
      <c r="H38576" s="680" t="s">
        <v>6153</v>
      </c>
    </row>
    <row r="38577" spans="8:8">
      <c r="H38577" s="680" t="s">
        <v>6153</v>
      </c>
    </row>
    <row r="38578" spans="8:8">
      <c r="H38578" s="680" t="s">
        <v>6153</v>
      </c>
    </row>
    <row r="38579" spans="8:8">
      <c r="H38579" s="680" t="s">
        <v>6153</v>
      </c>
    </row>
    <row r="38580" spans="8:8">
      <c r="H38580" s="680" t="s">
        <v>6153</v>
      </c>
    </row>
    <row r="38581" spans="8:8">
      <c r="H38581" s="680" t="s">
        <v>6153</v>
      </c>
    </row>
    <row r="38582" spans="8:8">
      <c r="H38582" s="680" t="s">
        <v>6153</v>
      </c>
    </row>
    <row r="38583" spans="8:8">
      <c r="H38583" s="680" t="s">
        <v>6153</v>
      </c>
    </row>
    <row r="38584" spans="8:8">
      <c r="H38584" s="680" t="s">
        <v>6153</v>
      </c>
    </row>
    <row r="38585" spans="8:8">
      <c r="H38585" s="680" t="s">
        <v>6153</v>
      </c>
    </row>
    <row r="38586" spans="8:8">
      <c r="H38586" s="680" t="s">
        <v>6153</v>
      </c>
    </row>
    <row r="38587" spans="8:8">
      <c r="H38587" s="680" t="s">
        <v>6153</v>
      </c>
    </row>
    <row r="38588" spans="8:8">
      <c r="H38588" s="680" t="s">
        <v>6153</v>
      </c>
    </row>
    <row r="38589" spans="8:8">
      <c r="H38589" s="680" t="s">
        <v>6153</v>
      </c>
    </row>
    <row r="38590" spans="8:8">
      <c r="H38590" s="680" t="s">
        <v>6153</v>
      </c>
    </row>
    <row r="38591" spans="8:8">
      <c r="H38591" s="680" t="s">
        <v>6153</v>
      </c>
    </row>
    <row r="38592" spans="8:8">
      <c r="H38592" s="680" t="s">
        <v>6153</v>
      </c>
    </row>
    <row r="38593" spans="8:8">
      <c r="H38593" s="680" t="s">
        <v>6153</v>
      </c>
    </row>
    <row r="38594" spans="8:8">
      <c r="H38594" s="680" t="s">
        <v>6153</v>
      </c>
    </row>
    <row r="38595" spans="8:8">
      <c r="H38595" s="680" t="s">
        <v>6153</v>
      </c>
    </row>
    <row r="38596" spans="8:8">
      <c r="H38596" s="680" t="s">
        <v>6153</v>
      </c>
    </row>
    <row r="38597" spans="8:8">
      <c r="H38597" s="680" t="s">
        <v>6153</v>
      </c>
    </row>
    <row r="38598" spans="8:8">
      <c r="H38598" s="680" t="s">
        <v>6153</v>
      </c>
    </row>
    <row r="38599" spans="8:8">
      <c r="H38599" s="680" t="s">
        <v>6153</v>
      </c>
    </row>
    <row r="38600" spans="8:8">
      <c r="H38600" s="680" t="s">
        <v>6153</v>
      </c>
    </row>
    <row r="38601" spans="8:8">
      <c r="H38601" s="680" t="s">
        <v>6153</v>
      </c>
    </row>
    <row r="38602" spans="8:8">
      <c r="H38602" s="680" t="s">
        <v>6153</v>
      </c>
    </row>
    <row r="38603" spans="8:8">
      <c r="H38603" s="680" t="s">
        <v>6153</v>
      </c>
    </row>
    <row r="38604" spans="8:8">
      <c r="H38604" s="680" t="s">
        <v>6153</v>
      </c>
    </row>
    <row r="38605" spans="8:8">
      <c r="H38605" s="680" t="s">
        <v>6153</v>
      </c>
    </row>
    <row r="38606" spans="8:8">
      <c r="H38606" s="680" t="s">
        <v>6153</v>
      </c>
    </row>
    <row r="38607" spans="8:8">
      <c r="H38607" s="680" t="s">
        <v>6153</v>
      </c>
    </row>
    <row r="38608" spans="8:8">
      <c r="H38608" s="680" t="s">
        <v>6153</v>
      </c>
    </row>
    <row r="38609" spans="8:8">
      <c r="H38609" s="680" t="s">
        <v>6153</v>
      </c>
    </row>
    <row r="38610" spans="8:8">
      <c r="H38610" s="680" t="s">
        <v>6153</v>
      </c>
    </row>
    <row r="38611" spans="8:8">
      <c r="H38611" s="680" t="s">
        <v>6153</v>
      </c>
    </row>
    <row r="38612" spans="8:8">
      <c r="H38612" s="680" t="s">
        <v>6153</v>
      </c>
    </row>
    <row r="38613" spans="8:8">
      <c r="H38613" s="680" t="s">
        <v>6153</v>
      </c>
    </row>
    <row r="38614" spans="8:8">
      <c r="H38614" s="680" t="s">
        <v>6153</v>
      </c>
    </row>
    <row r="38615" spans="8:8">
      <c r="H38615" s="680" t="s">
        <v>6153</v>
      </c>
    </row>
    <row r="38616" spans="8:8">
      <c r="H38616" s="680" t="s">
        <v>6153</v>
      </c>
    </row>
    <row r="38617" spans="8:8">
      <c r="H38617" s="680" t="s">
        <v>6153</v>
      </c>
    </row>
    <row r="38618" spans="8:8">
      <c r="H38618" s="680" t="s">
        <v>6153</v>
      </c>
    </row>
    <row r="38619" spans="8:8">
      <c r="H38619" s="680" t="s">
        <v>6153</v>
      </c>
    </row>
    <row r="38620" spans="8:8">
      <c r="H38620" s="680" t="s">
        <v>6153</v>
      </c>
    </row>
    <row r="38621" spans="8:8">
      <c r="H38621" s="680" t="s">
        <v>6153</v>
      </c>
    </row>
    <row r="38622" spans="8:8">
      <c r="H38622" s="680" t="s">
        <v>6153</v>
      </c>
    </row>
    <row r="38623" spans="8:8">
      <c r="H38623" s="680" t="s">
        <v>6153</v>
      </c>
    </row>
    <row r="38624" spans="8:8">
      <c r="H38624" s="680" t="s">
        <v>6153</v>
      </c>
    </row>
    <row r="38625" spans="8:8">
      <c r="H38625" s="680" t="s">
        <v>6153</v>
      </c>
    </row>
    <row r="38626" spans="8:8">
      <c r="H38626" s="680" t="s">
        <v>6153</v>
      </c>
    </row>
    <row r="38627" spans="8:8">
      <c r="H38627" s="680" t="s">
        <v>6153</v>
      </c>
    </row>
    <row r="38628" spans="8:8">
      <c r="H38628" s="680" t="s">
        <v>6153</v>
      </c>
    </row>
    <row r="38629" spans="8:8">
      <c r="H38629" s="680" t="s">
        <v>6153</v>
      </c>
    </row>
    <row r="38630" spans="8:8">
      <c r="H38630" s="680" t="s">
        <v>6153</v>
      </c>
    </row>
    <row r="38631" spans="8:8">
      <c r="H38631" s="680" t="s">
        <v>6153</v>
      </c>
    </row>
    <row r="38632" spans="8:8">
      <c r="H38632" s="680" t="s">
        <v>6153</v>
      </c>
    </row>
    <row r="38633" spans="8:8">
      <c r="H38633" s="680" t="s">
        <v>6153</v>
      </c>
    </row>
    <row r="38634" spans="8:8">
      <c r="H38634" s="680" t="s">
        <v>6153</v>
      </c>
    </row>
    <row r="38635" spans="8:8">
      <c r="H38635" s="680" t="s">
        <v>6153</v>
      </c>
    </row>
    <row r="38636" spans="8:8">
      <c r="H38636" s="680" t="s">
        <v>6153</v>
      </c>
    </row>
    <row r="38637" spans="8:8">
      <c r="H38637" s="680" t="s">
        <v>6153</v>
      </c>
    </row>
    <row r="38638" spans="8:8">
      <c r="H38638" s="680" t="s">
        <v>6153</v>
      </c>
    </row>
    <row r="38639" spans="8:8">
      <c r="H38639" s="680" t="s">
        <v>6153</v>
      </c>
    </row>
    <row r="38640" spans="8:8">
      <c r="H38640" s="680" t="s">
        <v>6153</v>
      </c>
    </row>
    <row r="38641" spans="8:8">
      <c r="H38641" s="680" t="s">
        <v>6153</v>
      </c>
    </row>
    <row r="38642" spans="8:8">
      <c r="H38642" s="680" t="s">
        <v>6153</v>
      </c>
    </row>
    <row r="38643" spans="8:8">
      <c r="H38643" s="680" t="s">
        <v>6153</v>
      </c>
    </row>
    <row r="38644" spans="8:8">
      <c r="H38644" s="680" t="s">
        <v>6153</v>
      </c>
    </row>
    <row r="38645" spans="8:8">
      <c r="H38645" s="680" t="s">
        <v>6153</v>
      </c>
    </row>
    <row r="38646" spans="8:8">
      <c r="H38646" s="680" t="s">
        <v>6153</v>
      </c>
    </row>
    <row r="38647" spans="8:8">
      <c r="H38647" s="680" t="s">
        <v>6153</v>
      </c>
    </row>
    <row r="38648" spans="8:8">
      <c r="H38648" s="680" t="s">
        <v>6153</v>
      </c>
    </row>
    <row r="38649" spans="8:8">
      <c r="H38649" s="680" t="s">
        <v>6153</v>
      </c>
    </row>
    <row r="38650" spans="8:8">
      <c r="H38650" s="680" t="s">
        <v>6153</v>
      </c>
    </row>
    <row r="38651" spans="8:8">
      <c r="H38651" s="680" t="s">
        <v>6153</v>
      </c>
    </row>
    <row r="38652" spans="8:8">
      <c r="H38652" s="680" t="s">
        <v>6153</v>
      </c>
    </row>
    <row r="38653" spans="8:8">
      <c r="H38653" s="680" t="s">
        <v>6153</v>
      </c>
    </row>
    <row r="38654" spans="8:8">
      <c r="H38654" s="680" t="s">
        <v>6153</v>
      </c>
    </row>
    <row r="38655" spans="8:8">
      <c r="H38655" s="680" t="s">
        <v>6153</v>
      </c>
    </row>
    <row r="38656" spans="8:8">
      <c r="H38656" s="680" t="s">
        <v>6153</v>
      </c>
    </row>
    <row r="38657" spans="8:8">
      <c r="H38657" s="680" t="s">
        <v>6153</v>
      </c>
    </row>
    <row r="38658" spans="8:8">
      <c r="H38658" s="680" t="s">
        <v>6153</v>
      </c>
    </row>
    <row r="38659" spans="8:8">
      <c r="H38659" s="680" t="s">
        <v>6153</v>
      </c>
    </row>
    <row r="38660" spans="8:8">
      <c r="H38660" s="680" t="s">
        <v>6153</v>
      </c>
    </row>
    <row r="38661" spans="8:8">
      <c r="H38661" s="680" t="s">
        <v>6153</v>
      </c>
    </row>
    <row r="38662" spans="8:8">
      <c r="H38662" s="680" t="s">
        <v>6153</v>
      </c>
    </row>
    <row r="38663" spans="8:8">
      <c r="H38663" s="680" t="s">
        <v>6153</v>
      </c>
    </row>
    <row r="38664" spans="8:8">
      <c r="H38664" s="680" t="s">
        <v>6153</v>
      </c>
    </row>
    <row r="38665" spans="8:8">
      <c r="H38665" s="680" t="s">
        <v>6153</v>
      </c>
    </row>
    <row r="38666" spans="8:8">
      <c r="H38666" s="680" t="s">
        <v>6153</v>
      </c>
    </row>
    <row r="38667" spans="8:8">
      <c r="H38667" s="680" t="s">
        <v>6153</v>
      </c>
    </row>
    <row r="38668" spans="8:8">
      <c r="H38668" s="680" t="s">
        <v>6153</v>
      </c>
    </row>
    <row r="38669" spans="8:8">
      <c r="H38669" s="680" t="s">
        <v>6153</v>
      </c>
    </row>
    <row r="38670" spans="8:8">
      <c r="H38670" s="680" t="s">
        <v>6153</v>
      </c>
    </row>
    <row r="38671" spans="8:8">
      <c r="H38671" s="680" t="s">
        <v>6153</v>
      </c>
    </row>
    <row r="38672" spans="8:8">
      <c r="H38672" s="680" t="s">
        <v>6153</v>
      </c>
    </row>
    <row r="38673" spans="8:8">
      <c r="H38673" s="680" t="s">
        <v>6153</v>
      </c>
    </row>
    <row r="38674" spans="8:8">
      <c r="H38674" s="680" t="s">
        <v>6153</v>
      </c>
    </row>
    <row r="38675" spans="8:8">
      <c r="H38675" s="680" t="s">
        <v>6153</v>
      </c>
    </row>
    <row r="38676" spans="8:8">
      <c r="H38676" s="680" t="s">
        <v>6153</v>
      </c>
    </row>
    <row r="38677" spans="8:8">
      <c r="H38677" s="680" t="s">
        <v>6153</v>
      </c>
    </row>
    <row r="38678" spans="8:8">
      <c r="H38678" s="680" t="s">
        <v>6153</v>
      </c>
    </row>
    <row r="38679" spans="8:8">
      <c r="H38679" s="680" t="s">
        <v>6153</v>
      </c>
    </row>
    <row r="38680" spans="8:8">
      <c r="H38680" s="680" t="s">
        <v>6153</v>
      </c>
    </row>
    <row r="38681" spans="8:8">
      <c r="H38681" s="680" t="s">
        <v>6153</v>
      </c>
    </row>
    <row r="38682" spans="8:8">
      <c r="H38682" s="680" t="s">
        <v>6153</v>
      </c>
    </row>
    <row r="38683" spans="8:8">
      <c r="H38683" s="680" t="s">
        <v>6153</v>
      </c>
    </row>
    <row r="38684" spans="8:8">
      <c r="H38684" s="680" t="s">
        <v>6153</v>
      </c>
    </row>
    <row r="38685" spans="8:8">
      <c r="H38685" s="680" t="s">
        <v>6153</v>
      </c>
    </row>
    <row r="38686" spans="8:8">
      <c r="H38686" s="680" t="s">
        <v>6153</v>
      </c>
    </row>
    <row r="38687" spans="8:8">
      <c r="H38687" s="680" t="s">
        <v>6153</v>
      </c>
    </row>
    <row r="38688" spans="8:8">
      <c r="H38688" s="680" t="s">
        <v>6153</v>
      </c>
    </row>
    <row r="38689" spans="8:8">
      <c r="H38689" s="680" t="s">
        <v>6153</v>
      </c>
    </row>
    <row r="38690" spans="8:8">
      <c r="H38690" s="680" t="s">
        <v>6153</v>
      </c>
    </row>
    <row r="38691" spans="8:8">
      <c r="H38691" s="680" t="s">
        <v>6153</v>
      </c>
    </row>
    <row r="38692" spans="8:8">
      <c r="H38692" s="680" t="s">
        <v>6153</v>
      </c>
    </row>
    <row r="38693" spans="8:8">
      <c r="H38693" s="680" t="s">
        <v>6153</v>
      </c>
    </row>
    <row r="38694" spans="8:8">
      <c r="H38694" s="680" t="s">
        <v>6153</v>
      </c>
    </row>
    <row r="38695" spans="8:8">
      <c r="H38695" s="680" t="s">
        <v>6153</v>
      </c>
    </row>
    <row r="38696" spans="8:8">
      <c r="H38696" s="680" t="s">
        <v>6153</v>
      </c>
    </row>
    <row r="38697" spans="8:8">
      <c r="H38697" s="680" t="s">
        <v>6153</v>
      </c>
    </row>
    <row r="38698" spans="8:8">
      <c r="H38698" s="680" t="s">
        <v>6153</v>
      </c>
    </row>
    <row r="38699" spans="8:8">
      <c r="H38699" s="680" t="s">
        <v>6153</v>
      </c>
    </row>
    <row r="38700" spans="8:8">
      <c r="H38700" s="680" t="s">
        <v>6153</v>
      </c>
    </row>
    <row r="38701" spans="8:8">
      <c r="H38701" s="680" t="s">
        <v>6153</v>
      </c>
    </row>
    <row r="38702" spans="8:8">
      <c r="H38702" s="680" t="s">
        <v>6153</v>
      </c>
    </row>
    <row r="38703" spans="8:8">
      <c r="H38703" s="680" t="s">
        <v>6153</v>
      </c>
    </row>
    <row r="38704" spans="8:8">
      <c r="H38704" s="680" t="s">
        <v>6153</v>
      </c>
    </row>
    <row r="38705" spans="8:8">
      <c r="H38705" s="680" t="s">
        <v>6153</v>
      </c>
    </row>
    <row r="38706" spans="8:8">
      <c r="H38706" s="680" t="s">
        <v>6153</v>
      </c>
    </row>
    <row r="38707" spans="8:8">
      <c r="H38707" s="680" t="s">
        <v>6153</v>
      </c>
    </row>
    <row r="38708" spans="8:8">
      <c r="H38708" s="680" t="s">
        <v>6153</v>
      </c>
    </row>
    <row r="38709" spans="8:8">
      <c r="H38709" s="680" t="s">
        <v>6153</v>
      </c>
    </row>
    <row r="38710" spans="8:8">
      <c r="H38710" s="680" t="s">
        <v>6153</v>
      </c>
    </row>
    <row r="38711" spans="8:8">
      <c r="H38711" s="680" t="s">
        <v>6153</v>
      </c>
    </row>
    <row r="38712" spans="8:8">
      <c r="H38712" s="680" t="s">
        <v>6153</v>
      </c>
    </row>
    <row r="38713" spans="8:8">
      <c r="H38713" s="680" t="s">
        <v>6153</v>
      </c>
    </row>
    <row r="38714" spans="8:8">
      <c r="H38714" s="680" t="s">
        <v>6153</v>
      </c>
    </row>
    <row r="38715" spans="8:8">
      <c r="H38715" s="680" t="s">
        <v>6153</v>
      </c>
    </row>
    <row r="38716" spans="8:8">
      <c r="H38716" s="680" t="s">
        <v>6153</v>
      </c>
    </row>
    <row r="38717" spans="8:8">
      <c r="H38717" s="680" t="s">
        <v>6153</v>
      </c>
    </row>
    <row r="38718" spans="8:8">
      <c r="H38718" s="680" t="s">
        <v>6153</v>
      </c>
    </row>
    <row r="38719" spans="8:8">
      <c r="H38719" s="680" t="s">
        <v>6153</v>
      </c>
    </row>
    <row r="38720" spans="8:8">
      <c r="H38720" s="680" t="s">
        <v>6153</v>
      </c>
    </row>
    <row r="38721" spans="8:8">
      <c r="H38721" s="680" t="s">
        <v>6153</v>
      </c>
    </row>
    <row r="38722" spans="8:8">
      <c r="H38722" s="680" t="s">
        <v>6153</v>
      </c>
    </row>
    <row r="38723" spans="8:8">
      <c r="H38723" s="680" t="s">
        <v>6153</v>
      </c>
    </row>
    <row r="38724" spans="8:8">
      <c r="H38724" s="680" t="s">
        <v>6153</v>
      </c>
    </row>
    <row r="38725" spans="8:8">
      <c r="H38725" s="680" t="s">
        <v>6153</v>
      </c>
    </row>
    <row r="38726" spans="8:8">
      <c r="H38726" s="680" t="s">
        <v>6153</v>
      </c>
    </row>
    <row r="38727" spans="8:8">
      <c r="H38727" s="680" t="s">
        <v>6153</v>
      </c>
    </row>
    <row r="38728" spans="8:8">
      <c r="H38728" s="680" t="s">
        <v>6153</v>
      </c>
    </row>
    <row r="38729" spans="8:8">
      <c r="H38729" s="680" t="s">
        <v>6153</v>
      </c>
    </row>
    <row r="38730" spans="8:8">
      <c r="H38730" s="680" t="s">
        <v>6153</v>
      </c>
    </row>
    <row r="38731" spans="8:8">
      <c r="H38731" s="680" t="s">
        <v>6153</v>
      </c>
    </row>
    <row r="38732" spans="8:8">
      <c r="H38732" s="680" t="s">
        <v>6153</v>
      </c>
    </row>
    <row r="38733" spans="8:8">
      <c r="H38733" s="680" t="s">
        <v>6153</v>
      </c>
    </row>
    <row r="38734" spans="8:8">
      <c r="H38734" s="680" t="s">
        <v>6153</v>
      </c>
    </row>
    <row r="38735" spans="8:8">
      <c r="H38735" s="680" t="s">
        <v>6153</v>
      </c>
    </row>
    <row r="38736" spans="8:8">
      <c r="H38736" s="680" t="s">
        <v>6153</v>
      </c>
    </row>
    <row r="38737" spans="8:8">
      <c r="H38737" s="680" t="s">
        <v>6153</v>
      </c>
    </row>
    <row r="38738" spans="8:8">
      <c r="H38738" s="680" t="s">
        <v>6153</v>
      </c>
    </row>
    <row r="38739" spans="8:8">
      <c r="H38739" s="680" t="s">
        <v>6153</v>
      </c>
    </row>
    <row r="38740" spans="8:8">
      <c r="H38740" s="680" t="s">
        <v>6153</v>
      </c>
    </row>
    <row r="38741" spans="8:8">
      <c r="H38741" s="680" t="s">
        <v>6153</v>
      </c>
    </row>
    <row r="38742" spans="8:8">
      <c r="H38742" s="680" t="s">
        <v>6153</v>
      </c>
    </row>
    <row r="38743" spans="8:8">
      <c r="H38743" s="680" t="s">
        <v>6153</v>
      </c>
    </row>
    <row r="38744" spans="8:8">
      <c r="H38744" s="680" t="s">
        <v>6153</v>
      </c>
    </row>
    <row r="38745" spans="8:8">
      <c r="H38745" s="680" t="s">
        <v>6153</v>
      </c>
    </row>
    <row r="38746" spans="8:8">
      <c r="H38746" s="680" t="s">
        <v>6153</v>
      </c>
    </row>
    <row r="38747" spans="8:8">
      <c r="H38747" s="680" t="s">
        <v>6153</v>
      </c>
    </row>
    <row r="38748" spans="8:8">
      <c r="H38748" s="680" t="s">
        <v>6153</v>
      </c>
    </row>
    <row r="38749" spans="8:8">
      <c r="H38749" s="680" t="s">
        <v>6153</v>
      </c>
    </row>
    <row r="38750" spans="8:8">
      <c r="H38750" s="680" t="s">
        <v>6153</v>
      </c>
    </row>
    <row r="38751" spans="8:8">
      <c r="H38751" s="680" t="s">
        <v>6153</v>
      </c>
    </row>
    <row r="38752" spans="8:8">
      <c r="H38752" s="680" t="s">
        <v>6153</v>
      </c>
    </row>
    <row r="38753" spans="8:8">
      <c r="H38753" s="680" t="s">
        <v>6153</v>
      </c>
    </row>
    <row r="38754" spans="8:8">
      <c r="H38754" s="680" t="s">
        <v>6153</v>
      </c>
    </row>
    <row r="38755" spans="8:8">
      <c r="H38755" s="680" t="s">
        <v>6153</v>
      </c>
    </row>
    <row r="38756" spans="8:8">
      <c r="H38756" s="680" t="s">
        <v>6153</v>
      </c>
    </row>
    <row r="38757" spans="8:8">
      <c r="H38757" s="680" t="s">
        <v>6153</v>
      </c>
    </row>
    <row r="38758" spans="8:8">
      <c r="H38758" s="680" t="s">
        <v>6153</v>
      </c>
    </row>
    <row r="38759" spans="8:8">
      <c r="H38759" s="680" t="s">
        <v>6153</v>
      </c>
    </row>
    <row r="38760" spans="8:8">
      <c r="H38760" s="680" t="s">
        <v>6153</v>
      </c>
    </row>
    <row r="38761" spans="8:8">
      <c r="H38761" s="680" t="s">
        <v>6153</v>
      </c>
    </row>
    <row r="38762" spans="8:8">
      <c r="H38762" s="680" t="s">
        <v>6153</v>
      </c>
    </row>
    <row r="38763" spans="8:8">
      <c r="H38763" s="680" t="s">
        <v>6153</v>
      </c>
    </row>
    <row r="38764" spans="8:8">
      <c r="H38764" s="680" t="s">
        <v>6153</v>
      </c>
    </row>
    <row r="38765" spans="8:8">
      <c r="H38765" s="680" t="s">
        <v>6153</v>
      </c>
    </row>
    <row r="38766" spans="8:8">
      <c r="H38766" s="680" t="s">
        <v>6153</v>
      </c>
    </row>
    <row r="38767" spans="8:8">
      <c r="H38767" s="680" t="s">
        <v>6153</v>
      </c>
    </row>
    <row r="38768" spans="8:8">
      <c r="H38768" s="680" t="s">
        <v>6153</v>
      </c>
    </row>
    <row r="38769" spans="8:8">
      <c r="H38769" s="680" t="s">
        <v>6153</v>
      </c>
    </row>
    <row r="38770" spans="8:8">
      <c r="H38770" s="680" t="s">
        <v>6153</v>
      </c>
    </row>
    <row r="38771" spans="8:8">
      <c r="H38771" s="680" t="s">
        <v>6153</v>
      </c>
    </row>
    <row r="38772" spans="8:8">
      <c r="H38772" s="680" t="s">
        <v>6153</v>
      </c>
    </row>
    <row r="38773" spans="8:8">
      <c r="H38773" s="680" t="s">
        <v>6153</v>
      </c>
    </row>
    <row r="38774" spans="8:8">
      <c r="H38774" s="680" t="s">
        <v>6153</v>
      </c>
    </row>
    <row r="38775" spans="8:8">
      <c r="H38775" s="680" t="s">
        <v>6153</v>
      </c>
    </row>
    <row r="38776" spans="8:8">
      <c r="H38776" s="680" t="s">
        <v>6153</v>
      </c>
    </row>
    <row r="38777" spans="8:8">
      <c r="H38777" s="680" t="s">
        <v>6153</v>
      </c>
    </row>
    <row r="38778" spans="8:8">
      <c r="H38778" s="680" t="s">
        <v>6153</v>
      </c>
    </row>
    <row r="38779" spans="8:8">
      <c r="H38779" s="680" t="s">
        <v>6153</v>
      </c>
    </row>
    <row r="38780" spans="8:8">
      <c r="H38780" s="680" t="s">
        <v>6153</v>
      </c>
    </row>
    <row r="38781" spans="8:8">
      <c r="H38781" s="680" t="s">
        <v>6153</v>
      </c>
    </row>
    <row r="38782" spans="8:8">
      <c r="H38782" s="680" t="s">
        <v>6153</v>
      </c>
    </row>
    <row r="38783" spans="8:8">
      <c r="H38783" s="680" t="s">
        <v>6153</v>
      </c>
    </row>
    <row r="38784" spans="8:8">
      <c r="H38784" s="680" t="s">
        <v>6153</v>
      </c>
    </row>
    <row r="38785" spans="8:8">
      <c r="H38785" s="680" t="s">
        <v>6153</v>
      </c>
    </row>
    <row r="38786" spans="8:8">
      <c r="H38786" s="680" t="s">
        <v>6153</v>
      </c>
    </row>
    <row r="38787" spans="8:8">
      <c r="H38787" s="680" t="s">
        <v>6153</v>
      </c>
    </row>
    <row r="38788" spans="8:8">
      <c r="H38788" s="680" t="s">
        <v>6153</v>
      </c>
    </row>
    <row r="38789" spans="8:8">
      <c r="H38789" s="680" t="s">
        <v>6153</v>
      </c>
    </row>
    <row r="38790" spans="8:8">
      <c r="H38790" s="680" t="s">
        <v>6153</v>
      </c>
    </row>
    <row r="38791" spans="8:8">
      <c r="H38791" s="680" t="s">
        <v>6153</v>
      </c>
    </row>
    <row r="38792" spans="8:8">
      <c r="H38792" s="680" t="s">
        <v>6153</v>
      </c>
    </row>
    <row r="38793" spans="8:8">
      <c r="H38793" s="680" t="s">
        <v>6153</v>
      </c>
    </row>
    <row r="38794" spans="8:8">
      <c r="H38794" s="680" t="s">
        <v>6153</v>
      </c>
    </row>
    <row r="38795" spans="8:8">
      <c r="H38795" s="680" t="s">
        <v>6153</v>
      </c>
    </row>
    <row r="38796" spans="8:8">
      <c r="H38796" s="680" t="s">
        <v>6153</v>
      </c>
    </row>
    <row r="38797" spans="8:8">
      <c r="H38797" s="680" t="s">
        <v>6153</v>
      </c>
    </row>
    <row r="38798" spans="8:8">
      <c r="H38798" s="680" t="s">
        <v>6153</v>
      </c>
    </row>
    <row r="38799" spans="8:8">
      <c r="H38799" s="680" t="s">
        <v>6153</v>
      </c>
    </row>
    <row r="38800" spans="8:8">
      <c r="H38800" s="680" t="s">
        <v>6153</v>
      </c>
    </row>
    <row r="38801" spans="8:8">
      <c r="H38801" s="680" t="s">
        <v>6153</v>
      </c>
    </row>
    <row r="38802" spans="8:8">
      <c r="H38802" s="680" t="s">
        <v>6153</v>
      </c>
    </row>
    <row r="38803" spans="8:8">
      <c r="H38803" s="680" t="s">
        <v>6153</v>
      </c>
    </row>
    <row r="38804" spans="8:8">
      <c r="H38804" s="680" t="s">
        <v>6153</v>
      </c>
    </row>
    <row r="38805" spans="8:8">
      <c r="H38805" s="680" t="s">
        <v>6153</v>
      </c>
    </row>
    <row r="38806" spans="8:8">
      <c r="H38806" s="680" t="s">
        <v>6153</v>
      </c>
    </row>
    <row r="38807" spans="8:8">
      <c r="H38807" s="680" t="s">
        <v>6153</v>
      </c>
    </row>
    <row r="38808" spans="8:8">
      <c r="H38808" s="680" t="s">
        <v>6153</v>
      </c>
    </row>
    <row r="38809" spans="8:8">
      <c r="H38809" s="680" t="s">
        <v>6153</v>
      </c>
    </row>
    <row r="38810" spans="8:8">
      <c r="H38810" s="680" t="s">
        <v>6153</v>
      </c>
    </row>
    <row r="38811" spans="8:8">
      <c r="H38811" s="680" t="s">
        <v>6153</v>
      </c>
    </row>
    <row r="38812" spans="8:8">
      <c r="H38812" s="680" t="s">
        <v>6153</v>
      </c>
    </row>
    <row r="38813" spans="8:8">
      <c r="H38813" s="680" t="s">
        <v>6153</v>
      </c>
    </row>
    <row r="38814" spans="8:8">
      <c r="H38814" s="680" t="s">
        <v>6153</v>
      </c>
    </row>
    <row r="38815" spans="8:8">
      <c r="H38815" s="680" t="s">
        <v>6153</v>
      </c>
    </row>
    <row r="38816" spans="8:8">
      <c r="H38816" s="680" t="s">
        <v>6153</v>
      </c>
    </row>
    <row r="38817" spans="8:8">
      <c r="H38817" s="680" t="s">
        <v>6153</v>
      </c>
    </row>
    <row r="38818" spans="8:8">
      <c r="H38818" s="680" t="s">
        <v>6153</v>
      </c>
    </row>
    <row r="38819" spans="8:8">
      <c r="H38819" s="680" t="s">
        <v>6153</v>
      </c>
    </row>
    <row r="38820" spans="8:8">
      <c r="H38820" s="680" t="s">
        <v>6153</v>
      </c>
    </row>
    <row r="38821" spans="8:8">
      <c r="H38821" s="680" t="s">
        <v>6153</v>
      </c>
    </row>
    <row r="38822" spans="8:8">
      <c r="H38822" s="680" t="s">
        <v>6153</v>
      </c>
    </row>
    <row r="38823" spans="8:8">
      <c r="H38823" s="680" t="s">
        <v>6153</v>
      </c>
    </row>
    <row r="38824" spans="8:8">
      <c r="H38824" s="680" t="s">
        <v>6153</v>
      </c>
    </row>
    <row r="38825" spans="8:8">
      <c r="H38825" s="680" t="s">
        <v>6153</v>
      </c>
    </row>
    <row r="38826" spans="8:8">
      <c r="H38826" s="680" t="s">
        <v>6153</v>
      </c>
    </row>
    <row r="38827" spans="8:8">
      <c r="H38827" s="680" t="s">
        <v>6153</v>
      </c>
    </row>
    <row r="38828" spans="8:8">
      <c r="H38828" s="680" t="s">
        <v>6153</v>
      </c>
    </row>
    <row r="38829" spans="8:8">
      <c r="H38829" s="680" t="s">
        <v>6153</v>
      </c>
    </row>
    <row r="38830" spans="8:8">
      <c r="H38830" s="680" t="s">
        <v>6153</v>
      </c>
    </row>
    <row r="38831" spans="8:8">
      <c r="H38831" s="680" t="s">
        <v>6153</v>
      </c>
    </row>
    <row r="38832" spans="8:8">
      <c r="H38832" s="680" t="s">
        <v>6153</v>
      </c>
    </row>
    <row r="38833" spans="8:8">
      <c r="H38833" s="680" t="s">
        <v>6153</v>
      </c>
    </row>
    <row r="38834" spans="8:8">
      <c r="H38834" s="680" t="s">
        <v>6153</v>
      </c>
    </row>
    <row r="38835" spans="8:8">
      <c r="H38835" s="680" t="s">
        <v>6153</v>
      </c>
    </row>
    <row r="38836" spans="8:8">
      <c r="H38836" s="680" t="s">
        <v>6153</v>
      </c>
    </row>
    <row r="38837" spans="8:8">
      <c r="H38837" s="680" t="s">
        <v>6153</v>
      </c>
    </row>
    <row r="38838" spans="8:8">
      <c r="H38838" s="680" t="s">
        <v>6153</v>
      </c>
    </row>
    <row r="38839" spans="8:8">
      <c r="H38839" s="680" t="s">
        <v>6153</v>
      </c>
    </row>
    <row r="38840" spans="8:8">
      <c r="H38840" s="680" t="s">
        <v>6153</v>
      </c>
    </row>
    <row r="38841" spans="8:8">
      <c r="H38841" s="680" t="s">
        <v>6153</v>
      </c>
    </row>
    <row r="38842" spans="8:8">
      <c r="H38842" s="680" t="s">
        <v>6153</v>
      </c>
    </row>
    <row r="38843" spans="8:8">
      <c r="H38843" s="680" t="s">
        <v>6153</v>
      </c>
    </row>
    <row r="38844" spans="8:8">
      <c r="H38844" s="680" t="s">
        <v>6153</v>
      </c>
    </row>
    <row r="38845" spans="8:8">
      <c r="H38845" s="680" t="s">
        <v>6153</v>
      </c>
    </row>
    <row r="38846" spans="8:8">
      <c r="H38846" s="680" t="s">
        <v>6153</v>
      </c>
    </row>
    <row r="38847" spans="8:8">
      <c r="H38847" s="680" t="s">
        <v>6153</v>
      </c>
    </row>
    <row r="38848" spans="8:8">
      <c r="H38848" s="680" t="s">
        <v>6153</v>
      </c>
    </row>
    <row r="38849" spans="8:8">
      <c r="H38849" s="680" t="s">
        <v>6153</v>
      </c>
    </row>
    <row r="38850" spans="8:8">
      <c r="H38850" s="680" t="s">
        <v>6153</v>
      </c>
    </row>
    <row r="38851" spans="8:8">
      <c r="H38851" s="680" t="s">
        <v>6153</v>
      </c>
    </row>
    <row r="38852" spans="8:8">
      <c r="H38852" s="680" t="s">
        <v>6153</v>
      </c>
    </row>
    <row r="38853" spans="8:8">
      <c r="H38853" s="680" t="s">
        <v>6153</v>
      </c>
    </row>
    <row r="38854" spans="8:8">
      <c r="H38854" s="680" t="s">
        <v>6153</v>
      </c>
    </row>
    <row r="38855" spans="8:8">
      <c r="H38855" s="680" t="s">
        <v>6153</v>
      </c>
    </row>
    <row r="38856" spans="8:8">
      <c r="H38856" s="680" t="s">
        <v>6153</v>
      </c>
    </row>
    <row r="38857" spans="8:8">
      <c r="H38857" s="680" t="s">
        <v>6153</v>
      </c>
    </row>
    <row r="38858" spans="8:8">
      <c r="H38858" s="680" t="s">
        <v>6153</v>
      </c>
    </row>
    <row r="38859" spans="8:8">
      <c r="H38859" s="680" t="s">
        <v>6153</v>
      </c>
    </row>
    <row r="38860" spans="8:8">
      <c r="H38860" s="680" t="s">
        <v>6153</v>
      </c>
    </row>
    <row r="38861" spans="8:8">
      <c r="H38861" s="680" t="s">
        <v>6153</v>
      </c>
    </row>
    <row r="38862" spans="8:8">
      <c r="H38862" s="680" t="s">
        <v>6153</v>
      </c>
    </row>
    <row r="38863" spans="8:8">
      <c r="H38863" s="680" t="s">
        <v>6153</v>
      </c>
    </row>
    <row r="38864" spans="8:8">
      <c r="H38864" s="680" t="s">
        <v>6153</v>
      </c>
    </row>
    <row r="38865" spans="8:8">
      <c r="H38865" s="680" t="s">
        <v>6153</v>
      </c>
    </row>
    <row r="38866" spans="8:8">
      <c r="H38866" s="680" t="s">
        <v>6153</v>
      </c>
    </row>
    <row r="38867" spans="8:8">
      <c r="H38867" s="680" t="s">
        <v>6153</v>
      </c>
    </row>
    <row r="38868" spans="8:8">
      <c r="H38868" s="680" t="s">
        <v>6153</v>
      </c>
    </row>
    <row r="38869" spans="8:8">
      <c r="H38869" s="680" t="s">
        <v>6153</v>
      </c>
    </row>
    <row r="38870" spans="8:8">
      <c r="H38870" s="680" t="s">
        <v>6153</v>
      </c>
    </row>
    <row r="38871" spans="8:8">
      <c r="H38871" s="680" t="s">
        <v>6153</v>
      </c>
    </row>
    <row r="38872" spans="8:8">
      <c r="H38872" s="680" t="s">
        <v>6153</v>
      </c>
    </row>
    <row r="38873" spans="8:8">
      <c r="H38873" s="680" t="s">
        <v>6153</v>
      </c>
    </row>
    <row r="38874" spans="8:8">
      <c r="H38874" s="680" t="s">
        <v>6153</v>
      </c>
    </row>
    <row r="38875" spans="8:8">
      <c r="H38875" s="680" t="s">
        <v>6153</v>
      </c>
    </row>
    <row r="38876" spans="8:8">
      <c r="H38876" s="680" t="s">
        <v>6153</v>
      </c>
    </row>
    <row r="38877" spans="8:8">
      <c r="H38877" s="680" t="s">
        <v>6153</v>
      </c>
    </row>
    <row r="38878" spans="8:8">
      <c r="H38878" s="680" t="s">
        <v>6153</v>
      </c>
    </row>
    <row r="38879" spans="8:8">
      <c r="H38879" s="680" t="s">
        <v>6153</v>
      </c>
    </row>
    <row r="38880" spans="8:8">
      <c r="H38880" s="680" t="s">
        <v>6153</v>
      </c>
    </row>
    <row r="38881" spans="8:8">
      <c r="H38881" s="680" t="s">
        <v>6153</v>
      </c>
    </row>
    <row r="38882" spans="8:8">
      <c r="H38882" s="680" t="s">
        <v>6153</v>
      </c>
    </row>
    <row r="38883" spans="8:8">
      <c r="H38883" s="680" t="s">
        <v>6153</v>
      </c>
    </row>
    <row r="38884" spans="8:8">
      <c r="H38884" s="680" t="s">
        <v>6153</v>
      </c>
    </row>
    <row r="38885" spans="8:8">
      <c r="H38885" s="680" t="s">
        <v>6153</v>
      </c>
    </row>
    <row r="38886" spans="8:8">
      <c r="H38886" s="680" t="s">
        <v>6153</v>
      </c>
    </row>
    <row r="38887" spans="8:8">
      <c r="H38887" s="680" t="s">
        <v>6153</v>
      </c>
    </row>
    <row r="38888" spans="8:8">
      <c r="H38888" s="680" t="s">
        <v>6153</v>
      </c>
    </row>
    <row r="38889" spans="8:8">
      <c r="H38889" s="680" t="s">
        <v>6153</v>
      </c>
    </row>
    <row r="38890" spans="8:8">
      <c r="H38890" s="680" t="s">
        <v>6153</v>
      </c>
    </row>
    <row r="38891" spans="8:8">
      <c r="H38891" s="680" t="s">
        <v>6153</v>
      </c>
    </row>
    <row r="38892" spans="8:8">
      <c r="H38892" s="680" t="s">
        <v>6153</v>
      </c>
    </row>
    <row r="38893" spans="8:8">
      <c r="H38893" s="680" t="s">
        <v>6153</v>
      </c>
    </row>
    <row r="38894" spans="8:8">
      <c r="H38894" s="680" t="s">
        <v>6153</v>
      </c>
    </row>
    <row r="38895" spans="8:8">
      <c r="H38895" s="680" t="s">
        <v>6153</v>
      </c>
    </row>
    <row r="38896" spans="8:8">
      <c r="H38896" s="680" t="s">
        <v>6153</v>
      </c>
    </row>
    <row r="38897" spans="8:8">
      <c r="H38897" s="680" t="s">
        <v>6153</v>
      </c>
    </row>
    <row r="38898" spans="8:8">
      <c r="H38898" s="680" t="s">
        <v>6153</v>
      </c>
    </row>
    <row r="38899" spans="8:8">
      <c r="H38899" s="680" t="s">
        <v>6153</v>
      </c>
    </row>
    <row r="38900" spans="8:8">
      <c r="H38900" s="680" t="s">
        <v>6153</v>
      </c>
    </row>
    <row r="38901" spans="8:8">
      <c r="H38901" s="680" t="s">
        <v>6153</v>
      </c>
    </row>
    <row r="38902" spans="8:8">
      <c r="H38902" s="680" t="s">
        <v>6153</v>
      </c>
    </row>
    <row r="38903" spans="8:8">
      <c r="H38903" s="680" t="s">
        <v>6153</v>
      </c>
    </row>
    <row r="38904" spans="8:8">
      <c r="H38904" s="680" t="s">
        <v>6153</v>
      </c>
    </row>
    <row r="38905" spans="8:8">
      <c r="H38905" s="680" t="s">
        <v>6153</v>
      </c>
    </row>
    <row r="38906" spans="8:8">
      <c r="H38906" s="680" t="s">
        <v>6153</v>
      </c>
    </row>
    <row r="38907" spans="8:8">
      <c r="H38907" s="680" t="s">
        <v>6153</v>
      </c>
    </row>
    <row r="38908" spans="8:8">
      <c r="H38908" s="680" t="s">
        <v>6153</v>
      </c>
    </row>
    <row r="38909" spans="8:8">
      <c r="H38909" s="680" t="s">
        <v>6153</v>
      </c>
    </row>
    <row r="38910" spans="8:8">
      <c r="H38910" s="680" t="s">
        <v>6153</v>
      </c>
    </row>
    <row r="38911" spans="8:8">
      <c r="H38911" s="680" t="s">
        <v>6153</v>
      </c>
    </row>
    <row r="38912" spans="8:8">
      <c r="H38912" s="680" t="s">
        <v>6153</v>
      </c>
    </row>
    <row r="38913" spans="8:8">
      <c r="H38913" s="680" t="s">
        <v>6153</v>
      </c>
    </row>
    <row r="38914" spans="8:8">
      <c r="H38914" s="680" t="s">
        <v>6153</v>
      </c>
    </row>
    <row r="38915" spans="8:8">
      <c r="H38915" s="680" t="s">
        <v>6153</v>
      </c>
    </row>
    <row r="38916" spans="8:8">
      <c r="H38916" s="680" t="s">
        <v>6153</v>
      </c>
    </row>
    <row r="38917" spans="8:8">
      <c r="H38917" s="680" t="s">
        <v>6153</v>
      </c>
    </row>
    <row r="38918" spans="8:8">
      <c r="H38918" s="680" t="s">
        <v>6153</v>
      </c>
    </row>
    <row r="38919" spans="8:8">
      <c r="H38919" s="680" t="s">
        <v>6153</v>
      </c>
    </row>
    <row r="38920" spans="8:8">
      <c r="H38920" s="680" t="s">
        <v>6153</v>
      </c>
    </row>
    <row r="38921" spans="8:8">
      <c r="H38921" s="680" t="s">
        <v>6153</v>
      </c>
    </row>
    <row r="38922" spans="8:8">
      <c r="H38922" s="680" t="s">
        <v>6153</v>
      </c>
    </row>
    <row r="38923" spans="8:8">
      <c r="H38923" s="680" t="s">
        <v>6153</v>
      </c>
    </row>
    <row r="38924" spans="8:8">
      <c r="H38924" s="680" t="s">
        <v>6153</v>
      </c>
    </row>
    <row r="38925" spans="8:8">
      <c r="H38925" s="680" t="s">
        <v>6153</v>
      </c>
    </row>
    <row r="38926" spans="8:8">
      <c r="H38926" s="680" t="s">
        <v>6153</v>
      </c>
    </row>
    <row r="38927" spans="8:8">
      <c r="H38927" s="680" t="s">
        <v>6153</v>
      </c>
    </row>
    <row r="38928" spans="8:8">
      <c r="H38928" s="680" t="s">
        <v>6153</v>
      </c>
    </row>
    <row r="38929" spans="8:8">
      <c r="H38929" s="680" t="s">
        <v>6153</v>
      </c>
    </row>
    <row r="38930" spans="8:8">
      <c r="H38930" s="680" t="s">
        <v>6153</v>
      </c>
    </row>
    <row r="38931" spans="8:8">
      <c r="H38931" s="680" t="s">
        <v>6153</v>
      </c>
    </row>
    <row r="38932" spans="8:8">
      <c r="H38932" s="680" t="s">
        <v>6153</v>
      </c>
    </row>
    <row r="38933" spans="8:8">
      <c r="H38933" s="680" t="s">
        <v>6153</v>
      </c>
    </row>
    <row r="38934" spans="8:8">
      <c r="H38934" s="680" t="s">
        <v>6153</v>
      </c>
    </row>
    <row r="38935" spans="8:8">
      <c r="H38935" s="680" t="s">
        <v>6153</v>
      </c>
    </row>
    <row r="38936" spans="8:8">
      <c r="H38936" s="680" t="s">
        <v>6153</v>
      </c>
    </row>
    <row r="38937" spans="8:8">
      <c r="H38937" s="680" t="s">
        <v>6153</v>
      </c>
    </row>
    <row r="38938" spans="8:8">
      <c r="H38938" s="680" t="s">
        <v>6153</v>
      </c>
    </row>
    <row r="38939" spans="8:8">
      <c r="H38939" s="680" t="s">
        <v>6153</v>
      </c>
    </row>
    <row r="38940" spans="8:8">
      <c r="H38940" s="680" t="s">
        <v>6153</v>
      </c>
    </row>
    <row r="38941" spans="8:8">
      <c r="H38941" s="680" t="s">
        <v>6153</v>
      </c>
    </row>
    <row r="38942" spans="8:8">
      <c r="H38942" s="680" t="s">
        <v>6153</v>
      </c>
    </row>
    <row r="38943" spans="8:8">
      <c r="H38943" s="680" t="s">
        <v>6153</v>
      </c>
    </row>
    <row r="38944" spans="8:8">
      <c r="H38944" s="680" t="s">
        <v>6153</v>
      </c>
    </row>
    <row r="38945" spans="8:8">
      <c r="H38945" s="680" t="s">
        <v>6153</v>
      </c>
    </row>
    <row r="38946" spans="8:8">
      <c r="H38946" s="680" t="s">
        <v>6153</v>
      </c>
    </row>
    <row r="38947" spans="8:8">
      <c r="H38947" s="680" t="s">
        <v>6153</v>
      </c>
    </row>
    <row r="38948" spans="8:8">
      <c r="H38948" s="680" t="s">
        <v>6153</v>
      </c>
    </row>
    <row r="38949" spans="8:8">
      <c r="H38949" s="680" t="s">
        <v>6153</v>
      </c>
    </row>
    <row r="38950" spans="8:8">
      <c r="H38950" s="680" t="s">
        <v>6153</v>
      </c>
    </row>
    <row r="38951" spans="8:8">
      <c r="H38951" s="680" t="s">
        <v>6153</v>
      </c>
    </row>
    <row r="38952" spans="8:8">
      <c r="H38952" s="680" t="s">
        <v>6153</v>
      </c>
    </row>
    <row r="38953" spans="8:8">
      <c r="H38953" s="680" t="s">
        <v>6153</v>
      </c>
    </row>
    <row r="38954" spans="8:8">
      <c r="H38954" s="680" t="s">
        <v>6153</v>
      </c>
    </row>
    <row r="38955" spans="8:8">
      <c r="H38955" s="680" t="s">
        <v>6153</v>
      </c>
    </row>
    <row r="38956" spans="8:8">
      <c r="H38956" s="680" t="s">
        <v>6153</v>
      </c>
    </row>
    <row r="38957" spans="8:8">
      <c r="H38957" s="680" t="s">
        <v>6153</v>
      </c>
    </row>
    <row r="38958" spans="8:8">
      <c r="H38958" s="680" t="s">
        <v>6153</v>
      </c>
    </row>
    <row r="38959" spans="8:8">
      <c r="H38959" s="680" t="s">
        <v>6153</v>
      </c>
    </row>
    <row r="38960" spans="8:8">
      <c r="H38960" s="680" t="s">
        <v>6153</v>
      </c>
    </row>
    <row r="38961" spans="8:8">
      <c r="H38961" s="680" t="s">
        <v>6153</v>
      </c>
    </row>
    <row r="38962" spans="8:8">
      <c r="H38962" s="680" t="s">
        <v>6153</v>
      </c>
    </row>
    <row r="38963" spans="8:8">
      <c r="H38963" s="680" t="s">
        <v>6153</v>
      </c>
    </row>
    <row r="38964" spans="8:8">
      <c r="H38964" s="680" t="s">
        <v>6153</v>
      </c>
    </row>
    <row r="38965" spans="8:8">
      <c r="H38965" s="680" t="s">
        <v>6153</v>
      </c>
    </row>
    <row r="38966" spans="8:8">
      <c r="H38966" s="680" t="s">
        <v>6153</v>
      </c>
    </row>
    <row r="38967" spans="8:8">
      <c r="H38967" s="680" t="s">
        <v>6153</v>
      </c>
    </row>
    <row r="38968" spans="8:8">
      <c r="H38968" s="680" t="s">
        <v>6153</v>
      </c>
    </row>
    <row r="38969" spans="8:8">
      <c r="H38969" s="680" t="s">
        <v>6153</v>
      </c>
    </row>
    <row r="38970" spans="8:8">
      <c r="H38970" s="680" t="s">
        <v>6153</v>
      </c>
    </row>
    <row r="38971" spans="8:8">
      <c r="H38971" s="680" t="s">
        <v>6153</v>
      </c>
    </row>
    <row r="38972" spans="8:8">
      <c r="H38972" s="680" t="s">
        <v>6153</v>
      </c>
    </row>
    <row r="38973" spans="8:8">
      <c r="H38973" s="680" t="s">
        <v>6153</v>
      </c>
    </row>
    <row r="38974" spans="8:8">
      <c r="H38974" s="680" t="s">
        <v>6153</v>
      </c>
    </row>
    <row r="38975" spans="8:8">
      <c r="H38975" s="680" t="s">
        <v>6153</v>
      </c>
    </row>
    <row r="38976" spans="8:8">
      <c r="H38976" s="680" t="s">
        <v>6153</v>
      </c>
    </row>
    <row r="38977" spans="8:8">
      <c r="H38977" s="680" t="s">
        <v>6153</v>
      </c>
    </row>
    <row r="38978" spans="8:8">
      <c r="H38978" s="680" t="s">
        <v>6153</v>
      </c>
    </row>
    <row r="38979" spans="8:8">
      <c r="H38979" s="680" t="s">
        <v>6153</v>
      </c>
    </row>
    <row r="38980" spans="8:8">
      <c r="H38980" s="680" t="s">
        <v>6153</v>
      </c>
    </row>
    <row r="38981" spans="8:8">
      <c r="H38981" s="680" t="s">
        <v>6153</v>
      </c>
    </row>
    <row r="38982" spans="8:8">
      <c r="H38982" s="680" t="s">
        <v>6153</v>
      </c>
    </row>
    <row r="38983" spans="8:8">
      <c r="H38983" s="680" t="s">
        <v>6153</v>
      </c>
    </row>
    <row r="38984" spans="8:8">
      <c r="H38984" s="680" t="s">
        <v>6153</v>
      </c>
    </row>
    <row r="38985" spans="8:8">
      <c r="H38985" s="680" t="s">
        <v>6153</v>
      </c>
    </row>
    <row r="38986" spans="8:8">
      <c r="H38986" s="680" t="s">
        <v>6153</v>
      </c>
    </row>
    <row r="38987" spans="8:8">
      <c r="H38987" s="680" t="s">
        <v>6153</v>
      </c>
    </row>
    <row r="38988" spans="8:8">
      <c r="H38988" s="680" t="s">
        <v>6153</v>
      </c>
    </row>
    <row r="38989" spans="8:8">
      <c r="H38989" s="680" t="s">
        <v>6153</v>
      </c>
    </row>
    <row r="38990" spans="8:8">
      <c r="H38990" s="680" t="s">
        <v>6153</v>
      </c>
    </row>
    <row r="38991" spans="8:8">
      <c r="H38991" s="680" t="s">
        <v>6153</v>
      </c>
    </row>
    <row r="38992" spans="8:8">
      <c r="H38992" s="680" t="s">
        <v>6153</v>
      </c>
    </row>
    <row r="38993" spans="8:8">
      <c r="H38993" s="680" t="s">
        <v>6153</v>
      </c>
    </row>
    <row r="38994" spans="8:8">
      <c r="H38994" s="680" t="s">
        <v>6153</v>
      </c>
    </row>
    <row r="38995" spans="8:8">
      <c r="H38995" s="680" t="s">
        <v>6153</v>
      </c>
    </row>
    <row r="38996" spans="8:8">
      <c r="H38996" s="680" t="s">
        <v>6153</v>
      </c>
    </row>
    <row r="38997" spans="8:8">
      <c r="H38997" s="680" t="s">
        <v>6153</v>
      </c>
    </row>
    <row r="38998" spans="8:8">
      <c r="H38998" s="680" t="s">
        <v>6153</v>
      </c>
    </row>
    <row r="38999" spans="8:8">
      <c r="H38999" s="680" t="s">
        <v>6153</v>
      </c>
    </row>
    <row r="39000" spans="8:8">
      <c r="H39000" s="680" t="s">
        <v>6153</v>
      </c>
    </row>
    <row r="39001" spans="8:8">
      <c r="H39001" s="680" t="s">
        <v>6153</v>
      </c>
    </row>
    <row r="39002" spans="8:8">
      <c r="H39002" s="680" t="s">
        <v>6153</v>
      </c>
    </row>
    <row r="39003" spans="8:8">
      <c r="H39003" s="680" t="s">
        <v>6153</v>
      </c>
    </row>
    <row r="39004" spans="8:8">
      <c r="H39004" s="680" t="s">
        <v>6153</v>
      </c>
    </row>
    <row r="39005" spans="8:8">
      <c r="H39005" s="680" t="s">
        <v>6153</v>
      </c>
    </row>
    <row r="39006" spans="8:8">
      <c r="H39006" s="680" t="s">
        <v>6153</v>
      </c>
    </row>
    <row r="39007" spans="8:8">
      <c r="H39007" s="680" t="s">
        <v>6153</v>
      </c>
    </row>
    <row r="39008" spans="8:8">
      <c r="H39008" s="680" t="s">
        <v>6153</v>
      </c>
    </row>
    <row r="39009" spans="8:8">
      <c r="H39009" s="680" t="s">
        <v>6153</v>
      </c>
    </row>
    <row r="39010" spans="8:8">
      <c r="H39010" s="680" t="s">
        <v>6153</v>
      </c>
    </row>
    <row r="39011" spans="8:8">
      <c r="H39011" s="680" t="s">
        <v>6153</v>
      </c>
    </row>
    <row r="39012" spans="8:8">
      <c r="H39012" s="680" t="s">
        <v>6153</v>
      </c>
    </row>
    <row r="39013" spans="8:8">
      <c r="H39013" s="680" t="s">
        <v>6153</v>
      </c>
    </row>
    <row r="39014" spans="8:8">
      <c r="H39014" s="680" t="s">
        <v>6153</v>
      </c>
    </row>
    <row r="39015" spans="8:8">
      <c r="H39015" s="680" t="s">
        <v>6153</v>
      </c>
    </row>
    <row r="39016" spans="8:8">
      <c r="H39016" s="680" t="s">
        <v>6153</v>
      </c>
    </row>
    <row r="39017" spans="8:8">
      <c r="H39017" s="680" t="s">
        <v>6153</v>
      </c>
    </row>
    <row r="39018" spans="8:8">
      <c r="H39018" s="680" t="s">
        <v>6153</v>
      </c>
    </row>
    <row r="39019" spans="8:8">
      <c r="H39019" s="680" t="s">
        <v>6153</v>
      </c>
    </row>
    <row r="39020" spans="8:8">
      <c r="H39020" s="680" t="s">
        <v>6153</v>
      </c>
    </row>
    <row r="39021" spans="8:8">
      <c r="H39021" s="680" t="s">
        <v>6153</v>
      </c>
    </row>
    <row r="39022" spans="8:8">
      <c r="H39022" s="680" t="s">
        <v>6153</v>
      </c>
    </row>
    <row r="39023" spans="8:8">
      <c r="H39023" s="680" t="s">
        <v>6153</v>
      </c>
    </row>
    <row r="39024" spans="8:8">
      <c r="H39024" s="680" t="s">
        <v>6153</v>
      </c>
    </row>
    <row r="39025" spans="8:8">
      <c r="H39025" s="680" t="s">
        <v>6153</v>
      </c>
    </row>
    <row r="39026" spans="8:8">
      <c r="H39026" s="680" t="s">
        <v>6153</v>
      </c>
    </row>
    <row r="39027" spans="8:8">
      <c r="H39027" s="680" t="s">
        <v>6153</v>
      </c>
    </row>
    <row r="39028" spans="8:8">
      <c r="H39028" s="680" t="s">
        <v>6153</v>
      </c>
    </row>
    <row r="39029" spans="8:8">
      <c r="H39029" s="680" t="s">
        <v>6153</v>
      </c>
    </row>
    <row r="39030" spans="8:8">
      <c r="H39030" s="680" t="s">
        <v>6153</v>
      </c>
    </row>
    <row r="39031" spans="8:8">
      <c r="H39031" s="680" t="s">
        <v>6153</v>
      </c>
    </row>
    <row r="39032" spans="8:8">
      <c r="H39032" s="680" t="s">
        <v>6153</v>
      </c>
    </row>
    <row r="39033" spans="8:8">
      <c r="H39033" s="680" t="s">
        <v>6153</v>
      </c>
    </row>
    <row r="39034" spans="8:8">
      <c r="H39034" s="680" t="s">
        <v>6153</v>
      </c>
    </row>
    <row r="39035" spans="8:8">
      <c r="H39035" s="680" t="s">
        <v>6153</v>
      </c>
    </row>
    <row r="39036" spans="8:8">
      <c r="H39036" s="680" t="s">
        <v>6153</v>
      </c>
    </row>
    <row r="39037" spans="8:8">
      <c r="H39037" s="680" t="s">
        <v>6153</v>
      </c>
    </row>
    <row r="39038" spans="8:8">
      <c r="H39038" s="680" t="s">
        <v>6153</v>
      </c>
    </row>
    <row r="39039" spans="8:8">
      <c r="H39039" s="680" t="s">
        <v>6153</v>
      </c>
    </row>
    <row r="39040" spans="8:8">
      <c r="H39040" s="680" t="s">
        <v>6153</v>
      </c>
    </row>
    <row r="39041" spans="8:8">
      <c r="H39041" s="680" t="s">
        <v>6153</v>
      </c>
    </row>
    <row r="39042" spans="8:8">
      <c r="H39042" s="680" t="s">
        <v>6153</v>
      </c>
    </row>
    <row r="39043" spans="8:8">
      <c r="H39043" s="680" t="s">
        <v>6153</v>
      </c>
    </row>
    <row r="39044" spans="8:8">
      <c r="H39044" s="680" t="s">
        <v>6153</v>
      </c>
    </row>
    <row r="39045" spans="8:8">
      <c r="H39045" s="680" t="s">
        <v>6153</v>
      </c>
    </row>
    <row r="39046" spans="8:8">
      <c r="H39046" s="680" t="s">
        <v>6153</v>
      </c>
    </row>
    <row r="39047" spans="8:8">
      <c r="H39047" s="680" t="s">
        <v>6153</v>
      </c>
    </row>
    <row r="39048" spans="8:8">
      <c r="H39048" s="680" t="s">
        <v>6153</v>
      </c>
    </row>
    <row r="39049" spans="8:8">
      <c r="H39049" s="680" t="s">
        <v>6153</v>
      </c>
    </row>
    <row r="39050" spans="8:8">
      <c r="H39050" s="680" t="s">
        <v>6153</v>
      </c>
    </row>
    <row r="39051" spans="8:8">
      <c r="H39051" s="680" t="s">
        <v>6153</v>
      </c>
    </row>
    <row r="39052" spans="8:8">
      <c r="H39052" s="680" t="s">
        <v>6153</v>
      </c>
    </row>
    <row r="39053" spans="8:8">
      <c r="H39053" s="680" t="s">
        <v>6153</v>
      </c>
    </row>
    <row r="39054" spans="8:8">
      <c r="H39054" s="680" t="s">
        <v>6153</v>
      </c>
    </row>
    <row r="39055" spans="8:8">
      <c r="H39055" s="680" t="s">
        <v>6153</v>
      </c>
    </row>
    <row r="39056" spans="8:8">
      <c r="H39056" s="680" t="s">
        <v>6153</v>
      </c>
    </row>
    <row r="39057" spans="8:8">
      <c r="H39057" s="680" t="s">
        <v>6153</v>
      </c>
    </row>
    <row r="39058" spans="8:8">
      <c r="H39058" s="680" t="s">
        <v>6153</v>
      </c>
    </row>
    <row r="39059" spans="8:8">
      <c r="H39059" s="680" t="s">
        <v>6153</v>
      </c>
    </row>
    <row r="39060" spans="8:8">
      <c r="H39060" s="680" t="s">
        <v>6153</v>
      </c>
    </row>
    <row r="39061" spans="8:8">
      <c r="H39061" s="680" t="s">
        <v>6153</v>
      </c>
    </row>
    <row r="39062" spans="8:8">
      <c r="H39062" s="680" t="s">
        <v>6153</v>
      </c>
    </row>
    <row r="39063" spans="8:8">
      <c r="H39063" s="680" t="s">
        <v>6153</v>
      </c>
    </row>
    <row r="39064" spans="8:8">
      <c r="H39064" s="680" t="s">
        <v>6153</v>
      </c>
    </row>
    <row r="39065" spans="8:8">
      <c r="H39065" s="680" t="s">
        <v>6153</v>
      </c>
    </row>
    <row r="39066" spans="8:8">
      <c r="H39066" s="680" t="s">
        <v>6153</v>
      </c>
    </row>
    <row r="39067" spans="8:8">
      <c r="H39067" s="680" t="s">
        <v>6153</v>
      </c>
    </row>
    <row r="39068" spans="8:8">
      <c r="H39068" s="680" t="s">
        <v>6153</v>
      </c>
    </row>
    <row r="39069" spans="8:8">
      <c r="H39069" s="680" t="s">
        <v>6153</v>
      </c>
    </row>
    <row r="39070" spans="8:8">
      <c r="H39070" s="680" t="s">
        <v>6153</v>
      </c>
    </row>
    <row r="39071" spans="8:8">
      <c r="H39071" s="680" t="s">
        <v>6153</v>
      </c>
    </row>
    <row r="39072" spans="8:8">
      <c r="H39072" s="680" t="s">
        <v>6153</v>
      </c>
    </row>
    <row r="39073" spans="8:8">
      <c r="H39073" s="680" t="s">
        <v>6153</v>
      </c>
    </row>
    <row r="39074" spans="8:8">
      <c r="H39074" s="680" t="s">
        <v>6153</v>
      </c>
    </row>
    <row r="39075" spans="8:8">
      <c r="H39075" s="680" t="s">
        <v>6153</v>
      </c>
    </row>
    <row r="39076" spans="8:8">
      <c r="H39076" s="680" t="s">
        <v>6153</v>
      </c>
    </row>
    <row r="39077" spans="8:8">
      <c r="H39077" s="680" t="s">
        <v>6153</v>
      </c>
    </row>
    <row r="39078" spans="8:8">
      <c r="H39078" s="680" t="s">
        <v>6153</v>
      </c>
    </row>
    <row r="39079" spans="8:8">
      <c r="H39079" s="680" t="s">
        <v>6153</v>
      </c>
    </row>
    <row r="39080" spans="8:8">
      <c r="H39080" s="680" t="s">
        <v>6153</v>
      </c>
    </row>
    <row r="39081" spans="8:8">
      <c r="H39081" s="680" t="s">
        <v>6153</v>
      </c>
    </row>
    <row r="39082" spans="8:8">
      <c r="H39082" s="680" t="s">
        <v>6153</v>
      </c>
    </row>
    <row r="39083" spans="8:8">
      <c r="H39083" s="680" t="s">
        <v>6153</v>
      </c>
    </row>
    <row r="39084" spans="8:8">
      <c r="H39084" s="680" t="s">
        <v>6153</v>
      </c>
    </row>
    <row r="39085" spans="8:8">
      <c r="H39085" s="680" t="s">
        <v>6153</v>
      </c>
    </row>
    <row r="39086" spans="8:8">
      <c r="H39086" s="680" t="s">
        <v>6153</v>
      </c>
    </row>
    <row r="39087" spans="8:8">
      <c r="H39087" s="680" t="s">
        <v>6153</v>
      </c>
    </row>
    <row r="39088" spans="8:8">
      <c r="H39088" s="680" t="s">
        <v>6153</v>
      </c>
    </row>
    <row r="39089" spans="8:8">
      <c r="H39089" s="680" t="s">
        <v>6153</v>
      </c>
    </row>
    <row r="39090" spans="8:8">
      <c r="H39090" s="680" t="s">
        <v>6153</v>
      </c>
    </row>
    <row r="39091" spans="8:8">
      <c r="H39091" s="680" t="s">
        <v>6153</v>
      </c>
    </row>
    <row r="39092" spans="8:8">
      <c r="H39092" s="680" t="s">
        <v>6153</v>
      </c>
    </row>
    <row r="39093" spans="8:8">
      <c r="H39093" s="680" t="s">
        <v>6153</v>
      </c>
    </row>
    <row r="39094" spans="8:8">
      <c r="H39094" s="680" t="s">
        <v>6153</v>
      </c>
    </row>
    <row r="39095" spans="8:8">
      <c r="H39095" s="680" t="s">
        <v>6153</v>
      </c>
    </row>
    <row r="39096" spans="8:8">
      <c r="H39096" s="680" t="s">
        <v>6153</v>
      </c>
    </row>
    <row r="39097" spans="8:8">
      <c r="H39097" s="680" t="s">
        <v>6153</v>
      </c>
    </row>
    <row r="39098" spans="8:8">
      <c r="H39098" s="680" t="s">
        <v>6153</v>
      </c>
    </row>
    <row r="39099" spans="8:8">
      <c r="H39099" s="680" t="s">
        <v>6153</v>
      </c>
    </row>
    <row r="39100" spans="8:8">
      <c r="H39100" s="680" t="s">
        <v>6153</v>
      </c>
    </row>
    <row r="39101" spans="8:8">
      <c r="H39101" s="680" t="s">
        <v>6153</v>
      </c>
    </row>
    <row r="39102" spans="8:8">
      <c r="H39102" s="680" t="s">
        <v>6153</v>
      </c>
    </row>
    <row r="39103" spans="8:8">
      <c r="H39103" s="680" t="s">
        <v>6153</v>
      </c>
    </row>
    <row r="39104" spans="8:8">
      <c r="H39104" s="680" t="s">
        <v>6153</v>
      </c>
    </row>
    <row r="39105" spans="8:8">
      <c r="H39105" s="680" t="s">
        <v>6153</v>
      </c>
    </row>
    <row r="39106" spans="8:8">
      <c r="H39106" s="680" t="s">
        <v>6153</v>
      </c>
    </row>
    <row r="39107" spans="8:8">
      <c r="H39107" s="680" t="s">
        <v>6153</v>
      </c>
    </row>
    <row r="39108" spans="8:8">
      <c r="H39108" s="680" t="s">
        <v>6153</v>
      </c>
    </row>
    <row r="39109" spans="8:8">
      <c r="H39109" s="680" t="s">
        <v>6153</v>
      </c>
    </row>
    <row r="39110" spans="8:8">
      <c r="H39110" s="680" t="s">
        <v>6153</v>
      </c>
    </row>
    <row r="39111" spans="8:8">
      <c r="H39111" s="680" t="s">
        <v>6153</v>
      </c>
    </row>
    <row r="39112" spans="8:8">
      <c r="H39112" s="680" t="s">
        <v>6153</v>
      </c>
    </row>
    <row r="39113" spans="8:8">
      <c r="H39113" s="680" t="s">
        <v>6153</v>
      </c>
    </row>
    <row r="39114" spans="8:8">
      <c r="H39114" s="680" t="s">
        <v>6153</v>
      </c>
    </row>
    <row r="39115" spans="8:8">
      <c r="H39115" s="680" t="s">
        <v>6153</v>
      </c>
    </row>
    <row r="39116" spans="8:8">
      <c r="H39116" s="680" t="s">
        <v>6153</v>
      </c>
    </row>
    <row r="39117" spans="8:8">
      <c r="H39117" s="680" t="s">
        <v>6153</v>
      </c>
    </row>
    <row r="39118" spans="8:8">
      <c r="H39118" s="680" t="s">
        <v>6153</v>
      </c>
    </row>
    <row r="39119" spans="8:8">
      <c r="H39119" s="680" t="s">
        <v>6153</v>
      </c>
    </row>
    <row r="39120" spans="8:8">
      <c r="H39120" s="680" t="s">
        <v>6153</v>
      </c>
    </row>
    <row r="39121" spans="8:8">
      <c r="H39121" s="680" t="s">
        <v>6153</v>
      </c>
    </row>
    <row r="39122" spans="8:8">
      <c r="H39122" s="680" t="s">
        <v>6153</v>
      </c>
    </row>
    <row r="39123" spans="8:8">
      <c r="H39123" s="680" t="s">
        <v>6153</v>
      </c>
    </row>
    <row r="39124" spans="8:8">
      <c r="H39124" s="680" t="s">
        <v>6153</v>
      </c>
    </row>
    <row r="39125" spans="8:8">
      <c r="H39125" s="680" t="s">
        <v>6153</v>
      </c>
    </row>
    <row r="39126" spans="8:8">
      <c r="H39126" s="680" t="s">
        <v>6153</v>
      </c>
    </row>
    <row r="39127" spans="8:8">
      <c r="H39127" s="680" t="s">
        <v>6153</v>
      </c>
    </row>
    <row r="39128" spans="8:8">
      <c r="H39128" s="680" t="s">
        <v>6153</v>
      </c>
    </row>
    <row r="39129" spans="8:8">
      <c r="H39129" s="680" t="s">
        <v>6153</v>
      </c>
    </row>
    <row r="39130" spans="8:8">
      <c r="H39130" s="680" t="s">
        <v>6153</v>
      </c>
    </row>
    <row r="39131" spans="8:8">
      <c r="H39131" s="680" t="s">
        <v>6153</v>
      </c>
    </row>
    <row r="39132" spans="8:8">
      <c r="H39132" s="680" t="s">
        <v>6153</v>
      </c>
    </row>
    <row r="39133" spans="8:8">
      <c r="H39133" s="680" t="s">
        <v>6153</v>
      </c>
    </row>
    <row r="39134" spans="8:8">
      <c r="H39134" s="680" t="s">
        <v>6153</v>
      </c>
    </row>
    <row r="39135" spans="8:8">
      <c r="H39135" s="680" t="s">
        <v>6153</v>
      </c>
    </row>
    <row r="39136" spans="8:8">
      <c r="H39136" s="680" t="s">
        <v>6153</v>
      </c>
    </row>
    <row r="39137" spans="8:8">
      <c r="H39137" s="680" t="s">
        <v>6153</v>
      </c>
    </row>
    <row r="39138" spans="8:8">
      <c r="H39138" s="680" t="s">
        <v>6153</v>
      </c>
    </row>
    <row r="39139" spans="8:8">
      <c r="H39139" s="680" t="s">
        <v>6153</v>
      </c>
    </row>
    <row r="39140" spans="8:8">
      <c r="H39140" s="680" t="s">
        <v>6153</v>
      </c>
    </row>
    <row r="39141" spans="8:8">
      <c r="H39141" s="680" t="s">
        <v>6153</v>
      </c>
    </row>
    <row r="39142" spans="8:8">
      <c r="H39142" s="680" t="s">
        <v>6153</v>
      </c>
    </row>
    <row r="39143" spans="8:8">
      <c r="H39143" s="680" t="s">
        <v>6153</v>
      </c>
    </row>
    <row r="39144" spans="8:8">
      <c r="H39144" s="680" t="s">
        <v>6153</v>
      </c>
    </row>
    <row r="39145" spans="8:8">
      <c r="H39145" s="680" t="s">
        <v>6153</v>
      </c>
    </row>
    <row r="39146" spans="8:8">
      <c r="H39146" s="680" t="s">
        <v>6153</v>
      </c>
    </row>
    <row r="39147" spans="8:8">
      <c r="H39147" s="680" t="s">
        <v>6153</v>
      </c>
    </row>
    <row r="39148" spans="8:8">
      <c r="H39148" s="680" t="s">
        <v>6153</v>
      </c>
    </row>
    <row r="39149" spans="8:8">
      <c r="H39149" s="680" t="s">
        <v>6153</v>
      </c>
    </row>
    <row r="39150" spans="8:8">
      <c r="H39150" s="680" t="s">
        <v>6153</v>
      </c>
    </row>
    <row r="39151" spans="8:8">
      <c r="H39151" s="680" t="s">
        <v>6153</v>
      </c>
    </row>
    <row r="39152" spans="8:8">
      <c r="H39152" s="680" t="s">
        <v>6153</v>
      </c>
    </row>
    <row r="39153" spans="8:8">
      <c r="H39153" s="680" t="s">
        <v>6153</v>
      </c>
    </row>
    <row r="39154" spans="8:8">
      <c r="H39154" s="680" t="s">
        <v>6153</v>
      </c>
    </row>
    <row r="39155" spans="8:8">
      <c r="H39155" s="680" t="s">
        <v>6153</v>
      </c>
    </row>
    <row r="39156" spans="8:8">
      <c r="H39156" s="680" t="s">
        <v>6153</v>
      </c>
    </row>
    <row r="39157" spans="8:8">
      <c r="H39157" s="680" t="s">
        <v>6153</v>
      </c>
    </row>
    <row r="39158" spans="8:8">
      <c r="H39158" s="680" t="s">
        <v>6153</v>
      </c>
    </row>
    <row r="39159" spans="8:8">
      <c r="H39159" s="680" t="s">
        <v>6153</v>
      </c>
    </row>
    <row r="39160" spans="8:8">
      <c r="H39160" s="680" t="s">
        <v>6153</v>
      </c>
    </row>
    <row r="39161" spans="8:8">
      <c r="H39161" s="680" t="s">
        <v>6153</v>
      </c>
    </row>
    <row r="39162" spans="8:8">
      <c r="H39162" s="680" t="s">
        <v>6153</v>
      </c>
    </row>
    <row r="39163" spans="8:8">
      <c r="H39163" s="680" t="s">
        <v>6153</v>
      </c>
    </row>
    <row r="39164" spans="8:8">
      <c r="H39164" s="680" t="s">
        <v>6153</v>
      </c>
    </row>
    <row r="39165" spans="8:8">
      <c r="H39165" s="680" t="s">
        <v>6153</v>
      </c>
    </row>
    <row r="39166" spans="8:8">
      <c r="H39166" s="680" t="s">
        <v>6153</v>
      </c>
    </row>
    <row r="39167" spans="8:8">
      <c r="H39167" s="680" t="s">
        <v>6153</v>
      </c>
    </row>
    <row r="39168" spans="8:8">
      <c r="H39168" s="680" t="s">
        <v>6153</v>
      </c>
    </row>
    <row r="39169" spans="8:8">
      <c r="H39169" s="680" t="s">
        <v>6153</v>
      </c>
    </row>
    <row r="39170" spans="8:8">
      <c r="H39170" s="680" t="s">
        <v>6153</v>
      </c>
    </row>
    <row r="39171" spans="8:8">
      <c r="H39171" s="680" t="s">
        <v>6153</v>
      </c>
    </row>
    <row r="39172" spans="8:8">
      <c r="H39172" s="680" t="s">
        <v>6153</v>
      </c>
    </row>
    <row r="39173" spans="8:8">
      <c r="H39173" s="680" t="s">
        <v>6153</v>
      </c>
    </row>
    <row r="39174" spans="8:8">
      <c r="H39174" s="680" t="s">
        <v>6153</v>
      </c>
    </row>
    <row r="39175" spans="8:8">
      <c r="H39175" s="680" t="s">
        <v>6153</v>
      </c>
    </row>
    <row r="39176" spans="8:8">
      <c r="H39176" s="680" t="s">
        <v>6153</v>
      </c>
    </row>
    <row r="39177" spans="8:8">
      <c r="H39177" s="680" t="s">
        <v>6153</v>
      </c>
    </row>
    <row r="39178" spans="8:8">
      <c r="H39178" s="680" t="s">
        <v>6153</v>
      </c>
    </row>
    <row r="39179" spans="8:8">
      <c r="H39179" s="680" t="s">
        <v>6153</v>
      </c>
    </row>
    <row r="39180" spans="8:8">
      <c r="H39180" s="680" t="s">
        <v>6153</v>
      </c>
    </row>
    <row r="39181" spans="8:8">
      <c r="H39181" s="680" t="s">
        <v>6153</v>
      </c>
    </row>
    <row r="39182" spans="8:8">
      <c r="H39182" s="680" t="s">
        <v>6153</v>
      </c>
    </row>
    <row r="39183" spans="8:8">
      <c r="H39183" s="680" t="s">
        <v>6153</v>
      </c>
    </row>
    <row r="39184" spans="8:8">
      <c r="H39184" s="680" t="s">
        <v>6153</v>
      </c>
    </row>
    <row r="39185" spans="8:8">
      <c r="H39185" s="680" t="s">
        <v>6153</v>
      </c>
    </row>
    <row r="39186" spans="8:8">
      <c r="H39186" s="680" t="s">
        <v>6153</v>
      </c>
    </row>
    <row r="39187" spans="8:8">
      <c r="H39187" s="680" t="s">
        <v>6153</v>
      </c>
    </row>
    <row r="39188" spans="8:8">
      <c r="H39188" s="680" t="s">
        <v>6153</v>
      </c>
    </row>
    <row r="39189" spans="8:8">
      <c r="H39189" s="680" t="s">
        <v>6153</v>
      </c>
    </row>
    <row r="39190" spans="8:8">
      <c r="H39190" s="680" t="s">
        <v>6153</v>
      </c>
    </row>
    <row r="39191" spans="8:8">
      <c r="H39191" s="680" t="s">
        <v>6153</v>
      </c>
    </row>
    <row r="39192" spans="8:8">
      <c r="H39192" s="680" t="s">
        <v>6153</v>
      </c>
    </row>
    <row r="39193" spans="8:8">
      <c r="H39193" s="680" t="s">
        <v>6153</v>
      </c>
    </row>
    <row r="39194" spans="8:8">
      <c r="H39194" s="680" t="s">
        <v>6153</v>
      </c>
    </row>
    <row r="39195" spans="8:8">
      <c r="H39195" s="680" t="s">
        <v>6153</v>
      </c>
    </row>
    <row r="39196" spans="8:8">
      <c r="H39196" s="680" t="s">
        <v>6153</v>
      </c>
    </row>
    <row r="39197" spans="8:8">
      <c r="H39197" s="680" t="s">
        <v>6153</v>
      </c>
    </row>
    <row r="39198" spans="8:8">
      <c r="H39198" s="680" t="s">
        <v>6153</v>
      </c>
    </row>
    <row r="39199" spans="8:8">
      <c r="H39199" s="680" t="s">
        <v>6153</v>
      </c>
    </row>
    <row r="39200" spans="8:8">
      <c r="H39200" s="680" t="s">
        <v>6153</v>
      </c>
    </row>
    <row r="39201" spans="8:8">
      <c r="H39201" s="680" t="s">
        <v>6153</v>
      </c>
    </row>
    <row r="39202" spans="8:8">
      <c r="H39202" s="680" t="s">
        <v>6153</v>
      </c>
    </row>
    <row r="39203" spans="8:8">
      <c r="H39203" s="680" t="s">
        <v>6153</v>
      </c>
    </row>
    <row r="39204" spans="8:8">
      <c r="H39204" s="680" t="s">
        <v>6153</v>
      </c>
    </row>
    <row r="39205" spans="8:8">
      <c r="H39205" s="680" t="s">
        <v>6153</v>
      </c>
    </row>
    <row r="39206" spans="8:8">
      <c r="H39206" s="680" t="s">
        <v>6153</v>
      </c>
    </row>
    <row r="39207" spans="8:8">
      <c r="H39207" s="680" t="s">
        <v>6153</v>
      </c>
    </row>
    <row r="39208" spans="8:8">
      <c r="H39208" s="680" t="s">
        <v>6153</v>
      </c>
    </row>
    <row r="39209" spans="8:8">
      <c r="H39209" s="680" t="s">
        <v>6153</v>
      </c>
    </row>
    <row r="39210" spans="8:8">
      <c r="H39210" s="680" t="s">
        <v>6153</v>
      </c>
    </row>
    <row r="39211" spans="8:8">
      <c r="H39211" s="680" t="s">
        <v>6153</v>
      </c>
    </row>
    <row r="39212" spans="8:8">
      <c r="H39212" s="680" t="s">
        <v>6153</v>
      </c>
    </row>
    <row r="39213" spans="8:8">
      <c r="H39213" s="680" t="s">
        <v>6153</v>
      </c>
    </row>
    <row r="39214" spans="8:8">
      <c r="H39214" s="680" t="s">
        <v>6153</v>
      </c>
    </row>
    <row r="39215" spans="8:8">
      <c r="H39215" s="680" t="s">
        <v>6153</v>
      </c>
    </row>
    <row r="39216" spans="8:8">
      <c r="H39216" s="680" t="s">
        <v>6153</v>
      </c>
    </row>
    <row r="39217" spans="8:8">
      <c r="H39217" s="680" t="s">
        <v>6153</v>
      </c>
    </row>
    <row r="39218" spans="8:8">
      <c r="H39218" s="680" t="s">
        <v>6153</v>
      </c>
    </row>
    <row r="39219" spans="8:8">
      <c r="H39219" s="680" t="s">
        <v>6153</v>
      </c>
    </row>
    <row r="39220" spans="8:8">
      <c r="H39220" s="680" t="s">
        <v>6153</v>
      </c>
    </row>
    <row r="39221" spans="8:8">
      <c r="H39221" s="680" t="s">
        <v>6153</v>
      </c>
    </row>
    <row r="39222" spans="8:8">
      <c r="H39222" s="680" t="s">
        <v>6153</v>
      </c>
    </row>
    <row r="39223" spans="8:8">
      <c r="H39223" s="680" t="s">
        <v>6153</v>
      </c>
    </row>
    <row r="39224" spans="8:8">
      <c r="H39224" s="680" t="s">
        <v>6153</v>
      </c>
    </row>
    <row r="39225" spans="8:8">
      <c r="H39225" s="680" t="s">
        <v>6153</v>
      </c>
    </row>
    <row r="39226" spans="8:8">
      <c r="H39226" s="680" t="s">
        <v>6153</v>
      </c>
    </row>
    <row r="39227" spans="8:8">
      <c r="H39227" s="680" t="s">
        <v>6153</v>
      </c>
    </row>
    <row r="39228" spans="8:8">
      <c r="H39228" s="680" t="s">
        <v>6153</v>
      </c>
    </row>
    <row r="39229" spans="8:8">
      <c r="H39229" s="680" t="s">
        <v>6153</v>
      </c>
    </row>
    <row r="39230" spans="8:8">
      <c r="H39230" s="680" t="s">
        <v>6153</v>
      </c>
    </row>
    <row r="39231" spans="8:8">
      <c r="H39231" s="680" t="s">
        <v>6153</v>
      </c>
    </row>
    <row r="39232" spans="8:8">
      <c r="H39232" s="680" t="s">
        <v>6153</v>
      </c>
    </row>
    <row r="39233" spans="8:8">
      <c r="H39233" s="680" t="s">
        <v>6153</v>
      </c>
    </row>
    <row r="39234" spans="8:8">
      <c r="H39234" s="680" t="s">
        <v>6153</v>
      </c>
    </row>
    <row r="39235" spans="8:8">
      <c r="H39235" s="680" t="s">
        <v>6153</v>
      </c>
    </row>
    <row r="39236" spans="8:8">
      <c r="H39236" s="680" t="s">
        <v>6153</v>
      </c>
    </row>
    <row r="39237" spans="8:8">
      <c r="H39237" s="680" t="s">
        <v>6153</v>
      </c>
    </row>
    <row r="39238" spans="8:8">
      <c r="H39238" s="680" t="s">
        <v>6153</v>
      </c>
    </row>
    <row r="39239" spans="8:8">
      <c r="H39239" s="680" t="s">
        <v>6153</v>
      </c>
    </row>
    <row r="39240" spans="8:8">
      <c r="H39240" s="680" t="s">
        <v>6153</v>
      </c>
    </row>
    <row r="39241" spans="8:8">
      <c r="H39241" s="680" t="s">
        <v>6153</v>
      </c>
    </row>
    <row r="39242" spans="8:8">
      <c r="H39242" s="680" t="s">
        <v>6153</v>
      </c>
    </row>
    <row r="39243" spans="8:8">
      <c r="H39243" s="680" t="s">
        <v>6153</v>
      </c>
    </row>
    <row r="39244" spans="8:8">
      <c r="H39244" s="680" t="s">
        <v>6153</v>
      </c>
    </row>
    <row r="39245" spans="8:8">
      <c r="H39245" s="680" t="s">
        <v>6153</v>
      </c>
    </row>
    <row r="39246" spans="8:8">
      <c r="H39246" s="680" t="s">
        <v>6153</v>
      </c>
    </row>
    <row r="39247" spans="8:8">
      <c r="H39247" s="680" t="s">
        <v>6153</v>
      </c>
    </row>
    <row r="39248" spans="8:8">
      <c r="H39248" s="680" t="s">
        <v>6153</v>
      </c>
    </row>
    <row r="39249" spans="8:8">
      <c r="H39249" s="680" t="s">
        <v>6153</v>
      </c>
    </row>
    <row r="39250" spans="8:8">
      <c r="H39250" s="680" t="s">
        <v>6153</v>
      </c>
    </row>
    <row r="39251" spans="8:8">
      <c r="H39251" s="680" t="s">
        <v>6153</v>
      </c>
    </row>
    <row r="39252" spans="8:8">
      <c r="H39252" s="680" t="s">
        <v>6153</v>
      </c>
    </row>
    <row r="39253" spans="8:8">
      <c r="H39253" s="680" t="s">
        <v>6153</v>
      </c>
    </row>
    <row r="39254" spans="8:8">
      <c r="H39254" s="680" t="s">
        <v>6153</v>
      </c>
    </row>
    <row r="39255" spans="8:8">
      <c r="H39255" s="680" t="s">
        <v>6153</v>
      </c>
    </row>
    <row r="39256" spans="8:8">
      <c r="H39256" s="680" t="s">
        <v>6153</v>
      </c>
    </row>
    <row r="39257" spans="8:8">
      <c r="H39257" s="680" t="s">
        <v>6153</v>
      </c>
    </row>
    <row r="39258" spans="8:8">
      <c r="H39258" s="680" t="s">
        <v>6153</v>
      </c>
    </row>
    <row r="39259" spans="8:8">
      <c r="H39259" s="680" t="s">
        <v>6153</v>
      </c>
    </row>
    <row r="39260" spans="8:8">
      <c r="H39260" s="680" t="s">
        <v>6153</v>
      </c>
    </row>
    <row r="39261" spans="8:8">
      <c r="H39261" s="680" t="s">
        <v>6153</v>
      </c>
    </row>
    <row r="39262" spans="8:8">
      <c r="H39262" s="680" t="s">
        <v>6153</v>
      </c>
    </row>
    <row r="39263" spans="8:8">
      <c r="H39263" s="680" t="s">
        <v>6153</v>
      </c>
    </row>
    <row r="39264" spans="8:8">
      <c r="H39264" s="680" t="s">
        <v>6153</v>
      </c>
    </row>
    <row r="39265" spans="8:8">
      <c r="H39265" s="680" t="s">
        <v>6153</v>
      </c>
    </row>
    <row r="39266" spans="8:8">
      <c r="H39266" s="680" t="s">
        <v>6153</v>
      </c>
    </row>
    <row r="39267" spans="8:8">
      <c r="H39267" s="680" t="s">
        <v>6153</v>
      </c>
    </row>
    <row r="39268" spans="8:8">
      <c r="H39268" s="680" t="s">
        <v>6153</v>
      </c>
    </row>
    <row r="39269" spans="8:8">
      <c r="H39269" s="680" t="s">
        <v>6153</v>
      </c>
    </row>
    <row r="39270" spans="8:8">
      <c r="H39270" s="680" t="s">
        <v>6153</v>
      </c>
    </row>
    <row r="39271" spans="8:8">
      <c r="H39271" s="680" t="s">
        <v>6153</v>
      </c>
    </row>
    <row r="39272" spans="8:8">
      <c r="H39272" s="680" t="s">
        <v>6153</v>
      </c>
    </row>
    <row r="39273" spans="8:8">
      <c r="H39273" s="680" t="s">
        <v>6153</v>
      </c>
    </row>
    <row r="39274" spans="8:8">
      <c r="H39274" s="680" t="s">
        <v>6153</v>
      </c>
    </row>
    <row r="39275" spans="8:8">
      <c r="H39275" s="680" t="s">
        <v>6153</v>
      </c>
    </row>
    <row r="39276" spans="8:8">
      <c r="H39276" s="680" t="s">
        <v>6153</v>
      </c>
    </row>
    <row r="39277" spans="8:8">
      <c r="H39277" s="680" t="s">
        <v>6153</v>
      </c>
    </row>
    <row r="39278" spans="8:8">
      <c r="H39278" s="680" t="s">
        <v>6153</v>
      </c>
    </row>
    <row r="39279" spans="8:8">
      <c r="H39279" s="680" t="s">
        <v>6153</v>
      </c>
    </row>
    <row r="39280" spans="8:8">
      <c r="H39280" s="680" t="s">
        <v>6153</v>
      </c>
    </row>
    <row r="39281" spans="8:8">
      <c r="H39281" s="680" t="s">
        <v>6153</v>
      </c>
    </row>
    <row r="39282" spans="8:8">
      <c r="H39282" s="680" t="s">
        <v>6153</v>
      </c>
    </row>
    <row r="39283" spans="8:8">
      <c r="H39283" s="680" t="s">
        <v>6153</v>
      </c>
    </row>
    <row r="39284" spans="8:8">
      <c r="H39284" s="680" t="s">
        <v>6153</v>
      </c>
    </row>
    <row r="39285" spans="8:8">
      <c r="H39285" s="680" t="s">
        <v>6153</v>
      </c>
    </row>
    <row r="39286" spans="8:8">
      <c r="H39286" s="680" t="s">
        <v>6153</v>
      </c>
    </row>
    <row r="39287" spans="8:8">
      <c r="H39287" s="680" t="s">
        <v>6153</v>
      </c>
    </row>
    <row r="39288" spans="8:8">
      <c r="H39288" s="680" t="s">
        <v>6153</v>
      </c>
    </row>
    <row r="39289" spans="8:8">
      <c r="H39289" s="680" t="s">
        <v>6153</v>
      </c>
    </row>
    <row r="39290" spans="8:8">
      <c r="H39290" s="680" t="s">
        <v>6153</v>
      </c>
    </row>
    <row r="39291" spans="8:8">
      <c r="H39291" s="680" t="s">
        <v>6153</v>
      </c>
    </row>
    <row r="39292" spans="8:8">
      <c r="H39292" s="680" t="s">
        <v>6153</v>
      </c>
    </row>
    <row r="39293" spans="8:8">
      <c r="H39293" s="680" t="s">
        <v>6153</v>
      </c>
    </row>
    <row r="39294" spans="8:8">
      <c r="H39294" s="680" t="s">
        <v>6153</v>
      </c>
    </row>
    <row r="39295" spans="8:8">
      <c r="H39295" s="680" t="s">
        <v>6153</v>
      </c>
    </row>
    <row r="39296" spans="8:8">
      <c r="H39296" s="680" t="s">
        <v>6153</v>
      </c>
    </row>
    <row r="39297" spans="8:8">
      <c r="H39297" s="680" t="s">
        <v>6153</v>
      </c>
    </row>
    <row r="39298" spans="8:8">
      <c r="H39298" s="680" t="s">
        <v>6153</v>
      </c>
    </row>
    <row r="39299" spans="8:8">
      <c r="H39299" s="680" t="s">
        <v>6153</v>
      </c>
    </row>
    <row r="39300" spans="8:8">
      <c r="H39300" s="680" t="s">
        <v>6153</v>
      </c>
    </row>
    <row r="39301" spans="8:8">
      <c r="H39301" s="680" t="s">
        <v>6153</v>
      </c>
    </row>
    <row r="39302" spans="8:8">
      <c r="H39302" s="680" t="s">
        <v>6153</v>
      </c>
    </row>
    <row r="39303" spans="8:8">
      <c r="H39303" s="680" t="s">
        <v>6153</v>
      </c>
    </row>
    <row r="39304" spans="8:8">
      <c r="H39304" s="680" t="s">
        <v>6153</v>
      </c>
    </row>
    <row r="39305" spans="8:8">
      <c r="H39305" s="680" t="s">
        <v>6153</v>
      </c>
    </row>
    <row r="39306" spans="8:8">
      <c r="H39306" s="680" t="s">
        <v>6153</v>
      </c>
    </row>
    <row r="39307" spans="8:8">
      <c r="H39307" s="680" t="s">
        <v>6153</v>
      </c>
    </row>
    <row r="39308" spans="8:8">
      <c r="H39308" s="680" t="s">
        <v>6153</v>
      </c>
    </row>
    <row r="39309" spans="8:8">
      <c r="H39309" s="680" t="s">
        <v>6153</v>
      </c>
    </row>
    <row r="39310" spans="8:8">
      <c r="H39310" s="680" t="s">
        <v>6153</v>
      </c>
    </row>
    <row r="39311" spans="8:8">
      <c r="H39311" s="680" t="s">
        <v>6153</v>
      </c>
    </row>
    <row r="39312" spans="8:8">
      <c r="H39312" s="680" t="s">
        <v>6153</v>
      </c>
    </row>
    <row r="39313" spans="8:8">
      <c r="H39313" s="680" t="s">
        <v>6153</v>
      </c>
    </row>
    <row r="39314" spans="8:8">
      <c r="H39314" s="680" t="s">
        <v>6153</v>
      </c>
    </row>
    <row r="39315" spans="8:8">
      <c r="H39315" s="680" t="s">
        <v>6153</v>
      </c>
    </row>
    <row r="39316" spans="8:8">
      <c r="H39316" s="680" t="s">
        <v>6153</v>
      </c>
    </row>
    <row r="39317" spans="8:8">
      <c r="H39317" s="680" t="s">
        <v>6153</v>
      </c>
    </row>
    <row r="39318" spans="8:8">
      <c r="H39318" s="680" t="s">
        <v>6153</v>
      </c>
    </row>
    <row r="39319" spans="8:8">
      <c r="H39319" s="680" t="s">
        <v>6153</v>
      </c>
    </row>
    <row r="39320" spans="8:8">
      <c r="H39320" s="680" t="s">
        <v>6153</v>
      </c>
    </row>
    <row r="39321" spans="8:8">
      <c r="H39321" s="680" t="s">
        <v>6153</v>
      </c>
    </row>
    <row r="39322" spans="8:8">
      <c r="H39322" s="680" t="s">
        <v>6153</v>
      </c>
    </row>
    <row r="39323" spans="8:8">
      <c r="H39323" s="680" t="s">
        <v>6153</v>
      </c>
    </row>
    <row r="39324" spans="8:8">
      <c r="H39324" s="680" t="s">
        <v>6153</v>
      </c>
    </row>
    <row r="39325" spans="8:8">
      <c r="H39325" s="680" t="s">
        <v>6153</v>
      </c>
    </row>
    <row r="39326" spans="8:8">
      <c r="H39326" s="680" t="s">
        <v>6153</v>
      </c>
    </row>
    <row r="39327" spans="8:8">
      <c r="H39327" s="680" t="s">
        <v>6153</v>
      </c>
    </row>
    <row r="39328" spans="8:8">
      <c r="H39328" s="680" t="s">
        <v>6153</v>
      </c>
    </row>
    <row r="39329" spans="8:8">
      <c r="H39329" s="680" t="s">
        <v>6153</v>
      </c>
    </row>
    <row r="39330" spans="8:8">
      <c r="H39330" s="680" t="s">
        <v>6153</v>
      </c>
    </row>
    <row r="39331" spans="8:8">
      <c r="H39331" s="680" t="s">
        <v>6153</v>
      </c>
    </row>
    <row r="39332" spans="8:8">
      <c r="H39332" s="680" t="s">
        <v>6153</v>
      </c>
    </row>
    <row r="39333" spans="8:8">
      <c r="H39333" s="680" t="s">
        <v>6153</v>
      </c>
    </row>
    <row r="39334" spans="8:8">
      <c r="H39334" s="680" t="s">
        <v>6153</v>
      </c>
    </row>
    <row r="39335" spans="8:8">
      <c r="H39335" s="680" t="s">
        <v>6153</v>
      </c>
    </row>
    <row r="39336" spans="8:8">
      <c r="H39336" s="680" t="s">
        <v>6153</v>
      </c>
    </row>
    <row r="39337" spans="8:8">
      <c r="H39337" s="680" t="s">
        <v>6153</v>
      </c>
    </row>
    <row r="39338" spans="8:8">
      <c r="H39338" s="680" t="s">
        <v>6153</v>
      </c>
    </row>
    <row r="39339" spans="8:8">
      <c r="H39339" s="680" t="s">
        <v>6153</v>
      </c>
    </row>
    <row r="39340" spans="8:8">
      <c r="H39340" s="680" t="s">
        <v>6153</v>
      </c>
    </row>
    <row r="39341" spans="8:8">
      <c r="H39341" s="680" t="s">
        <v>6153</v>
      </c>
    </row>
    <row r="39342" spans="8:8">
      <c r="H39342" s="680" t="s">
        <v>6153</v>
      </c>
    </row>
    <row r="39343" spans="8:8">
      <c r="H39343" s="680" t="s">
        <v>6153</v>
      </c>
    </row>
    <row r="39344" spans="8:8">
      <c r="H39344" s="680" t="s">
        <v>6153</v>
      </c>
    </row>
    <row r="39345" spans="8:8">
      <c r="H39345" s="680" t="s">
        <v>6153</v>
      </c>
    </row>
    <row r="39346" spans="8:8">
      <c r="H39346" s="680" t="s">
        <v>6153</v>
      </c>
    </row>
    <row r="39347" spans="8:8">
      <c r="H39347" s="680" t="s">
        <v>6153</v>
      </c>
    </row>
    <row r="39348" spans="8:8">
      <c r="H39348" s="680" t="s">
        <v>6153</v>
      </c>
    </row>
    <row r="39349" spans="8:8">
      <c r="H39349" s="680" t="s">
        <v>6153</v>
      </c>
    </row>
    <row r="39350" spans="8:8">
      <c r="H39350" s="680" t="s">
        <v>6153</v>
      </c>
    </row>
    <row r="39351" spans="8:8">
      <c r="H39351" s="680" t="s">
        <v>6153</v>
      </c>
    </row>
    <row r="39352" spans="8:8">
      <c r="H39352" s="680" t="s">
        <v>6153</v>
      </c>
    </row>
    <row r="39353" spans="8:8">
      <c r="H39353" s="680" t="s">
        <v>6153</v>
      </c>
    </row>
    <row r="39354" spans="8:8">
      <c r="H39354" s="680" t="s">
        <v>6153</v>
      </c>
    </row>
    <row r="39355" spans="8:8">
      <c r="H39355" s="680" t="s">
        <v>6153</v>
      </c>
    </row>
    <row r="39356" spans="8:8">
      <c r="H39356" s="680" t="s">
        <v>6153</v>
      </c>
    </row>
    <row r="39357" spans="8:8">
      <c r="H39357" s="680" t="s">
        <v>6153</v>
      </c>
    </row>
    <row r="39358" spans="8:8">
      <c r="H39358" s="680" t="s">
        <v>6153</v>
      </c>
    </row>
    <row r="39359" spans="8:8">
      <c r="H39359" s="680" t="s">
        <v>6153</v>
      </c>
    </row>
    <row r="39360" spans="8:8">
      <c r="H39360" s="680" t="s">
        <v>6153</v>
      </c>
    </row>
    <row r="39361" spans="8:8">
      <c r="H39361" s="680" t="s">
        <v>6153</v>
      </c>
    </row>
    <row r="39362" spans="8:8">
      <c r="H39362" s="680" t="s">
        <v>6153</v>
      </c>
    </row>
    <row r="39363" spans="8:8">
      <c r="H39363" s="680" t="s">
        <v>6153</v>
      </c>
    </row>
    <row r="39364" spans="8:8">
      <c r="H39364" s="680" t="s">
        <v>6153</v>
      </c>
    </row>
    <row r="39365" spans="8:8">
      <c r="H39365" s="680" t="s">
        <v>6153</v>
      </c>
    </row>
    <row r="39366" spans="8:8">
      <c r="H39366" s="680" t="s">
        <v>6153</v>
      </c>
    </row>
    <row r="39367" spans="8:8">
      <c r="H39367" s="680" t="s">
        <v>6153</v>
      </c>
    </row>
    <row r="39368" spans="8:8">
      <c r="H39368" s="680" t="s">
        <v>6153</v>
      </c>
    </row>
    <row r="39369" spans="8:8">
      <c r="H39369" s="680" t="s">
        <v>6153</v>
      </c>
    </row>
    <row r="39370" spans="8:8">
      <c r="H39370" s="680" t="s">
        <v>6153</v>
      </c>
    </row>
    <row r="39371" spans="8:8">
      <c r="H39371" s="680" t="s">
        <v>6153</v>
      </c>
    </row>
    <row r="39372" spans="8:8">
      <c r="H39372" s="680" t="s">
        <v>6153</v>
      </c>
    </row>
    <row r="39373" spans="8:8">
      <c r="H39373" s="680" t="s">
        <v>6153</v>
      </c>
    </row>
    <row r="39374" spans="8:8">
      <c r="H39374" s="680" t="s">
        <v>6153</v>
      </c>
    </row>
    <row r="39375" spans="8:8">
      <c r="H39375" s="680" t="s">
        <v>6153</v>
      </c>
    </row>
    <row r="39376" spans="8:8">
      <c r="H39376" s="680" t="s">
        <v>6153</v>
      </c>
    </row>
    <row r="39377" spans="8:8">
      <c r="H39377" s="680" t="s">
        <v>6153</v>
      </c>
    </row>
    <row r="39378" spans="8:8">
      <c r="H39378" s="680" t="s">
        <v>6153</v>
      </c>
    </row>
    <row r="39379" spans="8:8">
      <c r="H39379" s="680" t="s">
        <v>6153</v>
      </c>
    </row>
    <row r="39380" spans="8:8">
      <c r="H39380" s="680" t="s">
        <v>6153</v>
      </c>
    </row>
    <row r="39381" spans="8:8">
      <c r="H39381" s="680" t="s">
        <v>6153</v>
      </c>
    </row>
    <row r="39382" spans="8:8">
      <c r="H39382" s="680" t="s">
        <v>6153</v>
      </c>
    </row>
    <row r="39383" spans="8:8">
      <c r="H39383" s="680" t="s">
        <v>6153</v>
      </c>
    </row>
    <row r="39384" spans="8:8">
      <c r="H39384" s="680" t="s">
        <v>6153</v>
      </c>
    </row>
    <row r="39385" spans="8:8">
      <c r="H39385" s="680" t="s">
        <v>6153</v>
      </c>
    </row>
    <row r="39386" spans="8:8">
      <c r="H39386" s="680" t="s">
        <v>6153</v>
      </c>
    </row>
    <row r="39387" spans="8:8">
      <c r="H39387" s="680" t="s">
        <v>6153</v>
      </c>
    </row>
    <row r="39388" spans="8:8">
      <c r="H39388" s="680" t="s">
        <v>6153</v>
      </c>
    </row>
    <row r="39389" spans="8:8">
      <c r="H39389" s="680" t="s">
        <v>6153</v>
      </c>
    </row>
    <row r="39390" spans="8:8">
      <c r="H39390" s="680" t="s">
        <v>6153</v>
      </c>
    </row>
    <row r="39391" spans="8:8">
      <c r="H39391" s="680" t="s">
        <v>6153</v>
      </c>
    </row>
    <row r="39392" spans="8:8">
      <c r="H39392" s="680" t="s">
        <v>6153</v>
      </c>
    </row>
    <row r="39393" spans="8:8">
      <c r="H39393" s="680" t="s">
        <v>6153</v>
      </c>
    </row>
    <row r="39394" spans="8:8">
      <c r="H39394" s="680" t="s">
        <v>6153</v>
      </c>
    </row>
    <row r="39395" spans="8:8">
      <c r="H39395" s="680" t="s">
        <v>6153</v>
      </c>
    </row>
    <row r="39396" spans="8:8">
      <c r="H39396" s="680" t="s">
        <v>6153</v>
      </c>
    </row>
    <row r="39397" spans="8:8">
      <c r="H39397" s="680" t="s">
        <v>6153</v>
      </c>
    </row>
    <row r="39398" spans="8:8">
      <c r="H39398" s="680" t="s">
        <v>6153</v>
      </c>
    </row>
    <row r="39399" spans="8:8">
      <c r="H39399" s="680" t="s">
        <v>6153</v>
      </c>
    </row>
    <row r="39400" spans="8:8">
      <c r="H39400" s="680" t="s">
        <v>6153</v>
      </c>
    </row>
    <row r="39401" spans="8:8">
      <c r="H39401" s="680" t="s">
        <v>6153</v>
      </c>
    </row>
    <row r="39402" spans="8:8">
      <c r="H39402" s="680" t="s">
        <v>6153</v>
      </c>
    </row>
    <row r="39403" spans="8:8">
      <c r="H39403" s="680" t="s">
        <v>6153</v>
      </c>
    </row>
    <row r="39404" spans="8:8">
      <c r="H39404" s="680" t="s">
        <v>6153</v>
      </c>
    </row>
    <row r="39405" spans="8:8">
      <c r="H39405" s="680" t="s">
        <v>6153</v>
      </c>
    </row>
    <row r="39406" spans="8:8">
      <c r="H39406" s="680" t="s">
        <v>6153</v>
      </c>
    </row>
    <row r="39407" spans="8:8">
      <c r="H39407" s="680" t="s">
        <v>6153</v>
      </c>
    </row>
    <row r="39408" spans="8:8">
      <c r="H39408" s="680" t="s">
        <v>6153</v>
      </c>
    </row>
    <row r="39409" spans="8:8">
      <c r="H39409" s="680" t="s">
        <v>6153</v>
      </c>
    </row>
    <row r="39410" spans="8:8">
      <c r="H39410" s="680" t="s">
        <v>6153</v>
      </c>
    </row>
    <row r="39411" spans="8:8">
      <c r="H39411" s="680" t="s">
        <v>6153</v>
      </c>
    </row>
    <row r="39412" spans="8:8">
      <c r="H39412" s="680" t="s">
        <v>6153</v>
      </c>
    </row>
    <row r="39413" spans="8:8">
      <c r="H39413" s="680" t="s">
        <v>6153</v>
      </c>
    </row>
    <row r="39414" spans="8:8">
      <c r="H39414" s="680" t="s">
        <v>6153</v>
      </c>
    </row>
    <row r="39415" spans="8:8">
      <c r="H39415" s="680" t="s">
        <v>6153</v>
      </c>
    </row>
    <row r="39416" spans="8:8">
      <c r="H39416" s="680" t="s">
        <v>6153</v>
      </c>
    </row>
    <row r="39417" spans="8:8">
      <c r="H39417" s="680" t="s">
        <v>6153</v>
      </c>
    </row>
    <row r="39418" spans="8:8">
      <c r="H39418" s="680" t="s">
        <v>6153</v>
      </c>
    </row>
    <row r="39419" spans="8:8">
      <c r="H39419" s="680" t="s">
        <v>6153</v>
      </c>
    </row>
    <row r="39420" spans="8:8">
      <c r="H39420" s="680" t="s">
        <v>6153</v>
      </c>
    </row>
    <row r="39421" spans="8:8">
      <c r="H39421" s="680" t="s">
        <v>6153</v>
      </c>
    </row>
    <row r="39422" spans="8:8">
      <c r="H39422" s="680" t="s">
        <v>6153</v>
      </c>
    </row>
    <row r="39423" spans="8:8">
      <c r="H39423" s="680" t="s">
        <v>6153</v>
      </c>
    </row>
    <row r="39424" spans="8:8">
      <c r="H39424" s="680" t="s">
        <v>6153</v>
      </c>
    </row>
    <row r="39425" spans="8:8">
      <c r="H39425" s="680" t="s">
        <v>6153</v>
      </c>
    </row>
    <row r="39426" spans="8:8">
      <c r="H39426" s="680" t="s">
        <v>6153</v>
      </c>
    </row>
    <row r="39427" spans="8:8">
      <c r="H39427" s="680" t="s">
        <v>6153</v>
      </c>
    </row>
    <row r="39428" spans="8:8">
      <c r="H39428" s="680" t="s">
        <v>6153</v>
      </c>
    </row>
    <row r="39429" spans="8:8">
      <c r="H39429" s="680" t="s">
        <v>6153</v>
      </c>
    </row>
    <row r="39430" spans="8:8">
      <c r="H39430" s="680" t="s">
        <v>6153</v>
      </c>
    </row>
    <row r="39431" spans="8:8">
      <c r="H39431" s="680" t="s">
        <v>6153</v>
      </c>
    </row>
    <row r="39432" spans="8:8">
      <c r="H39432" s="680" t="s">
        <v>6153</v>
      </c>
    </row>
    <row r="39433" spans="8:8">
      <c r="H39433" s="680" t="s">
        <v>6153</v>
      </c>
    </row>
    <row r="39434" spans="8:8">
      <c r="H39434" s="680" t="s">
        <v>6153</v>
      </c>
    </row>
    <row r="39435" spans="8:8">
      <c r="H39435" s="680" t="s">
        <v>6153</v>
      </c>
    </row>
    <row r="39436" spans="8:8">
      <c r="H39436" s="680" t="s">
        <v>6153</v>
      </c>
    </row>
    <row r="39437" spans="8:8">
      <c r="H39437" s="680" t="s">
        <v>6153</v>
      </c>
    </row>
    <row r="39438" spans="8:8">
      <c r="H39438" s="680" t="s">
        <v>6153</v>
      </c>
    </row>
    <row r="39439" spans="8:8">
      <c r="H39439" s="680" t="s">
        <v>6153</v>
      </c>
    </row>
    <row r="39440" spans="8:8">
      <c r="H39440" s="680" t="s">
        <v>6153</v>
      </c>
    </row>
    <row r="39441" spans="8:8">
      <c r="H39441" s="680" t="s">
        <v>6153</v>
      </c>
    </row>
    <row r="39442" spans="8:8">
      <c r="H39442" s="680" t="s">
        <v>6153</v>
      </c>
    </row>
    <row r="39443" spans="8:8">
      <c r="H39443" s="680" t="s">
        <v>6153</v>
      </c>
    </row>
    <row r="39444" spans="8:8">
      <c r="H39444" s="680" t="s">
        <v>6153</v>
      </c>
    </row>
    <row r="39445" spans="8:8">
      <c r="H39445" s="680" t="s">
        <v>6153</v>
      </c>
    </row>
    <row r="39446" spans="8:8">
      <c r="H39446" s="680" t="s">
        <v>6153</v>
      </c>
    </row>
    <row r="39447" spans="8:8">
      <c r="H39447" s="680" t="s">
        <v>6153</v>
      </c>
    </row>
    <row r="39448" spans="8:8">
      <c r="H39448" s="680" t="s">
        <v>6153</v>
      </c>
    </row>
    <row r="39449" spans="8:8">
      <c r="H39449" s="680" t="s">
        <v>6153</v>
      </c>
    </row>
    <row r="39450" spans="8:8">
      <c r="H39450" s="680" t="s">
        <v>6153</v>
      </c>
    </row>
    <row r="39451" spans="8:8">
      <c r="H39451" s="680" t="s">
        <v>6153</v>
      </c>
    </row>
    <row r="39452" spans="8:8">
      <c r="H39452" s="680" t="s">
        <v>6153</v>
      </c>
    </row>
    <row r="39453" spans="8:8">
      <c r="H39453" s="680" t="s">
        <v>6153</v>
      </c>
    </row>
    <row r="39454" spans="8:8">
      <c r="H39454" s="680" t="s">
        <v>6153</v>
      </c>
    </row>
    <row r="39455" spans="8:8">
      <c r="H39455" s="680" t="s">
        <v>6153</v>
      </c>
    </row>
    <row r="39456" spans="8:8">
      <c r="H39456" s="680" t="s">
        <v>6153</v>
      </c>
    </row>
    <row r="39457" spans="8:8">
      <c r="H39457" s="680" t="s">
        <v>6153</v>
      </c>
    </row>
    <row r="39458" spans="8:8">
      <c r="H39458" s="680" t="s">
        <v>6153</v>
      </c>
    </row>
    <row r="39459" spans="8:8">
      <c r="H39459" s="680" t="s">
        <v>6153</v>
      </c>
    </row>
    <row r="39460" spans="8:8">
      <c r="H39460" s="680" t="s">
        <v>6153</v>
      </c>
    </row>
    <row r="39461" spans="8:8">
      <c r="H39461" s="680" t="s">
        <v>6153</v>
      </c>
    </row>
    <row r="39462" spans="8:8">
      <c r="H39462" s="680" t="s">
        <v>6153</v>
      </c>
    </row>
    <row r="39463" spans="8:8">
      <c r="H39463" s="680" t="s">
        <v>6153</v>
      </c>
    </row>
    <row r="39464" spans="8:8">
      <c r="H39464" s="680" t="s">
        <v>6153</v>
      </c>
    </row>
    <row r="39465" spans="8:8">
      <c r="H39465" s="680" t="s">
        <v>6153</v>
      </c>
    </row>
    <row r="39466" spans="8:8">
      <c r="H39466" s="680" t="s">
        <v>6153</v>
      </c>
    </row>
    <row r="39467" spans="8:8">
      <c r="H39467" s="680" t="s">
        <v>6153</v>
      </c>
    </row>
    <row r="39468" spans="8:8">
      <c r="H39468" s="680" t="s">
        <v>6153</v>
      </c>
    </row>
    <row r="39469" spans="8:8">
      <c r="H39469" s="680" t="s">
        <v>6153</v>
      </c>
    </row>
    <row r="39470" spans="8:8">
      <c r="H39470" s="680" t="s">
        <v>6153</v>
      </c>
    </row>
    <row r="39471" spans="8:8">
      <c r="H39471" s="680" t="s">
        <v>6153</v>
      </c>
    </row>
    <row r="39472" spans="8:8">
      <c r="H39472" s="680" t="s">
        <v>6153</v>
      </c>
    </row>
    <row r="39473" spans="8:8">
      <c r="H39473" s="680" t="s">
        <v>6153</v>
      </c>
    </row>
    <row r="39474" spans="8:8">
      <c r="H39474" s="680" t="s">
        <v>6153</v>
      </c>
    </row>
    <row r="39475" spans="8:8">
      <c r="H39475" s="680" t="s">
        <v>6153</v>
      </c>
    </row>
    <row r="39476" spans="8:8">
      <c r="H39476" s="680" t="s">
        <v>6153</v>
      </c>
    </row>
    <row r="39477" spans="8:8">
      <c r="H39477" s="680" t="s">
        <v>6153</v>
      </c>
    </row>
    <row r="39478" spans="8:8">
      <c r="H39478" s="680" t="s">
        <v>6153</v>
      </c>
    </row>
    <row r="39479" spans="8:8">
      <c r="H39479" s="680" t="s">
        <v>6153</v>
      </c>
    </row>
    <row r="39480" spans="8:8">
      <c r="H39480" s="680" t="s">
        <v>6153</v>
      </c>
    </row>
    <row r="39481" spans="8:8">
      <c r="H39481" s="680" t="s">
        <v>6153</v>
      </c>
    </row>
    <row r="39482" spans="8:8">
      <c r="H39482" s="680" t="s">
        <v>6153</v>
      </c>
    </row>
    <row r="39483" spans="8:8">
      <c r="H39483" s="680" t="s">
        <v>6153</v>
      </c>
    </row>
    <row r="39484" spans="8:8">
      <c r="H39484" s="680" t="s">
        <v>6153</v>
      </c>
    </row>
    <row r="39485" spans="8:8">
      <c r="H39485" s="680" t="s">
        <v>6153</v>
      </c>
    </row>
    <row r="39486" spans="8:8">
      <c r="H39486" s="680" t="s">
        <v>6153</v>
      </c>
    </row>
    <row r="39487" spans="8:8">
      <c r="H39487" s="680" t="s">
        <v>6153</v>
      </c>
    </row>
    <row r="39488" spans="8:8">
      <c r="H39488" s="680" t="s">
        <v>6153</v>
      </c>
    </row>
    <row r="39489" spans="8:8">
      <c r="H39489" s="680" t="s">
        <v>6153</v>
      </c>
    </row>
    <row r="39490" spans="8:8">
      <c r="H39490" s="680" t="s">
        <v>6153</v>
      </c>
    </row>
    <row r="39491" spans="8:8">
      <c r="H39491" s="680" t="s">
        <v>6153</v>
      </c>
    </row>
    <row r="39492" spans="8:8">
      <c r="H39492" s="680" t="s">
        <v>6153</v>
      </c>
    </row>
    <row r="39493" spans="8:8">
      <c r="H39493" s="680" t="s">
        <v>6153</v>
      </c>
    </row>
    <row r="39494" spans="8:8">
      <c r="H39494" s="680" t="s">
        <v>6153</v>
      </c>
    </row>
    <row r="39495" spans="8:8">
      <c r="H39495" s="680" t="s">
        <v>6153</v>
      </c>
    </row>
    <row r="39496" spans="8:8">
      <c r="H39496" s="680" t="s">
        <v>6153</v>
      </c>
    </row>
    <row r="39497" spans="8:8">
      <c r="H39497" s="680" t="s">
        <v>6153</v>
      </c>
    </row>
    <row r="39498" spans="8:8">
      <c r="H39498" s="680" t="s">
        <v>6153</v>
      </c>
    </row>
    <row r="39499" spans="8:8">
      <c r="H39499" s="680" t="s">
        <v>6153</v>
      </c>
    </row>
    <row r="39500" spans="8:8">
      <c r="H39500" s="680" t="s">
        <v>6153</v>
      </c>
    </row>
    <row r="39501" spans="8:8">
      <c r="H39501" s="680" t="s">
        <v>6153</v>
      </c>
    </row>
    <row r="39502" spans="8:8">
      <c r="H39502" s="680" t="s">
        <v>6153</v>
      </c>
    </row>
    <row r="39503" spans="8:8">
      <c r="H39503" s="680" t="s">
        <v>6153</v>
      </c>
    </row>
    <row r="39504" spans="8:8">
      <c r="H39504" s="680" t="s">
        <v>6153</v>
      </c>
    </row>
    <row r="39505" spans="8:8">
      <c r="H39505" s="680" t="s">
        <v>6153</v>
      </c>
    </row>
    <row r="39506" spans="8:8">
      <c r="H39506" s="680" t="s">
        <v>6153</v>
      </c>
    </row>
    <row r="39507" spans="8:8">
      <c r="H39507" s="680" t="s">
        <v>6153</v>
      </c>
    </row>
    <row r="39508" spans="8:8">
      <c r="H39508" s="680" t="s">
        <v>6153</v>
      </c>
    </row>
    <row r="39509" spans="8:8">
      <c r="H39509" s="680" t="s">
        <v>6153</v>
      </c>
    </row>
    <row r="39510" spans="8:8">
      <c r="H39510" s="680" t="s">
        <v>6153</v>
      </c>
    </row>
    <row r="39511" spans="8:8">
      <c r="H39511" s="680" t="s">
        <v>6153</v>
      </c>
    </row>
    <row r="39512" spans="8:8">
      <c r="H39512" s="680" t="s">
        <v>6153</v>
      </c>
    </row>
    <row r="39513" spans="8:8">
      <c r="H39513" s="680" t="s">
        <v>6153</v>
      </c>
    </row>
    <row r="39514" spans="8:8">
      <c r="H39514" s="680" t="s">
        <v>6153</v>
      </c>
    </row>
    <row r="39515" spans="8:8">
      <c r="H39515" s="680" t="s">
        <v>6153</v>
      </c>
    </row>
    <row r="39516" spans="8:8">
      <c r="H39516" s="680" t="s">
        <v>6153</v>
      </c>
    </row>
    <row r="39517" spans="8:8">
      <c r="H39517" s="680" t="s">
        <v>6153</v>
      </c>
    </row>
    <row r="39518" spans="8:8">
      <c r="H39518" s="680" t="s">
        <v>6153</v>
      </c>
    </row>
    <row r="39519" spans="8:8">
      <c r="H39519" s="680" t="s">
        <v>6153</v>
      </c>
    </row>
    <row r="39520" spans="8:8">
      <c r="H39520" s="680" t="s">
        <v>6153</v>
      </c>
    </row>
    <row r="39521" spans="8:8">
      <c r="H39521" s="680" t="s">
        <v>6153</v>
      </c>
    </row>
    <row r="39522" spans="8:8">
      <c r="H39522" s="680" t="s">
        <v>6153</v>
      </c>
    </row>
    <row r="39523" spans="8:8">
      <c r="H39523" s="680" t="s">
        <v>6153</v>
      </c>
    </row>
    <row r="39524" spans="8:8">
      <c r="H39524" s="680" t="s">
        <v>6153</v>
      </c>
    </row>
    <row r="39525" spans="8:8">
      <c r="H39525" s="680" t="s">
        <v>6153</v>
      </c>
    </row>
    <row r="39526" spans="8:8">
      <c r="H39526" s="680" t="s">
        <v>6153</v>
      </c>
    </row>
    <row r="39527" spans="8:8">
      <c r="H39527" s="680" t="s">
        <v>6153</v>
      </c>
    </row>
    <row r="39528" spans="8:8">
      <c r="H39528" s="680" t="s">
        <v>6153</v>
      </c>
    </row>
    <row r="39529" spans="8:8">
      <c r="H39529" s="680" t="s">
        <v>6153</v>
      </c>
    </row>
    <row r="39530" spans="8:8">
      <c r="H39530" s="680" t="s">
        <v>6153</v>
      </c>
    </row>
    <row r="39531" spans="8:8">
      <c r="H39531" s="680" t="s">
        <v>6153</v>
      </c>
    </row>
    <row r="39532" spans="8:8">
      <c r="H39532" s="680" t="s">
        <v>6153</v>
      </c>
    </row>
    <row r="39533" spans="8:8">
      <c r="H39533" s="680" t="s">
        <v>6153</v>
      </c>
    </row>
    <row r="39534" spans="8:8">
      <c r="H39534" s="680" t="s">
        <v>6153</v>
      </c>
    </row>
    <row r="39535" spans="8:8">
      <c r="H39535" s="680" t="s">
        <v>6153</v>
      </c>
    </row>
    <row r="39536" spans="8:8">
      <c r="H39536" s="680" t="s">
        <v>6153</v>
      </c>
    </row>
    <row r="39537" spans="8:8">
      <c r="H39537" s="680" t="s">
        <v>6153</v>
      </c>
    </row>
    <row r="39538" spans="8:8">
      <c r="H39538" s="680" t="s">
        <v>6153</v>
      </c>
    </row>
    <row r="39539" spans="8:8">
      <c r="H39539" s="680" t="s">
        <v>6153</v>
      </c>
    </row>
    <row r="39540" spans="8:8">
      <c r="H39540" s="680" t="s">
        <v>6153</v>
      </c>
    </row>
    <row r="39541" spans="8:8">
      <c r="H39541" s="680" t="s">
        <v>6153</v>
      </c>
    </row>
    <row r="39542" spans="8:8">
      <c r="H39542" s="680" t="s">
        <v>6153</v>
      </c>
    </row>
    <row r="39543" spans="8:8">
      <c r="H39543" s="680" t="s">
        <v>6153</v>
      </c>
    </row>
    <row r="39544" spans="8:8">
      <c r="H39544" s="680" t="s">
        <v>6153</v>
      </c>
    </row>
    <row r="39545" spans="8:8">
      <c r="H39545" s="680" t="s">
        <v>6153</v>
      </c>
    </row>
    <row r="39546" spans="8:8">
      <c r="H39546" s="680" t="s">
        <v>6153</v>
      </c>
    </row>
    <row r="39547" spans="8:8">
      <c r="H39547" s="680" t="s">
        <v>6153</v>
      </c>
    </row>
    <row r="39548" spans="8:8">
      <c r="H39548" s="680" t="s">
        <v>6153</v>
      </c>
    </row>
    <row r="39549" spans="8:8">
      <c r="H39549" s="680" t="s">
        <v>6153</v>
      </c>
    </row>
    <row r="39550" spans="8:8">
      <c r="H39550" s="680" t="s">
        <v>6153</v>
      </c>
    </row>
    <row r="39551" spans="8:8">
      <c r="H39551" s="680" t="s">
        <v>6153</v>
      </c>
    </row>
    <row r="39552" spans="8:8">
      <c r="H39552" s="680" t="s">
        <v>6153</v>
      </c>
    </row>
    <row r="39553" spans="8:8">
      <c r="H39553" s="680" t="s">
        <v>6153</v>
      </c>
    </row>
    <row r="39554" spans="8:8">
      <c r="H39554" s="680" t="s">
        <v>6153</v>
      </c>
    </row>
    <row r="39555" spans="8:8">
      <c r="H39555" s="680" t="s">
        <v>6153</v>
      </c>
    </row>
    <row r="39556" spans="8:8">
      <c r="H39556" s="680" t="s">
        <v>6153</v>
      </c>
    </row>
    <row r="39557" spans="8:8">
      <c r="H39557" s="680" t="s">
        <v>6153</v>
      </c>
    </row>
    <row r="39558" spans="8:8">
      <c r="H39558" s="680" t="s">
        <v>6153</v>
      </c>
    </row>
    <row r="39559" spans="8:8">
      <c r="H39559" s="680" t="s">
        <v>6153</v>
      </c>
    </row>
    <row r="39560" spans="8:8">
      <c r="H39560" s="680" t="s">
        <v>6153</v>
      </c>
    </row>
    <row r="39561" spans="8:8">
      <c r="H39561" s="680" t="s">
        <v>6153</v>
      </c>
    </row>
    <row r="39562" spans="8:8">
      <c r="H39562" s="680" t="s">
        <v>6153</v>
      </c>
    </row>
    <row r="39563" spans="8:8">
      <c r="H39563" s="680" t="s">
        <v>6153</v>
      </c>
    </row>
    <row r="39564" spans="8:8">
      <c r="H39564" s="680" t="s">
        <v>6153</v>
      </c>
    </row>
    <row r="39565" spans="8:8">
      <c r="H39565" s="680" t="s">
        <v>6153</v>
      </c>
    </row>
    <row r="39566" spans="8:8">
      <c r="H39566" s="680" t="s">
        <v>6153</v>
      </c>
    </row>
    <row r="39567" spans="8:8">
      <c r="H39567" s="680" t="s">
        <v>6153</v>
      </c>
    </row>
    <row r="39568" spans="8:8">
      <c r="H39568" s="680" t="s">
        <v>6153</v>
      </c>
    </row>
    <row r="39569" spans="8:8">
      <c r="H39569" s="680" t="s">
        <v>6153</v>
      </c>
    </row>
    <row r="39570" spans="8:8">
      <c r="H39570" s="680" t="s">
        <v>6153</v>
      </c>
    </row>
    <row r="39571" spans="8:8">
      <c r="H39571" s="680" t="s">
        <v>6153</v>
      </c>
    </row>
    <row r="39572" spans="8:8">
      <c r="H39572" s="680" t="s">
        <v>6153</v>
      </c>
    </row>
    <row r="39573" spans="8:8">
      <c r="H39573" s="680" t="s">
        <v>6153</v>
      </c>
    </row>
    <row r="39574" spans="8:8">
      <c r="H39574" s="680" t="s">
        <v>6153</v>
      </c>
    </row>
    <row r="39575" spans="8:8">
      <c r="H39575" s="680" t="s">
        <v>6153</v>
      </c>
    </row>
    <row r="39576" spans="8:8">
      <c r="H39576" s="680" t="s">
        <v>6153</v>
      </c>
    </row>
    <row r="39577" spans="8:8">
      <c r="H39577" s="680" t="s">
        <v>6153</v>
      </c>
    </row>
    <row r="39578" spans="8:8">
      <c r="H39578" s="680" t="s">
        <v>6153</v>
      </c>
    </row>
    <row r="39579" spans="8:8">
      <c r="H39579" s="680" t="s">
        <v>6153</v>
      </c>
    </row>
    <row r="39580" spans="8:8">
      <c r="H39580" s="680" t="s">
        <v>6153</v>
      </c>
    </row>
    <row r="39581" spans="8:8">
      <c r="H39581" s="680" t="s">
        <v>6153</v>
      </c>
    </row>
    <row r="39582" spans="8:8">
      <c r="H39582" s="680" t="s">
        <v>6153</v>
      </c>
    </row>
    <row r="39583" spans="8:8">
      <c r="H39583" s="680" t="s">
        <v>6153</v>
      </c>
    </row>
    <row r="39584" spans="8:8">
      <c r="H39584" s="680" t="s">
        <v>6153</v>
      </c>
    </row>
    <row r="39585" spans="8:8">
      <c r="H39585" s="680" t="s">
        <v>6153</v>
      </c>
    </row>
    <row r="39586" spans="8:8">
      <c r="H39586" s="680" t="s">
        <v>6153</v>
      </c>
    </row>
    <row r="39587" spans="8:8">
      <c r="H39587" s="680" t="s">
        <v>6153</v>
      </c>
    </row>
    <row r="39588" spans="8:8">
      <c r="H39588" s="680" t="s">
        <v>6153</v>
      </c>
    </row>
    <row r="39589" spans="8:8">
      <c r="H39589" s="680" t="s">
        <v>6153</v>
      </c>
    </row>
    <row r="39590" spans="8:8">
      <c r="H39590" s="680" t="s">
        <v>6153</v>
      </c>
    </row>
    <row r="39591" spans="8:8">
      <c r="H39591" s="680" t="s">
        <v>6153</v>
      </c>
    </row>
    <row r="39592" spans="8:8">
      <c r="H39592" s="680" t="s">
        <v>6153</v>
      </c>
    </row>
    <row r="39593" spans="8:8">
      <c r="H39593" s="680" t="s">
        <v>6153</v>
      </c>
    </row>
    <row r="39594" spans="8:8">
      <c r="H39594" s="680" t="s">
        <v>6153</v>
      </c>
    </row>
    <row r="39595" spans="8:8">
      <c r="H39595" s="680" t="s">
        <v>6153</v>
      </c>
    </row>
    <row r="39596" spans="8:8">
      <c r="H39596" s="680" t="s">
        <v>6153</v>
      </c>
    </row>
    <row r="39597" spans="8:8">
      <c r="H39597" s="680" t="s">
        <v>6153</v>
      </c>
    </row>
    <row r="39598" spans="8:8">
      <c r="H39598" s="680" t="s">
        <v>6153</v>
      </c>
    </row>
    <row r="39599" spans="8:8">
      <c r="H39599" s="680" t="s">
        <v>6153</v>
      </c>
    </row>
    <row r="39600" spans="8:8">
      <c r="H39600" s="680" t="s">
        <v>6153</v>
      </c>
    </row>
    <row r="39601" spans="8:8">
      <c r="H39601" s="680" t="s">
        <v>6153</v>
      </c>
    </row>
    <row r="39602" spans="8:8">
      <c r="H39602" s="680" t="s">
        <v>6153</v>
      </c>
    </row>
    <row r="39603" spans="8:8">
      <c r="H39603" s="680" t="s">
        <v>6153</v>
      </c>
    </row>
    <row r="39604" spans="8:8">
      <c r="H39604" s="680" t="s">
        <v>6153</v>
      </c>
    </row>
    <row r="39605" spans="8:8">
      <c r="H39605" s="680" t="s">
        <v>6153</v>
      </c>
    </row>
    <row r="39606" spans="8:8">
      <c r="H39606" s="680" t="s">
        <v>6153</v>
      </c>
    </row>
    <row r="39607" spans="8:8">
      <c r="H39607" s="680" t="s">
        <v>6153</v>
      </c>
    </row>
    <row r="39608" spans="8:8">
      <c r="H39608" s="680" t="s">
        <v>6153</v>
      </c>
    </row>
    <row r="39609" spans="8:8">
      <c r="H39609" s="680" t="s">
        <v>6153</v>
      </c>
    </row>
    <row r="39610" spans="8:8">
      <c r="H39610" s="680" t="s">
        <v>6153</v>
      </c>
    </row>
    <row r="39611" spans="8:8">
      <c r="H39611" s="680" t="s">
        <v>6153</v>
      </c>
    </row>
    <row r="39612" spans="8:8">
      <c r="H39612" s="680" t="s">
        <v>6153</v>
      </c>
    </row>
    <row r="39613" spans="8:8">
      <c r="H39613" s="680" t="s">
        <v>6153</v>
      </c>
    </row>
    <row r="39614" spans="8:8">
      <c r="H39614" s="680" t="s">
        <v>6153</v>
      </c>
    </row>
    <row r="39615" spans="8:8">
      <c r="H39615" s="680" t="s">
        <v>6153</v>
      </c>
    </row>
    <row r="39616" spans="8:8">
      <c r="H39616" s="680" t="s">
        <v>6153</v>
      </c>
    </row>
    <row r="39617" spans="8:8">
      <c r="H39617" s="680" t="s">
        <v>6153</v>
      </c>
    </row>
    <row r="39618" spans="8:8">
      <c r="H39618" s="680" t="s">
        <v>6153</v>
      </c>
    </row>
    <row r="39619" spans="8:8">
      <c r="H39619" s="680" t="s">
        <v>6153</v>
      </c>
    </row>
    <row r="39620" spans="8:8">
      <c r="H39620" s="680" t="s">
        <v>6153</v>
      </c>
    </row>
    <row r="39621" spans="8:8">
      <c r="H39621" s="680" t="s">
        <v>6153</v>
      </c>
    </row>
    <row r="39622" spans="8:8">
      <c r="H39622" s="680" t="s">
        <v>6153</v>
      </c>
    </row>
    <row r="39623" spans="8:8">
      <c r="H39623" s="680" t="s">
        <v>6153</v>
      </c>
    </row>
    <row r="39624" spans="8:8">
      <c r="H39624" s="680" t="s">
        <v>6153</v>
      </c>
    </row>
    <row r="39625" spans="8:8">
      <c r="H39625" s="680" t="s">
        <v>6153</v>
      </c>
    </row>
    <row r="39626" spans="8:8">
      <c r="H39626" s="680" t="s">
        <v>6153</v>
      </c>
    </row>
    <row r="39627" spans="8:8">
      <c r="H39627" s="680" t="s">
        <v>6153</v>
      </c>
    </row>
    <row r="39628" spans="8:8">
      <c r="H39628" s="680" t="s">
        <v>6153</v>
      </c>
    </row>
    <row r="39629" spans="8:8">
      <c r="H39629" s="680" t="s">
        <v>6153</v>
      </c>
    </row>
    <row r="39630" spans="8:8">
      <c r="H39630" s="680" t="s">
        <v>6153</v>
      </c>
    </row>
    <row r="39631" spans="8:8">
      <c r="H39631" s="680" t="s">
        <v>6153</v>
      </c>
    </row>
    <row r="39632" spans="8:8">
      <c r="H39632" s="680" t="s">
        <v>6153</v>
      </c>
    </row>
    <row r="39633" spans="8:8">
      <c r="H39633" s="680" t="s">
        <v>6153</v>
      </c>
    </row>
    <row r="39634" spans="8:8">
      <c r="H39634" s="680" t="s">
        <v>6153</v>
      </c>
    </row>
    <row r="39635" spans="8:8">
      <c r="H39635" s="680" t="s">
        <v>6153</v>
      </c>
    </row>
    <row r="39636" spans="8:8">
      <c r="H39636" s="680" t="s">
        <v>6153</v>
      </c>
    </row>
    <row r="39637" spans="8:8">
      <c r="H39637" s="680" t="s">
        <v>6153</v>
      </c>
    </row>
    <row r="39638" spans="8:8">
      <c r="H39638" s="680" t="s">
        <v>6153</v>
      </c>
    </row>
    <row r="39639" spans="8:8">
      <c r="H39639" s="680" t="s">
        <v>6153</v>
      </c>
    </row>
    <row r="39640" spans="8:8">
      <c r="H39640" s="680" t="s">
        <v>6153</v>
      </c>
    </row>
    <row r="39641" spans="8:8">
      <c r="H39641" s="680" t="s">
        <v>6153</v>
      </c>
    </row>
    <row r="39642" spans="8:8">
      <c r="H39642" s="680" t="s">
        <v>6153</v>
      </c>
    </row>
    <row r="39643" spans="8:8">
      <c r="H39643" s="680" t="s">
        <v>6153</v>
      </c>
    </row>
    <row r="39644" spans="8:8">
      <c r="H39644" s="680" t="s">
        <v>6153</v>
      </c>
    </row>
    <row r="39645" spans="8:8">
      <c r="H39645" s="680" t="s">
        <v>6153</v>
      </c>
    </row>
    <row r="39646" spans="8:8">
      <c r="H39646" s="680" t="s">
        <v>6153</v>
      </c>
    </row>
    <row r="39647" spans="8:8">
      <c r="H39647" s="680" t="s">
        <v>6153</v>
      </c>
    </row>
    <row r="39648" spans="8:8">
      <c r="H39648" s="680" t="s">
        <v>6153</v>
      </c>
    </row>
    <row r="39649" spans="8:8">
      <c r="H39649" s="680" t="s">
        <v>6153</v>
      </c>
    </row>
    <row r="39650" spans="8:8">
      <c r="H39650" s="680" t="s">
        <v>6153</v>
      </c>
    </row>
    <row r="39651" spans="8:8">
      <c r="H39651" s="680" t="s">
        <v>6153</v>
      </c>
    </row>
    <row r="39652" spans="8:8">
      <c r="H39652" s="680" t="s">
        <v>6153</v>
      </c>
    </row>
    <row r="39653" spans="8:8">
      <c r="H39653" s="680" t="s">
        <v>6153</v>
      </c>
    </row>
    <row r="39654" spans="8:8">
      <c r="H39654" s="680" t="s">
        <v>6153</v>
      </c>
    </row>
    <row r="39655" spans="8:8">
      <c r="H39655" s="680" t="s">
        <v>6153</v>
      </c>
    </row>
    <row r="39656" spans="8:8">
      <c r="H39656" s="680" t="s">
        <v>6153</v>
      </c>
    </row>
    <row r="39657" spans="8:8">
      <c r="H39657" s="680" t="s">
        <v>6153</v>
      </c>
    </row>
    <row r="39658" spans="8:8">
      <c r="H39658" s="680" t="s">
        <v>6153</v>
      </c>
    </row>
    <row r="39659" spans="8:8">
      <c r="H39659" s="680" t="s">
        <v>6153</v>
      </c>
    </row>
    <row r="39660" spans="8:8">
      <c r="H39660" s="680" t="s">
        <v>6153</v>
      </c>
    </row>
    <row r="39661" spans="8:8">
      <c r="H39661" s="680" t="s">
        <v>6153</v>
      </c>
    </row>
    <row r="39662" spans="8:8">
      <c r="H39662" s="680" t="s">
        <v>6153</v>
      </c>
    </row>
    <row r="39663" spans="8:8">
      <c r="H39663" s="680" t="s">
        <v>6153</v>
      </c>
    </row>
    <row r="39664" spans="8:8">
      <c r="H39664" s="680" t="s">
        <v>6153</v>
      </c>
    </row>
    <row r="39665" spans="8:8">
      <c r="H39665" s="680" t="s">
        <v>6153</v>
      </c>
    </row>
    <row r="39666" spans="8:8">
      <c r="H39666" s="680" t="s">
        <v>6153</v>
      </c>
    </row>
    <row r="39667" spans="8:8">
      <c r="H39667" s="680" t="s">
        <v>6153</v>
      </c>
    </row>
    <row r="39668" spans="8:8">
      <c r="H39668" s="680" t="s">
        <v>6153</v>
      </c>
    </row>
    <row r="39669" spans="8:8">
      <c r="H39669" s="680" t="s">
        <v>6153</v>
      </c>
    </row>
    <row r="39670" spans="8:8">
      <c r="H39670" s="680" t="s">
        <v>6153</v>
      </c>
    </row>
    <row r="39671" spans="8:8">
      <c r="H39671" s="680" t="s">
        <v>6153</v>
      </c>
    </row>
    <row r="39672" spans="8:8">
      <c r="H39672" s="680" t="s">
        <v>6153</v>
      </c>
    </row>
    <row r="39673" spans="8:8">
      <c r="H39673" s="680" t="s">
        <v>6153</v>
      </c>
    </row>
    <row r="39674" spans="8:8">
      <c r="H39674" s="680" t="s">
        <v>6153</v>
      </c>
    </row>
    <row r="39675" spans="8:8">
      <c r="H39675" s="680" t="s">
        <v>6153</v>
      </c>
    </row>
    <row r="39676" spans="8:8">
      <c r="H39676" s="680" t="s">
        <v>6153</v>
      </c>
    </row>
    <row r="39677" spans="8:8">
      <c r="H39677" s="680" t="s">
        <v>6153</v>
      </c>
    </row>
    <row r="39678" spans="8:8">
      <c r="H39678" s="680" t="s">
        <v>6153</v>
      </c>
    </row>
    <row r="39679" spans="8:8">
      <c r="H39679" s="680" t="s">
        <v>6153</v>
      </c>
    </row>
    <row r="39680" spans="8:8">
      <c r="H39680" s="680" t="s">
        <v>6153</v>
      </c>
    </row>
    <row r="39681" spans="8:8">
      <c r="H39681" s="680" t="s">
        <v>6153</v>
      </c>
    </row>
    <row r="39682" spans="8:8">
      <c r="H39682" s="680" t="s">
        <v>6153</v>
      </c>
    </row>
    <row r="39683" spans="8:8">
      <c r="H39683" s="680" t="s">
        <v>6153</v>
      </c>
    </row>
    <row r="39684" spans="8:8">
      <c r="H39684" s="680" t="s">
        <v>6153</v>
      </c>
    </row>
    <row r="39685" spans="8:8">
      <c r="H39685" s="680" t="s">
        <v>6153</v>
      </c>
    </row>
    <row r="39686" spans="8:8">
      <c r="H39686" s="680" t="s">
        <v>6153</v>
      </c>
    </row>
    <row r="39687" spans="8:8">
      <c r="H39687" s="680" t="s">
        <v>6153</v>
      </c>
    </row>
    <row r="39688" spans="8:8">
      <c r="H39688" s="680" t="s">
        <v>6153</v>
      </c>
    </row>
    <row r="39689" spans="8:8">
      <c r="H39689" s="680" t="s">
        <v>6153</v>
      </c>
    </row>
    <row r="39690" spans="8:8">
      <c r="H39690" s="680" t="s">
        <v>6153</v>
      </c>
    </row>
    <row r="39691" spans="8:8">
      <c r="H39691" s="680" t="s">
        <v>6153</v>
      </c>
    </row>
    <row r="39692" spans="8:8">
      <c r="H39692" s="680" t="s">
        <v>6153</v>
      </c>
    </row>
    <row r="39693" spans="8:8">
      <c r="H39693" s="680" t="s">
        <v>6153</v>
      </c>
    </row>
    <row r="39694" spans="8:8">
      <c r="H39694" s="680" t="s">
        <v>6153</v>
      </c>
    </row>
    <row r="39695" spans="8:8">
      <c r="H39695" s="680" t="s">
        <v>6153</v>
      </c>
    </row>
    <row r="39696" spans="8:8">
      <c r="H39696" s="680" t="s">
        <v>6153</v>
      </c>
    </row>
    <row r="39697" spans="8:8">
      <c r="H39697" s="680" t="s">
        <v>6153</v>
      </c>
    </row>
    <row r="39698" spans="8:8">
      <c r="H39698" s="680" t="s">
        <v>6153</v>
      </c>
    </row>
    <row r="39699" spans="8:8">
      <c r="H39699" s="680" t="s">
        <v>6153</v>
      </c>
    </row>
    <row r="39700" spans="8:8">
      <c r="H39700" s="680" t="s">
        <v>6153</v>
      </c>
    </row>
    <row r="39701" spans="8:8">
      <c r="H39701" s="680" t="s">
        <v>6153</v>
      </c>
    </row>
    <row r="39702" spans="8:8">
      <c r="H39702" s="680" t="s">
        <v>6153</v>
      </c>
    </row>
    <row r="39703" spans="8:8">
      <c r="H39703" s="680" t="s">
        <v>6153</v>
      </c>
    </row>
    <row r="39704" spans="8:8">
      <c r="H39704" s="680" t="s">
        <v>6153</v>
      </c>
    </row>
    <row r="39705" spans="8:8">
      <c r="H39705" s="680" t="s">
        <v>6153</v>
      </c>
    </row>
    <row r="39706" spans="8:8">
      <c r="H39706" s="680" t="s">
        <v>6153</v>
      </c>
    </row>
    <row r="39707" spans="8:8">
      <c r="H39707" s="680" t="s">
        <v>6153</v>
      </c>
    </row>
    <row r="39708" spans="8:8">
      <c r="H39708" s="680" t="s">
        <v>6153</v>
      </c>
    </row>
    <row r="39709" spans="8:8">
      <c r="H39709" s="680" t="s">
        <v>6153</v>
      </c>
    </row>
    <row r="39710" spans="8:8">
      <c r="H39710" s="680" t="s">
        <v>6153</v>
      </c>
    </row>
    <row r="39711" spans="8:8">
      <c r="H39711" s="680" t="s">
        <v>6153</v>
      </c>
    </row>
    <row r="39712" spans="8:8">
      <c r="H39712" s="680" t="s">
        <v>6153</v>
      </c>
    </row>
    <row r="39713" spans="8:8">
      <c r="H39713" s="680" t="s">
        <v>6153</v>
      </c>
    </row>
    <row r="39714" spans="8:8">
      <c r="H39714" s="680" t="s">
        <v>6153</v>
      </c>
    </row>
    <row r="39715" spans="8:8">
      <c r="H39715" s="680" t="s">
        <v>6153</v>
      </c>
    </row>
    <row r="39716" spans="8:8">
      <c r="H39716" s="680" t="s">
        <v>6153</v>
      </c>
    </row>
    <row r="39717" spans="8:8">
      <c r="H39717" s="680" t="s">
        <v>6153</v>
      </c>
    </row>
    <row r="39718" spans="8:8">
      <c r="H39718" s="680" t="s">
        <v>6153</v>
      </c>
    </row>
    <row r="39719" spans="8:8">
      <c r="H39719" s="680" t="s">
        <v>6153</v>
      </c>
    </row>
    <row r="39720" spans="8:8">
      <c r="H39720" s="680" t="s">
        <v>6153</v>
      </c>
    </row>
    <row r="39721" spans="8:8">
      <c r="H39721" s="680" t="s">
        <v>6153</v>
      </c>
    </row>
    <row r="39722" spans="8:8">
      <c r="H39722" s="680" t="s">
        <v>6153</v>
      </c>
    </row>
    <row r="39723" spans="8:8">
      <c r="H39723" s="680" t="s">
        <v>6153</v>
      </c>
    </row>
    <row r="39724" spans="8:8">
      <c r="H39724" s="680" t="s">
        <v>6153</v>
      </c>
    </row>
    <row r="39725" spans="8:8">
      <c r="H39725" s="680" t="s">
        <v>6153</v>
      </c>
    </row>
    <row r="39726" spans="8:8">
      <c r="H39726" s="680" t="s">
        <v>6153</v>
      </c>
    </row>
    <row r="39727" spans="8:8">
      <c r="H39727" s="680" t="s">
        <v>6153</v>
      </c>
    </row>
    <row r="39728" spans="8:8">
      <c r="H39728" s="680" t="s">
        <v>6153</v>
      </c>
    </row>
    <row r="39729" spans="8:8">
      <c r="H39729" s="680" t="s">
        <v>6153</v>
      </c>
    </row>
    <row r="39730" spans="8:8">
      <c r="H39730" s="680" t="s">
        <v>6153</v>
      </c>
    </row>
    <row r="39731" spans="8:8">
      <c r="H39731" s="680" t="s">
        <v>6153</v>
      </c>
    </row>
    <row r="39732" spans="8:8">
      <c r="H39732" s="680" t="s">
        <v>6153</v>
      </c>
    </row>
    <row r="39733" spans="8:8">
      <c r="H39733" s="680" t="s">
        <v>6153</v>
      </c>
    </row>
    <row r="39734" spans="8:8">
      <c r="H39734" s="680" t="s">
        <v>6153</v>
      </c>
    </row>
    <row r="39735" spans="8:8">
      <c r="H39735" s="680" t="s">
        <v>6153</v>
      </c>
    </row>
    <row r="39736" spans="8:8">
      <c r="H39736" s="680" t="s">
        <v>6153</v>
      </c>
    </row>
    <row r="39737" spans="8:8">
      <c r="H39737" s="680" t="s">
        <v>6153</v>
      </c>
    </row>
    <row r="39738" spans="8:8">
      <c r="H39738" s="680" t="s">
        <v>6153</v>
      </c>
    </row>
    <row r="39739" spans="8:8">
      <c r="H39739" s="680" t="s">
        <v>6153</v>
      </c>
    </row>
    <row r="39740" spans="8:8">
      <c r="H39740" s="680" t="s">
        <v>6153</v>
      </c>
    </row>
    <row r="39741" spans="8:8">
      <c r="H39741" s="680" t="s">
        <v>6153</v>
      </c>
    </row>
    <row r="39742" spans="8:8">
      <c r="H39742" s="680" t="s">
        <v>6153</v>
      </c>
    </row>
    <row r="39743" spans="8:8">
      <c r="H39743" s="680" t="s">
        <v>6153</v>
      </c>
    </row>
    <row r="39744" spans="8:8">
      <c r="H39744" s="680" t="s">
        <v>6153</v>
      </c>
    </row>
    <row r="39745" spans="8:8">
      <c r="H39745" s="680" t="s">
        <v>6153</v>
      </c>
    </row>
    <row r="39746" spans="8:8">
      <c r="H39746" s="680" t="s">
        <v>6153</v>
      </c>
    </row>
    <row r="39747" spans="8:8">
      <c r="H39747" s="680" t="s">
        <v>6153</v>
      </c>
    </row>
    <row r="39748" spans="8:8">
      <c r="H39748" s="680" t="s">
        <v>6153</v>
      </c>
    </row>
    <row r="39749" spans="8:8">
      <c r="H39749" s="680" t="s">
        <v>6153</v>
      </c>
    </row>
    <row r="39750" spans="8:8">
      <c r="H39750" s="680" t="s">
        <v>6153</v>
      </c>
    </row>
    <row r="39751" spans="8:8">
      <c r="H39751" s="680" t="s">
        <v>6153</v>
      </c>
    </row>
    <row r="39752" spans="8:8">
      <c r="H39752" s="680" t="s">
        <v>6153</v>
      </c>
    </row>
    <row r="39753" spans="8:8">
      <c r="H39753" s="680" t="s">
        <v>6153</v>
      </c>
    </row>
    <row r="39754" spans="8:8">
      <c r="H39754" s="680" t="s">
        <v>6153</v>
      </c>
    </row>
    <row r="39755" spans="8:8">
      <c r="H39755" s="680" t="s">
        <v>6153</v>
      </c>
    </row>
    <row r="39756" spans="8:8">
      <c r="H39756" s="680" t="s">
        <v>6153</v>
      </c>
    </row>
    <row r="39757" spans="8:8">
      <c r="H39757" s="680" t="s">
        <v>6153</v>
      </c>
    </row>
    <row r="39758" spans="8:8">
      <c r="H39758" s="680" t="s">
        <v>6153</v>
      </c>
    </row>
    <row r="39759" spans="8:8">
      <c r="H39759" s="680" t="s">
        <v>6153</v>
      </c>
    </row>
    <row r="39760" spans="8:8">
      <c r="H39760" s="680" t="s">
        <v>6153</v>
      </c>
    </row>
    <row r="39761" spans="8:8">
      <c r="H39761" s="680" t="s">
        <v>6153</v>
      </c>
    </row>
    <row r="39762" spans="8:8">
      <c r="H39762" s="680" t="s">
        <v>6153</v>
      </c>
    </row>
    <row r="39763" spans="8:8">
      <c r="H39763" s="680" t="s">
        <v>6153</v>
      </c>
    </row>
    <row r="39764" spans="8:8">
      <c r="H39764" s="680" t="s">
        <v>6153</v>
      </c>
    </row>
    <row r="39765" spans="8:8">
      <c r="H39765" s="680" t="s">
        <v>6153</v>
      </c>
    </row>
    <row r="39766" spans="8:8">
      <c r="H39766" s="680" t="s">
        <v>6153</v>
      </c>
    </row>
    <row r="39767" spans="8:8">
      <c r="H39767" s="680" t="s">
        <v>6153</v>
      </c>
    </row>
    <row r="39768" spans="8:8">
      <c r="H39768" s="680" t="s">
        <v>6153</v>
      </c>
    </row>
    <row r="39769" spans="8:8">
      <c r="H39769" s="680" t="s">
        <v>6153</v>
      </c>
    </row>
    <row r="39770" spans="8:8">
      <c r="H39770" s="680" t="s">
        <v>6153</v>
      </c>
    </row>
    <row r="39771" spans="8:8">
      <c r="H39771" s="680" t="s">
        <v>6153</v>
      </c>
    </row>
    <row r="39772" spans="8:8">
      <c r="H39772" s="680" t="s">
        <v>6153</v>
      </c>
    </row>
    <row r="39773" spans="8:8">
      <c r="H39773" s="680" t="s">
        <v>6153</v>
      </c>
    </row>
    <row r="39774" spans="8:8">
      <c r="H39774" s="680" t="s">
        <v>6153</v>
      </c>
    </row>
    <row r="39775" spans="8:8">
      <c r="H39775" s="680" t="s">
        <v>6153</v>
      </c>
    </row>
    <row r="39776" spans="8:8">
      <c r="H39776" s="680" t="s">
        <v>6153</v>
      </c>
    </row>
    <row r="39777" spans="8:8">
      <c r="H39777" s="680" t="s">
        <v>6153</v>
      </c>
    </row>
    <row r="39778" spans="8:8">
      <c r="H39778" s="680" t="s">
        <v>6153</v>
      </c>
    </row>
    <row r="39779" spans="8:8">
      <c r="H39779" s="680" t="s">
        <v>6153</v>
      </c>
    </row>
    <row r="39780" spans="8:8">
      <c r="H39780" s="680" t="s">
        <v>6153</v>
      </c>
    </row>
    <row r="39781" spans="8:8">
      <c r="H39781" s="680" t="s">
        <v>6153</v>
      </c>
    </row>
    <row r="39782" spans="8:8">
      <c r="H39782" s="680" t="s">
        <v>6153</v>
      </c>
    </row>
    <row r="39783" spans="8:8">
      <c r="H39783" s="680" t="s">
        <v>6153</v>
      </c>
    </row>
    <row r="39784" spans="8:8">
      <c r="H39784" s="680" t="s">
        <v>6153</v>
      </c>
    </row>
    <row r="39785" spans="8:8">
      <c r="H39785" s="680" t="s">
        <v>6153</v>
      </c>
    </row>
    <row r="39786" spans="8:8">
      <c r="H39786" s="680" t="s">
        <v>6153</v>
      </c>
    </row>
    <row r="39787" spans="8:8">
      <c r="H39787" s="680" t="s">
        <v>6153</v>
      </c>
    </row>
    <row r="39788" spans="8:8">
      <c r="H39788" s="680" t="s">
        <v>6153</v>
      </c>
    </row>
    <row r="39789" spans="8:8">
      <c r="H39789" s="680" t="s">
        <v>6153</v>
      </c>
    </row>
    <row r="39790" spans="8:8">
      <c r="H39790" s="680" t="s">
        <v>6153</v>
      </c>
    </row>
    <row r="39791" spans="8:8">
      <c r="H39791" s="680" t="s">
        <v>6153</v>
      </c>
    </row>
    <row r="39792" spans="8:8">
      <c r="H39792" s="680" t="s">
        <v>6153</v>
      </c>
    </row>
    <row r="39793" spans="8:8">
      <c r="H39793" s="680" t="s">
        <v>6153</v>
      </c>
    </row>
    <row r="39794" spans="8:8">
      <c r="H39794" s="680" t="s">
        <v>6153</v>
      </c>
    </row>
    <row r="39795" spans="8:8">
      <c r="H39795" s="680" t="s">
        <v>6153</v>
      </c>
    </row>
    <row r="39796" spans="8:8">
      <c r="H39796" s="680" t="s">
        <v>6153</v>
      </c>
    </row>
    <row r="39797" spans="8:8">
      <c r="H39797" s="680" t="s">
        <v>6153</v>
      </c>
    </row>
    <row r="39798" spans="8:8">
      <c r="H39798" s="680" t="s">
        <v>6153</v>
      </c>
    </row>
    <row r="39799" spans="8:8">
      <c r="H39799" s="680" t="s">
        <v>6153</v>
      </c>
    </row>
    <row r="39800" spans="8:8">
      <c r="H39800" s="680" t="s">
        <v>6153</v>
      </c>
    </row>
    <row r="39801" spans="8:8">
      <c r="H39801" s="680" t="s">
        <v>6153</v>
      </c>
    </row>
    <row r="39802" spans="8:8">
      <c r="H39802" s="680" t="s">
        <v>6153</v>
      </c>
    </row>
    <row r="39803" spans="8:8">
      <c r="H39803" s="680" t="s">
        <v>6153</v>
      </c>
    </row>
    <row r="39804" spans="8:8">
      <c r="H39804" s="680" t="s">
        <v>6153</v>
      </c>
    </row>
    <row r="39805" spans="8:8">
      <c r="H39805" s="680" t="s">
        <v>6153</v>
      </c>
    </row>
    <row r="39806" spans="8:8">
      <c r="H39806" s="680" t="s">
        <v>6153</v>
      </c>
    </row>
    <row r="39807" spans="8:8">
      <c r="H39807" s="680" t="s">
        <v>6153</v>
      </c>
    </row>
    <row r="39808" spans="8:8">
      <c r="H39808" s="680" t="s">
        <v>6153</v>
      </c>
    </row>
    <row r="39809" spans="8:8">
      <c r="H39809" s="680" t="s">
        <v>6153</v>
      </c>
    </row>
    <row r="39810" spans="8:8">
      <c r="H39810" s="680" t="s">
        <v>6153</v>
      </c>
    </row>
    <row r="39811" spans="8:8">
      <c r="H39811" s="680" t="s">
        <v>6153</v>
      </c>
    </row>
    <row r="39812" spans="8:8">
      <c r="H39812" s="680" t="s">
        <v>6153</v>
      </c>
    </row>
    <row r="39813" spans="8:8">
      <c r="H39813" s="680" t="s">
        <v>6153</v>
      </c>
    </row>
    <row r="39814" spans="8:8">
      <c r="H39814" s="680" t="s">
        <v>6153</v>
      </c>
    </row>
    <row r="39815" spans="8:8">
      <c r="H39815" s="680" t="s">
        <v>6153</v>
      </c>
    </row>
    <row r="39816" spans="8:8">
      <c r="H39816" s="680" t="s">
        <v>6153</v>
      </c>
    </row>
    <row r="39817" spans="8:8">
      <c r="H39817" s="680" t="s">
        <v>6153</v>
      </c>
    </row>
    <row r="39818" spans="8:8">
      <c r="H39818" s="680" t="s">
        <v>6153</v>
      </c>
    </row>
    <row r="39819" spans="8:8">
      <c r="H39819" s="680" t="s">
        <v>6153</v>
      </c>
    </row>
    <row r="39820" spans="8:8">
      <c r="H39820" s="680" t="s">
        <v>6153</v>
      </c>
    </row>
    <row r="39821" spans="8:8">
      <c r="H39821" s="680" t="s">
        <v>6153</v>
      </c>
    </row>
    <row r="39822" spans="8:8">
      <c r="H39822" s="680" t="s">
        <v>6153</v>
      </c>
    </row>
    <row r="39823" spans="8:8">
      <c r="H39823" s="680" t="s">
        <v>6153</v>
      </c>
    </row>
    <row r="39824" spans="8:8">
      <c r="H39824" s="680" t="s">
        <v>6153</v>
      </c>
    </row>
    <row r="39825" spans="8:8">
      <c r="H39825" s="680" t="s">
        <v>6153</v>
      </c>
    </row>
    <row r="39826" spans="8:8">
      <c r="H39826" s="680" t="s">
        <v>6153</v>
      </c>
    </row>
    <row r="39827" spans="8:8">
      <c r="H39827" s="680" t="s">
        <v>6153</v>
      </c>
    </row>
    <row r="39828" spans="8:8">
      <c r="H39828" s="680" t="s">
        <v>6153</v>
      </c>
    </row>
    <row r="39829" spans="8:8">
      <c r="H39829" s="680" t="s">
        <v>6153</v>
      </c>
    </row>
    <row r="39830" spans="8:8">
      <c r="H39830" s="680" t="s">
        <v>6153</v>
      </c>
    </row>
    <row r="39831" spans="8:8">
      <c r="H39831" s="680" t="s">
        <v>6153</v>
      </c>
    </row>
    <row r="39832" spans="8:8">
      <c r="H39832" s="680" t="s">
        <v>6153</v>
      </c>
    </row>
    <row r="39833" spans="8:8">
      <c r="H39833" s="680" t="s">
        <v>6153</v>
      </c>
    </row>
    <row r="39834" spans="8:8">
      <c r="H39834" s="680" t="s">
        <v>6153</v>
      </c>
    </row>
    <row r="39835" spans="8:8">
      <c r="H39835" s="680" t="s">
        <v>6153</v>
      </c>
    </row>
    <row r="39836" spans="8:8">
      <c r="H39836" s="680" t="s">
        <v>6153</v>
      </c>
    </row>
    <row r="39837" spans="8:8">
      <c r="H39837" s="680" t="s">
        <v>6153</v>
      </c>
    </row>
    <row r="39838" spans="8:8">
      <c r="H39838" s="680" t="s">
        <v>6153</v>
      </c>
    </row>
    <row r="39839" spans="8:8">
      <c r="H39839" s="680" t="s">
        <v>6153</v>
      </c>
    </row>
    <row r="39840" spans="8:8">
      <c r="H39840" s="680" t="s">
        <v>6153</v>
      </c>
    </row>
    <row r="39841" spans="8:8">
      <c r="H39841" s="680" t="s">
        <v>6153</v>
      </c>
    </row>
    <row r="39842" spans="8:8">
      <c r="H39842" s="680" t="s">
        <v>6153</v>
      </c>
    </row>
    <row r="39843" spans="8:8">
      <c r="H39843" s="680" t="s">
        <v>6153</v>
      </c>
    </row>
    <row r="39844" spans="8:8">
      <c r="H39844" s="680" t="s">
        <v>6153</v>
      </c>
    </row>
    <row r="39845" spans="8:8">
      <c r="H39845" s="680" t="s">
        <v>6153</v>
      </c>
    </row>
    <row r="39846" spans="8:8">
      <c r="H39846" s="680" t="s">
        <v>6153</v>
      </c>
    </row>
    <row r="39847" spans="8:8">
      <c r="H39847" s="680" t="s">
        <v>6153</v>
      </c>
    </row>
    <row r="39848" spans="8:8">
      <c r="H39848" s="680" t="s">
        <v>6153</v>
      </c>
    </row>
    <row r="39849" spans="8:8">
      <c r="H39849" s="680" t="s">
        <v>6153</v>
      </c>
    </row>
    <row r="39850" spans="8:8">
      <c r="H39850" s="680" t="s">
        <v>6153</v>
      </c>
    </row>
    <row r="39851" spans="8:8">
      <c r="H39851" s="680" t="s">
        <v>6153</v>
      </c>
    </row>
    <row r="39852" spans="8:8">
      <c r="H39852" s="680" t="s">
        <v>6153</v>
      </c>
    </row>
    <row r="39853" spans="8:8">
      <c r="H39853" s="680" t="s">
        <v>6153</v>
      </c>
    </row>
    <row r="39854" spans="8:8">
      <c r="H39854" s="680" t="s">
        <v>6153</v>
      </c>
    </row>
    <row r="39855" spans="8:8">
      <c r="H39855" s="680" t="s">
        <v>6153</v>
      </c>
    </row>
    <row r="39856" spans="8:8">
      <c r="H39856" s="680" t="s">
        <v>6153</v>
      </c>
    </row>
    <row r="39857" spans="8:8">
      <c r="H39857" s="680" t="s">
        <v>6153</v>
      </c>
    </row>
    <row r="39858" spans="8:8">
      <c r="H39858" s="680" t="s">
        <v>6153</v>
      </c>
    </row>
    <row r="39859" spans="8:8">
      <c r="H39859" s="680" t="s">
        <v>6153</v>
      </c>
    </row>
    <row r="39860" spans="8:8">
      <c r="H39860" s="680" t="s">
        <v>6153</v>
      </c>
    </row>
    <row r="39861" spans="8:8">
      <c r="H39861" s="680" t="s">
        <v>6153</v>
      </c>
    </row>
    <row r="39862" spans="8:8">
      <c r="H39862" s="680" t="s">
        <v>6153</v>
      </c>
    </row>
    <row r="39863" spans="8:8">
      <c r="H39863" s="680" t="s">
        <v>6153</v>
      </c>
    </row>
    <row r="39864" spans="8:8">
      <c r="H39864" s="680" t="s">
        <v>6153</v>
      </c>
    </row>
    <row r="39865" spans="8:8">
      <c r="H39865" s="680" t="s">
        <v>6153</v>
      </c>
    </row>
    <row r="39866" spans="8:8">
      <c r="H39866" s="680" t="s">
        <v>6153</v>
      </c>
    </row>
    <row r="39867" spans="8:8">
      <c r="H39867" s="680" t="s">
        <v>6153</v>
      </c>
    </row>
    <row r="39868" spans="8:8">
      <c r="H39868" s="680" t="s">
        <v>6153</v>
      </c>
    </row>
    <row r="39869" spans="8:8">
      <c r="H39869" s="680" t="s">
        <v>6153</v>
      </c>
    </row>
    <row r="39870" spans="8:8">
      <c r="H39870" s="680" t="s">
        <v>6153</v>
      </c>
    </row>
    <row r="39871" spans="8:8">
      <c r="H39871" s="680" t="s">
        <v>6153</v>
      </c>
    </row>
    <row r="39872" spans="8:8">
      <c r="H39872" s="680" t="s">
        <v>6153</v>
      </c>
    </row>
    <row r="39873" spans="8:8">
      <c r="H39873" s="680" t="s">
        <v>6153</v>
      </c>
    </row>
    <row r="39874" spans="8:8">
      <c r="H39874" s="680" t="s">
        <v>6153</v>
      </c>
    </row>
    <row r="39875" spans="8:8">
      <c r="H39875" s="680" t="s">
        <v>6153</v>
      </c>
    </row>
    <row r="39876" spans="8:8">
      <c r="H39876" s="680" t="s">
        <v>6153</v>
      </c>
    </row>
    <row r="39877" spans="8:8">
      <c r="H39877" s="680" t="s">
        <v>6153</v>
      </c>
    </row>
    <row r="39878" spans="8:8">
      <c r="H39878" s="680" t="s">
        <v>6153</v>
      </c>
    </row>
    <row r="39879" spans="8:8">
      <c r="H39879" s="680" t="s">
        <v>6153</v>
      </c>
    </row>
    <row r="39880" spans="8:8">
      <c r="H39880" s="680" t="s">
        <v>6153</v>
      </c>
    </row>
    <row r="39881" spans="8:8">
      <c r="H39881" s="680" t="s">
        <v>6153</v>
      </c>
    </row>
    <row r="39882" spans="8:8">
      <c r="H39882" s="680" t="s">
        <v>6153</v>
      </c>
    </row>
    <row r="39883" spans="8:8">
      <c r="H39883" s="680" t="s">
        <v>6153</v>
      </c>
    </row>
    <row r="39884" spans="8:8">
      <c r="H39884" s="680" t="s">
        <v>6153</v>
      </c>
    </row>
    <row r="39885" spans="8:8">
      <c r="H39885" s="680" t="s">
        <v>6153</v>
      </c>
    </row>
    <row r="39886" spans="8:8">
      <c r="H39886" s="680" t="s">
        <v>6153</v>
      </c>
    </row>
    <row r="39887" spans="8:8">
      <c r="H39887" s="680" t="s">
        <v>6153</v>
      </c>
    </row>
    <row r="39888" spans="8:8">
      <c r="H39888" s="680" t="s">
        <v>6153</v>
      </c>
    </row>
    <row r="39889" spans="8:8">
      <c r="H39889" s="680" t="s">
        <v>6153</v>
      </c>
    </row>
    <row r="39890" spans="8:8">
      <c r="H39890" s="680" t="s">
        <v>6153</v>
      </c>
    </row>
    <row r="39891" spans="8:8">
      <c r="H39891" s="680" t="s">
        <v>6153</v>
      </c>
    </row>
    <row r="39892" spans="8:8">
      <c r="H39892" s="680" t="s">
        <v>6153</v>
      </c>
    </row>
    <row r="39893" spans="8:8">
      <c r="H39893" s="680" t="s">
        <v>6153</v>
      </c>
    </row>
    <row r="39894" spans="8:8">
      <c r="H39894" s="680" t="s">
        <v>6153</v>
      </c>
    </row>
    <row r="39895" spans="8:8">
      <c r="H39895" s="680" t="s">
        <v>6153</v>
      </c>
    </row>
    <row r="39896" spans="8:8">
      <c r="H39896" s="680" t="s">
        <v>6153</v>
      </c>
    </row>
    <row r="39897" spans="8:8">
      <c r="H39897" s="680" t="s">
        <v>6153</v>
      </c>
    </row>
    <row r="39898" spans="8:8">
      <c r="H39898" s="680" t="s">
        <v>6153</v>
      </c>
    </row>
    <row r="39899" spans="8:8">
      <c r="H39899" s="680" t="s">
        <v>6153</v>
      </c>
    </row>
    <row r="39900" spans="8:8">
      <c r="H39900" s="680" t="s">
        <v>6153</v>
      </c>
    </row>
    <row r="39901" spans="8:8">
      <c r="H39901" s="680" t="s">
        <v>6153</v>
      </c>
    </row>
    <row r="39902" spans="8:8">
      <c r="H39902" s="680" t="s">
        <v>6153</v>
      </c>
    </row>
    <row r="39903" spans="8:8">
      <c r="H39903" s="680" t="s">
        <v>6153</v>
      </c>
    </row>
    <row r="39904" spans="8:8">
      <c r="H39904" s="680" t="s">
        <v>6153</v>
      </c>
    </row>
    <row r="39905" spans="8:8">
      <c r="H39905" s="680" t="s">
        <v>6153</v>
      </c>
    </row>
    <row r="39906" spans="8:8">
      <c r="H39906" s="680" t="s">
        <v>6153</v>
      </c>
    </row>
    <row r="39907" spans="8:8">
      <c r="H39907" s="680" t="s">
        <v>6153</v>
      </c>
    </row>
    <row r="39908" spans="8:8">
      <c r="H39908" s="680" t="s">
        <v>6153</v>
      </c>
    </row>
    <row r="39909" spans="8:8">
      <c r="H39909" s="680" t="s">
        <v>6153</v>
      </c>
    </row>
    <row r="39910" spans="8:8">
      <c r="H39910" s="680" t="s">
        <v>6153</v>
      </c>
    </row>
    <row r="39911" spans="8:8">
      <c r="H39911" s="680" t="s">
        <v>6153</v>
      </c>
    </row>
    <row r="39912" spans="8:8">
      <c r="H39912" s="680" t="s">
        <v>6153</v>
      </c>
    </row>
    <row r="39913" spans="8:8">
      <c r="H39913" s="680" t="s">
        <v>6153</v>
      </c>
    </row>
    <row r="39914" spans="8:8">
      <c r="H39914" s="680" t="s">
        <v>6153</v>
      </c>
    </row>
    <row r="39915" spans="8:8">
      <c r="H39915" s="680" t="s">
        <v>6153</v>
      </c>
    </row>
    <row r="39916" spans="8:8">
      <c r="H39916" s="680" t="s">
        <v>6153</v>
      </c>
    </row>
    <row r="39917" spans="8:8">
      <c r="H39917" s="680" t="s">
        <v>6153</v>
      </c>
    </row>
    <row r="39918" spans="8:8">
      <c r="H39918" s="680" t="s">
        <v>6153</v>
      </c>
    </row>
    <row r="39919" spans="8:8">
      <c r="H39919" s="680" t="s">
        <v>6153</v>
      </c>
    </row>
    <row r="39920" spans="8:8">
      <c r="H39920" s="680" t="s">
        <v>6153</v>
      </c>
    </row>
    <row r="39921" spans="8:8">
      <c r="H39921" s="680" t="s">
        <v>6153</v>
      </c>
    </row>
    <row r="39922" spans="8:8">
      <c r="H39922" s="680" t="s">
        <v>6153</v>
      </c>
    </row>
    <row r="39923" spans="8:8">
      <c r="H39923" s="680" t="s">
        <v>6153</v>
      </c>
    </row>
    <row r="39924" spans="8:8">
      <c r="H39924" s="680" t="s">
        <v>6153</v>
      </c>
    </row>
    <row r="39925" spans="8:8">
      <c r="H39925" s="680" t="s">
        <v>6153</v>
      </c>
    </row>
    <row r="39926" spans="8:8">
      <c r="H39926" s="680" t="s">
        <v>6153</v>
      </c>
    </row>
    <row r="39927" spans="8:8">
      <c r="H39927" s="680" t="s">
        <v>6153</v>
      </c>
    </row>
    <row r="39928" spans="8:8">
      <c r="H39928" s="680" t="s">
        <v>6153</v>
      </c>
    </row>
    <row r="39929" spans="8:8">
      <c r="H39929" s="680" t="s">
        <v>6153</v>
      </c>
    </row>
    <row r="39930" spans="8:8">
      <c r="H39930" s="680" t="s">
        <v>6153</v>
      </c>
    </row>
    <row r="39931" spans="8:8">
      <c r="H39931" s="680" t="s">
        <v>6153</v>
      </c>
    </row>
    <row r="39932" spans="8:8">
      <c r="H39932" s="680" t="s">
        <v>6153</v>
      </c>
    </row>
    <row r="39933" spans="8:8">
      <c r="H39933" s="680" t="s">
        <v>6153</v>
      </c>
    </row>
    <row r="39934" spans="8:8">
      <c r="H39934" s="680" t="s">
        <v>6153</v>
      </c>
    </row>
    <row r="39935" spans="8:8">
      <c r="H39935" s="680" t="s">
        <v>6153</v>
      </c>
    </row>
    <row r="39936" spans="8:8">
      <c r="H39936" s="680" t="s">
        <v>6153</v>
      </c>
    </row>
    <row r="39937" spans="8:8">
      <c r="H39937" s="680" t="s">
        <v>6153</v>
      </c>
    </row>
    <row r="39938" spans="8:8">
      <c r="H39938" s="680" t="s">
        <v>6153</v>
      </c>
    </row>
    <row r="39939" spans="8:8">
      <c r="H39939" s="680" t="s">
        <v>6153</v>
      </c>
    </row>
    <row r="39940" spans="8:8">
      <c r="H39940" s="680" t="s">
        <v>6153</v>
      </c>
    </row>
    <row r="39941" spans="8:8">
      <c r="H39941" s="680" t="s">
        <v>6153</v>
      </c>
    </row>
    <row r="39942" spans="8:8">
      <c r="H39942" s="680" t="s">
        <v>6153</v>
      </c>
    </row>
    <row r="39943" spans="8:8">
      <c r="H39943" s="680" t="s">
        <v>6153</v>
      </c>
    </row>
    <row r="39944" spans="8:8">
      <c r="H39944" s="680" t="s">
        <v>6153</v>
      </c>
    </row>
    <row r="39945" spans="8:8">
      <c r="H39945" s="680" t="s">
        <v>6153</v>
      </c>
    </row>
    <row r="39946" spans="8:8">
      <c r="H39946" s="680" t="s">
        <v>6153</v>
      </c>
    </row>
    <row r="39947" spans="8:8">
      <c r="H39947" s="680" t="s">
        <v>6153</v>
      </c>
    </row>
    <row r="39948" spans="8:8">
      <c r="H39948" s="680" t="s">
        <v>6153</v>
      </c>
    </row>
    <row r="39949" spans="8:8">
      <c r="H39949" s="680" t="s">
        <v>6153</v>
      </c>
    </row>
    <row r="39950" spans="8:8">
      <c r="H39950" s="680" t="s">
        <v>6153</v>
      </c>
    </row>
    <row r="39951" spans="8:8">
      <c r="H39951" s="680" t="s">
        <v>6153</v>
      </c>
    </row>
    <row r="39952" spans="8:8">
      <c r="H39952" s="680" t="s">
        <v>6153</v>
      </c>
    </row>
    <row r="39953" spans="8:8">
      <c r="H39953" s="680" t="s">
        <v>6153</v>
      </c>
    </row>
    <row r="39954" spans="8:8">
      <c r="H39954" s="680" t="s">
        <v>6153</v>
      </c>
    </row>
    <row r="39955" spans="8:8">
      <c r="H39955" s="680" t="s">
        <v>6153</v>
      </c>
    </row>
    <row r="39956" spans="8:8">
      <c r="H39956" s="680" t="s">
        <v>6153</v>
      </c>
    </row>
    <row r="39957" spans="8:8">
      <c r="H39957" s="680" t="s">
        <v>6153</v>
      </c>
    </row>
    <row r="39958" spans="8:8">
      <c r="H39958" s="680" t="s">
        <v>6153</v>
      </c>
    </row>
    <row r="39959" spans="8:8">
      <c r="H39959" s="680" t="s">
        <v>6153</v>
      </c>
    </row>
    <row r="39960" spans="8:8">
      <c r="H39960" s="680" t="s">
        <v>6153</v>
      </c>
    </row>
    <row r="39961" spans="8:8">
      <c r="H39961" s="680" t="s">
        <v>6153</v>
      </c>
    </row>
    <row r="39962" spans="8:8">
      <c r="H39962" s="680" t="s">
        <v>6153</v>
      </c>
    </row>
    <row r="39963" spans="8:8">
      <c r="H39963" s="680" t="s">
        <v>6153</v>
      </c>
    </row>
    <row r="39964" spans="8:8">
      <c r="H39964" s="680" t="s">
        <v>6153</v>
      </c>
    </row>
    <row r="39965" spans="8:8">
      <c r="H39965" s="680" t="s">
        <v>6153</v>
      </c>
    </row>
    <row r="39966" spans="8:8">
      <c r="H39966" s="680" t="s">
        <v>6153</v>
      </c>
    </row>
    <row r="39967" spans="8:8">
      <c r="H39967" s="680" t="s">
        <v>6153</v>
      </c>
    </row>
    <row r="39968" spans="8:8">
      <c r="H39968" s="680" t="s">
        <v>6153</v>
      </c>
    </row>
    <row r="39969" spans="8:8">
      <c r="H39969" s="680" t="s">
        <v>6153</v>
      </c>
    </row>
    <row r="39970" spans="8:8">
      <c r="H39970" s="680" t="s">
        <v>6153</v>
      </c>
    </row>
    <row r="39971" spans="8:8">
      <c r="H39971" s="680" t="s">
        <v>6153</v>
      </c>
    </row>
    <row r="39972" spans="8:8">
      <c r="H39972" s="680" t="s">
        <v>6153</v>
      </c>
    </row>
    <row r="39973" spans="8:8">
      <c r="H39973" s="680" t="s">
        <v>6153</v>
      </c>
    </row>
    <row r="39974" spans="8:8">
      <c r="H39974" s="680" t="s">
        <v>6153</v>
      </c>
    </row>
    <row r="39975" spans="8:8">
      <c r="H39975" s="680" t="s">
        <v>6153</v>
      </c>
    </row>
    <row r="39976" spans="8:8">
      <c r="H39976" s="680" t="s">
        <v>6153</v>
      </c>
    </row>
    <row r="39977" spans="8:8">
      <c r="H39977" s="680" t="s">
        <v>6153</v>
      </c>
    </row>
    <row r="39978" spans="8:8">
      <c r="H39978" s="680" t="s">
        <v>6153</v>
      </c>
    </row>
    <row r="39979" spans="8:8">
      <c r="H39979" s="680" t="s">
        <v>6153</v>
      </c>
    </row>
    <row r="39980" spans="8:8">
      <c r="H39980" s="680" t="s">
        <v>6153</v>
      </c>
    </row>
    <row r="39981" spans="8:8">
      <c r="H39981" s="680" t="s">
        <v>6153</v>
      </c>
    </row>
    <row r="39982" spans="8:8">
      <c r="H39982" s="680" t="s">
        <v>6153</v>
      </c>
    </row>
    <row r="39983" spans="8:8">
      <c r="H39983" s="680" t="s">
        <v>6153</v>
      </c>
    </row>
    <row r="39984" spans="8:8">
      <c r="H39984" s="680" t="s">
        <v>6153</v>
      </c>
    </row>
    <row r="39985" spans="8:8">
      <c r="H39985" s="680" t="s">
        <v>6153</v>
      </c>
    </row>
    <row r="39986" spans="8:8">
      <c r="H39986" s="680" t="s">
        <v>6153</v>
      </c>
    </row>
    <row r="39987" spans="8:8">
      <c r="H39987" s="680" t="s">
        <v>6153</v>
      </c>
    </row>
    <row r="39988" spans="8:8">
      <c r="H39988" s="680" t="s">
        <v>6153</v>
      </c>
    </row>
    <row r="39989" spans="8:8">
      <c r="H39989" s="680" t="s">
        <v>6153</v>
      </c>
    </row>
    <row r="39990" spans="8:8">
      <c r="H39990" s="680" t="s">
        <v>6153</v>
      </c>
    </row>
    <row r="39991" spans="8:8">
      <c r="H39991" s="680" t="s">
        <v>6153</v>
      </c>
    </row>
    <row r="39992" spans="8:8">
      <c r="H39992" s="680" t="s">
        <v>6153</v>
      </c>
    </row>
    <row r="39993" spans="8:8">
      <c r="H39993" s="680" t="s">
        <v>6153</v>
      </c>
    </row>
    <row r="39994" spans="8:8">
      <c r="H39994" s="680" t="s">
        <v>6153</v>
      </c>
    </row>
    <row r="39995" spans="8:8">
      <c r="H39995" s="680" t="s">
        <v>6153</v>
      </c>
    </row>
    <row r="39996" spans="8:8">
      <c r="H39996" s="680" t="s">
        <v>6153</v>
      </c>
    </row>
    <row r="39997" spans="8:8">
      <c r="H39997" s="680" t="s">
        <v>6153</v>
      </c>
    </row>
    <row r="39998" spans="8:8">
      <c r="H39998" s="680" t="s">
        <v>6153</v>
      </c>
    </row>
    <row r="39999" spans="8:8">
      <c r="H39999" s="680" t="s">
        <v>6153</v>
      </c>
    </row>
    <row r="40000" spans="8:8">
      <c r="H40000" s="680" t="s">
        <v>6153</v>
      </c>
    </row>
    <row r="40001" spans="8:8">
      <c r="H40001" s="680" t="s">
        <v>6153</v>
      </c>
    </row>
    <row r="40002" spans="8:8">
      <c r="H40002" s="680" t="s">
        <v>6153</v>
      </c>
    </row>
    <row r="40003" spans="8:8">
      <c r="H40003" s="680" t="s">
        <v>6153</v>
      </c>
    </row>
    <row r="40004" spans="8:8">
      <c r="H40004" s="680" t="s">
        <v>6153</v>
      </c>
    </row>
    <row r="40005" spans="8:8">
      <c r="H40005" s="680" t="s">
        <v>6153</v>
      </c>
    </row>
    <row r="40006" spans="8:8">
      <c r="H40006" s="680" t="s">
        <v>6153</v>
      </c>
    </row>
    <row r="40007" spans="8:8">
      <c r="H40007" s="680" t="s">
        <v>6153</v>
      </c>
    </row>
    <row r="40008" spans="8:8">
      <c r="H40008" s="680" t="s">
        <v>6153</v>
      </c>
    </row>
    <row r="40009" spans="8:8">
      <c r="H40009" s="680" t="s">
        <v>6153</v>
      </c>
    </row>
    <row r="40010" spans="8:8">
      <c r="H40010" s="680" t="s">
        <v>6153</v>
      </c>
    </row>
    <row r="40011" spans="8:8">
      <c r="H40011" s="680" t="s">
        <v>6153</v>
      </c>
    </row>
    <row r="40012" spans="8:8">
      <c r="H40012" s="680" t="s">
        <v>6153</v>
      </c>
    </row>
    <row r="40013" spans="8:8">
      <c r="H40013" s="680" t="s">
        <v>6153</v>
      </c>
    </row>
    <row r="40014" spans="8:8">
      <c r="H40014" s="680" t="s">
        <v>6153</v>
      </c>
    </row>
    <row r="40015" spans="8:8">
      <c r="H40015" s="680" t="s">
        <v>6153</v>
      </c>
    </row>
    <row r="40016" spans="8:8">
      <c r="H40016" s="680" t="s">
        <v>6153</v>
      </c>
    </row>
    <row r="40017" spans="8:8">
      <c r="H40017" s="680" t="s">
        <v>6153</v>
      </c>
    </row>
    <row r="40018" spans="8:8">
      <c r="H40018" s="680" t="s">
        <v>6153</v>
      </c>
    </row>
    <row r="40019" spans="8:8">
      <c r="H40019" s="680" t="s">
        <v>6153</v>
      </c>
    </row>
    <row r="40020" spans="8:8">
      <c r="H40020" s="680" t="s">
        <v>6153</v>
      </c>
    </row>
    <row r="40021" spans="8:8">
      <c r="H40021" s="680" t="s">
        <v>6153</v>
      </c>
    </row>
    <row r="40022" spans="8:8">
      <c r="H40022" s="680" t="s">
        <v>6153</v>
      </c>
    </row>
    <row r="40023" spans="8:8">
      <c r="H40023" s="680" t="s">
        <v>6153</v>
      </c>
    </row>
    <row r="40024" spans="8:8">
      <c r="H40024" s="680" t="s">
        <v>6153</v>
      </c>
    </row>
    <row r="40025" spans="8:8">
      <c r="H40025" s="680" t="s">
        <v>6153</v>
      </c>
    </row>
    <row r="40026" spans="8:8">
      <c r="H40026" s="680" t="s">
        <v>6153</v>
      </c>
    </row>
    <row r="40027" spans="8:8">
      <c r="H40027" s="680" t="s">
        <v>6153</v>
      </c>
    </row>
    <row r="40028" spans="8:8">
      <c r="H40028" s="680" t="s">
        <v>6153</v>
      </c>
    </row>
    <row r="40029" spans="8:8">
      <c r="H40029" s="680" t="s">
        <v>6153</v>
      </c>
    </row>
    <row r="40030" spans="8:8">
      <c r="H40030" s="680" t="s">
        <v>6153</v>
      </c>
    </row>
    <row r="40031" spans="8:8">
      <c r="H40031" s="680" t="s">
        <v>6153</v>
      </c>
    </row>
    <row r="40032" spans="8:8">
      <c r="H40032" s="680" t="s">
        <v>6153</v>
      </c>
    </row>
    <row r="40033" spans="8:8">
      <c r="H40033" s="680" t="s">
        <v>6153</v>
      </c>
    </row>
    <row r="40034" spans="8:8">
      <c r="H40034" s="680" t="s">
        <v>6153</v>
      </c>
    </row>
    <row r="40035" spans="8:8">
      <c r="H40035" s="680" t="s">
        <v>6153</v>
      </c>
    </row>
    <row r="40036" spans="8:8">
      <c r="H40036" s="680" t="s">
        <v>6153</v>
      </c>
    </row>
    <row r="40037" spans="8:8">
      <c r="H40037" s="680" t="s">
        <v>6153</v>
      </c>
    </row>
    <row r="40038" spans="8:8">
      <c r="H40038" s="680" t="s">
        <v>6153</v>
      </c>
    </row>
    <row r="40039" spans="8:8">
      <c r="H40039" s="680" t="s">
        <v>6153</v>
      </c>
    </row>
    <row r="40040" spans="8:8">
      <c r="H40040" s="680" t="s">
        <v>6153</v>
      </c>
    </row>
    <row r="40041" spans="8:8">
      <c r="H40041" s="680" t="s">
        <v>6153</v>
      </c>
    </row>
    <row r="40042" spans="8:8">
      <c r="H40042" s="680" t="s">
        <v>6153</v>
      </c>
    </row>
    <row r="40043" spans="8:8">
      <c r="H40043" s="680" t="s">
        <v>6153</v>
      </c>
    </row>
    <row r="40044" spans="8:8">
      <c r="H40044" s="680" t="s">
        <v>6153</v>
      </c>
    </row>
    <row r="40045" spans="8:8">
      <c r="H40045" s="680" t="s">
        <v>6153</v>
      </c>
    </row>
    <row r="40046" spans="8:8">
      <c r="H40046" s="680" t="s">
        <v>6153</v>
      </c>
    </row>
    <row r="40047" spans="8:8">
      <c r="H40047" s="680" t="s">
        <v>6153</v>
      </c>
    </row>
    <row r="40048" spans="8:8">
      <c r="H40048" s="680" t="s">
        <v>6153</v>
      </c>
    </row>
    <row r="40049" spans="8:8">
      <c r="H40049" s="680" t="s">
        <v>6153</v>
      </c>
    </row>
    <row r="40050" spans="8:8">
      <c r="H40050" s="680" t="s">
        <v>6153</v>
      </c>
    </row>
    <row r="40051" spans="8:8">
      <c r="H40051" s="680" t="s">
        <v>6153</v>
      </c>
    </row>
    <row r="40052" spans="8:8">
      <c r="H40052" s="680" t="s">
        <v>6153</v>
      </c>
    </row>
    <row r="40053" spans="8:8">
      <c r="H40053" s="680" t="s">
        <v>6153</v>
      </c>
    </row>
    <row r="40054" spans="8:8">
      <c r="H40054" s="680" t="s">
        <v>6153</v>
      </c>
    </row>
    <row r="40055" spans="8:8">
      <c r="H40055" s="680" t="s">
        <v>6153</v>
      </c>
    </row>
    <row r="40056" spans="8:8">
      <c r="H40056" s="680" t="s">
        <v>6153</v>
      </c>
    </row>
    <row r="40057" spans="8:8">
      <c r="H40057" s="680" t="s">
        <v>6153</v>
      </c>
    </row>
    <row r="40058" spans="8:8">
      <c r="H40058" s="680" t="s">
        <v>6153</v>
      </c>
    </row>
    <row r="40059" spans="8:8">
      <c r="H40059" s="680" t="s">
        <v>6153</v>
      </c>
    </row>
    <row r="40060" spans="8:8">
      <c r="H40060" s="680" t="s">
        <v>6153</v>
      </c>
    </row>
    <row r="40061" spans="8:8">
      <c r="H40061" s="680" t="s">
        <v>6153</v>
      </c>
    </row>
    <row r="40062" spans="8:8">
      <c r="H40062" s="680" t="s">
        <v>6153</v>
      </c>
    </row>
    <row r="40063" spans="8:8">
      <c r="H40063" s="680" t="s">
        <v>6153</v>
      </c>
    </row>
    <row r="40064" spans="8:8">
      <c r="H40064" s="680" t="s">
        <v>6153</v>
      </c>
    </row>
    <row r="40065" spans="8:8">
      <c r="H40065" s="680" t="s">
        <v>6153</v>
      </c>
    </row>
    <row r="40066" spans="8:8">
      <c r="H40066" s="680" t="s">
        <v>6153</v>
      </c>
    </row>
    <row r="40067" spans="8:8">
      <c r="H40067" s="680" t="s">
        <v>6153</v>
      </c>
    </row>
    <row r="40068" spans="8:8">
      <c r="H40068" s="680" t="s">
        <v>6153</v>
      </c>
    </row>
    <row r="40069" spans="8:8">
      <c r="H40069" s="680" t="s">
        <v>6153</v>
      </c>
    </row>
    <row r="40070" spans="8:8">
      <c r="H40070" s="680" t="s">
        <v>6153</v>
      </c>
    </row>
    <row r="40071" spans="8:8">
      <c r="H40071" s="680" t="s">
        <v>6153</v>
      </c>
    </row>
    <row r="40072" spans="8:8">
      <c r="H40072" s="680" t="s">
        <v>6153</v>
      </c>
    </row>
    <row r="40073" spans="8:8">
      <c r="H40073" s="680" t="s">
        <v>6153</v>
      </c>
    </row>
    <row r="40074" spans="8:8">
      <c r="H40074" s="680" t="s">
        <v>6153</v>
      </c>
    </row>
    <row r="40075" spans="8:8">
      <c r="H40075" s="680" t="s">
        <v>6153</v>
      </c>
    </row>
    <row r="40076" spans="8:8">
      <c r="H40076" s="680" t="s">
        <v>6153</v>
      </c>
    </row>
    <row r="40077" spans="8:8">
      <c r="H40077" s="680" t="s">
        <v>6153</v>
      </c>
    </row>
    <row r="40078" spans="8:8">
      <c r="H40078" s="680" t="s">
        <v>6153</v>
      </c>
    </row>
    <row r="40079" spans="8:8">
      <c r="H40079" s="680" t="s">
        <v>6153</v>
      </c>
    </row>
    <row r="40080" spans="8:8">
      <c r="H40080" s="680" t="s">
        <v>6153</v>
      </c>
    </row>
    <row r="40081" spans="8:8">
      <c r="H40081" s="680" t="s">
        <v>6153</v>
      </c>
    </row>
    <row r="40082" spans="8:8">
      <c r="H40082" s="680" t="s">
        <v>6153</v>
      </c>
    </row>
    <row r="40083" spans="8:8">
      <c r="H40083" s="680" t="s">
        <v>6153</v>
      </c>
    </row>
    <row r="40084" spans="8:8">
      <c r="H40084" s="680" t="s">
        <v>6153</v>
      </c>
    </row>
    <row r="40085" spans="8:8">
      <c r="H40085" s="680" t="s">
        <v>6153</v>
      </c>
    </row>
    <row r="40086" spans="8:8">
      <c r="H40086" s="680" t="s">
        <v>6153</v>
      </c>
    </row>
    <row r="40087" spans="8:8">
      <c r="H40087" s="680" t="s">
        <v>6153</v>
      </c>
    </row>
    <row r="40088" spans="8:8">
      <c r="H40088" s="680" t="s">
        <v>6153</v>
      </c>
    </row>
    <row r="40089" spans="8:8">
      <c r="H40089" s="680" t="s">
        <v>6153</v>
      </c>
    </row>
    <row r="40090" spans="8:8">
      <c r="H40090" s="680" t="s">
        <v>6153</v>
      </c>
    </row>
    <row r="40091" spans="8:8">
      <c r="H40091" s="680" t="s">
        <v>6153</v>
      </c>
    </row>
    <row r="40092" spans="8:8">
      <c r="H40092" s="680" t="s">
        <v>6153</v>
      </c>
    </row>
    <row r="40093" spans="8:8">
      <c r="H40093" s="680" t="s">
        <v>6153</v>
      </c>
    </row>
    <row r="40094" spans="8:8">
      <c r="H40094" s="680" t="s">
        <v>6153</v>
      </c>
    </row>
    <row r="40095" spans="8:8">
      <c r="H40095" s="680" t="s">
        <v>6153</v>
      </c>
    </row>
    <row r="40096" spans="8:8">
      <c r="H40096" s="680" t="s">
        <v>6153</v>
      </c>
    </row>
    <row r="40097" spans="8:8">
      <c r="H40097" s="680" t="s">
        <v>6153</v>
      </c>
    </row>
    <row r="40098" spans="8:8">
      <c r="H40098" s="680" t="s">
        <v>6153</v>
      </c>
    </row>
    <row r="40099" spans="8:8">
      <c r="H40099" s="680" t="s">
        <v>6153</v>
      </c>
    </row>
    <row r="40100" spans="8:8">
      <c r="H40100" s="680" t="s">
        <v>6153</v>
      </c>
    </row>
    <row r="40101" spans="8:8">
      <c r="H40101" s="680" t="s">
        <v>6153</v>
      </c>
    </row>
    <row r="40102" spans="8:8">
      <c r="H40102" s="680" t="s">
        <v>6153</v>
      </c>
    </row>
    <row r="40103" spans="8:8">
      <c r="H40103" s="680" t="s">
        <v>6153</v>
      </c>
    </row>
    <row r="40104" spans="8:8">
      <c r="H40104" s="680" t="s">
        <v>6153</v>
      </c>
    </row>
    <row r="40105" spans="8:8">
      <c r="H40105" s="680" t="s">
        <v>6153</v>
      </c>
    </row>
    <row r="40106" spans="8:8">
      <c r="H40106" s="680" t="s">
        <v>6153</v>
      </c>
    </row>
    <row r="40107" spans="8:8">
      <c r="H40107" s="680" t="s">
        <v>6153</v>
      </c>
    </row>
    <row r="40108" spans="8:8">
      <c r="H40108" s="680" t="s">
        <v>6153</v>
      </c>
    </row>
    <row r="40109" spans="8:8">
      <c r="H40109" s="680" t="s">
        <v>6153</v>
      </c>
    </row>
    <row r="40110" spans="8:8">
      <c r="H40110" s="680" t="s">
        <v>6153</v>
      </c>
    </row>
    <row r="40111" spans="8:8">
      <c r="H40111" s="680" t="s">
        <v>6153</v>
      </c>
    </row>
    <row r="40112" spans="8:8">
      <c r="H40112" s="680" t="s">
        <v>6153</v>
      </c>
    </row>
    <row r="40113" spans="8:8">
      <c r="H40113" s="680" t="s">
        <v>6153</v>
      </c>
    </row>
    <row r="40114" spans="8:8">
      <c r="H40114" s="680" t="s">
        <v>6153</v>
      </c>
    </row>
    <row r="40115" spans="8:8">
      <c r="H40115" s="680" t="s">
        <v>6153</v>
      </c>
    </row>
    <row r="40116" spans="8:8">
      <c r="H40116" s="680" t="s">
        <v>6153</v>
      </c>
    </row>
    <row r="40117" spans="8:8">
      <c r="H40117" s="680" t="s">
        <v>6153</v>
      </c>
    </row>
    <row r="40118" spans="8:8">
      <c r="H40118" s="680" t="s">
        <v>6153</v>
      </c>
    </row>
    <row r="40119" spans="8:8">
      <c r="H40119" s="680" t="s">
        <v>6153</v>
      </c>
    </row>
    <row r="40120" spans="8:8">
      <c r="H40120" s="680" t="s">
        <v>6153</v>
      </c>
    </row>
    <row r="40121" spans="8:8">
      <c r="H40121" s="680" t="s">
        <v>6153</v>
      </c>
    </row>
    <row r="40122" spans="8:8">
      <c r="H40122" s="680" t="s">
        <v>6153</v>
      </c>
    </row>
    <row r="40123" spans="8:8">
      <c r="H40123" s="680" t="s">
        <v>6153</v>
      </c>
    </row>
    <row r="40124" spans="8:8">
      <c r="H40124" s="680" t="s">
        <v>6153</v>
      </c>
    </row>
    <row r="40125" spans="8:8">
      <c r="H40125" s="680" t="s">
        <v>6153</v>
      </c>
    </row>
    <row r="40126" spans="8:8">
      <c r="H40126" s="680" t="s">
        <v>6153</v>
      </c>
    </row>
    <row r="40127" spans="8:8">
      <c r="H40127" s="680" t="s">
        <v>6153</v>
      </c>
    </row>
    <row r="40128" spans="8:8">
      <c r="H40128" s="680" t="s">
        <v>6153</v>
      </c>
    </row>
    <row r="40129" spans="8:8">
      <c r="H40129" s="680" t="s">
        <v>6153</v>
      </c>
    </row>
    <row r="40130" spans="8:8">
      <c r="H40130" s="680" t="s">
        <v>6153</v>
      </c>
    </row>
    <row r="40131" spans="8:8">
      <c r="H40131" s="680" t="s">
        <v>6153</v>
      </c>
    </row>
    <row r="40132" spans="8:8">
      <c r="H40132" s="680" t="s">
        <v>6153</v>
      </c>
    </row>
    <row r="40133" spans="8:8">
      <c r="H40133" s="680" t="s">
        <v>6153</v>
      </c>
    </row>
    <row r="40134" spans="8:8">
      <c r="H40134" s="680" t="s">
        <v>6153</v>
      </c>
    </row>
    <row r="40135" spans="8:8">
      <c r="H40135" s="680" t="s">
        <v>6153</v>
      </c>
    </row>
    <row r="40136" spans="8:8">
      <c r="H40136" s="680" t="s">
        <v>6153</v>
      </c>
    </row>
    <row r="40137" spans="8:8">
      <c r="H40137" s="680" t="s">
        <v>6153</v>
      </c>
    </row>
    <row r="40138" spans="8:8">
      <c r="H40138" s="680" t="s">
        <v>6153</v>
      </c>
    </row>
    <row r="40139" spans="8:8">
      <c r="H40139" s="680" t="s">
        <v>6153</v>
      </c>
    </row>
    <row r="40140" spans="8:8">
      <c r="H40140" s="680" t="s">
        <v>6153</v>
      </c>
    </row>
    <row r="40141" spans="8:8">
      <c r="H40141" s="680" t="s">
        <v>6153</v>
      </c>
    </row>
    <row r="40142" spans="8:8">
      <c r="H40142" s="680" t="s">
        <v>6153</v>
      </c>
    </row>
    <row r="40143" spans="8:8">
      <c r="H40143" s="680" t="s">
        <v>6153</v>
      </c>
    </row>
    <row r="40144" spans="8:8">
      <c r="H40144" s="680" t="s">
        <v>6153</v>
      </c>
    </row>
    <row r="40145" spans="8:8">
      <c r="H40145" s="680" t="s">
        <v>6153</v>
      </c>
    </row>
    <row r="40146" spans="8:8">
      <c r="H40146" s="680" t="s">
        <v>6153</v>
      </c>
    </row>
    <row r="40147" spans="8:8">
      <c r="H40147" s="680" t="s">
        <v>6153</v>
      </c>
    </row>
    <row r="40148" spans="8:8">
      <c r="H40148" s="680" t="s">
        <v>6153</v>
      </c>
    </row>
    <row r="40149" spans="8:8">
      <c r="H40149" s="680" t="s">
        <v>6153</v>
      </c>
    </row>
    <row r="40150" spans="8:8">
      <c r="H40150" s="680" t="s">
        <v>6153</v>
      </c>
    </row>
    <row r="40151" spans="8:8">
      <c r="H40151" s="680" t="s">
        <v>6153</v>
      </c>
    </row>
    <row r="40152" spans="8:8">
      <c r="H40152" s="680" t="s">
        <v>6153</v>
      </c>
    </row>
    <row r="40153" spans="8:8">
      <c r="H40153" s="680" t="s">
        <v>6153</v>
      </c>
    </row>
    <row r="40154" spans="8:8">
      <c r="H40154" s="680" t="s">
        <v>6153</v>
      </c>
    </row>
    <row r="40155" spans="8:8">
      <c r="H40155" s="680" t="s">
        <v>6153</v>
      </c>
    </row>
    <row r="40156" spans="8:8">
      <c r="H40156" s="680" t="s">
        <v>6153</v>
      </c>
    </row>
    <row r="40157" spans="8:8">
      <c r="H40157" s="680" t="s">
        <v>6153</v>
      </c>
    </row>
    <row r="40158" spans="8:8">
      <c r="H40158" s="680" t="s">
        <v>6153</v>
      </c>
    </row>
    <row r="40159" spans="8:8">
      <c r="H40159" s="680" t="s">
        <v>6153</v>
      </c>
    </row>
    <row r="40160" spans="8:8">
      <c r="H40160" s="680" t="s">
        <v>6153</v>
      </c>
    </row>
    <row r="40161" spans="8:8">
      <c r="H40161" s="680" t="s">
        <v>6153</v>
      </c>
    </row>
    <row r="40162" spans="8:8">
      <c r="H40162" s="680" t="s">
        <v>6153</v>
      </c>
    </row>
    <row r="40163" spans="8:8">
      <c r="H40163" s="680" t="s">
        <v>6153</v>
      </c>
    </row>
    <row r="40164" spans="8:8">
      <c r="H40164" s="680" t="s">
        <v>6153</v>
      </c>
    </row>
    <row r="40165" spans="8:8">
      <c r="H40165" s="680" t="s">
        <v>6153</v>
      </c>
    </row>
    <row r="40166" spans="8:8">
      <c r="H40166" s="680" t="s">
        <v>6153</v>
      </c>
    </row>
    <row r="40167" spans="8:8">
      <c r="H40167" s="680" t="s">
        <v>6153</v>
      </c>
    </row>
    <row r="40168" spans="8:8">
      <c r="H40168" s="680" t="s">
        <v>6153</v>
      </c>
    </row>
    <row r="40169" spans="8:8">
      <c r="H40169" s="680" t="s">
        <v>6153</v>
      </c>
    </row>
    <row r="40170" spans="8:8">
      <c r="H40170" s="680" t="s">
        <v>6153</v>
      </c>
    </row>
    <row r="40171" spans="8:8">
      <c r="H40171" s="680" t="s">
        <v>6153</v>
      </c>
    </row>
    <row r="40172" spans="8:8">
      <c r="H40172" s="680" t="s">
        <v>6153</v>
      </c>
    </row>
    <row r="40173" spans="8:8">
      <c r="H40173" s="680" t="s">
        <v>6153</v>
      </c>
    </row>
    <row r="40174" spans="8:8">
      <c r="H40174" s="680" t="s">
        <v>6153</v>
      </c>
    </row>
    <row r="40175" spans="8:8">
      <c r="H40175" s="680" t="s">
        <v>6153</v>
      </c>
    </row>
    <row r="40176" spans="8:8">
      <c r="H40176" s="680" t="s">
        <v>6153</v>
      </c>
    </row>
    <row r="40177" spans="8:8">
      <c r="H40177" s="680" t="s">
        <v>6153</v>
      </c>
    </row>
    <row r="40178" spans="8:8">
      <c r="H40178" s="680" t="s">
        <v>6153</v>
      </c>
    </row>
    <row r="40179" spans="8:8">
      <c r="H40179" s="680" t="s">
        <v>6153</v>
      </c>
    </row>
    <row r="40180" spans="8:8">
      <c r="H40180" s="680" t="s">
        <v>6153</v>
      </c>
    </row>
    <row r="40181" spans="8:8">
      <c r="H40181" s="680" t="s">
        <v>6153</v>
      </c>
    </row>
    <row r="40182" spans="8:8">
      <c r="H40182" s="680" t="s">
        <v>6153</v>
      </c>
    </row>
    <row r="40183" spans="8:8">
      <c r="H40183" s="680" t="s">
        <v>6153</v>
      </c>
    </row>
    <row r="40184" spans="8:8">
      <c r="H40184" s="680" t="s">
        <v>6153</v>
      </c>
    </row>
    <row r="40185" spans="8:8">
      <c r="H40185" s="680" t="s">
        <v>6153</v>
      </c>
    </row>
    <row r="40186" spans="8:8">
      <c r="H40186" s="680" t="s">
        <v>6153</v>
      </c>
    </row>
    <row r="40187" spans="8:8">
      <c r="H40187" s="680" t="s">
        <v>6153</v>
      </c>
    </row>
    <row r="40188" spans="8:8">
      <c r="H40188" s="680" t="s">
        <v>6153</v>
      </c>
    </row>
    <row r="40189" spans="8:8">
      <c r="H40189" s="680" t="s">
        <v>6153</v>
      </c>
    </row>
    <row r="40190" spans="8:8">
      <c r="H40190" s="680" t="s">
        <v>6153</v>
      </c>
    </row>
    <row r="40191" spans="8:8">
      <c r="H40191" s="680" t="s">
        <v>6153</v>
      </c>
    </row>
    <row r="40192" spans="8:8">
      <c r="H40192" s="680" t="s">
        <v>6153</v>
      </c>
    </row>
    <row r="40193" spans="8:8">
      <c r="H40193" s="680" t="s">
        <v>6153</v>
      </c>
    </row>
    <row r="40194" spans="8:8">
      <c r="H40194" s="680" t="s">
        <v>6153</v>
      </c>
    </row>
    <row r="40195" spans="8:8">
      <c r="H40195" s="680" t="s">
        <v>6153</v>
      </c>
    </row>
    <row r="40196" spans="8:8">
      <c r="H40196" s="680" t="s">
        <v>6153</v>
      </c>
    </row>
    <row r="40197" spans="8:8">
      <c r="H40197" s="680" t="s">
        <v>6153</v>
      </c>
    </row>
    <row r="40198" spans="8:8">
      <c r="H40198" s="680" t="s">
        <v>6153</v>
      </c>
    </row>
    <row r="40199" spans="8:8">
      <c r="H40199" s="680" t="s">
        <v>6153</v>
      </c>
    </row>
    <row r="40200" spans="8:8">
      <c r="H40200" s="680" t="s">
        <v>6153</v>
      </c>
    </row>
    <row r="40201" spans="8:8">
      <c r="H40201" s="680" t="s">
        <v>6153</v>
      </c>
    </row>
    <row r="40202" spans="8:8">
      <c r="H40202" s="680" t="s">
        <v>6153</v>
      </c>
    </row>
    <row r="40203" spans="8:8">
      <c r="H40203" s="680" t="s">
        <v>6153</v>
      </c>
    </row>
    <row r="40204" spans="8:8">
      <c r="H40204" s="680" t="s">
        <v>6153</v>
      </c>
    </row>
    <row r="40205" spans="8:8">
      <c r="H40205" s="680" t="s">
        <v>6153</v>
      </c>
    </row>
    <row r="40206" spans="8:8">
      <c r="H40206" s="680" t="s">
        <v>6153</v>
      </c>
    </row>
    <row r="40207" spans="8:8">
      <c r="H40207" s="680" t="s">
        <v>6153</v>
      </c>
    </row>
    <row r="40208" spans="8:8">
      <c r="H40208" s="680" t="s">
        <v>6153</v>
      </c>
    </row>
    <row r="40209" spans="8:8">
      <c r="H40209" s="680" t="s">
        <v>6153</v>
      </c>
    </row>
    <row r="40210" spans="8:8">
      <c r="H40210" s="680" t="s">
        <v>6153</v>
      </c>
    </row>
    <row r="40211" spans="8:8">
      <c r="H40211" s="680" t="s">
        <v>6153</v>
      </c>
    </row>
    <row r="40212" spans="8:8">
      <c r="H40212" s="680" t="s">
        <v>6153</v>
      </c>
    </row>
    <row r="40213" spans="8:8">
      <c r="H40213" s="680" t="s">
        <v>6153</v>
      </c>
    </row>
    <row r="40214" spans="8:8">
      <c r="H40214" s="680" t="s">
        <v>6153</v>
      </c>
    </row>
    <row r="40215" spans="8:8">
      <c r="H40215" s="680" t="s">
        <v>6153</v>
      </c>
    </row>
    <row r="40216" spans="8:8">
      <c r="H40216" s="680" t="s">
        <v>6153</v>
      </c>
    </row>
    <row r="40217" spans="8:8">
      <c r="H40217" s="680" t="s">
        <v>6153</v>
      </c>
    </row>
    <row r="40218" spans="8:8">
      <c r="H40218" s="680" t="s">
        <v>6153</v>
      </c>
    </row>
    <row r="40219" spans="8:8">
      <c r="H40219" s="680" t="s">
        <v>6153</v>
      </c>
    </row>
    <row r="40220" spans="8:8">
      <c r="H40220" s="680" t="s">
        <v>6153</v>
      </c>
    </row>
    <row r="40221" spans="8:8">
      <c r="H40221" s="680" t="s">
        <v>6153</v>
      </c>
    </row>
    <row r="40222" spans="8:8">
      <c r="H40222" s="680" t="s">
        <v>6153</v>
      </c>
    </row>
    <row r="40223" spans="8:8">
      <c r="H40223" s="680" t="s">
        <v>6153</v>
      </c>
    </row>
    <row r="40224" spans="8:8">
      <c r="H40224" s="680" t="s">
        <v>6153</v>
      </c>
    </row>
    <row r="40225" spans="8:8">
      <c r="H40225" s="680" t="s">
        <v>6153</v>
      </c>
    </row>
    <row r="40226" spans="8:8">
      <c r="H40226" s="680" t="s">
        <v>6153</v>
      </c>
    </row>
    <row r="40227" spans="8:8">
      <c r="H40227" s="680" t="s">
        <v>6153</v>
      </c>
    </row>
    <row r="40228" spans="8:8">
      <c r="H40228" s="680" t="s">
        <v>6153</v>
      </c>
    </row>
    <row r="40229" spans="8:8">
      <c r="H40229" s="680" t="s">
        <v>6153</v>
      </c>
    </row>
    <row r="40230" spans="8:8">
      <c r="H40230" s="680" t="s">
        <v>6153</v>
      </c>
    </row>
    <row r="40231" spans="8:8">
      <c r="H40231" s="680" t="s">
        <v>6153</v>
      </c>
    </row>
    <row r="40232" spans="8:8">
      <c r="H40232" s="680" t="s">
        <v>6153</v>
      </c>
    </row>
    <row r="40233" spans="8:8">
      <c r="H40233" s="680" t="s">
        <v>6153</v>
      </c>
    </row>
    <row r="40234" spans="8:8">
      <c r="H40234" s="680" t="s">
        <v>6153</v>
      </c>
    </row>
    <row r="40235" spans="8:8">
      <c r="H40235" s="680" t="s">
        <v>6153</v>
      </c>
    </row>
    <row r="40236" spans="8:8">
      <c r="H40236" s="680" t="s">
        <v>6153</v>
      </c>
    </row>
    <row r="40237" spans="8:8">
      <c r="H40237" s="680" t="s">
        <v>6153</v>
      </c>
    </row>
    <row r="40238" spans="8:8">
      <c r="H40238" s="680" t="s">
        <v>6153</v>
      </c>
    </row>
    <row r="40239" spans="8:8">
      <c r="H40239" s="680" t="s">
        <v>6153</v>
      </c>
    </row>
    <row r="40240" spans="8:8">
      <c r="H40240" s="680" t="s">
        <v>6153</v>
      </c>
    </row>
    <row r="40241" spans="8:8">
      <c r="H40241" s="680" t="s">
        <v>6153</v>
      </c>
    </row>
    <row r="40242" spans="8:8">
      <c r="H40242" s="680" t="s">
        <v>6153</v>
      </c>
    </row>
    <row r="40243" spans="8:8">
      <c r="H40243" s="680" t="s">
        <v>6153</v>
      </c>
    </row>
    <row r="40244" spans="8:8">
      <c r="H40244" s="680" t="s">
        <v>6153</v>
      </c>
    </row>
    <row r="40245" spans="8:8">
      <c r="H40245" s="680" t="s">
        <v>6153</v>
      </c>
    </row>
    <row r="40246" spans="8:8">
      <c r="H40246" s="680" t="s">
        <v>6153</v>
      </c>
    </row>
    <row r="40247" spans="8:8">
      <c r="H40247" s="680" t="s">
        <v>6153</v>
      </c>
    </row>
    <row r="40248" spans="8:8">
      <c r="H40248" s="680" t="s">
        <v>6153</v>
      </c>
    </row>
    <row r="40249" spans="8:8">
      <c r="H40249" s="680" t="s">
        <v>6153</v>
      </c>
    </row>
    <row r="40250" spans="8:8">
      <c r="H40250" s="680" t="s">
        <v>6153</v>
      </c>
    </row>
    <row r="40251" spans="8:8">
      <c r="H40251" s="680" t="s">
        <v>6153</v>
      </c>
    </row>
    <row r="40252" spans="8:8">
      <c r="H40252" s="680" t="s">
        <v>6153</v>
      </c>
    </row>
    <row r="40253" spans="8:8">
      <c r="H40253" s="680" t="s">
        <v>6153</v>
      </c>
    </row>
    <row r="40254" spans="8:8">
      <c r="H40254" s="680" t="s">
        <v>6153</v>
      </c>
    </row>
    <row r="40255" spans="8:8">
      <c r="H40255" s="680" t="s">
        <v>6153</v>
      </c>
    </row>
    <row r="40256" spans="8:8">
      <c r="H40256" s="680" t="s">
        <v>6153</v>
      </c>
    </row>
    <row r="40257" spans="8:8">
      <c r="H40257" s="680" t="s">
        <v>6153</v>
      </c>
    </row>
    <row r="40258" spans="8:8">
      <c r="H40258" s="680" t="s">
        <v>6153</v>
      </c>
    </row>
    <row r="40259" spans="8:8">
      <c r="H40259" s="680" t="s">
        <v>6153</v>
      </c>
    </row>
    <row r="40260" spans="8:8">
      <c r="H40260" s="680" t="s">
        <v>6153</v>
      </c>
    </row>
    <row r="40261" spans="8:8">
      <c r="H40261" s="680" t="s">
        <v>6153</v>
      </c>
    </row>
    <row r="40262" spans="8:8">
      <c r="H40262" s="680" t="s">
        <v>6153</v>
      </c>
    </row>
    <row r="40263" spans="8:8">
      <c r="H40263" s="680" t="s">
        <v>6153</v>
      </c>
    </row>
    <row r="40264" spans="8:8">
      <c r="H40264" s="680" t="s">
        <v>6153</v>
      </c>
    </row>
    <row r="40265" spans="8:8">
      <c r="H40265" s="680" t="s">
        <v>6153</v>
      </c>
    </row>
    <row r="40266" spans="8:8">
      <c r="H40266" s="680" t="s">
        <v>6153</v>
      </c>
    </row>
    <row r="40267" spans="8:8">
      <c r="H40267" s="680" t="s">
        <v>6153</v>
      </c>
    </row>
    <row r="40268" spans="8:8">
      <c r="H40268" s="680" t="s">
        <v>6153</v>
      </c>
    </row>
    <row r="40269" spans="8:8">
      <c r="H40269" s="680" t="s">
        <v>6153</v>
      </c>
    </row>
    <row r="40270" spans="8:8">
      <c r="H40270" s="680" t="s">
        <v>6153</v>
      </c>
    </row>
    <row r="40271" spans="8:8">
      <c r="H40271" s="680" t="s">
        <v>6153</v>
      </c>
    </row>
    <row r="40272" spans="8:8">
      <c r="H40272" s="680" t="s">
        <v>6153</v>
      </c>
    </row>
    <row r="40273" spans="8:8">
      <c r="H40273" s="680" t="s">
        <v>6153</v>
      </c>
    </row>
    <row r="40274" spans="8:8">
      <c r="H40274" s="680" t="s">
        <v>6153</v>
      </c>
    </row>
    <row r="40275" spans="8:8">
      <c r="H40275" s="680" t="s">
        <v>6153</v>
      </c>
    </row>
    <row r="40276" spans="8:8">
      <c r="H40276" s="680" t="s">
        <v>6153</v>
      </c>
    </row>
    <row r="40277" spans="8:8">
      <c r="H40277" s="680" t="s">
        <v>6153</v>
      </c>
    </row>
    <row r="40278" spans="8:8">
      <c r="H40278" s="680" t="s">
        <v>6153</v>
      </c>
    </row>
    <row r="40279" spans="8:8">
      <c r="H40279" s="680" t="s">
        <v>6153</v>
      </c>
    </row>
    <row r="40280" spans="8:8">
      <c r="H40280" s="680" t="s">
        <v>6153</v>
      </c>
    </row>
    <row r="40281" spans="8:8">
      <c r="H40281" s="680" t="s">
        <v>6153</v>
      </c>
    </row>
    <row r="40282" spans="8:8">
      <c r="H40282" s="680" t="s">
        <v>6153</v>
      </c>
    </row>
    <row r="40283" spans="8:8">
      <c r="H40283" s="680" t="s">
        <v>6153</v>
      </c>
    </row>
    <row r="40284" spans="8:8">
      <c r="H40284" s="680" t="s">
        <v>6153</v>
      </c>
    </row>
    <row r="40285" spans="8:8">
      <c r="H40285" s="680" t="s">
        <v>6153</v>
      </c>
    </row>
    <row r="40286" spans="8:8">
      <c r="H40286" s="680" t="s">
        <v>6153</v>
      </c>
    </row>
    <row r="40287" spans="8:8">
      <c r="H40287" s="680" t="s">
        <v>6153</v>
      </c>
    </row>
    <row r="40288" spans="8:8">
      <c r="H40288" s="680" t="s">
        <v>6153</v>
      </c>
    </row>
    <row r="40289" spans="8:8">
      <c r="H40289" s="680" t="s">
        <v>6153</v>
      </c>
    </row>
    <row r="40290" spans="8:8">
      <c r="H40290" s="680" t="s">
        <v>6153</v>
      </c>
    </row>
    <row r="40291" spans="8:8">
      <c r="H40291" s="680" t="s">
        <v>6153</v>
      </c>
    </row>
    <row r="40292" spans="8:8">
      <c r="H40292" s="680" t="s">
        <v>6153</v>
      </c>
    </row>
    <row r="40293" spans="8:8">
      <c r="H40293" s="680" t="s">
        <v>6153</v>
      </c>
    </row>
    <row r="40294" spans="8:8">
      <c r="H40294" s="680" t="s">
        <v>6153</v>
      </c>
    </row>
    <row r="40295" spans="8:8">
      <c r="H40295" s="680" t="s">
        <v>6153</v>
      </c>
    </row>
    <row r="40296" spans="8:8">
      <c r="H40296" s="680" t="s">
        <v>6153</v>
      </c>
    </row>
    <row r="40297" spans="8:8">
      <c r="H40297" s="680" t="s">
        <v>6153</v>
      </c>
    </row>
    <row r="40298" spans="8:8">
      <c r="H40298" s="680" t="s">
        <v>6153</v>
      </c>
    </row>
    <row r="40299" spans="8:8">
      <c r="H40299" s="680" t="s">
        <v>6153</v>
      </c>
    </row>
    <row r="40300" spans="8:8">
      <c r="H40300" s="680" t="s">
        <v>6153</v>
      </c>
    </row>
    <row r="40301" spans="8:8">
      <c r="H40301" s="680" t="s">
        <v>6153</v>
      </c>
    </row>
    <row r="40302" spans="8:8">
      <c r="H40302" s="680" t="s">
        <v>6153</v>
      </c>
    </row>
    <row r="40303" spans="8:8">
      <c r="H40303" s="680" t="s">
        <v>6153</v>
      </c>
    </row>
    <row r="40304" spans="8:8">
      <c r="H40304" s="680" t="s">
        <v>6153</v>
      </c>
    </row>
    <row r="40305" spans="8:8">
      <c r="H40305" s="680" t="s">
        <v>6153</v>
      </c>
    </row>
    <row r="40306" spans="8:8">
      <c r="H40306" s="680" t="s">
        <v>6153</v>
      </c>
    </row>
    <row r="40307" spans="8:8">
      <c r="H40307" s="680" t="s">
        <v>6153</v>
      </c>
    </row>
    <row r="40308" spans="8:8">
      <c r="H40308" s="680" t="s">
        <v>6153</v>
      </c>
    </row>
    <row r="40309" spans="8:8">
      <c r="H40309" s="680" t="s">
        <v>6153</v>
      </c>
    </row>
    <row r="40310" spans="8:8">
      <c r="H40310" s="680" t="s">
        <v>6153</v>
      </c>
    </row>
    <row r="40311" spans="8:8">
      <c r="H40311" s="680" t="s">
        <v>6153</v>
      </c>
    </row>
    <row r="40312" spans="8:8">
      <c r="H40312" s="680" t="s">
        <v>6153</v>
      </c>
    </row>
    <row r="40313" spans="8:8">
      <c r="H40313" s="680" t="s">
        <v>6153</v>
      </c>
    </row>
    <row r="40314" spans="8:8">
      <c r="H40314" s="680" t="s">
        <v>6153</v>
      </c>
    </row>
    <row r="40315" spans="8:8">
      <c r="H40315" s="680" t="s">
        <v>6153</v>
      </c>
    </row>
    <row r="40316" spans="8:8">
      <c r="H40316" s="680" t="s">
        <v>6153</v>
      </c>
    </row>
    <row r="40317" spans="8:8">
      <c r="H40317" s="680" t="s">
        <v>6153</v>
      </c>
    </row>
    <row r="40318" spans="8:8">
      <c r="H40318" s="680" t="s">
        <v>6153</v>
      </c>
    </row>
    <row r="40319" spans="8:8">
      <c r="H40319" s="680" t="s">
        <v>6153</v>
      </c>
    </row>
    <row r="40320" spans="8:8">
      <c r="H40320" s="680" t="s">
        <v>6153</v>
      </c>
    </row>
    <row r="40321" spans="8:8">
      <c r="H40321" s="680" t="s">
        <v>6153</v>
      </c>
    </row>
    <row r="40322" spans="8:8">
      <c r="H40322" s="680" t="s">
        <v>6153</v>
      </c>
    </row>
    <row r="40323" spans="8:8">
      <c r="H40323" s="680" t="s">
        <v>6153</v>
      </c>
    </row>
    <row r="40324" spans="8:8">
      <c r="H40324" s="680" t="s">
        <v>6153</v>
      </c>
    </row>
    <row r="40325" spans="8:8">
      <c r="H40325" s="680" t="s">
        <v>6153</v>
      </c>
    </row>
    <row r="40326" spans="8:8">
      <c r="H40326" s="680" t="s">
        <v>6153</v>
      </c>
    </row>
    <row r="40327" spans="8:8">
      <c r="H40327" s="680" t="s">
        <v>6153</v>
      </c>
    </row>
    <row r="40328" spans="8:8">
      <c r="H40328" s="680" t="s">
        <v>6153</v>
      </c>
    </row>
    <row r="40329" spans="8:8">
      <c r="H40329" s="680" t="s">
        <v>6153</v>
      </c>
    </row>
    <row r="40330" spans="8:8">
      <c r="H40330" s="680" t="s">
        <v>6153</v>
      </c>
    </row>
    <row r="40331" spans="8:8">
      <c r="H40331" s="680" t="s">
        <v>6153</v>
      </c>
    </row>
    <row r="40332" spans="8:8">
      <c r="H40332" s="680" t="s">
        <v>6153</v>
      </c>
    </row>
    <row r="40333" spans="8:8">
      <c r="H40333" s="680" t="s">
        <v>6153</v>
      </c>
    </row>
    <row r="40334" spans="8:8">
      <c r="H40334" s="680" t="s">
        <v>6153</v>
      </c>
    </row>
    <row r="40335" spans="8:8">
      <c r="H40335" s="680" t="s">
        <v>6153</v>
      </c>
    </row>
    <row r="40336" spans="8:8">
      <c r="H40336" s="680" t="s">
        <v>6153</v>
      </c>
    </row>
    <row r="40337" spans="8:8">
      <c r="H40337" s="680" t="s">
        <v>6153</v>
      </c>
    </row>
    <row r="40338" spans="8:8">
      <c r="H40338" s="680" t="s">
        <v>6153</v>
      </c>
    </row>
    <row r="40339" spans="8:8">
      <c r="H40339" s="680" t="s">
        <v>6153</v>
      </c>
    </row>
    <row r="40340" spans="8:8">
      <c r="H40340" s="680" t="s">
        <v>6153</v>
      </c>
    </row>
    <row r="40341" spans="8:8">
      <c r="H40341" s="680" t="s">
        <v>6153</v>
      </c>
    </row>
    <row r="40342" spans="8:8">
      <c r="H40342" s="680" t="s">
        <v>6153</v>
      </c>
    </row>
    <row r="40343" spans="8:8">
      <c r="H40343" s="680" t="s">
        <v>6153</v>
      </c>
    </row>
    <row r="40344" spans="8:8">
      <c r="H40344" s="680" t="s">
        <v>6153</v>
      </c>
    </row>
    <row r="40345" spans="8:8">
      <c r="H40345" s="680" t="s">
        <v>6153</v>
      </c>
    </row>
    <row r="40346" spans="8:8">
      <c r="H40346" s="680" t="s">
        <v>6153</v>
      </c>
    </row>
    <row r="40347" spans="8:8">
      <c r="H40347" s="680" t="s">
        <v>6153</v>
      </c>
    </row>
    <row r="40348" spans="8:8">
      <c r="H40348" s="680" t="s">
        <v>6153</v>
      </c>
    </row>
    <row r="40349" spans="8:8">
      <c r="H40349" s="680" t="s">
        <v>6153</v>
      </c>
    </row>
    <row r="40350" spans="8:8">
      <c r="H40350" s="680" t="s">
        <v>6153</v>
      </c>
    </row>
    <row r="40351" spans="8:8">
      <c r="H40351" s="680" t="s">
        <v>6153</v>
      </c>
    </row>
    <row r="40352" spans="8:8">
      <c r="H40352" s="680" t="s">
        <v>6153</v>
      </c>
    </row>
    <row r="40353" spans="8:8">
      <c r="H40353" s="680" t="s">
        <v>6153</v>
      </c>
    </row>
    <row r="40354" spans="8:8">
      <c r="H40354" s="680" t="s">
        <v>6153</v>
      </c>
    </row>
    <row r="40355" spans="8:8">
      <c r="H40355" s="680" t="s">
        <v>6153</v>
      </c>
    </row>
    <row r="40356" spans="8:8">
      <c r="H40356" s="680" t="s">
        <v>6153</v>
      </c>
    </row>
    <row r="40357" spans="8:8">
      <c r="H40357" s="680" t="s">
        <v>6153</v>
      </c>
    </row>
    <row r="40358" spans="8:8">
      <c r="H40358" s="680" t="s">
        <v>6153</v>
      </c>
    </row>
    <row r="40359" spans="8:8">
      <c r="H40359" s="680" t="s">
        <v>6153</v>
      </c>
    </row>
    <row r="40360" spans="8:8">
      <c r="H40360" s="680" t="s">
        <v>6153</v>
      </c>
    </row>
    <row r="40361" spans="8:8">
      <c r="H40361" s="680" t="s">
        <v>6153</v>
      </c>
    </row>
    <row r="40362" spans="8:8">
      <c r="H40362" s="680" t="s">
        <v>6153</v>
      </c>
    </row>
    <row r="40363" spans="8:8">
      <c r="H40363" s="680" t="s">
        <v>6153</v>
      </c>
    </row>
    <row r="40364" spans="8:8">
      <c r="H40364" s="680" t="s">
        <v>6153</v>
      </c>
    </row>
    <row r="40365" spans="8:8">
      <c r="H40365" s="680" t="s">
        <v>6153</v>
      </c>
    </row>
    <row r="40366" spans="8:8">
      <c r="H40366" s="680" t="s">
        <v>6153</v>
      </c>
    </row>
    <row r="40367" spans="8:8">
      <c r="H40367" s="680" t="s">
        <v>6153</v>
      </c>
    </row>
    <row r="40368" spans="8:8">
      <c r="H40368" s="680" t="s">
        <v>6153</v>
      </c>
    </row>
    <row r="40369" spans="8:8">
      <c r="H40369" s="680" t="s">
        <v>6153</v>
      </c>
    </row>
    <row r="40370" spans="8:8">
      <c r="H40370" s="680" t="s">
        <v>6153</v>
      </c>
    </row>
    <row r="40371" spans="8:8">
      <c r="H40371" s="680" t="s">
        <v>6153</v>
      </c>
    </row>
    <row r="40372" spans="8:8">
      <c r="H40372" s="680" t="s">
        <v>6153</v>
      </c>
    </row>
    <row r="40373" spans="8:8">
      <c r="H40373" s="680" t="s">
        <v>6153</v>
      </c>
    </row>
    <row r="40374" spans="8:8">
      <c r="H40374" s="680" t="s">
        <v>6153</v>
      </c>
    </row>
    <row r="40375" spans="8:8">
      <c r="H40375" s="680" t="s">
        <v>6153</v>
      </c>
    </row>
    <row r="40376" spans="8:8">
      <c r="H40376" s="680" t="s">
        <v>6153</v>
      </c>
    </row>
    <row r="40377" spans="8:8">
      <c r="H40377" s="680" t="s">
        <v>6153</v>
      </c>
    </row>
    <row r="40378" spans="8:8">
      <c r="H40378" s="680" t="s">
        <v>6153</v>
      </c>
    </row>
    <row r="40379" spans="8:8">
      <c r="H40379" s="680" t="s">
        <v>6153</v>
      </c>
    </row>
    <row r="40380" spans="8:8">
      <c r="H40380" s="680" t="s">
        <v>6153</v>
      </c>
    </row>
    <row r="40381" spans="8:8">
      <c r="H40381" s="680" t="s">
        <v>6153</v>
      </c>
    </row>
    <row r="40382" spans="8:8">
      <c r="H40382" s="680" t="s">
        <v>6153</v>
      </c>
    </row>
    <row r="40383" spans="8:8">
      <c r="H40383" s="680" t="s">
        <v>6153</v>
      </c>
    </row>
    <row r="40384" spans="8:8">
      <c r="H40384" s="680" t="s">
        <v>6153</v>
      </c>
    </row>
    <row r="40385" spans="8:8">
      <c r="H40385" s="680" t="s">
        <v>6153</v>
      </c>
    </row>
    <row r="40386" spans="8:8">
      <c r="H40386" s="680" t="s">
        <v>6153</v>
      </c>
    </row>
    <row r="40387" spans="8:8">
      <c r="H40387" s="680" t="s">
        <v>6153</v>
      </c>
    </row>
    <row r="40388" spans="8:8">
      <c r="H40388" s="680" t="s">
        <v>6153</v>
      </c>
    </row>
    <row r="40389" spans="8:8">
      <c r="H40389" s="680" t="s">
        <v>6153</v>
      </c>
    </row>
    <row r="40390" spans="8:8">
      <c r="H40390" s="680" t="s">
        <v>6153</v>
      </c>
    </row>
    <row r="40391" spans="8:8">
      <c r="H40391" s="680" t="s">
        <v>6153</v>
      </c>
    </row>
    <row r="40392" spans="8:8">
      <c r="H40392" s="680" t="s">
        <v>6153</v>
      </c>
    </row>
    <row r="40393" spans="8:8">
      <c r="H40393" s="680" t="s">
        <v>6153</v>
      </c>
    </row>
    <row r="40394" spans="8:8">
      <c r="H40394" s="680" t="s">
        <v>6153</v>
      </c>
    </row>
    <row r="40395" spans="8:8">
      <c r="H40395" s="680" t="s">
        <v>6153</v>
      </c>
    </row>
    <row r="40396" spans="8:8">
      <c r="H40396" s="680" t="s">
        <v>6153</v>
      </c>
    </row>
    <row r="40397" spans="8:8">
      <c r="H40397" s="680" t="s">
        <v>6153</v>
      </c>
    </row>
    <row r="40398" spans="8:8">
      <c r="H40398" s="680" t="s">
        <v>6153</v>
      </c>
    </row>
    <row r="40399" spans="8:8">
      <c r="H40399" s="680" t="s">
        <v>6153</v>
      </c>
    </row>
    <row r="40400" spans="8:8">
      <c r="H40400" s="680" t="s">
        <v>6153</v>
      </c>
    </row>
    <row r="40401" spans="8:8">
      <c r="H40401" s="680" t="s">
        <v>6153</v>
      </c>
    </row>
    <row r="40402" spans="8:8">
      <c r="H40402" s="680" t="s">
        <v>6153</v>
      </c>
    </row>
    <row r="40403" spans="8:8">
      <c r="H40403" s="680" t="s">
        <v>6153</v>
      </c>
    </row>
    <row r="40404" spans="8:8">
      <c r="H40404" s="680" t="s">
        <v>6153</v>
      </c>
    </row>
    <row r="40405" spans="8:8">
      <c r="H40405" s="680" t="s">
        <v>6153</v>
      </c>
    </row>
    <row r="40406" spans="8:8">
      <c r="H40406" s="680" t="s">
        <v>6153</v>
      </c>
    </row>
    <row r="40407" spans="8:8">
      <c r="H40407" s="680" t="s">
        <v>6153</v>
      </c>
    </row>
    <row r="40408" spans="8:8">
      <c r="H40408" s="680" t="s">
        <v>6153</v>
      </c>
    </row>
    <row r="40409" spans="8:8">
      <c r="H40409" s="680" t="s">
        <v>6153</v>
      </c>
    </row>
    <row r="40410" spans="8:8">
      <c r="H40410" s="680" t="s">
        <v>6153</v>
      </c>
    </row>
    <row r="40411" spans="8:8">
      <c r="H40411" s="680" t="s">
        <v>6153</v>
      </c>
    </row>
    <row r="40412" spans="8:8">
      <c r="H40412" s="680" t="s">
        <v>6153</v>
      </c>
    </row>
    <row r="40413" spans="8:8">
      <c r="H40413" s="680" t="s">
        <v>6153</v>
      </c>
    </row>
    <row r="40414" spans="8:8">
      <c r="H40414" s="680" t="s">
        <v>6153</v>
      </c>
    </row>
    <row r="40415" spans="8:8">
      <c r="H40415" s="680" t="s">
        <v>6153</v>
      </c>
    </row>
    <row r="40416" spans="8:8">
      <c r="H40416" s="680" t="s">
        <v>6153</v>
      </c>
    </row>
    <row r="40417" spans="8:8">
      <c r="H40417" s="680" t="s">
        <v>6153</v>
      </c>
    </row>
    <row r="40418" spans="8:8">
      <c r="H40418" s="680" t="s">
        <v>6153</v>
      </c>
    </row>
    <row r="40419" spans="8:8">
      <c r="H40419" s="680" t="s">
        <v>6153</v>
      </c>
    </row>
    <row r="40420" spans="8:8">
      <c r="H40420" s="680" t="s">
        <v>6153</v>
      </c>
    </row>
    <row r="40421" spans="8:8">
      <c r="H40421" s="680" t="s">
        <v>6153</v>
      </c>
    </row>
    <row r="40422" spans="8:8">
      <c r="H40422" s="680" t="s">
        <v>6153</v>
      </c>
    </row>
    <row r="40423" spans="8:8">
      <c r="H40423" s="680" t="s">
        <v>6153</v>
      </c>
    </row>
    <row r="40424" spans="8:8">
      <c r="H40424" s="680" t="s">
        <v>6153</v>
      </c>
    </row>
    <row r="40425" spans="8:8">
      <c r="H40425" s="680" t="s">
        <v>6153</v>
      </c>
    </row>
    <row r="40426" spans="8:8">
      <c r="H40426" s="680" t="s">
        <v>6153</v>
      </c>
    </row>
    <row r="40427" spans="8:8">
      <c r="H40427" s="680" t="s">
        <v>6153</v>
      </c>
    </row>
    <row r="40428" spans="8:8">
      <c r="H40428" s="680" t="s">
        <v>6153</v>
      </c>
    </row>
    <row r="40429" spans="8:8">
      <c r="H40429" s="680" t="s">
        <v>6153</v>
      </c>
    </row>
    <row r="40430" spans="8:8">
      <c r="H40430" s="680" t="s">
        <v>6153</v>
      </c>
    </row>
    <row r="40431" spans="8:8">
      <c r="H40431" s="680" t="s">
        <v>6153</v>
      </c>
    </row>
    <row r="40432" spans="8:8">
      <c r="H40432" s="680" t="s">
        <v>6153</v>
      </c>
    </row>
    <row r="40433" spans="8:8">
      <c r="H40433" s="680" t="s">
        <v>6153</v>
      </c>
    </row>
    <row r="40434" spans="8:8">
      <c r="H40434" s="680" t="s">
        <v>6153</v>
      </c>
    </row>
    <row r="40435" spans="8:8">
      <c r="H40435" s="680" t="s">
        <v>6153</v>
      </c>
    </row>
    <row r="40436" spans="8:8">
      <c r="H40436" s="680" t="s">
        <v>6153</v>
      </c>
    </row>
    <row r="40437" spans="8:8">
      <c r="H40437" s="680" t="s">
        <v>6153</v>
      </c>
    </row>
    <row r="40438" spans="8:8">
      <c r="H40438" s="680" t="s">
        <v>6153</v>
      </c>
    </row>
    <row r="40439" spans="8:8">
      <c r="H40439" s="680" t="s">
        <v>6153</v>
      </c>
    </row>
    <row r="40440" spans="8:8">
      <c r="H40440" s="680" t="s">
        <v>6153</v>
      </c>
    </row>
    <row r="40441" spans="8:8">
      <c r="H40441" s="680" t="s">
        <v>6153</v>
      </c>
    </row>
    <row r="40442" spans="8:8">
      <c r="H40442" s="680" t="s">
        <v>6153</v>
      </c>
    </row>
    <row r="40443" spans="8:8">
      <c r="H40443" s="680" t="s">
        <v>6153</v>
      </c>
    </row>
    <row r="40444" spans="8:8">
      <c r="H40444" s="680" t="s">
        <v>6153</v>
      </c>
    </row>
    <row r="40445" spans="8:8">
      <c r="H40445" s="680" t="s">
        <v>6153</v>
      </c>
    </row>
    <row r="40446" spans="8:8">
      <c r="H40446" s="680" t="s">
        <v>6153</v>
      </c>
    </row>
    <row r="40447" spans="8:8">
      <c r="H40447" s="680" t="s">
        <v>6153</v>
      </c>
    </row>
    <row r="40448" spans="8:8">
      <c r="H40448" s="680" t="s">
        <v>6153</v>
      </c>
    </row>
    <row r="40449" spans="8:8">
      <c r="H40449" s="680" t="s">
        <v>6153</v>
      </c>
    </row>
    <row r="40450" spans="8:8">
      <c r="H40450" s="680" t="s">
        <v>6153</v>
      </c>
    </row>
    <row r="40451" spans="8:8">
      <c r="H40451" s="680" t="s">
        <v>6153</v>
      </c>
    </row>
    <row r="40452" spans="8:8">
      <c r="H40452" s="680" t="s">
        <v>6153</v>
      </c>
    </row>
    <row r="40453" spans="8:8">
      <c r="H40453" s="680" t="s">
        <v>6153</v>
      </c>
    </row>
    <row r="40454" spans="8:8">
      <c r="H40454" s="680" t="s">
        <v>6153</v>
      </c>
    </row>
    <row r="40455" spans="8:8">
      <c r="H40455" s="680" t="s">
        <v>6153</v>
      </c>
    </row>
    <row r="40456" spans="8:8">
      <c r="H40456" s="680" t="s">
        <v>6153</v>
      </c>
    </row>
    <row r="40457" spans="8:8">
      <c r="H40457" s="680" t="s">
        <v>6153</v>
      </c>
    </row>
    <row r="40458" spans="8:8">
      <c r="H40458" s="680" t="s">
        <v>6153</v>
      </c>
    </row>
    <row r="40459" spans="8:8">
      <c r="H40459" s="680" t="s">
        <v>6153</v>
      </c>
    </row>
    <row r="40460" spans="8:8">
      <c r="H40460" s="680" t="s">
        <v>6153</v>
      </c>
    </row>
    <row r="40461" spans="8:8">
      <c r="H40461" s="680" t="s">
        <v>6153</v>
      </c>
    </row>
    <row r="40462" spans="8:8">
      <c r="H40462" s="680" t="s">
        <v>6153</v>
      </c>
    </row>
    <row r="40463" spans="8:8">
      <c r="H40463" s="680" t="s">
        <v>6153</v>
      </c>
    </row>
    <row r="40464" spans="8:8">
      <c r="H40464" s="680" t="s">
        <v>6153</v>
      </c>
    </row>
    <row r="40465" spans="8:8">
      <c r="H40465" s="680" t="s">
        <v>6153</v>
      </c>
    </row>
    <row r="40466" spans="8:8">
      <c r="H40466" s="680" t="s">
        <v>6153</v>
      </c>
    </row>
    <row r="40467" spans="8:8">
      <c r="H40467" s="680" t="s">
        <v>6153</v>
      </c>
    </row>
    <row r="40468" spans="8:8">
      <c r="H40468" s="680" t="s">
        <v>6153</v>
      </c>
    </row>
    <row r="40469" spans="8:8">
      <c r="H40469" s="680" t="s">
        <v>6153</v>
      </c>
    </row>
    <row r="40470" spans="8:8">
      <c r="H40470" s="680" t="s">
        <v>6153</v>
      </c>
    </row>
    <row r="40471" spans="8:8">
      <c r="H40471" s="680" t="s">
        <v>6153</v>
      </c>
    </row>
    <row r="40472" spans="8:8">
      <c r="H40472" s="680" t="s">
        <v>6153</v>
      </c>
    </row>
    <row r="40473" spans="8:8">
      <c r="H40473" s="680" t="s">
        <v>6153</v>
      </c>
    </row>
    <row r="40474" spans="8:8">
      <c r="H40474" s="680" t="s">
        <v>6153</v>
      </c>
    </row>
    <row r="40475" spans="8:8">
      <c r="H40475" s="680" t="s">
        <v>6153</v>
      </c>
    </row>
    <row r="40476" spans="8:8">
      <c r="H40476" s="680" t="s">
        <v>6153</v>
      </c>
    </row>
    <row r="40477" spans="8:8">
      <c r="H40477" s="680" t="s">
        <v>6153</v>
      </c>
    </row>
    <row r="40478" spans="8:8">
      <c r="H40478" s="680" t="s">
        <v>6153</v>
      </c>
    </row>
    <row r="40479" spans="8:8">
      <c r="H40479" s="680" t="s">
        <v>6153</v>
      </c>
    </row>
    <row r="40480" spans="8:8">
      <c r="H40480" s="680" t="s">
        <v>6153</v>
      </c>
    </row>
    <row r="40481" spans="8:8">
      <c r="H40481" s="680" t="s">
        <v>6153</v>
      </c>
    </row>
    <row r="40482" spans="8:8">
      <c r="H40482" s="680" t="s">
        <v>6153</v>
      </c>
    </row>
    <row r="40483" spans="8:8">
      <c r="H40483" s="680" t="s">
        <v>6153</v>
      </c>
    </row>
    <row r="40484" spans="8:8">
      <c r="H40484" s="680" t="s">
        <v>6153</v>
      </c>
    </row>
    <row r="40485" spans="8:8">
      <c r="H40485" s="680" t="s">
        <v>6153</v>
      </c>
    </row>
    <row r="40486" spans="8:8">
      <c r="H40486" s="680" t="s">
        <v>6153</v>
      </c>
    </row>
    <row r="40487" spans="8:8">
      <c r="H40487" s="680" t="s">
        <v>6153</v>
      </c>
    </row>
    <row r="40488" spans="8:8">
      <c r="H40488" s="680" t="s">
        <v>6153</v>
      </c>
    </row>
    <row r="40489" spans="8:8">
      <c r="H40489" s="680" t="s">
        <v>6153</v>
      </c>
    </row>
    <row r="40490" spans="8:8">
      <c r="H40490" s="680" t="s">
        <v>6153</v>
      </c>
    </row>
    <row r="40491" spans="8:8">
      <c r="H40491" s="680" t="s">
        <v>6153</v>
      </c>
    </row>
    <row r="40492" spans="8:8">
      <c r="H40492" s="680" t="s">
        <v>6153</v>
      </c>
    </row>
    <row r="40493" spans="8:8">
      <c r="H40493" s="680" t="s">
        <v>6153</v>
      </c>
    </row>
    <row r="40494" spans="8:8">
      <c r="H40494" s="680" t="s">
        <v>6153</v>
      </c>
    </row>
    <row r="40495" spans="8:8">
      <c r="H40495" s="680" t="s">
        <v>6153</v>
      </c>
    </row>
    <row r="40496" spans="8:8">
      <c r="H40496" s="680" t="s">
        <v>6153</v>
      </c>
    </row>
    <row r="40497" spans="8:8">
      <c r="H40497" s="680" t="s">
        <v>6153</v>
      </c>
    </row>
    <row r="40498" spans="8:8">
      <c r="H40498" s="680" t="s">
        <v>6153</v>
      </c>
    </row>
    <row r="40499" spans="8:8">
      <c r="H40499" s="680" t="s">
        <v>6153</v>
      </c>
    </row>
    <row r="40500" spans="8:8">
      <c r="H40500" s="680" t="s">
        <v>6153</v>
      </c>
    </row>
    <row r="40501" spans="8:8">
      <c r="H40501" s="680" t="s">
        <v>6153</v>
      </c>
    </row>
    <row r="40502" spans="8:8">
      <c r="H40502" s="680" t="s">
        <v>6153</v>
      </c>
    </row>
    <row r="40503" spans="8:8">
      <c r="H40503" s="680" t="s">
        <v>6153</v>
      </c>
    </row>
    <row r="40504" spans="8:8">
      <c r="H40504" s="680" t="s">
        <v>6153</v>
      </c>
    </row>
    <row r="40505" spans="8:8">
      <c r="H40505" s="680" t="s">
        <v>6153</v>
      </c>
    </row>
    <row r="40506" spans="8:8">
      <c r="H40506" s="680" t="s">
        <v>6153</v>
      </c>
    </row>
    <row r="40507" spans="8:8">
      <c r="H40507" s="680" t="s">
        <v>6153</v>
      </c>
    </row>
    <row r="40508" spans="8:8">
      <c r="H40508" s="680" t="s">
        <v>6153</v>
      </c>
    </row>
    <row r="40509" spans="8:8">
      <c r="H40509" s="680" t="s">
        <v>6153</v>
      </c>
    </row>
    <row r="40510" spans="8:8">
      <c r="H40510" s="680" t="s">
        <v>6153</v>
      </c>
    </row>
    <row r="40511" spans="8:8">
      <c r="H40511" s="680" t="s">
        <v>6153</v>
      </c>
    </row>
    <row r="40512" spans="8:8">
      <c r="H40512" s="680" t="s">
        <v>6153</v>
      </c>
    </row>
    <row r="40513" spans="8:8">
      <c r="H40513" s="680" t="s">
        <v>6153</v>
      </c>
    </row>
    <row r="40514" spans="8:8">
      <c r="H40514" s="680" t="s">
        <v>6153</v>
      </c>
    </row>
    <row r="40515" spans="8:8">
      <c r="H40515" s="680" t="s">
        <v>6153</v>
      </c>
    </row>
    <row r="40516" spans="8:8">
      <c r="H40516" s="680" t="s">
        <v>6153</v>
      </c>
    </row>
    <row r="40517" spans="8:8">
      <c r="H40517" s="680" t="s">
        <v>6153</v>
      </c>
    </row>
    <row r="40518" spans="8:8">
      <c r="H40518" s="680" t="s">
        <v>6153</v>
      </c>
    </row>
    <row r="40519" spans="8:8">
      <c r="H40519" s="680" t="s">
        <v>6153</v>
      </c>
    </row>
    <row r="40520" spans="8:8">
      <c r="H40520" s="680" t="s">
        <v>6153</v>
      </c>
    </row>
    <row r="40521" spans="8:8">
      <c r="H40521" s="680" t="s">
        <v>6153</v>
      </c>
    </row>
    <row r="40522" spans="8:8">
      <c r="H40522" s="680" t="s">
        <v>6153</v>
      </c>
    </row>
    <row r="40523" spans="8:8">
      <c r="H40523" s="680" t="s">
        <v>6153</v>
      </c>
    </row>
    <row r="40524" spans="8:8">
      <c r="H40524" s="680" t="s">
        <v>6153</v>
      </c>
    </row>
    <row r="40525" spans="8:8">
      <c r="H40525" s="680" t="s">
        <v>6153</v>
      </c>
    </row>
    <row r="40526" spans="8:8">
      <c r="H40526" s="680" t="s">
        <v>6153</v>
      </c>
    </row>
    <row r="40527" spans="8:8">
      <c r="H40527" s="680" t="s">
        <v>6153</v>
      </c>
    </row>
    <row r="40528" spans="8:8">
      <c r="H40528" s="680" t="s">
        <v>6153</v>
      </c>
    </row>
    <row r="40529" spans="8:8">
      <c r="H40529" s="680" t="s">
        <v>6153</v>
      </c>
    </row>
    <row r="40530" spans="8:8">
      <c r="H40530" s="680" t="s">
        <v>6153</v>
      </c>
    </row>
    <row r="40531" spans="8:8">
      <c r="H40531" s="680" t="s">
        <v>6153</v>
      </c>
    </row>
    <row r="40532" spans="8:8">
      <c r="H40532" s="680" t="s">
        <v>6153</v>
      </c>
    </row>
    <row r="40533" spans="8:8">
      <c r="H40533" s="680" t="s">
        <v>6153</v>
      </c>
    </row>
    <row r="40534" spans="8:8">
      <c r="H40534" s="680" t="s">
        <v>6153</v>
      </c>
    </row>
    <row r="40535" spans="8:8">
      <c r="H40535" s="680" t="s">
        <v>6153</v>
      </c>
    </row>
    <row r="40536" spans="8:8">
      <c r="H40536" s="680" t="s">
        <v>6153</v>
      </c>
    </row>
    <row r="40537" spans="8:8">
      <c r="H40537" s="680" t="s">
        <v>6153</v>
      </c>
    </row>
    <row r="40538" spans="8:8">
      <c r="H40538" s="680" t="s">
        <v>6153</v>
      </c>
    </row>
    <row r="40539" spans="8:8">
      <c r="H40539" s="680" t="s">
        <v>6153</v>
      </c>
    </row>
    <row r="40540" spans="8:8">
      <c r="H40540" s="680" t="s">
        <v>6153</v>
      </c>
    </row>
    <row r="40541" spans="8:8">
      <c r="H40541" s="680" t="s">
        <v>6153</v>
      </c>
    </row>
    <row r="40542" spans="8:8">
      <c r="H40542" s="680" t="s">
        <v>6153</v>
      </c>
    </row>
    <row r="40543" spans="8:8">
      <c r="H40543" s="680" t="s">
        <v>6153</v>
      </c>
    </row>
    <row r="40544" spans="8:8">
      <c r="H40544" s="680" t="s">
        <v>6153</v>
      </c>
    </row>
    <row r="40545" spans="8:8">
      <c r="H40545" s="680" t="s">
        <v>6153</v>
      </c>
    </row>
    <row r="40546" spans="8:8">
      <c r="H40546" s="680" t="s">
        <v>6153</v>
      </c>
    </row>
    <row r="40547" spans="8:8">
      <c r="H40547" s="680" t="s">
        <v>6153</v>
      </c>
    </row>
    <row r="40548" spans="8:8">
      <c r="H40548" s="680" t="s">
        <v>6153</v>
      </c>
    </row>
    <row r="40549" spans="8:8">
      <c r="H40549" s="680" t="s">
        <v>6153</v>
      </c>
    </row>
    <row r="40550" spans="8:8">
      <c r="H40550" s="680" t="s">
        <v>6153</v>
      </c>
    </row>
    <row r="40551" spans="8:8">
      <c r="H40551" s="680" t="s">
        <v>6153</v>
      </c>
    </row>
    <row r="40552" spans="8:8">
      <c r="H40552" s="680" t="s">
        <v>6153</v>
      </c>
    </row>
    <row r="40553" spans="8:8">
      <c r="H40553" s="680" t="s">
        <v>6153</v>
      </c>
    </row>
    <row r="40554" spans="8:8">
      <c r="H40554" s="680" t="s">
        <v>6153</v>
      </c>
    </row>
    <row r="40555" spans="8:8">
      <c r="H40555" s="680" t="s">
        <v>6153</v>
      </c>
    </row>
    <row r="40556" spans="8:8">
      <c r="H40556" s="680" t="s">
        <v>6153</v>
      </c>
    </row>
    <row r="40557" spans="8:8">
      <c r="H40557" s="680" t="s">
        <v>6153</v>
      </c>
    </row>
    <row r="40558" spans="8:8">
      <c r="H40558" s="680" t="s">
        <v>6153</v>
      </c>
    </row>
    <row r="40559" spans="8:8">
      <c r="H40559" s="680" t="s">
        <v>6153</v>
      </c>
    </row>
    <row r="40560" spans="8:8">
      <c r="H40560" s="680" t="s">
        <v>6153</v>
      </c>
    </row>
    <row r="40561" spans="8:8">
      <c r="H40561" s="680" t="s">
        <v>6153</v>
      </c>
    </row>
    <row r="40562" spans="8:8">
      <c r="H40562" s="680" t="s">
        <v>6153</v>
      </c>
    </row>
    <row r="40563" spans="8:8">
      <c r="H40563" s="680" t="s">
        <v>6153</v>
      </c>
    </row>
    <row r="40564" spans="8:8">
      <c r="H40564" s="680" t="s">
        <v>6153</v>
      </c>
    </row>
    <row r="40565" spans="8:8">
      <c r="H40565" s="680" t="s">
        <v>6153</v>
      </c>
    </row>
    <row r="40566" spans="8:8">
      <c r="H40566" s="680" t="s">
        <v>6153</v>
      </c>
    </row>
    <row r="40567" spans="8:8">
      <c r="H40567" s="680" t="s">
        <v>6153</v>
      </c>
    </row>
    <row r="40568" spans="8:8">
      <c r="H40568" s="680" t="s">
        <v>6153</v>
      </c>
    </row>
    <row r="40569" spans="8:8">
      <c r="H40569" s="680" t="s">
        <v>6153</v>
      </c>
    </row>
    <row r="40570" spans="8:8">
      <c r="H40570" s="680" t="s">
        <v>6153</v>
      </c>
    </row>
    <row r="40571" spans="8:8">
      <c r="H40571" s="680" t="s">
        <v>6153</v>
      </c>
    </row>
    <row r="40572" spans="8:8">
      <c r="H40572" s="680" t="s">
        <v>6153</v>
      </c>
    </row>
    <row r="40573" spans="8:8">
      <c r="H40573" s="680" t="s">
        <v>6153</v>
      </c>
    </row>
    <row r="40574" spans="8:8">
      <c r="H40574" s="680" t="s">
        <v>6153</v>
      </c>
    </row>
    <row r="40575" spans="8:8">
      <c r="H40575" s="680" t="s">
        <v>6153</v>
      </c>
    </row>
    <row r="40576" spans="8:8">
      <c r="H40576" s="680" t="s">
        <v>6153</v>
      </c>
    </row>
    <row r="40577" spans="8:8">
      <c r="H40577" s="680" t="s">
        <v>6153</v>
      </c>
    </row>
    <row r="40578" spans="8:8">
      <c r="H40578" s="680" t="s">
        <v>6153</v>
      </c>
    </row>
    <row r="40579" spans="8:8">
      <c r="H40579" s="680" t="s">
        <v>6153</v>
      </c>
    </row>
    <row r="40580" spans="8:8">
      <c r="H40580" s="680" t="s">
        <v>6153</v>
      </c>
    </row>
    <row r="40581" spans="8:8">
      <c r="H40581" s="680" t="s">
        <v>6153</v>
      </c>
    </row>
    <row r="40582" spans="8:8">
      <c r="H40582" s="680" t="s">
        <v>6153</v>
      </c>
    </row>
    <row r="40583" spans="8:8">
      <c r="H40583" s="680" t="s">
        <v>6153</v>
      </c>
    </row>
    <row r="40584" spans="8:8">
      <c r="H40584" s="680" t="s">
        <v>6153</v>
      </c>
    </row>
    <row r="40585" spans="8:8">
      <c r="H40585" s="680" t="s">
        <v>6153</v>
      </c>
    </row>
    <row r="40586" spans="8:8">
      <c r="H40586" s="680" t="s">
        <v>6153</v>
      </c>
    </row>
    <row r="40587" spans="8:8">
      <c r="H40587" s="680" t="s">
        <v>6153</v>
      </c>
    </row>
    <row r="40588" spans="8:8">
      <c r="H40588" s="680" t="s">
        <v>6153</v>
      </c>
    </row>
    <row r="40589" spans="8:8">
      <c r="H40589" s="680" t="s">
        <v>6153</v>
      </c>
    </row>
    <row r="40590" spans="8:8">
      <c r="H40590" s="680" t="s">
        <v>6153</v>
      </c>
    </row>
    <row r="40591" spans="8:8">
      <c r="H40591" s="680" t="s">
        <v>6153</v>
      </c>
    </row>
    <row r="40592" spans="8:8">
      <c r="H40592" s="680" t="s">
        <v>6153</v>
      </c>
    </row>
    <row r="40593" spans="8:8">
      <c r="H40593" s="680" t="s">
        <v>6153</v>
      </c>
    </row>
    <row r="40594" spans="8:8">
      <c r="H40594" s="680" t="s">
        <v>6153</v>
      </c>
    </row>
    <row r="40595" spans="8:8">
      <c r="H40595" s="680" t="s">
        <v>6153</v>
      </c>
    </row>
    <row r="40596" spans="8:8">
      <c r="H40596" s="680" t="s">
        <v>6153</v>
      </c>
    </row>
    <row r="40597" spans="8:8">
      <c r="H40597" s="680" t="s">
        <v>6153</v>
      </c>
    </row>
    <row r="40598" spans="8:8">
      <c r="H40598" s="680" t="s">
        <v>6153</v>
      </c>
    </row>
    <row r="40599" spans="8:8">
      <c r="H40599" s="680" t="s">
        <v>6153</v>
      </c>
    </row>
    <row r="40600" spans="8:8">
      <c r="H40600" s="680" t="s">
        <v>6153</v>
      </c>
    </row>
    <row r="40601" spans="8:8">
      <c r="H40601" s="680" t="s">
        <v>6153</v>
      </c>
    </row>
    <row r="40602" spans="8:8">
      <c r="H40602" s="680" t="s">
        <v>6153</v>
      </c>
    </row>
    <row r="40603" spans="8:8">
      <c r="H40603" s="680" t="s">
        <v>6153</v>
      </c>
    </row>
    <row r="40604" spans="8:8">
      <c r="H40604" s="680" t="s">
        <v>6153</v>
      </c>
    </row>
    <row r="40605" spans="8:8">
      <c r="H40605" s="680" t="s">
        <v>6153</v>
      </c>
    </row>
    <row r="40606" spans="8:8">
      <c r="H40606" s="680" t="s">
        <v>6153</v>
      </c>
    </row>
    <row r="40607" spans="8:8">
      <c r="H40607" s="680" t="s">
        <v>6153</v>
      </c>
    </row>
    <row r="40608" spans="8:8">
      <c r="H40608" s="680" t="s">
        <v>6153</v>
      </c>
    </row>
    <row r="40609" spans="8:8">
      <c r="H40609" s="680" t="s">
        <v>6153</v>
      </c>
    </row>
    <row r="40610" spans="8:8">
      <c r="H40610" s="680" t="s">
        <v>6153</v>
      </c>
    </row>
    <row r="40611" spans="8:8">
      <c r="H40611" s="680" t="s">
        <v>6153</v>
      </c>
    </row>
    <row r="40612" spans="8:8">
      <c r="H40612" s="680" t="s">
        <v>6153</v>
      </c>
    </row>
    <row r="40613" spans="8:8">
      <c r="H40613" s="680" t="s">
        <v>6153</v>
      </c>
    </row>
    <row r="40614" spans="8:8">
      <c r="H40614" s="680" t="s">
        <v>6153</v>
      </c>
    </row>
    <row r="40615" spans="8:8">
      <c r="H40615" s="680" t="s">
        <v>6153</v>
      </c>
    </row>
    <row r="40616" spans="8:8">
      <c r="H40616" s="680" t="s">
        <v>6153</v>
      </c>
    </row>
    <row r="40617" spans="8:8">
      <c r="H40617" s="680" t="s">
        <v>6153</v>
      </c>
    </row>
    <row r="40618" spans="8:8">
      <c r="H40618" s="680" t="s">
        <v>6153</v>
      </c>
    </row>
    <row r="40619" spans="8:8">
      <c r="H40619" s="680" t="s">
        <v>6153</v>
      </c>
    </row>
    <row r="40620" spans="8:8">
      <c r="H40620" s="680" t="s">
        <v>6153</v>
      </c>
    </row>
    <row r="40621" spans="8:8">
      <c r="H40621" s="680" t="s">
        <v>6153</v>
      </c>
    </row>
    <row r="40622" spans="8:8">
      <c r="H40622" s="680" t="s">
        <v>6153</v>
      </c>
    </row>
    <row r="40623" spans="8:8">
      <c r="H40623" s="680" t="s">
        <v>6153</v>
      </c>
    </row>
    <row r="40624" spans="8:8">
      <c r="H40624" s="680" t="s">
        <v>6153</v>
      </c>
    </row>
    <row r="40625" spans="8:8">
      <c r="H40625" s="680" t="s">
        <v>6153</v>
      </c>
    </row>
    <row r="40626" spans="8:8">
      <c r="H40626" s="680" t="s">
        <v>6153</v>
      </c>
    </row>
    <row r="40627" spans="8:8">
      <c r="H40627" s="680" t="s">
        <v>6153</v>
      </c>
    </row>
    <row r="40628" spans="8:8">
      <c r="H40628" s="680" t="s">
        <v>6153</v>
      </c>
    </row>
    <row r="40629" spans="8:8">
      <c r="H40629" s="680" t="s">
        <v>6153</v>
      </c>
    </row>
    <row r="40630" spans="8:8">
      <c r="H40630" s="680" t="s">
        <v>6153</v>
      </c>
    </row>
    <row r="40631" spans="8:8">
      <c r="H40631" s="680" t="s">
        <v>6153</v>
      </c>
    </row>
    <row r="40632" spans="8:8">
      <c r="H40632" s="680" t="s">
        <v>6153</v>
      </c>
    </row>
    <row r="40633" spans="8:8">
      <c r="H40633" s="680" t="s">
        <v>6153</v>
      </c>
    </row>
    <row r="40634" spans="8:8">
      <c r="H40634" s="680" t="s">
        <v>6153</v>
      </c>
    </row>
    <row r="40635" spans="8:8">
      <c r="H40635" s="680" t="s">
        <v>6153</v>
      </c>
    </row>
    <row r="40636" spans="8:8">
      <c r="H40636" s="680" t="s">
        <v>6153</v>
      </c>
    </row>
    <row r="40637" spans="8:8">
      <c r="H40637" s="680" t="s">
        <v>6153</v>
      </c>
    </row>
    <row r="40638" spans="8:8">
      <c r="H40638" s="680" t="s">
        <v>6153</v>
      </c>
    </row>
    <row r="40639" spans="8:8">
      <c r="H40639" s="680" t="s">
        <v>6153</v>
      </c>
    </row>
    <row r="40640" spans="8:8">
      <c r="H40640" s="680" t="s">
        <v>6153</v>
      </c>
    </row>
    <row r="40641" spans="8:8">
      <c r="H40641" s="680" t="s">
        <v>6153</v>
      </c>
    </row>
    <row r="40642" spans="8:8">
      <c r="H40642" s="680" t="s">
        <v>6153</v>
      </c>
    </row>
    <row r="40643" spans="8:8">
      <c r="H40643" s="680" t="s">
        <v>6153</v>
      </c>
    </row>
    <row r="40644" spans="8:8">
      <c r="H40644" s="680" t="s">
        <v>6153</v>
      </c>
    </row>
    <row r="40645" spans="8:8">
      <c r="H40645" s="680" t="s">
        <v>6153</v>
      </c>
    </row>
    <row r="40646" spans="8:8">
      <c r="H40646" s="680" t="s">
        <v>6153</v>
      </c>
    </row>
    <row r="40647" spans="8:8">
      <c r="H40647" s="680" t="s">
        <v>6153</v>
      </c>
    </row>
    <row r="40648" spans="8:8">
      <c r="H40648" s="680" t="s">
        <v>6153</v>
      </c>
    </row>
    <row r="40649" spans="8:8">
      <c r="H40649" s="680" t="s">
        <v>6153</v>
      </c>
    </row>
    <row r="40650" spans="8:8">
      <c r="H40650" s="680" t="s">
        <v>6153</v>
      </c>
    </row>
    <row r="40651" spans="8:8">
      <c r="H40651" s="680" t="s">
        <v>6153</v>
      </c>
    </row>
    <row r="40652" spans="8:8">
      <c r="H40652" s="680" t="s">
        <v>6153</v>
      </c>
    </row>
    <row r="40653" spans="8:8">
      <c r="H40653" s="680" t="s">
        <v>6153</v>
      </c>
    </row>
    <row r="40654" spans="8:8">
      <c r="H40654" s="680" t="s">
        <v>6153</v>
      </c>
    </row>
    <row r="40655" spans="8:8">
      <c r="H40655" s="680" t="s">
        <v>6153</v>
      </c>
    </row>
    <row r="40656" spans="8:8">
      <c r="H40656" s="680" t="s">
        <v>6153</v>
      </c>
    </row>
    <row r="40657" spans="8:8">
      <c r="H40657" s="680" t="s">
        <v>6153</v>
      </c>
    </row>
    <row r="40658" spans="8:8">
      <c r="H40658" s="680" t="s">
        <v>6153</v>
      </c>
    </row>
    <row r="40659" spans="8:8">
      <c r="H40659" s="680" t="s">
        <v>6153</v>
      </c>
    </row>
    <row r="40660" spans="8:8">
      <c r="H40660" s="680" t="s">
        <v>6153</v>
      </c>
    </row>
    <row r="40661" spans="8:8">
      <c r="H40661" s="680" t="s">
        <v>6153</v>
      </c>
    </row>
    <row r="40662" spans="8:8">
      <c r="H40662" s="680" t="s">
        <v>6153</v>
      </c>
    </row>
    <row r="40663" spans="8:8">
      <c r="H40663" s="680" t="s">
        <v>6153</v>
      </c>
    </row>
    <row r="40664" spans="8:8">
      <c r="H40664" s="680" t="s">
        <v>6153</v>
      </c>
    </row>
    <row r="40665" spans="8:8">
      <c r="H40665" s="680" t="s">
        <v>6153</v>
      </c>
    </row>
    <row r="40666" spans="8:8">
      <c r="H40666" s="680" t="s">
        <v>6153</v>
      </c>
    </row>
    <row r="40667" spans="8:8">
      <c r="H40667" s="680" t="s">
        <v>6153</v>
      </c>
    </row>
    <row r="40668" spans="8:8">
      <c r="H40668" s="680" t="s">
        <v>6153</v>
      </c>
    </row>
    <row r="40669" spans="8:8">
      <c r="H40669" s="680" t="s">
        <v>6153</v>
      </c>
    </row>
    <row r="40670" spans="8:8">
      <c r="H40670" s="680" t="s">
        <v>6153</v>
      </c>
    </row>
    <row r="40671" spans="8:8">
      <c r="H40671" s="680" t="s">
        <v>6153</v>
      </c>
    </row>
    <row r="40672" spans="8:8">
      <c r="H40672" s="680" t="s">
        <v>6153</v>
      </c>
    </row>
    <row r="40673" spans="8:8">
      <c r="H40673" s="680" t="s">
        <v>6153</v>
      </c>
    </row>
    <row r="40674" spans="8:8">
      <c r="H40674" s="680" t="s">
        <v>6153</v>
      </c>
    </row>
    <row r="40675" spans="8:8">
      <c r="H40675" s="680" t="s">
        <v>6153</v>
      </c>
    </row>
    <row r="40676" spans="8:8">
      <c r="H40676" s="680" t="s">
        <v>6153</v>
      </c>
    </row>
    <row r="40677" spans="8:8">
      <c r="H40677" s="680" t="s">
        <v>6153</v>
      </c>
    </row>
    <row r="40678" spans="8:8">
      <c r="H40678" s="680" t="s">
        <v>6153</v>
      </c>
    </row>
    <row r="40679" spans="8:8">
      <c r="H40679" s="680" t="s">
        <v>6153</v>
      </c>
    </row>
    <row r="40680" spans="8:8">
      <c r="H40680" s="680" t="s">
        <v>6153</v>
      </c>
    </row>
    <row r="40681" spans="8:8">
      <c r="H40681" s="680" t="s">
        <v>6153</v>
      </c>
    </row>
    <row r="40682" spans="8:8">
      <c r="H40682" s="680" t="s">
        <v>6153</v>
      </c>
    </row>
    <row r="40683" spans="8:8">
      <c r="H40683" s="680" t="s">
        <v>6153</v>
      </c>
    </row>
    <row r="40684" spans="8:8">
      <c r="H40684" s="680" t="s">
        <v>6153</v>
      </c>
    </row>
    <row r="40685" spans="8:8">
      <c r="H40685" s="680" t="s">
        <v>6153</v>
      </c>
    </row>
    <row r="40686" spans="8:8">
      <c r="H40686" s="680" t="s">
        <v>6153</v>
      </c>
    </row>
    <row r="40687" spans="8:8">
      <c r="H40687" s="680" t="s">
        <v>6153</v>
      </c>
    </row>
    <row r="40688" spans="8:8">
      <c r="H40688" s="680" t="s">
        <v>6153</v>
      </c>
    </row>
    <row r="40689" spans="8:8">
      <c r="H40689" s="680" t="s">
        <v>6153</v>
      </c>
    </row>
    <row r="40690" spans="8:8">
      <c r="H40690" s="680" t="s">
        <v>6153</v>
      </c>
    </row>
    <row r="40691" spans="8:8">
      <c r="H40691" s="680" t="s">
        <v>6153</v>
      </c>
    </row>
    <row r="40692" spans="8:8">
      <c r="H40692" s="680" t="s">
        <v>6153</v>
      </c>
    </row>
    <row r="40693" spans="8:8">
      <c r="H40693" s="680" t="s">
        <v>6153</v>
      </c>
    </row>
    <row r="40694" spans="8:8">
      <c r="H40694" s="680" t="s">
        <v>6153</v>
      </c>
    </row>
    <row r="40695" spans="8:8">
      <c r="H40695" s="680" t="s">
        <v>6153</v>
      </c>
    </row>
    <row r="40696" spans="8:8">
      <c r="H40696" s="680" t="s">
        <v>6153</v>
      </c>
    </row>
    <row r="40697" spans="8:8">
      <c r="H40697" s="680" t="s">
        <v>6153</v>
      </c>
    </row>
    <row r="40698" spans="8:8">
      <c r="H40698" s="680" t="s">
        <v>6153</v>
      </c>
    </row>
    <row r="40699" spans="8:8">
      <c r="H40699" s="680" t="s">
        <v>6153</v>
      </c>
    </row>
    <row r="40700" spans="8:8">
      <c r="H40700" s="680" t="s">
        <v>6153</v>
      </c>
    </row>
    <row r="40701" spans="8:8">
      <c r="H40701" s="680" t="s">
        <v>6153</v>
      </c>
    </row>
    <row r="40702" spans="8:8">
      <c r="H40702" s="680" t="s">
        <v>6153</v>
      </c>
    </row>
    <row r="40703" spans="8:8">
      <c r="H40703" s="680" t="s">
        <v>6153</v>
      </c>
    </row>
    <row r="40704" spans="8:8">
      <c r="H40704" s="680" t="s">
        <v>6153</v>
      </c>
    </row>
    <row r="40705" spans="8:8">
      <c r="H40705" s="680" t="s">
        <v>6153</v>
      </c>
    </row>
    <row r="40706" spans="8:8">
      <c r="H40706" s="680" t="s">
        <v>6153</v>
      </c>
    </row>
    <row r="40707" spans="8:8">
      <c r="H40707" s="680" t="s">
        <v>6153</v>
      </c>
    </row>
    <row r="40708" spans="8:8">
      <c r="H40708" s="680" t="s">
        <v>6153</v>
      </c>
    </row>
    <row r="40709" spans="8:8">
      <c r="H40709" s="680" t="s">
        <v>6153</v>
      </c>
    </row>
    <row r="40710" spans="8:8">
      <c r="H40710" s="680" t="s">
        <v>6153</v>
      </c>
    </row>
    <row r="40711" spans="8:8">
      <c r="H40711" s="680" t="s">
        <v>6153</v>
      </c>
    </row>
    <row r="40712" spans="8:8">
      <c r="H40712" s="680" t="s">
        <v>6153</v>
      </c>
    </row>
    <row r="40713" spans="8:8">
      <c r="H40713" s="680" t="s">
        <v>6153</v>
      </c>
    </row>
    <row r="40714" spans="8:8">
      <c r="H40714" s="680" t="s">
        <v>6153</v>
      </c>
    </row>
    <row r="40715" spans="8:8">
      <c r="H40715" s="680" t="s">
        <v>6153</v>
      </c>
    </row>
    <row r="40716" spans="8:8">
      <c r="H40716" s="680" t="s">
        <v>6153</v>
      </c>
    </row>
    <row r="40717" spans="8:8">
      <c r="H40717" s="680" t="s">
        <v>6153</v>
      </c>
    </row>
    <row r="40718" spans="8:8">
      <c r="H40718" s="680" t="s">
        <v>6153</v>
      </c>
    </row>
    <row r="40719" spans="8:8">
      <c r="H40719" s="680" t="s">
        <v>6153</v>
      </c>
    </row>
    <row r="40720" spans="8:8">
      <c r="H40720" s="680" t="s">
        <v>6153</v>
      </c>
    </row>
    <row r="40721" spans="8:8">
      <c r="H40721" s="680" t="s">
        <v>6153</v>
      </c>
    </row>
    <row r="40722" spans="8:8">
      <c r="H40722" s="680" t="s">
        <v>6153</v>
      </c>
    </row>
    <row r="40723" spans="8:8">
      <c r="H40723" s="680" t="s">
        <v>6153</v>
      </c>
    </row>
    <row r="40724" spans="8:8">
      <c r="H40724" s="680" t="s">
        <v>6153</v>
      </c>
    </row>
    <row r="40725" spans="8:8">
      <c r="H40725" s="680" t="s">
        <v>6153</v>
      </c>
    </row>
    <row r="40726" spans="8:8">
      <c r="H40726" s="680" t="s">
        <v>6153</v>
      </c>
    </row>
    <row r="40727" spans="8:8">
      <c r="H40727" s="680" t="s">
        <v>6153</v>
      </c>
    </row>
    <row r="40728" spans="8:8">
      <c r="H40728" s="680" t="s">
        <v>6153</v>
      </c>
    </row>
    <row r="40729" spans="8:8">
      <c r="H40729" s="680" t="s">
        <v>6153</v>
      </c>
    </row>
    <row r="40730" spans="8:8">
      <c r="H40730" s="680" t="s">
        <v>6153</v>
      </c>
    </row>
    <row r="40731" spans="8:8">
      <c r="H40731" s="680" t="s">
        <v>6153</v>
      </c>
    </row>
    <row r="40732" spans="8:8">
      <c r="H40732" s="680" t="s">
        <v>6153</v>
      </c>
    </row>
    <row r="40733" spans="8:8">
      <c r="H40733" s="680" t="s">
        <v>6153</v>
      </c>
    </row>
    <row r="40734" spans="8:8">
      <c r="H40734" s="680" t="s">
        <v>6153</v>
      </c>
    </row>
    <row r="40735" spans="8:8">
      <c r="H40735" s="680" t="s">
        <v>6153</v>
      </c>
    </row>
    <row r="40736" spans="8:8">
      <c r="H40736" s="680" t="s">
        <v>6153</v>
      </c>
    </row>
    <row r="40737" spans="8:8">
      <c r="H40737" s="680" t="s">
        <v>6153</v>
      </c>
    </row>
    <row r="40738" spans="8:8">
      <c r="H40738" s="680" t="s">
        <v>6153</v>
      </c>
    </row>
    <row r="40739" spans="8:8">
      <c r="H40739" s="680" t="s">
        <v>6153</v>
      </c>
    </row>
    <row r="40740" spans="8:8">
      <c r="H40740" s="680" t="s">
        <v>6153</v>
      </c>
    </row>
    <row r="40741" spans="8:8">
      <c r="H40741" s="680" t="s">
        <v>6153</v>
      </c>
    </row>
    <row r="40742" spans="8:8">
      <c r="H40742" s="680" t="s">
        <v>6153</v>
      </c>
    </row>
    <row r="40743" spans="8:8">
      <c r="H40743" s="680" t="s">
        <v>6153</v>
      </c>
    </row>
    <row r="40744" spans="8:8">
      <c r="H40744" s="680" t="s">
        <v>6153</v>
      </c>
    </row>
    <row r="40745" spans="8:8">
      <c r="H40745" s="680" t="s">
        <v>6153</v>
      </c>
    </row>
    <row r="40746" spans="8:8">
      <c r="H40746" s="680" t="s">
        <v>6153</v>
      </c>
    </row>
    <row r="40747" spans="8:8">
      <c r="H40747" s="680" t="s">
        <v>6153</v>
      </c>
    </row>
    <row r="40748" spans="8:8">
      <c r="H40748" s="680" t="s">
        <v>6153</v>
      </c>
    </row>
    <row r="40749" spans="8:8">
      <c r="H40749" s="680" t="s">
        <v>6153</v>
      </c>
    </row>
    <row r="40750" spans="8:8">
      <c r="H40750" s="680" t="s">
        <v>6153</v>
      </c>
    </row>
    <row r="40751" spans="8:8">
      <c r="H40751" s="680" t="s">
        <v>6153</v>
      </c>
    </row>
    <row r="40752" spans="8:8">
      <c r="H40752" s="680" t="s">
        <v>6153</v>
      </c>
    </row>
    <row r="40753" spans="8:8">
      <c r="H40753" s="680" t="s">
        <v>6153</v>
      </c>
    </row>
    <row r="40754" spans="8:8">
      <c r="H40754" s="680" t="s">
        <v>6153</v>
      </c>
    </row>
    <row r="40755" spans="8:8">
      <c r="H40755" s="680" t="s">
        <v>6153</v>
      </c>
    </row>
    <row r="40756" spans="8:8">
      <c r="H40756" s="680" t="s">
        <v>6153</v>
      </c>
    </row>
    <row r="40757" spans="8:8">
      <c r="H40757" s="680" t="s">
        <v>6153</v>
      </c>
    </row>
    <row r="40758" spans="8:8">
      <c r="H40758" s="680" t="s">
        <v>6153</v>
      </c>
    </row>
    <row r="40759" spans="8:8">
      <c r="H40759" s="680" t="s">
        <v>6153</v>
      </c>
    </row>
    <row r="40760" spans="8:8">
      <c r="H40760" s="680" t="s">
        <v>6153</v>
      </c>
    </row>
    <row r="40761" spans="8:8">
      <c r="H40761" s="680" t="s">
        <v>6153</v>
      </c>
    </row>
    <row r="40762" spans="8:8">
      <c r="H40762" s="680" t="s">
        <v>6153</v>
      </c>
    </row>
    <row r="40763" spans="8:8">
      <c r="H40763" s="680" t="s">
        <v>6153</v>
      </c>
    </row>
    <row r="40764" spans="8:8">
      <c r="H40764" s="680" t="s">
        <v>6153</v>
      </c>
    </row>
    <row r="40765" spans="8:8">
      <c r="H40765" s="680" t="s">
        <v>6153</v>
      </c>
    </row>
    <row r="40766" spans="8:8">
      <c r="H40766" s="680" t="s">
        <v>6153</v>
      </c>
    </row>
    <row r="40767" spans="8:8">
      <c r="H40767" s="680" t="s">
        <v>6153</v>
      </c>
    </row>
    <row r="40768" spans="8:8">
      <c r="H40768" s="680" t="s">
        <v>6153</v>
      </c>
    </row>
    <row r="40769" spans="8:8">
      <c r="H40769" s="680" t="s">
        <v>6153</v>
      </c>
    </row>
    <row r="40770" spans="8:8">
      <c r="H40770" s="680" t="s">
        <v>6153</v>
      </c>
    </row>
    <row r="40771" spans="8:8">
      <c r="H40771" s="680" t="s">
        <v>6153</v>
      </c>
    </row>
    <row r="40772" spans="8:8">
      <c r="H40772" s="680" t="s">
        <v>6153</v>
      </c>
    </row>
    <row r="40773" spans="8:8">
      <c r="H40773" s="680" t="s">
        <v>6153</v>
      </c>
    </row>
    <row r="40774" spans="8:8">
      <c r="H40774" s="680" t="s">
        <v>6153</v>
      </c>
    </row>
    <row r="40775" spans="8:8">
      <c r="H40775" s="680" t="s">
        <v>6153</v>
      </c>
    </row>
    <row r="40776" spans="8:8">
      <c r="H40776" s="680" t="s">
        <v>6153</v>
      </c>
    </row>
    <row r="40777" spans="8:8">
      <c r="H40777" s="680" t="s">
        <v>6153</v>
      </c>
    </row>
    <row r="40778" spans="8:8">
      <c r="H40778" s="680" t="s">
        <v>6153</v>
      </c>
    </row>
    <row r="40779" spans="8:8">
      <c r="H40779" s="680" t="s">
        <v>6153</v>
      </c>
    </row>
    <row r="40780" spans="8:8">
      <c r="H40780" s="680" t="s">
        <v>6153</v>
      </c>
    </row>
    <row r="40781" spans="8:8">
      <c r="H40781" s="680" t="s">
        <v>6153</v>
      </c>
    </row>
    <row r="40782" spans="8:8">
      <c r="H40782" s="680" t="s">
        <v>6153</v>
      </c>
    </row>
    <row r="40783" spans="8:8">
      <c r="H40783" s="680" t="s">
        <v>6153</v>
      </c>
    </row>
    <row r="40784" spans="8:8">
      <c r="H40784" s="680" t="s">
        <v>6153</v>
      </c>
    </row>
    <row r="40785" spans="8:8">
      <c r="H40785" s="680" t="s">
        <v>6153</v>
      </c>
    </row>
    <row r="40786" spans="8:8">
      <c r="H40786" s="680" t="s">
        <v>6153</v>
      </c>
    </row>
    <row r="40787" spans="8:8">
      <c r="H40787" s="680" t="s">
        <v>6153</v>
      </c>
    </row>
    <row r="40788" spans="8:8">
      <c r="H40788" s="680" t="s">
        <v>6153</v>
      </c>
    </row>
    <row r="40789" spans="8:8">
      <c r="H40789" s="680" t="s">
        <v>6153</v>
      </c>
    </row>
    <row r="40790" spans="8:8">
      <c r="H40790" s="680" t="s">
        <v>6153</v>
      </c>
    </row>
    <row r="40791" spans="8:8">
      <c r="H40791" s="680" t="s">
        <v>6153</v>
      </c>
    </row>
    <row r="40792" spans="8:8">
      <c r="H40792" s="680" t="s">
        <v>6153</v>
      </c>
    </row>
    <row r="40793" spans="8:8">
      <c r="H40793" s="680" t="s">
        <v>6153</v>
      </c>
    </row>
    <row r="40794" spans="8:8">
      <c r="H40794" s="680" t="s">
        <v>6153</v>
      </c>
    </row>
    <row r="40795" spans="8:8">
      <c r="H40795" s="680" t="s">
        <v>6153</v>
      </c>
    </row>
    <row r="40796" spans="8:8">
      <c r="H40796" s="680" t="s">
        <v>6153</v>
      </c>
    </row>
    <row r="40797" spans="8:8">
      <c r="H40797" s="680" t="s">
        <v>6153</v>
      </c>
    </row>
    <row r="40798" spans="8:8">
      <c r="H40798" s="680" t="s">
        <v>6153</v>
      </c>
    </row>
    <row r="40799" spans="8:8">
      <c r="H40799" s="680" t="s">
        <v>6153</v>
      </c>
    </row>
    <row r="40800" spans="8:8">
      <c r="H40800" s="680" t="s">
        <v>6153</v>
      </c>
    </row>
    <row r="40801" spans="8:8">
      <c r="H40801" s="680" t="s">
        <v>6153</v>
      </c>
    </row>
    <row r="40802" spans="8:8">
      <c r="H40802" s="680" t="s">
        <v>6153</v>
      </c>
    </row>
    <row r="40803" spans="8:8">
      <c r="H40803" s="680" t="s">
        <v>6153</v>
      </c>
    </row>
    <row r="40804" spans="8:8">
      <c r="H40804" s="680" t="s">
        <v>6153</v>
      </c>
    </row>
    <row r="40805" spans="8:8">
      <c r="H40805" s="680" t="s">
        <v>6153</v>
      </c>
    </row>
    <row r="40806" spans="8:8">
      <c r="H40806" s="680" t="s">
        <v>6153</v>
      </c>
    </row>
    <row r="40807" spans="8:8">
      <c r="H40807" s="680" t="s">
        <v>6153</v>
      </c>
    </row>
    <row r="40808" spans="8:8">
      <c r="H40808" s="680" t="s">
        <v>6153</v>
      </c>
    </row>
    <row r="40809" spans="8:8">
      <c r="H40809" s="680" t="s">
        <v>6153</v>
      </c>
    </row>
    <row r="40810" spans="8:8">
      <c r="H40810" s="680" t="s">
        <v>6153</v>
      </c>
    </row>
    <row r="40811" spans="8:8">
      <c r="H40811" s="680" t="s">
        <v>6153</v>
      </c>
    </row>
    <row r="40812" spans="8:8">
      <c r="H40812" s="680" t="s">
        <v>6153</v>
      </c>
    </row>
    <row r="40813" spans="8:8">
      <c r="H40813" s="680" t="s">
        <v>6153</v>
      </c>
    </row>
    <row r="40814" spans="8:8">
      <c r="H40814" s="680" t="s">
        <v>6153</v>
      </c>
    </row>
    <row r="40815" spans="8:8">
      <c r="H40815" s="680" t="s">
        <v>6153</v>
      </c>
    </row>
    <row r="40816" spans="8:8">
      <c r="H40816" s="680" t="s">
        <v>6153</v>
      </c>
    </row>
    <row r="40817" spans="8:8">
      <c r="H40817" s="680" t="s">
        <v>6153</v>
      </c>
    </row>
    <row r="40818" spans="8:8">
      <c r="H40818" s="680" t="s">
        <v>6153</v>
      </c>
    </row>
    <row r="40819" spans="8:8">
      <c r="H40819" s="680" t="s">
        <v>6153</v>
      </c>
    </row>
    <row r="40820" spans="8:8">
      <c r="H40820" s="680" t="s">
        <v>6153</v>
      </c>
    </row>
    <row r="40821" spans="8:8">
      <c r="H40821" s="680" t="s">
        <v>6153</v>
      </c>
    </row>
    <row r="40822" spans="8:8">
      <c r="H40822" s="680" t="s">
        <v>6153</v>
      </c>
    </row>
    <row r="40823" spans="8:8">
      <c r="H40823" s="680" t="s">
        <v>6153</v>
      </c>
    </row>
    <row r="40824" spans="8:8">
      <c r="H40824" s="680" t="s">
        <v>6153</v>
      </c>
    </row>
    <row r="40825" spans="8:8">
      <c r="H40825" s="680" t="s">
        <v>6153</v>
      </c>
    </row>
    <row r="40826" spans="8:8">
      <c r="H40826" s="680" t="s">
        <v>6153</v>
      </c>
    </row>
    <row r="40827" spans="8:8">
      <c r="H40827" s="680" t="s">
        <v>6153</v>
      </c>
    </row>
    <row r="40828" spans="8:8">
      <c r="H40828" s="680" t="s">
        <v>6153</v>
      </c>
    </row>
    <row r="40829" spans="8:8">
      <c r="H40829" s="680" t="s">
        <v>6153</v>
      </c>
    </row>
    <row r="40830" spans="8:8">
      <c r="H40830" s="680" t="s">
        <v>6153</v>
      </c>
    </row>
    <row r="40831" spans="8:8">
      <c r="H40831" s="680" t="s">
        <v>6153</v>
      </c>
    </row>
    <row r="40832" spans="8:8">
      <c r="H40832" s="680" t="s">
        <v>6153</v>
      </c>
    </row>
    <row r="40833" spans="8:8">
      <c r="H40833" s="680" t="s">
        <v>6153</v>
      </c>
    </row>
    <row r="40834" spans="8:8">
      <c r="H40834" s="680" t="s">
        <v>6153</v>
      </c>
    </row>
    <row r="40835" spans="8:8">
      <c r="H40835" s="680" t="s">
        <v>6153</v>
      </c>
    </row>
    <row r="40836" spans="8:8">
      <c r="H40836" s="680" t="s">
        <v>6153</v>
      </c>
    </row>
    <row r="40837" spans="8:8">
      <c r="H40837" s="680" t="s">
        <v>6153</v>
      </c>
    </row>
    <row r="40838" spans="8:8">
      <c r="H40838" s="680" t="s">
        <v>6153</v>
      </c>
    </row>
    <row r="40839" spans="8:8">
      <c r="H40839" s="680" t="s">
        <v>6153</v>
      </c>
    </row>
    <row r="40840" spans="8:8">
      <c r="H40840" s="680" t="s">
        <v>6153</v>
      </c>
    </row>
    <row r="40841" spans="8:8">
      <c r="H40841" s="680" t="s">
        <v>6153</v>
      </c>
    </row>
    <row r="40842" spans="8:8">
      <c r="H40842" s="680" t="s">
        <v>6153</v>
      </c>
    </row>
    <row r="40843" spans="8:8">
      <c r="H40843" s="680" t="s">
        <v>6153</v>
      </c>
    </row>
    <row r="40844" spans="8:8">
      <c r="H40844" s="680" t="s">
        <v>6153</v>
      </c>
    </row>
    <row r="40845" spans="8:8">
      <c r="H40845" s="680" t="s">
        <v>6153</v>
      </c>
    </row>
    <row r="40846" spans="8:8">
      <c r="H40846" s="680" t="s">
        <v>6153</v>
      </c>
    </row>
    <row r="40847" spans="8:8">
      <c r="H40847" s="680" t="s">
        <v>6153</v>
      </c>
    </row>
    <row r="40848" spans="8:8">
      <c r="H40848" s="680" t="s">
        <v>6153</v>
      </c>
    </row>
    <row r="40849" spans="8:8">
      <c r="H40849" s="680" t="s">
        <v>6153</v>
      </c>
    </row>
    <row r="40850" spans="8:8">
      <c r="H40850" s="680" t="s">
        <v>6153</v>
      </c>
    </row>
    <row r="40851" spans="8:8">
      <c r="H40851" s="680" t="s">
        <v>6153</v>
      </c>
    </row>
    <row r="40852" spans="8:8">
      <c r="H40852" s="680" t="s">
        <v>6153</v>
      </c>
    </row>
    <row r="40853" spans="8:8">
      <c r="H40853" s="680" t="s">
        <v>6153</v>
      </c>
    </row>
    <row r="40854" spans="8:8">
      <c r="H40854" s="680" t="s">
        <v>6153</v>
      </c>
    </row>
    <row r="40855" spans="8:8">
      <c r="H40855" s="680" t="s">
        <v>6153</v>
      </c>
    </row>
    <row r="40856" spans="8:8">
      <c r="H40856" s="680" t="s">
        <v>6153</v>
      </c>
    </row>
    <row r="40857" spans="8:8">
      <c r="H40857" s="680" t="s">
        <v>6153</v>
      </c>
    </row>
    <row r="40858" spans="8:8">
      <c r="H40858" s="680" t="s">
        <v>6153</v>
      </c>
    </row>
    <row r="40859" spans="8:8">
      <c r="H40859" s="680" t="s">
        <v>6153</v>
      </c>
    </row>
    <row r="40860" spans="8:8">
      <c r="H40860" s="680" t="s">
        <v>6153</v>
      </c>
    </row>
    <row r="40861" spans="8:8">
      <c r="H40861" s="680" t="s">
        <v>6153</v>
      </c>
    </row>
    <row r="40862" spans="8:8">
      <c r="H40862" s="680" t="s">
        <v>6153</v>
      </c>
    </row>
    <row r="40863" spans="8:8">
      <c r="H40863" s="680" t="s">
        <v>6153</v>
      </c>
    </row>
    <row r="40864" spans="8:8">
      <c r="H40864" s="680" t="s">
        <v>6153</v>
      </c>
    </row>
    <row r="40865" spans="8:8">
      <c r="H40865" s="680" t="s">
        <v>6153</v>
      </c>
    </row>
    <row r="40866" spans="8:8">
      <c r="H40866" s="680" t="s">
        <v>6153</v>
      </c>
    </row>
    <row r="40867" spans="8:8">
      <c r="H40867" s="680" t="s">
        <v>6153</v>
      </c>
    </row>
    <row r="40868" spans="8:8">
      <c r="H40868" s="680" t="s">
        <v>6153</v>
      </c>
    </row>
    <row r="40869" spans="8:8">
      <c r="H40869" s="680" t="s">
        <v>6153</v>
      </c>
    </row>
    <row r="40870" spans="8:8">
      <c r="H40870" s="680" t="s">
        <v>6153</v>
      </c>
    </row>
    <row r="40871" spans="8:8">
      <c r="H40871" s="680" t="s">
        <v>6153</v>
      </c>
    </row>
    <row r="40872" spans="8:8">
      <c r="H40872" s="680" t="s">
        <v>6153</v>
      </c>
    </row>
    <row r="40873" spans="8:8">
      <c r="H40873" s="680" t="s">
        <v>6153</v>
      </c>
    </row>
    <row r="40874" spans="8:8">
      <c r="H40874" s="680" t="s">
        <v>6153</v>
      </c>
    </row>
    <row r="40875" spans="8:8">
      <c r="H40875" s="680" t="s">
        <v>6153</v>
      </c>
    </row>
    <row r="40876" spans="8:8">
      <c r="H40876" s="680" t="s">
        <v>6153</v>
      </c>
    </row>
    <row r="40877" spans="8:8">
      <c r="H40877" s="680" t="s">
        <v>6153</v>
      </c>
    </row>
    <row r="40878" spans="8:8">
      <c r="H40878" s="680" t="s">
        <v>6153</v>
      </c>
    </row>
    <row r="40879" spans="8:8">
      <c r="H40879" s="680" t="s">
        <v>6153</v>
      </c>
    </row>
    <row r="40880" spans="8:8">
      <c r="H40880" s="680" t="s">
        <v>6153</v>
      </c>
    </row>
    <row r="40881" spans="8:8">
      <c r="H40881" s="680" t="s">
        <v>6153</v>
      </c>
    </row>
    <row r="40882" spans="8:8">
      <c r="H40882" s="680" t="s">
        <v>6153</v>
      </c>
    </row>
    <row r="40883" spans="8:8">
      <c r="H40883" s="680" t="s">
        <v>6153</v>
      </c>
    </row>
    <row r="40884" spans="8:8">
      <c r="H40884" s="680" t="s">
        <v>6153</v>
      </c>
    </row>
    <row r="40885" spans="8:8">
      <c r="H40885" s="680" t="s">
        <v>6153</v>
      </c>
    </row>
    <row r="40886" spans="8:8">
      <c r="H40886" s="680" t="s">
        <v>6153</v>
      </c>
    </row>
    <row r="40887" spans="8:8">
      <c r="H40887" s="680" t="s">
        <v>6153</v>
      </c>
    </row>
    <row r="40888" spans="8:8">
      <c r="H40888" s="680" t="s">
        <v>6153</v>
      </c>
    </row>
    <row r="40889" spans="8:8">
      <c r="H40889" s="680" t="s">
        <v>6153</v>
      </c>
    </row>
    <row r="40890" spans="8:8">
      <c r="H40890" s="680" t="s">
        <v>6153</v>
      </c>
    </row>
    <row r="40891" spans="8:8">
      <c r="H40891" s="680" t="s">
        <v>6153</v>
      </c>
    </row>
    <row r="40892" spans="8:8">
      <c r="H40892" s="680" t="s">
        <v>6153</v>
      </c>
    </row>
    <row r="40893" spans="8:8">
      <c r="H40893" s="680" t="s">
        <v>6153</v>
      </c>
    </row>
    <row r="40894" spans="8:8">
      <c r="H40894" s="680" t="s">
        <v>6153</v>
      </c>
    </row>
    <row r="40895" spans="8:8">
      <c r="H40895" s="680" t="s">
        <v>6153</v>
      </c>
    </row>
    <row r="40896" spans="8:8">
      <c r="H40896" s="680" t="s">
        <v>6153</v>
      </c>
    </row>
    <row r="40897" spans="8:8">
      <c r="H40897" s="680" t="s">
        <v>6153</v>
      </c>
    </row>
    <row r="40898" spans="8:8">
      <c r="H40898" s="680" t="s">
        <v>6153</v>
      </c>
    </row>
    <row r="40899" spans="8:8">
      <c r="H40899" s="680" t="s">
        <v>6153</v>
      </c>
    </row>
    <row r="40900" spans="8:8">
      <c r="H40900" s="680" t="s">
        <v>6153</v>
      </c>
    </row>
    <row r="40901" spans="8:8">
      <c r="H40901" s="680" t="s">
        <v>6153</v>
      </c>
    </row>
    <row r="40902" spans="8:8">
      <c r="H40902" s="680" t="s">
        <v>6153</v>
      </c>
    </row>
    <row r="40903" spans="8:8">
      <c r="H40903" s="680" t="s">
        <v>6153</v>
      </c>
    </row>
    <row r="40904" spans="8:8">
      <c r="H40904" s="680" t="s">
        <v>6153</v>
      </c>
    </row>
    <row r="40905" spans="8:8">
      <c r="H40905" s="680" t="s">
        <v>6153</v>
      </c>
    </row>
    <row r="40906" spans="8:8">
      <c r="H40906" s="680" t="s">
        <v>6153</v>
      </c>
    </row>
    <row r="40907" spans="8:8">
      <c r="H40907" s="680" t="s">
        <v>6153</v>
      </c>
    </row>
    <row r="40908" spans="8:8">
      <c r="H40908" s="680" t="s">
        <v>6153</v>
      </c>
    </row>
    <row r="40909" spans="8:8">
      <c r="H40909" s="680" t="s">
        <v>6153</v>
      </c>
    </row>
    <row r="40910" spans="8:8">
      <c r="H40910" s="680" t="s">
        <v>6153</v>
      </c>
    </row>
    <row r="40911" spans="8:8">
      <c r="H40911" s="680" t="s">
        <v>6153</v>
      </c>
    </row>
    <row r="40912" spans="8:8">
      <c r="H40912" s="680" t="s">
        <v>6153</v>
      </c>
    </row>
    <row r="40913" spans="8:8">
      <c r="H40913" s="680" t="s">
        <v>6153</v>
      </c>
    </row>
    <row r="40914" spans="8:8">
      <c r="H40914" s="680" t="s">
        <v>6153</v>
      </c>
    </row>
    <row r="40915" spans="8:8">
      <c r="H40915" s="680" t="s">
        <v>6153</v>
      </c>
    </row>
    <row r="40916" spans="8:8">
      <c r="H40916" s="680" t="s">
        <v>6153</v>
      </c>
    </row>
    <row r="40917" spans="8:8">
      <c r="H40917" s="680" t="s">
        <v>6153</v>
      </c>
    </row>
    <row r="40918" spans="8:8">
      <c r="H40918" s="680" t="s">
        <v>6153</v>
      </c>
    </row>
    <row r="40919" spans="8:8">
      <c r="H40919" s="680" t="s">
        <v>6153</v>
      </c>
    </row>
    <row r="40920" spans="8:8">
      <c r="H40920" s="680" t="s">
        <v>6153</v>
      </c>
    </row>
    <row r="40921" spans="8:8">
      <c r="H40921" s="680" t="s">
        <v>6153</v>
      </c>
    </row>
    <row r="40922" spans="8:8">
      <c r="H40922" s="680" t="s">
        <v>6153</v>
      </c>
    </row>
    <row r="40923" spans="8:8">
      <c r="H40923" s="680" t="s">
        <v>6153</v>
      </c>
    </row>
    <row r="40924" spans="8:8">
      <c r="H40924" s="680" t="s">
        <v>6153</v>
      </c>
    </row>
    <row r="40925" spans="8:8">
      <c r="H40925" s="680" t="s">
        <v>6153</v>
      </c>
    </row>
    <row r="40926" spans="8:8">
      <c r="H40926" s="680" t="s">
        <v>6153</v>
      </c>
    </row>
    <row r="40927" spans="8:8">
      <c r="H40927" s="680" t="s">
        <v>6153</v>
      </c>
    </row>
    <row r="40928" spans="8:8">
      <c r="H40928" s="680" t="s">
        <v>6153</v>
      </c>
    </row>
    <row r="40929" spans="8:8">
      <c r="H40929" s="680" t="s">
        <v>6153</v>
      </c>
    </row>
    <row r="40930" spans="8:8">
      <c r="H40930" s="680" t="s">
        <v>6153</v>
      </c>
    </row>
    <row r="40931" spans="8:8">
      <c r="H40931" s="680" t="s">
        <v>6153</v>
      </c>
    </row>
    <row r="40932" spans="8:8">
      <c r="H40932" s="680" t="s">
        <v>6153</v>
      </c>
    </row>
    <row r="40933" spans="8:8">
      <c r="H40933" s="680" t="s">
        <v>6153</v>
      </c>
    </row>
    <row r="40934" spans="8:8">
      <c r="H40934" s="680" t="s">
        <v>6153</v>
      </c>
    </row>
    <row r="40935" spans="8:8">
      <c r="H40935" s="680" t="s">
        <v>6153</v>
      </c>
    </row>
    <row r="40936" spans="8:8">
      <c r="H40936" s="680" t="s">
        <v>6153</v>
      </c>
    </row>
    <row r="40937" spans="8:8">
      <c r="H40937" s="680" t="s">
        <v>6153</v>
      </c>
    </row>
    <row r="40938" spans="8:8">
      <c r="H40938" s="680" t="s">
        <v>6153</v>
      </c>
    </row>
    <row r="40939" spans="8:8">
      <c r="H40939" s="680" t="s">
        <v>6153</v>
      </c>
    </row>
    <row r="40940" spans="8:8">
      <c r="H40940" s="680" t="s">
        <v>6153</v>
      </c>
    </row>
    <row r="40941" spans="8:8">
      <c r="H40941" s="680" t="s">
        <v>6153</v>
      </c>
    </row>
    <row r="40942" spans="8:8">
      <c r="H40942" s="680" t="s">
        <v>6153</v>
      </c>
    </row>
    <row r="40943" spans="8:8">
      <c r="H40943" s="680" t="s">
        <v>6153</v>
      </c>
    </row>
    <row r="40944" spans="8:8">
      <c r="H40944" s="680" t="s">
        <v>6153</v>
      </c>
    </row>
    <row r="40945" spans="8:8">
      <c r="H40945" s="680" t="s">
        <v>6153</v>
      </c>
    </row>
    <row r="40946" spans="8:8">
      <c r="H40946" s="680" t="s">
        <v>6153</v>
      </c>
    </row>
    <row r="40947" spans="8:8">
      <c r="H40947" s="680" t="s">
        <v>6153</v>
      </c>
    </row>
    <row r="40948" spans="8:8">
      <c r="H40948" s="680" t="s">
        <v>6153</v>
      </c>
    </row>
    <row r="40949" spans="8:8">
      <c r="H40949" s="680" t="s">
        <v>6153</v>
      </c>
    </row>
    <row r="40950" spans="8:8">
      <c r="H40950" s="680" t="s">
        <v>6153</v>
      </c>
    </row>
    <row r="40951" spans="8:8">
      <c r="H40951" s="680" t="s">
        <v>6153</v>
      </c>
    </row>
    <row r="40952" spans="8:8">
      <c r="H40952" s="680" t="s">
        <v>6153</v>
      </c>
    </row>
    <row r="40953" spans="8:8">
      <c r="H40953" s="680" t="s">
        <v>6153</v>
      </c>
    </row>
    <row r="40954" spans="8:8">
      <c r="H40954" s="680" t="s">
        <v>6153</v>
      </c>
    </row>
    <row r="40955" spans="8:8">
      <c r="H40955" s="680" t="s">
        <v>6153</v>
      </c>
    </row>
    <row r="40956" spans="8:8">
      <c r="H40956" s="680" t="s">
        <v>6153</v>
      </c>
    </row>
    <row r="40957" spans="8:8">
      <c r="H40957" s="680" t="s">
        <v>6153</v>
      </c>
    </row>
    <row r="40958" spans="8:8">
      <c r="H40958" s="680" t="s">
        <v>6153</v>
      </c>
    </row>
    <row r="40959" spans="8:8">
      <c r="H40959" s="680" t="s">
        <v>6153</v>
      </c>
    </row>
    <row r="40960" spans="8:8">
      <c r="H40960" s="680" t="s">
        <v>6153</v>
      </c>
    </row>
    <row r="40961" spans="8:8">
      <c r="H40961" s="680" t="s">
        <v>6153</v>
      </c>
    </row>
    <row r="40962" spans="8:8">
      <c r="H40962" s="680" t="s">
        <v>6153</v>
      </c>
    </row>
    <row r="40963" spans="8:8">
      <c r="H40963" s="680" t="s">
        <v>6153</v>
      </c>
    </row>
    <row r="40964" spans="8:8">
      <c r="H40964" s="680" t="s">
        <v>6153</v>
      </c>
    </row>
    <row r="40965" spans="8:8">
      <c r="H40965" s="680" t="s">
        <v>6153</v>
      </c>
    </row>
    <row r="40966" spans="8:8">
      <c r="H40966" s="680" t="s">
        <v>6153</v>
      </c>
    </row>
    <row r="40967" spans="8:8">
      <c r="H40967" s="680" t="s">
        <v>6153</v>
      </c>
    </row>
    <row r="40968" spans="8:8">
      <c r="H40968" s="680" t="s">
        <v>6153</v>
      </c>
    </row>
    <row r="40969" spans="8:8">
      <c r="H40969" s="680" t="s">
        <v>6153</v>
      </c>
    </row>
    <row r="40970" spans="8:8">
      <c r="H40970" s="680" t="s">
        <v>6153</v>
      </c>
    </row>
    <row r="40971" spans="8:8">
      <c r="H40971" s="680" t="s">
        <v>6153</v>
      </c>
    </row>
    <row r="40972" spans="8:8">
      <c r="H40972" s="680" t="s">
        <v>6153</v>
      </c>
    </row>
    <row r="40973" spans="8:8">
      <c r="H40973" s="680" t="s">
        <v>6153</v>
      </c>
    </row>
    <row r="40974" spans="8:8">
      <c r="H40974" s="680" t="s">
        <v>6153</v>
      </c>
    </row>
    <row r="40975" spans="8:8">
      <c r="H40975" s="680" t="s">
        <v>6153</v>
      </c>
    </row>
    <row r="40976" spans="8:8">
      <c r="H40976" s="680" t="s">
        <v>6153</v>
      </c>
    </row>
    <row r="40977" spans="8:8">
      <c r="H40977" s="680" t="s">
        <v>6153</v>
      </c>
    </row>
    <row r="40978" spans="8:8">
      <c r="H40978" s="680" t="s">
        <v>6153</v>
      </c>
    </row>
    <row r="40979" spans="8:8">
      <c r="H40979" s="680" t="s">
        <v>6153</v>
      </c>
    </row>
    <row r="40980" spans="8:8">
      <c r="H40980" s="680" t="s">
        <v>6153</v>
      </c>
    </row>
    <row r="40981" spans="8:8">
      <c r="H40981" s="680" t="s">
        <v>6153</v>
      </c>
    </row>
    <row r="40982" spans="8:8">
      <c r="H40982" s="680" t="s">
        <v>6153</v>
      </c>
    </row>
    <row r="40983" spans="8:8">
      <c r="H40983" s="680" t="s">
        <v>6153</v>
      </c>
    </row>
    <row r="40984" spans="8:8">
      <c r="H40984" s="680" t="s">
        <v>6153</v>
      </c>
    </row>
    <row r="40985" spans="8:8">
      <c r="H40985" s="680" t="s">
        <v>6153</v>
      </c>
    </row>
    <row r="40986" spans="8:8">
      <c r="H40986" s="680" t="s">
        <v>6153</v>
      </c>
    </row>
    <row r="40987" spans="8:8">
      <c r="H40987" s="680" t="s">
        <v>6153</v>
      </c>
    </row>
    <row r="40988" spans="8:8">
      <c r="H40988" s="680" t="s">
        <v>6153</v>
      </c>
    </row>
    <row r="40989" spans="8:8">
      <c r="H40989" s="680" t="s">
        <v>6153</v>
      </c>
    </row>
    <row r="40990" spans="8:8">
      <c r="H40990" s="680" t="s">
        <v>6153</v>
      </c>
    </row>
    <row r="40991" spans="8:8">
      <c r="H40991" s="680" t="s">
        <v>6153</v>
      </c>
    </row>
    <row r="40992" spans="8:8">
      <c r="H40992" s="680" t="s">
        <v>6153</v>
      </c>
    </row>
    <row r="40993" spans="8:8">
      <c r="H40993" s="680" t="s">
        <v>6153</v>
      </c>
    </row>
    <row r="40994" spans="8:8">
      <c r="H40994" s="680" t="s">
        <v>6153</v>
      </c>
    </row>
    <row r="40995" spans="8:8">
      <c r="H40995" s="680" t="s">
        <v>6153</v>
      </c>
    </row>
    <row r="40996" spans="8:8">
      <c r="H40996" s="680" t="s">
        <v>6153</v>
      </c>
    </row>
    <row r="40997" spans="8:8">
      <c r="H40997" s="680" t="s">
        <v>6153</v>
      </c>
    </row>
    <row r="40998" spans="8:8">
      <c r="H40998" s="680" t="s">
        <v>6153</v>
      </c>
    </row>
    <row r="40999" spans="8:8">
      <c r="H40999" s="680" t="s">
        <v>6153</v>
      </c>
    </row>
    <row r="41000" spans="8:8">
      <c r="H41000" s="680" t="s">
        <v>6153</v>
      </c>
    </row>
    <row r="41001" spans="8:8">
      <c r="H41001" s="680" t="s">
        <v>6153</v>
      </c>
    </row>
    <row r="41002" spans="8:8">
      <c r="H41002" s="680" t="s">
        <v>6153</v>
      </c>
    </row>
    <row r="41003" spans="8:8">
      <c r="H41003" s="680" t="s">
        <v>6153</v>
      </c>
    </row>
    <row r="41004" spans="8:8">
      <c r="H41004" s="680" t="s">
        <v>6153</v>
      </c>
    </row>
    <row r="41005" spans="8:8">
      <c r="H41005" s="680" t="s">
        <v>6153</v>
      </c>
    </row>
    <row r="41006" spans="8:8">
      <c r="H41006" s="680" t="s">
        <v>6153</v>
      </c>
    </row>
    <row r="41007" spans="8:8">
      <c r="H41007" s="680" t="s">
        <v>6153</v>
      </c>
    </row>
    <row r="41008" spans="8:8">
      <c r="H41008" s="680" t="s">
        <v>6153</v>
      </c>
    </row>
    <row r="41009" spans="8:8">
      <c r="H41009" s="680" t="s">
        <v>6153</v>
      </c>
    </row>
    <row r="41010" spans="8:8">
      <c r="H41010" s="680" t="s">
        <v>6153</v>
      </c>
    </row>
    <row r="41011" spans="8:8">
      <c r="H41011" s="680" t="s">
        <v>6153</v>
      </c>
    </row>
    <row r="41012" spans="8:8">
      <c r="H41012" s="680" t="s">
        <v>6153</v>
      </c>
    </row>
    <row r="41013" spans="8:8">
      <c r="H41013" s="680" t="s">
        <v>6153</v>
      </c>
    </row>
    <row r="41014" spans="8:8">
      <c r="H41014" s="680" t="s">
        <v>6153</v>
      </c>
    </row>
    <row r="41015" spans="8:8">
      <c r="H41015" s="680" t="s">
        <v>6153</v>
      </c>
    </row>
    <row r="41016" spans="8:8">
      <c r="H41016" s="680" t="s">
        <v>6153</v>
      </c>
    </row>
    <row r="41017" spans="8:8">
      <c r="H41017" s="680" t="s">
        <v>6153</v>
      </c>
    </row>
    <row r="41018" spans="8:8">
      <c r="H41018" s="680" t="s">
        <v>6153</v>
      </c>
    </row>
    <row r="41019" spans="8:8">
      <c r="H41019" s="680" t="s">
        <v>6153</v>
      </c>
    </row>
    <row r="41020" spans="8:8">
      <c r="H41020" s="680" t="s">
        <v>6153</v>
      </c>
    </row>
    <row r="41021" spans="8:8">
      <c r="H41021" s="680" t="s">
        <v>6153</v>
      </c>
    </row>
    <row r="41022" spans="8:8">
      <c r="H41022" s="680" t="s">
        <v>6153</v>
      </c>
    </row>
    <row r="41023" spans="8:8">
      <c r="H41023" s="680" t="s">
        <v>6153</v>
      </c>
    </row>
    <row r="41024" spans="8:8">
      <c r="H41024" s="680" t="s">
        <v>6153</v>
      </c>
    </row>
    <row r="41025" spans="8:8">
      <c r="H41025" s="680" t="s">
        <v>6153</v>
      </c>
    </row>
    <row r="41026" spans="8:8">
      <c r="H41026" s="680" t="s">
        <v>6153</v>
      </c>
    </row>
    <row r="41027" spans="8:8">
      <c r="H41027" s="680" t="s">
        <v>6153</v>
      </c>
    </row>
    <row r="41028" spans="8:8">
      <c r="H41028" s="680" t="s">
        <v>6153</v>
      </c>
    </row>
    <row r="41029" spans="8:8">
      <c r="H41029" s="680" t="s">
        <v>6153</v>
      </c>
    </row>
    <row r="41030" spans="8:8">
      <c r="H41030" s="680" t="s">
        <v>6153</v>
      </c>
    </row>
    <row r="41031" spans="8:8">
      <c r="H41031" s="680" t="s">
        <v>6153</v>
      </c>
    </row>
    <row r="41032" spans="8:8">
      <c r="H41032" s="680" t="s">
        <v>6153</v>
      </c>
    </row>
    <row r="41033" spans="8:8">
      <c r="H41033" s="680" t="s">
        <v>6153</v>
      </c>
    </row>
    <row r="41034" spans="8:8">
      <c r="H41034" s="680" t="s">
        <v>6153</v>
      </c>
    </row>
    <row r="41035" spans="8:8">
      <c r="H41035" s="680" t="s">
        <v>6153</v>
      </c>
    </row>
    <row r="41036" spans="8:8">
      <c r="H41036" s="680" t="s">
        <v>6153</v>
      </c>
    </row>
    <row r="41037" spans="8:8">
      <c r="H41037" s="680" t="s">
        <v>6153</v>
      </c>
    </row>
    <row r="41038" spans="8:8">
      <c r="H41038" s="680" t="s">
        <v>6153</v>
      </c>
    </row>
    <row r="41039" spans="8:8">
      <c r="H41039" s="680" t="s">
        <v>6153</v>
      </c>
    </row>
    <row r="41040" spans="8:8">
      <c r="H41040" s="680" t="s">
        <v>6153</v>
      </c>
    </row>
    <row r="41041" spans="8:8">
      <c r="H41041" s="680" t="s">
        <v>6153</v>
      </c>
    </row>
    <row r="41042" spans="8:8">
      <c r="H41042" s="680" t="s">
        <v>6153</v>
      </c>
    </row>
    <row r="41043" spans="8:8">
      <c r="H41043" s="680" t="s">
        <v>6153</v>
      </c>
    </row>
    <row r="41044" spans="8:8">
      <c r="H41044" s="680" t="s">
        <v>6153</v>
      </c>
    </row>
    <row r="41045" spans="8:8">
      <c r="H41045" s="680" t="s">
        <v>6153</v>
      </c>
    </row>
    <row r="41046" spans="8:8">
      <c r="H41046" s="680" t="s">
        <v>6153</v>
      </c>
    </row>
    <row r="41047" spans="8:8">
      <c r="H41047" s="680" t="s">
        <v>6153</v>
      </c>
    </row>
    <row r="41048" spans="8:8">
      <c r="H41048" s="680" t="s">
        <v>6153</v>
      </c>
    </row>
    <row r="41049" spans="8:8">
      <c r="H41049" s="680" t="s">
        <v>6153</v>
      </c>
    </row>
    <row r="41050" spans="8:8">
      <c r="H41050" s="680" t="s">
        <v>6153</v>
      </c>
    </row>
    <row r="41051" spans="8:8">
      <c r="H41051" s="680" t="s">
        <v>6153</v>
      </c>
    </row>
    <row r="41052" spans="8:8">
      <c r="H41052" s="680" t="s">
        <v>6153</v>
      </c>
    </row>
    <row r="41053" spans="8:8">
      <c r="H41053" s="680" t="s">
        <v>6153</v>
      </c>
    </row>
    <row r="41054" spans="8:8">
      <c r="H41054" s="680" t="s">
        <v>6153</v>
      </c>
    </row>
    <row r="41055" spans="8:8">
      <c r="H41055" s="680" t="s">
        <v>6153</v>
      </c>
    </row>
    <row r="41056" spans="8:8">
      <c r="H41056" s="680" t="s">
        <v>6153</v>
      </c>
    </row>
    <row r="41057" spans="8:8">
      <c r="H41057" s="680" t="s">
        <v>6153</v>
      </c>
    </row>
    <row r="41058" spans="8:8">
      <c r="H41058" s="680" t="s">
        <v>6153</v>
      </c>
    </row>
    <row r="41059" spans="8:8">
      <c r="H41059" s="680" t="s">
        <v>6153</v>
      </c>
    </row>
    <row r="41060" spans="8:8">
      <c r="H41060" s="680" t="s">
        <v>6153</v>
      </c>
    </row>
    <row r="41061" spans="8:8">
      <c r="H41061" s="680" t="s">
        <v>6153</v>
      </c>
    </row>
    <row r="41062" spans="8:8">
      <c r="H41062" s="680" t="s">
        <v>6153</v>
      </c>
    </row>
    <row r="41063" spans="8:8">
      <c r="H41063" s="680" t="s">
        <v>6153</v>
      </c>
    </row>
    <row r="41064" spans="8:8">
      <c r="H41064" s="680" t="s">
        <v>6153</v>
      </c>
    </row>
    <row r="41065" spans="8:8">
      <c r="H41065" s="680" t="s">
        <v>6153</v>
      </c>
    </row>
    <row r="41066" spans="8:8">
      <c r="H41066" s="680" t="s">
        <v>6153</v>
      </c>
    </row>
    <row r="41067" spans="8:8">
      <c r="H41067" s="680" t="s">
        <v>6153</v>
      </c>
    </row>
    <row r="41068" spans="8:8">
      <c r="H41068" s="680" t="s">
        <v>6153</v>
      </c>
    </row>
    <row r="41069" spans="8:8">
      <c r="H41069" s="680" t="s">
        <v>6153</v>
      </c>
    </row>
    <row r="41070" spans="8:8">
      <c r="H41070" s="680" t="s">
        <v>6153</v>
      </c>
    </row>
    <row r="41071" spans="8:8">
      <c r="H41071" s="680" t="s">
        <v>6153</v>
      </c>
    </row>
    <row r="41072" spans="8:8">
      <c r="H41072" s="680" t="s">
        <v>6153</v>
      </c>
    </row>
    <row r="41073" spans="8:8">
      <c r="H41073" s="680" t="s">
        <v>6153</v>
      </c>
    </row>
    <row r="41074" spans="8:8">
      <c r="H41074" s="680" t="s">
        <v>6153</v>
      </c>
    </row>
    <row r="41075" spans="8:8">
      <c r="H41075" s="680" t="s">
        <v>6153</v>
      </c>
    </row>
    <row r="41076" spans="8:8">
      <c r="H41076" s="680" t="s">
        <v>6153</v>
      </c>
    </row>
    <row r="41077" spans="8:8">
      <c r="H41077" s="680" t="s">
        <v>6153</v>
      </c>
    </row>
    <row r="41078" spans="8:8">
      <c r="H41078" s="680" t="s">
        <v>6153</v>
      </c>
    </row>
    <row r="41079" spans="8:8">
      <c r="H41079" s="680" t="s">
        <v>6153</v>
      </c>
    </row>
    <row r="41080" spans="8:8">
      <c r="H41080" s="680" t="s">
        <v>6153</v>
      </c>
    </row>
    <row r="41081" spans="8:8">
      <c r="H41081" s="680" t="s">
        <v>6153</v>
      </c>
    </row>
    <row r="41082" spans="8:8">
      <c r="H41082" s="680" t="s">
        <v>6153</v>
      </c>
    </row>
    <row r="41083" spans="8:8">
      <c r="H41083" s="680" t="s">
        <v>6153</v>
      </c>
    </row>
    <row r="41084" spans="8:8">
      <c r="H41084" s="680" t="s">
        <v>6153</v>
      </c>
    </row>
    <row r="41085" spans="8:8">
      <c r="H41085" s="680" t="s">
        <v>6153</v>
      </c>
    </row>
    <row r="41086" spans="8:8">
      <c r="H41086" s="680" t="s">
        <v>6153</v>
      </c>
    </row>
    <row r="41087" spans="8:8">
      <c r="H41087" s="680" t="s">
        <v>6153</v>
      </c>
    </row>
    <row r="41088" spans="8:8">
      <c r="H41088" s="680" t="s">
        <v>6153</v>
      </c>
    </row>
    <row r="41089" spans="8:8">
      <c r="H41089" s="680" t="s">
        <v>6153</v>
      </c>
    </row>
    <row r="41090" spans="8:8">
      <c r="H41090" s="680" t="s">
        <v>6153</v>
      </c>
    </row>
    <row r="41091" spans="8:8">
      <c r="H41091" s="680" t="s">
        <v>6153</v>
      </c>
    </row>
    <row r="41092" spans="8:8">
      <c r="H41092" s="680" t="s">
        <v>6153</v>
      </c>
    </row>
    <row r="41093" spans="8:8">
      <c r="H41093" s="680" t="s">
        <v>6153</v>
      </c>
    </row>
    <row r="41094" spans="8:8">
      <c r="H41094" s="680" t="s">
        <v>6153</v>
      </c>
    </row>
    <row r="41095" spans="8:8">
      <c r="H41095" s="680" t="s">
        <v>6153</v>
      </c>
    </row>
    <row r="41096" spans="8:8">
      <c r="H41096" s="680" t="s">
        <v>6153</v>
      </c>
    </row>
    <row r="41097" spans="8:8">
      <c r="H41097" s="680" t="s">
        <v>6153</v>
      </c>
    </row>
    <row r="41098" spans="8:8">
      <c r="H41098" s="680" t="s">
        <v>6153</v>
      </c>
    </row>
    <row r="41099" spans="8:8">
      <c r="H41099" s="680" t="s">
        <v>6153</v>
      </c>
    </row>
    <row r="41100" spans="8:8">
      <c r="H41100" s="680" t="s">
        <v>6153</v>
      </c>
    </row>
    <row r="41101" spans="8:8">
      <c r="H41101" s="680" t="s">
        <v>6153</v>
      </c>
    </row>
    <row r="41102" spans="8:8">
      <c r="H41102" s="680" t="s">
        <v>6153</v>
      </c>
    </row>
    <row r="41103" spans="8:8">
      <c r="H41103" s="680" t="s">
        <v>6153</v>
      </c>
    </row>
    <row r="41104" spans="8:8">
      <c r="H41104" s="680" t="s">
        <v>6153</v>
      </c>
    </row>
    <row r="41105" spans="8:8">
      <c r="H41105" s="680" t="s">
        <v>6153</v>
      </c>
    </row>
    <row r="41106" spans="8:8">
      <c r="H41106" s="680" t="s">
        <v>6153</v>
      </c>
    </row>
    <row r="41107" spans="8:8">
      <c r="H41107" s="680" t="s">
        <v>6153</v>
      </c>
    </row>
    <row r="41108" spans="8:8">
      <c r="H41108" s="680" t="s">
        <v>6153</v>
      </c>
    </row>
    <row r="41109" spans="8:8">
      <c r="H41109" s="680" t="s">
        <v>6153</v>
      </c>
    </row>
    <row r="41110" spans="8:8">
      <c r="H41110" s="680" t="s">
        <v>6153</v>
      </c>
    </row>
    <row r="41111" spans="8:8">
      <c r="H41111" s="680" t="s">
        <v>6153</v>
      </c>
    </row>
    <row r="41112" spans="8:8">
      <c r="H41112" s="680" t="s">
        <v>6153</v>
      </c>
    </row>
    <row r="41113" spans="8:8">
      <c r="H41113" s="680" t="s">
        <v>6153</v>
      </c>
    </row>
    <row r="41114" spans="8:8">
      <c r="H41114" s="680" t="s">
        <v>6153</v>
      </c>
    </row>
    <row r="41115" spans="8:8">
      <c r="H41115" s="680" t="s">
        <v>6153</v>
      </c>
    </row>
    <row r="41116" spans="8:8">
      <c r="H41116" s="680" t="s">
        <v>6153</v>
      </c>
    </row>
    <row r="41117" spans="8:8">
      <c r="H41117" s="680" t="s">
        <v>6153</v>
      </c>
    </row>
    <row r="41118" spans="8:8">
      <c r="H41118" s="680" t="s">
        <v>6153</v>
      </c>
    </row>
    <row r="41119" spans="8:8">
      <c r="H41119" s="680" t="s">
        <v>6153</v>
      </c>
    </row>
    <row r="41120" spans="8:8">
      <c r="H41120" s="680" t="s">
        <v>6153</v>
      </c>
    </row>
    <row r="41121" spans="8:8">
      <c r="H41121" s="680" t="s">
        <v>6153</v>
      </c>
    </row>
    <row r="41122" spans="8:8">
      <c r="H41122" s="680" t="s">
        <v>6153</v>
      </c>
    </row>
    <row r="41123" spans="8:8">
      <c r="H41123" s="680" t="s">
        <v>6153</v>
      </c>
    </row>
    <row r="41124" spans="8:8">
      <c r="H41124" s="680" t="s">
        <v>6153</v>
      </c>
    </row>
    <row r="41125" spans="8:8">
      <c r="H41125" s="680" t="s">
        <v>6153</v>
      </c>
    </row>
    <row r="41126" spans="8:8">
      <c r="H41126" s="680" t="s">
        <v>6153</v>
      </c>
    </row>
    <row r="41127" spans="8:8">
      <c r="H41127" s="680" t="s">
        <v>6153</v>
      </c>
    </row>
    <row r="41128" spans="8:8">
      <c r="H41128" s="680" t="s">
        <v>6153</v>
      </c>
    </row>
    <row r="41129" spans="8:8">
      <c r="H41129" s="680" t="s">
        <v>6153</v>
      </c>
    </row>
    <row r="41130" spans="8:8">
      <c r="H41130" s="680" t="s">
        <v>6153</v>
      </c>
    </row>
    <row r="41131" spans="8:8">
      <c r="H41131" s="680" t="s">
        <v>6153</v>
      </c>
    </row>
    <row r="41132" spans="8:8">
      <c r="H41132" s="680" t="s">
        <v>6153</v>
      </c>
    </row>
    <row r="41133" spans="8:8">
      <c r="H41133" s="680" t="s">
        <v>6153</v>
      </c>
    </row>
    <row r="41134" spans="8:8">
      <c r="H41134" s="680" t="s">
        <v>6153</v>
      </c>
    </row>
    <row r="41135" spans="8:8">
      <c r="H41135" s="680" t="s">
        <v>6153</v>
      </c>
    </row>
    <row r="41136" spans="8:8">
      <c r="H41136" s="680" t="s">
        <v>6153</v>
      </c>
    </row>
    <row r="41137" spans="8:8">
      <c r="H41137" s="680" t="s">
        <v>6153</v>
      </c>
    </row>
    <row r="41138" spans="8:8">
      <c r="H41138" s="680" t="s">
        <v>6153</v>
      </c>
    </row>
    <row r="41139" spans="8:8">
      <c r="H41139" s="680" t="s">
        <v>6153</v>
      </c>
    </row>
    <row r="41140" spans="8:8">
      <c r="H41140" s="680" t="s">
        <v>6153</v>
      </c>
    </row>
    <row r="41141" spans="8:8">
      <c r="H41141" s="680" t="s">
        <v>6153</v>
      </c>
    </row>
    <row r="41142" spans="8:8">
      <c r="H41142" s="680" t="s">
        <v>6153</v>
      </c>
    </row>
    <row r="41143" spans="8:8">
      <c r="H41143" s="680" t="s">
        <v>6153</v>
      </c>
    </row>
    <row r="41144" spans="8:8">
      <c r="H41144" s="680" t="s">
        <v>6153</v>
      </c>
    </row>
    <row r="41145" spans="8:8">
      <c r="H41145" s="680" t="s">
        <v>6153</v>
      </c>
    </row>
    <row r="41146" spans="8:8">
      <c r="H41146" s="680" t="s">
        <v>6153</v>
      </c>
    </row>
    <row r="41147" spans="8:8">
      <c r="H41147" s="680" t="s">
        <v>6153</v>
      </c>
    </row>
    <row r="41148" spans="8:8">
      <c r="H41148" s="680" t="s">
        <v>6153</v>
      </c>
    </row>
    <row r="41149" spans="8:8">
      <c r="H41149" s="680" t="s">
        <v>6153</v>
      </c>
    </row>
    <row r="41150" spans="8:8">
      <c r="H41150" s="680" t="s">
        <v>6153</v>
      </c>
    </row>
    <row r="41151" spans="8:8">
      <c r="H41151" s="680" t="s">
        <v>6153</v>
      </c>
    </row>
    <row r="41152" spans="8:8">
      <c r="H41152" s="680" t="s">
        <v>6153</v>
      </c>
    </row>
    <row r="41153" spans="8:8">
      <c r="H41153" s="680" t="s">
        <v>6153</v>
      </c>
    </row>
    <row r="41154" spans="8:8">
      <c r="H41154" s="680" t="s">
        <v>6153</v>
      </c>
    </row>
    <row r="41155" spans="8:8">
      <c r="H41155" s="680" t="s">
        <v>6153</v>
      </c>
    </row>
    <row r="41156" spans="8:8">
      <c r="H41156" s="680" t="s">
        <v>6153</v>
      </c>
    </row>
    <row r="41157" spans="8:8">
      <c r="H41157" s="680" t="s">
        <v>6153</v>
      </c>
    </row>
    <row r="41158" spans="8:8">
      <c r="H41158" s="680" t="s">
        <v>6153</v>
      </c>
    </row>
    <row r="41159" spans="8:8">
      <c r="H41159" s="680" t="s">
        <v>6153</v>
      </c>
    </row>
    <row r="41160" spans="8:8">
      <c r="H41160" s="680" t="s">
        <v>6153</v>
      </c>
    </row>
    <row r="41161" spans="8:8">
      <c r="H41161" s="680" t="s">
        <v>6153</v>
      </c>
    </row>
    <row r="41162" spans="8:8">
      <c r="H41162" s="680" t="s">
        <v>6153</v>
      </c>
    </row>
    <row r="41163" spans="8:8">
      <c r="H41163" s="680" t="s">
        <v>6153</v>
      </c>
    </row>
    <row r="41164" spans="8:8">
      <c r="H41164" s="680" t="s">
        <v>6153</v>
      </c>
    </row>
    <row r="41165" spans="8:8">
      <c r="H41165" s="680" t="s">
        <v>6153</v>
      </c>
    </row>
    <row r="41166" spans="8:8">
      <c r="H41166" s="680" t="s">
        <v>6153</v>
      </c>
    </row>
    <row r="41167" spans="8:8">
      <c r="H41167" s="680" t="s">
        <v>6153</v>
      </c>
    </row>
    <row r="41168" spans="8:8">
      <c r="H41168" s="680" t="s">
        <v>6153</v>
      </c>
    </row>
    <row r="41169" spans="8:8">
      <c r="H41169" s="680" t="s">
        <v>6153</v>
      </c>
    </row>
    <row r="41170" spans="8:8">
      <c r="H41170" s="680" t="s">
        <v>6153</v>
      </c>
    </row>
    <row r="41171" spans="8:8">
      <c r="H41171" s="680" t="s">
        <v>6153</v>
      </c>
    </row>
    <row r="41172" spans="8:8">
      <c r="H41172" s="680" t="s">
        <v>6153</v>
      </c>
    </row>
    <row r="41173" spans="8:8">
      <c r="H41173" s="680" t="s">
        <v>6153</v>
      </c>
    </row>
    <row r="41174" spans="8:8">
      <c r="H41174" s="680" t="s">
        <v>6153</v>
      </c>
    </row>
    <row r="41175" spans="8:8">
      <c r="H41175" s="680" t="s">
        <v>6153</v>
      </c>
    </row>
    <row r="41176" spans="8:8">
      <c r="H41176" s="680" t="s">
        <v>6153</v>
      </c>
    </row>
    <row r="41177" spans="8:8">
      <c r="H41177" s="680" t="s">
        <v>6153</v>
      </c>
    </row>
    <row r="41178" spans="8:8">
      <c r="H41178" s="680" t="s">
        <v>6153</v>
      </c>
    </row>
    <row r="41179" spans="8:8">
      <c r="H41179" s="680" t="s">
        <v>6153</v>
      </c>
    </row>
    <row r="41180" spans="8:8">
      <c r="H41180" s="680" t="s">
        <v>6153</v>
      </c>
    </row>
    <row r="41181" spans="8:8">
      <c r="H41181" s="680" t="s">
        <v>6153</v>
      </c>
    </row>
    <row r="41182" spans="8:8">
      <c r="H41182" s="680" t="s">
        <v>6153</v>
      </c>
    </row>
    <row r="41183" spans="8:8">
      <c r="H41183" s="680" t="s">
        <v>6153</v>
      </c>
    </row>
    <row r="41184" spans="8:8">
      <c r="H41184" s="680" t="s">
        <v>6153</v>
      </c>
    </row>
    <row r="41185" spans="8:8">
      <c r="H41185" s="680" t="s">
        <v>6153</v>
      </c>
    </row>
    <row r="41186" spans="8:8">
      <c r="H41186" s="680" t="s">
        <v>6153</v>
      </c>
    </row>
    <row r="41187" spans="8:8">
      <c r="H41187" s="680" t="s">
        <v>6153</v>
      </c>
    </row>
    <row r="41188" spans="8:8">
      <c r="H41188" s="680" t="s">
        <v>6153</v>
      </c>
    </row>
    <row r="41189" spans="8:8">
      <c r="H41189" s="680" t="s">
        <v>6153</v>
      </c>
    </row>
    <row r="41190" spans="8:8">
      <c r="H41190" s="680" t="s">
        <v>6153</v>
      </c>
    </row>
    <row r="41191" spans="8:8">
      <c r="H41191" s="680" t="s">
        <v>6153</v>
      </c>
    </row>
    <row r="41192" spans="8:8">
      <c r="H41192" s="680" t="s">
        <v>6153</v>
      </c>
    </row>
    <row r="41193" spans="8:8">
      <c r="H41193" s="680" t="s">
        <v>6153</v>
      </c>
    </row>
    <row r="41194" spans="8:8">
      <c r="H41194" s="680" t="s">
        <v>6153</v>
      </c>
    </row>
    <row r="41195" spans="8:8">
      <c r="H41195" s="680" t="s">
        <v>6153</v>
      </c>
    </row>
    <row r="41196" spans="8:8">
      <c r="H41196" s="680" t="s">
        <v>6153</v>
      </c>
    </row>
    <row r="41197" spans="8:8">
      <c r="H41197" s="680" t="s">
        <v>6153</v>
      </c>
    </row>
    <row r="41198" spans="8:8">
      <c r="H41198" s="680" t="s">
        <v>6153</v>
      </c>
    </row>
    <row r="41199" spans="8:8">
      <c r="H41199" s="680" t="s">
        <v>6153</v>
      </c>
    </row>
    <row r="41200" spans="8:8">
      <c r="H41200" s="680" t="s">
        <v>6153</v>
      </c>
    </row>
    <row r="41201" spans="8:8">
      <c r="H41201" s="680" t="s">
        <v>6153</v>
      </c>
    </row>
    <row r="41202" spans="8:8">
      <c r="H41202" s="680" t="s">
        <v>6153</v>
      </c>
    </row>
    <row r="41203" spans="8:8">
      <c r="H41203" s="680" t="s">
        <v>6153</v>
      </c>
    </row>
    <row r="41204" spans="8:8">
      <c r="H41204" s="680" t="s">
        <v>6153</v>
      </c>
    </row>
    <row r="41205" spans="8:8">
      <c r="H41205" s="680" t="s">
        <v>6153</v>
      </c>
    </row>
    <row r="41206" spans="8:8">
      <c r="H41206" s="680" t="s">
        <v>6153</v>
      </c>
    </row>
    <row r="41207" spans="8:8">
      <c r="H41207" s="680" t="s">
        <v>6153</v>
      </c>
    </row>
    <row r="41208" spans="8:8">
      <c r="H41208" s="680" t="s">
        <v>6153</v>
      </c>
    </row>
    <row r="41209" spans="8:8">
      <c r="H41209" s="680" t="s">
        <v>6153</v>
      </c>
    </row>
    <row r="41210" spans="8:8">
      <c r="H41210" s="680" t="s">
        <v>6153</v>
      </c>
    </row>
    <row r="41211" spans="8:8">
      <c r="H41211" s="680" t="s">
        <v>6153</v>
      </c>
    </row>
    <row r="41212" spans="8:8">
      <c r="H41212" s="680" t="s">
        <v>6153</v>
      </c>
    </row>
    <row r="41213" spans="8:8">
      <c r="H41213" s="680" t="s">
        <v>6153</v>
      </c>
    </row>
    <row r="41214" spans="8:8">
      <c r="H41214" s="680" t="s">
        <v>6153</v>
      </c>
    </row>
    <row r="41215" spans="8:8">
      <c r="H41215" s="680" t="s">
        <v>6153</v>
      </c>
    </row>
    <row r="41216" spans="8:8">
      <c r="H41216" s="680" t="s">
        <v>6153</v>
      </c>
    </row>
    <row r="41217" spans="8:8">
      <c r="H41217" s="680" t="s">
        <v>6153</v>
      </c>
    </row>
    <row r="41218" spans="8:8">
      <c r="H41218" s="680" t="s">
        <v>6153</v>
      </c>
    </row>
    <row r="41219" spans="8:8">
      <c r="H41219" s="680" t="s">
        <v>6153</v>
      </c>
    </row>
    <row r="41220" spans="8:8">
      <c r="H41220" s="680" t="s">
        <v>6153</v>
      </c>
    </row>
    <row r="41221" spans="8:8">
      <c r="H41221" s="680" t="s">
        <v>6153</v>
      </c>
    </row>
    <row r="41222" spans="8:8">
      <c r="H41222" s="680" t="s">
        <v>6153</v>
      </c>
    </row>
    <row r="41223" spans="8:8">
      <c r="H41223" s="680" t="s">
        <v>6153</v>
      </c>
    </row>
    <row r="41224" spans="8:8">
      <c r="H41224" s="680" t="s">
        <v>6153</v>
      </c>
    </row>
    <row r="41225" spans="8:8">
      <c r="H41225" s="680" t="s">
        <v>6153</v>
      </c>
    </row>
    <row r="41226" spans="8:8">
      <c r="H41226" s="680" t="s">
        <v>6153</v>
      </c>
    </row>
    <row r="41227" spans="8:8">
      <c r="H41227" s="680" t="s">
        <v>6153</v>
      </c>
    </row>
    <row r="41228" spans="8:8">
      <c r="H41228" s="680" t="s">
        <v>6153</v>
      </c>
    </row>
    <row r="41229" spans="8:8">
      <c r="H41229" s="680" t="s">
        <v>6153</v>
      </c>
    </row>
    <row r="41230" spans="8:8">
      <c r="H41230" s="680" t="s">
        <v>6153</v>
      </c>
    </row>
    <row r="41231" spans="8:8">
      <c r="H41231" s="680" t="s">
        <v>6153</v>
      </c>
    </row>
    <row r="41232" spans="8:8">
      <c r="H41232" s="680" t="s">
        <v>6153</v>
      </c>
    </row>
    <row r="41233" spans="8:8">
      <c r="H41233" s="680" t="s">
        <v>6153</v>
      </c>
    </row>
    <row r="41234" spans="8:8">
      <c r="H41234" s="680" t="s">
        <v>6153</v>
      </c>
    </row>
    <row r="41235" spans="8:8">
      <c r="H41235" s="680" t="s">
        <v>6153</v>
      </c>
    </row>
    <row r="41236" spans="8:8">
      <c r="H41236" s="680" t="s">
        <v>6153</v>
      </c>
    </row>
    <row r="41237" spans="8:8">
      <c r="H41237" s="680" t="s">
        <v>6153</v>
      </c>
    </row>
    <row r="41238" spans="8:8">
      <c r="H41238" s="680" t="s">
        <v>6153</v>
      </c>
    </row>
    <row r="41239" spans="8:8">
      <c r="H41239" s="680" t="s">
        <v>6153</v>
      </c>
    </row>
    <row r="41240" spans="8:8">
      <c r="H41240" s="680" t="s">
        <v>6153</v>
      </c>
    </row>
    <row r="41241" spans="8:8">
      <c r="H41241" s="680" t="s">
        <v>6153</v>
      </c>
    </row>
    <row r="41242" spans="8:8">
      <c r="H41242" s="680" t="s">
        <v>6153</v>
      </c>
    </row>
    <row r="41243" spans="8:8">
      <c r="H41243" s="680" t="s">
        <v>6153</v>
      </c>
    </row>
    <row r="41244" spans="8:8">
      <c r="H41244" s="680" t="s">
        <v>6153</v>
      </c>
    </row>
    <row r="41245" spans="8:8">
      <c r="H41245" s="680" t="s">
        <v>6153</v>
      </c>
    </row>
    <row r="41246" spans="8:8">
      <c r="H41246" s="680" t="s">
        <v>6153</v>
      </c>
    </row>
    <row r="41247" spans="8:8">
      <c r="H41247" s="680" t="s">
        <v>6153</v>
      </c>
    </row>
    <row r="41248" spans="8:8">
      <c r="H41248" s="680" t="s">
        <v>6153</v>
      </c>
    </row>
    <row r="41249" spans="8:8">
      <c r="H41249" s="680" t="s">
        <v>6153</v>
      </c>
    </row>
    <row r="41250" spans="8:8">
      <c r="H41250" s="680" t="s">
        <v>6153</v>
      </c>
    </row>
    <row r="41251" spans="8:8">
      <c r="H41251" s="680" t="s">
        <v>6153</v>
      </c>
    </row>
    <row r="41252" spans="8:8">
      <c r="H41252" s="680" t="s">
        <v>6153</v>
      </c>
    </row>
    <row r="41253" spans="8:8">
      <c r="H41253" s="680" t="s">
        <v>6153</v>
      </c>
    </row>
    <row r="41254" spans="8:8">
      <c r="H41254" s="680" t="s">
        <v>6153</v>
      </c>
    </row>
    <row r="41255" spans="8:8">
      <c r="H41255" s="680" t="s">
        <v>6153</v>
      </c>
    </row>
    <row r="41256" spans="8:8">
      <c r="H41256" s="680" t="s">
        <v>6153</v>
      </c>
    </row>
    <row r="41257" spans="8:8">
      <c r="H41257" s="680" t="s">
        <v>6153</v>
      </c>
    </row>
    <row r="41258" spans="8:8">
      <c r="H41258" s="680" t="s">
        <v>6153</v>
      </c>
    </row>
    <row r="41259" spans="8:8">
      <c r="H41259" s="680" t="s">
        <v>6153</v>
      </c>
    </row>
    <row r="41260" spans="8:8">
      <c r="H41260" s="680" t="s">
        <v>6153</v>
      </c>
    </row>
    <row r="41261" spans="8:8">
      <c r="H41261" s="680" t="s">
        <v>6153</v>
      </c>
    </row>
    <row r="41262" spans="8:8">
      <c r="H41262" s="680" t="s">
        <v>6153</v>
      </c>
    </row>
    <row r="41263" spans="8:8">
      <c r="H41263" s="680" t="s">
        <v>6153</v>
      </c>
    </row>
    <row r="41264" spans="8:8">
      <c r="H41264" s="680" t="s">
        <v>6153</v>
      </c>
    </row>
    <row r="41265" spans="8:8">
      <c r="H41265" s="680" t="s">
        <v>6153</v>
      </c>
    </row>
    <row r="41266" spans="8:8">
      <c r="H41266" s="680" t="s">
        <v>6153</v>
      </c>
    </row>
    <row r="41267" spans="8:8">
      <c r="H41267" s="680" t="s">
        <v>6153</v>
      </c>
    </row>
    <row r="41268" spans="8:8">
      <c r="H41268" s="680" t="s">
        <v>6153</v>
      </c>
    </row>
    <row r="41269" spans="8:8">
      <c r="H41269" s="680" t="s">
        <v>6153</v>
      </c>
    </row>
    <row r="41270" spans="8:8">
      <c r="H41270" s="680" t="s">
        <v>6153</v>
      </c>
    </row>
    <row r="41271" spans="8:8">
      <c r="H41271" s="680" t="s">
        <v>6153</v>
      </c>
    </row>
    <row r="41272" spans="8:8">
      <c r="H41272" s="680" t="s">
        <v>6153</v>
      </c>
    </row>
    <row r="41273" spans="8:8">
      <c r="H41273" s="680" t="s">
        <v>6153</v>
      </c>
    </row>
    <row r="41274" spans="8:8">
      <c r="H41274" s="680" t="s">
        <v>6153</v>
      </c>
    </row>
    <row r="41275" spans="8:8">
      <c r="H41275" s="680" t="s">
        <v>6153</v>
      </c>
    </row>
    <row r="41276" spans="8:8">
      <c r="H41276" s="680" t="s">
        <v>6153</v>
      </c>
    </row>
    <row r="41277" spans="8:8">
      <c r="H41277" s="680" t="s">
        <v>6153</v>
      </c>
    </row>
    <row r="41278" spans="8:8">
      <c r="H41278" s="680" t="s">
        <v>6153</v>
      </c>
    </row>
    <row r="41279" spans="8:8">
      <c r="H41279" s="680" t="s">
        <v>6153</v>
      </c>
    </row>
    <row r="41280" spans="8:8">
      <c r="H41280" s="680" t="s">
        <v>6153</v>
      </c>
    </row>
    <row r="41281" spans="8:8">
      <c r="H41281" s="680" t="s">
        <v>6153</v>
      </c>
    </row>
    <row r="41282" spans="8:8">
      <c r="H41282" s="680" t="s">
        <v>6153</v>
      </c>
    </row>
    <row r="41283" spans="8:8">
      <c r="H41283" s="680" t="s">
        <v>6153</v>
      </c>
    </row>
    <row r="41284" spans="8:8">
      <c r="H41284" s="680" t="s">
        <v>6153</v>
      </c>
    </row>
    <row r="41285" spans="8:8">
      <c r="H41285" s="680" t="s">
        <v>6153</v>
      </c>
    </row>
    <row r="41286" spans="8:8">
      <c r="H41286" s="680" t="s">
        <v>6153</v>
      </c>
    </row>
    <row r="41287" spans="8:8">
      <c r="H41287" s="680" t="s">
        <v>6153</v>
      </c>
    </row>
    <row r="41288" spans="8:8">
      <c r="H41288" s="680" t="s">
        <v>6153</v>
      </c>
    </row>
    <row r="41289" spans="8:8">
      <c r="H41289" s="680" t="s">
        <v>6153</v>
      </c>
    </row>
    <row r="41290" spans="8:8">
      <c r="H41290" s="680" t="s">
        <v>6153</v>
      </c>
    </row>
    <row r="41291" spans="8:8">
      <c r="H41291" s="680" t="s">
        <v>6153</v>
      </c>
    </row>
    <row r="41292" spans="8:8">
      <c r="H41292" s="680" t="s">
        <v>6153</v>
      </c>
    </row>
    <row r="41293" spans="8:8">
      <c r="H41293" s="680" t="s">
        <v>6153</v>
      </c>
    </row>
    <row r="41294" spans="8:8">
      <c r="H41294" s="680" t="s">
        <v>6153</v>
      </c>
    </row>
    <row r="41295" spans="8:8">
      <c r="H41295" s="680" t="s">
        <v>6153</v>
      </c>
    </row>
    <row r="41296" spans="8:8">
      <c r="H41296" s="680" t="s">
        <v>6153</v>
      </c>
    </row>
    <row r="41297" spans="8:8">
      <c r="H41297" s="680" t="s">
        <v>6153</v>
      </c>
    </row>
    <row r="41298" spans="8:8">
      <c r="H41298" s="680" t="s">
        <v>6153</v>
      </c>
    </row>
    <row r="41299" spans="8:8">
      <c r="H41299" s="680" t="s">
        <v>6153</v>
      </c>
    </row>
    <row r="41300" spans="8:8">
      <c r="H41300" s="680" t="s">
        <v>6153</v>
      </c>
    </row>
    <row r="41301" spans="8:8">
      <c r="H41301" s="680" t="s">
        <v>6153</v>
      </c>
    </row>
    <row r="41302" spans="8:8">
      <c r="H41302" s="680" t="s">
        <v>6153</v>
      </c>
    </row>
    <row r="41303" spans="8:8">
      <c r="H41303" s="680" t="s">
        <v>6153</v>
      </c>
    </row>
    <row r="41304" spans="8:8">
      <c r="H41304" s="680" t="s">
        <v>6153</v>
      </c>
    </row>
    <row r="41305" spans="8:8">
      <c r="H41305" s="680" t="s">
        <v>6153</v>
      </c>
    </row>
    <row r="41306" spans="8:8">
      <c r="H41306" s="680" t="s">
        <v>6153</v>
      </c>
    </row>
    <row r="41307" spans="8:8">
      <c r="H41307" s="680" t="s">
        <v>6153</v>
      </c>
    </row>
    <row r="41308" spans="8:8">
      <c r="H41308" s="680" t="s">
        <v>6153</v>
      </c>
    </row>
    <row r="41309" spans="8:8">
      <c r="H41309" s="680" t="s">
        <v>6153</v>
      </c>
    </row>
    <row r="41310" spans="8:8">
      <c r="H41310" s="680" t="s">
        <v>6153</v>
      </c>
    </row>
    <row r="41311" spans="8:8">
      <c r="H41311" s="680" t="s">
        <v>6153</v>
      </c>
    </row>
    <row r="41312" spans="8:8">
      <c r="H41312" s="680" t="s">
        <v>6153</v>
      </c>
    </row>
    <row r="41313" spans="8:8">
      <c r="H41313" s="680" t="s">
        <v>6153</v>
      </c>
    </row>
    <row r="41314" spans="8:8">
      <c r="H41314" s="680" t="s">
        <v>6153</v>
      </c>
    </row>
    <row r="41315" spans="8:8">
      <c r="H41315" s="680" t="s">
        <v>6153</v>
      </c>
    </row>
    <row r="41316" spans="8:8">
      <c r="H41316" s="680" t="s">
        <v>6153</v>
      </c>
    </row>
    <row r="41317" spans="8:8">
      <c r="H41317" s="680" t="s">
        <v>6153</v>
      </c>
    </row>
    <row r="41318" spans="8:8">
      <c r="H41318" s="680" t="s">
        <v>6153</v>
      </c>
    </row>
    <row r="41319" spans="8:8">
      <c r="H41319" s="680" t="s">
        <v>6153</v>
      </c>
    </row>
    <row r="41320" spans="8:8">
      <c r="H41320" s="680" t="s">
        <v>6153</v>
      </c>
    </row>
    <row r="41321" spans="8:8">
      <c r="H41321" s="680" t="s">
        <v>6153</v>
      </c>
    </row>
    <row r="41322" spans="8:8">
      <c r="H41322" s="680" t="s">
        <v>6153</v>
      </c>
    </row>
    <row r="41323" spans="8:8">
      <c r="H41323" s="680" t="s">
        <v>6153</v>
      </c>
    </row>
    <row r="41324" spans="8:8">
      <c r="H41324" s="680" t="s">
        <v>6153</v>
      </c>
    </row>
    <row r="41325" spans="8:8">
      <c r="H41325" s="680" t="s">
        <v>6153</v>
      </c>
    </row>
    <row r="41326" spans="8:8">
      <c r="H41326" s="680" t="s">
        <v>6153</v>
      </c>
    </row>
    <row r="41327" spans="8:8">
      <c r="H41327" s="680" t="s">
        <v>6153</v>
      </c>
    </row>
    <row r="41328" spans="8:8">
      <c r="H41328" s="680" t="s">
        <v>6153</v>
      </c>
    </row>
    <row r="41329" spans="8:8">
      <c r="H41329" s="680" t="s">
        <v>6153</v>
      </c>
    </row>
    <row r="41330" spans="8:8">
      <c r="H41330" s="680" t="s">
        <v>6153</v>
      </c>
    </row>
    <row r="41331" spans="8:8">
      <c r="H41331" s="680" t="s">
        <v>6153</v>
      </c>
    </row>
    <row r="41332" spans="8:8">
      <c r="H41332" s="680" t="s">
        <v>6153</v>
      </c>
    </row>
    <row r="41333" spans="8:8">
      <c r="H41333" s="680" t="s">
        <v>6153</v>
      </c>
    </row>
    <row r="41334" spans="8:8">
      <c r="H41334" s="680" t="s">
        <v>6153</v>
      </c>
    </row>
    <row r="41335" spans="8:8">
      <c r="H41335" s="680" t="s">
        <v>6153</v>
      </c>
    </row>
    <row r="41336" spans="8:8">
      <c r="H41336" s="680" t="s">
        <v>6153</v>
      </c>
    </row>
    <row r="41337" spans="8:8">
      <c r="H41337" s="680" t="s">
        <v>6153</v>
      </c>
    </row>
    <row r="41338" spans="8:8">
      <c r="H41338" s="680" t="s">
        <v>6153</v>
      </c>
    </row>
    <row r="41339" spans="8:8">
      <c r="H41339" s="680" t="s">
        <v>6153</v>
      </c>
    </row>
    <row r="41340" spans="8:8">
      <c r="H41340" s="680" t="s">
        <v>6153</v>
      </c>
    </row>
    <row r="41341" spans="8:8">
      <c r="H41341" s="680" t="s">
        <v>6153</v>
      </c>
    </row>
    <row r="41342" spans="8:8">
      <c r="H41342" s="680" t="s">
        <v>6153</v>
      </c>
    </row>
    <row r="41343" spans="8:8">
      <c r="H41343" s="680" t="s">
        <v>6153</v>
      </c>
    </row>
    <row r="41344" spans="8:8">
      <c r="H41344" s="680" t="s">
        <v>6153</v>
      </c>
    </row>
    <row r="41345" spans="8:8">
      <c r="H41345" s="680" t="s">
        <v>6153</v>
      </c>
    </row>
    <row r="41346" spans="8:8">
      <c r="H41346" s="680" t="s">
        <v>6153</v>
      </c>
    </row>
    <row r="41347" spans="8:8">
      <c r="H41347" s="680" t="s">
        <v>6153</v>
      </c>
    </row>
    <row r="41348" spans="8:8">
      <c r="H41348" s="680" t="s">
        <v>6153</v>
      </c>
    </row>
    <row r="41349" spans="8:8">
      <c r="H41349" s="680" t="s">
        <v>6153</v>
      </c>
    </row>
    <row r="41350" spans="8:8">
      <c r="H41350" s="680" t="s">
        <v>6153</v>
      </c>
    </row>
    <row r="41351" spans="8:8">
      <c r="H41351" s="680" t="s">
        <v>6153</v>
      </c>
    </row>
    <row r="41352" spans="8:8">
      <c r="H41352" s="680" t="s">
        <v>6153</v>
      </c>
    </row>
    <row r="41353" spans="8:8">
      <c r="H41353" s="680" t="s">
        <v>6153</v>
      </c>
    </row>
    <row r="41354" spans="8:8">
      <c r="H41354" s="680" t="s">
        <v>6153</v>
      </c>
    </row>
    <row r="41355" spans="8:8">
      <c r="H41355" s="680" t="s">
        <v>6153</v>
      </c>
    </row>
    <row r="41356" spans="8:8">
      <c r="H41356" s="680" t="s">
        <v>6153</v>
      </c>
    </row>
    <row r="41357" spans="8:8">
      <c r="H41357" s="680" t="s">
        <v>6153</v>
      </c>
    </row>
    <row r="41358" spans="8:8">
      <c r="H41358" s="680" t="s">
        <v>6153</v>
      </c>
    </row>
    <row r="41359" spans="8:8">
      <c r="H41359" s="680" t="s">
        <v>6153</v>
      </c>
    </row>
    <row r="41360" spans="8:8">
      <c r="H41360" s="680" t="s">
        <v>6153</v>
      </c>
    </row>
    <row r="41361" spans="8:8">
      <c r="H41361" s="680" t="s">
        <v>6153</v>
      </c>
    </row>
    <row r="41362" spans="8:8">
      <c r="H41362" s="680" t="s">
        <v>6153</v>
      </c>
    </row>
    <row r="41363" spans="8:8">
      <c r="H41363" s="680" t="s">
        <v>6153</v>
      </c>
    </row>
    <row r="41364" spans="8:8">
      <c r="H41364" s="680" t="s">
        <v>6153</v>
      </c>
    </row>
    <row r="41365" spans="8:8">
      <c r="H41365" s="680" t="s">
        <v>6153</v>
      </c>
    </row>
    <row r="41366" spans="8:8">
      <c r="H41366" s="680" t="s">
        <v>6153</v>
      </c>
    </row>
    <row r="41367" spans="8:8">
      <c r="H41367" s="680" t="s">
        <v>6153</v>
      </c>
    </row>
    <row r="41368" spans="8:8">
      <c r="H41368" s="680" t="s">
        <v>6153</v>
      </c>
    </row>
    <row r="41369" spans="8:8">
      <c r="H41369" s="680" t="s">
        <v>6153</v>
      </c>
    </row>
    <row r="41370" spans="8:8">
      <c r="H41370" s="680" t="s">
        <v>6153</v>
      </c>
    </row>
    <row r="41371" spans="8:8">
      <c r="H41371" s="680" t="s">
        <v>6153</v>
      </c>
    </row>
    <row r="41372" spans="8:8">
      <c r="H41372" s="680" t="s">
        <v>6153</v>
      </c>
    </row>
    <row r="41373" spans="8:8">
      <c r="H41373" s="680" t="s">
        <v>6153</v>
      </c>
    </row>
    <row r="41374" spans="8:8">
      <c r="H41374" s="680" t="s">
        <v>6153</v>
      </c>
    </row>
    <row r="41375" spans="8:8">
      <c r="H41375" s="680" t="s">
        <v>6153</v>
      </c>
    </row>
    <row r="41376" spans="8:8">
      <c r="H41376" s="680" t="s">
        <v>6153</v>
      </c>
    </row>
    <row r="41377" spans="8:8">
      <c r="H41377" s="680" t="s">
        <v>6153</v>
      </c>
    </row>
    <row r="41378" spans="8:8">
      <c r="H41378" s="680" t="s">
        <v>6153</v>
      </c>
    </row>
    <row r="41379" spans="8:8">
      <c r="H41379" s="680" t="s">
        <v>6153</v>
      </c>
    </row>
    <row r="41380" spans="8:8">
      <c r="H41380" s="680" t="s">
        <v>6153</v>
      </c>
    </row>
    <row r="41381" spans="8:8">
      <c r="H41381" s="680" t="s">
        <v>6153</v>
      </c>
    </row>
    <row r="41382" spans="8:8">
      <c r="H41382" s="680" t="s">
        <v>6153</v>
      </c>
    </row>
    <row r="41383" spans="8:8">
      <c r="H41383" s="680" t="s">
        <v>6153</v>
      </c>
    </row>
    <row r="41384" spans="8:8">
      <c r="H41384" s="680" t="s">
        <v>6153</v>
      </c>
    </row>
    <row r="41385" spans="8:8">
      <c r="H41385" s="680" t="s">
        <v>6153</v>
      </c>
    </row>
    <row r="41386" spans="8:8">
      <c r="H41386" s="680" t="s">
        <v>6153</v>
      </c>
    </row>
    <row r="41387" spans="8:8">
      <c r="H41387" s="680" t="s">
        <v>6153</v>
      </c>
    </row>
    <row r="41388" spans="8:8">
      <c r="H41388" s="680" t="s">
        <v>6153</v>
      </c>
    </row>
    <row r="41389" spans="8:8">
      <c r="H41389" s="680" t="s">
        <v>6153</v>
      </c>
    </row>
    <row r="41390" spans="8:8">
      <c r="H41390" s="680" t="s">
        <v>6153</v>
      </c>
    </row>
    <row r="41391" spans="8:8">
      <c r="H41391" s="680" t="s">
        <v>6153</v>
      </c>
    </row>
    <row r="41392" spans="8:8">
      <c r="H41392" s="680" t="s">
        <v>6153</v>
      </c>
    </row>
    <row r="41393" spans="8:8">
      <c r="H41393" s="680" t="s">
        <v>6153</v>
      </c>
    </row>
    <row r="41394" spans="8:8">
      <c r="H41394" s="680" t="s">
        <v>6153</v>
      </c>
    </row>
    <row r="41395" spans="8:8">
      <c r="H41395" s="680" t="s">
        <v>6153</v>
      </c>
    </row>
    <row r="41396" spans="8:8">
      <c r="H41396" s="680" t="s">
        <v>6153</v>
      </c>
    </row>
    <row r="41397" spans="8:8">
      <c r="H41397" s="680" t="s">
        <v>6153</v>
      </c>
    </row>
    <row r="41398" spans="8:8">
      <c r="H41398" s="680" t="s">
        <v>6153</v>
      </c>
    </row>
    <row r="41399" spans="8:8">
      <c r="H41399" s="680" t="s">
        <v>6153</v>
      </c>
    </row>
    <row r="41400" spans="8:8">
      <c r="H41400" s="680" t="s">
        <v>6153</v>
      </c>
    </row>
    <row r="41401" spans="8:8">
      <c r="H41401" s="680" t="s">
        <v>6153</v>
      </c>
    </row>
    <row r="41402" spans="8:8">
      <c r="H41402" s="680" t="s">
        <v>6153</v>
      </c>
    </row>
    <row r="41403" spans="8:8">
      <c r="H41403" s="680" t="s">
        <v>6153</v>
      </c>
    </row>
    <row r="41404" spans="8:8">
      <c r="H41404" s="680" t="s">
        <v>6153</v>
      </c>
    </row>
    <row r="41405" spans="8:8">
      <c r="H41405" s="680" t="s">
        <v>6153</v>
      </c>
    </row>
    <row r="41406" spans="8:8">
      <c r="H41406" s="680" t="s">
        <v>6153</v>
      </c>
    </row>
    <row r="41407" spans="8:8">
      <c r="H41407" s="680" t="s">
        <v>6153</v>
      </c>
    </row>
    <row r="41408" spans="8:8">
      <c r="H41408" s="680" t="s">
        <v>6153</v>
      </c>
    </row>
    <row r="41409" spans="8:8">
      <c r="H41409" s="680" t="s">
        <v>6153</v>
      </c>
    </row>
    <row r="41410" spans="8:8">
      <c r="H41410" s="680" t="s">
        <v>6153</v>
      </c>
    </row>
    <row r="41411" spans="8:8">
      <c r="H41411" s="680" t="s">
        <v>6153</v>
      </c>
    </row>
    <row r="41412" spans="8:8">
      <c r="H41412" s="680" t="s">
        <v>6153</v>
      </c>
    </row>
    <row r="41413" spans="8:8">
      <c r="H41413" s="680" t="s">
        <v>6153</v>
      </c>
    </row>
    <row r="41414" spans="8:8">
      <c r="H41414" s="680" t="s">
        <v>6153</v>
      </c>
    </row>
    <row r="41415" spans="8:8">
      <c r="H41415" s="680" t="s">
        <v>6153</v>
      </c>
    </row>
    <row r="41416" spans="8:8">
      <c r="H41416" s="680" t="s">
        <v>6153</v>
      </c>
    </row>
    <row r="41417" spans="8:8">
      <c r="H41417" s="680" t="s">
        <v>6153</v>
      </c>
    </row>
    <row r="41418" spans="8:8">
      <c r="H41418" s="680" t="s">
        <v>6153</v>
      </c>
    </row>
    <row r="41419" spans="8:8">
      <c r="H41419" s="680" t="s">
        <v>6153</v>
      </c>
    </row>
    <row r="41420" spans="8:8">
      <c r="H41420" s="680" t="s">
        <v>6153</v>
      </c>
    </row>
    <row r="41421" spans="8:8">
      <c r="H41421" s="680" t="s">
        <v>6153</v>
      </c>
    </row>
    <row r="41422" spans="8:8">
      <c r="H41422" s="680" t="s">
        <v>6153</v>
      </c>
    </row>
    <row r="41423" spans="8:8">
      <c r="H41423" s="680" t="s">
        <v>6153</v>
      </c>
    </row>
    <row r="41424" spans="8:8">
      <c r="H41424" s="680" t="s">
        <v>6153</v>
      </c>
    </row>
    <row r="41425" spans="8:8">
      <c r="H41425" s="680" t="s">
        <v>6153</v>
      </c>
    </row>
    <row r="41426" spans="8:8">
      <c r="H41426" s="680" t="s">
        <v>6153</v>
      </c>
    </row>
    <row r="41427" spans="8:8">
      <c r="H41427" s="680" t="s">
        <v>6153</v>
      </c>
    </row>
    <row r="41428" spans="8:8">
      <c r="H41428" s="680" t="s">
        <v>6153</v>
      </c>
    </row>
    <row r="41429" spans="8:8">
      <c r="H41429" s="680" t="s">
        <v>6153</v>
      </c>
    </row>
    <row r="41430" spans="8:8">
      <c r="H41430" s="680" t="s">
        <v>6153</v>
      </c>
    </row>
    <row r="41431" spans="8:8">
      <c r="H41431" s="680" t="s">
        <v>6153</v>
      </c>
    </row>
    <row r="41432" spans="8:8">
      <c r="H41432" s="680" t="s">
        <v>6153</v>
      </c>
    </row>
    <row r="41433" spans="8:8">
      <c r="H41433" s="680" t="s">
        <v>6153</v>
      </c>
    </row>
    <row r="41434" spans="8:8">
      <c r="H41434" s="680" t="s">
        <v>6153</v>
      </c>
    </row>
    <row r="41435" spans="8:8">
      <c r="H41435" s="680" t="s">
        <v>6153</v>
      </c>
    </row>
    <row r="41436" spans="8:8">
      <c r="H41436" s="680" t="s">
        <v>6153</v>
      </c>
    </row>
    <row r="41437" spans="8:8">
      <c r="H41437" s="680" t="s">
        <v>6153</v>
      </c>
    </row>
    <row r="41438" spans="8:8">
      <c r="H41438" s="680" t="s">
        <v>6153</v>
      </c>
    </row>
    <row r="41439" spans="8:8">
      <c r="H41439" s="680" t="s">
        <v>6153</v>
      </c>
    </row>
    <row r="41440" spans="8:8">
      <c r="H41440" s="680" t="s">
        <v>6153</v>
      </c>
    </row>
    <row r="41441" spans="8:8">
      <c r="H41441" s="680" t="s">
        <v>6153</v>
      </c>
    </row>
    <row r="41442" spans="8:8">
      <c r="H41442" s="680" t="s">
        <v>6153</v>
      </c>
    </row>
    <row r="41443" spans="8:8">
      <c r="H41443" s="680" t="s">
        <v>6153</v>
      </c>
    </row>
    <row r="41444" spans="8:8">
      <c r="H41444" s="680" t="s">
        <v>6153</v>
      </c>
    </row>
    <row r="41445" spans="8:8">
      <c r="H41445" s="680" t="s">
        <v>6153</v>
      </c>
    </row>
    <row r="41446" spans="8:8">
      <c r="H41446" s="680" t="s">
        <v>6153</v>
      </c>
    </row>
    <row r="41447" spans="8:8">
      <c r="H41447" s="680" t="s">
        <v>6153</v>
      </c>
    </row>
    <row r="41448" spans="8:8">
      <c r="H41448" s="680" t="s">
        <v>6153</v>
      </c>
    </row>
    <row r="41449" spans="8:8">
      <c r="H41449" s="680" t="s">
        <v>6153</v>
      </c>
    </row>
    <row r="41450" spans="8:8">
      <c r="H41450" s="680" t="s">
        <v>6153</v>
      </c>
    </row>
    <row r="41451" spans="8:8">
      <c r="H41451" s="680" t="s">
        <v>6153</v>
      </c>
    </row>
    <row r="41452" spans="8:8">
      <c r="H41452" s="680" t="s">
        <v>6153</v>
      </c>
    </row>
    <row r="41453" spans="8:8">
      <c r="H41453" s="680" t="s">
        <v>6153</v>
      </c>
    </row>
    <row r="41454" spans="8:8">
      <c r="H41454" s="680" t="s">
        <v>6153</v>
      </c>
    </row>
    <row r="41455" spans="8:8">
      <c r="H41455" s="680" t="s">
        <v>6153</v>
      </c>
    </row>
    <row r="41456" spans="8:8">
      <c r="H41456" s="680" t="s">
        <v>6153</v>
      </c>
    </row>
    <row r="41457" spans="8:8">
      <c r="H41457" s="680" t="s">
        <v>6153</v>
      </c>
    </row>
    <row r="41458" spans="8:8">
      <c r="H41458" s="680" t="s">
        <v>6153</v>
      </c>
    </row>
    <row r="41459" spans="8:8">
      <c r="H41459" s="680" t="s">
        <v>6153</v>
      </c>
    </row>
    <row r="41460" spans="8:8">
      <c r="H41460" s="680" t="s">
        <v>6153</v>
      </c>
    </row>
    <row r="41461" spans="8:8">
      <c r="H41461" s="680" t="s">
        <v>6153</v>
      </c>
    </row>
    <row r="41462" spans="8:8">
      <c r="H41462" s="680" t="s">
        <v>6153</v>
      </c>
    </row>
    <row r="41463" spans="8:8">
      <c r="H41463" s="680" t="s">
        <v>6153</v>
      </c>
    </row>
    <row r="41464" spans="8:8">
      <c r="H41464" s="680" t="s">
        <v>6153</v>
      </c>
    </row>
    <row r="41465" spans="8:8">
      <c r="H41465" s="680" t="s">
        <v>6153</v>
      </c>
    </row>
    <row r="41466" spans="8:8">
      <c r="H41466" s="680" t="s">
        <v>6153</v>
      </c>
    </row>
    <row r="41467" spans="8:8">
      <c r="H41467" s="680" t="s">
        <v>6153</v>
      </c>
    </row>
    <row r="41468" spans="8:8">
      <c r="H41468" s="680" t="s">
        <v>6153</v>
      </c>
    </row>
    <row r="41469" spans="8:8">
      <c r="H41469" s="680" t="s">
        <v>6153</v>
      </c>
    </row>
    <row r="41470" spans="8:8">
      <c r="H41470" s="680" t="s">
        <v>6153</v>
      </c>
    </row>
    <row r="41471" spans="8:8">
      <c r="H41471" s="680" t="s">
        <v>6153</v>
      </c>
    </row>
    <row r="41472" spans="8:8">
      <c r="H41472" s="680" t="s">
        <v>6153</v>
      </c>
    </row>
    <row r="41473" spans="8:8">
      <c r="H41473" s="680" t="s">
        <v>6153</v>
      </c>
    </row>
    <row r="41474" spans="8:8">
      <c r="H41474" s="680" t="s">
        <v>6153</v>
      </c>
    </row>
    <row r="41475" spans="8:8">
      <c r="H41475" s="680" t="s">
        <v>6153</v>
      </c>
    </row>
    <row r="41476" spans="8:8">
      <c r="H41476" s="680" t="s">
        <v>6153</v>
      </c>
    </row>
    <row r="41477" spans="8:8">
      <c r="H41477" s="680" t="s">
        <v>6153</v>
      </c>
    </row>
    <row r="41478" spans="8:8">
      <c r="H41478" s="680" t="s">
        <v>6153</v>
      </c>
    </row>
    <row r="41479" spans="8:8">
      <c r="H41479" s="680" t="s">
        <v>6153</v>
      </c>
    </row>
    <row r="41480" spans="8:8">
      <c r="H41480" s="680" t="s">
        <v>6153</v>
      </c>
    </row>
    <row r="41481" spans="8:8">
      <c r="H41481" s="680" t="s">
        <v>6153</v>
      </c>
    </row>
    <row r="41482" spans="8:8">
      <c r="H41482" s="680" t="s">
        <v>6153</v>
      </c>
    </row>
    <row r="41483" spans="8:8">
      <c r="H41483" s="680" t="s">
        <v>6153</v>
      </c>
    </row>
    <row r="41484" spans="8:8">
      <c r="H41484" s="680" t="s">
        <v>6153</v>
      </c>
    </row>
    <row r="41485" spans="8:8">
      <c r="H41485" s="680" t="s">
        <v>6153</v>
      </c>
    </row>
    <row r="41486" spans="8:8">
      <c r="H41486" s="680" t="s">
        <v>6153</v>
      </c>
    </row>
    <row r="41487" spans="8:8">
      <c r="H41487" s="680" t="s">
        <v>6153</v>
      </c>
    </row>
    <row r="41488" spans="8:8">
      <c r="H41488" s="680" t="s">
        <v>6153</v>
      </c>
    </row>
    <row r="41489" spans="8:8">
      <c r="H41489" s="680" t="s">
        <v>6153</v>
      </c>
    </row>
    <row r="41490" spans="8:8">
      <c r="H41490" s="680" t="s">
        <v>6153</v>
      </c>
    </row>
    <row r="41491" spans="8:8">
      <c r="H41491" s="680" t="s">
        <v>6153</v>
      </c>
    </row>
    <row r="41492" spans="8:8">
      <c r="H41492" s="680" t="s">
        <v>6153</v>
      </c>
    </row>
    <row r="41493" spans="8:8">
      <c r="H41493" s="680" t="s">
        <v>6153</v>
      </c>
    </row>
    <row r="41494" spans="8:8">
      <c r="H41494" s="680" t="s">
        <v>6153</v>
      </c>
    </row>
    <row r="41495" spans="8:8">
      <c r="H41495" s="680" t="s">
        <v>6153</v>
      </c>
    </row>
    <row r="41496" spans="8:8">
      <c r="H41496" s="680" t="s">
        <v>6153</v>
      </c>
    </row>
    <row r="41497" spans="8:8">
      <c r="H41497" s="680" t="s">
        <v>6153</v>
      </c>
    </row>
    <row r="41498" spans="8:8">
      <c r="H41498" s="680" t="s">
        <v>6153</v>
      </c>
    </row>
    <row r="41499" spans="8:8">
      <c r="H41499" s="680" t="s">
        <v>6153</v>
      </c>
    </row>
    <row r="41500" spans="8:8">
      <c r="H41500" s="680" t="s">
        <v>6153</v>
      </c>
    </row>
    <row r="41501" spans="8:8">
      <c r="H41501" s="680" t="s">
        <v>6153</v>
      </c>
    </row>
    <row r="41502" spans="8:8">
      <c r="H41502" s="680" t="s">
        <v>6153</v>
      </c>
    </row>
    <row r="41503" spans="8:8">
      <c r="H41503" s="680" t="s">
        <v>6153</v>
      </c>
    </row>
    <row r="41504" spans="8:8">
      <c r="H41504" s="680" t="s">
        <v>6153</v>
      </c>
    </row>
    <row r="41505" spans="8:8">
      <c r="H41505" s="680" t="s">
        <v>6153</v>
      </c>
    </row>
    <row r="41506" spans="8:8">
      <c r="H41506" s="680" t="s">
        <v>6153</v>
      </c>
    </row>
    <row r="41507" spans="8:8">
      <c r="H41507" s="680" t="s">
        <v>6153</v>
      </c>
    </row>
    <row r="41508" spans="8:8">
      <c r="H41508" s="680" t="s">
        <v>6153</v>
      </c>
    </row>
    <row r="41509" spans="8:8">
      <c r="H41509" s="680" t="s">
        <v>6153</v>
      </c>
    </row>
    <row r="41510" spans="8:8">
      <c r="H41510" s="680" t="s">
        <v>6153</v>
      </c>
    </row>
    <row r="41511" spans="8:8">
      <c r="H41511" s="680" t="s">
        <v>6153</v>
      </c>
    </row>
    <row r="41512" spans="8:8">
      <c r="H41512" s="680" t="s">
        <v>6153</v>
      </c>
    </row>
    <row r="41513" spans="8:8">
      <c r="H41513" s="680" t="s">
        <v>6153</v>
      </c>
    </row>
    <row r="41514" spans="8:8">
      <c r="H41514" s="680" t="s">
        <v>6153</v>
      </c>
    </row>
    <row r="41515" spans="8:8">
      <c r="H41515" s="680" t="s">
        <v>6153</v>
      </c>
    </row>
    <row r="41516" spans="8:8">
      <c r="H41516" s="680" t="s">
        <v>6153</v>
      </c>
    </row>
    <row r="41517" spans="8:8">
      <c r="H41517" s="680" t="s">
        <v>6153</v>
      </c>
    </row>
    <row r="41518" spans="8:8">
      <c r="H41518" s="680" t="s">
        <v>6153</v>
      </c>
    </row>
    <row r="41519" spans="8:8">
      <c r="H41519" s="680" t="s">
        <v>6153</v>
      </c>
    </row>
    <row r="41520" spans="8:8">
      <c r="H41520" s="680" t="s">
        <v>6153</v>
      </c>
    </row>
    <row r="41521" spans="8:8">
      <c r="H41521" s="680" t="s">
        <v>6153</v>
      </c>
    </row>
    <row r="41522" spans="8:8">
      <c r="H41522" s="680" t="s">
        <v>6153</v>
      </c>
    </row>
    <row r="41523" spans="8:8">
      <c r="H41523" s="680" t="s">
        <v>6153</v>
      </c>
    </row>
    <row r="41524" spans="8:8">
      <c r="H41524" s="680" t="s">
        <v>6153</v>
      </c>
    </row>
    <row r="41525" spans="8:8">
      <c r="H41525" s="680" t="s">
        <v>6153</v>
      </c>
    </row>
    <row r="41526" spans="8:8">
      <c r="H41526" s="680" t="s">
        <v>6153</v>
      </c>
    </row>
    <row r="41527" spans="8:8">
      <c r="H41527" s="680" t="s">
        <v>6153</v>
      </c>
    </row>
    <row r="41528" spans="8:8">
      <c r="H41528" s="680" t="s">
        <v>6153</v>
      </c>
    </row>
    <row r="41529" spans="8:8">
      <c r="H41529" s="680" t="s">
        <v>6153</v>
      </c>
    </row>
    <row r="41530" spans="8:8">
      <c r="H41530" s="680" t="s">
        <v>6153</v>
      </c>
    </row>
    <row r="41531" spans="8:8">
      <c r="H41531" s="680" t="s">
        <v>6153</v>
      </c>
    </row>
    <row r="41532" spans="8:8">
      <c r="H41532" s="680" t="s">
        <v>6153</v>
      </c>
    </row>
    <row r="41533" spans="8:8">
      <c r="H41533" s="680" t="s">
        <v>6153</v>
      </c>
    </row>
    <row r="41534" spans="8:8">
      <c r="H41534" s="680" t="s">
        <v>6153</v>
      </c>
    </row>
    <row r="41535" spans="8:8">
      <c r="H41535" s="680" t="s">
        <v>6153</v>
      </c>
    </row>
    <row r="41536" spans="8:8">
      <c r="H41536" s="680" t="s">
        <v>6153</v>
      </c>
    </row>
    <row r="41537" spans="8:8">
      <c r="H41537" s="680" t="s">
        <v>6153</v>
      </c>
    </row>
    <row r="41538" spans="8:8">
      <c r="H41538" s="680" t="s">
        <v>6153</v>
      </c>
    </row>
    <row r="41539" spans="8:8">
      <c r="H41539" s="680" t="s">
        <v>6153</v>
      </c>
    </row>
    <row r="41540" spans="8:8">
      <c r="H41540" s="680" t="s">
        <v>6153</v>
      </c>
    </row>
    <row r="41541" spans="8:8">
      <c r="H41541" s="680" t="s">
        <v>6153</v>
      </c>
    </row>
    <row r="41542" spans="8:8">
      <c r="H41542" s="680" t="s">
        <v>6153</v>
      </c>
    </row>
    <row r="41543" spans="8:8">
      <c r="H41543" s="680" t="s">
        <v>6153</v>
      </c>
    </row>
    <row r="41544" spans="8:8">
      <c r="H41544" s="680" t="s">
        <v>6153</v>
      </c>
    </row>
    <row r="41545" spans="8:8">
      <c r="H41545" s="680" t="s">
        <v>6153</v>
      </c>
    </row>
    <row r="41546" spans="8:8">
      <c r="H41546" s="680" t="s">
        <v>6153</v>
      </c>
    </row>
    <row r="41547" spans="8:8">
      <c r="H41547" s="680" t="s">
        <v>6153</v>
      </c>
    </row>
    <row r="41548" spans="8:8">
      <c r="H41548" s="680" t="s">
        <v>6153</v>
      </c>
    </row>
    <row r="41549" spans="8:8">
      <c r="H41549" s="680" t="s">
        <v>6153</v>
      </c>
    </row>
    <row r="41550" spans="8:8">
      <c r="H41550" s="680" t="s">
        <v>6153</v>
      </c>
    </row>
    <row r="41551" spans="8:8">
      <c r="H41551" s="680" t="s">
        <v>6153</v>
      </c>
    </row>
    <row r="41552" spans="8:8">
      <c r="H41552" s="680" t="s">
        <v>6153</v>
      </c>
    </row>
    <row r="41553" spans="8:8">
      <c r="H41553" s="680" t="s">
        <v>6153</v>
      </c>
    </row>
    <row r="41554" spans="8:8">
      <c r="H41554" s="680" t="s">
        <v>6153</v>
      </c>
    </row>
    <row r="41555" spans="8:8">
      <c r="H41555" s="680" t="s">
        <v>6153</v>
      </c>
    </row>
    <row r="41556" spans="8:8">
      <c r="H41556" s="680" t="s">
        <v>6153</v>
      </c>
    </row>
    <row r="41557" spans="8:8">
      <c r="H41557" s="680" t="s">
        <v>6153</v>
      </c>
    </row>
    <row r="41558" spans="8:8">
      <c r="H41558" s="680" t="s">
        <v>6153</v>
      </c>
    </row>
    <row r="41559" spans="8:8">
      <c r="H41559" s="680" t="s">
        <v>6153</v>
      </c>
    </row>
    <row r="41560" spans="8:8">
      <c r="H41560" s="680" t="s">
        <v>6153</v>
      </c>
    </row>
    <row r="41561" spans="8:8">
      <c r="H41561" s="680" t="s">
        <v>6153</v>
      </c>
    </row>
    <row r="41562" spans="8:8">
      <c r="H41562" s="680" t="s">
        <v>6153</v>
      </c>
    </row>
    <row r="41563" spans="8:8">
      <c r="H41563" s="680" t="s">
        <v>6153</v>
      </c>
    </row>
    <row r="41564" spans="8:8">
      <c r="H41564" s="680" t="s">
        <v>6153</v>
      </c>
    </row>
    <row r="41565" spans="8:8">
      <c r="H41565" s="680" t="s">
        <v>6153</v>
      </c>
    </row>
    <row r="41566" spans="8:8">
      <c r="H41566" s="680" t="s">
        <v>6153</v>
      </c>
    </row>
    <row r="41567" spans="8:8">
      <c r="H41567" s="680" t="s">
        <v>6153</v>
      </c>
    </row>
    <row r="41568" spans="8:8">
      <c r="H41568" s="680" t="s">
        <v>6153</v>
      </c>
    </row>
    <row r="41569" spans="8:8">
      <c r="H41569" s="680" t="s">
        <v>6153</v>
      </c>
    </row>
    <row r="41570" spans="8:8">
      <c r="H41570" s="680" t="s">
        <v>6153</v>
      </c>
    </row>
    <row r="41571" spans="8:8">
      <c r="H41571" s="680" t="s">
        <v>6153</v>
      </c>
    </row>
    <row r="41572" spans="8:8">
      <c r="H41572" s="680" t="s">
        <v>6153</v>
      </c>
    </row>
    <row r="41573" spans="8:8">
      <c r="H41573" s="680" t="s">
        <v>6153</v>
      </c>
    </row>
    <row r="41574" spans="8:8">
      <c r="H41574" s="680" t="s">
        <v>6153</v>
      </c>
    </row>
    <row r="41575" spans="8:8">
      <c r="H41575" s="680" t="s">
        <v>6153</v>
      </c>
    </row>
    <row r="41576" spans="8:8">
      <c r="H41576" s="680" t="s">
        <v>6153</v>
      </c>
    </row>
    <row r="41577" spans="8:8">
      <c r="H41577" s="680" t="s">
        <v>6153</v>
      </c>
    </row>
    <row r="41578" spans="8:8">
      <c r="H41578" s="680" t="s">
        <v>6153</v>
      </c>
    </row>
    <row r="41579" spans="8:8">
      <c r="H41579" s="680" t="s">
        <v>6153</v>
      </c>
    </row>
    <row r="41580" spans="8:8">
      <c r="H41580" s="680" t="s">
        <v>6153</v>
      </c>
    </row>
    <row r="41581" spans="8:8">
      <c r="H41581" s="680" t="s">
        <v>6153</v>
      </c>
    </row>
    <row r="41582" spans="8:8">
      <c r="H41582" s="680" t="s">
        <v>6153</v>
      </c>
    </row>
    <row r="41583" spans="8:8">
      <c r="H41583" s="680" t="s">
        <v>6153</v>
      </c>
    </row>
    <row r="41584" spans="8:8">
      <c r="H41584" s="680" t="s">
        <v>6153</v>
      </c>
    </row>
    <row r="41585" spans="8:8">
      <c r="H41585" s="680" t="s">
        <v>6153</v>
      </c>
    </row>
    <row r="41586" spans="8:8">
      <c r="H41586" s="680" t="s">
        <v>6153</v>
      </c>
    </row>
    <row r="41587" spans="8:8">
      <c r="H41587" s="680" t="s">
        <v>6153</v>
      </c>
    </row>
    <row r="41588" spans="8:8">
      <c r="H41588" s="680" t="s">
        <v>6153</v>
      </c>
    </row>
    <row r="41589" spans="8:8">
      <c r="H41589" s="680" t="s">
        <v>6153</v>
      </c>
    </row>
    <row r="41590" spans="8:8">
      <c r="H41590" s="680" t="s">
        <v>6153</v>
      </c>
    </row>
    <row r="41591" spans="8:8">
      <c r="H41591" s="680" t="s">
        <v>6153</v>
      </c>
    </row>
    <row r="41592" spans="8:8">
      <c r="H41592" s="680" t="s">
        <v>6153</v>
      </c>
    </row>
    <row r="41593" spans="8:8">
      <c r="H41593" s="680" t="s">
        <v>6153</v>
      </c>
    </row>
    <row r="41594" spans="8:8">
      <c r="H41594" s="680" t="s">
        <v>6153</v>
      </c>
    </row>
    <row r="41595" spans="8:8">
      <c r="H41595" s="680" t="s">
        <v>6153</v>
      </c>
    </row>
    <row r="41596" spans="8:8">
      <c r="H41596" s="680" t="s">
        <v>6153</v>
      </c>
    </row>
    <row r="41597" spans="8:8">
      <c r="H41597" s="680" t="s">
        <v>6153</v>
      </c>
    </row>
    <row r="41598" spans="8:8">
      <c r="H41598" s="680" t="s">
        <v>6153</v>
      </c>
    </row>
    <row r="41599" spans="8:8">
      <c r="H41599" s="680" t="s">
        <v>6153</v>
      </c>
    </row>
    <row r="41600" spans="8:8">
      <c r="H41600" s="680" t="s">
        <v>6153</v>
      </c>
    </row>
    <row r="41601" spans="8:8">
      <c r="H41601" s="680" t="s">
        <v>6153</v>
      </c>
    </row>
    <row r="41602" spans="8:8">
      <c r="H41602" s="680" t="s">
        <v>6153</v>
      </c>
    </row>
    <row r="41603" spans="8:8">
      <c r="H41603" s="680" t="s">
        <v>6153</v>
      </c>
    </row>
    <row r="41604" spans="8:8">
      <c r="H41604" s="680" t="s">
        <v>6153</v>
      </c>
    </row>
    <row r="41605" spans="8:8">
      <c r="H41605" s="680" t="s">
        <v>6153</v>
      </c>
    </row>
    <row r="41606" spans="8:8">
      <c r="H41606" s="680" t="s">
        <v>6153</v>
      </c>
    </row>
    <row r="41607" spans="8:8">
      <c r="H41607" s="680" t="s">
        <v>6153</v>
      </c>
    </row>
    <row r="41608" spans="8:8">
      <c r="H41608" s="680" t="s">
        <v>6153</v>
      </c>
    </row>
    <row r="41609" spans="8:8">
      <c r="H41609" s="680" t="s">
        <v>6153</v>
      </c>
    </row>
    <row r="41610" spans="8:8">
      <c r="H41610" s="680" t="s">
        <v>6153</v>
      </c>
    </row>
    <row r="41611" spans="8:8">
      <c r="H41611" s="680" t="s">
        <v>6153</v>
      </c>
    </row>
    <row r="41612" spans="8:8">
      <c r="H41612" s="680" t="s">
        <v>6153</v>
      </c>
    </row>
    <row r="41613" spans="8:8">
      <c r="H41613" s="680" t="s">
        <v>6153</v>
      </c>
    </row>
    <row r="41614" spans="8:8">
      <c r="H41614" s="680" t="s">
        <v>6153</v>
      </c>
    </row>
    <row r="41615" spans="8:8">
      <c r="H41615" s="680" t="s">
        <v>6153</v>
      </c>
    </row>
    <row r="41616" spans="8:8">
      <c r="H41616" s="680" t="s">
        <v>6153</v>
      </c>
    </row>
    <row r="41617" spans="8:8">
      <c r="H41617" s="680" t="s">
        <v>6153</v>
      </c>
    </row>
    <row r="41618" spans="8:8">
      <c r="H41618" s="680" t="s">
        <v>6153</v>
      </c>
    </row>
    <row r="41619" spans="8:8">
      <c r="H41619" s="680" t="s">
        <v>6153</v>
      </c>
    </row>
    <row r="41620" spans="8:8">
      <c r="H41620" s="680" t="s">
        <v>6153</v>
      </c>
    </row>
    <row r="41621" spans="8:8">
      <c r="H41621" s="680" t="s">
        <v>6153</v>
      </c>
    </row>
    <row r="41622" spans="8:8">
      <c r="H41622" s="680" t="s">
        <v>6153</v>
      </c>
    </row>
    <row r="41623" spans="8:8">
      <c r="H41623" s="680" t="s">
        <v>6153</v>
      </c>
    </row>
    <row r="41624" spans="8:8">
      <c r="H41624" s="680" t="s">
        <v>6153</v>
      </c>
    </row>
    <row r="41625" spans="8:8">
      <c r="H41625" s="680" t="s">
        <v>6153</v>
      </c>
    </row>
    <row r="41626" spans="8:8">
      <c r="H41626" s="680" t="s">
        <v>6153</v>
      </c>
    </row>
    <row r="41627" spans="8:8">
      <c r="H41627" s="680" t="s">
        <v>6153</v>
      </c>
    </row>
    <row r="41628" spans="8:8">
      <c r="H41628" s="680" t="s">
        <v>6153</v>
      </c>
    </row>
    <row r="41629" spans="8:8">
      <c r="H41629" s="680" t="s">
        <v>6153</v>
      </c>
    </row>
    <row r="41630" spans="8:8">
      <c r="H41630" s="680" t="s">
        <v>6153</v>
      </c>
    </row>
    <row r="41631" spans="8:8">
      <c r="H41631" s="680" t="s">
        <v>6153</v>
      </c>
    </row>
    <row r="41632" spans="8:8">
      <c r="H41632" s="680" t="s">
        <v>6153</v>
      </c>
    </row>
    <row r="41633" spans="8:8">
      <c r="H41633" s="680" t="s">
        <v>6153</v>
      </c>
    </row>
    <row r="41634" spans="8:8">
      <c r="H41634" s="680" t="s">
        <v>6153</v>
      </c>
    </row>
    <row r="41635" spans="8:8">
      <c r="H41635" s="680" t="s">
        <v>6153</v>
      </c>
    </row>
    <row r="41636" spans="8:8">
      <c r="H41636" s="680" t="s">
        <v>6153</v>
      </c>
    </row>
    <row r="41637" spans="8:8">
      <c r="H41637" s="680" t="s">
        <v>6153</v>
      </c>
    </row>
    <row r="41638" spans="8:8">
      <c r="H41638" s="680" t="s">
        <v>6153</v>
      </c>
    </row>
    <row r="41639" spans="8:8">
      <c r="H41639" s="680" t="s">
        <v>6153</v>
      </c>
    </row>
    <row r="41640" spans="8:8">
      <c r="H41640" s="680" t="s">
        <v>6153</v>
      </c>
    </row>
    <row r="41641" spans="8:8">
      <c r="H41641" s="680" t="s">
        <v>6153</v>
      </c>
    </row>
    <row r="41642" spans="8:8">
      <c r="H41642" s="680" t="s">
        <v>6153</v>
      </c>
    </row>
    <row r="41643" spans="8:8">
      <c r="H41643" s="680" t="s">
        <v>6153</v>
      </c>
    </row>
    <row r="41644" spans="8:8">
      <c r="H41644" s="680" t="s">
        <v>6153</v>
      </c>
    </row>
    <row r="41645" spans="8:8">
      <c r="H41645" s="680" t="s">
        <v>6153</v>
      </c>
    </row>
    <row r="41646" spans="8:8">
      <c r="H41646" s="680" t="s">
        <v>6153</v>
      </c>
    </row>
    <row r="41647" spans="8:8">
      <c r="H41647" s="680" t="s">
        <v>6153</v>
      </c>
    </row>
    <row r="41648" spans="8:8">
      <c r="H41648" s="680" t="s">
        <v>6153</v>
      </c>
    </row>
    <row r="41649" spans="8:8">
      <c r="H41649" s="680" t="s">
        <v>6153</v>
      </c>
    </row>
    <row r="41650" spans="8:8">
      <c r="H41650" s="680" t="s">
        <v>6153</v>
      </c>
    </row>
    <row r="41651" spans="8:8">
      <c r="H41651" s="680" t="s">
        <v>6153</v>
      </c>
    </row>
    <row r="41652" spans="8:8">
      <c r="H41652" s="680" t="s">
        <v>6153</v>
      </c>
    </row>
    <row r="41653" spans="8:8">
      <c r="H41653" s="680" t="s">
        <v>6153</v>
      </c>
    </row>
    <row r="41654" spans="8:8">
      <c r="H41654" s="680" t="s">
        <v>6153</v>
      </c>
    </row>
    <row r="41655" spans="8:8">
      <c r="H41655" s="680" t="s">
        <v>6153</v>
      </c>
    </row>
    <row r="41656" spans="8:8">
      <c r="H41656" s="680" t="s">
        <v>6153</v>
      </c>
    </row>
    <row r="41657" spans="8:8">
      <c r="H41657" s="680" t="s">
        <v>6153</v>
      </c>
    </row>
    <row r="41658" spans="8:8">
      <c r="H41658" s="680" t="s">
        <v>6153</v>
      </c>
    </row>
    <row r="41659" spans="8:8">
      <c r="H41659" s="680" t="s">
        <v>6153</v>
      </c>
    </row>
    <row r="41660" spans="8:8">
      <c r="H41660" s="680" t="s">
        <v>6153</v>
      </c>
    </row>
    <row r="41661" spans="8:8">
      <c r="H41661" s="680" t="s">
        <v>6153</v>
      </c>
    </row>
    <row r="41662" spans="8:8">
      <c r="H41662" s="680" t="s">
        <v>6153</v>
      </c>
    </row>
    <row r="41663" spans="8:8">
      <c r="H41663" s="680" t="s">
        <v>6153</v>
      </c>
    </row>
    <row r="41664" spans="8:8">
      <c r="H41664" s="680" t="s">
        <v>6153</v>
      </c>
    </row>
    <row r="41665" spans="8:8">
      <c r="H41665" s="680" t="s">
        <v>6153</v>
      </c>
    </row>
    <row r="41666" spans="8:8">
      <c r="H41666" s="680" t="s">
        <v>6153</v>
      </c>
    </row>
    <row r="41667" spans="8:8">
      <c r="H41667" s="680" t="s">
        <v>6153</v>
      </c>
    </row>
    <row r="41668" spans="8:8">
      <c r="H41668" s="680" t="s">
        <v>6153</v>
      </c>
    </row>
    <row r="41669" spans="8:8">
      <c r="H41669" s="680" t="s">
        <v>6153</v>
      </c>
    </row>
    <row r="41670" spans="8:8">
      <c r="H41670" s="680" t="s">
        <v>6153</v>
      </c>
    </row>
    <row r="41671" spans="8:8">
      <c r="H41671" s="680" t="s">
        <v>6153</v>
      </c>
    </row>
    <row r="41672" spans="8:8">
      <c r="H41672" s="680" t="s">
        <v>6153</v>
      </c>
    </row>
    <row r="41673" spans="8:8">
      <c r="H41673" s="680" t="s">
        <v>6153</v>
      </c>
    </row>
    <row r="41674" spans="8:8">
      <c r="H41674" s="680" t="s">
        <v>6153</v>
      </c>
    </row>
    <row r="41675" spans="8:8">
      <c r="H41675" s="680" t="s">
        <v>6153</v>
      </c>
    </row>
    <row r="41676" spans="8:8">
      <c r="H41676" s="680" t="s">
        <v>6153</v>
      </c>
    </row>
    <row r="41677" spans="8:8">
      <c r="H41677" s="680" t="s">
        <v>6153</v>
      </c>
    </row>
    <row r="41678" spans="8:8">
      <c r="H41678" s="680" t="s">
        <v>6153</v>
      </c>
    </row>
    <row r="41679" spans="8:8">
      <c r="H41679" s="680" t="s">
        <v>6153</v>
      </c>
    </row>
    <row r="41680" spans="8:8">
      <c r="H41680" s="680" t="s">
        <v>6153</v>
      </c>
    </row>
    <row r="41681" spans="8:8">
      <c r="H41681" s="680" t="s">
        <v>6153</v>
      </c>
    </row>
    <row r="41682" spans="8:8">
      <c r="H41682" s="680" t="s">
        <v>6153</v>
      </c>
    </row>
    <row r="41683" spans="8:8">
      <c r="H41683" s="680" t="s">
        <v>6153</v>
      </c>
    </row>
    <row r="41684" spans="8:8">
      <c r="H41684" s="680" t="s">
        <v>6153</v>
      </c>
    </row>
    <row r="41685" spans="8:8">
      <c r="H41685" s="680" t="s">
        <v>6153</v>
      </c>
    </row>
    <row r="41686" spans="8:8">
      <c r="H41686" s="680" t="s">
        <v>6153</v>
      </c>
    </row>
    <row r="41687" spans="8:8">
      <c r="H41687" s="680" t="s">
        <v>6153</v>
      </c>
    </row>
    <row r="41688" spans="8:8">
      <c r="H41688" s="680" t="s">
        <v>6153</v>
      </c>
    </row>
    <row r="41689" spans="8:8">
      <c r="H41689" s="680" t="s">
        <v>6153</v>
      </c>
    </row>
    <row r="41690" spans="8:8">
      <c r="H41690" s="680" t="s">
        <v>6153</v>
      </c>
    </row>
    <row r="41691" spans="8:8">
      <c r="H41691" s="680" t="s">
        <v>6153</v>
      </c>
    </row>
    <row r="41692" spans="8:8">
      <c r="H41692" s="680" t="s">
        <v>6153</v>
      </c>
    </row>
    <row r="41693" spans="8:8">
      <c r="H41693" s="680" t="s">
        <v>6153</v>
      </c>
    </row>
    <row r="41694" spans="8:8">
      <c r="H41694" s="680" t="s">
        <v>6153</v>
      </c>
    </row>
    <row r="41695" spans="8:8">
      <c r="H41695" s="680" t="s">
        <v>6153</v>
      </c>
    </row>
    <row r="41696" spans="8:8">
      <c r="H41696" s="680" t="s">
        <v>6153</v>
      </c>
    </row>
    <row r="41697" spans="8:8">
      <c r="H41697" s="680" t="s">
        <v>6153</v>
      </c>
    </row>
    <row r="41698" spans="8:8">
      <c r="H41698" s="680" t="s">
        <v>6153</v>
      </c>
    </row>
    <row r="41699" spans="8:8">
      <c r="H41699" s="680" t="s">
        <v>6153</v>
      </c>
    </row>
    <row r="41700" spans="8:8">
      <c r="H41700" s="680" t="s">
        <v>6153</v>
      </c>
    </row>
    <row r="41701" spans="8:8">
      <c r="H41701" s="680" t="s">
        <v>6153</v>
      </c>
    </row>
    <row r="41702" spans="8:8">
      <c r="H41702" s="680" t="s">
        <v>6153</v>
      </c>
    </row>
    <row r="41703" spans="8:8">
      <c r="H41703" s="680" t="s">
        <v>6153</v>
      </c>
    </row>
    <row r="41704" spans="8:8">
      <c r="H41704" s="680" t="s">
        <v>6153</v>
      </c>
    </row>
    <row r="41705" spans="8:8">
      <c r="H41705" s="680" t="s">
        <v>6153</v>
      </c>
    </row>
    <row r="41706" spans="8:8">
      <c r="H41706" s="680" t="s">
        <v>6153</v>
      </c>
    </row>
    <row r="41707" spans="8:8">
      <c r="H41707" s="680" t="s">
        <v>6153</v>
      </c>
    </row>
    <row r="41708" spans="8:8">
      <c r="H41708" s="680" t="s">
        <v>6153</v>
      </c>
    </row>
    <row r="41709" spans="8:8">
      <c r="H41709" s="680" t="s">
        <v>6153</v>
      </c>
    </row>
    <row r="41710" spans="8:8">
      <c r="H41710" s="680" t="s">
        <v>6153</v>
      </c>
    </row>
    <row r="41711" spans="8:8">
      <c r="H41711" s="680" t="s">
        <v>6153</v>
      </c>
    </row>
    <row r="41712" spans="8:8">
      <c r="H41712" s="680" t="s">
        <v>6153</v>
      </c>
    </row>
    <row r="41713" spans="8:8">
      <c r="H41713" s="680" t="s">
        <v>6153</v>
      </c>
    </row>
    <row r="41714" spans="8:8">
      <c r="H41714" s="680" t="s">
        <v>6153</v>
      </c>
    </row>
    <row r="41715" spans="8:8">
      <c r="H41715" s="680" t="s">
        <v>6153</v>
      </c>
    </row>
    <row r="41716" spans="8:8">
      <c r="H41716" s="680" t="s">
        <v>6153</v>
      </c>
    </row>
    <row r="41717" spans="8:8">
      <c r="H41717" s="680" t="s">
        <v>6153</v>
      </c>
    </row>
    <row r="41718" spans="8:8">
      <c r="H41718" s="680" t="s">
        <v>6153</v>
      </c>
    </row>
    <row r="41719" spans="8:8">
      <c r="H41719" s="680" t="s">
        <v>6153</v>
      </c>
    </row>
    <row r="41720" spans="8:8">
      <c r="H41720" s="680" t="s">
        <v>6153</v>
      </c>
    </row>
    <row r="41721" spans="8:8">
      <c r="H41721" s="680" t="s">
        <v>6153</v>
      </c>
    </row>
    <row r="41722" spans="8:8">
      <c r="H41722" s="680" t="s">
        <v>6153</v>
      </c>
    </row>
    <row r="41723" spans="8:8">
      <c r="H41723" s="680" t="s">
        <v>6153</v>
      </c>
    </row>
    <row r="41724" spans="8:8">
      <c r="H41724" s="680" t="s">
        <v>6153</v>
      </c>
    </row>
    <row r="41725" spans="8:8">
      <c r="H41725" s="680" t="s">
        <v>6153</v>
      </c>
    </row>
    <row r="41726" spans="8:8">
      <c r="H41726" s="680" t="s">
        <v>6153</v>
      </c>
    </row>
    <row r="41727" spans="8:8">
      <c r="H41727" s="680" t="s">
        <v>6153</v>
      </c>
    </row>
    <row r="41728" spans="8:8">
      <c r="H41728" s="680" t="s">
        <v>6153</v>
      </c>
    </row>
    <row r="41729" spans="8:8">
      <c r="H41729" s="680" t="s">
        <v>6153</v>
      </c>
    </row>
    <row r="41730" spans="8:8">
      <c r="H41730" s="680" t="s">
        <v>6153</v>
      </c>
    </row>
    <row r="41731" spans="8:8">
      <c r="H41731" s="680" t="s">
        <v>6153</v>
      </c>
    </row>
    <row r="41732" spans="8:8">
      <c r="H41732" s="680" t="s">
        <v>6153</v>
      </c>
    </row>
    <row r="41733" spans="8:8">
      <c r="H41733" s="680" t="s">
        <v>6153</v>
      </c>
    </row>
    <row r="41734" spans="8:8">
      <c r="H41734" s="680" t="s">
        <v>6153</v>
      </c>
    </row>
    <row r="41735" spans="8:8">
      <c r="H41735" s="680" t="s">
        <v>6153</v>
      </c>
    </row>
    <row r="41736" spans="8:8">
      <c r="H41736" s="680" t="s">
        <v>6153</v>
      </c>
    </row>
    <row r="41737" spans="8:8">
      <c r="H41737" s="680" t="s">
        <v>6153</v>
      </c>
    </row>
    <row r="41738" spans="8:8">
      <c r="H41738" s="680" t="s">
        <v>6153</v>
      </c>
    </row>
    <row r="41739" spans="8:8">
      <c r="H41739" s="680" t="s">
        <v>6153</v>
      </c>
    </row>
    <row r="41740" spans="8:8">
      <c r="H41740" s="680" t="s">
        <v>6153</v>
      </c>
    </row>
    <row r="41741" spans="8:8">
      <c r="H41741" s="680" t="s">
        <v>6153</v>
      </c>
    </row>
    <row r="41742" spans="8:8">
      <c r="H41742" s="680" t="s">
        <v>6153</v>
      </c>
    </row>
    <row r="41743" spans="8:8">
      <c r="H41743" s="680" t="s">
        <v>6153</v>
      </c>
    </row>
    <row r="41744" spans="8:8">
      <c r="H41744" s="680" t="s">
        <v>6153</v>
      </c>
    </row>
    <row r="41745" spans="8:8">
      <c r="H41745" s="680" t="s">
        <v>6153</v>
      </c>
    </row>
    <row r="41746" spans="8:8">
      <c r="H41746" s="680" t="s">
        <v>6153</v>
      </c>
    </row>
    <row r="41747" spans="8:8">
      <c r="H41747" s="680" t="s">
        <v>6153</v>
      </c>
    </row>
    <row r="41748" spans="8:8">
      <c r="H41748" s="680" t="s">
        <v>6153</v>
      </c>
    </row>
    <row r="41749" spans="8:8">
      <c r="H41749" s="680" t="s">
        <v>6153</v>
      </c>
    </row>
    <row r="41750" spans="8:8">
      <c r="H41750" s="680" t="s">
        <v>6153</v>
      </c>
    </row>
    <row r="41751" spans="8:8">
      <c r="H41751" s="680" t="s">
        <v>6153</v>
      </c>
    </row>
    <row r="41752" spans="8:8">
      <c r="H41752" s="680" t="s">
        <v>6153</v>
      </c>
    </row>
    <row r="41753" spans="8:8">
      <c r="H41753" s="680" t="s">
        <v>6153</v>
      </c>
    </row>
    <row r="41754" spans="8:8">
      <c r="H41754" s="680" t="s">
        <v>6153</v>
      </c>
    </row>
    <row r="41755" spans="8:8">
      <c r="H41755" s="680" t="s">
        <v>6153</v>
      </c>
    </row>
    <row r="41756" spans="8:8">
      <c r="H41756" s="680" t="s">
        <v>6153</v>
      </c>
    </row>
    <row r="41757" spans="8:8">
      <c r="H41757" s="680" t="s">
        <v>6153</v>
      </c>
    </row>
    <row r="41758" spans="8:8">
      <c r="H41758" s="680" t="s">
        <v>6153</v>
      </c>
    </row>
    <row r="41759" spans="8:8">
      <c r="H41759" s="680" t="s">
        <v>6153</v>
      </c>
    </row>
    <row r="41760" spans="8:8">
      <c r="H41760" s="680" t="s">
        <v>6153</v>
      </c>
    </row>
    <row r="41761" spans="8:8">
      <c r="H41761" s="680" t="s">
        <v>6153</v>
      </c>
    </row>
    <row r="41762" spans="8:8">
      <c r="H41762" s="680" t="s">
        <v>6153</v>
      </c>
    </row>
    <row r="41763" spans="8:8">
      <c r="H41763" s="680" t="s">
        <v>6153</v>
      </c>
    </row>
    <row r="41764" spans="8:8">
      <c r="H41764" s="680" t="s">
        <v>6153</v>
      </c>
    </row>
    <row r="41765" spans="8:8">
      <c r="H41765" s="680" t="s">
        <v>6153</v>
      </c>
    </row>
    <row r="41766" spans="8:8">
      <c r="H41766" s="680" t="s">
        <v>6153</v>
      </c>
    </row>
    <row r="41767" spans="8:8">
      <c r="H41767" s="680" t="s">
        <v>6153</v>
      </c>
    </row>
    <row r="41768" spans="8:8">
      <c r="H41768" s="680" t="s">
        <v>6153</v>
      </c>
    </row>
    <row r="41769" spans="8:8">
      <c r="H41769" s="680" t="s">
        <v>6153</v>
      </c>
    </row>
    <row r="41770" spans="8:8">
      <c r="H41770" s="680" t="s">
        <v>6153</v>
      </c>
    </row>
    <row r="41771" spans="8:8">
      <c r="H41771" s="680" t="s">
        <v>6153</v>
      </c>
    </row>
    <row r="41772" spans="8:8">
      <c r="H41772" s="680" t="s">
        <v>6153</v>
      </c>
    </row>
    <row r="41773" spans="8:8">
      <c r="H41773" s="680" t="s">
        <v>6153</v>
      </c>
    </row>
    <row r="41774" spans="8:8">
      <c r="H41774" s="680" t="s">
        <v>6153</v>
      </c>
    </row>
    <row r="41775" spans="8:8">
      <c r="H41775" s="680" t="s">
        <v>6153</v>
      </c>
    </row>
    <row r="41776" spans="8:8">
      <c r="H41776" s="680" t="s">
        <v>6153</v>
      </c>
    </row>
    <row r="41777" spans="8:8">
      <c r="H41777" s="680" t="s">
        <v>6153</v>
      </c>
    </row>
    <row r="41778" spans="8:8">
      <c r="H41778" s="680" t="s">
        <v>6153</v>
      </c>
    </row>
    <row r="41779" spans="8:8">
      <c r="H41779" s="680" t="s">
        <v>6153</v>
      </c>
    </row>
    <row r="41780" spans="8:8">
      <c r="H41780" s="680" t="s">
        <v>6153</v>
      </c>
    </row>
    <row r="41781" spans="8:8">
      <c r="H41781" s="680" t="s">
        <v>6153</v>
      </c>
    </row>
    <row r="41782" spans="8:8">
      <c r="H41782" s="680" t="s">
        <v>6153</v>
      </c>
    </row>
    <row r="41783" spans="8:8">
      <c r="H41783" s="680" t="s">
        <v>6153</v>
      </c>
    </row>
    <row r="41784" spans="8:8">
      <c r="H41784" s="680" t="s">
        <v>6153</v>
      </c>
    </row>
    <row r="41785" spans="8:8">
      <c r="H41785" s="680" t="s">
        <v>6153</v>
      </c>
    </row>
    <row r="41786" spans="8:8">
      <c r="H41786" s="680" t="s">
        <v>6153</v>
      </c>
    </row>
    <row r="41787" spans="8:8">
      <c r="H41787" s="680" t="s">
        <v>6153</v>
      </c>
    </row>
    <row r="41788" spans="8:8">
      <c r="H41788" s="680" t="s">
        <v>6153</v>
      </c>
    </row>
    <row r="41789" spans="8:8">
      <c r="H41789" s="680" t="s">
        <v>6153</v>
      </c>
    </row>
    <row r="41790" spans="8:8">
      <c r="H41790" s="680" t="s">
        <v>6153</v>
      </c>
    </row>
    <row r="41791" spans="8:8">
      <c r="H41791" s="680" t="s">
        <v>6153</v>
      </c>
    </row>
    <row r="41792" spans="8:8">
      <c r="H41792" s="680" t="s">
        <v>6153</v>
      </c>
    </row>
    <row r="41793" spans="8:8">
      <c r="H41793" s="680" t="s">
        <v>6153</v>
      </c>
    </row>
    <row r="41794" spans="8:8">
      <c r="H41794" s="680" t="s">
        <v>6153</v>
      </c>
    </row>
    <row r="41795" spans="8:8">
      <c r="H41795" s="680" t="s">
        <v>6153</v>
      </c>
    </row>
    <row r="41796" spans="8:8">
      <c r="H41796" s="680" t="s">
        <v>6153</v>
      </c>
    </row>
    <row r="41797" spans="8:8">
      <c r="H41797" s="680" t="s">
        <v>6153</v>
      </c>
    </row>
    <row r="41798" spans="8:8">
      <c r="H41798" s="680" t="s">
        <v>6153</v>
      </c>
    </row>
    <row r="41799" spans="8:8">
      <c r="H41799" s="680" t="s">
        <v>6153</v>
      </c>
    </row>
    <row r="41800" spans="8:8">
      <c r="H41800" s="680" t="s">
        <v>6153</v>
      </c>
    </row>
    <row r="41801" spans="8:8">
      <c r="H41801" s="680" t="s">
        <v>6153</v>
      </c>
    </row>
    <row r="41802" spans="8:8">
      <c r="H41802" s="680" t="s">
        <v>6153</v>
      </c>
    </row>
    <row r="41803" spans="8:8">
      <c r="H41803" s="680" t="s">
        <v>6153</v>
      </c>
    </row>
    <row r="41804" spans="8:8">
      <c r="H41804" s="680" t="s">
        <v>6153</v>
      </c>
    </row>
    <row r="41805" spans="8:8">
      <c r="H41805" s="680" t="s">
        <v>6153</v>
      </c>
    </row>
    <row r="41806" spans="8:8">
      <c r="H41806" s="680" t="s">
        <v>6153</v>
      </c>
    </row>
    <row r="41807" spans="8:8">
      <c r="H41807" s="680" t="s">
        <v>6153</v>
      </c>
    </row>
    <row r="41808" spans="8:8">
      <c r="H41808" s="680" t="s">
        <v>6153</v>
      </c>
    </row>
    <row r="41809" spans="8:8">
      <c r="H41809" s="680" t="s">
        <v>6153</v>
      </c>
    </row>
    <row r="41810" spans="8:8">
      <c r="H41810" s="680" t="s">
        <v>6153</v>
      </c>
    </row>
    <row r="41811" spans="8:8">
      <c r="H41811" s="680" t="s">
        <v>6153</v>
      </c>
    </row>
    <row r="41812" spans="8:8">
      <c r="H41812" s="680" t="s">
        <v>6153</v>
      </c>
    </row>
    <row r="41813" spans="8:8">
      <c r="H41813" s="680" t="s">
        <v>6153</v>
      </c>
    </row>
    <row r="41814" spans="8:8">
      <c r="H41814" s="680" t="s">
        <v>6153</v>
      </c>
    </row>
    <row r="41815" spans="8:8">
      <c r="H41815" s="680" t="s">
        <v>6153</v>
      </c>
    </row>
    <row r="41816" spans="8:8">
      <c r="H41816" s="680" t="s">
        <v>6153</v>
      </c>
    </row>
    <row r="41817" spans="8:8">
      <c r="H41817" s="680" t="s">
        <v>6153</v>
      </c>
    </row>
    <row r="41818" spans="8:8">
      <c r="H41818" s="680" t="s">
        <v>6153</v>
      </c>
    </row>
    <row r="41819" spans="8:8">
      <c r="H41819" s="680" t="s">
        <v>6153</v>
      </c>
    </row>
    <row r="41820" spans="8:8">
      <c r="H41820" s="680" t="s">
        <v>6153</v>
      </c>
    </row>
    <row r="41821" spans="8:8">
      <c r="H41821" s="680" t="s">
        <v>6153</v>
      </c>
    </row>
    <row r="41822" spans="8:8">
      <c r="H41822" s="680" t="s">
        <v>6153</v>
      </c>
    </row>
    <row r="41823" spans="8:8">
      <c r="H41823" s="680" t="s">
        <v>6153</v>
      </c>
    </row>
    <row r="41824" spans="8:8">
      <c r="H41824" s="680" t="s">
        <v>6153</v>
      </c>
    </row>
    <row r="41825" spans="8:8">
      <c r="H41825" s="680" t="s">
        <v>6153</v>
      </c>
    </row>
    <row r="41826" spans="8:8">
      <c r="H41826" s="680" t="s">
        <v>6153</v>
      </c>
    </row>
    <row r="41827" spans="8:8">
      <c r="H41827" s="680" t="s">
        <v>6153</v>
      </c>
    </row>
    <row r="41828" spans="8:8">
      <c r="H41828" s="680" t="s">
        <v>6153</v>
      </c>
    </row>
    <row r="41829" spans="8:8">
      <c r="H41829" s="680" t="s">
        <v>6153</v>
      </c>
    </row>
    <row r="41830" spans="8:8">
      <c r="H41830" s="680" t="s">
        <v>6153</v>
      </c>
    </row>
    <row r="41831" spans="8:8">
      <c r="H41831" s="680" t="s">
        <v>6153</v>
      </c>
    </row>
    <row r="41832" spans="8:8">
      <c r="H41832" s="680" t="s">
        <v>6153</v>
      </c>
    </row>
    <row r="41833" spans="8:8">
      <c r="H41833" s="680" t="s">
        <v>6153</v>
      </c>
    </row>
    <row r="41834" spans="8:8">
      <c r="H41834" s="680" t="s">
        <v>6153</v>
      </c>
    </row>
    <row r="41835" spans="8:8">
      <c r="H41835" s="680" t="s">
        <v>6153</v>
      </c>
    </row>
    <row r="41836" spans="8:8">
      <c r="H41836" s="680" t="s">
        <v>6153</v>
      </c>
    </row>
    <row r="41837" spans="8:8">
      <c r="H41837" s="680" t="s">
        <v>6153</v>
      </c>
    </row>
    <row r="41838" spans="8:8">
      <c r="H41838" s="680" t="s">
        <v>6153</v>
      </c>
    </row>
    <row r="41839" spans="8:8">
      <c r="H41839" s="680" t="s">
        <v>6153</v>
      </c>
    </row>
    <row r="41840" spans="8:8">
      <c r="H41840" s="680" t="s">
        <v>6153</v>
      </c>
    </row>
    <row r="41841" spans="8:8">
      <c r="H41841" s="680" t="s">
        <v>6153</v>
      </c>
    </row>
    <row r="41842" spans="8:8">
      <c r="H41842" s="680" t="s">
        <v>6153</v>
      </c>
    </row>
    <row r="41843" spans="8:8">
      <c r="H41843" s="680" t="s">
        <v>6153</v>
      </c>
    </row>
    <row r="41844" spans="8:8">
      <c r="H41844" s="680" t="s">
        <v>6153</v>
      </c>
    </row>
    <row r="41845" spans="8:8">
      <c r="H41845" s="680" t="s">
        <v>6153</v>
      </c>
    </row>
    <row r="41846" spans="8:8">
      <c r="H41846" s="680" t="s">
        <v>6153</v>
      </c>
    </row>
    <row r="41847" spans="8:8">
      <c r="H41847" s="680" t="s">
        <v>6153</v>
      </c>
    </row>
    <row r="41848" spans="8:8">
      <c r="H41848" s="680" t="s">
        <v>6153</v>
      </c>
    </row>
    <row r="41849" spans="8:8">
      <c r="H41849" s="680" t="s">
        <v>6153</v>
      </c>
    </row>
    <row r="41850" spans="8:8">
      <c r="H41850" s="680" t="s">
        <v>6153</v>
      </c>
    </row>
    <row r="41851" spans="8:8">
      <c r="H41851" s="680" t="s">
        <v>6153</v>
      </c>
    </row>
    <row r="41852" spans="8:8">
      <c r="H41852" s="680" t="s">
        <v>6153</v>
      </c>
    </row>
    <row r="41853" spans="8:8">
      <c r="H41853" s="680" t="s">
        <v>6153</v>
      </c>
    </row>
    <row r="41854" spans="8:8">
      <c r="H41854" s="680" t="s">
        <v>6153</v>
      </c>
    </row>
    <row r="41855" spans="8:8">
      <c r="H41855" s="680" t="s">
        <v>6153</v>
      </c>
    </row>
    <row r="41856" spans="8:8">
      <c r="H41856" s="680" t="s">
        <v>6153</v>
      </c>
    </row>
    <row r="41857" spans="8:8">
      <c r="H41857" s="680" t="s">
        <v>6153</v>
      </c>
    </row>
    <row r="41858" spans="8:8">
      <c r="H41858" s="680" t="s">
        <v>6153</v>
      </c>
    </row>
    <row r="41859" spans="8:8">
      <c r="H41859" s="680" t="s">
        <v>6153</v>
      </c>
    </row>
    <row r="41860" spans="8:8">
      <c r="H41860" s="680" t="s">
        <v>6153</v>
      </c>
    </row>
    <row r="41861" spans="8:8">
      <c r="H41861" s="680" t="s">
        <v>6153</v>
      </c>
    </row>
    <row r="41862" spans="8:8">
      <c r="H41862" s="680" t="s">
        <v>6153</v>
      </c>
    </row>
    <row r="41863" spans="8:8">
      <c r="H41863" s="680" t="s">
        <v>6153</v>
      </c>
    </row>
    <row r="41864" spans="8:8">
      <c r="H41864" s="680" t="s">
        <v>6153</v>
      </c>
    </row>
    <row r="41865" spans="8:8">
      <c r="H41865" s="680" t="s">
        <v>6153</v>
      </c>
    </row>
    <row r="41866" spans="8:8">
      <c r="H41866" s="680" t="s">
        <v>6153</v>
      </c>
    </row>
    <row r="41867" spans="8:8">
      <c r="H41867" s="680" t="s">
        <v>6153</v>
      </c>
    </row>
    <row r="41868" spans="8:8">
      <c r="H41868" s="680" t="s">
        <v>6153</v>
      </c>
    </row>
    <row r="41869" spans="8:8">
      <c r="H41869" s="680" t="s">
        <v>6153</v>
      </c>
    </row>
    <row r="41870" spans="8:8">
      <c r="H41870" s="680" t="s">
        <v>6153</v>
      </c>
    </row>
    <row r="41871" spans="8:8">
      <c r="H41871" s="680" t="s">
        <v>6153</v>
      </c>
    </row>
    <row r="41872" spans="8:8">
      <c r="H41872" s="680" t="s">
        <v>6153</v>
      </c>
    </row>
    <row r="41873" spans="8:8">
      <c r="H41873" s="680" t="s">
        <v>6153</v>
      </c>
    </row>
    <row r="41874" spans="8:8">
      <c r="H41874" s="680" t="s">
        <v>6153</v>
      </c>
    </row>
    <row r="41875" spans="8:8">
      <c r="H41875" s="680" t="s">
        <v>6153</v>
      </c>
    </row>
    <row r="41876" spans="8:8">
      <c r="H41876" s="680" t="s">
        <v>6153</v>
      </c>
    </row>
    <row r="41877" spans="8:8">
      <c r="H41877" s="680" t="s">
        <v>6153</v>
      </c>
    </row>
    <row r="41878" spans="8:8">
      <c r="H41878" s="680" t="s">
        <v>6153</v>
      </c>
    </row>
    <row r="41879" spans="8:8">
      <c r="H41879" s="680" t="s">
        <v>6153</v>
      </c>
    </row>
    <row r="41880" spans="8:8">
      <c r="H41880" s="680" t="s">
        <v>6153</v>
      </c>
    </row>
    <row r="41881" spans="8:8">
      <c r="H41881" s="680" t="s">
        <v>6153</v>
      </c>
    </row>
    <row r="41882" spans="8:8">
      <c r="H41882" s="680" t="s">
        <v>6153</v>
      </c>
    </row>
    <row r="41883" spans="8:8">
      <c r="H41883" s="680" t="s">
        <v>6153</v>
      </c>
    </row>
    <row r="41884" spans="8:8">
      <c r="H41884" s="680" t="s">
        <v>6153</v>
      </c>
    </row>
    <row r="41885" spans="8:8">
      <c r="H41885" s="680" t="s">
        <v>6153</v>
      </c>
    </row>
    <row r="41886" spans="8:8">
      <c r="H41886" s="680" t="s">
        <v>6153</v>
      </c>
    </row>
    <row r="41887" spans="8:8">
      <c r="H41887" s="680" t="s">
        <v>6153</v>
      </c>
    </row>
    <row r="41888" spans="8:8">
      <c r="H41888" s="680" t="s">
        <v>6153</v>
      </c>
    </row>
    <row r="41889" spans="8:8">
      <c r="H41889" s="680" t="s">
        <v>6153</v>
      </c>
    </row>
    <row r="41890" spans="8:8">
      <c r="H41890" s="680" t="s">
        <v>6153</v>
      </c>
    </row>
    <row r="41891" spans="8:8">
      <c r="H41891" s="680" t="s">
        <v>6153</v>
      </c>
    </row>
    <row r="41892" spans="8:8">
      <c r="H41892" s="680" t="s">
        <v>6153</v>
      </c>
    </row>
    <row r="41893" spans="8:8">
      <c r="H41893" s="680" t="s">
        <v>6153</v>
      </c>
    </row>
    <row r="41894" spans="8:8">
      <c r="H41894" s="680" t="s">
        <v>6153</v>
      </c>
    </row>
    <row r="41895" spans="8:8">
      <c r="H41895" s="680" t="s">
        <v>6153</v>
      </c>
    </row>
    <row r="41896" spans="8:8">
      <c r="H41896" s="680" t="s">
        <v>6153</v>
      </c>
    </row>
    <row r="41897" spans="8:8">
      <c r="H41897" s="680" t="s">
        <v>6153</v>
      </c>
    </row>
    <row r="41898" spans="8:8">
      <c r="H41898" s="680" t="s">
        <v>6153</v>
      </c>
    </row>
    <row r="41899" spans="8:8">
      <c r="H41899" s="680" t="s">
        <v>6153</v>
      </c>
    </row>
    <row r="41900" spans="8:8">
      <c r="H41900" s="680" t="s">
        <v>6153</v>
      </c>
    </row>
    <row r="41901" spans="8:8">
      <c r="H41901" s="680" t="s">
        <v>6153</v>
      </c>
    </row>
    <row r="41902" spans="8:8">
      <c r="H41902" s="680" t="s">
        <v>6153</v>
      </c>
    </row>
    <row r="41903" spans="8:8">
      <c r="H41903" s="680" t="s">
        <v>6153</v>
      </c>
    </row>
    <row r="41904" spans="8:8">
      <c r="H41904" s="680" t="s">
        <v>6153</v>
      </c>
    </row>
    <row r="41905" spans="8:8">
      <c r="H41905" s="680" t="s">
        <v>6153</v>
      </c>
    </row>
    <row r="41906" spans="8:8">
      <c r="H41906" s="680" t="s">
        <v>6153</v>
      </c>
    </row>
    <row r="41907" spans="8:8">
      <c r="H41907" s="680" t="s">
        <v>6153</v>
      </c>
    </row>
    <row r="41908" spans="8:8">
      <c r="H41908" s="680" t="s">
        <v>6153</v>
      </c>
    </row>
    <row r="41909" spans="8:8">
      <c r="H41909" s="680" t="s">
        <v>6153</v>
      </c>
    </row>
    <row r="41910" spans="8:8">
      <c r="H41910" s="680" t="s">
        <v>6153</v>
      </c>
    </row>
    <row r="41911" spans="8:8">
      <c r="H41911" s="680" t="s">
        <v>6153</v>
      </c>
    </row>
    <row r="41912" spans="8:8">
      <c r="H41912" s="680" t="s">
        <v>6153</v>
      </c>
    </row>
    <row r="41913" spans="8:8">
      <c r="H41913" s="680" t="s">
        <v>6153</v>
      </c>
    </row>
    <row r="41914" spans="8:8">
      <c r="H41914" s="680" t="s">
        <v>6153</v>
      </c>
    </row>
    <row r="41915" spans="8:8">
      <c r="H41915" s="680" t="s">
        <v>6153</v>
      </c>
    </row>
    <row r="41916" spans="8:8">
      <c r="H41916" s="680" t="s">
        <v>6153</v>
      </c>
    </row>
    <row r="41917" spans="8:8">
      <c r="H41917" s="680" t="s">
        <v>6153</v>
      </c>
    </row>
    <row r="41918" spans="8:8">
      <c r="H41918" s="680" t="s">
        <v>6153</v>
      </c>
    </row>
    <row r="41919" spans="8:8">
      <c r="H41919" s="680" t="s">
        <v>6153</v>
      </c>
    </row>
    <row r="41920" spans="8:8">
      <c r="H41920" s="680" t="s">
        <v>6153</v>
      </c>
    </row>
    <row r="41921" spans="8:8">
      <c r="H41921" s="680" t="s">
        <v>6153</v>
      </c>
    </row>
    <row r="41922" spans="8:8">
      <c r="H41922" s="680" t="s">
        <v>6153</v>
      </c>
    </row>
    <row r="41923" spans="8:8">
      <c r="H41923" s="680" t="s">
        <v>6153</v>
      </c>
    </row>
    <row r="41924" spans="8:8">
      <c r="H41924" s="680" t="s">
        <v>6153</v>
      </c>
    </row>
    <row r="41925" spans="8:8">
      <c r="H41925" s="680" t="s">
        <v>6153</v>
      </c>
    </row>
    <row r="41926" spans="8:8">
      <c r="H41926" s="680" t="s">
        <v>6153</v>
      </c>
    </row>
    <row r="41927" spans="8:8">
      <c r="H41927" s="680" t="s">
        <v>6153</v>
      </c>
    </row>
    <row r="41928" spans="8:8">
      <c r="H41928" s="680" t="s">
        <v>6153</v>
      </c>
    </row>
    <row r="41929" spans="8:8">
      <c r="H41929" s="680" t="s">
        <v>6153</v>
      </c>
    </row>
    <row r="41930" spans="8:8">
      <c r="H41930" s="680" t="s">
        <v>6153</v>
      </c>
    </row>
    <row r="41931" spans="8:8">
      <c r="H41931" s="680" t="s">
        <v>6153</v>
      </c>
    </row>
    <row r="41932" spans="8:8">
      <c r="H41932" s="680" t="s">
        <v>6153</v>
      </c>
    </row>
    <row r="41933" spans="8:8">
      <c r="H41933" s="680" t="s">
        <v>6153</v>
      </c>
    </row>
    <row r="41934" spans="8:8">
      <c r="H41934" s="680" t="s">
        <v>6153</v>
      </c>
    </row>
    <row r="41935" spans="8:8">
      <c r="H41935" s="680" t="s">
        <v>6153</v>
      </c>
    </row>
    <row r="41936" spans="8:8">
      <c r="H41936" s="680" t="s">
        <v>6153</v>
      </c>
    </row>
    <row r="41937" spans="8:8">
      <c r="H41937" s="680" t="s">
        <v>6153</v>
      </c>
    </row>
    <row r="41938" spans="8:8">
      <c r="H41938" s="680" t="s">
        <v>6153</v>
      </c>
    </row>
    <row r="41939" spans="8:8">
      <c r="H41939" s="680" t="s">
        <v>6153</v>
      </c>
    </row>
    <row r="41940" spans="8:8">
      <c r="H41940" s="680" t="s">
        <v>6153</v>
      </c>
    </row>
    <row r="41941" spans="8:8">
      <c r="H41941" s="680" t="s">
        <v>6153</v>
      </c>
    </row>
    <row r="41942" spans="8:8">
      <c r="H41942" s="680" t="s">
        <v>6153</v>
      </c>
    </row>
    <row r="41943" spans="8:8">
      <c r="H41943" s="680" t="s">
        <v>6153</v>
      </c>
    </row>
    <row r="41944" spans="8:8">
      <c r="H41944" s="680" t="s">
        <v>6153</v>
      </c>
    </row>
    <row r="41945" spans="8:8">
      <c r="H41945" s="680" t="s">
        <v>6153</v>
      </c>
    </row>
    <row r="41946" spans="8:8">
      <c r="H41946" s="680" t="s">
        <v>6153</v>
      </c>
    </row>
    <row r="41947" spans="8:8">
      <c r="H41947" s="680" t="s">
        <v>6153</v>
      </c>
    </row>
    <row r="41948" spans="8:8">
      <c r="H41948" s="680" t="s">
        <v>6153</v>
      </c>
    </row>
    <row r="41949" spans="8:8">
      <c r="H41949" s="680" t="s">
        <v>6153</v>
      </c>
    </row>
    <row r="41950" spans="8:8">
      <c r="H41950" s="680" t="s">
        <v>6153</v>
      </c>
    </row>
    <row r="41951" spans="8:8">
      <c r="H41951" s="680" t="s">
        <v>6153</v>
      </c>
    </row>
    <row r="41952" spans="8:8">
      <c r="H41952" s="680" t="s">
        <v>6153</v>
      </c>
    </row>
    <row r="41953" spans="8:8">
      <c r="H41953" s="680" t="s">
        <v>6153</v>
      </c>
    </row>
    <row r="41954" spans="8:8">
      <c r="H41954" s="680" t="s">
        <v>6153</v>
      </c>
    </row>
    <row r="41955" spans="8:8">
      <c r="H41955" s="680" t="s">
        <v>6153</v>
      </c>
    </row>
    <row r="41956" spans="8:8">
      <c r="H41956" s="680" t="s">
        <v>6153</v>
      </c>
    </row>
    <row r="41957" spans="8:8">
      <c r="H41957" s="680" t="s">
        <v>6153</v>
      </c>
    </row>
    <row r="41958" spans="8:8">
      <c r="H41958" s="680" t="s">
        <v>6153</v>
      </c>
    </row>
    <row r="41959" spans="8:8">
      <c r="H41959" s="680" t="s">
        <v>6153</v>
      </c>
    </row>
    <row r="41960" spans="8:8">
      <c r="H41960" s="680" t="s">
        <v>6153</v>
      </c>
    </row>
    <row r="41961" spans="8:8">
      <c r="H41961" s="680" t="s">
        <v>6153</v>
      </c>
    </row>
    <row r="41962" spans="8:8">
      <c r="H41962" s="680" t="s">
        <v>6153</v>
      </c>
    </row>
    <row r="41963" spans="8:8">
      <c r="H41963" s="680" t="s">
        <v>6153</v>
      </c>
    </row>
    <row r="41964" spans="8:8">
      <c r="H41964" s="680" t="s">
        <v>6153</v>
      </c>
    </row>
    <row r="41965" spans="8:8">
      <c r="H41965" s="680" t="s">
        <v>6153</v>
      </c>
    </row>
    <row r="41966" spans="8:8">
      <c r="H41966" s="680" t="s">
        <v>6153</v>
      </c>
    </row>
    <row r="41967" spans="8:8">
      <c r="H41967" s="680" t="s">
        <v>6153</v>
      </c>
    </row>
    <row r="41968" spans="8:8">
      <c r="H41968" s="680" t="s">
        <v>6153</v>
      </c>
    </row>
    <row r="41969" spans="8:8">
      <c r="H41969" s="680" t="s">
        <v>6153</v>
      </c>
    </row>
    <row r="41970" spans="8:8">
      <c r="H41970" s="680" t="s">
        <v>6153</v>
      </c>
    </row>
    <row r="41971" spans="8:8">
      <c r="H41971" s="680" t="s">
        <v>6153</v>
      </c>
    </row>
    <row r="41972" spans="8:8">
      <c r="H41972" s="680" t="s">
        <v>6153</v>
      </c>
    </row>
    <row r="41973" spans="8:8">
      <c r="H41973" s="680" t="s">
        <v>6153</v>
      </c>
    </row>
    <row r="41974" spans="8:8">
      <c r="H41974" s="680" t="s">
        <v>6153</v>
      </c>
    </row>
    <row r="41975" spans="8:8">
      <c r="H41975" s="680" t="s">
        <v>6153</v>
      </c>
    </row>
    <row r="41976" spans="8:8">
      <c r="H41976" s="680" t="s">
        <v>6153</v>
      </c>
    </row>
    <row r="41977" spans="8:8">
      <c r="H41977" s="680" t="s">
        <v>6153</v>
      </c>
    </row>
    <row r="41978" spans="8:8">
      <c r="H41978" s="680" t="s">
        <v>6153</v>
      </c>
    </row>
    <row r="41979" spans="8:8">
      <c r="H41979" s="680" t="s">
        <v>6153</v>
      </c>
    </row>
    <row r="41980" spans="8:8">
      <c r="H41980" s="680" t="s">
        <v>6153</v>
      </c>
    </row>
    <row r="41981" spans="8:8">
      <c r="H41981" s="680" t="s">
        <v>6153</v>
      </c>
    </row>
    <row r="41982" spans="8:8">
      <c r="H41982" s="680" t="s">
        <v>6153</v>
      </c>
    </row>
    <row r="41983" spans="8:8">
      <c r="H41983" s="680" t="s">
        <v>6153</v>
      </c>
    </row>
    <row r="41984" spans="8:8">
      <c r="H41984" s="680" t="s">
        <v>6153</v>
      </c>
    </row>
    <row r="41985" spans="8:8">
      <c r="H41985" s="680" t="s">
        <v>6153</v>
      </c>
    </row>
    <row r="41986" spans="8:8">
      <c r="H41986" s="680" t="s">
        <v>6153</v>
      </c>
    </row>
    <row r="41987" spans="8:8">
      <c r="H41987" s="680" t="s">
        <v>6153</v>
      </c>
    </row>
    <row r="41988" spans="8:8">
      <c r="H41988" s="680" t="s">
        <v>6153</v>
      </c>
    </row>
    <row r="41989" spans="8:8">
      <c r="H41989" s="680" t="s">
        <v>6153</v>
      </c>
    </row>
    <row r="41990" spans="8:8">
      <c r="H41990" s="680" t="s">
        <v>6153</v>
      </c>
    </row>
    <row r="41991" spans="8:8">
      <c r="H41991" s="680" t="s">
        <v>6153</v>
      </c>
    </row>
    <row r="41992" spans="8:8">
      <c r="H41992" s="680" t="s">
        <v>6153</v>
      </c>
    </row>
    <row r="41993" spans="8:8">
      <c r="H41993" s="680" t="s">
        <v>6153</v>
      </c>
    </row>
    <row r="41994" spans="8:8">
      <c r="H41994" s="680" t="s">
        <v>6153</v>
      </c>
    </row>
    <row r="41995" spans="8:8">
      <c r="H41995" s="680" t="s">
        <v>6153</v>
      </c>
    </row>
    <row r="41996" spans="8:8">
      <c r="H41996" s="680" t="s">
        <v>6153</v>
      </c>
    </row>
    <row r="41997" spans="8:8">
      <c r="H41997" s="680" t="s">
        <v>6153</v>
      </c>
    </row>
    <row r="41998" spans="8:8">
      <c r="H41998" s="680" t="s">
        <v>6153</v>
      </c>
    </row>
    <row r="41999" spans="8:8">
      <c r="H41999" s="680" t="s">
        <v>6153</v>
      </c>
    </row>
    <row r="42000" spans="8:8">
      <c r="H42000" s="680" t="s">
        <v>6153</v>
      </c>
    </row>
    <row r="42001" spans="8:8">
      <c r="H42001" s="680" t="s">
        <v>6153</v>
      </c>
    </row>
    <row r="42002" spans="8:8">
      <c r="H42002" s="680" t="s">
        <v>6153</v>
      </c>
    </row>
    <row r="42003" spans="8:8">
      <c r="H42003" s="680" t="s">
        <v>6153</v>
      </c>
    </row>
    <row r="42004" spans="8:8">
      <c r="H42004" s="680" t="s">
        <v>6153</v>
      </c>
    </row>
    <row r="42005" spans="8:8">
      <c r="H42005" s="680" t="s">
        <v>6153</v>
      </c>
    </row>
    <row r="42006" spans="8:8">
      <c r="H42006" s="680" t="s">
        <v>6153</v>
      </c>
    </row>
    <row r="42007" spans="8:8">
      <c r="H42007" s="680" t="s">
        <v>6153</v>
      </c>
    </row>
    <row r="42008" spans="8:8">
      <c r="H42008" s="680" t="s">
        <v>6153</v>
      </c>
    </row>
    <row r="42009" spans="8:8">
      <c r="H42009" s="680" t="s">
        <v>6153</v>
      </c>
    </row>
    <row r="42010" spans="8:8">
      <c r="H42010" s="680" t="s">
        <v>6153</v>
      </c>
    </row>
    <row r="42011" spans="8:8">
      <c r="H42011" s="680" t="s">
        <v>6153</v>
      </c>
    </row>
    <row r="42012" spans="8:8">
      <c r="H42012" s="680" t="s">
        <v>6153</v>
      </c>
    </row>
    <row r="42013" spans="8:8">
      <c r="H42013" s="680" t="s">
        <v>6153</v>
      </c>
    </row>
    <row r="42014" spans="8:8">
      <c r="H42014" s="680" t="s">
        <v>6153</v>
      </c>
    </row>
    <row r="42015" spans="8:8">
      <c r="H42015" s="680" t="s">
        <v>6153</v>
      </c>
    </row>
    <row r="42016" spans="8:8">
      <c r="H42016" s="680" t="s">
        <v>6153</v>
      </c>
    </row>
    <row r="42017" spans="8:8">
      <c r="H42017" s="680" t="s">
        <v>6153</v>
      </c>
    </row>
    <row r="42018" spans="8:8">
      <c r="H42018" s="680" t="s">
        <v>6153</v>
      </c>
    </row>
    <row r="42019" spans="8:8">
      <c r="H42019" s="680" t="s">
        <v>6153</v>
      </c>
    </row>
    <row r="42020" spans="8:8">
      <c r="H42020" s="680" t="s">
        <v>6153</v>
      </c>
    </row>
    <row r="42021" spans="8:8">
      <c r="H42021" s="680" t="s">
        <v>6153</v>
      </c>
    </row>
    <row r="42022" spans="8:8">
      <c r="H42022" s="680" t="s">
        <v>6153</v>
      </c>
    </row>
    <row r="42023" spans="8:8">
      <c r="H42023" s="680" t="s">
        <v>6153</v>
      </c>
    </row>
    <row r="42024" spans="8:8">
      <c r="H42024" s="680" t="s">
        <v>6153</v>
      </c>
    </row>
    <row r="42025" spans="8:8">
      <c r="H42025" s="680" t="s">
        <v>6153</v>
      </c>
    </row>
    <row r="42026" spans="8:8">
      <c r="H42026" s="680" t="s">
        <v>6153</v>
      </c>
    </row>
    <row r="42027" spans="8:8">
      <c r="H42027" s="680" t="s">
        <v>6153</v>
      </c>
    </row>
    <row r="42028" spans="8:8">
      <c r="H42028" s="680" t="s">
        <v>6153</v>
      </c>
    </row>
    <row r="42029" spans="8:8">
      <c r="H42029" s="680" t="s">
        <v>6153</v>
      </c>
    </row>
    <row r="42030" spans="8:8">
      <c r="H42030" s="680" t="s">
        <v>6153</v>
      </c>
    </row>
    <row r="42031" spans="8:8">
      <c r="H42031" s="680" t="s">
        <v>6153</v>
      </c>
    </row>
    <row r="42032" spans="8:8">
      <c r="H42032" s="680" t="s">
        <v>6153</v>
      </c>
    </row>
    <row r="42033" spans="8:8">
      <c r="H42033" s="680" t="s">
        <v>6153</v>
      </c>
    </row>
    <row r="42034" spans="8:8">
      <c r="H42034" s="680" t="s">
        <v>6153</v>
      </c>
    </row>
    <row r="42035" spans="8:8">
      <c r="H42035" s="680" t="s">
        <v>6153</v>
      </c>
    </row>
    <row r="42036" spans="8:8">
      <c r="H42036" s="680" t="s">
        <v>6153</v>
      </c>
    </row>
    <row r="42037" spans="8:8">
      <c r="H42037" s="680" t="s">
        <v>6153</v>
      </c>
    </row>
    <row r="42038" spans="8:8">
      <c r="H42038" s="680" t="s">
        <v>6153</v>
      </c>
    </row>
    <row r="42039" spans="8:8">
      <c r="H42039" s="680" t="s">
        <v>6153</v>
      </c>
    </row>
    <row r="42040" spans="8:8">
      <c r="H42040" s="680" t="s">
        <v>6153</v>
      </c>
    </row>
    <row r="42041" spans="8:8">
      <c r="H42041" s="680" t="s">
        <v>6153</v>
      </c>
    </row>
    <row r="42042" spans="8:8">
      <c r="H42042" s="680" t="s">
        <v>6153</v>
      </c>
    </row>
    <row r="42043" spans="8:8">
      <c r="H42043" s="680" t="s">
        <v>6153</v>
      </c>
    </row>
    <row r="42044" spans="8:8">
      <c r="H42044" s="680" t="s">
        <v>6153</v>
      </c>
    </row>
    <row r="42045" spans="8:8">
      <c r="H42045" s="680" t="s">
        <v>6153</v>
      </c>
    </row>
    <row r="42046" spans="8:8">
      <c r="H42046" s="680" t="s">
        <v>6153</v>
      </c>
    </row>
    <row r="42047" spans="8:8">
      <c r="H42047" s="680" t="s">
        <v>6153</v>
      </c>
    </row>
    <row r="42048" spans="8:8">
      <c r="H42048" s="680" t="s">
        <v>6153</v>
      </c>
    </row>
    <row r="42049" spans="8:8">
      <c r="H42049" s="680" t="s">
        <v>6153</v>
      </c>
    </row>
    <row r="42050" spans="8:8">
      <c r="H42050" s="680" t="s">
        <v>6153</v>
      </c>
    </row>
    <row r="42051" spans="8:8">
      <c r="H42051" s="680" t="s">
        <v>6153</v>
      </c>
    </row>
    <row r="42052" spans="8:8">
      <c r="H42052" s="680" t="s">
        <v>6153</v>
      </c>
    </row>
    <row r="42053" spans="8:8">
      <c r="H42053" s="680" t="s">
        <v>6153</v>
      </c>
    </row>
    <row r="42054" spans="8:8">
      <c r="H42054" s="680" t="s">
        <v>6153</v>
      </c>
    </row>
    <row r="42055" spans="8:8">
      <c r="H42055" s="680" t="s">
        <v>6153</v>
      </c>
    </row>
    <row r="42056" spans="8:8">
      <c r="H42056" s="680" t="s">
        <v>6153</v>
      </c>
    </row>
    <row r="42057" spans="8:8">
      <c r="H42057" s="680" t="s">
        <v>6153</v>
      </c>
    </row>
    <row r="42058" spans="8:8">
      <c r="H42058" s="680" t="s">
        <v>6153</v>
      </c>
    </row>
    <row r="42059" spans="8:8">
      <c r="H42059" s="680" t="s">
        <v>6153</v>
      </c>
    </row>
    <row r="42060" spans="8:8">
      <c r="H42060" s="680" t="s">
        <v>6153</v>
      </c>
    </row>
    <row r="42061" spans="8:8">
      <c r="H42061" s="680" t="s">
        <v>6153</v>
      </c>
    </row>
    <row r="42062" spans="8:8">
      <c r="H42062" s="680" t="s">
        <v>6153</v>
      </c>
    </row>
    <row r="42063" spans="8:8">
      <c r="H42063" s="680" t="s">
        <v>6153</v>
      </c>
    </row>
    <row r="42064" spans="8:8">
      <c r="H42064" s="680" t="s">
        <v>6153</v>
      </c>
    </row>
    <row r="42065" spans="8:8">
      <c r="H42065" s="680" t="s">
        <v>6153</v>
      </c>
    </row>
    <row r="42066" spans="8:8">
      <c r="H42066" s="680" t="s">
        <v>6153</v>
      </c>
    </row>
    <row r="42067" spans="8:8">
      <c r="H42067" s="680" t="s">
        <v>6153</v>
      </c>
    </row>
    <row r="42068" spans="8:8">
      <c r="H42068" s="680" t="s">
        <v>6153</v>
      </c>
    </row>
    <row r="42069" spans="8:8">
      <c r="H42069" s="680" t="s">
        <v>6153</v>
      </c>
    </row>
    <row r="42070" spans="8:8">
      <c r="H42070" s="680" t="s">
        <v>6153</v>
      </c>
    </row>
    <row r="42071" spans="8:8">
      <c r="H42071" s="680" t="s">
        <v>6153</v>
      </c>
    </row>
    <row r="42072" spans="8:8">
      <c r="H42072" s="680" t="s">
        <v>6153</v>
      </c>
    </row>
    <row r="42073" spans="8:8">
      <c r="H42073" s="680" t="s">
        <v>6153</v>
      </c>
    </row>
    <row r="42074" spans="8:8">
      <c r="H42074" s="680" t="s">
        <v>6153</v>
      </c>
    </row>
    <row r="42075" spans="8:8">
      <c r="H42075" s="680" t="s">
        <v>6153</v>
      </c>
    </row>
    <row r="42076" spans="8:8">
      <c r="H42076" s="680" t="s">
        <v>6153</v>
      </c>
    </row>
    <row r="42077" spans="8:8">
      <c r="H42077" s="680" t="s">
        <v>6153</v>
      </c>
    </row>
    <row r="42078" spans="8:8">
      <c r="H42078" s="680" t="s">
        <v>6153</v>
      </c>
    </row>
    <row r="42079" spans="8:8">
      <c r="H42079" s="680" t="s">
        <v>6153</v>
      </c>
    </row>
    <row r="42080" spans="8:8">
      <c r="H42080" s="680" t="s">
        <v>6153</v>
      </c>
    </row>
    <row r="42081" spans="8:8">
      <c r="H42081" s="680" t="s">
        <v>6153</v>
      </c>
    </row>
    <row r="42082" spans="8:8">
      <c r="H42082" s="680" t="s">
        <v>6153</v>
      </c>
    </row>
    <row r="42083" spans="8:8">
      <c r="H42083" s="680" t="s">
        <v>6153</v>
      </c>
    </row>
    <row r="42084" spans="8:8">
      <c r="H42084" s="680" t="s">
        <v>6153</v>
      </c>
    </row>
    <row r="42085" spans="8:8">
      <c r="H42085" s="680" t="s">
        <v>6153</v>
      </c>
    </row>
    <row r="42086" spans="8:8">
      <c r="H42086" s="680" t="s">
        <v>6153</v>
      </c>
    </row>
    <row r="42087" spans="8:8">
      <c r="H42087" s="680" t="s">
        <v>6153</v>
      </c>
    </row>
    <row r="42088" spans="8:8">
      <c r="H42088" s="680" t="s">
        <v>6153</v>
      </c>
    </row>
    <row r="42089" spans="8:8">
      <c r="H42089" s="680" t="s">
        <v>6153</v>
      </c>
    </row>
    <row r="42090" spans="8:8">
      <c r="H42090" s="680" t="s">
        <v>6153</v>
      </c>
    </row>
    <row r="42091" spans="8:8">
      <c r="H42091" s="680" t="s">
        <v>6153</v>
      </c>
    </row>
    <row r="42092" spans="8:8">
      <c r="H42092" s="680" t="s">
        <v>6153</v>
      </c>
    </row>
    <row r="42093" spans="8:8">
      <c r="H42093" s="680" t="s">
        <v>6153</v>
      </c>
    </row>
    <row r="42094" spans="8:8">
      <c r="H42094" s="680" t="s">
        <v>6153</v>
      </c>
    </row>
    <row r="42095" spans="8:8">
      <c r="H42095" s="680" t="s">
        <v>6153</v>
      </c>
    </row>
    <row r="42096" spans="8:8">
      <c r="H42096" s="680" t="s">
        <v>6153</v>
      </c>
    </row>
    <row r="42097" spans="8:8">
      <c r="H42097" s="680" t="s">
        <v>6153</v>
      </c>
    </row>
    <row r="42098" spans="8:8">
      <c r="H42098" s="680" t="s">
        <v>6153</v>
      </c>
    </row>
    <row r="42099" spans="8:8">
      <c r="H42099" s="680" t="s">
        <v>6153</v>
      </c>
    </row>
    <row r="42100" spans="8:8">
      <c r="H42100" s="680" t="s">
        <v>6153</v>
      </c>
    </row>
    <row r="42101" spans="8:8">
      <c r="H42101" s="680" t="s">
        <v>6153</v>
      </c>
    </row>
    <row r="42102" spans="8:8">
      <c r="H42102" s="680" t="s">
        <v>6153</v>
      </c>
    </row>
    <row r="42103" spans="8:8">
      <c r="H42103" s="680" t="s">
        <v>6153</v>
      </c>
    </row>
    <row r="42104" spans="8:8">
      <c r="H42104" s="680" t="s">
        <v>6153</v>
      </c>
    </row>
    <row r="42105" spans="8:8">
      <c r="H42105" s="680" t="s">
        <v>6153</v>
      </c>
    </row>
    <row r="42106" spans="8:8">
      <c r="H42106" s="680" t="s">
        <v>6153</v>
      </c>
    </row>
    <row r="42107" spans="8:8">
      <c r="H42107" s="680" t="s">
        <v>6153</v>
      </c>
    </row>
    <row r="42108" spans="8:8">
      <c r="H42108" s="680" t="s">
        <v>6153</v>
      </c>
    </row>
    <row r="42109" spans="8:8">
      <c r="H42109" s="680" t="s">
        <v>6153</v>
      </c>
    </row>
    <row r="42110" spans="8:8">
      <c r="H42110" s="680" t="s">
        <v>6153</v>
      </c>
    </row>
    <row r="42111" spans="8:8">
      <c r="H42111" s="680" t="s">
        <v>6153</v>
      </c>
    </row>
    <row r="42112" spans="8:8">
      <c r="H42112" s="680" t="s">
        <v>6153</v>
      </c>
    </row>
    <row r="42113" spans="8:8">
      <c r="H42113" s="680" t="s">
        <v>6153</v>
      </c>
    </row>
    <row r="42114" spans="8:8">
      <c r="H42114" s="680" t="s">
        <v>6153</v>
      </c>
    </row>
    <row r="42115" spans="8:8">
      <c r="H42115" s="680" t="s">
        <v>6153</v>
      </c>
    </row>
    <row r="42116" spans="8:8">
      <c r="H42116" s="680" t="s">
        <v>6153</v>
      </c>
    </row>
    <row r="42117" spans="8:8">
      <c r="H42117" s="680" t="s">
        <v>6153</v>
      </c>
    </row>
    <row r="42118" spans="8:8">
      <c r="H42118" s="680" t="s">
        <v>6153</v>
      </c>
    </row>
    <row r="42119" spans="8:8">
      <c r="H42119" s="680" t="s">
        <v>6153</v>
      </c>
    </row>
    <row r="42120" spans="8:8">
      <c r="H42120" s="680" t="s">
        <v>6153</v>
      </c>
    </row>
    <row r="42121" spans="8:8">
      <c r="H42121" s="680" t="s">
        <v>6153</v>
      </c>
    </row>
    <row r="42122" spans="8:8">
      <c r="H42122" s="680" t="s">
        <v>6153</v>
      </c>
    </row>
    <row r="42123" spans="8:8">
      <c r="H42123" s="680" t="s">
        <v>6153</v>
      </c>
    </row>
    <row r="42124" spans="8:8">
      <c r="H42124" s="680" t="s">
        <v>6153</v>
      </c>
    </row>
    <row r="42125" spans="8:8">
      <c r="H42125" s="680" t="s">
        <v>6153</v>
      </c>
    </row>
    <row r="42126" spans="8:8">
      <c r="H42126" s="680" t="s">
        <v>6153</v>
      </c>
    </row>
    <row r="42127" spans="8:8">
      <c r="H42127" s="680" t="s">
        <v>6153</v>
      </c>
    </row>
    <row r="42128" spans="8:8">
      <c r="H42128" s="680" t="s">
        <v>6153</v>
      </c>
    </row>
    <row r="42129" spans="8:8">
      <c r="H42129" s="680" t="s">
        <v>6153</v>
      </c>
    </row>
    <row r="42130" spans="8:8">
      <c r="H42130" s="680" t="s">
        <v>6153</v>
      </c>
    </row>
    <row r="42131" spans="8:8">
      <c r="H42131" s="680" t="s">
        <v>6153</v>
      </c>
    </row>
    <row r="42132" spans="8:8">
      <c r="H42132" s="680" t="s">
        <v>6153</v>
      </c>
    </row>
    <row r="42133" spans="8:8">
      <c r="H42133" s="680" t="s">
        <v>6153</v>
      </c>
    </row>
    <row r="42134" spans="8:8">
      <c r="H42134" s="680" t="s">
        <v>6153</v>
      </c>
    </row>
    <row r="42135" spans="8:8">
      <c r="H42135" s="680" t="s">
        <v>6153</v>
      </c>
    </row>
    <row r="42136" spans="8:8">
      <c r="H42136" s="680" t="s">
        <v>6153</v>
      </c>
    </row>
    <row r="42137" spans="8:8">
      <c r="H42137" s="680" t="s">
        <v>6153</v>
      </c>
    </row>
    <row r="42138" spans="8:8">
      <c r="H42138" s="680" t="s">
        <v>6153</v>
      </c>
    </row>
    <row r="42139" spans="8:8">
      <c r="H42139" s="680" t="s">
        <v>6153</v>
      </c>
    </row>
    <row r="42140" spans="8:8">
      <c r="H42140" s="680" t="s">
        <v>6153</v>
      </c>
    </row>
    <row r="42141" spans="8:8">
      <c r="H42141" s="680" t="s">
        <v>6153</v>
      </c>
    </row>
    <row r="42142" spans="8:8">
      <c r="H42142" s="680" t="s">
        <v>6153</v>
      </c>
    </row>
    <row r="42143" spans="8:8">
      <c r="H42143" s="680" t="s">
        <v>6153</v>
      </c>
    </row>
    <row r="42144" spans="8:8">
      <c r="H42144" s="680" t="s">
        <v>6153</v>
      </c>
    </row>
    <row r="42145" spans="8:8">
      <c r="H42145" s="680" t="s">
        <v>6153</v>
      </c>
    </row>
    <row r="42146" spans="8:8">
      <c r="H42146" s="680" t="s">
        <v>6153</v>
      </c>
    </row>
    <row r="42147" spans="8:8">
      <c r="H42147" s="680" t="s">
        <v>6153</v>
      </c>
    </row>
    <row r="42148" spans="8:8">
      <c r="H42148" s="680" t="s">
        <v>6153</v>
      </c>
    </row>
    <row r="42149" spans="8:8">
      <c r="H42149" s="680" t="s">
        <v>6153</v>
      </c>
    </row>
    <row r="42150" spans="8:8">
      <c r="H42150" s="680" t="s">
        <v>6153</v>
      </c>
    </row>
    <row r="42151" spans="8:8">
      <c r="H42151" s="680" t="s">
        <v>6153</v>
      </c>
    </row>
    <row r="42152" spans="8:8">
      <c r="H42152" s="680" t="s">
        <v>6153</v>
      </c>
    </row>
    <row r="42153" spans="8:8">
      <c r="H42153" s="680" t="s">
        <v>6153</v>
      </c>
    </row>
    <row r="42154" spans="8:8">
      <c r="H42154" s="680" t="s">
        <v>6153</v>
      </c>
    </row>
    <row r="42155" spans="8:8">
      <c r="H42155" s="680" t="s">
        <v>6153</v>
      </c>
    </row>
    <row r="42156" spans="8:8">
      <c r="H42156" s="680" t="s">
        <v>6153</v>
      </c>
    </row>
    <row r="42157" spans="8:8">
      <c r="H42157" s="680" t="s">
        <v>6153</v>
      </c>
    </row>
    <row r="42158" spans="8:8">
      <c r="H42158" s="680" t="s">
        <v>6153</v>
      </c>
    </row>
    <row r="42159" spans="8:8">
      <c r="H42159" s="680" t="s">
        <v>6153</v>
      </c>
    </row>
    <row r="42160" spans="8:8">
      <c r="H42160" s="680" t="s">
        <v>6153</v>
      </c>
    </row>
    <row r="42161" spans="8:8">
      <c r="H42161" s="680" t="s">
        <v>6153</v>
      </c>
    </row>
    <row r="42162" spans="8:8">
      <c r="H42162" s="680" t="s">
        <v>6153</v>
      </c>
    </row>
    <row r="42163" spans="8:8">
      <c r="H42163" s="680" t="s">
        <v>6153</v>
      </c>
    </row>
    <row r="42164" spans="8:8">
      <c r="H42164" s="680" t="s">
        <v>6153</v>
      </c>
    </row>
    <row r="42165" spans="8:8">
      <c r="H42165" s="680" t="s">
        <v>6153</v>
      </c>
    </row>
    <row r="42166" spans="8:8">
      <c r="H42166" s="680" t="s">
        <v>6153</v>
      </c>
    </row>
    <row r="42167" spans="8:8">
      <c r="H42167" s="680" t="s">
        <v>6153</v>
      </c>
    </row>
    <row r="42168" spans="8:8">
      <c r="H42168" s="680" t="s">
        <v>6153</v>
      </c>
    </row>
    <row r="42169" spans="8:8">
      <c r="H42169" s="680" t="s">
        <v>6153</v>
      </c>
    </row>
    <row r="42170" spans="8:8">
      <c r="H42170" s="680" t="s">
        <v>6153</v>
      </c>
    </row>
    <row r="42171" spans="8:8">
      <c r="H42171" s="680" t="s">
        <v>6153</v>
      </c>
    </row>
    <row r="42172" spans="8:8">
      <c r="H42172" s="680" t="s">
        <v>6153</v>
      </c>
    </row>
    <row r="42173" spans="8:8">
      <c r="H42173" s="680" t="s">
        <v>6153</v>
      </c>
    </row>
    <row r="42174" spans="8:8">
      <c r="H42174" s="680" t="s">
        <v>6153</v>
      </c>
    </row>
    <row r="42175" spans="8:8">
      <c r="H42175" s="680" t="s">
        <v>6153</v>
      </c>
    </row>
    <row r="42176" spans="8:8">
      <c r="H42176" s="680" t="s">
        <v>6153</v>
      </c>
    </row>
    <row r="42177" spans="8:8">
      <c r="H42177" s="680" t="s">
        <v>6153</v>
      </c>
    </row>
    <row r="42178" spans="8:8">
      <c r="H42178" s="680" t="s">
        <v>6153</v>
      </c>
    </row>
    <row r="42179" spans="8:8">
      <c r="H42179" s="680" t="s">
        <v>6153</v>
      </c>
    </row>
    <row r="42180" spans="8:8">
      <c r="H42180" s="680" t="s">
        <v>6153</v>
      </c>
    </row>
    <row r="42181" spans="8:8">
      <c r="H42181" s="680" t="s">
        <v>6153</v>
      </c>
    </row>
    <row r="42182" spans="8:8">
      <c r="H42182" s="680" t="s">
        <v>6153</v>
      </c>
    </row>
    <row r="42183" spans="8:8">
      <c r="H42183" s="680" t="s">
        <v>6153</v>
      </c>
    </row>
    <row r="42184" spans="8:8">
      <c r="H42184" s="680" t="s">
        <v>6153</v>
      </c>
    </row>
    <row r="42185" spans="8:8">
      <c r="H42185" s="680" t="s">
        <v>6153</v>
      </c>
    </row>
    <row r="42186" spans="8:8">
      <c r="H42186" s="680" t="s">
        <v>6153</v>
      </c>
    </row>
    <row r="42187" spans="8:8">
      <c r="H42187" s="680" t="s">
        <v>6153</v>
      </c>
    </row>
    <row r="42188" spans="8:8">
      <c r="H42188" s="680" t="s">
        <v>6153</v>
      </c>
    </row>
    <row r="42189" spans="8:8">
      <c r="H42189" s="680" t="s">
        <v>6153</v>
      </c>
    </row>
    <row r="42190" spans="8:8">
      <c r="H42190" s="680" t="s">
        <v>6153</v>
      </c>
    </row>
    <row r="42191" spans="8:8">
      <c r="H42191" s="680" t="s">
        <v>6153</v>
      </c>
    </row>
    <row r="42192" spans="8:8">
      <c r="H42192" s="680" t="s">
        <v>6153</v>
      </c>
    </row>
    <row r="42193" spans="8:8">
      <c r="H42193" s="680" t="s">
        <v>6153</v>
      </c>
    </row>
    <row r="42194" spans="8:8">
      <c r="H42194" s="680" t="s">
        <v>6153</v>
      </c>
    </row>
    <row r="42195" spans="8:8">
      <c r="H42195" s="680" t="s">
        <v>6153</v>
      </c>
    </row>
    <row r="42196" spans="8:8">
      <c r="H42196" s="680" t="s">
        <v>6153</v>
      </c>
    </row>
    <row r="42197" spans="8:8">
      <c r="H42197" s="680" t="s">
        <v>6153</v>
      </c>
    </row>
    <row r="42198" spans="8:8">
      <c r="H42198" s="680" t="s">
        <v>6153</v>
      </c>
    </row>
    <row r="42199" spans="8:8">
      <c r="H42199" s="680" t="s">
        <v>6153</v>
      </c>
    </row>
    <row r="42200" spans="8:8">
      <c r="H42200" s="680" t="s">
        <v>6153</v>
      </c>
    </row>
    <row r="42201" spans="8:8">
      <c r="H42201" s="680" t="s">
        <v>6153</v>
      </c>
    </row>
    <row r="42202" spans="8:8">
      <c r="H42202" s="680" t="s">
        <v>6153</v>
      </c>
    </row>
    <row r="42203" spans="8:8">
      <c r="H42203" s="680" t="s">
        <v>6153</v>
      </c>
    </row>
    <row r="42204" spans="8:8">
      <c r="H42204" s="680" t="s">
        <v>6153</v>
      </c>
    </row>
    <row r="42205" spans="8:8">
      <c r="H42205" s="680" t="s">
        <v>6153</v>
      </c>
    </row>
    <row r="42206" spans="8:8">
      <c r="H42206" s="680" t="s">
        <v>6153</v>
      </c>
    </row>
    <row r="42207" spans="8:8">
      <c r="H42207" s="680" t="s">
        <v>6153</v>
      </c>
    </row>
    <row r="42208" spans="8:8">
      <c r="H42208" s="680" t="s">
        <v>6153</v>
      </c>
    </row>
    <row r="42209" spans="8:8">
      <c r="H42209" s="680" t="s">
        <v>6153</v>
      </c>
    </row>
    <row r="42210" spans="8:8">
      <c r="H42210" s="680" t="s">
        <v>6153</v>
      </c>
    </row>
    <row r="42211" spans="8:8">
      <c r="H42211" s="680" t="s">
        <v>6153</v>
      </c>
    </row>
    <row r="42212" spans="8:8">
      <c r="H42212" s="680" t="s">
        <v>6153</v>
      </c>
    </row>
    <row r="42213" spans="8:8">
      <c r="H42213" s="680" t="s">
        <v>6153</v>
      </c>
    </row>
    <row r="42214" spans="8:8">
      <c r="H42214" s="680" t="s">
        <v>6153</v>
      </c>
    </row>
    <row r="42215" spans="8:8">
      <c r="H42215" s="680" t="s">
        <v>6153</v>
      </c>
    </row>
    <row r="42216" spans="8:8">
      <c r="H42216" s="680" t="s">
        <v>6153</v>
      </c>
    </row>
    <row r="42217" spans="8:8">
      <c r="H42217" s="680" t="s">
        <v>6153</v>
      </c>
    </row>
    <row r="42218" spans="8:8">
      <c r="H42218" s="680" t="s">
        <v>6153</v>
      </c>
    </row>
    <row r="42219" spans="8:8">
      <c r="H42219" s="680" t="s">
        <v>6153</v>
      </c>
    </row>
    <row r="42220" spans="8:8">
      <c r="H42220" s="680" t="s">
        <v>6153</v>
      </c>
    </row>
    <row r="42221" spans="8:8">
      <c r="H42221" s="680" t="s">
        <v>6153</v>
      </c>
    </row>
    <row r="42222" spans="8:8">
      <c r="H42222" s="680" t="s">
        <v>6153</v>
      </c>
    </row>
    <row r="42223" spans="8:8">
      <c r="H42223" s="680" t="s">
        <v>6153</v>
      </c>
    </row>
    <row r="42224" spans="8:8">
      <c r="H42224" s="680" t="s">
        <v>6153</v>
      </c>
    </row>
    <row r="42225" spans="8:8">
      <c r="H42225" s="680" t="s">
        <v>6153</v>
      </c>
    </row>
    <row r="42226" spans="8:8">
      <c r="H42226" s="680" t="s">
        <v>6153</v>
      </c>
    </row>
    <row r="42227" spans="8:8">
      <c r="H42227" s="680" t="s">
        <v>6153</v>
      </c>
    </row>
    <row r="42228" spans="8:8">
      <c r="H42228" s="680" t="s">
        <v>6153</v>
      </c>
    </row>
    <row r="42229" spans="8:8">
      <c r="H42229" s="680" t="s">
        <v>6153</v>
      </c>
    </row>
    <row r="42230" spans="8:8">
      <c r="H42230" s="680" t="s">
        <v>6153</v>
      </c>
    </row>
    <row r="42231" spans="8:8">
      <c r="H42231" s="680" t="s">
        <v>6153</v>
      </c>
    </row>
    <row r="42232" spans="8:8">
      <c r="H42232" s="680" t="s">
        <v>6153</v>
      </c>
    </row>
    <row r="42233" spans="8:8">
      <c r="H42233" s="680" t="s">
        <v>6153</v>
      </c>
    </row>
    <row r="42234" spans="8:8">
      <c r="H42234" s="680" t="s">
        <v>6153</v>
      </c>
    </row>
    <row r="42235" spans="8:8">
      <c r="H42235" s="680" t="s">
        <v>6153</v>
      </c>
    </row>
    <row r="42236" spans="8:8">
      <c r="H42236" s="680" t="s">
        <v>6153</v>
      </c>
    </row>
    <row r="42237" spans="8:8">
      <c r="H42237" s="680" t="s">
        <v>6153</v>
      </c>
    </row>
    <row r="42238" spans="8:8">
      <c r="H42238" s="680" t="s">
        <v>6153</v>
      </c>
    </row>
    <row r="42239" spans="8:8">
      <c r="H42239" s="680" t="s">
        <v>6153</v>
      </c>
    </row>
    <row r="42240" spans="8:8">
      <c r="H42240" s="680" t="s">
        <v>6153</v>
      </c>
    </row>
    <row r="42241" spans="8:8">
      <c r="H42241" s="680" t="s">
        <v>6153</v>
      </c>
    </row>
    <row r="42242" spans="8:8">
      <c r="H42242" s="680" t="s">
        <v>6153</v>
      </c>
    </row>
    <row r="42243" spans="8:8">
      <c r="H42243" s="680" t="s">
        <v>6153</v>
      </c>
    </row>
    <row r="42244" spans="8:8">
      <c r="H42244" s="680" t="s">
        <v>6153</v>
      </c>
    </row>
    <row r="42245" spans="8:8">
      <c r="H42245" s="680" t="s">
        <v>6153</v>
      </c>
    </row>
    <row r="42246" spans="8:8">
      <c r="H42246" s="680" t="s">
        <v>6153</v>
      </c>
    </row>
    <row r="42247" spans="8:8">
      <c r="H42247" s="680" t="s">
        <v>6153</v>
      </c>
    </row>
    <row r="42248" spans="8:8">
      <c r="H42248" s="680" t="s">
        <v>6153</v>
      </c>
    </row>
    <row r="42249" spans="8:8">
      <c r="H42249" s="680" t="s">
        <v>6153</v>
      </c>
    </row>
    <row r="42250" spans="8:8">
      <c r="H42250" s="680" t="s">
        <v>6153</v>
      </c>
    </row>
    <row r="42251" spans="8:8">
      <c r="H42251" s="680" t="s">
        <v>6153</v>
      </c>
    </row>
    <row r="42252" spans="8:8">
      <c r="H42252" s="680" t="s">
        <v>6153</v>
      </c>
    </row>
    <row r="42253" spans="8:8">
      <c r="H42253" s="680" t="s">
        <v>6153</v>
      </c>
    </row>
    <row r="42254" spans="8:8">
      <c r="H42254" s="680" t="s">
        <v>6153</v>
      </c>
    </row>
    <row r="42255" spans="8:8">
      <c r="H42255" s="680" t="s">
        <v>6153</v>
      </c>
    </row>
    <row r="42256" spans="8:8">
      <c r="H42256" s="680" t="s">
        <v>6153</v>
      </c>
    </row>
    <row r="42257" spans="8:8">
      <c r="H42257" s="680" t="s">
        <v>6153</v>
      </c>
    </row>
    <row r="42258" spans="8:8">
      <c r="H42258" s="680" t="s">
        <v>6153</v>
      </c>
    </row>
    <row r="42259" spans="8:8">
      <c r="H42259" s="680" t="s">
        <v>6153</v>
      </c>
    </row>
    <row r="42260" spans="8:8">
      <c r="H42260" s="680" t="s">
        <v>6153</v>
      </c>
    </row>
    <row r="42261" spans="8:8">
      <c r="H42261" s="680" t="s">
        <v>6153</v>
      </c>
    </row>
    <row r="42262" spans="8:8">
      <c r="H42262" s="680" t="s">
        <v>6153</v>
      </c>
    </row>
    <row r="42263" spans="8:8">
      <c r="H42263" s="680" t="s">
        <v>6153</v>
      </c>
    </row>
    <row r="42264" spans="8:8">
      <c r="H42264" s="680" t="s">
        <v>6153</v>
      </c>
    </row>
    <row r="42265" spans="8:8">
      <c r="H42265" s="680" t="s">
        <v>6153</v>
      </c>
    </row>
    <row r="42266" spans="8:8">
      <c r="H42266" s="680" t="s">
        <v>6153</v>
      </c>
    </row>
    <row r="42267" spans="8:8">
      <c r="H42267" s="680" t="s">
        <v>6153</v>
      </c>
    </row>
    <row r="42268" spans="8:8">
      <c r="H42268" s="680" t="s">
        <v>6153</v>
      </c>
    </row>
    <row r="42269" spans="8:8">
      <c r="H42269" s="680" t="s">
        <v>6153</v>
      </c>
    </row>
    <row r="42270" spans="8:8">
      <c r="H42270" s="680" t="s">
        <v>6153</v>
      </c>
    </row>
    <row r="42271" spans="8:8">
      <c r="H42271" s="680" t="s">
        <v>6153</v>
      </c>
    </row>
    <row r="42272" spans="8:8">
      <c r="H42272" s="680" t="s">
        <v>6153</v>
      </c>
    </row>
    <row r="42273" spans="8:8">
      <c r="H42273" s="680" t="s">
        <v>6153</v>
      </c>
    </row>
    <row r="42274" spans="8:8">
      <c r="H42274" s="680" t="s">
        <v>6153</v>
      </c>
    </row>
    <row r="42275" spans="8:8">
      <c r="H42275" s="680" t="s">
        <v>6153</v>
      </c>
    </row>
    <row r="42276" spans="8:8">
      <c r="H42276" s="680" t="s">
        <v>6153</v>
      </c>
    </row>
    <row r="42277" spans="8:8">
      <c r="H42277" s="680" t="s">
        <v>6153</v>
      </c>
    </row>
    <row r="42278" spans="8:8">
      <c r="H42278" s="680" t="s">
        <v>6153</v>
      </c>
    </row>
    <row r="42279" spans="8:8">
      <c r="H42279" s="680" t="s">
        <v>6153</v>
      </c>
    </row>
    <row r="42280" spans="8:8">
      <c r="H42280" s="680" t="s">
        <v>6153</v>
      </c>
    </row>
    <row r="42281" spans="8:8">
      <c r="H42281" s="680" t="s">
        <v>6153</v>
      </c>
    </row>
    <row r="42282" spans="8:8">
      <c r="H42282" s="680" t="s">
        <v>6153</v>
      </c>
    </row>
    <row r="42283" spans="8:8">
      <c r="H42283" s="680" t="s">
        <v>6153</v>
      </c>
    </row>
    <row r="42284" spans="8:8">
      <c r="H42284" s="680" t="s">
        <v>6153</v>
      </c>
    </row>
    <row r="42285" spans="8:8">
      <c r="H42285" s="680" t="s">
        <v>6153</v>
      </c>
    </row>
    <row r="42286" spans="8:8">
      <c r="H42286" s="680" t="s">
        <v>6153</v>
      </c>
    </row>
    <row r="42287" spans="8:8">
      <c r="H42287" s="680" t="s">
        <v>6153</v>
      </c>
    </row>
    <row r="42288" spans="8:8">
      <c r="H42288" s="680" t="s">
        <v>6153</v>
      </c>
    </row>
    <row r="42289" spans="8:8">
      <c r="H42289" s="680" t="s">
        <v>6153</v>
      </c>
    </row>
    <row r="42290" spans="8:8">
      <c r="H42290" s="680" t="s">
        <v>6153</v>
      </c>
    </row>
    <row r="42291" spans="8:8">
      <c r="H42291" s="680" t="s">
        <v>6153</v>
      </c>
    </row>
    <row r="42292" spans="8:8">
      <c r="H42292" s="680" t="s">
        <v>6153</v>
      </c>
    </row>
    <row r="42293" spans="8:8">
      <c r="H42293" s="680" t="s">
        <v>6153</v>
      </c>
    </row>
    <row r="42294" spans="8:8">
      <c r="H42294" s="680" t="s">
        <v>6153</v>
      </c>
    </row>
    <row r="42295" spans="8:8">
      <c r="H42295" s="680" t="s">
        <v>6153</v>
      </c>
    </row>
    <row r="42296" spans="8:8">
      <c r="H42296" s="680" t="s">
        <v>6153</v>
      </c>
    </row>
    <row r="42297" spans="8:8">
      <c r="H42297" s="680" t="s">
        <v>6153</v>
      </c>
    </row>
    <row r="42298" spans="8:8">
      <c r="H42298" s="680" t="s">
        <v>6153</v>
      </c>
    </row>
    <row r="42299" spans="8:8">
      <c r="H42299" s="680" t="s">
        <v>6153</v>
      </c>
    </row>
    <row r="42300" spans="8:8">
      <c r="H42300" s="680" t="s">
        <v>6153</v>
      </c>
    </row>
    <row r="42301" spans="8:8">
      <c r="H42301" s="680" t="s">
        <v>6153</v>
      </c>
    </row>
    <row r="42302" spans="8:8">
      <c r="H42302" s="680" t="s">
        <v>6153</v>
      </c>
    </row>
    <row r="42303" spans="8:8">
      <c r="H42303" s="680" t="s">
        <v>6153</v>
      </c>
    </row>
    <row r="42304" spans="8:8">
      <c r="H42304" s="680" t="s">
        <v>6153</v>
      </c>
    </row>
    <row r="42305" spans="8:8">
      <c r="H42305" s="680" t="s">
        <v>6153</v>
      </c>
    </row>
    <row r="42306" spans="8:8">
      <c r="H42306" s="680" t="s">
        <v>6153</v>
      </c>
    </row>
    <row r="42307" spans="8:8">
      <c r="H42307" s="680" t="s">
        <v>6153</v>
      </c>
    </row>
    <row r="42308" spans="8:8">
      <c r="H42308" s="680" t="s">
        <v>6153</v>
      </c>
    </row>
    <row r="42309" spans="8:8">
      <c r="H42309" s="680" t="s">
        <v>6153</v>
      </c>
    </row>
    <row r="42310" spans="8:8">
      <c r="H42310" s="680" t="s">
        <v>6153</v>
      </c>
    </row>
    <row r="42311" spans="8:8">
      <c r="H42311" s="680" t="s">
        <v>6153</v>
      </c>
    </row>
    <row r="42312" spans="8:8">
      <c r="H42312" s="680" t="s">
        <v>6153</v>
      </c>
    </row>
    <row r="42313" spans="8:8">
      <c r="H42313" s="680" t="s">
        <v>6153</v>
      </c>
    </row>
    <row r="42314" spans="8:8">
      <c r="H42314" s="680" t="s">
        <v>6153</v>
      </c>
    </row>
    <row r="42315" spans="8:8">
      <c r="H42315" s="680" t="s">
        <v>6153</v>
      </c>
    </row>
    <row r="42316" spans="8:8">
      <c r="H42316" s="680" t="s">
        <v>6153</v>
      </c>
    </row>
    <row r="42317" spans="8:8">
      <c r="H42317" s="680" t="s">
        <v>6153</v>
      </c>
    </row>
    <row r="42318" spans="8:8">
      <c r="H42318" s="680" t="s">
        <v>6153</v>
      </c>
    </row>
    <row r="42319" spans="8:8">
      <c r="H42319" s="680" t="s">
        <v>6153</v>
      </c>
    </row>
    <row r="42320" spans="8:8">
      <c r="H42320" s="680" t="s">
        <v>6153</v>
      </c>
    </row>
    <row r="42321" spans="8:8">
      <c r="H42321" s="680" t="s">
        <v>6153</v>
      </c>
    </row>
    <row r="42322" spans="8:8">
      <c r="H42322" s="680" t="s">
        <v>6153</v>
      </c>
    </row>
    <row r="42323" spans="8:8">
      <c r="H42323" s="680" t="s">
        <v>6153</v>
      </c>
    </row>
    <row r="42324" spans="8:8">
      <c r="H42324" s="680" t="s">
        <v>6153</v>
      </c>
    </row>
    <row r="42325" spans="8:8">
      <c r="H42325" s="680" t="s">
        <v>6153</v>
      </c>
    </row>
    <row r="42326" spans="8:8">
      <c r="H42326" s="680" t="s">
        <v>6153</v>
      </c>
    </row>
    <row r="42327" spans="8:8">
      <c r="H42327" s="680" t="s">
        <v>6153</v>
      </c>
    </row>
    <row r="42328" spans="8:8">
      <c r="H42328" s="680" t="s">
        <v>6153</v>
      </c>
    </row>
    <row r="42329" spans="8:8">
      <c r="H42329" s="680" t="s">
        <v>6153</v>
      </c>
    </row>
    <row r="42330" spans="8:8">
      <c r="H42330" s="680" t="s">
        <v>6153</v>
      </c>
    </row>
    <row r="42331" spans="8:8">
      <c r="H42331" s="680" t="s">
        <v>6153</v>
      </c>
    </row>
    <row r="42332" spans="8:8">
      <c r="H42332" s="680" t="s">
        <v>6153</v>
      </c>
    </row>
    <row r="42333" spans="8:8">
      <c r="H42333" s="680" t="s">
        <v>6153</v>
      </c>
    </row>
    <row r="42334" spans="8:8">
      <c r="H42334" s="680" t="s">
        <v>6153</v>
      </c>
    </row>
    <row r="42335" spans="8:8">
      <c r="H42335" s="680" t="s">
        <v>6153</v>
      </c>
    </row>
    <row r="42336" spans="8:8">
      <c r="H42336" s="680" t="s">
        <v>6153</v>
      </c>
    </row>
    <row r="42337" spans="8:8">
      <c r="H42337" s="680" t="s">
        <v>6153</v>
      </c>
    </row>
    <row r="42338" spans="8:8">
      <c r="H42338" s="680" t="s">
        <v>6153</v>
      </c>
    </row>
    <row r="42339" spans="8:8">
      <c r="H42339" s="680" t="s">
        <v>6153</v>
      </c>
    </row>
    <row r="42340" spans="8:8">
      <c r="H42340" s="680" t="s">
        <v>6153</v>
      </c>
    </row>
    <row r="42341" spans="8:8">
      <c r="H42341" s="680" t="s">
        <v>6153</v>
      </c>
    </row>
    <row r="42342" spans="8:8">
      <c r="H42342" s="680" t="s">
        <v>6153</v>
      </c>
    </row>
    <row r="42343" spans="8:8">
      <c r="H42343" s="680" t="s">
        <v>6153</v>
      </c>
    </row>
    <row r="42344" spans="8:8">
      <c r="H42344" s="680" t="s">
        <v>6153</v>
      </c>
    </row>
    <row r="42345" spans="8:8">
      <c r="H42345" s="680" t="s">
        <v>6153</v>
      </c>
    </row>
    <row r="42346" spans="8:8">
      <c r="H42346" s="680" t="s">
        <v>6153</v>
      </c>
    </row>
    <row r="42347" spans="8:8">
      <c r="H42347" s="680" t="s">
        <v>6153</v>
      </c>
    </row>
    <row r="42348" spans="8:8">
      <c r="H42348" s="680" t="s">
        <v>6153</v>
      </c>
    </row>
    <row r="42349" spans="8:8">
      <c r="H42349" s="680" t="s">
        <v>6153</v>
      </c>
    </row>
    <row r="42350" spans="8:8">
      <c r="H42350" s="680" t="s">
        <v>6153</v>
      </c>
    </row>
    <row r="42351" spans="8:8">
      <c r="H42351" s="680" t="s">
        <v>6153</v>
      </c>
    </row>
    <row r="42352" spans="8:8">
      <c r="H42352" s="680" t="s">
        <v>6153</v>
      </c>
    </row>
    <row r="42353" spans="8:8">
      <c r="H42353" s="680" t="s">
        <v>6153</v>
      </c>
    </row>
    <row r="42354" spans="8:8">
      <c r="H42354" s="680" t="s">
        <v>6153</v>
      </c>
    </row>
    <row r="42355" spans="8:8">
      <c r="H42355" s="680" t="s">
        <v>6153</v>
      </c>
    </row>
    <row r="42356" spans="8:8">
      <c r="H42356" s="680" t="s">
        <v>6153</v>
      </c>
    </row>
    <row r="42357" spans="8:8">
      <c r="H42357" s="680" t="s">
        <v>6153</v>
      </c>
    </row>
    <row r="42358" spans="8:8">
      <c r="H42358" s="680" t="s">
        <v>6153</v>
      </c>
    </row>
    <row r="42359" spans="8:8">
      <c r="H42359" s="680" t="s">
        <v>6153</v>
      </c>
    </row>
    <row r="42360" spans="8:8">
      <c r="H42360" s="680" t="s">
        <v>6153</v>
      </c>
    </row>
    <row r="42361" spans="8:8">
      <c r="H42361" s="680" t="s">
        <v>6153</v>
      </c>
    </row>
    <row r="42362" spans="8:8">
      <c r="H42362" s="680" t="s">
        <v>6153</v>
      </c>
    </row>
    <row r="42363" spans="8:8">
      <c r="H42363" s="680" t="s">
        <v>6153</v>
      </c>
    </row>
    <row r="42364" spans="8:8">
      <c r="H42364" s="680" t="s">
        <v>6153</v>
      </c>
    </row>
    <row r="42365" spans="8:8">
      <c r="H42365" s="680" t="s">
        <v>6153</v>
      </c>
    </row>
    <row r="42366" spans="8:8">
      <c r="H42366" s="680" t="s">
        <v>6153</v>
      </c>
    </row>
    <row r="42367" spans="8:8">
      <c r="H42367" s="680" t="s">
        <v>6153</v>
      </c>
    </row>
    <row r="42368" spans="8:8">
      <c r="H42368" s="680" t="s">
        <v>6153</v>
      </c>
    </row>
    <row r="42369" spans="8:8">
      <c r="H42369" s="680" t="s">
        <v>6153</v>
      </c>
    </row>
    <row r="42370" spans="8:8">
      <c r="H42370" s="680" t="s">
        <v>6153</v>
      </c>
    </row>
    <row r="42371" spans="8:8">
      <c r="H42371" s="680" t="s">
        <v>6153</v>
      </c>
    </row>
    <row r="42372" spans="8:8">
      <c r="H42372" s="680" t="s">
        <v>6153</v>
      </c>
    </row>
    <row r="42373" spans="8:8">
      <c r="H42373" s="680" t="s">
        <v>6153</v>
      </c>
    </row>
    <row r="42374" spans="8:8">
      <c r="H42374" s="680" t="s">
        <v>6153</v>
      </c>
    </row>
    <row r="42375" spans="8:8">
      <c r="H42375" s="680" t="s">
        <v>6153</v>
      </c>
    </row>
    <row r="42376" spans="8:8">
      <c r="H42376" s="680" t="s">
        <v>6153</v>
      </c>
    </row>
    <row r="42377" spans="8:8">
      <c r="H42377" s="680" t="s">
        <v>6153</v>
      </c>
    </row>
    <row r="42378" spans="8:8">
      <c r="H42378" s="680" t="s">
        <v>6153</v>
      </c>
    </row>
    <row r="42379" spans="8:8">
      <c r="H42379" s="680" t="s">
        <v>6153</v>
      </c>
    </row>
    <row r="42380" spans="8:8">
      <c r="H42380" s="680" t="s">
        <v>6153</v>
      </c>
    </row>
    <row r="42381" spans="8:8">
      <c r="H42381" s="680" t="s">
        <v>6153</v>
      </c>
    </row>
    <row r="42382" spans="8:8">
      <c r="H42382" s="680" t="s">
        <v>6153</v>
      </c>
    </row>
    <row r="42383" spans="8:8">
      <c r="H42383" s="680" t="s">
        <v>6153</v>
      </c>
    </row>
    <row r="42384" spans="8:8">
      <c r="H42384" s="680" t="s">
        <v>6153</v>
      </c>
    </row>
    <row r="42385" spans="8:8">
      <c r="H42385" s="680" t="s">
        <v>6153</v>
      </c>
    </row>
    <row r="42386" spans="8:8">
      <c r="H42386" s="680" t="s">
        <v>6153</v>
      </c>
    </row>
    <row r="42387" spans="8:8">
      <c r="H42387" s="680" t="s">
        <v>6153</v>
      </c>
    </row>
    <row r="42388" spans="8:8">
      <c r="H42388" s="680" t="s">
        <v>6153</v>
      </c>
    </row>
    <row r="42389" spans="8:8">
      <c r="H42389" s="680" t="s">
        <v>6153</v>
      </c>
    </row>
    <row r="42390" spans="8:8">
      <c r="H42390" s="680" t="s">
        <v>6153</v>
      </c>
    </row>
    <row r="42391" spans="8:8">
      <c r="H42391" s="680" t="s">
        <v>6153</v>
      </c>
    </row>
    <row r="42392" spans="8:8">
      <c r="H42392" s="680" t="s">
        <v>6153</v>
      </c>
    </row>
    <row r="42393" spans="8:8">
      <c r="H42393" s="680" t="s">
        <v>6153</v>
      </c>
    </row>
    <row r="42394" spans="8:8">
      <c r="H42394" s="680" t="s">
        <v>6153</v>
      </c>
    </row>
    <row r="42395" spans="8:8">
      <c r="H42395" s="680" t="s">
        <v>6153</v>
      </c>
    </row>
    <row r="42396" spans="8:8">
      <c r="H42396" s="680" t="s">
        <v>6153</v>
      </c>
    </row>
    <row r="42397" spans="8:8">
      <c r="H42397" s="680" t="s">
        <v>6153</v>
      </c>
    </row>
    <row r="42398" spans="8:8">
      <c r="H42398" s="680" t="s">
        <v>6153</v>
      </c>
    </row>
    <row r="42399" spans="8:8">
      <c r="H42399" s="680" t="s">
        <v>6153</v>
      </c>
    </row>
    <row r="42400" spans="8:8">
      <c r="H42400" s="680" t="s">
        <v>6153</v>
      </c>
    </row>
    <row r="42401" spans="8:8">
      <c r="H42401" s="680" t="s">
        <v>6153</v>
      </c>
    </row>
    <row r="42402" spans="8:8">
      <c r="H42402" s="680" t="s">
        <v>6153</v>
      </c>
    </row>
    <row r="42403" spans="8:8">
      <c r="H42403" s="680" t="s">
        <v>6153</v>
      </c>
    </row>
    <row r="42404" spans="8:8">
      <c r="H42404" s="680" t="s">
        <v>6153</v>
      </c>
    </row>
    <row r="42405" spans="8:8">
      <c r="H42405" s="680" t="s">
        <v>6153</v>
      </c>
    </row>
    <row r="42406" spans="8:8">
      <c r="H42406" s="680" t="s">
        <v>6153</v>
      </c>
    </row>
    <row r="42407" spans="8:8">
      <c r="H42407" s="680" t="s">
        <v>6153</v>
      </c>
    </row>
    <row r="42408" spans="8:8">
      <c r="H42408" s="680" t="s">
        <v>6153</v>
      </c>
    </row>
    <row r="42409" spans="8:8">
      <c r="H42409" s="680" t="s">
        <v>6153</v>
      </c>
    </row>
    <row r="42410" spans="8:8">
      <c r="H42410" s="680" t="s">
        <v>6153</v>
      </c>
    </row>
    <row r="42411" spans="8:8">
      <c r="H42411" s="680" t="s">
        <v>6153</v>
      </c>
    </row>
    <row r="42412" spans="8:8">
      <c r="H42412" s="680" t="s">
        <v>6153</v>
      </c>
    </row>
    <row r="42413" spans="8:8">
      <c r="H42413" s="680" t="s">
        <v>6153</v>
      </c>
    </row>
    <row r="42414" spans="8:8">
      <c r="H42414" s="680" t="s">
        <v>6153</v>
      </c>
    </row>
    <row r="42415" spans="8:8">
      <c r="H42415" s="680" t="s">
        <v>6153</v>
      </c>
    </row>
    <row r="42416" spans="8:8">
      <c r="H42416" s="680" t="s">
        <v>6153</v>
      </c>
    </row>
    <row r="42417" spans="8:8">
      <c r="H42417" s="680" t="s">
        <v>6153</v>
      </c>
    </row>
    <row r="42418" spans="8:8">
      <c r="H42418" s="680" t="s">
        <v>6153</v>
      </c>
    </row>
    <row r="42419" spans="8:8">
      <c r="H42419" s="680" t="s">
        <v>6153</v>
      </c>
    </row>
    <row r="42420" spans="8:8">
      <c r="H42420" s="680" t="s">
        <v>6153</v>
      </c>
    </row>
    <row r="42421" spans="8:8">
      <c r="H42421" s="680" t="s">
        <v>6153</v>
      </c>
    </row>
    <row r="42422" spans="8:8">
      <c r="H42422" s="680" t="s">
        <v>6153</v>
      </c>
    </row>
    <row r="42423" spans="8:8">
      <c r="H42423" s="680" t="s">
        <v>6153</v>
      </c>
    </row>
    <row r="42424" spans="8:8">
      <c r="H42424" s="680" t="s">
        <v>6153</v>
      </c>
    </row>
    <row r="42425" spans="8:8">
      <c r="H42425" s="680" t="s">
        <v>6153</v>
      </c>
    </row>
    <row r="42426" spans="8:8">
      <c r="H42426" s="680" t="s">
        <v>6153</v>
      </c>
    </row>
    <row r="42427" spans="8:8">
      <c r="H42427" s="680" t="s">
        <v>6153</v>
      </c>
    </row>
    <row r="42428" spans="8:8">
      <c r="H42428" s="680" t="s">
        <v>6153</v>
      </c>
    </row>
    <row r="42429" spans="8:8">
      <c r="H42429" s="680" t="s">
        <v>6153</v>
      </c>
    </row>
    <row r="42430" spans="8:8">
      <c r="H42430" s="680" t="s">
        <v>6153</v>
      </c>
    </row>
    <row r="42431" spans="8:8">
      <c r="H42431" s="680" t="s">
        <v>6153</v>
      </c>
    </row>
    <row r="42432" spans="8:8">
      <c r="H42432" s="680" t="s">
        <v>6153</v>
      </c>
    </row>
    <row r="42433" spans="8:8">
      <c r="H42433" s="680" t="s">
        <v>6153</v>
      </c>
    </row>
    <row r="42434" spans="8:8">
      <c r="H42434" s="680" t="s">
        <v>6153</v>
      </c>
    </row>
    <row r="42435" spans="8:8">
      <c r="H42435" s="680" t="s">
        <v>6153</v>
      </c>
    </row>
    <row r="42436" spans="8:8">
      <c r="H42436" s="680" t="s">
        <v>6153</v>
      </c>
    </row>
    <row r="42437" spans="8:8">
      <c r="H42437" s="680" t="s">
        <v>6153</v>
      </c>
    </row>
    <row r="42438" spans="8:8">
      <c r="H42438" s="680" t="s">
        <v>6153</v>
      </c>
    </row>
    <row r="42439" spans="8:8">
      <c r="H42439" s="680" t="s">
        <v>6153</v>
      </c>
    </row>
    <row r="42440" spans="8:8">
      <c r="H42440" s="680" t="s">
        <v>6153</v>
      </c>
    </row>
    <row r="42441" spans="8:8">
      <c r="H42441" s="680" t="s">
        <v>6153</v>
      </c>
    </row>
    <row r="42442" spans="8:8">
      <c r="H42442" s="680" t="s">
        <v>6153</v>
      </c>
    </row>
    <row r="42443" spans="8:8">
      <c r="H42443" s="680" t="s">
        <v>6153</v>
      </c>
    </row>
    <row r="42444" spans="8:8">
      <c r="H42444" s="680" t="s">
        <v>6153</v>
      </c>
    </row>
    <row r="42445" spans="8:8">
      <c r="H42445" s="680" t="s">
        <v>6153</v>
      </c>
    </row>
    <row r="42446" spans="8:8">
      <c r="H42446" s="680" t="s">
        <v>6153</v>
      </c>
    </row>
    <row r="42447" spans="8:8">
      <c r="H42447" s="680" t="s">
        <v>6153</v>
      </c>
    </row>
    <row r="42448" spans="8:8">
      <c r="H42448" s="680" t="s">
        <v>6153</v>
      </c>
    </row>
    <row r="42449" spans="8:8">
      <c r="H42449" s="680" t="s">
        <v>6153</v>
      </c>
    </row>
    <row r="42450" spans="8:8">
      <c r="H42450" s="680" t="s">
        <v>6153</v>
      </c>
    </row>
    <row r="42451" spans="8:8">
      <c r="H42451" s="680" t="s">
        <v>6153</v>
      </c>
    </row>
    <row r="42452" spans="8:8">
      <c r="H42452" s="680" t="s">
        <v>6153</v>
      </c>
    </row>
    <row r="42453" spans="8:8">
      <c r="H42453" s="680" t="s">
        <v>6153</v>
      </c>
    </row>
    <row r="42454" spans="8:8">
      <c r="H42454" s="680" t="s">
        <v>6153</v>
      </c>
    </row>
    <row r="42455" spans="8:8">
      <c r="H42455" s="680" t="s">
        <v>6153</v>
      </c>
    </row>
    <row r="42456" spans="8:8">
      <c r="H42456" s="680" t="s">
        <v>6153</v>
      </c>
    </row>
    <row r="42457" spans="8:8">
      <c r="H42457" s="680" t="s">
        <v>6153</v>
      </c>
    </row>
    <row r="42458" spans="8:8">
      <c r="H42458" s="680" t="s">
        <v>6153</v>
      </c>
    </row>
    <row r="42459" spans="8:8">
      <c r="H42459" s="680" t="s">
        <v>6153</v>
      </c>
    </row>
    <row r="42460" spans="8:8">
      <c r="H42460" s="680" t="s">
        <v>6153</v>
      </c>
    </row>
    <row r="42461" spans="8:8">
      <c r="H42461" s="680" t="s">
        <v>6153</v>
      </c>
    </row>
    <row r="42462" spans="8:8">
      <c r="H42462" s="680" t="s">
        <v>6153</v>
      </c>
    </row>
    <row r="42463" spans="8:8">
      <c r="H42463" s="680" t="s">
        <v>6153</v>
      </c>
    </row>
    <row r="42464" spans="8:8">
      <c r="H42464" s="680" t="s">
        <v>6153</v>
      </c>
    </row>
    <row r="42465" spans="8:8">
      <c r="H42465" s="680" t="s">
        <v>6153</v>
      </c>
    </row>
    <row r="42466" spans="8:8">
      <c r="H42466" s="680" t="s">
        <v>6153</v>
      </c>
    </row>
    <row r="42467" spans="8:8">
      <c r="H42467" s="680" t="s">
        <v>6153</v>
      </c>
    </row>
    <row r="42468" spans="8:8">
      <c r="H42468" s="680" t="s">
        <v>6153</v>
      </c>
    </row>
    <row r="42469" spans="8:8">
      <c r="H42469" s="680" t="s">
        <v>6153</v>
      </c>
    </row>
    <row r="42470" spans="8:8">
      <c r="H42470" s="680" t="s">
        <v>6153</v>
      </c>
    </row>
    <row r="42471" spans="8:8">
      <c r="H42471" s="680" t="s">
        <v>6153</v>
      </c>
    </row>
    <row r="42472" spans="8:8">
      <c r="H42472" s="680" t="s">
        <v>6153</v>
      </c>
    </row>
    <row r="42473" spans="8:8">
      <c r="H42473" s="680" t="s">
        <v>6153</v>
      </c>
    </row>
    <row r="42474" spans="8:8">
      <c r="H42474" s="680" t="s">
        <v>6153</v>
      </c>
    </row>
    <row r="42475" spans="8:8">
      <c r="H42475" s="680" t="s">
        <v>6153</v>
      </c>
    </row>
    <row r="42476" spans="8:8">
      <c r="H42476" s="680" t="s">
        <v>6153</v>
      </c>
    </row>
    <row r="42477" spans="8:8">
      <c r="H42477" s="680" t="s">
        <v>6153</v>
      </c>
    </row>
    <row r="42478" spans="8:8">
      <c r="H42478" s="680" t="s">
        <v>6153</v>
      </c>
    </row>
    <row r="42479" spans="8:8">
      <c r="H42479" s="680" t="s">
        <v>6153</v>
      </c>
    </row>
    <row r="42480" spans="8:8">
      <c r="H42480" s="680" t="s">
        <v>6153</v>
      </c>
    </row>
    <row r="42481" spans="8:8">
      <c r="H42481" s="680" t="s">
        <v>6153</v>
      </c>
    </row>
    <row r="42482" spans="8:8">
      <c r="H42482" s="680" t="s">
        <v>6153</v>
      </c>
    </row>
    <row r="42483" spans="8:8">
      <c r="H42483" s="680" t="s">
        <v>6153</v>
      </c>
    </row>
    <row r="42484" spans="8:8">
      <c r="H42484" s="680" t="s">
        <v>6153</v>
      </c>
    </row>
    <row r="42485" spans="8:8">
      <c r="H42485" s="680" t="s">
        <v>6153</v>
      </c>
    </row>
    <row r="42486" spans="8:8">
      <c r="H42486" s="680" t="s">
        <v>6153</v>
      </c>
    </row>
    <row r="42487" spans="8:8">
      <c r="H42487" s="680" t="s">
        <v>6153</v>
      </c>
    </row>
    <row r="42488" spans="8:8">
      <c r="H42488" s="680" t="s">
        <v>6153</v>
      </c>
    </row>
    <row r="42489" spans="8:8">
      <c r="H42489" s="680" t="s">
        <v>6153</v>
      </c>
    </row>
    <row r="42490" spans="8:8">
      <c r="H42490" s="680" t="s">
        <v>6153</v>
      </c>
    </row>
    <row r="42491" spans="8:8">
      <c r="H42491" s="680" t="s">
        <v>6153</v>
      </c>
    </row>
    <row r="42492" spans="8:8">
      <c r="H42492" s="680" t="s">
        <v>6153</v>
      </c>
    </row>
    <row r="42493" spans="8:8">
      <c r="H42493" s="680" t="s">
        <v>6153</v>
      </c>
    </row>
    <row r="42494" spans="8:8">
      <c r="H42494" s="680" t="s">
        <v>6153</v>
      </c>
    </row>
    <row r="42495" spans="8:8">
      <c r="H42495" s="680" t="s">
        <v>6153</v>
      </c>
    </row>
    <row r="42496" spans="8:8">
      <c r="H42496" s="680" t="s">
        <v>6153</v>
      </c>
    </row>
    <row r="42497" spans="8:8">
      <c r="H42497" s="680" t="s">
        <v>6153</v>
      </c>
    </row>
    <row r="42498" spans="8:8">
      <c r="H42498" s="680" t="s">
        <v>6153</v>
      </c>
    </row>
    <row r="42499" spans="8:8">
      <c r="H42499" s="680" t="s">
        <v>6153</v>
      </c>
    </row>
    <row r="42500" spans="8:8">
      <c r="H42500" s="680" t="s">
        <v>6153</v>
      </c>
    </row>
    <row r="42501" spans="8:8">
      <c r="H42501" s="680" t="s">
        <v>6153</v>
      </c>
    </row>
    <row r="42502" spans="8:8">
      <c r="H42502" s="680" t="s">
        <v>6153</v>
      </c>
    </row>
    <row r="42503" spans="8:8">
      <c r="H42503" s="680" t="s">
        <v>6153</v>
      </c>
    </row>
    <row r="42504" spans="8:8">
      <c r="H42504" s="680" t="s">
        <v>6153</v>
      </c>
    </row>
    <row r="42505" spans="8:8">
      <c r="H42505" s="680" t="s">
        <v>6153</v>
      </c>
    </row>
    <row r="42506" spans="8:8">
      <c r="H42506" s="680" t="s">
        <v>6153</v>
      </c>
    </row>
    <row r="42507" spans="8:8">
      <c r="H42507" s="680" t="s">
        <v>6153</v>
      </c>
    </row>
    <row r="42508" spans="8:8">
      <c r="H42508" s="680" t="s">
        <v>6153</v>
      </c>
    </row>
    <row r="42509" spans="8:8">
      <c r="H42509" s="680" t="s">
        <v>6153</v>
      </c>
    </row>
    <row r="42510" spans="8:8">
      <c r="H42510" s="680" t="s">
        <v>6153</v>
      </c>
    </row>
    <row r="42511" spans="8:8">
      <c r="H42511" s="680" t="s">
        <v>6153</v>
      </c>
    </row>
    <row r="42512" spans="8:8">
      <c r="H42512" s="680" t="s">
        <v>6153</v>
      </c>
    </row>
    <row r="42513" spans="8:8">
      <c r="H42513" s="680" t="s">
        <v>6153</v>
      </c>
    </row>
    <row r="42514" spans="8:8">
      <c r="H42514" s="680" t="s">
        <v>6153</v>
      </c>
    </row>
    <row r="42515" spans="8:8">
      <c r="H42515" s="680" t="s">
        <v>6153</v>
      </c>
    </row>
    <row r="42516" spans="8:8">
      <c r="H42516" s="680" t="s">
        <v>6153</v>
      </c>
    </row>
    <row r="42517" spans="8:8">
      <c r="H42517" s="680" t="s">
        <v>6153</v>
      </c>
    </row>
    <row r="42518" spans="8:8">
      <c r="H42518" s="680" t="s">
        <v>6153</v>
      </c>
    </row>
    <row r="42519" spans="8:8">
      <c r="H42519" s="680" t="s">
        <v>6153</v>
      </c>
    </row>
    <row r="42520" spans="8:8">
      <c r="H42520" s="680" t="s">
        <v>6153</v>
      </c>
    </row>
    <row r="42521" spans="8:8">
      <c r="H42521" s="680" t="s">
        <v>6153</v>
      </c>
    </row>
    <row r="42522" spans="8:8">
      <c r="H42522" s="680" t="s">
        <v>6153</v>
      </c>
    </row>
    <row r="42523" spans="8:8">
      <c r="H42523" s="680" t="s">
        <v>6153</v>
      </c>
    </row>
    <row r="42524" spans="8:8">
      <c r="H42524" s="680" t="s">
        <v>6153</v>
      </c>
    </row>
    <row r="42525" spans="8:8">
      <c r="H42525" s="680" t="s">
        <v>6153</v>
      </c>
    </row>
    <row r="42526" spans="8:8">
      <c r="H42526" s="680" t="s">
        <v>6153</v>
      </c>
    </row>
    <row r="42527" spans="8:8">
      <c r="H42527" s="680" t="s">
        <v>6153</v>
      </c>
    </row>
    <row r="42528" spans="8:8">
      <c r="H42528" s="680" t="s">
        <v>6153</v>
      </c>
    </row>
    <row r="42529" spans="8:8">
      <c r="H42529" s="680" t="s">
        <v>6153</v>
      </c>
    </row>
    <row r="42530" spans="8:8">
      <c r="H42530" s="680" t="s">
        <v>6153</v>
      </c>
    </row>
    <row r="42531" spans="8:8">
      <c r="H42531" s="680" t="s">
        <v>6153</v>
      </c>
    </row>
    <row r="42532" spans="8:8">
      <c r="H42532" s="680" t="s">
        <v>6153</v>
      </c>
    </row>
    <row r="42533" spans="8:8">
      <c r="H42533" s="680" t="s">
        <v>6153</v>
      </c>
    </row>
    <row r="42534" spans="8:8">
      <c r="H42534" s="680" t="s">
        <v>6153</v>
      </c>
    </row>
    <row r="42535" spans="8:8">
      <c r="H42535" s="680" t="s">
        <v>6153</v>
      </c>
    </row>
    <row r="42536" spans="8:8">
      <c r="H42536" s="680" t="s">
        <v>6153</v>
      </c>
    </row>
    <row r="42537" spans="8:8">
      <c r="H42537" s="680" t="s">
        <v>6153</v>
      </c>
    </row>
    <row r="42538" spans="8:8">
      <c r="H42538" s="680" t="s">
        <v>6153</v>
      </c>
    </row>
    <row r="42539" spans="8:8">
      <c r="H42539" s="680" t="s">
        <v>6153</v>
      </c>
    </row>
    <row r="42540" spans="8:8">
      <c r="H42540" s="680" t="s">
        <v>6153</v>
      </c>
    </row>
    <row r="42541" spans="8:8">
      <c r="H42541" s="680" t="s">
        <v>6153</v>
      </c>
    </row>
    <row r="42542" spans="8:8">
      <c r="H42542" s="680" t="s">
        <v>6153</v>
      </c>
    </row>
    <row r="42543" spans="8:8">
      <c r="H42543" s="680" t="s">
        <v>6153</v>
      </c>
    </row>
    <row r="42544" spans="8:8">
      <c r="H42544" s="680" t="s">
        <v>6153</v>
      </c>
    </row>
    <row r="42545" spans="8:8">
      <c r="H42545" s="680" t="s">
        <v>6153</v>
      </c>
    </row>
    <row r="42546" spans="8:8">
      <c r="H42546" s="680" t="s">
        <v>6153</v>
      </c>
    </row>
    <row r="42547" spans="8:8">
      <c r="H42547" s="680" t="s">
        <v>6153</v>
      </c>
    </row>
    <row r="42548" spans="8:8">
      <c r="H42548" s="680" t="s">
        <v>6153</v>
      </c>
    </row>
    <row r="42549" spans="8:8">
      <c r="H42549" s="680" t="s">
        <v>6153</v>
      </c>
    </row>
    <row r="42550" spans="8:8">
      <c r="H42550" s="680" t="s">
        <v>6153</v>
      </c>
    </row>
    <row r="42551" spans="8:8">
      <c r="H42551" s="680" t="s">
        <v>6153</v>
      </c>
    </row>
    <row r="42552" spans="8:8">
      <c r="H42552" s="680" t="s">
        <v>6153</v>
      </c>
    </row>
    <row r="42553" spans="8:8">
      <c r="H42553" s="680" t="s">
        <v>6153</v>
      </c>
    </row>
    <row r="42554" spans="8:8">
      <c r="H42554" s="680" t="s">
        <v>6153</v>
      </c>
    </row>
    <row r="42555" spans="8:8">
      <c r="H42555" s="680" t="s">
        <v>6153</v>
      </c>
    </row>
    <row r="42556" spans="8:8">
      <c r="H42556" s="680" t="s">
        <v>6153</v>
      </c>
    </row>
    <row r="42557" spans="8:8">
      <c r="H42557" s="680" t="s">
        <v>6153</v>
      </c>
    </row>
    <row r="42558" spans="8:8">
      <c r="H42558" s="680" t="s">
        <v>6153</v>
      </c>
    </row>
    <row r="42559" spans="8:8">
      <c r="H42559" s="680" t="s">
        <v>6153</v>
      </c>
    </row>
    <row r="42560" spans="8:8">
      <c r="H42560" s="680" t="s">
        <v>6153</v>
      </c>
    </row>
    <row r="42561" spans="8:8">
      <c r="H42561" s="680" t="s">
        <v>6153</v>
      </c>
    </row>
    <row r="42562" spans="8:8">
      <c r="H42562" s="680" t="s">
        <v>6153</v>
      </c>
    </row>
    <row r="42563" spans="8:8">
      <c r="H42563" s="680" t="s">
        <v>6153</v>
      </c>
    </row>
    <row r="42564" spans="8:8">
      <c r="H42564" s="680" t="s">
        <v>6153</v>
      </c>
    </row>
    <row r="42565" spans="8:8">
      <c r="H42565" s="680" t="s">
        <v>6153</v>
      </c>
    </row>
    <row r="42566" spans="8:8">
      <c r="H42566" s="680" t="s">
        <v>6153</v>
      </c>
    </row>
    <row r="42567" spans="8:8">
      <c r="H42567" s="680" t="s">
        <v>6153</v>
      </c>
    </row>
    <row r="42568" spans="8:8">
      <c r="H42568" s="680" t="s">
        <v>6153</v>
      </c>
    </row>
    <row r="42569" spans="8:8">
      <c r="H42569" s="680" t="s">
        <v>6153</v>
      </c>
    </row>
    <row r="42570" spans="8:8">
      <c r="H42570" s="680" t="s">
        <v>6153</v>
      </c>
    </row>
    <row r="42571" spans="8:8">
      <c r="H42571" s="680" t="s">
        <v>6153</v>
      </c>
    </row>
    <row r="42572" spans="8:8">
      <c r="H42572" s="680" t="s">
        <v>6153</v>
      </c>
    </row>
    <row r="42573" spans="8:8">
      <c r="H42573" s="680" t="s">
        <v>6153</v>
      </c>
    </row>
    <row r="42574" spans="8:8">
      <c r="H42574" s="680" t="s">
        <v>6153</v>
      </c>
    </row>
    <row r="42575" spans="8:8">
      <c r="H42575" s="680" t="s">
        <v>6153</v>
      </c>
    </row>
    <row r="42576" spans="8:8">
      <c r="H42576" s="680" t="s">
        <v>6153</v>
      </c>
    </row>
    <row r="42577" spans="8:8">
      <c r="H42577" s="680" t="s">
        <v>6153</v>
      </c>
    </row>
    <row r="42578" spans="8:8">
      <c r="H42578" s="680" t="s">
        <v>6153</v>
      </c>
    </row>
    <row r="42579" spans="8:8">
      <c r="H42579" s="680" t="s">
        <v>6153</v>
      </c>
    </row>
    <row r="42580" spans="8:8">
      <c r="H42580" s="680" t="s">
        <v>6153</v>
      </c>
    </row>
    <row r="42581" spans="8:8">
      <c r="H42581" s="680" t="s">
        <v>6153</v>
      </c>
    </row>
    <row r="42582" spans="8:8">
      <c r="H42582" s="680" t="s">
        <v>6153</v>
      </c>
    </row>
    <row r="42583" spans="8:8">
      <c r="H42583" s="680" t="s">
        <v>6153</v>
      </c>
    </row>
    <row r="42584" spans="8:8">
      <c r="H42584" s="680" t="s">
        <v>6153</v>
      </c>
    </row>
    <row r="42585" spans="8:8">
      <c r="H42585" s="680" t="s">
        <v>6153</v>
      </c>
    </row>
    <row r="42586" spans="8:8">
      <c r="H42586" s="680" t="s">
        <v>6153</v>
      </c>
    </row>
    <row r="42587" spans="8:8">
      <c r="H42587" s="680" t="s">
        <v>6153</v>
      </c>
    </row>
    <row r="42588" spans="8:8">
      <c r="H42588" s="680" t="s">
        <v>6153</v>
      </c>
    </row>
    <row r="42589" spans="8:8">
      <c r="H42589" s="680" t="s">
        <v>6153</v>
      </c>
    </row>
    <row r="42590" spans="8:8">
      <c r="H42590" s="680" t="s">
        <v>6153</v>
      </c>
    </row>
    <row r="42591" spans="8:8">
      <c r="H42591" s="680" t="s">
        <v>6153</v>
      </c>
    </row>
    <row r="42592" spans="8:8">
      <c r="H42592" s="680" t="s">
        <v>6153</v>
      </c>
    </row>
    <row r="42593" spans="8:8">
      <c r="H42593" s="680" t="s">
        <v>6153</v>
      </c>
    </row>
    <row r="42594" spans="8:8">
      <c r="H42594" s="680" t="s">
        <v>6153</v>
      </c>
    </row>
    <row r="42595" spans="8:8">
      <c r="H42595" s="680" t="s">
        <v>6153</v>
      </c>
    </row>
    <row r="42596" spans="8:8">
      <c r="H42596" s="680" t="s">
        <v>6153</v>
      </c>
    </row>
    <row r="42597" spans="8:8">
      <c r="H42597" s="680" t="s">
        <v>6153</v>
      </c>
    </row>
    <row r="42598" spans="8:8">
      <c r="H42598" s="680" t="s">
        <v>6153</v>
      </c>
    </row>
    <row r="42599" spans="8:8">
      <c r="H42599" s="680" t="s">
        <v>6153</v>
      </c>
    </row>
    <row r="42600" spans="8:8">
      <c r="H42600" s="680" t="s">
        <v>6153</v>
      </c>
    </row>
    <row r="42601" spans="8:8">
      <c r="H42601" s="680" t="s">
        <v>6153</v>
      </c>
    </row>
    <row r="42602" spans="8:8">
      <c r="H42602" s="680" t="s">
        <v>6153</v>
      </c>
    </row>
    <row r="42603" spans="8:8">
      <c r="H42603" s="680" t="s">
        <v>6153</v>
      </c>
    </row>
    <row r="42604" spans="8:8">
      <c r="H42604" s="680" t="s">
        <v>6153</v>
      </c>
    </row>
    <row r="42605" spans="8:8">
      <c r="H42605" s="680" t="s">
        <v>6153</v>
      </c>
    </row>
    <row r="42606" spans="8:8">
      <c r="H42606" s="680" t="s">
        <v>6153</v>
      </c>
    </row>
    <row r="42607" spans="8:8">
      <c r="H42607" s="680" t="s">
        <v>6153</v>
      </c>
    </row>
    <row r="42608" spans="8:8">
      <c r="H42608" s="680" t="s">
        <v>6153</v>
      </c>
    </row>
    <row r="42609" spans="8:8">
      <c r="H42609" s="680" t="s">
        <v>6153</v>
      </c>
    </row>
    <row r="42610" spans="8:8">
      <c r="H42610" s="680" t="s">
        <v>6153</v>
      </c>
    </row>
    <row r="42611" spans="8:8">
      <c r="H42611" s="680" t="s">
        <v>6153</v>
      </c>
    </row>
    <row r="42612" spans="8:8">
      <c r="H42612" s="680" t="s">
        <v>6153</v>
      </c>
    </row>
    <row r="42613" spans="8:8">
      <c r="H42613" s="680" t="s">
        <v>6153</v>
      </c>
    </row>
    <row r="42614" spans="8:8">
      <c r="H42614" s="680" t="s">
        <v>6153</v>
      </c>
    </row>
    <row r="42615" spans="8:8">
      <c r="H42615" s="680" t="s">
        <v>6153</v>
      </c>
    </row>
    <row r="42616" spans="8:8">
      <c r="H42616" s="680" t="s">
        <v>6153</v>
      </c>
    </row>
    <row r="42617" spans="8:8">
      <c r="H42617" s="680" t="s">
        <v>6153</v>
      </c>
    </row>
    <row r="42618" spans="8:8">
      <c r="H42618" s="680" t="s">
        <v>6153</v>
      </c>
    </row>
    <row r="42619" spans="8:8">
      <c r="H42619" s="680" t="s">
        <v>6153</v>
      </c>
    </row>
    <row r="42620" spans="8:8">
      <c r="H42620" s="680" t="s">
        <v>6153</v>
      </c>
    </row>
    <row r="42621" spans="8:8">
      <c r="H42621" s="680" t="s">
        <v>6153</v>
      </c>
    </row>
    <row r="42622" spans="8:8">
      <c r="H42622" s="680" t="s">
        <v>6153</v>
      </c>
    </row>
    <row r="42623" spans="8:8">
      <c r="H42623" s="680" t="s">
        <v>6153</v>
      </c>
    </row>
    <row r="42624" spans="8:8">
      <c r="H42624" s="680" t="s">
        <v>6153</v>
      </c>
    </row>
    <row r="42625" spans="8:8">
      <c r="H42625" s="680" t="s">
        <v>6153</v>
      </c>
    </row>
    <row r="42626" spans="8:8">
      <c r="H42626" s="680" t="s">
        <v>6153</v>
      </c>
    </row>
    <row r="42627" spans="8:8">
      <c r="H42627" s="680" t="s">
        <v>6153</v>
      </c>
    </row>
    <row r="42628" spans="8:8">
      <c r="H42628" s="680" t="s">
        <v>6153</v>
      </c>
    </row>
    <row r="42629" spans="8:8">
      <c r="H42629" s="680" t="s">
        <v>6153</v>
      </c>
    </row>
    <row r="42630" spans="8:8">
      <c r="H42630" s="680" t="s">
        <v>6153</v>
      </c>
    </row>
    <row r="42631" spans="8:8">
      <c r="H42631" s="680" t="s">
        <v>6153</v>
      </c>
    </row>
    <row r="42632" spans="8:8">
      <c r="H42632" s="680" t="s">
        <v>6153</v>
      </c>
    </row>
    <row r="42633" spans="8:8">
      <c r="H42633" s="680" t="s">
        <v>6153</v>
      </c>
    </row>
    <row r="42634" spans="8:8">
      <c r="H42634" s="680" t="s">
        <v>6153</v>
      </c>
    </row>
    <row r="42635" spans="8:8">
      <c r="H42635" s="680" t="s">
        <v>6153</v>
      </c>
    </row>
    <row r="42636" spans="8:8">
      <c r="H42636" s="680" t="s">
        <v>6153</v>
      </c>
    </row>
    <row r="42637" spans="8:8">
      <c r="H42637" s="680" t="s">
        <v>6153</v>
      </c>
    </row>
    <row r="42638" spans="8:8">
      <c r="H42638" s="680" t="s">
        <v>6153</v>
      </c>
    </row>
    <row r="42639" spans="8:8">
      <c r="H42639" s="680" t="s">
        <v>6153</v>
      </c>
    </row>
    <row r="42640" spans="8:8">
      <c r="H42640" s="680" t="s">
        <v>6153</v>
      </c>
    </row>
    <row r="42641" spans="8:8">
      <c r="H42641" s="680" t="s">
        <v>6153</v>
      </c>
    </row>
    <row r="42642" spans="8:8">
      <c r="H42642" s="680" t="s">
        <v>6153</v>
      </c>
    </row>
    <row r="42643" spans="8:8">
      <c r="H42643" s="680" t="s">
        <v>6153</v>
      </c>
    </row>
    <row r="42644" spans="8:8">
      <c r="H42644" s="680" t="s">
        <v>6153</v>
      </c>
    </row>
    <row r="42645" spans="8:8">
      <c r="H42645" s="680" t="s">
        <v>6153</v>
      </c>
    </row>
    <row r="42646" spans="8:8">
      <c r="H42646" s="680" t="s">
        <v>6153</v>
      </c>
    </row>
    <row r="42647" spans="8:8">
      <c r="H42647" s="680" t="s">
        <v>6153</v>
      </c>
    </row>
    <row r="42648" spans="8:8">
      <c r="H42648" s="680" t="s">
        <v>6153</v>
      </c>
    </row>
    <row r="42649" spans="8:8">
      <c r="H42649" s="680" t="s">
        <v>6153</v>
      </c>
    </row>
    <row r="42650" spans="8:8">
      <c r="H42650" s="680" t="s">
        <v>6153</v>
      </c>
    </row>
    <row r="42651" spans="8:8">
      <c r="H42651" s="680" t="s">
        <v>6153</v>
      </c>
    </row>
    <row r="42652" spans="8:8">
      <c r="H42652" s="680" t="s">
        <v>6153</v>
      </c>
    </row>
    <row r="42653" spans="8:8">
      <c r="H42653" s="680" t="s">
        <v>6153</v>
      </c>
    </row>
    <row r="42654" spans="8:8">
      <c r="H42654" s="680" t="s">
        <v>6153</v>
      </c>
    </row>
    <row r="42655" spans="8:8">
      <c r="H42655" s="680" t="s">
        <v>6153</v>
      </c>
    </row>
    <row r="42656" spans="8:8">
      <c r="H42656" s="680" t="s">
        <v>6153</v>
      </c>
    </row>
    <row r="42657" spans="8:8">
      <c r="H42657" s="680" t="s">
        <v>6153</v>
      </c>
    </row>
    <row r="42658" spans="8:8">
      <c r="H42658" s="680" t="s">
        <v>6153</v>
      </c>
    </row>
    <row r="42659" spans="8:8">
      <c r="H42659" s="680" t="s">
        <v>6153</v>
      </c>
    </row>
    <row r="42660" spans="8:8">
      <c r="H42660" s="680" t="s">
        <v>6153</v>
      </c>
    </row>
    <row r="42661" spans="8:8">
      <c r="H42661" s="680" t="s">
        <v>6153</v>
      </c>
    </row>
    <row r="42662" spans="8:8">
      <c r="H42662" s="680" t="s">
        <v>6153</v>
      </c>
    </row>
    <row r="42663" spans="8:8">
      <c r="H42663" s="680" t="s">
        <v>6153</v>
      </c>
    </row>
    <row r="42664" spans="8:8">
      <c r="H42664" s="680" t="s">
        <v>6153</v>
      </c>
    </row>
    <row r="42665" spans="8:8">
      <c r="H42665" s="680" t="s">
        <v>6153</v>
      </c>
    </row>
    <row r="42666" spans="8:8">
      <c r="H42666" s="680" t="s">
        <v>6153</v>
      </c>
    </row>
    <row r="42667" spans="8:8">
      <c r="H42667" s="680" t="s">
        <v>6153</v>
      </c>
    </row>
    <row r="42668" spans="8:8">
      <c r="H42668" s="680" t="s">
        <v>6153</v>
      </c>
    </row>
    <row r="42669" spans="8:8">
      <c r="H42669" s="680" t="s">
        <v>6153</v>
      </c>
    </row>
    <row r="42670" spans="8:8">
      <c r="H42670" s="680" t="s">
        <v>6153</v>
      </c>
    </row>
    <row r="42671" spans="8:8">
      <c r="H42671" s="680" t="s">
        <v>6153</v>
      </c>
    </row>
    <row r="42672" spans="8:8">
      <c r="H42672" s="680" t="s">
        <v>6153</v>
      </c>
    </row>
    <row r="42673" spans="8:8">
      <c r="H42673" s="680" t="s">
        <v>6153</v>
      </c>
    </row>
    <row r="42674" spans="8:8">
      <c r="H42674" s="680" t="s">
        <v>6153</v>
      </c>
    </row>
    <row r="42675" spans="8:8">
      <c r="H42675" s="680" t="s">
        <v>6153</v>
      </c>
    </row>
    <row r="42676" spans="8:8">
      <c r="H42676" s="680" t="s">
        <v>6153</v>
      </c>
    </row>
    <row r="42677" spans="8:8">
      <c r="H42677" s="680" t="s">
        <v>6153</v>
      </c>
    </row>
    <row r="42678" spans="8:8">
      <c r="H42678" s="680" t="s">
        <v>6153</v>
      </c>
    </row>
    <row r="42679" spans="8:8">
      <c r="H42679" s="680" t="s">
        <v>6153</v>
      </c>
    </row>
    <row r="42680" spans="8:8">
      <c r="H42680" s="680" t="s">
        <v>6153</v>
      </c>
    </row>
    <row r="42681" spans="8:8">
      <c r="H42681" s="680" t="s">
        <v>6153</v>
      </c>
    </row>
    <row r="42682" spans="8:8">
      <c r="H42682" s="680" t="s">
        <v>6153</v>
      </c>
    </row>
    <row r="42683" spans="8:8">
      <c r="H42683" s="680" t="s">
        <v>6153</v>
      </c>
    </row>
    <row r="42684" spans="8:8">
      <c r="H42684" s="680" t="s">
        <v>6153</v>
      </c>
    </row>
    <row r="42685" spans="8:8">
      <c r="H42685" s="680" t="s">
        <v>6153</v>
      </c>
    </row>
    <row r="42686" spans="8:8">
      <c r="H42686" s="680" t="s">
        <v>6153</v>
      </c>
    </row>
    <row r="42687" spans="8:8">
      <c r="H42687" s="680" t="s">
        <v>6153</v>
      </c>
    </row>
    <row r="42688" spans="8:8">
      <c r="H42688" s="680" t="s">
        <v>6153</v>
      </c>
    </row>
    <row r="42689" spans="8:8">
      <c r="H42689" s="680" t="s">
        <v>6153</v>
      </c>
    </row>
    <row r="42690" spans="8:8">
      <c r="H42690" s="680" t="s">
        <v>6153</v>
      </c>
    </row>
    <row r="42691" spans="8:8">
      <c r="H42691" s="680" t="s">
        <v>6153</v>
      </c>
    </row>
    <row r="42692" spans="8:8">
      <c r="H42692" s="680" t="s">
        <v>6153</v>
      </c>
    </row>
    <row r="42693" spans="8:8">
      <c r="H42693" s="680" t="s">
        <v>6153</v>
      </c>
    </row>
    <row r="42694" spans="8:8">
      <c r="H42694" s="680" t="s">
        <v>6153</v>
      </c>
    </row>
    <row r="42695" spans="8:8">
      <c r="H42695" s="680" t="s">
        <v>6153</v>
      </c>
    </row>
    <row r="42696" spans="8:8">
      <c r="H42696" s="680" t="s">
        <v>6153</v>
      </c>
    </row>
    <row r="42697" spans="8:8">
      <c r="H42697" s="680" t="s">
        <v>6153</v>
      </c>
    </row>
    <row r="42698" spans="8:8">
      <c r="H42698" s="680" t="s">
        <v>6153</v>
      </c>
    </row>
    <row r="42699" spans="8:8">
      <c r="H42699" s="680" t="s">
        <v>6153</v>
      </c>
    </row>
    <row r="42700" spans="8:8">
      <c r="H42700" s="680" t="s">
        <v>6153</v>
      </c>
    </row>
    <row r="42701" spans="8:8">
      <c r="H42701" s="680" t="s">
        <v>6153</v>
      </c>
    </row>
    <row r="42702" spans="8:8">
      <c r="H42702" s="680" t="s">
        <v>6153</v>
      </c>
    </row>
    <row r="42703" spans="8:8">
      <c r="H42703" s="680" t="s">
        <v>6153</v>
      </c>
    </row>
    <row r="42704" spans="8:8">
      <c r="H42704" s="680" t="s">
        <v>6153</v>
      </c>
    </row>
    <row r="42705" spans="8:8">
      <c r="H42705" s="680" t="s">
        <v>6153</v>
      </c>
    </row>
    <row r="42706" spans="8:8">
      <c r="H42706" s="680" t="s">
        <v>6153</v>
      </c>
    </row>
    <row r="42707" spans="8:8">
      <c r="H42707" s="680" t="s">
        <v>6153</v>
      </c>
    </row>
    <row r="42708" spans="8:8">
      <c r="H42708" s="680" t="s">
        <v>6153</v>
      </c>
    </row>
    <row r="42709" spans="8:8">
      <c r="H42709" s="680" t="s">
        <v>6153</v>
      </c>
    </row>
    <row r="42710" spans="8:8">
      <c r="H42710" s="680" t="s">
        <v>6153</v>
      </c>
    </row>
    <row r="42711" spans="8:8">
      <c r="H42711" s="680" t="s">
        <v>6153</v>
      </c>
    </row>
    <row r="42712" spans="8:8">
      <c r="H42712" s="680" t="s">
        <v>6153</v>
      </c>
    </row>
    <row r="42713" spans="8:8">
      <c r="H42713" s="680" t="s">
        <v>6153</v>
      </c>
    </row>
    <row r="42714" spans="8:8">
      <c r="H42714" s="680" t="s">
        <v>6153</v>
      </c>
    </row>
    <row r="42715" spans="8:8">
      <c r="H42715" s="680" t="s">
        <v>6153</v>
      </c>
    </row>
    <row r="42716" spans="8:8">
      <c r="H42716" s="680" t="s">
        <v>6153</v>
      </c>
    </row>
    <row r="42717" spans="8:8">
      <c r="H42717" s="680" t="s">
        <v>6153</v>
      </c>
    </row>
    <row r="42718" spans="8:8">
      <c r="H42718" s="680" t="s">
        <v>6153</v>
      </c>
    </row>
    <row r="42719" spans="8:8">
      <c r="H42719" s="680" t="s">
        <v>6153</v>
      </c>
    </row>
    <row r="42720" spans="8:8">
      <c r="H42720" s="680" t="s">
        <v>6153</v>
      </c>
    </row>
    <row r="42721" spans="8:8">
      <c r="H42721" s="680" t="s">
        <v>6153</v>
      </c>
    </row>
    <row r="42722" spans="8:8">
      <c r="H42722" s="680" t="s">
        <v>6153</v>
      </c>
    </row>
    <row r="42723" spans="8:8">
      <c r="H42723" s="680" t="s">
        <v>6153</v>
      </c>
    </row>
    <row r="42724" spans="8:8">
      <c r="H42724" s="680" t="s">
        <v>6153</v>
      </c>
    </row>
    <row r="42725" spans="8:8">
      <c r="H42725" s="680" t="s">
        <v>6153</v>
      </c>
    </row>
    <row r="42726" spans="8:8">
      <c r="H42726" s="680" t="s">
        <v>6153</v>
      </c>
    </row>
    <row r="42727" spans="8:8">
      <c r="H42727" s="680" t="s">
        <v>6153</v>
      </c>
    </row>
    <row r="42728" spans="8:8">
      <c r="H42728" s="680" t="s">
        <v>6153</v>
      </c>
    </row>
    <row r="42729" spans="8:8">
      <c r="H42729" s="680" t="s">
        <v>6153</v>
      </c>
    </row>
    <row r="42730" spans="8:8">
      <c r="H42730" s="680" t="s">
        <v>6153</v>
      </c>
    </row>
    <row r="42731" spans="8:8">
      <c r="H42731" s="680" t="s">
        <v>6153</v>
      </c>
    </row>
    <row r="42732" spans="8:8">
      <c r="H42732" s="680" t="s">
        <v>6153</v>
      </c>
    </row>
    <row r="42733" spans="8:8">
      <c r="H42733" s="680" t="s">
        <v>6153</v>
      </c>
    </row>
    <row r="42734" spans="8:8">
      <c r="H42734" s="680" t="s">
        <v>6153</v>
      </c>
    </row>
    <row r="42735" spans="8:8">
      <c r="H42735" s="680" t="s">
        <v>6153</v>
      </c>
    </row>
    <row r="42736" spans="8:8">
      <c r="H42736" s="680" t="s">
        <v>6153</v>
      </c>
    </row>
    <row r="42737" spans="8:8">
      <c r="H42737" s="680" t="s">
        <v>6153</v>
      </c>
    </row>
    <row r="42738" spans="8:8">
      <c r="H42738" s="680" t="s">
        <v>6153</v>
      </c>
    </row>
    <row r="42739" spans="8:8">
      <c r="H42739" s="680" t="s">
        <v>6153</v>
      </c>
    </row>
    <row r="42740" spans="8:8">
      <c r="H42740" s="680" t="s">
        <v>6153</v>
      </c>
    </row>
    <row r="42741" spans="8:8">
      <c r="H42741" s="680" t="s">
        <v>6153</v>
      </c>
    </row>
    <row r="42742" spans="8:8">
      <c r="H42742" s="680" t="s">
        <v>6153</v>
      </c>
    </row>
    <row r="42743" spans="8:8">
      <c r="H42743" s="680" t="s">
        <v>6153</v>
      </c>
    </row>
    <row r="42744" spans="8:8">
      <c r="H42744" s="680" t="s">
        <v>6153</v>
      </c>
    </row>
    <row r="42745" spans="8:8">
      <c r="H42745" s="680" t="s">
        <v>6153</v>
      </c>
    </row>
    <row r="42746" spans="8:8">
      <c r="H42746" s="680" t="s">
        <v>6153</v>
      </c>
    </row>
    <row r="42747" spans="8:8">
      <c r="H42747" s="680" t="s">
        <v>6153</v>
      </c>
    </row>
    <row r="42748" spans="8:8">
      <c r="H42748" s="680" t="s">
        <v>6153</v>
      </c>
    </row>
    <row r="42749" spans="8:8">
      <c r="H42749" s="680" t="s">
        <v>6153</v>
      </c>
    </row>
    <row r="42750" spans="8:8">
      <c r="H42750" s="680" t="s">
        <v>6153</v>
      </c>
    </row>
    <row r="42751" spans="8:8">
      <c r="H42751" s="680" t="s">
        <v>6153</v>
      </c>
    </row>
    <row r="42752" spans="8:8">
      <c r="H42752" s="680" t="s">
        <v>6153</v>
      </c>
    </row>
    <row r="42753" spans="8:8">
      <c r="H42753" s="680" t="s">
        <v>6153</v>
      </c>
    </row>
    <row r="42754" spans="8:8">
      <c r="H42754" s="680" t="s">
        <v>6153</v>
      </c>
    </row>
    <row r="42755" spans="8:8">
      <c r="H42755" s="680" t="s">
        <v>6153</v>
      </c>
    </row>
    <row r="42756" spans="8:8">
      <c r="H42756" s="680" t="s">
        <v>6153</v>
      </c>
    </row>
    <row r="42757" spans="8:8">
      <c r="H42757" s="680" t="s">
        <v>6153</v>
      </c>
    </row>
    <row r="42758" spans="8:8">
      <c r="H42758" s="680" t="s">
        <v>6153</v>
      </c>
    </row>
    <row r="42759" spans="8:8">
      <c r="H42759" s="680" t="s">
        <v>6153</v>
      </c>
    </row>
    <row r="42760" spans="8:8">
      <c r="H42760" s="680" t="s">
        <v>6153</v>
      </c>
    </row>
    <row r="42761" spans="8:8">
      <c r="H42761" s="680" t="s">
        <v>6153</v>
      </c>
    </row>
    <row r="42762" spans="8:8">
      <c r="H42762" s="680" t="s">
        <v>6153</v>
      </c>
    </row>
    <row r="42763" spans="8:8">
      <c r="H42763" s="680" t="s">
        <v>6153</v>
      </c>
    </row>
    <row r="42764" spans="8:8">
      <c r="H42764" s="680" t="s">
        <v>6153</v>
      </c>
    </row>
    <row r="42765" spans="8:8">
      <c r="H42765" s="680" t="s">
        <v>6153</v>
      </c>
    </row>
    <row r="42766" spans="8:8">
      <c r="H42766" s="680" t="s">
        <v>6153</v>
      </c>
    </row>
    <row r="42767" spans="8:8">
      <c r="H42767" s="680" t="s">
        <v>6153</v>
      </c>
    </row>
    <row r="42768" spans="8:8">
      <c r="H42768" s="680" t="s">
        <v>6153</v>
      </c>
    </row>
    <row r="42769" spans="8:8">
      <c r="H42769" s="680" t="s">
        <v>6153</v>
      </c>
    </row>
    <row r="42770" spans="8:8">
      <c r="H42770" s="680" t="s">
        <v>6153</v>
      </c>
    </row>
    <row r="42771" spans="8:8">
      <c r="H42771" s="680" t="s">
        <v>6153</v>
      </c>
    </row>
    <row r="42772" spans="8:8">
      <c r="H42772" s="680" t="s">
        <v>6153</v>
      </c>
    </row>
    <row r="42773" spans="8:8">
      <c r="H42773" s="680" t="s">
        <v>6153</v>
      </c>
    </row>
    <row r="42774" spans="8:8">
      <c r="H42774" s="680" t="s">
        <v>6153</v>
      </c>
    </row>
    <row r="42775" spans="8:8">
      <c r="H42775" s="680" t="s">
        <v>6153</v>
      </c>
    </row>
    <row r="42776" spans="8:8">
      <c r="H42776" s="680" t="s">
        <v>6153</v>
      </c>
    </row>
    <row r="42777" spans="8:8">
      <c r="H42777" s="680" t="s">
        <v>6153</v>
      </c>
    </row>
    <row r="42778" spans="8:8">
      <c r="H42778" s="680" t="s">
        <v>6153</v>
      </c>
    </row>
    <row r="42779" spans="8:8">
      <c r="H42779" s="680" t="s">
        <v>6153</v>
      </c>
    </row>
    <row r="42780" spans="8:8">
      <c r="H42780" s="680" t="s">
        <v>6153</v>
      </c>
    </row>
    <row r="42781" spans="8:8">
      <c r="H42781" s="680" t="s">
        <v>6153</v>
      </c>
    </row>
    <row r="42782" spans="8:8">
      <c r="H42782" s="680" t="s">
        <v>6153</v>
      </c>
    </row>
    <row r="42783" spans="8:8">
      <c r="H42783" s="680" t="s">
        <v>6153</v>
      </c>
    </row>
    <row r="42784" spans="8:8">
      <c r="H42784" s="680" t="s">
        <v>6153</v>
      </c>
    </row>
    <row r="42785" spans="8:8">
      <c r="H42785" s="680" t="s">
        <v>6153</v>
      </c>
    </row>
    <row r="42786" spans="8:8">
      <c r="H42786" s="680" t="s">
        <v>6153</v>
      </c>
    </row>
    <row r="42787" spans="8:8">
      <c r="H42787" s="680" t="s">
        <v>6153</v>
      </c>
    </row>
    <row r="42788" spans="8:8">
      <c r="H42788" s="680" t="s">
        <v>6153</v>
      </c>
    </row>
    <row r="42789" spans="8:8">
      <c r="H42789" s="680" t="s">
        <v>6153</v>
      </c>
    </row>
    <row r="42790" spans="8:8">
      <c r="H42790" s="680" t="s">
        <v>6153</v>
      </c>
    </row>
    <row r="42791" spans="8:8">
      <c r="H42791" s="680" t="s">
        <v>6153</v>
      </c>
    </row>
    <row r="42792" spans="8:8">
      <c r="H42792" s="680" t="s">
        <v>6153</v>
      </c>
    </row>
    <row r="42793" spans="8:8">
      <c r="H42793" s="680" t="s">
        <v>6153</v>
      </c>
    </row>
    <row r="42794" spans="8:8">
      <c r="H42794" s="680" t="s">
        <v>6153</v>
      </c>
    </row>
    <row r="42795" spans="8:8">
      <c r="H42795" s="680" t="s">
        <v>6153</v>
      </c>
    </row>
    <row r="42796" spans="8:8">
      <c r="H42796" s="680" t="s">
        <v>6153</v>
      </c>
    </row>
    <row r="42797" spans="8:8">
      <c r="H42797" s="680" t="s">
        <v>6153</v>
      </c>
    </row>
    <row r="42798" spans="8:8">
      <c r="H42798" s="680" t="s">
        <v>6153</v>
      </c>
    </row>
    <row r="42799" spans="8:8">
      <c r="H42799" s="680" t="s">
        <v>6153</v>
      </c>
    </row>
    <row r="42800" spans="8:8">
      <c r="H42800" s="680" t="s">
        <v>6153</v>
      </c>
    </row>
    <row r="42801" spans="8:8">
      <c r="H42801" s="680" t="s">
        <v>6153</v>
      </c>
    </row>
    <row r="42802" spans="8:8">
      <c r="H42802" s="680" t="s">
        <v>6153</v>
      </c>
    </row>
    <row r="42803" spans="8:8">
      <c r="H42803" s="680" t="s">
        <v>6153</v>
      </c>
    </row>
    <row r="42804" spans="8:8">
      <c r="H42804" s="680" t="s">
        <v>6153</v>
      </c>
    </row>
    <row r="42805" spans="8:8">
      <c r="H42805" s="680" t="s">
        <v>6153</v>
      </c>
    </row>
    <row r="42806" spans="8:8">
      <c r="H42806" s="680" t="s">
        <v>6153</v>
      </c>
    </row>
    <row r="42807" spans="8:8">
      <c r="H42807" s="680" t="s">
        <v>6153</v>
      </c>
    </row>
    <row r="42808" spans="8:8">
      <c r="H42808" s="680" t="s">
        <v>6153</v>
      </c>
    </row>
    <row r="42809" spans="8:8">
      <c r="H42809" s="680" t="s">
        <v>6153</v>
      </c>
    </row>
    <row r="42810" spans="8:8">
      <c r="H42810" s="680" t="s">
        <v>6153</v>
      </c>
    </row>
    <row r="42811" spans="8:8">
      <c r="H42811" s="680" t="s">
        <v>6153</v>
      </c>
    </row>
    <row r="42812" spans="8:8">
      <c r="H42812" s="680" t="s">
        <v>6153</v>
      </c>
    </row>
    <row r="42813" spans="8:8">
      <c r="H42813" s="680" t="s">
        <v>6153</v>
      </c>
    </row>
    <row r="42814" spans="8:8">
      <c r="H42814" s="680" t="s">
        <v>6153</v>
      </c>
    </row>
    <row r="42815" spans="8:8">
      <c r="H42815" s="680" t="s">
        <v>6153</v>
      </c>
    </row>
    <row r="42816" spans="8:8">
      <c r="H42816" s="680" t="s">
        <v>6153</v>
      </c>
    </row>
    <row r="42817" spans="8:8">
      <c r="H42817" s="680" t="s">
        <v>6153</v>
      </c>
    </row>
    <row r="42818" spans="8:8">
      <c r="H42818" s="680" t="s">
        <v>6153</v>
      </c>
    </row>
    <row r="42819" spans="8:8">
      <c r="H42819" s="680" t="s">
        <v>6153</v>
      </c>
    </row>
    <row r="42820" spans="8:8">
      <c r="H42820" s="680" t="s">
        <v>6153</v>
      </c>
    </row>
    <row r="42821" spans="8:8">
      <c r="H42821" s="680" t="s">
        <v>6153</v>
      </c>
    </row>
    <row r="42822" spans="8:8">
      <c r="H42822" s="680" t="s">
        <v>6153</v>
      </c>
    </row>
    <row r="42823" spans="8:8">
      <c r="H42823" s="680" t="s">
        <v>6153</v>
      </c>
    </row>
    <row r="42824" spans="8:8">
      <c r="H42824" s="680" t="s">
        <v>6153</v>
      </c>
    </row>
    <row r="42825" spans="8:8">
      <c r="H42825" s="680" t="s">
        <v>6153</v>
      </c>
    </row>
    <row r="42826" spans="8:8">
      <c r="H42826" s="680" t="s">
        <v>6153</v>
      </c>
    </row>
    <row r="42827" spans="8:8">
      <c r="H42827" s="680" t="s">
        <v>6153</v>
      </c>
    </row>
    <row r="42828" spans="8:8">
      <c r="H42828" s="680" t="s">
        <v>6153</v>
      </c>
    </row>
    <row r="42829" spans="8:8">
      <c r="H42829" s="680" t="s">
        <v>6153</v>
      </c>
    </row>
    <row r="42830" spans="8:8">
      <c r="H42830" s="680" t="s">
        <v>6153</v>
      </c>
    </row>
    <row r="42831" spans="8:8">
      <c r="H42831" s="680" t="s">
        <v>6153</v>
      </c>
    </row>
    <row r="42832" spans="8:8">
      <c r="H42832" s="680" t="s">
        <v>6153</v>
      </c>
    </row>
    <row r="42833" spans="8:8">
      <c r="H42833" s="680" t="s">
        <v>6153</v>
      </c>
    </row>
    <row r="42834" spans="8:8">
      <c r="H42834" s="680" t="s">
        <v>6153</v>
      </c>
    </row>
    <row r="42835" spans="8:8">
      <c r="H42835" s="680" t="s">
        <v>6153</v>
      </c>
    </row>
    <row r="42836" spans="8:8">
      <c r="H42836" s="680" t="s">
        <v>6153</v>
      </c>
    </row>
    <row r="42837" spans="8:8">
      <c r="H42837" s="680" t="s">
        <v>6153</v>
      </c>
    </row>
    <row r="42838" spans="8:8">
      <c r="H42838" s="680" t="s">
        <v>6153</v>
      </c>
    </row>
    <row r="42839" spans="8:8">
      <c r="H42839" s="680" t="s">
        <v>6153</v>
      </c>
    </row>
    <row r="42840" spans="8:8">
      <c r="H42840" s="680" t="s">
        <v>6153</v>
      </c>
    </row>
    <row r="42841" spans="8:8">
      <c r="H42841" s="680" t="s">
        <v>6153</v>
      </c>
    </row>
    <row r="42842" spans="8:8">
      <c r="H42842" s="680" t="s">
        <v>6153</v>
      </c>
    </row>
    <row r="42843" spans="8:8">
      <c r="H42843" s="680" t="s">
        <v>6153</v>
      </c>
    </row>
    <row r="42844" spans="8:8">
      <c r="H42844" s="680" t="s">
        <v>6153</v>
      </c>
    </row>
    <row r="42845" spans="8:8">
      <c r="H42845" s="680" t="s">
        <v>6153</v>
      </c>
    </row>
    <row r="42846" spans="8:8">
      <c r="H42846" s="680" t="s">
        <v>6153</v>
      </c>
    </row>
    <row r="42847" spans="8:8">
      <c r="H42847" s="680" t="s">
        <v>6153</v>
      </c>
    </row>
    <row r="42848" spans="8:8">
      <c r="H42848" s="680" t="s">
        <v>6153</v>
      </c>
    </row>
    <row r="42849" spans="8:8">
      <c r="H42849" s="680" t="s">
        <v>6153</v>
      </c>
    </row>
    <row r="42850" spans="8:8">
      <c r="H42850" s="680" t="s">
        <v>6153</v>
      </c>
    </row>
    <row r="42851" spans="8:8">
      <c r="H42851" s="680" t="s">
        <v>6153</v>
      </c>
    </row>
    <row r="42852" spans="8:8">
      <c r="H42852" s="680" t="s">
        <v>6153</v>
      </c>
    </row>
    <row r="42853" spans="8:8">
      <c r="H42853" s="680" t="s">
        <v>6153</v>
      </c>
    </row>
    <row r="42854" spans="8:8">
      <c r="H42854" s="680" t="s">
        <v>6153</v>
      </c>
    </row>
    <row r="42855" spans="8:8">
      <c r="H42855" s="680" t="s">
        <v>6153</v>
      </c>
    </row>
    <row r="42856" spans="8:8">
      <c r="H42856" s="680" t="s">
        <v>6153</v>
      </c>
    </row>
    <row r="42857" spans="8:8">
      <c r="H42857" s="680" t="s">
        <v>6153</v>
      </c>
    </row>
    <row r="42858" spans="8:8">
      <c r="H42858" s="680" t="s">
        <v>6153</v>
      </c>
    </row>
    <row r="42859" spans="8:8">
      <c r="H42859" s="680" t="s">
        <v>6153</v>
      </c>
    </row>
    <row r="42860" spans="8:8">
      <c r="H42860" s="680" t="s">
        <v>6153</v>
      </c>
    </row>
    <row r="42861" spans="8:8">
      <c r="H42861" s="680" t="s">
        <v>6153</v>
      </c>
    </row>
    <row r="42862" spans="8:8">
      <c r="H42862" s="680" t="s">
        <v>6153</v>
      </c>
    </row>
    <row r="42863" spans="8:8">
      <c r="H42863" s="680" t="s">
        <v>6153</v>
      </c>
    </row>
    <row r="42864" spans="8:8">
      <c r="H42864" s="680" t="s">
        <v>6153</v>
      </c>
    </row>
    <row r="42865" spans="8:8">
      <c r="H42865" s="680" t="s">
        <v>6153</v>
      </c>
    </row>
    <row r="42866" spans="8:8">
      <c r="H42866" s="680" t="s">
        <v>6153</v>
      </c>
    </row>
    <row r="42867" spans="8:8">
      <c r="H42867" s="680" t="s">
        <v>6153</v>
      </c>
    </row>
    <row r="42868" spans="8:8">
      <c r="H42868" s="680" t="s">
        <v>6153</v>
      </c>
    </row>
    <row r="42869" spans="8:8">
      <c r="H42869" s="680" t="s">
        <v>6153</v>
      </c>
    </row>
    <row r="42870" spans="8:8">
      <c r="H42870" s="680" t="s">
        <v>6153</v>
      </c>
    </row>
    <row r="42871" spans="8:8">
      <c r="H42871" s="680" t="s">
        <v>6153</v>
      </c>
    </row>
    <row r="42872" spans="8:8">
      <c r="H42872" s="680" t="s">
        <v>6153</v>
      </c>
    </row>
    <row r="42873" spans="8:8">
      <c r="H42873" s="680" t="s">
        <v>6153</v>
      </c>
    </row>
    <row r="42874" spans="8:8">
      <c r="H42874" s="680" t="s">
        <v>6153</v>
      </c>
    </row>
    <row r="42875" spans="8:8">
      <c r="H42875" s="680" t="s">
        <v>6153</v>
      </c>
    </row>
    <row r="42876" spans="8:8">
      <c r="H42876" s="680" t="s">
        <v>6153</v>
      </c>
    </row>
    <row r="42877" spans="8:8">
      <c r="H42877" s="680" t="s">
        <v>6153</v>
      </c>
    </row>
    <row r="42878" spans="8:8">
      <c r="H42878" s="680" t="s">
        <v>6153</v>
      </c>
    </row>
    <row r="42879" spans="8:8">
      <c r="H42879" s="680" t="s">
        <v>6153</v>
      </c>
    </row>
    <row r="42880" spans="8:8">
      <c r="H42880" s="680" t="s">
        <v>6153</v>
      </c>
    </row>
    <row r="42881" spans="8:8">
      <c r="H42881" s="680" t="s">
        <v>6153</v>
      </c>
    </row>
    <row r="42882" spans="8:8">
      <c r="H42882" s="680" t="s">
        <v>6153</v>
      </c>
    </row>
    <row r="42883" spans="8:8">
      <c r="H42883" s="680" t="s">
        <v>6153</v>
      </c>
    </row>
    <row r="42884" spans="8:8">
      <c r="H42884" s="680" t="s">
        <v>6153</v>
      </c>
    </row>
    <row r="42885" spans="8:8">
      <c r="H42885" s="680" t="s">
        <v>6153</v>
      </c>
    </row>
    <row r="42886" spans="8:8">
      <c r="H42886" s="680" t="s">
        <v>6153</v>
      </c>
    </row>
    <row r="42887" spans="8:8">
      <c r="H42887" s="680" t="s">
        <v>6153</v>
      </c>
    </row>
    <row r="42888" spans="8:8">
      <c r="H42888" s="680" t="s">
        <v>6153</v>
      </c>
    </row>
    <row r="42889" spans="8:8">
      <c r="H42889" s="680" t="s">
        <v>6153</v>
      </c>
    </row>
    <row r="42890" spans="8:8">
      <c r="H42890" s="680" t="s">
        <v>6153</v>
      </c>
    </row>
    <row r="42891" spans="8:8">
      <c r="H42891" s="680" t="s">
        <v>6153</v>
      </c>
    </row>
    <row r="42892" spans="8:8">
      <c r="H42892" s="680" t="s">
        <v>6153</v>
      </c>
    </row>
    <row r="42893" spans="8:8">
      <c r="H42893" s="680" t="s">
        <v>6153</v>
      </c>
    </row>
    <row r="42894" spans="8:8">
      <c r="H42894" s="680" t="s">
        <v>6153</v>
      </c>
    </row>
    <row r="42895" spans="8:8">
      <c r="H42895" s="680" t="s">
        <v>6153</v>
      </c>
    </row>
    <row r="42896" spans="8:8">
      <c r="H42896" s="680" t="s">
        <v>6153</v>
      </c>
    </row>
    <row r="42897" spans="8:8">
      <c r="H42897" s="680" t="s">
        <v>6153</v>
      </c>
    </row>
    <row r="42898" spans="8:8">
      <c r="H42898" s="680" t="s">
        <v>6153</v>
      </c>
    </row>
    <row r="42899" spans="8:8">
      <c r="H42899" s="680" t="s">
        <v>6153</v>
      </c>
    </row>
    <row r="42900" spans="8:8">
      <c r="H42900" s="680" t="s">
        <v>6153</v>
      </c>
    </row>
    <row r="42901" spans="8:8">
      <c r="H42901" s="680" t="s">
        <v>6153</v>
      </c>
    </row>
    <row r="42902" spans="8:8">
      <c r="H42902" s="680" t="s">
        <v>6153</v>
      </c>
    </row>
    <row r="42903" spans="8:8">
      <c r="H42903" s="680" t="s">
        <v>6153</v>
      </c>
    </row>
    <row r="42904" spans="8:8">
      <c r="H42904" s="680" t="s">
        <v>6153</v>
      </c>
    </row>
    <row r="42905" spans="8:8">
      <c r="H42905" s="680" t="s">
        <v>6153</v>
      </c>
    </row>
    <row r="42906" spans="8:8">
      <c r="H42906" s="680" t="s">
        <v>6153</v>
      </c>
    </row>
    <row r="42907" spans="8:8">
      <c r="H42907" s="680" t="s">
        <v>6153</v>
      </c>
    </row>
    <row r="42908" spans="8:8">
      <c r="H42908" s="680" t="s">
        <v>6153</v>
      </c>
    </row>
    <row r="42909" spans="8:8">
      <c r="H42909" s="680" t="s">
        <v>6153</v>
      </c>
    </row>
    <row r="42910" spans="8:8">
      <c r="H42910" s="680" t="s">
        <v>6153</v>
      </c>
    </row>
    <row r="42911" spans="8:8">
      <c r="H42911" s="680" t="s">
        <v>6153</v>
      </c>
    </row>
    <row r="42912" spans="8:8">
      <c r="H42912" s="680" t="s">
        <v>6153</v>
      </c>
    </row>
    <row r="42913" spans="8:8">
      <c r="H42913" s="680" t="s">
        <v>6153</v>
      </c>
    </row>
    <row r="42914" spans="8:8">
      <c r="H42914" s="680" t="s">
        <v>6153</v>
      </c>
    </row>
    <row r="42915" spans="8:8">
      <c r="H42915" s="680" t="s">
        <v>6153</v>
      </c>
    </row>
    <row r="42916" spans="8:8">
      <c r="H42916" s="680" t="s">
        <v>6153</v>
      </c>
    </row>
    <row r="42917" spans="8:8">
      <c r="H42917" s="680" t="s">
        <v>6153</v>
      </c>
    </row>
    <row r="42918" spans="8:8">
      <c r="H42918" s="680" t="s">
        <v>6153</v>
      </c>
    </row>
    <row r="42919" spans="8:8">
      <c r="H42919" s="680" t="s">
        <v>6153</v>
      </c>
    </row>
    <row r="42920" spans="8:8">
      <c r="H42920" s="680" t="s">
        <v>6153</v>
      </c>
    </row>
    <row r="42921" spans="8:8">
      <c r="H42921" s="680" t="s">
        <v>6153</v>
      </c>
    </row>
    <row r="42922" spans="8:8">
      <c r="H42922" s="680" t="s">
        <v>6153</v>
      </c>
    </row>
    <row r="42923" spans="8:8">
      <c r="H42923" s="680" t="s">
        <v>6153</v>
      </c>
    </row>
    <row r="42924" spans="8:8">
      <c r="H42924" s="680" t="s">
        <v>6153</v>
      </c>
    </row>
    <row r="42925" spans="8:8">
      <c r="H42925" s="680" t="s">
        <v>6153</v>
      </c>
    </row>
    <row r="42926" spans="8:8">
      <c r="H42926" s="680" t="s">
        <v>6153</v>
      </c>
    </row>
    <row r="42927" spans="8:8">
      <c r="H42927" s="680" t="s">
        <v>6153</v>
      </c>
    </row>
    <row r="42928" spans="8:8">
      <c r="H42928" s="680" t="s">
        <v>6153</v>
      </c>
    </row>
    <row r="42929" spans="8:8">
      <c r="H42929" s="680" t="s">
        <v>6153</v>
      </c>
    </row>
    <row r="42930" spans="8:8">
      <c r="H42930" s="680" t="s">
        <v>6153</v>
      </c>
    </row>
    <row r="42931" spans="8:8">
      <c r="H42931" s="680" t="s">
        <v>6153</v>
      </c>
    </row>
    <row r="42932" spans="8:8">
      <c r="H42932" s="680" t="s">
        <v>6153</v>
      </c>
    </row>
    <row r="42933" spans="8:8">
      <c r="H42933" s="680" t="s">
        <v>6153</v>
      </c>
    </row>
    <row r="42934" spans="8:8">
      <c r="H42934" s="680" t="s">
        <v>6153</v>
      </c>
    </row>
    <row r="42935" spans="8:8">
      <c r="H42935" s="680" t="s">
        <v>6153</v>
      </c>
    </row>
    <row r="42936" spans="8:8">
      <c r="H42936" s="680" t="s">
        <v>6153</v>
      </c>
    </row>
    <row r="42937" spans="8:8">
      <c r="H42937" s="680" t="s">
        <v>6153</v>
      </c>
    </row>
    <row r="42938" spans="8:8">
      <c r="H42938" s="680" t="s">
        <v>6153</v>
      </c>
    </row>
    <row r="42939" spans="8:8">
      <c r="H42939" s="680" t="s">
        <v>6153</v>
      </c>
    </row>
    <row r="42940" spans="8:8">
      <c r="H42940" s="680" t="s">
        <v>6153</v>
      </c>
    </row>
    <row r="42941" spans="8:8">
      <c r="H42941" s="680" t="s">
        <v>6153</v>
      </c>
    </row>
    <row r="42942" spans="8:8">
      <c r="H42942" s="680" t="s">
        <v>6153</v>
      </c>
    </row>
    <row r="42943" spans="8:8">
      <c r="H42943" s="680" t="s">
        <v>6153</v>
      </c>
    </row>
    <row r="42944" spans="8:8">
      <c r="H42944" s="680" t="s">
        <v>6153</v>
      </c>
    </row>
    <row r="42945" spans="8:8">
      <c r="H42945" s="680" t="s">
        <v>6153</v>
      </c>
    </row>
    <row r="42946" spans="8:8">
      <c r="H42946" s="680" t="s">
        <v>6153</v>
      </c>
    </row>
    <row r="42947" spans="8:8">
      <c r="H42947" s="680" t="s">
        <v>6153</v>
      </c>
    </row>
    <row r="42948" spans="8:8">
      <c r="H42948" s="680" t="s">
        <v>6153</v>
      </c>
    </row>
    <row r="42949" spans="8:8">
      <c r="H42949" s="680" t="s">
        <v>6153</v>
      </c>
    </row>
    <row r="42950" spans="8:8">
      <c r="H42950" s="680" t="s">
        <v>6153</v>
      </c>
    </row>
    <row r="42951" spans="8:8">
      <c r="H42951" s="680" t="s">
        <v>6153</v>
      </c>
    </row>
    <row r="42952" spans="8:8">
      <c r="H42952" s="680" t="s">
        <v>6153</v>
      </c>
    </row>
    <row r="42953" spans="8:8">
      <c r="H42953" s="680" t="s">
        <v>6153</v>
      </c>
    </row>
    <row r="42954" spans="8:8">
      <c r="H42954" s="680" t="s">
        <v>6153</v>
      </c>
    </row>
    <row r="42955" spans="8:8">
      <c r="H42955" s="680" t="s">
        <v>6153</v>
      </c>
    </row>
    <row r="42956" spans="8:8">
      <c r="H42956" s="680" t="s">
        <v>6153</v>
      </c>
    </row>
    <row r="42957" spans="8:8">
      <c r="H42957" s="680" t="s">
        <v>6153</v>
      </c>
    </row>
    <row r="42958" spans="8:8">
      <c r="H42958" s="680" t="s">
        <v>6153</v>
      </c>
    </row>
    <row r="42959" spans="8:8">
      <c r="H42959" s="680" t="s">
        <v>6153</v>
      </c>
    </row>
    <row r="42960" spans="8:8">
      <c r="H42960" s="680" t="s">
        <v>6153</v>
      </c>
    </row>
    <row r="42961" spans="8:8">
      <c r="H42961" s="680" t="s">
        <v>6153</v>
      </c>
    </row>
    <row r="42962" spans="8:8">
      <c r="H42962" s="680" t="s">
        <v>6153</v>
      </c>
    </row>
    <row r="42963" spans="8:8">
      <c r="H42963" s="680" t="s">
        <v>6153</v>
      </c>
    </row>
    <row r="42964" spans="8:8">
      <c r="H42964" s="680" t="s">
        <v>6153</v>
      </c>
    </row>
    <row r="42965" spans="8:8">
      <c r="H42965" s="680" t="s">
        <v>6153</v>
      </c>
    </row>
    <row r="42966" spans="8:8">
      <c r="H42966" s="680" t="s">
        <v>6153</v>
      </c>
    </row>
    <row r="42967" spans="8:8">
      <c r="H42967" s="680" t="s">
        <v>6153</v>
      </c>
    </row>
    <row r="42968" spans="8:8">
      <c r="H42968" s="680" t="s">
        <v>6153</v>
      </c>
    </row>
    <row r="42969" spans="8:8">
      <c r="H42969" s="680" t="s">
        <v>6153</v>
      </c>
    </row>
    <row r="42970" spans="8:8">
      <c r="H42970" s="680" t="s">
        <v>6153</v>
      </c>
    </row>
    <row r="42971" spans="8:8">
      <c r="H42971" s="680" t="s">
        <v>6153</v>
      </c>
    </row>
    <row r="42972" spans="8:8">
      <c r="H42972" s="680" t="s">
        <v>6153</v>
      </c>
    </row>
    <row r="42973" spans="8:8">
      <c r="H42973" s="680" t="s">
        <v>6153</v>
      </c>
    </row>
    <row r="42974" spans="8:8">
      <c r="H42974" s="680" t="s">
        <v>6153</v>
      </c>
    </row>
    <row r="42975" spans="8:8">
      <c r="H42975" s="680" t="s">
        <v>6153</v>
      </c>
    </row>
    <row r="42976" spans="8:8">
      <c r="H42976" s="680" t="s">
        <v>6153</v>
      </c>
    </row>
    <row r="42977" spans="8:8">
      <c r="H42977" s="680" t="s">
        <v>6153</v>
      </c>
    </row>
    <row r="42978" spans="8:8">
      <c r="H42978" s="680" t="s">
        <v>6153</v>
      </c>
    </row>
    <row r="42979" spans="8:8">
      <c r="H42979" s="680" t="s">
        <v>6153</v>
      </c>
    </row>
    <row r="42980" spans="8:8">
      <c r="H42980" s="680" t="s">
        <v>6153</v>
      </c>
    </row>
    <row r="42981" spans="8:8">
      <c r="H42981" s="680" t="s">
        <v>6153</v>
      </c>
    </row>
    <row r="42982" spans="8:8">
      <c r="H42982" s="680" t="s">
        <v>6153</v>
      </c>
    </row>
    <row r="42983" spans="8:8">
      <c r="H42983" s="680" t="s">
        <v>6153</v>
      </c>
    </row>
    <row r="42984" spans="8:8">
      <c r="H42984" s="680" t="s">
        <v>6153</v>
      </c>
    </row>
    <row r="42985" spans="8:8">
      <c r="H42985" s="680" t="s">
        <v>6153</v>
      </c>
    </row>
    <row r="42986" spans="8:8">
      <c r="H42986" s="680" t="s">
        <v>6153</v>
      </c>
    </row>
    <row r="42987" spans="8:8">
      <c r="H42987" s="680" t="s">
        <v>6153</v>
      </c>
    </row>
    <row r="42988" spans="8:8">
      <c r="H42988" s="680" t="s">
        <v>6153</v>
      </c>
    </row>
    <row r="42989" spans="8:8">
      <c r="H42989" s="680" t="s">
        <v>6153</v>
      </c>
    </row>
    <row r="42990" spans="8:8">
      <c r="H42990" s="680" t="s">
        <v>6153</v>
      </c>
    </row>
    <row r="42991" spans="8:8">
      <c r="H42991" s="680" t="s">
        <v>6153</v>
      </c>
    </row>
    <row r="42992" spans="8:8">
      <c r="H42992" s="680" t="s">
        <v>6153</v>
      </c>
    </row>
    <row r="42993" spans="8:8">
      <c r="H42993" s="680" t="s">
        <v>6153</v>
      </c>
    </row>
    <row r="42994" spans="8:8">
      <c r="H42994" s="680" t="s">
        <v>6153</v>
      </c>
    </row>
    <row r="42995" spans="8:8">
      <c r="H42995" s="680" t="s">
        <v>6153</v>
      </c>
    </row>
    <row r="42996" spans="8:8">
      <c r="H42996" s="680" t="s">
        <v>6153</v>
      </c>
    </row>
    <row r="42997" spans="8:8">
      <c r="H42997" s="680" t="s">
        <v>6153</v>
      </c>
    </row>
    <row r="42998" spans="8:8">
      <c r="H42998" s="680" t="s">
        <v>6153</v>
      </c>
    </row>
    <row r="42999" spans="8:8">
      <c r="H42999" s="680" t="s">
        <v>6153</v>
      </c>
    </row>
    <row r="43000" spans="8:8">
      <c r="H43000" s="680" t="s">
        <v>6153</v>
      </c>
    </row>
    <row r="43001" spans="8:8">
      <c r="H43001" s="680" t="s">
        <v>6153</v>
      </c>
    </row>
    <row r="43002" spans="8:8">
      <c r="H43002" s="680" t="s">
        <v>6153</v>
      </c>
    </row>
    <row r="43003" spans="8:8">
      <c r="H43003" s="680" t="s">
        <v>6153</v>
      </c>
    </row>
    <row r="43004" spans="8:8">
      <c r="H43004" s="680" t="s">
        <v>6153</v>
      </c>
    </row>
    <row r="43005" spans="8:8">
      <c r="H43005" s="680" t="s">
        <v>6153</v>
      </c>
    </row>
    <row r="43006" spans="8:8">
      <c r="H43006" s="680" t="s">
        <v>6153</v>
      </c>
    </row>
    <row r="43007" spans="8:8">
      <c r="H43007" s="680" t="s">
        <v>6153</v>
      </c>
    </row>
    <row r="43008" spans="8:8">
      <c r="H43008" s="680" t="s">
        <v>6153</v>
      </c>
    </row>
    <row r="43009" spans="8:8">
      <c r="H43009" s="680" t="s">
        <v>6153</v>
      </c>
    </row>
    <row r="43010" spans="8:8">
      <c r="H43010" s="680" t="s">
        <v>6153</v>
      </c>
    </row>
    <row r="43011" spans="8:8">
      <c r="H43011" s="680" t="s">
        <v>6153</v>
      </c>
    </row>
    <row r="43012" spans="8:8">
      <c r="H43012" s="680" t="s">
        <v>6153</v>
      </c>
    </row>
    <row r="43013" spans="8:8">
      <c r="H43013" s="680" t="s">
        <v>6153</v>
      </c>
    </row>
    <row r="43014" spans="8:8">
      <c r="H43014" s="680" t="s">
        <v>6153</v>
      </c>
    </row>
    <row r="43015" spans="8:8">
      <c r="H43015" s="680" t="s">
        <v>6153</v>
      </c>
    </row>
    <row r="43016" spans="8:8">
      <c r="H43016" s="680" t="s">
        <v>6153</v>
      </c>
    </row>
    <row r="43017" spans="8:8">
      <c r="H43017" s="680" t="s">
        <v>6153</v>
      </c>
    </row>
    <row r="43018" spans="8:8">
      <c r="H43018" s="680" t="s">
        <v>6153</v>
      </c>
    </row>
    <row r="43019" spans="8:8">
      <c r="H43019" s="680" t="s">
        <v>6153</v>
      </c>
    </row>
    <row r="43020" spans="8:8">
      <c r="H43020" s="680" t="s">
        <v>6153</v>
      </c>
    </row>
    <row r="43021" spans="8:8">
      <c r="H43021" s="680" t="s">
        <v>6153</v>
      </c>
    </row>
    <row r="43022" spans="8:8">
      <c r="H43022" s="680" t="s">
        <v>6153</v>
      </c>
    </row>
    <row r="43023" spans="8:8">
      <c r="H43023" s="680" t="s">
        <v>6153</v>
      </c>
    </row>
    <row r="43024" spans="8:8">
      <c r="H43024" s="680" t="s">
        <v>6153</v>
      </c>
    </row>
    <row r="43025" spans="8:8">
      <c r="H43025" s="680" t="s">
        <v>6153</v>
      </c>
    </row>
    <row r="43026" spans="8:8">
      <c r="H43026" s="680" t="s">
        <v>6153</v>
      </c>
    </row>
    <row r="43027" spans="8:8">
      <c r="H43027" s="680" t="s">
        <v>6153</v>
      </c>
    </row>
    <row r="43028" spans="8:8">
      <c r="H43028" s="680" t="s">
        <v>6153</v>
      </c>
    </row>
    <row r="43029" spans="8:8">
      <c r="H43029" s="680" t="s">
        <v>6153</v>
      </c>
    </row>
    <row r="43030" spans="8:8">
      <c r="H43030" s="680" t="s">
        <v>6153</v>
      </c>
    </row>
    <row r="43031" spans="8:8">
      <c r="H43031" s="680" t="s">
        <v>6153</v>
      </c>
    </row>
    <row r="43032" spans="8:8">
      <c r="H43032" s="680" t="s">
        <v>6153</v>
      </c>
    </row>
    <row r="43033" spans="8:8">
      <c r="H43033" s="680" t="s">
        <v>6153</v>
      </c>
    </row>
    <row r="43034" spans="8:8">
      <c r="H43034" s="680" t="s">
        <v>6153</v>
      </c>
    </row>
    <row r="43035" spans="8:8">
      <c r="H43035" s="680" t="s">
        <v>6153</v>
      </c>
    </row>
    <row r="43036" spans="8:8">
      <c r="H43036" s="680" t="s">
        <v>6153</v>
      </c>
    </row>
    <row r="43037" spans="8:8">
      <c r="H43037" s="680" t="s">
        <v>6153</v>
      </c>
    </row>
    <row r="43038" spans="8:8">
      <c r="H43038" s="680" t="s">
        <v>6153</v>
      </c>
    </row>
    <row r="43039" spans="8:8">
      <c r="H43039" s="680" t="s">
        <v>6153</v>
      </c>
    </row>
    <row r="43040" spans="8:8">
      <c r="H43040" s="680" t="s">
        <v>6153</v>
      </c>
    </row>
    <row r="43041" spans="8:8">
      <c r="H43041" s="680" t="s">
        <v>6153</v>
      </c>
    </row>
    <row r="43042" spans="8:8">
      <c r="H43042" s="680" t="s">
        <v>6153</v>
      </c>
    </row>
    <row r="43043" spans="8:8">
      <c r="H43043" s="680" t="s">
        <v>6153</v>
      </c>
    </row>
    <row r="43044" spans="8:8">
      <c r="H43044" s="680" t="s">
        <v>6153</v>
      </c>
    </row>
    <row r="43045" spans="8:8">
      <c r="H43045" s="680" t="s">
        <v>6153</v>
      </c>
    </row>
    <row r="43046" spans="8:8">
      <c r="H43046" s="680" t="s">
        <v>6153</v>
      </c>
    </row>
    <row r="43047" spans="8:8">
      <c r="H43047" s="680" t="s">
        <v>6153</v>
      </c>
    </row>
    <row r="43048" spans="8:8">
      <c r="H43048" s="680" t="s">
        <v>6153</v>
      </c>
    </row>
    <row r="43049" spans="8:8">
      <c r="H43049" s="680" t="s">
        <v>6153</v>
      </c>
    </row>
    <row r="43050" spans="8:8">
      <c r="H43050" s="680" t="s">
        <v>6153</v>
      </c>
    </row>
    <row r="43051" spans="8:8">
      <c r="H43051" s="680" t="s">
        <v>6153</v>
      </c>
    </row>
    <row r="43052" spans="8:8">
      <c r="H43052" s="680" t="s">
        <v>6153</v>
      </c>
    </row>
    <row r="43053" spans="8:8">
      <c r="H43053" s="680" t="s">
        <v>6153</v>
      </c>
    </row>
    <row r="43054" spans="8:8">
      <c r="H43054" s="680" t="s">
        <v>6153</v>
      </c>
    </row>
    <row r="43055" spans="8:8">
      <c r="H43055" s="680" t="s">
        <v>6153</v>
      </c>
    </row>
    <row r="43056" spans="8:8">
      <c r="H43056" s="680" t="s">
        <v>6153</v>
      </c>
    </row>
    <row r="43057" spans="8:8">
      <c r="H43057" s="680" t="s">
        <v>6153</v>
      </c>
    </row>
    <row r="43058" spans="8:8">
      <c r="H43058" s="680" t="s">
        <v>6153</v>
      </c>
    </row>
    <row r="43059" spans="8:8">
      <c r="H43059" s="680" t="s">
        <v>6153</v>
      </c>
    </row>
    <row r="43060" spans="8:8">
      <c r="H43060" s="680" t="s">
        <v>6153</v>
      </c>
    </row>
    <row r="43061" spans="8:8">
      <c r="H43061" s="680" t="s">
        <v>6153</v>
      </c>
    </row>
    <row r="43062" spans="8:8">
      <c r="H43062" s="680" t="s">
        <v>6153</v>
      </c>
    </row>
    <row r="43063" spans="8:8">
      <c r="H43063" s="680" t="s">
        <v>6153</v>
      </c>
    </row>
    <row r="43064" spans="8:8">
      <c r="H43064" s="680" t="s">
        <v>6153</v>
      </c>
    </row>
    <row r="43065" spans="8:8">
      <c r="H43065" s="680" t="s">
        <v>6153</v>
      </c>
    </row>
    <row r="43066" spans="8:8">
      <c r="H43066" s="680" t="s">
        <v>6153</v>
      </c>
    </row>
    <row r="43067" spans="8:8">
      <c r="H43067" s="680" t="s">
        <v>6153</v>
      </c>
    </row>
    <row r="43068" spans="8:8">
      <c r="H43068" s="680" t="s">
        <v>6153</v>
      </c>
    </row>
    <row r="43069" spans="8:8">
      <c r="H43069" s="680" t="s">
        <v>6153</v>
      </c>
    </row>
    <row r="43070" spans="8:8">
      <c r="H43070" s="680" t="s">
        <v>6153</v>
      </c>
    </row>
    <row r="43071" spans="8:8">
      <c r="H43071" s="680" t="s">
        <v>6153</v>
      </c>
    </row>
    <row r="43072" spans="8:8">
      <c r="H43072" s="680" t="s">
        <v>6153</v>
      </c>
    </row>
    <row r="43073" spans="8:8">
      <c r="H43073" s="680" t="s">
        <v>6153</v>
      </c>
    </row>
    <row r="43074" spans="8:8">
      <c r="H43074" s="680" t="s">
        <v>6153</v>
      </c>
    </row>
    <row r="43075" spans="8:8">
      <c r="H43075" s="680" t="s">
        <v>6153</v>
      </c>
    </row>
    <row r="43076" spans="8:8">
      <c r="H43076" s="680" t="s">
        <v>6153</v>
      </c>
    </row>
    <row r="43077" spans="8:8">
      <c r="H43077" s="680" t="s">
        <v>6153</v>
      </c>
    </row>
    <row r="43078" spans="8:8">
      <c r="H43078" s="680" t="s">
        <v>6153</v>
      </c>
    </row>
    <row r="43079" spans="8:8">
      <c r="H43079" s="680" t="s">
        <v>6153</v>
      </c>
    </row>
    <row r="43080" spans="8:8">
      <c r="H43080" s="680" t="s">
        <v>6153</v>
      </c>
    </row>
    <row r="43081" spans="8:8">
      <c r="H43081" s="680" t="s">
        <v>6153</v>
      </c>
    </row>
    <row r="43082" spans="8:8">
      <c r="H43082" s="680" t="s">
        <v>6153</v>
      </c>
    </row>
    <row r="43083" spans="8:8">
      <c r="H43083" s="680" t="s">
        <v>6153</v>
      </c>
    </row>
    <row r="43084" spans="8:8">
      <c r="H43084" s="680" t="s">
        <v>6153</v>
      </c>
    </row>
    <row r="43085" spans="8:8">
      <c r="H43085" s="680" t="s">
        <v>6153</v>
      </c>
    </row>
    <row r="43086" spans="8:8">
      <c r="H43086" s="680" t="s">
        <v>6153</v>
      </c>
    </row>
    <row r="43087" spans="8:8">
      <c r="H43087" s="680" t="s">
        <v>6153</v>
      </c>
    </row>
    <row r="43088" spans="8:8">
      <c r="H43088" s="680" t="s">
        <v>6153</v>
      </c>
    </row>
    <row r="43089" spans="8:8">
      <c r="H43089" s="680" t="s">
        <v>6153</v>
      </c>
    </row>
    <row r="43090" spans="8:8">
      <c r="H43090" s="680" t="s">
        <v>6153</v>
      </c>
    </row>
    <row r="43091" spans="8:8">
      <c r="H43091" s="680" t="s">
        <v>6153</v>
      </c>
    </row>
    <row r="43092" spans="8:8">
      <c r="H43092" s="680" t="s">
        <v>6153</v>
      </c>
    </row>
    <row r="43093" spans="8:8">
      <c r="H43093" s="680" t="s">
        <v>6153</v>
      </c>
    </row>
    <row r="43094" spans="8:8">
      <c r="H43094" s="680" t="s">
        <v>6153</v>
      </c>
    </row>
    <row r="43095" spans="8:8">
      <c r="H43095" s="680" t="s">
        <v>6153</v>
      </c>
    </row>
    <row r="43096" spans="8:8">
      <c r="H43096" s="680" t="s">
        <v>6153</v>
      </c>
    </row>
    <row r="43097" spans="8:8">
      <c r="H43097" s="680" t="s">
        <v>6153</v>
      </c>
    </row>
    <row r="43098" spans="8:8">
      <c r="H43098" s="680" t="s">
        <v>6153</v>
      </c>
    </row>
    <row r="43099" spans="8:8">
      <c r="H43099" s="680" t="s">
        <v>6153</v>
      </c>
    </row>
    <row r="43100" spans="8:8">
      <c r="H43100" s="680" t="s">
        <v>6153</v>
      </c>
    </row>
    <row r="43101" spans="8:8">
      <c r="H43101" s="680" t="s">
        <v>6153</v>
      </c>
    </row>
    <row r="43102" spans="8:8">
      <c r="H43102" s="680" t="s">
        <v>6153</v>
      </c>
    </row>
    <row r="43103" spans="8:8">
      <c r="H43103" s="680" t="s">
        <v>6153</v>
      </c>
    </row>
    <row r="43104" spans="8:8">
      <c r="H43104" s="680" t="s">
        <v>6153</v>
      </c>
    </row>
    <row r="43105" spans="8:8">
      <c r="H43105" s="680" t="s">
        <v>6153</v>
      </c>
    </row>
    <row r="43106" spans="8:8">
      <c r="H43106" s="680" t="s">
        <v>6153</v>
      </c>
    </row>
    <row r="43107" spans="8:8">
      <c r="H43107" s="680" t="s">
        <v>6153</v>
      </c>
    </row>
    <row r="43108" spans="8:8">
      <c r="H43108" s="680" t="s">
        <v>6153</v>
      </c>
    </row>
    <row r="43109" spans="8:8">
      <c r="H43109" s="680" t="s">
        <v>6153</v>
      </c>
    </row>
    <row r="43110" spans="8:8">
      <c r="H43110" s="680" t="s">
        <v>6153</v>
      </c>
    </row>
    <row r="43111" spans="8:8">
      <c r="H43111" s="680" t="s">
        <v>6153</v>
      </c>
    </row>
    <row r="43112" spans="8:8">
      <c r="H43112" s="680" t="s">
        <v>6153</v>
      </c>
    </row>
    <row r="43113" spans="8:8">
      <c r="H43113" s="680" t="s">
        <v>6153</v>
      </c>
    </row>
    <row r="43114" spans="8:8">
      <c r="H43114" s="680" t="s">
        <v>6153</v>
      </c>
    </row>
    <row r="43115" spans="8:8">
      <c r="H43115" s="680" t="s">
        <v>6153</v>
      </c>
    </row>
    <row r="43116" spans="8:8">
      <c r="H43116" s="680" t="s">
        <v>6153</v>
      </c>
    </row>
    <row r="43117" spans="8:8">
      <c r="H43117" s="680" t="s">
        <v>6153</v>
      </c>
    </row>
    <row r="43118" spans="8:8">
      <c r="H43118" s="680" t="s">
        <v>6153</v>
      </c>
    </row>
    <row r="43119" spans="8:8">
      <c r="H43119" s="680" t="s">
        <v>6153</v>
      </c>
    </row>
    <row r="43120" spans="8:8">
      <c r="H43120" s="680" t="s">
        <v>6153</v>
      </c>
    </row>
    <row r="43121" spans="8:8">
      <c r="H43121" s="680" t="s">
        <v>6153</v>
      </c>
    </row>
    <row r="43122" spans="8:8">
      <c r="H43122" s="680" t="s">
        <v>6153</v>
      </c>
    </row>
    <row r="43123" spans="8:8">
      <c r="H43123" s="680" t="s">
        <v>6153</v>
      </c>
    </row>
    <row r="43124" spans="8:8">
      <c r="H43124" s="680" t="s">
        <v>6153</v>
      </c>
    </row>
    <row r="43125" spans="8:8">
      <c r="H43125" s="680" t="s">
        <v>6153</v>
      </c>
    </row>
    <row r="43126" spans="8:8">
      <c r="H43126" s="680" t="s">
        <v>6153</v>
      </c>
    </row>
    <row r="43127" spans="8:8">
      <c r="H43127" s="680" t="s">
        <v>6153</v>
      </c>
    </row>
    <row r="43128" spans="8:8">
      <c r="H43128" s="680" t="s">
        <v>6153</v>
      </c>
    </row>
    <row r="43129" spans="8:8">
      <c r="H43129" s="680" t="s">
        <v>6153</v>
      </c>
    </row>
    <row r="43130" spans="8:8">
      <c r="H43130" s="680" t="s">
        <v>6153</v>
      </c>
    </row>
    <row r="43131" spans="8:8">
      <c r="H43131" s="680" t="s">
        <v>6153</v>
      </c>
    </row>
    <row r="43132" spans="8:8">
      <c r="H43132" s="680" t="s">
        <v>6153</v>
      </c>
    </row>
    <row r="43133" spans="8:8">
      <c r="H43133" s="680" t="s">
        <v>6153</v>
      </c>
    </row>
    <row r="43134" spans="8:8">
      <c r="H43134" s="680" t="s">
        <v>6153</v>
      </c>
    </row>
    <row r="43135" spans="8:8">
      <c r="H43135" s="680" t="s">
        <v>6153</v>
      </c>
    </row>
    <row r="43136" spans="8:8">
      <c r="H43136" s="680" t="s">
        <v>6153</v>
      </c>
    </row>
    <row r="43137" spans="8:8">
      <c r="H43137" s="680" t="s">
        <v>6153</v>
      </c>
    </row>
    <row r="43138" spans="8:8">
      <c r="H43138" s="680" t="s">
        <v>6153</v>
      </c>
    </row>
    <row r="43139" spans="8:8">
      <c r="H43139" s="680" t="s">
        <v>6153</v>
      </c>
    </row>
    <row r="43140" spans="8:8">
      <c r="H43140" s="680" t="s">
        <v>6153</v>
      </c>
    </row>
    <row r="43141" spans="8:8">
      <c r="H43141" s="680" t="s">
        <v>6153</v>
      </c>
    </row>
    <row r="43142" spans="8:8">
      <c r="H43142" s="680" t="s">
        <v>6153</v>
      </c>
    </row>
    <row r="43143" spans="8:8">
      <c r="H43143" s="680" t="s">
        <v>6153</v>
      </c>
    </row>
    <row r="43144" spans="8:8">
      <c r="H43144" s="680" t="s">
        <v>6153</v>
      </c>
    </row>
    <row r="43145" spans="8:8">
      <c r="H43145" s="680" t="s">
        <v>6153</v>
      </c>
    </row>
    <row r="43146" spans="8:8">
      <c r="H43146" s="680" t="s">
        <v>6153</v>
      </c>
    </row>
    <row r="43147" spans="8:8">
      <c r="H43147" s="680" t="s">
        <v>6153</v>
      </c>
    </row>
    <row r="43148" spans="8:8">
      <c r="H43148" s="680" t="s">
        <v>6153</v>
      </c>
    </row>
    <row r="43149" spans="8:8">
      <c r="H43149" s="680" t="s">
        <v>6153</v>
      </c>
    </row>
    <row r="43150" spans="8:8">
      <c r="H43150" s="680" t="s">
        <v>6153</v>
      </c>
    </row>
    <row r="43151" spans="8:8">
      <c r="H43151" s="680" t="s">
        <v>6153</v>
      </c>
    </row>
    <row r="43152" spans="8:8">
      <c r="H43152" s="680" t="s">
        <v>6153</v>
      </c>
    </row>
    <row r="43153" spans="8:8">
      <c r="H43153" s="680" t="s">
        <v>6153</v>
      </c>
    </row>
    <row r="43154" spans="8:8">
      <c r="H43154" s="680" t="s">
        <v>6153</v>
      </c>
    </row>
    <row r="43155" spans="8:8">
      <c r="H43155" s="680" t="s">
        <v>6153</v>
      </c>
    </row>
    <row r="43156" spans="8:8">
      <c r="H43156" s="680" t="s">
        <v>6153</v>
      </c>
    </row>
    <row r="43157" spans="8:8">
      <c r="H43157" s="680" t="s">
        <v>6153</v>
      </c>
    </row>
    <row r="43158" spans="8:8">
      <c r="H43158" s="680" t="s">
        <v>6153</v>
      </c>
    </row>
    <row r="43159" spans="8:8">
      <c r="H43159" s="680" t="s">
        <v>6153</v>
      </c>
    </row>
    <row r="43160" spans="8:8">
      <c r="H43160" s="680" t="s">
        <v>6153</v>
      </c>
    </row>
    <row r="43161" spans="8:8">
      <c r="H43161" s="680" t="s">
        <v>6153</v>
      </c>
    </row>
    <row r="43162" spans="8:8">
      <c r="H43162" s="680" t="s">
        <v>6153</v>
      </c>
    </row>
    <row r="43163" spans="8:8">
      <c r="H43163" s="680" t="s">
        <v>6153</v>
      </c>
    </row>
    <row r="43164" spans="8:8">
      <c r="H43164" s="680" t="s">
        <v>6153</v>
      </c>
    </row>
    <row r="43165" spans="8:8">
      <c r="H43165" s="680" t="s">
        <v>6153</v>
      </c>
    </row>
    <row r="43166" spans="8:8">
      <c r="H43166" s="680" t="s">
        <v>6153</v>
      </c>
    </row>
    <row r="43167" spans="8:8">
      <c r="H43167" s="680" t="s">
        <v>6153</v>
      </c>
    </row>
    <row r="43168" spans="8:8">
      <c r="H43168" s="680" t="s">
        <v>6153</v>
      </c>
    </row>
    <row r="43169" spans="8:8">
      <c r="H43169" s="680" t="s">
        <v>6153</v>
      </c>
    </row>
    <row r="43170" spans="8:8">
      <c r="H43170" s="680" t="s">
        <v>6153</v>
      </c>
    </row>
    <row r="43171" spans="8:8">
      <c r="H43171" s="680" t="s">
        <v>6153</v>
      </c>
    </row>
    <row r="43172" spans="8:8">
      <c r="H43172" s="680" t="s">
        <v>6153</v>
      </c>
    </row>
    <row r="43173" spans="8:8">
      <c r="H43173" s="680" t="s">
        <v>6153</v>
      </c>
    </row>
    <row r="43174" spans="8:8">
      <c r="H43174" s="680" t="s">
        <v>6153</v>
      </c>
    </row>
    <row r="43175" spans="8:8">
      <c r="H43175" s="680" t="s">
        <v>6153</v>
      </c>
    </row>
    <row r="43176" spans="8:8">
      <c r="H43176" s="680" t="s">
        <v>6153</v>
      </c>
    </row>
    <row r="43177" spans="8:8">
      <c r="H43177" s="680" t="s">
        <v>6153</v>
      </c>
    </row>
    <row r="43178" spans="8:8">
      <c r="H43178" s="680" t="s">
        <v>6153</v>
      </c>
    </row>
    <row r="43179" spans="8:8">
      <c r="H43179" s="680" t="s">
        <v>6153</v>
      </c>
    </row>
    <row r="43180" spans="8:8">
      <c r="H43180" s="680" t="s">
        <v>6153</v>
      </c>
    </row>
    <row r="43181" spans="8:8">
      <c r="H43181" s="680" t="s">
        <v>6153</v>
      </c>
    </row>
    <row r="43182" spans="8:8">
      <c r="H43182" s="680" t="s">
        <v>6153</v>
      </c>
    </row>
    <row r="43183" spans="8:8">
      <c r="H43183" s="680" t="s">
        <v>6153</v>
      </c>
    </row>
    <row r="43184" spans="8:8">
      <c r="H43184" s="680" t="s">
        <v>6153</v>
      </c>
    </row>
    <row r="43185" spans="8:8">
      <c r="H43185" s="680" t="s">
        <v>6153</v>
      </c>
    </row>
    <row r="43186" spans="8:8">
      <c r="H43186" s="680" t="s">
        <v>6153</v>
      </c>
    </row>
    <row r="43187" spans="8:8">
      <c r="H43187" s="680" t="s">
        <v>6153</v>
      </c>
    </row>
    <row r="43188" spans="8:8">
      <c r="H43188" s="680" t="s">
        <v>6153</v>
      </c>
    </row>
    <row r="43189" spans="8:8">
      <c r="H43189" s="680" t="s">
        <v>6153</v>
      </c>
    </row>
    <row r="43190" spans="8:8">
      <c r="H43190" s="680" t="s">
        <v>6153</v>
      </c>
    </row>
    <row r="43191" spans="8:8">
      <c r="H43191" s="680" t="s">
        <v>6153</v>
      </c>
    </row>
    <row r="43192" spans="8:8">
      <c r="H43192" s="680" t="s">
        <v>6153</v>
      </c>
    </row>
    <row r="43193" spans="8:8">
      <c r="H43193" s="680" t="s">
        <v>6153</v>
      </c>
    </row>
    <row r="43194" spans="8:8">
      <c r="H43194" s="680" t="s">
        <v>6153</v>
      </c>
    </row>
    <row r="43195" spans="8:8">
      <c r="H43195" s="680" t="s">
        <v>6153</v>
      </c>
    </row>
    <row r="43196" spans="8:8">
      <c r="H43196" s="680" t="s">
        <v>6153</v>
      </c>
    </row>
    <row r="43197" spans="8:8">
      <c r="H43197" s="680" t="s">
        <v>6153</v>
      </c>
    </row>
    <row r="43198" spans="8:8">
      <c r="H43198" s="680" t="s">
        <v>6153</v>
      </c>
    </row>
    <row r="43199" spans="8:8">
      <c r="H43199" s="680" t="s">
        <v>6153</v>
      </c>
    </row>
    <row r="43200" spans="8:8">
      <c r="H43200" s="680" t="s">
        <v>6153</v>
      </c>
    </row>
    <row r="43201" spans="8:8">
      <c r="H43201" s="680" t="s">
        <v>6153</v>
      </c>
    </row>
    <row r="43202" spans="8:8">
      <c r="H43202" s="680" t="s">
        <v>6153</v>
      </c>
    </row>
    <row r="43203" spans="8:8">
      <c r="H43203" s="680" t="s">
        <v>6153</v>
      </c>
    </row>
    <row r="43204" spans="8:8">
      <c r="H43204" s="680" t="s">
        <v>6153</v>
      </c>
    </row>
    <row r="43205" spans="8:8">
      <c r="H43205" s="680" t="s">
        <v>6153</v>
      </c>
    </row>
    <row r="43206" spans="8:8">
      <c r="H43206" s="680" t="s">
        <v>6153</v>
      </c>
    </row>
    <row r="43207" spans="8:8">
      <c r="H43207" s="680" t="s">
        <v>6153</v>
      </c>
    </row>
    <row r="43208" spans="8:8">
      <c r="H43208" s="680" t="s">
        <v>6153</v>
      </c>
    </row>
    <row r="43209" spans="8:8">
      <c r="H43209" s="680" t="s">
        <v>6153</v>
      </c>
    </row>
    <row r="43210" spans="8:8">
      <c r="H43210" s="680" t="s">
        <v>6153</v>
      </c>
    </row>
    <row r="43211" spans="8:8">
      <c r="H43211" s="680" t="s">
        <v>6153</v>
      </c>
    </row>
    <row r="43212" spans="8:8">
      <c r="H43212" s="680" t="s">
        <v>6153</v>
      </c>
    </row>
    <row r="43213" spans="8:8">
      <c r="H43213" s="680" t="s">
        <v>6153</v>
      </c>
    </row>
    <row r="43214" spans="8:8">
      <c r="H43214" s="680" t="s">
        <v>6153</v>
      </c>
    </row>
    <row r="43215" spans="8:8">
      <c r="H43215" s="680" t="s">
        <v>6153</v>
      </c>
    </row>
    <row r="43216" spans="8:8">
      <c r="H43216" s="680" t="s">
        <v>6153</v>
      </c>
    </row>
    <row r="43217" spans="8:8">
      <c r="H43217" s="680" t="s">
        <v>6153</v>
      </c>
    </row>
    <row r="43218" spans="8:8">
      <c r="H43218" s="680" t="s">
        <v>6153</v>
      </c>
    </row>
    <row r="43219" spans="8:8">
      <c r="H43219" s="680" t="s">
        <v>6153</v>
      </c>
    </row>
    <row r="43220" spans="8:8">
      <c r="H43220" s="680" t="s">
        <v>6153</v>
      </c>
    </row>
    <row r="43221" spans="8:8">
      <c r="H43221" s="680" t="s">
        <v>6153</v>
      </c>
    </row>
    <row r="43222" spans="8:8">
      <c r="H43222" s="680" t="s">
        <v>6153</v>
      </c>
    </row>
    <row r="43223" spans="8:8">
      <c r="H43223" s="680" t="s">
        <v>6153</v>
      </c>
    </row>
    <row r="43224" spans="8:8">
      <c r="H43224" s="680" t="s">
        <v>6153</v>
      </c>
    </row>
    <row r="43225" spans="8:8">
      <c r="H43225" s="680" t="s">
        <v>6153</v>
      </c>
    </row>
    <row r="43226" spans="8:8">
      <c r="H43226" s="680" t="s">
        <v>6153</v>
      </c>
    </row>
    <row r="43227" spans="8:8">
      <c r="H43227" s="680" t="s">
        <v>6153</v>
      </c>
    </row>
    <row r="43228" spans="8:8">
      <c r="H43228" s="680" t="s">
        <v>6153</v>
      </c>
    </row>
    <row r="43229" spans="8:8">
      <c r="H43229" s="680" t="s">
        <v>6153</v>
      </c>
    </row>
    <row r="43230" spans="8:8">
      <c r="H43230" s="680" t="s">
        <v>6153</v>
      </c>
    </row>
    <row r="43231" spans="8:8">
      <c r="H43231" s="680" t="s">
        <v>6153</v>
      </c>
    </row>
    <row r="43232" spans="8:8">
      <c r="H43232" s="680" t="s">
        <v>6153</v>
      </c>
    </row>
    <row r="43233" spans="8:8">
      <c r="H43233" s="680" t="s">
        <v>6153</v>
      </c>
    </row>
    <row r="43234" spans="8:8">
      <c r="H43234" s="680" t="s">
        <v>6153</v>
      </c>
    </row>
    <row r="43235" spans="8:8">
      <c r="H43235" s="680" t="s">
        <v>6153</v>
      </c>
    </row>
    <row r="43236" spans="8:8">
      <c r="H43236" s="680" t="s">
        <v>6153</v>
      </c>
    </row>
    <row r="43237" spans="8:8">
      <c r="H43237" s="680" t="s">
        <v>6153</v>
      </c>
    </row>
    <row r="43238" spans="8:8">
      <c r="H43238" s="680" t="s">
        <v>6153</v>
      </c>
    </row>
    <row r="43239" spans="8:8">
      <c r="H43239" s="680" t="s">
        <v>6153</v>
      </c>
    </row>
    <row r="43240" spans="8:8">
      <c r="H43240" s="680" t="s">
        <v>6153</v>
      </c>
    </row>
    <row r="43241" spans="8:8">
      <c r="H43241" s="680" t="s">
        <v>6153</v>
      </c>
    </row>
    <row r="43242" spans="8:8">
      <c r="H43242" s="680" t="s">
        <v>6153</v>
      </c>
    </row>
    <row r="43243" spans="8:8">
      <c r="H43243" s="680" t="s">
        <v>6153</v>
      </c>
    </row>
    <row r="43244" spans="8:8">
      <c r="H43244" s="680" t="s">
        <v>6153</v>
      </c>
    </row>
    <row r="43245" spans="8:8">
      <c r="H43245" s="680" t="s">
        <v>6153</v>
      </c>
    </row>
    <row r="43246" spans="8:8">
      <c r="H43246" s="680" t="s">
        <v>6153</v>
      </c>
    </row>
    <row r="43247" spans="8:8">
      <c r="H43247" s="680" t="s">
        <v>6153</v>
      </c>
    </row>
    <row r="43248" spans="8:8">
      <c r="H43248" s="680" t="s">
        <v>6153</v>
      </c>
    </row>
    <row r="43249" spans="8:8">
      <c r="H43249" s="680" t="s">
        <v>6153</v>
      </c>
    </row>
    <row r="43250" spans="8:8">
      <c r="H43250" s="680" t="s">
        <v>6153</v>
      </c>
    </row>
    <row r="43251" spans="8:8">
      <c r="H43251" s="680" t="s">
        <v>6153</v>
      </c>
    </row>
    <row r="43252" spans="8:8">
      <c r="H43252" s="680" t="s">
        <v>6153</v>
      </c>
    </row>
    <row r="43253" spans="8:8">
      <c r="H43253" s="680" t="s">
        <v>6153</v>
      </c>
    </row>
    <row r="43254" spans="8:8">
      <c r="H43254" s="680" t="s">
        <v>6153</v>
      </c>
    </row>
    <row r="43255" spans="8:8">
      <c r="H43255" s="680" t="s">
        <v>6153</v>
      </c>
    </row>
    <row r="43256" spans="8:8">
      <c r="H43256" s="680" t="s">
        <v>6153</v>
      </c>
    </row>
    <row r="43257" spans="8:8">
      <c r="H43257" s="680" t="s">
        <v>6153</v>
      </c>
    </row>
    <row r="43258" spans="8:8">
      <c r="H43258" s="680" t="s">
        <v>6153</v>
      </c>
    </row>
    <row r="43259" spans="8:8">
      <c r="H43259" s="680" t="s">
        <v>6153</v>
      </c>
    </row>
    <row r="43260" spans="8:8">
      <c r="H43260" s="680" t="s">
        <v>6153</v>
      </c>
    </row>
    <row r="43261" spans="8:8">
      <c r="H43261" s="680" t="s">
        <v>6153</v>
      </c>
    </row>
    <row r="43262" spans="8:8">
      <c r="H43262" s="680" t="s">
        <v>6153</v>
      </c>
    </row>
    <row r="43263" spans="8:8">
      <c r="H43263" s="680" t="s">
        <v>6153</v>
      </c>
    </row>
    <row r="43264" spans="8:8">
      <c r="H43264" s="680" t="s">
        <v>6153</v>
      </c>
    </row>
    <row r="43265" spans="8:8">
      <c r="H43265" s="680" t="s">
        <v>6153</v>
      </c>
    </row>
    <row r="43266" spans="8:8">
      <c r="H43266" s="680" t="s">
        <v>6153</v>
      </c>
    </row>
    <row r="43267" spans="8:8">
      <c r="H43267" s="680" t="s">
        <v>6153</v>
      </c>
    </row>
    <row r="43268" spans="8:8">
      <c r="H43268" s="680" t="s">
        <v>6153</v>
      </c>
    </row>
    <row r="43269" spans="8:8">
      <c r="H43269" s="680" t="s">
        <v>6153</v>
      </c>
    </row>
    <row r="43270" spans="8:8">
      <c r="H43270" s="680" t="s">
        <v>6153</v>
      </c>
    </row>
    <row r="43271" spans="8:8">
      <c r="H43271" s="680" t="s">
        <v>6153</v>
      </c>
    </row>
    <row r="43272" spans="8:8">
      <c r="H43272" s="680" t="s">
        <v>6153</v>
      </c>
    </row>
    <row r="43273" spans="8:8">
      <c r="H43273" s="680" t="s">
        <v>6153</v>
      </c>
    </row>
    <row r="43274" spans="8:8">
      <c r="H43274" s="680" t="s">
        <v>6153</v>
      </c>
    </row>
    <row r="43275" spans="8:8">
      <c r="H43275" s="680" t="s">
        <v>6153</v>
      </c>
    </row>
    <row r="43276" spans="8:8">
      <c r="H43276" s="680" t="s">
        <v>6153</v>
      </c>
    </row>
    <row r="43277" spans="8:8">
      <c r="H43277" s="680" t="s">
        <v>6153</v>
      </c>
    </row>
    <row r="43278" spans="8:8">
      <c r="H43278" s="680" t="s">
        <v>6153</v>
      </c>
    </row>
    <row r="43279" spans="8:8">
      <c r="H43279" s="680" t="s">
        <v>6153</v>
      </c>
    </row>
    <row r="43280" spans="8:8">
      <c r="H43280" s="680" t="s">
        <v>6153</v>
      </c>
    </row>
    <row r="43281" spans="8:8">
      <c r="H43281" s="680" t="s">
        <v>6153</v>
      </c>
    </row>
    <row r="43282" spans="8:8">
      <c r="H43282" s="680" t="s">
        <v>6153</v>
      </c>
    </row>
    <row r="43283" spans="8:8">
      <c r="H43283" s="680" t="s">
        <v>6153</v>
      </c>
    </row>
    <row r="43284" spans="8:8">
      <c r="H43284" s="680" t="s">
        <v>6153</v>
      </c>
    </row>
    <row r="43285" spans="8:8">
      <c r="H43285" s="680" t="s">
        <v>6153</v>
      </c>
    </row>
    <row r="43286" spans="8:8">
      <c r="H43286" s="680" t="s">
        <v>6153</v>
      </c>
    </row>
    <row r="43287" spans="8:8">
      <c r="H43287" s="680" t="s">
        <v>6153</v>
      </c>
    </row>
    <row r="43288" spans="8:8">
      <c r="H43288" s="680" t="s">
        <v>6153</v>
      </c>
    </row>
    <row r="43289" spans="8:8">
      <c r="H43289" s="680" t="s">
        <v>6153</v>
      </c>
    </row>
    <row r="43290" spans="8:8">
      <c r="H43290" s="680" t="s">
        <v>6153</v>
      </c>
    </row>
    <row r="43291" spans="8:8">
      <c r="H43291" s="680" t="s">
        <v>6153</v>
      </c>
    </row>
    <row r="43292" spans="8:8">
      <c r="H43292" s="680" t="s">
        <v>6153</v>
      </c>
    </row>
    <row r="43293" spans="8:8">
      <c r="H43293" s="680" t="s">
        <v>6153</v>
      </c>
    </row>
    <row r="43294" spans="8:8">
      <c r="H43294" s="680" t="s">
        <v>6153</v>
      </c>
    </row>
    <row r="43295" spans="8:8">
      <c r="H43295" s="680" t="s">
        <v>6153</v>
      </c>
    </row>
    <row r="43296" spans="8:8">
      <c r="H43296" s="680" t="s">
        <v>6153</v>
      </c>
    </row>
    <row r="43297" spans="8:8">
      <c r="H43297" s="680" t="s">
        <v>6153</v>
      </c>
    </row>
    <row r="43298" spans="8:8">
      <c r="H43298" s="680" t="s">
        <v>6153</v>
      </c>
    </row>
    <row r="43299" spans="8:8">
      <c r="H43299" s="680" t="s">
        <v>6153</v>
      </c>
    </row>
    <row r="43300" spans="8:8">
      <c r="H43300" s="680" t="s">
        <v>6153</v>
      </c>
    </row>
    <row r="43301" spans="8:8">
      <c r="H43301" s="680" t="s">
        <v>6153</v>
      </c>
    </row>
    <row r="43302" spans="8:8">
      <c r="H43302" s="680" t="s">
        <v>6153</v>
      </c>
    </row>
    <row r="43303" spans="8:8">
      <c r="H43303" s="680" t="s">
        <v>6153</v>
      </c>
    </row>
    <row r="43304" spans="8:8">
      <c r="H43304" s="680" t="s">
        <v>6153</v>
      </c>
    </row>
    <row r="43305" spans="8:8">
      <c r="H43305" s="680" t="s">
        <v>6153</v>
      </c>
    </row>
    <row r="43306" spans="8:8">
      <c r="H43306" s="680" t="s">
        <v>6153</v>
      </c>
    </row>
    <row r="43307" spans="8:8">
      <c r="H43307" s="680" t="s">
        <v>6153</v>
      </c>
    </row>
    <row r="43308" spans="8:8">
      <c r="H43308" s="680" t="s">
        <v>6153</v>
      </c>
    </row>
    <row r="43309" spans="8:8">
      <c r="H43309" s="680" t="s">
        <v>6153</v>
      </c>
    </row>
    <row r="43310" spans="8:8">
      <c r="H43310" s="680" t="s">
        <v>6153</v>
      </c>
    </row>
    <row r="43311" spans="8:8">
      <c r="H43311" s="680" t="s">
        <v>6153</v>
      </c>
    </row>
    <row r="43312" spans="8:8">
      <c r="H43312" s="680" t="s">
        <v>6153</v>
      </c>
    </row>
    <row r="43313" spans="8:8">
      <c r="H43313" s="680" t="s">
        <v>6153</v>
      </c>
    </row>
    <row r="43314" spans="8:8">
      <c r="H43314" s="680" t="s">
        <v>6153</v>
      </c>
    </row>
    <row r="43315" spans="8:8">
      <c r="H43315" s="680" t="s">
        <v>6153</v>
      </c>
    </row>
    <row r="43316" spans="8:8">
      <c r="H43316" s="680" t="s">
        <v>6153</v>
      </c>
    </row>
    <row r="43317" spans="8:8">
      <c r="H43317" s="680" t="s">
        <v>6153</v>
      </c>
    </row>
    <row r="43318" spans="8:8">
      <c r="H43318" s="680" t="s">
        <v>6153</v>
      </c>
    </row>
    <row r="43319" spans="8:8">
      <c r="H43319" s="680" t="s">
        <v>6153</v>
      </c>
    </row>
    <row r="43320" spans="8:8">
      <c r="H43320" s="680" t="s">
        <v>6153</v>
      </c>
    </row>
    <row r="43321" spans="8:8">
      <c r="H43321" s="680" t="s">
        <v>6153</v>
      </c>
    </row>
    <row r="43322" spans="8:8">
      <c r="H43322" s="680" t="s">
        <v>6153</v>
      </c>
    </row>
    <row r="43323" spans="8:8">
      <c r="H43323" s="680" t="s">
        <v>6153</v>
      </c>
    </row>
    <row r="43324" spans="8:8">
      <c r="H43324" s="680" t="s">
        <v>6153</v>
      </c>
    </row>
    <row r="43325" spans="8:8">
      <c r="H43325" s="680" t="s">
        <v>6153</v>
      </c>
    </row>
    <row r="43326" spans="8:8">
      <c r="H43326" s="680" t="s">
        <v>6153</v>
      </c>
    </row>
    <row r="43327" spans="8:8">
      <c r="H43327" s="680" t="s">
        <v>6153</v>
      </c>
    </row>
    <row r="43328" spans="8:8">
      <c r="H43328" s="680" t="s">
        <v>6153</v>
      </c>
    </row>
    <row r="43329" spans="8:8">
      <c r="H43329" s="680" t="s">
        <v>6153</v>
      </c>
    </row>
    <row r="43330" spans="8:8">
      <c r="H43330" s="680" t="s">
        <v>6153</v>
      </c>
    </row>
    <row r="43331" spans="8:8">
      <c r="H43331" s="680" t="s">
        <v>6153</v>
      </c>
    </row>
    <row r="43332" spans="8:8">
      <c r="H43332" s="680" t="s">
        <v>6153</v>
      </c>
    </row>
    <row r="43333" spans="8:8">
      <c r="H43333" s="680" t="s">
        <v>6153</v>
      </c>
    </row>
    <row r="43334" spans="8:8">
      <c r="H43334" s="680" t="s">
        <v>6153</v>
      </c>
    </row>
    <row r="43335" spans="8:8">
      <c r="H43335" s="680" t="s">
        <v>6153</v>
      </c>
    </row>
    <row r="43336" spans="8:8">
      <c r="H43336" s="680" t="s">
        <v>6153</v>
      </c>
    </row>
    <row r="43337" spans="8:8">
      <c r="H43337" s="680" t="s">
        <v>6153</v>
      </c>
    </row>
    <row r="43338" spans="8:8">
      <c r="H43338" s="680" t="s">
        <v>6153</v>
      </c>
    </row>
    <row r="43339" spans="8:8">
      <c r="H43339" s="680" t="s">
        <v>6153</v>
      </c>
    </row>
    <row r="43340" spans="8:8">
      <c r="H43340" s="680" t="s">
        <v>6153</v>
      </c>
    </row>
    <row r="43341" spans="8:8">
      <c r="H43341" s="680" t="s">
        <v>6153</v>
      </c>
    </row>
    <row r="43342" spans="8:8">
      <c r="H43342" s="680" t="s">
        <v>6153</v>
      </c>
    </row>
    <row r="43343" spans="8:8">
      <c r="H43343" s="680" t="s">
        <v>6153</v>
      </c>
    </row>
    <row r="43344" spans="8:8">
      <c r="H43344" s="680" t="s">
        <v>6153</v>
      </c>
    </row>
    <row r="43345" spans="8:8">
      <c r="H43345" s="680" t="s">
        <v>6153</v>
      </c>
    </row>
    <row r="43346" spans="8:8">
      <c r="H43346" s="680" t="s">
        <v>6153</v>
      </c>
    </row>
    <row r="43347" spans="8:8">
      <c r="H43347" s="680" t="s">
        <v>6153</v>
      </c>
    </row>
    <row r="43348" spans="8:8">
      <c r="H43348" s="680" t="s">
        <v>6153</v>
      </c>
    </row>
    <row r="43349" spans="8:8">
      <c r="H43349" s="680" t="s">
        <v>6153</v>
      </c>
    </row>
    <row r="43350" spans="8:8">
      <c r="H43350" s="680" t="s">
        <v>6153</v>
      </c>
    </row>
    <row r="43351" spans="8:8">
      <c r="H43351" s="680" t="s">
        <v>6153</v>
      </c>
    </row>
    <row r="43352" spans="8:8">
      <c r="H43352" s="680" t="s">
        <v>6153</v>
      </c>
    </row>
    <row r="43353" spans="8:8">
      <c r="H43353" s="680" t="s">
        <v>6153</v>
      </c>
    </row>
    <row r="43354" spans="8:8">
      <c r="H43354" s="680" t="s">
        <v>6153</v>
      </c>
    </row>
    <row r="43355" spans="8:8">
      <c r="H43355" s="680" t="s">
        <v>6153</v>
      </c>
    </row>
    <row r="43356" spans="8:8">
      <c r="H43356" s="680" t="s">
        <v>6153</v>
      </c>
    </row>
    <row r="43357" spans="8:8">
      <c r="H43357" s="680" t="s">
        <v>6153</v>
      </c>
    </row>
    <row r="43358" spans="8:8">
      <c r="H43358" s="680" t="s">
        <v>6153</v>
      </c>
    </row>
    <row r="43359" spans="8:8">
      <c r="H43359" s="680" t="s">
        <v>6153</v>
      </c>
    </row>
    <row r="43360" spans="8:8">
      <c r="H43360" s="680" t="s">
        <v>6153</v>
      </c>
    </row>
    <row r="43361" spans="8:8">
      <c r="H43361" s="680" t="s">
        <v>6153</v>
      </c>
    </row>
    <row r="43362" spans="8:8">
      <c r="H43362" s="680" t="s">
        <v>6153</v>
      </c>
    </row>
    <row r="43363" spans="8:8">
      <c r="H43363" s="680" t="s">
        <v>6153</v>
      </c>
    </row>
    <row r="43364" spans="8:8">
      <c r="H43364" s="680" t="s">
        <v>6153</v>
      </c>
    </row>
    <row r="43365" spans="8:8">
      <c r="H43365" s="680" t="s">
        <v>6153</v>
      </c>
    </row>
    <row r="43366" spans="8:8">
      <c r="H43366" s="680" t="s">
        <v>6153</v>
      </c>
    </row>
    <row r="43367" spans="8:8">
      <c r="H43367" s="680" t="s">
        <v>6153</v>
      </c>
    </row>
    <row r="43368" spans="8:8">
      <c r="H43368" s="680" t="s">
        <v>6153</v>
      </c>
    </row>
    <row r="43369" spans="8:8">
      <c r="H43369" s="680" t="s">
        <v>6153</v>
      </c>
    </row>
    <row r="43370" spans="8:8">
      <c r="H43370" s="680" t="s">
        <v>6153</v>
      </c>
    </row>
    <row r="43371" spans="8:8">
      <c r="H43371" s="680" t="s">
        <v>6153</v>
      </c>
    </row>
    <row r="43372" spans="8:8">
      <c r="H43372" s="680" t="s">
        <v>6153</v>
      </c>
    </row>
    <row r="43373" spans="8:8">
      <c r="H43373" s="680" t="s">
        <v>6153</v>
      </c>
    </row>
    <row r="43374" spans="8:8">
      <c r="H43374" s="680" t="s">
        <v>6153</v>
      </c>
    </row>
    <row r="43375" spans="8:8">
      <c r="H43375" s="680" t="s">
        <v>6153</v>
      </c>
    </row>
    <row r="43376" spans="8:8">
      <c r="H43376" s="680" t="s">
        <v>6153</v>
      </c>
    </row>
    <row r="43377" spans="8:8">
      <c r="H43377" s="680" t="s">
        <v>6153</v>
      </c>
    </row>
    <row r="43378" spans="8:8">
      <c r="H43378" s="680" t="s">
        <v>6153</v>
      </c>
    </row>
    <row r="43379" spans="8:8">
      <c r="H43379" s="680" t="s">
        <v>6153</v>
      </c>
    </row>
    <row r="43380" spans="8:8">
      <c r="H43380" s="680" t="s">
        <v>6153</v>
      </c>
    </row>
    <row r="43381" spans="8:8">
      <c r="H43381" s="680" t="s">
        <v>6153</v>
      </c>
    </row>
    <row r="43382" spans="8:8">
      <c r="H43382" s="680" t="s">
        <v>6153</v>
      </c>
    </row>
    <row r="43383" spans="8:8">
      <c r="H43383" s="680" t="s">
        <v>6153</v>
      </c>
    </row>
    <row r="43384" spans="8:8">
      <c r="H43384" s="680" t="s">
        <v>6153</v>
      </c>
    </row>
    <row r="43385" spans="8:8">
      <c r="H43385" s="680" t="s">
        <v>6153</v>
      </c>
    </row>
    <row r="43386" spans="8:8">
      <c r="H43386" s="680" t="s">
        <v>6153</v>
      </c>
    </row>
    <row r="43387" spans="8:8">
      <c r="H43387" s="680" t="s">
        <v>6153</v>
      </c>
    </row>
    <row r="43388" spans="8:8">
      <c r="H43388" s="680" t="s">
        <v>6153</v>
      </c>
    </row>
    <row r="43389" spans="8:8">
      <c r="H43389" s="680" t="s">
        <v>6153</v>
      </c>
    </row>
    <row r="43390" spans="8:8">
      <c r="H43390" s="680" t="s">
        <v>6153</v>
      </c>
    </row>
    <row r="43391" spans="8:8">
      <c r="H43391" s="680" t="s">
        <v>6153</v>
      </c>
    </row>
    <row r="43392" spans="8:8">
      <c r="H43392" s="680" t="s">
        <v>6153</v>
      </c>
    </row>
    <row r="43393" spans="8:8">
      <c r="H43393" s="680" t="s">
        <v>6153</v>
      </c>
    </row>
    <row r="43394" spans="8:8">
      <c r="H43394" s="680" t="s">
        <v>6153</v>
      </c>
    </row>
    <row r="43395" spans="8:8">
      <c r="H43395" s="680" t="s">
        <v>6153</v>
      </c>
    </row>
    <row r="43396" spans="8:8">
      <c r="H43396" s="680" t="s">
        <v>6153</v>
      </c>
    </row>
    <row r="43397" spans="8:8">
      <c r="H43397" s="680" t="s">
        <v>6153</v>
      </c>
    </row>
    <row r="43398" spans="8:8">
      <c r="H43398" s="680" t="s">
        <v>6153</v>
      </c>
    </row>
    <row r="43399" spans="8:8">
      <c r="H43399" s="680" t="s">
        <v>6153</v>
      </c>
    </row>
    <row r="43400" spans="8:8">
      <c r="H43400" s="680" t="s">
        <v>6153</v>
      </c>
    </row>
    <row r="43401" spans="8:8">
      <c r="H43401" s="680" t="s">
        <v>6153</v>
      </c>
    </row>
    <row r="43402" spans="8:8">
      <c r="H43402" s="680" t="s">
        <v>6153</v>
      </c>
    </row>
    <row r="43403" spans="8:8">
      <c r="H43403" s="680" t="s">
        <v>6153</v>
      </c>
    </row>
    <row r="43404" spans="8:8">
      <c r="H43404" s="680" t="s">
        <v>6153</v>
      </c>
    </row>
    <row r="43405" spans="8:8">
      <c r="H43405" s="680" t="s">
        <v>6153</v>
      </c>
    </row>
    <row r="43406" spans="8:8">
      <c r="H43406" s="680" t="s">
        <v>6153</v>
      </c>
    </row>
    <row r="43407" spans="8:8">
      <c r="H43407" s="680" t="s">
        <v>6153</v>
      </c>
    </row>
    <row r="43408" spans="8:8">
      <c r="H43408" s="680" t="s">
        <v>6153</v>
      </c>
    </row>
    <row r="43409" spans="8:8">
      <c r="H43409" s="680" t="s">
        <v>6153</v>
      </c>
    </row>
    <row r="43410" spans="8:8">
      <c r="H43410" s="680" t="s">
        <v>6153</v>
      </c>
    </row>
    <row r="43411" spans="8:8">
      <c r="H43411" s="680" t="s">
        <v>6153</v>
      </c>
    </row>
    <row r="43412" spans="8:8">
      <c r="H43412" s="680" t="s">
        <v>6153</v>
      </c>
    </row>
    <row r="43413" spans="8:8">
      <c r="H43413" s="680" t="s">
        <v>6153</v>
      </c>
    </row>
    <row r="43414" spans="8:8">
      <c r="H43414" s="680" t="s">
        <v>6153</v>
      </c>
    </row>
    <row r="43415" spans="8:8">
      <c r="H43415" s="680" t="s">
        <v>6153</v>
      </c>
    </row>
    <row r="43416" spans="8:8">
      <c r="H43416" s="680" t="s">
        <v>6153</v>
      </c>
    </row>
    <row r="43417" spans="8:8">
      <c r="H43417" s="680" t="s">
        <v>6153</v>
      </c>
    </row>
    <row r="43418" spans="8:8">
      <c r="H43418" s="680" t="s">
        <v>6153</v>
      </c>
    </row>
    <row r="43419" spans="8:8">
      <c r="H43419" s="680" t="s">
        <v>6153</v>
      </c>
    </row>
    <row r="43420" spans="8:8">
      <c r="H43420" s="680" t="s">
        <v>6153</v>
      </c>
    </row>
    <row r="43421" spans="8:8">
      <c r="H43421" s="680" t="s">
        <v>6153</v>
      </c>
    </row>
    <row r="43422" spans="8:8">
      <c r="H43422" s="680" t="s">
        <v>6153</v>
      </c>
    </row>
    <row r="43423" spans="8:8">
      <c r="H43423" s="680" t="s">
        <v>6153</v>
      </c>
    </row>
    <row r="43424" spans="8:8">
      <c r="H43424" s="680" t="s">
        <v>6153</v>
      </c>
    </row>
    <row r="43425" spans="8:8">
      <c r="H43425" s="680" t="s">
        <v>6153</v>
      </c>
    </row>
    <row r="43426" spans="8:8">
      <c r="H43426" s="680" t="s">
        <v>6153</v>
      </c>
    </row>
    <row r="43427" spans="8:8">
      <c r="H43427" s="680" t="s">
        <v>6153</v>
      </c>
    </row>
    <row r="43428" spans="8:8">
      <c r="H43428" s="680" t="s">
        <v>6153</v>
      </c>
    </row>
    <row r="43429" spans="8:8">
      <c r="H43429" s="680" t="s">
        <v>6153</v>
      </c>
    </row>
    <row r="43430" spans="8:8">
      <c r="H43430" s="680" t="s">
        <v>6153</v>
      </c>
    </row>
    <row r="43431" spans="8:8">
      <c r="H43431" s="680" t="s">
        <v>6153</v>
      </c>
    </row>
    <row r="43432" spans="8:8">
      <c r="H43432" s="680" t="s">
        <v>6153</v>
      </c>
    </row>
    <row r="43433" spans="8:8">
      <c r="H43433" s="680" t="s">
        <v>6153</v>
      </c>
    </row>
    <row r="43434" spans="8:8">
      <c r="H43434" s="680" t="s">
        <v>6153</v>
      </c>
    </row>
    <row r="43435" spans="8:8">
      <c r="H43435" s="680" t="s">
        <v>6153</v>
      </c>
    </row>
    <row r="43436" spans="8:8">
      <c r="H43436" s="680" t="s">
        <v>6153</v>
      </c>
    </row>
    <row r="43437" spans="8:8">
      <c r="H43437" s="680" t="s">
        <v>6153</v>
      </c>
    </row>
    <row r="43438" spans="8:8">
      <c r="H43438" s="680" t="s">
        <v>6153</v>
      </c>
    </row>
    <row r="43439" spans="8:8">
      <c r="H43439" s="680" t="s">
        <v>6153</v>
      </c>
    </row>
    <row r="43440" spans="8:8">
      <c r="H43440" s="680" t="s">
        <v>6153</v>
      </c>
    </row>
    <row r="43441" spans="8:8">
      <c r="H43441" s="680" t="s">
        <v>6153</v>
      </c>
    </row>
    <row r="43442" spans="8:8">
      <c r="H43442" s="680" t="s">
        <v>6153</v>
      </c>
    </row>
    <row r="43443" spans="8:8">
      <c r="H43443" s="680" t="s">
        <v>6153</v>
      </c>
    </row>
    <row r="43444" spans="8:8">
      <c r="H43444" s="680" t="s">
        <v>6153</v>
      </c>
    </row>
    <row r="43445" spans="8:8">
      <c r="H43445" s="680" t="s">
        <v>6153</v>
      </c>
    </row>
    <row r="43446" spans="8:8">
      <c r="H43446" s="680" t="s">
        <v>6153</v>
      </c>
    </row>
    <row r="43447" spans="8:8">
      <c r="H43447" s="680" t="s">
        <v>6153</v>
      </c>
    </row>
    <row r="43448" spans="8:8">
      <c r="H43448" s="680" t="s">
        <v>6153</v>
      </c>
    </row>
    <row r="43449" spans="8:8">
      <c r="H43449" s="680" t="s">
        <v>6153</v>
      </c>
    </row>
    <row r="43450" spans="8:8">
      <c r="H43450" s="680" t="s">
        <v>6153</v>
      </c>
    </row>
    <row r="43451" spans="8:8">
      <c r="H43451" s="680" t="s">
        <v>6153</v>
      </c>
    </row>
    <row r="43452" spans="8:8">
      <c r="H43452" s="680" t="s">
        <v>6153</v>
      </c>
    </row>
    <row r="43453" spans="8:8">
      <c r="H43453" s="680" t="s">
        <v>6153</v>
      </c>
    </row>
    <row r="43454" spans="8:8">
      <c r="H43454" s="680" t="s">
        <v>6153</v>
      </c>
    </row>
    <row r="43455" spans="8:8">
      <c r="H43455" s="680" t="s">
        <v>6153</v>
      </c>
    </row>
    <row r="43456" spans="8:8">
      <c r="H43456" s="680" t="s">
        <v>6153</v>
      </c>
    </row>
    <row r="43457" spans="8:8">
      <c r="H43457" s="680" t="s">
        <v>6153</v>
      </c>
    </row>
    <row r="43458" spans="8:8">
      <c r="H43458" s="680" t="s">
        <v>6153</v>
      </c>
    </row>
    <row r="43459" spans="8:8">
      <c r="H43459" s="680" t="s">
        <v>6153</v>
      </c>
    </row>
    <row r="43460" spans="8:8">
      <c r="H43460" s="680" t="s">
        <v>6153</v>
      </c>
    </row>
    <row r="43461" spans="8:8">
      <c r="H43461" s="680" t="s">
        <v>6153</v>
      </c>
    </row>
    <row r="43462" spans="8:8">
      <c r="H43462" s="680" t="s">
        <v>6153</v>
      </c>
    </row>
    <row r="43463" spans="8:8">
      <c r="H43463" s="680" t="s">
        <v>6153</v>
      </c>
    </row>
    <row r="43464" spans="8:8">
      <c r="H43464" s="680" t="s">
        <v>6153</v>
      </c>
    </row>
    <row r="43465" spans="8:8">
      <c r="H43465" s="680" t="s">
        <v>6153</v>
      </c>
    </row>
    <row r="43466" spans="8:8">
      <c r="H43466" s="680" t="s">
        <v>6153</v>
      </c>
    </row>
    <row r="43467" spans="8:8">
      <c r="H43467" s="680" t="s">
        <v>6153</v>
      </c>
    </row>
    <row r="43468" spans="8:8">
      <c r="H43468" s="680" t="s">
        <v>6153</v>
      </c>
    </row>
    <row r="43469" spans="8:8">
      <c r="H43469" s="680" t="s">
        <v>6153</v>
      </c>
    </row>
    <row r="43470" spans="8:8">
      <c r="H43470" s="680" t="s">
        <v>6153</v>
      </c>
    </row>
    <row r="43471" spans="8:8">
      <c r="H43471" s="680" t="s">
        <v>6153</v>
      </c>
    </row>
    <row r="43472" spans="8:8">
      <c r="H43472" s="680" t="s">
        <v>6153</v>
      </c>
    </row>
    <row r="43473" spans="8:8">
      <c r="H43473" s="680" t="s">
        <v>6153</v>
      </c>
    </row>
    <row r="43474" spans="8:8">
      <c r="H43474" s="680" t="s">
        <v>6153</v>
      </c>
    </row>
    <row r="43475" spans="8:8">
      <c r="H43475" s="680" t="s">
        <v>6153</v>
      </c>
    </row>
    <row r="43476" spans="8:8">
      <c r="H43476" s="680" t="s">
        <v>6153</v>
      </c>
    </row>
    <row r="43477" spans="8:8">
      <c r="H43477" s="680" t="s">
        <v>6153</v>
      </c>
    </row>
    <row r="43478" spans="8:8">
      <c r="H43478" s="680" t="s">
        <v>6153</v>
      </c>
    </row>
    <row r="43479" spans="8:8">
      <c r="H43479" s="680" t="s">
        <v>6153</v>
      </c>
    </row>
    <row r="43480" spans="8:8">
      <c r="H43480" s="680" t="s">
        <v>6153</v>
      </c>
    </row>
    <row r="43481" spans="8:8">
      <c r="H43481" s="680" t="s">
        <v>6153</v>
      </c>
    </row>
    <row r="43482" spans="8:8">
      <c r="H43482" s="680" t="s">
        <v>6153</v>
      </c>
    </row>
    <row r="43483" spans="8:8">
      <c r="H43483" s="680" t="s">
        <v>6153</v>
      </c>
    </row>
    <row r="43484" spans="8:8">
      <c r="H43484" s="680" t="s">
        <v>6153</v>
      </c>
    </row>
    <row r="43485" spans="8:8">
      <c r="H43485" s="680" t="s">
        <v>6153</v>
      </c>
    </row>
    <row r="43486" spans="8:8">
      <c r="H43486" s="680" t="s">
        <v>6153</v>
      </c>
    </row>
    <row r="43487" spans="8:8">
      <c r="H43487" s="680" t="s">
        <v>6153</v>
      </c>
    </row>
    <row r="43488" spans="8:8">
      <c r="H43488" s="680" t="s">
        <v>6153</v>
      </c>
    </row>
    <row r="43489" spans="8:8">
      <c r="H43489" s="680" t="s">
        <v>6153</v>
      </c>
    </row>
    <row r="43490" spans="8:8">
      <c r="H43490" s="680" t="s">
        <v>6153</v>
      </c>
    </row>
    <row r="43491" spans="8:8">
      <c r="H43491" s="680" t="s">
        <v>6153</v>
      </c>
    </row>
    <row r="43492" spans="8:8">
      <c r="H43492" s="680" t="s">
        <v>6153</v>
      </c>
    </row>
    <row r="43493" spans="8:8">
      <c r="H43493" s="680" t="s">
        <v>6153</v>
      </c>
    </row>
    <row r="43494" spans="8:8">
      <c r="H43494" s="680" t="s">
        <v>6153</v>
      </c>
    </row>
    <row r="43495" spans="8:8">
      <c r="H43495" s="680" t="s">
        <v>6153</v>
      </c>
    </row>
    <row r="43496" spans="8:8">
      <c r="H43496" s="680" t="s">
        <v>6153</v>
      </c>
    </row>
    <row r="43497" spans="8:8">
      <c r="H43497" s="680" t="s">
        <v>6153</v>
      </c>
    </row>
    <row r="43498" spans="8:8">
      <c r="H43498" s="680" t="s">
        <v>6153</v>
      </c>
    </row>
    <row r="43499" spans="8:8">
      <c r="H43499" s="680" t="s">
        <v>6153</v>
      </c>
    </row>
    <row r="43500" spans="8:8">
      <c r="H43500" s="680" t="s">
        <v>6153</v>
      </c>
    </row>
    <row r="43501" spans="8:8">
      <c r="H43501" s="680" t="s">
        <v>6153</v>
      </c>
    </row>
    <row r="43502" spans="8:8">
      <c r="H43502" s="680" t="s">
        <v>6153</v>
      </c>
    </row>
    <row r="43503" spans="8:8">
      <c r="H43503" s="680" t="s">
        <v>6153</v>
      </c>
    </row>
    <row r="43504" spans="8:8">
      <c r="H43504" s="680" t="s">
        <v>6153</v>
      </c>
    </row>
    <row r="43505" spans="8:8">
      <c r="H43505" s="680" t="s">
        <v>6153</v>
      </c>
    </row>
    <row r="43506" spans="8:8">
      <c r="H43506" s="680" t="s">
        <v>6153</v>
      </c>
    </row>
    <row r="43507" spans="8:8">
      <c r="H43507" s="680" t="s">
        <v>6153</v>
      </c>
    </row>
    <row r="43508" spans="8:8">
      <c r="H43508" s="680" t="s">
        <v>6153</v>
      </c>
    </row>
    <row r="43509" spans="8:8">
      <c r="H43509" s="680" t="s">
        <v>6153</v>
      </c>
    </row>
    <row r="43510" spans="8:8">
      <c r="H43510" s="680" t="s">
        <v>6153</v>
      </c>
    </row>
    <row r="43511" spans="8:8">
      <c r="H43511" s="680" t="s">
        <v>6153</v>
      </c>
    </row>
    <row r="43512" spans="8:8">
      <c r="H43512" s="680" t="s">
        <v>6153</v>
      </c>
    </row>
    <row r="43513" spans="8:8">
      <c r="H43513" s="680" t="s">
        <v>6153</v>
      </c>
    </row>
    <row r="43514" spans="8:8">
      <c r="H43514" s="680" t="s">
        <v>6153</v>
      </c>
    </row>
    <row r="43515" spans="8:8">
      <c r="H43515" s="680" t="s">
        <v>6153</v>
      </c>
    </row>
    <row r="43516" spans="8:8">
      <c r="H43516" s="680" t="s">
        <v>6153</v>
      </c>
    </row>
    <row r="43517" spans="8:8">
      <c r="H43517" s="680" t="s">
        <v>6153</v>
      </c>
    </row>
    <row r="43518" spans="8:8">
      <c r="H43518" s="680" t="s">
        <v>6153</v>
      </c>
    </row>
    <row r="43519" spans="8:8">
      <c r="H43519" s="680" t="s">
        <v>6153</v>
      </c>
    </row>
    <row r="43520" spans="8:8">
      <c r="H43520" s="680" t="s">
        <v>6153</v>
      </c>
    </row>
    <row r="43521" spans="8:8">
      <c r="H43521" s="680" t="s">
        <v>6153</v>
      </c>
    </row>
    <row r="43522" spans="8:8">
      <c r="H43522" s="680" t="s">
        <v>6153</v>
      </c>
    </row>
    <row r="43523" spans="8:8">
      <c r="H43523" s="680" t="s">
        <v>6153</v>
      </c>
    </row>
    <row r="43524" spans="8:8">
      <c r="H43524" s="680" t="s">
        <v>6153</v>
      </c>
    </row>
    <row r="43525" spans="8:8">
      <c r="H43525" s="680" t="s">
        <v>6153</v>
      </c>
    </row>
    <row r="43526" spans="8:8">
      <c r="H43526" s="680" t="s">
        <v>6153</v>
      </c>
    </row>
    <row r="43527" spans="8:8">
      <c r="H43527" s="680" t="s">
        <v>6153</v>
      </c>
    </row>
    <row r="43528" spans="8:8">
      <c r="H43528" s="680" t="s">
        <v>6153</v>
      </c>
    </row>
    <row r="43529" spans="8:8">
      <c r="H43529" s="680" t="s">
        <v>6153</v>
      </c>
    </row>
    <row r="43530" spans="8:8">
      <c r="H43530" s="680" t="s">
        <v>6153</v>
      </c>
    </row>
    <row r="43531" spans="8:8">
      <c r="H43531" s="680" t="s">
        <v>6153</v>
      </c>
    </row>
    <row r="43532" spans="8:8">
      <c r="H43532" s="680" t="s">
        <v>6153</v>
      </c>
    </row>
    <row r="43533" spans="8:8">
      <c r="H43533" s="680" t="s">
        <v>6153</v>
      </c>
    </row>
    <row r="43534" spans="8:8">
      <c r="H43534" s="680" t="s">
        <v>6153</v>
      </c>
    </row>
    <row r="43535" spans="8:8">
      <c r="H43535" s="680" t="s">
        <v>6153</v>
      </c>
    </row>
    <row r="43536" spans="8:8">
      <c r="H43536" s="680" t="s">
        <v>6153</v>
      </c>
    </row>
    <row r="43537" spans="8:8">
      <c r="H43537" s="680" t="s">
        <v>6153</v>
      </c>
    </row>
    <row r="43538" spans="8:8">
      <c r="H43538" s="680" t="s">
        <v>6153</v>
      </c>
    </row>
    <row r="43539" spans="8:8">
      <c r="H43539" s="680" t="s">
        <v>6153</v>
      </c>
    </row>
    <row r="43540" spans="8:8">
      <c r="H43540" s="680" t="s">
        <v>6153</v>
      </c>
    </row>
    <row r="43541" spans="8:8">
      <c r="H43541" s="680" t="s">
        <v>6153</v>
      </c>
    </row>
    <row r="43542" spans="8:8">
      <c r="H43542" s="680" t="s">
        <v>6153</v>
      </c>
    </row>
    <row r="43543" spans="8:8">
      <c r="H43543" s="680" t="s">
        <v>6153</v>
      </c>
    </row>
    <row r="43544" spans="8:8">
      <c r="H43544" s="680" t="s">
        <v>6153</v>
      </c>
    </row>
    <row r="43545" spans="8:8">
      <c r="H43545" s="680" t="s">
        <v>6153</v>
      </c>
    </row>
    <row r="43546" spans="8:8">
      <c r="H43546" s="680" t="s">
        <v>6153</v>
      </c>
    </row>
    <row r="43547" spans="8:8">
      <c r="H43547" s="680" t="s">
        <v>6153</v>
      </c>
    </row>
    <row r="43548" spans="8:8">
      <c r="H43548" s="680" t="s">
        <v>6153</v>
      </c>
    </row>
    <row r="43549" spans="8:8">
      <c r="H43549" s="680" t="s">
        <v>6153</v>
      </c>
    </row>
    <row r="43550" spans="8:8">
      <c r="H43550" s="680" t="s">
        <v>6153</v>
      </c>
    </row>
    <row r="43551" spans="8:8">
      <c r="H43551" s="680" t="s">
        <v>6153</v>
      </c>
    </row>
    <row r="43552" spans="8:8">
      <c r="H43552" s="680" t="s">
        <v>6153</v>
      </c>
    </row>
    <row r="43553" spans="8:8">
      <c r="H43553" s="680" t="s">
        <v>6153</v>
      </c>
    </row>
    <row r="43554" spans="8:8">
      <c r="H43554" s="680" t="s">
        <v>6153</v>
      </c>
    </row>
    <row r="43555" spans="8:8">
      <c r="H43555" s="680" t="s">
        <v>6153</v>
      </c>
    </row>
    <row r="43556" spans="8:8">
      <c r="H43556" s="680" t="s">
        <v>6153</v>
      </c>
    </row>
    <row r="43557" spans="8:8">
      <c r="H43557" s="680" t="s">
        <v>6153</v>
      </c>
    </row>
    <row r="43558" spans="8:8">
      <c r="H43558" s="680" t="s">
        <v>6153</v>
      </c>
    </row>
    <row r="43559" spans="8:8">
      <c r="H43559" s="680" t="s">
        <v>6153</v>
      </c>
    </row>
    <row r="43560" spans="8:8">
      <c r="H43560" s="680" t="s">
        <v>6153</v>
      </c>
    </row>
    <row r="43561" spans="8:8">
      <c r="H43561" s="680" t="s">
        <v>6153</v>
      </c>
    </row>
    <row r="43562" spans="8:8">
      <c r="H43562" s="680" t="s">
        <v>6153</v>
      </c>
    </row>
    <row r="43563" spans="8:8">
      <c r="H43563" s="680" t="s">
        <v>6153</v>
      </c>
    </row>
    <row r="43564" spans="8:8">
      <c r="H43564" s="680" t="s">
        <v>6153</v>
      </c>
    </row>
    <row r="43565" spans="8:8">
      <c r="H43565" s="680" t="s">
        <v>6153</v>
      </c>
    </row>
    <row r="43566" spans="8:8">
      <c r="H43566" s="680" t="s">
        <v>6153</v>
      </c>
    </row>
    <row r="43567" spans="8:8">
      <c r="H43567" s="680" t="s">
        <v>6153</v>
      </c>
    </row>
    <row r="43568" spans="8:8">
      <c r="H43568" s="680" t="s">
        <v>6153</v>
      </c>
    </row>
    <row r="43569" spans="8:8">
      <c r="H43569" s="680" t="s">
        <v>6153</v>
      </c>
    </row>
    <row r="43570" spans="8:8">
      <c r="H43570" s="680" t="s">
        <v>6153</v>
      </c>
    </row>
    <row r="43571" spans="8:8">
      <c r="H43571" s="680" t="s">
        <v>6153</v>
      </c>
    </row>
    <row r="43572" spans="8:8">
      <c r="H43572" s="680" t="s">
        <v>6153</v>
      </c>
    </row>
    <row r="43573" spans="8:8">
      <c r="H43573" s="680" t="s">
        <v>6153</v>
      </c>
    </row>
    <row r="43574" spans="8:8">
      <c r="H43574" s="680" t="s">
        <v>6153</v>
      </c>
    </row>
    <row r="43575" spans="8:8">
      <c r="H43575" s="680" t="s">
        <v>6153</v>
      </c>
    </row>
    <row r="43576" spans="8:8">
      <c r="H43576" s="680" t="s">
        <v>6153</v>
      </c>
    </row>
    <row r="43577" spans="8:8">
      <c r="H43577" s="680" t="s">
        <v>6153</v>
      </c>
    </row>
    <row r="43578" spans="8:8">
      <c r="H43578" s="680" t="s">
        <v>6153</v>
      </c>
    </row>
    <row r="43579" spans="8:8">
      <c r="H43579" s="680" t="s">
        <v>6153</v>
      </c>
    </row>
    <row r="43580" spans="8:8">
      <c r="H43580" s="680" t="s">
        <v>6153</v>
      </c>
    </row>
    <row r="43581" spans="8:8">
      <c r="H43581" s="680" t="s">
        <v>6153</v>
      </c>
    </row>
    <row r="43582" spans="8:8">
      <c r="H43582" s="680" t="s">
        <v>6153</v>
      </c>
    </row>
    <row r="43583" spans="8:8">
      <c r="H43583" s="680" t="s">
        <v>6153</v>
      </c>
    </row>
    <row r="43584" spans="8:8">
      <c r="H43584" s="680" t="s">
        <v>6153</v>
      </c>
    </row>
    <row r="43585" spans="8:8">
      <c r="H43585" s="680" t="s">
        <v>6153</v>
      </c>
    </row>
    <row r="43586" spans="8:8">
      <c r="H43586" s="680" t="s">
        <v>6153</v>
      </c>
    </row>
    <row r="43587" spans="8:8">
      <c r="H43587" s="680" t="s">
        <v>6153</v>
      </c>
    </row>
    <row r="43588" spans="8:8">
      <c r="H43588" s="680" t="s">
        <v>6153</v>
      </c>
    </row>
    <row r="43589" spans="8:8">
      <c r="H43589" s="680" t="s">
        <v>6153</v>
      </c>
    </row>
    <row r="43590" spans="8:8">
      <c r="H43590" s="680" t="s">
        <v>6153</v>
      </c>
    </row>
    <row r="43591" spans="8:8">
      <c r="H43591" s="680" t="s">
        <v>6153</v>
      </c>
    </row>
    <row r="43592" spans="8:8">
      <c r="H43592" s="680" t="s">
        <v>6153</v>
      </c>
    </row>
    <row r="43593" spans="8:8">
      <c r="H43593" s="680" t="s">
        <v>6153</v>
      </c>
    </row>
    <row r="43594" spans="8:8">
      <c r="H43594" s="680" t="s">
        <v>6153</v>
      </c>
    </row>
    <row r="43595" spans="8:8">
      <c r="H43595" s="680" t="s">
        <v>6153</v>
      </c>
    </row>
    <row r="43596" spans="8:8">
      <c r="H43596" s="680" t="s">
        <v>6153</v>
      </c>
    </row>
    <row r="43597" spans="8:8">
      <c r="H43597" s="680" t="s">
        <v>6153</v>
      </c>
    </row>
    <row r="43598" spans="8:8">
      <c r="H43598" s="680" t="s">
        <v>6153</v>
      </c>
    </row>
    <row r="43599" spans="8:8">
      <c r="H43599" s="680" t="s">
        <v>6153</v>
      </c>
    </row>
    <row r="43600" spans="8:8">
      <c r="H43600" s="680" t="s">
        <v>6153</v>
      </c>
    </row>
    <row r="43601" spans="8:8">
      <c r="H43601" s="680" t="s">
        <v>6153</v>
      </c>
    </row>
    <row r="43602" spans="8:8">
      <c r="H43602" s="680" t="s">
        <v>6153</v>
      </c>
    </row>
    <row r="43603" spans="8:8">
      <c r="H43603" s="680" t="s">
        <v>6153</v>
      </c>
    </row>
    <row r="43604" spans="8:8">
      <c r="H43604" s="680" t="s">
        <v>6153</v>
      </c>
    </row>
    <row r="43605" spans="8:8">
      <c r="H43605" s="680" t="s">
        <v>6153</v>
      </c>
    </row>
    <row r="43606" spans="8:8">
      <c r="H43606" s="680" t="s">
        <v>6153</v>
      </c>
    </row>
    <row r="43607" spans="8:8">
      <c r="H43607" s="680" t="s">
        <v>6153</v>
      </c>
    </row>
    <row r="43608" spans="8:8">
      <c r="H43608" s="680" t="s">
        <v>6153</v>
      </c>
    </row>
    <row r="43609" spans="8:8">
      <c r="H43609" s="680" t="s">
        <v>6153</v>
      </c>
    </row>
    <row r="43610" spans="8:8">
      <c r="H43610" s="680" t="s">
        <v>6153</v>
      </c>
    </row>
    <row r="43611" spans="8:8">
      <c r="H43611" s="680" t="s">
        <v>6153</v>
      </c>
    </row>
    <row r="43612" spans="8:8">
      <c r="H43612" s="680" t="s">
        <v>6153</v>
      </c>
    </row>
    <row r="43613" spans="8:8">
      <c r="H43613" s="680" t="s">
        <v>6153</v>
      </c>
    </row>
    <row r="43614" spans="8:8">
      <c r="H43614" s="680" t="s">
        <v>6153</v>
      </c>
    </row>
    <row r="43615" spans="8:8">
      <c r="H43615" s="680" t="s">
        <v>6153</v>
      </c>
    </row>
    <row r="43616" spans="8:8">
      <c r="H43616" s="680" t="s">
        <v>6153</v>
      </c>
    </row>
    <row r="43617" spans="8:8">
      <c r="H43617" s="680" t="s">
        <v>6153</v>
      </c>
    </row>
    <row r="43618" spans="8:8">
      <c r="H43618" s="680" t="s">
        <v>6153</v>
      </c>
    </row>
    <row r="43619" spans="8:8">
      <c r="H43619" s="680" t="s">
        <v>6153</v>
      </c>
    </row>
    <row r="43620" spans="8:8">
      <c r="H43620" s="680" t="s">
        <v>6153</v>
      </c>
    </row>
    <row r="43621" spans="8:8">
      <c r="H43621" s="680" t="s">
        <v>6153</v>
      </c>
    </row>
    <row r="43622" spans="8:8">
      <c r="H43622" s="680" t="s">
        <v>6153</v>
      </c>
    </row>
    <row r="43623" spans="8:8">
      <c r="H43623" s="680" t="s">
        <v>6153</v>
      </c>
    </row>
    <row r="43624" spans="8:8">
      <c r="H43624" s="680" t="s">
        <v>6153</v>
      </c>
    </row>
    <row r="43625" spans="8:8">
      <c r="H43625" s="680" t="s">
        <v>6153</v>
      </c>
    </row>
    <row r="43626" spans="8:8">
      <c r="H43626" s="680" t="s">
        <v>6153</v>
      </c>
    </row>
    <row r="43627" spans="8:8">
      <c r="H43627" s="680" t="s">
        <v>6153</v>
      </c>
    </row>
    <row r="43628" spans="8:8">
      <c r="H43628" s="680" t="s">
        <v>6153</v>
      </c>
    </row>
    <row r="43629" spans="8:8">
      <c r="H43629" s="680" t="s">
        <v>6153</v>
      </c>
    </row>
    <row r="43630" spans="8:8">
      <c r="H43630" s="680" t="s">
        <v>6153</v>
      </c>
    </row>
    <row r="43631" spans="8:8">
      <c r="H43631" s="680" t="s">
        <v>6153</v>
      </c>
    </row>
    <row r="43632" spans="8:8">
      <c r="H43632" s="680" t="s">
        <v>6153</v>
      </c>
    </row>
    <row r="43633" spans="8:8">
      <c r="H43633" s="680" t="s">
        <v>6153</v>
      </c>
    </row>
    <row r="43634" spans="8:8">
      <c r="H43634" s="680" t="s">
        <v>6153</v>
      </c>
    </row>
    <row r="43635" spans="8:8">
      <c r="H43635" s="680" t="s">
        <v>6153</v>
      </c>
    </row>
    <row r="43636" spans="8:8">
      <c r="H43636" s="680" t="s">
        <v>6153</v>
      </c>
    </row>
    <row r="43637" spans="8:8">
      <c r="H43637" s="680" t="s">
        <v>6153</v>
      </c>
    </row>
    <row r="43638" spans="8:8">
      <c r="H43638" s="680" t="s">
        <v>6153</v>
      </c>
    </row>
    <row r="43639" spans="8:8">
      <c r="H43639" s="680" t="s">
        <v>6153</v>
      </c>
    </row>
    <row r="43640" spans="8:8">
      <c r="H43640" s="680" t="s">
        <v>6153</v>
      </c>
    </row>
    <row r="43641" spans="8:8">
      <c r="H43641" s="680" t="s">
        <v>6153</v>
      </c>
    </row>
    <row r="43642" spans="8:8">
      <c r="H43642" s="680" t="s">
        <v>6153</v>
      </c>
    </row>
    <row r="43643" spans="8:8">
      <c r="H43643" s="680" t="s">
        <v>6153</v>
      </c>
    </row>
    <row r="43644" spans="8:8">
      <c r="H43644" s="680" t="s">
        <v>6153</v>
      </c>
    </row>
    <row r="43645" spans="8:8">
      <c r="H43645" s="680" t="s">
        <v>6153</v>
      </c>
    </row>
    <row r="43646" spans="8:8">
      <c r="H43646" s="680" t="s">
        <v>6153</v>
      </c>
    </row>
    <row r="43647" spans="8:8">
      <c r="H43647" s="680" t="s">
        <v>6153</v>
      </c>
    </row>
    <row r="43648" spans="8:8">
      <c r="H43648" s="680" t="s">
        <v>6153</v>
      </c>
    </row>
    <row r="43649" spans="8:8">
      <c r="H43649" s="680" t="s">
        <v>6153</v>
      </c>
    </row>
    <row r="43650" spans="8:8">
      <c r="H43650" s="680" t="s">
        <v>6153</v>
      </c>
    </row>
    <row r="43651" spans="8:8">
      <c r="H43651" s="680" t="s">
        <v>6153</v>
      </c>
    </row>
    <row r="43652" spans="8:8">
      <c r="H43652" s="680" t="s">
        <v>6153</v>
      </c>
    </row>
    <row r="43653" spans="8:8">
      <c r="H43653" s="680" t="s">
        <v>6153</v>
      </c>
    </row>
    <row r="43654" spans="8:8">
      <c r="H43654" s="680" t="s">
        <v>6153</v>
      </c>
    </row>
    <row r="43655" spans="8:8">
      <c r="H43655" s="680" t="s">
        <v>6153</v>
      </c>
    </row>
    <row r="43656" spans="8:8">
      <c r="H43656" s="680" t="s">
        <v>6153</v>
      </c>
    </row>
    <row r="43657" spans="8:8">
      <c r="H43657" s="680" t="s">
        <v>6153</v>
      </c>
    </row>
    <row r="43658" spans="8:8">
      <c r="H43658" s="680" t="s">
        <v>6153</v>
      </c>
    </row>
    <row r="43659" spans="8:8">
      <c r="H43659" s="680" t="s">
        <v>6153</v>
      </c>
    </row>
    <row r="43660" spans="8:8">
      <c r="H43660" s="680" t="s">
        <v>6153</v>
      </c>
    </row>
    <row r="43661" spans="8:8">
      <c r="H43661" s="680" t="s">
        <v>6153</v>
      </c>
    </row>
    <row r="43662" spans="8:8">
      <c r="H43662" s="680" t="s">
        <v>6153</v>
      </c>
    </row>
    <row r="43663" spans="8:8">
      <c r="H43663" s="680" t="s">
        <v>6153</v>
      </c>
    </row>
    <row r="43664" spans="8:8">
      <c r="H43664" s="680" t="s">
        <v>6153</v>
      </c>
    </row>
    <row r="43665" spans="8:8">
      <c r="H43665" s="680" t="s">
        <v>6153</v>
      </c>
    </row>
    <row r="43666" spans="8:8">
      <c r="H43666" s="680" t="s">
        <v>6153</v>
      </c>
    </row>
    <row r="43667" spans="8:8">
      <c r="H43667" s="680" t="s">
        <v>6153</v>
      </c>
    </row>
    <row r="43668" spans="8:8">
      <c r="H43668" s="680" t="s">
        <v>6153</v>
      </c>
    </row>
    <row r="43669" spans="8:8">
      <c r="H43669" s="680" t="s">
        <v>6153</v>
      </c>
    </row>
    <row r="43670" spans="8:8">
      <c r="H43670" s="680" t="s">
        <v>6153</v>
      </c>
    </row>
    <row r="43671" spans="8:8">
      <c r="H43671" s="680" t="s">
        <v>6153</v>
      </c>
    </row>
    <row r="43672" spans="8:8">
      <c r="H43672" s="680" t="s">
        <v>6153</v>
      </c>
    </row>
    <row r="43673" spans="8:8">
      <c r="H43673" s="680" t="s">
        <v>6153</v>
      </c>
    </row>
    <row r="43674" spans="8:8">
      <c r="H43674" s="680" t="s">
        <v>6153</v>
      </c>
    </row>
    <row r="43675" spans="8:8">
      <c r="H43675" s="680" t="s">
        <v>6153</v>
      </c>
    </row>
    <row r="43676" spans="8:8">
      <c r="H43676" s="680" t="s">
        <v>6153</v>
      </c>
    </row>
    <row r="43677" spans="8:8">
      <c r="H43677" s="680" t="s">
        <v>6153</v>
      </c>
    </row>
    <row r="43678" spans="8:8">
      <c r="H43678" s="680" t="s">
        <v>6153</v>
      </c>
    </row>
    <row r="43679" spans="8:8">
      <c r="H43679" s="680" t="s">
        <v>6153</v>
      </c>
    </row>
    <row r="43680" spans="8:8">
      <c r="H43680" s="680" t="s">
        <v>6153</v>
      </c>
    </row>
    <row r="43681" spans="8:8">
      <c r="H43681" s="680" t="s">
        <v>6153</v>
      </c>
    </row>
    <row r="43682" spans="8:8">
      <c r="H43682" s="680" t="s">
        <v>6153</v>
      </c>
    </row>
    <row r="43683" spans="8:8">
      <c r="H43683" s="680" t="s">
        <v>6153</v>
      </c>
    </row>
    <row r="43684" spans="8:8">
      <c r="H43684" s="680" t="s">
        <v>6153</v>
      </c>
    </row>
    <row r="43685" spans="8:8">
      <c r="H43685" s="680" t="s">
        <v>6153</v>
      </c>
    </row>
    <row r="43686" spans="8:8">
      <c r="H43686" s="680" t="s">
        <v>6153</v>
      </c>
    </row>
    <row r="43687" spans="8:8">
      <c r="H43687" s="680" t="s">
        <v>6153</v>
      </c>
    </row>
    <row r="43688" spans="8:8">
      <c r="H43688" s="680" t="s">
        <v>6153</v>
      </c>
    </row>
    <row r="43689" spans="8:8">
      <c r="H43689" s="680" t="s">
        <v>6153</v>
      </c>
    </row>
    <row r="43690" spans="8:8">
      <c r="H43690" s="680" t="s">
        <v>6153</v>
      </c>
    </row>
    <row r="43691" spans="8:8">
      <c r="H43691" s="680" t="s">
        <v>6153</v>
      </c>
    </row>
    <row r="43692" spans="8:8">
      <c r="H43692" s="680" t="s">
        <v>6153</v>
      </c>
    </row>
    <row r="43693" spans="8:8">
      <c r="H43693" s="680" t="s">
        <v>6153</v>
      </c>
    </row>
    <row r="43694" spans="8:8">
      <c r="H43694" s="680" t="s">
        <v>6153</v>
      </c>
    </row>
    <row r="43695" spans="8:8">
      <c r="H43695" s="680" t="s">
        <v>6153</v>
      </c>
    </row>
    <row r="43696" spans="8:8">
      <c r="H43696" s="680" t="s">
        <v>6153</v>
      </c>
    </row>
    <row r="43697" spans="8:8">
      <c r="H43697" s="680" t="s">
        <v>6153</v>
      </c>
    </row>
    <row r="43698" spans="8:8">
      <c r="H43698" s="680" t="s">
        <v>6153</v>
      </c>
    </row>
    <row r="43699" spans="8:8">
      <c r="H43699" s="680" t="s">
        <v>6153</v>
      </c>
    </row>
    <row r="43700" spans="8:8">
      <c r="H43700" s="680" t="s">
        <v>6153</v>
      </c>
    </row>
    <row r="43701" spans="8:8">
      <c r="H43701" s="680" t="s">
        <v>6153</v>
      </c>
    </row>
    <row r="43702" spans="8:8">
      <c r="H43702" s="680" t="s">
        <v>6153</v>
      </c>
    </row>
    <row r="43703" spans="8:8">
      <c r="H43703" s="680" t="s">
        <v>6153</v>
      </c>
    </row>
    <row r="43704" spans="8:8">
      <c r="H43704" s="680" t="s">
        <v>6153</v>
      </c>
    </row>
    <row r="43705" spans="8:8">
      <c r="H43705" s="680" t="s">
        <v>6153</v>
      </c>
    </row>
    <row r="43706" spans="8:8">
      <c r="H43706" s="680" t="s">
        <v>6153</v>
      </c>
    </row>
    <row r="43707" spans="8:8">
      <c r="H43707" s="680" t="s">
        <v>6153</v>
      </c>
    </row>
    <row r="43708" spans="8:8">
      <c r="H43708" s="680" t="s">
        <v>6153</v>
      </c>
    </row>
    <row r="43709" spans="8:8">
      <c r="H43709" s="680" t="s">
        <v>6153</v>
      </c>
    </row>
    <row r="43710" spans="8:8">
      <c r="H43710" s="680" t="s">
        <v>6153</v>
      </c>
    </row>
    <row r="43711" spans="8:8">
      <c r="H43711" s="680" t="s">
        <v>6153</v>
      </c>
    </row>
    <row r="43712" spans="8:8">
      <c r="H43712" s="680" t="s">
        <v>6153</v>
      </c>
    </row>
    <row r="43713" spans="8:8">
      <c r="H43713" s="680" t="s">
        <v>6153</v>
      </c>
    </row>
    <row r="43714" spans="8:8">
      <c r="H43714" s="680" t="s">
        <v>6153</v>
      </c>
    </row>
    <row r="43715" spans="8:8">
      <c r="H43715" s="680" t="s">
        <v>6153</v>
      </c>
    </row>
    <row r="43716" spans="8:8">
      <c r="H43716" s="680" t="s">
        <v>6153</v>
      </c>
    </row>
    <row r="43717" spans="8:8">
      <c r="H43717" s="680" t="s">
        <v>6153</v>
      </c>
    </row>
    <row r="43718" spans="8:8">
      <c r="H43718" s="680" t="s">
        <v>6153</v>
      </c>
    </row>
    <row r="43719" spans="8:8">
      <c r="H43719" s="680" t="s">
        <v>6153</v>
      </c>
    </row>
    <row r="43720" spans="8:8">
      <c r="H43720" s="680" t="s">
        <v>6153</v>
      </c>
    </row>
    <row r="43721" spans="8:8">
      <c r="H43721" s="680" t="s">
        <v>6153</v>
      </c>
    </row>
    <row r="43722" spans="8:8">
      <c r="H43722" s="680" t="s">
        <v>6153</v>
      </c>
    </row>
    <row r="43723" spans="8:8">
      <c r="H43723" s="680" t="s">
        <v>6153</v>
      </c>
    </row>
    <row r="43724" spans="8:8">
      <c r="H43724" s="680" t="s">
        <v>6153</v>
      </c>
    </row>
    <row r="43725" spans="8:8">
      <c r="H43725" s="680" t="s">
        <v>6153</v>
      </c>
    </row>
    <row r="43726" spans="8:8">
      <c r="H43726" s="680" t="s">
        <v>6153</v>
      </c>
    </row>
    <row r="43727" spans="8:8">
      <c r="H43727" s="680" t="s">
        <v>6153</v>
      </c>
    </row>
    <row r="43728" spans="8:8">
      <c r="H43728" s="680" t="s">
        <v>6153</v>
      </c>
    </row>
    <row r="43729" spans="8:8">
      <c r="H43729" s="680" t="s">
        <v>6153</v>
      </c>
    </row>
    <row r="43730" spans="8:8">
      <c r="H43730" s="680" t="s">
        <v>6153</v>
      </c>
    </row>
    <row r="43731" spans="8:8">
      <c r="H43731" s="680" t="s">
        <v>6153</v>
      </c>
    </row>
    <row r="43732" spans="8:8">
      <c r="H43732" s="680" t="s">
        <v>6153</v>
      </c>
    </row>
    <row r="43733" spans="8:8">
      <c r="H43733" s="680" t="s">
        <v>6153</v>
      </c>
    </row>
    <row r="43734" spans="8:8">
      <c r="H43734" s="680" t="s">
        <v>6153</v>
      </c>
    </row>
    <row r="43735" spans="8:8">
      <c r="H43735" s="680" t="s">
        <v>6153</v>
      </c>
    </row>
    <row r="43736" spans="8:8">
      <c r="H43736" s="680" t="s">
        <v>6153</v>
      </c>
    </row>
    <row r="43737" spans="8:8">
      <c r="H43737" s="680" t="s">
        <v>6153</v>
      </c>
    </row>
    <row r="43738" spans="8:8">
      <c r="H43738" s="680" t="s">
        <v>6153</v>
      </c>
    </row>
    <row r="43739" spans="8:8">
      <c r="H43739" s="680" t="s">
        <v>6153</v>
      </c>
    </row>
    <row r="43740" spans="8:8">
      <c r="H43740" s="680" t="s">
        <v>6153</v>
      </c>
    </row>
    <row r="43741" spans="8:8">
      <c r="H43741" s="680" t="s">
        <v>6153</v>
      </c>
    </row>
    <row r="43742" spans="8:8">
      <c r="H43742" s="680" t="s">
        <v>6153</v>
      </c>
    </row>
    <row r="43743" spans="8:8">
      <c r="H43743" s="680" t="s">
        <v>6153</v>
      </c>
    </row>
    <row r="43744" spans="8:8">
      <c r="H43744" s="680" t="s">
        <v>6153</v>
      </c>
    </row>
    <row r="43745" spans="8:8">
      <c r="H43745" s="680" t="s">
        <v>6153</v>
      </c>
    </row>
    <row r="43746" spans="8:8">
      <c r="H43746" s="680" t="s">
        <v>6153</v>
      </c>
    </row>
    <row r="43747" spans="8:8">
      <c r="H43747" s="680" t="s">
        <v>6153</v>
      </c>
    </row>
    <row r="43748" spans="8:8">
      <c r="H43748" s="680" t="s">
        <v>6153</v>
      </c>
    </row>
    <row r="43749" spans="8:8">
      <c r="H43749" s="680" t="s">
        <v>6153</v>
      </c>
    </row>
    <row r="43750" spans="8:8">
      <c r="H43750" s="680" t="s">
        <v>6153</v>
      </c>
    </row>
    <row r="43751" spans="8:8">
      <c r="H43751" s="680" t="s">
        <v>6153</v>
      </c>
    </row>
    <row r="43752" spans="8:8">
      <c r="H43752" s="680" t="s">
        <v>6153</v>
      </c>
    </row>
    <row r="43753" spans="8:8">
      <c r="H43753" s="680" t="s">
        <v>6153</v>
      </c>
    </row>
    <row r="43754" spans="8:8">
      <c r="H43754" s="680" t="s">
        <v>6153</v>
      </c>
    </row>
    <row r="43755" spans="8:8">
      <c r="H43755" s="680" t="s">
        <v>6153</v>
      </c>
    </row>
    <row r="43756" spans="8:8">
      <c r="H43756" s="680" t="s">
        <v>6153</v>
      </c>
    </row>
    <row r="43757" spans="8:8">
      <c r="H43757" s="680" t="s">
        <v>6153</v>
      </c>
    </row>
    <row r="43758" spans="8:8">
      <c r="H43758" s="680" t="s">
        <v>6153</v>
      </c>
    </row>
    <row r="43759" spans="8:8">
      <c r="H43759" s="680" t="s">
        <v>6153</v>
      </c>
    </row>
    <row r="43760" spans="8:8">
      <c r="H43760" s="680" t="s">
        <v>6153</v>
      </c>
    </row>
    <row r="43761" spans="8:8">
      <c r="H43761" s="680" t="s">
        <v>6153</v>
      </c>
    </row>
    <row r="43762" spans="8:8">
      <c r="H43762" s="680" t="s">
        <v>6153</v>
      </c>
    </row>
    <row r="43763" spans="8:8">
      <c r="H43763" s="680" t="s">
        <v>6153</v>
      </c>
    </row>
    <row r="43764" spans="8:8">
      <c r="H43764" s="680" t="s">
        <v>6153</v>
      </c>
    </row>
    <row r="43765" spans="8:8">
      <c r="H43765" s="680" t="s">
        <v>6153</v>
      </c>
    </row>
    <row r="43766" spans="8:8">
      <c r="H43766" s="680" t="s">
        <v>6153</v>
      </c>
    </row>
    <row r="43767" spans="8:8">
      <c r="H43767" s="680" t="s">
        <v>6153</v>
      </c>
    </row>
    <row r="43768" spans="8:8">
      <c r="H43768" s="680" t="s">
        <v>6153</v>
      </c>
    </row>
    <row r="43769" spans="8:8">
      <c r="H43769" s="680" t="s">
        <v>6153</v>
      </c>
    </row>
    <row r="43770" spans="8:8">
      <c r="H43770" s="680" t="s">
        <v>6153</v>
      </c>
    </row>
    <row r="43771" spans="8:8">
      <c r="H43771" s="680" t="s">
        <v>6153</v>
      </c>
    </row>
    <row r="43772" spans="8:8">
      <c r="H43772" s="680" t="s">
        <v>6153</v>
      </c>
    </row>
    <row r="43773" spans="8:8">
      <c r="H43773" s="680" t="s">
        <v>6153</v>
      </c>
    </row>
    <row r="43774" spans="8:8">
      <c r="H43774" s="680" t="s">
        <v>6153</v>
      </c>
    </row>
    <row r="43775" spans="8:8">
      <c r="H43775" s="680" t="s">
        <v>6153</v>
      </c>
    </row>
    <row r="43776" spans="8:8">
      <c r="H43776" s="680" t="s">
        <v>6153</v>
      </c>
    </row>
    <row r="43777" spans="8:8">
      <c r="H43777" s="680" t="s">
        <v>6153</v>
      </c>
    </row>
    <row r="43778" spans="8:8">
      <c r="H43778" s="680" t="s">
        <v>6153</v>
      </c>
    </row>
    <row r="43779" spans="8:8">
      <c r="H43779" s="680" t="s">
        <v>6153</v>
      </c>
    </row>
    <row r="43780" spans="8:8">
      <c r="H43780" s="680" t="s">
        <v>6153</v>
      </c>
    </row>
    <row r="43781" spans="8:8">
      <c r="H43781" s="680" t="s">
        <v>6153</v>
      </c>
    </row>
    <row r="43782" spans="8:8">
      <c r="H43782" s="680" t="s">
        <v>6153</v>
      </c>
    </row>
    <row r="43783" spans="8:8">
      <c r="H43783" s="680" t="s">
        <v>6153</v>
      </c>
    </row>
    <row r="43784" spans="8:8">
      <c r="H43784" s="680" t="s">
        <v>6153</v>
      </c>
    </row>
    <row r="43785" spans="8:8">
      <c r="H43785" s="680" t="s">
        <v>6153</v>
      </c>
    </row>
    <row r="43786" spans="8:8">
      <c r="H43786" s="680" t="s">
        <v>6153</v>
      </c>
    </row>
    <row r="43787" spans="8:8">
      <c r="H43787" s="680" t="s">
        <v>6153</v>
      </c>
    </row>
    <row r="43788" spans="8:8">
      <c r="H43788" s="680" t="s">
        <v>6153</v>
      </c>
    </row>
    <row r="43789" spans="8:8">
      <c r="H43789" s="680" t="s">
        <v>6153</v>
      </c>
    </row>
    <row r="43790" spans="8:8">
      <c r="H43790" s="680" t="s">
        <v>6153</v>
      </c>
    </row>
    <row r="43791" spans="8:8">
      <c r="H43791" s="680" t="s">
        <v>6153</v>
      </c>
    </row>
    <row r="43792" spans="8:8">
      <c r="H43792" s="680" t="s">
        <v>6153</v>
      </c>
    </row>
    <row r="43793" spans="8:8">
      <c r="H43793" s="680" t="s">
        <v>6153</v>
      </c>
    </row>
    <row r="43794" spans="8:8">
      <c r="H43794" s="680" t="s">
        <v>6153</v>
      </c>
    </row>
    <row r="43795" spans="8:8">
      <c r="H43795" s="680" t="s">
        <v>6153</v>
      </c>
    </row>
    <row r="43796" spans="8:8">
      <c r="H43796" s="680" t="s">
        <v>6153</v>
      </c>
    </row>
    <row r="43797" spans="8:8">
      <c r="H43797" s="680" t="s">
        <v>6153</v>
      </c>
    </row>
    <row r="43798" spans="8:8">
      <c r="H43798" s="680" t="s">
        <v>6153</v>
      </c>
    </row>
    <row r="43799" spans="8:8">
      <c r="H43799" s="680" t="s">
        <v>6153</v>
      </c>
    </row>
    <row r="43800" spans="8:8">
      <c r="H43800" s="680" t="s">
        <v>6153</v>
      </c>
    </row>
    <row r="43801" spans="8:8">
      <c r="H43801" s="680" t="s">
        <v>6153</v>
      </c>
    </row>
    <row r="43802" spans="8:8">
      <c r="H43802" s="680" t="s">
        <v>6153</v>
      </c>
    </row>
    <row r="43803" spans="8:8">
      <c r="H43803" s="680" t="s">
        <v>6153</v>
      </c>
    </row>
    <row r="43804" spans="8:8">
      <c r="H43804" s="680" t="s">
        <v>6153</v>
      </c>
    </row>
    <row r="43805" spans="8:8">
      <c r="H43805" s="680" t="s">
        <v>6153</v>
      </c>
    </row>
    <row r="43806" spans="8:8">
      <c r="H43806" s="680" t="s">
        <v>6153</v>
      </c>
    </row>
    <row r="43807" spans="8:8">
      <c r="H43807" s="680" t="s">
        <v>6153</v>
      </c>
    </row>
    <row r="43808" spans="8:8">
      <c r="H43808" s="680" t="s">
        <v>6153</v>
      </c>
    </row>
    <row r="43809" spans="8:8">
      <c r="H43809" s="680" t="s">
        <v>6153</v>
      </c>
    </row>
    <row r="43810" spans="8:8">
      <c r="H43810" s="680" t="s">
        <v>6153</v>
      </c>
    </row>
    <row r="43811" spans="8:8">
      <c r="H43811" s="680" t="s">
        <v>6153</v>
      </c>
    </row>
    <row r="43812" spans="8:8">
      <c r="H43812" s="680" t="s">
        <v>6153</v>
      </c>
    </row>
    <row r="43813" spans="8:8">
      <c r="H43813" s="680" t="s">
        <v>6153</v>
      </c>
    </row>
    <row r="43814" spans="8:8">
      <c r="H43814" s="680" t="s">
        <v>6153</v>
      </c>
    </row>
    <row r="43815" spans="8:8">
      <c r="H43815" s="680" t="s">
        <v>6153</v>
      </c>
    </row>
    <row r="43816" spans="8:8">
      <c r="H43816" s="680" t="s">
        <v>6153</v>
      </c>
    </row>
    <row r="43817" spans="8:8">
      <c r="H43817" s="680" t="s">
        <v>6153</v>
      </c>
    </row>
    <row r="43818" spans="8:8">
      <c r="H43818" s="680" t="s">
        <v>6153</v>
      </c>
    </row>
    <row r="43819" spans="8:8">
      <c r="H43819" s="680" t="s">
        <v>6153</v>
      </c>
    </row>
    <row r="43820" spans="8:8">
      <c r="H43820" s="680" t="s">
        <v>6153</v>
      </c>
    </row>
    <row r="43821" spans="8:8">
      <c r="H43821" s="680" t="s">
        <v>6153</v>
      </c>
    </row>
    <row r="43822" spans="8:8">
      <c r="H43822" s="680" t="s">
        <v>6153</v>
      </c>
    </row>
    <row r="43823" spans="8:8">
      <c r="H43823" s="680" t="s">
        <v>6153</v>
      </c>
    </row>
    <row r="43824" spans="8:8">
      <c r="H43824" s="680" t="s">
        <v>6153</v>
      </c>
    </row>
    <row r="43825" spans="8:8">
      <c r="H43825" s="680" t="s">
        <v>6153</v>
      </c>
    </row>
    <row r="43826" spans="8:8">
      <c r="H43826" s="680" t="s">
        <v>6153</v>
      </c>
    </row>
    <row r="43827" spans="8:8">
      <c r="H43827" s="680" t="s">
        <v>6153</v>
      </c>
    </row>
    <row r="43828" spans="8:8">
      <c r="H43828" s="680" t="s">
        <v>6153</v>
      </c>
    </row>
    <row r="43829" spans="8:8">
      <c r="H43829" s="680" t="s">
        <v>6153</v>
      </c>
    </row>
    <row r="43830" spans="8:8">
      <c r="H43830" s="680" t="s">
        <v>6153</v>
      </c>
    </row>
    <row r="43831" spans="8:8">
      <c r="H43831" s="680" t="s">
        <v>6153</v>
      </c>
    </row>
    <row r="43832" spans="8:8">
      <c r="H43832" s="680" t="s">
        <v>6153</v>
      </c>
    </row>
    <row r="43833" spans="8:8">
      <c r="H43833" s="680" t="s">
        <v>6153</v>
      </c>
    </row>
    <row r="43834" spans="8:8">
      <c r="H43834" s="680" t="s">
        <v>6153</v>
      </c>
    </row>
    <row r="43835" spans="8:8">
      <c r="H43835" s="680" t="s">
        <v>6153</v>
      </c>
    </row>
    <row r="43836" spans="8:8">
      <c r="H43836" s="680" t="s">
        <v>6153</v>
      </c>
    </row>
    <row r="43837" spans="8:8">
      <c r="H43837" s="680" t="s">
        <v>6153</v>
      </c>
    </row>
    <row r="43838" spans="8:8">
      <c r="H43838" s="680" t="s">
        <v>6153</v>
      </c>
    </row>
    <row r="43839" spans="8:8">
      <c r="H43839" s="680" t="s">
        <v>6153</v>
      </c>
    </row>
    <row r="43840" spans="8:8">
      <c r="H43840" s="680" t="s">
        <v>6153</v>
      </c>
    </row>
    <row r="43841" spans="8:8">
      <c r="H43841" s="680" t="s">
        <v>6153</v>
      </c>
    </row>
    <row r="43842" spans="8:8">
      <c r="H43842" s="680" t="s">
        <v>6153</v>
      </c>
    </row>
    <row r="43843" spans="8:8">
      <c r="H43843" s="680" t="s">
        <v>6153</v>
      </c>
    </row>
    <row r="43844" spans="8:8">
      <c r="H43844" s="680" t="s">
        <v>6153</v>
      </c>
    </row>
    <row r="43845" spans="8:8">
      <c r="H43845" s="680" t="s">
        <v>6153</v>
      </c>
    </row>
    <row r="43846" spans="8:8">
      <c r="H43846" s="680" t="s">
        <v>6153</v>
      </c>
    </row>
    <row r="43847" spans="8:8">
      <c r="H43847" s="680" t="s">
        <v>6153</v>
      </c>
    </row>
    <row r="43848" spans="8:8">
      <c r="H43848" s="680" t="s">
        <v>6153</v>
      </c>
    </row>
    <row r="43849" spans="8:8">
      <c r="H43849" s="680" t="s">
        <v>6153</v>
      </c>
    </row>
    <row r="43850" spans="8:8">
      <c r="H43850" s="680" t="s">
        <v>6153</v>
      </c>
    </row>
    <row r="43851" spans="8:8">
      <c r="H43851" s="680" t="s">
        <v>6153</v>
      </c>
    </row>
    <row r="43852" spans="8:8">
      <c r="H43852" s="680" t="s">
        <v>6153</v>
      </c>
    </row>
    <row r="43853" spans="8:8">
      <c r="H43853" s="680" t="s">
        <v>6153</v>
      </c>
    </row>
    <row r="43854" spans="8:8">
      <c r="H43854" s="680" t="s">
        <v>6153</v>
      </c>
    </row>
    <row r="43855" spans="8:8">
      <c r="H43855" s="680" t="s">
        <v>6153</v>
      </c>
    </row>
    <row r="43856" spans="8:8">
      <c r="H43856" s="680" t="s">
        <v>6153</v>
      </c>
    </row>
    <row r="43857" spans="8:8">
      <c r="H43857" s="680" t="s">
        <v>6153</v>
      </c>
    </row>
    <row r="43858" spans="8:8">
      <c r="H43858" s="680" t="s">
        <v>6153</v>
      </c>
    </row>
    <row r="43859" spans="8:8">
      <c r="H43859" s="680" t="s">
        <v>6153</v>
      </c>
    </row>
    <row r="43860" spans="8:8">
      <c r="H43860" s="680" t="s">
        <v>6153</v>
      </c>
    </row>
    <row r="43861" spans="8:8">
      <c r="H43861" s="680" t="s">
        <v>6153</v>
      </c>
    </row>
    <row r="43862" spans="8:8">
      <c r="H43862" s="680" t="s">
        <v>6153</v>
      </c>
    </row>
    <row r="43863" spans="8:8">
      <c r="H43863" s="680" t="s">
        <v>6153</v>
      </c>
    </row>
    <row r="43864" spans="8:8">
      <c r="H43864" s="680" t="s">
        <v>6153</v>
      </c>
    </row>
    <row r="43865" spans="8:8">
      <c r="H43865" s="680" t="s">
        <v>6153</v>
      </c>
    </row>
    <row r="43866" spans="8:8">
      <c r="H43866" s="680" t="s">
        <v>6153</v>
      </c>
    </row>
    <row r="43867" spans="8:8">
      <c r="H43867" s="680" t="s">
        <v>6153</v>
      </c>
    </row>
    <row r="43868" spans="8:8">
      <c r="H43868" s="680" t="s">
        <v>6153</v>
      </c>
    </row>
    <row r="43869" spans="8:8">
      <c r="H43869" s="680" t="s">
        <v>6153</v>
      </c>
    </row>
    <row r="43870" spans="8:8">
      <c r="H43870" s="680" t="s">
        <v>6153</v>
      </c>
    </row>
    <row r="43871" spans="8:8">
      <c r="H43871" s="680" t="s">
        <v>6153</v>
      </c>
    </row>
    <row r="43872" spans="8:8">
      <c r="H43872" s="680" t="s">
        <v>6153</v>
      </c>
    </row>
    <row r="43873" spans="8:8">
      <c r="H43873" s="680" t="s">
        <v>6153</v>
      </c>
    </row>
    <row r="43874" spans="8:8">
      <c r="H43874" s="680" t="s">
        <v>6153</v>
      </c>
    </row>
    <row r="43875" spans="8:8">
      <c r="H43875" s="680" t="s">
        <v>6153</v>
      </c>
    </row>
    <row r="43876" spans="8:8">
      <c r="H43876" s="680" t="s">
        <v>6153</v>
      </c>
    </row>
    <row r="43877" spans="8:8">
      <c r="H43877" s="680" t="s">
        <v>6153</v>
      </c>
    </row>
    <row r="43878" spans="8:8">
      <c r="H43878" s="680" t="s">
        <v>6153</v>
      </c>
    </row>
    <row r="43879" spans="8:8">
      <c r="H43879" s="680" t="s">
        <v>6153</v>
      </c>
    </row>
    <row r="43880" spans="8:8">
      <c r="H43880" s="680" t="s">
        <v>6153</v>
      </c>
    </row>
    <row r="43881" spans="8:8">
      <c r="H43881" s="680" t="s">
        <v>6153</v>
      </c>
    </row>
    <row r="43882" spans="8:8">
      <c r="H43882" s="680" t="s">
        <v>6153</v>
      </c>
    </row>
    <row r="43883" spans="8:8">
      <c r="H43883" s="680" t="s">
        <v>6153</v>
      </c>
    </row>
    <row r="43884" spans="8:8">
      <c r="H43884" s="680" t="s">
        <v>6153</v>
      </c>
    </row>
    <row r="43885" spans="8:8">
      <c r="H43885" s="680" t="s">
        <v>6153</v>
      </c>
    </row>
    <row r="43886" spans="8:8">
      <c r="H43886" s="680" t="s">
        <v>6153</v>
      </c>
    </row>
    <row r="43887" spans="8:8">
      <c r="H43887" s="680" t="s">
        <v>6153</v>
      </c>
    </row>
    <row r="43888" spans="8:8">
      <c r="H43888" s="680" t="s">
        <v>6153</v>
      </c>
    </row>
    <row r="43889" spans="8:8">
      <c r="H43889" s="680" t="s">
        <v>6153</v>
      </c>
    </row>
    <row r="43890" spans="8:8">
      <c r="H43890" s="680" t="s">
        <v>6153</v>
      </c>
    </row>
    <row r="43891" spans="8:8">
      <c r="H43891" s="680" t="s">
        <v>6153</v>
      </c>
    </row>
    <row r="43892" spans="8:8">
      <c r="H43892" s="680" t="s">
        <v>6153</v>
      </c>
    </row>
    <row r="43893" spans="8:8">
      <c r="H43893" s="680" t="s">
        <v>6153</v>
      </c>
    </row>
    <row r="43894" spans="8:8">
      <c r="H43894" s="680" t="s">
        <v>6153</v>
      </c>
    </row>
    <row r="43895" spans="8:8">
      <c r="H43895" s="680" t="s">
        <v>6153</v>
      </c>
    </row>
    <row r="43896" spans="8:8">
      <c r="H43896" s="680" t="s">
        <v>6153</v>
      </c>
    </row>
    <row r="43897" spans="8:8">
      <c r="H43897" s="680" t="s">
        <v>6153</v>
      </c>
    </row>
    <row r="43898" spans="8:8">
      <c r="H43898" s="680" t="s">
        <v>6153</v>
      </c>
    </row>
    <row r="43899" spans="8:8">
      <c r="H43899" s="680" t="s">
        <v>6153</v>
      </c>
    </row>
    <row r="43900" spans="8:8">
      <c r="H43900" s="680" t="s">
        <v>6153</v>
      </c>
    </row>
    <row r="43901" spans="8:8">
      <c r="H43901" s="680" t="s">
        <v>6153</v>
      </c>
    </row>
    <row r="43902" spans="8:8">
      <c r="H43902" s="680" t="s">
        <v>6153</v>
      </c>
    </row>
    <row r="43903" spans="8:8">
      <c r="H43903" s="680" t="s">
        <v>6153</v>
      </c>
    </row>
    <row r="43904" spans="8:8">
      <c r="H43904" s="680" t="s">
        <v>6153</v>
      </c>
    </row>
    <row r="43905" spans="8:8">
      <c r="H43905" s="680" t="s">
        <v>6153</v>
      </c>
    </row>
    <row r="43906" spans="8:8">
      <c r="H43906" s="680" t="s">
        <v>6153</v>
      </c>
    </row>
    <row r="43907" spans="8:8">
      <c r="H43907" s="680" t="s">
        <v>6153</v>
      </c>
    </row>
    <row r="43908" spans="8:8">
      <c r="H43908" s="680" t="s">
        <v>6153</v>
      </c>
    </row>
    <row r="43909" spans="8:8">
      <c r="H43909" s="680" t="s">
        <v>6153</v>
      </c>
    </row>
    <row r="43910" spans="8:8">
      <c r="H43910" s="680" t="s">
        <v>6153</v>
      </c>
    </row>
    <row r="43911" spans="8:8">
      <c r="H43911" s="680" t="s">
        <v>6153</v>
      </c>
    </row>
    <row r="43912" spans="8:8">
      <c r="H43912" s="680" t="s">
        <v>6153</v>
      </c>
    </row>
    <row r="43913" spans="8:8">
      <c r="H43913" s="680" t="s">
        <v>6153</v>
      </c>
    </row>
    <row r="43914" spans="8:8">
      <c r="H43914" s="680" t="s">
        <v>6153</v>
      </c>
    </row>
    <row r="43915" spans="8:8">
      <c r="H43915" s="680" t="s">
        <v>6153</v>
      </c>
    </row>
    <row r="43916" spans="8:8">
      <c r="H43916" s="680" t="s">
        <v>6153</v>
      </c>
    </row>
    <row r="43917" spans="8:8">
      <c r="H43917" s="680" t="s">
        <v>6153</v>
      </c>
    </row>
    <row r="43918" spans="8:8">
      <c r="H43918" s="680" t="s">
        <v>6153</v>
      </c>
    </row>
    <row r="43919" spans="8:8">
      <c r="H43919" s="680" t="s">
        <v>6153</v>
      </c>
    </row>
    <row r="43920" spans="8:8">
      <c r="H43920" s="680" t="s">
        <v>6153</v>
      </c>
    </row>
    <row r="43921" spans="8:8">
      <c r="H43921" s="680" t="s">
        <v>6153</v>
      </c>
    </row>
    <row r="43922" spans="8:8">
      <c r="H43922" s="680" t="s">
        <v>6153</v>
      </c>
    </row>
    <row r="43923" spans="8:8">
      <c r="H43923" s="680" t="s">
        <v>6153</v>
      </c>
    </row>
    <row r="43924" spans="8:8">
      <c r="H43924" s="680" t="s">
        <v>6153</v>
      </c>
    </row>
    <row r="43925" spans="8:8">
      <c r="H43925" s="680" t="s">
        <v>6153</v>
      </c>
    </row>
    <row r="43926" spans="8:8">
      <c r="H43926" s="680" t="s">
        <v>6153</v>
      </c>
    </row>
    <row r="43927" spans="8:8">
      <c r="H43927" s="680" t="s">
        <v>6153</v>
      </c>
    </row>
    <row r="43928" spans="8:8">
      <c r="H43928" s="680" t="s">
        <v>6153</v>
      </c>
    </row>
    <row r="43929" spans="8:8">
      <c r="H43929" s="680" t="s">
        <v>6153</v>
      </c>
    </row>
    <row r="43930" spans="8:8">
      <c r="H43930" s="680" t="s">
        <v>6153</v>
      </c>
    </row>
    <row r="43931" spans="8:8">
      <c r="H43931" s="680" t="s">
        <v>6153</v>
      </c>
    </row>
    <row r="43932" spans="8:8">
      <c r="H43932" s="680" t="s">
        <v>6153</v>
      </c>
    </row>
    <row r="43933" spans="8:8">
      <c r="H43933" s="680" t="s">
        <v>6153</v>
      </c>
    </row>
    <row r="43934" spans="8:8">
      <c r="H43934" s="680" t="s">
        <v>6153</v>
      </c>
    </row>
    <row r="43935" spans="8:8">
      <c r="H43935" s="680" t="s">
        <v>6153</v>
      </c>
    </row>
    <row r="43936" spans="8:8">
      <c r="H43936" s="680" t="s">
        <v>6153</v>
      </c>
    </row>
    <row r="43937" spans="8:8">
      <c r="H43937" s="680" t="s">
        <v>6153</v>
      </c>
    </row>
    <row r="43938" spans="8:8">
      <c r="H43938" s="680" t="s">
        <v>6153</v>
      </c>
    </row>
    <row r="43939" spans="8:8">
      <c r="H43939" s="680" t="s">
        <v>6153</v>
      </c>
    </row>
    <row r="43940" spans="8:8">
      <c r="H43940" s="680" t="s">
        <v>6153</v>
      </c>
    </row>
    <row r="43941" spans="8:8">
      <c r="H43941" s="680" t="s">
        <v>6153</v>
      </c>
    </row>
    <row r="43942" spans="8:8">
      <c r="H43942" s="680" t="s">
        <v>6153</v>
      </c>
    </row>
    <row r="43943" spans="8:8">
      <c r="H43943" s="680" t="s">
        <v>6153</v>
      </c>
    </row>
    <row r="43944" spans="8:8">
      <c r="H43944" s="680" t="s">
        <v>6153</v>
      </c>
    </row>
    <row r="43945" spans="8:8">
      <c r="H43945" s="680" t="s">
        <v>6153</v>
      </c>
    </row>
    <row r="43946" spans="8:8">
      <c r="H43946" s="680" t="s">
        <v>6153</v>
      </c>
    </row>
    <row r="43947" spans="8:8">
      <c r="H43947" s="680" t="s">
        <v>6153</v>
      </c>
    </row>
    <row r="43948" spans="8:8">
      <c r="H43948" s="680" t="s">
        <v>6153</v>
      </c>
    </row>
    <row r="43949" spans="8:8">
      <c r="H43949" s="680" t="s">
        <v>6153</v>
      </c>
    </row>
    <row r="43950" spans="8:8">
      <c r="H43950" s="680" t="s">
        <v>6153</v>
      </c>
    </row>
    <row r="43951" spans="8:8">
      <c r="H43951" s="680" t="s">
        <v>6153</v>
      </c>
    </row>
    <row r="43952" spans="8:8">
      <c r="H43952" s="680" t="s">
        <v>6153</v>
      </c>
    </row>
    <row r="43953" spans="8:8">
      <c r="H43953" s="680" t="s">
        <v>6153</v>
      </c>
    </row>
    <row r="43954" spans="8:8">
      <c r="H43954" s="680" t="s">
        <v>6153</v>
      </c>
    </row>
    <row r="43955" spans="8:8">
      <c r="H43955" s="680" t="s">
        <v>6153</v>
      </c>
    </row>
    <row r="43956" spans="8:8">
      <c r="H43956" s="680" t="s">
        <v>6153</v>
      </c>
    </row>
    <row r="43957" spans="8:8">
      <c r="H43957" s="680" t="s">
        <v>6153</v>
      </c>
    </row>
    <row r="43958" spans="8:8">
      <c r="H43958" s="680" t="s">
        <v>6153</v>
      </c>
    </row>
    <row r="43959" spans="8:8">
      <c r="H43959" s="680" t="s">
        <v>6153</v>
      </c>
    </row>
    <row r="43960" spans="8:8">
      <c r="H43960" s="680" t="s">
        <v>6153</v>
      </c>
    </row>
    <row r="43961" spans="8:8">
      <c r="H43961" s="680" t="s">
        <v>6153</v>
      </c>
    </row>
    <row r="43962" spans="8:8">
      <c r="H43962" s="680" t="s">
        <v>6153</v>
      </c>
    </row>
    <row r="43963" spans="8:8">
      <c r="H43963" s="680" t="s">
        <v>6153</v>
      </c>
    </row>
    <row r="43964" spans="8:8">
      <c r="H43964" s="680" t="s">
        <v>6153</v>
      </c>
    </row>
    <row r="43965" spans="8:8">
      <c r="H43965" s="680" t="s">
        <v>6153</v>
      </c>
    </row>
    <row r="43966" spans="8:8">
      <c r="H43966" s="680" t="s">
        <v>6153</v>
      </c>
    </row>
    <row r="43967" spans="8:8">
      <c r="H43967" s="680" t="s">
        <v>6153</v>
      </c>
    </row>
    <row r="43968" spans="8:8">
      <c r="H43968" s="680" t="s">
        <v>6153</v>
      </c>
    </row>
    <row r="43969" spans="8:8">
      <c r="H43969" s="680" t="s">
        <v>6153</v>
      </c>
    </row>
    <row r="43970" spans="8:8">
      <c r="H43970" s="680" t="s">
        <v>6153</v>
      </c>
    </row>
    <row r="43971" spans="8:8">
      <c r="H43971" s="680" t="s">
        <v>6153</v>
      </c>
    </row>
    <row r="43972" spans="8:8">
      <c r="H43972" s="680" t="s">
        <v>6153</v>
      </c>
    </row>
    <row r="43973" spans="8:8">
      <c r="H43973" s="680" t="s">
        <v>6153</v>
      </c>
    </row>
    <row r="43974" spans="8:8">
      <c r="H43974" s="680" t="s">
        <v>6153</v>
      </c>
    </row>
    <row r="43975" spans="8:8">
      <c r="H43975" s="680" t="s">
        <v>6153</v>
      </c>
    </row>
    <row r="43976" spans="8:8">
      <c r="H43976" s="680" t="s">
        <v>6153</v>
      </c>
    </row>
    <row r="43977" spans="8:8">
      <c r="H43977" s="680" t="s">
        <v>6153</v>
      </c>
    </row>
    <row r="43978" spans="8:8">
      <c r="H43978" s="680" t="s">
        <v>6153</v>
      </c>
    </row>
    <row r="43979" spans="8:8">
      <c r="H43979" s="680" t="s">
        <v>6153</v>
      </c>
    </row>
    <row r="43980" spans="8:8">
      <c r="H43980" s="680" t="s">
        <v>6153</v>
      </c>
    </row>
    <row r="43981" spans="8:8">
      <c r="H43981" s="680" t="s">
        <v>6153</v>
      </c>
    </row>
    <row r="43982" spans="8:8">
      <c r="H43982" s="680" t="s">
        <v>6153</v>
      </c>
    </row>
    <row r="43983" spans="8:8">
      <c r="H43983" s="680" t="s">
        <v>6153</v>
      </c>
    </row>
    <row r="43984" spans="8:8">
      <c r="H43984" s="680" t="s">
        <v>6153</v>
      </c>
    </row>
    <row r="43985" spans="8:8">
      <c r="H43985" s="680" t="s">
        <v>6153</v>
      </c>
    </row>
    <row r="43986" spans="8:8">
      <c r="H43986" s="680" t="s">
        <v>6153</v>
      </c>
    </row>
    <row r="43987" spans="8:8">
      <c r="H43987" s="680" t="s">
        <v>6153</v>
      </c>
    </row>
    <row r="43988" spans="8:8">
      <c r="H43988" s="680" t="s">
        <v>6153</v>
      </c>
    </row>
    <row r="43989" spans="8:8">
      <c r="H43989" s="680" t="s">
        <v>6153</v>
      </c>
    </row>
    <row r="43990" spans="8:8">
      <c r="H43990" s="680" t="s">
        <v>6153</v>
      </c>
    </row>
    <row r="43991" spans="8:8">
      <c r="H43991" s="680" t="s">
        <v>6153</v>
      </c>
    </row>
    <row r="43992" spans="8:8">
      <c r="H43992" s="680" t="s">
        <v>6153</v>
      </c>
    </row>
    <row r="43993" spans="8:8">
      <c r="H43993" s="680" t="s">
        <v>6153</v>
      </c>
    </row>
    <row r="43994" spans="8:8">
      <c r="H43994" s="680" t="s">
        <v>6153</v>
      </c>
    </row>
    <row r="43995" spans="8:8">
      <c r="H43995" s="680" t="s">
        <v>6153</v>
      </c>
    </row>
    <row r="43996" spans="8:8">
      <c r="H43996" s="680" t="s">
        <v>6153</v>
      </c>
    </row>
    <row r="43997" spans="8:8">
      <c r="H43997" s="680" t="s">
        <v>6153</v>
      </c>
    </row>
    <row r="43998" spans="8:8">
      <c r="H43998" s="680" t="s">
        <v>6153</v>
      </c>
    </row>
    <row r="43999" spans="8:8">
      <c r="H43999" s="680" t="s">
        <v>6153</v>
      </c>
    </row>
    <row r="44000" spans="8:8">
      <c r="H44000" s="680" t="s">
        <v>6153</v>
      </c>
    </row>
    <row r="44001" spans="8:8">
      <c r="H44001" s="680" t="s">
        <v>6153</v>
      </c>
    </row>
    <row r="44002" spans="8:8">
      <c r="H44002" s="680" t="s">
        <v>6153</v>
      </c>
    </row>
    <row r="44003" spans="8:8">
      <c r="H44003" s="680" t="s">
        <v>6153</v>
      </c>
    </row>
    <row r="44004" spans="8:8">
      <c r="H44004" s="680" t="s">
        <v>6153</v>
      </c>
    </row>
    <row r="44005" spans="8:8">
      <c r="H44005" s="680" t="s">
        <v>6153</v>
      </c>
    </row>
    <row r="44006" spans="8:8">
      <c r="H44006" s="680" t="s">
        <v>6153</v>
      </c>
    </row>
    <row r="44007" spans="8:8">
      <c r="H44007" s="680" t="s">
        <v>6153</v>
      </c>
    </row>
    <row r="44008" spans="8:8">
      <c r="H44008" s="680" t="s">
        <v>6153</v>
      </c>
    </row>
    <row r="44009" spans="8:8">
      <c r="H44009" s="680" t="s">
        <v>6153</v>
      </c>
    </row>
    <row r="44010" spans="8:8">
      <c r="H44010" s="680" t="s">
        <v>6153</v>
      </c>
    </row>
    <row r="44011" spans="8:8">
      <c r="H44011" s="680" t="s">
        <v>6153</v>
      </c>
    </row>
    <row r="44012" spans="8:8">
      <c r="H44012" s="680" t="s">
        <v>6153</v>
      </c>
    </row>
    <row r="44013" spans="8:8">
      <c r="H44013" s="680" t="s">
        <v>6153</v>
      </c>
    </row>
    <row r="44014" spans="8:8">
      <c r="H44014" s="680" t="s">
        <v>6153</v>
      </c>
    </row>
    <row r="44015" spans="8:8">
      <c r="H44015" s="680" t="s">
        <v>6153</v>
      </c>
    </row>
    <row r="44016" spans="8:8">
      <c r="H44016" s="680" t="s">
        <v>6153</v>
      </c>
    </row>
    <row r="44017" spans="8:8">
      <c r="H44017" s="680" t="s">
        <v>6153</v>
      </c>
    </row>
    <row r="44018" spans="8:8">
      <c r="H44018" s="680" t="s">
        <v>6153</v>
      </c>
    </row>
    <row r="44019" spans="8:8">
      <c r="H44019" s="680" t="s">
        <v>6153</v>
      </c>
    </row>
    <row r="44020" spans="8:8">
      <c r="H44020" s="680" t="s">
        <v>6153</v>
      </c>
    </row>
    <row r="44021" spans="8:8">
      <c r="H44021" s="680" t="s">
        <v>6153</v>
      </c>
    </row>
    <row r="44022" spans="8:8">
      <c r="H44022" s="680" t="s">
        <v>6153</v>
      </c>
    </row>
    <row r="44023" spans="8:8">
      <c r="H44023" s="680" t="s">
        <v>6153</v>
      </c>
    </row>
    <row r="44024" spans="8:8">
      <c r="H44024" s="680" t="s">
        <v>6153</v>
      </c>
    </row>
    <row r="44025" spans="8:8">
      <c r="H44025" s="680" t="s">
        <v>6153</v>
      </c>
    </row>
    <row r="44026" spans="8:8">
      <c r="H44026" s="680" t="s">
        <v>6153</v>
      </c>
    </row>
    <row r="44027" spans="8:8">
      <c r="H44027" s="680" t="s">
        <v>6153</v>
      </c>
    </row>
    <row r="44028" spans="8:8">
      <c r="H44028" s="680" t="s">
        <v>6153</v>
      </c>
    </row>
    <row r="44029" spans="8:8">
      <c r="H44029" s="680" t="s">
        <v>6153</v>
      </c>
    </row>
    <row r="44030" spans="8:8">
      <c r="H44030" s="680" t="s">
        <v>6153</v>
      </c>
    </row>
    <row r="44031" spans="8:8">
      <c r="H44031" s="680" t="s">
        <v>6153</v>
      </c>
    </row>
    <row r="44032" spans="8:8">
      <c r="H44032" s="680" t="s">
        <v>6153</v>
      </c>
    </row>
    <row r="44033" spans="8:8">
      <c r="H44033" s="680" t="s">
        <v>6153</v>
      </c>
    </row>
    <row r="44034" spans="8:8">
      <c r="H44034" s="680" t="s">
        <v>6153</v>
      </c>
    </row>
    <row r="44035" spans="8:8">
      <c r="H44035" s="680" t="s">
        <v>6153</v>
      </c>
    </row>
    <row r="44036" spans="8:8">
      <c r="H44036" s="680" t="s">
        <v>6153</v>
      </c>
    </row>
    <row r="44037" spans="8:8">
      <c r="H44037" s="680" t="s">
        <v>6153</v>
      </c>
    </row>
    <row r="44038" spans="8:8">
      <c r="H44038" s="680" t="s">
        <v>6153</v>
      </c>
    </row>
    <row r="44039" spans="8:8">
      <c r="H44039" s="680" t="s">
        <v>6153</v>
      </c>
    </row>
    <row r="44040" spans="8:8">
      <c r="H44040" s="680" t="s">
        <v>6153</v>
      </c>
    </row>
    <row r="44041" spans="8:8">
      <c r="H44041" s="680" t="s">
        <v>6153</v>
      </c>
    </row>
    <row r="44042" spans="8:8">
      <c r="H44042" s="680" t="s">
        <v>6153</v>
      </c>
    </row>
    <row r="44043" spans="8:8">
      <c r="H44043" s="680" t="s">
        <v>6153</v>
      </c>
    </row>
    <row r="44044" spans="8:8">
      <c r="H44044" s="680" t="s">
        <v>6153</v>
      </c>
    </row>
    <row r="44045" spans="8:8">
      <c r="H44045" s="680" t="s">
        <v>6153</v>
      </c>
    </row>
    <row r="44046" spans="8:8">
      <c r="H44046" s="680" t="s">
        <v>6153</v>
      </c>
    </row>
    <row r="44047" spans="8:8">
      <c r="H44047" s="680" t="s">
        <v>6153</v>
      </c>
    </row>
    <row r="44048" spans="8:8">
      <c r="H44048" s="680" t="s">
        <v>6153</v>
      </c>
    </row>
    <row r="44049" spans="8:8">
      <c r="H44049" s="680" t="s">
        <v>6153</v>
      </c>
    </row>
    <row r="44050" spans="8:8">
      <c r="H44050" s="680" t="s">
        <v>6153</v>
      </c>
    </row>
    <row r="44051" spans="8:8">
      <c r="H44051" s="680" t="s">
        <v>6153</v>
      </c>
    </row>
    <row r="44052" spans="8:8">
      <c r="H44052" s="680" t="s">
        <v>6153</v>
      </c>
    </row>
    <row r="44053" spans="8:8">
      <c r="H44053" s="680" t="s">
        <v>6153</v>
      </c>
    </row>
    <row r="44054" spans="8:8">
      <c r="H44054" s="680" t="s">
        <v>6153</v>
      </c>
    </row>
    <row r="44055" spans="8:8">
      <c r="H44055" s="680" t="s">
        <v>6153</v>
      </c>
    </row>
    <row r="44056" spans="8:8">
      <c r="H44056" s="680" t="s">
        <v>6153</v>
      </c>
    </row>
    <row r="44057" spans="8:8">
      <c r="H44057" s="680" t="s">
        <v>6153</v>
      </c>
    </row>
    <row r="44058" spans="8:8">
      <c r="H44058" s="680" t="s">
        <v>6153</v>
      </c>
    </row>
    <row r="44059" spans="8:8">
      <c r="H44059" s="680" t="s">
        <v>6153</v>
      </c>
    </row>
    <row r="44060" spans="8:8">
      <c r="H44060" s="680" t="s">
        <v>6153</v>
      </c>
    </row>
    <row r="44061" spans="8:8">
      <c r="H44061" s="680" t="s">
        <v>6153</v>
      </c>
    </row>
    <row r="44062" spans="8:8">
      <c r="H44062" s="680" t="s">
        <v>6153</v>
      </c>
    </row>
    <row r="44063" spans="8:8">
      <c r="H44063" s="680" t="s">
        <v>6153</v>
      </c>
    </row>
    <row r="44064" spans="8:8">
      <c r="H44064" s="680" t="s">
        <v>6153</v>
      </c>
    </row>
    <row r="44065" spans="8:8">
      <c r="H44065" s="680" t="s">
        <v>6153</v>
      </c>
    </row>
    <row r="44066" spans="8:8">
      <c r="H44066" s="680" t="s">
        <v>6153</v>
      </c>
    </row>
    <row r="44067" spans="8:8">
      <c r="H44067" s="680" t="s">
        <v>6153</v>
      </c>
    </row>
    <row r="44068" spans="8:8">
      <c r="H44068" s="680" t="s">
        <v>6153</v>
      </c>
    </row>
    <row r="44069" spans="8:8">
      <c r="H44069" s="680" t="s">
        <v>6153</v>
      </c>
    </row>
    <row r="44070" spans="8:8">
      <c r="H44070" s="680" t="s">
        <v>6153</v>
      </c>
    </row>
    <row r="44071" spans="8:8">
      <c r="H44071" s="680" t="s">
        <v>6153</v>
      </c>
    </row>
    <row r="44072" spans="8:8">
      <c r="H44072" s="680" t="s">
        <v>6153</v>
      </c>
    </row>
    <row r="44073" spans="8:8">
      <c r="H44073" s="680" t="s">
        <v>6153</v>
      </c>
    </row>
    <row r="44074" spans="8:8">
      <c r="H44074" s="680" t="s">
        <v>6153</v>
      </c>
    </row>
    <row r="44075" spans="8:8">
      <c r="H44075" s="680" t="s">
        <v>6153</v>
      </c>
    </row>
    <row r="44076" spans="8:8">
      <c r="H44076" s="680" t="s">
        <v>6153</v>
      </c>
    </row>
    <row r="44077" spans="8:8">
      <c r="H44077" s="680" t="s">
        <v>6153</v>
      </c>
    </row>
    <row r="44078" spans="8:8">
      <c r="H44078" s="680" t="s">
        <v>6153</v>
      </c>
    </row>
    <row r="44079" spans="8:8">
      <c r="H44079" s="680" t="s">
        <v>6153</v>
      </c>
    </row>
    <row r="44080" spans="8:8">
      <c r="H44080" s="680" t="s">
        <v>6153</v>
      </c>
    </row>
    <row r="44081" spans="8:8">
      <c r="H44081" s="680" t="s">
        <v>6153</v>
      </c>
    </row>
    <row r="44082" spans="8:8">
      <c r="H44082" s="680" t="s">
        <v>6153</v>
      </c>
    </row>
    <row r="44083" spans="8:8">
      <c r="H44083" s="680" t="s">
        <v>6153</v>
      </c>
    </row>
    <row r="44084" spans="8:8">
      <c r="H44084" s="680" t="s">
        <v>6153</v>
      </c>
    </row>
    <row r="44085" spans="8:8">
      <c r="H44085" s="680" t="s">
        <v>6153</v>
      </c>
    </row>
    <row r="44086" spans="8:8">
      <c r="H44086" s="680" t="s">
        <v>6153</v>
      </c>
    </row>
    <row r="44087" spans="8:8">
      <c r="H44087" s="680" t="s">
        <v>6153</v>
      </c>
    </row>
    <row r="44088" spans="8:8">
      <c r="H44088" s="680" t="s">
        <v>6153</v>
      </c>
    </row>
    <row r="44089" spans="8:8">
      <c r="H44089" s="680" t="s">
        <v>6153</v>
      </c>
    </row>
    <row r="44090" spans="8:8">
      <c r="H44090" s="680" t="s">
        <v>6153</v>
      </c>
    </row>
    <row r="44091" spans="8:8">
      <c r="H44091" s="680" t="s">
        <v>6153</v>
      </c>
    </row>
    <row r="44092" spans="8:8">
      <c r="H44092" s="680" t="s">
        <v>6153</v>
      </c>
    </row>
    <row r="44093" spans="8:8">
      <c r="H44093" s="680" t="s">
        <v>6153</v>
      </c>
    </row>
    <row r="44094" spans="8:8">
      <c r="H44094" s="680" t="s">
        <v>6153</v>
      </c>
    </row>
    <row r="44095" spans="8:8">
      <c r="H44095" s="680" t="s">
        <v>6153</v>
      </c>
    </row>
    <row r="44096" spans="8:8">
      <c r="H44096" s="680" t="s">
        <v>6153</v>
      </c>
    </row>
    <row r="44097" spans="8:8">
      <c r="H44097" s="680" t="s">
        <v>6153</v>
      </c>
    </row>
    <row r="44098" spans="8:8">
      <c r="H44098" s="680" t="s">
        <v>6153</v>
      </c>
    </row>
    <row r="44099" spans="8:8">
      <c r="H44099" s="680" t="s">
        <v>6153</v>
      </c>
    </row>
    <row r="44100" spans="8:8">
      <c r="H44100" s="680" t="s">
        <v>6153</v>
      </c>
    </row>
    <row r="44101" spans="8:8">
      <c r="H44101" s="680" t="s">
        <v>6153</v>
      </c>
    </row>
    <row r="44102" spans="8:8">
      <c r="H44102" s="680" t="s">
        <v>6153</v>
      </c>
    </row>
    <row r="44103" spans="8:8">
      <c r="H44103" s="680" t="s">
        <v>6153</v>
      </c>
    </row>
    <row r="44104" spans="8:8">
      <c r="H44104" s="680" t="s">
        <v>6153</v>
      </c>
    </row>
    <row r="44105" spans="8:8">
      <c r="H44105" s="680" t="s">
        <v>6153</v>
      </c>
    </row>
    <row r="44106" spans="8:8">
      <c r="H44106" s="680" t="s">
        <v>6153</v>
      </c>
    </row>
    <row r="44107" spans="8:8">
      <c r="H44107" s="680" t="s">
        <v>6153</v>
      </c>
    </row>
    <row r="44108" spans="8:8">
      <c r="H44108" s="680" t="s">
        <v>6153</v>
      </c>
    </row>
    <row r="44109" spans="8:8">
      <c r="H44109" s="680" t="s">
        <v>6153</v>
      </c>
    </row>
    <row r="44110" spans="8:8">
      <c r="H44110" s="680" t="s">
        <v>6153</v>
      </c>
    </row>
    <row r="44111" spans="8:8">
      <c r="H44111" s="680" t="s">
        <v>6153</v>
      </c>
    </row>
    <row r="44112" spans="8:8">
      <c r="H44112" s="680" t="s">
        <v>6153</v>
      </c>
    </row>
    <row r="44113" spans="8:8">
      <c r="H44113" s="680" t="s">
        <v>6153</v>
      </c>
    </row>
    <row r="44114" spans="8:8">
      <c r="H44114" s="680" t="s">
        <v>6153</v>
      </c>
    </row>
    <row r="44115" spans="8:8">
      <c r="H44115" s="680" t="s">
        <v>6153</v>
      </c>
    </row>
    <row r="44116" spans="8:8">
      <c r="H44116" s="680" t="s">
        <v>6153</v>
      </c>
    </row>
    <row r="44117" spans="8:8">
      <c r="H44117" s="680" t="s">
        <v>6153</v>
      </c>
    </row>
    <row r="44118" spans="8:8">
      <c r="H44118" s="680" t="s">
        <v>6153</v>
      </c>
    </row>
    <row r="44119" spans="8:8">
      <c r="H44119" s="680" t="s">
        <v>6153</v>
      </c>
    </row>
    <row r="44120" spans="8:8">
      <c r="H44120" s="680" t="s">
        <v>6153</v>
      </c>
    </row>
    <row r="44121" spans="8:8">
      <c r="H44121" s="680" t="s">
        <v>6153</v>
      </c>
    </row>
    <row r="44122" spans="8:8">
      <c r="H44122" s="680" t="s">
        <v>6153</v>
      </c>
    </row>
    <row r="44123" spans="8:8">
      <c r="H44123" s="680" t="s">
        <v>6153</v>
      </c>
    </row>
    <row r="44124" spans="8:8">
      <c r="H44124" s="680" t="s">
        <v>6153</v>
      </c>
    </row>
    <row r="44125" spans="8:8">
      <c r="H44125" s="680" t="s">
        <v>6153</v>
      </c>
    </row>
    <row r="44126" spans="8:8">
      <c r="H44126" s="680" t="s">
        <v>6153</v>
      </c>
    </row>
    <row r="44127" spans="8:8">
      <c r="H44127" s="680" t="s">
        <v>6153</v>
      </c>
    </row>
    <row r="44128" spans="8:8">
      <c r="H44128" s="680" t="s">
        <v>6153</v>
      </c>
    </row>
    <row r="44129" spans="8:8">
      <c r="H44129" s="680" t="s">
        <v>6153</v>
      </c>
    </row>
    <row r="44130" spans="8:8">
      <c r="H44130" s="680" t="s">
        <v>6153</v>
      </c>
    </row>
    <row r="44131" spans="8:8">
      <c r="H44131" s="680" t="s">
        <v>6153</v>
      </c>
    </row>
    <row r="44132" spans="8:8">
      <c r="H44132" s="680" t="s">
        <v>6153</v>
      </c>
    </row>
    <row r="44133" spans="8:8">
      <c r="H44133" s="680" t="s">
        <v>6153</v>
      </c>
    </row>
    <row r="44134" spans="8:8">
      <c r="H44134" s="680" t="s">
        <v>6153</v>
      </c>
    </row>
    <row r="44135" spans="8:8">
      <c r="H44135" s="680" t="s">
        <v>6153</v>
      </c>
    </row>
    <row r="44136" spans="8:8">
      <c r="H44136" s="680" t="s">
        <v>6153</v>
      </c>
    </row>
    <row r="44137" spans="8:8">
      <c r="H44137" s="680" t="s">
        <v>6153</v>
      </c>
    </row>
    <row r="44138" spans="8:8">
      <c r="H44138" s="680" t="s">
        <v>6153</v>
      </c>
    </row>
    <row r="44139" spans="8:8">
      <c r="H44139" s="680" t="s">
        <v>6153</v>
      </c>
    </row>
    <row r="44140" spans="8:8">
      <c r="H44140" s="680" t="s">
        <v>6153</v>
      </c>
    </row>
    <row r="44141" spans="8:8">
      <c r="H44141" s="680" t="s">
        <v>6153</v>
      </c>
    </row>
    <row r="44142" spans="8:8">
      <c r="H44142" s="680" t="s">
        <v>6153</v>
      </c>
    </row>
    <row r="44143" spans="8:8">
      <c r="H44143" s="680" t="s">
        <v>6153</v>
      </c>
    </row>
    <row r="44144" spans="8:8">
      <c r="H44144" s="680" t="s">
        <v>6153</v>
      </c>
    </row>
    <row r="44145" spans="8:8">
      <c r="H44145" s="680" t="s">
        <v>6153</v>
      </c>
    </row>
    <row r="44146" spans="8:8">
      <c r="H44146" s="680" t="s">
        <v>6153</v>
      </c>
    </row>
    <row r="44147" spans="8:8">
      <c r="H44147" s="680" t="s">
        <v>6153</v>
      </c>
    </row>
    <row r="44148" spans="8:8">
      <c r="H44148" s="680" t="s">
        <v>6153</v>
      </c>
    </row>
    <row r="44149" spans="8:8">
      <c r="H44149" s="680" t="s">
        <v>6153</v>
      </c>
    </row>
    <row r="44150" spans="8:8">
      <c r="H44150" s="680" t="s">
        <v>6153</v>
      </c>
    </row>
    <row r="44151" spans="8:8">
      <c r="H44151" s="680" t="s">
        <v>6153</v>
      </c>
    </row>
    <row r="44152" spans="8:8">
      <c r="H44152" s="680" t="s">
        <v>6153</v>
      </c>
    </row>
    <row r="44153" spans="8:8">
      <c r="H44153" s="680" t="s">
        <v>6153</v>
      </c>
    </row>
    <row r="44154" spans="8:8">
      <c r="H44154" s="680" t="s">
        <v>6153</v>
      </c>
    </row>
    <row r="44155" spans="8:8">
      <c r="H44155" s="680" t="s">
        <v>6153</v>
      </c>
    </row>
    <row r="44156" spans="8:8">
      <c r="H44156" s="680" t="s">
        <v>6153</v>
      </c>
    </row>
    <row r="44157" spans="8:8">
      <c r="H44157" s="680" t="s">
        <v>6153</v>
      </c>
    </row>
    <row r="44158" spans="8:8">
      <c r="H44158" s="680" t="s">
        <v>6153</v>
      </c>
    </row>
    <row r="44159" spans="8:8">
      <c r="H44159" s="680" t="s">
        <v>6153</v>
      </c>
    </row>
    <row r="44160" spans="8:8">
      <c r="H44160" s="680" t="s">
        <v>6153</v>
      </c>
    </row>
    <row r="44161" spans="8:8">
      <c r="H44161" s="680" t="s">
        <v>6153</v>
      </c>
    </row>
    <row r="44162" spans="8:8">
      <c r="H44162" s="680" t="s">
        <v>6153</v>
      </c>
    </row>
    <row r="44163" spans="8:8">
      <c r="H44163" s="680" t="s">
        <v>6153</v>
      </c>
    </row>
    <row r="44164" spans="8:8">
      <c r="H44164" s="680" t="s">
        <v>6153</v>
      </c>
    </row>
    <row r="44165" spans="8:8">
      <c r="H44165" s="680" t="s">
        <v>6153</v>
      </c>
    </row>
    <row r="44166" spans="8:8">
      <c r="H44166" s="680" t="s">
        <v>6153</v>
      </c>
    </row>
    <row r="44167" spans="8:8">
      <c r="H44167" s="680" t="s">
        <v>6153</v>
      </c>
    </row>
    <row r="44168" spans="8:8">
      <c r="H44168" s="680" t="s">
        <v>6153</v>
      </c>
    </row>
    <row r="44169" spans="8:8">
      <c r="H44169" s="680" t="s">
        <v>6153</v>
      </c>
    </row>
    <row r="44170" spans="8:8">
      <c r="H44170" s="680" t="s">
        <v>6153</v>
      </c>
    </row>
    <row r="44171" spans="8:8">
      <c r="H44171" s="680" t="s">
        <v>6153</v>
      </c>
    </row>
    <row r="44172" spans="8:8">
      <c r="H44172" s="680" t="s">
        <v>6153</v>
      </c>
    </row>
    <row r="44173" spans="8:8">
      <c r="H44173" s="680" t="s">
        <v>6153</v>
      </c>
    </row>
    <row r="44174" spans="8:8">
      <c r="H44174" s="680" t="s">
        <v>6153</v>
      </c>
    </row>
    <row r="44175" spans="8:8">
      <c r="H44175" s="680" t="s">
        <v>6153</v>
      </c>
    </row>
    <row r="44176" spans="8:8">
      <c r="H44176" s="680" t="s">
        <v>6153</v>
      </c>
    </row>
    <row r="44177" spans="8:8">
      <c r="H44177" s="680" t="s">
        <v>6153</v>
      </c>
    </row>
    <row r="44178" spans="8:8">
      <c r="H44178" s="680" t="s">
        <v>6153</v>
      </c>
    </row>
    <row r="44179" spans="8:8">
      <c r="H44179" s="680" t="s">
        <v>6153</v>
      </c>
    </row>
    <row r="44180" spans="8:8">
      <c r="H44180" s="680" t="s">
        <v>6153</v>
      </c>
    </row>
    <row r="44181" spans="8:8">
      <c r="H44181" s="680" t="s">
        <v>6153</v>
      </c>
    </row>
    <row r="44182" spans="8:8">
      <c r="H44182" s="680" t="s">
        <v>6153</v>
      </c>
    </row>
    <row r="44183" spans="8:8">
      <c r="H44183" s="680" t="s">
        <v>6153</v>
      </c>
    </row>
    <row r="44184" spans="8:8">
      <c r="H44184" s="680" t="s">
        <v>6153</v>
      </c>
    </row>
    <row r="44185" spans="8:8">
      <c r="H44185" s="680" t="s">
        <v>6153</v>
      </c>
    </row>
    <row r="44186" spans="8:8">
      <c r="H44186" s="680" t="s">
        <v>6153</v>
      </c>
    </row>
    <row r="44187" spans="8:8">
      <c r="H44187" s="680" t="s">
        <v>6153</v>
      </c>
    </row>
    <row r="44188" spans="8:8">
      <c r="H44188" s="680" t="s">
        <v>6153</v>
      </c>
    </row>
    <row r="44189" spans="8:8">
      <c r="H44189" s="680" t="s">
        <v>6153</v>
      </c>
    </row>
    <row r="44190" spans="8:8">
      <c r="H44190" s="680" t="s">
        <v>6153</v>
      </c>
    </row>
    <row r="44191" spans="8:8">
      <c r="H44191" s="680" t="s">
        <v>6153</v>
      </c>
    </row>
    <row r="44192" spans="8:8">
      <c r="H44192" s="680" t="s">
        <v>6153</v>
      </c>
    </row>
    <row r="44193" spans="8:8">
      <c r="H44193" s="680" t="s">
        <v>6153</v>
      </c>
    </row>
    <row r="44194" spans="8:8">
      <c r="H44194" s="680" t="s">
        <v>6153</v>
      </c>
    </row>
    <row r="44195" spans="8:8">
      <c r="H44195" s="680" t="s">
        <v>6153</v>
      </c>
    </row>
    <row r="44196" spans="8:8">
      <c r="H44196" s="680" t="s">
        <v>6153</v>
      </c>
    </row>
    <row r="44197" spans="8:8">
      <c r="H44197" s="680" t="s">
        <v>6153</v>
      </c>
    </row>
    <row r="44198" spans="8:8">
      <c r="H44198" s="680" t="s">
        <v>6153</v>
      </c>
    </row>
    <row r="44199" spans="8:8">
      <c r="H44199" s="680" t="s">
        <v>6153</v>
      </c>
    </row>
    <row r="44200" spans="8:8">
      <c r="H44200" s="680" t="s">
        <v>6153</v>
      </c>
    </row>
    <row r="44201" spans="8:8">
      <c r="H44201" s="680" t="s">
        <v>6153</v>
      </c>
    </row>
    <row r="44202" spans="8:8">
      <c r="H44202" s="680" t="s">
        <v>6153</v>
      </c>
    </row>
    <row r="44203" spans="8:8">
      <c r="H44203" s="680" t="s">
        <v>6153</v>
      </c>
    </row>
    <row r="44204" spans="8:8">
      <c r="H44204" s="680" t="s">
        <v>6153</v>
      </c>
    </row>
    <row r="44205" spans="8:8">
      <c r="H44205" s="680" t="s">
        <v>6153</v>
      </c>
    </row>
    <row r="44206" spans="8:8">
      <c r="H44206" s="680" t="s">
        <v>6153</v>
      </c>
    </row>
    <row r="44207" spans="8:8">
      <c r="H44207" s="680" t="s">
        <v>6153</v>
      </c>
    </row>
    <row r="44208" spans="8:8">
      <c r="H44208" s="680" t="s">
        <v>6153</v>
      </c>
    </row>
    <row r="44209" spans="8:8">
      <c r="H44209" s="680" t="s">
        <v>6153</v>
      </c>
    </row>
    <row r="44210" spans="8:8">
      <c r="H44210" s="680" t="s">
        <v>6153</v>
      </c>
    </row>
    <row r="44211" spans="8:8">
      <c r="H44211" s="680" t="s">
        <v>6153</v>
      </c>
    </row>
    <row r="44212" spans="8:8">
      <c r="H44212" s="680" t="s">
        <v>6153</v>
      </c>
    </row>
    <row r="44213" spans="8:8">
      <c r="H44213" s="680" t="s">
        <v>6153</v>
      </c>
    </row>
    <row r="44214" spans="8:8">
      <c r="H44214" s="680" t="s">
        <v>6153</v>
      </c>
    </row>
    <row r="44215" spans="8:8">
      <c r="H44215" s="680" t="s">
        <v>6153</v>
      </c>
    </row>
    <row r="44216" spans="8:8">
      <c r="H44216" s="680" t="s">
        <v>6153</v>
      </c>
    </row>
    <row r="44217" spans="8:8">
      <c r="H44217" s="680" t="s">
        <v>6153</v>
      </c>
    </row>
    <row r="44218" spans="8:8">
      <c r="H44218" s="680" t="s">
        <v>6153</v>
      </c>
    </row>
    <row r="44219" spans="8:8">
      <c r="H44219" s="680" t="s">
        <v>6153</v>
      </c>
    </row>
    <row r="44220" spans="8:8">
      <c r="H44220" s="680" t="s">
        <v>6153</v>
      </c>
    </row>
    <row r="44221" spans="8:8">
      <c r="H44221" s="680" t="s">
        <v>6153</v>
      </c>
    </row>
    <row r="44222" spans="8:8">
      <c r="H44222" s="680" t="s">
        <v>6153</v>
      </c>
    </row>
    <row r="44223" spans="8:8">
      <c r="H44223" s="680" t="s">
        <v>6153</v>
      </c>
    </row>
    <row r="44224" spans="8:8">
      <c r="H44224" s="680" t="s">
        <v>6153</v>
      </c>
    </row>
    <row r="44225" spans="8:8">
      <c r="H44225" s="680" t="s">
        <v>6153</v>
      </c>
    </row>
    <row r="44226" spans="8:8">
      <c r="H44226" s="680" t="s">
        <v>6153</v>
      </c>
    </row>
    <row r="44227" spans="8:8">
      <c r="H44227" s="680" t="s">
        <v>6153</v>
      </c>
    </row>
    <row r="44228" spans="8:8">
      <c r="H44228" s="680" t="s">
        <v>6153</v>
      </c>
    </row>
    <row r="44229" spans="8:8">
      <c r="H44229" s="680" t="s">
        <v>6153</v>
      </c>
    </row>
    <row r="44230" spans="8:8">
      <c r="H44230" s="680" t="s">
        <v>6153</v>
      </c>
    </row>
    <row r="44231" spans="8:8">
      <c r="H44231" s="680" t="s">
        <v>6153</v>
      </c>
    </row>
    <row r="44232" spans="8:8">
      <c r="H44232" s="680" t="s">
        <v>6153</v>
      </c>
    </row>
    <row r="44233" spans="8:8">
      <c r="H44233" s="680" t="s">
        <v>6153</v>
      </c>
    </row>
    <row r="44234" spans="8:8">
      <c r="H44234" s="680" t="s">
        <v>6153</v>
      </c>
    </row>
    <row r="44235" spans="8:8">
      <c r="H44235" s="680" t="s">
        <v>6153</v>
      </c>
    </row>
    <row r="44236" spans="8:8">
      <c r="H44236" s="680" t="s">
        <v>6153</v>
      </c>
    </row>
    <row r="44237" spans="8:8">
      <c r="H44237" s="680" t="s">
        <v>6153</v>
      </c>
    </row>
    <row r="44238" spans="8:8">
      <c r="H44238" s="680" t="s">
        <v>6153</v>
      </c>
    </row>
    <row r="44239" spans="8:8">
      <c r="H44239" s="680" t="s">
        <v>6153</v>
      </c>
    </row>
    <row r="44240" spans="8:8">
      <c r="H44240" s="680" t="s">
        <v>6153</v>
      </c>
    </row>
    <row r="44241" spans="8:8">
      <c r="H44241" s="680" t="s">
        <v>6153</v>
      </c>
    </row>
    <row r="44242" spans="8:8">
      <c r="H44242" s="680" t="s">
        <v>6153</v>
      </c>
    </row>
    <row r="44243" spans="8:8">
      <c r="H44243" s="680" t="s">
        <v>6153</v>
      </c>
    </row>
    <row r="44244" spans="8:8">
      <c r="H44244" s="680" t="s">
        <v>6153</v>
      </c>
    </row>
    <row r="44245" spans="8:8">
      <c r="H44245" s="680" t="s">
        <v>6153</v>
      </c>
    </row>
    <row r="44246" spans="8:8">
      <c r="H44246" s="680" t="s">
        <v>6153</v>
      </c>
    </row>
    <row r="44247" spans="8:8">
      <c r="H44247" s="680" t="s">
        <v>6153</v>
      </c>
    </row>
    <row r="44248" spans="8:8">
      <c r="H44248" s="680" t="s">
        <v>6153</v>
      </c>
    </row>
    <row r="44249" spans="8:8">
      <c r="H44249" s="680" t="s">
        <v>6153</v>
      </c>
    </row>
    <row r="44250" spans="8:8">
      <c r="H44250" s="680" t="s">
        <v>6153</v>
      </c>
    </row>
    <row r="44251" spans="8:8">
      <c r="H44251" s="680" t="s">
        <v>6153</v>
      </c>
    </row>
    <row r="44252" spans="8:8">
      <c r="H44252" s="680" t="s">
        <v>6153</v>
      </c>
    </row>
    <row r="44253" spans="8:8">
      <c r="H44253" s="680" t="s">
        <v>6153</v>
      </c>
    </row>
    <row r="44254" spans="8:8">
      <c r="H44254" s="680" t="s">
        <v>6153</v>
      </c>
    </row>
    <row r="44255" spans="8:8">
      <c r="H44255" s="680" t="s">
        <v>6153</v>
      </c>
    </row>
    <row r="44256" spans="8:8">
      <c r="H44256" s="680" t="s">
        <v>6153</v>
      </c>
    </row>
    <row r="44257" spans="8:8">
      <c r="H44257" s="680" t="s">
        <v>6153</v>
      </c>
    </row>
    <row r="44258" spans="8:8">
      <c r="H44258" s="680" t="s">
        <v>6153</v>
      </c>
    </row>
    <row r="44259" spans="8:8">
      <c r="H44259" s="680" t="s">
        <v>6153</v>
      </c>
    </row>
    <row r="44260" spans="8:8">
      <c r="H44260" s="680" t="s">
        <v>6153</v>
      </c>
    </row>
    <row r="44261" spans="8:8">
      <c r="H44261" s="680" t="s">
        <v>6153</v>
      </c>
    </row>
    <row r="44262" spans="8:8">
      <c r="H44262" s="680" t="s">
        <v>6153</v>
      </c>
    </row>
    <row r="44263" spans="8:8">
      <c r="H44263" s="680" t="s">
        <v>6153</v>
      </c>
    </row>
    <row r="44264" spans="8:8">
      <c r="H44264" s="680" t="s">
        <v>6153</v>
      </c>
    </row>
    <row r="44265" spans="8:8">
      <c r="H44265" s="680" t="s">
        <v>6153</v>
      </c>
    </row>
    <row r="44266" spans="8:8">
      <c r="H44266" s="680" t="s">
        <v>6153</v>
      </c>
    </row>
    <row r="44267" spans="8:8">
      <c r="H44267" s="680" t="s">
        <v>6153</v>
      </c>
    </row>
    <row r="44268" spans="8:8">
      <c r="H44268" s="680" t="s">
        <v>6153</v>
      </c>
    </row>
    <row r="44269" spans="8:8">
      <c r="H44269" s="680" t="s">
        <v>6153</v>
      </c>
    </row>
    <row r="44270" spans="8:8">
      <c r="H44270" s="680" t="s">
        <v>6153</v>
      </c>
    </row>
    <row r="44271" spans="8:8">
      <c r="H44271" s="680" t="s">
        <v>6153</v>
      </c>
    </row>
    <row r="44272" spans="8:8">
      <c r="H44272" s="680" t="s">
        <v>6153</v>
      </c>
    </row>
    <row r="44273" spans="8:8">
      <c r="H44273" s="680" t="s">
        <v>6153</v>
      </c>
    </row>
    <row r="44274" spans="8:8">
      <c r="H44274" s="680" t="s">
        <v>6153</v>
      </c>
    </row>
    <row r="44275" spans="8:8">
      <c r="H44275" s="680" t="s">
        <v>6153</v>
      </c>
    </row>
    <row r="44276" spans="8:8">
      <c r="H44276" s="680" t="s">
        <v>6153</v>
      </c>
    </row>
    <row r="44277" spans="8:8">
      <c r="H44277" s="680" t="s">
        <v>6153</v>
      </c>
    </row>
    <row r="44278" spans="8:8">
      <c r="H44278" s="680" t="s">
        <v>6153</v>
      </c>
    </row>
    <row r="44279" spans="8:8">
      <c r="H44279" s="680" t="s">
        <v>6153</v>
      </c>
    </row>
    <row r="44280" spans="8:8">
      <c r="H44280" s="680" t="s">
        <v>6153</v>
      </c>
    </row>
    <row r="44281" spans="8:8">
      <c r="H44281" s="680" t="s">
        <v>6153</v>
      </c>
    </row>
    <row r="44282" spans="8:8">
      <c r="H44282" s="680" t="s">
        <v>6153</v>
      </c>
    </row>
    <row r="44283" spans="8:8">
      <c r="H44283" s="680" t="s">
        <v>6153</v>
      </c>
    </row>
    <row r="44284" spans="8:8">
      <c r="H44284" s="680" t="s">
        <v>6153</v>
      </c>
    </row>
    <row r="44285" spans="8:8">
      <c r="H44285" s="680" t="s">
        <v>6153</v>
      </c>
    </row>
    <row r="44286" spans="8:8">
      <c r="H44286" s="680" t="s">
        <v>6153</v>
      </c>
    </row>
    <row r="44287" spans="8:8">
      <c r="H44287" s="680" t="s">
        <v>6153</v>
      </c>
    </row>
    <row r="44288" spans="8:8">
      <c r="H44288" s="680" t="s">
        <v>6153</v>
      </c>
    </row>
    <row r="44289" spans="8:8">
      <c r="H44289" s="680" t="s">
        <v>6153</v>
      </c>
    </row>
    <row r="44290" spans="8:8">
      <c r="H44290" s="680" t="s">
        <v>6153</v>
      </c>
    </row>
    <row r="44291" spans="8:8">
      <c r="H44291" s="680" t="s">
        <v>6153</v>
      </c>
    </row>
    <row r="44292" spans="8:8">
      <c r="H44292" s="680" t="s">
        <v>6153</v>
      </c>
    </row>
    <row r="44293" spans="8:8">
      <c r="H44293" s="680" t="s">
        <v>6153</v>
      </c>
    </row>
    <row r="44294" spans="8:8">
      <c r="H44294" s="680" t="s">
        <v>6153</v>
      </c>
    </row>
    <row r="44295" spans="8:8">
      <c r="H44295" s="680" t="s">
        <v>6153</v>
      </c>
    </row>
    <row r="44296" spans="8:8">
      <c r="H44296" s="680" t="s">
        <v>6153</v>
      </c>
    </row>
    <row r="44297" spans="8:8">
      <c r="H44297" s="680" t="s">
        <v>6153</v>
      </c>
    </row>
    <row r="44298" spans="8:8">
      <c r="H44298" s="680" t="s">
        <v>6153</v>
      </c>
    </row>
    <row r="44299" spans="8:8">
      <c r="H44299" s="680" t="s">
        <v>6153</v>
      </c>
    </row>
    <row r="44300" spans="8:8">
      <c r="H44300" s="680" t="s">
        <v>6153</v>
      </c>
    </row>
    <row r="44301" spans="8:8">
      <c r="H44301" s="680" t="s">
        <v>6153</v>
      </c>
    </row>
    <row r="44302" spans="8:8">
      <c r="H44302" s="680" t="s">
        <v>6153</v>
      </c>
    </row>
    <row r="44303" spans="8:8">
      <c r="H44303" s="680" t="s">
        <v>6153</v>
      </c>
    </row>
    <row r="44304" spans="8:8">
      <c r="H44304" s="680" t="s">
        <v>6153</v>
      </c>
    </row>
    <row r="44305" spans="8:8">
      <c r="H44305" s="680" t="s">
        <v>6153</v>
      </c>
    </row>
    <row r="44306" spans="8:8">
      <c r="H44306" s="680" t="s">
        <v>6153</v>
      </c>
    </row>
    <row r="44307" spans="8:8">
      <c r="H44307" s="680" t="s">
        <v>6153</v>
      </c>
    </row>
    <row r="44308" spans="8:8">
      <c r="H44308" s="680" t="s">
        <v>6153</v>
      </c>
    </row>
    <row r="44309" spans="8:8">
      <c r="H44309" s="680" t="s">
        <v>6153</v>
      </c>
    </row>
    <row r="44310" spans="8:8">
      <c r="H44310" s="680" t="s">
        <v>6153</v>
      </c>
    </row>
    <row r="44311" spans="8:8">
      <c r="H44311" s="680" t="s">
        <v>6153</v>
      </c>
    </row>
    <row r="44312" spans="8:8">
      <c r="H44312" s="680" t="s">
        <v>6153</v>
      </c>
    </row>
    <row r="44313" spans="8:8">
      <c r="H44313" s="680" t="s">
        <v>6153</v>
      </c>
    </row>
    <row r="44314" spans="8:8">
      <c r="H44314" s="680" t="s">
        <v>6153</v>
      </c>
    </row>
    <row r="44315" spans="8:8">
      <c r="H44315" s="680" t="s">
        <v>6153</v>
      </c>
    </row>
    <row r="44316" spans="8:8">
      <c r="H44316" s="680" t="s">
        <v>6153</v>
      </c>
    </row>
    <row r="44317" spans="8:8">
      <c r="H44317" s="680" t="s">
        <v>6153</v>
      </c>
    </row>
    <row r="44318" spans="8:8">
      <c r="H44318" s="680" t="s">
        <v>6153</v>
      </c>
    </row>
    <row r="44319" spans="8:8">
      <c r="H44319" s="680" t="s">
        <v>6153</v>
      </c>
    </row>
    <row r="44320" spans="8:8">
      <c r="H44320" s="680" t="s">
        <v>6153</v>
      </c>
    </row>
    <row r="44321" spans="8:8">
      <c r="H44321" s="680" t="s">
        <v>6153</v>
      </c>
    </row>
    <row r="44322" spans="8:8">
      <c r="H44322" s="680" t="s">
        <v>6153</v>
      </c>
    </row>
    <row r="44323" spans="8:8">
      <c r="H44323" s="680" t="s">
        <v>6153</v>
      </c>
    </row>
    <row r="44324" spans="8:8">
      <c r="H44324" s="680" t="s">
        <v>6153</v>
      </c>
    </row>
    <row r="44325" spans="8:8">
      <c r="H44325" s="680" t="s">
        <v>6153</v>
      </c>
    </row>
    <row r="44326" spans="8:8">
      <c r="H44326" s="680" t="s">
        <v>6153</v>
      </c>
    </row>
    <row r="44327" spans="8:8">
      <c r="H44327" s="680" t="s">
        <v>6153</v>
      </c>
    </row>
    <row r="44328" spans="8:8">
      <c r="H44328" s="680" t="s">
        <v>6153</v>
      </c>
    </row>
    <row r="44329" spans="8:8">
      <c r="H44329" s="680" t="s">
        <v>6153</v>
      </c>
    </row>
    <row r="44330" spans="8:8">
      <c r="H44330" s="680" t="s">
        <v>6153</v>
      </c>
    </row>
    <row r="44331" spans="8:8">
      <c r="H44331" s="680" t="s">
        <v>6153</v>
      </c>
    </row>
    <row r="44332" spans="8:8">
      <c r="H44332" s="680" t="s">
        <v>6153</v>
      </c>
    </row>
    <row r="44333" spans="8:8">
      <c r="H44333" s="680" t="s">
        <v>6153</v>
      </c>
    </row>
    <row r="44334" spans="8:8">
      <c r="H44334" s="680" t="s">
        <v>6153</v>
      </c>
    </row>
    <row r="44335" spans="8:8">
      <c r="H44335" s="680" t="s">
        <v>6153</v>
      </c>
    </row>
    <row r="44336" spans="8:8">
      <c r="H44336" s="680" t="s">
        <v>6153</v>
      </c>
    </row>
    <row r="44337" spans="8:8">
      <c r="H44337" s="680" t="s">
        <v>6153</v>
      </c>
    </row>
    <row r="44338" spans="8:8">
      <c r="H44338" s="680" t="s">
        <v>6153</v>
      </c>
    </row>
    <row r="44339" spans="8:8">
      <c r="H44339" s="680" t="s">
        <v>6153</v>
      </c>
    </row>
    <row r="44340" spans="8:8">
      <c r="H44340" s="680" t="s">
        <v>6153</v>
      </c>
    </row>
    <row r="44341" spans="8:8">
      <c r="H44341" s="680" t="s">
        <v>6153</v>
      </c>
    </row>
    <row r="44342" spans="8:8">
      <c r="H44342" s="680" t="s">
        <v>6153</v>
      </c>
    </row>
    <row r="44343" spans="8:8">
      <c r="H44343" s="680" t="s">
        <v>6153</v>
      </c>
    </row>
    <row r="44344" spans="8:8">
      <c r="H44344" s="680" t="s">
        <v>6153</v>
      </c>
    </row>
    <row r="44345" spans="8:8">
      <c r="H44345" s="680" t="s">
        <v>6153</v>
      </c>
    </row>
    <row r="44346" spans="8:8">
      <c r="H44346" s="680" t="s">
        <v>6153</v>
      </c>
    </row>
    <row r="44347" spans="8:8">
      <c r="H44347" s="680" t="s">
        <v>6153</v>
      </c>
    </row>
    <row r="44348" spans="8:8">
      <c r="H44348" s="680" t="s">
        <v>6153</v>
      </c>
    </row>
    <row r="44349" spans="8:8">
      <c r="H44349" s="680" t="s">
        <v>6153</v>
      </c>
    </row>
    <row r="44350" spans="8:8">
      <c r="H44350" s="680" t="s">
        <v>6153</v>
      </c>
    </row>
    <row r="44351" spans="8:8">
      <c r="H44351" s="680" t="s">
        <v>6153</v>
      </c>
    </row>
    <row r="44352" spans="8:8">
      <c r="H44352" s="680" t="s">
        <v>6153</v>
      </c>
    </row>
    <row r="44353" spans="8:8">
      <c r="H44353" s="680" t="s">
        <v>6153</v>
      </c>
    </row>
    <row r="44354" spans="8:8">
      <c r="H44354" s="680" t="s">
        <v>6153</v>
      </c>
    </row>
    <row r="44355" spans="8:8">
      <c r="H44355" s="680" t="s">
        <v>6153</v>
      </c>
    </row>
    <row r="44356" spans="8:8">
      <c r="H44356" s="680" t="s">
        <v>6153</v>
      </c>
    </row>
    <row r="44357" spans="8:8">
      <c r="H44357" s="680" t="s">
        <v>6153</v>
      </c>
    </row>
    <row r="44358" spans="8:8">
      <c r="H44358" s="680" t="s">
        <v>6153</v>
      </c>
    </row>
    <row r="44359" spans="8:8">
      <c r="H44359" s="680" t="s">
        <v>6153</v>
      </c>
    </row>
    <row r="44360" spans="8:8">
      <c r="H44360" s="680" t="s">
        <v>6153</v>
      </c>
    </row>
    <row r="44361" spans="8:8">
      <c r="H44361" s="680" t="s">
        <v>6153</v>
      </c>
    </row>
    <row r="44362" spans="8:8">
      <c r="H44362" s="680" t="s">
        <v>6153</v>
      </c>
    </row>
    <row r="44363" spans="8:8">
      <c r="H44363" s="680" t="s">
        <v>6153</v>
      </c>
    </row>
    <row r="44364" spans="8:8">
      <c r="H44364" s="680" t="s">
        <v>6153</v>
      </c>
    </row>
    <row r="44365" spans="8:8">
      <c r="H44365" s="680" t="s">
        <v>6153</v>
      </c>
    </row>
    <row r="44366" spans="8:8">
      <c r="H44366" s="680" t="s">
        <v>6153</v>
      </c>
    </row>
    <row r="44367" spans="8:8">
      <c r="H44367" s="680" t="s">
        <v>6153</v>
      </c>
    </row>
    <row r="44368" spans="8:8">
      <c r="H44368" s="680" t="s">
        <v>6153</v>
      </c>
    </row>
    <row r="44369" spans="8:8">
      <c r="H44369" s="680" t="s">
        <v>6153</v>
      </c>
    </row>
    <row r="44370" spans="8:8">
      <c r="H44370" s="680" t="s">
        <v>6153</v>
      </c>
    </row>
    <row r="44371" spans="8:8">
      <c r="H44371" s="680" t="s">
        <v>6153</v>
      </c>
    </row>
    <row r="44372" spans="8:8">
      <c r="H44372" s="680" t="s">
        <v>6153</v>
      </c>
    </row>
    <row r="44373" spans="8:8">
      <c r="H44373" s="680" t="s">
        <v>6153</v>
      </c>
    </row>
    <row r="44374" spans="8:8">
      <c r="H44374" s="680" t="s">
        <v>6153</v>
      </c>
    </row>
    <row r="44375" spans="8:8">
      <c r="H44375" s="680" t="s">
        <v>6153</v>
      </c>
    </row>
    <row r="44376" spans="8:8">
      <c r="H44376" s="680" t="s">
        <v>6153</v>
      </c>
    </row>
    <row r="44377" spans="8:8">
      <c r="H44377" s="680" t="s">
        <v>6153</v>
      </c>
    </row>
    <row r="44378" spans="8:8">
      <c r="H44378" s="680" t="s">
        <v>6153</v>
      </c>
    </row>
    <row r="44379" spans="8:8">
      <c r="H44379" s="680" t="s">
        <v>6153</v>
      </c>
    </row>
    <row r="44380" spans="8:8">
      <c r="H44380" s="680" t="s">
        <v>6153</v>
      </c>
    </row>
    <row r="44381" spans="8:8">
      <c r="H44381" s="680" t="s">
        <v>6153</v>
      </c>
    </row>
    <row r="44382" spans="8:8">
      <c r="H44382" s="680" t="s">
        <v>6153</v>
      </c>
    </row>
    <row r="44383" spans="8:8">
      <c r="H44383" s="680" t="s">
        <v>6153</v>
      </c>
    </row>
    <row r="44384" spans="8:8">
      <c r="H44384" s="680" t="s">
        <v>6153</v>
      </c>
    </row>
    <row r="44385" spans="8:8">
      <c r="H44385" s="680" t="s">
        <v>6153</v>
      </c>
    </row>
    <row r="44386" spans="8:8">
      <c r="H44386" s="680" t="s">
        <v>6153</v>
      </c>
    </row>
    <row r="44387" spans="8:8">
      <c r="H44387" s="680" t="s">
        <v>6153</v>
      </c>
    </row>
    <row r="44388" spans="8:8">
      <c r="H44388" s="680" t="s">
        <v>6153</v>
      </c>
    </row>
    <row r="44389" spans="8:8">
      <c r="H44389" s="680" t="s">
        <v>6153</v>
      </c>
    </row>
    <row r="44390" spans="8:8">
      <c r="H44390" s="680" t="s">
        <v>6153</v>
      </c>
    </row>
    <row r="44391" spans="8:8">
      <c r="H44391" s="680" t="s">
        <v>6153</v>
      </c>
    </row>
    <row r="44392" spans="8:8">
      <c r="H44392" s="680" t="s">
        <v>6153</v>
      </c>
    </row>
    <row r="44393" spans="8:8">
      <c r="H44393" s="680" t="s">
        <v>6153</v>
      </c>
    </row>
    <row r="44394" spans="8:8">
      <c r="H44394" s="680" t="s">
        <v>6153</v>
      </c>
    </row>
    <row r="44395" spans="8:8">
      <c r="H44395" s="680" t="s">
        <v>6153</v>
      </c>
    </row>
    <row r="44396" spans="8:8">
      <c r="H44396" s="680" t="s">
        <v>6153</v>
      </c>
    </row>
    <row r="44397" spans="8:8">
      <c r="H44397" s="680" t="s">
        <v>6153</v>
      </c>
    </row>
    <row r="44398" spans="8:8">
      <c r="H44398" s="680" t="s">
        <v>6153</v>
      </c>
    </row>
    <row r="44399" spans="8:8">
      <c r="H44399" s="680" t="s">
        <v>6153</v>
      </c>
    </row>
    <row r="44400" spans="8:8">
      <c r="H44400" s="680" t="s">
        <v>6153</v>
      </c>
    </row>
    <row r="44401" spans="8:8">
      <c r="H44401" s="680" t="s">
        <v>6153</v>
      </c>
    </row>
    <row r="44402" spans="8:8">
      <c r="H44402" s="680" t="s">
        <v>6153</v>
      </c>
    </row>
    <row r="44403" spans="8:8">
      <c r="H44403" s="680" t="s">
        <v>6153</v>
      </c>
    </row>
    <row r="44404" spans="8:8">
      <c r="H44404" s="680" t="s">
        <v>6153</v>
      </c>
    </row>
    <row r="44405" spans="8:8">
      <c r="H44405" s="680" t="s">
        <v>6153</v>
      </c>
    </row>
    <row r="44406" spans="8:8">
      <c r="H44406" s="680" t="s">
        <v>6153</v>
      </c>
    </row>
    <row r="44407" spans="8:8">
      <c r="H44407" s="680" t="s">
        <v>6153</v>
      </c>
    </row>
    <row r="44408" spans="8:8">
      <c r="H44408" s="680" t="s">
        <v>6153</v>
      </c>
    </row>
    <row r="44409" spans="8:8">
      <c r="H44409" s="680" t="s">
        <v>6153</v>
      </c>
    </row>
    <row r="44410" spans="8:8">
      <c r="H44410" s="680" t="s">
        <v>6153</v>
      </c>
    </row>
    <row r="44411" spans="8:8">
      <c r="H44411" s="680" t="s">
        <v>6153</v>
      </c>
    </row>
    <row r="44412" spans="8:8">
      <c r="H44412" s="680" t="s">
        <v>6153</v>
      </c>
    </row>
    <row r="44413" spans="8:8">
      <c r="H44413" s="680" t="s">
        <v>6153</v>
      </c>
    </row>
    <row r="44414" spans="8:8">
      <c r="H44414" s="680" t="s">
        <v>6153</v>
      </c>
    </row>
    <row r="44415" spans="8:8">
      <c r="H44415" s="680" t="s">
        <v>6153</v>
      </c>
    </row>
    <row r="44416" spans="8:8">
      <c r="H44416" s="680" t="s">
        <v>6153</v>
      </c>
    </row>
    <row r="44417" spans="8:8">
      <c r="H44417" s="680" t="s">
        <v>6153</v>
      </c>
    </row>
    <row r="44418" spans="8:8">
      <c r="H44418" s="680" t="s">
        <v>6153</v>
      </c>
    </row>
    <row r="44419" spans="8:8">
      <c r="H44419" s="680" t="s">
        <v>6153</v>
      </c>
    </row>
    <row r="44420" spans="8:8">
      <c r="H44420" s="680" t="s">
        <v>6153</v>
      </c>
    </row>
    <row r="44421" spans="8:8">
      <c r="H44421" s="680" t="s">
        <v>6153</v>
      </c>
    </row>
    <row r="44422" spans="8:8">
      <c r="H44422" s="680" t="s">
        <v>6153</v>
      </c>
    </row>
    <row r="44423" spans="8:8">
      <c r="H44423" s="680" t="s">
        <v>6153</v>
      </c>
    </row>
    <row r="44424" spans="8:8">
      <c r="H44424" s="680" t="s">
        <v>6153</v>
      </c>
    </row>
    <row r="44425" spans="8:8">
      <c r="H44425" s="680" t="s">
        <v>6153</v>
      </c>
    </row>
    <row r="44426" spans="8:8">
      <c r="H44426" s="680" t="s">
        <v>6153</v>
      </c>
    </row>
    <row r="44427" spans="8:8">
      <c r="H44427" s="680" t="s">
        <v>6153</v>
      </c>
    </row>
    <row r="44428" spans="8:8">
      <c r="H44428" s="680" t="s">
        <v>6153</v>
      </c>
    </row>
    <row r="44429" spans="8:8">
      <c r="H44429" s="680" t="s">
        <v>6153</v>
      </c>
    </row>
    <row r="44430" spans="8:8">
      <c r="H44430" s="680" t="s">
        <v>6153</v>
      </c>
    </row>
    <row r="44431" spans="8:8">
      <c r="H44431" s="680" t="s">
        <v>6153</v>
      </c>
    </row>
    <row r="44432" spans="8:8">
      <c r="H44432" s="680" t="s">
        <v>6153</v>
      </c>
    </row>
    <row r="44433" spans="8:8">
      <c r="H44433" s="680" t="s">
        <v>6153</v>
      </c>
    </row>
    <row r="44434" spans="8:8">
      <c r="H44434" s="680" t="s">
        <v>6153</v>
      </c>
    </row>
    <row r="44435" spans="8:8">
      <c r="H44435" s="680" t="s">
        <v>6153</v>
      </c>
    </row>
    <row r="44436" spans="8:8">
      <c r="H44436" s="680" t="s">
        <v>6153</v>
      </c>
    </row>
    <row r="44437" spans="8:8">
      <c r="H44437" s="680" t="s">
        <v>6153</v>
      </c>
    </row>
    <row r="44438" spans="8:8">
      <c r="H44438" s="680" t="s">
        <v>6153</v>
      </c>
    </row>
    <row r="44439" spans="8:8">
      <c r="H44439" s="680" t="s">
        <v>6153</v>
      </c>
    </row>
    <row r="44440" spans="8:8">
      <c r="H44440" s="680" t="s">
        <v>6153</v>
      </c>
    </row>
    <row r="44441" spans="8:8">
      <c r="H44441" s="680" t="s">
        <v>6153</v>
      </c>
    </row>
    <row r="44442" spans="8:8">
      <c r="H44442" s="680" t="s">
        <v>6153</v>
      </c>
    </row>
    <row r="44443" spans="8:8">
      <c r="H44443" s="680" t="s">
        <v>6153</v>
      </c>
    </row>
    <row r="44444" spans="8:8">
      <c r="H44444" s="680" t="s">
        <v>6153</v>
      </c>
    </row>
    <row r="44445" spans="8:8">
      <c r="H44445" s="680" t="s">
        <v>6153</v>
      </c>
    </row>
    <row r="44446" spans="8:8">
      <c r="H44446" s="680" t="s">
        <v>6153</v>
      </c>
    </row>
    <row r="44447" spans="8:8">
      <c r="H44447" s="680" t="s">
        <v>6153</v>
      </c>
    </row>
    <row r="44448" spans="8:8">
      <c r="H44448" s="680" t="s">
        <v>6153</v>
      </c>
    </row>
    <row r="44449" spans="8:8">
      <c r="H44449" s="680" t="s">
        <v>6153</v>
      </c>
    </row>
    <row r="44450" spans="8:8">
      <c r="H44450" s="680" t="s">
        <v>6153</v>
      </c>
    </row>
    <row r="44451" spans="8:8">
      <c r="H44451" s="680" t="s">
        <v>6153</v>
      </c>
    </row>
    <row r="44452" spans="8:8">
      <c r="H44452" s="680" t="s">
        <v>6153</v>
      </c>
    </row>
    <row r="44453" spans="8:8">
      <c r="H44453" s="680" t="s">
        <v>6153</v>
      </c>
    </row>
    <row r="44454" spans="8:8">
      <c r="H44454" s="680" t="s">
        <v>6153</v>
      </c>
    </row>
    <row r="44455" spans="8:8">
      <c r="H44455" s="680" t="s">
        <v>6153</v>
      </c>
    </row>
    <row r="44456" spans="8:8">
      <c r="H44456" s="680" t="s">
        <v>6153</v>
      </c>
    </row>
    <row r="44457" spans="8:8">
      <c r="H44457" s="680" t="s">
        <v>6153</v>
      </c>
    </row>
    <row r="44458" spans="8:8">
      <c r="H44458" s="680" t="s">
        <v>6153</v>
      </c>
    </row>
    <row r="44459" spans="8:8">
      <c r="H44459" s="680" t="s">
        <v>6153</v>
      </c>
    </row>
    <row r="44460" spans="8:8">
      <c r="H44460" s="680" t="s">
        <v>6153</v>
      </c>
    </row>
    <row r="44461" spans="8:8">
      <c r="H44461" s="680" t="s">
        <v>6153</v>
      </c>
    </row>
    <row r="44462" spans="8:8">
      <c r="H44462" s="680" t="s">
        <v>6153</v>
      </c>
    </row>
    <row r="44463" spans="8:8">
      <c r="H44463" s="680" t="s">
        <v>6153</v>
      </c>
    </row>
    <row r="44464" spans="8:8">
      <c r="H44464" s="680" t="s">
        <v>6153</v>
      </c>
    </row>
    <row r="44465" spans="8:8">
      <c r="H44465" s="680" t="s">
        <v>6153</v>
      </c>
    </row>
    <row r="44466" spans="8:8">
      <c r="H44466" s="680" t="s">
        <v>6153</v>
      </c>
    </row>
    <row r="44467" spans="8:8">
      <c r="H44467" s="680" t="s">
        <v>6153</v>
      </c>
    </row>
    <row r="44468" spans="8:8">
      <c r="H44468" s="680" t="s">
        <v>6153</v>
      </c>
    </row>
    <row r="44469" spans="8:8">
      <c r="H44469" s="680" t="s">
        <v>6153</v>
      </c>
    </row>
    <row r="44470" spans="8:8">
      <c r="H44470" s="680" t="s">
        <v>6153</v>
      </c>
    </row>
    <row r="44471" spans="8:8">
      <c r="H44471" s="680" t="s">
        <v>6153</v>
      </c>
    </row>
    <row r="44472" spans="8:8">
      <c r="H44472" s="680" t="s">
        <v>6153</v>
      </c>
    </row>
    <row r="44473" spans="8:8">
      <c r="H44473" s="680" t="s">
        <v>6153</v>
      </c>
    </row>
    <row r="44474" spans="8:8">
      <c r="H44474" s="680" t="s">
        <v>6153</v>
      </c>
    </row>
    <row r="44475" spans="8:8">
      <c r="H44475" s="680" t="s">
        <v>6153</v>
      </c>
    </row>
    <row r="44476" spans="8:8">
      <c r="H44476" s="680" t="s">
        <v>6153</v>
      </c>
    </row>
    <row r="44477" spans="8:8">
      <c r="H44477" s="680" t="s">
        <v>6153</v>
      </c>
    </row>
    <row r="44478" spans="8:8">
      <c r="H44478" s="680" t="s">
        <v>6153</v>
      </c>
    </row>
    <row r="44479" spans="8:8">
      <c r="H44479" s="680" t="s">
        <v>6153</v>
      </c>
    </row>
    <row r="44480" spans="8:8">
      <c r="H44480" s="680" t="s">
        <v>6153</v>
      </c>
    </row>
    <row r="44481" spans="8:8">
      <c r="H44481" s="680" t="s">
        <v>6153</v>
      </c>
    </row>
    <row r="44482" spans="8:8">
      <c r="H44482" s="680" t="s">
        <v>6153</v>
      </c>
    </row>
    <row r="44483" spans="8:8">
      <c r="H44483" s="680" t="s">
        <v>6153</v>
      </c>
    </row>
    <row r="44484" spans="8:8">
      <c r="H44484" s="680" t="s">
        <v>6153</v>
      </c>
    </row>
    <row r="44485" spans="8:8">
      <c r="H44485" s="680" t="s">
        <v>6153</v>
      </c>
    </row>
    <row r="44486" spans="8:8">
      <c r="H44486" s="680" t="s">
        <v>6153</v>
      </c>
    </row>
    <row r="44487" spans="8:8">
      <c r="H44487" s="680" t="s">
        <v>6153</v>
      </c>
    </row>
    <row r="44488" spans="8:8">
      <c r="H44488" s="680" t="s">
        <v>6153</v>
      </c>
    </row>
    <row r="44489" spans="8:8">
      <c r="H44489" s="680" t="s">
        <v>6153</v>
      </c>
    </row>
    <row r="44490" spans="8:8">
      <c r="H44490" s="680" t="s">
        <v>6153</v>
      </c>
    </row>
    <row r="44491" spans="8:8">
      <c r="H44491" s="680" t="s">
        <v>6153</v>
      </c>
    </row>
    <row r="44492" spans="8:8">
      <c r="H44492" s="680" t="s">
        <v>6153</v>
      </c>
    </row>
    <row r="44493" spans="8:8">
      <c r="H44493" s="680" t="s">
        <v>6153</v>
      </c>
    </row>
    <row r="44494" spans="8:8">
      <c r="H44494" s="680" t="s">
        <v>6153</v>
      </c>
    </row>
    <row r="44495" spans="8:8">
      <c r="H44495" s="680" t="s">
        <v>6153</v>
      </c>
    </row>
    <row r="44496" spans="8:8">
      <c r="H44496" s="680" t="s">
        <v>6153</v>
      </c>
    </row>
    <row r="44497" spans="8:8">
      <c r="H44497" s="680" t="s">
        <v>6153</v>
      </c>
    </row>
    <row r="44498" spans="8:8">
      <c r="H44498" s="680" t="s">
        <v>6153</v>
      </c>
    </row>
    <row r="44499" spans="8:8">
      <c r="H44499" s="680" t="s">
        <v>6153</v>
      </c>
    </row>
    <row r="44500" spans="8:8">
      <c r="H44500" s="680" t="s">
        <v>6153</v>
      </c>
    </row>
    <row r="44501" spans="8:8">
      <c r="H44501" s="680" t="s">
        <v>6153</v>
      </c>
    </row>
    <row r="44502" spans="8:8">
      <c r="H44502" s="680" t="s">
        <v>6153</v>
      </c>
    </row>
    <row r="44503" spans="8:8">
      <c r="H44503" s="680" t="s">
        <v>6153</v>
      </c>
    </row>
    <row r="44504" spans="8:8">
      <c r="H44504" s="680" t="s">
        <v>6153</v>
      </c>
    </row>
    <row r="44505" spans="8:8">
      <c r="H44505" s="680" t="s">
        <v>6153</v>
      </c>
    </row>
    <row r="44506" spans="8:8">
      <c r="H44506" s="680" t="s">
        <v>6153</v>
      </c>
    </row>
    <row r="44507" spans="8:8">
      <c r="H44507" s="680" t="s">
        <v>6153</v>
      </c>
    </row>
    <row r="44508" spans="8:8">
      <c r="H44508" s="680" t="s">
        <v>6153</v>
      </c>
    </row>
    <row r="44509" spans="8:8">
      <c r="H44509" s="680" t="s">
        <v>6153</v>
      </c>
    </row>
    <row r="44510" spans="8:8">
      <c r="H44510" s="680" t="s">
        <v>6153</v>
      </c>
    </row>
    <row r="44511" spans="8:8">
      <c r="H44511" s="680" t="s">
        <v>6153</v>
      </c>
    </row>
    <row r="44512" spans="8:8">
      <c r="H44512" s="680" t="s">
        <v>6153</v>
      </c>
    </row>
    <row r="44513" spans="8:8">
      <c r="H44513" s="680" t="s">
        <v>6153</v>
      </c>
    </row>
    <row r="44514" spans="8:8">
      <c r="H44514" s="680" t="s">
        <v>6153</v>
      </c>
    </row>
    <row r="44515" spans="8:8">
      <c r="H44515" s="680" t="s">
        <v>6153</v>
      </c>
    </row>
    <row r="44516" spans="8:8">
      <c r="H44516" s="680" t="s">
        <v>6153</v>
      </c>
    </row>
    <row r="44517" spans="8:8">
      <c r="H44517" s="680" t="s">
        <v>6153</v>
      </c>
    </row>
    <row r="44518" spans="8:8">
      <c r="H44518" s="680" t="s">
        <v>6153</v>
      </c>
    </row>
    <row r="44519" spans="8:8">
      <c r="H44519" s="680" t="s">
        <v>6153</v>
      </c>
    </row>
    <row r="44520" spans="8:8">
      <c r="H44520" s="680" t="s">
        <v>6153</v>
      </c>
    </row>
    <row r="44521" spans="8:8">
      <c r="H44521" s="680" t="s">
        <v>6153</v>
      </c>
    </row>
    <row r="44522" spans="8:8">
      <c r="H44522" s="680" t="s">
        <v>6153</v>
      </c>
    </row>
    <row r="44523" spans="8:8">
      <c r="H44523" s="680" t="s">
        <v>6153</v>
      </c>
    </row>
    <row r="44524" spans="8:8">
      <c r="H44524" s="680" t="s">
        <v>6153</v>
      </c>
    </row>
    <row r="44525" spans="8:8">
      <c r="H44525" s="680" t="s">
        <v>6153</v>
      </c>
    </row>
    <row r="44526" spans="8:8">
      <c r="H44526" s="680" t="s">
        <v>6153</v>
      </c>
    </row>
    <row r="44527" spans="8:8">
      <c r="H44527" s="680" t="s">
        <v>6153</v>
      </c>
    </row>
    <row r="44528" spans="8:8">
      <c r="H44528" s="680" t="s">
        <v>6153</v>
      </c>
    </row>
    <row r="44529" spans="8:8">
      <c r="H44529" s="680" t="s">
        <v>6153</v>
      </c>
    </row>
    <row r="44530" spans="8:8">
      <c r="H44530" s="680" t="s">
        <v>6153</v>
      </c>
    </row>
    <row r="44531" spans="8:8">
      <c r="H44531" s="680" t="s">
        <v>6153</v>
      </c>
    </row>
    <row r="44532" spans="8:8">
      <c r="H44532" s="680" t="s">
        <v>6153</v>
      </c>
    </row>
    <row r="44533" spans="8:8">
      <c r="H44533" s="680" t="s">
        <v>6153</v>
      </c>
    </row>
    <row r="44534" spans="8:8">
      <c r="H44534" s="680" t="s">
        <v>6153</v>
      </c>
    </row>
    <row r="44535" spans="8:8">
      <c r="H44535" s="680" t="s">
        <v>6153</v>
      </c>
    </row>
    <row r="44536" spans="8:8">
      <c r="H44536" s="680" t="s">
        <v>6153</v>
      </c>
    </row>
    <row r="44537" spans="8:8">
      <c r="H44537" s="680" t="s">
        <v>6153</v>
      </c>
    </row>
    <row r="44538" spans="8:8">
      <c r="H44538" s="680" t="s">
        <v>6153</v>
      </c>
    </row>
    <row r="44539" spans="8:8">
      <c r="H44539" s="680" t="s">
        <v>6153</v>
      </c>
    </row>
    <row r="44540" spans="8:8">
      <c r="H44540" s="680" t="s">
        <v>6153</v>
      </c>
    </row>
    <row r="44541" spans="8:8">
      <c r="H44541" s="680" t="s">
        <v>6153</v>
      </c>
    </row>
    <row r="44542" spans="8:8">
      <c r="H44542" s="680" t="s">
        <v>6153</v>
      </c>
    </row>
    <row r="44543" spans="8:8">
      <c r="H44543" s="680" t="s">
        <v>6153</v>
      </c>
    </row>
    <row r="44544" spans="8:8">
      <c r="H44544" s="680" t="s">
        <v>6153</v>
      </c>
    </row>
    <row r="44545" spans="8:8">
      <c r="H44545" s="680" t="s">
        <v>6153</v>
      </c>
    </row>
    <row r="44546" spans="8:8">
      <c r="H44546" s="680" t="s">
        <v>6153</v>
      </c>
    </row>
    <row r="44547" spans="8:8">
      <c r="H44547" s="680" t="s">
        <v>6153</v>
      </c>
    </row>
    <row r="44548" spans="8:8">
      <c r="H44548" s="680" t="s">
        <v>6153</v>
      </c>
    </row>
    <row r="44549" spans="8:8">
      <c r="H44549" s="680" t="s">
        <v>6153</v>
      </c>
    </row>
    <row r="44550" spans="8:8">
      <c r="H44550" s="680" t="s">
        <v>6153</v>
      </c>
    </row>
    <row r="44551" spans="8:8">
      <c r="H44551" s="680" t="s">
        <v>6153</v>
      </c>
    </row>
    <row r="44552" spans="8:8">
      <c r="H44552" s="680" t="s">
        <v>6153</v>
      </c>
    </row>
    <row r="44553" spans="8:8">
      <c r="H44553" s="680" t="s">
        <v>6153</v>
      </c>
    </row>
    <row r="44554" spans="8:8">
      <c r="H44554" s="680" t="s">
        <v>6153</v>
      </c>
    </row>
    <row r="44555" spans="8:8">
      <c r="H44555" s="680" t="s">
        <v>6153</v>
      </c>
    </row>
    <row r="44556" spans="8:8">
      <c r="H44556" s="680" t="s">
        <v>6153</v>
      </c>
    </row>
    <row r="44557" spans="8:8">
      <c r="H44557" s="680" t="s">
        <v>6153</v>
      </c>
    </row>
    <row r="44558" spans="8:8">
      <c r="H44558" s="680" t="s">
        <v>6153</v>
      </c>
    </row>
    <row r="44559" spans="8:8">
      <c r="H44559" s="680" t="s">
        <v>6153</v>
      </c>
    </row>
    <row r="44560" spans="8:8">
      <c r="H44560" s="680" t="s">
        <v>6153</v>
      </c>
    </row>
    <row r="44561" spans="8:8">
      <c r="H44561" s="680" t="s">
        <v>6153</v>
      </c>
    </row>
    <row r="44562" spans="8:8">
      <c r="H44562" s="680" t="s">
        <v>6153</v>
      </c>
    </row>
    <row r="44563" spans="8:8">
      <c r="H44563" s="680" t="s">
        <v>6153</v>
      </c>
    </row>
    <row r="44564" spans="8:8">
      <c r="H44564" s="680" t="s">
        <v>6153</v>
      </c>
    </row>
    <row r="44565" spans="8:8">
      <c r="H44565" s="680" t="s">
        <v>6153</v>
      </c>
    </row>
    <row r="44566" spans="8:8">
      <c r="H44566" s="680" t="s">
        <v>6153</v>
      </c>
    </row>
    <row r="44567" spans="8:8">
      <c r="H44567" s="680" t="s">
        <v>6153</v>
      </c>
    </row>
    <row r="44568" spans="8:8">
      <c r="H44568" s="680" t="s">
        <v>6153</v>
      </c>
    </row>
    <row r="44569" spans="8:8">
      <c r="H44569" s="680" t="s">
        <v>6153</v>
      </c>
    </row>
    <row r="44570" spans="8:8">
      <c r="H44570" s="680" t="s">
        <v>6153</v>
      </c>
    </row>
    <row r="44571" spans="8:8">
      <c r="H44571" s="680" t="s">
        <v>6153</v>
      </c>
    </row>
    <row r="44572" spans="8:8">
      <c r="H44572" s="680" t="s">
        <v>6153</v>
      </c>
    </row>
    <row r="44573" spans="8:8">
      <c r="H44573" s="680" t="s">
        <v>6153</v>
      </c>
    </row>
    <row r="44574" spans="8:8">
      <c r="H44574" s="680" t="s">
        <v>6153</v>
      </c>
    </row>
    <row r="44575" spans="8:8">
      <c r="H44575" s="680" t="s">
        <v>6153</v>
      </c>
    </row>
    <row r="44576" spans="8:8">
      <c r="H44576" s="680" t="s">
        <v>6153</v>
      </c>
    </row>
    <row r="44577" spans="8:8">
      <c r="H44577" s="680" t="s">
        <v>6153</v>
      </c>
    </row>
    <row r="44578" spans="8:8">
      <c r="H44578" s="680" t="s">
        <v>6153</v>
      </c>
    </row>
    <row r="44579" spans="8:8">
      <c r="H44579" s="680" t="s">
        <v>6153</v>
      </c>
    </row>
    <row r="44580" spans="8:8">
      <c r="H44580" s="680" t="s">
        <v>6153</v>
      </c>
    </row>
    <row r="44581" spans="8:8">
      <c r="H44581" s="680" t="s">
        <v>6153</v>
      </c>
    </row>
    <row r="44582" spans="8:8">
      <c r="H44582" s="680" t="s">
        <v>6153</v>
      </c>
    </row>
    <row r="44583" spans="8:8">
      <c r="H44583" s="680" t="s">
        <v>6153</v>
      </c>
    </row>
    <row r="44584" spans="8:8">
      <c r="H44584" s="680" t="s">
        <v>6153</v>
      </c>
    </row>
    <row r="44585" spans="8:8">
      <c r="H44585" s="680" t="s">
        <v>6153</v>
      </c>
    </row>
    <row r="44586" spans="8:8">
      <c r="H44586" s="680" t="s">
        <v>6153</v>
      </c>
    </row>
    <row r="44587" spans="8:8">
      <c r="H44587" s="680" t="s">
        <v>6153</v>
      </c>
    </row>
    <row r="44588" spans="8:8">
      <c r="H44588" s="680" t="s">
        <v>6153</v>
      </c>
    </row>
    <row r="44589" spans="8:8">
      <c r="H44589" s="680" t="s">
        <v>6153</v>
      </c>
    </row>
    <row r="44590" spans="8:8">
      <c r="H44590" s="680" t="s">
        <v>6153</v>
      </c>
    </row>
    <row r="44591" spans="8:8">
      <c r="H44591" s="680" t="s">
        <v>6153</v>
      </c>
    </row>
    <row r="44592" spans="8:8">
      <c r="H44592" s="680" t="s">
        <v>6153</v>
      </c>
    </row>
    <row r="44593" spans="8:8">
      <c r="H44593" s="680" t="s">
        <v>6153</v>
      </c>
    </row>
    <row r="44594" spans="8:8">
      <c r="H44594" s="680" t="s">
        <v>6153</v>
      </c>
    </row>
    <row r="44595" spans="8:8">
      <c r="H44595" s="680" t="s">
        <v>6153</v>
      </c>
    </row>
    <row r="44596" spans="8:8">
      <c r="H44596" s="680" t="s">
        <v>6153</v>
      </c>
    </row>
    <row r="44597" spans="8:8">
      <c r="H44597" s="680" t="s">
        <v>6153</v>
      </c>
    </row>
    <row r="44598" spans="8:8">
      <c r="H44598" s="680" t="s">
        <v>6153</v>
      </c>
    </row>
    <row r="44599" spans="8:8">
      <c r="H44599" s="680" t="s">
        <v>6153</v>
      </c>
    </row>
    <row r="44600" spans="8:8">
      <c r="H44600" s="680" t="s">
        <v>6153</v>
      </c>
    </row>
    <row r="44601" spans="8:8">
      <c r="H44601" s="680" t="s">
        <v>6153</v>
      </c>
    </row>
    <row r="44602" spans="8:8">
      <c r="H44602" s="680" t="s">
        <v>6153</v>
      </c>
    </row>
    <row r="44603" spans="8:8">
      <c r="H44603" s="680" t="s">
        <v>6153</v>
      </c>
    </row>
    <row r="44604" spans="8:8">
      <c r="H44604" s="680" t="s">
        <v>6153</v>
      </c>
    </row>
    <row r="44605" spans="8:8">
      <c r="H44605" s="680" t="s">
        <v>6153</v>
      </c>
    </row>
    <row r="44606" spans="8:8">
      <c r="H44606" s="680" t="s">
        <v>6153</v>
      </c>
    </row>
    <row r="44607" spans="8:8">
      <c r="H44607" s="680" t="s">
        <v>6153</v>
      </c>
    </row>
    <row r="44608" spans="8:8">
      <c r="H44608" s="680" t="s">
        <v>6153</v>
      </c>
    </row>
    <row r="44609" spans="8:8">
      <c r="H44609" s="680" t="s">
        <v>6153</v>
      </c>
    </row>
    <row r="44610" spans="8:8">
      <c r="H44610" s="680" t="s">
        <v>6153</v>
      </c>
    </row>
    <row r="44611" spans="8:8">
      <c r="H44611" s="680" t="s">
        <v>6153</v>
      </c>
    </row>
    <row r="44612" spans="8:8">
      <c r="H44612" s="680" t="s">
        <v>6153</v>
      </c>
    </row>
    <row r="44613" spans="8:8">
      <c r="H44613" s="680" t="s">
        <v>6153</v>
      </c>
    </row>
    <row r="44614" spans="8:8">
      <c r="H44614" s="680" t="s">
        <v>6153</v>
      </c>
    </row>
    <row r="44615" spans="8:8">
      <c r="H44615" s="680" t="s">
        <v>6153</v>
      </c>
    </row>
    <row r="44616" spans="8:8">
      <c r="H44616" s="680" t="s">
        <v>6153</v>
      </c>
    </row>
    <row r="44617" spans="8:8">
      <c r="H44617" s="680" t="s">
        <v>6153</v>
      </c>
    </row>
    <row r="44618" spans="8:8">
      <c r="H44618" s="680" t="s">
        <v>6153</v>
      </c>
    </row>
    <row r="44619" spans="8:8">
      <c r="H44619" s="680" t="s">
        <v>6153</v>
      </c>
    </row>
    <row r="44620" spans="8:8">
      <c r="H44620" s="680" t="s">
        <v>6153</v>
      </c>
    </row>
    <row r="44621" spans="8:8">
      <c r="H44621" s="680" t="s">
        <v>6153</v>
      </c>
    </row>
    <row r="44622" spans="8:8">
      <c r="H44622" s="680" t="s">
        <v>6153</v>
      </c>
    </row>
    <row r="44623" spans="8:8">
      <c r="H44623" s="680" t="s">
        <v>6153</v>
      </c>
    </row>
    <row r="44624" spans="8:8">
      <c r="H44624" s="680" t="s">
        <v>6153</v>
      </c>
    </row>
    <row r="44625" spans="8:8">
      <c r="H44625" s="680" t="s">
        <v>6153</v>
      </c>
    </row>
    <row r="44626" spans="8:8">
      <c r="H44626" s="680" t="s">
        <v>6153</v>
      </c>
    </row>
    <row r="44627" spans="8:8">
      <c r="H44627" s="680" t="s">
        <v>6153</v>
      </c>
    </row>
    <row r="44628" spans="8:8">
      <c r="H44628" s="680" t="s">
        <v>6153</v>
      </c>
    </row>
    <row r="44629" spans="8:8">
      <c r="H44629" s="680" t="s">
        <v>6153</v>
      </c>
    </row>
    <row r="44630" spans="8:8">
      <c r="H44630" s="680" t="s">
        <v>6153</v>
      </c>
    </row>
    <row r="44631" spans="8:8">
      <c r="H44631" s="680" t="s">
        <v>6153</v>
      </c>
    </row>
    <row r="44632" spans="8:8">
      <c r="H44632" s="680" t="s">
        <v>6153</v>
      </c>
    </row>
    <row r="44633" spans="8:8">
      <c r="H44633" s="680" t="s">
        <v>6153</v>
      </c>
    </row>
    <row r="44634" spans="8:8">
      <c r="H44634" s="680" t="s">
        <v>6153</v>
      </c>
    </row>
    <row r="44635" spans="8:8">
      <c r="H44635" s="680" t="s">
        <v>6153</v>
      </c>
    </row>
    <row r="44636" spans="8:8">
      <c r="H44636" s="680" t="s">
        <v>6153</v>
      </c>
    </row>
    <row r="44637" spans="8:8">
      <c r="H44637" s="680" t="s">
        <v>6153</v>
      </c>
    </row>
    <row r="44638" spans="8:8">
      <c r="H44638" s="680" t="s">
        <v>6153</v>
      </c>
    </row>
    <row r="44639" spans="8:8">
      <c r="H44639" s="680" t="s">
        <v>6153</v>
      </c>
    </row>
    <row r="44640" spans="8:8">
      <c r="H44640" s="680" t="s">
        <v>6153</v>
      </c>
    </row>
    <row r="44641" spans="8:8">
      <c r="H44641" s="680" t="s">
        <v>6153</v>
      </c>
    </row>
    <row r="44642" spans="8:8">
      <c r="H44642" s="680" t="s">
        <v>6153</v>
      </c>
    </row>
    <row r="44643" spans="8:8">
      <c r="H44643" s="680" t="s">
        <v>6153</v>
      </c>
    </row>
    <row r="44644" spans="8:8">
      <c r="H44644" s="680" t="s">
        <v>6153</v>
      </c>
    </row>
    <row r="44645" spans="8:8">
      <c r="H44645" s="680" t="s">
        <v>6153</v>
      </c>
    </row>
    <row r="44646" spans="8:8">
      <c r="H44646" s="680" t="s">
        <v>6153</v>
      </c>
    </row>
    <row r="44647" spans="8:8">
      <c r="H44647" s="680" t="s">
        <v>6153</v>
      </c>
    </row>
    <row r="44648" spans="8:8">
      <c r="H44648" s="680" t="s">
        <v>6153</v>
      </c>
    </row>
    <row r="44649" spans="8:8">
      <c r="H44649" s="680" t="s">
        <v>6153</v>
      </c>
    </row>
    <row r="44650" spans="8:8">
      <c r="H44650" s="680" t="s">
        <v>6153</v>
      </c>
    </row>
    <row r="44651" spans="8:8">
      <c r="H44651" s="680" t="s">
        <v>6153</v>
      </c>
    </row>
    <row r="44652" spans="8:8">
      <c r="H44652" s="680" t="s">
        <v>6153</v>
      </c>
    </row>
    <row r="44653" spans="8:8">
      <c r="H44653" s="680" t="s">
        <v>6153</v>
      </c>
    </row>
    <row r="44654" spans="8:8">
      <c r="H44654" s="680" t="s">
        <v>6153</v>
      </c>
    </row>
    <row r="44655" spans="8:8">
      <c r="H44655" s="680" t="s">
        <v>6153</v>
      </c>
    </row>
    <row r="44656" spans="8:8">
      <c r="H44656" s="680" t="s">
        <v>6153</v>
      </c>
    </row>
    <row r="44657" spans="8:8">
      <c r="H44657" s="680" t="s">
        <v>6153</v>
      </c>
    </row>
    <row r="44658" spans="8:8">
      <c r="H44658" s="680" t="s">
        <v>6153</v>
      </c>
    </row>
    <row r="44659" spans="8:8">
      <c r="H44659" s="680" t="s">
        <v>6153</v>
      </c>
    </row>
    <row r="44660" spans="8:8">
      <c r="H44660" s="680" t="s">
        <v>6153</v>
      </c>
    </row>
    <row r="44661" spans="8:8">
      <c r="H44661" s="680" t="s">
        <v>6153</v>
      </c>
    </row>
    <row r="44662" spans="8:8">
      <c r="H44662" s="680" t="s">
        <v>6153</v>
      </c>
    </row>
    <row r="44663" spans="8:8">
      <c r="H44663" s="680" t="s">
        <v>6153</v>
      </c>
    </row>
    <row r="44664" spans="8:8">
      <c r="H44664" s="680" t="s">
        <v>6153</v>
      </c>
    </row>
    <row r="44665" spans="8:8">
      <c r="H44665" s="680" t="s">
        <v>6153</v>
      </c>
    </row>
    <row r="44666" spans="8:8">
      <c r="H44666" s="680" t="s">
        <v>6153</v>
      </c>
    </row>
    <row r="44667" spans="8:8">
      <c r="H44667" s="680" t="s">
        <v>6153</v>
      </c>
    </row>
    <row r="44668" spans="8:8">
      <c r="H44668" s="680" t="s">
        <v>6153</v>
      </c>
    </row>
    <row r="44669" spans="8:8">
      <c r="H44669" s="680" t="s">
        <v>6153</v>
      </c>
    </row>
    <row r="44670" spans="8:8">
      <c r="H44670" s="680" t="s">
        <v>6153</v>
      </c>
    </row>
    <row r="44671" spans="8:8">
      <c r="H44671" s="680" t="s">
        <v>6153</v>
      </c>
    </row>
    <row r="44672" spans="8:8">
      <c r="H44672" s="680" t="s">
        <v>6153</v>
      </c>
    </row>
    <row r="44673" spans="8:8">
      <c r="H44673" s="680" t="s">
        <v>6153</v>
      </c>
    </row>
    <row r="44674" spans="8:8">
      <c r="H44674" s="680" t="s">
        <v>6153</v>
      </c>
    </row>
    <row r="44675" spans="8:8">
      <c r="H44675" s="680" t="s">
        <v>6153</v>
      </c>
    </row>
    <row r="44676" spans="8:8">
      <c r="H44676" s="680" t="s">
        <v>6153</v>
      </c>
    </row>
    <row r="44677" spans="8:8">
      <c r="H44677" s="680" t="s">
        <v>6153</v>
      </c>
    </row>
    <row r="44678" spans="8:8">
      <c r="H44678" s="680" t="s">
        <v>6153</v>
      </c>
    </row>
    <row r="44679" spans="8:8">
      <c r="H44679" s="680" t="s">
        <v>6153</v>
      </c>
    </row>
    <row r="44680" spans="8:8">
      <c r="H44680" s="680" t="s">
        <v>6153</v>
      </c>
    </row>
    <row r="44681" spans="8:8">
      <c r="H44681" s="680" t="s">
        <v>6153</v>
      </c>
    </row>
    <row r="44682" spans="8:8">
      <c r="H44682" s="680" t="s">
        <v>6153</v>
      </c>
    </row>
    <row r="44683" spans="8:8">
      <c r="H44683" s="680" t="s">
        <v>6153</v>
      </c>
    </row>
    <row r="44684" spans="8:8">
      <c r="H44684" s="680" t="s">
        <v>6153</v>
      </c>
    </row>
    <row r="44685" spans="8:8">
      <c r="H44685" s="680" t="s">
        <v>6153</v>
      </c>
    </row>
    <row r="44686" spans="8:8">
      <c r="H44686" s="680" t="s">
        <v>6153</v>
      </c>
    </row>
    <row r="44687" spans="8:8">
      <c r="H44687" s="680" t="s">
        <v>6153</v>
      </c>
    </row>
    <row r="44688" spans="8:8">
      <c r="H44688" s="680" t="s">
        <v>6153</v>
      </c>
    </row>
    <row r="44689" spans="8:8">
      <c r="H44689" s="680" t="s">
        <v>6153</v>
      </c>
    </row>
    <row r="44690" spans="8:8">
      <c r="H44690" s="680" t="s">
        <v>6153</v>
      </c>
    </row>
    <row r="44691" spans="8:8">
      <c r="H44691" s="680" t="s">
        <v>6153</v>
      </c>
    </row>
    <row r="44692" spans="8:8">
      <c r="H44692" s="680" t="s">
        <v>6153</v>
      </c>
    </row>
    <row r="44693" spans="8:8">
      <c r="H44693" s="680" t="s">
        <v>6153</v>
      </c>
    </row>
    <row r="44694" spans="8:8">
      <c r="H44694" s="680" t="s">
        <v>6153</v>
      </c>
    </row>
    <row r="44695" spans="8:8">
      <c r="H44695" s="680" t="s">
        <v>6153</v>
      </c>
    </row>
    <row r="44696" spans="8:8">
      <c r="H44696" s="680" t="s">
        <v>6153</v>
      </c>
    </row>
    <row r="44697" spans="8:8">
      <c r="H44697" s="680" t="s">
        <v>6153</v>
      </c>
    </row>
    <row r="44698" spans="8:8">
      <c r="H44698" s="680" t="s">
        <v>6153</v>
      </c>
    </row>
    <row r="44699" spans="8:8">
      <c r="H44699" s="680" t="s">
        <v>6153</v>
      </c>
    </row>
    <row r="44700" spans="8:8">
      <c r="H44700" s="680" t="s">
        <v>6153</v>
      </c>
    </row>
    <row r="44701" spans="8:8">
      <c r="H44701" s="680" t="s">
        <v>6153</v>
      </c>
    </row>
    <row r="44702" spans="8:8">
      <c r="H44702" s="680" t="s">
        <v>6153</v>
      </c>
    </row>
    <row r="44703" spans="8:8">
      <c r="H44703" s="680" t="s">
        <v>6153</v>
      </c>
    </row>
    <row r="44704" spans="8:8">
      <c r="H44704" s="680" t="s">
        <v>6153</v>
      </c>
    </row>
    <row r="44705" spans="8:8">
      <c r="H44705" s="680" t="s">
        <v>6153</v>
      </c>
    </row>
    <row r="44706" spans="8:8">
      <c r="H44706" s="680" t="s">
        <v>6153</v>
      </c>
    </row>
    <row r="44707" spans="8:8">
      <c r="H44707" s="680" t="s">
        <v>6153</v>
      </c>
    </row>
    <row r="44708" spans="8:8">
      <c r="H44708" s="680" t="s">
        <v>6153</v>
      </c>
    </row>
    <row r="44709" spans="8:8">
      <c r="H44709" s="680" t="s">
        <v>6153</v>
      </c>
    </row>
    <row r="44710" spans="8:8">
      <c r="H44710" s="680" t="s">
        <v>6153</v>
      </c>
    </row>
    <row r="44711" spans="8:8">
      <c r="H44711" s="680" t="s">
        <v>6153</v>
      </c>
    </row>
    <row r="44712" spans="8:8">
      <c r="H44712" s="680" t="s">
        <v>6153</v>
      </c>
    </row>
    <row r="44713" spans="8:8">
      <c r="H44713" s="680" t="s">
        <v>6153</v>
      </c>
    </row>
    <row r="44714" spans="8:8">
      <c r="H44714" s="680" t="s">
        <v>6153</v>
      </c>
    </row>
    <row r="44715" spans="8:8">
      <c r="H44715" s="680" t="s">
        <v>6153</v>
      </c>
    </row>
    <row r="44716" spans="8:8">
      <c r="H44716" s="680" t="s">
        <v>6153</v>
      </c>
    </row>
    <row r="44717" spans="8:8">
      <c r="H44717" s="680" t="s">
        <v>6153</v>
      </c>
    </row>
    <row r="44718" spans="8:8">
      <c r="H44718" s="680" t="s">
        <v>6153</v>
      </c>
    </row>
    <row r="44719" spans="8:8">
      <c r="H44719" s="680" t="s">
        <v>6153</v>
      </c>
    </row>
    <row r="44720" spans="8:8">
      <c r="H44720" s="680" t="s">
        <v>6153</v>
      </c>
    </row>
    <row r="44721" spans="8:8">
      <c r="H44721" s="680" t="s">
        <v>6153</v>
      </c>
    </row>
    <row r="44722" spans="8:8">
      <c r="H44722" s="680" t="s">
        <v>6153</v>
      </c>
    </row>
    <row r="44723" spans="8:8">
      <c r="H44723" s="680" t="s">
        <v>6153</v>
      </c>
    </row>
    <row r="44724" spans="8:8">
      <c r="H44724" s="680" t="s">
        <v>6153</v>
      </c>
    </row>
    <row r="44725" spans="8:8">
      <c r="H44725" s="680" t="s">
        <v>6153</v>
      </c>
    </row>
    <row r="44726" spans="8:8">
      <c r="H44726" s="680" t="s">
        <v>6153</v>
      </c>
    </row>
    <row r="44727" spans="8:8">
      <c r="H44727" s="680" t="s">
        <v>6153</v>
      </c>
    </row>
    <row r="44728" spans="8:8">
      <c r="H44728" s="680" t="s">
        <v>6153</v>
      </c>
    </row>
    <row r="44729" spans="8:8">
      <c r="H44729" s="680" t="s">
        <v>6153</v>
      </c>
    </row>
    <row r="44730" spans="8:8">
      <c r="H44730" s="680" t="s">
        <v>6153</v>
      </c>
    </row>
    <row r="44731" spans="8:8">
      <c r="H44731" s="680" t="s">
        <v>6153</v>
      </c>
    </row>
    <row r="44732" spans="8:8">
      <c r="H44732" s="680" t="s">
        <v>6153</v>
      </c>
    </row>
    <row r="44733" spans="8:8">
      <c r="H44733" s="680" t="s">
        <v>6153</v>
      </c>
    </row>
    <row r="44734" spans="8:8">
      <c r="H44734" s="680" t="s">
        <v>6153</v>
      </c>
    </row>
    <row r="44735" spans="8:8">
      <c r="H44735" s="680" t="s">
        <v>6153</v>
      </c>
    </row>
    <row r="44736" spans="8:8">
      <c r="H44736" s="680" t="s">
        <v>6153</v>
      </c>
    </row>
    <row r="44737" spans="8:8">
      <c r="H44737" s="680" t="s">
        <v>6153</v>
      </c>
    </row>
    <row r="44738" spans="8:8">
      <c r="H44738" s="680" t="s">
        <v>6153</v>
      </c>
    </row>
    <row r="44739" spans="8:8">
      <c r="H44739" s="680" t="s">
        <v>6153</v>
      </c>
    </row>
    <row r="44740" spans="8:8">
      <c r="H44740" s="680" t="s">
        <v>6153</v>
      </c>
    </row>
    <row r="44741" spans="8:8">
      <c r="H44741" s="680" t="s">
        <v>6153</v>
      </c>
    </row>
    <row r="44742" spans="8:8">
      <c r="H44742" s="680" t="s">
        <v>6153</v>
      </c>
    </row>
    <row r="44743" spans="8:8">
      <c r="H44743" s="680" t="s">
        <v>6153</v>
      </c>
    </row>
    <row r="44744" spans="8:8">
      <c r="H44744" s="680" t="s">
        <v>6153</v>
      </c>
    </row>
    <row r="44745" spans="8:8">
      <c r="H44745" s="680" t="s">
        <v>6153</v>
      </c>
    </row>
    <row r="44746" spans="8:8">
      <c r="H44746" s="680" t="s">
        <v>6153</v>
      </c>
    </row>
    <row r="44747" spans="8:8">
      <c r="H44747" s="680" t="s">
        <v>6153</v>
      </c>
    </row>
    <row r="44748" spans="8:8">
      <c r="H44748" s="680" t="s">
        <v>6153</v>
      </c>
    </row>
    <row r="44749" spans="8:8">
      <c r="H44749" s="680" t="s">
        <v>6153</v>
      </c>
    </row>
    <row r="44750" spans="8:8">
      <c r="H44750" s="680" t="s">
        <v>6153</v>
      </c>
    </row>
    <row r="44751" spans="8:8">
      <c r="H44751" s="680" t="s">
        <v>6153</v>
      </c>
    </row>
    <row r="44752" spans="8:8">
      <c r="H44752" s="680" t="s">
        <v>6153</v>
      </c>
    </row>
    <row r="44753" spans="8:8">
      <c r="H44753" s="680" t="s">
        <v>6153</v>
      </c>
    </row>
    <row r="44754" spans="8:8">
      <c r="H44754" s="680" t="s">
        <v>6153</v>
      </c>
    </row>
    <row r="44755" spans="8:8">
      <c r="H44755" s="680" t="s">
        <v>6153</v>
      </c>
    </row>
    <row r="44756" spans="8:8">
      <c r="H44756" s="680" t="s">
        <v>6153</v>
      </c>
    </row>
    <row r="44757" spans="8:8">
      <c r="H44757" s="680" t="s">
        <v>6153</v>
      </c>
    </row>
    <row r="44758" spans="8:8">
      <c r="H44758" s="680" t="s">
        <v>6153</v>
      </c>
    </row>
    <row r="44759" spans="8:8">
      <c r="H44759" s="680" t="s">
        <v>6153</v>
      </c>
    </row>
    <row r="44760" spans="8:8">
      <c r="H44760" s="680" t="s">
        <v>6153</v>
      </c>
    </row>
    <row r="44761" spans="8:8">
      <c r="H44761" s="680" t="s">
        <v>6153</v>
      </c>
    </row>
    <row r="44762" spans="8:8">
      <c r="H44762" s="680" t="s">
        <v>6153</v>
      </c>
    </row>
    <row r="44763" spans="8:8">
      <c r="H44763" s="680" t="s">
        <v>6153</v>
      </c>
    </row>
    <row r="44764" spans="8:8">
      <c r="H44764" s="680" t="s">
        <v>6153</v>
      </c>
    </row>
    <row r="44765" spans="8:8">
      <c r="H44765" s="680" t="s">
        <v>6153</v>
      </c>
    </row>
    <row r="44766" spans="8:8">
      <c r="H44766" s="680" t="s">
        <v>6153</v>
      </c>
    </row>
    <row r="44767" spans="8:8">
      <c r="H44767" s="680" t="s">
        <v>6153</v>
      </c>
    </row>
    <row r="44768" spans="8:8">
      <c r="H44768" s="680" t="s">
        <v>6153</v>
      </c>
    </row>
    <row r="44769" spans="8:8">
      <c r="H44769" s="680" t="s">
        <v>6153</v>
      </c>
    </row>
    <row r="44770" spans="8:8">
      <c r="H44770" s="680" t="s">
        <v>6153</v>
      </c>
    </row>
    <row r="44771" spans="8:8">
      <c r="H44771" s="680" t="s">
        <v>6153</v>
      </c>
    </row>
    <row r="44772" spans="8:8">
      <c r="H44772" s="680" t="s">
        <v>6153</v>
      </c>
    </row>
    <row r="44773" spans="8:8">
      <c r="H44773" s="680" t="s">
        <v>6153</v>
      </c>
    </row>
    <row r="44774" spans="8:8">
      <c r="H44774" s="680" t="s">
        <v>6153</v>
      </c>
    </row>
    <row r="44775" spans="8:8">
      <c r="H44775" s="680" t="s">
        <v>6153</v>
      </c>
    </row>
    <row r="44776" spans="8:8">
      <c r="H44776" s="680" t="s">
        <v>6153</v>
      </c>
    </row>
    <row r="44777" spans="8:8">
      <c r="H44777" s="680" t="s">
        <v>6153</v>
      </c>
    </row>
    <row r="44778" spans="8:8">
      <c r="H44778" s="680" t="s">
        <v>6153</v>
      </c>
    </row>
    <row r="44779" spans="8:8">
      <c r="H44779" s="680" t="s">
        <v>6153</v>
      </c>
    </row>
    <row r="44780" spans="8:8">
      <c r="H44780" s="680" t="s">
        <v>6153</v>
      </c>
    </row>
    <row r="44781" spans="8:8">
      <c r="H44781" s="680" t="s">
        <v>6153</v>
      </c>
    </row>
    <row r="44782" spans="8:8">
      <c r="H44782" s="680" t="s">
        <v>6153</v>
      </c>
    </row>
    <row r="44783" spans="8:8">
      <c r="H44783" s="680" t="s">
        <v>6153</v>
      </c>
    </row>
    <row r="44784" spans="8:8">
      <c r="H44784" s="680" t="s">
        <v>6153</v>
      </c>
    </row>
    <row r="44785" spans="8:8">
      <c r="H44785" s="680" t="s">
        <v>6153</v>
      </c>
    </row>
    <row r="44786" spans="8:8">
      <c r="H44786" s="680" t="s">
        <v>6153</v>
      </c>
    </row>
    <row r="44787" spans="8:8">
      <c r="H44787" s="680" t="s">
        <v>6153</v>
      </c>
    </row>
    <row r="44788" spans="8:8">
      <c r="H44788" s="680" t="s">
        <v>6153</v>
      </c>
    </row>
    <row r="44789" spans="8:8">
      <c r="H44789" s="680" t="s">
        <v>6153</v>
      </c>
    </row>
    <row r="44790" spans="8:8">
      <c r="H44790" s="680" t="s">
        <v>6153</v>
      </c>
    </row>
    <row r="44791" spans="8:8">
      <c r="H44791" s="680" t="s">
        <v>6153</v>
      </c>
    </row>
    <row r="44792" spans="8:8">
      <c r="H44792" s="680" t="s">
        <v>6153</v>
      </c>
    </row>
    <row r="44793" spans="8:8">
      <c r="H44793" s="680" t="s">
        <v>6153</v>
      </c>
    </row>
    <row r="44794" spans="8:8">
      <c r="H44794" s="680" t="s">
        <v>6153</v>
      </c>
    </row>
    <row r="44795" spans="8:8">
      <c r="H44795" s="680" t="s">
        <v>6153</v>
      </c>
    </row>
    <row r="44796" spans="8:8">
      <c r="H44796" s="680" t="s">
        <v>6153</v>
      </c>
    </row>
    <row r="44797" spans="8:8">
      <c r="H44797" s="680" t="s">
        <v>6153</v>
      </c>
    </row>
    <row r="44798" spans="8:8">
      <c r="H44798" s="680" t="s">
        <v>6153</v>
      </c>
    </row>
    <row r="44799" spans="8:8">
      <c r="H44799" s="680" t="s">
        <v>6153</v>
      </c>
    </row>
    <row r="44800" spans="8:8">
      <c r="H44800" s="680" t="s">
        <v>6153</v>
      </c>
    </row>
    <row r="44801" spans="8:8">
      <c r="H44801" s="680" t="s">
        <v>6153</v>
      </c>
    </row>
    <row r="44802" spans="8:8">
      <c r="H44802" s="680" t="s">
        <v>6153</v>
      </c>
    </row>
    <row r="44803" spans="8:8">
      <c r="H44803" s="680" t="s">
        <v>6153</v>
      </c>
    </row>
    <row r="44804" spans="8:8">
      <c r="H44804" s="680" t="s">
        <v>6153</v>
      </c>
    </row>
    <row r="44805" spans="8:8">
      <c r="H44805" s="680" t="s">
        <v>6153</v>
      </c>
    </row>
    <row r="44806" spans="8:8">
      <c r="H44806" s="680" t="s">
        <v>6153</v>
      </c>
    </row>
    <row r="44807" spans="8:8">
      <c r="H44807" s="680" t="s">
        <v>6153</v>
      </c>
    </row>
    <row r="44808" spans="8:8">
      <c r="H44808" s="680" t="s">
        <v>6153</v>
      </c>
    </row>
    <row r="44809" spans="8:8">
      <c r="H44809" s="680" t="s">
        <v>6153</v>
      </c>
    </row>
    <row r="44810" spans="8:8">
      <c r="H44810" s="680" t="s">
        <v>6153</v>
      </c>
    </row>
    <row r="44811" spans="8:8">
      <c r="H44811" s="680" t="s">
        <v>6153</v>
      </c>
    </row>
    <row r="44812" spans="8:8">
      <c r="H44812" s="680" t="s">
        <v>6153</v>
      </c>
    </row>
    <row r="44813" spans="8:8">
      <c r="H44813" s="680" t="s">
        <v>6153</v>
      </c>
    </row>
    <row r="44814" spans="8:8">
      <c r="H44814" s="680" t="s">
        <v>6153</v>
      </c>
    </row>
    <row r="44815" spans="8:8">
      <c r="H44815" s="680" t="s">
        <v>6153</v>
      </c>
    </row>
    <row r="44816" spans="8:8">
      <c r="H44816" s="680" t="s">
        <v>6153</v>
      </c>
    </row>
    <row r="44817" spans="8:8">
      <c r="H44817" s="680" t="s">
        <v>6153</v>
      </c>
    </row>
    <row r="44818" spans="8:8">
      <c r="H44818" s="680" t="s">
        <v>6153</v>
      </c>
    </row>
    <row r="44819" spans="8:8">
      <c r="H44819" s="680" t="s">
        <v>6153</v>
      </c>
    </row>
    <row r="44820" spans="8:8">
      <c r="H44820" s="680" t="s">
        <v>6153</v>
      </c>
    </row>
    <row r="44821" spans="8:8">
      <c r="H44821" s="680" t="s">
        <v>6153</v>
      </c>
    </row>
    <row r="44822" spans="8:8">
      <c r="H44822" s="680" t="s">
        <v>6153</v>
      </c>
    </row>
    <row r="44823" spans="8:8">
      <c r="H44823" s="680" t="s">
        <v>6153</v>
      </c>
    </row>
    <row r="44824" spans="8:8">
      <c r="H44824" s="680" t="s">
        <v>6153</v>
      </c>
    </row>
    <row r="44825" spans="8:8">
      <c r="H44825" s="680" t="s">
        <v>6153</v>
      </c>
    </row>
    <row r="44826" spans="8:8">
      <c r="H44826" s="680" t="s">
        <v>6153</v>
      </c>
    </row>
    <row r="44827" spans="8:8">
      <c r="H44827" s="680" t="s">
        <v>6153</v>
      </c>
    </row>
    <row r="44828" spans="8:8">
      <c r="H44828" s="680" t="s">
        <v>6153</v>
      </c>
    </row>
    <row r="44829" spans="8:8">
      <c r="H44829" s="680" t="s">
        <v>6153</v>
      </c>
    </row>
    <row r="44830" spans="8:8">
      <c r="H44830" s="680" t="s">
        <v>6153</v>
      </c>
    </row>
    <row r="44831" spans="8:8">
      <c r="H44831" s="680" t="s">
        <v>6153</v>
      </c>
    </row>
    <row r="44832" spans="8:8">
      <c r="H44832" s="680" t="s">
        <v>6153</v>
      </c>
    </row>
    <row r="44833" spans="8:8">
      <c r="H44833" s="680" t="s">
        <v>6153</v>
      </c>
    </row>
    <row r="44834" spans="8:8">
      <c r="H44834" s="680" t="s">
        <v>6153</v>
      </c>
    </row>
    <row r="44835" spans="8:8">
      <c r="H44835" s="680" t="s">
        <v>6153</v>
      </c>
    </row>
    <row r="44836" spans="8:8">
      <c r="H44836" s="680" t="s">
        <v>6153</v>
      </c>
    </row>
    <row r="44837" spans="8:8">
      <c r="H44837" s="680" t="s">
        <v>6153</v>
      </c>
    </row>
    <row r="44838" spans="8:8">
      <c r="H44838" s="680" t="s">
        <v>6153</v>
      </c>
    </row>
    <row r="44839" spans="8:8">
      <c r="H44839" s="680" t="s">
        <v>6153</v>
      </c>
    </row>
    <row r="44840" spans="8:8">
      <c r="H44840" s="680" t="s">
        <v>6153</v>
      </c>
    </row>
    <row r="44841" spans="8:8">
      <c r="H44841" s="680" t="s">
        <v>6153</v>
      </c>
    </row>
    <row r="44842" spans="8:8">
      <c r="H44842" s="680" t="s">
        <v>6153</v>
      </c>
    </row>
    <row r="44843" spans="8:8">
      <c r="H44843" s="680" t="s">
        <v>6153</v>
      </c>
    </row>
    <row r="44844" spans="8:8">
      <c r="H44844" s="680" t="s">
        <v>6153</v>
      </c>
    </row>
    <row r="44845" spans="8:8">
      <c r="H44845" s="680" t="s">
        <v>6153</v>
      </c>
    </row>
    <row r="44846" spans="8:8">
      <c r="H44846" s="680" t="s">
        <v>6153</v>
      </c>
    </row>
    <row r="44847" spans="8:8">
      <c r="H44847" s="680" t="s">
        <v>6153</v>
      </c>
    </row>
    <row r="44848" spans="8:8">
      <c r="H44848" s="680" t="s">
        <v>6153</v>
      </c>
    </row>
    <row r="44849" spans="8:8">
      <c r="H44849" s="680" t="s">
        <v>6153</v>
      </c>
    </row>
    <row r="44850" spans="8:8">
      <c r="H44850" s="680" t="s">
        <v>6153</v>
      </c>
    </row>
    <row r="44851" spans="8:8">
      <c r="H44851" s="680" t="s">
        <v>6153</v>
      </c>
    </row>
    <row r="44852" spans="8:8">
      <c r="H44852" s="680" t="s">
        <v>6153</v>
      </c>
    </row>
    <row r="44853" spans="8:8">
      <c r="H44853" s="680" t="s">
        <v>6153</v>
      </c>
    </row>
    <row r="44854" spans="8:8">
      <c r="H44854" s="680" t="s">
        <v>6153</v>
      </c>
    </row>
    <row r="44855" spans="8:8">
      <c r="H44855" s="680" t="s">
        <v>6153</v>
      </c>
    </row>
    <row r="44856" spans="8:8">
      <c r="H44856" s="680" t="s">
        <v>6153</v>
      </c>
    </row>
    <row r="44857" spans="8:8">
      <c r="H44857" s="680" t="s">
        <v>6153</v>
      </c>
    </row>
    <row r="44858" spans="8:8">
      <c r="H44858" s="680" t="s">
        <v>6153</v>
      </c>
    </row>
    <row r="44859" spans="8:8">
      <c r="H44859" s="680" t="s">
        <v>6153</v>
      </c>
    </row>
    <row r="44860" spans="8:8">
      <c r="H44860" s="680" t="s">
        <v>6153</v>
      </c>
    </row>
    <row r="44861" spans="8:8">
      <c r="H44861" s="680" t="s">
        <v>6153</v>
      </c>
    </row>
    <row r="44862" spans="8:8">
      <c r="H44862" s="680" t="s">
        <v>6153</v>
      </c>
    </row>
    <row r="44863" spans="8:8">
      <c r="H44863" s="680" t="s">
        <v>6153</v>
      </c>
    </row>
    <row r="44864" spans="8:8">
      <c r="H44864" s="680" t="s">
        <v>6153</v>
      </c>
    </row>
    <row r="44865" spans="8:8">
      <c r="H44865" s="680" t="s">
        <v>6153</v>
      </c>
    </row>
    <row r="44866" spans="8:8">
      <c r="H44866" s="680" t="s">
        <v>6153</v>
      </c>
    </row>
    <row r="44867" spans="8:8">
      <c r="H44867" s="680" t="s">
        <v>6153</v>
      </c>
    </row>
    <row r="44868" spans="8:8">
      <c r="H44868" s="680" t="s">
        <v>6153</v>
      </c>
    </row>
    <row r="44869" spans="8:8">
      <c r="H44869" s="680" t="s">
        <v>6153</v>
      </c>
    </row>
    <row r="44870" spans="8:8">
      <c r="H44870" s="680" t="s">
        <v>6153</v>
      </c>
    </row>
    <row r="44871" spans="8:8">
      <c r="H44871" s="680" t="s">
        <v>6153</v>
      </c>
    </row>
    <row r="44872" spans="8:8">
      <c r="H44872" s="680" t="s">
        <v>6153</v>
      </c>
    </row>
    <row r="44873" spans="8:8">
      <c r="H44873" s="680" t="s">
        <v>6153</v>
      </c>
    </row>
    <row r="44874" spans="8:8">
      <c r="H44874" s="680" t="s">
        <v>6153</v>
      </c>
    </row>
    <row r="44875" spans="8:8">
      <c r="H44875" s="680" t="s">
        <v>6153</v>
      </c>
    </row>
    <row r="44876" spans="8:8">
      <c r="H44876" s="680" t="s">
        <v>6153</v>
      </c>
    </row>
    <row r="44877" spans="8:8">
      <c r="H44877" s="680" t="s">
        <v>6153</v>
      </c>
    </row>
    <row r="44878" spans="8:8">
      <c r="H44878" s="680" t="s">
        <v>6153</v>
      </c>
    </row>
    <row r="44879" spans="8:8">
      <c r="H44879" s="680" t="s">
        <v>6153</v>
      </c>
    </row>
    <row r="44880" spans="8:8">
      <c r="H44880" s="680" t="s">
        <v>6153</v>
      </c>
    </row>
    <row r="44881" spans="8:8">
      <c r="H44881" s="680" t="s">
        <v>6153</v>
      </c>
    </row>
    <row r="44882" spans="8:8">
      <c r="H44882" s="680" t="s">
        <v>6153</v>
      </c>
    </row>
    <row r="44883" spans="8:8">
      <c r="H44883" s="680" t="s">
        <v>6153</v>
      </c>
    </row>
    <row r="44884" spans="8:8">
      <c r="H44884" s="680" t="s">
        <v>6153</v>
      </c>
    </row>
    <row r="44885" spans="8:8">
      <c r="H44885" s="680" t="s">
        <v>6153</v>
      </c>
    </row>
    <row r="44886" spans="8:8">
      <c r="H44886" s="680" t="s">
        <v>6153</v>
      </c>
    </row>
    <row r="44887" spans="8:8">
      <c r="H44887" s="680" t="s">
        <v>6153</v>
      </c>
    </row>
    <row r="44888" spans="8:8">
      <c r="H44888" s="680" t="s">
        <v>6153</v>
      </c>
    </row>
    <row r="44889" spans="8:8">
      <c r="H44889" s="680" t="s">
        <v>6153</v>
      </c>
    </row>
    <row r="44890" spans="8:8">
      <c r="H44890" s="680" t="s">
        <v>6153</v>
      </c>
    </row>
    <row r="44891" spans="8:8">
      <c r="H44891" s="680" t="s">
        <v>6153</v>
      </c>
    </row>
    <row r="44892" spans="8:8">
      <c r="H44892" s="680" t="s">
        <v>6153</v>
      </c>
    </row>
    <row r="44893" spans="8:8">
      <c r="H44893" s="680" t="s">
        <v>6153</v>
      </c>
    </row>
    <row r="44894" spans="8:8">
      <c r="H44894" s="680" t="s">
        <v>6153</v>
      </c>
    </row>
    <row r="44895" spans="8:8">
      <c r="H44895" s="680" t="s">
        <v>6153</v>
      </c>
    </row>
    <row r="44896" spans="8:8">
      <c r="H44896" s="680" t="s">
        <v>6153</v>
      </c>
    </row>
    <row r="44897" spans="8:8">
      <c r="H44897" s="680" t="s">
        <v>6153</v>
      </c>
    </row>
    <row r="44898" spans="8:8">
      <c r="H44898" s="680" t="s">
        <v>6153</v>
      </c>
    </row>
    <row r="44899" spans="8:8">
      <c r="H44899" s="680" t="s">
        <v>6153</v>
      </c>
    </row>
    <row r="44900" spans="8:8">
      <c r="H44900" s="680" t="s">
        <v>6153</v>
      </c>
    </row>
    <row r="44901" spans="8:8">
      <c r="H44901" s="680" t="s">
        <v>6153</v>
      </c>
    </row>
    <row r="44902" spans="8:8">
      <c r="H44902" s="680" t="s">
        <v>6153</v>
      </c>
    </row>
    <row r="44903" spans="8:8">
      <c r="H44903" s="680" t="s">
        <v>6153</v>
      </c>
    </row>
    <row r="44904" spans="8:8">
      <c r="H44904" s="680" t="s">
        <v>6153</v>
      </c>
    </row>
    <row r="44905" spans="8:8">
      <c r="H44905" s="680" t="s">
        <v>6153</v>
      </c>
    </row>
    <row r="44906" spans="8:8">
      <c r="H44906" s="680" t="s">
        <v>6153</v>
      </c>
    </row>
    <row r="44907" spans="8:8">
      <c r="H44907" s="680" t="s">
        <v>6153</v>
      </c>
    </row>
    <row r="44908" spans="8:8">
      <c r="H44908" s="680" t="s">
        <v>6153</v>
      </c>
    </row>
    <row r="44909" spans="8:8">
      <c r="H44909" s="680" t="s">
        <v>6153</v>
      </c>
    </row>
    <row r="44910" spans="8:8">
      <c r="H44910" s="680" t="s">
        <v>6153</v>
      </c>
    </row>
    <row r="44911" spans="8:8">
      <c r="H44911" s="680" t="s">
        <v>6153</v>
      </c>
    </row>
    <row r="44912" spans="8:8">
      <c r="H44912" s="680" t="s">
        <v>6153</v>
      </c>
    </row>
    <row r="44913" spans="8:8">
      <c r="H44913" s="680" t="s">
        <v>6153</v>
      </c>
    </row>
    <row r="44914" spans="8:8">
      <c r="H44914" s="680" t="s">
        <v>6153</v>
      </c>
    </row>
    <row r="44915" spans="8:8">
      <c r="H44915" s="680" t="s">
        <v>6153</v>
      </c>
    </row>
    <row r="44916" spans="8:8">
      <c r="H44916" s="680" t="s">
        <v>6153</v>
      </c>
    </row>
    <row r="44917" spans="8:8">
      <c r="H44917" s="680" t="s">
        <v>6153</v>
      </c>
    </row>
    <row r="44918" spans="8:8">
      <c r="H44918" s="680" t="s">
        <v>6153</v>
      </c>
    </row>
    <row r="44919" spans="8:8">
      <c r="H44919" s="680" t="s">
        <v>6153</v>
      </c>
    </row>
    <row r="44920" spans="8:8">
      <c r="H44920" s="680" t="s">
        <v>6153</v>
      </c>
    </row>
    <row r="44921" spans="8:8">
      <c r="H44921" s="680" t="s">
        <v>6153</v>
      </c>
    </row>
    <row r="44922" spans="8:8">
      <c r="H44922" s="680" t="s">
        <v>6153</v>
      </c>
    </row>
    <row r="44923" spans="8:8">
      <c r="H44923" s="680" t="s">
        <v>6153</v>
      </c>
    </row>
    <row r="44924" spans="8:8">
      <c r="H44924" s="680" t="s">
        <v>6153</v>
      </c>
    </row>
    <row r="44925" spans="8:8">
      <c r="H44925" s="680" t="s">
        <v>6153</v>
      </c>
    </row>
    <row r="44926" spans="8:8">
      <c r="H44926" s="680" t="s">
        <v>6153</v>
      </c>
    </row>
    <row r="44927" spans="8:8">
      <c r="H44927" s="680" t="s">
        <v>6153</v>
      </c>
    </row>
    <row r="44928" spans="8:8">
      <c r="H44928" s="680" t="s">
        <v>6153</v>
      </c>
    </row>
    <row r="44929" spans="8:8">
      <c r="H44929" s="680" t="s">
        <v>6153</v>
      </c>
    </row>
    <row r="44930" spans="8:8">
      <c r="H44930" s="680" t="s">
        <v>6153</v>
      </c>
    </row>
    <row r="44931" spans="8:8">
      <c r="H44931" s="680" t="s">
        <v>6153</v>
      </c>
    </row>
    <row r="44932" spans="8:8">
      <c r="H44932" s="680" t="s">
        <v>6153</v>
      </c>
    </row>
    <row r="44933" spans="8:8">
      <c r="H44933" s="680" t="s">
        <v>6153</v>
      </c>
    </row>
    <row r="44934" spans="8:8">
      <c r="H44934" s="680" t="s">
        <v>6153</v>
      </c>
    </row>
    <row r="44935" spans="8:8">
      <c r="H44935" s="680" t="s">
        <v>6153</v>
      </c>
    </row>
    <row r="44936" spans="8:8">
      <c r="H44936" s="680" t="s">
        <v>6153</v>
      </c>
    </row>
    <row r="44937" spans="8:8">
      <c r="H44937" s="680" t="s">
        <v>6153</v>
      </c>
    </row>
    <row r="44938" spans="8:8">
      <c r="H44938" s="680" t="s">
        <v>6153</v>
      </c>
    </row>
    <row r="44939" spans="8:8">
      <c r="H44939" s="680" t="s">
        <v>6153</v>
      </c>
    </row>
    <row r="44940" spans="8:8">
      <c r="H44940" s="680" t="s">
        <v>6153</v>
      </c>
    </row>
    <row r="44941" spans="8:8">
      <c r="H44941" s="680" t="s">
        <v>6153</v>
      </c>
    </row>
    <row r="44942" spans="8:8">
      <c r="H44942" s="680" t="s">
        <v>6153</v>
      </c>
    </row>
    <row r="44943" spans="8:8">
      <c r="H44943" s="680" t="s">
        <v>6153</v>
      </c>
    </row>
    <row r="44944" spans="8:8">
      <c r="H44944" s="680" t="s">
        <v>6153</v>
      </c>
    </row>
    <row r="44945" spans="8:8">
      <c r="H44945" s="680" t="s">
        <v>6153</v>
      </c>
    </row>
    <row r="44946" spans="8:8">
      <c r="H44946" s="680" t="s">
        <v>6153</v>
      </c>
    </row>
    <row r="44947" spans="8:8">
      <c r="H44947" s="680" t="s">
        <v>6153</v>
      </c>
    </row>
    <row r="44948" spans="8:8">
      <c r="H44948" s="680" t="s">
        <v>6153</v>
      </c>
    </row>
    <row r="44949" spans="8:8">
      <c r="H44949" s="680" t="s">
        <v>6153</v>
      </c>
    </row>
    <row r="44950" spans="8:8">
      <c r="H44950" s="680" t="s">
        <v>6153</v>
      </c>
    </row>
    <row r="44951" spans="8:8">
      <c r="H44951" s="680" t="s">
        <v>6153</v>
      </c>
    </row>
    <row r="44952" spans="8:8">
      <c r="H44952" s="680" t="s">
        <v>6153</v>
      </c>
    </row>
    <row r="44953" spans="8:8">
      <c r="H44953" s="680" t="s">
        <v>6153</v>
      </c>
    </row>
    <row r="44954" spans="8:8">
      <c r="H44954" s="680" t="s">
        <v>6153</v>
      </c>
    </row>
    <row r="44955" spans="8:8">
      <c r="H44955" s="680" t="s">
        <v>6153</v>
      </c>
    </row>
    <row r="44956" spans="8:8">
      <c r="H44956" s="680" t="s">
        <v>6153</v>
      </c>
    </row>
    <row r="44957" spans="8:8">
      <c r="H44957" s="680" t="s">
        <v>6153</v>
      </c>
    </row>
    <row r="44958" spans="8:8">
      <c r="H44958" s="680" t="s">
        <v>6153</v>
      </c>
    </row>
    <row r="44959" spans="8:8">
      <c r="H44959" s="680" t="s">
        <v>6153</v>
      </c>
    </row>
    <row r="44960" spans="8:8">
      <c r="H44960" s="680" t="s">
        <v>6153</v>
      </c>
    </row>
    <row r="44961" spans="8:8">
      <c r="H44961" s="680" t="s">
        <v>6153</v>
      </c>
    </row>
    <row r="44962" spans="8:8">
      <c r="H44962" s="680" t="s">
        <v>6153</v>
      </c>
    </row>
    <row r="44963" spans="8:8">
      <c r="H44963" s="680" t="s">
        <v>6153</v>
      </c>
    </row>
    <row r="44964" spans="8:8">
      <c r="H44964" s="680" t="s">
        <v>6153</v>
      </c>
    </row>
    <row r="44965" spans="8:8">
      <c r="H44965" s="680" t="s">
        <v>6153</v>
      </c>
    </row>
    <row r="44966" spans="8:8">
      <c r="H44966" s="680" t="s">
        <v>6153</v>
      </c>
    </row>
    <row r="44967" spans="8:8">
      <c r="H44967" s="680" t="s">
        <v>6153</v>
      </c>
    </row>
    <row r="44968" spans="8:8">
      <c r="H44968" s="680" t="s">
        <v>6153</v>
      </c>
    </row>
    <row r="44969" spans="8:8">
      <c r="H44969" s="680" t="s">
        <v>6153</v>
      </c>
    </row>
    <row r="44970" spans="8:8">
      <c r="H44970" s="680" t="s">
        <v>6153</v>
      </c>
    </row>
    <row r="44971" spans="8:8">
      <c r="H44971" s="680" t="s">
        <v>6153</v>
      </c>
    </row>
    <row r="44972" spans="8:8">
      <c r="H44972" s="680" t="s">
        <v>6153</v>
      </c>
    </row>
    <row r="44973" spans="8:8">
      <c r="H44973" s="680" t="s">
        <v>6153</v>
      </c>
    </row>
    <row r="44974" spans="8:8">
      <c r="H44974" s="680" t="s">
        <v>6153</v>
      </c>
    </row>
    <row r="44975" spans="8:8">
      <c r="H44975" s="680" t="s">
        <v>6153</v>
      </c>
    </row>
    <row r="44976" spans="8:8">
      <c r="H44976" s="680" t="s">
        <v>6153</v>
      </c>
    </row>
    <row r="44977" spans="8:8">
      <c r="H44977" s="680" t="s">
        <v>6153</v>
      </c>
    </row>
    <row r="44978" spans="8:8">
      <c r="H44978" s="680" t="s">
        <v>6153</v>
      </c>
    </row>
    <row r="44979" spans="8:8">
      <c r="H44979" s="680" t="s">
        <v>6153</v>
      </c>
    </row>
    <row r="44980" spans="8:8">
      <c r="H44980" s="680" t="s">
        <v>6153</v>
      </c>
    </row>
    <row r="44981" spans="8:8">
      <c r="H44981" s="680" t="s">
        <v>6153</v>
      </c>
    </row>
    <row r="44982" spans="8:8">
      <c r="H44982" s="680" t="s">
        <v>6153</v>
      </c>
    </row>
    <row r="44983" spans="8:8">
      <c r="H44983" s="680" t="s">
        <v>6153</v>
      </c>
    </row>
    <row r="44984" spans="8:8">
      <c r="H44984" s="680" t="s">
        <v>6153</v>
      </c>
    </row>
    <row r="44985" spans="8:8">
      <c r="H44985" s="680" t="s">
        <v>6153</v>
      </c>
    </row>
    <row r="44986" spans="8:8">
      <c r="H44986" s="680" t="s">
        <v>6153</v>
      </c>
    </row>
    <row r="44987" spans="8:8">
      <c r="H44987" s="680" t="s">
        <v>6153</v>
      </c>
    </row>
    <row r="44988" spans="8:8">
      <c r="H44988" s="680" t="s">
        <v>6153</v>
      </c>
    </row>
    <row r="44989" spans="8:8">
      <c r="H44989" s="680" t="s">
        <v>6153</v>
      </c>
    </row>
    <row r="44990" spans="8:8">
      <c r="H44990" s="680" t="s">
        <v>6153</v>
      </c>
    </row>
    <row r="44991" spans="8:8">
      <c r="H44991" s="680" t="s">
        <v>6153</v>
      </c>
    </row>
    <row r="44992" spans="8:8">
      <c r="H44992" s="680" t="s">
        <v>6153</v>
      </c>
    </row>
    <row r="44993" spans="8:8">
      <c r="H44993" s="680" t="s">
        <v>6153</v>
      </c>
    </row>
    <row r="44994" spans="8:8">
      <c r="H44994" s="680" t="s">
        <v>6153</v>
      </c>
    </row>
    <row r="44995" spans="8:8">
      <c r="H44995" s="680" t="s">
        <v>6153</v>
      </c>
    </row>
    <row r="44996" spans="8:8">
      <c r="H44996" s="680" t="s">
        <v>6153</v>
      </c>
    </row>
    <row r="44997" spans="8:8">
      <c r="H44997" s="680" t="s">
        <v>6153</v>
      </c>
    </row>
    <row r="44998" spans="8:8">
      <c r="H44998" s="680" t="s">
        <v>6153</v>
      </c>
    </row>
    <row r="44999" spans="8:8">
      <c r="H44999" s="680" t="s">
        <v>6153</v>
      </c>
    </row>
    <row r="45000" spans="8:8">
      <c r="H45000" s="680" t="s">
        <v>6153</v>
      </c>
    </row>
    <row r="45001" spans="8:8">
      <c r="H45001" s="680" t="s">
        <v>6153</v>
      </c>
    </row>
    <row r="45002" spans="8:8">
      <c r="H45002" s="680" t="s">
        <v>6153</v>
      </c>
    </row>
    <row r="45003" spans="8:8">
      <c r="H45003" s="680" t="s">
        <v>6153</v>
      </c>
    </row>
    <row r="45004" spans="8:8">
      <c r="H45004" s="680" t="s">
        <v>6153</v>
      </c>
    </row>
    <row r="45005" spans="8:8">
      <c r="H45005" s="680" t="s">
        <v>6153</v>
      </c>
    </row>
    <row r="45006" spans="8:8">
      <c r="H45006" s="680" t="s">
        <v>6153</v>
      </c>
    </row>
    <row r="45007" spans="8:8">
      <c r="H45007" s="680" t="s">
        <v>6153</v>
      </c>
    </row>
    <row r="45008" spans="8:8">
      <c r="H45008" s="680" t="s">
        <v>6153</v>
      </c>
    </row>
    <row r="45009" spans="8:8">
      <c r="H45009" s="680" t="s">
        <v>6153</v>
      </c>
    </row>
    <row r="45010" spans="8:8">
      <c r="H45010" s="680" t="s">
        <v>6153</v>
      </c>
    </row>
    <row r="45011" spans="8:8">
      <c r="H45011" s="680" t="s">
        <v>6153</v>
      </c>
    </row>
    <row r="45012" spans="8:8">
      <c r="H45012" s="680" t="s">
        <v>6153</v>
      </c>
    </row>
    <row r="45013" spans="8:8">
      <c r="H45013" s="680" t="s">
        <v>6153</v>
      </c>
    </row>
    <row r="45014" spans="8:8">
      <c r="H45014" s="680" t="s">
        <v>6153</v>
      </c>
    </row>
    <row r="45015" spans="8:8">
      <c r="H45015" s="680" t="s">
        <v>6153</v>
      </c>
    </row>
    <row r="45016" spans="8:8">
      <c r="H45016" s="680" t="s">
        <v>6153</v>
      </c>
    </row>
    <row r="45017" spans="8:8">
      <c r="H45017" s="680" t="s">
        <v>6153</v>
      </c>
    </row>
    <row r="45018" spans="8:8">
      <c r="H45018" s="680" t="s">
        <v>6153</v>
      </c>
    </row>
    <row r="45019" spans="8:8">
      <c r="H45019" s="680" t="s">
        <v>6153</v>
      </c>
    </row>
    <row r="45020" spans="8:8">
      <c r="H45020" s="680" t="s">
        <v>6153</v>
      </c>
    </row>
    <row r="45021" spans="8:8">
      <c r="H45021" s="680" t="s">
        <v>6153</v>
      </c>
    </row>
    <row r="45022" spans="8:8">
      <c r="H45022" s="680" t="s">
        <v>6153</v>
      </c>
    </row>
    <row r="45023" spans="8:8">
      <c r="H45023" s="680" t="s">
        <v>6153</v>
      </c>
    </row>
    <row r="45024" spans="8:8">
      <c r="H45024" s="680" t="s">
        <v>6153</v>
      </c>
    </row>
    <row r="45025" spans="8:8">
      <c r="H45025" s="680" t="s">
        <v>6153</v>
      </c>
    </row>
    <row r="45026" spans="8:8">
      <c r="H45026" s="680" t="s">
        <v>6153</v>
      </c>
    </row>
    <row r="45027" spans="8:8">
      <c r="H45027" s="680" t="s">
        <v>6153</v>
      </c>
    </row>
    <row r="45028" spans="8:8">
      <c r="H45028" s="680" t="s">
        <v>6153</v>
      </c>
    </row>
    <row r="45029" spans="8:8">
      <c r="H45029" s="680" t="s">
        <v>6153</v>
      </c>
    </row>
    <row r="45030" spans="8:8">
      <c r="H45030" s="680" t="s">
        <v>6153</v>
      </c>
    </row>
    <row r="45031" spans="8:8">
      <c r="H45031" s="680" t="s">
        <v>6153</v>
      </c>
    </row>
    <row r="45032" spans="8:8">
      <c r="H45032" s="680" t="s">
        <v>6153</v>
      </c>
    </row>
    <row r="45033" spans="8:8">
      <c r="H45033" s="680" t="s">
        <v>6153</v>
      </c>
    </row>
    <row r="45034" spans="8:8">
      <c r="H45034" s="680" t="s">
        <v>6153</v>
      </c>
    </row>
    <row r="45035" spans="8:8">
      <c r="H45035" s="680" t="s">
        <v>6153</v>
      </c>
    </row>
    <row r="45036" spans="8:8">
      <c r="H45036" s="680" t="s">
        <v>6153</v>
      </c>
    </row>
    <row r="45037" spans="8:8">
      <c r="H45037" s="680" t="s">
        <v>6153</v>
      </c>
    </row>
    <row r="45038" spans="8:8">
      <c r="H45038" s="680" t="s">
        <v>6153</v>
      </c>
    </row>
    <row r="45039" spans="8:8">
      <c r="H45039" s="680" t="s">
        <v>6153</v>
      </c>
    </row>
    <row r="45040" spans="8:8">
      <c r="H45040" s="680" t="s">
        <v>6153</v>
      </c>
    </row>
    <row r="45041" spans="8:8">
      <c r="H45041" s="680" t="s">
        <v>6153</v>
      </c>
    </row>
    <row r="45042" spans="8:8">
      <c r="H45042" s="680" t="s">
        <v>6153</v>
      </c>
    </row>
    <row r="45043" spans="8:8">
      <c r="H45043" s="680" t="s">
        <v>6153</v>
      </c>
    </row>
    <row r="45044" spans="8:8">
      <c r="H45044" s="680" t="s">
        <v>6153</v>
      </c>
    </row>
    <row r="45045" spans="8:8">
      <c r="H45045" s="680" t="s">
        <v>6153</v>
      </c>
    </row>
    <row r="45046" spans="8:8">
      <c r="H45046" s="680" t="s">
        <v>6153</v>
      </c>
    </row>
    <row r="45047" spans="8:8">
      <c r="H45047" s="680" t="s">
        <v>6153</v>
      </c>
    </row>
    <row r="45048" spans="8:8">
      <c r="H45048" s="680" t="s">
        <v>6153</v>
      </c>
    </row>
    <row r="45049" spans="8:8">
      <c r="H45049" s="680" t="s">
        <v>6153</v>
      </c>
    </row>
    <row r="45050" spans="8:8">
      <c r="H45050" s="680" t="s">
        <v>6153</v>
      </c>
    </row>
    <row r="45051" spans="8:8">
      <c r="H45051" s="680" t="s">
        <v>6153</v>
      </c>
    </row>
    <row r="45052" spans="8:8">
      <c r="H45052" s="680" t="s">
        <v>6153</v>
      </c>
    </row>
    <row r="45053" spans="8:8">
      <c r="H45053" s="680" t="s">
        <v>6153</v>
      </c>
    </row>
    <row r="45054" spans="8:8">
      <c r="H45054" s="680" t="s">
        <v>6153</v>
      </c>
    </row>
    <row r="45055" spans="8:8">
      <c r="H45055" s="680" t="s">
        <v>6153</v>
      </c>
    </row>
    <row r="45056" spans="8:8">
      <c r="H45056" s="680" t="s">
        <v>6153</v>
      </c>
    </row>
    <row r="45057" spans="8:8">
      <c r="H45057" s="680" t="s">
        <v>6153</v>
      </c>
    </row>
    <row r="45058" spans="8:8">
      <c r="H45058" s="680" t="s">
        <v>6153</v>
      </c>
    </row>
    <row r="45059" spans="8:8">
      <c r="H45059" s="680" t="s">
        <v>6153</v>
      </c>
    </row>
    <row r="45060" spans="8:8">
      <c r="H45060" s="680" t="s">
        <v>6153</v>
      </c>
    </row>
    <row r="45061" spans="8:8">
      <c r="H45061" s="680" t="s">
        <v>6153</v>
      </c>
    </row>
    <row r="45062" spans="8:8">
      <c r="H45062" s="680" t="s">
        <v>6153</v>
      </c>
    </row>
    <row r="45063" spans="8:8">
      <c r="H45063" s="680" t="s">
        <v>6153</v>
      </c>
    </row>
    <row r="45064" spans="8:8">
      <c r="H45064" s="680" t="s">
        <v>6153</v>
      </c>
    </row>
    <row r="45065" spans="8:8">
      <c r="H45065" s="680" t="s">
        <v>6153</v>
      </c>
    </row>
    <row r="45066" spans="8:8">
      <c r="H45066" s="680" t="s">
        <v>6153</v>
      </c>
    </row>
    <row r="45067" spans="8:8">
      <c r="H45067" s="680" t="s">
        <v>6153</v>
      </c>
    </row>
    <row r="45068" spans="8:8">
      <c r="H45068" s="680" t="s">
        <v>6153</v>
      </c>
    </row>
    <row r="45069" spans="8:8">
      <c r="H45069" s="680" t="s">
        <v>6153</v>
      </c>
    </row>
    <row r="45070" spans="8:8">
      <c r="H45070" s="680" t="s">
        <v>6153</v>
      </c>
    </row>
    <row r="45071" spans="8:8">
      <c r="H45071" s="680" t="s">
        <v>6153</v>
      </c>
    </row>
    <row r="45072" spans="8:8">
      <c r="H45072" s="680" t="s">
        <v>6153</v>
      </c>
    </row>
    <row r="45073" spans="8:8">
      <c r="H45073" s="680" t="s">
        <v>6153</v>
      </c>
    </row>
    <row r="45074" spans="8:8">
      <c r="H45074" s="680" t="s">
        <v>6153</v>
      </c>
    </row>
    <row r="45075" spans="8:8">
      <c r="H45075" s="680" t="s">
        <v>6153</v>
      </c>
    </row>
    <row r="45076" spans="8:8">
      <c r="H45076" s="680" t="s">
        <v>6153</v>
      </c>
    </row>
    <row r="45077" spans="8:8">
      <c r="H45077" s="680" t="s">
        <v>6153</v>
      </c>
    </row>
    <row r="45078" spans="8:8">
      <c r="H45078" s="680" t="s">
        <v>6153</v>
      </c>
    </row>
    <row r="45079" spans="8:8">
      <c r="H45079" s="680" t="s">
        <v>6153</v>
      </c>
    </row>
    <row r="45080" spans="8:8">
      <c r="H45080" s="680" t="s">
        <v>6153</v>
      </c>
    </row>
    <row r="45081" spans="8:8">
      <c r="H45081" s="680" t="s">
        <v>6153</v>
      </c>
    </row>
    <row r="45082" spans="8:8">
      <c r="H45082" s="680" t="s">
        <v>6153</v>
      </c>
    </row>
    <row r="45083" spans="8:8">
      <c r="H45083" s="680" t="s">
        <v>6153</v>
      </c>
    </row>
    <row r="45084" spans="8:8">
      <c r="H45084" s="680" t="s">
        <v>6153</v>
      </c>
    </row>
    <row r="45085" spans="8:8">
      <c r="H45085" s="680" t="s">
        <v>6153</v>
      </c>
    </row>
    <row r="45086" spans="8:8">
      <c r="H45086" s="680" t="s">
        <v>6153</v>
      </c>
    </row>
    <row r="45087" spans="8:8">
      <c r="H45087" s="680" t="s">
        <v>6153</v>
      </c>
    </row>
    <row r="45088" spans="8:8">
      <c r="H45088" s="680" t="s">
        <v>6153</v>
      </c>
    </row>
    <row r="45089" spans="8:8">
      <c r="H45089" s="680" t="s">
        <v>6153</v>
      </c>
    </row>
    <row r="45090" spans="8:8">
      <c r="H45090" s="680" t="s">
        <v>6153</v>
      </c>
    </row>
    <row r="45091" spans="8:8">
      <c r="H45091" s="680" t="s">
        <v>6153</v>
      </c>
    </row>
    <row r="45092" spans="8:8">
      <c r="H45092" s="680" t="s">
        <v>6153</v>
      </c>
    </row>
    <row r="45093" spans="8:8">
      <c r="H45093" s="680" t="s">
        <v>6153</v>
      </c>
    </row>
    <row r="45094" spans="8:8">
      <c r="H45094" s="680" t="s">
        <v>6153</v>
      </c>
    </row>
    <row r="45095" spans="8:8">
      <c r="H45095" s="680" t="s">
        <v>6153</v>
      </c>
    </row>
    <row r="45096" spans="8:8">
      <c r="H45096" s="680" t="s">
        <v>6153</v>
      </c>
    </row>
    <row r="45097" spans="8:8">
      <c r="H45097" s="680" t="s">
        <v>6153</v>
      </c>
    </row>
    <row r="45098" spans="8:8">
      <c r="H45098" s="680" t="s">
        <v>6153</v>
      </c>
    </row>
    <row r="45099" spans="8:8">
      <c r="H45099" s="680" t="s">
        <v>6153</v>
      </c>
    </row>
    <row r="45100" spans="8:8">
      <c r="H45100" s="680" t="s">
        <v>6153</v>
      </c>
    </row>
    <row r="45101" spans="8:8">
      <c r="H45101" s="680" t="s">
        <v>6153</v>
      </c>
    </row>
    <row r="45102" spans="8:8">
      <c r="H45102" s="680" t="s">
        <v>6153</v>
      </c>
    </row>
    <row r="45103" spans="8:8">
      <c r="H45103" s="680" t="s">
        <v>6153</v>
      </c>
    </row>
    <row r="45104" spans="8:8">
      <c r="H45104" s="680" t="s">
        <v>6153</v>
      </c>
    </row>
    <row r="45105" spans="8:8">
      <c r="H45105" s="680" t="s">
        <v>6153</v>
      </c>
    </row>
    <row r="45106" spans="8:8">
      <c r="H45106" s="680" t="s">
        <v>6153</v>
      </c>
    </row>
    <row r="45107" spans="8:8">
      <c r="H45107" s="680" t="s">
        <v>6153</v>
      </c>
    </row>
    <row r="45108" spans="8:8">
      <c r="H45108" s="680" t="s">
        <v>6153</v>
      </c>
    </row>
    <row r="45109" spans="8:8">
      <c r="H45109" s="680" t="s">
        <v>6153</v>
      </c>
    </row>
    <row r="45110" spans="8:8">
      <c r="H45110" s="680" t="s">
        <v>6153</v>
      </c>
    </row>
    <row r="45111" spans="8:8">
      <c r="H45111" s="680" t="s">
        <v>6153</v>
      </c>
    </row>
    <row r="45112" spans="8:8">
      <c r="H45112" s="680" t="s">
        <v>6153</v>
      </c>
    </row>
    <row r="45113" spans="8:8">
      <c r="H45113" s="680" t="s">
        <v>6153</v>
      </c>
    </row>
    <row r="45114" spans="8:8">
      <c r="H45114" s="680" t="s">
        <v>6153</v>
      </c>
    </row>
    <row r="45115" spans="8:8">
      <c r="H45115" s="680" t="s">
        <v>6153</v>
      </c>
    </row>
    <row r="45116" spans="8:8">
      <c r="H45116" s="680" t="s">
        <v>6153</v>
      </c>
    </row>
    <row r="45117" spans="8:8">
      <c r="H45117" s="680" t="s">
        <v>6153</v>
      </c>
    </row>
    <row r="45118" spans="8:8">
      <c r="H45118" s="680" t="s">
        <v>6153</v>
      </c>
    </row>
    <row r="45119" spans="8:8">
      <c r="H45119" s="680" t="s">
        <v>6153</v>
      </c>
    </row>
    <row r="45120" spans="8:8">
      <c r="H45120" s="680" t="s">
        <v>6153</v>
      </c>
    </row>
    <row r="45121" spans="8:8">
      <c r="H45121" s="680" t="s">
        <v>6153</v>
      </c>
    </row>
    <row r="45122" spans="8:8">
      <c r="H45122" s="680" t="s">
        <v>6153</v>
      </c>
    </row>
    <row r="45123" spans="8:8">
      <c r="H45123" s="680" t="s">
        <v>6153</v>
      </c>
    </row>
    <row r="45124" spans="8:8">
      <c r="H45124" s="680" t="s">
        <v>6153</v>
      </c>
    </row>
    <row r="45125" spans="8:8">
      <c r="H45125" s="680" t="s">
        <v>6153</v>
      </c>
    </row>
    <row r="45126" spans="8:8">
      <c r="H45126" s="680" t="s">
        <v>6153</v>
      </c>
    </row>
    <row r="45127" spans="8:8">
      <c r="H45127" s="680" t="s">
        <v>6153</v>
      </c>
    </row>
    <row r="45128" spans="8:8">
      <c r="H45128" s="680" t="s">
        <v>6153</v>
      </c>
    </row>
    <row r="45129" spans="8:8">
      <c r="H45129" s="680" t="s">
        <v>6153</v>
      </c>
    </row>
    <row r="45130" spans="8:8">
      <c r="H45130" s="680" t="s">
        <v>6153</v>
      </c>
    </row>
    <row r="45131" spans="8:8">
      <c r="H45131" s="680" t="s">
        <v>6153</v>
      </c>
    </row>
    <row r="45132" spans="8:8">
      <c r="H45132" s="680" t="s">
        <v>6153</v>
      </c>
    </row>
    <row r="45133" spans="8:8">
      <c r="H45133" s="680" t="s">
        <v>6153</v>
      </c>
    </row>
    <row r="45134" spans="8:8">
      <c r="H45134" s="680" t="s">
        <v>6153</v>
      </c>
    </row>
    <row r="45135" spans="8:8">
      <c r="H45135" s="680" t="s">
        <v>6153</v>
      </c>
    </row>
    <row r="45136" spans="8:8">
      <c r="H45136" s="680" t="s">
        <v>6153</v>
      </c>
    </row>
    <row r="45137" spans="8:8">
      <c r="H45137" s="680" t="s">
        <v>6153</v>
      </c>
    </row>
    <row r="45138" spans="8:8">
      <c r="H45138" s="680" t="s">
        <v>6153</v>
      </c>
    </row>
    <row r="45139" spans="8:8">
      <c r="H45139" s="680" t="s">
        <v>6153</v>
      </c>
    </row>
    <row r="45140" spans="8:8">
      <c r="H45140" s="680" t="s">
        <v>6153</v>
      </c>
    </row>
    <row r="45141" spans="8:8">
      <c r="H45141" s="680" t="s">
        <v>6153</v>
      </c>
    </row>
    <row r="45142" spans="8:8">
      <c r="H45142" s="680" t="s">
        <v>6153</v>
      </c>
    </row>
    <row r="45143" spans="8:8">
      <c r="H45143" s="680" t="s">
        <v>6153</v>
      </c>
    </row>
    <row r="45144" spans="8:8">
      <c r="H45144" s="680" t="s">
        <v>6153</v>
      </c>
    </row>
    <row r="45145" spans="8:8">
      <c r="H45145" s="680" t="s">
        <v>6153</v>
      </c>
    </row>
    <row r="45146" spans="8:8">
      <c r="H45146" s="680" t="s">
        <v>6153</v>
      </c>
    </row>
    <row r="45147" spans="8:8">
      <c r="H45147" s="680" t="s">
        <v>6153</v>
      </c>
    </row>
    <row r="45148" spans="8:8">
      <c r="H45148" s="680" t="s">
        <v>6153</v>
      </c>
    </row>
    <row r="45149" spans="8:8">
      <c r="H45149" s="680" t="s">
        <v>6153</v>
      </c>
    </row>
    <row r="45150" spans="8:8">
      <c r="H45150" s="680" t="s">
        <v>6153</v>
      </c>
    </row>
    <row r="45151" spans="8:8">
      <c r="H45151" s="680" t="s">
        <v>6153</v>
      </c>
    </row>
    <row r="45152" spans="8:8">
      <c r="H45152" s="680" t="s">
        <v>6153</v>
      </c>
    </row>
    <row r="45153" spans="8:8">
      <c r="H45153" s="680" t="s">
        <v>6153</v>
      </c>
    </row>
    <row r="45154" spans="8:8">
      <c r="H45154" s="680" t="s">
        <v>6153</v>
      </c>
    </row>
    <row r="45155" spans="8:8">
      <c r="H45155" s="680" t="s">
        <v>6153</v>
      </c>
    </row>
    <row r="45156" spans="8:8">
      <c r="H45156" s="680" t="s">
        <v>6153</v>
      </c>
    </row>
    <row r="45157" spans="8:8">
      <c r="H45157" s="680" t="s">
        <v>6153</v>
      </c>
    </row>
    <row r="45158" spans="8:8">
      <c r="H45158" s="680" t="s">
        <v>6153</v>
      </c>
    </row>
    <row r="45159" spans="8:8">
      <c r="H45159" s="680" t="s">
        <v>6153</v>
      </c>
    </row>
    <row r="45160" spans="8:8">
      <c r="H45160" s="680" t="s">
        <v>6153</v>
      </c>
    </row>
    <row r="45161" spans="8:8">
      <c r="H45161" s="680" t="s">
        <v>6153</v>
      </c>
    </row>
    <row r="45162" spans="8:8">
      <c r="H45162" s="680" t="s">
        <v>6153</v>
      </c>
    </row>
    <row r="45163" spans="8:8">
      <c r="H45163" s="680" t="s">
        <v>6153</v>
      </c>
    </row>
    <row r="45164" spans="8:8">
      <c r="H45164" s="680" t="s">
        <v>6153</v>
      </c>
    </row>
    <row r="45165" spans="8:8">
      <c r="H45165" s="680" t="s">
        <v>6153</v>
      </c>
    </row>
    <row r="45166" spans="8:8">
      <c r="H45166" s="680" t="s">
        <v>6153</v>
      </c>
    </row>
    <row r="45167" spans="8:8">
      <c r="H45167" s="680" t="s">
        <v>6153</v>
      </c>
    </row>
    <row r="45168" spans="8:8">
      <c r="H45168" s="680" t="s">
        <v>6153</v>
      </c>
    </row>
    <row r="45169" spans="8:8">
      <c r="H45169" s="680" t="s">
        <v>6153</v>
      </c>
    </row>
    <row r="45170" spans="8:8">
      <c r="H45170" s="680" t="s">
        <v>6153</v>
      </c>
    </row>
    <row r="45171" spans="8:8">
      <c r="H45171" s="680" t="s">
        <v>6153</v>
      </c>
    </row>
    <row r="45172" spans="8:8">
      <c r="H45172" s="680" t="s">
        <v>6153</v>
      </c>
    </row>
    <row r="45173" spans="8:8">
      <c r="H45173" s="680" t="s">
        <v>6153</v>
      </c>
    </row>
    <row r="45174" spans="8:8">
      <c r="H45174" s="680" t="s">
        <v>6153</v>
      </c>
    </row>
    <row r="45175" spans="8:8">
      <c r="H45175" s="680" t="s">
        <v>6153</v>
      </c>
    </row>
    <row r="45176" spans="8:8">
      <c r="H45176" s="680" t="s">
        <v>6153</v>
      </c>
    </row>
    <row r="45177" spans="8:8">
      <c r="H45177" s="680" t="s">
        <v>6153</v>
      </c>
    </row>
    <row r="45178" spans="8:8">
      <c r="H45178" s="680" t="s">
        <v>6153</v>
      </c>
    </row>
    <row r="45179" spans="8:8">
      <c r="H45179" s="680" t="s">
        <v>6153</v>
      </c>
    </row>
    <row r="45180" spans="8:8">
      <c r="H45180" s="680" t="s">
        <v>6153</v>
      </c>
    </row>
    <row r="45181" spans="8:8">
      <c r="H45181" s="680" t="s">
        <v>6153</v>
      </c>
    </row>
    <row r="45182" spans="8:8">
      <c r="H45182" s="680" t="s">
        <v>6153</v>
      </c>
    </row>
    <row r="45183" spans="8:8">
      <c r="H45183" s="680" t="s">
        <v>6153</v>
      </c>
    </row>
    <row r="45184" spans="8:8">
      <c r="H45184" s="680" t="s">
        <v>6153</v>
      </c>
    </row>
    <row r="45185" spans="8:8">
      <c r="H45185" s="680" t="s">
        <v>6153</v>
      </c>
    </row>
    <row r="45186" spans="8:8">
      <c r="H45186" s="680" t="s">
        <v>6153</v>
      </c>
    </row>
    <row r="45187" spans="8:8">
      <c r="H45187" s="680" t="s">
        <v>6153</v>
      </c>
    </row>
    <row r="45188" spans="8:8">
      <c r="H45188" s="680" t="s">
        <v>6153</v>
      </c>
    </row>
    <row r="45189" spans="8:8">
      <c r="H45189" s="680" t="s">
        <v>6153</v>
      </c>
    </row>
    <row r="45190" spans="8:8">
      <c r="H45190" s="680" t="s">
        <v>6153</v>
      </c>
    </row>
    <row r="45191" spans="8:8">
      <c r="H45191" s="680" t="s">
        <v>6153</v>
      </c>
    </row>
    <row r="45192" spans="8:8">
      <c r="H45192" s="680" t="s">
        <v>6153</v>
      </c>
    </row>
    <row r="45193" spans="8:8">
      <c r="H45193" s="680" t="s">
        <v>6153</v>
      </c>
    </row>
    <row r="45194" spans="8:8">
      <c r="H45194" s="680" t="s">
        <v>6153</v>
      </c>
    </row>
    <row r="45195" spans="8:8">
      <c r="H45195" s="680" t="s">
        <v>6153</v>
      </c>
    </row>
    <row r="45196" spans="8:8">
      <c r="H45196" s="680" t="s">
        <v>6153</v>
      </c>
    </row>
    <row r="45197" spans="8:8">
      <c r="H45197" s="680" t="s">
        <v>6153</v>
      </c>
    </row>
    <row r="45198" spans="8:8">
      <c r="H45198" s="680" t="s">
        <v>6153</v>
      </c>
    </row>
    <row r="45199" spans="8:8">
      <c r="H45199" s="680" t="s">
        <v>6153</v>
      </c>
    </row>
    <row r="45200" spans="8:8">
      <c r="H45200" s="680" t="s">
        <v>6153</v>
      </c>
    </row>
    <row r="45201" spans="8:8">
      <c r="H45201" s="680" t="s">
        <v>6153</v>
      </c>
    </row>
    <row r="45202" spans="8:8">
      <c r="H45202" s="680" t="s">
        <v>6153</v>
      </c>
    </row>
    <row r="45203" spans="8:8">
      <c r="H45203" s="680" t="s">
        <v>6153</v>
      </c>
    </row>
    <row r="45204" spans="8:8">
      <c r="H45204" s="680" t="s">
        <v>6153</v>
      </c>
    </row>
    <row r="45205" spans="8:8">
      <c r="H45205" s="680" t="s">
        <v>6153</v>
      </c>
    </row>
    <row r="45206" spans="8:8">
      <c r="H45206" s="680" t="s">
        <v>6153</v>
      </c>
    </row>
    <row r="45207" spans="8:8">
      <c r="H45207" s="680" t="s">
        <v>6153</v>
      </c>
    </row>
    <row r="45208" spans="8:8">
      <c r="H45208" s="680" t="s">
        <v>6153</v>
      </c>
    </row>
    <row r="45209" spans="8:8">
      <c r="H45209" s="680" t="s">
        <v>6153</v>
      </c>
    </row>
    <row r="45210" spans="8:8">
      <c r="H45210" s="680" t="s">
        <v>6153</v>
      </c>
    </row>
    <row r="45211" spans="8:8">
      <c r="H45211" s="680" t="s">
        <v>6153</v>
      </c>
    </row>
    <row r="45212" spans="8:8">
      <c r="H45212" s="680" t="s">
        <v>6153</v>
      </c>
    </row>
    <row r="45213" spans="8:8">
      <c r="H45213" s="680" t="s">
        <v>6153</v>
      </c>
    </row>
    <row r="45214" spans="8:8">
      <c r="H45214" s="680" t="s">
        <v>6153</v>
      </c>
    </row>
    <row r="45215" spans="8:8">
      <c r="H45215" s="680" t="s">
        <v>6153</v>
      </c>
    </row>
    <row r="45216" spans="8:8">
      <c r="H45216" s="680" t="s">
        <v>6153</v>
      </c>
    </row>
    <row r="45217" spans="8:8">
      <c r="H45217" s="680" t="s">
        <v>6153</v>
      </c>
    </row>
    <row r="45218" spans="8:8">
      <c r="H45218" s="680" t="s">
        <v>6153</v>
      </c>
    </row>
    <row r="45219" spans="8:8">
      <c r="H45219" s="680" t="s">
        <v>6153</v>
      </c>
    </row>
    <row r="45220" spans="8:8">
      <c r="H45220" s="680" t="s">
        <v>6153</v>
      </c>
    </row>
    <row r="45221" spans="8:8">
      <c r="H45221" s="680" t="s">
        <v>6153</v>
      </c>
    </row>
    <row r="45222" spans="8:8">
      <c r="H45222" s="680" t="s">
        <v>6153</v>
      </c>
    </row>
    <row r="45223" spans="8:8">
      <c r="H45223" s="680" t="s">
        <v>6153</v>
      </c>
    </row>
    <row r="45224" spans="8:8">
      <c r="H45224" s="680" t="s">
        <v>6153</v>
      </c>
    </row>
    <row r="45225" spans="8:8">
      <c r="H45225" s="680" t="s">
        <v>6153</v>
      </c>
    </row>
    <row r="45226" spans="8:8">
      <c r="H45226" s="680" t="s">
        <v>6153</v>
      </c>
    </row>
    <row r="45227" spans="8:8">
      <c r="H45227" s="680" t="s">
        <v>6153</v>
      </c>
    </row>
    <row r="45228" spans="8:8">
      <c r="H45228" s="680" t="s">
        <v>6153</v>
      </c>
    </row>
    <row r="45229" spans="8:8">
      <c r="H45229" s="680" t="s">
        <v>6153</v>
      </c>
    </row>
    <row r="45230" spans="8:8">
      <c r="H45230" s="680" t="s">
        <v>6153</v>
      </c>
    </row>
    <row r="45231" spans="8:8">
      <c r="H45231" s="680" t="s">
        <v>6153</v>
      </c>
    </row>
    <row r="45232" spans="8:8">
      <c r="H45232" s="680" t="s">
        <v>6153</v>
      </c>
    </row>
    <row r="45233" spans="8:8">
      <c r="H45233" s="680" t="s">
        <v>6153</v>
      </c>
    </row>
    <row r="45234" spans="8:8">
      <c r="H45234" s="680" t="s">
        <v>6153</v>
      </c>
    </row>
    <row r="45235" spans="8:8">
      <c r="H45235" s="680" t="s">
        <v>6153</v>
      </c>
    </row>
    <row r="45236" spans="8:8">
      <c r="H45236" s="680" t="s">
        <v>6153</v>
      </c>
    </row>
    <row r="45237" spans="8:8">
      <c r="H45237" s="680" t="s">
        <v>6153</v>
      </c>
    </row>
    <row r="45238" spans="8:8">
      <c r="H45238" s="680" t="s">
        <v>6153</v>
      </c>
    </row>
    <row r="45239" spans="8:8">
      <c r="H45239" s="680" t="s">
        <v>6153</v>
      </c>
    </row>
    <row r="45240" spans="8:8">
      <c r="H45240" s="680" t="s">
        <v>6153</v>
      </c>
    </row>
    <row r="45241" spans="8:8">
      <c r="H45241" s="680" t="s">
        <v>6153</v>
      </c>
    </row>
    <row r="45242" spans="8:8">
      <c r="H45242" s="680" t="s">
        <v>6153</v>
      </c>
    </row>
    <row r="45243" spans="8:8">
      <c r="H45243" s="680" t="s">
        <v>6153</v>
      </c>
    </row>
    <row r="45244" spans="8:8">
      <c r="H45244" s="680" t="s">
        <v>6153</v>
      </c>
    </row>
    <row r="45245" spans="8:8">
      <c r="H45245" s="680" t="s">
        <v>6153</v>
      </c>
    </row>
    <row r="45246" spans="8:8">
      <c r="H45246" s="680" t="s">
        <v>6153</v>
      </c>
    </row>
    <row r="45247" spans="8:8">
      <c r="H45247" s="680" t="s">
        <v>6153</v>
      </c>
    </row>
    <row r="45248" spans="8:8">
      <c r="H45248" s="680" t="s">
        <v>6153</v>
      </c>
    </row>
    <row r="45249" spans="8:8">
      <c r="H45249" s="680" t="s">
        <v>6153</v>
      </c>
    </row>
    <row r="45250" spans="8:8">
      <c r="H45250" s="680" t="s">
        <v>6153</v>
      </c>
    </row>
    <row r="45251" spans="8:8">
      <c r="H45251" s="680" t="s">
        <v>6153</v>
      </c>
    </row>
    <row r="45252" spans="8:8">
      <c r="H45252" s="680" t="s">
        <v>6153</v>
      </c>
    </row>
    <row r="45253" spans="8:8">
      <c r="H45253" s="680" t="s">
        <v>6153</v>
      </c>
    </row>
    <row r="45254" spans="8:8">
      <c r="H45254" s="680" t="s">
        <v>6153</v>
      </c>
    </row>
    <row r="45255" spans="8:8">
      <c r="H45255" s="680" t="s">
        <v>6153</v>
      </c>
    </row>
    <row r="45256" spans="8:8">
      <c r="H45256" s="680" t="s">
        <v>6153</v>
      </c>
    </row>
    <row r="45257" spans="8:8">
      <c r="H45257" s="680" t="s">
        <v>6153</v>
      </c>
    </row>
    <row r="45258" spans="8:8">
      <c r="H45258" s="680" t="s">
        <v>6153</v>
      </c>
    </row>
    <row r="45259" spans="8:8">
      <c r="H45259" s="680" t="s">
        <v>6153</v>
      </c>
    </row>
    <row r="45260" spans="8:8">
      <c r="H45260" s="680" t="s">
        <v>6153</v>
      </c>
    </row>
    <row r="45261" spans="8:8">
      <c r="H45261" s="680" t="s">
        <v>6153</v>
      </c>
    </row>
    <row r="45262" spans="8:8">
      <c r="H45262" s="680" t="s">
        <v>6153</v>
      </c>
    </row>
    <row r="45263" spans="8:8">
      <c r="H45263" s="680" t="s">
        <v>6153</v>
      </c>
    </row>
    <row r="45264" spans="8:8">
      <c r="H45264" s="680" t="s">
        <v>6153</v>
      </c>
    </row>
    <row r="45265" spans="8:8">
      <c r="H45265" s="680" t="s">
        <v>6153</v>
      </c>
    </row>
    <row r="45266" spans="8:8">
      <c r="H45266" s="680" t="s">
        <v>6153</v>
      </c>
    </row>
    <row r="45267" spans="8:8">
      <c r="H45267" s="680" t="s">
        <v>6153</v>
      </c>
    </row>
    <row r="45268" spans="8:8">
      <c r="H45268" s="680" t="s">
        <v>6153</v>
      </c>
    </row>
    <row r="45269" spans="8:8">
      <c r="H45269" s="680" t="s">
        <v>6153</v>
      </c>
    </row>
    <row r="45270" spans="8:8">
      <c r="H45270" s="680" t="s">
        <v>6153</v>
      </c>
    </row>
    <row r="45271" spans="8:8">
      <c r="H45271" s="680" t="s">
        <v>6153</v>
      </c>
    </row>
    <row r="45272" spans="8:8">
      <c r="H45272" s="680" t="s">
        <v>6153</v>
      </c>
    </row>
    <row r="45273" spans="8:8">
      <c r="H45273" s="680" t="s">
        <v>6153</v>
      </c>
    </row>
    <row r="45274" spans="8:8">
      <c r="H45274" s="680" t="s">
        <v>6153</v>
      </c>
    </row>
    <row r="45275" spans="8:8">
      <c r="H45275" s="680" t="s">
        <v>6153</v>
      </c>
    </row>
    <row r="45276" spans="8:8">
      <c r="H45276" s="680" t="s">
        <v>6153</v>
      </c>
    </row>
    <row r="45277" spans="8:8">
      <c r="H45277" s="680" t="s">
        <v>6153</v>
      </c>
    </row>
    <row r="45278" spans="8:8">
      <c r="H45278" s="680" t="s">
        <v>6153</v>
      </c>
    </row>
    <row r="45279" spans="8:8">
      <c r="H45279" s="680" t="s">
        <v>6153</v>
      </c>
    </row>
    <row r="45280" spans="8:8">
      <c r="H45280" s="680" t="s">
        <v>6153</v>
      </c>
    </row>
    <row r="45281" spans="8:8">
      <c r="H45281" s="680" t="s">
        <v>6153</v>
      </c>
    </row>
    <row r="45282" spans="8:8">
      <c r="H45282" s="680" t="s">
        <v>6153</v>
      </c>
    </row>
    <row r="45283" spans="8:8">
      <c r="H45283" s="680" t="s">
        <v>6153</v>
      </c>
    </row>
    <row r="45284" spans="8:8">
      <c r="H45284" s="680" t="s">
        <v>6153</v>
      </c>
    </row>
    <row r="45285" spans="8:8">
      <c r="H45285" s="680" t="s">
        <v>6153</v>
      </c>
    </row>
    <row r="45286" spans="8:8">
      <c r="H45286" s="680" t="s">
        <v>6153</v>
      </c>
    </row>
    <row r="45287" spans="8:8">
      <c r="H45287" s="680" t="s">
        <v>6153</v>
      </c>
    </row>
    <row r="45288" spans="8:8">
      <c r="H45288" s="680" t="s">
        <v>6153</v>
      </c>
    </row>
    <row r="45289" spans="8:8">
      <c r="H45289" s="680" t="s">
        <v>6153</v>
      </c>
    </row>
    <row r="45290" spans="8:8">
      <c r="H45290" s="680" t="s">
        <v>6153</v>
      </c>
    </row>
    <row r="45291" spans="8:8">
      <c r="H45291" s="680" t="s">
        <v>6153</v>
      </c>
    </row>
    <row r="45292" spans="8:8">
      <c r="H45292" s="680" t="s">
        <v>6153</v>
      </c>
    </row>
    <row r="45293" spans="8:8">
      <c r="H45293" s="680" t="s">
        <v>6153</v>
      </c>
    </row>
    <row r="45294" spans="8:8">
      <c r="H45294" s="680" t="s">
        <v>6153</v>
      </c>
    </row>
    <row r="45295" spans="8:8">
      <c r="H45295" s="680" t="s">
        <v>6153</v>
      </c>
    </row>
    <row r="45296" spans="8:8">
      <c r="H45296" s="680" t="s">
        <v>6153</v>
      </c>
    </row>
    <row r="45297" spans="8:8">
      <c r="H45297" s="680" t="s">
        <v>6153</v>
      </c>
    </row>
    <row r="45298" spans="8:8">
      <c r="H45298" s="680" t="s">
        <v>6153</v>
      </c>
    </row>
    <row r="45299" spans="8:8">
      <c r="H45299" s="680" t="s">
        <v>6153</v>
      </c>
    </row>
    <row r="45300" spans="8:8">
      <c r="H45300" s="680" t="s">
        <v>6153</v>
      </c>
    </row>
    <row r="45301" spans="8:8">
      <c r="H45301" s="680" t="s">
        <v>6153</v>
      </c>
    </row>
    <row r="45302" spans="8:8">
      <c r="H45302" s="680" t="s">
        <v>6153</v>
      </c>
    </row>
    <row r="45303" spans="8:8">
      <c r="H45303" s="680" t="s">
        <v>6153</v>
      </c>
    </row>
    <row r="45304" spans="8:8">
      <c r="H45304" s="680" t="s">
        <v>6153</v>
      </c>
    </row>
    <row r="45305" spans="8:8">
      <c r="H45305" s="680" t="s">
        <v>6153</v>
      </c>
    </row>
    <row r="45306" spans="8:8">
      <c r="H45306" s="680" t="s">
        <v>6153</v>
      </c>
    </row>
    <row r="45307" spans="8:8">
      <c r="H45307" s="680" t="s">
        <v>6153</v>
      </c>
    </row>
    <row r="45308" spans="8:8">
      <c r="H45308" s="680" t="s">
        <v>6153</v>
      </c>
    </row>
    <row r="45309" spans="8:8">
      <c r="H45309" s="680" t="s">
        <v>6153</v>
      </c>
    </row>
    <row r="45310" spans="8:8">
      <c r="H45310" s="680" t="s">
        <v>6153</v>
      </c>
    </row>
    <row r="45311" spans="8:8">
      <c r="H45311" s="680" t="s">
        <v>6153</v>
      </c>
    </row>
    <row r="45312" spans="8:8">
      <c r="H45312" s="680" t="s">
        <v>6153</v>
      </c>
    </row>
    <row r="45313" spans="8:8">
      <c r="H45313" s="680" t="s">
        <v>6153</v>
      </c>
    </row>
    <row r="45314" spans="8:8">
      <c r="H45314" s="680" t="s">
        <v>6153</v>
      </c>
    </row>
    <row r="45315" spans="8:8">
      <c r="H45315" s="680" t="s">
        <v>6153</v>
      </c>
    </row>
    <row r="45316" spans="8:8">
      <c r="H45316" s="680" t="s">
        <v>6153</v>
      </c>
    </row>
    <row r="45317" spans="8:8">
      <c r="H45317" s="680" t="s">
        <v>6153</v>
      </c>
    </row>
    <row r="45318" spans="8:8">
      <c r="H45318" s="680" t="s">
        <v>6153</v>
      </c>
    </row>
    <row r="45319" spans="8:8">
      <c r="H45319" s="680" t="s">
        <v>6153</v>
      </c>
    </row>
    <row r="45320" spans="8:8">
      <c r="H45320" s="680" t="s">
        <v>6153</v>
      </c>
    </row>
    <row r="45321" spans="8:8">
      <c r="H45321" s="680" t="s">
        <v>6153</v>
      </c>
    </row>
    <row r="45322" spans="8:8">
      <c r="H45322" s="680" t="s">
        <v>6153</v>
      </c>
    </row>
    <row r="45323" spans="8:8">
      <c r="H45323" s="680" t="s">
        <v>6153</v>
      </c>
    </row>
    <row r="45324" spans="8:8">
      <c r="H45324" s="680" t="s">
        <v>6153</v>
      </c>
    </row>
    <row r="45325" spans="8:8">
      <c r="H45325" s="680" t="s">
        <v>6153</v>
      </c>
    </row>
    <row r="45326" spans="8:8">
      <c r="H45326" s="680" t="s">
        <v>6153</v>
      </c>
    </row>
    <row r="45327" spans="8:8">
      <c r="H45327" s="680" t="s">
        <v>6153</v>
      </c>
    </row>
    <row r="45328" spans="8:8">
      <c r="H45328" s="680" t="s">
        <v>6153</v>
      </c>
    </row>
    <row r="45329" spans="8:8">
      <c r="H45329" s="680" t="s">
        <v>6153</v>
      </c>
    </row>
    <row r="45330" spans="8:8">
      <c r="H45330" s="680" t="s">
        <v>6153</v>
      </c>
    </row>
    <row r="45331" spans="8:8">
      <c r="H45331" s="680" t="s">
        <v>6153</v>
      </c>
    </row>
    <row r="45332" spans="8:8">
      <c r="H45332" s="680" t="s">
        <v>6153</v>
      </c>
    </row>
    <row r="45333" spans="8:8">
      <c r="H45333" s="680" t="s">
        <v>6153</v>
      </c>
    </row>
    <row r="45334" spans="8:8">
      <c r="H45334" s="680" t="s">
        <v>6153</v>
      </c>
    </row>
    <row r="45335" spans="8:8">
      <c r="H45335" s="680" t="s">
        <v>6153</v>
      </c>
    </row>
    <row r="45336" spans="8:8">
      <c r="H45336" s="680" t="s">
        <v>6153</v>
      </c>
    </row>
    <row r="45337" spans="8:8">
      <c r="H45337" s="680" t="s">
        <v>6153</v>
      </c>
    </row>
    <row r="45338" spans="8:8">
      <c r="H45338" s="680" t="s">
        <v>6153</v>
      </c>
    </row>
    <row r="45339" spans="8:8">
      <c r="H45339" s="680" t="s">
        <v>6153</v>
      </c>
    </row>
    <row r="45340" spans="8:8">
      <c r="H45340" s="680" t="s">
        <v>6153</v>
      </c>
    </row>
    <row r="45341" spans="8:8">
      <c r="H45341" s="680" t="s">
        <v>6153</v>
      </c>
    </row>
    <row r="45342" spans="8:8">
      <c r="H45342" s="680" t="s">
        <v>6153</v>
      </c>
    </row>
    <row r="45343" spans="8:8">
      <c r="H45343" s="680" t="s">
        <v>6153</v>
      </c>
    </row>
    <row r="45344" spans="8:8">
      <c r="H45344" s="680" t="s">
        <v>6153</v>
      </c>
    </row>
    <row r="45345" spans="8:8">
      <c r="H45345" s="680" t="s">
        <v>6153</v>
      </c>
    </row>
    <row r="45346" spans="8:8">
      <c r="H45346" s="680" t="s">
        <v>6153</v>
      </c>
    </row>
    <row r="45347" spans="8:8">
      <c r="H45347" s="680" t="s">
        <v>6153</v>
      </c>
    </row>
    <row r="45348" spans="8:8">
      <c r="H45348" s="680" t="s">
        <v>6153</v>
      </c>
    </row>
    <row r="45349" spans="8:8">
      <c r="H45349" s="680" t="s">
        <v>6153</v>
      </c>
    </row>
    <row r="45350" spans="8:8">
      <c r="H45350" s="680" t="s">
        <v>6153</v>
      </c>
    </row>
    <row r="45351" spans="8:8">
      <c r="H45351" s="680" t="s">
        <v>6153</v>
      </c>
    </row>
    <row r="45352" spans="8:8">
      <c r="H45352" s="680" t="s">
        <v>6153</v>
      </c>
    </row>
    <row r="45353" spans="8:8">
      <c r="H45353" s="680" t="s">
        <v>6153</v>
      </c>
    </row>
    <row r="45354" spans="8:8">
      <c r="H45354" s="680" t="s">
        <v>6153</v>
      </c>
    </row>
    <row r="45355" spans="8:8">
      <c r="H45355" s="680" t="s">
        <v>6153</v>
      </c>
    </row>
    <row r="45356" spans="8:8">
      <c r="H45356" s="680" t="s">
        <v>6153</v>
      </c>
    </row>
    <row r="45357" spans="8:8">
      <c r="H45357" s="680" t="s">
        <v>6153</v>
      </c>
    </row>
    <row r="45358" spans="8:8">
      <c r="H45358" s="680" t="s">
        <v>6153</v>
      </c>
    </row>
    <row r="45359" spans="8:8">
      <c r="H45359" s="680" t="s">
        <v>6153</v>
      </c>
    </row>
    <row r="45360" spans="8:8">
      <c r="H45360" s="680" t="s">
        <v>6153</v>
      </c>
    </row>
    <row r="45361" spans="8:8">
      <c r="H45361" s="680" t="s">
        <v>6153</v>
      </c>
    </row>
    <row r="45362" spans="8:8">
      <c r="H45362" s="680" t="s">
        <v>6153</v>
      </c>
    </row>
    <row r="45363" spans="8:8">
      <c r="H45363" s="680" t="s">
        <v>6153</v>
      </c>
    </row>
    <row r="45364" spans="8:8">
      <c r="H45364" s="680" t="s">
        <v>6153</v>
      </c>
    </row>
    <row r="45365" spans="8:8">
      <c r="H45365" s="680" t="s">
        <v>6153</v>
      </c>
    </row>
    <row r="45366" spans="8:8">
      <c r="H45366" s="680" t="s">
        <v>6153</v>
      </c>
    </row>
    <row r="45367" spans="8:8">
      <c r="H45367" s="680" t="s">
        <v>6153</v>
      </c>
    </row>
    <row r="45368" spans="8:8">
      <c r="H45368" s="680" t="s">
        <v>6153</v>
      </c>
    </row>
    <row r="45369" spans="8:8">
      <c r="H45369" s="680" t="s">
        <v>6153</v>
      </c>
    </row>
    <row r="45370" spans="8:8">
      <c r="H45370" s="680" t="s">
        <v>6153</v>
      </c>
    </row>
    <row r="45371" spans="8:8">
      <c r="H45371" s="680" t="s">
        <v>6153</v>
      </c>
    </row>
    <row r="45372" spans="8:8">
      <c r="H45372" s="680" t="s">
        <v>6153</v>
      </c>
    </row>
    <row r="45373" spans="8:8">
      <c r="H45373" s="680" t="s">
        <v>6153</v>
      </c>
    </row>
    <row r="45374" spans="8:8">
      <c r="H45374" s="680" t="s">
        <v>6153</v>
      </c>
    </row>
    <row r="45375" spans="8:8">
      <c r="H45375" s="680" t="s">
        <v>6153</v>
      </c>
    </row>
    <row r="45376" spans="8:8">
      <c r="H45376" s="680" t="s">
        <v>6153</v>
      </c>
    </row>
    <row r="45377" spans="8:8">
      <c r="H45377" s="680" t="s">
        <v>6153</v>
      </c>
    </row>
    <row r="45378" spans="8:8">
      <c r="H45378" s="680" t="s">
        <v>6153</v>
      </c>
    </row>
    <row r="45379" spans="8:8">
      <c r="H45379" s="680" t="s">
        <v>6153</v>
      </c>
    </row>
    <row r="45380" spans="8:8">
      <c r="H45380" s="680" t="s">
        <v>6153</v>
      </c>
    </row>
    <row r="45381" spans="8:8">
      <c r="H45381" s="680" t="s">
        <v>6153</v>
      </c>
    </row>
    <row r="45382" spans="8:8">
      <c r="H45382" s="680" t="s">
        <v>6153</v>
      </c>
    </row>
    <row r="45383" spans="8:8">
      <c r="H45383" s="680" t="s">
        <v>6153</v>
      </c>
    </row>
    <row r="45384" spans="8:8">
      <c r="H45384" s="680" t="s">
        <v>6153</v>
      </c>
    </row>
    <row r="45385" spans="8:8">
      <c r="H45385" s="680" t="s">
        <v>6153</v>
      </c>
    </row>
    <row r="45386" spans="8:8">
      <c r="H45386" s="680" t="s">
        <v>6153</v>
      </c>
    </row>
    <row r="45387" spans="8:8">
      <c r="H45387" s="680" t="s">
        <v>6153</v>
      </c>
    </row>
    <row r="45388" spans="8:8">
      <c r="H45388" s="680" t="s">
        <v>6153</v>
      </c>
    </row>
    <row r="45389" spans="8:8">
      <c r="H45389" s="680" t="s">
        <v>6153</v>
      </c>
    </row>
    <row r="45390" spans="8:8">
      <c r="H45390" s="680" t="s">
        <v>6153</v>
      </c>
    </row>
    <row r="45391" spans="8:8">
      <c r="H45391" s="680" t="s">
        <v>6153</v>
      </c>
    </row>
    <row r="45392" spans="8:8">
      <c r="H45392" s="680" t="s">
        <v>6153</v>
      </c>
    </row>
    <row r="45393" spans="8:8">
      <c r="H45393" s="680" t="s">
        <v>6153</v>
      </c>
    </row>
    <row r="45394" spans="8:8">
      <c r="H45394" s="680" t="s">
        <v>6153</v>
      </c>
    </row>
    <row r="45395" spans="8:8">
      <c r="H45395" s="680" t="s">
        <v>6153</v>
      </c>
    </row>
    <row r="45396" spans="8:8">
      <c r="H45396" s="680" t="s">
        <v>6153</v>
      </c>
    </row>
    <row r="45397" spans="8:8">
      <c r="H45397" s="680" t="s">
        <v>6153</v>
      </c>
    </row>
    <row r="45398" spans="8:8">
      <c r="H45398" s="680" t="s">
        <v>6153</v>
      </c>
    </row>
    <row r="45399" spans="8:8">
      <c r="H45399" s="680" t="s">
        <v>6153</v>
      </c>
    </row>
    <row r="45400" spans="8:8">
      <c r="H45400" s="680" t="s">
        <v>6153</v>
      </c>
    </row>
    <row r="45401" spans="8:8">
      <c r="H45401" s="680" t="s">
        <v>6153</v>
      </c>
    </row>
    <row r="45402" spans="8:8">
      <c r="H45402" s="680" t="s">
        <v>6153</v>
      </c>
    </row>
    <row r="45403" spans="8:8">
      <c r="H45403" s="680" t="s">
        <v>6153</v>
      </c>
    </row>
    <row r="45404" spans="8:8">
      <c r="H45404" s="680" t="s">
        <v>6153</v>
      </c>
    </row>
    <row r="45405" spans="8:8">
      <c r="H45405" s="680" t="s">
        <v>6153</v>
      </c>
    </row>
    <row r="45406" spans="8:8">
      <c r="H45406" s="680" t="s">
        <v>6153</v>
      </c>
    </row>
    <row r="45407" spans="8:8">
      <c r="H45407" s="680" t="s">
        <v>6153</v>
      </c>
    </row>
    <row r="45408" spans="8:8">
      <c r="H45408" s="680" t="s">
        <v>6153</v>
      </c>
    </row>
    <row r="45409" spans="8:8">
      <c r="H45409" s="680" t="s">
        <v>6153</v>
      </c>
    </row>
    <row r="45410" spans="8:8">
      <c r="H45410" s="680" t="s">
        <v>6153</v>
      </c>
    </row>
    <row r="45411" spans="8:8">
      <c r="H45411" s="680" t="s">
        <v>6153</v>
      </c>
    </row>
    <row r="45412" spans="8:8">
      <c r="H45412" s="680" t="s">
        <v>6153</v>
      </c>
    </row>
    <row r="45413" spans="8:8">
      <c r="H45413" s="680" t="s">
        <v>6153</v>
      </c>
    </row>
    <row r="45414" spans="8:8">
      <c r="H45414" s="680" t="s">
        <v>6153</v>
      </c>
    </row>
    <row r="45415" spans="8:8">
      <c r="H45415" s="680" t="s">
        <v>6153</v>
      </c>
    </row>
    <row r="45416" spans="8:8">
      <c r="H45416" s="680" t="s">
        <v>6153</v>
      </c>
    </row>
    <row r="45417" spans="8:8">
      <c r="H45417" s="680" t="s">
        <v>6153</v>
      </c>
    </row>
    <row r="45418" spans="8:8">
      <c r="H45418" s="680" t="s">
        <v>6153</v>
      </c>
    </row>
    <row r="45419" spans="8:8">
      <c r="H45419" s="680" t="s">
        <v>6153</v>
      </c>
    </row>
    <row r="45420" spans="8:8">
      <c r="H45420" s="680" t="s">
        <v>6153</v>
      </c>
    </row>
    <row r="45421" spans="8:8">
      <c r="H45421" s="680" t="s">
        <v>6153</v>
      </c>
    </row>
    <row r="45422" spans="8:8">
      <c r="H45422" s="680" t="s">
        <v>6153</v>
      </c>
    </row>
    <row r="45423" spans="8:8">
      <c r="H45423" s="680" t="s">
        <v>6153</v>
      </c>
    </row>
    <row r="45424" spans="8:8">
      <c r="H45424" s="680" t="s">
        <v>6153</v>
      </c>
    </row>
    <row r="45425" spans="8:8">
      <c r="H45425" s="680" t="s">
        <v>6153</v>
      </c>
    </row>
    <row r="45426" spans="8:8">
      <c r="H45426" s="680" t="s">
        <v>6153</v>
      </c>
    </row>
    <row r="45427" spans="8:8">
      <c r="H45427" s="680" t="s">
        <v>6153</v>
      </c>
    </row>
    <row r="45428" spans="8:8">
      <c r="H45428" s="680" t="s">
        <v>6153</v>
      </c>
    </row>
    <row r="45429" spans="8:8">
      <c r="H45429" s="680" t="s">
        <v>6153</v>
      </c>
    </row>
    <row r="45430" spans="8:8">
      <c r="H45430" s="680" t="s">
        <v>6153</v>
      </c>
    </row>
    <row r="45431" spans="8:8">
      <c r="H45431" s="680" t="s">
        <v>6153</v>
      </c>
    </row>
    <row r="45432" spans="8:8">
      <c r="H45432" s="680" t="s">
        <v>6153</v>
      </c>
    </row>
    <row r="45433" spans="8:8">
      <c r="H45433" s="680" t="s">
        <v>6153</v>
      </c>
    </row>
    <row r="45434" spans="8:8">
      <c r="H45434" s="680" t="s">
        <v>6153</v>
      </c>
    </row>
    <row r="45435" spans="8:8">
      <c r="H45435" s="680" t="s">
        <v>6153</v>
      </c>
    </row>
    <row r="45436" spans="8:8">
      <c r="H45436" s="680" t="s">
        <v>6153</v>
      </c>
    </row>
    <row r="45437" spans="8:8">
      <c r="H45437" s="680" t="s">
        <v>6153</v>
      </c>
    </row>
    <row r="45438" spans="8:8">
      <c r="H45438" s="680" t="s">
        <v>6153</v>
      </c>
    </row>
    <row r="45439" spans="8:8">
      <c r="H45439" s="680" t="s">
        <v>6153</v>
      </c>
    </row>
    <row r="45440" spans="8:8">
      <c r="H45440" s="680" t="s">
        <v>6153</v>
      </c>
    </row>
    <row r="45441" spans="8:8">
      <c r="H45441" s="680" t="s">
        <v>6153</v>
      </c>
    </row>
    <row r="45442" spans="8:8">
      <c r="H45442" s="680" t="s">
        <v>6153</v>
      </c>
    </row>
    <row r="45443" spans="8:8">
      <c r="H45443" s="680" t="s">
        <v>6153</v>
      </c>
    </row>
    <row r="45444" spans="8:8">
      <c r="H45444" s="680" t="s">
        <v>6153</v>
      </c>
    </row>
    <row r="45445" spans="8:8">
      <c r="H45445" s="680" t="s">
        <v>6153</v>
      </c>
    </row>
    <row r="45446" spans="8:8">
      <c r="H45446" s="680" t="s">
        <v>6153</v>
      </c>
    </row>
    <row r="45447" spans="8:8">
      <c r="H45447" s="680" t="s">
        <v>6153</v>
      </c>
    </row>
    <row r="45448" spans="8:8">
      <c r="H45448" s="680" t="s">
        <v>6153</v>
      </c>
    </row>
    <row r="45449" spans="8:8">
      <c r="H45449" s="680" t="s">
        <v>6153</v>
      </c>
    </row>
    <row r="45450" spans="8:8">
      <c r="H45450" s="680" t="s">
        <v>6153</v>
      </c>
    </row>
    <row r="45451" spans="8:8">
      <c r="H45451" s="680" t="s">
        <v>6153</v>
      </c>
    </row>
    <row r="45452" spans="8:8">
      <c r="H45452" s="680" t="s">
        <v>6153</v>
      </c>
    </row>
    <row r="45453" spans="8:8">
      <c r="H45453" s="680" t="s">
        <v>6153</v>
      </c>
    </row>
    <row r="45454" spans="8:8">
      <c r="H45454" s="680" t="s">
        <v>6153</v>
      </c>
    </row>
    <row r="45455" spans="8:8">
      <c r="H45455" s="680" t="s">
        <v>6153</v>
      </c>
    </row>
    <row r="45456" spans="8:8">
      <c r="H45456" s="680" t="s">
        <v>6153</v>
      </c>
    </row>
    <row r="45457" spans="8:8">
      <c r="H45457" s="680" t="s">
        <v>6153</v>
      </c>
    </row>
    <row r="45458" spans="8:8">
      <c r="H45458" s="680" t="s">
        <v>6153</v>
      </c>
    </row>
    <row r="45459" spans="8:8">
      <c r="H45459" s="680" t="s">
        <v>6153</v>
      </c>
    </row>
    <row r="45460" spans="8:8">
      <c r="H45460" s="680" t="s">
        <v>6153</v>
      </c>
    </row>
    <row r="45461" spans="8:8">
      <c r="H45461" s="680" t="s">
        <v>6153</v>
      </c>
    </row>
    <row r="45462" spans="8:8">
      <c r="H45462" s="680" t="s">
        <v>6153</v>
      </c>
    </row>
    <row r="45463" spans="8:8">
      <c r="H45463" s="680" t="s">
        <v>6153</v>
      </c>
    </row>
    <row r="45464" spans="8:8">
      <c r="H45464" s="680" t="s">
        <v>6153</v>
      </c>
    </row>
    <row r="45465" spans="8:8">
      <c r="H45465" s="680" t="s">
        <v>6153</v>
      </c>
    </row>
    <row r="45466" spans="8:8">
      <c r="H45466" s="680" t="s">
        <v>6153</v>
      </c>
    </row>
    <row r="45467" spans="8:8">
      <c r="H45467" s="680" t="s">
        <v>6153</v>
      </c>
    </row>
    <row r="45468" spans="8:8">
      <c r="H45468" s="680" t="s">
        <v>6153</v>
      </c>
    </row>
    <row r="45469" spans="8:8">
      <c r="H45469" s="680" t="s">
        <v>6153</v>
      </c>
    </row>
    <row r="45470" spans="8:8">
      <c r="H45470" s="680" t="s">
        <v>6153</v>
      </c>
    </row>
    <row r="45471" spans="8:8">
      <c r="H45471" s="680" t="s">
        <v>6153</v>
      </c>
    </row>
    <row r="45472" spans="8:8">
      <c r="H45472" s="680" t="s">
        <v>6153</v>
      </c>
    </row>
    <row r="45473" spans="8:8">
      <c r="H45473" s="680" t="s">
        <v>6153</v>
      </c>
    </row>
    <row r="45474" spans="8:8">
      <c r="H45474" s="680" t="s">
        <v>6153</v>
      </c>
    </row>
    <row r="45475" spans="8:8">
      <c r="H45475" s="680" t="s">
        <v>6153</v>
      </c>
    </row>
    <row r="45476" spans="8:8">
      <c r="H45476" s="680" t="s">
        <v>6153</v>
      </c>
    </row>
    <row r="45477" spans="8:8">
      <c r="H45477" s="680" t="s">
        <v>6153</v>
      </c>
    </row>
    <row r="45478" spans="8:8">
      <c r="H45478" s="680" t="s">
        <v>6153</v>
      </c>
    </row>
    <row r="45479" spans="8:8">
      <c r="H45479" s="680" t="s">
        <v>6153</v>
      </c>
    </row>
    <row r="45480" spans="8:8">
      <c r="H45480" s="680" t="s">
        <v>6153</v>
      </c>
    </row>
    <row r="45481" spans="8:8">
      <c r="H45481" s="680" t="s">
        <v>6153</v>
      </c>
    </row>
    <row r="45482" spans="8:8">
      <c r="H45482" s="680" t="s">
        <v>6153</v>
      </c>
    </row>
    <row r="45483" spans="8:8">
      <c r="H45483" s="680" t="s">
        <v>6153</v>
      </c>
    </row>
    <row r="45484" spans="8:8">
      <c r="H45484" s="680" t="s">
        <v>6153</v>
      </c>
    </row>
    <row r="45485" spans="8:8">
      <c r="H45485" s="680" t="s">
        <v>6153</v>
      </c>
    </row>
    <row r="45486" spans="8:8">
      <c r="H45486" s="680" t="s">
        <v>6153</v>
      </c>
    </row>
    <row r="45487" spans="8:8">
      <c r="H45487" s="680" t="s">
        <v>6153</v>
      </c>
    </row>
    <row r="45488" spans="8:8">
      <c r="H45488" s="680" t="s">
        <v>6153</v>
      </c>
    </row>
    <row r="45489" spans="8:8">
      <c r="H45489" s="680" t="s">
        <v>6153</v>
      </c>
    </row>
    <row r="45490" spans="8:8">
      <c r="H45490" s="680" t="s">
        <v>6153</v>
      </c>
    </row>
    <row r="45491" spans="8:8">
      <c r="H45491" s="680" t="s">
        <v>6153</v>
      </c>
    </row>
    <row r="45492" spans="8:8">
      <c r="H45492" s="680" t="s">
        <v>6153</v>
      </c>
    </row>
    <row r="45493" spans="8:8">
      <c r="H45493" s="680" t="s">
        <v>6153</v>
      </c>
    </row>
    <row r="45494" spans="8:8">
      <c r="H45494" s="680" t="s">
        <v>6153</v>
      </c>
    </row>
    <row r="45495" spans="8:8">
      <c r="H45495" s="680" t="s">
        <v>6153</v>
      </c>
    </row>
    <row r="45496" spans="8:8">
      <c r="H45496" s="680" t="s">
        <v>6153</v>
      </c>
    </row>
    <row r="45497" spans="8:8">
      <c r="H45497" s="680" t="s">
        <v>6153</v>
      </c>
    </row>
    <row r="45498" spans="8:8">
      <c r="H45498" s="680" t="s">
        <v>6153</v>
      </c>
    </row>
    <row r="45499" spans="8:8">
      <c r="H45499" s="680" t="s">
        <v>6153</v>
      </c>
    </row>
    <row r="45500" spans="8:8">
      <c r="H45500" s="680" t="s">
        <v>6153</v>
      </c>
    </row>
    <row r="45501" spans="8:8">
      <c r="H45501" s="680" t="s">
        <v>6153</v>
      </c>
    </row>
    <row r="45502" spans="8:8">
      <c r="H45502" s="680" t="s">
        <v>6153</v>
      </c>
    </row>
    <row r="45503" spans="8:8">
      <c r="H45503" s="680" t="s">
        <v>6153</v>
      </c>
    </row>
    <row r="45504" spans="8:8">
      <c r="H45504" s="680" t="s">
        <v>6153</v>
      </c>
    </row>
    <row r="45505" spans="8:8">
      <c r="H45505" s="680" t="s">
        <v>6153</v>
      </c>
    </row>
    <row r="45506" spans="8:8">
      <c r="H45506" s="680" t="s">
        <v>6153</v>
      </c>
    </row>
    <row r="45507" spans="8:8">
      <c r="H45507" s="680" t="s">
        <v>6153</v>
      </c>
    </row>
    <row r="45508" spans="8:8">
      <c r="H45508" s="680" t="s">
        <v>6153</v>
      </c>
    </row>
    <row r="45509" spans="8:8">
      <c r="H45509" s="680" t="s">
        <v>6153</v>
      </c>
    </row>
    <row r="45510" spans="8:8">
      <c r="H45510" s="680" t="s">
        <v>6153</v>
      </c>
    </row>
    <row r="45511" spans="8:8">
      <c r="H45511" s="680" t="s">
        <v>6153</v>
      </c>
    </row>
    <row r="45512" spans="8:8">
      <c r="H45512" s="680" t="s">
        <v>6153</v>
      </c>
    </row>
    <row r="45513" spans="8:8">
      <c r="H45513" s="680" t="s">
        <v>6153</v>
      </c>
    </row>
    <row r="45514" spans="8:8">
      <c r="H45514" s="680" t="s">
        <v>6153</v>
      </c>
    </row>
    <row r="45515" spans="8:8">
      <c r="H45515" s="680" t="s">
        <v>6153</v>
      </c>
    </row>
    <row r="45516" spans="8:8">
      <c r="H45516" s="680" t="s">
        <v>6153</v>
      </c>
    </row>
    <row r="45517" spans="8:8">
      <c r="H45517" s="680" t="s">
        <v>6153</v>
      </c>
    </row>
    <row r="45518" spans="8:8">
      <c r="H45518" s="680" t="s">
        <v>6153</v>
      </c>
    </row>
    <row r="45519" spans="8:8">
      <c r="H45519" s="680" t="s">
        <v>6153</v>
      </c>
    </row>
    <row r="45520" spans="8:8">
      <c r="H45520" s="680" t="s">
        <v>6153</v>
      </c>
    </row>
    <row r="45521" spans="8:8">
      <c r="H45521" s="680" t="s">
        <v>6153</v>
      </c>
    </row>
    <row r="45522" spans="8:8">
      <c r="H45522" s="680" t="s">
        <v>6153</v>
      </c>
    </row>
    <row r="45523" spans="8:8">
      <c r="H45523" s="680" t="s">
        <v>6153</v>
      </c>
    </row>
    <row r="45524" spans="8:8">
      <c r="H45524" s="680" t="s">
        <v>6153</v>
      </c>
    </row>
    <row r="45525" spans="8:8">
      <c r="H45525" s="680" t="s">
        <v>6153</v>
      </c>
    </row>
    <row r="45526" spans="8:8">
      <c r="H45526" s="680" t="s">
        <v>6153</v>
      </c>
    </row>
    <row r="45527" spans="8:8">
      <c r="H45527" s="680" t="s">
        <v>6153</v>
      </c>
    </row>
    <row r="45528" spans="8:8">
      <c r="H45528" s="680" t="s">
        <v>6153</v>
      </c>
    </row>
    <row r="45529" spans="8:8">
      <c r="H45529" s="680" t="s">
        <v>6153</v>
      </c>
    </row>
    <row r="45530" spans="8:8">
      <c r="H45530" s="680" t="s">
        <v>6153</v>
      </c>
    </row>
    <row r="45531" spans="8:8">
      <c r="H45531" s="680" t="s">
        <v>6153</v>
      </c>
    </row>
    <row r="45532" spans="8:8">
      <c r="H45532" s="680" t="s">
        <v>6153</v>
      </c>
    </row>
    <row r="45533" spans="8:8">
      <c r="H45533" s="680" t="s">
        <v>6153</v>
      </c>
    </row>
    <row r="45534" spans="8:8">
      <c r="H45534" s="680" t="s">
        <v>6153</v>
      </c>
    </row>
    <row r="45535" spans="8:8">
      <c r="H45535" s="680" t="s">
        <v>6153</v>
      </c>
    </row>
    <row r="45536" spans="8:8">
      <c r="H45536" s="680" t="s">
        <v>6153</v>
      </c>
    </row>
    <row r="45537" spans="8:8">
      <c r="H45537" s="680" t="s">
        <v>6153</v>
      </c>
    </row>
    <row r="45538" spans="8:8">
      <c r="H45538" s="680" t="s">
        <v>6153</v>
      </c>
    </row>
    <row r="45539" spans="8:8">
      <c r="H45539" s="680" t="s">
        <v>6153</v>
      </c>
    </row>
    <row r="45540" spans="8:8">
      <c r="H45540" s="680" t="s">
        <v>6153</v>
      </c>
    </row>
    <row r="45541" spans="8:8">
      <c r="H45541" s="680" t="s">
        <v>6153</v>
      </c>
    </row>
    <row r="45542" spans="8:8">
      <c r="H45542" s="680" t="s">
        <v>6153</v>
      </c>
    </row>
    <row r="45543" spans="8:8">
      <c r="H45543" s="680" t="s">
        <v>6153</v>
      </c>
    </row>
    <row r="45544" spans="8:8">
      <c r="H45544" s="680" t="s">
        <v>6153</v>
      </c>
    </row>
    <row r="45545" spans="8:8">
      <c r="H45545" s="680" t="s">
        <v>6153</v>
      </c>
    </row>
    <row r="45546" spans="8:8">
      <c r="H45546" s="680" t="s">
        <v>6153</v>
      </c>
    </row>
    <row r="45547" spans="8:8">
      <c r="H45547" s="680" t="s">
        <v>6153</v>
      </c>
    </row>
    <row r="45548" spans="8:8">
      <c r="H45548" s="680" t="s">
        <v>6153</v>
      </c>
    </row>
    <row r="45549" spans="8:8">
      <c r="H45549" s="680" t="s">
        <v>6153</v>
      </c>
    </row>
    <row r="45550" spans="8:8">
      <c r="H45550" s="680" t="s">
        <v>6153</v>
      </c>
    </row>
    <row r="45551" spans="8:8">
      <c r="H45551" s="680" t="s">
        <v>6153</v>
      </c>
    </row>
    <row r="45552" spans="8:8">
      <c r="H45552" s="680" t="s">
        <v>6153</v>
      </c>
    </row>
    <row r="45553" spans="8:8">
      <c r="H45553" s="680" t="s">
        <v>6153</v>
      </c>
    </row>
    <row r="45554" spans="8:8">
      <c r="H45554" s="680" t="s">
        <v>6153</v>
      </c>
    </row>
    <row r="45555" spans="8:8">
      <c r="H45555" s="680" t="s">
        <v>6153</v>
      </c>
    </row>
    <row r="45556" spans="8:8">
      <c r="H45556" s="680" t="s">
        <v>6153</v>
      </c>
    </row>
    <row r="45557" spans="8:8">
      <c r="H45557" s="680" t="s">
        <v>6153</v>
      </c>
    </row>
    <row r="45558" spans="8:8">
      <c r="H45558" s="680" t="s">
        <v>6153</v>
      </c>
    </row>
    <row r="45559" spans="8:8">
      <c r="H45559" s="680" t="s">
        <v>6153</v>
      </c>
    </row>
    <row r="45560" spans="8:8">
      <c r="H45560" s="680" t="s">
        <v>6153</v>
      </c>
    </row>
    <row r="45561" spans="8:8">
      <c r="H45561" s="680" t="s">
        <v>6153</v>
      </c>
    </row>
    <row r="45562" spans="8:8">
      <c r="H45562" s="680" t="s">
        <v>6153</v>
      </c>
    </row>
    <row r="45563" spans="8:8">
      <c r="H45563" s="680" t="s">
        <v>6153</v>
      </c>
    </row>
    <row r="45564" spans="8:8">
      <c r="H45564" s="680" t="s">
        <v>6153</v>
      </c>
    </row>
    <row r="45565" spans="8:8">
      <c r="H45565" s="680" t="s">
        <v>6153</v>
      </c>
    </row>
    <row r="45566" spans="8:8">
      <c r="H45566" s="680" t="s">
        <v>6153</v>
      </c>
    </row>
    <row r="45567" spans="8:8">
      <c r="H45567" s="680" t="s">
        <v>6153</v>
      </c>
    </row>
    <row r="45568" spans="8:8">
      <c r="H45568" s="680" t="s">
        <v>6153</v>
      </c>
    </row>
    <row r="45569" spans="8:8">
      <c r="H45569" s="680" t="s">
        <v>6153</v>
      </c>
    </row>
    <row r="45570" spans="8:8">
      <c r="H45570" s="680" t="s">
        <v>6153</v>
      </c>
    </row>
    <row r="45571" spans="8:8">
      <c r="H45571" s="680" t="s">
        <v>6153</v>
      </c>
    </row>
    <row r="45572" spans="8:8">
      <c r="H45572" s="680" t="s">
        <v>6153</v>
      </c>
    </row>
    <row r="45573" spans="8:8">
      <c r="H45573" s="680" t="s">
        <v>6153</v>
      </c>
    </row>
    <row r="45574" spans="8:8">
      <c r="H45574" s="680" t="s">
        <v>6153</v>
      </c>
    </row>
    <row r="45575" spans="8:8">
      <c r="H45575" s="680" t="s">
        <v>6153</v>
      </c>
    </row>
    <row r="45576" spans="8:8">
      <c r="H45576" s="680" t="s">
        <v>6153</v>
      </c>
    </row>
    <row r="45577" spans="8:8">
      <c r="H45577" s="680" t="s">
        <v>6153</v>
      </c>
    </row>
    <row r="45578" spans="8:8">
      <c r="H45578" s="680" t="s">
        <v>6153</v>
      </c>
    </row>
    <row r="45579" spans="8:8">
      <c r="H45579" s="680" t="s">
        <v>6153</v>
      </c>
    </row>
    <row r="45580" spans="8:8">
      <c r="H45580" s="680" t="s">
        <v>6153</v>
      </c>
    </row>
    <row r="45581" spans="8:8">
      <c r="H45581" s="680" t="s">
        <v>6153</v>
      </c>
    </row>
    <row r="45582" spans="8:8">
      <c r="H45582" s="680" t="s">
        <v>6153</v>
      </c>
    </row>
    <row r="45583" spans="8:8">
      <c r="H45583" s="680" t="s">
        <v>6153</v>
      </c>
    </row>
    <row r="45584" spans="8:8">
      <c r="H45584" s="680" t="s">
        <v>6153</v>
      </c>
    </row>
    <row r="45585" spans="8:8">
      <c r="H45585" s="680" t="s">
        <v>6153</v>
      </c>
    </row>
    <row r="45586" spans="8:8">
      <c r="H45586" s="680" t="s">
        <v>6153</v>
      </c>
    </row>
    <row r="45587" spans="8:8">
      <c r="H45587" s="680" t="s">
        <v>6153</v>
      </c>
    </row>
    <row r="45588" spans="8:8">
      <c r="H45588" s="680" t="s">
        <v>6153</v>
      </c>
    </row>
    <row r="45589" spans="8:8">
      <c r="H45589" s="680" t="s">
        <v>6153</v>
      </c>
    </row>
    <row r="45590" spans="8:8">
      <c r="H45590" s="680" t="s">
        <v>6153</v>
      </c>
    </row>
    <row r="45591" spans="8:8">
      <c r="H45591" s="680" t="s">
        <v>6153</v>
      </c>
    </row>
    <row r="45592" spans="8:8">
      <c r="H45592" s="680" t="s">
        <v>6153</v>
      </c>
    </row>
    <row r="45593" spans="8:8">
      <c r="H45593" s="680" t="s">
        <v>6153</v>
      </c>
    </row>
    <row r="45594" spans="8:8">
      <c r="H45594" s="680" t="s">
        <v>6153</v>
      </c>
    </row>
    <row r="45595" spans="8:8">
      <c r="H45595" s="680" t="s">
        <v>6153</v>
      </c>
    </row>
    <row r="45596" spans="8:8">
      <c r="H45596" s="680" t="s">
        <v>6153</v>
      </c>
    </row>
    <row r="45597" spans="8:8">
      <c r="H45597" s="680" t="s">
        <v>6153</v>
      </c>
    </row>
    <row r="45598" spans="8:8">
      <c r="H45598" s="680" t="s">
        <v>6153</v>
      </c>
    </row>
    <row r="45599" spans="8:8">
      <c r="H45599" s="680" t="s">
        <v>6153</v>
      </c>
    </row>
    <row r="45600" spans="8:8">
      <c r="H45600" s="680" t="s">
        <v>6153</v>
      </c>
    </row>
    <row r="45601" spans="8:8">
      <c r="H45601" s="680" t="s">
        <v>6153</v>
      </c>
    </row>
    <row r="45602" spans="8:8">
      <c r="H45602" s="680" t="s">
        <v>6153</v>
      </c>
    </row>
    <row r="45603" spans="8:8">
      <c r="H45603" s="680" t="s">
        <v>6153</v>
      </c>
    </row>
    <row r="45604" spans="8:8">
      <c r="H45604" s="680" t="s">
        <v>6153</v>
      </c>
    </row>
    <row r="45605" spans="8:8">
      <c r="H45605" s="680" t="s">
        <v>6153</v>
      </c>
    </row>
    <row r="45606" spans="8:8">
      <c r="H45606" s="680" t="s">
        <v>6153</v>
      </c>
    </row>
    <row r="45607" spans="8:8">
      <c r="H45607" s="680" t="s">
        <v>6153</v>
      </c>
    </row>
    <row r="45608" spans="8:8">
      <c r="H45608" s="680" t="s">
        <v>6153</v>
      </c>
    </row>
    <row r="45609" spans="8:8">
      <c r="H45609" s="680" t="s">
        <v>6153</v>
      </c>
    </row>
    <row r="45610" spans="8:8">
      <c r="H45610" s="680" t="s">
        <v>6153</v>
      </c>
    </row>
    <row r="45611" spans="8:8">
      <c r="H45611" s="680" t="s">
        <v>6153</v>
      </c>
    </row>
    <row r="45612" spans="8:8">
      <c r="H45612" s="680" t="s">
        <v>6153</v>
      </c>
    </row>
    <row r="45613" spans="8:8">
      <c r="H45613" s="680" t="s">
        <v>6153</v>
      </c>
    </row>
    <row r="45614" spans="8:8">
      <c r="H45614" s="680" t="s">
        <v>6153</v>
      </c>
    </row>
    <row r="45615" spans="8:8">
      <c r="H45615" s="680" t="s">
        <v>6153</v>
      </c>
    </row>
    <row r="45616" spans="8:8">
      <c r="H45616" s="680" t="s">
        <v>6153</v>
      </c>
    </row>
    <row r="45617" spans="8:8">
      <c r="H45617" s="680" t="s">
        <v>6153</v>
      </c>
    </row>
    <row r="45618" spans="8:8">
      <c r="H45618" s="680" t="s">
        <v>6153</v>
      </c>
    </row>
    <row r="45619" spans="8:8">
      <c r="H45619" s="680" t="s">
        <v>6153</v>
      </c>
    </row>
    <row r="45620" spans="8:8">
      <c r="H45620" s="680" t="s">
        <v>6153</v>
      </c>
    </row>
    <row r="45621" spans="8:8">
      <c r="H45621" s="680" t="s">
        <v>6153</v>
      </c>
    </row>
    <row r="45622" spans="8:8">
      <c r="H45622" s="680" t="s">
        <v>6153</v>
      </c>
    </row>
    <row r="45623" spans="8:8">
      <c r="H45623" s="680" t="s">
        <v>6153</v>
      </c>
    </row>
    <row r="45624" spans="8:8">
      <c r="H45624" s="680" t="s">
        <v>6153</v>
      </c>
    </row>
    <row r="45625" spans="8:8">
      <c r="H45625" s="680" t="s">
        <v>6153</v>
      </c>
    </row>
    <row r="45626" spans="8:8">
      <c r="H45626" s="680" t="s">
        <v>6153</v>
      </c>
    </row>
    <row r="45627" spans="8:8">
      <c r="H45627" s="680" t="s">
        <v>6153</v>
      </c>
    </row>
    <row r="45628" spans="8:8">
      <c r="H45628" s="680" t="s">
        <v>6153</v>
      </c>
    </row>
    <row r="45629" spans="8:8">
      <c r="H45629" s="680" t="s">
        <v>6153</v>
      </c>
    </row>
    <row r="45630" spans="8:8">
      <c r="H45630" s="680" t="s">
        <v>6153</v>
      </c>
    </row>
    <row r="45631" spans="8:8">
      <c r="H45631" s="680" t="s">
        <v>6153</v>
      </c>
    </row>
    <row r="45632" spans="8:8">
      <c r="H45632" s="680" t="s">
        <v>6153</v>
      </c>
    </row>
    <row r="45633" spans="8:8">
      <c r="H45633" s="680" t="s">
        <v>6153</v>
      </c>
    </row>
    <row r="45634" spans="8:8">
      <c r="H45634" s="680" t="s">
        <v>6153</v>
      </c>
    </row>
    <row r="45635" spans="8:8">
      <c r="H45635" s="680" t="s">
        <v>6153</v>
      </c>
    </row>
    <row r="45636" spans="8:8">
      <c r="H45636" s="680" t="s">
        <v>6153</v>
      </c>
    </row>
    <row r="45637" spans="8:8">
      <c r="H45637" s="680" t="s">
        <v>6153</v>
      </c>
    </row>
    <row r="45638" spans="8:8">
      <c r="H45638" s="680" t="s">
        <v>6153</v>
      </c>
    </row>
    <row r="45639" spans="8:8">
      <c r="H45639" s="680" t="s">
        <v>6153</v>
      </c>
    </row>
    <row r="45640" spans="8:8">
      <c r="H45640" s="680" t="s">
        <v>6153</v>
      </c>
    </row>
    <row r="45641" spans="8:8">
      <c r="H45641" s="680" t="s">
        <v>6153</v>
      </c>
    </row>
    <row r="45642" spans="8:8">
      <c r="H45642" s="680" t="s">
        <v>6153</v>
      </c>
    </row>
    <row r="45643" spans="8:8">
      <c r="H45643" s="680" t="s">
        <v>6153</v>
      </c>
    </row>
    <row r="45644" spans="8:8">
      <c r="H45644" s="680" t="s">
        <v>6153</v>
      </c>
    </row>
    <row r="45645" spans="8:8">
      <c r="H45645" s="680" t="s">
        <v>6153</v>
      </c>
    </row>
    <row r="45646" spans="8:8">
      <c r="H45646" s="680" t="s">
        <v>6153</v>
      </c>
    </row>
    <row r="45647" spans="8:8">
      <c r="H45647" s="680" t="s">
        <v>6153</v>
      </c>
    </row>
    <row r="45648" spans="8:8">
      <c r="H45648" s="680" t="s">
        <v>6153</v>
      </c>
    </row>
    <row r="45649" spans="8:8">
      <c r="H45649" s="680" t="s">
        <v>6153</v>
      </c>
    </row>
    <row r="45650" spans="8:8">
      <c r="H45650" s="680" t="s">
        <v>6153</v>
      </c>
    </row>
    <row r="45651" spans="8:8">
      <c r="H45651" s="680" t="s">
        <v>6153</v>
      </c>
    </row>
    <row r="45652" spans="8:8">
      <c r="H45652" s="680" t="s">
        <v>6153</v>
      </c>
    </row>
    <row r="45653" spans="8:8">
      <c r="H45653" s="680" t="s">
        <v>6153</v>
      </c>
    </row>
    <row r="45654" spans="8:8">
      <c r="H45654" s="680" t="s">
        <v>6153</v>
      </c>
    </row>
    <row r="45655" spans="8:8">
      <c r="H45655" s="680" t="s">
        <v>6153</v>
      </c>
    </row>
    <row r="45656" spans="8:8">
      <c r="H45656" s="680" t="s">
        <v>6153</v>
      </c>
    </row>
    <row r="45657" spans="8:8">
      <c r="H45657" s="680" t="s">
        <v>6153</v>
      </c>
    </row>
    <row r="45658" spans="8:8">
      <c r="H45658" s="680" t="s">
        <v>6153</v>
      </c>
    </row>
    <row r="45659" spans="8:8">
      <c r="H45659" s="680" t="s">
        <v>6153</v>
      </c>
    </row>
    <row r="45660" spans="8:8">
      <c r="H45660" s="680" t="s">
        <v>6153</v>
      </c>
    </row>
    <row r="45661" spans="8:8">
      <c r="H45661" s="680" t="s">
        <v>6153</v>
      </c>
    </row>
    <row r="45662" spans="8:8">
      <c r="H45662" s="680" t="s">
        <v>6153</v>
      </c>
    </row>
    <row r="45663" spans="8:8">
      <c r="H45663" s="680" t="s">
        <v>6153</v>
      </c>
    </row>
    <row r="45664" spans="8:8">
      <c r="H45664" s="680" t="s">
        <v>6153</v>
      </c>
    </row>
    <row r="45665" spans="8:8">
      <c r="H45665" s="680" t="s">
        <v>6153</v>
      </c>
    </row>
    <row r="45666" spans="8:8">
      <c r="H45666" s="680" t="s">
        <v>6153</v>
      </c>
    </row>
    <row r="45667" spans="8:8">
      <c r="H45667" s="680" t="s">
        <v>6153</v>
      </c>
    </row>
    <row r="45668" spans="8:8">
      <c r="H45668" s="680" t="s">
        <v>6153</v>
      </c>
    </row>
    <row r="45669" spans="8:8">
      <c r="H45669" s="680" t="s">
        <v>6153</v>
      </c>
    </row>
    <row r="45670" spans="8:8">
      <c r="H45670" s="680" t="s">
        <v>6153</v>
      </c>
    </row>
    <row r="45671" spans="8:8">
      <c r="H45671" s="680" t="s">
        <v>6153</v>
      </c>
    </row>
    <row r="45672" spans="8:8">
      <c r="H45672" s="680" t="s">
        <v>6153</v>
      </c>
    </row>
    <row r="45673" spans="8:8">
      <c r="H45673" s="680" t="s">
        <v>6153</v>
      </c>
    </row>
    <row r="45674" spans="8:8">
      <c r="H45674" s="680" t="s">
        <v>6153</v>
      </c>
    </row>
    <row r="45675" spans="8:8">
      <c r="H45675" s="680" t="s">
        <v>6153</v>
      </c>
    </row>
    <row r="45676" spans="8:8">
      <c r="H45676" s="680" t="s">
        <v>6153</v>
      </c>
    </row>
    <row r="45677" spans="8:8">
      <c r="H45677" s="680" t="s">
        <v>6153</v>
      </c>
    </row>
    <row r="45678" spans="8:8">
      <c r="H45678" s="680" t="s">
        <v>6153</v>
      </c>
    </row>
    <row r="45679" spans="8:8">
      <c r="H45679" s="680" t="s">
        <v>6153</v>
      </c>
    </row>
    <row r="45680" spans="8:8">
      <c r="H45680" s="680" t="s">
        <v>6153</v>
      </c>
    </row>
    <row r="45681" spans="8:8">
      <c r="H45681" s="680" t="s">
        <v>6153</v>
      </c>
    </row>
    <row r="45682" spans="8:8">
      <c r="H45682" s="680" t="s">
        <v>6153</v>
      </c>
    </row>
    <row r="45683" spans="8:8">
      <c r="H45683" s="680" t="s">
        <v>6153</v>
      </c>
    </row>
    <row r="45684" spans="8:8">
      <c r="H45684" s="680" t="s">
        <v>6153</v>
      </c>
    </row>
    <row r="45685" spans="8:8">
      <c r="H45685" s="680" t="s">
        <v>6153</v>
      </c>
    </row>
    <row r="45686" spans="8:8">
      <c r="H45686" s="680" t="s">
        <v>6153</v>
      </c>
    </row>
    <row r="45687" spans="8:8">
      <c r="H45687" s="680" t="s">
        <v>6153</v>
      </c>
    </row>
    <row r="45688" spans="8:8">
      <c r="H45688" s="680" t="s">
        <v>6153</v>
      </c>
    </row>
    <row r="45689" spans="8:8">
      <c r="H45689" s="680" t="s">
        <v>6153</v>
      </c>
    </row>
    <row r="45690" spans="8:8">
      <c r="H45690" s="680" t="s">
        <v>6153</v>
      </c>
    </row>
    <row r="45691" spans="8:8">
      <c r="H45691" s="680" t="s">
        <v>6153</v>
      </c>
    </row>
    <row r="45692" spans="8:8">
      <c r="H45692" s="680" t="s">
        <v>6153</v>
      </c>
    </row>
    <row r="45693" spans="8:8">
      <c r="H45693" s="680" t="s">
        <v>6153</v>
      </c>
    </row>
    <row r="45694" spans="8:8">
      <c r="H45694" s="680" t="s">
        <v>6153</v>
      </c>
    </row>
    <row r="45695" spans="8:8">
      <c r="H45695" s="680" t="s">
        <v>6153</v>
      </c>
    </row>
    <row r="45696" spans="8:8">
      <c r="H45696" s="680" t="s">
        <v>6153</v>
      </c>
    </row>
    <row r="45697" spans="8:8">
      <c r="H45697" s="680" t="s">
        <v>6153</v>
      </c>
    </row>
    <row r="45698" spans="8:8">
      <c r="H45698" s="680" t="s">
        <v>6153</v>
      </c>
    </row>
    <row r="45699" spans="8:8">
      <c r="H45699" s="680" t="s">
        <v>6153</v>
      </c>
    </row>
    <row r="45700" spans="8:8">
      <c r="H45700" s="680" t="s">
        <v>6153</v>
      </c>
    </row>
    <row r="45701" spans="8:8">
      <c r="H45701" s="680" t="s">
        <v>6153</v>
      </c>
    </row>
    <row r="45702" spans="8:8">
      <c r="H45702" s="680" t="s">
        <v>6153</v>
      </c>
    </row>
    <row r="45703" spans="8:8">
      <c r="H45703" s="680" t="s">
        <v>6153</v>
      </c>
    </row>
    <row r="45704" spans="8:8">
      <c r="H45704" s="680" t="s">
        <v>6153</v>
      </c>
    </row>
    <row r="45705" spans="8:8">
      <c r="H45705" s="680" t="s">
        <v>6153</v>
      </c>
    </row>
    <row r="45706" spans="8:8">
      <c r="H45706" s="680" t="s">
        <v>6153</v>
      </c>
    </row>
    <row r="45707" spans="8:8">
      <c r="H45707" s="680" t="s">
        <v>6153</v>
      </c>
    </row>
    <row r="45708" spans="8:8">
      <c r="H45708" s="680" t="s">
        <v>6153</v>
      </c>
    </row>
    <row r="45709" spans="8:8">
      <c r="H45709" s="680" t="s">
        <v>6153</v>
      </c>
    </row>
    <row r="45710" spans="8:8">
      <c r="H45710" s="680" t="s">
        <v>6153</v>
      </c>
    </row>
    <row r="45711" spans="8:8">
      <c r="H45711" s="680" t="s">
        <v>6153</v>
      </c>
    </row>
    <row r="45712" spans="8:8">
      <c r="H45712" s="680" t="s">
        <v>6153</v>
      </c>
    </row>
    <row r="45713" spans="8:8">
      <c r="H45713" s="680" t="s">
        <v>6153</v>
      </c>
    </row>
    <row r="45714" spans="8:8">
      <c r="H45714" s="680" t="s">
        <v>6153</v>
      </c>
    </row>
    <row r="45715" spans="8:8">
      <c r="H45715" s="680" t="s">
        <v>6153</v>
      </c>
    </row>
    <row r="45716" spans="8:8">
      <c r="H45716" s="680" t="s">
        <v>6153</v>
      </c>
    </row>
    <row r="45717" spans="8:8">
      <c r="H45717" s="680" t="s">
        <v>6153</v>
      </c>
    </row>
    <row r="45718" spans="8:8">
      <c r="H45718" s="680" t="s">
        <v>6153</v>
      </c>
    </row>
    <row r="45719" spans="8:8">
      <c r="H45719" s="680" t="s">
        <v>6153</v>
      </c>
    </row>
    <row r="45720" spans="8:8">
      <c r="H45720" s="680" t="s">
        <v>6153</v>
      </c>
    </row>
    <row r="45721" spans="8:8">
      <c r="H45721" s="680" t="s">
        <v>6153</v>
      </c>
    </row>
    <row r="45722" spans="8:8">
      <c r="H45722" s="680" t="s">
        <v>6153</v>
      </c>
    </row>
    <row r="45723" spans="8:8">
      <c r="H45723" s="680" t="s">
        <v>6153</v>
      </c>
    </row>
    <row r="45724" spans="8:8">
      <c r="H45724" s="680" t="s">
        <v>6153</v>
      </c>
    </row>
    <row r="45725" spans="8:8">
      <c r="H45725" s="680" t="s">
        <v>6153</v>
      </c>
    </row>
    <row r="45726" spans="8:8">
      <c r="H45726" s="680" t="s">
        <v>6153</v>
      </c>
    </row>
    <row r="45727" spans="8:8">
      <c r="H45727" s="680" t="s">
        <v>6153</v>
      </c>
    </row>
    <row r="45728" spans="8:8">
      <c r="H45728" s="680" t="s">
        <v>6153</v>
      </c>
    </row>
    <row r="45729" spans="8:8">
      <c r="H45729" s="680" t="s">
        <v>6153</v>
      </c>
    </row>
    <row r="45730" spans="8:8">
      <c r="H45730" s="680" t="s">
        <v>6153</v>
      </c>
    </row>
    <row r="45731" spans="8:8">
      <c r="H45731" s="680" t="s">
        <v>6153</v>
      </c>
    </row>
    <row r="45732" spans="8:8">
      <c r="H45732" s="680" t="s">
        <v>6153</v>
      </c>
    </row>
    <row r="45733" spans="8:8">
      <c r="H45733" s="680" t="s">
        <v>6153</v>
      </c>
    </row>
    <row r="45734" spans="8:8">
      <c r="H45734" s="680" t="s">
        <v>6153</v>
      </c>
    </row>
    <row r="45735" spans="8:8">
      <c r="H45735" s="680" t="s">
        <v>6153</v>
      </c>
    </row>
    <row r="45736" spans="8:8">
      <c r="H45736" s="680" t="s">
        <v>6153</v>
      </c>
    </row>
    <row r="45737" spans="8:8">
      <c r="H45737" s="680" t="s">
        <v>6153</v>
      </c>
    </row>
    <row r="45738" spans="8:8">
      <c r="H45738" s="680" t="s">
        <v>6153</v>
      </c>
    </row>
    <row r="45739" spans="8:8">
      <c r="H45739" s="680" t="s">
        <v>6153</v>
      </c>
    </row>
    <row r="45740" spans="8:8">
      <c r="H45740" s="680" t="s">
        <v>6153</v>
      </c>
    </row>
    <row r="45741" spans="8:8">
      <c r="H45741" s="680" t="s">
        <v>6153</v>
      </c>
    </row>
    <row r="45742" spans="8:8">
      <c r="H45742" s="680" t="s">
        <v>6153</v>
      </c>
    </row>
    <row r="45743" spans="8:8">
      <c r="H45743" s="680" t="s">
        <v>6153</v>
      </c>
    </row>
    <row r="45744" spans="8:8">
      <c r="H45744" s="680" t="s">
        <v>6153</v>
      </c>
    </row>
    <row r="45745" spans="8:8">
      <c r="H45745" s="680" t="s">
        <v>6153</v>
      </c>
    </row>
    <row r="45746" spans="8:8">
      <c r="H45746" s="680" t="s">
        <v>6153</v>
      </c>
    </row>
    <row r="45747" spans="8:8">
      <c r="H45747" s="680" t="s">
        <v>6153</v>
      </c>
    </row>
    <row r="45748" spans="8:8">
      <c r="H45748" s="680" t="s">
        <v>6153</v>
      </c>
    </row>
    <row r="45749" spans="8:8">
      <c r="H45749" s="680" t="s">
        <v>6153</v>
      </c>
    </row>
    <row r="45750" spans="8:8">
      <c r="H45750" s="680" t="s">
        <v>6153</v>
      </c>
    </row>
    <row r="45751" spans="8:8">
      <c r="H45751" s="680" t="s">
        <v>6153</v>
      </c>
    </row>
    <row r="45752" spans="8:8">
      <c r="H45752" s="680" t="s">
        <v>6153</v>
      </c>
    </row>
    <row r="45753" spans="8:8">
      <c r="H45753" s="680" t="s">
        <v>6153</v>
      </c>
    </row>
    <row r="45754" spans="8:8">
      <c r="H45754" s="680" t="s">
        <v>6153</v>
      </c>
    </row>
    <row r="45755" spans="8:8">
      <c r="H45755" s="680" t="s">
        <v>6153</v>
      </c>
    </row>
    <row r="45756" spans="8:8">
      <c r="H45756" s="680" t="s">
        <v>6153</v>
      </c>
    </row>
    <row r="45757" spans="8:8">
      <c r="H45757" s="680" t="s">
        <v>6153</v>
      </c>
    </row>
    <row r="45758" spans="8:8">
      <c r="H45758" s="680" t="s">
        <v>6153</v>
      </c>
    </row>
    <row r="45759" spans="8:8">
      <c r="H45759" s="680" t="s">
        <v>6153</v>
      </c>
    </row>
    <row r="45760" spans="8:8">
      <c r="H45760" s="680" t="s">
        <v>6153</v>
      </c>
    </row>
    <row r="45761" spans="8:8">
      <c r="H45761" s="680" t="s">
        <v>6153</v>
      </c>
    </row>
    <row r="45762" spans="8:8">
      <c r="H45762" s="680" t="s">
        <v>6153</v>
      </c>
    </row>
    <row r="45763" spans="8:8">
      <c r="H45763" s="680" t="s">
        <v>6153</v>
      </c>
    </row>
    <row r="45764" spans="8:8">
      <c r="H45764" s="680" t="s">
        <v>6153</v>
      </c>
    </row>
    <row r="45765" spans="8:8">
      <c r="H45765" s="680" t="s">
        <v>6153</v>
      </c>
    </row>
    <row r="45766" spans="8:8">
      <c r="H45766" s="680" t="s">
        <v>6153</v>
      </c>
    </row>
    <row r="45767" spans="8:8">
      <c r="H45767" s="680" t="s">
        <v>6153</v>
      </c>
    </row>
    <row r="45768" spans="8:8">
      <c r="H45768" s="680" t="s">
        <v>6153</v>
      </c>
    </row>
    <row r="45769" spans="8:8">
      <c r="H45769" s="680" t="s">
        <v>6153</v>
      </c>
    </row>
    <row r="45770" spans="8:8">
      <c r="H45770" s="680" t="s">
        <v>6153</v>
      </c>
    </row>
    <row r="45771" spans="8:8">
      <c r="H45771" s="680" t="s">
        <v>6153</v>
      </c>
    </row>
    <row r="45772" spans="8:8">
      <c r="H45772" s="680" t="s">
        <v>6153</v>
      </c>
    </row>
    <row r="45773" spans="8:8">
      <c r="H45773" s="680" t="s">
        <v>6153</v>
      </c>
    </row>
    <row r="45774" spans="8:8">
      <c r="H45774" s="680" t="s">
        <v>6153</v>
      </c>
    </row>
    <row r="45775" spans="8:8">
      <c r="H45775" s="680" t="s">
        <v>6153</v>
      </c>
    </row>
    <row r="45776" spans="8:8">
      <c r="H45776" s="680" t="s">
        <v>6153</v>
      </c>
    </row>
    <row r="45777" spans="8:8">
      <c r="H45777" s="680" t="s">
        <v>6153</v>
      </c>
    </row>
    <row r="45778" spans="8:8">
      <c r="H45778" s="680" t="s">
        <v>6153</v>
      </c>
    </row>
    <row r="45779" spans="8:8">
      <c r="H45779" s="680" t="s">
        <v>6153</v>
      </c>
    </row>
    <row r="45780" spans="8:8">
      <c r="H45780" s="680" t="s">
        <v>6153</v>
      </c>
    </row>
    <row r="45781" spans="8:8">
      <c r="H45781" s="680" t="s">
        <v>6153</v>
      </c>
    </row>
    <row r="45782" spans="8:8">
      <c r="H45782" s="680" t="s">
        <v>6153</v>
      </c>
    </row>
    <row r="45783" spans="8:8">
      <c r="H45783" s="680" t="s">
        <v>6153</v>
      </c>
    </row>
    <row r="45784" spans="8:8">
      <c r="H45784" s="680" t="s">
        <v>6153</v>
      </c>
    </row>
    <row r="45785" spans="8:8">
      <c r="H45785" s="680" t="s">
        <v>6153</v>
      </c>
    </row>
    <row r="45786" spans="8:8">
      <c r="H45786" s="680" t="s">
        <v>6153</v>
      </c>
    </row>
    <row r="45787" spans="8:8">
      <c r="H45787" s="680" t="s">
        <v>6153</v>
      </c>
    </row>
    <row r="45788" spans="8:8">
      <c r="H45788" s="680" t="s">
        <v>6153</v>
      </c>
    </row>
    <row r="45789" spans="8:8">
      <c r="H45789" s="680" t="s">
        <v>6153</v>
      </c>
    </row>
    <row r="45790" spans="8:8">
      <c r="H45790" s="680" t="s">
        <v>6153</v>
      </c>
    </row>
    <row r="45791" spans="8:8">
      <c r="H45791" s="680" t="s">
        <v>6153</v>
      </c>
    </row>
    <row r="45792" spans="8:8">
      <c r="H45792" s="680" t="s">
        <v>6153</v>
      </c>
    </row>
    <row r="45793" spans="8:8">
      <c r="H45793" s="680" t="s">
        <v>6153</v>
      </c>
    </row>
    <row r="45794" spans="8:8">
      <c r="H45794" s="680" t="s">
        <v>6153</v>
      </c>
    </row>
    <row r="45795" spans="8:8">
      <c r="H45795" s="680" t="s">
        <v>6153</v>
      </c>
    </row>
    <row r="45796" spans="8:8">
      <c r="H45796" s="680" t="s">
        <v>6153</v>
      </c>
    </row>
    <row r="45797" spans="8:8">
      <c r="H45797" s="680" t="s">
        <v>6153</v>
      </c>
    </row>
    <row r="45798" spans="8:8">
      <c r="H45798" s="680" t="s">
        <v>6153</v>
      </c>
    </row>
    <row r="45799" spans="8:8">
      <c r="H45799" s="680" t="s">
        <v>6153</v>
      </c>
    </row>
    <row r="45800" spans="8:8">
      <c r="H45800" s="680" t="s">
        <v>6153</v>
      </c>
    </row>
    <row r="45801" spans="8:8">
      <c r="H45801" s="680" t="s">
        <v>6153</v>
      </c>
    </row>
    <row r="45802" spans="8:8">
      <c r="H45802" s="680" t="s">
        <v>6153</v>
      </c>
    </row>
    <row r="45803" spans="8:8">
      <c r="H45803" s="680" t="s">
        <v>6153</v>
      </c>
    </row>
    <row r="45804" spans="8:8">
      <c r="H45804" s="680" t="s">
        <v>6153</v>
      </c>
    </row>
    <row r="45805" spans="8:8">
      <c r="H45805" s="680" t="s">
        <v>6153</v>
      </c>
    </row>
    <row r="45806" spans="8:8">
      <c r="H45806" s="680" t="s">
        <v>6153</v>
      </c>
    </row>
    <row r="45807" spans="8:8">
      <c r="H45807" s="680" t="s">
        <v>6153</v>
      </c>
    </row>
    <row r="45808" spans="8:8">
      <c r="H45808" s="680" t="s">
        <v>6153</v>
      </c>
    </row>
    <row r="45809" spans="8:8">
      <c r="H45809" s="680" t="s">
        <v>6153</v>
      </c>
    </row>
    <row r="45810" spans="8:8">
      <c r="H45810" s="680" t="s">
        <v>6153</v>
      </c>
    </row>
    <row r="45811" spans="8:8">
      <c r="H45811" s="680" t="s">
        <v>6153</v>
      </c>
    </row>
    <row r="45812" spans="8:8">
      <c r="H45812" s="680" t="s">
        <v>6153</v>
      </c>
    </row>
    <row r="45813" spans="8:8">
      <c r="H45813" s="680" t="s">
        <v>6153</v>
      </c>
    </row>
    <row r="45814" spans="8:8">
      <c r="H45814" s="680" t="s">
        <v>6153</v>
      </c>
    </row>
    <row r="45815" spans="8:8">
      <c r="H45815" s="680" t="s">
        <v>6153</v>
      </c>
    </row>
    <row r="45816" spans="8:8">
      <c r="H45816" s="680" t="s">
        <v>6153</v>
      </c>
    </row>
    <row r="45817" spans="8:8">
      <c r="H45817" s="680" t="s">
        <v>6153</v>
      </c>
    </row>
    <row r="45818" spans="8:8">
      <c r="H45818" s="680" t="s">
        <v>6153</v>
      </c>
    </row>
    <row r="45819" spans="8:8">
      <c r="H45819" s="680" t="s">
        <v>6153</v>
      </c>
    </row>
    <row r="45820" spans="8:8">
      <c r="H45820" s="680" t="s">
        <v>6153</v>
      </c>
    </row>
    <row r="45821" spans="8:8">
      <c r="H45821" s="680" t="s">
        <v>6153</v>
      </c>
    </row>
    <row r="45822" spans="8:8">
      <c r="H45822" s="680" t="s">
        <v>6153</v>
      </c>
    </row>
    <row r="45823" spans="8:8">
      <c r="H45823" s="680" t="s">
        <v>6153</v>
      </c>
    </row>
    <row r="45824" spans="8:8">
      <c r="H45824" s="680" t="s">
        <v>6153</v>
      </c>
    </row>
    <row r="45825" spans="8:8">
      <c r="H45825" s="680" t="s">
        <v>6153</v>
      </c>
    </row>
    <row r="45826" spans="8:8">
      <c r="H45826" s="680" t="s">
        <v>6153</v>
      </c>
    </row>
    <row r="45827" spans="8:8">
      <c r="H45827" s="680" t="s">
        <v>6153</v>
      </c>
    </row>
    <row r="45828" spans="8:8">
      <c r="H45828" s="680" t="s">
        <v>6153</v>
      </c>
    </row>
    <row r="45829" spans="8:8">
      <c r="H45829" s="680" t="s">
        <v>6153</v>
      </c>
    </row>
    <row r="45830" spans="8:8">
      <c r="H45830" s="680" t="s">
        <v>6153</v>
      </c>
    </row>
    <row r="45831" spans="8:8">
      <c r="H45831" s="680" t="s">
        <v>6153</v>
      </c>
    </row>
    <row r="45832" spans="8:8">
      <c r="H45832" s="680" t="s">
        <v>6153</v>
      </c>
    </row>
    <row r="45833" spans="8:8">
      <c r="H45833" s="680" t="s">
        <v>6153</v>
      </c>
    </row>
    <row r="45834" spans="8:8">
      <c r="H45834" s="680" t="s">
        <v>6153</v>
      </c>
    </row>
    <row r="45835" spans="8:8">
      <c r="H45835" s="680" t="s">
        <v>6153</v>
      </c>
    </row>
    <row r="45836" spans="8:8">
      <c r="H45836" s="680" t="s">
        <v>6153</v>
      </c>
    </row>
    <row r="45837" spans="8:8">
      <c r="H45837" s="680" t="s">
        <v>6153</v>
      </c>
    </row>
    <row r="45838" spans="8:8">
      <c r="H45838" s="680" t="s">
        <v>6153</v>
      </c>
    </row>
    <row r="45839" spans="8:8">
      <c r="H45839" s="680" t="s">
        <v>6153</v>
      </c>
    </row>
    <row r="45840" spans="8:8">
      <c r="H45840" s="680" t="s">
        <v>6153</v>
      </c>
    </row>
    <row r="45841" spans="8:8">
      <c r="H45841" s="680" t="s">
        <v>6153</v>
      </c>
    </row>
    <row r="45842" spans="8:8">
      <c r="H45842" s="680" t="s">
        <v>6153</v>
      </c>
    </row>
    <row r="45843" spans="8:8">
      <c r="H45843" s="680" t="s">
        <v>6153</v>
      </c>
    </row>
    <row r="45844" spans="8:8">
      <c r="H45844" s="680" t="s">
        <v>6153</v>
      </c>
    </row>
    <row r="45845" spans="8:8">
      <c r="H45845" s="680" t="s">
        <v>6153</v>
      </c>
    </row>
    <row r="45846" spans="8:8">
      <c r="H45846" s="680" t="s">
        <v>6153</v>
      </c>
    </row>
    <row r="45847" spans="8:8">
      <c r="H45847" s="680" t="s">
        <v>6153</v>
      </c>
    </row>
    <row r="45848" spans="8:8">
      <c r="H45848" s="680" t="s">
        <v>6153</v>
      </c>
    </row>
    <row r="45849" spans="8:8">
      <c r="H45849" s="680" t="s">
        <v>6153</v>
      </c>
    </row>
    <row r="45850" spans="8:8">
      <c r="H45850" s="680" t="s">
        <v>6153</v>
      </c>
    </row>
    <row r="45851" spans="8:8">
      <c r="H45851" s="680" t="s">
        <v>6153</v>
      </c>
    </row>
    <row r="45852" spans="8:8">
      <c r="H45852" s="680" t="s">
        <v>6153</v>
      </c>
    </row>
    <row r="45853" spans="8:8">
      <c r="H45853" s="680" t="s">
        <v>6153</v>
      </c>
    </row>
    <row r="45854" spans="8:8">
      <c r="H45854" s="680" t="s">
        <v>6153</v>
      </c>
    </row>
    <row r="45855" spans="8:8">
      <c r="H45855" s="680" t="s">
        <v>6153</v>
      </c>
    </row>
    <row r="45856" spans="8:8">
      <c r="H45856" s="680" t="s">
        <v>6153</v>
      </c>
    </row>
    <row r="45857" spans="8:8">
      <c r="H45857" s="680" t="s">
        <v>6153</v>
      </c>
    </row>
    <row r="45858" spans="8:8">
      <c r="H45858" s="680" t="s">
        <v>6153</v>
      </c>
    </row>
    <row r="45859" spans="8:8">
      <c r="H45859" s="680" t="s">
        <v>6153</v>
      </c>
    </row>
    <row r="45860" spans="8:8">
      <c r="H45860" s="680" t="s">
        <v>6153</v>
      </c>
    </row>
    <row r="45861" spans="8:8">
      <c r="H45861" s="680" t="s">
        <v>6153</v>
      </c>
    </row>
    <row r="45862" spans="8:8">
      <c r="H45862" s="680" t="s">
        <v>6153</v>
      </c>
    </row>
    <row r="45863" spans="8:8">
      <c r="H45863" s="680" t="s">
        <v>6153</v>
      </c>
    </row>
    <row r="45864" spans="8:8">
      <c r="H45864" s="680" t="s">
        <v>6153</v>
      </c>
    </row>
    <row r="45865" spans="8:8">
      <c r="H45865" s="680" t="s">
        <v>6153</v>
      </c>
    </row>
    <row r="45866" spans="8:8">
      <c r="H45866" s="680" t="s">
        <v>6153</v>
      </c>
    </row>
    <row r="45867" spans="8:8">
      <c r="H45867" s="680" t="s">
        <v>6153</v>
      </c>
    </row>
    <row r="45868" spans="8:8">
      <c r="H45868" s="680" t="s">
        <v>6153</v>
      </c>
    </row>
    <row r="45869" spans="8:8">
      <c r="H45869" s="680" t="s">
        <v>6153</v>
      </c>
    </row>
    <row r="45870" spans="8:8">
      <c r="H45870" s="680" t="s">
        <v>6153</v>
      </c>
    </row>
    <row r="45871" spans="8:8">
      <c r="H45871" s="680" t="s">
        <v>6153</v>
      </c>
    </row>
    <row r="45872" spans="8:8">
      <c r="H45872" s="680" t="s">
        <v>6153</v>
      </c>
    </row>
    <row r="45873" spans="8:8">
      <c r="H45873" s="680" t="s">
        <v>6153</v>
      </c>
    </row>
    <row r="45874" spans="8:8">
      <c r="H45874" s="680" t="s">
        <v>6153</v>
      </c>
    </row>
    <row r="45875" spans="8:8">
      <c r="H45875" s="680" t="s">
        <v>6153</v>
      </c>
    </row>
    <row r="45876" spans="8:8">
      <c r="H45876" s="680" t="s">
        <v>6153</v>
      </c>
    </row>
    <row r="45877" spans="8:8">
      <c r="H45877" s="680" t="s">
        <v>6153</v>
      </c>
    </row>
    <row r="45878" spans="8:8">
      <c r="H45878" s="680" t="s">
        <v>6153</v>
      </c>
    </row>
    <row r="45879" spans="8:8">
      <c r="H45879" s="680" t="s">
        <v>6153</v>
      </c>
    </row>
    <row r="45880" spans="8:8">
      <c r="H45880" s="680" t="s">
        <v>6153</v>
      </c>
    </row>
    <row r="45881" spans="8:8">
      <c r="H45881" s="680" t="s">
        <v>6153</v>
      </c>
    </row>
    <row r="45882" spans="8:8">
      <c r="H45882" s="680" t="s">
        <v>6153</v>
      </c>
    </row>
    <row r="45883" spans="8:8">
      <c r="H45883" s="680" t="s">
        <v>6153</v>
      </c>
    </row>
    <row r="45884" spans="8:8">
      <c r="H45884" s="680" t="s">
        <v>6153</v>
      </c>
    </row>
    <row r="45885" spans="8:8">
      <c r="H45885" s="680" t="s">
        <v>6153</v>
      </c>
    </row>
    <row r="45886" spans="8:8">
      <c r="H45886" s="680" t="s">
        <v>6153</v>
      </c>
    </row>
    <row r="45887" spans="8:8">
      <c r="H45887" s="680" t="s">
        <v>6153</v>
      </c>
    </row>
    <row r="45888" spans="8:8">
      <c r="H45888" s="680" t="s">
        <v>6153</v>
      </c>
    </row>
    <row r="45889" spans="8:8">
      <c r="H45889" s="680" t="s">
        <v>6153</v>
      </c>
    </row>
    <row r="45890" spans="8:8">
      <c r="H45890" s="680" t="s">
        <v>6153</v>
      </c>
    </row>
    <row r="45891" spans="8:8">
      <c r="H45891" s="680" t="s">
        <v>6153</v>
      </c>
    </row>
    <row r="45892" spans="8:8">
      <c r="H45892" s="680" t="s">
        <v>6153</v>
      </c>
    </row>
    <row r="45893" spans="8:8">
      <c r="H45893" s="680" t="s">
        <v>6153</v>
      </c>
    </row>
    <row r="45894" spans="8:8">
      <c r="H45894" s="680" t="s">
        <v>6153</v>
      </c>
    </row>
    <row r="45895" spans="8:8">
      <c r="H45895" s="680" t="s">
        <v>6153</v>
      </c>
    </row>
    <row r="45896" spans="8:8">
      <c r="H45896" s="680" t="s">
        <v>6153</v>
      </c>
    </row>
    <row r="45897" spans="8:8">
      <c r="H45897" s="680" t="s">
        <v>6153</v>
      </c>
    </row>
    <row r="45898" spans="8:8">
      <c r="H45898" s="680" t="s">
        <v>6153</v>
      </c>
    </row>
    <row r="45899" spans="8:8">
      <c r="H45899" s="680" t="s">
        <v>6153</v>
      </c>
    </row>
    <row r="45900" spans="8:8">
      <c r="H45900" s="680" t="s">
        <v>6153</v>
      </c>
    </row>
    <row r="45901" spans="8:8">
      <c r="H45901" s="680" t="s">
        <v>6153</v>
      </c>
    </row>
    <row r="45902" spans="8:8">
      <c r="H45902" s="680" t="s">
        <v>6153</v>
      </c>
    </row>
    <row r="45903" spans="8:8">
      <c r="H45903" s="680" t="s">
        <v>6153</v>
      </c>
    </row>
    <row r="45904" spans="8:8">
      <c r="H45904" s="680" t="s">
        <v>6153</v>
      </c>
    </row>
    <row r="45905" spans="8:8">
      <c r="H45905" s="680" t="s">
        <v>6153</v>
      </c>
    </row>
    <row r="45906" spans="8:8">
      <c r="H45906" s="680" t="s">
        <v>6153</v>
      </c>
    </row>
    <row r="45907" spans="8:8">
      <c r="H45907" s="680" t="s">
        <v>6153</v>
      </c>
    </row>
    <row r="45908" spans="8:8">
      <c r="H45908" s="680" t="s">
        <v>6153</v>
      </c>
    </row>
    <row r="45909" spans="8:8">
      <c r="H45909" s="680" t="s">
        <v>6153</v>
      </c>
    </row>
    <row r="45910" spans="8:8">
      <c r="H45910" s="680" t="s">
        <v>6153</v>
      </c>
    </row>
    <row r="45911" spans="8:8">
      <c r="H45911" s="680" t="s">
        <v>6153</v>
      </c>
    </row>
    <row r="45912" spans="8:8">
      <c r="H45912" s="680" t="s">
        <v>6153</v>
      </c>
    </row>
    <row r="45913" spans="8:8">
      <c r="H45913" s="680" t="s">
        <v>6153</v>
      </c>
    </row>
    <row r="45914" spans="8:8">
      <c r="H45914" s="680" t="s">
        <v>6153</v>
      </c>
    </row>
    <row r="45915" spans="8:8">
      <c r="H45915" s="680" t="s">
        <v>6153</v>
      </c>
    </row>
    <row r="45916" spans="8:8">
      <c r="H45916" s="680" t="s">
        <v>6153</v>
      </c>
    </row>
    <row r="45917" spans="8:8">
      <c r="H45917" s="680" t="s">
        <v>6153</v>
      </c>
    </row>
    <row r="45918" spans="8:8">
      <c r="H45918" s="680" t="s">
        <v>6153</v>
      </c>
    </row>
    <row r="45919" spans="8:8">
      <c r="H45919" s="680" t="s">
        <v>6153</v>
      </c>
    </row>
    <row r="45920" spans="8:8">
      <c r="H45920" s="680" t="s">
        <v>6153</v>
      </c>
    </row>
    <row r="45921" spans="8:8">
      <c r="H45921" s="680" t="s">
        <v>6153</v>
      </c>
    </row>
    <row r="45922" spans="8:8">
      <c r="H45922" s="680" t="s">
        <v>6153</v>
      </c>
    </row>
    <row r="45923" spans="8:8">
      <c r="H45923" s="680" t="s">
        <v>6153</v>
      </c>
    </row>
    <row r="45924" spans="8:8">
      <c r="H45924" s="680" t="s">
        <v>6153</v>
      </c>
    </row>
    <row r="45925" spans="8:8">
      <c r="H45925" s="680" t="s">
        <v>6153</v>
      </c>
    </row>
    <row r="45926" spans="8:8">
      <c r="H45926" s="680" t="s">
        <v>6153</v>
      </c>
    </row>
    <row r="45927" spans="8:8">
      <c r="H45927" s="680" t="s">
        <v>6153</v>
      </c>
    </row>
    <row r="45928" spans="8:8">
      <c r="H45928" s="680" t="s">
        <v>6153</v>
      </c>
    </row>
    <row r="45929" spans="8:8">
      <c r="H45929" s="680" t="s">
        <v>6153</v>
      </c>
    </row>
    <row r="45930" spans="8:8">
      <c r="H45930" s="680" t="s">
        <v>6153</v>
      </c>
    </row>
    <row r="45931" spans="8:8">
      <c r="H45931" s="680" t="s">
        <v>6153</v>
      </c>
    </row>
    <row r="45932" spans="8:8">
      <c r="H45932" s="680" t="s">
        <v>6153</v>
      </c>
    </row>
    <row r="45933" spans="8:8">
      <c r="H45933" s="680" t="s">
        <v>6153</v>
      </c>
    </row>
    <row r="45934" spans="8:8">
      <c r="H45934" s="680" t="s">
        <v>6153</v>
      </c>
    </row>
    <row r="45935" spans="8:8">
      <c r="H45935" s="680" t="s">
        <v>6153</v>
      </c>
    </row>
    <row r="45936" spans="8:8">
      <c r="H45936" s="680" t="s">
        <v>6153</v>
      </c>
    </row>
    <row r="45937" spans="8:8">
      <c r="H45937" s="680" t="s">
        <v>6153</v>
      </c>
    </row>
    <row r="45938" spans="8:8">
      <c r="H45938" s="680" t="s">
        <v>6153</v>
      </c>
    </row>
    <row r="45939" spans="8:8">
      <c r="H45939" s="680" t="s">
        <v>6153</v>
      </c>
    </row>
    <row r="45940" spans="8:8">
      <c r="H45940" s="680" t="s">
        <v>6153</v>
      </c>
    </row>
    <row r="45941" spans="8:8">
      <c r="H45941" s="680" t="s">
        <v>6153</v>
      </c>
    </row>
    <row r="45942" spans="8:8">
      <c r="H45942" s="680" t="s">
        <v>6153</v>
      </c>
    </row>
    <row r="45943" spans="8:8">
      <c r="H45943" s="680" t="s">
        <v>6153</v>
      </c>
    </row>
    <row r="45944" spans="8:8">
      <c r="H45944" s="680" t="s">
        <v>6153</v>
      </c>
    </row>
    <row r="45945" spans="8:8">
      <c r="H45945" s="680" t="s">
        <v>6153</v>
      </c>
    </row>
    <row r="45946" spans="8:8">
      <c r="H45946" s="680" t="s">
        <v>6153</v>
      </c>
    </row>
    <row r="45947" spans="8:8">
      <c r="H45947" s="680" t="s">
        <v>6153</v>
      </c>
    </row>
    <row r="45948" spans="8:8">
      <c r="H45948" s="680" t="s">
        <v>6153</v>
      </c>
    </row>
    <row r="45949" spans="8:8">
      <c r="H45949" s="680" t="s">
        <v>6153</v>
      </c>
    </row>
    <row r="45950" spans="8:8">
      <c r="H45950" s="680" t="s">
        <v>6153</v>
      </c>
    </row>
    <row r="45951" spans="8:8">
      <c r="H45951" s="680" t="s">
        <v>6153</v>
      </c>
    </row>
    <row r="45952" spans="8:8">
      <c r="H45952" s="680" t="s">
        <v>6153</v>
      </c>
    </row>
    <row r="45953" spans="8:8">
      <c r="H45953" s="680" t="s">
        <v>6153</v>
      </c>
    </row>
    <row r="45954" spans="8:8">
      <c r="H45954" s="680" t="s">
        <v>6153</v>
      </c>
    </row>
    <row r="45955" spans="8:8">
      <c r="H45955" s="680" t="s">
        <v>6153</v>
      </c>
    </row>
    <row r="45956" spans="8:8">
      <c r="H45956" s="680" t="s">
        <v>6153</v>
      </c>
    </row>
    <row r="45957" spans="8:8">
      <c r="H45957" s="680" t="s">
        <v>6153</v>
      </c>
    </row>
    <row r="45958" spans="8:8">
      <c r="H45958" s="680" t="s">
        <v>6153</v>
      </c>
    </row>
    <row r="45959" spans="8:8">
      <c r="H45959" s="680" t="s">
        <v>6153</v>
      </c>
    </row>
    <row r="45960" spans="8:8">
      <c r="H45960" s="680" t="s">
        <v>6153</v>
      </c>
    </row>
    <row r="45961" spans="8:8">
      <c r="H45961" s="680" t="s">
        <v>6153</v>
      </c>
    </row>
    <row r="45962" spans="8:8">
      <c r="H45962" s="680" t="s">
        <v>6153</v>
      </c>
    </row>
    <row r="45963" spans="8:8">
      <c r="H45963" s="680" t="s">
        <v>6153</v>
      </c>
    </row>
    <row r="45964" spans="8:8">
      <c r="H45964" s="680" t="s">
        <v>6153</v>
      </c>
    </row>
    <row r="45965" spans="8:8">
      <c r="H45965" s="680" t="s">
        <v>6153</v>
      </c>
    </row>
    <row r="45966" spans="8:8">
      <c r="H45966" s="680" t="s">
        <v>6153</v>
      </c>
    </row>
    <row r="45967" spans="8:8">
      <c r="H45967" s="680" t="s">
        <v>6153</v>
      </c>
    </row>
    <row r="45968" spans="8:8">
      <c r="H45968" s="680" t="s">
        <v>6153</v>
      </c>
    </row>
    <row r="45969" spans="8:8">
      <c r="H45969" s="680" t="s">
        <v>6153</v>
      </c>
    </row>
    <row r="45970" spans="8:8">
      <c r="H45970" s="680" t="s">
        <v>6153</v>
      </c>
    </row>
    <row r="45971" spans="8:8">
      <c r="H45971" s="680" t="s">
        <v>6153</v>
      </c>
    </row>
    <row r="45972" spans="8:8">
      <c r="H45972" s="680" t="s">
        <v>6153</v>
      </c>
    </row>
    <row r="45973" spans="8:8">
      <c r="H45973" s="680" t="s">
        <v>6153</v>
      </c>
    </row>
    <row r="45974" spans="8:8">
      <c r="H45974" s="680" t="s">
        <v>6153</v>
      </c>
    </row>
    <row r="45975" spans="8:8">
      <c r="H45975" s="680" t="s">
        <v>6153</v>
      </c>
    </row>
    <row r="45976" spans="8:8">
      <c r="H45976" s="680" t="s">
        <v>6153</v>
      </c>
    </row>
    <row r="45977" spans="8:8">
      <c r="H45977" s="680" t="s">
        <v>6153</v>
      </c>
    </row>
    <row r="45978" spans="8:8">
      <c r="H45978" s="680" t="s">
        <v>6153</v>
      </c>
    </row>
    <row r="45979" spans="8:8">
      <c r="H45979" s="680" t="s">
        <v>6153</v>
      </c>
    </row>
    <row r="45980" spans="8:8">
      <c r="H45980" s="680" t="s">
        <v>6153</v>
      </c>
    </row>
    <row r="45981" spans="8:8">
      <c r="H45981" s="680" t="s">
        <v>6153</v>
      </c>
    </row>
    <row r="45982" spans="8:8">
      <c r="H45982" s="680" t="s">
        <v>6153</v>
      </c>
    </row>
    <row r="45983" spans="8:8">
      <c r="H45983" s="680" t="s">
        <v>6153</v>
      </c>
    </row>
    <row r="45984" spans="8:8">
      <c r="H45984" s="680" t="s">
        <v>6153</v>
      </c>
    </row>
    <row r="45985" spans="8:8">
      <c r="H45985" s="680" t="s">
        <v>6153</v>
      </c>
    </row>
    <row r="45986" spans="8:8">
      <c r="H45986" s="680" t="s">
        <v>6153</v>
      </c>
    </row>
    <row r="45987" spans="8:8">
      <c r="H45987" s="680" t="s">
        <v>6153</v>
      </c>
    </row>
    <row r="45988" spans="8:8">
      <c r="H45988" s="680" t="s">
        <v>6153</v>
      </c>
    </row>
    <row r="45989" spans="8:8">
      <c r="H45989" s="680" t="s">
        <v>6153</v>
      </c>
    </row>
    <row r="45990" spans="8:8">
      <c r="H45990" s="680" t="s">
        <v>6153</v>
      </c>
    </row>
    <row r="45991" spans="8:8">
      <c r="H45991" s="680" t="s">
        <v>6153</v>
      </c>
    </row>
    <row r="45992" spans="8:8">
      <c r="H45992" s="680" t="s">
        <v>6153</v>
      </c>
    </row>
    <row r="45993" spans="8:8">
      <c r="H45993" s="680" t="s">
        <v>6153</v>
      </c>
    </row>
    <row r="45994" spans="8:8">
      <c r="H45994" s="680" t="s">
        <v>6153</v>
      </c>
    </row>
    <row r="45995" spans="8:8">
      <c r="H45995" s="680" t="s">
        <v>6153</v>
      </c>
    </row>
    <row r="45996" spans="8:8">
      <c r="H45996" s="680" t="s">
        <v>6153</v>
      </c>
    </row>
    <row r="45997" spans="8:8">
      <c r="H45997" s="680" t="s">
        <v>6153</v>
      </c>
    </row>
    <row r="45998" spans="8:8">
      <c r="H45998" s="680" t="s">
        <v>6153</v>
      </c>
    </row>
    <row r="45999" spans="8:8">
      <c r="H45999" s="680" t="s">
        <v>6153</v>
      </c>
    </row>
    <row r="46000" spans="8:8">
      <c r="H46000" s="680" t="s">
        <v>6153</v>
      </c>
    </row>
    <row r="46001" spans="8:8">
      <c r="H46001" s="680" t="s">
        <v>6153</v>
      </c>
    </row>
    <row r="46002" spans="8:8">
      <c r="H46002" s="680" t="s">
        <v>6153</v>
      </c>
    </row>
    <row r="46003" spans="8:8">
      <c r="H46003" s="680" t="s">
        <v>6153</v>
      </c>
    </row>
    <row r="46004" spans="8:8">
      <c r="H46004" s="680" t="s">
        <v>6153</v>
      </c>
    </row>
    <row r="46005" spans="8:8">
      <c r="H46005" s="680" t="s">
        <v>6153</v>
      </c>
    </row>
    <row r="46006" spans="8:8">
      <c r="H46006" s="680" t="s">
        <v>6153</v>
      </c>
    </row>
    <row r="46007" spans="8:8">
      <c r="H46007" s="680" t="s">
        <v>6153</v>
      </c>
    </row>
    <row r="46008" spans="8:8">
      <c r="H46008" s="680" t="s">
        <v>6153</v>
      </c>
    </row>
    <row r="46009" spans="8:8">
      <c r="H46009" s="680" t="s">
        <v>6153</v>
      </c>
    </row>
    <row r="46010" spans="8:8">
      <c r="H46010" s="680" t="s">
        <v>6153</v>
      </c>
    </row>
    <row r="46011" spans="8:8">
      <c r="H46011" s="680" t="s">
        <v>6153</v>
      </c>
    </row>
    <row r="46012" spans="8:8">
      <c r="H46012" s="680" t="s">
        <v>6153</v>
      </c>
    </row>
    <row r="46013" spans="8:8">
      <c r="H46013" s="680" t="s">
        <v>6153</v>
      </c>
    </row>
    <row r="46014" spans="8:8">
      <c r="H46014" s="680" t="s">
        <v>6153</v>
      </c>
    </row>
    <row r="46015" spans="8:8">
      <c r="H46015" s="680" t="s">
        <v>6153</v>
      </c>
    </row>
    <row r="46016" spans="8:8">
      <c r="H46016" s="680" t="s">
        <v>6153</v>
      </c>
    </row>
    <row r="46017" spans="8:8">
      <c r="H46017" s="680" t="s">
        <v>6153</v>
      </c>
    </row>
    <row r="46018" spans="8:8">
      <c r="H46018" s="680" t="s">
        <v>6153</v>
      </c>
    </row>
    <row r="46019" spans="8:8">
      <c r="H46019" s="680" t="s">
        <v>6153</v>
      </c>
    </row>
    <row r="46020" spans="8:8">
      <c r="H46020" s="680" t="s">
        <v>6153</v>
      </c>
    </row>
    <row r="46021" spans="8:8">
      <c r="H46021" s="680" t="s">
        <v>6153</v>
      </c>
    </row>
    <row r="46022" spans="8:8">
      <c r="H46022" s="680" t="s">
        <v>6153</v>
      </c>
    </row>
    <row r="46023" spans="8:8">
      <c r="H46023" s="680" t="s">
        <v>6153</v>
      </c>
    </row>
    <row r="46024" spans="8:8">
      <c r="H46024" s="680" t="s">
        <v>6153</v>
      </c>
    </row>
    <row r="46025" spans="8:8">
      <c r="H46025" s="680" t="s">
        <v>6153</v>
      </c>
    </row>
    <row r="46026" spans="8:8">
      <c r="H46026" s="680" t="s">
        <v>6153</v>
      </c>
    </row>
    <row r="46027" spans="8:8">
      <c r="H46027" s="680" t="s">
        <v>6153</v>
      </c>
    </row>
    <row r="46028" spans="8:8">
      <c r="H46028" s="680" t="s">
        <v>6153</v>
      </c>
    </row>
    <row r="46029" spans="8:8">
      <c r="H46029" s="680" t="s">
        <v>6153</v>
      </c>
    </row>
    <row r="46030" spans="8:8">
      <c r="H46030" s="680" t="s">
        <v>6153</v>
      </c>
    </row>
    <row r="46031" spans="8:8">
      <c r="H46031" s="680" t="s">
        <v>6153</v>
      </c>
    </row>
    <row r="46032" spans="8:8">
      <c r="H46032" s="680" t="s">
        <v>6153</v>
      </c>
    </row>
    <row r="46033" spans="8:8">
      <c r="H46033" s="680" t="s">
        <v>6153</v>
      </c>
    </row>
    <row r="46034" spans="8:8">
      <c r="H46034" s="680" t="s">
        <v>6153</v>
      </c>
    </row>
    <row r="46035" spans="8:8">
      <c r="H46035" s="680" t="s">
        <v>6153</v>
      </c>
    </row>
    <row r="46036" spans="8:8">
      <c r="H46036" s="680" t="s">
        <v>6153</v>
      </c>
    </row>
    <row r="46037" spans="8:8">
      <c r="H46037" s="680" t="s">
        <v>6153</v>
      </c>
    </row>
    <row r="46038" spans="8:8">
      <c r="H46038" s="680" t="s">
        <v>6153</v>
      </c>
    </row>
    <row r="46039" spans="8:8">
      <c r="H46039" s="680" t="s">
        <v>6153</v>
      </c>
    </row>
    <row r="46040" spans="8:8">
      <c r="H46040" s="680" t="s">
        <v>6153</v>
      </c>
    </row>
    <row r="46041" spans="8:8">
      <c r="H46041" s="680" t="s">
        <v>6153</v>
      </c>
    </row>
    <row r="46042" spans="8:8">
      <c r="H46042" s="680" t="s">
        <v>6153</v>
      </c>
    </row>
    <row r="46043" spans="8:8">
      <c r="H46043" s="680" t="s">
        <v>6153</v>
      </c>
    </row>
    <row r="46044" spans="8:8">
      <c r="H46044" s="680" t="s">
        <v>6153</v>
      </c>
    </row>
    <row r="46045" spans="8:8">
      <c r="H46045" s="680" t="s">
        <v>6153</v>
      </c>
    </row>
    <row r="46046" spans="8:8">
      <c r="H46046" s="680" t="s">
        <v>6153</v>
      </c>
    </row>
    <row r="46047" spans="8:8">
      <c r="H46047" s="680" t="s">
        <v>6153</v>
      </c>
    </row>
    <row r="46048" spans="8:8">
      <c r="H46048" s="680" t="s">
        <v>6153</v>
      </c>
    </row>
    <row r="46049" spans="8:8">
      <c r="H46049" s="680" t="s">
        <v>6153</v>
      </c>
    </row>
    <row r="46050" spans="8:8">
      <c r="H46050" s="680" t="s">
        <v>6153</v>
      </c>
    </row>
    <row r="46051" spans="8:8">
      <c r="H46051" s="680" t="s">
        <v>6153</v>
      </c>
    </row>
    <row r="46052" spans="8:8">
      <c r="H46052" s="680" t="s">
        <v>6153</v>
      </c>
    </row>
    <row r="46053" spans="8:8">
      <c r="H46053" s="680" t="s">
        <v>6153</v>
      </c>
    </row>
    <row r="46054" spans="8:8">
      <c r="H46054" s="680" t="s">
        <v>6153</v>
      </c>
    </row>
    <row r="46055" spans="8:8">
      <c r="H46055" s="680" t="s">
        <v>6153</v>
      </c>
    </row>
    <row r="46056" spans="8:8">
      <c r="H46056" s="680" t="s">
        <v>6153</v>
      </c>
    </row>
    <row r="46057" spans="8:8">
      <c r="H46057" s="680" t="s">
        <v>6153</v>
      </c>
    </row>
    <row r="46058" spans="8:8">
      <c r="H46058" s="680" t="s">
        <v>6153</v>
      </c>
    </row>
    <row r="46059" spans="8:8">
      <c r="H46059" s="680" t="s">
        <v>6153</v>
      </c>
    </row>
    <row r="46060" spans="8:8">
      <c r="H46060" s="680" t="s">
        <v>6153</v>
      </c>
    </row>
    <row r="46061" spans="8:8">
      <c r="H46061" s="680" t="s">
        <v>6153</v>
      </c>
    </row>
    <row r="46062" spans="8:8">
      <c r="H46062" s="680" t="s">
        <v>6153</v>
      </c>
    </row>
    <row r="46063" spans="8:8">
      <c r="H46063" s="680" t="s">
        <v>6153</v>
      </c>
    </row>
    <row r="46064" spans="8:8">
      <c r="H46064" s="680" t="s">
        <v>6153</v>
      </c>
    </row>
    <row r="46065" spans="8:8">
      <c r="H46065" s="680" t="s">
        <v>6153</v>
      </c>
    </row>
    <row r="46066" spans="8:8">
      <c r="H46066" s="680" t="s">
        <v>6153</v>
      </c>
    </row>
    <row r="46067" spans="8:8">
      <c r="H46067" s="680" t="s">
        <v>6153</v>
      </c>
    </row>
    <row r="46068" spans="8:8">
      <c r="H46068" s="680" t="s">
        <v>6153</v>
      </c>
    </row>
    <row r="46069" spans="8:8">
      <c r="H46069" s="680" t="s">
        <v>6153</v>
      </c>
    </row>
    <row r="46070" spans="8:8">
      <c r="H46070" s="680" t="s">
        <v>6153</v>
      </c>
    </row>
    <row r="46071" spans="8:8">
      <c r="H46071" s="680" t="s">
        <v>6153</v>
      </c>
    </row>
    <row r="46072" spans="8:8">
      <c r="H46072" s="680" t="s">
        <v>6153</v>
      </c>
    </row>
    <row r="46073" spans="8:8">
      <c r="H46073" s="680" t="s">
        <v>6153</v>
      </c>
    </row>
    <row r="46074" spans="8:8">
      <c r="H46074" s="680" t="s">
        <v>6153</v>
      </c>
    </row>
    <row r="46075" spans="8:8">
      <c r="H46075" s="680" t="s">
        <v>6153</v>
      </c>
    </row>
    <row r="46076" spans="8:8">
      <c r="H46076" s="680" t="s">
        <v>6153</v>
      </c>
    </row>
    <row r="46077" spans="8:8">
      <c r="H46077" s="680" t="s">
        <v>6153</v>
      </c>
    </row>
    <row r="46078" spans="8:8">
      <c r="H46078" s="680" t="s">
        <v>6153</v>
      </c>
    </row>
    <row r="46079" spans="8:8">
      <c r="H46079" s="680" t="s">
        <v>6153</v>
      </c>
    </row>
    <row r="46080" spans="8:8">
      <c r="H46080" s="680" t="s">
        <v>6153</v>
      </c>
    </row>
    <row r="46081" spans="8:8">
      <c r="H46081" s="680" t="s">
        <v>6153</v>
      </c>
    </row>
    <row r="46082" spans="8:8">
      <c r="H46082" s="680" t="s">
        <v>6153</v>
      </c>
    </row>
    <row r="46083" spans="8:8">
      <c r="H46083" s="680" t="s">
        <v>6153</v>
      </c>
    </row>
    <row r="46084" spans="8:8">
      <c r="H46084" s="680" t="s">
        <v>6153</v>
      </c>
    </row>
    <row r="46085" spans="8:8">
      <c r="H46085" s="680" t="s">
        <v>6153</v>
      </c>
    </row>
    <row r="46086" spans="8:8">
      <c r="H46086" s="680" t="s">
        <v>6153</v>
      </c>
    </row>
    <row r="46087" spans="8:8">
      <c r="H46087" s="680" t="s">
        <v>6153</v>
      </c>
    </row>
    <row r="46088" spans="8:8">
      <c r="H46088" s="680" t="s">
        <v>6153</v>
      </c>
    </row>
    <row r="46089" spans="8:8">
      <c r="H46089" s="680" t="s">
        <v>6153</v>
      </c>
    </row>
    <row r="46090" spans="8:8">
      <c r="H46090" s="680" t="s">
        <v>6153</v>
      </c>
    </row>
    <row r="46091" spans="8:8">
      <c r="H46091" s="680" t="s">
        <v>6153</v>
      </c>
    </row>
    <row r="46092" spans="8:8">
      <c r="H46092" s="680" t="s">
        <v>6153</v>
      </c>
    </row>
    <row r="46093" spans="8:8">
      <c r="H46093" s="680" t="s">
        <v>6153</v>
      </c>
    </row>
    <row r="46094" spans="8:8">
      <c r="H46094" s="680" t="s">
        <v>6153</v>
      </c>
    </row>
    <row r="46095" spans="8:8">
      <c r="H46095" s="680" t="s">
        <v>6153</v>
      </c>
    </row>
    <row r="46096" spans="8:8">
      <c r="H46096" s="680" t="s">
        <v>6153</v>
      </c>
    </row>
    <row r="46097" spans="8:8">
      <c r="H46097" s="680" t="s">
        <v>6153</v>
      </c>
    </row>
    <row r="46098" spans="8:8">
      <c r="H46098" s="680" t="s">
        <v>6153</v>
      </c>
    </row>
    <row r="46099" spans="8:8">
      <c r="H46099" s="680" t="s">
        <v>6153</v>
      </c>
    </row>
    <row r="46100" spans="8:8">
      <c r="H46100" s="680" t="s">
        <v>6153</v>
      </c>
    </row>
    <row r="46101" spans="8:8">
      <c r="H46101" s="680" t="s">
        <v>6153</v>
      </c>
    </row>
    <row r="46102" spans="8:8">
      <c r="H46102" s="680" t="s">
        <v>6153</v>
      </c>
    </row>
    <row r="46103" spans="8:8">
      <c r="H46103" s="680" t="s">
        <v>6153</v>
      </c>
    </row>
    <row r="46104" spans="8:8">
      <c r="H46104" s="680" t="s">
        <v>6153</v>
      </c>
    </row>
    <row r="46105" spans="8:8">
      <c r="H46105" s="680" t="s">
        <v>6153</v>
      </c>
    </row>
    <row r="46106" spans="8:8">
      <c r="H46106" s="680" t="s">
        <v>6153</v>
      </c>
    </row>
    <row r="46107" spans="8:8">
      <c r="H46107" s="680" t="s">
        <v>6153</v>
      </c>
    </row>
    <row r="46108" spans="8:8">
      <c r="H46108" s="680" t="s">
        <v>6153</v>
      </c>
    </row>
    <row r="46109" spans="8:8">
      <c r="H46109" s="680" t="s">
        <v>6153</v>
      </c>
    </row>
    <row r="46110" spans="8:8">
      <c r="H46110" s="680" t="s">
        <v>6153</v>
      </c>
    </row>
    <row r="46111" spans="8:8">
      <c r="H46111" s="680" t="s">
        <v>6153</v>
      </c>
    </row>
    <row r="46112" spans="8:8">
      <c r="H46112" s="680" t="s">
        <v>6153</v>
      </c>
    </row>
    <row r="46113" spans="8:8">
      <c r="H46113" s="680" t="s">
        <v>6153</v>
      </c>
    </row>
    <row r="46114" spans="8:8">
      <c r="H46114" s="680" t="s">
        <v>6153</v>
      </c>
    </row>
    <row r="46115" spans="8:8">
      <c r="H46115" s="680" t="s">
        <v>6153</v>
      </c>
    </row>
    <row r="46116" spans="8:8">
      <c r="H46116" s="680" t="s">
        <v>6153</v>
      </c>
    </row>
    <row r="46117" spans="8:8">
      <c r="H46117" s="680" t="s">
        <v>6153</v>
      </c>
    </row>
    <row r="46118" spans="8:8">
      <c r="H46118" s="680" t="s">
        <v>6153</v>
      </c>
    </row>
    <row r="46119" spans="8:8">
      <c r="H46119" s="680" t="s">
        <v>6153</v>
      </c>
    </row>
    <row r="46120" spans="8:8">
      <c r="H46120" s="680" t="s">
        <v>6153</v>
      </c>
    </row>
    <row r="46121" spans="8:8">
      <c r="H46121" s="680" t="s">
        <v>6153</v>
      </c>
    </row>
    <row r="46122" spans="8:8">
      <c r="H46122" s="680" t="s">
        <v>6153</v>
      </c>
    </row>
    <row r="46123" spans="8:8">
      <c r="H46123" s="680" t="s">
        <v>6153</v>
      </c>
    </row>
    <row r="46124" spans="8:8">
      <c r="H46124" s="680" t="s">
        <v>6153</v>
      </c>
    </row>
    <row r="46125" spans="8:8">
      <c r="H46125" s="680" t="s">
        <v>6153</v>
      </c>
    </row>
    <row r="46126" spans="8:8">
      <c r="H46126" s="680" t="s">
        <v>6153</v>
      </c>
    </row>
    <row r="46127" spans="8:8">
      <c r="H46127" s="680" t="s">
        <v>6153</v>
      </c>
    </row>
    <row r="46128" spans="8:8">
      <c r="H46128" s="680" t="s">
        <v>6153</v>
      </c>
    </row>
    <row r="46129" spans="8:8">
      <c r="H46129" s="680" t="s">
        <v>6153</v>
      </c>
    </row>
    <row r="46130" spans="8:8">
      <c r="H46130" s="680" t="s">
        <v>6153</v>
      </c>
    </row>
    <row r="46131" spans="8:8">
      <c r="H46131" s="680" t="s">
        <v>6153</v>
      </c>
    </row>
    <row r="46132" spans="8:8">
      <c r="H46132" s="680" t="s">
        <v>6153</v>
      </c>
    </row>
    <row r="46133" spans="8:8">
      <c r="H46133" s="680" t="s">
        <v>6153</v>
      </c>
    </row>
    <row r="46134" spans="8:8">
      <c r="H46134" s="680" t="s">
        <v>6153</v>
      </c>
    </row>
    <row r="46135" spans="8:8">
      <c r="H46135" s="680" t="s">
        <v>6153</v>
      </c>
    </row>
    <row r="46136" spans="8:8">
      <c r="H46136" s="680" t="s">
        <v>6153</v>
      </c>
    </row>
    <row r="46137" spans="8:8">
      <c r="H46137" s="680" t="s">
        <v>6153</v>
      </c>
    </row>
    <row r="46138" spans="8:8">
      <c r="H46138" s="680" t="s">
        <v>6153</v>
      </c>
    </row>
    <row r="46139" spans="8:8">
      <c r="H46139" s="680" t="s">
        <v>6153</v>
      </c>
    </row>
    <row r="46140" spans="8:8">
      <c r="H46140" s="680" t="s">
        <v>6153</v>
      </c>
    </row>
    <row r="46141" spans="8:8">
      <c r="H46141" s="680" t="s">
        <v>6153</v>
      </c>
    </row>
    <row r="46142" spans="8:8">
      <c r="H46142" s="680" t="s">
        <v>6153</v>
      </c>
    </row>
    <row r="46143" spans="8:8">
      <c r="H46143" s="680" t="s">
        <v>6153</v>
      </c>
    </row>
    <row r="46144" spans="8:8">
      <c r="H46144" s="680" t="s">
        <v>6153</v>
      </c>
    </row>
    <row r="46145" spans="8:8">
      <c r="H46145" s="680" t="s">
        <v>6153</v>
      </c>
    </row>
    <row r="46146" spans="8:8">
      <c r="H46146" s="680" t="s">
        <v>6153</v>
      </c>
    </row>
    <row r="46147" spans="8:8">
      <c r="H46147" s="680" t="s">
        <v>6153</v>
      </c>
    </row>
    <row r="46148" spans="8:8">
      <c r="H46148" s="680" t="s">
        <v>6153</v>
      </c>
    </row>
    <row r="46149" spans="8:8">
      <c r="H46149" s="680" t="s">
        <v>6153</v>
      </c>
    </row>
    <row r="46150" spans="8:8">
      <c r="H46150" s="680" t="s">
        <v>6153</v>
      </c>
    </row>
    <row r="46151" spans="8:8">
      <c r="H46151" s="680" t="s">
        <v>6153</v>
      </c>
    </row>
    <row r="46152" spans="8:8">
      <c r="H46152" s="680" t="s">
        <v>6153</v>
      </c>
    </row>
    <row r="46153" spans="8:8">
      <c r="H46153" s="680" t="s">
        <v>6153</v>
      </c>
    </row>
    <row r="46154" spans="8:8">
      <c r="H46154" s="680" t="s">
        <v>6153</v>
      </c>
    </row>
    <row r="46155" spans="8:8">
      <c r="H46155" s="680" t="s">
        <v>6153</v>
      </c>
    </row>
    <row r="46156" spans="8:8">
      <c r="H46156" s="680" t="s">
        <v>6153</v>
      </c>
    </row>
    <row r="46157" spans="8:8">
      <c r="H46157" s="680" t="s">
        <v>6153</v>
      </c>
    </row>
    <row r="46158" spans="8:8">
      <c r="H46158" s="680" t="s">
        <v>6153</v>
      </c>
    </row>
    <row r="46159" spans="8:8">
      <c r="H46159" s="680" t="s">
        <v>6153</v>
      </c>
    </row>
    <row r="46160" spans="8:8">
      <c r="H46160" s="680" t="s">
        <v>6153</v>
      </c>
    </row>
    <row r="46161" spans="8:8">
      <c r="H46161" s="680" t="s">
        <v>6153</v>
      </c>
    </row>
    <row r="46162" spans="8:8">
      <c r="H46162" s="680" t="s">
        <v>6153</v>
      </c>
    </row>
    <row r="46163" spans="8:8">
      <c r="H46163" s="680" t="s">
        <v>6153</v>
      </c>
    </row>
    <row r="46164" spans="8:8">
      <c r="H46164" s="680" t="s">
        <v>6153</v>
      </c>
    </row>
    <row r="46165" spans="8:8">
      <c r="H46165" s="680" t="s">
        <v>6153</v>
      </c>
    </row>
    <row r="46166" spans="8:8">
      <c r="H46166" s="680" t="s">
        <v>6153</v>
      </c>
    </row>
    <row r="46167" spans="8:8">
      <c r="H46167" s="680" t="s">
        <v>6153</v>
      </c>
    </row>
    <row r="46168" spans="8:8">
      <c r="H46168" s="680" t="s">
        <v>6153</v>
      </c>
    </row>
    <row r="46169" spans="8:8">
      <c r="H46169" s="680" t="s">
        <v>6153</v>
      </c>
    </row>
    <row r="46170" spans="8:8">
      <c r="H46170" s="680" t="s">
        <v>6153</v>
      </c>
    </row>
    <row r="46171" spans="8:8">
      <c r="H46171" s="680" t="s">
        <v>6153</v>
      </c>
    </row>
    <row r="46172" spans="8:8">
      <c r="H46172" s="680" t="s">
        <v>6153</v>
      </c>
    </row>
    <row r="46173" spans="8:8">
      <c r="H46173" s="680" t="s">
        <v>6153</v>
      </c>
    </row>
    <row r="46174" spans="8:8">
      <c r="H46174" s="680" t="s">
        <v>6153</v>
      </c>
    </row>
    <row r="46175" spans="8:8">
      <c r="H46175" s="680" t="s">
        <v>6153</v>
      </c>
    </row>
    <row r="46176" spans="8:8">
      <c r="H46176" s="680" t="s">
        <v>6153</v>
      </c>
    </row>
    <row r="46177" spans="8:8">
      <c r="H46177" s="680" t="s">
        <v>6153</v>
      </c>
    </row>
    <row r="46178" spans="8:8">
      <c r="H46178" s="680" t="s">
        <v>6153</v>
      </c>
    </row>
    <row r="46179" spans="8:8">
      <c r="H46179" s="680" t="s">
        <v>6153</v>
      </c>
    </row>
    <row r="46180" spans="8:8">
      <c r="H46180" s="680" t="s">
        <v>6153</v>
      </c>
    </row>
    <row r="46181" spans="8:8">
      <c r="H46181" s="680" t="s">
        <v>6153</v>
      </c>
    </row>
    <row r="46182" spans="8:8">
      <c r="H46182" s="680" t="s">
        <v>6153</v>
      </c>
    </row>
    <row r="46183" spans="8:8">
      <c r="H46183" s="680" t="s">
        <v>6153</v>
      </c>
    </row>
    <row r="46184" spans="8:8">
      <c r="H46184" s="680" t="s">
        <v>6153</v>
      </c>
    </row>
    <row r="46185" spans="8:8">
      <c r="H46185" s="680" t="s">
        <v>6153</v>
      </c>
    </row>
    <row r="46186" spans="8:8">
      <c r="H46186" s="680" t="s">
        <v>6153</v>
      </c>
    </row>
    <row r="46187" spans="8:8">
      <c r="H46187" s="680" t="s">
        <v>6153</v>
      </c>
    </row>
    <row r="46188" spans="8:8">
      <c r="H46188" s="680" t="s">
        <v>6153</v>
      </c>
    </row>
    <row r="46189" spans="8:8">
      <c r="H46189" s="680" t="s">
        <v>6153</v>
      </c>
    </row>
    <row r="46190" spans="8:8">
      <c r="H46190" s="680" t="s">
        <v>6153</v>
      </c>
    </row>
    <row r="46191" spans="8:8">
      <c r="H46191" s="680" t="s">
        <v>6153</v>
      </c>
    </row>
    <row r="46192" spans="8:8">
      <c r="H46192" s="680" t="s">
        <v>6153</v>
      </c>
    </row>
    <row r="46193" spans="8:8">
      <c r="H46193" s="680" t="s">
        <v>6153</v>
      </c>
    </row>
    <row r="46194" spans="8:8">
      <c r="H46194" s="680" t="s">
        <v>6153</v>
      </c>
    </row>
    <row r="46195" spans="8:8">
      <c r="H46195" s="680" t="s">
        <v>6153</v>
      </c>
    </row>
    <row r="46196" spans="8:8">
      <c r="H46196" s="680" t="s">
        <v>6153</v>
      </c>
    </row>
    <row r="46197" spans="8:8">
      <c r="H46197" s="680" t="s">
        <v>6153</v>
      </c>
    </row>
    <row r="46198" spans="8:8">
      <c r="H46198" s="680" t="s">
        <v>6153</v>
      </c>
    </row>
    <row r="46199" spans="8:8">
      <c r="H46199" s="680" t="s">
        <v>6153</v>
      </c>
    </row>
    <row r="46200" spans="8:8">
      <c r="H46200" s="680" t="s">
        <v>6153</v>
      </c>
    </row>
    <row r="46201" spans="8:8">
      <c r="H46201" s="680" t="s">
        <v>6153</v>
      </c>
    </row>
    <row r="46202" spans="8:8">
      <c r="H46202" s="680" t="s">
        <v>6153</v>
      </c>
    </row>
    <row r="46203" spans="8:8">
      <c r="H46203" s="680" t="s">
        <v>6153</v>
      </c>
    </row>
    <row r="46204" spans="8:8">
      <c r="H46204" s="680" t="s">
        <v>6153</v>
      </c>
    </row>
    <row r="46205" spans="8:8">
      <c r="H46205" s="680" t="s">
        <v>6153</v>
      </c>
    </row>
    <row r="46206" spans="8:8">
      <c r="H46206" s="680" t="s">
        <v>6153</v>
      </c>
    </row>
    <row r="46207" spans="8:8">
      <c r="H46207" s="680" t="s">
        <v>6153</v>
      </c>
    </row>
    <row r="46208" spans="8:8">
      <c r="H46208" s="680" t="s">
        <v>6153</v>
      </c>
    </row>
    <row r="46209" spans="8:8">
      <c r="H46209" s="680" t="s">
        <v>6153</v>
      </c>
    </row>
    <row r="46210" spans="8:8">
      <c r="H46210" s="680" t="s">
        <v>6153</v>
      </c>
    </row>
    <row r="46211" spans="8:8">
      <c r="H46211" s="680" t="s">
        <v>6153</v>
      </c>
    </row>
    <row r="46212" spans="8:8">
      <c r="H46212" s="680" t="s">
        <v>6153</v>
      </c>
    </row>
    <row r="46213" spans="8:8">
      <c r="H46213" s="680" t="s">
        <v>6153</v>
      </c>
    </row>
    <row r="46214" spans="8:8">
      <c r="H46214" s="680" t="s">
        <v>6153</v>
      </c>
    </row>
    <row r="46215" spans="8:8">
      <c r="H46215" s="680" t="s">
        <v>6153</v>
      </c>
    </row>
    <row r="46216" spans="8:8">
      <c r="H46216" s="680" t="s">
        <v>6153</v>
      </c>
    </row>
    <row r="46217" spans="8:8">
      <c r="H46217" s="680" t="s">
        <v>6153</v>
      </c>
    </row>
    <row r="46218" spans="8:8">
      <c r="H46218" s="680" t="s">
        <v>6153</v>
      </c>
    </row>
    <row r="46219" spans="8:8">
      <c r="H46219" s="680" t="s">
        <v>6153</v>
      </c>
    </row>
    <row r="46220" spans="8:8">
      <c r="H46220" s="680" t="s">
        <v>6153</v>
      </c>
    </row>
    <row r="46221" spans="8:8">
      <c r="H46221" s="680" t="s">
        <v>6153</v>
      </c>
    </row>
    <row r="46222" spans="8:8">
      <c r="H46222" s="680" t="s">
        <v>6153</v>
      </c>
    </row>
    <row r="46223" spans="8:8">
      <c r="H46223" s="680" t="s">
        <v>6153</v>
      </c>
    </row>
    <row r="46224" spans="8:8">
      <c r="H46224" s="680" t="s">
        <v>6153</v>
      </c>
    </row>
    <row r="46225" spans="8:8">
      <c r="H46225" s="680" t="s">
        <v>6153</v>
      </c>
    </row>
    <row r="46226" spans="8:8">
      <c r="H46226" s="680" t="s">
        <v>6153</v>
      </c>
    </row>
    <row r="46227" spans="8:8">
      <c r="H46227" s="680" t="s">
        <v>6153</v>
      </c>
    </row>
    <row r="46228" spans="8:8">
      <c r="H46228" s="680" t="s">
        <v>6153</v>
      </c>
    </row>
    <row r="46229" spans="8:8">
      <c r="H46229" s="680" t="s">
        <v>6153</v>
      </c>
    </row>
    <row r="46230" spans="8:8">
      <c r="H46230" s="680" t="s">
        <v>6153</v>
      </c>
    </row>
    <row r="46231" spans="8:8">
      <c r="H46231" s="680" t="s">
        <v>6153</v>
      </c>
    </row>
    <row r="46232" spans="8:8">
      <c r="H46232" s="680" t="s">
        <v>6153</v>
      </c>
    </row>
    <row r="46233" spans="8:8">
      <c r="H46233" s="680" t="s">
        <v>6153</v>
      </c>
    </row>
    <row r="46234" spans="8:8">
      <c r="H46234" s="680" t="s">
        <v>6153</v>
      </c>
    </row>
    <row r="46235" spans="8:8">
      <c r="H46235" s="680" t="s">
        <v>6153</v>
      </c>
    </row>
    <row r="46236" spans="8:8">
      <c r="H46236" s="680" t="s">
        <v>6153</v>
      </c>
    </row>
    <row r="46237" spans="8:8">
      <c r="H46237" s="680" t="s">
        <v>6153</v>
      </c>
    </row>
    <row r="46238" spans="8:8">
      <c r="H46238" s="680" t="s">
        <v>6153</v>
      </c>
    </row>
    <row r="46239" spans="8:8">
      <c r="H46239" s="680" t="s">
        <v>6153</v>
      </c>
    </row>
    <row r="46240" spans="8:8">
      <c r="H46240" s="680" t="s">
        <v>6153</v>
      </c>
    </row>
    <row r="46241" spans="8:8">
      <c r="H46241" s="680" t="s">
        <v>6153</v>
      </c>
    </row>
    <row r="46242" spans="8:8">
      <c r="H46242" s="680" t="s">
        <v>6153</v>
      </c>
    </row>
    <row r="46243" spans="8:8">
      <c r="H46243" s="680" t="s">
        <v>6153</v>
      </c>
    </row>
    <row r="46244" spans="8:8">
      <c r="H46244" s="680" t="s">
        <v>6153</v>
      </c>
    </row>
    <row r="46245" spans="8:8">
      <c r="H46245" s="680" t="s">
        <v>6153</v>
      </c>
    </row>
    <row r="46246" spans="8:8">
      <c r="H46246" s="680" t="s">
        <v>6153</v>
      </c>
    </row>
    <row r="46247" spans="8:8">
      <c r="H46247" s="680" t="s">
        <v>6153</v>
      </c>
    </row>
    <row r="46248" spans="8:8">
      <c r="H46248" s="680" t="s">
        <v>6153</v>
      </c>
    </row>
    <row r="46249" spans="8:8">
      <c r="H46249" s="680" t="s">
        <v>6153</v>
      </c>
    </row>
    <row r="46250" spans="8:8">
      <c r="H46250" s="680" t="s">
        <v>6153</v>
      </c>
    </row>
    <row r="46251" spans="8:8">
      <c r="H46251" s="680" t="s">
        <v>6153</v>
      </c>
    </row>
    <row r="46252" spans="8:8">
      <c r="H46252" s="680" t="s">
        <v>6153</v>
      </c>
    </row>
    <row r="46253" spans="8:8">
      <c r="H46253" s="680" t="s">
        <v>6153</v>
      </c>
    </row>
    <row r="46254" spans="8:8">
      <c r="H46254" s="680" t="s">
        <v>6153</v>
      </c>
    </row>
    <row r="46255" spans="8:8">
      <c r="H46255" s="680" t="s">
        <v>6153</v>
      </c>
    </row>
    <row r="46256" spans="8:8">
      <c r="H46256" s="680" t="s">
        <v>6153</v>
      </c>
    </row>
    <row r="46257" spans="8:8">
      <c r="H46257" s="680" t="s">
        <v>6153</v>
      </c>
    </row>
    <row r="46258" spans="8:8">
      <c r="H46258" s="680" t="s">
        <v>6153</v>
      </c>
    </row>
    <row r="46259" spans="8:8">
      <c r="H46259" s="680" t="s">
        <v>6153</v>
      </c>
    </row>
    <row r="46260" spans="8:8">
      <c r="H46260" s="680" t="s">
        <v>6153</v>
      </c>
    </row>
    <row r="46261" spans="8:8">
      <c r="H46261" s="680" t="s">
        <v>6153</v>
      </c>
    </row>
    <row r="46262" spans="8:8">
      <c r="H46262" s="680" t="s">
        <v>6153</v>
      </c>
    </row>
    <row r="46263" spans="8:8">
      <c r="H46263" s="680" t="s">
        <v>6153</v>
      </c>
    </row>
    <row r="46264" spans="8:8">
      <c r="H46264" s="680" t="s">
        <v>6153</v>
      </c>
    </row>
    <row r="46265" spans="8:8">
      <c r="H46265" s="680" t="s">
        <v>6153</v>
      </c>
    </row>
    <row r="46266" spans="8:8">
      <c r="H46266" s="680" t="s">
        <v>6153</v>
      </c>
    </row>
    <row r="46267" spans="8:8">
      <c r="H46267" s="680" t="s">
        <v>6153</v>
      </c>
    </row>
    <row r="46268" spans="8:8">
      <c r="H46268" s="680" t="s">
        <v>6153</v>
      </c>
    </row>
    <row r="46269" spans="8:8">
      <c r="H46269" s="680" t="s">
        <v>6153</v>
      </c>
    </row>
    <row r="46270" spans="8:8">
      <c r="H46270" s="680" t="s">
        <v>6153</v>
      </c>
    </row>
    <row r="46271" spans="8:8">
      <c r="H46271" s="680" t="s">
        <v>6153</v>
      </c>
    </row>
    <row r="46272" spans="8:8">
      <c r="H46272" s="680" t="s">
        <v>6153</v>
      </c>
    </row>
    <row r="46273" spans="8:8">
      <c r="H46273" s="680" t="s">
        <v>6153</v>
      </c>
    </row>
    <row r="46274" spans="8:8">
      <c r="H46274" s="680" t="s">
        <v>6153</v>
      </c>
    </row>
    <row r="46275" spans="8:8">
      <c r="H46275" s="680" t="s">
        <v>6153</v>
      </c>
    </row>
    <row r="46276" spans="8:8">
      <c r="H46276" s="680" t="s">
        <v>6153</v>
      </c>
    </row>
    <row r="46277" spans="8:8">
      <c r="H46277" s="680" t="s">
        <v>6153</v>
      </c>
    </row>
    <row r="46278" spans="8:8">
      <c r="H46278" s="680" t="s">
        <v>6153</v>
      </c>
    </row>
    <row r="46279" spans="8:8">
      <c r="H46279" s="680" t="s">
        <v>6153</v>
      </c>
    </row>
    <row r="46280" spans="8:8">
      <c r="H46280" s="680" t="s">
        <v>6153</v>
      </c>
    </row>
    <row r="46281" spans="8:8">
      <c r="H46281" s="680" t="s">
        <v>6153</v>
      </c>
    </row>
    <row r="46282" spans="8:8">
      <c r="H46282" s="680" t="s">
        <v>6153</v>
      </c>
    </row>
    <row r="46283" spans="8:8">
      <c r="H46283" s="680" t="s">
        <v>6153</v>
      </c>
    </row>
    <row r="46284" spans="8:8">
      <c r="H46284" s="680" t="s">
        <v>6153</v>
      </c>
    </row>
    <row r="46285" spans="8:8">
      <c r="H46285" s="680" t="s">
        <v>6153</v>
      </c>
    </row>
    <row r="46286" spans="8:8">
      <c r="H46286" s="680" t="s">
        <v>6153</v>
      </c>
    </row>
    <row r="46287" spans="8:8">
      <c r="H46287" s="680" t="s">
        <v>6153</v>
      </c>
    </row>
    <row r="46288" spans="8:8">
      <c r="H46288" s="680" t="s">
        <v>6153</v>
      </c>
    </row>
    <row r="46289" spans="8:8">
      <c r="H46289" s="680" t="s">
        <v>6153</v>
      </c>
    </row>
    <row r="46290" spans="8:8">
      <c r="H46290" s="680" t="s">
        <v>6153</v>
      </c>
    </row>
    <row r="46291" spans="8:8">
      <c r="H46291" s="680" t="s">
        <v>6153</v>
      </c>
    </row>
    <row r="46292" spans="8:8">
      <c r="H46292" s="680" t="s">
        <v>6153</v>
      </c>
    </row>
    <row r="46293" spans="8:8">
      <c r="H46293" s="680" t="s">
        <v>6153</v>
      </c>
    </row>
    <row r="46294" spans="8:8">
      <c r="H46294" s="680" t="s">
        <v>6153</v>
      </c>
    </row>
    <row r="46295" spans="8:8">
      <c r="H46295" s="680" t="s">
        <v>6153</v>
      </c>
    </row>
    <row r="46296" spans="8:8">
      <c r="H46296" s="680" t="s">
        <v>6153</v>
      </c>
    </row>
    <row r="46297" spans="8:8">
      <c r="H46297" s="680" t="s">
        <v>6153</v>
      </c>
    </row>
    <row r="46298" spans="8:8">
      <c r="H46298" s="680" t="s">
        <v>6153</v>
      </c>
    </row>
    <row r="46299" spans="8:8">
      <c r="H46299" s="680" t="s">
        <v>6153</v>
      </c>
    </row>
    <row r="46300" spans="8:8">
      <c r="H46300" s="680" t="s">
        <v>6153</v>
      </c>
    </row>
    <row r="46301" spans="8:8">
      <c r="H46301" s="680" t="s">
        <v>6153</v>
      </c>
    </row>
    <row r="46302" spans="8:8">
      <c r="H46302" s="680" t="s">
        <v>6153</v>
      </c>
    </row>
    <row r="46303" spans="8:8">
      <c r="H46303" s="680" t="s">
        <v>6153</v>
      </c>
    </row>
    <row r="46304" spans="8:8">
      <c r="H46304" s="680" t="s">
        <v>6153</v>
      </c>
    </row>
    <row r="46305" spans="8:8">
      <c r="H46305" s="680" t="s">
        <v>6153</v>
      </c>
    </row>
    <row r="46306" spans="8:8">
      <c r="H46306" s="680" t="s">
        <v>6153</v>
      </c>
    </row>
    <row r="46307" spans="8:8">
      <c r="H46307" s="680" t="s">
        <v>6153</v>
      </c>
    </row>
    <row r="46308" spans="8:8">
      <c r="H46308" s="680" t="s">
        <v>6153</v>
      </c>
    </row>
    <row r="46309" spans="8:8">
      <c r="H46309" s="680" t="s">
        <v>6153</v>
      </c>
    </row>
    <row r="46310" spans="8:8">
      <c r="H46310" s="680" t="s">
        <v>6153</v>
      </c>
    </row>
    <row r="46311" spans="8:8">
      <c r="H46311" s="680" t="s">
        <v>6153</v>
      </c>
    </row>
    <row r="46312" spans="8:8">
      <c r="H46312" s="680" t="s">
        <v>6153</v>
      </c>
    </row>
    <row r="46313" spans="8:8">
      <c r="H46313" s="680" t="s">
        <v>6153</v>
      </c>
    </row>
    <row r="46314" spans="8:8">
      <c r="H46314" s="680" t="s">
        <v>6153</v>
      </c>
    </row>
    <row r="46315" spans="8:8">
      <c r="H46315" s="680" t="s">
        <v>6153</v>
      </c>
    </row>
    <row r="46316" spans="8:8">
      <c r="H46316" s="680" t="s">
        <v>6153</v>
      </c>
    </row>
    <row r="46317" spans="8:8">
      <c r="H46317" s="680" t="s">
        <v>6153</v>
      </c>
    </row>
    <row r="46318" spans="8:8">
      <c r="H46318" s="680" t="s">
        <v>6153</v>
      </c>
    </row>
    <row r="46319" spans="8:8">
      <c r="H46319" s="680" t="s">
        <v>6153</v>
      </c>
    </row>
    <row r="46320" spans="8:8">
      <c r="H46320" s="680" t="s">
        <v>6153</v>
      </c>
    </row>
    <row r="46321" spans="8:8">
      <c r="H46321" s="680" t="s">
        <v>6153</v>
      </c>
    </row>
    <row r="46322" spans="8:8">
      <c r="H46322" s="680" t="s">
        <v>6153</v>
      </c>
    </row>
    <row r="46323" spans="8:8">
      <c r="H46323" s="680" t="s">
        <v>6153</v>
      </c>
    </row>
    <row r="46324" spans="8:8">
      <c r="H46324" s="680" t="s">
        <v>6153</v>
      </c>
    </row>
    <row r="46325" spans="8:8">
      <c r="H46325" s="680" t="s">
        <v>6153</v>
      </c>
    </row>
    <row r="46326" spans="8:8">
      <c r="H46326" s="680" t="s">
        <v>6153</v>
      </c>
    </row>
    <row r="46327" spans="8:8">
      <c r="H46327" s="680" t="s">
        <v>6153</v>
      </c>
    </row>
    <row r="46328" spans="8:8">
      <c r="H46328" s="680" t="s">
        <v>6153</v>
      </c>
    </row>
    <row r="46329" spans="8:8">
      <c r="H46329" s="680" t="s">
        <v>6153</v>
      </c>
    </row>
    <row r="46330" spans="8:8">
      <c r="H46330" s="680" t="s">
        <v>6153</v>
      </c>
    </row>
    <row r="46331" spans="8:8">
      <c r="H46331" s="680" t="s">
        <v>6153</v>
      </c>
    </row>
    <row r="46332" spans="8:8">
      <c r="H46332" s="680" t="s">
        <v>6153</v>
      </c>
    </row>
    <row r="46333" spans="8:8">
      <c r="H46333" s="680" t="s">
        <v>6153</v>
      </c>
    </row>
    <row r="46334" spans="8:8">
      <c r="H46334" s="680" t="s">
        <v>6153</v>
      </c>
    </row>
    <row r="46335" spans="8:8">
      <c r="H46335" s="680" t="s">
        <v>6153</v>
      </c>
    </row>
    <row r="46336" spans="8:8">
      <c r="H46336" s="680" t="s">
        <v>6153</v>
      </c>
    </row>
    <row r="46337" spans="8:8">
      <c r="H46337" s="680" t="s">
        <v>6153</v>
      </c>
    </row>
    <row r="46338" spans="8:8">
      <c r="H46338" s="680" t="s">
        <v>6153</v>
      </c>
    </row>
    <row r="46339" spans="8:8">
      <c r="H46339" s="680" t="s">
        <v>6153</v>
      </c>
    </row>
    <row r="46340" spans="8:8">
      <c r="H46340" s="680" t="s">
        <v>6153</v>
      </c>
    </row>
    <row r="46341" spans="8:8">
      <c r="H46341" s="680" t="s">
        <v>6153</v>
      </c>
    </row>
    <row r="46342" spans="8:8">
      <c r="H46342" s="680" t="s">
        <v>6153</v>
      </c>
    </row>
    <row r="46343" spans="8:8">
      <c r="H46343" s="680" t="s">
        <v>6153</v>
      </c>
    </row>
    <row r="46344" spans="8:8">
      <c r="H46344" s="680" t="s">
        <v>6153</v>
      </c>
    </row>
    <row r="46345" spans="8:8">
      <c r="H46345" s="680" t="s">
        <v>6153</v>
      </c>
    </row>
    <row r="46346" spans="8:8">
      <c r="H46346" s="680" t="s">
        <v>6153</v>
      </c>
    </row>
    <row r="46347" spans="8:8">
      <c r="H46347" s="680" t="s">
        <v>6153</v>
      </c>
    </row>
    <row r="46348" spans="8:8">
      <c r="H46348" s="680" t="s">
        <v>6153</v>
      </c>
    </row>
    <row r="46349" spans="8:8">
      <c r="H46349" s="680" t="s">
        <v>6153</v>
      </c>
    </row>
    <row r="46350" spans="8:8">
      <c r="H46350" s="680" t="s">
        <v>6153</v>
      </c>
    </row>
    <row r="46351" spans="8:8">
      <c r="H46351" s="680" t="s">
        <v>6153</v>
      </c>
    </row>
    <row r="46352" spans="8:8">
      <c r="H46352" s="680" t="s">
        <v>6153</v>
      </c>
    </row>
    <row r="46353" spans="8:8">
      <c r="H46353" s="680" t="s">
        <v>6153</v>
      </c>
    </row>
    <row r="46354" spans="8:8">
      <c r="H46354" s="680" t="s">
        <v>6153</v>
      </c>
    </row>
    <row r="46355" spans="8:8">
      <c r="H46355" s="680" t="s">
        <v>6153</v>
      </c>
    </row>
    <row r="46356" spans="8:8">
      <c r="H46356" s="680" t="s">
        <v>6153</v>
      </c>
    </row>
    <row r="46357" spans="8:8">
      <c r="H46357" s="680" t="s">
        <v>6153</v>
      </c>
    </row>
    <row r="46358" spans="8:8">
      <c r="H46358" s="680" t="s">
        <v>6153</v>
      </c>
    </row>
    <row r="46359" spans="8:8">
      <c r="H46359" s="680" t="s">
        <v>6153</v>
      </c>
    </row>
    <row r="46360" spans="8:8">
      <c r="H46360" s="680" t="s">
        <v>6153</v>
      </c>
    </row>
    <row r="46361" spans="8:8">
      <c r="H46361" s="680" t="s">
        <v>6153</v>
      </c>
    </row>
    <row r="46362" spans="8:8">
      <c r="H46362" s="680" t="s">
        <v>6153</v>
      </c>
    </row>
    <row r="46363" spans="8:8">
      <c r="H46363" s="680" t="s">
        <v>6153</v>
      </c>
    </row>
    <row r="46364" spans="8:8">
      <c r="H46364" s="680" t="s">
        <v>6153</v>
      </c>
    </row>
    <row r="46365" spans="8:8">
      <c r="H46365" s="680" t="s">
        <v>6153</v>
      </c>
    </row>
    <row r="46366" spans="8:8">
      <c r="H46366" s="680" t="s">
        <v>6153</v>
      </c>
    </row>
    <row r="46367" spans="8:8">
      <c r="H46367" s="680" t="s">
        <v>6153</v>
      </c>
    </row>
    <row r="46368" spans="8:8">
      <c r="H46368" s="680" t="s">
        <v>6153</v>
      </c>
    </row>
    <row r="46369" spans="8:8">
      <c r="H46369" s="680" t="s">
        <v>6153</v>
      </c>
    </row>
    <row r="46370" spans="8:8">
      <c r="H46370" s="680" t="s">
        <v>6153</v>
      </c>
    </row>
    <row r="46371" spans="8:8">
      <c r="H46371" s="680" t="s">
        <v>6153</v>
      </c>
    </row>
    <row r="46372" spans="8:8">
      <c r="H46372" s="680" t="s">
        <v>6153</v>
      </c>
    </row>
    <row r="46373" spans="8:8">
      <c r="H46373" s="680" t="s">
        <v>6153</v>
      </c>
    </row>
    <row r="46374" spans="8:8">
      <c r="H46374" s="680" t="s">
        <v>6153</v>
      </c>
    </row>
    <row r="46375" spans="8:8">
      <c r="H46375" s="680" t="s">
        <v>6153</v>
      </c>
    </row>
    <row r="46376" spans="8:8">
      <c r="H46376" s="680" t="s">
        <v>6153</v>
      </c>
    </row>
    <row r="46377" spans="8:8">
      <c r="H46377" s="680" t="s">
        <v>6153</v>
      </c>
    </row>
    <row r="46378" spans="8:8">
      <c r="H46378" s="680" t="s">
        <v>6153</v>
      </c>
    </row>
    <row r="46379" spans="8:8">
      <c r="H46379" s="680" t="s">
        <v>6153</v>
      </c>
    </row>
    <row r="46380" spans="8:8">
      <c r="H46380" s="680" t="s">
        <v>6153</v>
      </c>
    </row>
    <row r="46381" spans="8:8">
      <c r="H46381" s="680" t="s">
        <v>6153</v>
      </c>
    </row>
    <row r="46382" spans="8:8">
      <c r="H46382" s="680" t="s">
        <v>6153</v>
      </c>
    </row>
    <row r="46383" spans="8:8">
      <c r="H46383" s="680" t="s">
        <v>6153</v>
      </c>
    </row>
    <row r="46384" spans="8:8">
      <c r="H46384" s="680" t="s">
        <v>6153</v>
      </c>
    </row>
    <row r="46385" spans="8:8">
      <c r="H46385" s="680" t="s">
        <v>6153</v>
      </c>
    </row>
    <row r="46386" spans="8:8">
      <c r="H46386" s="680" t="s">
        <v>6153</v>
      </c>
    </row>
    <row r="46387" spans="8:8">
      <c r="H46387" s="680" t="s">
        <v>6153</v>
      </c>
    </row>
    <row r="46388" spans="8:8">
      <c r="H46388" s="680" t="s">
        <v>6153</v>
      </c>
    </row>
    <row r="46389" spans="8:8">
      <c r="H46389" s="680" t="s">
        <v>6153</v>
      </c>
    </row>
    <row r="46390" spans="8:8">
      <c r="H46390" s="680" t="s">
        <v>6153</v>
      </c>
    </row>
    <row r="46391" spans="8:8">
      <c r="H46391" s="680" t="s">
        <v>6153</v>
      </c>
    </row>
    <row r="46392" spans="8:8">
      <c r="H46392" s="680" t="s">
        <v>6153</v>
      </c>
    </row>
    <row r="46393" spans="8:8">
      <c r="H46393" s="680" t="s">
        <v>6153</v>
      </c>
    </row>
    <row r="46394" spans="8:8">
      <c r="H46394" s="680" t="s">
        <v>6153</v>
      </c>
    </row>
    <row r="46395" spans="8:8">
      <c r="H46395" s="680" t="s">
        <v>6153</v>
      </c>
    </row>
    <row r="46396" spans="8:8">
      <c r="H46396" s="680" t="s">
        <v>6153</v>
      </c>
    </row>
    <row r="46397" spans="8:8">
      <c r="H46397" s="680" t="s">
        <v>6153</v>
      </c>
    </row>
    <row r="46398" spans="8:8">
      <c r="H46398" s="680" t="s">
        <v>6153</v>
      </c>
    </row>
    <row r="46399" spans="8:8">
      <c r="H46399" s="680" t="s">
        <v>6153</v>
      </c>
    </row>
    <row r="46400" spans="8:8">
      <c r="H46400" s="680" t="s">
        <v>6153</v>
      </c>
    </row>
    <row r="46401" spans="8:8">
      <c r="H46401" s="680" t="s">
        <v>6153</v>
      </c>
    </row>
    <row r="46402" spans="8:8">
      <c r="H46402" s="680" t="s">
        <v>6153</v>
      </c>
    </row>
    <row r="46403" spans="8:8">
      <c r="H46403" s="680" t="s">
        <v>6153</v>
      </c>
    </row>
    <row r="46404" spans="8:8">
      <c r="H46404" s="680" t="s">
        <v>6153</v>
      </c>
    </row>
    <row r="46405" spans="8:8">
      <c r="H46405" s="680" t="s">
        <v>6153</v>
      </c>
    </row>
    <row r="46406" spans="8:8">
      <c r="H46406" s="680" t="s">
        <v>6153</v>
      </c>
    </row>
    <row r="46407" spans="8:8">
      <c r="H46407" s="680" t="s">
        <v>6153</v>
      </c>
    </row>
    <row r="46408" spans="8:8">
      <c r="H46408" s="680" t="s">
        <v>6153</v>
      </c>
    </row>
    <row r="46409" spans="8:8">
      <c r="H46409" s="680" t="s">
        <v>6153</v>
      </c>
    </row>
    <row r="46410" spans="8:8">
      <c r="H46410" s="680" t="s">
        <v>6153</v>
      </c>
    </row>
    <row r="46411" spans="8:8">
      <c r="H46411" s="680" t="s">
        <v>6153</v>
      </c>
    </row>
    <row r="46412" spans="8:8">
      <c r="H46412" s="680" t="s">
        <v>6153</v>
      </c>
    </row>
    <row r="46413" spans="8:8">
      <c r="H46413" s="680" t="s">
        <v>6153</v>
      </c>
    </row>
    <row r="46414" spans="8:8">
      <c r="H46414" s="680" t="s">
        <v>6153</v>
      </c>
    </row>
    <row r="46415" spans="8:8">
      <c r="H46415" s="680" t="s">
        <v>6153</v>
      </c>
    </row>
    <row r="46416" spans="8:8">
      <c r="H46416" s="680" t="s">
        <v>6153</v>
      </c>
    </row>
    <row r="46417" spans="8:8">
      <c r="H46417" s="680" t="s">
        <v>6153</v>
      </c>
    </row>
    <row r="46418" spans="8:8">
      <c r="H46418" s="680" t="s">
        <v>6153</v>
      </c>
    </row>
    <row r="46419" spans="8:8">
      <c r="H46419" s="680" t="s">
        <v>6153</v>
      </c>
    </row>
    <row r="46420" spans="8:8">
      <c r="H46420" s="680" t="s">
        <v>6153</v>
      </c>
    </row>
    <row r="46421" spans="8:8">
      <c r="H46421" s="680" t="s">
        <v>6153</v>
      </c>
    </row>
    <row r="46422" spans="8:8">
      <c r="H46422" s="680" t="s">
        <v>6153</v>
      </c>
    </row>
    <row r="46423" spans="8:8">
      <c r="H46423" s="680" t="s">
        <v>6153</v>
      </c>
    </row>
    <row r="46424" spans="8:8">
      <c r="H46424" s="680" t="s">
        <v>6153</v>
      </c>
    </row>
    <row r="46425" spans="8:8">
      <c r="H46425" s="680" t="s">
        <v>6153</v>
      </c>
    </row>
    <row r="46426" spans="8:8">
      <c r="H46426" s="680" t="s">
        <v>6153</v>
      </c>
    </row>
    <row r="46427" spans="8:8">
      <c r="H46427" s="680" t="s">
        <v>6153</v>
      </c>
    </row>
    <row r="46428" spans="8:8">
      <c r="H46428" s="680" t="s">
        <v>6153</v>
      </c>
    </row>
    <row r="46429" spans="8:8">
      <c r="H46429" s="680" t="s">
        <v>6153</v>
      </c>
    </row>
    <row r="46430" spans="8:8">
      <c r="H46430" s="680" t="s">
        <v>6153</v>
      </c>
    </row>
    <row r="46431" spans="8:8">
      <c r="H46431" s="680" t="s">
        <v>6153</v>
      </c>
    </row>
    <row r="46432" spans="8:8">
      <c r="H46432" s="680" t="s">
        <v>6153</v>
      </c>
    </row>
    <row r="46433" spans="8:8">
      <c r="H46433" s="680" t="s">
        <v>6153</v>
      </c>
    </row>
    <row r="46434" spans="8:8">
      <c r="H46434" s="680" t="s">
        <v>6153</v>
      </c>
    </row>
    <row r="46435" spans="8:8">
      <c r="H46435" s="680" t="s">
        <v>6153</v>
      </c>
    </row>
    <row r="46436" spans="8:8">
      <c r="H46436" s="680" t="s">
        <v>6153</v>
      </c>
    </row>
    <row r="46437" spans="8:8">
      <c r="H46437" s="680" t="s">
        <v>6153</v>
      </c>
    </row>
    <row r="46438" spans="8:8">
      <c r="H46438" s="680" t="s">
        <v>6153</v>
      </c>
    </row>
    <row r="46439" spans="8:8">
      <c r="H46439" s="680" t="s">
        <v>6153</v>
      </c>
    </row>
    <row r="46440" spans="8:8">
      <c r="H46440" s="680" t="s">
        <v>6153</v>
      </c>
    </row>
    <row r="46441" spans="8:8">
      <c r="H46441" s="680" t="s">
        <v>6153</v>
      </c>
    </row>
    <row r="46442" spans="8:8">
      <c r="H46442" s="680" t="s">
        <v>6153</v>
      </c>
    </row>
    <row r="46443" spans="8:8">
      <c r="H46443" s="680" t="s">
        <v>6153</v>
      </c>
    </row>
    <row r="46444" spans="8:8">
      <c r="H46444" s="680" t="s">
        <v>6153</v>
      </c>
    </row>
    <row r="46445" spans="8:8">
      <c r="H46445" s="680" t="s">
        <v>6153</v>
      </c>
    </row>
    <row r="46446" spans="8:8">
      <c r="H46446" s="680" t="s">
        <v>6153</v>
      </c>
    </row>
    <row r="46447" spans="8:8">
      <c r="H46447" s="680" t="s">
        <v>6153</v>
      </c>
    </row>
    <row r="46448" spans="8:8">
      <c r="H46448" s="680" t="s">
        <v>6153</v>
      </c>
    </row>
    <row r="46449" spans="8:8">
      <c r="H46449" s="680" t="s">
        <v>6153</v>
      </c>
    </row>
    <row r="46450" spans="8:8">
      <c r="H46450" s="680" t="s">
        <v>6153</v>
      </c>
    </row>
    <row r="46451" spans="8:8">
      <c r="H46451" s="680" t="s">
        <v>6153</v>
      </c>
    </row>
    <row r="46452" spans="8:8">
      <c r="H46452" s="680" t="s">
        <v>6153</v>
      </c>
    </row>
    <row r="46453" spans="8:8">
      <c r="H46453" s="680" t="s">
        <v>6153</v>
      </c>
    </row>
    <row r="46454" spans="8:8">
      <c r="H46454" s="680" t="s">
        <v>6153</v>
      </c>
    </row>
    <row r="46455" spans="8:8">
      <c r="H46455" s="680" t="s">
        <v>6153</v>
      </c>
    </row>
    <row r="46456" spans="8:8">
      <c r="H46456" s="680" t="s">
        <v>6153</v>
      </c>
    </row>
    <row r="46457" spans="8:8">
      <c r="H46457" s="680" t="s">
        <v>6153</v>
      </c>
    </row>
    <row r="46458" spans="8:8">
      <c r="H46458" s="680" t="s">
        <v>6153</v>
      </c>
    </row>
    <row r="46459" spans="8:8">
      <c r="H46459" s="680" t="s">
        <v>6153</v>
      </c>
    </row>
    <row r="46460" spans="8:8">
      <c r="H46460" s="680" t="s">
        <v>6153</v>
      </c>
    </row>
    <row r="46461" spans="8:8">
      <c r="H46461" s="680" t="s">
        <v>6153</v>
      </c>
    </row>
    <row r="46462" spans="8:8">
      <c r="H46462" s="680" t="s">
        <v>6153</v>
      </c>
    </row>
    <row r="46463" spans="8:8">
      <c r="H46463" s="680" t="s">
        <v>6153</v>
      </c>
    </row>
    <row r="46464" spans="8:8">
      <c r="H46464" s="680" t="s">
        <v>6153</v>
      </c>
    </row>
    <row r="46465" spans="8:8">
      <c r="H46465" s="680" t="s">
        <v>6153</v>
      </c>
    </row>
    <row r="46466" spans="8:8">
      <c r="H46466" s="680" t="s">
        <v>6153</v>
      </c>
    </row>
    <row r="46467" spans="8:8">
      <c r="H46467" s="680" t="s">
        <v>6153</v>
      </c>
    </row>
    <row r="46468" spans="8:8">
      <c r="H46468" s="680" t="s">
        <v>6153</v>
      </c>
    </row>
    <row r="46469" spans="8:8">
      <c r="H46469" s="680" t="s">
        <v>6153</v>
      </c>
    </row>
    <row r="46470" spans="8:8">
      <c r="H46470" s="680" t="s">
        <v>6153</v>
      </c>
    </row>
    <row r="46471" spans="8:8">
      <c r="H46471" s="680" t="s">
        <v>6153</v>
      </c>
    </row>
    <row r="46472" spans="8:8">
      <c r="H46472" s="680" t="s">
        <v>6153</v>
      </c>
    </row>
    <row r="46473" spans="8:8">
      <c r="H46473" s="680" t="s">
        <v>6153</v>
      </c>
    </row>
    <row r="46474" spans="8:8">
      <c r="H46474" s="680" t="s">
        <v>6153</v>
      </c>
    </row>
    <row r="46475" spans="8:8">
      <c r="H46475" s="680" t="s">
        <v>6153</v>
      </c>
    </row>
    <row r="46476" spans="8:8">
      <c r="H46476" s="680" t="s">
        <v>6153</v>
      </c>
    </row>
    <row r="46477" spans="8:8">
      <c r="H46477" s="680" t="s">
        <v>6153</v>
      </c>
    </row>
    <row r="46478" spans="8:8">
      <c r="H46478" s="680" t="s">
        <v>6153</v>
      </c>
    </row>
    <row r="46479" spans="8:8">
      <c r="H46479" s="680" t="s">
        <v>6153</v>
      </c>
    </row>
    <row r="46480" spans="8:8">
      <c r="H46480" s="680" t="s">
        <v>6153</v>
      </c>
    </row>
    <row r="46481" spans="8:8">
      <c r="H46481" s="680" t="s">
        <v>6153</v>
      </c>
    </row>
    <row r="46482" spans="8:8">
      <c r="H46482" s="680" t="s">
        <v>6153</v>
      </c>
    </row>
    <row r="46483" spans="8:8">
      <c r="H46483" s="680" t="s">
        <v>6153</v>
      </c>
    </row>
    <row r="46484" spans="8:8">
      <c r="H46484" s="680" t="s">
        <v>6153</v>
      </c>
    </row>
    <row r="46485" spans="8:8">
      <c r="H46485" s="680" t="s">
        <v>6153</v>
      </c>
    </row>
    <row r="46486" spans="8:8">
      <c r="H46486" s="680" t="s">
        <v>6153</v>
      </c>
    </row>
    <row r="46487" spans="8:8">
      <c r="H46487" s="680" t="s">
        <v>6153</v>
      </c>
    </row>
    <row r="46488" spans="8:8">
      <c r="H46488" s="680" t="s">
        <v>6153</v>
      </c>
    </row>
    <row r="46489" spans="8:8">
      <c r="H46489" s="680" t="s">
        <v>6153</v>
      </c>
    </row>
    <row r="46490" spans="8:8">
      <c r="H46490" s="680" t="s">
        <v>6153</v>
      </c>
    </row>
    <row r="46491" spans="8:8">
      <c r="H46491" s="680" t="s">
        <v>6153</v>
      </c>
    </row>
    <row r="46492" spans="8:8">
      <c r="H46492" s="680" t="s">
        <v>6153</v>
      </c>
    </row>
    <row r="46493" spans="8:8">
      <c r="H46493" s="680" t="s">
        <v>6153</v>
      </c>
    </row>
    <row r="46494" spans="8:8">
      <c r="H46494" s="680" t="s">
        <v>6153</v>
      </c>
    </row>
    <row r="46495" spans="8:8">
      <c r="H46495" s="680" t="s">
        <v>6153</v>
      </c>
    </row>
    <row r="46496" spans="8:8">
      <c r="H46496" s="680" t="s">
        <v>6153</v>
      </c>
    </row>
    <row r="46497" spans="8:8">
      <c r="H46497" s="680" t="s">
        <v>6153</v>
      </c>
    </row>
    <row r="46498" spans="8:8">
      <c r="H46498" s="680" t="s">
        <v>6153</v>
      </c>
    </row>
    <row r="46499" spans="8:8">
      <c r="H46499" s="680" t="s">
        <v>6153</v>
      </c>
    </row>
    <row r="46500" spans="8:8">
      <c r="H46500" s="680" t="s">
        <v>6153</v>
      </c>
    </row>
    <row r="46501" spans="8:8">
      <c r="H46501" s="680" t="s">
        <v>6153</v>
      </c>
    </row>
    <row r="46502" spans="8:8">
      <c r="H46502" s="680" t="s">
        <v>6153</v>
      </c>
    </row>
    <row r="46503" spans="8:8">
      <c r="H46503" s="680" t="s">
        <v>6153</v>
      </c>
    </row>
    <row r="46504" spans="8:8">
      <c r="H46504" s="680" t="s">
        <v>6153</v>
      </c>
    </row>
    <row r="46505" spans="8:8">
      <c r="H46505" s="680" t="s">
        <v>6153</v>
      </c>
    </row>
    <row r="46506" spans="8:8">
      <c r="H46506" s="680" t="s">
        <v>6153</v>
      </c>
    </row>
    <row r="46507" spans="8:8">
      <c r="H46507" s="680" t="s">
        <v>6153</v>
      </c>
    </row>
    <row r="46508" spans="8:8">
      <c r="H46508" s="680" t="s">
        <v>6153</v>
      </c>
    </row>
    <row r="46509" spans="8:8">
      <c r="H46509" s="680" t="s">
        <v>6153</v>
      </c>
    </row>
    <row r="46510" spans="8:8">
      <c r="H46510" s="680" t="s">
        <v>6153</v>
      </c>
    </row>
    <row r="46511" spans="8:8">
      <c r="H46511" s="680" t="s">
        <v>6153</v>
      </c>
    </row>
    <row r="46512" spans="8:8">
      <c r="H46512" s="680" t="s">
        <v>6153</v>
      </c>
    </row>
    <row r="46513" spans="8:8">
      <c r="H46513" s="680" t="s">
        <v>6153</v>
      </c>
    </row>
    <row r="46514" spans="8:8">
      <c r="H46514" s="680" t="s">
        <v>6153</v>
      </c>
    </row>
    <row r="46515" spans="8:8">
      <c r="H46515" s="680" t="s">
        <v>6153</v>
      </c>
    </row>
    <row r="46516" spans="8:8">
      <c r="H46516" s="680" t="s">
        <v>6153</v>
      </c>
    </row>
    <row r="46517" spans="8:8">
      <c r="H46517" s="680" t="s">
        <v>6153</v>
      </c>
    </row>
    <row r="46518" spans="8:8">
      <c r="H46518" s="680" t="s">
        <v>6153</v>
      </c>
    </row>
    <row r="46519" spans="8:8">
      <c r="H46519" s="680" t="s">
        <v>6153</v>
      </c>
    </row>
    <row r="46520" spans="8:8">
      <c r="H46520" s="680" t="s">
        <v>6153</v>
      </c>
    </row>
    <row r="46521" spans="8:8">
      <c r="H46521" s="680" t="s">
        <v>6153</v>
      </c>
    </row>
    <row r="46522" spans="8:8">
      <c r="H46522" s="680" t="s">
        <v>6153</v>
      </c>
    </row>
    <row r="46523" spans="8:8">
      <c r="H46523" s="680" t="s">
        <v>6153</v>
      </c>
    </row>
    <row r="46524" spans="8:8">
      <c r="H46524" s="680" t="s">
        <v>6153</v>
      </c>
    </row>
    <row r="46525" spans="8:8">
      <c r="H46525" s="680" t="s">
        <v>6153</v>
      </c>
    </row>
    <row r="46526" spans="8:8">
      <c r="H46526" s="680" t="s">
        <v>6153</v>
      </c>
    </row>
    <row r="46527" spans="8:8">
      <c r="H46527" s="680" t="s">
        <v>6153</v>
      </c>
    </row>
    <row r="46528" spans="8:8">
      <c r="H46528" s="680" t="s">
        <v>6153</v>
      </c>
    </row>
    <row r="46529" spans="8:8">
      <c r="H46529" s="680" t="s">
        <v>6153</v>
      </c>
    </row>
    <row r="46530" spans="8:8">
      <c r="H46530" s="680" t="s">
        <v>6153</v>
      </c>
    </row>
    <row r="46531" spans="8:8">
      <c r="H46531" s="680" t="s">
        <v>6153</v>
      </c>
    </row>
    <row r="46532" spans="8:8">
      <c r="H46532" s="680" t="s">
        <v>6153</v>
      </c>
    </row>
    <row r="46533" spans="8:8">
      <c r="H46533" s="680" t="s">
        <v>6153</v>
      </c>
    </row>
    <row r="46534" spans="8:8">
      <c r="H46534" s="680" t="s">
        <v>6153</v>
      </c>
    </row>
    <row r="46535" spans="8:8">
      <c r="H46535" s="680" t="s">
        <v>6153</v>
      </c>
    </row>
    <row r="46536" spans="8:8">
      <c r="H46536" s="680" t="s">
        <v>6153</v>
      </c>
    </row>
    <row r="46537" spans="8:8">
      <c r="H46537" s="680" t="s">
        <v>6153</v>
      </c>
    </row>
    <row r="46538" spans="8:8">
      <c r="H46538" s="680" t="s">
        <v>6153</v>
      </c>
    </row>
    <row r="46539" spans="8:8">
      <c r="H46539" s="680" t="s">
        <v>6153</v>
      </c>
    </row>
    <row r="46540" spans="8:8">
      <c r="H46540" s="680" t="s">
        <v>6153</v>
      </c>
    </row>
    <row r="46541" spans="8:8">
      <c r="H46541" s="680" t="s">
        <v>6153</v>
      </c>
    </row>
    <row r="46542" spans="8:8">
      <c r="H46542" s="680" t="s">
        <v>6153</v>
      </c>
    </row>
    <row r="46543" spans="8:8">
      <c r="H46543" s="680" t="s">
        <v>6153</v>
      </c>
    </row>
    <row r="46544" spans="8:8">
      <c r="H46544" s="680" t="s">
        <v>6153</v>
      </c>
    </row>
    <row r="46545" spans="8:8">
      <c r="H46545" s="680" t="s">
        <v>6153</v>
      </c>
    </row>
    <row r="46546" spans="8:8">
      <c r="H46546" s="680" t="s">
        <v>6153</v>
      </c>
    </row>
    <row r="46547" spans="8:8">
      <c r="H46547" s="680" t="s">
        <v>6153</v>
      </c>
    </row>
    <row r="46548" spans="8:8">
      <c r="H46548" s="680" t="s">
        <v>6153</v>
      </c>
    </row>
    <row r="46549" spans="8:8">
      <c r="H46549" s="680" t="s">
        <v>6153</v>
      </c>
    </row>
    <row r="46550" spans="8:8">
      <c r="H46550" s="680" t="s">
        <v>6153</v>
      </c>
    </row>
    <row r="46551" spans="8:8">
      <c r="H46551" s="680" t="s">
        <v>6153</v>
      </c>
    </row>
    <row r="46552" spans="8:8">
      <c r="H46552" s="680" t="s">
        <v>6153</v>
      </c>
    </row>
    <row r="46553" spans="8:8">
      <c r="H46553" s="680" t="s">
        <v>6153</v>
      </c>
    </row>
    <row r="46554" spans="8:8">
      <c r="H46554" s="680" t="s">
        <v>6153</v>
      </c>
    </row>
    <row r="46555" spans="8:8">
      <c r="H46555" s="680" t="s">
        <v>6153</v>
      </c>
    </row>
    <row r="46556" spans="8:8">
      <c r="H46556" s="680" t="s">
        <v>6153</v>
      </c>
    </row>
    <row r="46557" spans="8:8">
      <c r="H46557" s="680" t="s">
        <v>6153</v>
      </c>
    </row>
    <row r="46558" spans="8:8">
      <c r="H46558" s="680" t="s">
        <v>6153</v>
      </c>
    </row>
    <row r="46559" spans="8:8">
      <c r="H46559" s="680" t="s">
        <v>6153</v>
      </c>
    </row>
    <row r="46560" spans="8:8">
      <c r="H46560" s="680" t="s">
        <v>6153</v>
      </c>
    </row>
    <row r="46561" spans="8:8">
      <c r="H46561" s="680" t="s">
        <v>6153</v>
      </c>
    </row>
    <row r="46562" spans="8:8">
      <c r="H46562" s="680" t="s">
        <v>6153</v>
      </c>
    </row>
    <row r="46563" spans="8:8">
      <c r="H46563" s="680" t="s">
        <v>6153</v>
      </c>
    </row>
    <row r="46564" spans="8:8">
      <c r="H46564" s="680" t="s">
        <v>6153</v>
      </c>
    </row>
    <row r="46565" spans="8:8">
      <c r="H46565" s="680" t="s">
        <v>6153</v>
      </c>
    </row>
    <row r="46566" spans="8:8">
      <c r="H46566" s="680" t="s">
        <v>6153</v>
      </c>
    </row>
    <row r="46567" spans="8:8">
      <c r="H46567" s="680" t="s">
        <v>6153</v>
      </c>
    </row>
    <row r="46568" spans="8:8">
      <c r="H46568" s="680" t="s">
        <v>6153</v>
      </c>
    </row>
    <row r="46569" spans="8:8">
      <c r="H46569" s="680" t="s">
        <v>6153</v>
      </c>
    </row>
    <row r="46570" spans="8:8">
      <c r="H46570" s="680" t="s">
        <v>6153</v>
      </c>
    </row>
    <row r="46571" spans="8:8">
      <c r="H46571" s="680" t="s">
        <v>6153</v>
      </c>
    </row>
    <row r="46572" spans="8:8">
      <c r="H46572" s="680" t="s">
        <v>6153</v>
      </c>
    </row>
    <row r="46573" spans="8:8">
      <c r="H46573" s="680" t="s">
        <v>6153</v>
      </c>
    </row>
    <row r="46574" spans="8:8">
      <c r="H46574" s="680" t="s">
        <v>6153</v>
      </c>
    </row>
    <row r="46575" spans="8:8">
      <c r="H46575" s="680" t="s">
        <v>6153</v>
      </c>
    </row>
    <row r="46576" spans="8:8">
      <c r="H46576" s="680" t="s">
        <v>6153</v>
      </c>
    </row>
    <row r="46577" spans="8:8">
      <c r="H46577" s="680" t="s">
        <v>6153</v>
      </c>
    </row>
    <row r="46578" spans="8:8">
      <c r="H46578" s="680" t="s">
        <v>6153</v>
      </c>
    </row>
    <row r="46579" spans="8:8">
      <c r="H46579" s="680" t="s">
        <v>6153</v>
      </c>
    </row>
    <row r="46580" spans="8:8">
      <c r="H46580" s="680" t="s">
        <v>6153</v>
      </c>
    </row>
    <row r="46581" spans="8:8">
      <c r="H46581" s="680" t="s">
        <v>6153</v>
      </c>
    </row>
    <row r="46582" spans="8:8">
      <c r="H46582" s="680" t="s">
        <v>6153</v>
      </c>
    </row>
    <row r="46583" spans="8:8">
      <c r="H46583" s="680" t="s">
        <v>6153</v>
      </c>
    </row>
    <row r="46584" spans="8:8">
      <c r="H46584" s="680" t="s">
        <v>6153</v>
      </c>
    </row>
    <row r="46585" spans="8:8">
      <c r="H46585" s="680" t="s">
        <v>6153</v>
      </c>
    </row>
    <row r="46586" spans="8:8">
      <c r="H46586" s="680" t="s">
        <v>6153</v>
      </c>
    </row>
    <row r="46587" spans="8:8">
      <c r="H46587" s="680" t="s">
        <v>6153</v>
      </c>
    </row>
    <row r="46588" spans="8:8">
      <c r="H46588" s="680" t="s">
        <v>6153</v>
      </c>
    </row>
    <row r="46589" spans="8:8">
      <c r="H46589" s="680" t="s">
        <v>6153</v>
      </c>
    </row>
    <row r="46590" spans="8:8">
      <c r="H46590" s="680" t="s">
        <v>6153</v>
      </c>
    </row>
    <row r="46591" spans="8:8">
      <c r="H46591" s="680" t="s">
        <v>6153</v>
      </c>
    </row>
    <row r="46592" spans="8:8">
      <c r="H46592" s="680" t="s">
        <v>6153</v>
      </c>
    </row>
    <row r="46593" spans="8:8">
      <c r="H46593" s="680" t="s">
        <v>6153</v>
      </c>
    </row>
    <row r="46594" spans="8:8">
      <c r="H46594" s="680" t="s">
        <v>6153</v>
      </c>
    </row>
    <row r="46595" spans="8:8">
      <c r="H46595" s="680" t="s">
        <v>6153</v>
      </c>
    </row>
    <row r="46596" spans="8:8">
      <c r="H46596" s="680" t="s">
        <v>6153</v>
      </c>
    </row>
    <row r="46597" spans="8:8">
      <c r="H46597" s="680" t="s">
        <v>6153</v>
      </c>
    </row>
    <row r="46598" spans="8:8">
      <c r="H46598" s="680" t="s">
        <v>6153</v>
      </c>
    </row>
    <row r="46599" spans="8:8">
      <c r="H46599" s="680" t="s">
        <v>6153</v>
      </c>
    </row>
    <row r="46600" spans="8:8">
      <c r="H46600" s="680" t="s">
        <v>6153</v>
      </c>
    </row>
    <row r="46601" spans="8:8">
      <c r="H46601" s="680" t="s">
        <v>6153</v>
      </c>
    </row>
    <row r="46602" spans="8:8">
      <c r="H46602" s="680" t="s">
        <v>6153</v>
      </c>
    </row>
    <row r="46603" spans="8:8">
      <c r="H46603" s="680" t="s">
        <v>6153</v>
      </c>
    </row>
    <row r="46604" spans="8:8">
      <c r="H46604" s="680" t="s">
        <v>6153</v>
      </c>
    </row>
    <row r="46605" spans="8:8">
      <c r="H46605" s="680" t="s">
        <v>6153</v>
      </c>
    </row>
    <row r="46606" spans="8:8">
      <c r="H46606" s="680" t="s">
        <v>6153</v>
      </c>
    </row>
    <row r="46607" spans="8:8">
      <c r="H46607" s="680" t="s">
        <v>6153</v>
      </c>
    </row>
    <row r="46608" spans="8:8">
      <c r="H46608" s="680" t="s">
        <v>6153</v>
      </c>
    </row>
    <row r="46609" spans="8:8">
      <c r="H46609" s="680" t="s">
        <v>6153</v>
      </c>
    </row>
    <row r="46610" spans="8:8">
      <c r="H46610" s="680" t="s">
        <v>6153</v>
      </c>
    </row>
    <row r="46611" spans="8:8">
      <c r="H46611" s="680" t="s">
        <v>6153</v>
      </c>
    </row>
    <row r="46612" spans="8:8">
      <c r="H46612" s="680" t="s">
        <v>6153</v>
      </c>
    </row>
    <row r="46613" spans="8:8">
      <c r="H46613" s="680" t="s">
        <v>6153</v>
      </c>
    </row>
    <row r="46614" spans="8:8">
      <c r="H46614" s="680" t="s">
        <v>6153</v>
      </c>
    </row>
    <row r="46615" spans="8:8">
      <c r="H46615" s="680" t="s">
        <v>6153</v>
      </c>
    </row>
    <row r="46616" spans="8:8">
      <c r="H46616" s="680" t="s">
        <v>6153</v>
      </c>
    </row>
    <row r="46617" spans="8:8">
      <c r="H46617" s="680" t="s">
        <v>6153</v>
      </c>
    </row>
    <row r="46618" spans="8:8">
      <c r="H46618" s="680" t="s">
        <v>6153</v>
      </c>
    </row>
    <row r="46619" spans="8:8">
      <c r="H46619" s="680" t="s">
        <v>6153</v>
      </c>
    </row>
    <row r="46620" spans="8:8">
      <c r="H46620" s="680" t="s">
        <v>6153</v>
      </c>
    </row>
    <row r="46621" spans="8:8">
      <c r="H46621" s="680" t="s">
        <v>6153</v>
      </c>
    </row>
    <row r="46622" spans="8:8">
      <c r="H46622" s="680" t="s">
        <v>6153</v>
      </c>
    </row>
    <row r="46623" spans="8:8">
      <c r="H46623" s="680" t="s">
        <v>6153</v>
      </c>
    </row>
    <row r="46624" spans="8:8">
      <c r="H46624" s="680" t="s">
        <v>6153</v>
      </c>
    </row>
    <row r="46625" spans="8:8">
      <c r="H46625" s="680" t="s">
        <v>6153</v>
      </c>
    </row>
    <row r="46626" spans="8:8">
      <c r="H46626" s="680" t="s">
        <v>6153</v>
      </c>
    </row>
    <row r="46627" spans="8:8">
      <c r="H46627" s="680" t="s">
        <v>6153</v>
      </c>
    </row>
    <row r="46628" spans="8:8">
      <c r="H46628" s="680" t="s">
        <v>6153</v>
      </c>
    </row>
    <row r="46629" spans="8:8">
      <c r="H46629" s="680" t="s">
        <v>6153</v>
      </c>
    </row>
    <row r="46630" spans="8:8">
      <c r="H46630" s="680" t="s">
        <v>6153</v>
      </c>
    </row>
    <row r="46631" spans="8:8">
      <c r="H46631" s="680" t="s">
        <v>6153</v>
      </c>
    </row>
    <row r="46632" spans="8:8">
      <c r="H46632" s="680" t="s">
        <v>6153</v>
      </c>
    </row>
    <row r="46633" spans="8:8">
      <c r="H46633" s="680" t="s">
        <v>6153</v>
      </c>
    </row>
    <row r="46634" spans="8:8">
      <c r="H46634" s="680" t="s">
        <v>6153</v>
      </c>
    </row>
    <row r="46635" spans="8:8">
      <c r="H46635" s="680" t="s">
        <v>6153</v>
      </c>
    </row>
    <row r="46636" spans="8:8">
      <c r="H46636" s="680" t="s">
        <v>6153</v>
      </c>
    </row>
    <row r="46637" spans="8:8">
      <c r="H46637" s="680" t="s">
        <v>6153</v>
      </c>
    </row>
    <row r="46638" spans="8:8">
      <c r="H46638" s="680" t="s">
        <v>6153</v>
      </c>
    </row>
    <row r="46639" spans="8:8">
      <c r="H46639" s="680" t="s">
        <v>6153</v>
      </c>
    </row>
    <row r="46640" spans="8:8">
      <c r="H46640" s="680" t="s">
        <v>6153</v>
      </c>
    </row>
    <row r="46641" spans="8:8">
      <c r="H46641" s="680" t="s">
        <v>6153</v>
      </c>
    </row>
    <row r="46642" spans="8:8">
      <c r="H46642" s="680" t="s">
        <v>6153</v>
      </c>
    </row>
    <row r="46643" spans="8:8">
      <c r="H46643" s="680" t="s">
        <v>6153</v>
      </c>
    </row>
    <row r="46644" spans="8:8">
      <c r="H46644" s="680" t="s">
        <v>6153</v>
      </c>
    </row>
    <row r="46645" spans="8:8">
      <c r="H46645" s="680" t="s">
        <v>6153</v>
      </c>
    </row>
    <row r="46646" spans="8:8">
      <c r="H46646" s="680" t="s">
        <v>6153</v>
      </c>
    </row>
    <row r="46647" spans="8:8">
      <c r="H46647" s="680" t="s">
        <v>6153</v>
      </c>
    </row>
    <row r="46648" spans="8:8">
      <c r="H46648" s="680" t="s">
        <v>6153</v>
      </c>
    </row>
    <row r="46649" spans="8:8">
      <c r="H46649" s="680" t="s">
        <v>6153</v>
      </c>
    </row>
    <row r="46650" spans="8:8">
      <c r="H46650" s="680" t="s">
        <v>6153</v>
      </c>
    </row>
    <row r="46651" spans="8:8">
      <c r="H46651" s="680" t="s">
        <v>6153</v>
      </c>
    </row>
    <row r="46652" spans="8:8">
      <c r="H46652" s="680" t="s">
        <v>6153</v>
      </c>
    </row>
    <row r="46653" spans="8:8">
      <c r="H46653" s="680" t="s">
        <v>6153</v>
      </c>
    </row>
    <row r="46654" spans="8:8">
      <c r="H46654" s="680" t="s">
        <v>6153</v>
      </c>
    </row>
    <row r="46655" spans="8:8">
      <c r="H46655" s="680" t="s">
        <v>6153</v>
      </c>
    </row>
    <row r="46656" spans="8:8">
      <c r="H46656" s="680" t="s">
        <v>6153</v>
      </c>
    </row>
    <row r="46657" spans="8:8">
      <c r="H46657" s="680" t="s">
        <v>6153</v>
      </c>
    </row>
    <row r="46658" spans="8:8">
      <c r="H46658" s="680" t="s">
        <v>6153</v>
      </c>
    </row>
    <row r="46659" spans="8:8">
      <c r="H46659" s="680" t="s">
        <v>6153</v>
      </c>
    </row>
    <row r="46660" spans="8:8">
      <c r="H46660" s="680" t="s">
        <v>6153</v>
      </c>
    </row>
    <row r="46661" spans="8:8">
      <c r="H46661" s="680" t="s">
        <v>6153</v>
      </c>
    </row>
    <row r="46662" spans="8:8">
      <c r="H46662" s="680" t="s">
        <v>6153</v>
      </c>
    </row>
    <row r="46663" spans="8:8">
      <c r="H46663" s="680" t="s">
        <v>6153</v>
      </c>
    </row>
    <row r="46664" spans="8:8">
      <c r="H46664" s="680" t="s">
        <v>6153</v>
      </c>
    </row>
    <row r="46665" spans="8:8">
      <c r="H46665" s="680" t="s">
        <v>6153</v>
      </c>
    </row>
    <row r="46666" spans="8:8">
      <c r="H46666" s="680" t="s">
        <v>6153</v>
      </c>
    </row>
    <row r="46667" spans="8:8">
      <c r="H46667" s="680" t="s">
        <v>6153</v>
      </c>
    </row>
    <row r="46668" spans="8:8">
      <c r="H46668" s="680" t="s">
        <v>6153</v>
      </c>
    </row>
    <row r="46669" spans="8:8">
      <c r="H46669" s="680" t="s">
        <v>6153</v>
      </c>
    </row>
    <row r="46670" spans="8:8">
      <c r="H46670" s="680" t="s">
        <v>6153</v>
      </c>
    </row>
    <row r="46671" spans="8:8">
      <c r="H46671" s="680" t="s">
        <v>6153</v>
      </c>
    </row>
    <row r="46672" spans="8:8">
      <c r="H46672" s="680" t="s">
        <v>6153</v>
      </c>
    </row>
    <row r="46673" spans="8:8">
      <c r="H46673" s="680" t="s">
        <v>6153</v>
      </c>
    </row>
    <row r="46674" spans="8:8">
      <c r="H46674" s="680" t="s">
        <v>6153</v>
      </c>
    </row>
    <row r="46675" spans="8:8">
      <c r="H46675" s="680" t="s">
        <v>6153</v>
      </c>
    </row>
    <row r="46676" spans="8:8">
      <c r="H46676" s="680" t="s">
        <v>6153</v>
      </c>
    </row>
    <row r="46677" spans="8:8">
      <c r="H46677" s="680" t="s">
        <v>6153</v>
      </c>
    </row>
    <row r="46678" spans="8:8">
      <c r="H46678" s="680" t="s">
        <v>6153</v>
      </c>
    </row>
    <row r="46679" spans="8:8">
      <c r="H46679" s="680" t="s">
        <v>6153</v>
      </c>
    </row>
    <row r="46680" spans="8:8">
      <c r="H46680" s="680" t="s">
        <v>6153</v>
      </c>
    </row>
    <row r="46681" spans="8:8">
      <c r="H46681" s="680" t="s">
        <v>6153</v>
      </c>
    </row>
    <row r="46682" spans="8:8">
      <c r="H46682" s="680" t="s">
        <v>6153</v>
      </c>
    </row>
    <row r="46683" spans="8:8">
      <c r="H46683" s="680" t="s">
        <v>6153</v>
      </c>
    </row>
    <row r="46684" spans="8:8">
      <c r="H46684" s="680" t="s">
        <v>6153</v>
      </c>
    </row>
    <row r="46685" spans="8:8">
      <c r="H46685" s="680" t="s">
        <v>6153</v>
      </c>
    </row>
    <row r="46686" spans="8:8">
      <c r="H46686" s="680" t="s">
        <v>6153</v>
      </c>
    </row>
    <row r="46687" spans="8:8">
      <c r="H46687" s="680" t="s">
        <v>6153</v>
      </c>
    </row>
    <row r="46688" spans="8:8">
      <c r="H46688" s="680" t="s">
        <v>6153</v>
      </c>
    </row>
    <row r="46689" spans="8:8">
      <c r="H46689" s="680" t="s">
        <v>6153</v>
      </c>
    </row>
    <row r="46690" spans="8:8">
      <c r="H46690" s="680" t="s">
        <v>6153</v>
      </c>
    </row>
    <row r="46691" spans="8:8">
      <c r="H46691" s="680" t="s">
        <v>6153</v>
      </c>
    </row>
    <row r="46692" spans="8:8">
      <c r="H46692" s="680" t="s">
        <v>6153</v>
      </c>
    </row>
    <row r="46693" spans="8:8">
      <c r="H46693" s="680" t="s">
        <v>6153</v>
      </c>
    </row>
    <row r="46694" spans="8:8">
      <c r="H46694" s="680" t="s">
        <v>6153</v>
      </c>
    </row>
    <row r="46695" spans="8:8">
      <c r="H46695" s="680" t="s">
        <v>6153</v>
      </c>
    </row>
    <row r="46696" spans="8:8">
      <c r="H46696" s="680" t="s">
        <v>6153</v>
      </c>
    </row>
    <row r="46697" spans="8:8">
      <c r="H46697" s="680" t="s">
        <v>6153</v>
      </c>
    </row>
    <row r="46698" spans="8:8">
      <c r="H46698" s="680" t="s">
        <v>6153</v>
      </c>
    </row>
    <row r="46699" spans="8:8">
      <c r="H46699" s="680" t="s">
        <v>6153</v>
      </c>
    </row>
    <row r="46700" spans="8:8">
      <c r="H46700" s="680" t="s">
        <v>6153</v>
      </c>
    </row>
    <row r="46701" spans="8:8">
      <c r="H46701" s="680" t="s">
        <v>6153</v>
      </c>
    </row>
    <row r="46702" spans="8:8">
      <c r="H46702" s="680" t="s">
        <v>6153</v>
      </c>
    </row>
    <row r="46703" spans="8:8">
      <c r="H46703" s="680" t="s">
        <v>6153</v>
      </c>
    </row>
    <row r="46704" spans="8:8">
      <c r="H46704" s="680" t="s">
        <v>6153</v>
      </c>
    </row>
    <row r="46705" spans="8:8">
      <c r="H46705" s="680" t="s">
        <v>6153</v>
      </c>
    </row>
    <row r="46706" spans="8:8">
      <c r="H46706" s="680" t="s">
        <v>6153</v>
      </c>
    </row>
    <row r="46707" spans="8:8">
      <c r="H46707" s="680" t="s">
        <v>6153</v>
      </c>
    </row>
    <row r="46708" spans="8:8">
      <c r="H46708" s="680" t="s">
        <v>6153</v>
      </c>
    </row>
    <row r="46709" spans="8:8">
      <c r="H46709" s="680" t="s">
        <v>6153</v>
      </c>
    </row>
    <row r="46710" spans="8:8">
      <c r="H46710" s="680" t="s">
        <v>6153</v>
      </c>
    </row>
    <row r="46711" spans="8:8">
      <c r="H46711" s="680" t="s">
        <v>6153</v>
      </c>
    </row>
    <row r="46712" spans="8:8">
      <c r="H46712" s="680" t="s">
        <v>6153</v>
      </c>
    </row>
    <row r="46713" spans="8:8">
      <c r="H46713" s="680" t="s">
        <v>6153</v>
      </c>
    </row>
    <row r="46714" spans="8:8">
      <c r="H46714" s="680" t="s">
        <v>6153</v>
      </c>
    </row>
    <row r="46715" spans="8:8">
      <c r="H46715" s="680" t="s">
        <v>6153</v>
      </c>
    </row>
    <row r="46716" spans="8:8">
      <c r="H46716" s="680" t="s">
        <v>6153</v>
      </c>
    </row>
    <row r="46717" spans="8:8">
      <c r="H46717" s="680" t="s">
        <v>6153</v>
      </c>
    </row>
    <row r="46718" spans="8:8">
      <c r="H46718" s="680" t="s">
        <v>6153</v>
      </c>
    </row>
    <row r="46719" spans="8:8">
      <c r="H46719" s="680" t="s">
        <v>6153</v>
      </c>
    </row>
    <row r="46720" spans="8:8">
      <c r="H46720" s="680" t="s">
        <v>6153</v>
      </c>
    </row>
    <row r="46721" spans="8:8">
      <c r="H46721" s="680" t="s">
        <v>6153</v>
      </c>
    </row>
    <row r="46722" spans="8:8">
      <c r="H46722" s="680" t="s">
        <v>6153</v>
      </c>
    </row>
    <row r="46723" spans="8:8">
      <c r="H46723" s="680" t="s">
        <v>6153</v>
      </c>
    </row>
    <row r="46724" spans="8:8">
      <c r="H46724" s="680" t="s">
        <v>6153</v>
      </c>
    </row>
    <row r="46725" spans="8:8">
      <c r="H46725" s="680" t="s">
        <v>6153</v>
      </c>
    </row>
    <row r="46726" spans="8:8">
      <c r="H46726" s="680" t="s">
        <v>6153</v>
      </c>
    </row>
    <row r="46727" spans="8:8">
      <c r="H46727" s="680" t="s">
        <v>6153</v>
      </c>
    </row>
    <row r="46728" spans="8:8">
      <c r="H46728" s="680" t="s">
        <v>6153</v>
      </c>
    </row>
    <row r="46729" spans="8:8">
      <c r="H46729" s="680" t="s">
        <v>6153</v>
      </c>
    </row>
    <row r="46730" spans="8:8">
      <c r="H46730" s="680" t="s">
        <v>6153</v>
      </c>
    </row>
    <row r="46731" spans="8:8">
      <c r="H46731" s="680" t="s">
        <v>6153</v>
      </c>
    </row>
    <row r="46732" spans="8:8">
      <c r="H46732" s="680" t="s">
        <v>6153</v>
      </c>
    </row>
    <row r="46733" spans="8:8">
      <c r="H46733" s="680" t="s">
        <v>6153</v>
      </c>
    </row>
    <row r="46734" spans="8:8">
      <c r="H46734" s="680" t="s">
        <v>6153</v>
      </c>
    </row>
    <row r="46735" spans="8:8">
      <c r="H46735" s="680" t="s">
        <v>6153</v>
      </c>
    </row>
    <row r="46736" spans="8:8">
      <c r="H46736" s="680" t="s">
        <v>6153</v>
      </c>
    </row>
    <row r="46737" spans="8:8">
      <c r="H46737" s="680" t="s">
        <v>6153</v>
      </c>
    </row>
    <row r="46738" spans="8:8">
      <c r="H46738" s="680" t="s">
        <v>6153</v>
      </c>
    </row>
    <row r="46739" spans="8:8">
      <c r="H46739" s="680" t="s">
        <v>6153</v>
      </c>
    </row>
    <row r="46740" spans="8:8">
      <c r="H46740" s="680" t="s">
        <v>6153</v>
      </c>
    </row>
    <row r="46741" spans="8:8">
      <c r="H46741" s="680" t="s">
        <v>6153</v>
      </c>
    </row>
    <row r="46742" spans="8:8">
      <c r="H46742" s="680" t="s">
        <v>6153</v>
      </c>
    </row>
    <row r="46743" spans="8:8">
      <c r="H46743" s="680" t="s">
        <v>6153</v>
      </c>
    </row>
    <row r="46744" spans="8:8">
      <c r="H46744" s="680" t="s">
        <v>6153</v>
      </c>
    </row>
    <row r="46745" spans="8:8">
      <c r="H46745" s="680" t="s">
        <v>6153</v>
      </c>
    </row>
    <row r="46746" spans="8:8">
      <c r="H46746" s="680" t="s">
        <v>6153</v>
      </c>
    </row>
    <row r="46747" spans="8:8">
      <c r="H46747" s="680" t="s">
        <v>6153</v>
      </c>
    </row>
    <row r="46748" spans="8:8">
      <c r="H46748" s="680" t="s">
        <v>6153</v>
      </c>
    </row>
    <row r="46749" spans="8:8">
      <c r="H46749" s="680" t="s">
        <v>6153</v>
      </c>
    </row>
    <row r="46750" spans="8:8">
      <c r="H46750" s="680" t="s">
        <v>6153</v>
      </c>
    </row>
    <row r="46751" spans="8:8">
      <c r="H46751" s="680" t="s">
        <v>6153</v>
      </c>
    </row>
    <row r="46752" spans="8:8">
      <c r="H46752" s="680" t="s">
        <v>6153</v>
      </c>
    </row>
    <row r="46753" spans="8:8">
      <c r="H46753" s="680" t="s">
        <v>6153</v>
      </c>
    </row>
    <row r="46754" spans="8:8">
      <c r="H46754" s="680" t="s">
        <v>6153</v>
      </c>
    </row>
    <row r="46755" spans="8:8">
      <c r="H46755" s="680" t="s">
        <v>6153</v>
      </c>
    </row>
    <row r="46756" spans="8:8">
      <c r="H46756" s="680" t="s">
        <v>6153</v>
      </c>
    </row>
    <row r="46757" spans="8:8">
      <c r="H46757" s="680" t="s">
        <v>6153</v>
      </c>
    </row>
    <row r="46758" spans="8:8">
      <c r="H46758" s="680" t="s">
        <v>6153</v>
      </c>
    </row>
    <row r="46759" spans="8:8">
      <c r="H46759" s="680" t="s">
        <v>6153</v>
      </c>
    </row>
    <row r="46760" spans="8:8">
      <c r="H46760" s="680" t="s">
        <v>6153</v>
      </c>
    </row>
    <row r="46761" spans="8:8">
      <c r="H46761" s="680" t="s">
        <v>6153</v>
      </c>
    </row>
    <row r="46762" spans="8:8">
      <c r="H46762" s="680" t="s">
        <v>6153</v>
      </c>
    </row>
    <row r="46763" spans="8:8">
      <c r="H46763" s="680" t="s">
        <v>6153</v>
      </c>
    </row>
    <row r="46764" spans="8:8">
      <c r="H46764" s="680" t="s">
        <v>6153</v>
      </c>
    </row>
    <row r="46765" spans="8:8">
      <c r="H46765" s="680" t="s">
        <v>6153</v>
      </c>
    </row>
    <row r="46766" spans="8:8">
      <c r="H46766" s="680" t="s">
        <v>6153</v>
      </c>
    </row>
    <row r="46767" spans="8:8">
      <c r="H46767" s="680" t="s">
        <v>6153</v>
      </c>
    </row>
    <row r="46768" spans="8:8">
      <c r="H46768" s="680" t="s">
        <v>6153</v>
      </c>
    </row>
    <row r="46769" spans="8:8">
      <c r="H46769" s="680" t="s">
        <v>6153</v>
      </c>
    </row>
    <row r="46770" spans="8:8">
      <c r="H46770" s="680" t="s">
        <v>6153</v>
      </c>
    </row>
    <row r="46771" spans="8:8">
      <c r="H46771" s="680" t="s">
        <v>6153</v>
      </c>
    </row>
    <row r="46772" spans="8:8">
      <c r="H46772" s="680" t="s">
        <v>6153</v>
      </c>
    </row>
    <row r="46773" spans="8:8">
      <c r="H46773" s="680" t="s">
        <v>6153</v>
      </c>
    </row>
    <row r="46774" spans="8:8">
      <c r="H46774" s="680" t="s">
        <v>6153</v>
      </c>
    </row>
    <row r="46775" spans="8:8">
      <c r="H46775" s="680" t="s">
        <v>6153</v>
      </c>
    </row>
    <row r="46776" spans="8:8">
      <c r="H46776" s="680" t="s">
        <v>6153</v>
      </c>
    </row>
    <row r="46777" spans="8:8">
      <c r="H46777" s="680" t="s">
        <v>6153</v>
      </c>
    </row>
    <row r="46778" spans="8:8">
      <c r="H46778" s="680" t="s">
        <v>6153</v>
      </c>
    </row>
    <row r="46779" spans="8:8">
      <c r="H46779" s="680" t="s">
        <v>6153</v>
      </c>
    </row>
    <row r="46780" spans="8:8">
      <c r="H46780" s="680" t="s">
        <v>6153</v>
      </c>
    </row>
    <row r="46781" spans="8:8">
      <c r="H46781" s="680" t="s">
        <v>6153</v>
      </c>
    </row>
    <row r="46782" spans="8:8">
      <c r="H46782" s="680" t="s">
        <v>6153</v>
      </c>
    </row>
    <row r="46783" spans="8:8">
      <c r="H46783" s="680" t="s">
        <v>6153</v>
      </c>
    </row>
    <row r="46784" spans="8:8">
      <c r="H46784" s="680" t="s">
        <v>6153</v>
      </c>
    </row>
    <row r="46785" spans="8:8">
      <c r="H46785" s="680" t="s">
        <v>6153</v>
      </c>
    </row>
    <row r="46786" spans="8:8">
      <c r="H46786" s="680" t="s">
        <v>6153</v>
      </c>
    </row>
    <row r="46787" spans="8:8">
      <c r="H46787" s="680" t="s">
        <v>6153</v>
      </c>
    </row>
    <row r="46788" spans="8:8">
      <c r="H46788" s="680" t="s">
        <v>6153</v>
      </c>
    </row>
    <row r="46789" spans="8:8">
      <c r="H46789" s="680" t="s">
        <v>6153</v>
      </c>
    </row>
    <row r="46790" spans="8:8">
      <c r="H46790" s="680" t="s">
        <v>6153</v>
      </c>
    </row>
    <row r="46791" spans="8:8">
      <c r="H46791" s="680" t="s">
        <v>6153</v>
      </c>
    </row>
    <row r="46792" spans="8:8">
      <c r="H46792" s="680" t="s">
        <v>6153</v>
      </c>
    </row>
    <row r="46793" spans="8:8">
      <c r="H46793" s="680" t="s">
        <v>6153</v>
      </c>
    </row>
    <row r="46794" spans="8:8">
      <c r="H46794" s="680" t="s">
        <v>6153</v>
      </c>
    </row>
    <row r="46795" spans="8:8">
      <c r="H46795" s="680" t="s">
        <v>6153</v>
      </c>
    </row>
    <row r="46796" spans="8:8">
      <c r="H46796" s="680" t="s">
        <v>6153</v>
      </c>
    </row>
    <row r="46797" spans="8:8">
      <c r="H46797" s="680" t="s">
        <v>6153</v>
      </c>
    </row>
    <row r="46798" spans="8:8">
      <c r="H46798" s="680" t="s">
        <v>6153</v>
      </c>
    </row>
    <row r="46799" spans="8:8">
      <c r="H46799" s="680" t="s">
        <v>6153</v>
      </c>
    </row>
    <row r="46800" spans="8:8">
      <c r="H46800" s="680" t="s">
        <v>6153</v>
      </c>
    </row>
    <row r="46801" spans="8:8">
      <c r="H46801" s="680" t="s">
        <v>6153</v>
      </c>
    </row>
    <row r="46802" spans="8:8">
      <c r="H46802" s="680" t="s">
        <v>6153</v>
      </c>
    </row>
    <row r="46803" spans="8:8">
      <c r="H46803" s="680" t="s">
        <v>6153</v>
      </c>
    </row>
    <row r="46804" spans="8:8">
      <c r="H46804" s="680" t="s">
        <v>6153</v>
      </c>
    </row>
    <row r="46805" spans="8:8">
      <c r="H46805" s="680" t="s">
        <v>6153</v>
      </c>
    </row>
    <row r="46806" spans="8:8">
      <c r="H46806" s="680" t="s">
        <v>6153</v>
      </c>
    </row>
    <row r="46807" spans="8:8">
      <c r="H46807" s="680" t="s">
        <v>6153</v>
      </c>
    </row>
    <row r="46808" spans="8:8">
      <c r="H46808" s="680" t="s">
        <v>6153</v>
      </c>
    </row>
    <row r="46809" spans="8:8">
      <c r="H46809" s="680" t="s">
        <v>6153</v>
      </c>
    </row>
    <row r="46810" spans="8:8">
      <c r="H46810" s="680" t="s">
        <v>6153</v>
      </c>
    </row>
    <row r="46811" spans="8:8">
      <c r="H46811" s="680" t="s">
        <v>6153</v>
      </c>
    </row>
    <row r="46812" spans="8:8">
      <c r="H46812" s="680" t="s">
        <v>6153</v>
      </c>
    </row>
    <row r="46813" spans="8:8">
      <c r="H46813" s="680" t="s">
        <v>6153</v>
      </c>
    </row>
    <row r="46814" spans="8:8">
      <c r="H46814" s="680" t="s">
        <v>6153</v>
      </c>
    </row>
    <row r="46815" spans="8:8">
      <c r="H46815" s="680" t="s">
        <v>6153</v>
      </c>
    </row>
    <row r="46816" spans="8:8">
      <c r="H46816" s="680" t="s">
        <v>6153</v>
      </c>
    </row>
    <row r="46817" spans="8:8">
      <c r="H46817" s="680" t="s">
        <v>6153</v>
      </c>
    </row>
    <row r="46818" spans="8:8">
      <c r="H46818" s="680" t="s">
        <v>6153</v>
      </c>
    </row>
    <row r="46819" spans="8:8">
      <c r="H46819" s="680" t="s">
        <v>6153</v>
      </c>
    </row>
    <row r="46820" spans="8:8">
      <c r="H46820" s="680" t="s">
        <v>6153</v>
      </c>
    </row>
    <row r="46821" spans="8:8">
      <c r="H46821" s="680" t="s">
        <v>6153</v>
      </c>
    </row>
    <row r="46822" spans="8:8">
      <c r="H46822" s="680" t="s">
        <v>6153</v>
      </c>
    </row>
    <row r="46823" spans="8:8">
      <c r="H46823" s="680" t="s">
        <v>6153</v>
      </c>
    </row>
    <row r="46824" spans="8:8">
      <c r="H46824" s="680" t="s">
        <v>6153</v>
      </c>
    </row>
    <row r="46825" spans="8:8">
      <c r="H46825" s="680" t="s">
        <v>6153</v>
      </c>
    </row>
    <row r="46826" spans="8:8">
      <c r="H46826" s="680" t="s">
        <v>6153</v>
      </c>
    </row>
    <row r="46827" spans="8:8">
      <c r="H46827" s="680" t="s">
        <v>6153</v>
      </c>
    </row>
    <row r="46828" spans="8:8">
      <c r="H46828" s="680" t="s">
        <v>6153</v>
      </c>
    </row>
    <row r="46829" spans="8:8">
      <c r="H46829" s="680" t="s">
        <v>6153</v>
      </c>
    </row>
    <row r="46830" spans="8:8">
      <c r="H46830" s="680" t="s">
        <v>6153</v>
      </c>
    </row>
    <row r="46831" spans="8:8">
      <c r="H46831" s="680" t="s">
        <v>6153</v>
      </c>
    </row>
    <row r="46832" spans="8:8">
      <c r="H46832" s="680" t="s">
        <v>6153</v>
      </c>
    </row>
    <row r="46833" spans="8:8">
      <c r="H46833" s="680" t="s">
        <v>6153</v>
      </c>
    </row>
    <row r="46834" spans="8:8">
      <c r="H46834" s="680" t="s">
        <v>6153</v>
      </c>
    </row>
    <row r="46835" spans="8:8">
      <c r="H46835" s="680" t="s">
        <v>6153</v>
      </c>
    </row>
    <row r="46836" spans="8:8">
      <c r="H46836" s="680" t="s">
        <v>6153</v>
      </c>
    </row>
    <row r="46837" spans="8:8">
      <c r="H46837" s="680" t="s">
        <v>6153</v>
      </c>
    </row>
    <row r="46838" spans="8:8">
      <c r="H46838" s="680" t="s">
        <v>6153</v>
      </c>
    </row>
    <row r="46839" spans="8:8">
      <c r="H46839" s="680" t="s">
        <v>6153</v>
      </c>
    </row>
    <row r="46840" spans="8:8">
      <c r="H46840" s="680" t="s">
        <v>6153</v>
      </c>
    </row>
    <row r="46841" spans="8:8">
      <c r="H46841" s="680" t="s">
        <v>6153</v>
      </c>
    </row>
    <row r="46842" spans="8:8">
      <c r="H46842" s="680" t="s">
        <v>6153</v>
      </c>
    </row>
    <row r="46843" spans="8:8">
      <c r="H46843" s="680" t="s">
        <v>6153</v>
      </c>
    </row>
    <row r="46844" spans="8:8">
      <c r="H46844" s="680" t="s">
        <v>6153</v>
      </c>
    </row>
    <row r="46845" spans="8:8">
      <c r="H46845" s="680" t="s">
        <v>6153</v>
      </c>
    </row>
    <row r="46846" spans="8:8">
      <c r="H46846" s="680" t="s">
        <v>6153</v>
      </c>
    </row>
    <row r="46847" spans="8:8">
      <c r="H46847" s="680" t="s">
        <v>6153</v>
      </c>
    </row>
    <row r="46848" spans="8:8">
      <c r="H46848" s="680" t="s">
        <v>6153</v>
      </c>
    </row>
    <row r="46849" spans="8:8">
      <c r="H46849" s="680" t="s">
        <v>6153</v>
      </c>
    </row>
    <row r="46850" spans="8:8">
      <c r="H46850" s="680" t="s">
        <v>6153</v>
      </c>
    </row>
    <row r="46851" spans="8:8">
      <c r="H46851" s="680" t="s">
        <v>6153</v>
      </c>
    </row>
    <row r="46852" spans="8:8">
      <c r="H46852" s="680" t="s">
        <v>6153</v>
      </c>
    </row>
    <row r="46853" spans="8:8">
      <c r="H46853" s="680" t="s">
        <v>6153</v>
      </c>
    </row>
    <row r="46854" spans="8:8">
      <c r="H46854" s="680" t="s">
        <v>6153</v>
      </c>
    </row>
    <row r="46855" spans="8:8">
      <c r="H46855" s="680" t="s">
        <v>6153</v>
      </c>
    </row>
    <row r="46856" spans="8:8">
      <c r="H46856" s="680" t="s">
        <v>6153</v>
      </c>
    </row>
    <row r="46857" spans="8:8">
      <c r="H46857" s="680" t="s">
        <v>6153</v>
      </c>
    </row>
    <row r="46858" spans="8:8">
      <c r="H46858" s="680" t="s">
        <v>6153</v>
      </c>
    </row>
    <row r="46859" spans="8:8">
      <c r="H46859" s="680" t="s">
        <v>6153</v>
      </c>
    </row>
    <row r="46860" spans="8:8">
      <c r="H46860" s="680" t="s">
        <v>6153</v>
      </c>
    </row>
    <row r="46861" spans="8:8">
      <c r="H46861" s="680" t="s">
        <v>6153</v>
      </c>
    </row>
    <row r="46862" spans="8:8">
      <c r="H46862" s="680" t="s">
        <v>6153</v>
      </c>
    </row>
    <row r="46863" spans="8:8">
      <c r="H46863" s="680" t="s">
        <v>6153</v>
      </c>
    </row>
    <row r="46864" spans="8:8">
      <c r="H46864" s="680" t="s">
        <v>6153</v>
      </c>
    </row>
    <row r="46865" spans="8:8">
      <c r="H46865" s="680" t="s">
        <v>6153</v>
      </c>
    </row>
    <row r="46866" spans="8:8">
      <c r="H46866" s="680" t="s">
        <v>6153</v>
      </c>
    </row>
    <row r="46867" spans="8:8">
      <c r="H46867" s="680" t="s">
        <v>6153</v>
      </c>
    </row>
    <row r="46868" spans="8:8">
      <c r="H46868" s="680" t="s">
        <v>6153</v>
      </c>
    </row>
    <row r="46869" spans="8:8">
      <c r="H46869" s="680" t="s">
        <v>6153</v>
      </c>
    </row>
    <row r="46870" spans="8:8">
      <c r="H46870" s="680" t="s">
        <v>6153</v>
      </c>
    </row>
    <row r="46871" spans="8:8">
      <c r="H46871" s="680" t="s">
        <v>6153</v>
      </c>
    </row>
    <row r="46872" spans="8:8">
      <c r="H46872" s="680" t="s">
        <v>6153</v>
      </c>
    </row>
    <row r="46873" spans="8:8">
      <c r="H46873" s="680" t="s">
        <v>6153</v>
      </c>
    </row>
    <row r="46874" spans="8:8">
      <c r="H46874" s="680" t="s">
        <v>6153</v>
      </c>
    </row>
    <row r="46875" spans="8:8">
      <c r="H46875" s="680" t="s">
        <v>6153</v>
      </c>
    </row>
    <row r="46876" spans="8:8">
      <c r="H46876" s="680" t="s">
        <v>6153</v>
      </c>
    </row>
    <row r="46877" spans="8:8">
      <c r="H46877" s="680" t="s">
        <v>6153</v>
      </c>
    </row>
    <row r="46878" spans="8:8">
      <c r="H46878" s="680" t="s">
        <v>6153</v>
      </c>
    </row>
    <row r="46879" spans="8:8">
      <c r="H46879" s="680" t="s">
        <v>6153</v>
      </c>
    </row>
    <row r="46880" spans="8:8">
      <c r="H46880" s="680" t="s">
        <v>6153</v>
      </c>
    </row>
    <row r="46881" spans="8:8">
      <c r="H46881" s="680" t="s">
        <v>6153</v>
      </c>
    </row>
    <row r="46882" spans="8:8">
      <c r="H46882" s="680" t="s">
        <v>6153</v>
      </c>
    </row>
    <row r="46883" spans="8:8">
      <c r="H46883" s="680" t="s">
        <v>6153</v>
      </c>
    </row>
    <row r="46884" spans="8:8">
      <c r="H46884" s="680" t="s">
        <v>6153</v>
      </c>
    </row>
    <row r="46885" spans="8:8">
      <c r="H46885" s="680" t="s">
        <v>6153</v>
      </c>
    </row>
    <row r="46886" spans="8:8">
      <c r="H46886" s="680" t="s">
        <v>6153</v>
      </c>
    </row>
    <row r="46887" spans="8:8">
      <c r="H46887" s="680" t="s">
        <v>6153</v>
      </c>
    </row>
    <row r="46888" spans="8:8">
      <c r="H46888" s="680" t="s">
        <v>6153</v>
      </c>
    </row>
    <row r="46889" spans="8:8">
      <c r="H46889" s="680" t="s">
        <v>6153</v>
      </c>
    </row>
    <row r="46890" spans="8:8">
      <c r="H46890" s="680" t="s">
        <v>6153</v>
      </c>
    </row>
    <row r="46891" spans="8:8">
      <c r="H46891" s="680" t="s">
        <v>6153</v>
      </c>
    </row>
    <row r="46892" spans="8:8">
      <c r="H46892" s="680" t="s">
        <v>6153</v>
      </c>
    </row>
    <row r="46893" spans="8:8">
      <c r="H46893" s="680" t="s">
        <v>6153</v>
      </c>
    </row>
    <row r="46894" spans="8:8">
      <c r="H46894" s="680" t="s">
        <v>6153</v>
      </c>
    </row>
    <row r="46895" spans="8:8">
      <c r="H46895" s="680" t="s">
        <v>6153</v>
      </c>
    </row>
    <row r="46896" spans="8:8">
      <c r="H46896" s="680" t="s">
        <v>6153</v>
      </c>
    </row>
    <row r="46897" spans="8:8">
      <c r="H46897" s="680" t="s">
        <v>6153</v>
      </c>
    </row>
    <row r="46898" spans="8:8">
      <c r="H46898" s="680" t="s">
        <v>6153</v>
      </c>
    </row>
    <row r="46899" spans="8:8">
      <c r="H46899" s="680" t="s">
        <v>6153</v>
      </c>
    </row>
    <row r="46900" spans="8:8">
      <c r="H46900" s="680" t="s">
        <v>6153</v>
      </c>
    </row>
    <row r="46901" spans="8:8">
      <c r="H46901" s="680" t="s">
        <v>6153</v>
      </c>
    </row>
    <row r="46902" spans="8:8">
      <c r="H46902" s="680" t="s">
        <v>6153</v>
      </c>
    </row>
    <row r="46903" spans="8:8">
      <c r="H46903" s="680" t="s">
        <v>6153</v>
      </c>
    </row>
    <row r="46904" spans="8:8">
      <c r="H46904" s="680" t="s">
        <v>6153</v>
      </c>
    </row>
    <row r="46905" spans="8:8">
      <c r="H46905" s="680" t="s">
        <v>6153</v>
      </c>
    </row>
    <row r="46906" spans="8:8">
      <c r="H46906" s="680" t="s">
        <v>6153</v>
      </c>
    </row>
    <row r="46907" spans="8:8">
      <c r="H46907" s="680" t="s">
        <v>6153</v>
      </c>
    </row>
    <row r="46908" spans="8:8">
      <c r="H46908" s="680" t="s">
        <v>6153</v>
      </c>
    </row>
    <row r="46909" spans="8:8">
      <c r="H46909" s="680" t="s">
        <v>6153</v>
      </c>
    </row>
    <row r="46910" spans="8:8">
      <c r="H46910" s="680" t="s">
        <v>6153</v>
      </c>
    </row>
    <row r="46911" spans="8:8">
      <c r="H46911" s="680" t="s">
        <v>6153</v>
      </c>
    </row>
    <row r="46912" spans="8:8">
      <c r="H46912" s="680" t="s">
        <v>6153</v>
      </c>
    </row>
    <row r="46913" spans="8:8">
      <c r="H46913" s="680" t="s">
        <v>6153</v>
      </c>
    </row>
    <row r="46914" spans="8:8">
      <c r="H46914" s="680" t="s">
        <v>6153</v>
      </c>
    </row>
    <row r="46915" spans="8:8">
      <c r="H46915" s="680" t="s">
        <v>6153</v>
      </c>
    </row>
    <row r="46916" spans="8:8">
      <c r="H46916" s="680" t="s">
        <v>6153</v>
      </c>
    </row>
    <row r="46917" spans="8:8">
      <c r="H46917" s="680" t="s">
        <v>6153</v>
      </c>
    </row>
    <row r="46918" spans="8:8">
      <c r="H46918" s="680" t="s">
        <v>6153</v>
      </c>
    </row>
    <row r="46919" spans="8:8">
      <c r="H46919" s="680" t="s">
        <v>6153</v>
      </c>
    </row>
    <row r="46920" spans="8:8">
      <c r="H46920" s="680" t="s">
        <v>6153</v>
      </c>
    </row>
    <row r="46921" spans="8:8">
      <c r="H46921" s="680" t="s">
        <v>6153</v>
      </c>
    </row>
    <row r="46922" spans="8:8">
      <c r="H46922" s="680" t="s">
        <v>6153</v>
      </c>
    </row>
    <row r="46923" spans="8:8">
      <c r="H46923" s="680" t="s">
        <v>6153</v>
      </c>
    </row>
    <row r="46924" spans="8:8">
      <c r="H46924" s="680" t="s">
        <v>6153</v>
      </c>
    </row>
    <row r="46925" spans="8:8">
      <c r="H46925" s="680" t="s">
        <v>6153</v>
      </c>
    </row>
    <row r="46926" spans="8:8">
      <c r="H46926" s="680" t="s">
        <v>6153</v>
      </c>
    </row>
    <row r="46927" spans="8:8">
      <c r="H46927" s="680" t="s">
        <v>6153</v>
      </c>
    </row>
    <row r="46928" spans="8:8">
      <c r="H46928" s="680" t="s">
        <v>6153</v>
      </c>
    </row>
    <row r="46929" spans="8:8">
      <c r="H46929" s="680" t="s">
        <v>6153</v>
      </c>
    </row>
    <row r="46930" spans="8:8">
      <c r="H46930" s="680" t="s">
        <v>6153</v>
      </c>
    </row>
    <row r="46931" spans="8:8">
      <c r="H46931" s="680" t="s">
        <v>6153</v>
      </c>
    </row>
    <row r="46932" spans="8:8">
      <c r="H46932" s="680" t="s">
        <v>6153</v>
      </c>
    </row>
    <row r="46933" spans="8:8">
      <c r="H46933" s="680" t="s">
        <v>6153</v>
      </c>
    </row>
    <row r="46934" spans="8:8">
      <c r="H46934" s="680" t="s">
        <v>6153</v>
      </c>
    </row>
    <row r="46935" spans="8:8">
      <c r="H46935" s="680" t="s">
        <v>6153</v>
      </c>
    </row>
    <row r="46936" spans="8:8">
      <c r="H46936" s="680" t="s">
        <v>6153</v>
      </c>
    </row>
    <row r="46937" spans="8:8">
      <c r="H46937" s="680" t="s">
        <v>6153</v>
      </c>
    </row>
    <row r="46938" spans="8:8">
      <c r="H46938" s="680" t="s">
        <v>6153</v>
      </c>
    </row>
    <row r="46939" spans="8:8">
      <c r="H46939" s="680" t="s">
        <v>6153</v>
      </c>
    </row>
    <row r="46940" spans="8:8">
      <c r="H46940" s="680" t="s">
        <v>6153</v>
      </c>
    </row>
    <row r="46941" spans="8:8">
      <c r="H46941" s="680" t="s">
        <v>6153</v>
      </c>
    </row>
    <row r="46942" spans="8:8">
      <c r="H46942" s="680" t="s">
        <v>6153</v>
      </c>
    </row>
    <row r="46943" spans="8:8">
      <c r="H46943" s="680" t="s">
        <v>6153</v>
      </c>
    </row>
    <row r="46944" spans="8:8">
      <c r="H46944" s="680" t="s">
        <v>6153</v>
      </c>
    </row>
    <row r="46945" spans="8:8">
      <c r="H46945" s="680" t="s">
        <v>6153</v>
      </c>
    </row>
    <row r="46946" spans="8:8">
      <c r="H46946" s="680" t="s">
        <v>6153</v>
      </c>
    </row>
    <row r="46947" spans="8:8">
      <c r="H46947" s="680" t="s">
        <v>6153</v>
      </c>
    </row>
    <row r="46948" spans="8:8">
      <c r="H46948" s="680" t="s">
        <v>6153</v>
      </c>
    </row>
    <row r="46949" spans="8:8">
      <c r="H46949" s="680" t="s">
        <v>6153</v>
      </c>
    </row>
    <row r="46950" spans="8:8">
      <c r="H46950" s="680" t="s">
        <v>6153</v>
      </c>
    </row>
    <row r="46951" spans="8:8">
      <c r="H46951" s="680" t="s">
        <v>6153</v>
      </c>
    </row>
    <row r="46952" spans="8:8">
      <c r="H46952" s="680" t="s">
        <v>6153</v>
      </c>
    </row>
    <row r="46953" spans="8:8">
      <c r="H46953" s="680" t="s">
        <v>6153</v>
      </c>
    </row>
    <row r="46954" spans="8:8">
      <c r="H46954" s="680" t="s">
        <v>6153</v>
      </c>
    </row>
    <row r="46955" spans="8:8">
      <c r="H46955" s="680" t="s">
        <v>6153</v>
      </c>
    </row>
    <row r="46956" spans="8:8">
      <c r="H46956" s="680" t="s">
        <v>6153</v>
      </c>
    </row>
    <row r="46957" spans="8:8">
      <c r="H46957" s="680" t="s">
        <v>6153</v>
      </c>
    </row>
    <row r="46958" spans="8:8">
      <c r="H46958" s="680" t="s">
        <v>6153</v>
      </c>
    </row>
    <row r="46959" spans="8:8">
      <c r="H46959" s="680" t="s">
        <v>6153</v>
      </c>
    </row>
    <row r="46960" spans="8:8">
      <c r="H46960" s="680" t="s">
        <v>6153</v>
      </c>
    </row>
    <row r="46961" spans="8:8">
      <c r="H46961" s="680" t="s">
        <v>6153</v>
      </c>
    </row>
    <row r="46962" spans="8:8">
      <c r="H46962" s="680" t="s">
        <v>6153</v>
      </c>
    </row>
    <row r="46963" spans="8:8">
      <c r="H46963" s="680" t="s">
        <v>6153</v>
      </c>
    </row>
    <row r="46964" spans="8:8">
      <c r="H46964" s="680" t="s">
        <v>6153</v>
      </c>
    </row>
    <row r="46965" spans="8:8">
      <c r="H46965" s="680" t="s">
        <v>6153</v>
      </c>
    </row>
    <row r="46966" spans="8:8">
      <c r="H46966" s="680" t="s">
        <v>6153</v>
      </c>
    </row>
    <row r="46967" spans="8:8">
      <c r="H46967" s="680" t="s">
        <v>6153</v>
      </c>
    </row>
    <row r="46968" spans="8:8">
      <c r="H46968" s="680" t="s">
        <v>6153</v>
      </c>
    </row>
    <row r="46969" spans="8:8">
      <c r="H46969" s="680" t="s">
        <v>6153</v>
      </c>
    </row>
    <row r="46970" spans="8:8">
      <c r="H46970" s="680" t="s">
        <v>6153</v>
      </c>
    </row>
    <row r="46971" spans="8:8">
      <c r="H46971" s="680" t="s">
        <v>6153</v>
      </c>
    </row>
    <row r="46972" spans="8:8">
      <c r="H46972" s="680" t="s">
        <v>6153</v>
      </c>
    </row>
    <row r="46973" spans="8:8">
      <c r="H46973" s="680" t="s">
        <v>6153</v>
      </c>
    </row>
    <row r="46974" spans="8:8">
      <c r="H46974" s="680" t="s">
        <v>6153</v>
      </c>
    </row>
    <row r="46975" spans="8:8">
      <c r="H46975" s="680" t="s">
        <v>6153</v>
      </c>
    </row>
    <row r="46976" spans="8:8">
      <c r="H46976" s="680" t="s">
        <v>6153</v>
      </c>
    </row>
    <row r="46977" spans="8:8">
      <c r="H46977" s="680" t="s">
        <v>6153</v>
      </c>
    </row>
    <row r="46978" spans="8:8">
      <c r="H46978" s="680" t="s">
        <v>6153</v>
      </c>
    </row>
    <row r="46979" spans="8:8">
      <c r="H46979" s="680" t="s">
        <v>6153</v>
      </c>
    </row>
    <row r="46980" spans="8:8">
      <c r="H46980" s="680" t="s">
        <v>6153</v>
      </c>
    </row>
    <row r="46981" spans="8:8">
      <c r="H46981" s="680" t="s">
        <v>6153</v>
      </c>
    </row>
    <row r="46982" spans="8:8">
      <c r="H46982" s="680" t="s">
        <v>6153</v>
      </c>
    </row>
    <row r="46983" spans="8:8">
      <c r="H46983" s="680" t="s">
        <v>6153</v>
      </c>
    </row>
    <row r="46984" spans="8:8">
      <c r="H46984" s="680" t="s">
        <v>6153</v>
      </c>
    </row>
    <row r="46985" spans="8:8">
      <c r="H46985" s="680" t="s">
        <v>6153</v>
      </c>
    </row>
    <row r="46986" spans="8:8">
      <c r="H46986" s="680" t="s">
        <v>6153</v>
      </c>
    </row>
    <row r="46987" spans="8:8">
      <c r="H46987" s="680" t="s">
        <v>6153</v>
      </c>
    </row>
    <row r="46988" spans="8:8">
      <c r="H46988" s="680" t="s">
        <v>6153</v>
      </c>
    </row>
    <row r="46989" spans="8:8">
      <c r="H46989" s="680" t="s">
        <v>6153</v>
      </c>
    </row>
    <row r="46990" spans="8:8">
      <c r="H46990" s="680" t="s">
        <v>6153</v>
      </c>
    </row>
    <row r="46991" spans="8:8">
      <c r="H46991" s="680" t="s">
        <v>6153</v>
      </c>
    </row>
    <row r="46992" spans="8:8">
      <c r="H46992" s="680" t="s">
        <v>6153</v>
      </c>
    </row>
    <row r="46993" spans="8:8">
      <c r="H46993" s="680" t="s">
        <v>6153</v>
      </c>
    </row>
    <row r="46994" spans="8:8">
      <c r="H46994" s="680" t="s">
        <v>6153</v>
      </c>
    </row>
    <row r="46995" spans="8:8">
      <c r="H46995" s="680" t="s">
        <v>6153</v>
      </c>
    </row>
    <row r="46996" spans="8:8">
      <c r="H46996" s="680" t="s">
        <v>6153</v>
      </c>
    </row>
    <row r="46997" spans="8:8">
      <c r="H46997" s="680" t="s">
        <v>6153</v>
      </c>
    </row>
    <row r="46998" spans="8:8">
      <c r="H46998" s="680" t="s">
        <v>6153</v>
      </c>
    </row>
    <row r="46999" spans="8:8">
      <c r="H46999" s="680" t="s">
        <v>6153</v>
      </c>
    </row>
    <row r="47000" spans="8:8">
      <c r="H47000" s="680" t="s">
        <v>6153</v>
      </c>
    </row>
    <row r="47001" spans="8:8">
      <c r="H47001" s="680" t="s">
        <v>6153</v>
      </c>
    </row>
    <row r="47002" spans="8:8">
      <c r="H47002" s="680" t="s">
        <v>6153</v>
      </c>
    </row>
    <row r="47003" spans="8:8">
      <c r="H47003" s="680" t="s">
        <v>6153</v>
      </c>
    </row>
    <row r="47004" spans="8:8">
      <c r="H47004" s="680" t="s">
        <v>6153</v>
      </c>
    </row>
    <row r="47005" spans="8:8">
      <c r="H47005" s="680" t="s">
        <v>6153</v>
      </c>
    </row>
    <row r="47006" spans="8:8">
      <c r="H47006" s="680" t="s">
        <v>6153</v>
      </c>
    </row>
    <row r="47007" spans="8:8">
      <c r="H47007" s="680" t="s">
        <v>6153</v>
      </c>
    </row>
    <row r="47008" spans="8:8">
      <c r="H47008" s="680" t="s">
        <v>6153</v>
      </c>
    </row>
    <row r="47009" spans="8:8">
      <c r="H47009" s="680" t="s">
        <v>6153</v>
      </c>
    </row>
    <row r="47010" spans="8:8">
      <c r="H47010" s="680" t="s">
        <v>6153</v>
      </c>
    </row>
    <row r="47011" spans="8:8">
      <c r="H47011" s="680" t="s">
        <v>6153</v>
      </c>
    </row>
    <row r="47012" spans="8:8">
      <c r="H47012" s="680" t="s">
        <v>6153</v>
      </c>
    </row>
    <row r="47013" spans="8:8">
      <c r="H47013" s="680" t="s">
        <v>6153</v>
      </c>
    </row>
    <row r="47014" spans="8:8">
      <c r="H47014" s="680" t="s">
        <v>6153</v>
      </c>
    </row>
    <row r="47015" spans="8:8">
      <c r="H47015" s="680" t="s">
        <v>6153</v>
      </c>
    </row>
    <row r="47016" spans="8:8">
      <c r="H47016" s="680" t="s">
        <v>6153</v>
      </c>
    </row>
    <row r="47017" spans="8:8">
      <c r="H47017" s="680" t="s">
        <v>6153</v>
      </c>
    </row>
    <row r="47018" spans="8:8">
      <c r="H47018" s="680" t="s">
        <v>6153</v>
      </c>
    </row>
    <row r="47019" spans="8:8">
      <c r="H47019" s="680" t="s">
        <v>6153</v>
      </c>
    </row>
    <row r="47020" spans="8:8">
      <c r="H47020" s="680" t="s">
        <v>6153</v>
      </c>
    </row>
    <row r="47021" spans="8:8">
      <c r="H47021" s="680" t="s">
        <v>6153</v>
      </c>
    </row>
    <row r="47022" spans="8:8">
      <c r="H47022" s="680" t="s">
        <v>6153</v>
      </c>
    </row>
    <row r="47023" spans="8:8">
      <c r="H47023" s="680" t="s">
        <v>6153</v>
      </c>
    </row>
    <row r="47024" spans="8:8">
      <c r="H47024" s="680" t="s">
        <v>6153</v>
      </c>
    </row>
    <row r="47025" spans="8:8">
      <c r="H47025" s="680" t="s">
        <v>6153</v>
      </c>
    </row>
    <row r="47026" spans="8:8">
      <c r="H47026" s="680" t="s">
        <v>6153</v>
      </c>
    </row>
    <row r="47027" spans="8:8">
      <c r="H47027" s="680" t="s">
        <v>6153</v>
      </c>
    </row>
    <row r="47028" spans="8:8">
      <c r="H47028" s="680" t="s">
        <v>6153</v>
      </c>
    </row>
    <row r="47029" spans="8:8">
      <c r="H47029" s="680" t="s">
        <v>6153</v>
      </c>
    </row>
    <row r="47030" spans="8:8">
      <c r="H47030" s="680" t="s">
        <v>6153</v>
      </c>
    </row>
    <row r="47031" spans="8:8">
      <c r="H47031" s="680" t="s">
        <v>6153</v>
      </c>
    </row>
    <row r="47032" spans="8:8">
      <c r="H47032" s="680" t="s">
        <v>6153</v>
      </c>
    </row>
    <row r="47033" spans="8:8">
      <c r="H47033" s="680" t="s">
        <v>6153</v>
      </c>
    </row>
    <row r="47034" spans="8:8">
      <c r="H47034" s="680" t="s">
        <v>6153</v>
      </c>
    </row>
    <row r="47035" spans="8:8">
      <c r="H47035" s="680" t="s">
        <v>6153</v>
      </c>
    </row>
    <row r="47036" spans="8:8">
      <c r="H47036" s="680" t="s">
        <v>6153</v>
      </c>
    </row>
    <row r="47037" spans="8:8">
      <c r="H47037" s="680" t="s">
        <v>6153</v>
      </c>
    </row>
    <row r="47038" spans="8:8">
      <c r="H47038" s="680" t="s">
        <v>6153</v>
      </c>
    </row>
    <row r="47039" spans="8:8">
      <c r="H47039" s="680" t="s">
        <v>6153</v>
      </c>
    </row>
    <row r="47040" spans="8:8">
      <c r="H47040" s="680" t="s">
        <v>6153</v>
      </c>
    </row>
    <row r="47041" spans="8:8">
      <c r="H47041" s="680" t="s">
        <v>6153</v>
      </c>
    </row>
    <row r="47042" spans="8:8">
      <c r="H47042" s="680" t="s">
        <v>6153</v>
      </c>
    </row>
    <row r="47043" spans="8:8">
      <c r="H47043" s="680" t="s">
        <v>6153</v>
      </c>
    </row>
    <row r="47044" spans="8:8">
      <c r="H47044" s="680" t="s">
        <v>6153</v>
      </c>
    </row>
    <row r="47045" spans="8:8">
      <c r="H47045" s="680" t="s">
        <v>6153</v>
      </c>
    </row>
    <row r="47046" spans="8:8">
      <c r="H47046" s="680" t="s">
        <v>6153</v>
      </c>
    </row>
    <row r="47047" spans="8:8">
      <c r="H47047" s="680" t="s">
        <v>6153</v>
      </c>
    </row>
    <row r="47048" spans="8:8">
      <c r="H47048" s="680" t="s">
        <v>6153</v>
      </c>
    </row>
    <row r="47049" spans="8:8">
      <c r="H47049" s="680" t="s">
        <v>6153</v>
      </c>
    </row>
    <row r="47050" spans="8:8">
      <c r="H47050" s="680" t="s">
        <v>6153</v>
      </c>
    </row>
    <row r="47051" spans="8:8">
      <c r="H47051" s="680" t="s">
        <v>6153</v>
      </c>
    </row>
    <row r="47052" spans="8:8">
      <c r="H47052" s="680" t="s">
        <v>6153</v>
      </c>
    </row>
    <row r="47053" spans="8:8">
      <c r="H47053" s="680" t="s">
        <v>6153</v>
      </c>
    </row>
    <row r="47054" spans="8:8">
      <c r="H47054" s="680" t="s">
        <v>6153</v>
      </c>
    </row>
    <row r="47055" spans="8:8">
      <c r="H47055" s="680" t="s">
        <v>6153</v>
      </c>
    </row>
    <row r="47056" spans="8:8">
      <c r="H47056" s="680" t="s">
        <v>6153</v>
      </c>
    </row>
    <row r="47057" spans="8:8">
      <c r="H47057" s="680" t="s">
        <v>6153</v>
      </c>
    </row>
    <row r="47058" spans="8:8">
      <c r="H47058" s="680" t="s">
        <v>6153</v>
      </c>
    </row>
    <row r="47059" spans="8:8">
      <c r="H47059" s="680" t="s">
        <v>6153</v>
      </c>
    </row>
    <row r="47060" spans="8:8">
      <c r="H47060" s="680" t="s">
        <v>6153</v>
      </c>
    </row>
    <row r="47061" spans="8:8">
      <c r="H47061" s="680" t="s">
        <v>6153</v>
      </c>
    </row>
    <row r="47062" spans="8:8">
      <c r="H47062" s="680" t="s">
        <v>6153</v>
      </c>
    </row>
    <row r="47063" spans="8:8">
      <c r="H47063" s="680" t="s">
        <v>6153</v>
      </c>
    </row>
    <row r="47064" spans="8:8">
      <c r="H47064" s="680" t="s">
        <v>6153</v>
      </c>
    </row>
    <row r="47065" spans="8:8">
      <c r="H47065" s="680" t="s">
        <v>6153</v>
      </c>
    </row>
    <row r="47066" spans="8:8">
      <c r="H47066" s="680" t="s">
        <v>6153</v>
      </c>
    </row>
    <row r="47067" spans="8:8">
      <c r="H47067" s="680" t="s">
        <v>6153</v>
      </c>
    </row>
    <row r="47068" spans="8:8">
      <c r="H47068" s="680" t="s">
        <v>6153</v>
      </c>
    </row>
    <row r="47069" spans="8:8">
      <c r="H47069" s="680" t="s">
        <v>6153</v>
      </c>
    </row>
    <row r="47070" spans="8:8">
      <c r="H47070" s="680" t="s">
        <v>6153</v>
      </c>
    </row>
    <row r="47071" spans="8:8">
      <c r="H47071" s="680" t="s">
        <v>6153</v>
      </c>
    </row>
    <row r="47072" spans="8:8">
      <c r="H47072" s="680" t="s">
        <v>6153</v>
      </c>
    </row>
    <row r="47073" spans="8:8">
      <c r="H47073" s="680" t="s">
        <v>6153</v>
      </c>
    </row>
    <row r="47074" spans="8:8">
      <c r="H47074" s="680" t="s">
        <v>6153</v>
      </c>
    </row>
    <row r="47075" spans="8:8">
      <c r="H47075" s="680" t="s">
        <v>6153</v>
      </c>
    </row>
    <row r="47076" spans="8:8">
      <c r="H47076" s="680" t="s">
        <v>6153</v>
      </c>
    </row>
    <row r="47077" spans="8:8">
      <c r="H47077" s="680" t="s">
        <v>6153</v>
      </c>
    </row>
    <row r="47078" spans="8:8">
      <c r="H47078" s="680" t="s">
        <v>6153</v>
      </c>
    </row>
    <row r="47079" spans="8:8">
      <c r="H47079" s="680" t="s">
        <v>6153</v>
      </c>
    </row>
    <row r="47080" spans="8:8">
      <c r="H47080" s="680" t="s">
        <v>6153</v>
      </c>
    </row>
    <row r="47081" spans="8:8">
      <c r="H47081" s="680" t="s">
        <v>6153</v>
      </c>
    </row>
    <row r="47082" spans="8:8">
      <c r="H47082" s="680" t="s">
        <v>6153</v>
      </c>
    </row>
    <row r="47083" spans="8:8">
      <c r="H47083" s="680" t="s">
        <v>6153</v>
      </c>
    </row>
    <row r="47084" spans="8:8">
      <c r="H47084" s="680" t="s">
        <v>6153</v>
      </c>
    </row>
    <row r="47085" spans="8:8">
      <c r="H47085" s="680" t="s">
        <v>6153</v>
      </c>
    </row>
    <row r="47086" spans="8:8">
      <c r="H47086" s="680" t="s">
        <v>6153</v>
      </c>
    </row>
    <row r="47087" spans="8:8">
      <c r="H47087" s="680" t="s">
        <v>6153</v>
      </c>
    </row>
    <row r="47088" spans="8:8">
      <c r="H47088" s="680" t="s">
        <v>6153</v>
      </c>
    </row>
    <row r="47089" spans="8:8">
      <c r="H47089" s="680" t="s">
        <v>6153</v>
      </c>
    </row>
    <row r="47090" spans="8:8">
      <c r="H47090" s="680" t="s">
        <v>6153</v>
      </c>
    </row>
    <row r="47091" spans="8:8">
      <c r="H47091" s="680" t="s">
        <v>6153</v>
      </c>
    </row>
    <row r="47092" spans="8:8">
      <c r="H47092" s="680" t="s">
        <v>6153</v>
      </c>
    </row>
    <row r="47093" spans="8:8">
      <c r="H47093" s="680" t="s">
        <v>6153</v>
      </c>
    </row>
    <row r="47094" spans="8:8">
      <c r="H47094" s="680" t="s">
        <v>6153</v>
      </c>
    </row>
    <row r="47095" spans="8:8">
      <c r="H47095" s="680" t="s">
        <v>6153</v>
      </c>
    </row>
    <row r="47096" spans="8:8">
      <c r="H47096" s="680" t="s">
        <v>6153</v>
      </c>
    </row>
    <row r="47097" spans="8:8">
      <c r="H47097" s="680" t="s">
        <v>6153</v>
      </c>
    </row>
    <row r="47098" spans="8:8">
      <c r="H47098" s="680" t="s">
        <v>6153</v>
      </c>
    </row>
    <row r="47099" spans="8:8">
      <c r="H47099" s="680" t="s">
        <v>6153</v>
      </c>
    </row>
    <row r="47100" spans="8:8">
      <c r="H47100" s="680" t="s">
        <v>6153</v>
      </c>
    </row>
    <row r="47101" spans="8:8">
      <c r="H47101" s="680" t="s">
        <v>6153</v>
      </c>
    </row>
    <row r="47102" spans="8:8">
      <c r="H47102" s="680" t="s">
        <v>6153</v>
      </c>
    </row>
    <row r="47103" spans="8:8">
      <c r="H47103" s="680" t="s">
        <v>6153</v>
      </c>
    </row>
    <row r="47104" spans="8:8">
      <c r="H47104" s="680" t="s">
        <v>6153</v>
      </c>
    </row>
    <row r="47105" spans="8:8">
      <c r="H47105" s="680" t="s">
        <v>6153</v>
      </c>
    </row>
    <row r="47106" spans="8:8">
      <c r="H47106" s="680" t="s">
        <v>6153</v>
      </c>
    </row>
    <row r="47107" spans="8:8">
      <c r="H47107" s="680" t="s">
        <v>6153</v>
      </c>
    </row>
    <row r="47108" spans="8:8">
      <c r="H47108" s="680" t="s">
        <v>6153</v>
      </c>
    </row>
    <row r="47109" spans="8:8">
      <c r="H47109" s="680" t="s">
        <v>6153</v>
      </c>
    </row>
    <row r="47110" spans="8:8">
      <c r="H47110" s="680" t="s">
        <v>6153</v>
      </c>
    </row>
    <row r="47111" spans="8:8">
      <c r="H47111" s="680" t="s">
        <v>6153</v>
      </c>
    </row>
    <row r="47112" spans="8:8">
      <c r="H47112" s="680" t="s">
        <v>6153</v>
      </c>
    </row>
    <row r="47113" spans="8:8">
      <c r="H47113" s="680" t="s">
        <v>6153</v>
      </c>
    </row>
    <row r="47114" spans="8:8">
      <c r="H47114" s="680" t="s">
        <v>6153</v>
      </c>
    </row>
    <row r="47115" spans="8:8">
      <c r="H47115" s="680" t="s">
        <v>6153</v>
      </c>
    </row>
    <row r="47116" spans="8:8">
      <c r="H47116" s="680" t="s">
        <v>6153</v>
      </c>
    </row>
    <row r="47117" spans="8:8">
      <c r="H47117" s="680" t="s">
        <v>6153</v>
      </c>
    </row>
    <row r="47118" spans="8:8">
      <c r="H47118" s="680" t="s">
        <v>6153</v>
      </c>
    </row>
    <row r="47119" spans="8:8">
      <c r="H47119" s="680" t="s">
        <v>6153</v>
      </c>
    </row>
    <row r="47120" spans="8:8">
      <c r="H47120" s="680" t="s">
        <v>6153</v>
      </c>
    </row>
    <row r="47121" spans="8:8">
      <c r="H47121" s="680" t="s">
        <v>6153</v>
      </c>
    </row>
    <row r="47122" spans="8:8">
      <c r="H47122" s="680" t="s">
        <v>6153</v>
      </c>
    </row>
    <row r="47123" spans="8:8">
      <c r="H47123" s="680" t="s">
        <v>6153</v>
      </c>
    </row>
    <row r="47124" spans="8:8">
      <c r="H47124" s="680" t="s">
        <v>6153</v>
      </c>
    </row>
    <row r="47125" spans="8:8">
      <c r="H47125" s="680" t="s">
        <v>6153</v>
      </c>
    </row>
    <row r="47126" spans="8:8">
      <c r="H47126" s="680" t="s">
        <v>6153</v>
      </c>
    </row>
    <row r="47127" spans="8:8">
      <c r="H47127" s="680" t="s">
        <v>6153</v>
      </c>
    </row>
    <row r="47128" spans="8:8">
      <c r="H47128" s="680" t="s">
        <v>6153</v>
      </c>
    </row>
    <row r="47129" spans="8:8">
      <c r="H47129" s="680" t="s">
        <v>6153</v>
      </c>
    </row>
    <row r="47130" spans="8:8">
      <c r="H47130" s="680" t="s">
        <v>6153</v>
      </c>
    </row>
    <row r="47131" spans="8:8">
      <c r="H47131" s="680" t="s">
        <v>6153</v>
      </c>
    </row>
    <row r="47132" spans="8:8">
      <c r="H47132" s="680" t="s">
        <v>6153</v>
      </c>
    </row>
    <row r="47133" spans="8:8">
      <c r="H47133" s="680" t="s">
        <v>6153</v>
      </c>
    </row>
    <row r="47134" spans="8:8">
      <c r="H47134" s="680" t="s">
        <v>6153</v>
      </c>
    </row>
    <row r="47135" spans="8:8">
      <c r="H47135" s="680" t="s">
        <v>6153</v>
      </c>
    </row>
    <row r="47136" spans="8:8">
      <c r="H47136" s="680" t="s">
        <v>6153</v>
      </c>
    </row>
    <row r="47137" spans="8:8">
      <c r="H47137" s="680" t="s">
        <v>6153</v>
      </c>
    </row>
    <row r="47138" spans="8:8">
      <c r="H47138" s="680" t="s">
        <v>6153</v>
      </c>
    </row>
    <row r="47139" spans="8:8">
      <c r="H47139" s="680" t="s">
        <v>6153</v>
      </c>
    </row>
    <row r="47140" spans="8:8">
      <c r="H47140" s="680" t="s">
        <v>6153</v>
      </c>
    </row>
    <row r="47141" spans="8:8">
      <c r="H47141" s="680" t="s">
        <v>6153</v>
      </c>
    </row>
    <row r="47142" spans="8:8">
      <c r="H47142" s="680" t="s">
        <v>6153</v>
      </c>
    </row>
    <row r="47143" spans="8:8">
      <c r="H47143" s="680" t="s">
        <v>6153</v>
      </c>
    </row>
    <row r="47144" spans="8:8">
      <c r="H47144" s="680" t="s">
        <v>6153</v>
      </c>
    </row>
    <row r="47145" spans="8:8">
      <c r="H47145" s="680" t="s">
        <v>6153</v>
      </c>
    </row>
    <row r="47146" spans="8:8">
      <c r="H47146" s="680" t="s">
        <v>6153</v>
      </c>
    </row>
    <row r="47147" spans="8:8">
      <c r="H47147" s="680" t="s">
        <v>6153</v>
      </c>
    </row>
    <row r="47148" spans="8:8">
      <c r="H47148" s="680" t="s">
        <v>6153</v>
      </c>
    </row>
    <row r="47149" spans="8:8">
      <c r="H47149" s="680" t="s">
        <v>6153</v>
      </c>
    </row>
    <row r="47150" spans="8:8">
      <c r="H47150" s="680" t="s">
        <v>6153</v>
      </c>
    </row>
    <row r="47151" spans="8:8">
      <c r="H47151" s="680" t="s">
        <v>6153</v>
      </c>
    </row>
    <row r="47152" spans="8:8">
      <c r="H47152" s="680" t="s">
        <v>6153</v>
      </c>
    </row>
    <row r="47153" spans="8:8">
      <c r="H47153" s="680" t="s">
        <v>6153</v>
      </c>
    </row>
    <row r="47154" spans="8:8">
      <c r="H47154" s="680" t="s">
        <v>6153</v>
      </c>
    </row>
    <row r="47155" spans="8:8">
      <c r="H47155" s="680" t="s">
        <v>6153</v>
      </c>
    </row>
    <row r="47156" spans="8:8">
      <c r="H47156" s="680" t="s">
        <v>6153</v>
      </c>
    </row>
    <row r="47157" spans="8:8">
      <c r="H47157" s="680" t="s">
        <v>6153</v>
      </c>
    </row>
    <row r="47158" spans="8:8">
      <c r="H47158" s="680" t="s">
        <v>6153</v>
      </c>
    </row>
    <row r="47159" spans="8:8">
      <c r="H47159" s="680" t="s">
        <v>6153</v>
      </c>
    </row>
    <row r="47160" spans="8:8">
      <c r="H47160" s="680" t="s">
        <v>6153</v>
      </c>
    </row>
    <row r="47161" spans="8:8">
      <c r="H47161" s="680" t="s">
        <v>6153</v>
      </c>
    </row>
    <row r="47162" spans="8:8">
      <c r="H47162" s="680" t="s">
        <v>6153</v>
      </c>
    </row>
    <row r="47163" spans="8:8">
      <c r="H47163" s="680" t="s">
        <v>6153</v>
      </c>
    </row>
    <row r="47164" spans="8:8">
      <c r="H47164" s="680" t="s">
        <v>6153</v>
      </c>
    </row>
    <row r="47165" spans="8:8">
      <c r="H47165" s="680" t="s">
        <v>6153</v>
      </c>
    </row>
    <row r="47166" spans="8:8">
      <c r="H47166" s="680" t="s">
        <v>6153</v>
      </c>
    </row>
    <row r="47167" spans="8:8">
      <c r="H47167" s="680" t="s">
        <v>6153</v>
      </c>
    </row>
    <row r="47168" spans="8:8">
      <c r="H47168" s="680" t="s">
        <v>6153</v>
      </c>
    </row>
    <row r="47169" spans="8:8">
      <c r="H47169" s="680" t="s">
        <v>6153</v>
      </c>
    </row>
    <row r="47170" spans="8:8">
      <c r="H47170" s="680" t="s">
        <v>6153</v>
      </c>
    </row>
    <row r="47171" spans="8:8">
      <c r="H47171" s="680" t="s">
        <v>6153</v>
      </c>
    </row>
    <row r="47172" spans="8:8">
      <c r="H47172" s="680" t="s">
        <v>6153</v>
      </c>
    </row>
    <row r="47173" spans="8:8">
      <c r="H47173" s="680" t="s">
        <v>6153</v>
      </c>
    </row>
    <row r="47174" spans="8:8">
      <c r="H47174" s="680" t="s">
        <v>6153</v>
      </c>
    </row>
    <row r="47175" spans="8:8">
      <c r="H47175" s="680" t="s">
        <v>6153</v>
      </c>
    </row>
    <row r="47176" spans="8:8">
      <c r="H47176" s="680" t="s">
        <v>6153</v>
      </c>
    </row>
    <row r="47177" spans="8:8">
      <c r="H47177" s="680" t="s">
        <v>6153</v>
      </c>
    </row>
    <row r="47178" spans="8:8">
      <c r="H47178" s="680" t="s">
        <v>6153</v>
      </c>
    </row>
    <row r="47179" spans="8:8">
      <c r="H47179" s="680" t="s">
        <v>6153</v>
      </c>
    </row>
    <row r="47180" spans="8:8">
      <c r="H47180" s="680" t="s">
        <v>6153</v>
      </c>
    </row>
    <row r="47181" spans="8:8">
      <c r="H47181" s="680" t="s">
        <v>6153</v>
      </c>
    </row>
    <row r="47182" spans="8:8">
      <c r="H47182" s="680" t="s">
        <v>6153</v>
      </c>
    </row>
    <row r="47183" spans="8:8">
      <c r="H47183" s="680" t="s">
        <v>6153</v>
      </c>
    </row>
    <row r="47184" spans="8:8">
      <c r="H47184" s="680" t="s">
        <v>6153</v>
      </c>
    </row>
    <row r="47185" spans="8:8">
      <c r="H47185" s="680" t="s">
        <v>6153</v>
      </c>
    </row>
    <row r="47186" spans="8:8">
      <c r="H47186" s="680" t="s">
        <v>6153</v>
      </c>
    </row>
    <row r="47187" spans="8:8">
      <c r="H47187" s="680" t="s">
        <v>6153</v>
      </c>
    </row>
    <row r="47188" spans="8:8">
      <c r="H47188" s="680" t="s">
        <v>6153</v>
      </c>
    </row>
    <row r="47189" spans="8:8">
      <c r="H47189" s="680" t="s">
        <v>6153</v>
      </c>
    </row>
    <row r="47190" spans="8:8">
      <c r="H47190" s="680" t="s">
        <v>6153</v>
      </c>
    </row>
    <row r="47191" spans="8:8">
      <c r="H47191" s="680" t="s">
        <v>6153</v>
      </c>
    </row>
    <row r="47192" spans="8:8">
      <c r="H47192" s="680" t="s">
        <v>6153</v>
      </c>
    </row>
    <row r="47193" spans="8:8">
      <c r="H47193" s="680" t="s">
        <v>6153</v>
      </c>
    </row>
    <row r="47194" spans="8:8">
      <c r="H47194" s="680" t="s">
        <v>6153</v>
      </c>
    </row>
    <row r="47195" spans="8:8">
      <c r="H47195" s="680" t="s">
        <v>6153</v>
      </c>
    </row>
    <row r="47196" spans="8:8">
      <c r="H47196" s="680" t="s">
        <v>6153</v>
      </c>
    </row>
    <row r="47197" spans="8:8">
      <c r="H47197" s="680" t="s">
        <v>6153</v>
      </c>
    </row>
    <row r="47198" spans="8:8">
      <c r="H47198" s="680" t="s">
        <v>6153</v>
      </c>
    </row>
    <row r="47199" spans="8:8">
      <c r="H47199" s="680" t="s">
        <v>6153</v>
      </c>
    </row>
    <row r="47200" spans="8:8">
      <c r="H47200" s="680" t="s">
        <v>6153</v>
      </c>
    </row>
    <row r="47201" spans="8:8">
      <c r="H47201" s="680" t="s">
        <v>6153</v>
      </c>
    </row>
    <row r="47202" spans="8:8">
      <c r="H47202" s="680" t="s">
        <v>6153</v>
      </c>
    </row>
    <row r="47203" spans="8:8">
      <c r="H47203" s="680" t="s">
        <v>6153</v>
      </c>
    </row>
    <row r="47204" spans="8:8">
      <c r="H47204" s="680" t="s">
        <v>6153</v>
      </c>
    </row>
    <row r="47205" spans="8:8">
      <c r="H47205" s="680" t="s">
        <v>6153</v>
      </c>
    </row>
    <row r="47206" spans="8:8">
      <c r="H47206" s="680" t="s">
        <v>6153</v>
      </c>
    </row>
    <row r="47207" spans="8:8">
      <c r="H47207" s="680" t="s">
        <v>6153</v>
      </c>
    </row>
    <row r="47208" spans="8:8">
      <c r="H47208" s="680" t="s">
        <v>6153</v>
      </c>
    </row>
    <row r="47209" spans="8:8">
      <c r="H47209" s="680" t="s">
        <v>6153</v>
      </c>
    </row>
    <row r="47210" spans="8:8">
      <c r="H47210" s="680" t="s">
        <v>6153</v>
      </c>
    </row>
    <row r="47211" spans="8:8">
      <c r="H47211" s="680" t="s">
        <v>6153</v>
      </c>
    </row>
    <row r="47212" spans="8:8">
      <c r="H47212" s="680" t="s">
        <v>6153</v>
      </c>
    </row>
    <row r="47213" spans="8:8">
      <c r="H47213" s="680" t="s">
        <v>6153</v>
      </c>
    </row>
    <row r="47214" spans="8:8">
      <c r="H47214" s="680" t="s">
        <v>6153</v>
      </c>
    </row>
    <row r="47215" spans="8:8">
      <c r="H47215" s="680" t="s">
        <v>6153</v>
      </c>
    </row>
    <row r="47216" spans="8:8">
      <c r="H47216" s="680" t="s">
        <v>6153</v>
      </c>
    </row>
    <row r="47217" spans="8:8">
      <c r="H47217" s="680" t="s">
        <v>6153</v>
      </c>
    </row>
    <row r="47218" spans="8:8">
      <c r="H47218" s="680" t="s">
        <v>6153</v>
      </c>
    </row>
    <row r="47219" spans="8:8">
      <c r="H47219" s="680" t="s">
        <v>6153</v>
      </c>
    </row>
    <row r="47220" spans="8:8">
      <c r="H47220" s="680" t="s">
        <v>6153</v>
      </c>
    </row>
    <row r="47221" spans="8:8">
      <c r="H47221" s="680" t="s">
        <v>6153</v>
      </c>
    </row>
    <row r="47222" spans="8:8">
      <c r="H47222" s="680" t="s">
        <v>6153</v>
      </c>
    </row>
    <row r="47223" spans="8:8">
      <c r="H47223" s="680" t="s">
        <v>6153</v>
      </c>
    </row>
    <row r="47224" spans="8:8">
      <c r="H47224" s="680" t="s">
        <v>6153</v>
      </c>
    </row>
    <row r="47225" spans="8:8">
      <c r="H47225" s="680" t="s">
        <v>6153</v>
      </c>
    </row>
    <row r="47226" spans="8:8">
      <c r="H47226" s="680" t="s">
        <v>6153</v>
      </c>
    </row>
    <row r="47227" spans="8:8">
      <c r="H47227" s="680" t="s">
        <v>6153</v>
      </c>
    </row>
    <row r="47228" spans="8:8">
      <c r="H47228" s="680" t="s">
        <v>6153</v>
      </c>
    </row>
    <row r="47229" spans="8:8">
      <c r="H47229" s="680" t="s">
        <v>6153</v>
      </c>
    </row>
    <row r="47230" spans="8:8">
      <c r="H47230" s="680" t="s">
        <v>6153</v>
      </c>
    </row>
    <row r="47231" spans="8:8">
      <c r="H47231" s="680" t="s">
        <v>6153</v>
      </c>
    </row>
    <row r="47232" spans="8:8">
      <c r="H47232" s="680" t="s">
        <v>6153</v>
      </c>
    </row>
    <row r="47233" spans="8:8">
      <c r="H47233" s="680" t="s">
        <v>6153</v>
      </c>
    </row>
    <row r="47234" spans="8:8">
      <c r="H47234" s="680" t="s">
        <v>6153</v>
      </c>
    </row>
    <row r="47235" spans="8:8">
      <c r="H47235" s="680" t="s">
        <v>6153</v>
      </c>
    </row>
    <row r="47236" spans="8:8">
      <c r="H47236" s="680" t="s">
        <v>6153</v>
      </c>
    </row>
    <row r="47237" spans="8:8">
      <c r="H47237" s="680" t="s">
        <v>6153</v>
      </c>
    </row>
    <row r="47238" spans="8:8">
      <c r="H47238" s="680" t="s">
        <v>6153</v>
      </c>
    </row>
    <row r="47239" spans="8:8">
      <c r="H47239" s="680" t="s">
        <v>6153</v>
      </c>
    </row>
    <row r="47240" spans="8:8">
      <c r="H47240" s="680" t="s">
        <v>6153</v>
      </c>
    </row>
    <row r="47241" spans="8:8">
      <c r="H47241" s="680" t="s">
        <v>6153</v>
      </c>
    </row>
    <row r="47242" spans="8:8">
      <c r="H47242" s="680" t="s">
        <v>6153</v>
      </c>
    </row>
    <row r="47243" spans="8:8">
      <c r="H47243" s="680" t="s">
        <v>6153</v>
      </c>
    </row>
    <row r="47244" spans="8:8">
      <c r="H47244" s="680" t="s">
        <v>6153</v>
      </c>
    </row>
    <row r="47245" spans="8:8">
      <c r="H47245" s="680" t="s">
        <v>6153</v>
      </c>
    </row>
    <row r="47246" spans="8:8">
      <c r="H47246" s="680" t="s">
        <v>6153</v>
      </c>
    </row>
    <row r="47247" spans="8:8">
      <c r="H47247" s="680" t="s">
        <v>6153</v>
      </c>
    </row>
    <row r="47248" spans="8:8">
      <c r="H47248" s="680" t="s">
        <v>6153</v>
      </c>
    </row>
    <row r="47249" spans="8:8">
      <c r="H47249" s="680" t="s">
        <v>6153</v>
      </c>
    </row>
    <row r="47250" spans="8:8">
      <c r="H47250" s="680" t="s">
        <v>6153</v>
      </c>
    </row>
    <row r="47251" spans="8:8">
      <c r="H47251" s="680" t="s">
        <v>6153</v>
      </c>
    </row>
    <row r="47252" spans="8:8">
      <c r="H47252" s="680" t="s">
        <v>6153</v>
      </c>
    </row>
    <row r="47253" spans="8:8">
      <c r="H47253" s="680" t="s">
        <v>6153</v>
      </c>
    </row>
    <row r="47254" spans="8:8">
      <c r="H47254" s="680" t="s">
        <v>6153</v>
      </c>
    </row>
    <row r="47255" spans="8:8">
      <c r="H47255" s="680" t="s">
        <v>6153</v>
      </c>
    </row>
    <row r="47256" spans="8:8">
      <c r="H47256" s="680" t="s">
        <v>6153</v>
      </c>
    </row>
    <row r="47257" spans="8:8">
      <c r="H47257" s="680" t="s">
        <v>6153</v>
      </c>
    </row>
    <row r="47258" spans="8:8">
      <c r="H47258" s="680" t="s">
        <v>6153</v>
      </c>
    </row>
    <row r="47259" spans="8:8">
      <c r="H47259" s="680" t="s">
        <v>6153</v>
      </c>
    </row>
    <row r="47260" spans="8:8">
      <c r="H47260" s="680" t="s">
        <v>6153</v>
      </c>
    </row>
    <row r="47261" spans="8:8">
      <c r="H47261" s="680" t="s">
        <v>6153</v>
      </c>
    </row>
    <row r="47262" spans="8:8">
      <c r="H47262" s="680" t="s">
        <v>6153</v>
      </c>
    </row>
    <row r="47263" spans="8:8">
      <c r="H47263" s="680" t="s">
        <v>6153</v>
      </c>
    </row>
    <row r="47264" spans="8:8">
      <c r="H47264" s="680" t="s">
        <v>6153</v>
      </c>
    </row>
    <row r="47265" spans="8:8">
      <c r="H47265" s="680" t="s">
        <v>6153</v>
      </c>
    </row>
    <row r="47266" spans="8:8">
      <c r="H47266" s="680" t="s">
        <v>6153</v>
      </c>
    </row>
    <row r="47267" spans="8:8">
      <c r="H47267" s="680" t="s">
        <v>6153</v>
      </c>
    </row>
    <row r="47268" spans="8:8">
      <c r="H47268" s="680" t="s">
        <v>6153</v>
      </c>
    </row>
    <row r="47269" spans="8:8">
      <c r="H47269" s="680" t="s">
        <v>6153</v>
      </c>
    </row>
    <row r="47270" spans="8:8">
      <c r="H47270" s="680" t="s">
        <v>6153</v>
      </c>
    </row>
    <row r="47271" spans="8:8">
      <c r="H47271" s="680" t="s">
        <v>6153</v>
      </c>
    </row>
    <row r="47272" spans="8:8">
      <c r="H47272" s="680" t="s">
        <v>6153</v>
      </c>
    </row>
    <row r="47273" spans="8:8">
      <c r="H47273" s="680" t="s">
        <v>6153</v>
      </c>
    </row>
    <row r="47274" spans="8:8">
      <c r="H47274" s="680" t="s">
        <v>6153</v>
      </c>
    </row>
    <row r="47275" spans="8:8">
      <c r="H47275" s="680" t="s">
        <v>6153</v>
      </c>
    </row>
    <row r="47276" spans="8:8">
      <c r="H47276" s="680" t="s">
        <v>6153</v>
      </c>
    </row>
    <row r="47277" spans="8:8">
      <c r="H47277" s="680" t="s">
        <v>6153</v>
      </c>
    </row>
    <row r="47278" spans="8:8">
      <c r="H47278" s="680" t="s">
        <v>6153</v>
      </c>
    </row>
    <row r="47279" spans="8:8">
      <c r="H47279" s="680" t="s">
        <v>6153</v>
      </c>
    </row>
    <row r="47280" spans="8:8">
      <c r="H47280" s="680" t="s">
        <v>6153</v>
      </c>
    </row>
    <row r="47281" spans="8:8">
      <c r="H47281" s="680" t="s">
        <v>6153</v>
      </c>
    </row>
    <row r="47282" spans="8:8">
      <c r="H47282" s="680" t="s">
        <v>6153</v>
      </c>
    </row>
    <row r="47283" spans="8:8">
      <c r="H47283" s="680" t="s">
        <v>6153</v>
      </c>
    </row>
    <row r="47284" spans="8:8">
      <c r="H47284" s="680" t="s">
        <v>6153</v>
      </c>
    </row>
    <row r="47285" spans="8:8">
      <c r="H47285" s="680" t="s">
        <v>6153</v>
      </c>
    </row>
    <row r="47286" spans="8:8">
      <c r="H47286" s="680" t="s">
        <v>6153</v>
      </c>
    </row>
    <row r="47287" spans="8:8">
      <c r="H47287" s="680" t="s">
        <v>6153</v>
      </c>
    </row>
    <row r="47288" spans="8:8">
      <c r="H47288" s="680" t="s">
        <v>6153</v>
      </c>
    </row>
    <row r="47289" spans="8:8">
      <c r="H47289" s="680" t="s">
        <v>6153</v>
      </c>
    </row>
    <row r="47290" spans="8:8">
      <c r="H47290" s="680" t="s">
        <v>6153</v>
      </c>
    </row>
    <row r="47291" spans="8:8">
      <c r="H47291" s="680" t="s">
        <v>6153</v>
      </c>
    </row>
    <row r="47292" spans="8:8">
      <c r="H47292" s="680" t="s">
        <v>6153</v>
      </c>
    </row>
    <row r="47293" spans="8:8">
      <c r="H47293" s="680" t="s">
        <v>6153</v>
      </c>
    </row>
    <row r="47294" spans="8:8">
      <c r="H47294" s="680" t="s">
        <v>6153</v>
      </c>
    </row>
    <row r="47295" spans="8:8">
      <c r="H47295" s="680" t="s">
        <v>6153</v>
      </c>
    </row>
    <row r="47296" spans="8:8">
      <c r="H47296" s="680" t="s">
        <v>6153</v>
      </c>
    </row>
    <row r="47297" spans="8:8">
      <c r="H47297" s="680" t="s">
        <v>6153</v>
      </c>
    </row>
    <row r="47298" spans="8:8">
      <c r="H47298" s="680" t="s">
        <v>6153</v>
      </c>
    </row>
    <row r="47299" spans="8:8">
      <c r="H47299" s="680" t="s">
        <v>6153</v>
      </c>
    </row>
    <row r="47300" spans="8:8">
      <c r="H47300" s="680" t="s">
        <v>6153</v>
      </c>
    </row>
    <row r="47301" spans="8:8">
      <c r="H47301" s="680" t="s">
        <v>6153</v>
      </c>
    </row>
    <row r="47302" spans="8:8">
      <c r="H47302" s="680" t="s">
        <v>6153</v>
      </c>
    </row>
    <row r="47303" spans="8:8">
      <c r="H47303" s="680" t="s">
        <v>6153</v>
      </c>
    </row>
    <row r="47304" spans="8:8">
      <c r="H47304" s="680" t="s">
        <v>6153</v>
      </c>
    </row>
    <row r="47305" spans="8:8">
      <c r="H47305" s="680" t="s">
        <v>6153</v>
      </c>
    </row>
    <row r="47306" spans="8:8">
      <c r="H47306" s="680" t="s">
        <v>6153</v>
      </c>
    </row>
    <row r="47307" spans="8:8">
      <c r="H47307" s="680" t="s">
        <v>6153</v>
      </c>
    </row>
    <row r="47308" spans="8:8">
      <c r="H47308" s="680" t="s">
        <v>6153</v>
      </c>
    </row>
    <row r="47309" spans="8:8">
      <c r="H47309" s="680" t="s">
        <v>6153</v>
      </c>
    </row>
    <row r="47310" spans="8:8">
      <c r="H47310" s="680" t="s">
        <v>6153</v>
      </c>
    </row>
    <row r="47311" spans="8:8">
      <c r="H47311" s="680" t="s">
        <v>6153</v>
      </c>
    </row>
    <row r="47312" spans="8:8">
      <c r="H47312" s="680" t="s">
        <v>6153</v>
      </c>
    </row>
    <row r="47313" spans="8:8">
      <c r="H47313" s="680" t="s">
        <v>6153</v>
      </c>
    </row>
    <row r="47314" spans="8:8">
      <c r="H47314" s="680" t="s">
        <v>6153</v>
      </c>
    </row>
    <row r="47315" spans="8:8">
      <c r="H47315" s="680" t="s">
        <v>6153</v>
      </c>
    </row>
    <row r="47316" spans="8:8">
      <c r="H47316" s="680" t="s">
        <v>6153</v>
      </c>
    </row>
    <row r="47317" spans="8:8">
      <c r="H47317" s="680" t="s">
        <v>6153</v>
      </c>
    </row>
    <row r="47318" spans="8:8">
      <c r="H47318" s="680" t="s">
        <v>6153</v>
      </c>
    </row>
    <row r="47319" spans="8:8">
      <c r="H47319" s="680" t="s">
        <v>6153</v>
      </c>
    </row>
    <row r="47320" spans="8:8">
      <c r="H47320" s="680" t="s">
        <v>6153</v>
      </c>
    </row>
    <row r="47321" spans="8:8">
      <c r="H47321" s="680" t="s">
        <v>6153</v>
      </c>
    </row>
    <row r="47322" spans="8:8">
      <c r="H47322" s="680" t="s">
        <v>6153</v>
      </c>
    </row>
    <row r="47323" spans="8:8">
      <c r="H47323" s="680" t="s">
        <v>6153</v>
      </c>
    </row>
    <row r="47324" spans="8:8">
      <c r="H47324" s="680" t="s">
        <v>6153</v>
      </c>
    </row>
    <row r="47325" spans="8:8">
      <c r="H47325" s="680" t="s">
        <v>6153</v>
      </c>
    </row>
    <row r="47326" spans="8:8">
      <c r="H47326" s="680" t="s">
        <v>6153</v>
      </c>
    </row>
    <row r="47327" spans="8:8">
      <c r="H47327" s="680" t="s">
        <v>6153</v>
      </c>
    </row>
    <row r="47328" spans="8:8">
      <c r="H47328" s="680" t="s">
        <v>6153</v>
      </c>
    </row>
    <row r="47329" spans="8:8">
      <c r="H47329" s="680" t="s">
        <v>6153</v>
      </c>
    </row>
    <row r="47330" spans="8:8">
      <c r="H47330" s="680" t="s">
        <v>6153</v>
      </c>
    </row>
    <row r="47331" spans="8:8">
      <c r="H47331" s="680" t="s">
        <v>6153</v>
      </c>
    </row>
    <row r="47332" spans="8:8">
      <c r="H47332" s="680" t="s">
        <v>6153</v>
      </c>
    </row>
    <row r="47333" spans="8:8">
      <c r="H47333" s="680" t="s">
        <v>6153</v>
      </c>
    </row>
    <row r="47334" spans="8:8">
      <c r="H47334" s="680" t="s">
        <v>6153</v>
      </c>
    </row>
    <row r="47335" spans="8:8">
      <c r="H47335" s="680" t="s">
        <v>6153</v>
      </c>
    </row>
    <row r="47336" spans="8:8">
      <c r="H47336" s="680" t="s">
        <v>6153</v>
      </c>
    </row>
    <row r="47337" spans="8:8">
      <c r="H47337" s="680" t="s">
        <v>6153</v>
      </c>
    </row>
    <row r="47338" spans="8:8">
      <c r="H47338" s="680" t="s">
        <v>6153</v>
      </c>
    </row>
    <row r="47339" spans="8:8">
      <c r="H47339" s="680" t="s">
        <v>6153</v>
      </c>
    </row>
    <row r="47340" spans="8:8">
      <c r="H47340" s="680" t="s">
        <v>6153</v>
      </c>
    </row>
    <row r="47341" spans="8:8">
      <c r="H47341" s="680" t="s">
        <v>6153</v>
      </c>
    </row>
    <row r="47342" spans="8:8">
      <c r="H47342" s="680" t="s">
        <v>6153</v>
      </c>
    </row>
    <row r="47343" spans="8:8">
      <c r="H47343" s="680" t="s">
        <v>6153</v>
      </c>
    </row>
    <row r="47344" spans="8:8">
      <c r="H47344" s="680" t="s">
        <v>6153</v>
      </c>
    </row>
    <row r="47345" spans="8:8">
      <c r="H47345" s="680" t="s">
        <v>6153</v>
      </c>
    </row>
    <row r="47346" spans="8:8">
      <c r="H47346" s="680" t="s">
        <v>6153</v>
      </c>
    </row>
    <row r="47347" spans="8:8">
      <c r="H47347" s="680" t="s">
        <v>6153</v>
      </c>
    </row>
    <row r="47348" spans="8:8">
      <c r="H47348" s="680" t="s">
        <v>6153</v>
      </c>
    </row>
    <row r="47349" spans="8:8">
      <c r="H47349" s="680" t="s">
        <v>6153</v>
      </c>
    </row>
    <row r="47350" spans="8:8">
      <c r="H47350" s="680" t="s">
        <v>6153</v>
      </c>
    </row>
    <row r="47351" spans="8:8">
      <c r="H47351" s="680" t="s">
        <v>6153</v>
      </c>
    </row>
    <row r="47352" spans="8:8">
      <c r="H47352" s="680" t="s">
        <v>6153</v>
      </c>
    </row>
    <row r="47353" spans="8:8">
      <c r="H47353" s="680" t="s">
        <v>6153</v>
      </c>
    </row>
    <row r="47354" spans="8:8">
      <c r="H47354" s="680" t="s">
        <v>6153</v>
      </c>
    </row>
    <row r="47355" spans="8:8">
      <c r="H47355" s="680" t="s">
        <v>6153</v>
      </c>
    </row>
    <row r="47356" spans="8:8">
      <c r="H47356" s="680" t="s">
        <v>6153</v>
      </c>
    </row>
    <row r="47357" spans="8:8">
      <c r="H47357" s="680" t="s">
        <v>6153</v>
      </c>
    </row>
    <row r="47358" spans="8:8">
      <c r="H47358" s="680" t="s">
        <v>6153</v>
      </c>
    </row>
    <row r="47359" spans="8:8">
      <c r="H47359" s="680" t="s">
        <v>6153</v>
      </c>
    </row>
    <row r="47360" spans="8:8">
      <c r="H47360" s="680" t="s">
        <v>6153</v>
      </c>
    </row>
    <row r="47361" spans="8:8">
      <c r="H47361" s="680" t="s">
        <v>6153</v>
      </c>
    </row>
    <row r="47362" spans="8:8">
      <c r="H47362" s="680" t="s">
        <v>6153</v>
      </c>
    </row>
    <row r="47363" spans="8:8">
      <c r="H47363" s="680" t="s">
        <v>6153</v>
      </c>
    </row>
    <row r="47364" spans="8:8">
      <c r="H47364" s="680" t="s">
        <v>6153</v>
      </c>
    </row>
    <row r="47365" spans="8:8">
      <c r="H47365" s="680" t="s">
        <v>6153</v>
      </c>
    </row>
    <row r="47366" spans="8:8">
      <c r="H47366" s="680" t="s">
        <v>6153</v>
      </c>
    </row>
    <row r="47367" spans="8:8">
      <c r="H47367" s="680" t="s">
        <v>6153</v>
      </c>
    </row>
    <row r="47368" spans="8:8">
      <c r="H47368" s="680" t="s">
        <v>6153</v>
      </c>
    </row>
    <row r="47369" spans="8:8">
      <c r="H47369" s="680" t="s">
        <v>6153</v>
      </c>
    </row>
    <row r="47370" spans="8:8">
      <c r="H47370" s="680" t="s">
        <v>6153</v>
      </c>
    </row>
    <row r="47371" spans="8:8">
      <c r="H47371" s="680" t="s">
        <v>6153</v>
      </c>
    </row>
    <row r="47372" spans="8:8">
      <c r="H47372" s="680" t="s">
        <v>6153</v>
      </c>
    </row>
    <row r="47373" spans="8:8">
      <c r="H47373" s="680" t="s">
        <v>6153</v>
      </c>
    </row>
    <row r="47374" spans="8:8">
      <c r="H47374" s="680" t="s">
        <v>6153</v>
      </c>
    </row>
    <row r="47375" spans="8:8">
      <c r="H47375" s="680" t="s">
        <v>6153</v>
      </c>
    </row>
    <row r="47376" spans="8:8">
      <c r="H47376" s="680" t="s">
        <v>6153</v>
      </c>
    </row>
    <row r="47377" spans="8:8">
      <c r="H47377" s="680" t="s">
        <v>6153</v>
      </c>
    </row>
    <row r="47378" spans="8:8">
      <c r="H47378" s="680" t="s">
        <v>6153</v>
      </c>
    </row>
    <row r="47379" spans="8:8">
      <c r="H47379" s="680" t="s">
        <v>6153</v>
      </c>
    </row>
    <row r="47380" spans="8:8">
      <c r="H47380" s="680" t="s">
        <v>6153</v>
      </c>
    </row>
    <row r="47381" spans="8:8">
      <c r="H47381" s="680" t="s">
        <v>6153</v>
      </c>
    </row>
    <row r="47382" spans="8:8">
      <c r="H47382" s="680" t="s">
        <v>6153</v>
      </c>
    </row>
    <row r="47383" spans="8:8">
      <c r="H47383" s="680" t="s">
        <v>6153</v>
      </c>
    </row>
    <row r="47384" spans="8:8">
      <c r="H47384" s="680" t="s">
        <v>6153</v>
      </c>
    </row>
    <row r="47385" spans="8:8">
      <c r="H47385" s="680" t="s">
        <v>6153</v>
      </c>
    </row>
    <row r="47386" spans="8:8">
      <c r="H47386" s="680" t="s">
        <v>6153</v>
      </c>
    </row>
    <row r="47387" spans="8:8">
      <c r="H47387" s="680" t="s">
        <v>6153</v>
      </c>
    </row>
    <row r="47388" spans="8:8">
      <c r="H47388" s="680" t="s">
        <v>6153</v>
      </c>
    </row>
    <row r="47389" spans="8:8">
      <c r="H47389" s="680" t="s">
        <v>6153</v>
      </c>
    </row>
    <row r="47390" spans="8:8">
      <c r="H47390" s="680" t="s">
        <v>6153</v>
      </c>
    </row>
    <row r="47391" spans="8:8">
      <c r="H47391" s="680" t="s">
        <v>6153</v>
      </c>
    </row>
    <row r="47392" spans="8:8">
      <c r="H47392" s="680" t="s">
        <v>6153</v>
      </c>
    </row>
    <row r="47393" spans="8:8">
      <c r="H47393" s="680" t="s">
        <v>6153</v>
      </c>
    </row>
    <row r="47394" spans="8:8">
      <c r="H47394" s="680" t="s">
        <v>6153</v>
      </c>
    </row>
    <row r="47395" spans="8:8">
      <c r="H47395" s="680" t="s">
        <v>6153</v>
      </c>
    </row>
    <row r="47396" spans="8:8">
      <c r="H47396" s="680" t="s">
        <v>6153</v>
      </c>
    </row>
    <row r="47397" spans="8:8">
      <c r="H47397" s="680" t="s">
        <v>6153</v>
      </c>
    </row>
    <row r="47398" spans="8:8">
      <c r="H47398" s="680" t="s">
        <v>6153</v>
      </c>
    </row>
    <row r="47399" spans="8:8">
      <c r="H47399" s="680" t="s">
        <v>6153</v>
      </c>
    </row>
    <row r="47400" spans="8:8">
      <c r="H47400" s="680" t="s">
        <v>6153</v>
      </c>
    </row>
    <row r="47401" spans="8:8">
      <c r="H47401" s="680" t="s">
        <v>6153</v>
      </c>
    </row>
    <row r="47402" spans="8:8">
      <c r="H47402" s="680" t="s">
        <v>6153</v>
      </c>
    </row>
    <row r="47403" spans="8:8">
      <c r="H47403" s="680" t="s">
        <v>6153</v>
      </c>
    </row>
    <row r="47404" spans="8:8">
      <c r="H47404" s="680" t="s">
        <v>6153</v>
      </c>
    </row>
    <row r="47405" spans="8:8">
      <c r="H47405" s="680" t="s">
        <v>6153</v>
      </c>
    </row>
    <row r="47406" spans="8:8">
      <c r="H47406" s="680" t="s">
        <v>6153</v>
      </c>
    </row>
    <row r="47407" spans="8:8">
      <c r="H47407" s="680" t="s">
        <v>6153</v>
      </c>
    </row>
    <row r="47408" spans="8:8">
      <c r="H47408" s="680" t="s">
        <v>6153</v>
      </c>
    </row>
    <row r="47409" spans="8:8">
      <c r="H47409" s="680" t="s">
        <v>6153</v>
      </c>
    </row>
    <row r="47410" spans="8:8">
      <c r="H47410" s="680" t="s">
        <v>6153</v>
      </c>
    </row>
    <row r="47411" spans="8:8">
      <c r="H47411" s="680" t="s">
        <v>6153</v>
      </c>
    </row>
    <row r="47412" spans="8:8">
      <c r="H47412" s="680" t="s">
        <v>6153</v>
      </c>
    </row>
    <row r="47413" spans="8:8">
      <c r="H47413" s="680" t="s">
        <v>6153</v>
      </c>
    </row>
    <row r="47414" spans="8:8">
      <c r="H47414" s="680" t="s">
        <v>6153</v>
      </c>
    </row>
    <row r="47415" spans="8:8">
      <c r="H47415" s="680" t="s">
        <v>6153</v>
      </c>
    </row>
    <row r="47416" spans="8:8">
      <c r="H47416" s="680" t="s">
        <v>6153</v>
      </c>
    </row>
    <row r="47417" spans="8:8">
      <c r="H47417" s="680" t="s">
        <v>6153</v>
      </c>
    </row>
    <row r="47418" spans="8:8">
      <c r="H47418" s="680" t="s">
        <v>6153</v>
      </c>
    </row>
    <row r="47419" spans="8:8">
      <c r="H47419" s="680" t="s">
        <v>6153</v>
      </c>
    </row>
    <row r="47420" spans="8:8">
      <c r="H47420" s="680" t="s">
        <v>6153</v>
      </c>
    </row>
    <row r="47421" spans="8:8">
      <c r="H47421" s="680" t="s">
        <v>6153</v>
      </c>
    </row>
    <row r="47422" spans="8:8">
      <c r="H47422" s="680" t="s">
        <v>6153</v>
      </c>
    </row>
    <row r="47423" spans="8:8">
      <c r="H47423" s="680" t="s">
        <v>6153</v>
      </c>
    </row>
    <row r="47424" spans="8:8">
      <c r="H47424" s="680" t="s">
        <v>6153</v>
      </c>
    </row>
    <row r="47425" spans="8:8">
      <c r="H47425" s="680" t="s">
        <v>6153</v>
      </c>
    </row>
    <row r="47426" spans="8:8">
      <c r="H47426" s="680" t="s">
        <v>6153</v>
      </c>
    </row>
    <row r="47427" spans="8:8">
      <c r="H47427" s="680" t="s">
        <v>6153</v>
      </c>
    </row>
    <row r="47428" spans="8:8">
      <c r="H47428" s="680" t="s">
        <v>6153</v>
      </c>
    </row>
    <row r="47429" spans="8:8">
      <c r="H47429" s="680" t="s">
        <v>6153</v>
      </c>
    </row>
    <row r="47430" spans="8:8">
      <c r="H47430" s="680" t="s">
        <v>6153</v>
      </c>
    </row>
    <row r="47431" spans="8:8">
      <c r="H47431" s="680" t="s">
        <v>6153</v>
      </c>
    </row>
    <row r="47432" spans="8:8">
      <c r="H47432" s="680" t="s">
        <v>6153</v>
      </c>
    </row>
    <row r="47433" spans="8:8">
      <c r="H47433" s="680" t="s">
        <v>6153</v>
      </c>
    </row>
    <row r="47434" spans="8:8">
      <c r="H47434" s="680" t="s">
        <v>6153</v>
      </c>
    </row>
    <row r="47435" spans="8:8">
      <c r="H47435" s="680" t="s">
        <v>6153</v>
      </c>
    </row>
    <row r="47436" spans="8:8">
      <c r="H47436" s="680" t="s">
        <v>6153</v>
      </c>
    </row>
    <row r="47437" spans="8:8">
      <c r="H47437" s="680" t="s">
        <v>6153</v>
      </c>
    </row>
    <row r="47438" spans="8:8">
      <c r="H47438" s="680" t="s">
        <v>6153</v>
      </c>
    </row>
    <row r="47439" spans="8:8">
      <c r="H47439" s="680" t="s">
        <v>6153</v>
      </c>
    </row>
    <row r="47440" spans="8:8">
      <c r="H47440" s="680" t="s">
        <v>6153</v>
      </c>
    </row>
    <row r="47441" spans="8:8">
      <c r="H47441" s="680" t="s">
        <v>6153</v>
      </c>
    </row>
    <row r="47442" spans="8:8">
      <c r="H47442" s="680" t="s">
        <v>6153</v>
      </c>
    </row>
    <row r="47443" spans="8:8">
      <c r="H47443" s="680" t="s">
        <v>6153</v>
      </c>
    </row>
    <row r="47444" spans="8:8">
      <c r="H47444" s="680" t="s">
        <v>6153</v>
      </c>
    </row>
    <row r="47445" spans="8:8">
      <c r="H47445" s="680" t="s">
        <v>6153</v>
      </c>
    </row>
    <row r="47446" spans="8:8">
      <c r="H47446" s="680" t="s">
        <v>6153</v>
      </c>
    </row>
    <row r="47447" spans="8:8">
      <c r="H47447" s="680" t="s">
        <v>6153</v>
      </c>
    </row>
    <row r="47448" spans="8:8">
      <c r="H47448" s="680" t="s">
        <v>6153</v>
      </c>
    </row>
    <row r="47449" spans="8:8">
      <c r="H47449" s="680" t="s">
        <v>6153</v>
      </c>
    </row>
    <row r="47450" spans="8:8">
      <c r="H47450" s="680" t="s">
        <v>6153</v>
      </c>
    </row>
    <row r="47451" spans="8:8">
      <c r="H47451" s="680" t="s">
        <v>6153</v>
      </c>
    </row>
    <row r="47452" spans="8:8">
      <c r="H47452" s="680" t="s">
        <v>6153</v>
      </c>
    </row>
    <row r="47453" spans="8:8">
      <c r="H47453" s="680" t="s">
        <v>6153</v>
      </c>
    </row>
    <row r="47454" spans="8:8">
      <c r="H47454" s="680" t="s">
        <v>6153</v>
      </c>
    </row>
    <row r="47455" spans="8:8">
      <c r="H47455" s="680" t="s">
        <v>6153</v>
      </c>
    </row>
    <row r="47456" spans="8:8">
      <c r="H47456" s="680" t="s">
        <v>6153</v>
      </c>
    </row>
    <row r="47457" spans="8:8">
      <c r="H47457" s="680" t="s">
        <v>6153</v>
      </c>
    </row>
    <row r="47458" spans="8:8">
      <c r="H47458" s="680" t="s">
        <v>6153</v>
      </c>
    </row>
    <row r="47459" spans="8:8">
      <c r="H47459" s="680" t="s">
        <v>6153</v>
      </c>
    </row>
    <row r="47460" spans="8:8">
      <c r="H47460" s="680" t="s">
        <v>6153</v>
      </c>
    </row>
    <row r="47461" spans="8:8">
      <c r="H47461" s="680" t="s">
        <v>6153</v>
      </c>
    </row>
    <row r="47462" spans="8:8">
      <c r="H47462" s="680" t="s">
        <v>6153</v>
      </c>
    </row>
    <row r="47463" spans="8:8">
      <c r="H47463" s="680" t="s">
        <v>6153</v>
      </c>
    </row>
    <row r="47464" spans="8:8">
      <c r="H47464" s="680" t="s">
        <v>6153</v>
      </c>
    </row>
    <row r="47465" spans="8:8">
      <c r="H47465" s="680" t="s">
        <v>6153</v>
      </c>
    </row>
    <row r="47466" spans="8:8">
      <c r="H47466" s="680" t="s">
        <v>6153</v>
      </c>
    </row>
    <row r="47467" spans="8:8">
      <c r="H47467" s="680" t="s">
        <v>6153</v>
      </c>
    </row>
    <row r="47468" spans="8:8">
      <c r="H47468" s="680" t="s">
        <v>6153</v>
      </c>
    </row>
    <row r="47469" spans="8:8">
      <c r="H47469" s="680" t="s">
        <v>6153</v>
      </c>
    </row>
    <row r="47470" spans="8:8">
      <c r="H47470" s="680" t="s">
        <v>6153</v>
      </c>
    </row>
    <row r="47471" spans="8:8">
      <c r="H47471" s="680" t="s">
        <v>6153</v>
      </c>
    </row>
    <row r="47472" spans="8:8">
      <c r="H47472" s="680" t="s">
        <v>6153</v>
      </c>
    </row>
    <row r="47473" spans="8:8">
      <c r="H47473" s="680" t="s">
        <v>6153</v>
      </c>
    </row>
    <row r="47474" spans="8:8">
      <c r="H47474" s="680" t="s">
        <v>6153</v>
      </c>
    </row>
    <row r="47475" spans="8:8">
      <c r="H47475" s="680" t="s">
        <v>6153</v>
      </c>
    </row>
    <row r="47476" spans="8:8">
      <c r="H47476" s="680" t="s">
        <v>6153</v>
      </c>
    </row>
    <row r="47477" spans="8:8">
      <c r="H47477" s="680" t="s">
        <v>6153</v>
      </c>
    </row>
    <row r="47478" spans="8:8">
      <c r="H47478" s="680" t="s">
        <v>6153</v>
      </c>
    </row>
    <row r="47479" spans="8:8">
      <c r="H47479" s="680" t="s">
        <v>6153</v>
      </c>
    </row>
    <row r="47480" spans="8:8">
      <c r="H47480" s="680" t="s">
        <v>6153</v>
      </c>
    </row>
    <row r="47481" spans="8:8">
      <c r="H47481" s="680" t="s">
        <v>6153</v>
      </c>
    </row>
    <row r="47482" spans="8:8">
      <c r="H47482" s="680" t="s">
        <v>6153</v>
      </c>
    </row>
    <row r="47483" spans="8:8">
      <c r="H47483" s="680" t="s">
        <v>6153</v>
      </c>
    </row>
    <row r="47484" spans="8:8">
      <c r="H47484" s="680" t="s">
        <v>6153</v>
      </c>
    </row>
    <row r="47485" spans="8:8">
      <c r="H47485" s="680" t="s">
        <v>6153</v>
      </c>
    </row>
    <row r="47486" spans="8:8">
      <c r="H47486" s="680" t="s">
        <v>6153</v>
      </c>
    </row>
    <row r="47487" spans="8:8">
      <c r="H47487" s="680" t="s">
        <v>6153</v>
      </c>
    </row>
    <row r="47488" spans="8:8">
      <c r="H47488" s="680" t="s">
        <v>6153</v>
      </c>
    </row>
    <row r="47489" spans="8:8">
      <c r="H47489" s="680" t="s">
        <v>6153</v>
      </c>
    </row>
    <row r="47490" spans="8:8">
      <c r="H47490" s="680" t="s">
        <v>6153</v>
      </c>
    </row>
    <row r="47491" spans="8:8">
      <c r="H47491" s="680" t="s">
        <v>6153</v>
      </c>
    </row>
    <row r="47492" spans="8:8">
      <c r="H47492" s="680" t="s">
        <v>6153</v>
      </c>
    </row>
    <row r="47493" spans="8:8">
      <c r="H47493" s="680" t="s">
        <v>6153</v>
      </c>
    </row>
    <row r="47494" spans="8:8">
      <c r="H47494" s="680" t="s">
        <v>6153</v>
      </c>
    </row>
    <row r="47495" spans="8:8">
      <c r="H47495" s="680" t="s">
        <v>6153</v>
      </c>
    </row>
    <row r="47496" spans="8:8">
      <c r="H47496" s="680" t="s">
        <v>6153</v>
      </c>
    </row>
    <row r="47497" spans="8:8">
      <c r="H47497" s="680" t="s">
        <v>6153</v>
      </c>
    </row>
    <row r="47498" spans="8:8">
      <c r="H47498" s="680" t="s">
        <v>6153</v>
      </c>
    </row>
    <row r="47499" spans="8:8">
      <c r="H47499" s="680" t="s">
        <v>6153</v>
      </c>
    </row>
    <row r="47500" spans="8:8">
      <c r="H47500" s="680" t="s">
        <v>6153</v>
      </c>
    </row>
    <row r="47501" spans="8:8">
      <c r="H47501" s="680" t="s">
        <v>6153</v>
      </c>
    </row>
    <row r="47502" spans="8:8">
      <c r="H47502" s="680" t="s">
        <v>6153</v>
      </c>
    </row>
    <row r="47503" spans="8:8">
      <c r="H47503" s="680" t="s">
        <v>6153</v>
      </c>
    </row>
    <row r="47504" spans="8:8">
      <c r="H47504" s="680" t="s">
        <v>6153</v>
      </c>
    </row>
    <row r="47505" spans="8:8">
      <c r="H47505" s="680" t="s">
        <v>6153</v>
      </c>
    </row>
    <row r="47506" spans="8:8">
      <c r="H47506" s="680" t="s">
        <v>6153</v>
      </c>
    </row>
    <row r="47507" spans="8:8">
      <c r="H47507" s="680" t="s">
        <v>6153</v>
      </c>
    </row>
    <row r="47508" spans="8:8">
      <c r="H47508" s="680" t="s">
        <v>6153</v>
      </c>
    </row>
    <row r="47509" spans="8:8">
      <c r="H47509" s="680" t="s">
        <v>6153</v>
      </c>
    </row>
    <row r="47510" spans="8:8">
      <c r="H47510" s="680" t="s">
        <v>6153</v>
      </c>
    </row>
    <row r="47511" spans="8:8">
      <c r="H47511" s="680" t="s">
        <v>6153</v>
      </c>
    </row>
    <row r="47512" spans="8:8">
      <c r="H47512" s="680" t="s">
        <v>6153</v>
      </c>
    </row>
    <row r="47513" spans="8:8">
      <c r="H47513" s="680" t="s">
        <v>6153</v>
      </c>
    </row>
    <row r="47514" spans="8:8">
      <c r="H47514" s="680" t="s">
        <v>6153</v>
      </c>
    </row>
    <row r="47515" spans="8:8">
      <c r="H47515" s="680" t="s">
        <v>6153</v>
      </c>
    </row>
    <row r="47516" spans="8:8">
      <c r="H47516" s="680" t="s">
        <v>6153</v>
      </c>
    </row>
    <row r="47517" spans="8:8">
      <c r="H47517" s="680" t="s">
        <v>6153</v>
      </c>
    </row>
    <row r="47518" spans="8:8">
      <c r="H47518" s="680" t="s">
        <v>6153</v>
      </c>
    </row>
    <row r="47519" spans="8:8">
      <c r="H47519" s="680" t="s">
        <v>6153</v>
      </c>
    </row>
    <row r="47520" spans="8:8">
      <c r="H47520" s="680" t="s">
        <v>6153</v>
      </c>
    </row>
    <row r="47521" spans="8:8">
      <c r="H47521" s="680" t="s">
        <v>6153</v>
      </c>
    </row>
    <row r="47522" spans="8:8">
      <c r="H47522" s="680" t="s">
        <v>6153</v>
      </c>
    </row>
    <row r="47523" spans="8:8">
      <c r="H47523" s="680" t="s">
        <v>6153</v>
      </c>
    </row>
    <row r="47524" spans="8:8">
      <c r="H47524" s="680" t="s">
        <v>6153</v>
      </c>
    </row>
    <row r="47525" spans="8:8">
      <c r="H47525" s="680" t="s">
        <v>6153</v>
      </c>
    </row>
    <row r="47526" spans="8:8">
      <c r="H47526" s="680" t="s">
        <v>6153</v>
      </c>
    </row>
    <row r="47527" spans="8:8">
      <c r="H47527" s="680" t="s">
        <v>6153</v>
      </c>
    </row>
    <row r="47528" spans="8:8">
      <c r="H47528" s="680" t="s">
        <v>6153</v>
      </c>
    </row>
    <row r="47529" spans="8:8">
      <c r="H47529" s="680" t="s">
        <v>6153</v>
      </c>
    </row>
    <row r="47530" spans="8:8">
      <c r="H47530" s="680" t="s">
        <v>6153</v>
      </c>
    </row>
    <row r="47531" spans="8:8">
      <c r="H47531" s="680" t="s">
        <v>6153</v>
      </c>
    </row>
    <row r="47532" spans="8:8">
      <c r="H47532" s="680" t="s">
        <v>6153</v>
      </c>
    </row>
    <row r="47533" spans="8:8">
      <c r="H47533" s="680" t="s">
        <v>6153</v>
      </c>
    </row>
    <row r="47534" spans="8:8">
      <c r="H47534" s="680" t="s">
        <v>6153</v>
      </c>
    </row>
    <row r="47535" spans="8:8">
      <c r="H47535" s="680" t="s">
        <v>6153</v>
      </c>
    </row>
    <row r="47536" spans="8:8">
      <c r="H47536" s="680" t="s">
        <v>6153</v>
      </c>
    </row>
    <row r="47537" spans="8:8">
      <c r="H47537" s="680" t="s">
        <v>6153</v>
      </c>
    </row>
    <row r="47538" spans="8:8">
      <c r="H47538" s="680" t="s">
        <v>6153</v>
      </c>
    </row>
    <row r="47539" spans="8:8">
      <c r="H47539" s="680" t="s">
        <v>6153</v>
      </c>
    </row>
    <row r="47540" spans="8:8">
      <c r="H47540" s="680" t="s">
        <v>6153</v>
      </c>
    </row>
    <row r="47541" spans="8:8">
      <c r="H47541" s="680" t="s">
        <v>6153</v>
      </c>
    </row>
    <row r="47542" spans="8:8">
      <c r="H47542" s="680" t="s">
        <v>6153</v>
      </c>
    </row>
    <row r="47543" spans="8:8">
      <c r="H47543" s="680" t="s">
        <v>6153</v>
      </c>
    </row>
    <row r="47544" spans="8:8">
      <c r="H47544" s="680" t="s">
        <v>6153</v>
      </c>
    </row>
    <row r="47545" spans="8:8">
      <c r="H47545" s="680" t="s">
        <v>6153</v>
      </c>
    </row>
    <row r="47546" spans="8:8">
      <c r="H47546" s="680" t="s">
        <v>6153</v>
      </c>
    </row>
    <row r="47547" spans="8:8">
      <c r="H47547" s="680" t="s">
        <v>6153</v>
      </c>
    </row>
    <row r="47548" spans="8:8">
      <c r="H47548" s="680" t="s">
        <v>6153</v>
      </c>
    </row>
    <row r="47549" spans="8:8">
      <c r="H47549" s="680" t="s">
        <v>6153</v>
      </c>
    </row>
    <row r="47550" spans="8:8">
      <c r="H47550" s="680" t="s">
        <v>6153</v>
      </c>
    </row>
    <row r="47551" spans="8:8">
      <c r="H47551" s="680" t="s">
        <v>6153</v>
      </c>
    </row>
    <row r="47552" spans="8:8">
      <c r="H47552" s="680" t="s">
        <v>6153</v>
      </c>
    </row>
    <row r="47553" spans="8:8">
      <c r="H47553" s="680" t="s">
        <v>6153</v>
      </c>
    </row>
    <row r="47554" spans="8:8">
      <c r="H47554" s="680" t="s">
        <v>6153</v>
      </c>
    </row>
    <row r="47555" spans="8:8">
      <c r="H47555" s="680" t="s">
        <v>6153</v>
      </c>
    </row>
    <row r="47556" spans="8:8">
      <c r="H47556" s="680" t="s">
        <v>6153</v>
      </c>
    </row>
    <row r="47557" spans="8:8">
      <c r="H47557" s="680" t="s">
        <v>6153</v>
      </c>
    </row>
    <row r="47558" spans="8:8">
      <c r="H47558" s="680" t="s">
        <v>6153</v>
      </c>
    </row>
    <row r="47559" spans="8:8">
      <c r="H47559" s="680" t="s">
        <v>6153</v>
      </c>
    </row>
    <row r="47560" spans="8:8">
      <c r="H47560" s="680" t="s">
        <v>6153</v>
      </c>
    </row>
    <row r="47561" spans="8:8">
      <c r="H47561" s="680" t="s">
        <v>6153</v>
      </c>
    </row>
    <row r="47562" spans="8:8">
      <c r="H47562" s="680" t="s">
        <v>6153</v>
      </c>
    </row>
    <row r="47563" spans="8:8">
      <c r="H47563" s="680" t="s">
        <v>6153</v>
      </c>
    </row>
    <row r="47564" spans="8:8">
      <c r="H47564" s="680" t="s">
        <v>6153</v>
      </c>
    </row>
    <row r="47565" spans="8:8">
      <c r="H47565" s="680" t="s">
        <v>6153</v>
      </c>
    </row>
    <row r="47566" spans="8:8">
      <c r="H47566" s="680" t="s">
        <v>6153</v>
      </c>
    </row>
    <row r="47567" spans="8:8">
      <c r="H47567" s="680" t="s">
        <v>6153</v>
      </c>
    </row>
    <row r="47568" spans="8:8">
      <c r="H47568" s="680" t="s">
        <v>6153</v>
      </c>
    </row>
    <row r="47569" spans="8:8">
      <c r="H47569" s="680" t="s">
        <v>6153</v>
      </c>
    </row>
    <row r="47570" spans="8:8">
      <c r="H47570" s="680" t="s">
        <v>6153</v>
      </c>
    </row>
    <row r="47571" spans="8:8">
      <c r="H47571" s="680" t="s">
        <v>6153</v>
      </c>
    </row>
    <row r="47572" spans="8:8">
      <c r="H47572" s="680" t="s">
        <v>6153</v>
      </c>
    </row>
    <row r="47573" spans="8:8">
      <c r="H47573" s="680" t="s">
        <v>6153</v>
      </c>
    </row>
    <row r="47574" spans="8:8">
      <c r="H47574" s="680" t="s">
        <v>6153</v>
      </c>
    </row>
    <row r="47575" spans="8:8">
      <c r="H47575" s="680" t="s">
        <v>6153</v>
      </c>
    </row>
    <row r="47576" spans="8:8">
      <c r="H47576" s="680" t="s">
        <v>6153</v>
      </c>
    </row>
    <row r="47577" spans="8:8">
      <c r="H47577" s="680" t="s">
        <v>6153</v>
      </c>
    </row>
    <row r="47578" spans="8:8">
      <c r="H47578" s="680" t="s">
        <v>6153</v>
      </c>
    </row>
    <row r="47579" spans="8:8">
      <c r="H47579" s="680" t="s">
        <v>6153</v>
      </c>
    </row>
    <row r="47580" spans="8:8">
      <c r="H47580" s="680" t="s">
        <v>6153</v>
      </c>
    </row>
    <row r="47581" spans="8:8">
      <c r="H47581" s="680" t="s">
        <v>6153</v>
      </c>
    </row>
    <row r="47582" spans="8:8">
      <c r="H47582" s="680" t="s">
        <v>6153</v>
      </c>
    </row>
    <row r="47583" spans="8:8">
      <c r="H47583" s="680" t="s">
        <v>6153</v>
      </c>
    </row>
    <row r="47584" spans="8:8">
      <c r="H47584" s="680" t="s">
        <v>6153</v>
      </c>
    </row>
    <row r="47585" spans="8:8">
      <c r="H47585" s="680" t="s">
        <v>6153</v>
      </c>
    </row>
    <row r="47586" spans="8:8">
      <c r="H47586" s="680" t="s">
        <v>6153</v>
      </c>
    </row>
    <row r="47587" spans="8:8">
      <c r="H47587" s="680" t="s">
        <v>6153</v>
      </c>
    </row>
    <row r="47588" spans="8:8">
      <c r="H47588" s="680" t="s">
        <v>6153</v>
      </c>
    </row>
    <row r="47589" spans="8:8">
      <c r="H47589" s="680" t="s">
        <v>6153</v>
      </c>
    </row>
    <row r="47590" spans="8:8">
      <c r="H47590" s="680" t="s">
        <v>6153</v>
      </c>
    </row>
    <row r="47591" spans="8:8">
      <c r="H47591" s="680" t="s">
        <v>6153</v>
      </c>
    </row>
    <row r="47592" spans="8:8">
      <c r="H47592" s="680" t="s">
        <v>6153</v>
      </c>
    </row>
    <row r="47593" spans="8:8">
      <c r="H47593" s="680" t="s">
        <v>6153</v>
      </c>
    </row>
    <row r="47594" spans="8:8">
      <c r="H47594" s="680" t="s">
        <v>6153</v>
      </c>
    </row>
    <row r="47595" spans="8:8">
      <c r="H47595" s="680" t="s">
        <v>6153</v>
      </c>
    </row>
    <row r="47596" spans="8:8">
      <c r="H47596" s="680" t="s">
        <v>6153</v>
      </c>
    </row>
    <row r="47597" spans="8:8">
      <c r="H47597" s="680" t="s">
        <v>6153</v>
      </c>
    </row>
    <row r="47598" spans="8:8">
      <c r="H47598" s="680" t="s">
        <v>6153</v>
      </c>
    </row>
    <row r="47599" spans="8:8">
      <c r="H47599" s="680" t="s">
        <v>6153</v>
      </c>
    </row>
    <row r="47600" spans="8:8">
      <c r="H47600" s="680" t="s">
        <v>6153</v>
      </c>
    </row>
    <row r="47601" spans="8:8">
      <c r="H47601" s="680" t="s">
        <v>6153</v>
      </c>
    </row>
    <row r="47602" spans="8:8">
      <c r="H47602" s="680" t="s">
        <v>6153</v>
      </c>
    </row>
    <row r="47603" spans="8:8">
      <c r="H47603" s="680" t="s">
        <v>6153</v>
      </c>
    </row>
    <row r="47604" spans="8:8">
      <c r="H47604" s="680" t="s">
        <v>6153</v>
      </c>
    </row>
    <row r="47605" spans="8:8">
      <c r="H47605" s="680" t="s">
        <v>6153</v>
      </c>
    </row>
    <row r="47606" spans="8:8">
      <c r="H47606" s="680" t="s">
        <v>6153</v>
      </c>
    </row>
    <row r="47607" spans="8:8">
      <c r="H47607" s="680" t="s">
        <v>6153</v>
      </c>
    </row>
    <row r="47608" spans="8:8">
      <c r="H47608" s="680" t="s">
        <v>6153</v>
      </c>
    </row>
    <row r="47609" spans="8:8">
      <c r="H47609" s="680" t="s">
        <v>6153</v>
      </c>
    </row>
    <row r="47610" spans="8:8">
      <c r="H47610" s="680" t="s">
        <v>6153</v>
      </c>
    </row>
    <row r="47611" spans="8:8">
      <c r="H47611" s="680" t="s">
        <v>6153</v>
      </c>
    </row>
    <row r="47612" spans="8:8">
      <c r="H47612" s="680" t="s">
        <v>6153</v>
      </c>
    </row>
    <row r="47613" spans="8:8">
      <c r="H47613" s="680" t="s">
        <v>6153</v>
      </c>
    </row>
    <row r="47614" spans="8:8">
      <c r="H47614" s="680" t="s">
        <v>6153</v>
      </c>
    </row>
    <row r="47615" spans="8:8">
      <c r="H47615" s="680" t="s">
        <v>6153</v>
      </c>
    </row>
    <row r="47616" spans="8:8">
      <c r="H47616" s="680" t="s">
        <v>6153</v>
      </c>
    </row>
    <row r="47617" spans="8:8">
      <c r="H47617" s="680" t="s">
        <v>6153</v>
      </c>
    </row>
    <row r="47618" spans="8:8">
      <c r="H47618" s="680" t="s">
        <v>6153</v>
      </c>
    </row>
    <row r="47619" spans="8:8">
      <c r="H47619" s="680" t="s">
        <v>6153</v>
      </c>
    </row>
    <row r="47620" spans="8:8">
      <c r="H47620" s="680" t="s">
        <v>6153</v>
      </c>
    </row>
    <row r="47621" spans="8:8">
      <c r="H47621" s="680" t="s">
        <v>6153</v>
      </c>
    </row>
    <row r="47622" spans="8:8">
      <c r="H47622" s="680" t="s">
        <v>6153</v>
      </c>
    </row>
    <row r="47623" spans="8:8">
      <c r="H47623" s="680" t="s">
        <v>6153</v>
      </c>
    </row>
    <row r="47624" spans="8:8">
      <c r="H47624" s="680" t="s">
        <v>6153</v>
      </c>
    </row>
    <row r="47625" spans="8:8">
      <c r="H47625" s="680" t="s">
        <v>6153</v>
      </c>
    </row>
    <row r="47626" spans="8:8">
      <c r="H47626" s="680" t="s">
        <v>6153</v>
      </c>
    </row>
    <row r="47627" spans="8:8">
      <c r="H47627" s="680" t="s">
        <v>6153</v>
      </c>
    </row>
    <row r="47628" spans="8:8">
      <c r="H47628" s="680" t="s">
        <v>6153</v>
      </c>
    </row>
    <row r="47629" spans="8:8">
      <c r="H47629" s="680" t="s">
        <v>6153</v>
      </c>
    </row>
    <row r="47630" spans="8:8">
      <c r="H47630" s="680" t="s">
        <v>6153</v>
      </c>
    </row>
    <row r="47631" spans="8:8">
      <c r="H47631" s="680" t="s">
        <v>6153</v>
      </c>
    </row>
    <row r="47632" spans="8:8">
      <c r="H47632" s="680" t="s">
        <v>6153</v>
      </c>
    </row>
    <row r="47633" spans="8:8">
      <c r="H47633" s="680" t="s">
        <v>6153</v>
      </c>
    </row>
    <row r="47634" spans="8:8">
      <c r="H47634" s="680" t="s">
        <v>6153</v>
      </c>
    </row>
    <row r="47635" spans="8:8">
      <c r="H47635" s="680" t="s">
        <v>6153</v>
      </c>
    </row>
    <row r="47636" spans="8:8">
      <c r="H47636" s="680" t="s">
        <v>6153</v>
      </c>
    </row>
    <row r="47637" spans="8:8">
      <c r="H47637" s="680" t="s">
        <v>6153</v>
      </c>
    </row>
    <row r="47638" spans="8:8">
      <c r="H47638" s="680" t="s">
        <v>6153</v>
      </c>
    </row>
    <row r="47639" spans="8:8">
      <c r="H47639" s="680" t="s">
        <v>6153</v>
      </c>
    </row>
    <row r="47640" spans="8:8">
      <c r="H47640" s="680" t="s">
        <v>6153</v>
      </c>
    </row>
    <row r="47641" spans="8:8">
      <c r="H47641" s="680" t="s">
        <v>6153</v>
      </c>
    </row>
    <row r="47642" spans="8:8">
      <c r="H47642" s="680" t="s">
        <v>6153</v>
      </c>
    </row>
    <row r="47643" spans="8:8">
      <c r="H47643" s="680" t="s">
        <v>6153</v>
      </c>
    </row>
    <row r="47644" spans="8:8">
      <c r="H47644" s="680" t="s">
        <v>6153</v>
      </c>
    </row>
    <row r="47645" spans="8:8">
      <c r="H47645" s="680" t="s">
        <v>6153</v>
      </c>
    </row>
    <row r="47646" spans="8:8">
      <c r="H47646" s="680" t="s">
        <v>6153</v>
      </c>
    </row>
    <row r="47647" spans="8:8">
      <c r="H47647" s="680" t="s">
        <v>6153</v>
      </c>
    </row>
    <row r="47648" spans="8:8">
      <c r="H47648" s="680" t="s">
        <v>6153</v>
      </c>
    </row>
    <row r="47649" spans="8:8">
      <c r="H47649" s="680" t="s">
        <v>6153</v>
      </c>
    </row>
    <row r="47650" spans="8:8">
      <c r="H47650" s="680" t="s">
        <v>6153</v>
      </c>
    </row>
    <row r="47651" spans="8:8">
      <c r="H47651" s="680" t="s">
        <v>6153</v>
      </c>
    </row>
    <row r="47652" spans="8:8">
      <c r="H47652" s="680" t="s">
        <v>6153</v>
      </c>
    </row>
    <row r="47653" spans="8:8">
      <c r="H47653" s="680" t="s">
        <v>6153</v>
      </c>
    </row>
    <row r="47654" spans="8:8">
      <c r="H47654" s="680" t="s">
        <v>6153</v>
      </c>
    </row>
    <row r="47655" spans="8:8">
      <c r="H47655" s="680" t="s">
        <v>6153</v>
      </c>
    </row>
    <row r="47656" spans="8:8">
      <c r="H47656" s="680" t="s">
        <v>6153</v>
      </c>
    </row>
    <row r="47657" spans="8:8">
      <c r="H47657" s="680" t="s">
        <v>6153</v>
      </c>
    </row>
    <row r="47658" spans="8:8">
      <c r="H47658" s="680" t="s">
        <v>6153</v>
      </c>
    </row>
    <row r="47659" spans="8:8">
      <c r="H47659" s="680" t="s">
        <v>6153</v>
      </c>
    </row>
    <row r="47660" spans="8:8">
      <c r="H47660" s="680" t="s">
        <v>6153</v>
      </c>
    </row>
    <row r="47661" spans="8:8">
      <c r="H47661" s="680" t="s">
        <v>6153</v>
      </c>
    </row>
    <row r="47662" spans="8:8">
      <c r="H47662" s="680" t="s">
        <v>6153</v>
      </c>
    </row>
    <row r="47663" spans="8:8">
      <c r="H47663" s="680" t="s">
        <v>6153</v>
      </c>
    </row>
    <row r="47664" spans="8:8">
      <c r="H47664" s="680" t="s">
        <v>6153</v>
      </c>
    </row>
    <row r="47665" spans="8:8">
      <c r="H47665" s="680" t="s">
        <v>6153</v>
      </c>
    </row>
    <row r="47666" spans="8:8">
      <c r="H47666" s="680" t="s">
        <v>6153</v>
      </c>
    </row>
    <row r="47667" spans="8:8">
      <c r="H47667" s="680" t="s">
        <v>6153</v>
      </c>
    </row>
    <row r="47668" spans="8:8">
      <c r="H47668" s="680" t="s">
        <v>6153</v>
      </c>
    </row>
    <row r="47669" spans="8:8">
      <c r="H47669" s="680" t="s">
        <v>6153</v>
      </c>
    </row>
    <row r="47670" spans="8:8">
      <c r="H47670" s="680" t="s">
        <v>6153</v>
      </c>
    </row>
    <row r="47671" spans="8:8">
      <c r="H47671" s="680" t="s">
        <v>6153</v>
      </c>
    </row>
    <row r="47672" spans="8:8">
      <c r="H47672" s="680" t="s">
        <v>6153</v>
      </c>
    </row>
    <row r="47673" spans="8:8">
      <c r="H47673" s="680" t="s">
        <v>6153</v>
      </c>
    </row>
    <row r="47674" spans="8:8">
      <c r="H47674" s="680" t="s">
        <v>6153</v>
      </c>
    </row>
    <row r="47675" spans="8:8">
      <c r="H47675" s="680" t="s">
        <v>6153</v>
      </c>
    </row>
    <row r="47676" spans="8:8">
      <c r="H47676" s="680" t="s">
        <v>6153</v>
      </c>
    </row>
    <row r="47677" spans="8:8">
      <c r="H47677" s="680" t="s">
        <v>6153</v>
      </c>
    </row>
    <row r="47678" spans="8:8">
      <c r="H47678" s="680" t="s">
        <v>6153</v>
      </c>
    </row>
    <row r="47679" spans="8:8">
      <c r="H47679" s="680" t="s">
        <v>6153</v>
      </c>
    </row>
    <row r="47680" spans="8:8">
      <c r="H47680" s="680" t="s">
        <v>6153</v>
      </c>
    </row>
    <row r="47681" spans="8:8">
      <c r="H47681" s="680" t="s">
        <v>6153</v>
      </c>
    </row>
    <row r="47682" spans="8:8">
      <c r="H47682" s="680" t="s">
        <v>6153</v>
      </c>
    </row>
    <row r="47683" spans="8:8">
      <c r="H47683" s="680" t="s">
        <v>6153</v>
      </c>
    </row>
    <row r="47684" spans="8:8">
      <c r="H47684" s="680" t="s">
        <v>6153</v>
      </c>
    </row>
    <row r="47685" spans="8:8">
      <c r="H47685" s="680" t="s">
        <v>6153</v>
      </c>
    </row>
    <row r="47686" spans="8:8">
      <c r="H47686" s="680" t="s">
        <v>6153</v>
      </c>
    </row>
    <row r="47687" spans="8:8">
      <c r="H47687" s="680" t="s">
        <v>6153</v>
      </c>
    </row>
    <row r="47688" spans="8:8">
      <c r="H47688" s="680" t="s">
        <v>6153</v>
      </c>
    </row>
    <row r="47689" spans="8:8">
      <c r="H47689" s="680" t="s">
        <v>6153</v>
      </c>
    </row>
    <row r="47690" spans="8:8">
      <c r="H47690" s="680" t="s">
        <v>6153</v>
      </c>
    </row>
    <row r="47691" spans="8:8">
      <c r="H47691" s="680" t="s">
        <v>6153</v>
      </c>
    </row>
    <row r="47692" spans="8:8">
      <c r="H47692" s="680" t="s">
        <v>6153</v>
      </c>
    </row>
    <row r="47693" spans="8:8">
      <c r="H47693" s="680" t="s">
        <v>6153</v>
      </c>
    </row>
    <row r="47694" spans="8:8">
      <c r="H47694" s="680" t="s">
        <v>6153</v>
      </c>
    </row>
    <row r="47695" spans="8:8">
      <c r="H47695" s="680" t="s">
        <v>6153</v>
      </c>
    </row>
    <row r="47696" spans="8:8">
      <c r="H47696" s="680" t="s">
        <v>6153</v>
      </c>
    </row>
    <row r="47697" spans="8:8">
      <c r="H47697" s="680" t="s">
        <v>6153</v>
      </c>
    </row>
    <row r="47698" spans="8:8">
      <c r="H47698" s="680" t="s">
        <v>6153</v>
      </c>
    </row>
    <row r="47699" spans="8:8">
      <c r="H47699" s="680" t="s">
        <v>6153</v>
      </c>
    </row>
    <row r="47700" spans="8:8">
      <c r="H47700" s="680" t="s">
        <v>6153</v>
      </c>
    </row>
    <row r="47701" spans="8:8">
      <c r="H47701" s="680" t="s">
        <v>6153</v>
      </c>
    </row>
    <row r="47702" spans="8:8">
      <c r="H47702" s="680" t="s">
        <v>6153</v>
      </c>
    </row>
    <row r="47703" spans="8:8">
      <c r="H47703" s="680" t="s">
        <v>6153</v>
      </c>
    </row>
    <row r="47704" spans="8:8">
      <c r="H47704" s="680" t="s">
        <v>6153</v>
      </c>
    </row>
    <row r="47705" spans="8:8">
      <c r="H47705" s="680" t="s">
        <v>6153</v>
      </c>
    </row>
    <row r="47706" spans="8:8">
      <c r="H47706" s="680" t="s">
        <v>6153</v>
      </c>
    </row>
    <row r="47707" spans="8:8">
      <c r="H47707" s="680" t="s">
        <v>6153</v>
      </c>
    </row>
    <row r="47708" spans="8:8">
      <c r="H47708" s="680" t="s">
        <v>6153</v>
      </c>
    </row>
    <row r="47709" spans="8:8">
      <c r="H47709" s="680" t="s">
        <v>6153</v>
      </c>
    </row>
    <row r="47710" spans="8:8">
      <c r="H47710" s="680" t="s">
        <v>6153</v>
      </c>
    </row>
    <row r="47711" spans="8:8">
      <c r="H47711" s="680" t="s">
        <v>6153</v>
      </c>
    </row>
    <row r="47712" spans="8:8">
      <c r="H47712" s="680" t="s">
        <v>6153</v>
      </c>
    </row>
    <row r="47713" spans="8:8">
      <c r="H47713" s="680" t="s">
        <v>6153</v>
      </c>
    </row>
    <row r="47714" spans="8:8">
      <c r="H47714" s="680" t="s">
        <v>6153</v>
      </c>
    </row>
    <row r="47715" spans="8:8">
      <c r="H47715" s="680" t="s">
        <v>6153</v>
      </c>
    </row>
    <row r="47716" spans="8:8">
      <c r="H47716" s="680" t="s">
        <v>6153</v>
      </c>
    </row>
    <row r="47717" spans="8:8">
      <c r="H47717" s="680" t="s">
        <v>6153</v>
      </c>
    </row>
    <row r="47718" spans="8:8">
      <c r="H47718" s="680" t="s">
        <v>6153</v>
      </c>
    </row>
    <row r="47719" spans="8:8">
      <c r="H47719" s="680" t="s">
        <v>6153</v>
      </c>
    </row>
    <row r="47720" spans="8:8">
      <c r="H47720" s="680" t="s">
        <v>6153</v>
      </c>
    </row>
    <row r="47721" spans="8:8">
      <c r="H47721" s="680" t="s">
        <v>6153</v>
      </c>
    </row>
    <row r="47722" spans="8:8">
      <c r="H47722" s="680" t="s">
        <v>6153</v>
      </c>
    </row>
    <row r="47723" spans="8:8">
      <c r="H47723" s="680" t="s">
        <v>6153</v>
      </c>
    </row>
    <row r="47724" spans="8:8">
      <c r="H47724" s="680" t="s">
        <v>6153</v>
      </c>
    </row>
    <row r="47725" spans="8:8">
      <c r="H47725" s="680" t="s">
        <v>6153</v>
      </c>
    </row>
    <row r="47726" spans="8:8">
      <c r="H47726" s="680" t="s">
        <v>6153</v>
      </c>
    </row>
    <row r="47727" spans="8:8">
      <c r="H47727" s="680" t="s">
        <v>6153</v>
      </c>
    </row>
    <row r="47728" spans="8:8">
      <c r="H47728" s="680" t="s">
        <v>6153</v>
      </c>
    </row>
    <row r="47729" spans="8:8">
      <c r="H47729" s="680" t="s">
        <v>6153</v>
      </c>
    </row>
    <row r="47730" spans="8:8">
      <c r="H47730" s="680" t="s">
        <v>6153</v>
      </c>
    </row>
    <row r="47731" spans="8:8">
      <c r="H47731" s="680" t="s">
        <v>6153</v>
      </c>
    </row>
    <row r="47732" spans="8:8">
      <c r="H47732" s="680" t="s">
        <v>6153</v>
      </c>
    </row>
    <row r="47733" spans="8:8">
      <c r="H47733" s="680" t="s">
        <v>6153</v>
      </c>
    </row>
    <row r="47734" spans="8:8">
      <c r="H47734" s="680" t="s">
        <v>6153</v>
      </c>
    </row>
    <row r="47735" spans="8:8">
      <c r="H47735" s="680" t="s">
        <v>6153</v>
      </c>
    </row>
    <row r="47736" spans="8:8">
      <c r="H47736" s="680" t="s">
        <v>6153</v>
      </c>
    </row>
    <row r="47737" spans="8:8">
      <c r="H47737" s="680" t="s">
        <v>6153</v>
      </c>
    </row>
    <row r="47738" spans="8:8">
      <c r="H47738" s="680" t="s">
        <v>6153</v>
      </c>
    </row>
    <row r="47739" spans="8:8">
      <c r="H47739" s="680" t="s">
        <v>6153</v>
      </c>
    </row>
    <row r="47740" spans="8:8">
      <c r="H47740" s="680" t="s">
        <v>6153</v>
      </c>
    </row>
    <row r="47741" spans="8:8">
      <c r="H47741" s="680" t="s">
        <v>6153</v>
      </c>
    </row>
    <row r="47742" spans="8:8">
      <c r="H47742" s="680" t="s">
        <v>6153</v>
      </c>
    </row>
    <row r="47743" spans="8:8">
      <c r="H47743" s="680" t="s">
        <v>6153</v>
      </c>
    </row>
    <row r="47744" spans="8:8">
      <c r="H47744" s="680" t="s">
        <v>6153</v>
      </c>
    </row>
    <row r="47745" spans="8:8">
      <c r="H47745" s="680" t="s">
        <v>6153</v>
      </c>
    </row>
    <row r="47746" spans="8:8">
      <c r="H47746" s="680" t="s">
        <v>6153</v>
      </c>
    </row>
    <row r="47747" spans="8:8">
      <c r="H47747" s="680" t="s">
        <v>6153</v>
      </c>
    </row>
    <row r="47748" spans="8:8">
      <c r="H47748" s="680" t="s">
        <v>6153</v>
      </c>
    </row>
    <row r="47749" spans="8:8">
      <c r="H47749" s="680" t="s">
        <v>6153</v>
      </c>
    </row>
    <row r="47750" spans="8:8">
      <c r="H47750" s="680" t="s">
        <v>6153</v>
      </c>
    </row>
    <row r="47751" spans="8:8">
      <c r="H47751" s="680" t="s">
        <v>6153</v>
      </c>
    </row>
    <row r="47752" spans="8:8">
      <c r="H47752" s="680" t="s">
        <v>6153</v>
      </c>
    </row>
    <row r="47753" spans="8:8">
      <c r="H47753" s="680" t="s">
        <v>6153</v>
      </c>
    </row>
    <row r="47754" spans="8:8">
      <c r="H47754" s="680" t="s">
        <v>6153</v>
      </c>
    </row>
    <row r="47755" spans="8:8">
      <c r="H47755" s="680" t="s">
        <v>6153</v>
      </c>
    </row>
    <row r="47756" spans="8:8">
      <c r="H47756" s="680" t="s">
        <v>6153</v>
      </c>
    </row>
    <row r="47757" spans="8:8">
      <c r="H47757" s="680" t="s">
        <v>6153</v>
      </c>
    </row>
    <row r="47758" spans="8:8">
      <c r="H47758" s="680" t="s">
        <v>6153</v>
      </c>
    </row>
    <row r="47759" spans="8:8">
      <c r="H47759" s="680" t="s">
        <v>6153</v>
      </c>
    </row>
    <row r="47760" spans="8:8">
      <c r="H47760" s="680" t="s">
        <v>6153</v>
      </c>
    </row>
    <row r="47761" spans="8:8">
      <c r="H47761" s="680" t="s">
        <v>6153</v>
      </c>
    </row>
    <row r="47762" spans="8:8">
      <c r="H47762" s="680" t="s">
        <v>6153</v>
      </c>
    </row>
    <row r="47763" spans="8:8">
      <c r="H47763" s="680" t="s">
        <v>6153</v>
      </c>
    </row>
    <row r="47764" spans="8:8">
      <c r="H47764" s="680" t="s">
        <v>6153</v>
      </c>
    </row>
    <row r="47765" spans="8:8">
      <c r="H47765" s="680" t="s">
        <v>6153</v>
      </c>
    </row>
    <row r="47766" spans="8:8">
      <c r="H47766" s="680" t="s">
        <v>6153</v>
      </c>
    </row>
    <row r="47767" spans="8:8">
      <c r="H47767" s="680" t="s">
        <v>6153</v>
      </c>
    </row>
    <row r="47768" spans="8:8">
      <c r="H47768" s="680" t="s">
        <v>6153</v>
      </c>
    </row>
    <row r="47769" spans="8:8">
      <c r="H47769" s="680" t="s">
        <v>6153</v>
      </c>
    </row>
    <row r="47770" spans="8:8">
      <c r="H47770" s="680" t="s">
        <v>6153</v>
      </c>
    </row>
    <row r="47771" spans="8:8">
      <c r="H47771" s="680" t="s">
        <v>6153</v>
      </c>
    </row>
    <row r="47772" spans="8:8">
      <c r="H47772" s="680" t="s">
        <v>6153</v>
      </c>
    </row>
    <row r="47773" spans="8:8">
      <c r="H47773" s="680" t="s">
        <v>6153</v>
      </c>
    </row>
    <row r="47774" spans="8:8">
      <c r="H47774" s="680" t="s">
        <v>6153</v>
      </c>
    </row>
    <row r="47775" spans="8:8">
      <c r="H47775" s="680" t="s">
        <v>6153</v>
      </c>
    </row>
    <row r="47776" spans="8:8">
      <c r="H47776" s="680" t="s">
        <v>6153</v>
      </c>
    </row>
    <row r="47777" spans="8:8">
      <c r="H47777" s="680" t="s">
        <v>6153</v>
      </c>
    </row>
    <row r="47778" spans="8:8">
      <c r="H47778" s="680" t="s">
        <v>6153</v>
      </c>
    </row>
    <row r="47779" spans="8:8">
      <c r="H47779" s="680" t="s">
        <v>6153</v>
      </c>
    </row>
    <row r="47780" spans="8:8">
      <c r="H47780" s="680" t="s">
        <v>6153</v>
      </c>
    </row>
    <row r="47781" spans="8:8">
      <c r="H47781" s="680" t="s">
        <v>6153</v>
      </c>
    </row>
    <row r="47782" spans="8:8">
      <c r="H47782" s="680" t="s">
        <v>6153</v>
      </c>
    </row>
    <row r="47783" spans="8:8">
      <c r="H47783" s="680" t="s">
        <v>6153</v>
      </c>
    </row>
    <row r="47784" spans="8:8">
      <c r="H47784" s="680" t="s">
        <v>6153</v>
      </c>
    </row>
    <row r="47785" spans="8:8">
      <c r="H47785" s="680" t="s">
        <v>6153</v>
      </c>
    </row>
    <row r="47786" spans="8:8">
      <c r="H47786" s="680" t="s">
        <v>6153</v>
      </c>
    </row>
    <row r="47787" spans="8:8">
      <c r="H47787" s="680" t="s">
        <v>6153</v>
      </c>
    </row>
    <row r="47788" spans="8:8">
      <c r="H47788" s="680" t="s">
        <v>6153</v>
      </c>
    </row>
    <row r="47789" spans="8:8">
      <c r="H47789" s="680" t="s">
        <v>6153</v>
      </c>
    </row>
    <row r="47790" spans="8:8">
      <c r="H47790" s="680" t="s">
        <v>6153</v>
      </c>
    </row>
    <row r="47791" spans="8:8">
      <c r="H47791" s="680" t="s">
        <v>6153</v>
      </c>
    </row>
    <row r="47792" spans="8:8">
      <c r="H47792" s="680" t="s">
        <v>6153</v>
      </c>
    </row>
    <row r="47793" spans="8:8">
      <c r="H47793" s="680" t="s">
        <v>6153</v>
      </c>
    </row>
    <row r="47794" spans="8:8">
      <c r="H47794" s="680" t="s">
        <v>6153</v>
      </c>
    </row>
    <row r="47795" spans="8:8">
      <c r="H47795" s="680" t="s">
        <v>6153</v>
      </c>
    </row>
    <row r="47796" spans="8:8">
      <c r="H47796" s="680" t="s">
        <v>6153</v>
      </c>
    </row>
    <row r="47797" spans="8:8">
      <c r="H47797" s="680" t="s">
        <v>6153</v>
      </c>
    </row>
    <row r="47798" spans="8:8">
      <c r="H47798" s="680" t="s">
        <v>6153</v>
      </c>
    </row>
    <row r="47799" spans="8:8">
      <c r="H47799" s="680" t="s">
        <v>6153</v>
      </c>
    </row>
    <row r="47800" spans="8:8">
      <c r="H47800" s="680" t="s">
        <v>6153</v>
      </c>
    </row>
    <row r="47801" spans="8:8">
      <c r="H47801" s="680" t="s">
        <v>6153</v>
      </c>
    </row>
    <row r="47802" spans="8:8">
      <c r="H47802" s="680" t="s">
        <v>6153</v>
      </c>
    </row>
    <row r="47803" spans="8:8">
      <c r="H47803" s="680" t="s">
        <v>6153</v>
      </c>
    </row>
    <row r="47804" spans="8:8">
      <c r="H47804" s="680" t="s">
        <v>6153</v>
      </c>
    </row>
    <row r="47805" spans="8:8">
      <c r="H47805" s="680" t="s">
        <v>6153</v>
      </c>
    </row>
    <row r="47806" spans="8:8">
      <c r="H47806" s="680" t="s">
        <v>6153</v>
      </c>
    </row>
    <row r="47807" spans="8:8">
      <c r="H47807" s="680" t="s">
        <v>6153</v>
      </c>
    </row>
    <row r="47808" spans="8:8">
      <c r="H47808" s="680" t="s">
        <v>6153</v>
      </c>
    </row>
    <row r="47809" spans="8:8">
      <c r="H47809" s="680" t="s">
        <v>6153</v>
      </c>
    </row>
    <row r="47810" spans="8:8">
      <c r="H47810" s="680" t="s">
        <v>6153</v>
      </c>
    </row>
    <row r="47811" spans="8:8">
      <c r="H47811" s="680" t="s">
        <v>6153</v>
      </c>
    </row>
    <row r="47812" spans="8:8">
      <c r="H47812" s="680" t="s">
        <v>6153</v>
      </c>
    </row>
    <row r="47813" spans="8:8">
      <c r="H47813" s="680" t="s">
        <v>6153</v>
      </c>
    </row>
    <row r="47814" spans="8:8">
      <c r="H47814" s="680" t="s">
        <v>6153</v>
      </c>
    </row>
    <row r="47815" spans="8:8">
      <c r="H47815" s="680" t="s">
        <v>6153</v>
      </c>
    </row>
    <row r="47816" spans="8:8">
      <c r="H47816" s="680" t="s">
        <v>6153</v>
      </c>
    </row>
    <row r="47817" spans="8:8">
      <c r="H47817" s="680" t="s">
        <v>6153</v>
      </c>
    </row>
    <row r="47818" spans="8:8">
      <c r="H47818" s="680" t="s">
        <v>6153</v>
      </c>
    </row>
    <row r="47819" spans="8:8">
      <c r="H47819" s="680" t="s">
        <v>6153</v>
      </c>
    </row>
    <row r="47820" spans="8:8">
      <c r="H47820" s="680" t="s">
        <v>6153</v>
      </c>
    </row>
    <row r="47821" spans="8:8">
      <c r="H47821" s="680" t="s">
        <v>6153</v>
      </c>
    </row>
    <row r="47822" spans="8:8">
      <c r="H47822" s="680" t="s">
        <v>6153</v>
      </c>
    </row>
    <row r="47823" spans="8:8">
      <c r="H47823" s="680" t="s">
        <v>6153</v>
      </c>
    </row>
    <row r="47824" spans="8:8">
      <c r="H47824" s="680" t="s">
        <v>6153</v>
      </c>
    </row>
    <row r="47825" spans="8:8">
      <c r="H47825" s="680" t="s">
        <v>6153</v>
      </c>
    </row>
    <row r="47826" spans="8:8">
      <c r="H47826" s="680" t="s">
        <v>6153</v>
      </c>
    </row>
    <row r="47827" spans="8:8">
      <c r="H47827" s="680" t="s">
        <v>6153</v>
      </c>
    </row>
    <row r="47828" spans="8:8">
      <c r="H47828" s="680" t="s">
        <v>6153</v>
      </c>
    </row>
    <row r="47829" spans="8:8">
      <c r="H47829" s="680" t="s">
        <v>6153</v>
      </c>
    </row>
    <row r="47830" spans="8:8">
      <c r="H47830" s="680" t="s">
        <v>6153</v>
      </c>
    </row>
    <row r="47831" spans="8:8">
      <c r="H47831" s="680" t="s">
        <v>6153</v>
      </c>
    </row>
    <row r="47832" spans="8:8">
      <c r="H47832" s="680" t="s">
        <v>6153</v>
      </c>
    </row>
    <row r="47833" spans="8:8">
      <c r="H47833" s="680" t="s">
        <v>6153</v>
      </c>
    </row>
    <row r="47834" spans="8:8">
      <c r="H47834" s="680" t="s">
        <v>6153</v>
      </c>
    </row>
    <row r="47835" spans="8:8">
      <c r="H47835" s="680" t="s">
        <v>6153</v>
      </c>
    </row>
    <row r="47836" spans="8:8">
      <c r="H47836" s="680" t="s">
        <v>6153</v>
      </c>
    </row>
    <row r="47837" spans="8:8">
      <c r="H47837" s="680" t="s">
        <v>6153</v>
      </c>
    </row>
    <row r="47838" spans="8:8">
      <c r="H47838" s="680" t="s">
        <v>6153</v>
      </c>
    </row>
    <row r="47839" spans="8:8">
      <c r="H47839" s="680" t="s">
        <v>6153</v>
      </c>
    </row>
    <row r="47840" spans="8:8">
      <c r="H47840" s="680" t="s">
        <v>6153</v>
      </c>
    </row>
    <row r="47841" spans="8:8">
      <c r="H47841" s="680" t="s">
        <v>6153</v>
      </c>
    </row>
    <row r="47842" spans="8:8">
      <c r="H47842" s="680" t="s">
        <v>6153</v>
      </c>
    </row>
    <row r="47843" spans="8:8">
      <c r="H47843" s="680" t="s">
        <v>6153</v>
      </c>
    </row>
    <row r="47844" spans="8:8">
      <c r="H47844" s="680" t="s">
        <v>6153</v>
      </c>
    </row>
    <row r="47845" spans="8:8">
      <c r="H47845" s="680" t="s">
        <v>6153</v>
      </c>
    </row>
    <row r="47846" spans="8:8">
      <c r="H47846" s="680" t="s">
        <v>6153</v>
      </c>
    </row>
    <row r="47847" spans="8:8">
      <c r="H47847" s="680" t="s">
        <v>6153</v>
      </c>
    </row>
    <row r="47848" spans="8:8">
      <c r="H47848" s="680" t="s">
        <v>6153</v>
      </c>
    </row>
    <row r="47849" spans="8:8">
      <c r="H47849" s="680" t="s">
        <v>6153</v>
      </c>
    </row>
    <row r="47850" spans="8:8">
      <c r="H47850" s="680" t="s">
        <v>6153</v>
      </c>
    </row>
    <row r="47851" spans="8:8">
      <c r="H47851" s="680" t="s">
        <v>6153</v>
      </c>
    </row>
    <row r="47852" spans="8:8">
      <c r="H47852" s="680" t="s">
        <v>6153</v>
      </c>
    </row>
    <row r="47853" spans="8:8">
      <c r="H47853" s="680" t="s">
        <v>6153</v>
      </c>
    </row>
    <row r="47854" spans="8:8">
      <c r="H47854" s="680" t="s">
        <v>6153</v>
      </c>
    </row>
    <row r="47855" spans="8:8">
      <c r="H47855" s="680" t="s">
        <v>6153</v>
      </c>
    </row>
    <row r="47856" spans="8:8">
      <c r="H47856" s="680" t="s">
        <v>6153</v>
      </c>
    </row>
    <row r="47857" spans="8:8">
      <c r="H47857" s="680" t="s">
        <v>6153</v>
      </c>
    </row>
    <row r="47858" spans="8:8">
      <c r="H47858" s="680" t="s">
        <v>6153</v>
      </c>
    </row>
    <row r="47859" spans="8:8">
      <c r="H47859" s="680" t="s">
        <v>6153</v>
      </c>
    </row>
    <row r="47860" spans="8:8">
      <c r="H47860" s="680" t="s">
        <v>6153</v>
      </c>
    </row>
    <row r="47861" spans="8:8">
      <c r="H47861" s="680" t="s">
        <v>6153</v>
      </c>
    </row>
    <row r="47862" spans="8:8">
      <c r="H47862" s="680" t="s">
        <v>6153</v>
      </c>
    </row>
    <row r="47863" spans="8:8">
      <c r="H47863" s="680" t="s">
        <v>6153</v>
      </c>
    </row>
    <row r="47864" spans="8:8">
      <c r="H47864" s="680" t="s">
        <v>6153</v>
      </c>
    </row>
    <row r="47865" spans="8:8">
      <c r="H47865" s="680" t="s">
        <v>6153</v>
      </c>
    </row>
    <row r="47866" spans="8:8">
      <c r="H47866" s="680" t="s">
        <v>6153</v>
      </c>
    </row>
    <row r="47867" spans="8:8">
      <c r="H47867" s="680" t="s">
        <v>6153</v>
      </c>
    </row>
    <row r="47868" spans="8:8">
      <c r="H47868" s="680" t="s">
        <v>6153</v>
      </c>
    </row>
    <row r="47869" spans="8:8">
      <c r="H47869" s="680" t="s">
        <v>6153</v>
      </c>
    </row>
    <row r="47870" spans="8:8">
      <c r="H47870" s="680" t="s">
        <v>6153</v>
      </c>
    </row>
    <row r="47871" spans="8:8">
      <c r="H47871" s="680" t="s">
        <v>6153</v>
      </c>
    </row>
    <row r="47872" spans="8:8">
      <c r="H47872" s="680" t="s">
        <v>6153</v>
      </c>
    </row>
    <row r="47873" spans="8:8">
      <c r="H47873" s="680" t="s">
        <v>6153</v>
      </c>
    </row>
    <row r="47874" spans="8:8">
      <c r="H47874" s="680" t="s">
        <v>6153</v>
      </c>
    </row>
    <row r="47875" spans="8:8">
      <c r="H47875" s="680" t="s">
        <v>6153</v>
      </c>
    </row>
    <row r="47876" spans="8:8">
      <c r="H47876" s="680" t="s">
        <v>6153</v>
      </c>
    </row>
    <row r="47877" spans="8:8">
      <c r="H47877" s="680" t="s">
        <v>6153</v>
      </c>
    </row>
    <row r="47878" spans="8:8">
      <c r="H47878" s="680" t="s">
        <v>6153</v>
      </c>
    </row>
    <row r="47879" spans="8:8">
      <c r="H47879" s="680" t="s">
        <v>6153</v>
      </c>
    </row>
    <row r="47880" spans="8:8">
      <c r="H47880" s="680" t="s">
        <v>6153</v>
      </c>
    </row>
    <row r="47881" spans="8:8">
      <c r="H47881" s="680" t="s">
        <v>6153</v>
      </c>
    </row>
    <row r="47882" spans="8:8">
      <c r="H47882" s="680" t="s">
        <v>6153</v>
      </c>
    </row>
    <row r="47883" spans="8:8">
      <c r="H47883" s="680" t="s">
        <v>6153</v>
      </c>
    </row>
    <row r="47884" spans="8:8">
      <c r="H47884" s="680" t="s">
        <v>6153</v>
      </c>
    </row>
    <row r="47885" spans="8:8">
      <c r="H47885" s="680" t="s">
        <v>6153</v>
      </c>
    </row>
    <row r="47886" spans="8:8">
      <c r="H47886" s="680" t="s">
        <v>6153</v>
      </c>
    </row>
    <row r="47887" spans="8:8">
      <c r="H47887" s="680" t="s">
        <v>6153</v>
      </c>
    </row>
    <row r="47888" spans="8:8">
      <c r="H47888" s="680" t="s">
        <v>6153</v>
      </c>
    </row>
    <row r="47889" spans="8:8">
      <c r="H47889" s="680" t="s">
        <v>6153</v>
      </c>
    </row>
    <row r="47890" spans="8:8">
      <c r="H47890" s="680" t="s">
        <v>6153</v>
      </c>
    </row>
    <row r="47891" spans="8:8">
      <c r="H47891" s="680" t="s">
        <v>6153</v>
      </c>
    </row>
    <row r="47892" spans="8:8">
      <c r="H47892" s="680" t="s">
        <v>6153</v>
      </c>
    </row>
    <row r="47893" spans="8:8">
      <c r="H47893" s="680" t="s">
        <v>6153</v>
      </c>
    </row>
    <row r="47894" spans="8:8">
      <c r="H47894" s="680" t="s">
        <v>6153</v>
      </c>
    </row>
    <row r="47895" spans="8:8">
      <c r="H47895" s="680" t="s">
        <v>6153</v>
      </c>
    </row>
    <row r="47896" spans="8:8">
      <c r="H47896" s="680" t="s">
        <v>6153</v>
      </c>
    </row>
    <row r="47897" spans="8:8">
      <c r="H47897" s="680" t="s">
        <v>6153</v>
      </c>
    </row>
    <row r="47898" spans="8:8">
      <c r="H47898" s="680" t="s">
        <v>6153</v>
      </c>
    </row>
    <row r="47899" spans="8:8">
      <c r="H47899" s="680" t="s">
        <v>6153</v>
      </c>
    </row>
    <row r="47900" spans="8:8">
      <c r="H47900" s="680" t="s">
        <v>6153</v>
      </c>
    </row>
    <row r="47901" spans="8:8">
      <c r="H47901" s="680" t="s">
        <v>6153</v>
      </c>
    </row>
    <row r="47902" spans="8:8">
      <c r="H47902" s="680" t="s">
        <v>6153</v>
      </c>
    </row>
    <row r="47903" spans="8:8">
      <c r="H47903" s="680" t="s">
        <v>6153</v>
      </c>
    </row>
    <row r="47904" spans="8:8">
      <c r="H47904" s="680" t="s">
        <v>6153</v>
      </c>
    </row>
    <row r="47905" spans="8:8">
      <c r="H47905" s="680" t="s">
        <v>6153</v>
      </c>
    </row>
    <row r="47906" spans="8:8">
      <c r="H47906" s="680" t="s">
        <v>6153</v>
      </c>
    </row>
    <row r="47907" spans="8:8">
      <c r="H47907" s="680" t="s">
        <v>6153</v>
      </c>
    </row>
    <row r="47908" spans="8:8">
      <c r="H47908" s="680" t="s">
        <v>6153</v>
      </c>
    </row>
    <row r="47909" spans="8:8">
      <c r="H47909" s="680" t="s">
        <v>6153</v>
      </c>
    </row>
    <row r="47910" spans="8:8">
      <c r="H47910" s="680" t="s">
        <v>6153</v>
      </c>
    </row>
    <row r="47911" spans="8:8">
      <c r="H47911" s="680" t="s">
        <v>6153</v>
      </c>
    </row>
    <row r="47912" spans="8:8">
      <c r="H47912" s="680" t="s">
        <v>6153</v>
      </c>
    </row>
    <row r="47913" spans="8:8">
      <c r="H47913" s="680" t="s">
        <v>6153</v>
      </c>
    </row>
    <row r="47914" spans="8:8">
      <c r="H47914" s="680" t="s">
        <v>6153</v>
      </c>
    </row>
    <row r="47915" spans="8:8">
      <c r="H47915" s="680" t="s">
        <v>6153</v>
      </c>
    </row>
    <row r="47916" spans="8:8">
      <c r="H47916" s="680" t="s">
        <v>6153</v>
      </c>
    </row>
    <row r="47917" spans="8:8">
      <c r="H47917" s="680" t="s">
        <v>6153</v>
      </c>
    </row>
    <row r="47918" spans="8:8">
      <c r="H47918" s="680" t="s">
        <v>6153</v>
      </c>
    </row>
    <row r="47919" spans="8:8">
      <c r="H47919" s="680" t="s">
        <v>6153</v>
      </c>
    </row>
    <row r="47920" spans="8:8">
      <c r="H47920" s="680" t="s">
        <v>6153</v>
      </c>
    </row>
    <row r="47921" spans="8:8">
      <c r="H47921" s="680" t="s">
        <v>6153</v>
      </c>
    </row>
    <row r="47922" spans="8:8">
      <c r="H47922" s="680" t="s">
        <v>6153</v>
      </c>
    </row>
    <row r="47923" spans="8:8">
      <c r="H47923" s="680" t="s">
        <v>6153</v>
      </c>
    </row>
    <row r="47924" spans="8:8">
      <c r="H47924" s="680" t="s">
        <v>6153</v>
      </c>
    </row>
    <row r="47925" spans="8:8">
      <c r="H47925" s="680" t="s">
        <v>6153</v>
      </c>
    </row>
    <row r="47926" spans="8:8">
      <c r="H47926" s="680" t="s">
        <v>6153</v>
      </c>
    </row>
    <row r="47927" spans="8:8">
      <c r="H47927" s="680" t="s">
        <v>6153</v>
      </c>
    </row>
    <row r="47928" spans="8:8">
      <c r="H47928" s="680" t="s">
        <v>6153</v>
      </c>
    </row>
    <row r="47929" spans="8:8">
      <c r="H47929" s="680" t="s">
        <v>6153</v>
      </c>
    </row>
    <row r="47930" spans="8:8">
      <c r="H47930" s="680" t="s">
        <v>6153</v>
      </c>
    </row>
    <row r="47931" spans="8:8">
      <c r="H47931" s="680" t="s">
        <v>6153</v>
      </c>
    </row>
    <row r="47932" spans="8:8">
      <c r="H47932" s="680" t="s">
        <v>6153</v>
      </c>
    </row>
    <row r="47933" spans="8:8">
      <c r="H47933" s="680" t="s">
        <v>6153</v>
      </c>
    </row>
    <row r="47934" spans="8:8">
      <c r="H47934" s="680" t="s">
        <v>6153</v>
      </c>
    </row>
    <row r="47935" spans="8:8">
      <c r="H47935" s="680" t="s">
        <v>6153</v>
      </c>
    </row>
    <row r="47936" spans="8:8">
      <c r="H47936" s="680" t="s">
        <v>6153</v>
      </c>
    </row>
    <row r="47937" spans="8:8">
      <c r="H47937" s="680" t="s">
        <v>6153</v>
      </c>
    </row>
    <row r="47938" spans="8:8">
      <c r="H47938" s="680" t="s">
        <v>6153</v>
      </c>
    </row>
    <row r="47939" spans="8:8">
      <c r="H47939" s="680" t="s">
        <v>6153</v>
      </c>
    </row>
    <row r="47940" spans="8:8">
      <c r="H47940" s="680" t="s">
        <v>6153</v>
      </c>
    </row>
    <row r="47941" spans="8:8">
      <c r="H47941" s="680" t="s">
        <v>6153</v>
      </c>
    </row>
    <row r="47942" spans="8:8">
      <c r="H47942" s="680" t="s">
        <v>6153</v>
      </c>
    </row>
    <row r="47943" spans="8:8">
      <c r="H47943" s="680" t="s">
        <v>6153</v>
      </c>
    </row>
    <row r="47944" spans="8:8">
      <c r="H47944" s="680" t="s">
        <v>6153</v>
      </c>
    </row>
    <row r="47945" spans="8:8">
      <c r="H47945" s="680" t="s">
        <v>6153</v>
      </c>
    </row>
    <row r="47946" spans="8:8">
      <c r="H47946" s="680" t="s">
        <v>6153</v>
      </c>
    </row>
    <row r="47947" spans="8:8">
      <c r="H47947" s="680" t="s">
        <v>6153</v>
      </c>
    </row>
    <row r="47948" spans="8:8">
      <c r="H47948" s="680" t="s">
        <v>6153</v>
      </c>
    </row>
    <row r="47949" spans="8:8">
      <c r="H47949" s="680" t="s">
        <v>6153</v>
      </c>
    </row>
    <row r="47950" spans="8:8">
      <c r="H47950" s="680" t="s">
        <v>6153</v>
      </c>
    </row>
    <row r="47951" spans="8:8">
      <c r="H47951" s="680" t="s">
        <v>6153</v>
      </c>
    </row>
    <row r="47952" spans="8:8">
      <c r="H47952" s="680" t="s">
        <v>6153</v>
      </c>
    </row>
    <row r="47953" spans="8:8">
      <c r="H47953" s="680" t="s">
        <v>6153</v>
      </c>
    </row>
    <row r="47954" spans="8:8">
      <c r="H47954" s="680" t="s">
        <v>6153</v>
      </c>
    </row>
    <row r="47955" spans="8:8">
      <c r="H47955" s="680" t="s">
        <v>6153</v>
      </c>
    </row>
    <row r="47956" spans="8:8">
      <c r="H47956" s="680" t="s">
        <v>6153</v>
      </c>
    </row>
    <row r="47957" spans="8:8">
      <c r="H47957" s="680" t="s">
        <v>6153</v>
      </c>
    </row>
    <row r="47958" spans="8:8">
      <c r="H47958" s="680" t="s">
        <v>6153</v>
      </c>
    </row>
    <row r="47959" spans="8:8">
      <c r="H47959" s="680" t="s">
        <v>6153</v>
      </c>
    </row>
    <row r="47960" spans="8:8">
      <c r="H47960" s="680" t="s">
        <v>6153</v>
      </c>
    </row>
    <row r="47961" spans="8:8">
      <c r="H47961" s="680" t="s">
        <v>6153</v>
      </c>
    </row>
    <row r="47962" spans="8:8">
      <c r="H47962" s="680" t="s">
        <v>6153</v>
      </c>
    </row>
    <row r="47963" spans="8:8">
      <c r="H47963" s="680" t="s">
        <v>6153</v>
      </c>
    </row>
    <row r="47964" spans="8:8">
      <c r="H47964" s="680" t="s">
        <v>6153</v>
      </c>
    </row>
    <row r="47965" spans="8:8">
      <c r="H47965" s="680" t="s">
        <v>6153</v>
      </c>
    </row>
    <row r="47966" spans="8:8">
      <c r="H47966" s="680" t="s">
        <v>6153</v>
      </c>
    </row>
    <row r="47967" spans="8:8">
      <c r="H47967" s="680" t="s">
        <v>6153</v>
      </c>
    </row>
    <row r="47968" spans="8:8">
      <c r="H47968" s="680" t="s">
        <v>6153</v>
      </c>
    </row>
    <row r="47969" spans="8:8">
      <c r="H47969" s="680" t="s">
        <v>6153</v>
      </c>
    </row>
    <row r="47970" spans="8:8">
      <c r="H47970" s="680" t="s">
        <v>6153</v>
      </c>
    </row>
    <row r="47971" spans="8:8">
      <c r="H47971" s="680" t="s">
        <v>6153</v>
      </c>
    </row>
    <row r="47972" spans="8:8">
      <c r="H47972" s="680" t="s">
        <v>6153</v>
      </c>
    </row>
    <row r="47973" spans="8:8">
      <c r="H47973" s="680" t="s">
        <v>6153</v>
      </c>
    </row>
    <row r="47974" spans="8:8">
      <c r="H47974" s="680" t="s">
        <v>6153</v>
      </c>
    </row>
    <row r="47975" spans="8:8">
      <c r="H47975" s="680" t="s">
        <v>6153</v>
      </c>
    </row>
    <row r="47976" spans="8:8">
      <c r="H47976" s="680" t="s">
        <v>6153</v>
      </c>
    </row>
    <row r="47977" spans="8:8">
      <c r="H47977" s="680" t="s">
        <v>6153</v>
      </c>
    </row>
    <row r="47978" spans="8:8">
      <c r="H47978" s="680" t="s">
        <v>6153</v>
      </c>
    </row>
    <row r="47979" spans="8:8">
      <c r="H47979" s="680" t="s">
        <v>6153</v>
      </c>
    </row>
    <row r="47980" spans="8:8">
      <c r="H47980" s="680" t="s">
        <v>6153</v>
      </c>
    </row>
    <row r="47981" spans="8:8">
      <c r="H47981" s="680" t="s">
        <v>6153</v>
      </c>
    </row>
    <row r="47982" spans="8:8">
      <c r="H47982" s="680" t="s">
        <v>6153</v>
      </c>
    </row>
    <row r="47983" spans="8:8">
      <c r="H47983" s="680" t="s">
        <v>6153</v>
      </c>
    </row>
    <row r="47984" spans="8:8">
      <c r="H47984" s="680" t="s">
        <v>6153</v>
      </c>
    </row>
    <row r="47985" spans="8:8">
      <c r="H47985" s="680" t="s">
        <v>6153</v>
      </c>
    </row>
    <row r="47986" spans="8:8">
      <c r="H47986" s="680" t="s">
        <v>6153</v>
      </c>
    </row>
    <row r="47987" spans="8:8">
      <c r="H47987" s="680" t="s">
        <v>6153</v>
      </c>
    </row>
    <row r="47988" spans="8:8">
      <c r="H47988" s="680" t="s">
        <v>6153</v>
      </c>
    </row>
    <row r="47989" spans="8:8">
      <c r="H47989" s="680" t="s">
        <v>6153</v>
      </c>
    </row>
    <row r="47990" spans="8:8">
      <c r="H47990" s="680" t="s">
        <v>6153</v>
      </c>
    </row>
    <row r="47991" spans="8:8">
      <c r="H47991" s="680" t="s">
        <v>6153</v>
      </c>
    </row>
    <row r="47992" spans="8:8">
      <c r="H47992" s="680" t="s">
        <v>6153</v>
      </c>
    </row>
    <row r="47993" spans="8:8">
      <c r="H47993" s="680" t="s">
        <v>6153</v>
      </c>
    </row>
    <row r="47994" spans="8:8">
      <c r="H47994" s="680" t="s">
        <v>6153</v>
      </c>
    </row>
    <row r="47995" spans="8:8">
      <c r="H47995" s="680" t="s">
        <v>6153</v>
      </c>
    </row>
    <row r="47996" spans="8:8">
      <c r="H47996" s="680" t="s">
        <v>6153</v>
      </c>
    </row>
    <row r="47997" spans="8:8">
      <c r="H47997" s="680" t="s">
        <v>6153</v>
      </c>
    </row>
    <row r="47998" spans="8:8">
      <c r="H47998" s="680" t="s">
        <v>6153</v>
      </c>
    </row>
    <row r="47999" spans="8:8">
      <c r="H47999" s="680" t="s">
        <v>6153</v>
      </c>
    </row>
    <row r="48000" spans="8:8">
      <c r="H48000" s="680" t="s">
        <v>6153</v>
      </c>
    </row>
    <row r="48001" spans="8:8">
      <c r="H48001" s="680" t="s">
        <v>6153</v>
      </c>
    </row>
    <row r="48002" spans="8:8">
      <c r="H48002" s="680" t="s">
        <v>6153</v>
      </c>
    </row>
    <row r="48003" spans="8:8">
      <c r="H48003" s="680" t="s">
        <v>6153</v>
      </c>
    </row>
    <row r="48004" spans="8:8">
      <c r="H48004" s="680" t="s">
        <v>6153</v>
      </c>
    </row>
    <row r="48005" spans="8:8">
      <c r="H48005" s="680" t="s">
        <v>6153</v>
      </c>
    </row>
    <row r="48006" spans="8:8">
      <c r="H48006" s="680" t="s">
        <v>6153</v>
      </c>
    </row>
    <row r="48007" spans="8:8">
      <c r="H48007" s="680" t="s">
        <v>6153</v>
      </c>
    </row>
    <row r="48008" spans="8:8">
      <c r="H48008" s="680" t="s">
        <v>6153</v>
      </c>
    </row>
    <row r="48009" spans="8:8">
      <c r="H48009" s="680" t="s">
        <v>6153</v>
      </c>
    </row>
    <row r="48010" spans="8:8">
      <c r="H48010" s="680" t="s">
        <v>6153</v>
      </c>
    </row>
    <row r="48011" spans="8:8">
      <c r="H48011" s="680" t="s">
        <v>6153</v>
      </c>
    </row>
    <row r="48012" spans="8:8">
      <c r="H48012" s="680" t="s">
        <v>6153</v>
      </c>
    </row>
    <row r="48013" spans="8:8">
      <c r="H48013" s="680" t="s">
        <v>6153</v>
      </c>
    </row>
    <row r="48014" spans="8:8">
      <c r="H48014" s="680" t="s">
        <v>6153</v>
      </c>
    </row>
    <row r="48015" spans="8:8">
      <c r="H48015" s="680" t="s">
        <v>6153</v>
      </c>
    </row>
    <row r="48016" spans="8:8">
      <c r="H48016" s="680" t="s">
        <v>6153</v>
      </c>
    </row>
    <row r="48017" spans="8:8">
      <c r="H48017" s="680" t="s">
        <v>6153</v>
      </c>
    </row>
    <row r="48018" spans="8:8">
      <c r="H48018" s="680" t="s">
        <v>6153</v>
      </c>
    </row>
    <row r="48019" spans="8:8">
      <c r="H48019" s="680" t="s">
        <v>6153</v>
      </c>
    </row>
    <row r="48020" spans="8:8">
      <c r="H48020" s="680" t="s">
        <v>6153</v>
      </c>
    </row>
    <row r="48021" spans="8:8">
      <c r="H48021" s="680" t="s">
        <v>6153</v>
      </c>
    </row>
    <row r="48022" spans="8:8">
      <c r="H48022" s="680" t="s">
        <v>6153</v>
      </c>
    </row>
    <row r="48023" spans="8:8">
      <c r="H48023" s="680" t="s">
        <v>6153</v>
      </c>
    </row>
    <row r="48024" spans="8:8">
      <c r="H48024" s="680" t="s">
        <v>6153</v>
      </c>
    </row>
    <row r="48025" spans="8:8">
      <c r="H48025" s="680" t="s">
        <v>6153</v>
      </c>
    </row>
    <row r="48026" spans="8:8">
      <c r="H48026" s="680" t="s">
        <v>6153</v>
      </c>
    </row>
    <row r="48027" spans="8:8">
      <c r="H48027" s="680" t="s">
        <v>6153</v>
      </c>
    </row>
    <row r="48028" spans="8:8">
      <c r="H48028" s="680" t="s">
        <v>6153</v>
      </c>
    </row>
    <row r="48029" spans="8:8">
      <c r="H48029" s="680" t="s">
        <v>6153</v>
      </c>
    </row>
    <row r="48030" spans="8:8">
      <c r="H48030" s="680" t="s">
        <v>6153</v>
      </c>
    </row>
    <row r="48031" spans="8:8">
      <c r="H48031" s="680" t="s">
        <v>6153</v>
      </c>
    </row>
    <row r="48032" spans="8:8">
      <c r="H48032" s="680" t="s">
        <v>6153</v>
      </c>
    </row>
    <row r="48033" spans="8:8">
      <c r="H48033" s="680" t="s">
        <v>6153</v>
      </c>
    </row>
    <row r="48034" spans="8:8">
      <c r="H48034" s="680" t="s">
        <v>6153</v>
      </c>
    </row>
    <row r="48035" spans="8:8">
      <c r="H48035" s="680" t="s">
        <v>6153</v>
      </c>
    </row>
    <row r="48036" spans="8:8">
      <c r="H48036" s="680" t="s">
        <v>6153</v>
      </c>
    </row>
    <row r="48037" spans="8:8">
      <c r="H48037" s="680" t="s">
        <v>6153</v>
      </c>
    </row>
    <row r="48038" spans="8:8">
      <c r="H48038" s="680" t="s">
        <v>6153</v>
      </c>
    </row>
    <row r="48039" spans="8:8">
      <c r="H48039" s="680" t="s">
        <v>6153</v>
      </c>
    </row>
    <row r="48040" spans="8:8">
      <c r="H48040" s="680" t="s">
        <v>6153</v>
      </c>
    </row>
    <row r="48041" spans="8:8">
      <c r="H48041" s="680" t="s">
        <v>6153</v>
      </c>
    </row>
    <row r="48042" spans="8:8">
      <c r="H48042" s="680" t="s">
        <v>6153</v>
      </c>
    </row>
    <row r="48043" spans="8:8">
      <c r="H48043" s="680" t="s">
        <v>6153</v>
      </c>
    </row>
    <row r="48044" spans="8:8">
      <c r="H48044" s="680" t="s">
        <v>6153</v>
      </c>
    </row>
    <row r="48045" spans="8:8">
      <c r="H48045" s="680" t="s">
        <v>6153</v>
      </c>
    </row>
    <row r="48046" spans="8:8">
      <c r="H48046" s="680" t="s">
        <v>6153</v>
      </c>
    </row>
    <row r="48047" spans="8:8">
      <c r="H48047" s="680" t="s">
        <v>6153</v>
      </c>
    </row>
    <row r="48048" spans="8:8">
      <c r="H48048" s="680" t="s">
        <v>6153</v>
      </c>
    </row>
    <row r="48049" spans="8:8">
      <c r="H48049" s="680" t="s">
        <v>6153</v>
      </c>
    </row>
    <row r="48050" spans="8:8">
      <c r="H48050" s="680" t="s">
        <v>6153</v>
      </c>
    </row>
    <row r="48051" spans="8:8">
      <c r="H48051" s="680" t="s">
        <v>6153</v>
      </c>
    </row>
    <row r="48052" spans="8:8">
      <c r="H48052" s="680" t="s">
        <v>6153</v>
      </c>
    </row>
    <row r="48053" spans="8:8">
      <c r="H48053" s="680" t="s">
        <v>6153</v>
      </c>
    </row>
    <row r="48054" spans="8:8">
      <c r="H48054" s="680" t="s">
        <v>6153</v>
      </c>
    </row>
    <row r="48055" spans="8:8">
      <c r="H48055" s="680" t="s">
        <v>6153</v>
      </c>
    </row>
    <row r="48056" spans="8:8">
      <c r="H48056" s="680" t="s">
        <v>6153</v>
      </c>
    </row>
    <row r="48057" spans="8:8">
      <c r="H48057" s="680" t="s">
        <v>6153</v>
      </c>
    </row>
    <row r="48058" spans="8:8">
      <c r="H48058" s="680" t="s">
        <v>6153</v>
      </c>
    </row>
    <row r="48059" spans="8:8">
      <c r="H48059" s="680" t="s">
        <v>6153</v>
      </c>
    </row>
    <row r="48060" spans="8:8">
      <c r="H48060" s="680" t="s">
        <v>6153</v>
      </c>
    </row>
    <row r="48061" spans="8:8">
      <c r="H48061" s="680" t="s">
        <v>6153</v>
      </c>
    </row>
    <row r="48062" spans="8:8">
      <c r="H48062" s="680" t="s">
        <v>6153</v>
      </c>
    </row>
    <row r="48063" spans="8:8">
      <c r="H48063" s="680" t="s">
        <v>6153</v>
      </c>
    </row>
    <row r="48064" spans="8:8">
      <c r="H48064" s="680" t="s">
        <v>6153</v>
      </c>
    </row>
    <row r="48065" spans="8:8">
      <c r="H48065" s="680" t="s">
        <v>6153</v>
      </c>
    </row>
    <row r="48066" spans="8:8">
      <c r="H48066" s="680" t="s">
        <v>6153</v>
      </c>
    </row>
    <row r="48067" spans="8:8">
      <c r="H48067" s="680" t="s">
        <v>6153</v>
      </c>
    </row>
    <row r="48068" spans="8:8">
      <c r="H48068" s="680" t="s">
        <v>6153</v>
      </c>
    </row>
    <row r="48069" spans="8:8">
      <c r="H48069" s="680" t="s">
        <v>6153</v>
      </c>
    </row>
    <row r="48070" spans="8:8">
      <c r="H48070" s="680" t="s">
        <v>6153</v>
      </c>
    </row>
    <row r="48071" spans="8:8">
      <c r="H48071" s="680" t="s">
        <v>6153</v>
      </c>
    </row>
    <row r="48072" spans="8:8">
      <c r="H48072" s="680" t="s">
        <v>6153</v>
      </c>
    </row>
    <row r="48073" spans="8:8">
      <c r="H48073" s="680" t="s">
        <v>6153</v>
      </c>
    </row>
    <row r="48074" spans="8:8">
      <c r="H48074" s="680" t="s">
        <v>6153</v>
      </c>
    </row>
    <row r="48075" spans="8:8">
      <c r="H48075" s="680" t="s">
        <v>6153</v>
      </c>
    </row>
    <row r="48076" spans="8:8">
      <c r="H48076" s="680" t="s">
        <v>6153</v>
      </c>
    </row>
    <row r="48077" spans="8:8">
      <c r="H48077" s="680" t="s">
        <v>6153</v>
      </c>
    </row>
    <row r="48078" spans="8:8">
      <c r="H48078" s="680" t="s">
        <v>6153</v>
      </c>
    </row>
    <row r="48079" spans="8:8">
      <c r="H48079" s="680" t="s">
        <v>6153</v>
      </c>
    </row>
    <row r="48080" spans="8:8">
      <c r="H48080" s="680" t="s">
        <v>6153</v>
      </c>
    </row>
    <row r="48081" spans="8:8">
      <c r="H48081" s="680" t="s">
        <v>6153</v>
      </c>
    </row>
    <row r="48082" spans="8:8">
      <c r="H48082" s="680" t="s">
        <v>6153</v>
      </c>
    </row>
    <row r="48083" spans="8:8">
      <c r="H48083" s="680" t="s">
        <v>6153</v>
      </c>
    </row>
    <row r="48084" spans="8:8">
      <c r="H48084" s="680" t="s">
        <v>6153</v>
      </c>
    </row>
    <row r="48085" spans="8:8">
      <c r="H48085" s="680" t="s">
        <v>6153</v>
      </c>
    </row>
    <row r="48086" spans="8:8">
      <c r="H48086" s="680" t="s">
        <v>6153</v>
      </c>
    </row>
    <row r="48087" spans="8:8">
      <c r="H48087" s="680" t="s">
        <v>6153</v>
      </c>
    </row>
    <row r="48088" spans="8:8">
      <c r="H48088" s="680" t="s">
        <v>6153</v>
      </c>
    </row>
    <row r="48089" spans="8:8">
      <c r="H48089" s="680" t="s">
        <v>6153</v>
      </c>
    </row>
    <row r="48090" spans="8:8">
      <c r="H48090" s="680" t="s">
        <v>6153</v>
      </c>
    </row>
    <row r="48091" spans="8:8">
      <c r="H48091" s="680" t="s">
        <v>6153</v>
      </c>
    </row>
    <row r="48092" spans="8:8">
      <c r="H48092" s="680" t="s">
        <v>6153</v>
      </c>
    </row>
    <row r="48093" spans="8:8">
      <c r="H48093" s="680" t="s">
        <v>6153</v>
      </c>
    </row>
    <row r="48094" spans="8:8">
      <c r="H48094" s="680" t="s">
        <v>6153</v>
      </c>
    </row>
    <row r="48095" spans="8:8">
      <c r="H48095" s="680" t="s">
        <v>6153</v>
      </c>
    </row>
    <row r="48096" spans="8:8">
      <c r="H48096" s="680" t="s">
        <v>6153</v>
      </c>
    </row>
    <row r="48097" spans="8:8">
      <c r="H48097" s="680" t="s">
        <v>6153</v>
      </c>
    </row>
    <row r="48098" spans="8:8">
      <c r="H48098" s="680" t="s">
        <v>6153</v>
      </c>
    </row>
    <row r="48099" spans="8:8">
      <c r="H48099" s="680" t="s">
        <v>6153</v>
      </c>
    </row>
    <row r="48100" spans="8:8">
      <c r="H48100" s="680" t="s">
        <v>6153</v>
      </c>
    </row>
    <row r="48101" spans="8:8">
      <c r="H48101" s="680" t="s">
        <v>6153</v>
      </c>
    </row>
    <row r="48102" spans="8:8">
      <c r="H48102" s="680" t="s">
        <v>6153</v>
      </c>
    </row>
    <row r="48103" spans="8:8">
      <c r="H48103" s="680" t="s">
        <v>6153</v>
      </c>
    </row>
    <row r="48104" spans="8:8">
      <c r="H48104" s="680" t="s">
        <v>6153</v>
      </c>
    </row>
    <row r="48105" spans="8:8">
      <c r="H48105" s="680" t="s">
        <v>6153</v>
      </c>
    </row>
    <row r="48106" spans="8:8">
      <c r="H48106" s="680" t="s">
        <v>6153</v>
      </c>
    </row>
    <row r="48107" spans="8:8">
      <c r="H48107" s="680" t="s">
        <v>6153</v>
      </c>
    </row>
    <row r="48108" spans="8:8">
      <c r="H48108" s="680" t="s">
        <v>6153</v>
      </c>
    </row>
    <row r="48109" spans="8:8">
      <c r="H48109" s="680" t="s">
        <v>6153</v>
      </c>
    </row>
    <row r="48110" spans="8:8">
      <c r="H48110" s="680" t="s">
        <v>6153</v>
      </c>
    </row>
    <row r="48111" spans="8:8">
      <c r="H48111" s="680" t="s">
        <v>6153</v>
      </c>
    </row>
    <row r="48112" spans="8:8">
      <c r="H48112" s="680" t="s">
        <v>6153</v>
      </c>
    </row>
    <row r="48113" spans="8:8">
      <c r="H48113" s="680" t="s">
        <v>6153</v>
      </c>
    </row>
    <row r="48114" spans="8:8">
      <c r="H48114" s="680" t="s">
        <v>6153</v>
      </c>
    </row>
    <row r="48115" spans="8:8">
      <c r="H48115" s="680" t="s">
        <v>6153</v>
      </c>
    </row>
    <row r="48116" spans="8:8">
      <c r="H48116" s="680" t="s">
        <v>6153</v>
      </c>
    </row>
    <row r="48117" spans="8:8">
      <c r="H48117" s="680" t="s">
        <v>6153</v>
      </c>
    </row>
    <row r="48118" spans="8:8">
      <c r="H48118" s="680" t="s">
        <v>6153</v>
      </c>
    </row>
    <row r="48119" spans="8:8">
      <c r="H48119" s="680" t="s">
        <v>6153</v>
      </c>
    </row>
    <row r="48120" spans="8:8">
      <c r="H48120" s="680" t="s">
        <v>6153</v>
      </c>
    </row>
    <row r="48121" spans="8:8">
      <c r="H48121" s="680" t="s">
        <v>6153</v>
      </c>
    </row>
    <row r="48122" spans="8:8">
      <c r="H48122" s="680" t="s">
        <v>6153</v>
      </c>
    </row>
    <row r="48123" spans="8:8">
      <c r="H48123" s="680" t="s">
        <v>6153</v>
      </c>
    </row>
    <row r="48124" spans="8:8">
      <c r="H48124" s="680" t="s">
        <v>6153</v>
      </c>
    </row>
    <row r="48125" spans="8:8">
      <c r="H48125" s="680" t="s">
        <v>6153</v>
      </c>
    </row>
    <row r="48126" spans="8:8">
      <c r="H48126" s="680" t="s">
        <v>6153</v>
      </c>
    </row>
    <row r="48127" spans="8:8">
      <c r="H48127" s="680" t="s">
        <v>6153</v>
      </c>
    </row>
    <row r="48128" spans="8:8">
      <c r="H48128" s="680" t="s">
        <v>6153</v>
      </c>
    </row>
    <row r="48129" spans="8:8">
      <c r="H48129" s="680" t="s">
        <v>6153</v>
      </c>
    </row>
    <row r="48130" spans="8:8">
      <c r="H48130" s="680" t="s">
        <v>6153</v>
      </c>
    </row>
    <row r="48131" spans="8:8">
      <c r="H48131" s="680" t="s">
        <v>6153</v>
      </c>
    </row>
    <row r="48132" spans="8:8">
      <c r="H48132" s="680" t="s">
        <v>6153</v>
      </c>
    </row>
    <row r="48133" spans="8:8">
      <c r="H48133" s="680" t="s">
        <v>6153</v>
      </c>
    </row>
    <row r="48134" spans="8:8">
      <c r="H48134" s="680" t="s">
        <v>6153</v>
      </c>
    </row>
    <row r="48135" spans="8:8">
      <c r="H48135" s="680" t="s">
        <v>6153</v>
      </c>
    </row>
    <row r="48136" spans="8:8">
      <c r="H48136" s="680" t="s">
        <v>6153</v>
      </c>
    </row>
    <row r="48137" spans="8:8">
      <c r="H48137" s="680" t="s">
        <v>6153</v>
      </c>
    </row>
    <row r="48138" spans="8:8">
      <c r="H48138" s="680" t="s">
        <v>6153</v>
      </c>
    </row>
    <row r="48139" spans="8:8">
      <c r="H48139" s="680" t="s">
        <v>6153</v>
      </c>
    </row>
    <row r="48140" spans="8:8">
      <c r="H48140" s="680" t="s">
        <v>6153</v>
      </c>
    </row>
    <row r="48141" spans="8:8">
      <c r="H48141" s="680" t="s">
        <v>6153</v>
      </c>
    </row>
    <row r="48142" spans="8:8">
      <c r="H48142" s="680" t="s">
        <v>6153</v>
      </c>
    </row>
    <row r="48143" spans="8:8">
      <c r="H48143" s="680" t="s">
        <v>6153</v>
      </c>
    </row>
    <row r="48144" spans="8:8">
      <c r="H48144" s="680" t="s">
        <v>6153</v>
      </c>
    </row>
    <row r="48145" spans="8:8">
      <c r="H48145" s="680" t="s">
        <v>6153</v>
      </c>
    </row>
    <row r="48146" spans="8:8">
      <c r="H48146" s="680" t="s">
        <v>6153</v>
      </c>
    </row>
    <row r="48147" spans="8:8">
      <c r="H48147" s="680" t="s">
        <v>6153</v>
      </c>
    </row>
    <row r="48148" spans="8:8">
      <c r="H48148" s="680" t="s">
        <v>6153</v>
      </c>
    </row>
    <row r="48149" spans="8:8">
      <c r="H48149" s="680" t="s">
        <v>6153</v>
      </c>
    </row>
    <row r="48150" spans="8:8">
      <c r="H48150" s="680" t="s">
        <v>6153</v>
      </c>
    </row>
    <row r="48151" spans="8:8">
      <c r="H48151" s="680" t="s">
        <v>6153</v>
      </c>
    </row>
    <row r="48152" spans="8:8">
      <c r="H48152" s="680" t="s">
        <v>6153</v>
      </c>
    </row>
    <row r="48153" spans="8:8">
      <c r="H48153" s="680" t="s">
        <v>6153</v>
      </c>
    </row>
    <row r="48154" spans="8:8">
      <c r="H48154" s="680" t="s">
        <v>6153</v>
      </c>
    </row>
    <row r="48155" spans="8:8">
      <c r="H48155" s="680" t="s">
        <v>6153</v>
      </c>
    </row>
    <row r="48156" spans="8:8">
      <c r="H48156" s="680" t="s">
        <v>6153</v>
      </c>
    </row>
    <row r="48157" spans="8:8">
      <c r="H48157" s="680" t="s">
        <v>6153</v>
      </c>
    </row>
    <row r="48158" spans="8:8">
      <c r="H48158" s="680" t="s">
        <v>6153</v>
      </c>
    </row>
    <row r="48159" spans="8:8">
      <c r="H48159" s="680" t="s">
        <v>6153</v>
      </c>
    </row>
    <row r="48160" spans="8:8">
      <c r="H48160" s="680" t="s">
        <v>6153</v>
      </c>
    </row>
    <row r="48161" spans="8:8">
      <c r="H48161" s="680" t="s">
        <v>6153</v>
      </c>
    </row>
    <row r="48162" spans="8:8">
      <c r="H48162" s="680" t="s">
        <v>6153</v>
      </c>
    </row>
    <row r="48163" spans="8:8">
      <c r="H48163" s="680" t="s">
        <v>6153</v>
      </c>
    </row>
    <row r="48164" spans="8:8">
      <c r="H48164" s="680" t="s">
        <v>6153</v>
      </c>
    </row>
    <row r="48165" spans="8:8">
      <c r="H48165" s="680" t="s">
        <v>6153</v>
      </c>
    </row>
    <row r="48166" spans="8:8">
      <c r="H48166" s="680" t="s">
        <v>6153</v>
      </c>
    </row>
    <row r="48167" spans="8:8">
      <c r="H48167" s="680" t="s">
        <v>6153</v>
      </c>
    </row>
    <row r="48168" spans="8:8">
      <c r="H48168" s="680" t="s">
        <v>6153</v>
      </c>
    </row>
    <row r="48169" spans="8:8">
      <c r="H48169" s="680" t="s">
        <v>6153</v>
      </c>
    </row>
    <row r="48170" spans="8:8">
      <c r="H48170" s="680" t="s">
        <v>6153</v>
      </c>
    </row>
    <row r="48171" spans="8:8">
      <c r="H48171" s="680" t="s">
        <v>6153</v>
      </c>
    </row>
    <row r="48172" spans="8:8">
      <c r="H48172" s="680" t="s">
        <v>6153</v>
      </c>
    </row>
    <row r="48173" spans="8:8">
      <c r="H48173" s="680" t="s">
        <v>6153</v>
      </c>
    </row>
    <row r="48174" spans="8:8">
      <c r="H48174" s="680" t="s">
        <v>6153</v>
      </c>
    </row>
    <row r="48175" spans="8:8">
      <c r="H48175" s="680" t="s">
        <v>6153</v>
      </c>
    </row>
    <row r="48176" spans="8:8">
      <c r="H48176" s="680" t="s">
        <v>6153</v>
      </c>
    </row>
    <row r="48177" spans="8:8">
      <c r="H48177" s="680" t="s">
        <v>6153</v>
      </c>
    </row>
    <row r="48178" spans="8:8">
      <c r="H48178" s="680" t="s">
        <v>6153</v>
      </c>
    </row>
    <row r="48179" spans="8:8">
      <c r="H48179" s="680" t="s">
        <v>6153</v>
      </c>
    </row>
    <row r="48180" spans="8:8">
      <c r="H48180" s="680" t="s">
        <v>6153</v>
      </c>
    </row>
    <row r="48181" spans="8:8">
      <c r="H48181" s="680" t="s">
        <v>6153</v>
      </c>
    </row>
    <row r="48182" spans="8:8">
      <c r="H48182" s="680" t="s">
        <v>6153</v>
      </c>
    </row>
    <row r="48183" spans="8:8">
      <c r="H48183" s="680" t="s">
        <v>6153</v>
      </c>
    </row>
    <row r="48184" spans="8:8">
      <c r="H48184" s="680" t="s">
        <v>6153</v>
      </c>
    </row>
    <row r="48185" spans="8:8">
      <c r="H48185" s="680" t="s">
        <v>6153</v>
      </c>
    </row>
    <row r="48186" spans="8:8">
      <c r="H48186" s="680" t="s">
        <v>6153</v>
      </c>
    </row>
    <row r="48187" spans="8:8">
      <c r="H48187" s="680" t="s">
        <v>6153</v>
      </c>
    </row>
    <row r="48188" spans="8:8">
      <c r="H48188" s="680" t="s">
        <v>6153</v>
      </c>
    </row>
    <row r="48189" spans="8:8">
      <c r="H48189" s="680" t="s">
        <v>6153</v>
      </c>
    </row>
    <row r="48190" spans="8:8">
      <c r="H48190" s="680" t="s">
        <v>6153</v>
      </c>
    </row>
    <row r="48191" spans="8:8">
      <c r="H48191" s="680" t="s">
        <v>6153</v>
      </c>
    </row>
    <row r="48192" spans="8:8">
      <c r="H48192" s="680" t="s">
        <v>6153</v>
      </c>
    </row>
    <row r="48193" spans="8:8">
      <c r="H48193" s="680" t="s">
        <v>6153</v>
      </c>
    </row>
    <row r="48194" spans="8:8">
      <c r="H48194" s="680" t="s">
        <v>6153</v>
      </c>
    </row>
    <row r="48195" spans="8:8">
      <c r="H48195" s="680" t="s">
        <v>6153</v>
      </c>
    </row>
    <row r="48196" spans="8:8">
      <c r="H48196" s="680" t="s">
        <v>6153</v>
      </c>
    </row>
    <row r="48197" spans="8:8">
      <c r="H48197" s="680" t="s">
        <v>6153</v>
      </c>
    </row>
    <row r="48198" spans="8:8">
      <c r="H48198" s="680" t="s">
        <v>6153</v>
      </c>
    </row>
    <row r="48199" spans="8:8">
      <c r="H48199" s="680" t="s">
        <v>6153</v>
      </c>
    </row>
    <row r="48200" spans="8:8">
      <c r="H48200" s="680" t="s">
        <v>6153</v>
      </c>
    </row>
    <row r="48201" spans="8:8">
      <c r="H48201" s="680" t="s">
        <v>6153</v>
      </c>
    </row>
    <row r="48202" spans="8:8">
      <c r="H48202" s="680" t="s">
        <v>6153</v>
      </c>
    </row>
    <row r="48203" spans="8:8">
      <c r="H48203" s="680" t="s">
        <v>6153</v>
      </c>
    </row>
    <row r="48204" spans="8:8">
      <c r="H48204" s="680" t="s">
        <v>6153</v>
      </c>
    </row>
    <row r="48205" spans="8:8">
      <c r="H48205" s="680" t="s">
        <v>6153</v>
      </c>
    </row>
    <row r="48206" spans="8:8">
      <c r="H48206" s="680" t="s">
        <v>6153</v>
      </c>
    </row>
    <row r="48207" spans="8:8">
      <c r="H48207" s="680" t="s">
        <v>6153</v>
      </c>
    </row>
    <row r="48208" spans="8:8">
      <c r="H48208" s="680" t="s">
        <v>6153</v>
      </c>
    </row>
    <row r="48209" spans="8:8">
      <c r="H48209" s="680" t="s">
        <v>6153</v>
      </c>
    </row>
    <row r="48210" spans="8:8">
      <c r="H48210" s="680" t="s">
        <v>6153</v>
      </c>
    </row>
    <row r="48211" spans="8:8">
      <c r="H48211" s="680" t="s">
        <v>6153</v>
      </c>
    </row>
    <row r="48212" spans="8:8">
      <c r="H48212" s="680" t="s">
        <v>6153</v>
      </c>
    </row>
    <row r="48213" spans="8:8">
      <c r="H48213" s="680" t="s">
        <v>6153</v>
      </c>
    </row>
    <row r="48214" spans="8:8">
      <c r="H48214" s="680" t="s">
        <v>6153</v>
      </c>
    </row>
    <row r="48215" spans="8:8">
      <c r="H48215" s="680" t="s">
        <v>6153</v>
      </c>
    </row>
    <row r="48216" spans="8:8">
      <c r="H48216" s="680" t="s">
        <v>6153</v>
      </c>
    </row>
    <row r="48217" spans="8:8">
      <c r="H48217" s="680" t="s">
        <v>6153</v>
      </c>
    </row>
    <row r="48218" spans="8:8">
      <c r="H48218" s="680" t="s">
        <v>6153</v>
      </c>
    </row>
    <row r="48219" spans="8:8">
      <c r="H48219" s="680" t="s">
        <v>6153</v>
      </c>
    </row>
    <row r="48220" spans="8:8">
      <c r="H48220" s="680" t="s">
        <v>6153</v>
      </c>
    </row>
    <row r="48221" spans="8:8">
      <c r="H48221" s="680" t="s">
        <v>6153</v>
      </c>
    </row>
    <row r="48222" spans="8:8">
      <c r="H48222" s="680" t="s">
        <v>6153</v>
      </c>
    </row>
    <row r="48223" spans="8:8">
      <c r="H48223" s="680" t="s">
        <v>6153</v>
      </c>
    </row>
    <row r="48224" spans="8:8">
      <c r="H48224" s="680" t="s">
        <v>6153</v>
      </c>
    </row>
    <row r="48225" spans="8:8">
      <c r="H48225" s="680" t="s">
        <v>6153</v>
      </c>
    </row>
    <row r="48226" spans="8:8">
      <c r="H48226" s="680" t="s">
        <v>6153</v>
      </c>
    </row>
    <row r="48227" spans="8:8">
      <c r="H48227" s="680" t="s">
        <v>6153</v>
      </c>
    </row>
    <row r="48228" spans="8:8">
      <c r="H48228" s="680" t="s">
        <v>6153</v>
      </c>
    </row>
    <row r="48229" spans="8:8">
      <c r="H48229" s="680" t="s">
        <v>6153</v>
      </c>
    </row>
    <row r="48230" spans="8:8">
      <c r="H48230" s="680" t="s">
        <v>6153</v>
      </c>
    </row>
    <row r="48231" spans="8:8">
      <c r="H48231" s="680" t="s">
        <v>6153</v>
      </c>
    </row>
    <row r="48232" spans="8:8">
      <c r="H48232" s="680" t="s">
        <v>6153</v>
      </c>
    </row>
    <row r="48233" spans="8:8">
      <c r="H48233" s="680" t="s">
        <v>6153</v>
      </c>
    </row>
    <row r="48234" spans="8:8">
      <c r="H48234" s="680" t="s">
        <v>6153</v>
      </c>
    </row>
    <row r="48235" spans="8:8">
      <c r="H48235" s="680" t="s">
        <v>6153</v>
      </c>
    </row>
    <row r="48236" spans="8:8">
      <c r="H48236" s="680" t="s">
        <v>6153</v>
      </c>
    </row>
    <row r="48237" spans="8:8">
      <c r="H48237" s="680" t="s">
        <v>6153</v>
      </c>
    </row>
    <row r="48238" spans="8:8">
      <c r="H48238" s="680" t="s">
        <v>6153</v>
      </c>
    </row>
    <row r="48239" spans="8:8">
      <c r="H48239" s="680" t="s">
        <v>6153</v>
      </c>
    </row>
    <row r="48240" spans="8:8">
      <c r="H48240" s="680" t="s">
        <v>6153</v>
      </c>
    </row>
    <row r="48241" spans="8:8">
      <c r="H48241" s="680" t="s">
        <v>6153</v>
      </c>
    </row>
    <row r="48242" spans="8:8">
      <c r="H48242" s="680" t="s">
        <v>6153</v>
      </c>
    </row>
    <row r="48243" spans="8:8">
      <c r="H48243" s="680" t="s">
        <v>6153</v>
      </c>
    </row>
    <row r="48244" spans="8:8">
      <c r="H48244" s="680" t="s">
        <v>6153</v>
      </c>
    </row>
    <row r="48245" spans="8:8">
      <c r="H48245" s="680" t="s">
        <v>6153</v>
      </c>
    </row>
    <row r="48246" spans="8:8">
      <c r="H48246" s="680" t="s">
        <v>6153</v>
      </c>
    </row>
    <row r="48247" spans="8:8">
      <c r="H48247" s="680" t="s">
        <v>6153</v>
      </c>
    </row>
    <row r="48248" spans="8:8">
      <c r="H48248" s="680" t="s">
        <v>6153</v>
      </c>
    </row>
    <row r="48249" spans="8:8">
      <c r="H48249" s="680" t="s">
        <v>6153</v>
      </c>
    </row>
    <row r="48250" spans="8:8">
      <c r="H48250" s="680" t="s">
        <v>6153</v>
      </c>
    </row>
    <row r="48251" spans="8:8">
      <c r="H48251" s="680" t="s">
        <v>6153</v>
      </c>
    </row>
    <row r="48252" spans="8:8">
      <c r="H48252" s="680" t="s">
        <v>6153</v>
      </c>
    </row>
    <row r="48253" spans="8:8">
      <c r="H48253" s="680" t="s">
        <v>6153</v>
      </c>
    </row>
    <row r="48254" spans="8:8">
      <c r="H48254" s="680" t="s">
        <v>6153</v>
      </c>
    </row>
    <row r="48255" spans="8:8">
      <c r="H48255" s="680" t="s">
        <v>6153</v>
      </c>
    </row>
    <row r="48256" spans="8:8">
      <c r="H48256" s="680" t="s">
        <v>6153</v>
      </c>
    </row>
    <row r="48257" spans="8:8">
      <c r="H48257" s="680" t="s">
        <v>6153</v>
      </c>
    </row>
    <row r="48258" spans="8:8">
      <c r="H48258" s="680" t="s">
        <v>6153</v>
      </c>
    </row>
    <row r="48259" spans="8:8">
      <c r="H48259" s="680" t="s">
        <v>6153</v>
      </c>
    </row>
    <row r="48260" spans="8:8">
      <c r="H48260" s="680" t="s">
        <v>6153</v>
      </c>
    </row>
    <row r="48261" spans="8:8">
      <c r="H48261" s="680" t="s">
        <v>6153</v>
      </c>
    </row>
    <row r="48262" spans="8:8">
      <c r="H48262" s="680" t="s">
        <v>6153</v>
      </c>
    </row>
    <row r="48263" spans="8:8">
      <c r="H48263" s="680" t="s">
        <v>6153</v>
      </c>
    </row>
    <row r="48264" spans="8:8">
      <c r="H48264" s="680" t="s">
        <v>6153</v>
      </c>
    </row>
    <row r="48265" spans="8:8">
      <c r="H48265" s="680" t="s">
        <v>6153</v>
      </c>
    </row>
    <row r="48266" spans="8:8">
      <c r="H48266" s="680" t="s">
        <v>6153</v>
      </c>
    </row>
    <row r="48267" spans="8:8">
      <c r="H48267" s="680" t="s">
        <v>6153</v>
      </c>
    </row>
    <row r="48268" spans="8:8">
      <c r="H48268" s="680" t="s">
        <v>6153</v>
      </c>
    </row>
    <row r="48269" spans="8:8">
      <c r="H48269" s="680" t="s">
        <v>6153</v>
      </c>
    </row>
    <row r="48270" spans="8:8">
      <c r="H48270" s="680" t="s">
        <v>6153</v>
      </c>
    </row>
    <row r="48271" spans="8:8">
      <c r="H48271" s="680" t="s">
        <v>6153</v>
      </c>
    </row>
    <row r="48272" spans="8:8">
      <c r="H48272" s="680" t="s">
        <v>6153</v>
      </c>
    </row>
    <row r="48273" spans="8:8">
      <c r="H48273" s="680" t="s">
        <v>6153</v>
      </c>
    </row>
    <row r="48274" spans="8:8">
      <c r="H48274" s="680" t="s">
        <v>6153</v>
      </c>
    </row>
    <row r="48275" spans="8:8">
      <c r="H48275" s="680" t="s">
        <v>6153</v>
      </c>
    </row>
    <row r="48276" spans="8:8">
      <c r="H48276" s="680" t="s">
        <v>6153</v>
      </c>
    </row>
    <row r="48277" spans="8:8">
      <c r="H48277" s="680" t="s">
        <v>6153</v>
      </c>
    </row>
    <row r="48278" spans="8:8">
      <c r="H48278" s="680" t="s">
        <v>6153</v>
      </c>
    </row>
    <row r="48279" spans="8:8">
      <c r="H48279" s="680" t="s">
        <v>6153</v>
      </c>
    </row>
    <row r="48280" spans="8:8">
      <c r="H48280" s="680" t="s">
        <v>6153</v>
      </c>
    </row>
    <row r="48281" spans="8:8">
      <c r="H48281" s="680" t="s">
        <v>6153</v>
      </c>
    </row>
    <row r="48282" spans="8:8">
      <c r="H48282" s="680" t="s">
        <v>6153</v>
      </c>
    </row>
    <row r="48283" spans="8:8">
      <c r="H48283" s="680" t="s">
        <v>6153</v>
      </c>
    </row>
    <row r="48284" spans="8:8">
      <c r="H48284" s="680" t="s">
        <v>6153</v>
      </c>
    </row>
    <row r="48285" spans="8:8">
      <c r="H48285" s="680" t="s">
        <v>6153</v>
      </c>
    </row>
    <row r="48286" spans="8:8">
      <c r="H48286" s="680" t="s">
        <v>6153</v>
      </c>
    </row>
    <row r="48287" spans="8:8">
      <c r="H48287" s="680" t="s">
        <v>6153</v>
      </c>
    </row>
    <row r="48288" spans="8:8">
      <c r="H48288" s="680" t="s">
        <v>6153</v>
      </c>
    </row>
    <row r="48289" spans="8:8">
      <c r="H48289" s="680" t="s">
        <v>6153</v>
      </c>
    </row>
    <row r="48290" spans="8:8">
      <c r="H48290" s="680" t="s">
        <v>6153</v>
      </c>
    </row>
    <row r="48291" spans="8:8">
      <c r="H48291" s="680" t="s">
        <v>6153</v>
      </c>
    </row>
    <row r="48292" spans="8:8">
      <c r="H48292" s="680" t="s">
        <v>6153</v>
      </c>
    </row>
    <row r="48293" spans="8:8">
      <c r="H48293" s="680" t="s">
        <v>6153</v>
      </c>
    </row>
    <row r="48294" spans="8:8">
      <c r="H48294" s="680" t="s">
        <v>6153</v>
      </c>
    </row>
    <row r="48295" spans="8:8">
      <c r="H48295" s="680" t="s">
        <v>6153</v>
      </c>
    </row>
    <row r="48296" spans="8:8">
      <c r="H48296" s="680" t="s">
        <v>6153</v>
      </c>
    </row>
    <row r="48297" spans="8:8">
      <c r="H48297" s="680" t="s">
        <v>6153</v>
      </c>
    </row>
    <row r="48298" spans="8:8">
      <c r="H48298" s="680" t="s">
        <v>6153</v>
      </c>
    </row>
    <row r="48299" spans="8:8">
      <c r="H48299" s="680" t="s">
        <v>6153</v>
      </c>
    </row>
    <row r="48300" spans="8:8">
      <c r="H48300" s="680" t="s">
        <v>6153</v>
      </c>
    </row>
    <row r="48301" spans="8:8">
      <c r="H48301" s="680" t="s">
        <v>6153</v>
      </c>
    </row>
    <row r="48302" spans="8:8">
      <c r="H48302" s="680" t="s">
        <v>6153</v>
      </c>
    </row>
    <row r="48303" spans="8:8">
      <c r="H48303" s="680" t="s">
        <v>6153</v>
      </c>
    </row>
    <row r="48304" spans="8:8">
      <c r="H48304" s="680" t="s">
        <v>6153</v>
      </c>
    </row>
    <row r="48305" spans="8:8">
      <c r="H48305" s="680" t="s">
        <v>6153</v>
      </c>
    </row>
    <row r="48306" spans="8:8">
      <c r="H48306" s="680" t="s">
        <v>6153</v>
      </c>
    </row>
    <row r="48307" spans="8:8">
      <c r="H48307" s="680" t="s">
        <v>6153</v>
      </c>
    </row>
    <row r="48308" spans="8:8">
      <c r="H48308" s="680" t="s">
        <v>6153</v>
      </c>
    </row>
    <row r="48309" spans="8:8">
      <c r="H48309" s="680" t="s">
        <v>6153</v>
      </c>
    </row>
    <row r="48310" spans="8:8">
      <c r="H48310" s="680" t="s">
        <v>6153</v>
      </c>
    </row>
    <row r="48311" spans="8:8">
      <c r="H48311" s="680" t="s">
        <v>6153</v>
      </c>
    </row>
    <row r="48312" spans="8:8">
      <c r="H48312" s="680" t="s">
        <v>6153</v>
      </c>
    </row>
    <row r="48313" spans="8:8">
      <c r="H48313" s="680" t="s">
        <v>6153</v>
      </c>
    </row>
    <row r="48314" spans="8:8">
      <c r="H48314" s="680" t="s">
        <v>6153</v>
      </c>
    </row>
    <row r="48315" spans="8:8">
      <c r="H48315" s="680" t="s">
        <v>6153</v>
      </c>
    </row>
    <row r="48316" spans="8:8">
      <c r="H48316" s="680" t="s">
        <v>6153</v>
      </c>
    </row>
    <row r="48317" spans="8:8">
      <c r="H48317" s="680" t="s">
        <v>6153</v>
      </c>
    </row>
    <row r="48318" spans="8:8">
      <c r="H48318" s="680" t="s">
        <v>6153</v>
      </c>
    </row>
    <row r="48319" spans="8:8">
      <c r="H48319" s="680" t="s">
        <v>6153</v>
      </c>
    </row>
    <row r="48320" spans="8:8">
      <c r="H48320" s="680" t="s">
        <v>6153</v>
      </c>
    </row>
    <row r="48321" spans="8:8">
      <c r="H48321" s="680" t="s">
        <v>6153</v>
      </c>
    </row>
    <row r="48322" spans="8:8">
      <c r="H48322" s="680" t="s">
        <v>6153</v>
      </c>
    </row>
    <row r="48323" spans="8:8">
      <c r="H48323" s="680" t="s">
        <v>6153</v>
      </c>
    </row>
    <row r="48324" spans="8:8">
      <c r="H48324" s="680" t="s">
        <v>6153</v>
      </c>
    </row>
    <row r="48325" spans="8:8">
      <c r="H48325" s="680" t="s">
        <v>6153</v>
      </c>
    </row>
    <row r="48326" spans="8:8">
      <c r="H48326" s="680" t="s">
        <v>6153</v>
      </c>
    </row>
    <row r="48327" spans="8:8">
      <c r="H48327" s="680" t="s">
        <v>6153</v>
      </c>
    </row>
    <row r="48328" spans="8:8">
      <c r="H48328" s="680" t="s">
        <v>6153</v>
      </c>
    </row>
    <row r="48329" spans="8:8">
      <c r="H48329" s="680" t="s">
        <v>6153</v>
      </c>
    </row>
    <row r="48330" spans="8:8">
      <c r="H48330" s="680" t="s">
        <v>6153</v>
      </c>
    </row>
    <row r="48331" spans="8:8">
      <c r="H48331" s="680" t="s">
        <v>6153</v>
      </c>
    </row>
    <row r="48332" spans="8:8">
      <c r="H48332" s="680" t="s">
        <v>6153</v>
      </c>
    </row>
    <row r="48333" spans="8:8">
      <c r="H48333" s="680" t="s">
        <v>6153</v>
      </c>
    </row>
    <row r="48334" spans="8:8">
      <c r="H48334" s="680" t="s">
        <v>6153</v>
      </c>
    </row>
    <row r="48335" spans="8:8">
      <c r="H48335" s="680" t="s">
        <v>6153</v>
      </c>
    </row>
    <row r="48336" spans="8:8">
      <c r="H48336" s="680" t="s">
        <v>6153</v>
      </c>
    </row>
    <row r="48337" spans="8:8">
      <c r="H48337" s="680" t="s">
        <v>6153</v>
      </c>
    </row>
    <row r="48338" spans="8:8">
      <c r="H48338" s="680" t="s">
        <v>6153</v>
      </c>
    </row>
    <row r="48339" spans="8:8">
      <c r="H48339" s="680" t="s">
        <v>6153</v>
      </c>
    </row>
    <row r="48340" spans="8:8">
      <c r="H48340" s="680" t="s">
        <v>6153</v>
      </c>
    </row>
    <row r="48341" spans="8:8">
      <c r="H48341" s="680" t="s">
        <v>6153</v>
      </c>
    </row>
    <row r="48342" spans="8:8">
      <c r="H48342" s="680" t="s">
        <v>6153</v>
      </c>
    </row>
    <row r="48343" spans="8:8">
      <c r="H48343" s="680" t="s">
        <v>6153</v>
      </c>
    </row>
    <row r="48344" spans="8:8">
      <c r="H48344" s="680" t="s">
        <v>6153</v>
      </c>
    </row>
    <row r="48345" spans="8:8">
      <c r="H48345" s="680" t="s">
        <v>6153</v>
      </c>
    </row>
    <row r="48346" spans="8:8">
      <c r="H48346" s="680" t="s">
        <v>6153</v>
      </c>
    </row>
    <row r="48347" spans="8:8">
      <c r="H48347" s="680" t="s">
        <v>6153</v>
      </c>
    </row>
    <row r="48348" spans="8:8">
      <c r="H48348" s="680" t="s">
        <v>6153</v>
      </c>
    </row>
    <row r="48349" spans="8:8">
      <c r="H48349" s="680" t="s">
        <v>6153</v>
      </c>
    </row>
    <row r="48350" spans="8:8">
      <c r="H48350" s="680" t="s">
        <v>6153</v>
      </c>
    </row>
    <row r="48351" spans="8:8">
      <c r="H48351" s="680" t="s">
        <v>6153</v>
      </c>
    </row>
    <row r="48352" spans="8:8">
      <c r="H48352" s="680" t="s">
        <v>6153</v>
      </c>
    </row>
    <row r="48353" spans="8:8">
      <c r="H48353" s="680" t="s">
        <v>6153</v>
      </c>
    </row>
    <row r="48354" spans="8:8">
      <c r="H48354" s="680" t="s">
        <v>6153</v>
      </c>
    </row>
    <row r="48355" spans="8:8">
      <c r="H48355" s="680" t="s">
        <v>6153</v>
      </c>
    </row>
    <row r="48356" spans="8:8">
      <c r="H48356" s="680" t="s">
        <v>6153</v>
      </c>
    </row>
    <row r="48357" spans="8:8">
      <c r="H48357" s="680" t="s">
        <v>6153</v>
      </c>
    </row>
    <row r="48358" spans="8:8">
      <c r="H48358" s="680" t="s">
        <v>6153</v>
      </c>
    </row>
    <row r="48359" spans="8:8">
      <c r="H48359" s="680" t="s">
        <v>6153</v>
      </c>
    </row>
    <row r="48360" spans="8:8">
      <c r="H48360" s="680" t="s">
        <v>6153</v>
      </c>
    </row>
    <row r="48361" spans="8:8">
      <c r="H48361" s="680" t="s">
        <v>6153</v>
      </c>
    </row>
    <row r="48362" spans="8:8">
      <c r="H48362" s="680" t="s">
        <v>6153</v>
      </c>
    </row>
    <row r="48363" spans="8:8">
      <c r="H48363" s="680" t="s">
        <v>6153</v>
      </c>
    </row>
    <row r="48364" spans="8:8">
      <c r="H48364" s="680" t="s">
        <v>6153</v>
      </c>
    </row>
    <row r="48365" spans="8:8">
      <c r="H48365" s="680" t="s">
        <v>6153</v>
      </c>
    </row>
    <row r="48366" spans="8:8">
      <c r="H48366" s="680" t="s">
        <v>6153</v>
      </c>
    </row>
    <row r="48367" spans="8:8">
      <c r="H48367" s="680" t="s">
        <v>6153</v>
      </c>
    </row>
    <row r="48368" spans="8:8">
      <c r="H48368" s="680" t="s">
        <v>6153</v>
      </c>
    </row>
    <row r="48369" spans="8:8">
      <c r="H48369" s="680" t="s">
        <v>6153</v>
      </c>
    </row>
    <row r="48370" spans="8:8">
      <c r="H48370" s="680" t="s">
        <v>6153</v>
      </c>
    </row>
    <row r="48371" spans="8:8">
      <c r="H48371" s="680" t="s">
        <v>6153</v>
      </c>
    </row>
    <row r="48372" spans="8:8">
      <c r="H48372" s="680" t="s">
        <v>6153</v>
      </c>
    </row>
    <row r="48373" spans="8:8">
      <c r="H48373" s="680" t="s">
        <v>6153</v>
      </c>
    </row>
    <row r="48374" spans="8:8">
      <c r="H48374" s="680" t="s">
        <v>6153</v>
      </c>
    </row>
    <row r="48375" spans="8:8">
      <c r="H48375" s="680" t="s">
        <v>6153</v>
      </c>
    </row>
    <row r="48376" spans="8:8">
      <c r="H48376" s="680" t="s">
        <v>6153</v>
      </c>
    </row>
    <row r="48377" spans="8:8">
      <c r="H48377" s="680" t="s">
        <v>6153</v>
      </c>
    </row>
    <row r="48378" spans="8:8">
      <c r="H48378" s="680" t="s">
        <v>6153</v>
      </c>
    </row>
    <row r="48379" spans="8:8">
      <c r="H48379" s="680" t="s">
        <v>6153</v>
      </c>
    </row>
    <row r="48380" spans="8:8">
      <c r="H48380" s="680" t="s">
        <v>6153</v>
      </c>
    </row>
    <row r="48381" spans="8:8">
      <c r="H48381" s="680" t="s">
        <v>6153</v>
      </c>
    </row>
    <row r="48382" spans="8:8">
      <c r="H48382" s="680" t="s">
        <v>6153</v>
      </c>
    </row>
    <row r="48383" spans="8:8">
      <c r="H48383" s="680" t="s">
        <v>6153</v>
      </c>
    </row>
    <row r="48384" spans="8:8">
      <c r="H48384" s="680" t="s">
        <v>6153</v>
      </c>
    </row>
    <row r="48385" spans="8:8">
      <c r="H48385" s="680" t="s">
        <v>6153</v>
      </c>
    </row>
    <row r="48386" spans="8:8">
      <c r="H48386" s="680" t="s">
        <v>6153</v>
      </c>
    </row>
    <row r="48387" spans="8:8">
      <c r="H48387" s="680" t="s">
        <v>6153</v>
      </c>
    </row>
    <row r="48388" spans="8:8">
      <c r="H48388" s="680" t="s">
        <v>6153</v>
      </c>
    </row>
    <row r="48389" spans="8:8">
      <c r="H48389" s="680" t="s">
        <v>6153</v>
      </c>
    </row>
    <row r="48390" spans="8:8">
      <c r="H48390" s="680" t="s">
        <v>6153</v>
      </c>
    </row>
    <row r="48391" spans="8:8">
      <c r="H48391" s="680" t="s">
        <v>6153</v>
      </c>
    </row>
    <row r="48392" spans="8:8">
      <c r="H48392" s="680" t="s">
        <v>6153</v>
      </c>
    </row>
    <row r="48393" spans="8:8">
      <c r="H48393" s="680" t="s">
        <v>6153</v>
      </c>
    </row>
    <row r="48394" spans="8:8">
      <c r="H48394" s="680" t="s">
        <v>6153</v>
      </c>
    </row>
    <row r="48395" spans="8:8">
      <c r="H48395" s="680" t="s">
        <v>6153</v>
      </c>
    </row>
    <row r="48396" spans="8:8">
      <c r="H48396" s="680" t="s">
        <v>6153</v>
      </c>
    </row>
    <row r="48397" spans="8:8">
      <c r="H48397" s="680" t="s">
        <v>6153</v>
      </c>
    </row>
    <row r="48398" spans="8:8">
      <c r="H48398" s="680" t="s">
        <v>6153</v>
      </c>
    </row>
    <row r="48399" spans="8:8">
      <c r="H48399" s="680" t="s">
        <v>6153</v>
      </c>
    </row>
    <row r="48400" spans="8:8">
      <c r="H48400" s="680" t="s">
        <v>6153</v>
      </c>
    </row>
    <row r="48401" spans="8:8">
      <c r="H48401" s="680" t="s">
        <v>6153</v>
      </c>
    </row>
    <row r="48402" spans="8:8">
      <c r="H48402" s="680" t="s">
        <v>6153</v>
      </c>
    </row>
    <row r="48403" spans="8:8">
      <c r="H48403" s="680" t="s">
        <v>6153</v>
      </c>
    </row>
    <row r="48404" spans="8:8">
      <c r="H48404" s="680" t="s">
        <v>6153</v>
      </c>
    </row>
    <row r="48405" spans="8:8">
      <c r="H48405" s="680" t="s">
        <v>6153</v>
      </c>
    </row>
    <row r="48406" spans="8:8">
      <c r="H48406" s="680" t="s">
        <v>6153</v>
      </c>
    </row>
    <row r="48407" spans="8:8">
      <c r="H48407" s="680" t="s">
        <v>6153</v>
      </c>
    </row>
    <row r="48408" spans="8:8">
      <c r="H48408" s="680" t="s">
        <v>6153</v>
      </c>
    </row>
    <row r="48409" spans="8:8">
      <c r="H48409" s="680" t="s">
        <v>6153</v>
      </c>
    </row>
    <row r="48410" spans="8:8">
      <c r="H48410" s="680" t="s">
        <v>6153</v>
      </c>
    </row>
    <row r="48411" spans="8:8">
      <c r="H48411" s="680" t="s">
        <v>6153</v>
      </c>
    </row>
    <row r="48412" spans="8:8">
      <c r="H48412" s="680" t="s">
        <v>6153</v>
      </c>
    </row>
    <row r="48413" spans="8:8">
      <c r="H48413" s="680" t="s">
        <v>6153</v>
      </c>
    </row>
    <row r="48414" spans="8:8">
      <c r="H48414" s="680" t="s">
        <v>6153</v>
      </c>
    </row>
    <row r="48415" spans="8:8">
      <c r="H48415" s="680" t="s">
        <v>6153</v>
      </c>
    </row>
    <row r="48416" spans="8:8">
      <c r="H48416" s="680" t="s">
        <v>6153</v>
      </c>
    </row>
    <row r="48417" spans="8:8">
      <c r="H48417" s="680" t="s">
        <v>6153</v>
      </c>
    </row>
    <row r="48418" spans="8:8">
      <c r="H48418" s="680" t="s">
        <v>6153</v>
      </c>
    </row>
    <row r="48419" spans="8:8">
      <c r="H48419" s="680" t="s">
        <v>6153</v>
      </c>
    </row>
    <row r="48420" spans="8:8">
      <c r="H48420" s="680" t="s">
        <v>6153</v>
      </c>
    </row>
    <row r="48421" spans="8:8">
      <c r="H48421" s="680" t="s">
        <v>6153</v>
      </c>
    </row>
    <row r="48422" spans="8:8">
      <c r="H48422" s="680" t="s">
        <v>6153</v>
      </c>
    </row>
    <row r="48423" spans="8:8">
      <c r="H48423" s="680" t="s">
        <v>6153</v>
      </c>
    </row>
    <row r="48424" spans="8:8">
      <c r="H48424" s="680" t="s">
        <v>6153</v>
      </c>
    </row>
    <row r="48425" spans="8:8">
      <c r="H48425" s="680" t="s">
        <v>6153</v>
      </c>
    </row>
    <row r="48426" spans="8:8">
      <c r="H48426" s="680" t="s">
        <v>6153</v>
      </c>
    </row>
    <row r="48427" spans="8:8">
      <c r="H48427" s="680" t="s">
        <v>6153</v>
      </c>
    </row>
    <row r="48428" spans="8:8">
      <c r="H48428" s="680" t="s">
        <v>6153</v>
      </c>
    </row>
    <row r="48429" spans="8:8">
      <c r="H48429" s="680" t="s">
        <v>6153</v>
      </c>
    </row>
    <row r="48430" spans="8:8">
      <c r="H48430" s="680" t="s">
        <v>6153</v>
      </c>
    </row>
    <row r="48431" spans="8:8">
      <c r="H48431" s="680" t="s">
        <v>6153</v>
      </c>
    </row>
    <row r="48432" spans="8:8">
      <c r="H48432" s="680" t="s">
        <v>6153</v>
      </c>
    </row>
    <row r="48433" spans="8:8">
      <c r="H48433" s="680" t="s">
        <v>6153</v>
      </c>
    </row>
    <row r="48434" spans="8:8">
      <c r="H48434" s="680" t="s">
        <v>6153</v>
      </c>
    </row>
    <row r="48435" spans="8:8">
      <c r="H48435" s="680" t="s">
        <v>6153</v>
      </c>
    </row>
    <row r="48436" spans="8:8">
      <c r="H48436" s="680" t="s">
        <v>6153</v>
      </c>
    </row>
    <row r="48437" spans="8:8">
      <c r="H48437" s="680" t="s">
        <v>6153</v>
      </c>
    </row>
    <row r="48438" spans="8:8">
      <c r="H48438" s="680" t="s">
        <v>6153</v>
      </c>
    </row>
    <row r="48439" spans="8:8">
      <c r="H48439" s="680" t="s">
        <v>6153</v>
      </c>
    </row>
    <row r="48440" spans="8:8">
      <c r="H48440" s="680" t="s">
        <v>6153</v>
      </c>
    </row>
    <row r="48441" spans="8:8">
      <c r="H48441" s="680" t="s">
        <v>6153</v>
      </c>
    </row>
    <row r="48442" spans="8:8">
      <c r="H48442" s="680" t="s">
        <v>6153</v>
      </c>
    </row>
    <row r="48443" spans="8:8">
      <c r="H48443" s="680" t="s">
        <v>6153</v>
      </c>
    </row>
    <row r="48444" spans="8:8">
      <c r="H48444" s="680" t="s">
        <v>6153</v>
      </c>
    </row>
    <row r="48445" spans="8:8">
      <c r="H48445" s="680" t="s">
        <v>6153</v>
      </c>
    </row>
    <row r="48446" spans="8:8">
      <c r="H48446" s="680" t="s">
        <v>6153</v>
      </c>
    </row>
    <row r="48447" spans="8:8">
      <c r="H48447" s="680" t="s">
        <v>6153</v>
      </c>
    </row>
    <row r="48448" spans="8:8">
      <c r="H48448" s="680" t="s">
        <v>6153</v>
      </c>
    </row>
    <row r="48449" spans="8:8">
      <c r="H48449" s="680" t="s">
        <v>6153</v>
      </c>
    </row>
    <row r="48450" spans="8:8">
      <c r="H48450" s="680" t="s">
        <v>6153</v>
      </c>
    </row>
    <row r="48451" spans="8:8">
      <c r="H48451" s="680" t="s">
        <v>6153</v>
      </c>
    </row>
    <row r="48452" spans="8:8">
      <c r="H48452" s="680" t="s">
        <v>6153</v>
      </c>
    </row>
    <row r="48453" spans="8:8">
      <c r="H48453" s="680" t="s">
        <v>6153</v>
      </c>
    </row>
    <row r="48454" spans="8:8">
      <c r="H48454" s="680" t="s">
        <v>6153</v>
      </c>
    </row>
    <row r="48455" spans="8:8">
      <c r="H48455" s="680" t="s">
        <v>6153</v>
      </c>
    </row>
    <row r="48456" spans="8:8">
      <c r="H48456" s="680" t="s">
        <v>6153</v>
      </c>
    </row>
    <row r="48457" spans="8:8">
      <c r="H48457" s="680" t="s">
        <v>6153</v>
      </c>
    </row>
    <row r="48458" spans="8:8">
      <c r="H48458" s="680" t="s">
        <v>6153</v>
      </c>
    </row>
    <row r="48459" spans="8:8">
      <c r="H48459" s="680" t="s">
        <v>6153</v>
      </c>
    </row>
    <row r="48460" spans="8:8">
      <c r="H48460" s="680" t="s">
        <v>6153</v>
      </c>
    </row>
    <row r="48461" spans="8:8">
      <c r="H48461" s="680" t="s">
        <v>6153</v>
      </c>
    </row>
    <row r="48462" spans="8:8">
      <c r="H48462" s="680" t="s">
        <v>6153</v>
      </c>
    </row>
    <row r="48463" spans="8:8">
      <c r="H48463" s="680" t="s">
        <v>6153</v>
      </c>
    </row>
    <row r="48464" spans="8:8">
      <c r="H48464" s="680" t="s">
        <v>6153</v>
      </c>
    </row>
    <row r="48465" spans="8:8">
      <c r="H48465" s="680" t="s">
        <v>6153</v>
      </c>
    </row>
    <row r="48466" spans="8:8">
      <c r="H48466" s="680" t="s">
        <v>6153</v>
      </c>
    </row>
    <row r="48467" spans="8:8">
      <c r="H48467" s="680" t="s">
        <v>6153</v>
      </c>
    </row>
    <row r="48468" spans="8:8">
      <c r="H48468" s="680" t="s">
        <v>6153</v>
      </c>
    </row>
    <row r="48469" spans="8:8">
      <c r="H48469" s="680" t="s">
        <v>6153</v>
      </c>
    </row>
    <row r="48470" spans="8:8">
      <c r="H48470" s="680" t="s">
        <v>6153</v>
      </c>
    </row>
    <row r="48471" spans="8:8">
      <c r="H48471" s="680" t="s">
        <v>6153</v>
      </c>
    </row>
    <row r="48472" spans="8:8">
      <c r="H48472" s="680" t="s">
        <v>6153</v>
      </c>
    </row>
    <row r="48473" spans="8:8">
      <c r="H48473" s="680" t="s">
        <v>6153</v>
      </c>
    </row>
    <row r="48474" spans="8:8">
      <c r="H48474" s="680" t="s">
        <v>6153</v>
      </c>
    </row>
    <row r="48475" spans="8:8">
      <c r="H48475" s="680" t="s">
        <v>6153</v>
      </c>
    </row>
    <row r="48476" spans="8:8">
      <c r="H48476" s="680" t="s">
        <v>6153</v>
      </c>
    </row>
    <row r="48477" spans="8:8">
      <c r="H48477" s="680" t="s">
        <v>6153</v>
      </c>
    </row>
    <row r="48478" spans="8:8">
      <c r="H48478" s="680" t="s">
        <v>6153</v>
      </c>
    </row>
    <row r="48479" spans="8:8">
      <c r="H48479" s="680" t="s">
        <v>6153</v>
      </c>
    </row>
    <row r="48480" spans="8:8">
      <c r="H48480" s="680" t="s">
        <v>6153</v>
      </c>
    </row>
    <row r="48481" spans="8:8">
      <c r="H48481" s="680" t="s">
        <v>6153</v>
      </c>
    </row>
    <row r="48482" spans="8:8">
      <c r="H48482" s="680" t="s">
        <v>6153</v>
      </c>
    </row>
    <row r="48483" spans="8:8">
      <c r="H48483" s="680" t="s">
        <v>6153</v>
      </c>
    </row>
    <row r="48484" spans="8:8">
      <c r="H48484" s="680" t="s">
        <v>6153</v>
      </c>
    </row>
    <row r="48485" spans="8:8">
      <c r="H48485" s="680" t="s">
        <v>6153</v>
      </c>
    </row>
    <row r="48486" spans="8:8">
      <c r="H48486" s="680" t="s">
        <v>6153</v>
      </c>
    </row>
    <row r="48487" spans="8:8">
      <c r="H48487" s="680" t="s">
        <v>6153</v>
      </c>
    </row>
    <row r="48488" spans="8:8">
      <c r="H48488" s="680" t="s">
        <v>6153</v>
      </c>
    </row>
    <row r="48489" spans="8:8">
      <c r="H48489" s="680" t="s">
        <v>6153</v>
      </c>
    </row>
    <row r="48490" spans="8:8">
      <c r="H48490" s="680" t="s">
        <v>6153</v>
      </c>
    </row>
    <row r="48491" spans="8:8">
      <c r="H48491" s="680" t="s">
        <v>6153</v>
      </c>
    </row>
    <row r="48492" spans="8:8">
      <c r="H48492" s="680" t="s">
        <v>6153</v>
      </c>
    </row>
    <row r="48493" spans="8:8">
      <c r="H48493" s="680" t="s">
        <v>6153</v>
      </c>
    </row>
    <row r="48494" spans="8:8">
      <c r="H48494" s="680" t="s">
        <v>6153</v>
      </c>
    </row>
    <row r="48495" spans="8:8">
      <c r="H48495" s="680" t="s">
        <v>6153</v>
      </c>
    </row>
    <row r="48496" spans="8:8">
      <c r="H48496" s="680" t="s">
        <v>6153</v>
      </c>
    </row>
    <row r="48497" spans="8:8">
      <c r="H48497" s="680" t="s">
        <v>6153</v>
      </c>
    </row>
    <row r="48498" spans="8:8">
      <c r="H48498" s="680" t="s">
        <v>6153</v>
      </c>
    </row>
    <row r="48499" spans="8:8">
      <c r="H48499" s="680" t="s">
        <v>6153</v>
      </c>
    </row>
    <row r="48500" spans="8:8">
      <c r="H48500" s="680" t="s">
        <v>6153</v>
      </c>
    </row>
    <row r="48501" spans="8:8">
      <c r="H48501" s="680" t="s">
        <v>6153</v>
      </c>
    </row>
    <row r="48502" spans="8:8">
      <c r="H48502" s="680" t="s">
        <v>6153</v>
      </c>
    </row>
    <row r="48503" spans="8:8">
      <c r="H48503" s="680" t="s">
        <v>6153</v>
      </c>
    </row>
    <row r="48504" spans="8:8">
      <c r="H48504" s="680" t="s">
        <v>6153</v>
      </c>
    </row>
    <row r="48505" spans="8:8">
      <c r="H48505" s="680" t="s">
        <v>6153</v>
      </c>
    </row>
    <row r="48506" spans="8:8">
      <c r="H48506" s="680" t="s">
        <v>6153</v>
      </c>
    </row>
    <row r="48507" spans="8:8">
      <c r="H48507" s="680" t="s">
        <v>6153</v>
      </c>
    </row>
    <row r="48508" spans="8:8">
      <c r="H48508" s="680" t="s">
        <v>6153</v>
      </c>
    </row>
    <row r="48509" spans="8:8">
      <c r="H48509" s="680" t="s">
        <v>6153</v>
      </c>
    </row>
    <row r="48510" spans="8:8">
      <c r="H48510" s="680" t="s">
        <v>6153</v>
      </c>
    </row>
    <row r="48511" spans="8:8">
      <c r="H48511" s="680" t="s">
        <v>6153</v>
      </c>
    </row>
    <row r="48512" spans="8:8">
      <c r="H48512" s="680" t="s">
        <v>6153</v>
      </c>
    </row>
    <row r="48513" spans="8:8">
      <c r="H48513" s="680" t="s">
        <v>6153</v>
      </c>
    </row>
    <row r="48514" spans="8:8">
      <c r="H48514" s="680" t="s">
        <v>6153</v>
      </c>
    </row>
    <row r="48515" spans="8:8">
      <c r="H48515" s="680" t="s">
        <v>6153</v>
      </c>
    </row>
    <row r="48516" spans="8:8">
      <c r="H48516" s="680" t="s">
        <v>6153</v>
      </c>
    </row>
    <row r="48517" spans="8:8">
      <c r="H48517" s="680" t="s">
        <v>6153</v>
      </c>
    </row>
    <row r="48518" spans="8:8">
      <c r="H48518" s="680" t="s">
        <v>6153</v>
      </c>
    </row>
    <row r="48519" spans="8:8">
      <c r="H48519" s="680" t="s">
        <v>6153</v>
      </c>
    </row>
    <row r="48520" spans="8:8">
      <c r="H48520" s="680" t="s">
        <v>6153</v>
      </c>
    </row>
    <row r="48521" spans="8:8">
      <c r="H48521" s="680" t="s">
        <v>6153</v>
      </c>
    </row>
    <row r="48522" spans="8:8">
      <c r="H48522" s="680" t="s">
        <v>6153</v>
      </c>
    </row>
    <row r="48523" spans="8:8">
      <c r="H48523" s="680" t="s">
        <v>6153</v>
      </c>
    </row>
    <row r="48524" spans="8:8">
      <c r="H48524" s="680" t="s">
        <v>6153</v>
      </c>
    </row>
    <row r="48525" spans="8:8">
      <c r="H48525" s="680" t="s">
        <v>6153</v>
      </c>
    </row>
    <row r="48526" spans="8:8">
      <c r="H48526" s="680" t="s">
        <v>6153</v>
      </c>
    </row>
    <row r="48527" spans="8:8">
      <c r="H48527" s="680" t="s">
        <v>6153</v>
      </c>
    </row>
    <row r="48528" spans="8:8">
      <c r="H48528" s="680" t="s">
        <v>6153</v>
      </c>
    </row>
    <row r="48529" spans="8:8">
      <c r="H48529" s="680" t="s">
        <v>6153</v>
      </c>
    </row>
    <row r="48530" spans="8:8">
      <c r="H48530" s="680" t="s">
        <v>6153</v>
      </c>
    </row>
    <row r="48531" spans="8:8">
      <c r="H48531" s="680" t="s">
        <v>6153</v>
      </c>
    </row>
    <row r="48532" spans="8:8">
      <c r="H48532" s="680" t="s">
        <v>6153</v>
      </c>
    </row>
    <row r="48533" spans="8:8">
      <c r="H48533" s="680" t="s">
        <v>6153</v>
      </c>
    </row>
    <row r="48534" spans="8:8">
      <c r="H48534" s="680" t="s">
        <v>6153</v>
      </c>
    </row>
    <row r="48535" spans="8:8">
      <c r="H48535" s="680" t="s">
        <v>6153</v>
      </c>
    </row>
    <row r="48536" spans="8:8">
      <c r="H48536" s="680" t="s">
        <v>6153</v>
      </c>
    </row>
    <row r="48537" spans="8:8">
      <c r="H48537" s="680" t="s">
        <v>6153</v>
      </c>
    </row>
    <row r="48538" spans="8:8">
      <c r="H48538" s="680" t="s">
        <v>6153</v>
      </c>
    </row>
    <row r="48539" spans="8:8">
      <c r="H48539" s="680" t="s">
        <v>6153</v>
      </c>
    </row>
    <row r="48540" spans="8:8">
      <c r="H48540" s="680" t="s">
        <v>6153</v>
      </c>
    </row>
    <row r="48541" spans="8:8">
      <c r="H48541" s="680" t="s">
        <v>6153</v>
      </c>
    </row>
    <row r="48542" spans="8:8">
      <c r="H48542" s="680" t="s">
        <v>6153</v>
      </c>
    </row>
    <row r="48543" spans="8:8">
      <c r="H48543" s="680" t="s">
        <v>6153</v>
      </c>
    </row>
    <row r="48544" spans="8:8">
      <c r="H48544" s="680" t="s">
        <v>6153</v>
      </c>
    </row>
    <row r="48545" spans="8:8">
      <c r="H48545" s="680" t="s">
        <v>6153</v>
      </c>
    </row>
    <row r="48546" spans="8:8">
      <c r="H48546" s="680" t="s">
        <v>6153</v>
      </c>
    </row>
    <row r="48547" spans="8:8">
      <c r="H48547" s="680" t="s">
        <v>6153</v>
      </c>
    </row>
    <row r="48548" spans="8:8">
      <c r="H48548" s="680" t="s">
        <v>6153</v>
      </c>
    </row>
    <row r="48549" spans="8:8">
      <c r="H48549" s="680" t="s">
        <v>6153</v>
      </c>
    </row>
    <row r="48550" spans="8:8">
      <c r="H48550" s="680" t="s">
        <v>6153</v>
      </c>
    </row>
    <row r="48551" spans="8:8">
      <c r="H48551" s="680" t="s">
        <v>6153</v>
      </c>
    </row>
    <row r="48552" spans="8:8">
      <c r="H48552" s="680" t="s">
        <v>6153</v>
      </c>
    </row>
    <row r="48553" spans="8:8">
      <c r="H48553" s="680" t="s">
        <v>6153</v>
      </c>
    </row>
    <row r="48554" spans="8:8">
      <c r="H48554" s="680" t="s">
        <v>6153</v>
      </c>
    </row>
    <row r="48555" spans="8:8">
      <c r="H48555" s="680" t="s">
        <v>6153</v>
      </c>
    </row>
    <row r="48556" spans="8:8">
      <c r="H48556" s="680" t="s">
        <v>6153</v>
      </c>
    </row>
    <row r="48557" spans="8:8">
      <c r="H48557" s="680" t="s">
        <v>6153</v>
      </c>
    </row>
    <row r="48558" spans="8:8">
      <c r="H48558" s="680" t="s">
        <v>6153</v>
      </c>
    </row>
    <row r="48559" spans="8:8">
      <c r="H48559" s="680" t="s">
        <v>6153</v>
      </c>
    </row>
    <row r="48560" spans="8:8">
      <c r="H48560" s="680" t="s">
        <v>6153</v>
      </c>
    </row>
    <row r="48561" spans="8:8">
      <c r="H48561" s="680" t="s">
        <v>6153</v>
      </c>
    </row>
    <row r="48562" spans="8:8">
      <c r="H48562" s="680" t="s">
        <v>6153</v>
      </c>
    </row>
    <row r="48563" spans="8:8">
      <c r="H48563" s="680" t="s">
        <v>6153</v>
      </c>
    </row>
    <row r="48564" spans="8:8">
      <c r="H48564" s="680" t="s">
        <v>6153</v>
      </c>
    </row>
    <row r="48565" spans="8:8">
      <c r="H48565" s="680" t="s">
        <v>6153</v>
      </c>
    </row>
    <row r="48566" spans="8:8">
      <c r="H48566" s="680" t="s">
        <v>6153</v>
      </c>
    </row>
    <row r="48567" spans="8:8">
      <c r="H48567" s="680" t="s">
        <v>6153</v>
      </c>
    </row>
    <row r="48568" spans="8:8">
      <c r="H48568" s="680" t="s">
        <v>6153</v>
      </c>
    </row>
    <row r="48569" spans="8:8">
      <c r="H48569" s="680" t="s">
        <v>6153</v>
      </c>
    </row>
    <row r="48570" spans="8:8">
      <c r="H48570" s="680" t="s">
        <v>6153</v>
      </c>
    </row>
    <row r="48571" spans="8:8">
      <c r="H48571" s="680" t="s">
        <v>6153</v>
      </c>
    </row>
    <row r="48572" spans="8:8">
      <c r="H48572" s="680" t="s">
        <v>6153</v>
      </c>
    </row>
    <row r="48573" spans="8:8">
      <c r="H48573" s="680" t="s">
        <v>6153</v>
      </c>
    </row>
    <row r="48574" spans="8:8">
      <c r="H48574" s="680" t="s">
        <v>6153</v>
      </c>
    </row>
    <row r="48575" spans="8:8">
      <c r="H48575" s="680" t="s">
        <v>6153</v>
      </c>
    </row>
    <row r="48576" spans="8:8">
      <c r="H48576" s="680" t="s">
        <v>6153</v>
      </c>
    </row>
    <row r="48577" spans="8:8">
      <c r="H48577" s="680" t="s">
        <v>6153</v>
      </c>
    </row>
    <row r="48578" spans="8:8">
      <c r="H48578" s="680" t="s">
        <v>6153</v>
      </c>
    </row>
    <row r="48579" spans="8:8">
      <c r="H48579" s="680" t="s">
        <v>6153</v>
      </c>
    </row>
    <row r="48580" spans="8:8">
      <c r="H48580" s="680" t="s">
        <v>6153</v>
      </c>
    </row>
    <row r="48581" spans="8:8">
      <c r="H48581" s="680" t="s">
        <v>6153</v>
      </c>
    </row>
    <row r="48582" spans="8:8">
      <c r="H48582" s="680" t="s">
        <v>6153</v>
      </c>
    </row>
    <row r="48583" spans="8:8">
      <c r="H48583" s="680" t="s">
        <v>6153</v>
      </c>
    </row>
    <row r="48584" spans="8:8">
      <c r="H48584" s="680" t="s">
        <v>6153</v>
      </c>
    </row>
    <row r="48585" spans="8:8">
      <c r="H48585" s="680" t="s">
        <v>6153</v>
      </c>
    </row>
    <row r="48586" spans="8:8">
      <c r="H48586" s="680" t="s">
        <v>6153</v>
      </c>
    </row>
    <row r="48587" spans="8:8">
      <c r="H48587" s="680" t="s">
        <v>6153</v>
      </c>
    </row>
    <row r="48588" spans="8:8">
      <c r="H48588" s="680" t="s">
        <v>6153</v>
      </c>
    </row>
    <row r="48589" spans="8:8">
      <c r="H48589" s="680" t="s">
        <v>6153</v>
      </c>
    </row>
    <row r="48590" spans="8:8">
      <c r="H48590" s="680" t="s">
        <v>6153</v>
      </c>
    </row>
    <row r="48591" spans="8:8">
      <c r="H48591" s="680" t="s">
        <v>6153</v>
      </c>
    </row>
    <row r="48592" spans="8:8">
      <c r="H48592" s="680" t="s">
        <v>6153</v>
      </c>
    </row>
    <row r="48593" spans="8:8">
      <c r="H48593" s="680" t="s">
        <v>6153</v>
      </c>
    </row>
    <row r="48594" spans="8:8">
      <c r="H48594" s="680" t="s">
        <v>6153</v>
      </c>
    </row>
    <row r="48595" spans="8:8">
      <c r="H48595" s="680" t="s">
        <v>6153</v>
      </c>
    </row>
    <row r="48596" spans="8:8">
      <c r="H48596" s="680" t="s">
        <v>6153</v>
      </c>
    </row>
    <row r="48597" spans="8:8">
      <c r="H48597" s="680" t="s">
        <v>6153</v>
      </c>
    </row>
    <row r="48598" spans="8:8">
      <c r="H48598" s="680" t="s">
        <v>6153</v>
      </c>
    </row>
    <row r="48599" spans="8:8">
      <c r="H48599" s="680" t="s">
        <v>6153</v>
      </c>
    </row>
    <row r="48600" spans="8:8">
      <c r="H48600" s="680" t="s">
        <v>6153</v>
      </c>
    </row>
    <row r="48601" spans="8:8">
      <c r="H48601" s="680" t="s">
        <v>6153</v>
      </c>
    </row>
    <row r="48602" spans="8:8">
      <c r="H48602" s="680" t="s">
        <v>6153</v>
      </c>
    </row>
    <row r="48603" spans="8:8">
      <c r="H48603" s="680" t="s">
        <v>6153</v>
      </c>
    </row>
    <row r="48604" spans="8:8">
      <c r="H48604" s="680" t="s">
        <v>6153</v>
      </c>
    </row>
    <row r="48605" spans="8:8">
      <c r="H48605" s="680" t="s">
        <v>6153</v>
      </c>
    </row>
    <row r="48606" spans="8:8">
      <c r="H48606" s="680" t="s">
        <v>6153</v>
      </c>
    </row>
    <row r="48607" spans="8:8">
      <c r="H48607" s="680" t="s">
        <v>6153</v>
      </c>
    </row>
    <row r="48608" spans="8:8">
      <c r="H48608" s="680" t="s">
        <v>6153</v>
      </c>
    </row>
    <row r="48609" spans="8:8">
      <c r="H48609" s="680" t="s">
        <v>6153</v>
      </c>
    </row>
    <row r="48610" spans="8:8">
      <c r="H48610" s="680" t="s">
        <v>6153</v>
      </c>
    </row>
    <row r="48611" spans="8:8">
      <c r="H48611" s="680" t="s">
        <v>6153</v>
      </c>
    </row>
    <row r="48612" spans="8:8">
      <c r="H48612" s="680" t="s">
        <v>6153</v>
      </c>
    </row>
    <row r="48613" spans="8:8">
      <c r="H48613" s="680" t="s">
        <v>6153</v>
      </c>
    </row>
    <row r="48614" spans="8:8">
      <c r="H48614" s="680" t="s">
        <v>6153</v>
      </c>
    </row>
    <row r="48615" spans="8:8">
      <c r="H48615" s="680" t="s">
        <v>6153</v>
      </c>
    </row>
    <row r="48616" spans="8:8">
      <c r="H48616" s="680" t="s">
        <v>6153</v>
      </c>
    </row>
    <row r="48617" spans="8:8">
      <c r="H48617" s="680" t="s">
        <v>6153</v>
      </c>
    </row>
    <row r="48618" spans="8:8">
      <c r="H48618" s="680" t="s">
        <v>6153</v>
      </c>
    </row>
    <row r="48619" spans="8:8">
      <c r="H48619" s="680" t="s">
        <v>6153</v>
      </c>
    </row>
    <row r="48620" spans="8:8">
      <c r="H48620" s="680" t="s">
        <v>6153</v>
      </c>
    </row>
    <row r="48621" spans="8:8">
      <c r="H48621" s="680" t="s">
        <v>6153</v>
      </c>
    </row>
    <row r="48622" spans="8:8">
      <c r="H48622" s="680" t="s">
        <v>6153</v>
      </c>
    </row>
    <row r="48623" spans="8:8">
      <c r="H48623" s="680" t="s">
        <v>6153</v>
      </c>
    </row>
    <row r="48624" spans="8:8">
      <c r="H48624" s="680" t="s">
        <v>6153</v>
      </c>
    </row>
    <row r="48625" spans="8:8">
      <c r="H48625" s="680" t="s">
        <v>6153</v>
      </c>
    </row>
    <row r="48626" spans="8:8">
      <c r="H48626" s="680" t="s">
        <v>6153</v>
      </c>
    </row>
    <row r="48627" spans="8:8">
      <c r="H48627" s="680" t="s">
        <v>6153</v>
      </c>
    </row>
    <row r="48628" spans="8:8">
      <c r="H48628" s="680" t="s">
        <v>6153</v>
      </c>
    </row>
    <row r="48629" spans="8:8">
      <c r="H48629" s="680" t="s">
        <v>6153</v>
      </c>
    </row>
    <row r="48630" spans="8:8">
      <c r="H48630" s="680" t="s">
        <v>6153</v>
      </c>
    </row>
    <row r="48631" spans="8:8">
      <c r="H48631" s="680" t="s">
        <v>6153</v>
      </c>
    </row>
    <row r="48632" spans="8:8">
      <c r="H48632" s="680" t="s">
        <v>6153</v>
      </c>
    </row>
    <row r="48633" spans="8:8">
      <c r="H48633" s="680" t="s">
        <v>6153</v>
      </c>
    </row>
    <row r="48634" spans="8:8">
      <c r="H48634" s="680" t="s">
        <v>6153</v>
      </c>
    </row>
    <row r="48635" spans="8:8">
      <c r="H48635" s="680" t="s">
        <v>6153</v>
      </c>
    </row>
    <row r="48636" spans="8:8">
      <c r="H48636" s="680" t="s">
        <v>6153</v>
      </c>
    </row>
    <row r="48637" spans="8:8">
      <c r="H48637" s="680" t="s">
        <v>6153</v>
      </c>
    </row>
    <row r="48638" spans="8:8">
      <c r="H48638" s="680" t="s">
        <v>6153</v>
      </c>
    </row>
    <row r="48639" spans="8:8">
      <c r="H48639" s="680" t="s">
        <v>6153</v>
      </c>
    </row>
    <row r="48640" spans="8:8">
      <c r="H48640" s="680" t="s">
        <v>6153</v>
      </c>
    </row>
    <row r="48641" spans="8:8">
      <c r="H48641" s="680" t="s">
        <v>6153</v>
      </c>
    </row>
    <row r="48642" spans="8:8">
      <c r="H48642" s="680" t="s">
        <v>6153</v>
      </c>
    </row>
    <row r="48643" spans="8:8">
      <c r="H48643" s="680" t="s">
        <v>6153</v>
      </c>
    </row>
    <row r="48644" spans="8:8">
      <c r="H48644" s="680" t="s">
        <v>6153</v>
      </c>
    </row>
    <row r="48645" spans="8:8">
      <c r="H48645" s="680" t="s">
        <v>6153</v>
      </c>
    </row>
    <row r="48646" spans="8:8">
      <c r="H48646" s="680" t="s">
        <v>6153</v>
      </c>
    </row>
    <row r="48647" spans="8:8">
      <c r="H48647" s="680" t="s">
        <v>6153</v>
      </c>
    </row>
    <row r="48648" spans="8:8">
      <c r="H48648" s="680" t="s">
        <v>6153</v>
      </c>
    </row>
    <row r="48649" spans="8:8">
      <c r="H48649" s="680" t="s">
        <v>6153</v>
      </c>
    </row>
    <row r="48650" spans="8:8">
      <c r="H48650" s="680" t="s">
        <v>6153</v>
      </c>
    </row>
    <row r="48651" spans="8:8">
      <c r="H48651" s="680" t="s">
        <v>6153</v>
      </c>
    </row>
    <row r="48652" spans="8:8">
      <c r="H48652" s="680" t="s">
        <v>6153</v>
      </c>
    </row>
    <row r="48653" spans="8:8">
      <c r="H48653" s="680" t="s">
        <v>6153</v>
      </c>
    </row>
    <row r="48654" spans="8:8">
      <c r="H48654" s="680" t="s">
        <v>6153</v>
      </c>
    </row>
    <row r="48655" spans="8:8">
      <c r="H48655" s="680" t="s">
        <v>6153</v>
      </c>
    </row>
    <row r="48656" spans="8:8">
      <c r="H48656" s="680" t="s">
        <v>6153</v>
      </c>
    </row>
    <row r="48657" spans="8:8">
      <c r="H48657" s="680" t="s">
        <v>6153</v>
      </c>
    </row>
    <row r="48658" spans="8:8">
      <c r="H48658" s="680" t="s">
        <v>6153</v>
      </c>
    </row>
    <row r="48659" spans="8:8">
      <c r="H48659" s="680" t="s">
        <v>6153</v>
      </c>
    </row>
    <row r="48660" spans="8:8">
      <c r="H48660" s="680" t="s">
        <v>6153</v>
      </c>
    </row>
    <row r="48661" spans="8:8">
      <c r="H48661" s="680" t="s">
        <v>6153</v>
      </c>
    </row>
    <row r="48662" spans="8:8">
      <c r="H48662" s="680" t="s">
        <v>6153</v>
      </c>
    </row>
    <row r="48663" spans="8:8">
      <c r="H48663" s="680" t="s">
        <v>6153</v>
      </c>
    </row>
    <row r="48664" spans="8:8">
      <c r="H48664" s="680" t="s">
        <v>6153</v>
      </c>
    </row>
    <row r="48665" spans="8:8">
      <c r="H48665" s="680" t="s">
        <v>6153</v>
      </c>
    </row>
    <row r="48666" spans="8:8">
      <c r="H48666" s="680" t="s">
        <v>6153</v>
      </c>
    </row>
    <row r="48667" spans="8:8">
      <c r="H48667" s="680" t="s">
        <v>6153</v>
      </c>
    </row>
    <row r="48668" spans="8:8">
      <c r="H48668" s="680" t="s">
        <v>6153</v>
      </c>
    </row>
    <row r="48669" spans="8:8">
      <c r="H48669" s="680" t="s">
        <v>6153</v>
      </c>
    </row>
    <row r="48670" spans="8:8">
      <c r="H48670" s="680" t="s">
        <v>6153</v>
      </c>
    </row>
    <row r="48671" spans="8:8">
      <c r="H48671" s="680" t="s">
        <v>6153</v>
      </c>
    </row>
    <row r="48672" spans="8:8">
      <c r="H48672" s="680" t="s">
        <v>6153</v>
      </c>
    </row>
    <row r="48673" spans="8:8">
      <c r="H48673" s="680" t="s">
        <v>6153</v>
      </c>
    </row>
    <row r="48674" spans="8:8">
      <c r="H48674" s="680" t="s">
        <v>6153</v>
      </c>
    </row>
    <row r="48675" spans="8:8">
      <c r="H48675" s="680" t="s">
        <v>6153</v>
      </c>
    </row>
    <row r="48676" spans="8:8">
      <c r="H48676" s="680" t="s">
        <v>6153</v>
      </c>
    </row>
    <row r="48677" spans="8:8">
      <c r="H48677" s="680" t="s">
        <v>6153</v>
      </c>
    </row>
    <row r="48678" spans="8:8">
      <c r="H48678" s="680" t="s">
        <v>6153</v>
      </c>
    </row>
    <row r="48679" spans="8:8">
      <c r="H48679" s="680" t="s">
        <v>6153</v>
      </c>
    </row>
    <row r="48680" spans="8:8">
      <c r="H48680" s="680" t="s">
        <v>6153</v>
      </c>
    </row>
    <row r="48681" spans="8:8">
      <c r="H48681" s="680" t="s">
        <v>6153</v>
      </c>
    </row>
    <row r="48682" spans="8:8">
      <c r="H48682" s="680" t="s">
        <v>6153</v>
      </c>
    </row>
    <row r="48683" spans="8:8">
      <c r="H48683" s="680" t="s">
        <v>6153</v>
      </c>
    </row>
    <row r="48684" spans="8:8">
      <c r="H48684" s="680" t="s">
        <v>6153</v>
      </c>
    </row>
    <row r="48685" spans="8:8">
      <c r="H48685" s="680" t="s">
        <v>6153</v>
      </c>
    </row>
    <row r="48686" spans="8:8">
      <c r="H48686" s="680" t="s">
        <v>6153</v>
      </c>
    </row>
    <row r="48687" spans="8:8">
      <c r="H48687" s="680" t="s">
        <v>6153</v>
      </c>
    </row>
    <row r="48688" spans="8:8">
      <c r="H48688" s="680" t="s">
        <v>6153</v>
      </c>
    </row>
    <row r="48689" spans="8:8">
      <c r="H48689" s="680" t="s">
        <v>6153</v>
      </c>
    </row>
    <row r="48690" spans="8:8">
      <c r="H48690" s="680" t="s">
        <v>6153</v>
      </c>
    </row>
    <row r="48691" spans="8:8">
      <c r="H48691" s="680" t="s">
        <v>6153</v>
      </c>
    </row>
    <row r="48692" spans="8:8">
      <c r="H48692" s="680" t="s">
        <v>6153</v>
      </c>
    </row>
    <row r="48693" spans="8:8">
      <c r="H48693" s="680" t="s">
        <v>6153</v>
      </c>
    </row>
    <row r="48694" spans="8:8">
      <c r="H48694" s="680" t="s">
        <v>6153</v>
      </c>
    </row>
    <row r="48695" spans="8:8">
      <c r="H48695" s="680" t="s">
        <v>6153</v>
      </c>
    </row>
    <row r="48696" spans="8:8">
      <c r="H48696" s="680" t="s">
        <v>6153</v>
      </c>
    </row>
    <row r="48697" spans="8:8">
      <c r="H48697" s="680" t="s">
        <v>6153</v>
      </c>
    </row>
    <row r="48698" spans="8:8">
      <c r="H48698" s="680" t="s">
        <v>6153</v>
      </c>
    </row>
    <row r="48699" spans="8:8">
      <c r="H48699" s="680" t="s">
        <v>6153</v>
      </c>
    </row>
    <row r="48700" spans="8:8">
      <c r="H48700" s="680" t="s">
        <v>6153</v>
      </c>
    </row>
    <row r="48701" spans="8:8">
      <c r="H48701" s="680" t="s">
        <v>6153</v>
      </c>
    </row>
    <row r="48702" spans="8:8">
      <c r="H48702" s="680" t="s">
        <v>6153</v>
      </c>
    </row>
    <row r="48703" spans="8:8">
      <c r="H48703" s="680" t="s">
        <v>6153</v>
      </c>
    </row>
    <row r="48704" spans="8:8">
      <c r="H48704" s="680" t="s">
        <v>6153</v>
      </c>
    </row>
    <row r="48705" spans="8:8">
      <c r="H48705" s="680" t="s">
        <v>6153</v>
      </c>
    </row>
    <row r="48706" spans="8:8">
      <c r="H48706" s="680" t="s">
        <v>6153</v>
      </c>
    </row>
    <row r="48707" spans="8:8">
      <c r="H48707" s="680" t="s">
        <v>6153</v>
      </c>
    </row>
    <row r="48708" spans="8:8">
      <c r="H48708" s="680" t="s">
        <v>6153</v>
      </c>
    </row>
    <row r="48709" spans="8:8">
      <c r="H48709" s="680" t="s">
        <v>6153</v>
      </c>
    </row>
    <row r="48710" spans="8:8">
      <c r="H48710" s="680" t="s">
        <v>6153</v>
      </c>
    </row>
    <row r="48711" spans="8:8">
      <c r="H48711" s="680" t="s">
        <v>6153</v>
      </c>
    </row>
    <row r="48712" spans="8:8">
      <c r="H48712" s="680" t="s">
        <v>6153</v>
      </c>
    </row>
    <row r="48713" spans="8:8">
      <c r="H48713" s="680" t="s">
        <v>6153</v>
      </c>
    </row>
    <row r="48714" spans="8:8">
      <c r="H48714" s="680" t="s">
        <v>6153</v>
      </c>
    </row>
    <row r="48715" spans="8:8">
      <c r="H48715" s="680" t="s">
        <v>6153</v>
      </c>
    </row>
    <row r="48716" spans="8:8">
      <c r="H48716" s="680" t="s">
        <v>6153</v>
      </c>
    </row>
    <row r="48717" spans="8:8">
      <c r="H48717" s="680" t="s">
        <v>6153</v>
      </c>
    </row>
    <row r="48718" spans="8:8">
      <c r="H48718" s="680" t="s">
        <v>6153</v>
      </c>
    </row>
    <row r="48719" spans="8:8">
      <c r="H48719" s="680" t="s">
        <v>6153</v>
      </c>
    </row>
    <row r="48720" spans="8:8">
      <c r="H48720" s="680" t="s">
        <v>6153</v>
      </c>
    </row>
    <row r="48721" spans="8:8">
      <c r="H48721" s="680" t="s">
        <v>6153</v>
      </c>
    </row>
    <row r="48722" spans="8:8">
      <c r="H48722" s="680" t="s">
        <v>6153</v>
      </c>
    </row>
    <row r="48723" spans="8:8">
      <c r="H48723" s="680" t="s">
        <v>6153</v>
      </c>
    </row>
    <row r="48724" spans="8:8">
      <c r="H48724" s="680" t="s">
        <v>6153</v>
      </c>
    </row>
    <row r="48725" spans="8:8">
      <c r="H48725" s="680" t="s">
        <v>6153</v>
      </c>
    </row>
    <row r="48726" spans="8:8">
      <c r="H48726" s="680" t="s">
        <v>6153</v>
      </c>
    </row>
    <row r="48727" spans="8:8">
      <c r="H48727" s="680" t="s">
        <v>6153</v>
      </c>
    </row>
    <row r="48728" spans="8:8">
      <c r="H48728" s="680" t="s">
        <v>6153</v>
      </c>
    </row>
    <row r="48729" spans="8:8">
      <c r="H48729" s="680" t="s">
        <v>6153</v>
      </c>
    </row>
    <row r="48730" spans="8:8">
      <c r="H48730" s="680" t="s">
        <v>6153</v>
      </c>
    </row>
    <row r="48731" spans="8:8">
      <c r="H48731" s="680" t="s">
        <v>6153</v>
      </c>
    </row>
    <row r="48732" spans="8:8">
      <c r="H48732" s="680" t="s">
        <v>6153</v>
      </c>
    </row>
    <row r="48733" spans="8:8">
      <c r="H48733" s="680" t="s">
        <v>6153</v>
      </c>
    </row>
    <row r="48734" spans="8:8">
      <c r="H48734" s="680" t="s">
        <v>6153</v>
      </c>
    </row>
    <row r="48735" spans="8:8">
      <c r="H48735" s="680" t="s">
        <v>6153</v>
      </c>
    </row>
    <row r="48736" spans="8:8">
      <c r="H48736" s="680" t="s">
        <v>6153</v>
      </c>
    </row>
    <row r="48737" spans="8:8">
      <c r="H48737" s="680" t="s">
        <v>6153</v>
      </c>
    </row>
    <row r="48738" spans="8:8">
      <c r="H48738" s="680" t="s">
        <v>6153</v>
      </c>
    </row>
    <row r="48739" spans="8:8">
      <c r="H48739" s="680" t="s">
        <v>6153</v>
      </c>
    </row>
    <row r="48740" spans="8:8">
      <c r="H48740" s="680" t="s">
        <v>6153</v>
      </c>
    </row>
    <row r="48741" spans="8:8">
      <c r="H48741" s="680" t="s">
        <v>6153</v>
      </c>
    </row>
    <row r="48742" spans="8:8">
      <c r="H48742" s="680" t="s">
        <v>6153</v>
      </c>
    </row>
    <row r="48743" spans="8:8">
      <c r="H48743" s="680" t="s">
        <v>6153</v>
      </c>
    </row>
    <row r="48744" spans="8:8">
      <c r="H48744" s="680" t="s">
        <v>6153</v>
      </c>
    </row>
    <row r="48745" spans="8:8">
      <c r="H48745" s="680" t="s">
        <v>6153</v>
      </c>
    </row>
    <row r="48746" spans="8:8">
      <c r="H48746" s="680" t="s">
        <v>6153</v>
      </c>
    </row>
    <row r="48747" spans="8:8">
      <c r="H48747" s="680" t="s">
        <v>6153</v>
      </c>
    </row>
    <row r="48748" spans="8:8">
      <c r="H48748" s="680" t="s">
        <v>6153</v>
      </c>
    </row>
    <row r="48749" spans="8:8">
      <c r="H48749" s="680" t="s">
        <v>6153</v>
      </c>
    </row>
    <row r="48750" spans="8:8">
      <c r="H48750" s="680" t="s">
        <v>6153</v>
      </c>
    </row>
    <row r="48751" spans="8:8">
      <c r="H48751" s="680" t="s">
        <v>6153</v>
      </c>
    </row>
    <row r="48752" spans="8:8">
      <c r="H48752" s="680" t="s">
        <v>6153</v>
      </c>
    </row>
    <row r="48753" spans="8:8">
      <c r="H48753" s="680" t="s">
        <v>6153</v>
      </c>
    </row>
    <row r="48754" spans="8:8">
      <c r="H48754" s="680" t="s">
        <v>6153</v>
      </c>
    </row>
    <row r="48755" spans="8:8">
      <c r="H48755" s="680" t="s">
        <v>6153</v>
      </c>
    </row>
    <row r="48756" spans="8:8">
      <c r="H48756" s="680" t="s">
        <v>6153</v>
      </c>
    </row>
    <row r="48757" spans="8:8">
      <c r="H48757" s="680" t="s">
        <v>6153</v>
      </c>
    </row>
    <row r="48758" spans="8:8">
      <c r="H48758" s="680" t="s">
        <v>6153</v>
      </c>
    </row>
    <row r="48759" spans="8:8">
      <c r="H48759" s="680" t="s">
        <v>6153</v>
      </c>
    </row>
    <row r="48760" spans="8:8">
      <c r="H48760" s="680" t="s">
        <v>6153</v>
      </c>
    </row>
    <row r="48761" spans="8:8">
      <c r="H48761" s="680" t="s">
        <v>6153</v>
      </c>
    </row>
    <row r="48762" spans="8:8">
      <c r="H48762" s="680" t="s">
        <v>6153</v>
      </c>
    </row>
    <row r="48763" spans="8:8">
      <c r="H48763" s="680" t="s">
        <v>6153</v>
      </c>
    </row>
    <row r="48764" spans="8:8">
      <c r="H48764" s="680" t="s">
        <v>6153</v>
      </c>
    </row>
    <row r="48765" spans="8:8">
      <c r="H48765" s="680" t="s">
        <v>6153</v>
      </c>
    </row>
    <row r="48766" spans="8:8">
      <c r="H48766" s="680" t="s">
        <v>6153</v>
      </c>
    </row>
    <row r="48767" spans="8:8">
      <c r="H48767" s="680" t="s">
        <v>6153</v>
      </c>
    </row>
    <row r="48768" spans="8:8">
      <c r="H48768" s="680" t="s">
        <v>6153</v>
      </c>
    </row>
    <row r="48769" spans="8:8">
      <c r="H48769" s="680" t="s">
        <v>6153</v>
      </c>
    </row>
    <row r="48770" spans="8:8">
      <c r="H48770" s="680" t="s">
        <v>6153</v>
      </c>
    </row>
    <row r="48771" spans="8:8">
      <c r="H48771" s="680" t="s">
        <v>6153</v>
      </c>
    </row>
    <row r="48772" spans="8:8">
      <c r="H48772" s="680" t="s">
        <v>6153</v>
      </c>
    </row>
    <row r="48773" spans="8:8">
      <c r="H48773" s="680" t="s">
        <v>6153</v>
      </c>
    </row>
    <row r="48774" spans="8:8">
      <c r="H48774" s="680" t="s">
        <v>6153</v>
      </c>
    </row>
    <row r="48775" spans="8:8">
      <c r="H48775" s="680" t="s">
        <v>6153</v>
      </c>
    </row>
    <row r="48776" spans="8:8">
      <c r="H48776" s="680" t="s">
        <v>6153</v>
      </c>
    </row>
    <row r="48777" spans="8:8">
      <c r="H48777" s="680" t="s">
        <v>6153</v>
      </c>
    </row>
    <row r="48778" spans="8:8">
      <c r="H48778" s="680" t="s">
        <v>6153</v>
      </c>
    </row>
    <row r="48779" spans="8:8">
      <c r="H48779" s="680" t="s">
        <v>6153</v>
      </c>
    </row>
    <row r="48780" spans="8:8">
      <c r="H48780" s="680" t="s">
        <v>6153</v>
      </c>
    </row>
    <row r="48781" spans="8:8">
      <c r="H48781" s="680" t="s">
        <v>6153</v>
      </c>
    </row>
    <row r="48782" spans="8:8">
      <c r="H48782" s="680" t="s">
        <v>6153</v>
      </c>
    </row>
    <row r="48783" spans="8:8">
      <c r="H48783" s="680" t="s">
        <v>6153</v>
      </c>
    </row>
    <row r="48784" spans="8:8">
      <c r="H48784" s="680" t="s">
        <v>6153</v>
      </c>
    </row>
    <row r="48785" spans="8:8">
      <c r="H48785" s="680" t="s">
        <v>6153</v>
      </c>
    </row>
    <row r="48786" spans="8:8">
      <c r="H48786" s="680" t="s">
        <v>6153</v>
      </c>
    </row>
    <row r="48787" spans="8:8">
      <c r="H48787" s="680" t="s">
        <v>6153</v>
      </c>
    </row>
    <row r="48788" spans="8:8">
      <c r="H48788" s="680" t="s">
        <v>6153</v>
      </c>
    </row>
    <row r="48789" spans="8:8">
      <c r="H48789" s="680" t="s">
        <v>6153</v>
      </c>
    </row>
    <row r="48790" spans="8:8">
      <c r="H48790" s="680" t="s">
        <v>6153</v>
      </c>
    </row>
    <row r="48791" spans="8:8">
      <c r="H48791" s="680" t="s">
        <v>6153</v>
      </c>
    </row>
    <row r="48792" spans="8:8">
      <c r="H48792" s="680" t="s">
        <v>6153</v>
      </c>
    </row>
    <row r="48793" spans="8:8">
      <c r="H48793" s="680" t="s">
        <v>6153</v>
      </c>
    </row>
    <row r="48794" spans="8:8">
      <c r="H48794" s="680" t="s">
        <v>6153</v>
      </c>
    </row>
    <row r="48795" spans="8:8">
      <c r="H48795" s="680" t="s">
        <v>6153</v>
      </c>
    </row>
    <row r="48796" spans="8:8">
      <c r="H48796" s="680" t="s">
        <v>6153</v>
      </c>
    </row>
    <row r="48797" spans="8:8">
      <c r="H48797" s="680" t="s">
        <v>6153</v>
      </c>
    </row>
    <row r="48798" spans="8:8">
      <c r="H48798" s="680" t="s">
        <v>6153</v>
      </c>
    </row>
    <row r="48799" spans="8:8">
      <c r="H48799" s="680" t="s">
        <v>6153</v>
      </c>
    </row>
    <row r="48800" spans="8:8">
      <c r="H48800" s="680" t="s">
        <v>6153</v>
      </c>
    </row>
    <row r="48801" spans="8:8">
      <c r="H48801" s="680" t="s">
        <v>6153</v>
      </c>
    </row>
    <row r="48802" spans="8:8">
      <c r="H48802" s="680" t="s">
        <v>6153</v>
      </c>
    </row>
    <row r="48803" spans="8:8">
      <c r="H48803" s="680" t="s">
        <v>6153</v>
      </c>
    </row>
    <row r="48804" spans="8:8">
      <c r="H48804" s="680" t="s">
        <v>6153</v>
      </c>
    </row>
    <row r="48805" spans="8:8">
      <c r="H48805" s="680" t="s">
        <v>6153</v>
      </c>
    </row>
    <row r="48806" spans="8:8">
      <c r="H48806" s="680" t="s">
        <v>6153</v>
      </c>
    </row>
    <row r="48807" spans="8:8">
      <c r="H48807" s="680" t="s">
        <v>6153</v>
      </c>
    </row>
    <row r="48808" spans="8:8">
      <c r="H48808" s="680" t="s">
        <v>6153</v>
      </c>
    </row>
    <row r="48809" spans="8:8">
      <c r="H48809" s="680" t="s">
        <v>6153</v>
      </c>
    </row>
    <row r="48810" spans="8:8">
      <c r="H48810" s="680" t="s">
        <v>6153</v>
      </c>
    </row>
    <row r="48811" spans="8:8">
      <c r="H48811" s="680" t="s">
        <v>6153</v>
      </c>
    </row>
    <row r="48812" spans="8:8">
      <c r="H48812" s="680" t="s">
        <v>6153</v>
      </c>
    </row>
    <row r="48813" spans="8:8">
      <c r="H48813" s="680" t="s">
        <v>6153</v>
      </c>
    </row>
    <row r="48814" spans="8:8">
      <c r="H48814" s="680" t="s">
        <v>6153</v>
      </c>
    </row>
    <row r="48815" spans="8:8">
      <c r="H48815" s="680" t="s">
        <v>6153</v>
      </c>
    </row>
    <row r="48816" spans="8:8">
      <c r="H48816" s="680" t="s">
        <v>6153</v>
      </c>
    </row>
    <row r="48817" spans="8:8">
      <c r="H48817" s="680" t="s">
        <v>6153</v>
      </c>
    </row>
    <row r="48818" spans="8:8">
      <c r="H48818" s="680" t="s">
        <v>6153</v>
      </c>
    </row>
    <row r="48819" spans="8:8">
      <c r="H48819" s="680" t="s">
        <v>6153</v>
      </c>
    </row>
    <row r="48820" spans="8:8">
      <c r="H48820" s="680" t="s">
        <v>6153</v>
      </c>
    </row>
    <row r="48821" spans="8:8">
      <c r="H48821" s="680" t="s">
        <v>6153</v>
      </c>
    </row>
    <row r="48822" spans="8:8">
      <c r="H48822" s="680" t="s">
        <v>6153</v>
      </c>
    </row>
    <row r="48823" spans="8:8">
      <c r="H48823" s="680" t="s">
        <v>6153</v>
      </c>
    </row>
    <row r="48824" spans="8:8">
      <c r="H48824" s="680" t="s">
        <v>6153</v>
      </c>
    </row>
    <row r="48825" spans="8:8">
      <c r="H48825" s="680" t="s">
        <v>6153</v>
      </c>
    </row>
    <row r="48826" spans="8:8">
      <c r="H48826" s="680" t="s">
        <v>6153</v>
      </c>
    </row>
    <row r="48827" spans="8:8">
      <c r="H48827" s="680" t="s">
        <v>6153</v>
      </c>
    </row>
    <row r="48828" spans="8:8">
      <c r="H48828" s="680" t="s">
        <v>6153</v>
      </c>
    </row>
    <row r="48829" spans="8:8">
      <c r="H48829" s="680" t="s">
        <v>6153</v>
      </c>
    </row>
    <row r="48830" spans="8:8">
      <c r="H48830" s="680" t="s">
        <v>6153</v>
      </c>
    </row>
    <row r="48831" spans="8:8">
      <c r="H48831" s="680" t="s">
        <v>6153</v>
      </c>
    </row>
    <row r="48832" spans="8:8">
      <c r="H48832" s="680" t="s">
        <v>6153</v>
      </c>
    </row>
    <row r="48833" spans="8:8">
      <c r="H48833" s="680" t="s">
        <v>6153</v>
      </c>
    </row>
    <row r="48834" spans="8:8">
      <c r="H48834" s="680" t="s">
        <v>6153</v>
      </c>
    </row>
    <row r="48835" spans="8:8">
      <c r="H48835" s="680" t="s">
        <v>6153</v>
      </c>
    </row>
    <row r="48836" spans="8:8">
      <c r="H48836" s="680" t="s">
        <v>6153</v>
      </c>
    </row>
    <row r="48837" spans="8:8">
      <c r="H48837" s="680" t="s">
        <v>6153</v>
      </c>
    </row>
    <row r="48838" spans="8:8">
      <c r="H48838" s="680" t="s">
        <v>6153</v>
      </c>
    </row>
    <row r="48839" spans="8:8">
      <c r="H48839" s="680" t="s">
        <v>6153</v>
      </c>
    </row>
    <row r="48840" spans="8:8">
      <c r="H48840" s="680" t="s">
        <v>6153</v>
      </c>
    </row>
    <row r="48841" spans="8:8">
      <c r="H48841" s="680" t="s">
        <v>6153</v>
      </c>
    </row>
    <row r="48842" spans="8:8">
      <c r="H48842" s="680" t="s">
        <v>6153</v>
      </c>
    </row>
    <row r="48843" spans="8:8">
      <c r="H48843" s="680" t="s">
        <v>6153</v>
      </c>
    </row>
    <row r="48844" spans="8:8">
      <c r="H48844" s="680" t="s">
        <v>6153</v>
      </c>
    </row>
    <row r="48845" spans="8:8">
      <c r="H48845" s="680" t="s">
        <v>6153</v>
      </c>
    </row>
    <row r="48846" spans="8:8">
      <c r="H48846" s="680" t="s">
        <v>6153</v>
      </c>
    </row>
    <row r="48847" spans="8:8">
      <c r="H48847" s="680" t="s">
        <v>6153</v>
      </c>
    </row>
    <row r="48848" spans="8:8">
      <c r="H48848" s="680" t="s">
        <v>6153</v>
      </c>
    </row>
    <row r="48849" spans="8:8">
      <c r="H48849" s="680" t="s">
        <v>6153</v>
      </c>
    </row>
    <row r="48850" spans="8:8">
      <c r="H48850" s="680" t="s">
        <v>6153</v>
      </c>
    </row>
    <row r="48851" spans="8:8">
      <c r="H48851" s="680" t="s">
        <v>6153</v>
      </c>
    </row>
    <row r="48852" spans="8:8">
      <c r="H48852" s="680" t="s">
        <v>6153</v>
      </c>
    </row>
    <row r="48853" spans="8:8">
      <c r="H48853" s="680" t="s">
        <v>6153</v>
      </c>
    </row>
    <row r="48854" spans="8:8">
      <c r="H48854" s="680" t="s">
        <v>6153</v>
      </c>
    </row>
    <row r="48855" spans="8:8">
      <c r="H48855" s="680" t="s">
        <v>6153</v>
      </c>
    </row>
    <row r="48856" spans="8:8">
      <c r="H48856" s="680" t="s">
        <v>6153</v>
      </c>
    </row>
    <row r="48857" spans="8:8">
      <c r="H48857" s="680" t="s">
        <v>6153</v>
      </c>
    </row>
    <row r="48858" spans="8:8">
      <c r="H48858" s="680" t="s">
        <v>6153</v>
      </c>
    </row>
    <row r="48859" spans="8:8">
      <c r="H48859" s="680" t="s">
        <v>6153</v>
      </c>
    </row>
    <row r="48860" spans="8:8">
      <c r="H48860" s="680" t="s">
        <v>6153</v>
      </c>
    </row>
    <row r="48861" spans="8:8">
      <c r="H48861" s="680" t="s">
        <v>6153</v>
      </c>
    </row>
    <row r="48862" spans="8:8">
      <c r="H48862" s="680" t="s">
        <v>6153</v>
      </c>
    </row>
    <row r="48863" spans="8:8">
      <c r="H48863" s="680" t="s">
        <v>6153</v>
      </c>
    </row>
    <row r="48864" spans="8:8">
      <c r="H48864" s="680" t="s">
        <v>6153</v>
      </c>
    </row>
    <row r="48865" spans="8:8">
      <c r="H48865" s="680" t="s">
        <v>6153</v>
      </c>
    </row>
    <row r="48866" spans="8:8">
      <c r="H48866" s="680" t="s">
        <v>6153</v>
      </c>
    </row>
    <row r="48867" spans="8:8">
      <c r="H48867" s="680" t="s">
        <v>6153</v>
      </c>
    </row>
    <row r="48868" spans="8:8">
      <c r="H48868" s="680" t="s">
        <v>6153</v>
      </c>
    </row>
    <row r="48869" spans="8:8">
      <c r="H48869" s="680" t="s">
        <v>6153</v>
      </c>
    </row>
    <row r="48870" spans="8:8">
      <c r="H48870" s="680" t="s">
        <v>6153</v>
      </c>
    </row>
    <row r="48871" spans="8:8">
      <c r="H48871" s="680" t="s">
        <v>6153</v>
      </c>
    </row>
    <row r="48872" spans="8:8">
      <c r="H48872" s="680" t="s">
        <v>6153</v>
      </c>
    </row>
    <row r="48873" spans="8:8">
      <c r="H48873" s="680" t="s">
        <v>6153</v>
      </c>
    </row>
    <row r="48874" spans="8:8">
      <c r="H48874" s="680" t="s">
        <v>6153</v>
      </c>
    </row>
    <row r="48875" spans="8:8">
      <c r="H48875" s="680" t="s">
        <v>6153</v>
      </c>
    </row>
    <row r="48876" spans="8:8">
      <c r="H48876" s="680" t="s">
        <v>6153</v>
      </c>
    </row>
    <row r="48877" spans="8:8">
      <c r="H48877" s="680" t="s">
        <v>6153</v>
      </c>
    </row>
    <row r="48878" spans="8:8">
      <c r="H48878" s="680" t="s">
        <v>6153</v>
      </c>
    </row>
    <row r="48879" spans="8:8">
      <c r="H48879" s="680" t="s">
        <v>6153</v>
      </c>
    </row>
    <row r="48880" spans="8:8">
      <c r="H48880" s="680" t="s">
        <v>6153</v>
      </c>
    </row>
    <row r="48881" spans="8:8">
      <c r="H48881" s="680" t="s">
        <v>6153</v>
      </c>
    </row>
    <row r="48882" spans="8:8">
      <c r="H48882" s="680" t="s">
        <v>6153</v>
      </c>
    </row>
    <row r="48883" spans="8:8">
      <c r="H48883" s="680" t="s">
        <v>6153</v>
      </c>
    </row>
    <row r="48884" spans="8:8">
      <c r="H48884" s="680" t="s">
        <v>6153</v>
      </c>
    </row>
    <row r="48885" spans="8:8">
      <c r="H48885" s="680" t="s">
        <v>6153</v>
      </c>
    </row>
    <row r="48886" spans="8:8">
      <c r="H48886" s="680" t="s">
        <v>6153</v>
      </c>
    </row>
    <row r="48887" spans="8:8">
      <c r="H48887" s="680" t="s">
        <v>6153</v>
      </c>
    </row>
    <row r="48888" spans="8:8">
      <c r="H48888" s="680" t="s">
        <v>6153</v>
      </c>
    </row>
    <row r="48889" spans="8:8">
      <c r="H48889" s="680" t="s">
        <v>6153</v>
      </c>
    </row>
    <row r="48890" spans="8:8">
      <c r="H48890" s="680" t="s">
        <v>6153</v>
      </c>
    </row>
    <row r="48891" spans="8:8">
      <c r="H48891" s="680" t="s">
        <v>6153</v>
      </c>
    </row>
    <row r="48892" spans="8:8">
      <c r="H48892" s="680" t="s">
        <v>6153</v>
      </c>
    </row>
    <row r="48893" spans="8:8">
      <c r="H48893" s="680" t="s">
        <v>6153</v>
      </c>
    </row>
    <row r="48894" spans="8:8">
      <c r="H48894" s="680" t="s">
        <v>6153</v>
      </c>
    </row>
    <row r="48895" spans="8:8">
      <c r="H48895" s="680" t="s">
        <v>6153</v>
      </c>
    </row>
    <row r="48896" spans="8:8">
      <c r="H48896" s="680" t="s">
        <v>6153</v>
      </c>
    </row>
    <row r="48897" spans="8:8">
      <c r="H48897" s="680" t="s">
        <v>6153</v>
      </c>
    </row>
    <row r="48898" spans="8:8">
      <c r="H48898" s="680" t="s">
        <v>6153</v>
      </c>
    </row>
    <row r="48899" spans="8:8">
      <c r="H48899" s="680" t="s">
        <v>6153</v>
      </c>
    </row>
    <row r="48900" spans="8:8">
      <c r="H48900" s="680" t="s">
        <v>6153</v>
      </c>
    </row>
    <row r="48901" spans="8:8">
      <c r="H48901" s="680" t="s">
        <v>6153</v>
      </c>
    </row>
    <row r="48902" spans="8:8">
      <c r="H48902" s="680" t="s">
        <v>6153</v>
      </c>
    </row>
    <row r="48903" spans="8:8">
      <c r="H48903" s="680" t="s">
        <v>6153</v>
      </c>
    </row>
    <row r="48904" spans="8:8">
      <c r="H48904" s="680" t="s">
        <v>6153</v>
      </c>
    </row>
    <row r="48905" spans="8:8">
      <c r="H48905" s="680" t="s">
        <v>6153</v>
      </c>
    </row>
    <row r="48906" spans="8:8">
      <c r="H48906" s="680" t="s">
        <v>6153</v>
      </c>
    </row>
    <row r="48907" spans="8:8">
      <c r="H48907" s="680" t="s">
        <v>6153</v>
      </c>
    </row>
    <row r="48908" spans="8:8">
      <c r="H48908" s="680" t="s">
        <v>6153</v>
      </c>
    </row>
    <row r="48909" spans="8:8">
      <c r="H48909" s="680" t="s">
        <v>6153</v>
      </c>
    </row>
    <row r="48910" spans="8:8">
      <c r="H48910" s="680" t="s">
        <v>6153</v>
      </c>
    </row>
    <row r="48911" spans="8:8">
      <c r="H48911" s="680" t="s">
        <v>6153</v>
      </c>
    </row>
    <row r="48912" spans="8:8">
      <c r="H48912" s="680" t="s">
        <v>6153</v>
      </c>
    </row>
    <row r="48913" spans="8:8">
      <c r="H48913" s="680" t="s">
        <v>6153</v>
      </c>
    </row>
    <row r="48914" spans="8:8">
      <c r="H48914" s="680" t="s">
        <v>6153</v>
      </c>
    </row>
    <row r="48915" spans="8:8">
      <c r="H48915" s="680" t="s">
        <v>6153</v>
      </c>
    </row>
    <row r="48916" spans="8:8">
      <c r="H48916" s="680" t="s">
        <v>6153</v>
      </c>
    </row>
    <row r="48917" spans="8:8">
      <c r="H48917" s="680" t="s">
        <v>6153</v>
      </c>
    </row>
    <row r="48918" spans="8:8">
      <c r="H48918" s="680" t="s">
        <v>6153</v>
      </c>
    </row>
    <row r="48919" spans="8:8">
      <c r="H48919" s="680" t="s">
        <v>6153</v>
      </c>
    </row>
    <row r="48920" spans="8:8">
      <c r="H48920" s="680" t="s">
        <v>6153</v>
      </c>
    </row>
    <row r="48921" spans="8:8">
      <c r="H48921" s="680" t="s">
        <v>6153</v>
      </c>
    </row>
    <row r="48922" spans="8:8">
      <c r="H48922" s="680" t="s">
        <v>6153</v>
      </c>
    </row>
    <row r="48923" spans="8:8">
      <c r="H48923" s="680" t="s">
        <v>6153</v>
      </c>
    </row>
    <row r="48924" spans="8:8">
      <c r="H48924" s="680" t="s">
        <v>6153</v>
      </c>
    </row>
    <row r="48925" spans="8:8">
      <c r="H48925" s="680" t="s">
        <v>6153</v>
      </c>
    </row>
    <row r="48926" spans="8:8">
      <c r="H48926" s="680" t="s">
        <v>6153</v>
      </c>
    </row>
    <row r="48927" spans="8:8">
      <c r="H48927" s="680" t="s">
        <v>6153</v>
      </c>
    </row>
    <row r="48928" spans="8:8">
      <c r="H48928" s="680" t="s">
        <v>6153</v>
      </c>
    </row>
    <row r="48929" spans="8:8">
      <c r="H48929" s="680" t="s">
        <v>6153</v>
      </c>
    </row>
    <row r="48930" spans="8:8">
      <c r="H48930" s="680" t="s">
        <v>6153</v>
      </c>
    </row>
    <row r="48931" spans="8:8">
      <c r="H48931" s="680" t="s">
        <v>6153</v>
      </c>
    </row>
    <row r="48932" spans="8:8">
      <c r="H48932" s="680" t="s">
        <v>6153</v>
      </c>
    </row>
    <row r="48933" spans="8:8">
      <c r="H48933" s="680" t="s">
        <v>6153</v>
      </c>
    </row>
    <row r="48934" spans="8:8">
      <c r="H48934" s="680" t="s">
        <v>6153</v>
      </c>
    </row>
    <row r="48935" spans="8:8">
      <c r="H48935" s="680" t="s">
        <v>6153</v>
      </c>
    </row>
    <row r="48936" spans="8:8">
      <c r="H48936" s="680" t="s">
        <v>6153</v>
      </c>
    </row>
    <row r="48937" spans="8:8">
      <c r="H48937" s="680" t="s">
        <v>6153</v>
      </c>
    </row>
    <row r="48938" spans="8:8">
      <c r="H48938" s="680" t="s">
        <v>6153</v>
      </c>
    </row>
    <row r="48939" spans="8:8">
      <c r="H48939" s="680" t="s">
        <v>6153</v>
      </c>
    </row>
    <row r="48940" spans="8:8">
      <c r="H48940" s="680" t="s">
        <v>6153</v>
      </c>
    </row>
    <row r="48941" spans="8:8">
      <c r="H48941" s="680" t="s">
        <v>6153</v>
      </c>
    </row>
    <row r="48942" spans="8:8">
      <c r="H48942" s="680" t="s">
        <v>6153</v>
      </c>
    </row>
    <row r="48943" spans="8:8">
      <c r="H48943" s="680" t="s">
        <v>6153</v>
      </c>
    </row>
    <row r="48944" spans="8:8">
      <c r="H48944" s="680" t="s">
        <v>6153</v>
      </c>
    </row>
    <row r="48945" spans="8:8">
      <c r="H48945" s="680" t="s">
        <v>6153</v>
      </c>
    </row>
    <row r="48946" spans="8:8">
      <c r="H48946" s="680" t="s">
        <v>6153</v>
      </c>
    </row>
    <row r="48947" spans="8:8">
      <c r="H48947" s="680" t="s">
        <v>6153</v>
      </c>
    </row>
    <row r="48948" spans="8:8">
      <c r="H48948" s="680" t="s">
        <v>6153</v>
      </c>
    </row>
    <row r="48949" spans="8:8">
      <c r="H48949" s="680" t="s">
        <v>6153</v>
      </c>
    </row>
    <row r="48950" spans="8:8">
      <c r="H48950" s="680" t="s">
        <v>6153</v>
      </c>
    </row>
    <row r="48951" spans="8:8">
      <c r="H48951" s="680" t="s">
        <v>6153</v>
      </c>
    </row>
    <row r="48952" spans="8:8">
      <c r="H48952" s="680" t="s">
        <v>6153</v>
      </c>
    </row>
    <row r="48953" spans="8:8">
      <c r="H48953" s="680" t="s">
        <v>6153</v>
      </c>
    </row>
    <row r="48954" spans="8:8">
      <c r="H48954" s="680" t="s">
        <v>6153</v>
      </c>
    </row>
    <row r="48955" spans="8:8">
      <c r="H48955" s="680" t="s">
        <v>6153</v>
      </c>
    </row>
    <row r="48956" spans="8:8">
      <c r="H48956" s="680" t="s">
        <v>6153</v>
      </c>
    </row>
    <row r="48957" spans="8:8">
      <c r="H48957" s="680" t="s">
        <v>6153</v>
      </c>
    </row>
    <row r="48958" spans="8:8">
      <c r="H48958" s="680" t="s">
        <v>6153</v>
      </c>
    </row>
    <row r="48959" spans="8:8">
      <c r="H48959" s="680" t="s">
        <v>6153</v>
      </c>
    </row>
    <row r="48960" spans="8:8">
      <c r="H48960" s="680" t="s">
        <v>6153</v>
      </c>
    </row>
    <row r="48961" spans="8:8">
      <c r="H48961" s="680" t="s">
        <v>6153</v>
      </c>
    </row>
    <row r="48962" spans="8:8">
      <c r="H48962" s="680" t="s">
        <v>6153</v>
      </c>
    </row>
    <row r="48963" spans="8:8">
      <c r="H48963" s="680" t="s">
        <v>6153</v>
      </c>
    </row>
    <row r="48964" spans="8:8">
      <c r="H48964" s="680" t="s">
        <v>6153</v>
      </c>
    </row>
    <row r="48965" spans="8:8">
      <c r="H48965" s="680" t="s">
        <v>6153</v>
      </c>
    </row>
    <row r="48966" spans="8:8">
      <c r="H48966" s="680" t="s">
        <v>6153</v>
      </c>
    </row>
    <row r="48967" spans="8:8">
      <c r="H48967" s="680" t="s">
        <v>6153</v>
      </c>
    </row>
    <row r="48968" spans="8:8">
      <c r="H48968" s="680" t="s">
        <v>6153</v>
      </c>
    </row>
    <row r="48969" spans="8:8">
      <c r="H48969" s="680" t="s">
        <v>6153</v>
      </c>
    </row>
    <row r="48970" spans="8:8">
      <c r="H48970" s="680" t="s">
        <v>6153</v>
      </c>
    </row>
    <row r="48971" spans="8:8">
      <c r="H48971" s="680" t="s">
        <v>6153</v>
      </c>
    </row>
    <row r="48972" spans="8:8">
      <c r="H48972" s="680" t="s">
        <v>6153</v>
      </c>
    </row>
    <row r="48973" spans="8:8">
      <c r="H48973" s="680" t="s">
        <v>6153</v>
      </c>
    </row>
    <row r="48974" spans="8:8">
      <c r="H48974" s="680" t="s">
        <v>6153</v>
      </c>
    </row>
    <row r="48975" spans="8:8">
      <c r="H48975" s="680" t="s">
        <v>6153</v>
      </c>
    </row>
    <row r="48976" spans="8:8">
      <c r="H48976" s="680" t="s">
        <v>6153</v>
      </c>
    </row>
    <row r="48977" spans="8:8">
      <c r="H48977" s="680" t="s">
        <v>6153</v>
      </c>
    </row>
    <row r="48978" spans="8:8">
      <c r="H48978" s="680" t="s">
        <v>6153</v>
      </c>
    </row>
    <row r="48979" spans="8:8">
      <c r="H48979" s="680" t="s">
        <v>6153</v>
      </c>
    </row>
    <row r="48980" spans="8:8">
      <c r="H48980" s="680" t="s">
        <v>6153</v>
      </c>
    </row>
    <row r="48981" spans="8:8">
      <c r="H48981" s="680" t="s">
        <v>6153</v>
      </c>
    </row>
    <row r="48982" spans="8:8">
      <c r="H48982" s="680" t="s">
        <v>6153</v>
      </c>
    </row>
    <row r="48983" spans="8:8">
      <c r="H48983" s="680" t="s">
        <v>6153</v>
      </c>
    </row>
    <row r="48984" spans="8:8">
      <c r="H48984" s="680" t="s">
        <v>6153</v>
      </c>
    </row>
    <row r="48985" spans="8:8">
      <c r="H48985" s="680" t="s">
        <v>6153</v>
      </c>
    </row>
    <row r="48986" spans="8:8">
      <c r="H48986" s="680" t="s">
        <v>6153</v>
      </c>
    </row>
    <row r="48987" spans="8:8">
      <c r="H48987" s="680" t="s">
        <v>6153</v>
      </c>
    </row>
    <row r="48988" spans="8:8">
      <c r="H48988" s="680" t="s">
        <v>6153</v>
      </c>
    </row>
    <row r="48989" spans="8:8">
      <c r="H48989" s="680" t="s">
        <v>6153</v>
      </c>
    </row>
    <row r="48990" spans="8:8">
      <c r="H48990" s="680" t="s">
        <v>6153</v>
      </c>
    </row>
    <row r="48991" spans="8:8">
      <c r="H48991" s="680" t="s">
        <v>6153</v>
      </c>
    </row>
    <row r="48992" spans="8:8">
      <c r="H48992" s="680" t="s">
        <v>6153</v>
      </c>
    </row>
    <row r="48993" spans="8:8">
      <c r="H48993" s="680" t="s">
        <v>6153</v>
      </c>
    </row>
    <row r="48994" spans="8:8">
      <c r="H48994" s="680" t="s">
        <v>6153</v>
      </c>
    </row>
    <row r="48995" spans="8:8">
      <c r="H48995" s="680" t="s">
        <v>6153</v>
      </c>
    </row>
    <row r="48996" spans="8:8">
      <c r="H48996" s="680" t="s">
        <v>6153</v>
      </c>
    </row>
    <row r="48997" spans="8:8">
      <c r="H48997" s="680" t="s">
        <v>6153</v>
      </c>
    </row>
    <row r="48998" spans="8:8">
      <c r="H48998" s="680" t="s">
        <v>6153</v>
      </c>
    </row>
    <row r="48999" spans="8:8">
      <c r="H48999" s="680" t="s">
        <v>6153</v>
      </c>
    </row>
    <row r="49000" spans="8:8">
      <c r="H49000" s="680" t="s">
        <v>6153</v>
      </c>
    </row>
    <row r="49001" spans="8:8">
      <c r="H49001" s="680" t="s">
        <v>6153</v>
      </c>
    </row>
    <row r="49002" spans="8:8">
      <c r="H49002" s="680" t="s">
        <v>6153</v>
      </c>
    </row>
    <row r="49003" spans="8:8">
      <c r="H49003" s="680" t="s">
        <v>6153</v>
      </c>
    </row>
    <row r="49004" spans="8:8">
      <c r="H49004" s="680" t="s">
        <v>6153</v>
      </c>
    </row>
    <row r="49005" spans="8:8">
      <c r="H49005" s="680" t="s">
        <v>6153</v>
      </c>
    </row>
    <row r="49006" spans="8:8">
      <c r="H49006" s="680" t="s">
        <v>6153</v>
      </c>
    </row>
    <row r="49007" spans="8:8">
      <c r="H49007" s="680" t="s">
        <v>6153</v>
      </c>
    </row>
    <row r="49008" spans="8:8">
      <c r="H49008" s="680" t="s">
        <v>6153</v>
      </c>
    </row>
    <row r="49009" spans="8:8">
      <c r="H49009" s="680" t="s">
        <v>6153</v>
      </c>
    </row>
    <row r="49010" spans="8:8">
      <c r="H49010" s="680" t="s">
        <v>6153</v>
      </c>
    </row>
    <row r="49011" spans="8:8">
      <c r="H49011" s="680" t="s">
        <v>6153</v>
      </c>
    </row>
    <row r="49012" spans="8:8">
      <c r="H49012" s="680" t="s">
        <v>6153</v>
      </c>
    </row>
    <row r="49013" spans="8:8">
      <c r="H49013" s="680" t="s">
        <v>6153</v>
      </c>
    </row>
    <row r="49014" spans="8:8">
      <c r="H49014" s="680" t="s">
        <v>6153</v>
      </c>
    </row>
    <row r="49015" spans="8:8">
      <c r="H49015" s="680" t="s">
        <v>6153</v>
      </c>
    </row>
    <row r="49016" spans="8:8">
      <c r="H49016" s="680" t="s">
        <v>6153</v>
      </c>
    </row>
    <row r="49017" spans="8:8">
      <c r="H49017" s="680" t="s">
        <v>6153</v>
      </c>
    </row>
    <row r="49018" spans="8:8">
      <c r="H49018" s="680" t="s">
        <v>6153</v>
      </c>
    </row>
    <row r="49019" spans="8:8">
      <c r="H49019" s="680" t="s">
        <v>6153</v>
      </c>
    </row>
    <row r="49020" spans="8:8">
      <c r="H49020" s="680" t="s">
        <v>6153</v>
      </c>
    </row>
    <row r="49021" spans="8:8">
      <c r="H49021" s="680" t="s">
        <v>6153</v>
      </c>
    </row>
    <row r="49022" spans="8:8">
      <c r="H49022" s="680" t="s">
        <v>6153</v>
      </c>
    </row>
    <row r="49023" spans="8:8">
      <c r="H49023" s="680" t="s">
        <v>6153</v>
      </c>
    </row>
    <row r="49024" spans="8:8">
      <c r="H49024" s="680" t="s">
        <v>6153</v>
      </c>
    </row>
    <row r="49025" spans="8:8">
      <c r="H49025" s="680" t="s">
        <v>6153</v>
      </c>
    </row>
    <row r="49026" spans="8:8">
      <c r="H49026" s="680" t="s">
        <v>6153</v>
      </c>
    </row>
    <row r="49027" spans="8:8">
      <c r="H49027" s="680" t="s">
        <v>6153</v>
      </c>
    </row>
    <row r="49028" spans="8:8">
      <c r="H49028" s="680" t="s">
        <v>6153</v>
      </c>
    </row>
    <row r="49029" spans="8:8">
      <c r="H49029" s="680" t="s">
        <v>6153</v>
      </c>
    </row>
    <row r="49030" spans="8:8">
      <c r="H49030" s="680" t="s">
        <v>6153</v>
      </c>
    </row>
    <row r="49031" spans="8:8">
      <c r="H49031" s="680" t="s">
        <v>6153</v>
      </c>
    </row>
    <row r="49032" spans="8:8">
      <c r="H49032" s="680" t="s">
        <v>6153</v>
      </c>
    </row>
    <row r="49033" spans="8:8">
      <c r="H49033" s="680" t="s">
        <v>6153</v>
      </c>
    </row>
    <row r="49034" spans="8:8">
      <c r="H49034" s="680" t="s">
        <v>6153</v>
      </c>
    </row>
    <row r="49035" spans="8:8">
      <c r="H49035" s="680" t="s">
        <v>6153</v>
      </c>
    </row>
    <row r="49036" spans="8:8">
      <c r="H49036" s="680" t="s">
        <v>6153</v>
      </c>
    </row>
    <row r="49037" spans="8:8">
      <c r="H49037" s="680" t="s">
        <v>6153</v>
      </c>
    </row>
    <row r="49038" spans="8:8">
      <c r="H49038" s="680" t="s">
        <v>6153</v>
      </c>
    </row>
    <row r="49039" spans="8:8">
      <c r="H49039" s="680" t="s">
        <v>6153</v>
      </c>
    </row>
    <row r="49040" spans="8:8">
      <c r="H49040" s="680" t="s">
        <v>6153</v>
      </c>
    </row>
    <row r="49041" spans="8:8">
      <c r="H49041" s="680" t="s">
        <v>6153</v>
      </c>
    </row>
    <row r="49042" spans="8:8">
      <c r="H49042" s="680" t="s">
        <v>6153</v>
      </c>
    </row>
    <row r="49043" spans="8:8">
      <c r="H49043" s="680" t="s">
        <v>6153</v>
      </c>
    </row>
    <row r="49044" spans="8:8">
      <c r="H49044" s="680" t="s">
        <v>6153</v>
      </c>
    </row>
    <row r="49045" spans="8:8">
      <c r="H49045" s="680" t="s">
        <v>6153</v>
      </c>
    </row>
    <row r="49046" spans="8:8">
      <c r="H49046" s="680" t="s">
        <v>6153</v>
      </c>
    </row>
    <row r="49047" spans="8:8">
      <c r="H49047" s="680" t="s">
        <v>6153</v>
      </c>
    </row>
    <row r="49048" spans="8:8">
      <c r="H49048" s="680" t="s">
        <v>6153</v>
      </c>
    </row>
    <row r="49049" spans="8:8">
      <c r="H49049" s="680" t="s">
        <v>6153</v>
      </c>
    </row>
    <row r="49050" spans="8:8">
      <c r="H49050" s="680" t="s">
        <v>6153</v>
      </c>
    </row>
    <row r="49051" spans="8:8">
      <c r="H49051" s="680" t="s">
        <v>6153</v>
      </c>
    </row>
    <row r="49052" spans="8:8">
      <c r="H49052" s="680" t="s">
        <v>6153</v>
      </c>
    </row>
    <row r="49053" spans="8:8">
      <c r="H49053" s="680" t="s">
        <v>6153</v>
      </c>
    </row>
    <row r="49054" spans="8:8">
      <c r="H49054" s="680" t="s">
        <v>6153</v>
      </c>
    </row>
    <row r="49055" spans="8:8">
      <c r="H49055" s="680" t="s">
        <v>6153</v>
      </c>
    </row>
    <row r="49056" spans="8:8">
      <c r="H49056" s="680" t="s">
        <v>6153</v>
      </c>
    </row>
    <row r="49057" spans="8:8">
      <c r="H49057" s="680" t="s">
        <v>6153</v>
      </c>
    </row>
    <row r="49058" spans="8:8">
      <c r="H49058" s="680" t="s">
        <v>6153</v>
      </c>
    </row>
    <row r="49059" spans="8:8">
      <c r="H49059" s="680" t="s">
        <v>6153</v>
      </c>
    </row>
    <row r="49060" spans="8:8">
      <c r="H49060" s="680" t="s">
        <v>6153</v>
      </c>
    </row>
    <row r="49061" spans="8:8">
      <c r="H49061" s="680" t="s">
        <v>6153</v>
      </c>
    </row>
    <row r="49062" spans="8:8">
      <c r="H49062" s="680" t="s">
        <v>6153</v>
      </c>
    </row>
    <row r="49063" spans="8:8">
      <c r="H49063" s="680" t="s">
        <v>6153</v>
      </c>
    </row>
    <row r="49064" spans="8:8">
      <c r="H49064" s="680" t="s">
        <v>6153</v>
      </c>
    </row>
    <row r="49065" spans="8:8">
      <c r="H49065" s="680" t="s">
        <v>6153</v>
      </c>
    </row>
    <row r="49066" spans="8:8">
      <c r="H49066" s="680" t="s">
        <v>6153</v>
      </c>
    </row>
    <row r="49067" spans="8:8">
      <c r="H49067" s="680" t="s">
        <v>6153</v>
      </c>
    </row>
    <row r="49068" spans="8:8">
      <c r="H49068" s="680" t="s">
        <v>6153</v>
      </c>
    </row>
    <row r="49069" spans="8:8">
      <c r="H49069" s="680" t="s">
        <v>6153</v>
      </c>
    </row>
    <row r="49070" spans="8:8">
      <c r="H49070" s="680" t="s">
        <v>6153</v>
      </c>
    </row>
    <row r="49071" spans="8:8">
      <c r="H49071" s="680" t="s">
        <v>6153</v>
      </c>
    </row>
    <row r="49072" spans="8:8">
      <c r="H49072" s="680" t="s">
        <v>6153</v>
      </c>
    </row>
    <row r="49073" spans="8:8">
      <c r="H49073" s="680" t="s">
        <v>6153</v>
      </c>
    </row>
    <row r="49074" spans="8:8">
      <c r="H49074" s="680" t="s">
        <v>6153</v>
      </c>
    </row>
    <row r="49075" spans="8:8">
      <c r="H49075" s="680" t="s">
        <v>6153</v>
      </c>
    </row>
    <row r="49076" spans="8:8">
      <c r="H49076" s="680" t="s">
        <v>6153</v>
      </c>
    </row>
    <row r="49077" spans="8:8">
      <c r="H49077" s="680" t="s">
        <v>6153</v>
      </c>
    </row>
    <row r="49078" spans="8:8">
      <c r="H49078" s="680" t="s">
        <v>6153</v>
      </c>
    </row>
    <row r="49079" spans="8:8">
      <c r="H49079" s="680" t="s">
        <v>6153</v>
      </c>
    </row>
    <row r="49080" spans="8:8">
      <c r="H49080" s="680" t="s">
        <v>6153</v>
      </c>
    </row>
    <row r="49081" spans="8:8">
      <c r="H49081" s="680" t="s">
        <v>6153</v>
      </c>
    </row>
    <row r="49082" spans="8:8">
      <c r="H49082" s="680" t="s">
        <v>6153</v>
      </c>
    </row>
    <row r="49083" spans="8:8">
      <c r="H49083" s="680" t="s">
        <v>6153</v>
      </c>
    </row>
    <row r="49084" spans="8:8">
      <c r="H49084" s="680" t="s">
        <v>6153</v>
      </c>
    </row>
    <row r="49085" spans="8:8">
      <c r="H49085" s="680" t="s">
        <v>6153</v>
      </c>
    </row>
    <row r="49086" spans="8:8">
      <c r="H49086" s="680" t="s">
        <v>6153</v>
      </c>
    </row>
    <row r="49087" spans="8:8">
      <c r="H49087" s="680" t="s">
        <v>6153</v>
      </c>
    </row>
    <row r="49088" spans="8:8">
      <c r="H49088" s="680" t="s">
        <v>6153</v>
      </c>
    </row>
    <row r="49089" spans="8:8">
      <c r="H49089" s="680" t="s">
        <v>6153</v>
      </c>
    </row>
    <row r="49090" spans="8:8">
      <c r="H49090" s="680" t="s">
        <v>6153</v>
      </c>
    </row>
    <row r="49091" spans="8:8">
      <c r="H49091" s="680" t="s">
        <v>6153</v>
      </c>
    </row>
    <row r="49092" spans="8:8">
      <c r="H49092" s="680" t="s">
        <v>6153</v>
      </c>
    </row>
    <row r="49093" spans="8:8">
      <c r="H49093" s="680" t="s">
        <v>6153</v>
      </c>
    </row>
    <row r="49094" spans="8:8">
      <c r="H49094" s="680" t="s">
        <v>6153</v>
      </c>
    </row>
    <row r="49095" spans="8:8">
      <c r="H49095" s="680" t="s">
        <v>6153</v>
      </c>
    </row>
    <row r="49096" spans="8:8">
      <c r="H49096" s="680" t="s">
        <v>6153</v>
      </c>
    </row>
    <row r="49097" spans="8:8">
      <c r="H49097" s="680" t="s">
        <v>6153</v>
      </c>
    </row>
    <row r="49098" spans="8:8">
      <c r="H49098" s="680" t="s">
        <v>6153</v>
      </c>
    </row>
    <row r="49099" spans="8:8">
      <c r="H49099" s="680" t="s">
        <v>6153</v>
      </c>
    </row>
    <row r="49100" spans="8:8">
      <c r="H49100" s="680" t="s">
        <v>6153</v>
      </c>
    </row>
    <row r="49101" spans="8:8">
      <c r="H49101" s="680" t="s">
        <v>6153</v>
      </c>
    </row>
    <row r="49102" spans="8:8">
      <c r="H49102" s="680" t="s">
        <v>6153</v>
      </c>
    </row>
    <row r="49103" spans="8:8">
      <c r="H49103" s="680" t="s">
        <v>6153</v>
      </c>
    </row>
    <row r="49104" spans="8:8">
      <c r="H49104" s="680" t="s">
        <v>6153</v>
      </c>
    </row>
    <row r="49105" spans="8:8">
      <c r="H49105" s="680" t="s">
        <v>6153</v>
      </c>
    </row>
    <row r="49106" spans="8:8">
      <c r="H49106" s="680" t="s">
        <v>6153</v>
      </c>
    </row>
    <row r="49107" spans="8:8">
      <c r="H49107" s="680" t="s">
        <v>6153</v>
      </c>
    </row>
    <row r="49108" spans="8:8">
      <c r="H49108" s="680" t="s">
        <v>6153</v>
      </c>
    </row>
    <row r="49109" spans="8:8">
      <c r="H49109" s="680" t="s">
        <v>6153</v>
      </c>
    </row>
    <row r="49110" spans="8:8">
      <c r="H49110" s="680" t="s">
        <v>6153</v>
      </c>
    </row>
    <row r="49111" spans="8:8">
      <c r="H49111" s="680" t="s">
        <v>6153</v>
      </c>
    </row>
    <row r="49112" spans="8:8">
      <c r="H49112" s="680" t="s">
        <v>6153</v>
      </c>
    </row>
    <row r="49113" spans="8:8">
      <c r="H49113" s="680" t="s">
        <v>6153</v>
      </c>
    </row>
    <row r="49114" spans="8:8">
      <c r="H49114" s="680" t="s">
        <v>6153</v>
      </c>
    </row>
    <row r="49115" spans="8:8">
      <c r="H49115" s="680" t="s">
        <v>6153</v>
      </c>
    </row>
    <row r="49116" spans="8:8">
      <c r="H49116" s="680" t="s">
        <v>6153</v>
      </c>
    </row>
    <row r="49117" spans="8:8">
      <c r="H49117" s="680" t="s">
        <v>6153</v>
      </c>
    </row>
    <row r="49118" spans="8:8">
      <c r="H49118" s="680" t="s">
        <v>6153</v>
      </c>
    </row>
    <row r="49119" spans="8:8">
      <c r="H49119" s="680" t="s">
        <v>6153</v>
      </c>
    </row>
    <row r="49120" spans="8:8">
      <c r="H49120" s="680" t="s">
        <v>6153</v>
      </c>
    </row>
    <row r="49121" spans="8:8">
      <c r="H49121" s="680" t="s">
        <v>6153</v>
      </c>
    </row>
    <row r="49122" spans="8:8">
      <c r="H49122" s="680" t="s">
        <v>6153</v>
      </c>
    </row>
    <row r="49123" spans="8:8">
      <c r="H49123" s="680" t="s">
        <v>6153</v>
      </c>
    </row>
    <row r="49124" spans="8:8">
      <c r="H49124" s="680" t="s">
        <v>6153</v>
      </c>
    </row>
    <row r="49125" spans="8:8">
      <c r="H49125" s="680" t="s">
        <v>6153</v>
      </c>
    </row>
    <row r="49126" spans="8:8">
      <c r="H49126" s="680" t="s">
        <v>6153</v>
      </c>
    </row>
    <row r="49127" spans="8:8">
      <c r="H49127" s="680" t="s">
        <v>6153</v>
      </c>
    </row>
    <row r="49128" spans="8:8">
      <c r="H49128" s="680" t="s">
        <v>6153</v>
      </c>
    </row>
    <row r="49129" spans="8:8">
      <c r="H49129" s="680" t="s">
        <v>6153</v>
      </c>
    </row>
    <row r="49130" spans="8:8">
      <c r="H49130" s="680" t="s">
        <v>6153</v>
      </c>
    </row>
    <row r="49131" spans="8:8">
      <c r="H49131" s="680" t="s">
        <v>6153</v>
      </c>
    </row>
    <row r="49132" spans="8:8">
      <c r="H49132" s="680" t="s">
        <v>6153</v>
      </c>
    </row>
    <row r="49133" spans="8:8">
      <c r="H49133" s="680" t="s">
        <v>6153</v>
      </c>
    </row>
    <row r="49134" spans="8:8">
      <c r="H49134" s="680" t="s">
        <v>6153</v>
      </c>
    </row>
    <row r="49135" spans="8:8">
      <c r="H49135" s="680" t="s">
        <v>6153</v>
      </c>
    </row>
    <row r="49136" spans="8:8">
      <c r="H49136" s="680" t="s">
        <v>6153</v>
      </c>
    </row>
    <row r="49137" spans="8:8">
      <c r="H49137" s="680" t="s">
        <v>6153</v>
      </c>
    </row>
    <row r="49138" spans="8:8">
      <c r="H49138" s="680" t="s">
        <v>6153</v>
      </c>
    </row>
    <row r="49139" spans="8:8">
      <c r="H49139" s="680" t="s">
        <v>6153</v>
      </c>
    </row>
    <row r="49140" spans="8:8">
      <c r="H49140" s="680" t="s">
        <v>6153</v>
      </c>
    </row>
    <row r="49141" spans="8:8">
      <c r="H49141" s="680" t="s">
        <v>6153</v>
      </c>
    </row>
    <row r="49142" spans="8:8">
      <c r="H49142" s="680" t="s">
        <v>6153</v>
      </c>
    </row>
    <row r="49143" spans="8:8">
      <c r="H49143" s="680" t="s">
        <v>6153</v>
      </c>
    </row>
    <row r="49144" spans="8:8">
      <c r="H49144" s="680" t="s">
        <v>6153</v>
      </c>
    </row>
    <row r="49145" spans="8:8">
      <c r="H49145" s="680" t="s">
        <v>6153</v>
      </c>
    </row>
    <row r="49146" spans="8:8">
      <c r="H49146" s="680" t="s">
        <v>6153</v>
      </c>
    </row>
    <row r="49147" spans="8:8">
      <c r="H49147" s="680" t="s">
        <v>6153</v>
      </c>
    </row>
    <row r="49148" spans="8:8">
      <c r="H49148" s="680" t="s">
        <v>6153</v>
      </c>
    </row>
    <row r="49149" spans="8:8">
      <c r="H49149" s="680" t="s">
        <v>6153</v>
      </c>
    </row>
    <row r="49150" spans="8:8">
      <c r="H49150" s="680" t="s">
        <v>6153</v>
      </c>
    </row>
    <row r="49151" spans="8:8">
      <c r="H49151" s="680" t="s">
        <v>6153</v>
      </c>
    </row>
    <row r="49152" spans="8:8">
      <c r="H49152" s="680" t="s">
        <v>6153</v>
      </c>
    </row>
    <row r="49153" spans="8:8">
      <c r="H49153" s="680" t="s">
        <v>6153</v>
      </c>
    </row>
    <row r="49154" spans="8:8">
      <c r="H49154" s="680" t="s">
        <v>6153</v>
      </c>
    </row>
    <row r="49155" spans="8:8">
      <c r="H49155" s="680" t="s">
        <v>6153</v>
      </c>
    </row>
    <row r="49156" spans="8:8">
      <c r="H49156" s="680" t="s">
        <v>6153</v>
      </c>
    </row>
    <row r="49157" spans="8:8">
      <c r="H49157" s="680" t="s">
        <v>6153</v>
      </c>
    </row>
    <row r="49158" spans="8:8">
      <c r="H49158" s="680" t="s">
        <v>6153</v>
      </c>
    </row>
    <row r="49159" spans="8:8">
      <c r="H49159" s="680" t="s">
        <v>6153</v>
      </c>
    </row>
    <row r="49160" spans="8:8">
      <c r="H49160" s="680" t="s">
        <v>6153</v>
      </c>
    </row>
    <row r="49161" spans="8:8">
      <c r="H49161" s="680" t="s">
        <v>6153</v>
      </c>
    </row>
    <row r="49162" spans="8:8">
      <c r="H49162" s="680" t="s">
        <v>6153</v>
      </c>
    </row>
    <row r="49163" spans="8:8">
      <c r="H49163" s="680" t="s">
        <v>6153</v>
      </c>
    </row>
    <row r="49164" spans="8:8">
      <c r="H49164" s="680" t="s">
        <v>6153</v>
      </c>
    </row>
    <row r="49165" spans="8:8">
      <c r="H49165" s="680" t="s">
        <v>6153</v>
      </c>
    </row>
    <row r="49166" spans="8:8">
      <c r="H49166" s="680" t="s">
        <v>6153</v>
      </c>
    </row>
    <row r="49167" spans="8:8">
      <c r="H49167" s="680" t="s">
        <v>6153</v>
      </c>
    </row>
    <row r="49168" spans="8:8">
      <c r="H49168" s="680" t="s">
        <v>6153</v>
      </c>
    </row>
    <row r="49169" spans="8:8">
      <c r="H49169" s="680" t="s">
        <v>6153</v>
      </c>
    </row>
    <row r="49170" spans="8:8">
      <c r="H49170" s="680" t="s">
        <v>6153</v>
      </c>
    </row>
    <row r="49171" spans="8:8">
      <c r="H49171" s="680" t="s">
        <v>6153</v>
      </c>
    </row>
    <row r="49172" spans="8:8">
      <c r="H49172" s="680" t="s">
        <v>6153</v>
      </c>
    </row>
    <row r="49173" spans="8:8">
      <c r="H49173" s="680" t="s">
        <v>6153</v>
      </c>
    </row>
    <row r="49174" spans="8:8">
      <c r="H49174" s="680" t="s">
        <v>6153</v>
      </c>
    </row>
    <row r="49175" spans="8:8">
      <c r="H49175" s="680" t="s">
        <v>6153</v>
      </c>
    </row>
    <row r="49176" spans="8:8">
      <c r="H49176" s="680" t="s">
        <v>6153</v>
      </c>
    </row>
    <row r="49177" spans="8:8">
      <c r="H49177" s="680" t="s">
        <v>6153</v>
      </c>
    </row>
    <row r="49178" spans="8:8">
      <c r="H49178" s="680" t="s">
        <v>6153</v>
      </c>
    </row>
    <row r="49179" spans="8:8">
      <c r="H49179" s="680" t="s">
        <v>6153</v>
      </c>
    </row>
    <row r="49180" spans="8:8">
      <c r="H49180" s="680" t="s">
        <v>6153</v>
      </c>
    </row>
    <row r="49181" spans="8:8">
      <c r="H49181" s="680" t="s">
        <v>6153</v>
      </c>
    </row>
    <row r="49182" spans="8:8">
      <c r="H49182" s="680" t="s">
        <v>6153</v>
      </c>
    </row>
    <row r="49183" spans="8:8">
      <c r="H49183" s="680" t="s">
        <v>6153</v>
      </c>
    </row>
    <row r="49184" spans="8:8">
      <c r="H49184" s="680" t="s">
        <v>6153</v>
      </c>
    </row>
    <row r="49185" spans="8:8">
      <c r="H49185" s="680" t="s">
        <v>6153</v>
      </c>
    </row>
    <row r="49186" spans="8:8">
      <c r="H49186" s="680" t="s">
        <v>6153</v>
      </c>
    </row>
    <row r="49187" spans="8:8">
      <c r="H49187" s="680" t="s">
        <v>6153</v>
      </c>
    </row>
    <row r="49188" spans="8:8">
      <c r="H49188" s="680" t="s">
        <v>6153</v>
      </c>
    </row>
    <row r="49189" spans="8:8">
      <c r="H49189" s="680" t="s">
        <v>6153</v>
      </c>
    </row>
    <row r="49190" spans="8:8">
      <c r="H49190" s="680" t="s">
        <v>6153</v>
      </c>
    </row>
    <row r="49191" spans="8:8">
      <c r="H49191" s="680" t="s">
        <v>6153</v>
      </c>
    </row>
    <row r="49192" spans="8:8">
      <c r="H49192" s="680" t="s">
        <v>6153</v>
      </c>
    </row>
    <row r="49193" spans="8:8">
      <c r="H49193" s="680" t="s">
        <v>6153</v>
      </c>
    </row>
    <row r="49194" spans="8:8">
      <c r="H49194" s="680" t="s">
        <v>6153</v>
      </c>
    </row>
    <row r="49195" spans="8:8">
      <c r="H49195" s="680" t="s">
        <v>6153</v>
      </c>
    </row>
    <row r="49196" spans="8:8">
      <c r="H49196" s="680" t="s">
        <v>6153</v>
      </c>
    </row>
    <row r="49197" spans="8:8">
      <c r="H49197" s="680" t="s">
        <v>6153</v>
      </c>
    </row>
    <row r="49198" spans="8:8">
      <c r="H49198" s="680" t="s">
        <v>6153</v>
      </c>
    </row>
    <row r="49199" spans="8:8">
      <c r="H49199" s="680" t="s">
        <v>6153</v>
      </c>
    </row>
    <row r="49200" spans="8:8">
      <c r="H49200" s="680" t="s">
        <v>6153</v>
      </c>
    </row>
    <row r="49201" spans="8:8">
      <c r="H49201" s="680" t="s">
        <v>6153</v>
      </c>
    </row>
    <row r="49202" spans="8:8">
      <c r="H49202" s="680" t="s">
        <v>6153</v>
      </c>
    </row>
    <row r="49203" spans="8:8">
      <c r="H49203" s="680" t="s">
        <v>6153</v>
      </c>
    </row>
    <row r="49204" spans="8:8">
      <c r="H49204" s="680" t="s">
        <v>6153</v>
      </c>
    </row>
    <row r="49205" spans="8:8">
      <c r="H49205" s="680" t="s">
        <v>6153</v>
      </c>
    </row>
    <row r="49206" spans="8:8">
      <c r="H49206" s="680" t="s">
        <v>6153</v>
      </c>
    </row>
    <row r="49207" spans="8:8">
      <c r="H49207" s="680" t="s">
        <v>6153</v>
      </c>
    </row>
    <row r="49208" spans="8:8">
      <c r="H49208" s="680" t="s">
        <v>6153</v>
      </c>
    </row>
    <row r="49209" spans="8:8">
      <c r="H49209" s="680" t="s">
        <v>6153</v>
      </c>
    </row>
    <row r="49210" spans="8:8">
      <c r="H49210" s="680" t="s">
        <v>6153</v>
      </c>
    </row>
    <row r="49211" spans="8:8">
      <c r="H49211" s="680" t="s">
        <v>6153</v>
      </c>
    </row>
    <row r="49212" spans="8:8">
      <c r="H49212" s="680" t="s">
        <v>6153</v>
      </c>
    </row>
    <row r="49213" spans="8:8">
      <c r="H49213" s="680" t="s">
        <v>6153</v>
      </c>
    </row>
    <row r="49214" spans="8:8">
      <c r="H49214" s="680" t="s">
        <v>6153</v>
      </c>
    </row>
    <row r="49215" spans="8:8">
      <c r="H49215" s="680" t="s">
        <v>6153</v>
      </c>
    </row>
    <row r="49216" spans="8:8">
      <c r="H49216" s="680" t="s">
        <v>6153</v>
      </c>
    </row>
    <row r="49217" spans="8:8">
      <c r="H49217" s="680" t="s">
        <v>6153</v>
      </c>
    </row>
    <row r="49218" spans="8:8">
      <c r="H49218" s="680" t="s">
        <v>6153</v>
      </c>
    </row>
    <row r="49219" spans="8:8">
      <c r="H49219" s="680" t="s">
        <v>6153</v>
      </c>
    </row>
    <row r="49220" spans="8:8">
      <c r="H49220" s="680" t="s">
        <v>6153</v>
      </c>
    </row>
    <row r="49221" spans="8:8">
      <c r="H49221" s="680" t="s">
        <v>6153</v>
      </c>
    </row>
    <row r="49222" spans="8:8">
      <c r="H49222" s="680" t="s">
        <v>6153</v>
      </c>
    </row>
    <row r="49223" spans="8:8">
      <c r="H49223" s="680" t="s">
        <v>6153</v>
      </c>
    </row>
    <row r="49224" spans="8:8">
      <c r="H49224" s="680" t="s">
        <v>6153</v>
      </c>
    </row>
    <row r="49225" spans="8:8">
      <c r="H49225" s="680" t="s">
        <v>6153</v>
      </c>
    </row>
    <row r="49226" spans="8:8">
      <c r="H49226" s="680" t="s">
        <v>6153</v>
      </c>
    </row>
    <row r="49227" spans="8:8">
      <c r="H49227" s="680" t="s">
        <v>6153</v>
      </c>
    </row>
    <row r="49228" spans="8:8">
      <c r="H49228" s="680" t="s">
        <v>6153</v>
      </c>
    </row>
    <row r="49229" spans="8:8">
      <c r="H49229" s="680" t="s">
        <v>6153</v>
      </c>
    </row>
    <row r="49230" spans="8:8">
      <c r="H49230" s="680" t="s">
        <v>6153</v>
      </c>
    </row>
    <row r="49231" spans="8:8">
      <c r="H49231" s="680" t="s">
        <v>6153</v>
      </c>
    </row>
    <row r="49232" spans="8:8">
      <c r="H49232" s="680" t="s">
        <v>6153</v>
      </c>
    </row>
    <row r="49233" spans="8:8">
      <c r="H49233" s="680" t="s">
        <v>6153</v>
      </c>
    </row>
    <row r="49234" spans="8:8">
      <c r="H49234" s="680" t="s">
        <v>6153</v>
      </c>
    </row>
    <row r="49235" spans="8:8">
      <c r="H49235" s="680" t="s">
        <v>6153</v>
      </c>
    </row>
    <row r="49236" spans="8:8">
      <c r="H49236" s="680" t="s">
        <v>6153</v>
      </c>
    </row>
    <row r="49237" spans="8:8">
      <c r="H49237" s="680" t="s">
        <v>6153</v>
      </c>
    </row>
    <row r="49238" spans="8:8">
      <c r="H49238" s="680" t="s">
        <v>6153</v>
      </c>
    </row>
    <row r="49239" spans="8:8">
      <c r="H49239" s="680" t="s">
        <v>6153</v>
      </c>
    </row>
    <row r="49240" spans="8:8">
      <c r="H49240" s="680" t="s">
        <v>6153</v>
      </c>
    </row>
    <row r="49241" spans="8:8">
      <c r="H49241" s="680" t="s">
        <v>6153</v>
      </c>
    </row>
    <row r="49242" spans="8:8">
      <c r="H49242" s="680" t="s">
        <v>6153</v>
      </c>
    </row>
    <row r="49243" spans="8:8">
      <c r="H49243" s="680" t="s">
        <v>6153</v>
      </c>
    </row>
    <row r="49244" spans="8:8">
      <c r="H49244" s="680" t="s">
        <v>6153</v>
      </c>
    </row>
    <row r="49245" spans="8:8">
      <c r="H49245" s="680" t="s">
        <v>6153</v>
      </c>
    </row>
    <row r="49246" spans="8:8">
      <c r="H49246" s="680" t="s">
        <v>6153</v>
      </c>
    </row>
    <row r="49247" spans="8:8">
      <c r="H49247" s="680" t="s">
        <v>6153</v>
      </c>
    </row>
    <row r="49248" spans="8:8">
      <c r="H49248" s="680" t="s">
        <v>6153</v>
      </c>
    </row>
    <row r="49249" spans="8:8">
      <c r="H49249" s="680" t="s">
        <v>6153</v>
      </c>
    </row>
    <row r="49250" spans="8:8">
      <c r="H49250" s="680" t="s">
        <v>6153</v>
      </c>
    </row>
    <row r="49251" spans="8:8">
      <c r="H49251" s="680" t="s">
        <v>6153</v>
      </c>
    </row>
    <row r="49252" spans="8:8">
      <c r="H49252" s="680" t="s">
        <v>6153</v>
      </c>
    </row>
    <row r="49253" spans="8:8">
      <c r="H49253" s="680" t="s">
        <v>6153</v>
      </c>
    </row>
    <row r="49254" spans="8:8">
      <c r="H49254" s="680" t="s">
        <v>6153</v>
      </c>
    </row>
    <row r="49255" spans="8:8">
      <c r="H49255" s="680" t="s">
        <v>6153</v>
      </c>
    </row>
    <row r="49256" spans="8:8">
      <c r="H49256" s="680" t="s">
        <v>6153</v>
      </c>
    </row>
    <row r="49257" spans="8:8">
      <c r="H49257" s="680" t="s">
        <v>6153</v>
      </c>
    </row>
    <row r="49258" spans="8:8">
      <c r="H49258" s="680" t="s">
        <v>6153</v>
      </c>
    </row>
    <row r="49259" spans="8:8">
      <c r="H49259" s="680" t="s">
        <v>6153</v>
      </c>
    </row>
    <row r="49260" spans="8:8">
      <c r="H49260" s="680" t="s">
        <v>6153</v>
      </c>
    </row>
    <row r="49261" spans="8:8">
      <c r="H49261" s="680" t="s">
        <v>6153</v>
      </c>
    </row>
    <row r="49262" spans="8:8">
      <c r="H49262" s="680" t="s">
        <v>6153</v>
      </c>
    </row>
    <row r="49263" spans="8:8">
      <c r="H49263" s="680" t="s">
        <v>6153</v>
      </c>
    </row>
    <row r="49264" spans="8:8">
      <c r="H49264" s="680" t="s">
        <v>6153</v>
      </c>
    </row>
    <row r="49265" spans="8:8">
      <c r="H49265" s="680" t="s">
        <v>6153</v>
      </c>
    </row>
    <row r="49266" spans="8:8">
      <c r="H49266" s="680" t="s">
        <v>6153</v>
      </c>
    </row>
    <row r="49267" spans="8:8">
      <c r="H49267" s="680" t="s">
        <v>6153</v>
      </c>
    </row>
    <row r="49268" spans="8:8">
      <c r="H49268" s="680" t="s">
        <v>6153</v>
      </c>
    </row>
    <row r="49269" spans="8:8">
      <c r="H49269" s="680" t="s">
        <v>6153</v>
      </c>
    </row>
    <row r="49270" spans="8:8">
      <c r="H49270" s="680" t="s">
        <v>6153</v>
      </c>
    </row>
    <row r="49271" spans="8:8">
      <c r="H49271" s="680" t="s">
        <v>6153</v>
      </c>
    </row>
    <row r="49272" spans="8:8">
      <c r="H49272" s="680" t="s">
        <v>6153</v>
      </c>
    </row>
    <row r="49273" spans="8:8">
      <c r="H49273" s="680" t="s">
        <v>6153</v>
      </c>
    </row>
    <row r="49274" spans="8:8">
      <c r="H49274" s="680" t="s">
        <v>6153</v>
      </c>
    </row>
    <row r="49275" spans="8:8">
      <c r="H49275" s="680" t="s">
        <v>6153</v>
      </c>
    </row>
    <row r="49276" spans="8:8">
      <c r="H49276" s="680" t="s">
        <v>6153</v>
      </c>
    </row>
    <row r="49277" spans="8:8">
      <c r="H49277" s="680" t="s">
        <v>6153</v>
      </c>
    </row>
    <row r="49278" spans="8:8">
      <c r="H49278" s="680" t="s">
        <v>6153</v>
      </c>
    </row>
    <row r="49279" spans="8:8">
      <c r="H49279" s="680" t="s">
        <v>6153</v>
      </c>
    </row>
    <row r="49280" spans="8:8">
      <c r="H49280" s="680" t="s">
        <v>6153</v>
      </c>
    </row>
    <row r="49281" spans="8:8">
      <c r="H49281" s="680" t="s">
        <v>6153</v>
      </c>
    </row>
    <row r="49282" spans="8:8">
      <c r="H49282" s="680" t="s">
        <v>6153</v>
      </c>
    </row>
    <row r="49283" spans="8:8">
      <c r="H49283" s="680" t="s">
        <v>6153</v>
      </c>
    </row>
    <row r="49284" spans="8:8">
      <c r="H49284" s="680" t="s">
        <v>6153</v>
      </c>
    </row>
    <row r="49285" spans="8:8">
      <c r="H49285" s="680" t="s">
        <v>6153</v>
      </c>
    </row>
    <row r="49286" spans="8:8">
      <c r="H49286" s="680" t="s">
        <v>6153</v>
      </c>
    </row>
    <row r="49287" spans="8:8">
      <c r="H49287" s="680" t="s">
        <v>6153</v>
      </c>
    </row>
    <row r="49288" spans="8:8">
      <c r="H49288" s="680" t="s">
        <v>6153</v>
      </c>
    </row>
    <row r="49289" spans="8:8">
      <c r="H49289" s="680" t="s">
        <v>6153</v>
      </c>
    </row>
    <row r="49290" spans="8:8">
      <c r="H49290" s="680" t="s">
        <v>6153</v>
      </c>
    </row>
    <row r="49291" spans="8:8">
      <c r="H49291" s="680" t="s">
        <v>6153</v>
      </c>
    </row>
    <row r="49292" spans="8:8">
      <c r="H49292" s="680" t="s">
        <v>6153</v>
      </c>
    </row>
    <row r="49293" spans="8:8">
      <c r="H49293" s="680" t="s">
        <v>6153</v>
      </c>
    </row>
    <row r="49294" spans="8:8">
      <c r="H49294" s="680" t="s">
        <v>6153</v>
      </c>
    </row>
    <row r="49295" spans="8:8">
      <c r="H49295" s="680" t="s">
        <v>6153</v>
      </c>
    </row>
    <row r="49296" spans="8:8">
      <c r="H49296" s="680" t="s">
        <v>6153</v>
      </c>
    </row>
    <row r="49297" spans="8:8">
      <c r="H49297" s="680" t="s">
        <v>6153</v>
      </c>
    </row>
    <row r="49298" spans="8:8">
      <c r="H49298" s="680" t="s">
        <v>6153</v>
      </c>
    </row>
    <row r="49299" spans="8:8">
      <c r="H49299" s="680" t="s">
        <v>6153</v>
      </c>
    </row>
    <row r="49300" spans="8:8">
      <c r="H49300" s="680" t="s">
        <v>6153</v>
      </c>
    </row>
    <row r="49301" spans="8:8">
      <c r="H49301" s="680" t="s">
        <v>6153</v>
      </c>
    </row>
    <row r="49302" spans="8:8">
      <c r="H49302" s="680" t="s">
        <v>6153</v>
      </c>
    </row>
    <row r="49303" spans="8:8">
      <c r="H49303" s="680" t="s">
        <v>6153</v>
      </c>
    </row>
    <row r="49304" spans="8:8">
      <c r="H49304" s="680" t="s">
        <v>6153</v>
      </c>
    </row>
    <row r="49305" spans="8:8">
      <c r="H49305" s="680" t="s">
        <v>6153</v>
      </c>
    </row>
    <row r="49306" spans="8:8">
      <c r="H49306" s="680" t="s">
        <v>6153</v>
      </c>
    </row>
    <row r="49307" spans="8:8">
      <c r="H49307" s="680" t="s">
        <v>6153</v>
      </c>
    </row>
    <row r="49308" spans="8:8">
      <c r="H49308" s="680" t="s">
        <v>6153</v>
      </c>
    </row>
    <row r="49309" spans="8:8">
      <c r="H49309" s="680" t="s">
        <v>6153</v>
      </c>
    </row>
    <row r="49310" spans="8:8">
      <c r="H49310" s="680" t="s">
        <v>6153</v>
      </c>
    </row>
    <row r="49311" spans="8:8">
      <c r="H49311" s="680" t="s">
        <v>6153</v>
      </c>
    </row>
    <row r="49312" spans="8:8">
      <c r="H49312" s="680" t="s">
        <v>6153</v>
      </c>
    </row>
    <row r="49313" spans="8:8">
      <c r="H49313" s="680" t="s">
        <v>6153</v>
      </c>
    </row>
    <row r="49314" spans="8:8">
      <c r="H49314" s="680" t="s">
        <v>6153</v>
      </c>
    </row>
    <row r="49315" spans="8:8">
      <c r="H49315" s="680" t="s">
        <v>6153</v>
      </c>
    </row>
    <row r="49316" spans="8:8">
      <c r="H49316" s="680" t="s">
        <v>6153</v>
      </c>
    </row>
    <row r="49317" spans="8:8">
      <c r="H49317" s="680" t="s">
        <v>6153</v>
      </c>
    </row>
    <row r="49318" spans="8:8">
      <c r="H49318" s="680" t="s">
        <v>6153</v>
      </c>
    </row>
    <row r="49319" spans="8:8">
      <c r="H49319" s="680" t="s">
        <v>6153</v>
      </c>
    </row>
    <row r="49320" spans="8:8">
      <c r="H49320" s="680" t="s">
        <v>6153</v>
      </c>
    </row>
    <row r="49321" spans="8:8">
      <c r="H49321" s="680" t="s">
        <v>6153</v>
      </c>
    </row>
    <row r="49322" spans="8:8">
      <c r="H49322" s="680" t="s">
        <v>6153</v>
      </c>
    </row>
    <row r="49323" spans="8:8">
      <c r="H49323" s="680" t="s">
        <v>6153</v>
      </c>
    </row>
    <row r="49324" spans="8:8">
      <c r="H49324" s="680" t="s">
        <v>6153</v>
      </c>
    </row>
    <row r="49325" spans="8:8">
      <c r="H49325" s="680" t="s">
        <v>6153</v>
      </c>
    </row>
    <row r="49326" spans="8:8">
      <c r="H49326" s="680" t="s">
        <v>6153</v>
      </c>
    </row>
    <row r="49327" spans="8:8">
      <c r="H49327" s="680" t="s">
        <v>6153</v>
      </c>
    </row>
    <row r="49328" spans="8:8">
      <c r="H49328" s="680" t="s">
        <v>6153</v>
      </c>
    </row>
    <row r="49329" spans="8:8">
      <c r="H49329" s="680" t="s">
        <v>6153</v>
      </c>
    </row>
    <row r="49330" spans="8:8">
      <c r="H49330" s="680" t="s">
        <v>6153</v>
      </c>
    </row>
    <row r="49331" spans="8:8">
      <c r="H49331" s="680" t="s">
        <v>6153</v>
      </c>
    </row>
    <row r="49332" spans="8:8">
      <c r="H49332" s="680" t="s">
        <v>6153</v>
      </c>
    </row>
    <row r="49333" spans="8:8">
      <c r="H49333" s="680" t="s">
        <v>6153</v>
      </c>
    </row>
    <row r="49334" spans="8:8">
      <c r="H49334" s="680" t="s">
        <v>6153</v>
      </c>
    </row>
    <row r="49335" spans="8:8">
      <c r="H49335" s="680" t="s">
        <v>6153</v>
      </c>
    </row>
    <row r="49336" spans="8:8">
      <c r="H49336" s="680" t="s">
        <v>6153</v>
      </c>
    </row>
    <row r="49337" spans="8:8">
      <c r="H49337" s="680" t="s">
        <v>6153</v>
      </c>
    </row>
    <row r="49338" spans="8:8">
      <c r="H49338" s="680" t="s">
        <v>6153</v>
      </c>
    </row>
    <row r="49339" spans="8:8">
      <c r="H49339" s="680" t="s">
        <v>6153</v>
      </c>
    </row>
    <row r="49340" spans="8:8">
      <c r="H49340" s="680" t="s">
        <v>6153</v>
      </c>
    </row>
    <row r="49341" spans="8:8">
      <c r="H49341" s="680" t="s">
        <v>6153</v>
      </c>
    </row>
    <row r="49342" spans="8:8">
      <c r="H49342" s="680" t="s">
        <v>6153</v>
      </c>
    </row>
    <row r="49343" spans="8:8">
      <c r="H49343" s="680" t="s">
        <v>6153</v>
      </c>
    </row>
    <row r="49344" spans="8:8">
      <c r="H49344" s="680" t="s">
        <v>6153</v>
      </c>
    </row>
    <row r="49345" spans="8:8">
      <c r="H49345" s="680" t="s">
        <v>6153</v>
      </c>
    </row>
    <row r="49346" spans="8:8">
      <c r="H49346" s="680" t="s">
        <v>6153</v>
      </c>
    </row>
    <row r="49347" spans="8:8">
      <c r="H49347" s="680" t="s">
        <v>6153</v>
      </c>
    </row>
    <row r="49348" spans="8:8">
      <c r="H49348" s="680" t="s">
        <v>6153</v>
      </c>
    </row>
    <row r="49349" spans="8:8">
      <c r="H49349" s="680" t="s">
        <v>6153</v>
      </c>
    </row>
    <row r="49350" spans="8:8">
      <c r="H49350" s="680" t="s">
        <v>6153</v>
      </c>
    </row>
    <row r="49351" spans="8:8">
      <c r="H49351" s="680" t="s">
        <v>6153</v>
      </c>
    </row>
    <row r="49352" spans="8:8">
      <c r="H49352" s="680" t="s">
        <v>6153</v>
      </c>
    </row>
    <row r="49353" spans="8:8">
      <c r="H49353" s="680" t="s">
        <v>6153</v>
      </c>
    </row>
    <row r="49354" spans="8:8">
      <c r="H49354" s="680" t="s">
        <v>6153</v>
      </c>
    </row>
    <row r="49355" spans="8:8">
      <c r="H49355" s="680" t="s">
        <v>6153</v>
      </c>
    </row>
    <row r="49356" spans="8:8">
      <c r="H49356" s="680" t="s">
        <v>6153</v>
      </c>
    </row>
    <row r="49357" spans="8:8">
      <c r="H49357" s="680" t="s">
        <v>6153</v>
      </c>
    </row>
    <row r="49358" spans="8:8">
      <c r="H49358" s="680" t="s">
        <v>6153</v>
      </c>
    </row>
    <row r="49359" spans="8:8">
      <c r="H49359" s="680" t="s">
        <v>6153</v>
      </c>
    </row>
    <row r="49360" spans="8:8">
      <c r="H49360" s="680" t="s">
        <v>6153</v>
      </c>
    </row>
    <row r="49361" spans="8:8">
      <c r="H49361" s="680" t="s">
        <v>6153</v>
      </c>
    </row>
    <row r="49362" spans="8:8">
      <c r="H49362" s="680" t="s">
        <v>6153</v>
      </c>
    </row>
    <row r="49363" spans="8:8">
      <c r="H49363" s="680" t="s">
        <v>6153</v>
      </c>
    </row>
    <row r="49364" spans="8:8">
      <c r="H49364" s="680" t="s">
        <v>6153</v>
      </c>
    </row>
    <row r="49365" spans="8:8">
      <c r="H49365" s="680" t="s">
        <v>6153</v>
      </c>
    </row>
    <row r="49366" spans="8:8">
      <c r="H49366" s="680" t="s">
        <v>6153</v>
      </c>
    </row>
    <row r="49367" spans="8:8">
      <c r="H49367" s="680" t="s">
        <v>6153</v>
      </c>
    </row>
    <row r="49368" spans="8:8">
      <c r="H49368" s="680" t="s">
        <v>6153</v>
      </c>
    </row>
    <row r="49369" spans="8:8">
      <c r="H49369" s="680" t="s">
        <v>6153</v>
      </c>
    </row>
    <row r="49370" spans="8:8">
      <c r="H49370" s="680" t="s">
        <v>6153</v>
      </c>
    </row>
    <row r="49371" spans="8:8">
      <c r="H49371" s="680" t="s">
        <v>6153</v>
      </c>
    </row>
    <row r="49372" spans="8:8">
      <c r="H49372" s="680" t="s">
        <v>6153</v>
      </c>
    </row>
    <row r="49373" spans="8:8">
      <c r="H49373" s="680" t="s">
        <v>6153</v>
      </c>
    </row>
    <row r="49374" spans="8:8">
      <c r="H49374" s="680" t="s">
        <v>6153</v>
      </c>
    </row>
    <row r="49375" spans="8:8">
      <c r="H49375" s="680" t="s">
        <v>6153</v>
      </c>
    </row>
    <row r="49376" spans="8:8">
      <c r="H49376" s="680" t="s">
        <v>6153</v>
      </c>
    </row>
    <row r="49377" spans="8:8">
      <c r="H49377" s="680" t="s">
        <v>6153</v>
      </c>
    </row>
    <row r="49378" spans="8:8">
      <c r="H49378" s="680" t="s">
        <v>6153</v>
      </c>
    </row>
    <row r="49379" spans="8:8">
      <c r="H49379" s="680" t="s">
        <v>6153</v>
      </c>
    </row>
    <row r="49380" spans="8:8">
      <c r="H49380" s="680" t="s">
        <v>6153</v>
      </c>
    </row>
    <row r="49381" spans="8:8">
      <c r="H49381" s="680" t="s">
        <v>6153</v>
      </c>
    </row>
    <row r="49382" spans="8:8">
      <c r="H49382" s="680" t="s">
        <v>6153</v>
      </c>
    </row>
    <row r="49383" spans="8:8">
      <c r="H49383" s="680" t="s">
        <v>6153</v>
      </c>
    </row>
    <row r="49384" spans="8:8">
      <c r="H49384" s="680" t="s">
        <v>6153</v>
      </c>
    </row>
    <row r="49385" spans="8:8">
      <c r="H49385" s="680" t="s">
        <v>6153</v>
      </c>
    </row>
    <row r="49386" spans="8:8">
      <c r="H49386" s="680" t="s">
        <v>6153</v>
      </c>
    </row>
    <row r="49387" spans="8:8">
      <c r="H49387" s="680" t="s">
        <v>6153</v>
      </c>
    </row>
    <row r="49388" spans="8:8">
      <c r="H49388" s="680" t="s">
        <v>6153</v>
      </c>
    </row>
    <row r="49389" spans="8:8">
      <c r="H49389" s="680" t="s">
        <v>6153</v>
      </c>
    </row>
    <row r="49390" spans="8:8">
      <c r="H49390" s="680" t="s">
        <v>6153</v>
      </c>
    </row>
    <row r="49391" spans="8:8">
      <c r="H49391" s="680" t="s">
        <v>6153</v>
      </c>
    </row>
    <row r="49392" spans="8:8">
      <c r="H49392" s="680" t="s">
        <v>6153</v>
      </c>
    </row>
    <row r="49393" spans="8:8">
      <c r="H49393" s="680" t="s">
        <v>6153</v>
      </c>
    </row>
    <row r="49394" spans="8:8">
      <c r="H49394" s="680" t="s">
        <v>6153</v>
      </c>
    </row>
    <row r="49395" spans="8:8">
      <c r="H49395" s="680" t="s">
        <v>6153</v>
      </c>
    </row>
    <row r="49396" spans="8:8">
      <c r="H49396" s="680" t="s">
        <v>6153</v>
      </c>
    </row>
    <row r="49397" spans="8:8">
      <c r="H49397" s="680" t="s">
        <v>6153</v>
      </c>
    </row>
    <row r="49398" spans="8:8">
      <c r="H49398" s="680" t="s">
        <v>6153</v>
      </c>
    </row>
    <row r="49399" spans="8:8">
      <c r="H49399" s="680" t="s">
        <v>6153</v>
      </c>
    </row>
    <row r="49400" spans="8:8">
      <c r="H49400" s="680" t="s">
        <v>6153</v>
      </c>
    </row>
    <row r="49401" spans="8:8">
      <c r="H49401" s="680" t="s">
        <v>6153</v>
      </c>
    </row>
    <row r="49402" spans="8:8">
      <c r="H49402" s="680" t="s">
        <v>6153</v>
      </c>
    </row>
    <row r="49403" spans="8:8">
      <c r="H49403" s="680" t="s">
        <v>6153</v>
      </c>
    </row>
    <row r="49404" spans="8:8">
      <c r="H49404" s="680" t="s">
        <v>6153</v>
      </c>
    </row>
    <row r="49405" spans="8:8">
      <c r="H49405" s="680" t="s">
        <v>6153</v>
      </c>
    </row>
    <row r="49406" spans="8:8">
      <c r="H49406" s="680" t="s">
        <v>6153</v>
      </c>
    </row>
    <row r="49407" spans="8:8">
      <c r="H49407" s="680" t="s">
        <v>6153</v>
      </c>
    </row>
    <row r="49408" spans="8:8">
      <c r="H49408" s="680" t="s">
        <v>6153</v>
      </c>
    </row>
    <row r="49409" spans="8:8">
      <c r="H49409" s="680" t="s">
        <v>6153</v>
      </c>
    </row>
    <row r="49410" spans="8:8">
      <c r="H49410" s="680" t="s">
        <v>6153</v>
      </c>
    </row>
    <row r="49411" spans="8:8">
      <c r="H49411" s="680" t="s">
        <v>6153</v>
      </c>
    </row>
    <row r="49412" spans="8:8">
      <c r="H49412" s="680" t="s">
        <v>6153</v>
      </c>
    </row>
    <row r="49413" spans="8:8">
      <c r="H49413" s="680" t="s">
        <v>6153</v>
      </c>
    </row>
    <row r="49414" spans="8:8">
      <c r="H49414" s="680" t="s">
        <v>6153</v>
      </c>
    </row>
    <row r="49415" spans="8:8">
      <c r="H49415" s="680" t="s">
        <v>6153</v>
      </c>
    </row>
    <row r="49416" spans="8:8">
      <c r="H49416" s="680" t="s">
        <v>6153</v>
      </c>
    </row>
    <row r="49417" spans="8:8">
      <c r="H49417" s="680" t="s">
        <v>6153</v>
      </c>
    </row>
    <row r="49418" spans="8:8">
      <c r="H49418" s="680" t="s">
        <v>6153</v>
      </c>
    </row>
    <row r="49419" spans="8:8">
      <c r="H49419" s="680" t="s">
        <v>6153</v>
      </c>
    </row>
    <row r="49420" spans="8:8">
      <c r="H49420" s="680" t="s">
        <v>6153</v>
      </c>
    </row>
    <row r="49421" spans="8:8">
      <c r="H49421" s="680" t="s">
        <v>6153</v>
      </c>
    </row>
    <row r="49422" spans="8:8">
      <c r="H49422" s="680" t="s">
        <v>6153</v>
      </c>
    </row>
    <row r="49423" spans="8:8">
      <c r="H49423" s="680" t="s">
        <v>6153</v>
      </c>
    </row>
    <row r="49424" spans="8:8">
      <c r="H49424" s="680" t="s">
        <v>6153</v>
      </c>
    </row>
    <row r="49425" spans="8:8">
      <c r="H49425" s="680" t="s">
        <v>6153</v>
      </c>
    </row>
    <row r="49426" spans="8:8">
      <c r="H49426" s="680" t="s">
        <v>6153</v>
      </c>
    </row>
    <row r="49427" spans="8:8">
      <c r="H49427" s="680" t="s">
        <v>6153</v>
      </c>
    </row>
    <row r="49428" spans="8:8">
      <c r="H49428" s="680" t="s">
        <v>6153</v>
      </c>
    </row>
    <row r="49429" spans="8:8">
      <c r="H49429" s="680" t="s">
        <v>6153</v>
      </c>
    </row>
    <row r="49430" spans="8:8">
      <c r="H49430" s="680" t="s">
        <v>6153</v>
      </c>
    </row>
    <row r="49431" spans="8:8">
      <c r="H49431" s="680" t="s">
        <v>6153</v>
      </c>
    </row>
    <row r="49432" spans="8:8">
      <c r="H49432" s="680" t="s">
        <v>6153</v>
      </c>
    </row>
    <row r="49433" spans="8:8">
      <c r="H49433" s="680" t="s">
        <v>6153</v>
      </c>
    </row>
    <row r="49434" spans="8:8">
      <c r="H49434" s="680" t="s">
        <v>6153</v>
      </c>
    </row>
    <row r="49435" spans="8:8">
      <c r="H49435" s="680" t="s">
        <v>6153</v>
      </c>
    </row>
    <row r="49436" spans="8:8">
      <c r="H49436" s="680" t="s">
        <v>6153</v>
      </c>
    </row>
    <row r="49437" spans="8:8">
      <c r="H49437" s="680" t="s">
        <v>6153</v>
      </c>
    </row>
    <row r="49438" spans="8:8">
      <c r="H49438" s="680" t="s">
        <v>6153</v>
      </c>
    </row>
    <row r="49439" spans="8:8">
      <c r="H49439" s="680" t="s">
        <v>6153</v>
      </c>
    </row>
    <row r="49440" spans="8:8">
      <c r="H49440" s="680" t="s">
        <v>6153</v>
      </c>
    </row>
    <row r="49441" spans="8:8">
      <c r="H49441" s="680" t="s">
        <v>6153</v>
      </c>
    </row>
    <row r="49442" spans="8:8">
      <c r="H49442" s="680" t="s">
        <v>6153</v>
      </c>
    </row>
    <row r="49443" spans="8:8">
      <c r="H49443" s="680" t="s">
        <v>6153</v>
      </c>
    </row>
    <row r="49444" spans="8:8">
      <c r="H49444" s="680" t="s">
        <v>6153</v>
      </c>
    </row>
    <row r="49445" spans="8:8">
      <c r="H49445" s="680" t="s">
        <v>6153</v>
      </c>
    </row>
    <row r="49446" spans="8:8">
      <c r="H49446" s="680" t="s">
        <v>6153</v>
      </c>
    </row>
    <row r="49447" spans="8:8">
      <c r="H49447" s="680" t="s">
        <v>6153</v>
      </c>
    </row>
    <row r="49448" spans="8:8">
      <c r="H49448" s="680" t="s">
        <v>6153</v>
      </c>
    </row>
    <row r="49449" spans="8:8">
      <c r="H49449" s="680" t="s">
        <v>6153</v>
      </c>
    </row>
    <row r="49450" spans="8:8">
      <c r="H49450" s="680" t="s">
        <v>6153</v>
      </c>
    </row>
    <row r="49451" spans="8:8">
      <c r="H49451" s="680" t="s">
        <v>6153</v>
      </c>
    </row>
    <row r="49452" spans="8:8">
      <c r="H49452" s="680" t="s">
        <v>6153</v>
      </c>
    </row>
    <row r="49453" spans="8:8">
      <c r="H49453" s="680" t="s">
        <v>6153</v>
      </c>
    </row>
    <row r="49454" spans="8:8">
      <c r="H49454" s="680" t="s">
        <v>6153</v>
      </c>
    </row>
    <row r="49455" spans="8:8">
      <c r="H49455" s="680" t="s">
        <v>6153</v>
      </c>
    </row>
    <row r="49456" spans="8:8">
      <c r="H49456" s="680" t="s">
        <v>6153</v>
      </c>
    </row>
    <row r="49457" spans="8:8">
      <c r="H49457" s="680" t="s">
        <v>6153</v>
      </c>
    </row>
    <row r="49458" spans="8:8">
      <c r="H49458" s="680" t="s">
        <v>6153</v>
      </c>
    </row>
    <row r="49459" spans="8:8">
      <c r="H49459" s="680" t="s">
        <v>6153</v>
      </c>
    </row>
    <row r="49460" spans="8:8">
      <c r="H49460" s="680" t="s">
        <v>6153</v>
      </c>
    </row>
    <row r="49461" spans="8:8">
      <c r="H49461" s="680" t="s">
        <v>6153</v>
      </c>
    </row>
    <row r="49462" spans="8:8">
      <c r="H49462" s="680" t="s">
        <v>6153</v>
      </c>
    </row>
    <row r="49463" spans="8:8">
      <c r="H49463" s="680" t="s">
        <v>6153</v>
      </c>
    </row>
    <row r="49464" spans="8:8">
      <c r="H49464" s="680" t="s">
        <v>6153</v>
      </c>
    </row>
    <row r="49465" spans="8:8">
      <c r="H49465" s="680" t="s">
        <v>6153</v>
      </c>
    </row>
    <row r="49466" spans="8:8">
      <c r="H49466" s="680" t="s">
        <v>6153</v>
      </c>
    </row>
    <row r="49467" spans="8:8">
      <c r="H49467" s="680" t="s">
        <v>6153</v>
      </c>
    </row>
    <row r="49468" spans="8:8">
      <c r="H49468" s="680" t="s">
        <v>6153</v>
      </c>
    </row>
    <row r="49469" spans="8:8">
      <c r="H49469" s="680" t="s">
        <v>6153</v>
      </c>
    </row>
    <row r="49470" spans="8:8">
      <c r="H49470" s="680" t="s">
        <v>6153</v>
      </c>
    </row>
    <row r="49471" spans="8:8">
      <c r="H49471" s="680" t="s">
        <v>6153</v>
      </c>
    </row>
    <row r="49472" spans="8:8">
      <c r="H49472" s="680" t="s">
        <v>6153</v>
      </c>
    </row>
    <row r="49473" spans="8:8">
      <c r="H49473" s="680" t="s">
        <v>6153</v>
      </c>
    </row>
    <row r="49474" spans="8:8">
      <c r="H49474" s="680" t="s">
        <v>6153</v>
      </c>
    </row>
    <row r="49475" spans="8:8">
      <c r="H49475" s="680" t="s">
        <v>6153</v>
      </c>
    </row>
    <row r="49476" spans="8:8">
      <c r="H49476" s="680" t="s">
        <v>6153</v>
      </c>
    </row>
    <row r="49477" spans="8:8">
      <c r="H49477" s="680" t="s">
        <v>6153</v>
      </c>
    </row>
    <row r="49478" spans="8:8">
      <c r="H49478" s="680" t="s">
        <v>6153</v>
      </c>
    </row>
    <row r="49479" spans="8:8">
      <c r="H49479" s="680" t="s">
        <v>6153</v>
      </c>
    </row>
    <row r="49480" spans="8:8">
      <c r="H49480" s="680" t="s">
        <v>6153</v>
      </c>
    </row>
    <row r="49481" spans="8:8">
      <c r="H49481" s="680" t="s">
        <v>6153</v>
      </c>
    </row>
    <row r="49482" spans="8:8">
      <c r="H49482" s="680" t="s">
        <v>6153</v>
      </c>
    </row>
    <row r="49483" spans="8:8">
      <c r="H49483" s="680" t="s">
        <v>6153</v>
      </c>
    </row>
    <row r="49484" spans="8:8">
      <c r="H49484" s="680" t="s">
        <v>6153</v>
      </c>
    </row>
    <row r="49485" spans="8:8">
      <c r="H49485" s="680" t="s">
        <v>6153</v>
      </c>
    </row>
    <row r="49486" spans="8:8">
      <c r="H49486" s="680" t="s">
        <v>6153</v>
      </c>
    </row>
    <row r="49487" spans="8:8">
      <c r="H49487" s="680" t="s">
        <v>6153</v>
      </c>
    </row>
    <row r="49488" spans="8:8">
      <c r="H49488" s="680" t="s">
        <v>6153</v>
      </c>
    </row>
    <row r="49489" spans="8:8">
      <c r="H49489" s="680" t="s">
        <v>6153</v>
      </c>
    </row>
    <row r="49490" spans="8:8">
      <c r="H49490" s="680" t="s">
        <v>6153</v>
      </c>
    </row>
    <row r="49491" spans="8:8">
      <c r="H49491" s="680" t="s">
        <v>6153</v>
      </c>
    </row>
    <row r="49492" spans="8:8">
      <c r="H49492" s="680" t="s">
        <v>6153</v>
      </c>
    </row>
    <row r="49493" spans="8:8">
      <c r="H49493" s="680" t="s">
        <v>6153</v>
      </c>
    </row>
    <row r="49494" spans="8:8">
      <c r="H49494" s="680" t="s">
        <v>6153</v>
      </c>
    </row>
    <row r="49495" spans="8:8">
      <c r="H49495" s="680" t="s">
        <v>6153</v>
      </c>
    </row>
    <row r="49496" spans="8:8">
      <c r="H49496" s="680" t="s">
        <v>6153</v>
      </c>
    </row>
    <row r="49497" spans="8:8">
      <c r="H49497" s="680" t="s">
        <v>6153</v>
      </c>
    </row>
    <row r="49498" spans="8:8">
      <c r="H49498" s="680" t="s">
        <v>6153</v>
      </c>
    </row>
    <row r="49499" spans="8:8">
      <c r="H49499" s="680" t="s">
        <v>6153</v>
      </c>
    </row>
    <row r="49500" spans="8:8">
      <c r="H49500" s="680" t="s">
        <v>6153</v>
      </c>
    </row>
    <row r="49501" spans="8:8">
      <c r="H49501" s="680" t="s">
        <v>6153</v>
      </c>
    </row>
    <row r="49502" spans="8:8">
      <c r="H49502" s="680" t="s">
        <v>6153</v>
      </c>
    </row>
    <row r="49503" spans="8:8">
      <c r="H49503" s="680" t="s">
        <v>6153</v>
      </c>
    </row>
    <row r="49504" spans="8:8">
      <c r="H49504" s="680" t="s">
        <v>6153</v>
      </c>
    </row>
    <row r="49505" spans="8:8">
      <c r="H49505" s="680" t="s">
        <v>6153</v>
      </c>
    </row>
    <row r="49506" spans="8:8">
      <c r="H49506" s="680" t="s">
        <v>6153</v>
      </c>
    </row>
    <row r="49507" spans="8:8">
      <c r="H49507" s="680" t="s">
        <v>6153</v>
      </c>
    </row>
    <row r="49508" spans="8:8">
      <c r="H49508" s="680" t="s">
        <v>6153</v>
      </c>
    </row>
    <row r="49509" spans="8:8">
      <c r="H49509" s="680" t="s">
        <v>6153</v>
      </c>
    </row>
    <row r="49510" spans="8:8">
      <c r="H49510" s="680" t="s">
        <v>6153</v>
      </c>
    </row>
    <row r="49511" spans="8:8">
      <c r="H49511" s="680" t="s">
        <v>6153</v>
      </c>
    </row>
    <row r="49512" spans="8:8">
      <c r="H49512" s="680" t="s">
        <v>6153</v>
      </c>
    </row>
    <row r="49513" spans="8:8">
      <c r="H49513" s="680" t="s">
        <v>6153</v>
      </c>
    </row>
    <row r="49514" spans="8:8">
      <c r="H49514" s="680" t="s">
        <v>6153</v>
      </c>
    </row>
    <row r="49515" spans="8:8">
      <c r="H49515" s="680" t="s">
        <v>6153</v>
      </c>
    </row>
    <row r="49516" spans="8:8">
      <c r="H49516" s="680" t="s">
        <v>6153</v>
      </c>
    </row>
    <row r="49517" spans="8:8">
      <c r="H49517" s="680" t="s">
        <v>6153</v>
      </c>
    </row>
    <row r="49518" spans="8:8">
      <c r="H49518" s="680" t="s">
        <v>6153</v>
      </c>
    </row>
    <row r="49519" spans="8:8">
      <c r="H49519" s="680" t="s">
        <v>6153</v>
      </c>
    </row>
    <row r="49520" spans="8:8">
      <c r="H49520" s="680" t="s">
        <v>6153</v>
      </c>
    </row>
    <row r="49521" spans="8:8">
      <c r="H49521" s="680" t="s">
        <v>6153</v>
      </c>
    </row>
    <row r="49522" spans="8:8">
      <c r="H49522" s="680" t="s">
        <v>6153</v>
      </c>
    </row>
    <row r="49523" spans="8:8">
      <c r="H49523" s="680" t="s">
        <v>6153</v>
      </c>
    </row>
    <row r="49524" spans="8:8">
      <c r="H49524" s="680" t="s">
        <v>6153</v>
      </c>
    </row>
    <row r="49525" spans="8:8">
      <c r="H49525" s="680" t="s">
        <v>6153</v>
      </c>
    </row>
    <row r="49526" spans="8:8">
      <c r="H49526" s="680" t="s">
        <v>6153</v>
      </c>
    </row>
    <row r="49527" spans="8:8">
      <c r="H49527" s="680" t="s">
        <v>6153</v>
      </c>
    </row>
    <row r="49528" spans="8:8">
      <c r="H49528" s="680" t="s">
        <v>6153</v>
      </c>
    </row>
    <row r="49529" spans="8:8">
      <c r="H49529" s="680" t="s">
        <v>6153</v>
      </c>
    </row>
    <row r="49530" spans="8:8">
      <c r="H49530" s="680" t="s">
        <v>6153</v>
      </c>
    </row>
    <row r="49531" spans="8:8">
      <c r="H49531" s="680" t="s">
        <v>6153</v>
      </c>
    </row>
    <row r="49532" spans="8:8">
      <c r="H49532" s="680" t="s">
        <v>6153</v>
      </c>
    </row>
    <row r="49533" spans="8:8">
      <c r="H49533" s="680" t="s">
        <v>6153</v>
      </c>
    </row>
    <row r="49534" spans="8:8">
      <c r="H49534" s="680" t="s">
        <v>6153</v>
      </c>
    </row>
    <row r="49535" spans="8:8">
      <c r="H49535" s="680" t="s">
        <v>6153</v>
      </c>
    </row>
    <row r="49536" spans="8:8">
      <c r="H49536" s="680" t="s">
        <v>6153</v>
      </c>
    </row>
    <row r="49537" spans="8:8">
      <c r="H49537" s="680" t="s">
        <v>6153</v>
      </c>
    </row>
    <row r="49538" spans="8:8">
      <c r="H49538" s="680" t="s">
        <v>6153</v>
      </c>
    </row>
    <row r="49539" spans="8:8">
      <c r="H49539" s="680" t="s">
        <v>6153</v>
      </c>
    </row>
    <row r="49540" spans="8:8">
      <c r="H49540" s="680" t="s">
        <v>6153</v>
      </c>
    </row>
    <row r="49541" spans="8:8">
      <c r="H49541" s="680" t="s">
        <v>6153</v>
      </c>
    </row>
    <row r="49542" spans="8:8">
      <c r="H49542" s="680" t="s">
        <v>6153</v>
      </c>
    </row>
    <row r="49543" spans="8:8">
      <c r="H49543" s="680" t="s">
        <v>6153</v>
      </c>
    </row>
    <row r="49544" spans="8:8">
      <c r="H49544" s="680" t="s">
        <v>6153</v>
      </c>
    </row>
    <row r="49545" spans="8:8">
      <c r="H49545" s="680" t="s">
        <v>6153</v>
      </c>
    </row>
    <row r="49546" spans="8:8">
      <c r="H49546" s="680" t="s">
        <v>6153</v>
      </c>
    </row>
    <row r="49547" spans="8:8">
      <c r="H49547" s="680" t="s">
        <v>6153</v>
      </c>
    </row>
    <row r="49548" spans="8:8">
      <c r="H49548" s="680" t="s">
        <v>6153</v>
      </c>
    </row>
    <row r="49549" spans="8:8">
      <c r="H49549" s="680" t="s">
        <v>6153</v>
      </c>
    </row>
    <row r="49550" spans="8:8">
      <c r="H49550" s="680" t="s">
        <v>6153</v>
      </c>
    </row>
    <row r="49551" spans="8:8">
      <c r="H49551" s="680" t="s">
        <v>6153</v>
      </c>
    </row>
    <row r="49552" spans="8:8">
      <c r="H49552" s="680" t="s">
        <v>6153</v>
      </c>
    </row>
    <row r="49553" spans="8:8">
      <c r="H49553" s="680" t="s">
        <v>6153</v>
      </c>
    </row>
    <row r="49554" spans="8:8">
      <c r="H49554" s="680" t="s">
        <v>6153</v>
      </c>
    </row>
    <row r="49555" spans="8:8">
      <c r="H49555" s="680" t="s">
        <v>6153</v>
      </c>
    </row>
    <row r="49556" spans="8:8">
      <c r="H49556" s="680" t="s">
        <v>6153</v>
      </c>
    </row>
    <row r="49557" spans="8:8">
      <c r="H49557" s="680" t="s">
        <v>6153</v>
      </c>
    </row>
    <row r="49558" spans="8:8">
      <c r="H49558" s="680" t="s">
        <v>6153</v>
      </c>
    </row>
    <row r="49559" spans="8:8">
      <c r="H49559" s="680" t="s">
        <v>6153</v>
      </c>
    </row>
    <row r="49560" spans="8:8">
      <c r="H49560" s="680" t="s">
        <v>6153</v>
      </c>
    </row>
    <row r="49561" spans="8:8">
      <c r="H49561" s="680" t="s">
        <v>6153</v>
      </c>
    </row>
    <row r="49562" spans="8:8">
      <c r="H49562" s="680" t="s">
        <v>6153</v>
      </c>
    </row>
    <row r="49563" spans="8:8">
      <c r="H49563" s="680" t="s">
        <v>6153</v>
      </c>
    </row>
    <row r="49564" spans="8:8">
      <c r="H49564" s="680" t="s">
        <v>6153</v>
      </c>
    </row>
    <row r="49565" spans="8:8">
      <c r="H49565" s="680" t="s">
        <v>6153</v>
      </c>
    </row>
    <row r="49566" spans="8:8">
      <c r="H49566" s="680" t="s">
        <v>6153</v>
      </c>
    </row>
    <row r="49567" spans="8:8">
      <c r="H49567" s="680" t="s">
        <v>6153</v>
      </c>
    </row>
    <row r="49568" spans="8:8">
      <c r="H49568" s="680" t="s">
        <v>6153</v>
      </c>
    </row>
    <row r="49569" spans="8:8">
      <c r="H49569" s="680" t="s">
        <v>6153</v>
      </c>
    </row>
    <row r="49570" spans="8:8">
      <c r="H49570" s="680" t="s">
        <v>6153</v>
      </c>
    </row>
    <row r="49571" spans="8:8">
      <c r="H49571" s="680" t="s">
        <v>6153</v>
      </c>
    </row>
    <row r="49572" spans="8:8">
      <c r="H49572" s="680" t="s">
        <v>6153</v>
      </c>
    </row>
    <row r="49573" spans="8:8">
      <c r="H49573" s="680" t="s">
        <v>6153</v>
      </c>
    </row>
    <row r="49574" spans="8:8">
      <c r="H49574" s="680" t="s">
        <v>6153</v>
      </c>
    </row>
    <row r="49575" spans="8:8">
      <c r="H49575" s="680" t="s">
        <v>6153</v>
      </c>
    </row>
    <row r="49576" spans="8:8">
      <c r="H49576" s="680" t="s">
        <v>6153</v>
      </c>
    </row>
    <row r="49577" spans="8:8">
      <c r="H49577" s="680" t="s">
        <v>6153</v>
      </c>
    </row>
    <row r="49578" spans="8:8">
      <c r="H49578" s="680" t="s">
        <v>6153</v>
      </c>
    </row>
    <row r="49579" spans="8:8">
      <c r="H49579" s="680" t="s">
        <v>6153</v>
      </c>
    </row>
    <row r="49580" spans="8:8">
      <c r="H49580" s="680" t="s">
        <v>6153</v>
      </c>
    </row>
    <row r="49581" spans="8:8">
      <c r="H49581" s="680" t="s">
        <v>6153</v>
      </c>
    </row>
    <row r="49582" spans="8:8">
      <c r="H49582" s="680" t="s">
        <v>6153</v>
      </c>
    </row>
    <row r="49583" spans="8:8">
      <c r="H49583" s="680" t="s">
        <v>6153</v>
      </c>
    </row>
    <row r="49584" spans="8:8">
      <c r="H49584" s="680" t="s">
        <v>6153</v>
      </c>
    </row>
    <row r="49585" spans="8:8">
      <c r="H49585" s="680" t="s">
        <v>6153</v>
      </c>
    </row>
    <row r="49586" spans="8:8">
      <c r="H49586" s="680" t="s">
        <v>6153</v>
      </c>
    </row>
    <row r="49587" spans="8:8">
      <c r="H49587" s="680" t="s">
        <v>6153</v>
      </c>
    </row>
    <row r="49588" spans="8:8">
      <c r="H49588" s="680" t="s">
        <v>6153</v>
      </c>
    </row>
    <row r="49589" spans="8:8">
      <c r="H49589" s="680" t="s">
        <v>6153</v>
      </c>
    </row>
    <row r="49590" spans="8:8">
      <c r="H49590" s="680" t="s">
        <v>6153</v>
      </c>
    </row>
    <row r="49591" spans="8:8">
      <c r="H49591" s="680" t="s">
        <v>6153</v>
      </c>
    </row>
    <row r="49592" spans="8:8">
      <c r="H49592" s="680" t="s">
        <v>6153</v>
      </c>
    </row>
    <row r="49593" spans="8:8">
      <c r="H49593" s="680" t="s">
        <v>6153</v>
      </c>
    </row>
    <row r="49594" spans="8:8">
      <c r="H49594" s="680" t="s">
        <v>6153</v>
      </c>
    </row>
    <row r="49595" spans="8:8">
      <c r="H49595" s="680" t="s">
        <v>6153</v>
      </c>
    </row>
    <row r="49596" spans="8:8">
      <c r="H49596" s="680" t="s">
        <v>6153</v>
      </c>
    </row>
    <row r="49597" spans="8:8">
      <c r="H49597" s="680" t="s">
        <v>6153</v>
      </c>
    </row>
    <row r="49598" spans="8:8">
      <c r="H49598" s="680" t="s">
        <v>6153</v>
      </c>
    </row>
    <row r="49599" spans="8:8">
      <c r="H49599" s="680" t="s">
        <v>6153</v>
      </c>
    </row>
    <row r="49600" spans="8:8">
      <c r="H49600" s="680" t="s">
        <v>6153</v>
      </c>
    </row>
    <row r="49601" spans="8:8">
      <c r="H49601" s="680" t="s">
        <v>6153</v>
      </c>
    </row>
    <row r="49602" spans="8:8">
      <c r="H49602" s="680" t="s">
        <v>6153</v>
      </c>
    </row>
    <row r="49603" spans="8:8">
      <c r="H49603" s="680" t="s">
        <v>6153</v>
      </c>
    </row>
    <row r="49604" spans="8:8">
      <c r="H49604" s="680" t="s">
        <v>6153</v>
      </c>
    </row>
    <row r="49605" spans="8:8">
      <c r="H49605" s="680" t="s">
        <v>6153</v>
      </c>
    </row>
    <row r="49606" spans="8:8">
      <c r="H49606" s="680" t="s">
        <v>6153</v>
      </c>
    </row>
    <row r="49607" spans="8:8">
      <c r="H49607" s="680" t="s">
        <v>6153</v>
      </c>
    </row>
    <row r="49608" spans="8:8">
      <c r="H49608" s="680" t="s">
        <v>6153</v>
      </c>
    </row>
    <row r="49609" spans="8:8">
      <c r="H49609" s="680" t="s">
        <v>6153</v>
      </c>
    </row>
    <row r="49610" spans="8:8">
      <c r="H49610" s="680" t="s">
        <v>6153</v>
      </c>
    </row>
    <row r="49611" spans="8:8">
      <c r="H49611" s="680" t="s">
        <v>6153</v>
      </c>
    </row>
    <row r="49612" spans="8:8">
      <c r="H49612" s="680" t="s">
        <v>6153</v>
      </c>
    </row>
    <row r="49613" spans="8:8">
      <c r="H49613" s="680" t="s">
        <v>6153</v>
      </c>
    </row>
    <row r="49614" spans="8:8">
      <c r="H49614" s="680" t="s">
        <v>6153</v>
      </c>
    </row>
    <row r="49615" spans="8:8">
      <c r="H49615" s="680" t="s">
        <v>6153</v>
      </c>
    </row>
    <row r="49616" spans="8:8">
      <c r="H49616" s="680" t="s">
        <v>6153</v>
      </c>
    </row>
    <row r="49617" spans="8:8">
      <c r="H49617" s="680" t="s">
        <v>6153</v>
      </c>
    </row>
    <row r="49618" spans="8:8">
      <c r="H49618" s="680" t="s">
        <v>6153</v>
      </c>
    </row>
    <row r="49619" spans="8:8">
      <c r="H49619" s="680" t="s">
        <v>6153</v>
      </c>
    </row>
    <row r="49620" spans="8:8">
      <c r="H49620" s="680" t="s">
        <v>6153</v>
      </c>
    </row>
    <row r="49621" spans="8:8">
      <c r="H49621" s="680" t="s">
        <v>6153</v>
      </c>
    </row>
    <row r="49622" spans="8:8">
      <c r="H49622" s="680" t="s">
        <v>6153</v>
      </c>
    </row>
    <row r="49623" spans="8:8">
      <c r="H49623" s="680" t="s">
        <v>6153</v>
      </c>
    </row>
    <row r="49624" spans="8:8">
      <c r="H49624" s="680" t="s">
        <v>6153</v>
      </c>
    </row>
    <row r="49625" spans="8:8">
      <c r="H49625" s="680" t="s">
        <v>6153</v>
      </c>
    </row>
    <row r="49626" spans="8:8">
      <c r="H49626" s="680" t="s">
        <v>6153</v>
      </c>
    </row>
    <row r="49627" spans="8:8">
      <c r="H49627" s="680" t="s">
        <v>6153</v>
      </c>
    </row>
    <row r="49628" spans="8:8">
      <c r="H49628" s="680" t="s">
        <v>6153</v>
      </c>
    </row>
    <row r="49629" spans="8:8">
      <c r="H49629" s="680" t="s">
        <v>6153</v>
      </c>
    </row>
    <row r="49630" spans="8:8">
      <c r="H49630" s="680" t="s">
        <v>6153</v>
      </c>
    </row>
    <row r="49631" spans="8:8">
      <c r="H49631" s="680" t="s">
        <v>6153</v>
      </c>
    </row>
    <row r="49632" spans="8:8">
      <c r="H49632" s="680" t="s">
        <v>6153</v>
      </c>
    </row>
    <row r="49633" spans="8:8">
      <c r="H49633" s="680" t="s">
        <v>6153</v>
      </c>
    </row>
    <row r="49634" spans="8:8">
      <c r="H49634" s="680" t="s">
        <v>6153</v>
      </c>
    </row>
    <row r="49635" spans="8:8">
      <c r="H49635" s="680" t="s">
        <v>6153</v>
      </c>
    </row>
    <row r="49636" spans="8:8">
      <c r="H49636" s="680" t="s">
        <v>6153</v>
      </c>
    </row>
    <row r="49637" spans="8:8">
      <c r="H49637" s="680" t="s">
        <v>6153</v>
      </c>
    </row>
    <row r="49638" spans="8:8">
      <c r="H49638" s="680" t="s">
        <v>6153</v>
      </c>
    </row>
    <row r="49639" spans="8:8">
      <c r="H49639" s="680" t="s">
        <v>6153</v>
      </c>
    </row>
    <row r="49640" spans="8:8">
      <c r="H49640" s="680" t="s">
        <v>6153</v>
      </c>
    </row>
    <row r="49641" spans="8:8">
      <c r="H49641" s="680" t="s">
        <v>6153</v>
      </c>
    </row>
    <row r="49642" spans="8:8">
      <c r="H49642" s="680" t="s">
        <v>6153</v>
      </c>
    </row>
    <row r="49643" spans="8:8">
      <c r="H49643" s="680" t="s">
        <v>6153</v>
      </c>
    </row>
    <row r="49644" spans="8:8">
      <c r="H49644" s="680" t="s">
        <v>6153</v>
      </c>
    </row>
    <row r="49645" spans="8:8">
      <c r="H49645" s="680" t="s">
        <v>6153</v>
      </c>
    </row>
    <row r="49646" spans="8:8">
      <c r="H49646" s="680" t="s">
        <v>6153</v>
      </c>
    </row>
    <row r="49647" spans="8:8">
      <c r="H49647" s="680" t="s">
        <v>6153</v>
      </c>
    </row>
    <row r="49648" spans="8:8">
      <c r="H49648" s="680" t="s">
        <v>6153</v>
      </c>
    </row>
    <row r="49649" spans="8:8">
      <c r="H49649" s="680" t="s">
        <v>6153</v>
      </c>
    </row>
    <row r="49650" spans="8:8">
      <c r="H49650" s="680" t="s">
        <v>6153</v>
      </c>
    </row>
    <row r="49651" spans="8:8">
      <c r="H49651" s="680" t="s">
        <v>6153</v>
      </c>
    </row>
    <row r="49652" spans="8:8">
      <c r="H49652" s="680" t="s">
        <v>6153</v>
      </c>
    </row>
    <row r="49653" spans="8:8">
      <c r="H49653" s="680" t="s">
        <v>6153</v>
      </c>
    </row>
    <row r="49654" spans="8:8">
      <c r="H49654" s="680" t="s">
        <v>6153</v>
      </c>
    </row>
    <row r="49655" spans="8:8">
      <c r="H49655" s="680" t="s">
        <v>6153</v>
      </c>
    </row>
    <row r="49656" spans="8:8">
      <c r="H49656" s="680" t="s">
        <v>6153</v>
      </c>
    </row>
    <row r="49657" spans="8:8">
      <c r="H49657" s="680" t="s">
        <v>6153</v>
      </c>
    </row>
    <row r="49658" spans="8:8">
      <c r="H49658" s="680" t="s">
        <v>6153</v>
      </c>
    </row>
    <row r="49659" spans="8:8">
      <c r="H49659" s="680" t="s">
        <v>6153</v>
      </c>
    </row>
    <row r="49660" spans="8:8">
      <c r="H49660" s="680" t="s">
        <v>6153</v>
      </c>
    </row>
    <row r="49661" spans="8:8">
      <c r="H49661" s="680" t="s">
        <v>6153</v>
      </c>
    </row>
    <row r="49662" spans="8:8">
      <c r="H49662" s="680" t="s">
        <v>6153</v>
      </c>
    </row>
    <row r="49663" spans="8:8">
      <c r="H49663" s="680" t="s">
        <v>6153</v>
      </c>
    </row>
    <row r="49664" spans="8:8">
      <c r="H49664" s="680" t="s">
        <v>6153</v>
      </c>
    </row>
    <row r="49665" spans="8:8">
      <c r="H49665" s="680" t="s">
        <v>6153</v>
      </c>
    </row>
    <row r="49666" spans="8:8">
      <c r="H49666" s="680" t="s">
        <v>6153</v>
      </c>
    </row>
    <row r="49667" spans="8:8">
      <c r="H49667" s="680" t="s">
        <v>6153</v>
      </c>
    </row>
    <row r="49668" spans="8:8">
      <c r="H49668" s="680" t="s">
        <v>6153</v>
      </c>
    </row>
    <row r="49669" spans="8:8">
      <c r="H49669" s="680" t="s">
        <v>6153</v>
      </c>
    </row>
    <row r="49670" spans="8:8">
      <c r="H49670" s="680" t="s">
        <v>6153</v>
      </c>
    </row>
    <row r="49671" spans="8:8">
      <c r="H49671" s="680" t="s">
        <v>6153</v>
      </c>
    </row>
    <row r="49672" spans="8:8">
      <c r="H49672" s="680" t="s">
        <v>6153</v>
      </c>
    </row>
    <row r="49673" spans="8:8">
      <c r="H49673" s="680" t="s">
        <v>6153</v>
      </c>
    </row>
    <row r="49674" spans="8:8">
      <c r="H49674" s="680" t="s">
        <v>6153</v>
      </c>
    </row>
    <row r="49675" spans="8:8">
      <c r="H49675" s="680" t="s">
        <v>6153</v>
      </c>
    </row>
    <row r="49676" spans="8:8">
      <c r="H49676" s="680" t="s">
        <v>6153</v>
      </c>
    </row>
    <row r="49677" spans="8:8">
      <c r="H49677" s="680" t="s">
        <v>6153</v>
      </c>
    </row>
    <row r="49678" spans="8:8">
      <c r="H49678" s="680" t="s">
        <v>6153</v>
      </c>
    </row>
    <row r="49679" spans="8:8">
      <c r="H49679" s="680" t="s">
        <v>6153</v>
      </c>
    </row>
    <row r="49680" spans="8:8">
      <c r="H49680" s="680" t="s">
        <v>6153</v>
      </c>
    </row>
    <row r="49681" spans="8:8">
      <c r="H49681" s="680" t="s">
        <v>6153</v>
      </c>
    </row>
    <row r="49682" spans="8:8">
      <c r="H49682" s="680" t="s">
        <v>6153</v>
      </c>
    </row>
    <row r="49683" spans="8:8">
      <c r="H49683" s="680" t="s">
        <v>6153</v>
      </c>
    </row>
    <row r="49684" spans="8:8">
      <c r="H49684" s="680" t="s">
        <v>6153</v>
      </c>
    </row>
    <row r="49685" spans="8:8">
      <c r="H49685" s="680" t="s">
        <v>6153</v>
      </c>
    </row>
    <row r="49686" spans="8:8">
      <c r="H49686" s="680" t="s">
        <v>6153</v>
      </c>
    </row>
    <row r="49687" spans="8:8">
      <c r="H49687" s="680" t="s">
        <v>6153</v>
      </c>
    </row>
    <row r="49688" spans="8:8">
      <c r="H49688" s="680" t="s">
        <v>6153</v>
      </c>
    </row>
    <row r="49689" spans="8:8">
      <c r="H49689" s="680" t="s">
        <v>6153</v>
      </c>
    </row>
    <row r="49690" spans="8:8">
      <c r="H49690" s="680" t="s">
        <v>6153</v>
      </c>
    </row>
    <row r="49691" spans="8:8">
      <c r="H49691" s="680" t="s">
        <v>6153</v>
      </c>
    </row>
    <row r="49692" spans="8:8">
      <c r="H49692" s="680" t="s">
        <v>6153</v>
      </c>
    </row>
    <row r="49693" spans="8:8">
      <c r="H49693" s="680" t="s">
        <v>6153</v>
      </c>
    </row>
    <row r="49694" spans="8:8">
      <c r="H49694" s="680" t="s">
        <v>6153</v>
      </c>
    </row>
    <row r="49695" spans="8:8">
      <c r="H49695" s="680" t="s">
        <v>6153</v>
      </c>
    </row>
    <row r="49696" spans="8:8">
      <c r="H49696" s="680" t="s">
        <v>6153</v>
      </c>
    </row>
    <row r="49697" spans="8:8">
      <c r="H49697" s="680" t="s">
        <v>6153</v>
      </c>
    </row>
    <row r="49698" spans="8:8">
      <c r="H49698" s="680" t="s">
        <v>6153</v>
      </c>
    </row>
    <row r="49699" spans="8:8">
      <c r="H49699" s="680" t="s">
        <v>6153</v>
      </c>
    </row>
    <row r="49700" spans="8:8">
      <c r="H49700" s="680" t="s">
        <v>6153</v>
      </c>
    </row>
    <row r="49701" spans="8:8">
      <c r="H49701" s="680" t="s">
        <v>6153</v>
      </c>
    </row>
    <row r="49702" spans="8:8">
      <c r="H49702" s="680" t="s">
        <v>6153</v>
      </c>
    </row>
    <row r="49703" spans="8:8">
      <c r="H49703" s="680" t="s">
        <v>6153</v>
      </c>
    </row>
    <row r="49704" spans="8:8">
      <c r="H49704" s="680" t="s">
        <v>6153</v>
      </c>
    </row>
    <row r="49705" spans="8:8">
      <c r="H49705" s="680" t="s">
        <v>6153</v>
      </c>
    </row>
    <row r="49706" spans="8:8">
      <c r="H49706" s="680" t="s">
        <v>6153</v>
      </c>
    </row>
    <row r="49707" spans="8:8">
      <c r="H49707" s="680" t="s">
        <v>6153</v>
      </c>
    </row>
    <row r="49708" spans="8:8">
      <c r="H49708" s="680" t="s">
        <v>6153</v>
      </c>
    </row>
    <row r="49709" spans="8:8">
      <c r="H49709" s="680" t="s">
        <v>6153</v>
      </c>
    </row>
    <row r="49710" spans="8:8">
      <c r="H49710" s="680" t="s">
        <v>6153</v>
      </c>
    </row>
    <row r="49711" spans="8:8">
      <c r="H49711" s="680" t="s">
        <v>6153</v>
      </c>
    </row>
    <row r="49712" spans="8:8">
      <c r="H49712" s="680" t="s">
        <v>6153</v>
      </c>
    </row>
    <row r="49713" spans="8:8">
      <c r="H49713" s="680" t="s">
        <v>6153</v>
      </c>
    </row>
    <row r="49714" spans="8:8">
      <c r="H49714" s="680" t="s">
        <v>6153</v>
      </c>
    </row>
    <row r="49715" spans="8:8">
      <c r="H49715" s="680" t="s">
        <v>6153</v>
      </c>
    </row>
    <row r="49716" spans="8:8">
      <c r="H49716" s="680" t="s">
        <v>6153</v>
      </c>
    </row>
    <row r="49717" spans="8:8">
      <c r="H49717" s="680" t="s">
        <v>6153</v>
      </c>
    </row>
    <row r="49718" spans="8:8">
      <c r="H49718" s="680" t="s">
        <v>6153</v>
      </c>
    </row>
    <row r="49719" spans="8:8">
      <c r="H49719" s="680" t="s">
        <v>6153</v>
      </c>
    </row>
    <row r="49720" spans="8:8">
      <c r="H49720" s="680" t="s">
        <v>6153</v>
      </c>
    </row>
    <row r="49721" spans="8:8">
      <c r="H49721" s="680" t="s">
        <v>6153</v>
      </c>
    </row>
    <row r="49722" spans="8:8">
      <c r="H49722" s="680" t="s">
        <v>6153</v>
      </c>
    </row>
    <row r="49723" spans="8:8">
      <c r="H49723" s="680" t="s">
        <v>6153</v>
      </c>
    </row>
    <row r="49724" spans="8:8">
      <c r="H49724" s="680" t="s">
        <v>6153</v>
      </c>
    </row>
    <row r="49725" spans="8:8">
      <c r="H49725" s="680" t="s">
        <v>6153</v>
      </c>
    </row>
    <row r="49726" spans="8:8">
      <c r="H49726" s="680" t="s">
        <v>6153</v>
      </c>
    </row>
    <row r="49727" spans="8:8">
      <c r="H49727" s="680" t="s">
        <v>6153</v>
      </c>
    </row>
    <row r="49728" spans="8:8">
      <c r="H49728" s="680" t="s">
        <v>6153</v>
      </c>
    </row>
    <row r="49729" spans="8:8">
      <c r="H49729" s="680" t="s">
        <v>6153</v>
      </c>
    </row>
    <row r="49730" spans="8:8">
      <c r="H49730" s="680" t="s">
        <v>6153</v>
      </c>
    </row>
    <row r="49731" spans="8:8">
      <c r="H49731" s="680" t="s">
        <v>6153</v>
      </c>
    </row>
    <row r="49732" spans="8:8">
      <c r="H49732" s="680" t="s">
        <v>6153</v>
      </c>
    </row>
    <row r="49733" spans="8:8">
      <c r="H49733" s="680" t="s">
        <v>6153</v>
      </c>
    </row>
    <row r="49734" spans="8:8">
      <c r="H49734" s="680" t="s">
        <v>6153</v>
      </c>
    </row>
    <row r="49735" spans="8:8">
      <c r="H49735" s="680" t="s">
        <v>6153</v>
      </c>
    </row>
    <row r="49736" spans="8:8">
      <c r="H49736" s="680" t="s">
        <v>6153</v>
      </c>
    </row>
    <row r="49737" spans="8:8">
      <c r="H49737" s="680" t="s">
        <v>6153</v>
      </c>
    </row>
    <row r="49738" spans="8:8">
      <c r="H49738" s="680" t="s">
        <v>6153</v>
      </c>
    </row>
    <row r="49739" spans="8:8">
      <c r="H49739" s="680" t="s">
        <v>6153</v>
      </c>
    </row>
    <row r="49740" spans="8:8">
      <c r="H49740" s="680" t="s">
        <v>6153</v>
      </c>
    </row>
    <row r="49741" spans="8:8">
      <c r="H49741" s="680" t="s">
        <v>6153</v>
      </c>
    </row>
    <row r="49742" spans="8:8">
      <c r="H49742" s="680" t="s">
        <v>6153</v>
      </c>
    </row>
    <row r="49743" spans="8:8">
      <c r="H49743" s="680" t="s">
        <v>6153</v>
      </c>
    </row>
    <row r="49744" spans="8:8">
      <c r="H49744" s="680" t="s">
        <v>6153</v>
      </c>
    </row>
    <row r="49745" spans="8:8">
      <c r="H49745" s="680" t="s">
        <v>6153</v>
      </c>
    </row>
    <row r="49746" spans="8:8">
      <c r="H49746" s="680" t="s">
        <v>6153</v>
      </c>
    </row>
    <row r="49747" spans="8:8">
      <c r="H49747" s="680" t="s">
        <v>6153</v>
      </c>
    </row>
    <row r="49748" spans="8:8">
      <c r="H49748" s="680" t="s">
        <v>6153</v>
      </c>
    </row>
    <row r="49749" spans="8:8">
      <c r="H49749" s="680" t="s">
        <v>6153</v>
      </c>
    </row>
    <row r="49750" spans="8:8">
      <c r="H49750" s="680" t="s">
        <v>6153</v>
      </c>
    </row>
    <row r="49751" spans="8:8">
      <c r="H49751" s="680" t="s">
        <v>6153</v>
      </c>
    </row>
    <row r="49752" spans="8:8">
      <c r="H49752" s="680" t="s">
        <v>6153</v>
      </c>
    </row>
    <row r="49753" spans="8:8">
      <c r="H49753" s="680" t="s">
        <v>6153</v>
      </c>
    </row>
    <row r="49754" spans="8:8">
      <c r="H49754" s="680" t="s">
        <v>6153</v>
      </c>
    </row>
    <row r="49755" spans="8:8">
      <c r="H49755" s="680" t="s">
        <v>6153</v>
      </c>
    </row>
    <row r="49756" spans="8:8">
      <c r="H49756" s="680" t="s">
        <v>6153</v>
      </c>
    </row>
    <row r="49757" spans="8:8">
      <c r="H49757" s="680" t="s">
        <v>6153</v>
      </c>
    </row>
    <row r="49758" spans="8:8">
      <c r="H49758" s="680" t="s">
        <v>6153</v>
      </c>
    </row>
    <row r="49759" spans="8:8">
      <c r="H49759" s="680" t="s">
        <v>6153</v>
      </c>
    </row>
    <row r="49760" spans="8:8">
      <c r="H49760" s="680" t="s">
        <v>6153</v>
      </c>
    </row>
    <row r="49761" spans="8:8">
      <c r="H49761" s="680" t="s">
        <v>6153</v>
      </c>
    </row>
    <row r="49762" spans="8:8">
      <c r="H49762" s="680" t="s">
        <v>6153</v>
      </c>
    </row>
    <row r="49763" spans="8:8">
      <c r="H49763" s="680" t="s">
        <v>6153</v>
      </c>
    </row>
    <row r="49764" spans="8:8">
      <c r="H49764" s="680" t="s">
        <v>6153</v>
      </c>
    </row>
    <row r="49765" spans="8:8">
      <c r="H49765" s="680" t="s">
        <v>6153</v>
      </c>
    </row>
    <row r="49766" spans="8:8">
      <c r="H49766" s="680" t="s">
        <v>6153</v>
      </c>
    </row>
    <row r="49767" spans="8:8">
      <c r="H49767" s="680" t="s">
        <v>6153</v>
      </c>
    </row>
    <row r="49768" spans="8:8">
      <c r="H49768" s="680" t="s">
        <v>6153</v>
      </c>
    </row>
    <row r="49769" spans="8:8">
      <c r="H49769" s="680" t="s">
        <v>6153</v>
      </c>
    </row>
    <row r="49770" spans="8:8">
      <c r="H49770" s="680" t="s">
        <v>6153</v>
      </c>
    </row>
    <row r="49771" spans="8:8">
      <c r="H49771" s="680" t="s">
        <v>6153</v>
      </c>
    </row>
    <row r="49772" spans="8:8">
      <c r="H49772" s="680" t="s">
        <v>6153</v>
      </c>
    </row>
    <row r="49773" spans="8:8">
      <c r="H49773" s="680" t="s">
        <v>6153</v>
      </c>
    </row>
    <row r="49774" spans="8:8">
      <c r="H49774" s="680" t="s">
        <v>6153</v>
      </c>
    </row>
    <row r="49775" spans="8:8">
      <c r="H49775" s="680" t="s">
        <v>6153</v>
      </c>
    </row>
    <row r="49776" spans="8:8">
      <c r="H49776" s="680" t="s">
        <v>6153</v>
      </c>
    </row>
    <row r="49777" spans="8:8">
      <c r="H49777" s="680" t="s">
        <v>6153</v>
      </c>
    </row>
    <row r="49778" spans="8:8">
      <c r="H49778" s="680" t="s">
        <v>6153</v>
      </c>
    </row>
    <row r="49779" spans="8:8">
      <c r="H49779" s="680" t="s">
        <v>6153</v>
      </c>
    </row>
    <row r="49780" spans="8:8">
      <c r="H49780" s="680" t="s">
        <v>6153</v>
      </c>
    </row>
    <row r="49781" spans="8:8">
      <c r="H49781" s="680" t="s">
        <v>6153</v>
      </c>
    </row>
    <row r="49782" spans="8:8">
      <c r="H49782" s="680" t="s">
        <v>6153</v>
      </c>
    </row>
    <row r="49783" spans="8:8">
      <c r="H49783" s="680" t="s">
        <v>6153</v>
      </c>
    </row>
    <row r="49784" spans="8:8">
      <c r="H49784" s="680" t="s">
        <v>6153</v>
      </c>
    </row>
    <row r="49785" spans="8:8">
      <c r="H49785" s="680" t="s">
        <v>6153</v>
      </c>
    </row>
    <row r="49786" spans="8:8">
      <c r="H49786" s="680" t="s">
        <v>6153</v>
      </c>
    </row>
    <row r="49787" spans="8:8">
      <c r="H49787" s="680" t="s">
        <v>6153</v>
      </c>
    </row>
    <row r="49788" spans="8:8">
      <c r="H49788" s="680" t="s">
        <v>6153</v>
      </c>
    </row>
    <row r="49789" spans="8:8">
      <c r="H49789" s="680" t="s">
        <v>6153</v>
      </c>
    </row>
    <row r="49790" spans="8:8">
      <c r="H49790" s="680" t="s">
        <v>6153</v>
      </c>
    </row>
    <row r="49791" spans="8:8">
      <c r="H49791" s="680" t="s">
        <v>6153</v>
      </c>
    </row>
    <row r="49792" spans="8:8">
      <c r="H49792" s="680" t="s">
        <v>6153</v>
      </c>
    </row>
    <row r="49793" spans="8:8">
      <c r="H49793" s="680" t="s">
        <v>6153</v>
      </c>
    </row>
    <row r="49794" spans="8:8">
      <c r="H49794" s="680" t="s">
        <v>6153</v>
      </c>
    </row>
    <row r="49795" spans="8:8">
      <c r="H49795" s="680" t="s">
        <v>6153</v>
      </c>
    </row>
    <row r="49796" spans="8:8">
      <c r="H49796" s="680" t="s">
        <v>6153</v>
      </c>
    </row>
    <row r="49797" spans="8:8">
      <c r="H49797" s="680" t="s">
        <v>6153</v>
      </c>
    </row>
    <row r="49798" spans="8:8">
      <c r="H49798" s="680" t="s">
        <v>6153</v>
      </c>
    </row>
    <row r="49799" spans="8:8">
      <c r="H49799" s="680" t="s">
        <v>6153</v>
      </c>
    </row>
    <row r="49800" spans="8:8">
      <c r="H49800" s="680" t="s">
        <v>6153</v>
      </c>
    </row>
    <row r="49801" spans="8:8">
      <c r="H49801" s="680" t="s">
        <v>6153</v>
      </c>
    </row>
    <row r="49802" spans="8:8">
      <c r="H49802" s="680" t="s">
        <v>6153</v>
      </c>
    </row>
    <row r="49803" spans="8:8">
      <c r="H49803" s="680" t="s">
        <v>6153</v>
      </c>
    </row>
    <row r="49804" spans="8:8">
      <c r="H49804" s="680" t="s">
        <v>6153</v>
      </c>
    </row>
    <row r="49805" spans="8:8">
      <c r="H49805" s="680" t="s">
        <v>6153</v>
      </c>
    </row>
    <row r="49806" spans="8:8">
      <c r="H49806" s="680" t="s">
        <v>6153</v>
      </c>
    </row>
    <row r="49807" spans="8:8">
      <c r="H49807" s="680" t="s">
        <v>6153</v>
      </c>
    </row>
    <row r="49808" spans="8:8">
      <c r="H49808" s="680" t="s">
        <v>6153</v>
      </c>
    </row>
    <row r="49809" spans="8:8">
      <c r="H49809" s="680" t="s">
        <v>6153</v>
      </c>
    </row>
    <row r="49810" spans="8:8">
      <c r="H49810" s="680" t="s">
        <v>6153</v>
      </c>
    </row>
    <row r="49811" spans="8:8">
      <c r="H49811" s="680" t="s">
        <v>6153</v>
      </c>
    </row>
    <row r="49812" spans="8:8">
      <c r="H49812" s="680" t="s">
        <v>6153</v>
      </c>
    </row>
    <row r="49813" spans="8:8">
      <c r="H49813" s="680" t="s">
        <v>6153</v>
      </c>
    </row>
    <row r="49814" spans="8:8">
      <c r="H49814" s="680" t="s">
        <v>6153</v>
      </c>
    </row>
    <row r="49815" spans="8:8">
      <c r="H49815" s="680" t="s">
        <v>6153</v>
      </c>
    </row>
    <row r="49816" spans="8:8">
      <c r="H49816" s="680" t="s">
        <v>6153</v>
      </c>
    </row>
    <row r="49817" spans="8:8">
      <c r="H49817" s="680" t="s">
        <v>6153</v>
      </c>
    </row>
    <row r="49818" spans="8:8">
      <c r="H49818" s="680" t="s">
        <v>6153</v>
      </c>
    </row>
    <row r="49819" spans="8:8">
      <c r="H49819" s="680" t="s">
        <v>6153</v>
      </c>
    </row>
    <row r="49820" spans="8:8">
      <c r="H49820" s="680" t="s">
        <v>6153</v>
      </c>
    </row>
    <row r="49821" spans="8:8">
      <c r="H49821" s="680" t="s">
        <v>6153</v>
      </c>
    </row>
    <row r="49822" spans="8:8">
      <c r="H49822" s="680" t="s">
        <v>6153</v>
      </c>
    </row>
    <row r="49823" spans="8:8">
      <c r="H49823" s="680" t="s">
        <v>6153</v>
      </c>
    </row>
    <row r="49824" spans="8:8">
      <c r="H49824" s="680" t="s">
        <v>6153</v>
      </c>
    </row>
    <row r="49825" spans="8:8">
      <c r="H49825" s="680" t="s">
        <v>6153</v>
      </c>
    </row>
    <row r="49826" spans="8:8">
      <c r="H49826" s="680" t="s">
        <v>6153</v>
      </c>
    </row>
    <row r="49827" spans="8:8">
      <c r="H49827" s="680" t="s">
        <v>6153</v>
      </c>
    </row>
    <row r="49828" spans="8:8">
      <c r="H49828" s="680" t="s">
        <v>6153</v>
      </c>
    </row>
    <row r="49829" spans="8:8">
      <c r="H49829" s="680" t="s">
        <v>6153</v>
      </c>
    </row>
    <row r="49830" spans="8:8">
      <c r="H49830" s="680" t="s">
        <v>6153</v>
      </c>
    </row>
    <row r="49831" spans="8:8">
      <c r="H49831" s="680" t="s">
        <v>6153</v>
      </c>
    </row>
    <row r="49832" spans="8:8">
      <c r="H49832" s="680" t="s">
        <v>6153</v>
      </c>
    </row>
    <row r="49833" spans="8:8">
      <c r="H49833" s="680" t="s">
        <v>6153</v>
      </c>
    </row>
    <row r="49834" spans="8:8">
      <c r="H49834" s="680" t="s">
        <v>6153</v>
      </c>
    </row>
    <row r="49835" spans="8:8">
      <c r="H49835" s="680" t="s">
        <v>6153</v>
      </c>
    </row>
    <row r="49836" spans="8:8">
      <c r="H49836" s="680" t="s">
        <v>6153</v>
      </c>
    </row>
    <row r="49837" spans="8:8">
      <c r="H49837" s="680" t="s">
        <v>6153</v>
      </c>
    </row>
    <row r="49838" spans="8:8">
      <c r="H49838" s="680" t="s">
        <v>6153</v>
      </c>
    </row>
    <row r="49839" spans="8:8">
      <c r="H49839" s="680" t="s">
        <v>6153</v>
      </c>
    </row>
    <row r="49840" spans="8:8">
      <c r="H49840" s="680" t="s">
        <v>6153</v>
      </c>
    </row>
    <row r="49841" spans="8:8">
      <c r="H49841" s="680" t="s">
        <v>6153</v>
      </c>
    </row>
    <row r="49842" spans="8:8">
      <c r="H49842" s="680" t="s">
        <v>6153</v>
      </c>
    </row>
    <row r="49843" spans="8:8">
      <c r="H49843" s="680" t="s">
        <v>6153</v>
      </c>
    </row>
    <row r="49844" spans="8:8">
      <c r="H49844" s="680" t="s">
        <v>6153</v>
      </c>
    </row>
    <row r="49845" spans="8:8">
      <c r="H49845" s="680" t="s">
        <v>6153</v>
      </c>
    </row>
    <row r="49846" spans="8:8">
      <c r="H49846" s="680" t="s">
        <v>6153</v>
      </c>
    </row>
    <row r="49847" spans="8:8">
      <c r="H49847" s="680" t="s">
        <v>6153</v>
      </c>
    </row>
    <row r="49848" spans="8:8">
      <c r="H49848" s="680" t="s">
        <v>6153</v>
      </c>
    </row>
    <row r="49849" spans="8:8">
      <c r="H49849" s="680" t="s">
        <v>6153</v>
      </c>
    </row>
    <row r="49850" spans="8:8">
      <c r="H49850" s="680" t="s">
        <v>6153</v>
      </c>
    </row>
    <row r="49851" spans="8:8">
      <c r="H49851" s="680" t="s">
        <v>6153</v>
      </c>
    </row>
    <row r="49852" spans="8:8">
      <c r="H49852" s="680" t="s">
        <v>6153</v>
      </c>
    </row>
    <row r="49853" spans="8:8">
      <c r="H49853" s="680" t="s">
        <v>6153</v>
      </c>
    </row>
    <row r="49854" spans="8:8">
      <c r="H49854" s="680" t="s">
        <v>6153</v>
      </c>
    </row>
    <row r="49855" spans="8:8">
      <c r="H49855" s="680" t="s">
        <v>6153</v>
      </c>
    </row>
    <row r="49856" spans="8:8">
      <c r="H49856" s="680" t="s">
        <v>6153</v>
      </c>
    </row>
    <row r="49857" spans="8:8">
      <c r="H49857" s="680" t="s">
        <v>6153</v>
      </c>
    </row>
    <row r="49858" spans="8:8">
      <c r="H49858" s="680" t="s">
        <v>6153</v>
      </c>
    </row>
    <row r="49859" spans="8:8">
      <c r="H49859" s="680" t="s">
        <v>6153</v>
      </c>
    </row>
    <row r="49860" spans="8:8">
      <c r="H49860" s="680" t="s">
        <v>6153</v>
      </c>
    </row>
    <row r="49861" spans="8:8">
      <c r="H49861" s="680" t="s">
        <v>6153</v>
      </c>
    </row>
    <row r="49862" spans="8:8">
      <c r="H49862" s="680" t="s">
        <v>6153</v>
      </c>
    </row>
    <row r="49863" spans="8:8">
      <c r="H49863" s="680" t="s">
        <v>6153</v>
      </c>
    </row>
    <row r="49864" spans="8:8">
      <c r="H49864" s="680" t="s">
        <v>6153</v>
      </c>
    </row>
    <row r="49865" spans="8:8">
      <c r="H49865" s="680" t="s">
        <v>6153</v>
      </c>
    </row>
    <row r="49866" spans="8:8">
      <c r="H49866" s="680" t="s">
        <v>6153</v>
      </c>
    </row>
    <row r="49867" spans="8:8">
      <c r="H49867" s="680" t="s">
        <v>6153</v>
      </c>
    </row>
    <row r="49868" spans="8:8">
      <c r="H49868" s="680" t="s">
        <v>6153</v>
      </c>
    </row>
    <row r="49869" spans="8:8">
      <c r="H49869" s="680" t="s">
        <v>6153</v>
      </c>
    </row>
    <row r="49870" spans="8:8">
      <c r="H49870" s="680" t="s">
        <v>6153</v>
      </c>
    </row>
    <row r="49871" spans="8:8">
      <c r="H49871" s="680" t="s">
        <v>6153</v>
      </c>
    </row>
    <row r="49872" spans="8:8">
      <c r="H49872" s="680" t="s">
        <v>6153</v>
      </c>
    </row>
    <row r="49873" spans="8:8">
      <c r="H49873" s="680" t="s">
        <v>6153</v>
      </c>
    </row>
    <row r="49874" spans="8:8">
      <c r="H49874" s="680" t="s">
        <v>6153</v>
      </c>
    </row>
    <row r="49875" spans="8:8">
      <c r="H49875" s="680" t="s">
        <v>6153</v>
      </c>
    </row>
    <row r="49876" spans="8:8">
      <c r="H49876" s="680" t="s">
        <v>6153</v>
      </c>
    </row>
    <row r="49877" spans="8:8">
      <c r="H49877" s="680" t="s">
        <v>6153</v>
      </c>
    </row>
    <row r="49878" spans="8:8">
      <c r="H49878" s="680" t="s">
        <v>6153</v>
      </c>
    </row>
    <row r="49879" spans="8:8">
      <c r="H49879" s="680" t="s">
        <v>6153</v>
      </c>
    </row>
    <row r="49880" spans="8:8">
      <c r="H49880" s="680" t="s">
        <v>6153</v>
      </c>
    </row>
    <row r="49881" spans="8:8">
      <c r="H49881" s="680" t="s">
        <v>6153</v>
      </c>
    </row>
    <row r="49882" spans="8:8">
      <c r="H49882" s="680" t="s">
        <v>6153</v>
      </c>
    </row>
    <row r="49883" spans="8:8">
      <c r="H49883" s="680" t="s">
        <v>6153</v>
      </c>
    </row>
    <row r="49884" spans="8:8">
      <c r="H49884" s="680" t="s">
        <v>6153</v>
      </c>
    </row>
    <row r="49885" spans="8:8">
      <c r="H49885" s="680" t="s">
        <v>6153</v>
      </c>
    </row>
    <row r="49886" spans="8:8">
      <c r="H49886" s="680" t="s">
        <v>6153</v>
      </c>
    </row>
    <row r="49887" spans="8:8">
      <c r="H49887" s="680" t="s">
        <v>6153</v>
      </c>
    </row>
    <row r="49888" spans="8:8">
      <c r="H49888" s="680" t="s">
        <v>6153</v>
      </c>
    </row>
    <row r="49889" spans="8:8">
      <c r="H49889" s="680" t="s">
        <v>6153</v>
      </c>
    </row>
    <row r="49890" spans="8:8">
      <c r="H49890" s="680" t="s">
        <v>6153</v>
      </c>
    </row>
    <row r="49891" spans="8:8">
      <c r="H49891" s="680" t="s">
        <v>6153</v>
      </c>
    </row>
    <row r="49892" spans="8:8">
      <c r="H49892" s="680" t="s">
        <v>6153</v>
      </c>
    </row>
    <row r="49893" spans="8:8">
      <c r="H49893" s="680" t="s">
        <v>6153</v>
      </c>
    </row>
    <row r="49894" spans="8:8">
      <c r="H49894" s="680" t="s">
        <v>6153</v>
      </c>
    </row>
    <row r="49895" spans="8:8">
      <c r="H49895" s="680" t="s">
        <v>6153</v>
      </c>
    </row>
    <row r="49896" spans="8:8">
      <c r="H49896" s="680" t="s">
        <v>6153</v>
      </c>
    </row>
    <row r="49897" spans="8:8">
      <c r="H49897" s="680" t="s">
        <v>6153</v>
      </c>
    </row>
    <row r="49898" spans="8:8">
      <c r="H49898" s="680" t="s">
        <v>6153</v>
      </c>
    </row>
    <row r="49899" spans="8:8">
      <c r="H49899" s="680" t="s">
        <v>6153</v>
      </c>
    </row>
    <row r="49900" spans="8:8">
      <c r="H49900" s="680" t="s">
        <v>6153</v>
      </c>
    </row>
    <row r="49901" spans="8:8">
      <c r="H49901" s="680" t="s">
        <v>6153</v>
      </c>
    </row>
    <row r="49902" spans="8:8">
      <c r="H49902" s="680" t="s">
        <v>6153</v>
      </c>
    </row>
    <row r="49903" spans="8:8">
      <c r="H49903" s="680" t="s">
        <v>6153</v>
      </c>
    </row>
    <row r="49904" spans="8:8">
      <c r="H49904" s="680" t="s">
        <v>6153</v>
      </c>
    </row>
    <row r="49905" spans="8:8">
      <c r="H49905" s="680" t="s">
        <v>6153</v>
      </c>
    </row>
    <row r="49906" spans="8:8">
      <c r="H49906" s="680" t="s">
        <v>6153</v>
      </c>
    </row>
    <row r="49907" spans="8:8">
      <c r="H49907" s="680" t="s">
        <v>6153</v>
      </c>
    </row>
    <row r="49908" spans="8:8">
      <c r="H49908" s="680" t="s">
        <v>6153</v>
      </c>
    </row>
    <row r="49909" spans="8:8">
      <c r="H49909" s="680" t="s">
        <v>6153</v>
      </c>
    </row>
    <row r="49910" spans="8:8">
      <c r="H49910" s="680" t="s">
        <v>6153</v>
      </c>
    </row>
    <row r="49911" spans="8:8">
      <c r="H49911" s="680" t="s">
        <v>6153</v>
      </c>
    </row>
    <row r="49912" spans="8:8">
      <c r="H49912" s="680" t="s">
        <v>6153</v>
      </c>
    </row>
    <row r="49913" spans="8:8">
      <c r="H49913" s="680" t="s">
        <v>6153</v>
      </c>
    </row>
    <row r="49914" spans="8:8">
      <c r="H49914" s="680" t="s">
        <v>6153</v>
      </c>
    </row>
    <row r="49915" spans="8:8">
      <c r="H49915" s="680" t="s">
        <v>6153</v>
      </c>
    </row>
    <row r="49916" spans="8:8">
      <c r="H49916" s="680" t="s">
        <v>6153</v>
      </c>
    </row>
    <row r="49917" spans="8:8">
      <c r="H49917" s="680" t="s">
        <v>6153</v>
      </c>
    </row>
    <row r="49918" spans="8:8">
      <c r="H49918" s="680" t="s">
        <v>6153</v>
      </c>
    </row>
    <row r="49919" spans="8:8">
      <c r="H49919" s="680" t="s">
        <v>6153</v>
      </c>
    </row>
    <row r="49920" spans="8:8">
      <c r="H49920" s="680" t="s">
        <v>6153</v>
      </c>
    </row>
    <row r="49921" spans="8:8">
      <c r="H49921" s="680" t="s">
        <v>6153</v>
      </c>
    </row>
    <row r="49922" spans="8:8">
      <c r="H49922" s="680" t="s">
        <v>6153</v>
      </c>
    </row>
    <row r="49923" spans="8:8">
      <c r="H49923" s="680" t="s">
        <v>6153</v>
      </c>
    </row>
    <row r="49924" spans="8:8">
      <c r="H49924" s="680" t="s">
        <v>6153</v>
      </c>
    </row>
    <row r="49925" spans="8:8">
      <c r="H49925" s="680" t="s">
        <v>6153</v>
      </c>
    </row>
    <row r="49926" spans="8:8">
      <c r="H49926" s="680" t="s">
        <v>6153</v>
      </c>
    </row>
    <row r="49927" spans="8:8">
      <c r="H49927" s="680" t="s">
        <v>6153</v>
      </c>
    </row>
    <row r="49928" spans="8:8">
      <c r="H49928" s="680" t="s">
        <v>6153</v>
      </c>
    </row>
    <row r="49929" spans="8:8">
      <c r="H49929" s="680" t="s">
        <v>6153</v>
      </c>
    </row>
    <row r="49930" spans="8:8">
      <c r="H49930" s="680" t="s">
        <v>6153</v>
      </c>
    </row>
    <row r="49931" spans="8:8">
      <c r="H49931" s="680" t="s">
        <v>6153</v>
      </c>
    </row>
    <row r="49932" spans="8:8">
      <c r="H49932" s="680" t="s">
        <v>6153</v>
      </c>
    </row>
    <row r="49933" spans="8:8">
      <c r="H49933" s="680" t="s">
        <v>6153</v>
      </c>
    </row>
    <row r="49934" spans="8:8">
      <c r="H49934" s="680" t="s">
        <v>6153</v>
      </c>
    </row>
    <row r="49935" spans="8:8">
      <c r="H49935" s="680" t="s">
        <v>6153</v>
      </c>
    </row>
    <row r="49936" spans="8:8">
      <c r="H49936" s="680" t="s">
        <v>6153</v>
      </c>
    </row>
    <row r="49937" spans="8:8">
      <c r="H49937" s="680" t="s">
        <v>6153</v>
      </c>
    </row>
    <row r="49938" spans="8:8">
      <c r="H49938" s="680" t="s">
        <v>6153</v>
      </c>
    </row>
    <row r="49939" spans="8:8">
      <c r="H49939" s="680" t="s">
        <v>6153</v>
      </c>
    </row>
    <row r="49940" spans="8:8">
      <c r="H49940" s="680" t="s">
        <v>6153</v>
      </c>
    </row>
    <row r="49941" spans="8:8">
      <c r="H49941" s="680" t="s">
        <v>6153</v>
      </c>
    </row>
    <row r="49942" spans="8:8">
      <c r="H49942" s="680" t="s">
        <v>6153</v>
      </c>
    </row>
    <row r="49943" spans="8:8">
      <c r="H49943" s="680" t="s">
        <v>6153</v>
      </c>
    </row>
    <row r="49944" spans="8:8">
      <c r="H49944" s="680" t="s">
        <v>6153</v>
      </c>
    </row>
    <row r="49945" spans="8:8">
      <c r="H49945" s="680" t="s">
        <v>6153</v>
      </c>
    </row>
    <row r="49946" spans="8:8">
      <c r="H49946" s="680" t="s">
        <v>6153</v>
      </c>
    </row>
    <row r="49947" spans="8:8">
      <c r="H49947" s="680" t="s">
        <v>6153</v>
      </c>
    </row>
    <row r="49948" spans="8:8">
      <c r="H49948" s="680" t="s">
        <v>6153</v>
      </c>
    </row>
    <row r="49949" spans="8:8">
      <c r="H49949" s="680" t="s">
        <v>6153</v>
      </c>
    </row>
    <row r="49950" spans="8:8">
      <c r="H49950" s="680" t="s">
        <v>6153</v>
      </c>
    </row>
    <row r="49951" spans="8:8">
      <c r="H49951" s="680" t="s">
        <v>6153</v>
      </c>
    </row>
    <row r="49952" spans="8:8">
      <c r="H49952" s="680" t="s">
        <v>6153</v>
      </c>
    </row>
    <row r="49953" spans="8:8">
      <c r="H49953" s="680" t="s">
        <v>6153</v>
      </c>
    </row>
    <row r="49954" spans="8:8">
      <c r="H49954" s="680" t="s">
        <v>6153</v>
      </c>
    </row>
    <row r="49955" spans="8:8">
      <c r="H49955" s="680" t="s">
        <v>6153</v>
      </c>
    </row>
    <row r="49956" spans="8:8">
      <c r="H49956" s="680" t="s">
        <v>6153</v>
      </c>
    </row>
    <row r="49957" spans="8:8">
      <c r="H49957" s="680" t="s">
        <v>6153</v>
      </c>
    </row>
    <row r="49958" spans="8:8">
      <c r="H49958" s="680" t="s">
        <v>6153</v>
      </c>
    </row>
    <row r="49959" spans="8:8">
      <c r="H49959" s="680" t="s">
        <v>6153</v>
      </c>
    </row>
    <row r="49960" spans="8:8">
      <c r="H49960" s="680" t="s">
        <v>6153</v>
      </c>
    </row>
    <row r="49961" spans="8:8">
      <c r="H49961" s="680" t="s">
        <v>6153</v>
      </c>
    </row>
    <row r="49962" spans="8:8">
      <c r="H49962" s="680" t="s">
        <v>6153</v>
      </c>
    </row>
    <row r="49963" spans="8:8">
      <c r="H49963" s="680" t="s">
        <v>6153</v>
      </c>
    </row>
    <row r="49964" spans="8:8">
      <c r="H49964" s="680" t="s">
        <v>6153</v>
      </c>
    </row>
    <row r="49965" spans="8:8">
      <c r="H49965" s="680" t="s">
        <v>6153</v>
      </c>
    </row>
    <row r="49966" spans="8:8">
      <c r="H49966" s="680" t="s">
        <v>6153</v>
      </c>
    </row>
    <row r="49967" spans="8:8">
      <c r="H49967" s="680" t="s">
        <v>6153</v>
      </c>
    </row>
    <row r="49968" spans="8:8">
      <c r="H49968" s="680" t="s">
        <v>6153</v>
      </c>
    </row>
    <row r="49969" spans="8:8">
      <c r="H49969" s="680" t="s">
        <v>6153</v>
      </c>
    </row>
    <row r="49970" spans="8:8">
      <c r="H49970" s="680" t="s">
        <v>6153</v>
      </c>
    </row>
    <row r="49971" spans="8:8">
      <c r="H49971" s="680" t="s">
        <v>6153</v>
      </c>
    </row>
    <row r="49972" spans="8:8">
      <c r="H49972" s="680" t="s">
        <v>6153</v>
      </c>
    </row>
    <row r="49973" spans="8:8">
      <c r="H49973" s="680" t="s">
        <v>6153</v>
      </c>
    </row>
    <row r="49974" spans="8:8">
      <c r="H49974" s="680" t="s">
        <v>6153</v>
      </c>
    </row>
    <row r="49975" spans="8:8">
      <c r="H49975" s="680" t="s">
        <v>6153</v>
      </c>
    </row>
    <row r="49976" spans="8:8">
      <c r="H49976" s="680" t="s">
        <v>6153</v>
      </c>
    </row>
    <row r="49977" spans="8:8">
      <c r="H49977" s="680" t="s">
        <v>6153</v>
      </c>
    </row>
    <row r="49978" spans="8:8">
      <c r="H49978" s="680" t="s">
        <v>6153</v>
      </c>
    </row>
    <row r="49979" spans="8:8">
      <c r="H49979" s="680" t="s">
        <v>6153</v>
      </c>
    </row>
    <row r="49980" spans="8:8">
      <c r="H49980" s="680" t="s">
        <v>6153</v>
      </c>
    </row>
    <row r="49981" spans="8:8">
      <c r="H49981" s="680" t="s">
        <v>6153</v>
      </c>
    </row>
    <row r="49982" spans="8:8">
      <c r="H49982" s="680" t="s">
        <v>6153</v>
      </c>
    </row>
    <row r="49983" spans="8:8">
      <c r="H49983" s="680" t="s">
        <v>6153</v>
      </c>
    </row>
    <row r="49984" spans="8:8">
      <c r="H49984" s="680" t="s">
        <v>6153</v>
      </c>
    </row>
    <row r="49985" spans="8:8">
      <c r="H49985" s="680" t="s">
        <v>6153</v>
      </c>
    </row>
    <row r="49986" spans="8:8">
      <c r="H49986" s="680" t="s">
        <v>6153</v>
      </c>
    </row>
    <row r="49987" spans="8:8">
      <c r="H49987" s="680" t="s">
        <v>6153</v>
      </c>
    </row>
    <row r="49988" spans="8:8">
      <c r="H49988" s="680" t="s">
        <v>6153</v>
      </c>
    </row>
    <row r="49989" spans="8:8">
      <c r="H49989" s="680" t="s">
        <v>6153</v>
      </c>
    </row>
    <row r="49990" spans="8:8">
      <c r="H49990" s="680" t="s">
        <v>6153</v>
      </c>
    </row>
    <row r="49991" spans="8:8">
      <c r="H49991" s="680" t="s">
        <v>6153</v>
      </c>
    </row>
    <row r="49992" spans="8:8">
      <c r="H49992" s="680" t="s">
        <v>6153</v>
      </c>
    </row>
    <row r="49993" spans="8:8">
      <c r="H49993" s="680" t="s">
        <v>6153</v>
      </c>
    </row>
    <row r="49994" spans="8:8">
      <c r="H49994" s="680" t="s">
        <v>6153</v>
      </c>
    </row>
    <row r="49995" spans="8:8">
      <c r="H49995" s="680" t="s">
        <v>6153</v>
      </c>
    </row>
    <row r="49996" spans="8:8">
      <c r="H49996" s="680" t="s">
        <v>6153</v>
      </c>
    </row>
    <row r="49997" spans="8:8">
      <c r="H49997" s="680" t="s">
        <v>6153</v>
      </c>
    </row>
    <row r="49998" spans="8:8">
      <c r="H49998" s="680" t="s">
        <v>6153</v>
      </c>
    </row>
    <row r="49999" spans="8:8">
      <c r="H49999" s="680" t="s">
        <v>6153</v>
      </c>
    </row>
    <row r="50000" spans="8:8">
      <c r="H50000" s="680" t="s">
        <v>6153</v>
      </c>
    </row>
    <row r="50001" spans="8:8">
      <c r="H50001" s="680" t="s">
        <v>6153</v>
      </c>
    </row>
    <row r="50002" spans="8:8">
      <c r="H50002" s="680" t="s">
        <v>6153</v>
      </c>
    </row>
    <row r="50003" spans="8:8">
      <c r="H50003" s="680" t="s">
        <v>6153</v>
      </c>
    </row>
    <row r="50004" spans="8:8">
      <c r="H50004" s="680" t="s">
        <v>6153</v>
      </c>
    </row>
    <row r="50005" spans="8:8">
      <c r="H50005" s="680" t="s">
        <v>6153</v>
      </c>
    </row>
    <row r="50006" spans="8:8">
      <c r="H50006" s="680" t="s">
        <v>6153</v>
      </c>
    </row>
    <row r="50007" spans="8:8">
      <c r="H50007" s="680" t="s">
        <v>6153</v>
      </c>
    </row>
    <row r="50008" spans="8:8">
      <c r="H50008" s="680" t="s">
        <v>6153</v>
      </c>
    </row>
    <row r="50009" spans="8:8">
      <c r="H50009" s="680" t="s">
        <v>6153</v>
      </c>
    </row>
    <row r="50010" spans="8:8">
      <c r="H50010" s="680" t="s">
        <v>6153</v>
      </c>
    </row>
    <row r="50011" spans="8:8">
      <c r="H50011" s="680" t="s">
        <v>6153</v>
      </c>
    </row>
    <row r="50012" spans="8:8">
      <c r="H50012" s="680" t="s">
        <v>6153</v>
      </c>
    </row>
    <row r="50013" spans="8:8">
      <c r="H50013" s="680" t="s">
        <v>6153</v>
      </c>
    </row>
    <row r="50014" spans="8:8">
      <c r="H50014" s="680" t="s">
        <v>6153</v>
      </c>
    </row>
    <row r="50015" spans="8:8">
      <c r="H50015" s="680" t="s">
        <v>6153</v>
      </c>
    </row>
    <row r="50016" spans="8:8">
      <c r="H50016" s="680" t="s">
        <v>6153</v>
      </c>
    </row>
    <row r="50017" spans="8:8">
      <c r="H50017" s="680" t="s">
        <v>6153</v>
      </c>
    </row>
    <row r="50018" spans="8:8">
      <c r="H50018" s="680" t="s">
        <v>6153</v>
      </c>
    </row>
    <row r="50019" spans="8:8">
      <c r="H50019" s="680" t="s">
        <v>6153</v>
      </c>
    </row>
    <row r="50020" spans="8:8">
      <c r="H50020" s="680" t="s">
        <v>6153</v>
      </c>
    </row>
    <row r="50021" spans="8:8">
      <c r="H50021" s="680" t="s">
        <v>6153</v>
      </c>
    </row>
    <row r="50022" spans="8:8">
      <c r="H50022" s="680" t="s">
        <v>6153</v>
      </c>
    </row>
    <row r="50023" spans="8:8">
      <c r="H50023" s="680" t="s">
        <v>6153</v>
      </c>
    </row>
    <row r="50024" spans="8:8">
      <c r="H50024" s="680" t="s">
        <v>6153</v>
      </c>
    </row>
    <row r="50025" spans="8:8">
      <c r="H50025" s="680" t="s">
        <v>6153</v>
      </c>
    </row>
    <row r="50026" spans="8:8">
      <c r="H50026" s="680" t="s">
        <v>6153</v>
      </c>
    </row>
    <row r="50027" spans="8:8">
      <c r="H50027" s="680" t="s">
        <v>6153</v>
      </c>
    </row>
    <row r="50028" spans="8:8">
      <c r="H50028" s="680" t="s">
        <v>6153</v>
      </c>
    </row>
    <row r="50029" spans="8:8">
      <c r="H50029" s="680" t="s">
        <v>6153</v>
      </c>
    </row>
    <row r="50030" spans="8:8">
      <c r="H50030" s="680" t="s">
        <v>6153</v>
      </c>
    </row>
    <row r="50031" spans="8:8">
      <c r="H50031" s="680" t="s">
        <v>6153</v>
      </c>
    </row>
    <row r="50032" spans="8:8">
      <c r="H50032" s="680" t="s">
        <v>6153</v>
      </c>
    </row>
    <row r="50033" spans="8:8">
      <c r="H50033" s="680" t="s">
        <v>6153</v>
      </c>
    </row>
    <row r="50034" spans="8:8">
      <c r="H50034" s="680" t="s">
        <v>6153</v>
      </c>
    </row>
    <row r="50035" spans="8:8">
      <c r="H50035" s="680" t="s">
        <v>6153</v>
      </c>
    </row>
    <row r="50036" spans="8:8">
      <c r="H50036" s="680" t="s">
        <v>6153</v>
      </c>
    </row>
    <row r="50037" spans="8:8">
      <c r="H50037" s="680" t="s">
        <v>6153</v>
      </c>
    </row>
    <row r="50038" spans="8:8">
      <c r="H50038" s="680" t="s">
        <v>6153</v>
      </c>
    </row>
    <row r="50039" spans="8:8">
      <c r="H50039" s="680" t="s">
        <v>6153</v>
      </c>
    </row>
    <row r="50040" spans="8:8">
      <c r="H50040" s="680" t="s">
        <v>6153</v>
      </c>
    </row>
    <row r="50041" spans="8:8">
      <c r="H50041" s="680" t="s">
        <v>6153</v>
      </c>
    </row>
    <row r="50042" spans="8:8">
      <c r="H50042" s="680" t="s">
        <v>6153</v>
      </c>
    </row>
    <row r="50043" spans="8:8">
      <c r="H50043" s="680" t="s">
        <v>6153</v>
      </c>
    </row>
    <row r="50044" spans="8:8">
      <c r="H50044" s="680" t="s">
        <v>6153</v>
      </c>
    </row>
    <row r="50045" spans="8:8">
      <c r="H50045" s="680" t="s">
        <v>6153</v>
      </c>
    </row>
    <row r="50046" spans="8:8">
      <c r="H50046" s="680" t="s">
        <v>6153</v>
      </c>
    </row>
    <row r="50047" spans="8:8">
      <c r="H50047" s="680" t="s">
        <v>6153</v>
      </c>
    </row>
    <row r="50048" spans="8:8">
      <c r="H50048" s="680" t="s">
        <v>6153</v>
      </c>
    </row>
    <row r="50049" spans="8:8">
      <c r="H50049" s="680" t="s">
        <v>6153</v>
      </c>
    </row>
    <row r="50050" spans="8:8">
      <c r="H50050" s="680" t="s">
        <v>6153</v>
      </c>
    </row>
    <row r="50051" spans="8:8">
      <c r="H50051" s="680" t="s">
        <v>6153</v>
      </c>
    </row>
    <row r="50052" spans="8:8">
      <c r="H50052" s="680" t="s">
        <v>6153</v>
      </c>
    </row>
    <row r="50053" spans="8:8">
      <c r="H50053" s="680" t="s">
        <v>6153</v>
      </c>
    </row>
    <row r="50054" spans="8:8">
      <c r="H50054" s="680" t="s">
        <v>6153</v>
      </c>
    </row>
    <row r="50055" spans="8:8">
      <c r="H50055" s="680" t="s">
        <v>6153</v>
      </c>
    </row>
    <row r="50056" spans="8:8">
      <c r="H50056" s="680" t="s">
        <v>6153</v>
      </c>
    </row>
    <row r="50057" spans="8:8">
      <c r="H50057" s="680" t="s">
        <v>6153</v>
      </c>
    </row>
    <row r="50058" spans="8:8">
      <c r="H50058" s="680" t="s">
        <v>6153</v>
      </c>
    </row>
    <row r="50059" spans="8:8">
      <c r="H50059" s="680" t="s">
        <v>6153</v>
      </c>
    </row>
    <row r="50060" spans="8:8">
      <c r="H50060" s="680" t="s">
        <v>6153</v>
      </c>
    </row>
    <row r="50061" spans="8:8">
      <c r="H50061" s="680" t="s">
        <v>6153</v>
      </c>
    </row>
    <row r="50062" spans="8:8">
      <c r="H50062" s="680" t="s">
        <v>6153</v>
      </c>
    </row>
    <row r="50063" spans="8:8">
      <c r="H50063" s="680" t="s">
        <v>6153</v>
      </c>
    </row>
    <row r="50064" spans="8:8">
      <c r="H50064" s="680" t="s">
        <v>6153</v>
      </c>
    </row>
    <row r="50065" spans="8:8">
      <c r="H50065" s="680" t="s">
        <v>6153</v>
      </c>
    </row>
    <row r="50066" spans="8:8">
      <c r="H50066" s="680" t="s">
        <v>6153</v>
      </c>
    </row>
    <row r="50067" spans="8:8">
      <c r="H50067" s="680" t="s">
        <v>6153</v>
      </c>
    </row>
    <row r="50068" spans="8:8">
      <c r="H50068" s="680" t="s">
        <v>6153</v>
      </c>
    </row>
    <row r="50069" spans="8:8">
      <c r="H50069" s="680" t="s">
        <v>6153</v>
      </c>
    </row>
    <row r="50070" spans="8:8">
      <c r="H50070" s="680" t="s">
        <v>6153</v>
      </c>
    </row>
    <row r="50071" spans="8:8">
      <c r="H50071" s="680" t="s">
        <v>6153</v>
      </c>
    </row>
    <row r="50072" spans="8:8">
      <c r="H50072" s="680" t="s">
        <v>6153</v>
      </c>
    </row>
    <row r="50073" spans="8:8">
      <c r="H50073" s="680" t="s">
        <v>6153</v>
      </c>
    </row>
    <row r="50074" spans="8:8">
      <c r="H50074" s="680" t="s">
        <v>6153</v>
      </c>
    </row>
    <row r="50075" spans="8:8">
      <c r="H50075" s="680" t="s">
        <v>6153</v>
      </c>
    </row>
    <row r="50076" spans="8:8">
      <c r="H50076" s="680" t="s">
        <v>6153</v>
      </c>
    </row>
    <row r="50077" spans="8:8">
      <c r="H50077" s="680" t="s">
        <v>6153</v>
      </c>
    </row>
    <row r="50078" spans="8:8">
      <c r="H50078" s="680" t="s">
        <v>6153</v>
      </c>
    </row>
    <row r="50079" spans="8:8">
      <c r="H50079" s="680" t="s">
        <v>6153</v>
      </c>
    </row>
    <row r="50080" spans="8:8">
      <c r="H50080" s="680" t="s">
        <v>6153</v>
      </c>
    </row>
    <row r="50081" spans="8:8">
      <c r="H50081" s="680" t="s">
        <v>6153</v>
      </c>
    </row>
    <row r="50082" spans="8:8">
      <c r="H50082" s="680" t="s">
        <v>6153</v>
      </c>
    </row>
    <row r="50083" spans="8:8">
      <c r="H50083" s="680" t="s">
        <v>6153</v>
      </c>
    </row>
    <row r="50084" spans="8:8">
      <c r="H50084" s="680" t="s">
        <v>6153</v>
      </c>
    </row>
    <row r="50085" spans="8:8">
      <c r="H50085" s="680" t="s">
        <v>6153</v>
      </c>
    </row>
    <row r="50086" spans="8:8">
      <c r="H50086" s="680" t="s">
        <v>6153</v>
      </c>
    </row>
    <row r="50087" spans="8:8">
      <c r="H50087" s="680" t="s">
        <v>6153</v>
      </c>
    </row>
    <row r="50088" spans="8:8">
      <c r="H50088" s="680" t="s">
        <v>6153</v>
      </c>
    </row>
    <row r="50089" spans="8:8">
      <c r="H50089" s="680" t="s">
        <v>6153</v>
      </c>
    </row>
    <row r="50090" spans="8:8">
      <c r="H50090" s="680" t="s">
        <v>6153</v>
      </c>
    </row>
    <row r="50091" spans="8:8">
      <c r="H50091" s="680" t="s">
        <v>6153</v>
      </c>
    </row>
    <row r="50092" spans="8:8">
      <c r="H50092" s="680" t="s">
        <v>6153</v>
      </c>
    </row>
    <row r="50093" spans="8:8">
      <c r="H50093" s="680" t="s">
        <v>6153</v>
      </c>
    </row>
    <row r="50094" spans="8:8">
      <c r="H50094" s="680" t="s">
        <v>6153</v>
      </c>
    </row>
    <row r="50095" spans="8:8">
      <c r="H50095" s="680" t="s">
        <v>6153</v>
      </c>
    </row>
    <row r="50096" spans="8:8">
      <c r="H50096" s="680" t="s">
        <v>6153</v>
      </c>
    </row>
    <row r="50097" spans="8:8">
      <c r="H50097" s="680" t="s">
        <v>6153</v>
      </c>
    </row>
    <row r="50098" spans="8:8">
      <c r="H50098" s="680" t="s">
        <v>6153</v>
      </c>
    </row>
    <row r="50099" spans="8:8">
      <c r="H50099" s="680" t="s">
        <v>6153</v>
      </c>
    </row>
    <row r="50100" spans="8:8">
      <c r="H50100" s="680" t="s">
        <v>6153</v>
      </c>
    </row>
    <row r="50101" spans="8:8">
      <c r="H50101" s="680" t="s">
        <v>6153</v>
      </c>
    </row>
    <row r="50102" spans="8:8">
      <c r="H50102" s="680" t="s">
        <v>6153</v>
      </c>
    </row>
    <row r="50103" spans="8:8">
      <c r="H50103" s="680" t="s">
        <v>6153</v>
      </c>
    </row>
    <row r="50104" spans="8:8">
      <c r="H50104" s="680" t="s">
        <v>6153</v>
      </c>
    </row>
    <row r="50105" spans="8:8">
      <c r="H50105" s="680" t="s">
        <v>6153</v>
      </c>
    </row>
    <row r="50106" spans="8:8">
      <c r="H50106" s="680" t="s">
        <v>6153</v>
      </c>
    </row>
    <row r="50107" spans="8:8">
      <c r="H50107" s="680" t="s">
        <v>6153</v>
      </c>
    </row>
    <row r="50108" spans="8:8">
      <c r="H50108" s="680" t="s">
        <v>6153</v>
      </c>
    </row>
    <row r="50109" spans="8:8">
      <c r="H50109" s="680" t="s">
        <v>6153</v>
      </c>
    </row>
    <row r="50110" spans="8:8">
      <c r="H50110" s="680" t="s">
        <v>6153</v>
      </c>
    </row>
    <row r="50111" spans="8:8">
      <c r="H50111" s="680" t="s">
        <v>6153</v>
      </c>
    </row>
    <row r="50112" spans="8:8">
      <c r="H50112" s="680" t="s">
        <v>6153</v>
      </c>
    </row>
    <row r="50113" spans="8:8">
      <c r="H50113" s="680" t="s">
        <v>6153</v>
      </c>
    </row>
    <row r="50114" spans="8:8">
      <c r="H50114" s="680" t="s">
        <v>6153</v>
      </c>
    </row>
    <row r="50115" spans="8:8">
      <c r="H50115" s="680" t="s">
        <v>6153</v>
      </c>
    </row>
    <row r="50116" spans="8:8">
      <c r="H50116" s="680" t="s">
        <v>6153</v>
      </c>
    </row>
    <row r="50117" spans="8:8">
      <c r="H50117" s="680" t="s">
        <v>6153</v>
      </c>
    </row>
    <row r="50118" spans="8:8">
      <c r="H50118" s="680" t="s">
        <v>6153</v>
      </c>
    </row>
    <row r="50119" spans="8:8">
      <c r="H50119" s="680" t="s">
        <v>6153</v>
      </c>
    </row>
    <row r="50120" spans="8:8">
      <c r="H50120" s="680" t="s">
        <v>6153</v>
      </c>
    </row>
    <row r="50121" spans="8:8">
      <c r="H50121" s="680" t="s">
        <v>6153</v>
      </c>
    </row>
    <row r="50122" spans="8:8">
      <c r="H50122" s="680" t="s">
        <v>6153</v>
      </c>
    </row>
    <row r="50123" spans="8:8">
      <c r="H50123" s="680" t="s">
        <v>6153</v>
      </c>
    </row>
    <row r="50124" spans="8:8">
      <c r="H50124" s="680" t="s">
        <v>6153</v>
      </c>
    </row>
    <row r="50125" spans="8:8">
      <c r="H50125" s="680" t="s">
        <v>6153</v>
      </c>
    </row>
    <row r="50126" spans="8:8">
      <c r="H50126" s="680" t="s">
        <v>6153</v>
      </c>
    </row>
    <row r="50127" spans="8:8">
      <c r="H50127" s="680" t="s">
        <v>6153</v>
      </c>
    </row>
    <row r="50128" spans="8:8">
      <c r="H50128" s="680" t="s">
        <v>6153</v>
      </c>
    </row>
    <row r="50129" spans="8:8">
      <c r="H50129" s="680" t="s">
        <v>6153</v>
      </c>
    </row>
    <row r="50130" spans="8:8">
      <c r="H50130" s="680" t="s">
        <v>6153</v>
      </c>
    </row>
    <row r="50131" spans="8:8">
      <c r="H50131" s="680" t="s">
        <v>6153</v>
      </c>
    </row>
    <row r="50132" spans="8:8">
      <c r="H50132" s="680" t="s">
        <v>6153</v>
      </c>
    </row>
    <row r="50133" spans="8:8">
      <c r="H50133" s="680" t="s">
        <v>6153</v>
      </c>
    </row>
    <row r="50134" spans="8:8">
      <c r="H50134" s="680" t="s">
        <v>6153</v>
      </c>
    </row>
    <row r="50135" spans="8:8">
      <c r="H50135" s="680" t="s">
        <v>6153</v>
      </c>
    </row>
    <row r="50136" spans="8:8">
      <c r="H50136" s="680" t="s">
        <v>6153</v>
      </c>
    </row>
    <row r="50137" spans="8:8">
      <c r="H50137" s="680" t="s">
        <v>6153</v>
      </c>
    </row>
    <row r="50138" spans="8:8">
      <c r="H50138" s="680" t="s">
        <v>6153</v>
      </c>
    </row>
    <row r="50139" spans="8:8">
      <c r="H50139" s="680" t="s">
        <v>6153</v>
      </c>
    </row>
    <row r="50140" spans="8:8">
      <c r="H50140" s="680" t="s">
        <v>6153</v>
      </c>
    </row>
    <row r="50141" spans="8:8">
      <c r="H50141" s="680" t="s">
        <v>6153</v>
      </c>
    </row>
    <row r="50142" spans="8:8">
      <c r="H50142" s="680" t="s">
        <v>6153</v>
      </c>
    </row>
    <row r="50143" spans="8:8">
      <c r="H50143" s="680" t="s">
        <v>6153</v>
      </c>
    </row>
    <row r="50144" spans="8:8">
      <c r="H50144" s="680" t="s">
        <v>6153</v>
      </c>
    </row>
    <row r="50145" spans="8:8">
      <c r="H50145" s="680" t="s">
        <v>6153</v>
      </c>
    </row>
    <row r="50146" spans="8:8">
      <c r="H50146" s="680" t="s">
        <v>6153</v>
      </c>
    </row>
    <row r="50147" spans="8:8">
      <c r="H50147" s="680" t="s">
        <v>6153</v>
      </c>
    </row>
    <row r="50148" spans="8:8">
      <c r="H50148" s="680" t="s">
        <v>6153</v>
      </c>
    </row>
    <row r="50149" spans="8:8">
      <c r="H50149" s="680" t="s">
        <v>6153</v>
      </c>
    </row>
    <row r="50150" spans="8:8">
      <c r="H50150" s="680" t="s">
        <v>6153</v>
      </c>
    </row>
    <row r="50151" spans="8:8">
      <c r="H50151" s="680" t="s">
        <v>6153</v>
      </c>
    </row>
    <row r="50152" spans="8:8">
      <c r="H50152" s="680" t="s">
        <v>6153</v>
      </c>
    </row>
    <row r="50153" spans="8:8">
      <c r="H50153" s="680" t="s">
        <v>6153</v>
      </c>
    </row>
    <row r="50154" spans="8:8">
      <c r="H50154" s="680" t="s">
        <v>6153</v>
      </c>
    </row>
    <row r="50155" spans="8:8">
      <c r="H50155" s="680" t="s">
        <v>6153</v>
      </c>
    </row>
    <row r="50156" spans="8:8">
      <c r="H50156" s="680" t="s">
        <v>6153</v>
      </c>
    </row>
    <row r="50157" spans="8:8">
      <c r="H50157" s="680" t="s">
        <v>6153</v>
      </c>
    </row>
    <row r="50158" spans="8:8">
      <c r="H50158" s="680" t="s">
        <v>6153</v>
      </c>
    </row>
    <row r="50159" spans="8:8">
      <c r="H50159" s="680" t="s">
        <v>6153</v>
      </c>
    </row>
    <row r="50160" spans="8:8">
      <c r="H50160" s="680" t="s">
        <v>6153</v>
      </c>
    </row>
    <row r="50161" spans="8:8">
      <c r="H50161" s="680" t="s">
        <v>6153</v>
      </c>
    </row>
    <row r="50162" spans="8:8">
      <c r="H50162" s="680" t="s">
        <v>6153</v>
      </c>
    </row>
    <row r="50163" spans="8:8">
      <c r="H50163" s="680" t="s">
        <v>6153</v>
      </c>
    </row>
    <row r="50164" spans="8:8">
      <c r="H50164" s="680" t="s">
        <v>6153</v>
      </c>
    </row>
    <row r="50165" spans="8:8">
      <c r="H50165" s="680" t="s">
        <v>6153</v>
      </c>
    </row>
    <row r="50166" spans="8:8">
      <c r="H50166" s="680" t="s">
        <v>6153</v>
      </c>
    </row>
    <row r="50167" spans="8:8">
      <c r="H50167" s="680" t="s">
        <v>6153</v>
      </c>
    </row>
    <row r="50168" spans="8:8">
      <c r="H50168" s="680" t="s">
        <v>6153</v>
      </c>
    </row>
    <row r="50169" spans="8:8">
      <c r="H50169" s="680" t="s">
        <v>6153</v>
      </c>
    </row>
    <row r="50170" spans="8:8">
      <c r="H50170" s="680" t="s">
        <v>6153</v>
      </c>
    </row>
    <row r="50171" spans="8:8">
      <c r="H50171" s="680" t="s">
        <v>6153</v>
      </c>
    </row>
    <row r="50172" spans="8:8">
      <c r="H50172" s="680" t="s">
        <v>6153</v>
      </c>
    </row>
    <row r="50173" spans="8:8">
      <c r="H50173" s="680" t="s">
        <v>6153</v>
      </c>
    </row>
    <row r="50174" spans="8:8">
      <c r="H50174" s="680" t="s">
        <v>6153</v>
      </c>
    </row>
    <row r="50175" spans="8:8">
      <c r="H50175" s="680" t="s">
        <v>6153</v>
      </c>
    </row>
    <row r="50176" spans="8:8">
      <c r="H50176" s="680" t="s">
        <v>6153</v>
      </c>
    </row>
    <row r="50177" spans="8:8">
      <c r="H50177" s="680" t="s">
        <v>6153</v>
      </c>
    </row>
    <row r="50178" spans="8:8">
      <c r="H50178" s="680" t="s">
        <v>6153</v>
      </c>
    </row>
    <row r="50179" spans="8:8">
      <c r="H50179" s="680" t="s">
        <v>6153</v>
      </c>
    </row>
    <row r="50180" spans="8:8">
      <c r="H50180" s="680" t="s">
        <v>6153</v>
      </c>
    </row>
    <row r="50181" spans="8:8">
      <c r="H50181" s="680" t="s">
        <v>6153</v>
      </c>
    </row>
    <row r="50182" spans="8:8">
      <c r="H50182" s="680" t="s">
        <v>6153</v>
      </c>
    </row>
    <row r="50183" spans="8:8">
      <c r="H50183" s="680" t="s">
        <v>6153</v>
      </c>
    </row>
    <row r="50184" spans="8:8">
      <c r="H50184" s="680" t="s">
        <v>6153</v>
      </c>
    </row>
    <row r="50185" spans="8:8">
      <c r="H50185" s="680" t="s">
        <v>6153</v>
      </c>
    </row>
    <row r="50186" spans="8:8">
      <c r="H50186" s="680" t="s">
        <v>6153</v>
      </c>
    </row>
    <row r="50187" spans="8:8">
      <c r="H50187" s="680" t="s">
        <v>6153</v>
      </c>
    </row>
    <row r="50188" spans="8:8">
      <c r="H50188" s="680" t="s">
        <v>6153</v>
      </c>
    </row>
    <row r="50189" spans="8:8">
      <c r="H50189" s="680" t="s">
        <v>6153</v>
      </c>
    </row>
    <row r="50190" spans="8:8">
      <c r="H50190" s="680" t="s">
        <v>6153</v>
      </c>
    </row>
    <row r="50191" spans="8:8">
      <c r="H50191" s="680" t="s">
        <v>6153</v>
      </c>
    </row>
    <row r="50192" spans="8:8">
      <c r="H50192" s="680" t="s">
        <v>6153</v>
      </c>
    </row>
    <row r="50193" spans="8:8">
      <c r="H50193" s="680" t="s">
        <v>6153</v>
      </c>
    </row>
    <row r="50194" spans="8:8">
      <c r="H50194" s="680" t="s">
        <v>6153</v>
      </c>
    </row>
    <row r="50195" spans="8:8">
      <c r="H50195" s="680" t="s">
        <v>6153</v>
      </c>
    </row>
    <row r="50196" spans="8:8">
      <c r="H50196" s="680" t="s">
        <v>6153</v>
      </c>
    </row>
    <row r="50197" spans="8:8">
      <c r="H50197" s="680" t="s">
        <v>6153</v>
      </c>
    </row>
    <row r="50198" spans="8:8">
      <c r="H50198" s="680" t="s">
        <v>6153</v>
      </c>
    </row>
    <row r="50199" spans="8:8">
      <c r="H50199" s="680" t="s">
        <v>6153</v>
      </c>
    </row>
    <row r="50200" spans="8:8">
      <c r="H50200" s="680" t="s">
        <v>6153</v>
      </c>
    </row>
    <row r="50201" spans="8:8">
      <c r="H50201" s="680" t="s">
        <v>6153</v>
      </c>
    </row>
    <row r="50202" spans="8:8">
      <c r="H50202" s="680" t="s">
        <v>6153</v>
      </c>
    </row>
    <row r="50203" spans="8:8">
      <c r="H50203" s="680" t="s">
        <v>6153</v>
      </c>
    </row>
    <row r="50204" spans="8:8">
      <c r="H50204" s="680" t="s">
        <v>6153</v>
      </c>
    </row>
    <row r="50205" spans="8:8">
      <c r="H50205" s="680" t="s">
        <v>6153</v>
      </c>
    </row>
    <row r="50206" spans="8:8">
      <c r="H50206" s="680" t="s">
        <v>6153</v>
      </c>
    </row>
    <row r="50207" spans="8:8">
      <c r="H50207" s="680" t="s">
        <v>6153</v>
      </c>
    </row>
    <row r="50208" spans="8:8">
      <c r="H50208" s="680" t="s">
        <v>6153</v>
      </c>
    </row>
    <row r="50209" spans="8:8">
      <c r="H50209" s="680" t="s">
        <v>6153</v>
      </c>
    </row>
    <row r="50210" spans="8:8">
      <c r="H50210" s="680" t="s">
        <v>6153</v>
      </c>
    </row>
    <row r="50211" spans="8:8">
      <c r="H50211" s="680" t="s">
        <v>6153</v>
      </c>
    </row>
    <row r="50212" spans="8:8">
      <c r="H50212" s="680" t="s">
        <v>6153</v>
      </c>
    </row>
    <row r="50213" spans="8:8">
      <c r="H50213" s="680" t="s">
        <v>6153</v>
      </c>
    </row>
    <row r="50214" spans="8:8">
      <c r="H50214" s="680" t="s">
        <v>6153</v>
      </c>
    </row>
    <row r="50215" spans="8:8">
      <c r="H50215" s="680" t="s">
        <v>6153</v>
      </c>
    </row>
    <row r="50216" spans="8:8">
      <c r="H50216" s="680" t="s">
        <v>6153</v>
      </c>
    </row>
    <row r="50217" spans="8:8">
      <c r="H50217" s="680" t="s">
        <v>6153</v>
      </c>
    </row>
    <row r="50218" spans="8:8">
      <c r="H50218" s="680" t="s">
        <v>6153</v>
      </c>
    </row>
    <row r="50219" spans="8:8">
      <c r="H50219" s="680" t="s">
        <v>6153</v>
      </c>
    </row>
    <row r="50220" spans="8:8">
      <c r="H50220" s="680" t="s">
        <v>6153</v>
      </c>
    </row>
    <row r="50221" spans="8:8">
      <c r="H50221" s="680" t="s">
        <v>6153</v>
      </c>
    </row>
    <row r="50222" spans="8:8">
      <c r="H50222" s="680" t="s">
        <v>6153</v>
      </c>
    </row>
    <row r="50223" spans="8:8">
      <c r="H50223" s="680" t="s">
        <v>6153</v>
      </c>
    </row>
    <row r="50224" spans="8:8">
      <c r="H50224" s="680" t="s">
        <v>6153</v>
      </c>
    </row>
    <row r="50225" spans="8:8">
      <c r="H50225" s="680" t="s">
        <v>6153</v>
      </c>
    </row>
    <row r="50226" spans="8:8">
      <c r="H50226" s="680" t="s">
        <v>6153</v>
      </c>
    </row>
    <row r="50227" spans="8:8">
      <c r="H50227" s="680" t="s">
        <v>6153</v>
      </c>
    </row>
    <row r="50228" spans="8:8">
      <c r="H50228" s="680" t="s">
        <v>6153</v>
      </c>
    </row>
    <row r="50229" spans="8:8">
      <c r="H50229" s="680" t="s">
        <v>6153</v>
      </c>
    </row>
    <row r="50230" spans="8:8">
      <c r="H50230" s="680" t="s">
        <v>6153</v>
      </c>
    </row>
    <row r="50231" spans="8:8">
      <c r="H50231" s="680" t="s">
        <v>6153</v>
      </c>
    </row>
    <row r="50232" spans="8:8">
      <c r="H50232" s="680" t="s">
        <v>6153</v>
      </c>
    </row>
    <row r="50233" spans="8:8">
      <c r="H50233" s="680" t="s">
        <v>6153</v>
      </c>
    </row>
    <row r="50234" spans="8:8">
      <c r="H50234" s="680" t="s">
        <v>6153</v>
      </c>
    </row>
    <row r="50235" spans="8:8">
      <c r="H50235" s="680" t="s">
        <v>6153</v>
      </c>
    </row>
    <row r="50236" spans="8:8">
      <c r="H50236" s="680" t="s">
        <v>6153</v>
      </c>
    </row>
    <row r="50237" spans="8:8">
      <c r="H50237" s="680" t="s">
        <v>6153</v>
      </c>
    </row>
    <row r="50238" spans="8:8">
      <c r="H50238" s="680" t="s">
        <v>6153</v>
      </c>
    </row>
    <row r="50239" spans="8:8">
      <c r="H50239" s="680" t="s">
        <v>6153</v>
      </c>
    </row>
    <row r="50240" spans="8:8">
      <c r="H50240" s="680" t="s">
        <v>6153</v>
      </c>
    </row>
    <row r="50241" spans="8:8">
      <c r="H50241" s="680" t="s">
        <v>6153</v>
      </c>
    </row>
    <row r="50242" spans="8:8">
      <c r="H50242" s="680" t="s">
        <v>6153</v>
      </c>
    </row>
    <row r="50243" spans="8:8">
      <c r="H50243" s="680" t="s">
        <v>6153</v>
      </c>
    </row>
    <row r="50244" spans="8:8">
      <c r="H50244" s="680" t="s">
        <v>6153</v>
      </c>
    </row>
    <row r="50245" spans="8:8">
      <c r="H50245" s="680" t="s">
        <v>6153</v>
      </c>
    </row>
    <row r="50246" spans="8:8">
      <c r="H50246" s="680" t="s">
        <v>6153</v>
      </c>
    </row>
    <row r="50247" spans="8:8">
      <c r="H50247" s="680" t="s">
        <v>6153</v>
      </c>
    </row>
    <row r="50248" spans="8:8">
      <c r="H50248" s="680" t="s">
        <v>6153</v>
      </c>
    </row>
    <row r="50249" spans="8:8">
      <c r="H50249" s="680" t="s">
        <v>6153</v>
      </c>
    </row>
    <row r="50250" spans="8:8">
      <c r="H50250" s="680" t="s">
        <v>6153</v>
      </c>
    </row>
    <row r="50251" spans="8:8">
      <c r="H50251" s="680" t="s">
        <v>6153</v>
      </c>
    </row>
    <row r="50252" spans="8:8">
      <c r="H50252" s="680" t="s">
        <v>6153</v>
      </c>
    </row>
    <row r="50253" spans="8:8">
      <c r="H50253" s="680" t="s">
        <v>6153</v>
      </c>
    </row>
    <row r="50254" spans="8:8">
      <c r="H50254" s="680" t="s">
        <v>6153</v>
      </c>
    </row>
    <row r="50255" spans="8:8">
      <c r="H50255" s="680" t="s">
        <v>6153</v>
      </c>
    </row>
    <row r="50256" spans="8:8">
      <c r="H50256" s="680" t="s">
        <v>6153</v>
      </c>
    </row>
    <row r="50257" spans="8:8">
      <c r="H50257" s="680" t="s">
        <v>6153</v>
      </c>
    </row>
    <row r="50258" spans="8:8">
      <c r="H50258" s="680" t="s">
        <v>6153</v>
      </c>
    </row>
    <row r="50259" spans="8:8">
      <c r="H50259" s="680" t="s">
        <v>6153</v>
      </c>
    </row>
    <row r="50260" spans="8:8">
      <c r="H50260" s="680" t="s">
        <v>6153</v>
      </c>
    </row>
    <row r="50261" spans="8:8">
      <c r="H50261" s="680" t="s">
        <v>6153</v>
      </c>
    </row>
    <row r="50262" spans="8:8">
      <c r="H50262" s="680" t="s">
        <v>6153</v>
      </c>
    </row>
    <row r="50263" spans="8:8">
      <c r="H50263" s="680" t="s">
        <v>6153</v>
      </c>
    </row>
    <row r="50264" spans="8:8">
      <c r="H50264" s="680" t="s">
        <v>6153</v>
      </c>
    </row>
    <row r="50265" spans="8:8">
      <c r="H50265" s="680" t="s">
        <v>6153</v>
      </c>
    </row>
    <row r="50266" spans="8:8">
      <c r="H50266" s="680" t="s">
        <v>6153</v>
      </c>
    </row>
    <row r="50267" spans="8:8">
      <c r="H50267" s="680" t="s">
        <v>6153</v>
      </c>
    </row>
    <row r="50268" spans="8:8">
      <c r="H50268" s="680" t="s">
        <v>6153</v>
      </c>
    </row>
    <row r="50269" spans="8:8">
      <c r="H50269" s="680" t="s">
        <v>6153</v>
      </c>
    </row>
    <row r="50270" spans="8:8">
      <c r="H50270" s="680" t="s">
        <v>6153</v>
      </c>
    </row>
    <row r="50271" spans="8:8">
      <c r="H50271" s="680" t="s">
        <v>6153</v>
      </c>
    </row>
    <row r="50272" spans="8:8">
      <c r="H50272" s="680" t="s">
        <v>6153</v>
      </c>
    </row>
    <row r="50273" spans="8:8">
      <c r="H50273" s="680" t="s">
        <v>6153</v>
      </c>
    </row>
    <row r="50274" spans="8:8">
      <c r="H50274" s="680" t="s">
        <v>6153</v>
      </c>
    </row>
    <row r="50275" spans="8:8">
      <c r="H50275" s="680" t="s">
        <v>6153</v>
      </c>
    </row>
    <row r="50276" spans="8:8">
      <c r="H50276" s="680" t="s">
        <v>6153</v>
      </c>
    </row>
    <row r="50277" spans="8:8">
      <c r="H50277" s="680" t="s">
        <v>6153</v>
      </c>
    </row>
    <row r="50278" spans="8:8">
      <c r="H50278" s="680" t="s">
        <v>6153</v>
      </c>
    </row>
    <row r="50279" spans="8:8">
      <c r="H50279" s="680" t="s">
        <v>6153</v>
      </c>
    </row>
    <row r="50280" spans="8:8">
      <c r="H50280" s="680" t="s">
        <v>6153</v>
      </c>
    </row>
    <row r="50281" spans="8:8">
      <c r="H50281" s="680" t="s">
        <v>6153</v>
      </c>
    </row>
    <row r="50282" spans="8:8">
      <c r="H50282" s="680" t="s">
        <v>6153</v>
      </c>
    </row>
    <row r="50283" spans="8:8">
      <c r="H50283" s="680" t="s">
        <v>6153</v>
      </c>
    </row>
    <row r="50284" spans="8:8">
      <c r="H50284" s="680" t="s">
        <v>6153</v>
      </c>
    </row>
    <row r="50285" spans="8:8">
      <c r="H50285" s="680" t="s">
        <v>6153</v>
      </c>
    </row>
    <row r="50286" spans="8:8">
      <c r="H50286" s="680" t="s">
        <v>6153</v>
      </c>
    </row>
    <row r="50287" spans="8:8">
      <c r="H50287" s="680" t="s">
        <v>6153</v>
      </c>
    </row>
    <row r="50288" spans="8:8">
      <c r="H50288" s="680" t="s">
        <v>6153</v>
      </c>
    </row>
    <row r="50289" spans="8:8">
      <c r="H50289" s="680" t="s">
        <v>6153</v>
      </c>
    </row>
    <row r="50290" spans="8:8">
      <c r="H50290" s="680" t="s">
        <v>6153</v>
      </c>
    </row>
    <row r="50291" spans="8:8">
      <c r="H50291" s="680" t="s">
        <v>6153</v>
      </c>
    </row>
    <row r="50292" spans="8:8">
      <c r="H50292" s="680" t="s">
        <v>6153</v>
      </c>
    </row>
    <row r="50293" spans="8:8">
      <c r="H50293" s="680" t="s">
        <v>6153</v>
      </c>
    </row>
    <row r="50294" spans="8:8">
      <c r="H50294" s="680" t="s">
        <v>6153</v>
      </c>
    </row>
    <row r="50295" spans="8:8">
      <c r="H50295" s="680" t="s">
        <v>6153</v>
      </c>
    </row>
    <row r="50296" spans="8:8">
      <c r="H50296" s="680" t="s">
        <v>6153</v>
      </c>
    </row>
    <row r="50297" spans="8:8">
      <c r="H50297" s="680" t="s">
        <v>6153</v>
      </c>
    </row>
    <row r="50298" spans="8:8">
      <c r="H50298" s="680" t="s">
        <v>6153</v>
      </c>
    </row>
    <row r="50299" spans="8:8">
      <c r="H50299" s="680" t="s">
        <v>6153</v>
      </c>
    </row>
    <row r="50300" spans="8:8">
      <c r="H50300" s="680" t="s">
        <v>6153</v>
      </c>
    </row>
    <row r="50301" spans="8:8">
      <c r="H50301" s="680" t="s">
        <v>6153</v>
      </c>
    </row>
    <row r="50302" spans="8:8">
      <c r="H50302" s="680" t="s">
        <v>6153</v>
      </c>
    </row>
    <row r="50303" spans="8:8">
      <c r="H50303" s="680" t="s">
        <v>6153</v>
      </c>
    </row>
    <row r="50304" spans="8:8">
      <c r="H50304" s="680" t="s">
        <v>6153</v>
      </c>
    </row>
    <row r="50305" spans="8:8">
      <c r="H50305" s="680" t="s">
        <v>6153</v>
      </c>
    </row>
    <row r="50306" spans="8:8">
      <c r="H50306" s="680" t="s">
        <v>6153</v>
      </c>
    </row>
    <row r="50307" spans="8:8">
      <c r="H50307" s="680" t="s">
        <v>6153</v>
      </c>
    </row>
    <row r="50308" spans="8:8">
      <c r="H50308" s="680" t="s">
        <v>6153</v>
      </c>
    </row>
    <row r="50309" spans="8:8">
      <c r="H50309" s="680" t="s">
        <v>6153</v>
      </c>
    </row>
    <row r="50310" spans="8:8">
      <c r="H50310" s="680" t="s">
        <v>6153</v>
      </c>
    </row>
    <row r="50311" spans="8:8">
      <c r="H50311" s="680" t="s">
        <v>6153</v>
      </c>
    </row>
    <row r="50312" spans="8:8">
      <c r="H50312" s="680" t="s">
        <v>6153</v>
      </c>
    </row>
    <row r="50313" spans="8:8">
      <c r="H50313" s="680" t="s">
        <v>6153</v>
      </c>
    </row>
    <row r="50314" spans="8:8">
      <c r="H50314" s="680" t="s">
        <v>6153</v>
      </c>
    </row>
    <row r="50315" spans="8:8">
      <c r="H50315" s="680" t="s">
        <v>6153</v>
      </c>
    </row>
    <row r="50316" spans="8:8">
      <c r="H50316" s="680" t="s">
        <v>6153</v>
      </c>
    </row>
    <row r="50317" spans="8:8">
      <c r="H50317" s="680" t="s">
        <v>6153</v>
      </c>
    </row>
    <row r="50318" spans="8:8">
      <c r="H50318" s="680" t="s">
        <v>6153</v>
      </c>
    </row>
    <row r="50319" spans="8:8">
      <c r="H50319" s="680" t="s">
        <v>6153</v>
      </c>
    </row>
    <row r="50320" spans="8:8">
      <c r="H50320" s="680" t="s">
        <v>6153</v>
      </c>
    </row>
    <row r="50321" spans="8:8">
      <c r="H50321" s="680" t="s">
        <v>6153</v>
      </c>
    </row>
    <row r="50322" spans="8:8">
      <c r="H50322" s="680" t="s">
        <v>6153</v>
      </c>
    </row>
    <row r="50323" spans="8:8">
      <c r="H50323" s="680" t="s">
        <v>6153</v>
      </c>
    </row>
    <row r="50324" spans="8:8">
      <c r="H50324" s="680" t="s">
        <v>6153</v>
      </c>
    </row>
    <row r="50325" spans="8:8">
      <c r="H50325" s="680" t="s">
        <v>6153</v>
      </c>
    </row>
    <row r="50326" spans="8:8">
      <c r="H50326" s="680" t="s">
        <v>6153</v>
      </c>
    </row>
    <row r="50327" spans="8:8">
      <c r="H50327" s="680" t="s">
        <v>6153</v>
      </c>
    </row>
    <row r="50328" spans="8:8">
      <c r="H50328" s="680" t="s">
        <v>6153</v>
      </c>
    </row>
    <row r="50329" spans="8:8">
      <c r="H50329" s="680" t="s">
        <v>6153</v>
      </c>
    </row>
    <row r="50330" spans="8:8">
      <c r="H50330" s="680" t="s">
        <v>6153</v>
      </c>
    </row>
    <row r="50331" spans="8:8">
      <c r="H50331" s="680" t="s">
        <v>6153</v>
      </c>
    </row>
    <row r="50332" spans="8:8">
      <c r="H50332" s="680" t="s">
        <v>6153</v>
      </c>
    </row>
    <row r="50333" spans="8:8">
      <c r="H50333" s="680" t="s">
        <v>6153</v>
      </c>
    </row>
    <row r="50334" spans="8:8">
      <c r="H50334" s="680" t="s">
        <v>6153</v>
      </c>
    </row>
    <row r="50335" spans="8:8">
      <c r="H50335" s="680" t="s">
        <v>6153</v>
      </c>
    </row>
    <row r="50336" spans="8:8">
      <c r="H50336" s="680" t="s">
        <v>6153</v>
      </c>
    </row>
    <row r="50337" spans="8:8">
      <c r="H50337" s="680" t="s">
        <v>6153</v>
      </c>
    </row>
    <row r="50338" spans="8:8">
      <c r="H50338" s="680" t="s">
        <v>6153</v>
      </c>
    </row>
    <row r="50339" spans="8:8">
      <c r="H50339" s="680" t="s">
        <v>6153</v>
      </c>
    </row>
    <row r="50340" spans="8:8">
      <c r="H50340" s="680" t="s">
        <v>6153</v>
      </c>
    </row>
    <row r="50341" spans="8:8">
      <c r="H50341" s="680" t="s">
        <v>6153</v>
      </c>
    </row>
    <row r="50342" spans="8:8">
      <c r="H50342" s="680" t="s">
        <v>6153</v>
      </c>
    </row>
    <row r="50343" spans="8:8">
      <c r="H50343" s="680" t="s">
        <v>6153</v>
      </c>
    </row>
    <row r="50344" spans="8:8">
      <c r="H50344" s="680" t="s">
        <v>6153</v>
      </c>
    </row>
    <row r="50345" spans="8:8">
      <c r="H50345" s="680" t="s">
        <v>6153</v>
      </c>
    </row>
    <row r="50346" spans="8:8">
      <c r="H50346" s="680" t="s">
        <v>6153</v>
      </c>
    </row>
    <row r="50347" spans="8:8">
      <c r="H50347" s="680" t="s">
        <v>6153</v>
      </c>
    </row>
    <row r="50348" spans="8:8">
      <c r="H50348" s="680" t="s">
        <v>6153</v>
      </c>
    </row>
    <row r="50349" spans="8:8">
      <c r="H50349" s="680" t="s">
        <v>6153</v>
      </c>
    </row>
    <row r="50350" spans="8:8">
      <c r="H50350" s="680" t="s">
        <v>6153</v>
      </c>
    </row>
    <row r="50351" spans="8:8">
      <c r="H50351" s="680" t="s">
        <v>6153</v>
      </c>
    </row>
    <row r="50352" spans="8:8">
      <c r="H50352" s="680" t="s">
        <v>6153</v>
      </c>
    </row>
    <row r="50353" spans="8:8">
      <c r="H50353" s="680" t="s">
        <v>6153</v>
      </c>
    </row>
    <row r="50354" spans="8:8">
      <c r="H50354" s="680" t="s">
        <v>6153</v>
      </c>
    </row>
    <row r="50355" spans="8:8">
      <c r="H50355" s="680" t="s">
        <v>6153</v>
      </c>
    </row>
    <row r="50356" spans="8:8">
      <c r="H50356" s="680" t="s">
        <v>6153</v>
      </c>
    </row>
    <row r="50357" spans="8:8">
      <c r="H50357" s="680" t="s">
        <v>6153</v>
      </c>
    </row>
    <row r="50358" spans="8:8">
      <c r="H50358" s="680" t="s">
        <v>6153</v>
      </c>
    </row>
    <row r="50359" spans="8:8">
      <c r="H50359" s="680" t="s">
        <v>6153</v>
      </c>
    </row>
    <row r="50360" spans="8:8">
      <c r="H50360" s="680" t="s">
        <v>6153</v>
      </c>
    </row>
    <row r="50361" spans="8:8">
      <c r="H50361" s="680" t="s">
        <v>6153</v>
      </c>
    </row>
    <row r="50362" spans="8:8">
      <c r="H50362" s="680" t="s">
        <v>6153</v>
      </c>
    </row>
    <row r="50363" spans="8:8">
      <c r="H50363" s="680" t="s">
        <v>6153</v>
      </c>
    </row>
    <row r="50364" spans="8:8">
      <c r="H50364" s="680" t="s">
        <v>6153</v>
      </c>
    </row>
    <row r="50365" spans="8:8">
      <c r="H50365" s="680" t="s">
        <v>6153</v>
      </c>
    </row>
    <row r="50366" spans="8:8">
      <c r="H50366" s="680" t="s">
        <v>6153</v>
      </c>
    </row>
    <row r="50367" spans="8:8">
      <c r="H50367" s="680" t="s">
        <v>6153</v>
      </c>
    </row>
    <row r="50368" spans="8:8">
      <c r="H50368" s="680" t="s">
        <v>6153</v>
      </c>
    </row>
    <row r="50369" spans="8:8">
      <c r="H50369" s="680" t="s">
        <v>6153</v>
      </c>
    </row>
    <row r="50370" spans="8:8">
      <c r="H50370" s="680" t="s">
        <v>6153</v>
      </c>
    </row>
    <row r="50371" spans="8:8">
      <c r="H50371" s="680" t="s">
        <v>6153</v>
      </c>
    </row>
    <row r="50372" spans="8:8">
      <c r="H50372" s="680" t="s">
        <v>6153</v>
      </c>
    </row>
    <row r="50373" spans="8:8">
      <c r="H50373" s="680" t="s">
        <v>6153</v>
      </c>
    </row>
    <row r="50374" spans="8:8">
      <c r="H50374" s="680" t="s">
        <v>6153</v>
      </c>
    </row>
    <row r="50375" spans="8:8">
      <c r="H50375" s="680" t="s">
        <v>6153</v>
      </c>
    </row>
    <row r="50376" spans="8:8">
      <c r="H50376" s="680" t="s">
        <v>6153</v>
      </c>
    </row>
    <row r="50377" spans="8:8">
      <c r="H50377" s="680" t="s">
        <v>6153</v>
      </c>
    </row>
    <row r="50378" spans="8:8">
      <c r="H50378" s="680" t="s">
        <v>6153</v>
      </c>
    </row>
    <row r="50379" spans="8:8">
      <c r="H50379" s="680" t="s">
        <v>6153</v>
      </c>
    </row>
    <row r="50380" spans="8:8">
      <c r="H50380" s="680" t="s">
        <v>6153</v>
      </c>
    </row>
    <row r="50381" spans="8:8">
      <c r="H50381" s="680" t="s">
        <v>6153</v>
      </c>
    </row>
    <row r="50382" spans="8:8">
      <c r="H50382" s="680" t="s">
        <v>6153</v>
      </c>
    </row>
    <row r="50383" spans="8:8">
      <c r="H50383" s="680" t="s">
        <v>6153</v>
      </c>
    </row>
    <row r="50384" spans="8:8">
      <c r="H50384" s="680" t="s">
        <v>6153</v>
      </c>
    </row>
    <row r="50385" spans="8:8">
      <c r="H50385" s="680" t="s">
        <v>6153</v>
      </c>
    </row>
    <row r="50386" spans="8:8">
      <c r="H50386" s="680" t="s">
        <v>6153</v>
      </c>
    </row>
    <row r="50387" spans="8:8">
      <c r="H50387" s="680" t="s">
        <v>6153</v>
      </c>
    </row>
    <row r="50388" spans="8:8">
      <c r="H50388" s="680" t="s">
        <v>6153</v>
      </c>
    </row>
    <row r="50389" spans="8:8">
      <c r="H50389" s="680" t="s">
        <v>6153</v>
      </c>
    </row>
    <row r="50390" spans="8:8">
      <c r="H50390" s="680" t="s">
        <v>6153</v>
      </c>
    </row>
    <row r="50391" spans="8:8">
      <c r="H50391" s="680" t="s">
        <v>6153</v>
      </c>
    </row>
    <row r="50392" spans="8:8">
      <c r="H50392" s="680" t="s">
        <v>6153</v>
      </c>
    </row>
    <row r="50393" spans="8:8">
      <c r="H50393" s="680" t="s">
        <v>6153</v>
      </c>
    </row>
    <row r="50394" spans="8:8">
      <c r="H50394" s="680" t="s">
        <v>6153</v>
      </c>
    </row>
    <row r="50395" spans="8:8">
      <c r="H50395" s="680" t="s">
        <v>6153</v>
      </c>
    </row>
    <row r="50396" spans="8:8">
      <c r="H50396" s="680" t="s">
        <v>6153</v>
      </c>
    </row>
    <row r="50397" spans="8:8">
      <c r="H50397" s="680" t="s">
        <v>6153</v>
      </c>
    </row>
    <row r="50398" spans="8:8">
      <c r="H50398" s="680" t="s">
        <v>6153</v>
      </c>
    </row>
    <row r="50399" spans="8:8">
      <c r="H50399" s="680" t="s">
        <v>6153</v>
      </c>
    </row>
    <row r="50400" spans="8:8">
      <c r="H50400" s="680" t="s">
        <v>6153</v>
      </c>
    </row>
    <row r="50401" spans="8:8">
      <c r="H50401" s="680" t="s">
        <v>6153</v>
      </c>
    </row>
    <row r="50402" spans="8:8">
      <c r="H50402" s="680" t="s">
        <v>6153</v>
      </c>
    </row>
    <row r="50403" spans="8:8">
      <c r="H50403" s="680" t="s">
        <v>6153</v>
      </c>
    </row>
    <row r="50404" spans="8:8">
      <c r="H50404" s="680" t="s">
        <v>6153</v>
      </c>
    </row>
    <row r="50405" spans="8:8">
      <c r="H50405" s="680" t="s">
        <v>6153</v>
      </c>
    </row>
    <row r="50406" spans="8:8">
      <c r="H50406" s="680" t="s">
        <v>6153</v>
      </c>
    </row>
    <row r="50407" spans="8:8">
      <c r="H50407" s="680" t="s">
        <v>6153</v>
      </c>
    </row>
    <row r="50408" spans="8:8">
      <c r="H50408" s="680" t="s">
        <v>6153</v>
      </c>
    </row>
    <row r="50409" spans="8:8">
      <c r="H50409" s="680" t="s">
        <v>6153</v>
      </c>
    </row>
    <row r="50410" spans="8:8">
      <c r="H50410" s="680" t="s">
        <v>6153</v>
      </c>
    </row>
    <row r="50411" spans="8:8">
      <c r="H50411" s="680" t="s">
        <v>6153</v>
      </c>
    </row>
    <row r="50412" spans="8:8">
      <c r="H50412" s="680" t="s">
        <v>6153</v>
      </c>
    </row>
    <row r="50413" spans="8:8">
      <c r="H50413" s="680" t="s">
        <v>6153</v>
      </c>
    </row>
    <row r="50414" spans="8:8">
      <c r="H50414" s="680" t="s">
        <v>6153</v>
      </c>
    </row>
    <row r="50415" spans="8:8">
      <c r="H50415" s="680" t="s">
        <v>6153</v>
      </c>
    </row>
    <row r="50416" spans="8:8">
      <c r="H50416" s="680" t="s">
        <v>6153</v>
      </c>
    </row>
    <row r="50417" spans="8:8">
      <c r="H50417" s="680" t="s">
        <v>6153</v>
      </c>
    </row>
    <row r="50418" spans="8:8">
      <c r="H50418" s="680" t="s">
        <v>6153</v>
      </c>
    </row>
    <row r="50419" spans="8:8">
      <c r="H50419" s="680" t="s">
        <v>6153</v>
      </c>
    </row>
    <row r="50420" spans="8:8">
      <c r="H50420" s="680" t="s">
        <v>6153</v>
      </c>
    </row>
    <row r="50421" spans="8:8">
      <c r="H50421" s="680" t="s">
        <v>6153</v>
      </c>
    </row>
    <row r="50422" spans="8:8">
      <c r="H50422" s="680" t="s">
        <v>6153</v>
      </c>
    </row>
    <row r="50423" spans="8:8">
      <c r="H50423" s="680" t="s">
        <v>6153</v>
      </c>
    </row>
    <row r="50424" spans="8:8">
      <c r="H50424" s="680" t="s">
        <v>6153</v>
      </c>
    </row>
    <row r="50425" spans="8:8">
      <c r="H50425" s="680" t="s">
        <v>6153</v>
      </c>
    </row>
    <row r="50426" spans="8:8">
      <c r="H50426" s="680" t="s">
        <v>6153</v>
      </c>
    </row>
    <row r="50427" spans="8:8">
      <c r="H50427" s="680" t="s">
        <v>6153</v>
      </c>
    </row>
    <row r="50428" spans="8:8">
      <c r="H50428" s="680" t="s">
        <v>6153</v>
      </c>
    </row>
    <row r="50429" spans="8:8">
      <c r="H50429" s="680" t="s">
        <v>6153</v>
      </c>
    </row>
    <row r="50430" spans="8:8">
      <c r="H50430" s="680" t="s">
        <v>6153</v>
      </c>
    </row>
    <row r="50431" spans="8:8">
      <c r="H50431" s="680" t="s">
        <v>6153</v>
      </c>
    </row>
    <row r="50432" spans="8:8">
      <c r="H50432" s="680" t="s">
        <v>6153</v>
      </c>
    </row>
    <row r="50433" spans="8:8">
      <c r="H50433" s="680" t="s">
        <v>6153</v>
      </c>
    </row>
    <row r="50434" spans="8:8">
      <c r="H50434" s="680" t="s">
        <v>6153</v>
      </c>
    </row>
    <row r="50435" spans="8:8">
      <c r="H50435" s="680" t="s">
        <v>6153</v>
      </c>
    </row>
    <row r="50436" spans="8:8">
      <c r="H50436" s="680" t="s">
        <v>6153</v>
      </c>
    </row>
    <row r="50437" spans="8:8">
      <c r="H50437" s="680" t="s">
        <v>6153</v>
      </c>
    </row>
    <row r="50438" spans="8:8">
      <c r="H50438" s="680" t="s">
        <v>6153</v>
      </c>
    </row>
    <row r="50439" spans="8:8">
      <c r="H50439" s="680" t="s">
        <v>6153</v>
      </c>
    </row>
    <row r="50440" spans="8:8">
      <c r="H50440" s="680" t="s">
        <v>6153</v>
      </c>
    </row>
    <row r="50441" spans="8:8">
      <c r="H50441" s="680" t="s">
        <v>6153</v>
      </c>
    </row>
    <row r="50442" spans="8:8">
      <c r="H50442" s="680" t="s">
        <v>6153</v>
      </c>
    </row>
    <row r="50443" spans="8:8">
      <c r="H50443" s="680" t="s">
        <v>6153</v>
      </c>
    </row>
    <row r="50444" spans="8:8">
      <c r="H50444" s="680" t="s">
        <v>6153</v>
      </c>
    </row>
    <row r="50445" spans="8:8">
      <c r="H50445" s="680" t="s">
        <v>6153</v>
      </c>
    </row>
    <row r="50446" spans="8:8">
      <c r="H50446" s="680" t="s">
        <v>6153</v>
      </c>
    </row>
    <row r="50447" spans="8:8">
      <c r="H50447" s="680" t="s">
        <v>6153</v>
      </c>
    </row>
    <row r="50448" spans="8:8">
      <c r="H50448" s="680" t="s">
        <v>6153</v>
      </c>
    </row>
    <row r="50449" spans="8:8">
      <c r="H50449" s="680" t="s">
        <v>6153</v>
      </c>
    </row>
    <row r="50450" spans="8:8">
      <c r="H50450" s="680" t="s">
        <v>6153</v>
      </c>
    </row>
    <row r="50451" spans="8:8">
      <c r="H50451" s="680" t="s">
        <v>6153</v>
      </c>
    </row>
    <row r="50452" spans="8:8">
      <c r="H50452" s="680" t="s">
        <v>6153</v>
      </c>
    </row>
    <row r="50453" spans="8:8">
      <c r="H50453" s="680" t="s">
        <v>6153</v>
      </c>
    </row>
    <row r="50454" spans="8:8">
      <c r="H50454" s="680" t="s">
        <v>6153</v>
      </c>
    </row>
    <row r="50455" spans="8:8">
      <c r="H50455" s="680" t="s">
        <v>6153</v>
      </c>
    </row>
    <row r="50456" spans="8:8">
      <c r="H50456" s="680" t="s">
        <v>6153</v>
      </c>
    </row>
    <row r="50457" spans="8:8">
      <c r="H50457" s="680" t="s">
        <v>6153</v>
      </c>
    </row>
    <row r="50458" spans="8:8">
      <c r="H50458" s="680" t="s">
        <v>6153</v>
      </c>
    </row>
    <row r="50459" spans="8:8">
      <c r="H50459" s="680" t="s">
        <v>6153</v>
      </c>
    </row>
    <row r="50460" spans="8:8">
      <c r="H50460" s="680" t="s">
        <v>6153</v>
      </c>
    </row>
    <row r="50461" spans="8:8">
      <c r="H50461" s="680" t="s">
        <v>6153</v>
      </c>
    </row>
    <row r="50462" spans="8:8">
      <c r="H50462" s="680" t="s">
        <v>6153</v>
      </c>
    </row>
    <row r="50463" spans="8:8">
      <c r="H50463" s="680" t="s">
        <v>6153</v>
      </c>
    </row>
    <row r="50464" spans="8:8">
      <c r="H50464" s="680" t="s">
        <v>6153</v>
      </c>
    </row>
    <row r="50465" spans="8:8">
      <c r="H50465" s="680" t="s">
        <v>6153</v>
      </c>
    </row>
    <row r="50466" spans="8:8">
      <c r="H50466" s="680" t="s">
        <v>6153</v>
      </c>
    </row>
    <row r="50467" spans="8:8">
      <c r="H50467" s="680" t="s">
        <v>6153</v>
      </c>
    </row>
    <row r="50468" spans="8:8">
      <c r="H50468" s="680" t="s">
        <v>6153</v>
      </c>
    </row>
    <row r="50469" spans="8:8">
      <c r="H50469" s="680" t="s">
        <v>6153</v>
      </c>
    </row>
    <row r="50470" spans="8:8">
      <c r="H50470" s="680" t="s">
        <v>6153</v>
      </c>
    </row>
    <row r="50471" spans="8:8">
      <c r="H50471" s="680" t="s">
        <v>6153</v>
      </c>
    </row>
    <row r="50472" spans="8:8">
      <c r="H50472" s="680" t="s">
        <v>6153</v>
      </c>
    </row>
    <row r="50473" spans="8:8">
      <c r="H50473" s="680" t="s">
        <v>6153</v>
      </c>
    </row>
    <row r="50474" spans="8:8">
      <c r="H50474" s="680" t="s">
        <v>6153</v>
      </c>
    </row>
    <row r="50475" spans="8:8">
      <c r="H50475" s="680" t="s">
        <v>6153</v>
      </c>
    </row>
    <row r="50476" spans="8:8">
      <c r="H50476" s="680" t="s">
        <v>6153</v>
      </c>
    </row>
    <row r="50477" spans="8:8">
      <c r="H50477" s="680" t="s">
        <v>6153</v>
      </c>
    </row>
    <row r="50478" spans="8:8">
      <c r="H50478" s="680" t="s">
        <v>6153</v>
      </c>
    </row>
    <row r="50479" spans="8:8">
      <c r="H50479" s="680" t="s">
        <v>6153</v>
      </c>
    </row>
    <row r="50480" spans="8:8">
      <c r="H50480" s="680" t="s">
        <v>6153</v>
      </c>
    </row>
    <row r="50481" spans="8:8">
      <c r="H50481" s="680" t="s">
        <v>6153</v>
      </c>
    </row>
    <row r="50482" spans="8:8">
      <c r="H50482" s="680" t="s">
        <v>6153</v>
      </c>
    </row>
    <row r="50483" spans="8:8">
      <c r="H50483" s="680" t="s">
        <v>6153</v>
      </c>
    </row>
    <row r="50484" spans="8:8">
      <c r="H50484" s="680" t="s">
        <v>6153</v>
      </c>
    </row>
    <row r="50485" spans="8:8">
      <c r="H50485" s="680" t="s">
        <v>6153</v>
      </c>
    </row>
    <row r="50486" spans="8:8">
      <c r="H50486" s="680" t="s">
        <v>6153</v>
      </c>
    </row>
    <row r="50487" spans="8:8">
      <c r="H50487" s="680" t="s">
        <v>6153</v>
      </c>
    </row>
    <row r="50488" spans="8:8">
      <c r="H50488" s="680" t="s">
        <v>6153</v>
      </c>
    </row>
    <row r="50489" spans="8:8">
      <c r="H50489" s="680" t="s">
        <v>6153</v>
      </c>
    </row>
    <row r="50490" spans="8:8">
      <c r="H50490" s="680" t="s">
        <v>6153</v>
      </c>
    </row>
    <row r="50491" spans="8:8">
      <c r="H50491" s="680" t="s">
        <v>6153</v>
      </c>
    </row>
    <row r="50492" spans="8:8">
      <c r="H50492" s="680" t="s">
        <v>6153</v>
      </c>
    </row>
    <row r="50493" spans="8:8">
      <c r="H50493" s="680" t="s">
        <v>6153</v>
      </c>
    </row>
    <row r="50494" spans="8:8">
      <c r="H50494" s="680" t="s">
        <v>6153</v>
      </c>
    </row>
    <row r="50495" spans="8:8">
      <c r="H50495" s="680" t="s">
        <v>6153</v>
      </c>
    </row>
    <row r="50496" spans="8:8">
      <c r="H50496" s="680" t="s">
        <v>6153</v>
      </c>
    </row>
    <row r="50497" spans="8:8">
      <c r="H50497" s="680" t="s">
        <v>6153</v>
      </c>
    </row>
    <row r="50498" spans="8:8">
      <c r="H50498" s="680" t="s">
        <v>6153</v>
      </c>
    </row>
    <row r="50499" spans="8:8">
      <c r="H50499" s="680" t="s">
        <v>6153</v>
      </c>
    </row>
    <row r="50500" spans="8:8">
      <c r="H50500" s="680" t="s">
        <v>6153</v>
      </c>
    </row>
    <row r="50501" spans="8:8">
      <c r="H50501" s="680" t="s">
        <v>6153</v>
      </c>
    </row>
    <row r="50502" spans="8:8">
      <c r="H50502" s="680" t="s">
        <v>6153</v>
      </c>
    </row>
    <row r="50503" spans="8:8">
      <c r="H50503" s="680" t="s">
        <v>6153</v>
      </c>
    </row>
    <row r="50504" spans="8:8">
      <c r="H50504" s="680" t="s">
        <v>6153</v>
      </c>
    </row>
    <row r="50505" spans="8:8">
      <c r="H50505" s="680" t="s">
        <v>6153</v>
      </c>
    </row>
    <row r="50506" spans="8:8">
      <c r="H50506" s="680" t="s">
        <v>6153</v>
      </c>
    </row>
    <row r="50507" spans="8:8">
      <c r="H50507" s="680" t="s">
        <v>6153</v>
      </c>
    </row>
    <row r="50508" spans="8:8">
      <c r="H50508" s="680" t="s">
        <v>6153</v>
      </c>
    </row>
    <row r="50509" spans="8:8">
      <c r="H50509" s="680" t="s">
        <v>6153</v>
      </c>
    </row>
    <row r="50510" spans="8:8">
      <c r="H50510" s="680" t="s">
        <v>6153</v>
      </c>
    </row>
    <row r="50511" spans="8:8">
      <c r="H50511" s="680" t="s">
        <v>6153</v>
      </c>
    </row>
    <row r="50512" spans="8:8">
      <c r="H50512" s="680" t="s">
        <v>6153</v>
      </c>
    </row>
    <row r="50513" spans="8:8">
      <c r="H50513" s="680" t="s">
        <v>6153</v>
      </c>
    </row>
    <row r="50514" spans="8:8">
      <c r="H50514" s="680" t="s">
        <v>6153</v>
      </c>
    </row>
    <row r="50515" spans="8:8">
      <c r="H50515" s="680" t="s">
        <v>6153</v>
      </c>
    </row>
    <row r="50516" spans="8:8">
      <c r="H50516" s="680" t="s">
        <v>6153</v>
      </c>
    </row>
    <row r="50517" spans="8:8">
      <c r="H50517" s="680" t="s">
        <v>6153</v>
      </c>
    </row>
    <row r="50518" spans="8:8">
      <c r="H50518" s="680" t="s">
        <v>6153</v>
      </c>
    </row>
    <row r="50519" spans="8:8">
      <c r="H50519" s="680" t="s">
        <v>6153</v>
      </c>
    </row>
    <row r="50520" spans="8:8">
      <c r="H50520" s="680" t="s">
        <v>6153</v>
      </c>
    </row>
    <row r="50521" spans="8:8">
      <c r="H50521" s="680" t="s">
        <v>6153</v>
      </c>
    </row>
    <row r="50522" spans="8:8">
      <c r="H50522" s="680" t="s">
        <v>6153</v>
      </c>
    </row>
    <row r="50523" spans="8:8">
      <c r="H50523" s="680" t="s">
        <v>6153</v>
      </c>
    </row>
    <row r="50524" spans="8:8">
      <c r="H50524" s="680" t="s">
        <v>6153</v>
      </c>
    </row>
    <row r="50525" spans="8:8">
      <c r="H50525" s="680" t="s">
        <v>6153</v>
      </c>
    </row>
    <row r="50526" spans="8:8">
      <c r="H50526" s="680" t="s">
        <v>6153</v>
      </c>
    </row>
    <row r="50527" spans="8:8">
      <c r="H50527" s="680" t="s">
        <v>6153</v>
      </c>
    </row>
    <row r="50528" spans="8:8">
      <c r="H50528" s="680" t="s">
        <v>6153</v>
      </c>
    </row>
    <row r="50529" spans="8:8">
      <c r="H50529" s="680" t="s">
        <v>6153</v>
      </c>
    </row>
    <row r="50530" spans="8:8">
      <c r="H50530" s="680" t="s">
        <v>6153</v>
      </c>
    </row>
    <row r="50531" spans="8:8">
      <c r="H50531" s="680" t="s">
        <v>6153</v>
      </c>
    </row>
    <row r="50532" spans="8:8">
      <c r="H50532" s="680" t="s">
        <v>6153</v>
      </c>
    </row>
    <row r="50533" spans="8:8">
      <c r="H50533" s="680" t="s">
        <v>6153</v>
      </c>
    </row>
    <row r="50534" spans="8:8">
      <c r="H50534" s="680" t="s">
        <v>6153</v>
      </c>
    </row>
    <row r="50535" spans="8:8">
      <c r="H50535" s="680" t="s">
        <v>6153</v>
      </c>
    </row>
    <row r="50536" spans="8:8">
      <c r="H50536" s="680" t="s">
        <v>6153</v>
      </c>
    </row>
    <row r="50537" spans="8:8">
      <c r="H50537" s="680" t="s">
        <v>6153</v>
      </c>
    </row>
    <row r="50538" spans="8:8">
      <c r="H50538" s="680" t="s">
        <v>6153</v>
      </c>
    </row>
    <row r="50539" spans="8:8">
      <c r="H50539" s="680" t="s">
        <v>6153</v>
      </c>
    </row>
    <row r="50540" spans="8:8">
      <c r="H50540" s="680" t="s">
        <v>6153</v>
      </c>
    </row>
    <row r="50541" spans="8:8">
      <c r="H50541" s="680" t="s">
        <v>6153</v>
      </c>
    </row>
    <row r="50542" spans="8:8">
      <c r="H50542" s="680" t="s">
        <v>6153</v>
      </c>
    </row>
    <row r="50543" spans="8:8">
      <c r="H50543" s="680" t="s">
        <v>6153</v>
      </c>
    </row>
    <row r="50544" spans="8:8">
      <c r="H50544" s="680" t="s">
        <v>6153</v>
      </c>
    </row>
    <row r="50545" spans="8:8">
      <c r="H50545" s="680" t="s">
        <v>6153</v>
      </c>
    </row>
    <row r="50546" spans="8:8">
      <c r="H50546" s="680" t="s">
        <v>6153</v>
      </c>
    </row>
    <row r="50547" spans="8:8">
      <c r="H50547" s="680" t="s">
        <v>6153</v>
      </c>
    </row>
    <row r="50548" spans="8:8">
      <c r="H50548" s="680" t="s">
        <v>6153</v>
      </c>
    </row>
    <row r="50549" spans="8:8">
      <c r="H50549" s="680" t="s">
        <v>6153</v>
      </c>
    </row>
    <row r="50550" spans="8:8">
      <c r="H50550" s="680" t="s">
        <v>6153</v>
      </c>
    </row>
    <row r="50551" spans="8:8">
      <c r="H50551" s="680" t="s">
        <v>6153</v>
      </c>
    </row>
    <row r="50552" spans="8:8">
      <c r="H50552" s="680" t="s">
        <v>6153</v>
      </c>
    </row>
    <row r="50553" spans="8:8">
      <c r="H50553" s="680" t="s">
        <v>6153</v>
      </c>
    </row>
    <row r="50554" spans="8:8">
      <c r="H50554" s="680" t="s">
        <v>6153</v>
      </c>
    </row>
    <row r="50555" spans="8:8">
      <c r="H50555" s="680" t="s">
        <v>6153</v>
      </c>
    </row>
    <row r="50556" spans="8:8">
      <c r="H50556" s="680" t="s">
        <v>6153</v>
      </c>
    </row>
    <row r="50557" spans="8:8">
      <c r="H50557" s="680" t="s">
        <v>6153</v>
      </c>
    </row>
    <row r="50558" spans="8:8">
      <c r="H50558" s="680" t="s">
        <v>6153</v>
      </c>
    </row>
    <row r="50559" spans="8:8">
      <c r="H50559" s="680" t="s">
        <v>6153</v>
      </c>
    </row>
    <row r="50560" spans="8:8">
      <c r="H50560" s="680" t="s">
        <v>6153</v>
      </c>
    </row>
    <row r="50561" spans="8:8">
      <c r="H50561" s="680" t="s">
        <v>6153</v>
      </c>
    </row>
    <row r="50562" spans="8:8">
      <c r="H50562" s="680" t="s">
        <v>6153</v>
      </c>
    </row>
    <row r="50563" spans="8:8">
      <c r="H50563" s="680" t="s">
        <v>6153</v>
      </c>
    </row>
    <row r="50564" spans="8:8">
      <c r="H50564" s="680" t="s">
        <v>6153</v>
      </c>
    </row>
    <row r="50565" spans="8:8">
      <c r="H50565" s="680" t="s">
        <v>6153</v>
      </c>
    </row>
    <row r="50566" spans="8:8">
      <c r="H50566" s="680" t="s">
        <v>6153</v>
      </c>
    </row>
    <row r="50567" spans="8:8">
      <c r="H50567" s="680" t="s">
        <v>6153</v>
      </c>
    </row>
    <row r="50568" spans="8:8">
      <c r="H50568" s="680" t="s">
        <v>6153</v>
      </c>
    </row>
    <row r="50569" spans="8:8">
      <c r="H50569" s="680" t="s">
        <v>6153</v>
      </c>
    </row>
    <row r="50570" spans="8:8">
      <c r="H50570" s="680" t="s">
        <v>6153</v>
      </c>
    </row>
    <row r="50571" spans="8:8">
      <c r="H50571" s="680" t="s">
        <v>6153</v>
      </c>
    </row>
    <row r="50572" spans="8:8">
      <c r="H50572" s="680" t="s">
        <v>6153</v>
      </c>
    </row>
    <row r="50573" spans="8:8">
      <c r="H50573" s="680" t="s">
        <v>6153</v>
      </c>
    </row>
    <row r="50574" spans="8:8">
      <c r="H50574" s="680" t="s">
        <v>6153</v>
      </c>
    </row>
    <row r="50575" spans="8:8">
      <c r="H50575" s="680" t="s">
        <v>6153</v>
      </c>
    </row>
    <row r="50576" spans="8:8">
      <c r="H50576" s="680" t="s">
        <v>6153</v>
      </c>
    </row>
    <row r="50577" spans="8:8">
      <c r="H50577" s="680" t="s">
        <v>6153</v>
      </c>
    </row>
    <row r="50578" spans="8:8">
      <c r="H50578" s="680" t="s">
        <v>6153</v>
      </c>
    </row>
    <row r="50579" spans="8:8">
      <c r="H50579" s="680" t="s">
        <v>6153</v>
      </c>
    </row>
    <row r="50580" spans="8:8">
      <c r="H50580" s="680" t="s">
        <v>6153</v>
      </c>
    </row>
    <row r="50581" spans="8:8">
      <c r="H50581" s="680" t="s">
        <v>6153</v>
      </c>
    </row>
    <row r="50582" spans="8:8">
      <c r="H50582" s="680" t="s">
        <v>6153</v>
      </c>
    </row>
    <row r="50583" spans="8:8">
      <c r="H50583" s="680" t="s">
        <v>6153</v>
      </c>
    </row>
    <row r="50584" spans="8:8">
      <c r="H50584" s="680" t="s">
        <v>6153</v>
      </c>
    </row>
    <row r="50585" spans="8:8">
      <c r="H50585" s="680" t="s">
        <v>6153</v>
      </c>
    </row>
    <row r="50586" spans="8:8">
      <c r="H50586" s="680" t="s">
        <v>6153</v>
      </c>
    </row>
    <row r="50587" spans="8:8">
      <c r="H50587" s="680" t="s">
        <v>6153</v>
      </c>
    </row>
    <row r="50588" spans="8:8">
      <c r="H50588" s="680" t="s">
        <v>6153</v>
      </c>
    </row>
    <row r="50589" spans="8:8">
      <c r="H50589" s="680" t="s">
        <v>6153</v>
      </c>
    </row>
    <row r="50590" spans="8:8">
      <c r="H50590" s="680" t="s">
        <v>6153</v>
      </c>
    </row>
    <row r="50591" spans="8:8">
      <c r="H50591" s="680" t="s">
        <v>6153</v>
      </c>
    </row>
    <row r="50592" spans="8:8">
      <c r="H50592" s="680" t="s">
        <v>6153</v>
      </c>
    </row>
    <row r="50593" spans="8:8">
      <c r="H50593" s="680" t="s">
        <v>6153</v>
      </c>
    </row>
    <row r="50594" spans="8:8">
      <c r="H50594" s="680" t="s">
        <v>6153</v>
      </c>
    </row>
    <row r="50595" spans="8:8">
      <c r="H50595" s="680" t="s">
        <v>6153</v>
      </c>
    </row>
    <row r="50596" spans="8:8">
      <c r="H50596" s="680" t="s">
        <v>6153</v>
      </c>
    </row>
    <row r="50597" spans="8:8">
      <c r="H50597" s="680" t="s">
        <v>6153</v>
      </c>
    </row>
    <row r="50598" spans="8:8">
      <c r="H50598" s="680" t="s">
        <v>6153</v>
      </c>
    </row>
    <row r="50599" spans="8:8">
      <c r="H50599" s="680" t="s">
        <v>6153</v>
      </c>
    </row>
    <row r="50600" spans="8:8">
      <c r="H50600" s="680" t="s">
        <v>6153</v>
      </c>
    </row>
    <row r="50601" spans="8:8">
      <c r="H50601" s="680" t="s">
        <v>6153</v>
      </c>
    </row>
    <row r="50602" spans="8:8">
      <c r="H50602" s="680" t="s">
        <v>6153</v>
      </c>
    </row>
    <row r="50603" spans="8:8">
      <c r="H50603" s="680" t="s">
        <v>6153</v>
      </c>
    </row>
    <row r="50604" spans="8:8">
      <c r="H50604" s="680" t="s">
        <v>6153</v>
      </c>
    </row>
    <row r="50605" spans="8:8">
      <c r="H50605" s="680" t="s">
        <v>6153</v>
      </c>
    </row>
    <row r="50606" spans="8:8">
      <c r="H50606" s="680" t="s">
        <v>6153</v>
      </c>
    </row>
    <row r="50607" spans="8:8">
      <c r="H50607" s="680" t="s">
        <v>6153</v>
      </c>
    </row>
    <row r="50608" spans="8:8">
      <c r="H50608" s="680" t="s">
        <v>6153</v>
      </c>
    </row>
    <row r="50609" spans="8:8">
      <c r="H50609" s="680" t="s">
        <v>6153</v>
      </c>
    </row>
    <row r="50610" spans="8:8">
      <c r="H50610" s="680" t="s">
        <v>6153</v>
      </c>
    </row>
    <row r="50611" spans="8:8">
      <c r="H50611" s="680" t="s">
        <v>6153</v>
      </c>
    </row>
    <row r="50612" spans="8:8">
      <c r="H50612" s="680" t="s">
        <v>6153</v>
      </c>
    </row>
    <row r="50613" spans="8:8">
      <c r="H50613" s="680" t="s">
        <v>6153</v>
      </c>
    </row>
    <row r="50614" spans="8:8">
      <c r="H50614" s="680" t="s">
        <v>6153</v>
      </c>
    </row>
    <row r="50615" spans="8:8">
      <c r="H50615" s="680" t="s">
        <v>6153</v>
      </c>
    </row>
    <row r="50616" spans="8:8">
      <c r="H50616" s="680" t="s">
        <v>6153</v>
      </c>
    </row>
    <row r="50617" spans="8:8">
      <c r="H50617" s="680" t="s">
        <v>6153</v>
      </c>
    </row>
    <row r="50618" spans="8:8">
      <c r="H50618" s="680" t="s">
        <v>6153</v>
      </c>
    </row>
    <row r="50619" spans="8:8">
      <c r="H50619" s="680" t="s">
        <v>6153</v>
      </c>
    </row>
    <row r="50620" spans="8:8">
      <c r="H50620" s="680" t="s">
        <v>6153</v>
      </c>
    </row>
    <row r="50621" spans="8:8">
      <c r="H50621" s="680" t="s">
        <v>6153</v>
      </c>
    </row>
    <row r="50622" spans="8:8">
      <c r="H50622" s="680" t="s">
        <v>6153</v>
      </c>
    </row>
    <row r="50623" spans="8:8">
      <c r="H50623" s="680" t="s">
        <v>6153</v>
      </c>
    </row>
    <row r="50624" spans="8:8">
      <c r="H50624" s="680" t="s">
        <v>6153</v>
      </c>
    </row>
    <row r="50625" spans="8:8">
      <c r="H50625" s="680" t="s">
        <v>6153</v>
      </c>
    </row>
    <row r="50626" spans="8:8">
      <c r="H50626" s="680" t="s">
        <v>6153</v>
      </c>
    </row>
    <row r="50627" spans="8:8">
      <c r="H50627" s="680" t="s">
        <v>6153</v>
      </c>
    </row>
    <row r="50628" spans="8:8">
      <c r="H50628" s="680" t="s">
        <v>6153</v>
      </c>
    </row>
    <row r="50629" spans="8:8">
      <c r="H50629" s="680" t="s">
        <v>6153</v>
      </c>
    </row>
    <row r="50630" spans="8:8">
      <c r="H50630" s="680" t="s">
        <v>6153</v>
      </c>
    </row>
    <row r="50631" spans="8:8">
      <c r="H50631" s="680" t="s">
        <v>6153</v>
      </c>
    </row>
    <row r="50632" spans="8:8">
      <c r="H50632" s="680" t="s">
        <v>6153</v>
      </c>
    </row>
    <row r="50633" spans="8:8">
      <c r="H50633" s="680" t="s">
        <v>6153</v>
      </c>
    </row>
    <row r="50634" spans="8:8">
      <c r="H50634" s="680" t="s">
        <v>6153</v>
      </c>
    </row>
    <row r="50635" spans="8:8">
      <c r="H50635" s="680" t="s">
        <v>6153</v>
      </c>
    </row>
    <row r="50636" spans="8:8">
      <c r="H50636" s="680" t="s">
        <v>6153</v>
      </c>
    </row>
    <row r="50637" spans="8:8">
      <c r="H50637" s="680" t="s">
        <v>6153</v>
      </c>
    </row>
    <row r="50638" spans="8:8">
      <c r="H50638" s="680" t="s">
        <v>6153</v>
      </c>
    </row>
    <row r="50639" spans="8:8">
      <c r="H50639" s="680" t="s">
        <v>6153</v>
      </c>
    </row>
    <row r="50640" spans="8:8">
      <c r="H50640" s="680" t="s">
        <v>6153</v>
      </c>
    </row>
    <row r="50641" spans="8:8">
      <c r="H50641" s="680" t="s">
        <v>6153</v>
      </c>
    </row>
    <row r="50642" spans="8:8">
      <c r="H50642" s="680" t="s">
        <v>6153</v>
      </c>
    </row>
    <row r="50643" spans="8:8">
      <c r="H50643" s="680" t="s">
        <v>6153</v>
      </c>
    </row>
    <row r="50644" spans="8:8">
      <c r="H50644" s="680" t="s">
        <v>6153</v>
      </c>
    </row>
    <row r="50645" spans="8:8">
      <c r="H50645" s="680" t="s">
        <v>6153</v>
      </c>
    </row>
    <row r="50646" spans="8:8">
      <c r="H50646" s="680" t="s">
        <v>6153</v>
      </c>
    </row>
    <row r="50647" spans="8:8">
      <c r="H50647" s="680" t="s">
        <v>6153</v>
      </c>
    </row>
    <row r="50648" spans="8:8">
      <c r="H50648" s="680" t="s">
        <v>6153</v>
      </c>
    </row>
    <row r="50649" spans="8:8">
      <c r="H50649" s="680" t="s">
        <v>6153</v>
      </c>
    </row>
    <row r="50650" spans="8:8">
      <c r="H50650" s="680" t="s">
        <v>6153</v>
      </c>
    </row>
    <row r="50651" spans="8:8">
      <c r="H50651" s="680" t="s">
        <v>6153</v>
      </c>
    </row>
    <row r="50652" spans="8:8">
      <c r="H50652" s="680" t="s">
        <v>6153</v>
      </c>
    </row>
    <row r="50653" spans="8:8">
      <c r="H50653" s="680" t="s">
        <v>6153</v>
      </c>
    </row>
    <row r="50654" spans="8:8">
      <c r="H50654" s="680" t="s">
        <v>6153</v>
      </c>
    </row>
    <row r="50655" spans="8:8">
      <c r="H50655" s="680" t="s">
        <v>6153</v>
      </c>
    </row>
    <row r="50656" spans="8:8">
      <c r="H50656" s="680" t="s">
        <v>6153</v>
      </c>
    </row>
    <row r="50657" spans="8:8">
      <c r="H50657" s="680" t="s">
        <v>6153</v>
      </c>
    </row>
    <row r="50658" spans="8:8">
      <c r="H50658" s="680" t="s">
        <v>6153</v>
      </c>
    </row>
    <row r="50659" spans="8:8">
      <c r="H50659" s="680" t="s">
        <v>6153</v>
      </c>
    </row>
    <row r="50660" spans="8:8">
      <c r="H50660" s="680" t="s">
        <v>6153</v>
      </c>
    </row>
    <row r="50661" spans="8:8">
      <c r="H50661" s="680" t="s">
        <v>6153</v>
      </c>
    </row>
    <row r="50662" spans="8:8">
      <c r="H50662" s="680" t="s">
        <v>6153</v>
      </c>
    </row>
    <row r="50663" spans="8:8">
      <c r="H50663" s="680" t="s">
        <v>6153</v>
      </c>
    </row>
    <row r="50664" spans="8:8">
      <c r="H50664" s="680" t="s">
        <v>6153</v>
      </c>
    </row>
    <row r="50665" spans="8:8">
      <c r="H50665" s="680" t="s">
        <v>6153</v>
      </c>
    </row>
    <row r="50666" spans="8:8">
      <c r="H50666" s="680" t="s">
        <v>6153</v>
      </c>
    </row>
    <row r="50667" spans="8:8">
      <c r="H50667" s="680" t="s">
        <v>6153</v>
      </c>
    </row>
    <row r="50668" spans="8:8">
      <c r="H50668" s="680" t="s">
        <v>6153</v>
      </c>
    </row>
    <row r="50669" spans="8:8">
      <c r="H50669" s="680" t="s">
        <v>6153</v>
      </c>
    </row>
    <row r="50670" spans="8:8">
      <c r="H50670" s="680" t="s">
        <v>6153</v>
      </c>
    </row>
    <row r="50671" spans="8:8">
      <c r="H50671" s="680" t="s">
        <v>6153</v>
      </c>
    </row>
    <row r="50672" spans="8:8">
      <c r="H50672" s="680" t="s">
        <v>6153</v>
      </c>
    </row>
    <row r="50673" spans="8:8">
      <c r="H50673" s="680" t="s">
        <v>6153</v>
      </c>
    </row>
    <row r="50674" spans="8:8">
      <c r="H50674" s="680" t="s">
        <v>6153</v>
      </c>
    </row>
    <row r="50675" spans="8:8">
      <c r="H50675" s="680" t="s">
        <v>6153</v>
      </c>
    </row>
    <row r="50676" spans="8:8">
      <c r="H50676" s="680" t="s">
        <v>6153</v>
      </c>
    </row>
    <row r="50677" spans="8:8">
      <c r="H50677" s="680" t="s">
        <v>6153</v>
      </c>
    </row>
    <row r="50678" spans="8:8">
      <c r="H50678" s="680" t="s">
        <v>6153</v>
      </c>
    </row>
    <row r="50679" spans="8:8">
      <c r="H50679" s="680" t="s">
        <v>6153</v>
      </c>
    </row>
    <row r="50680" spans="8:8">
      <c r="H50680" s="680" t="s">
        <v>6153</v>
      </c>
    </row>
    <row r="50681" spans="8:8">
      <c r="H50681" s="680" t="s">
        <v>6153</v>
      </c>
    </row>
    <row r="50682" spans="8:8">
      <c r="H50682" s="680" t="s">
        <v>6153</v>
      </c>
    </row>
    <row r="50683" spans="8:8">
      <c r="H50683" s="680" t="s">
        <v>6153</v>
      </c>
    </row>
    <row r="50684" spans="8:8">
      <c r="H50684" s="680" t="s">
        <v>6153</v>
      </c>
    </row>
    <row r="50685" spans="8:8">
      <c r="H50685" s="680" t="s">
        <v>6153</v>
      </c>
    </row>
    <row r="50686" spans="8:8">
      <c r="H50686" s="680" t="s">
        <v>6153</v>
      </c>
    </row>
    <row r="50687" spans="8:8">
      <c r="H50687" s="680" t="s">
        <v>6153</v>
      </c>
    </row>
    <row r="50688" spans="8:8">
      <c r="H50688" s="680" t="s">
        <v>6153</v>
      </c>
    </row>
    <row r="50689" spans="8:8">
      <c r="H50689" s="680" t="s">
        <v>6153</v>
      </c>
    </row>
    <row r="50690" spans="8:8">
      <c r="H50690" s="680" t="s">
        <v>6153</v>
      </c>
    </row>
    <row r="50691" spans="8:8">
      <c r="H50691" s="680" t="s">
        <v>6153</v>
      </c>
    </row>
    <row r="50692" spans="8:8">
      <c r="H50692" s="680" t="s">
        <v>6153</v>
      </c>
    </row>
    <row r="50693" spans="8:8">
      <c r="H50693" s="680" t="s">
        <v>6153</v>
      </c>
    </row>
    <row r="50694" spans="8:8">
      <c r="H50694" s="680" t="s">
        <v>6153</v>
      </c>
    </row>
    <row r="50695" spans="8:8">
      <c r="H50695" s="680" t="s">
        <v>6153</v>
      </c>
    </row>
    <row r="50696" spans="8:8">
      <c r="H50696" s="680" t="s">
        <v>6153</v>
      </c>
    </row>
    <row r="50697" spans="8:8">
      <c r="H50697" s="680" t="s">
        <v>6153</v>
      </c>
    </row>
    <row r="50698" spans="8:8">
      <c r="H50698" s="680" t="s">
        <v>6153</v>
      </c>
    </row>
    <row r="50699" spans="8:8">
      <c r="H50699" s="680" t="s">
        <v>6153</v>
      </c>
    </row>
    <row r="50700" spans="8:8">
      <c r="H50700" s="680" t="s">
        <v>6153</v>
      </c>
    </row>
    <row r="50701" spans="8:8">
      <c r="H50701" s="680" t="s">
        <v>6153</v>
      </c>
    </row>
    <row r="50702" spans="8:8">
      <c r="H50702" s="680" t="s">
        <v>6153</v>
      </c>
    </row>
    <row r="50703" spans="8:8">
      <c r="H50703" s="680" t="s">
        <v>6153</v>
      </c>
    </row>
    <row r="50704" spans="8:8">
      <c r="H50704" s="680" t="s">
        <v>6153</v>
      </c>
    </row>
    <row r="50705" spans="8:8">
      <c r="H50705" s="680" t="s">
        <v>6153</v>
      </c>
    </row>
    <row r="50706" spans="8:8">
      <c r="H50706" s="680" t="s">
        <v>6153</v>
      </c>
    </row>
    <row r="50707" spans="8:8">
      <c r="H50707" s="680" t="s">
        <v>6153</v>
      </c>
    </row>
    <row r="50708" spans="8:8">
      <c r="H50708" s="680" t="s">
        <v>6153</v>
      </c>
    </row>
    <row r="50709" spans="8:8">
      <c r="H50709" s="680" t="s">
        <v>6153</v>
      </c>
    </row>
    <row r="50710" spans="8:8">
      <c r="H50710" s="680" t="s">
        <v>6153</v>
      </c>
    </row>
    <row r="50711" spans="8:8">
      <c r="H50711" s="680" t="s">
        <v>6153</v>
      </c>
    </row>
    <row r="50712" spans="8:8">
      <c r="H50712" s="680" t="s">
        <v>6153</v>
      </c>
    </row>
    <row r="50713" spans="8:8">
      <c r="H50713" s="680" t="s">
        <v>6153</v>
      </c>
    </row>
    <row r="50714" spans="8:8">
      <c r="H50714" s="680" t="s">
        <v>6153</v>
      </c>
    </row>
    <row r="50715" spans="8:8">
      <c r="H50715" s="680" t="s">
        <v>6153</v>
      </c>
    </row>
    <row r="50716" spans="8:8">
      <c r="H50716" s="680" t="s">
        <v>6153</v>
      </c>
    </row>
    <row r="50717" spans="8:8">
      <c r="H50717" s="680" t="s">
        <v>6153</v>
      </c>
    </row>
    <row r="50718" spans="8:8">
      <c r="H50718" s="680" t="s">
        <v>6153</v>
      </c>
    </row>
    <row r="50719" spans="8:8">
      <c r="H50719" s="680" t="s">
        <v>6153</v>
      </c>
    </row>
    <row r="50720" spans="8:8">
      <c r="H50720" s="680" t="s">
        <v>6153</v>
      </c>
    </row>
    <row r="50721" spans="8:8">
      <c r="H50721" s="680" t="s">
        <v>6153</v>
      </c>
    </row>
    <row r="50722" spans="8:8">
      <c r="H50722" s="680" t="s">
        <v>6153</v>
      </c>
    </row>
    <row r="50723" spans="8:8">
      <c r="H50723" s="680" t="s">
        <v>6153</v>
      </c>
    </row>
    <row r="50724" spans="8:8">
      <c r="H50724" s="680" t="s">
        <v>6153</v>
      </c>
    </row>
    <row r="50725" spans="8:8">
      <c r="H50725" s="680" t="s">
        <v>6153</v>
      </c>
    </row>
    <row r="50726" spans="8:8">
      <c r="H50726" s="680" t="s">
        <v>6153</v>
      </c>
    </row>
    <row r="50727" spans="8:8">
      <c r="H50727" s="680" t="s">
        <v>6153</v>
      </c>
    </row>
    <row r="50728" spans="8:8">
      <c r="H50728" s="680" t="s">
        <v>6153</v>
      </c>
    </row>
    <row r="50729" spans="8:8">
      <c r="H50729" s="680" t="s">
        <v>6153</v>
      </c>
    </row>
    <row r="50730" spans="8:8">
      <c r="H50730" s="680" t="s">
        <v>6153</v>
      </c>
    </row>
    <row r="50731" spans="8:8">
      <c r="H50731" s="680" t="s">
        <v>6153</v>
      </c>
    </row>
    <row r="50732" spans="8:8">
      <c r="H50732" s="680" t="s">
        <v>6153</v>
      </c>
    </row>
    <row r="50733" spans="8:8">
      <c r="H50733" s="680" t="s">
        <v>6153</v>
      </c>
    </row>
    <row r="50734" spans="8:8">
      <c r="H50734" s="680" t="s">
        <v>6153</v>
      </c>
    </row>
    <row r="50735" spans="8:8">
      <c r="H50735" s="680" t="s">
        <v>6153</v>
      </c>
    </row>
    <row r="50736" spans="8:8">
      <c r="H50736" s="680" t="s">
        <v>6153</v>
      </c>
    </row>
    <row r="50737" spans="8:8">
      <c r="H50737" s="680" t="s">
        <v>6153</v>
      </c>
    </row>
    <row r="50738" spans="8:8">
      <c r="H50738" s="680" t="s">
        <v>6153</v>
      </c>
    </row>
    <row r="50739" spans="8:8">
      <c r="H50739" s="680" t="s">
        <v>6153</v>
      </c>
    </row>
    <row r="50740" spans="8:8">
      <c r="H50740" s="680" t="s">
        <v>6153</v>
      </c>
    </row>
    <row r="50741" spans="8:8">
      <c r="H50741" s="680" t="s">
        <v>6153</v>
      </c>
    </row>
    <row r="50742" spans="8:8">
      <c r="H50742" s="680" t="s">
        <v>6153</v>
      </c>
    </row>
    <row r="50743" spans="8:8">
      <c r="H50743" s="680" t="s">
        <v>6153</v>
      </c>
    </row>
    <row r="50744" spans="8:8">
      <c r="H50744" s="680" t="s">
        <v>6153</v>
      </c>
    </row>
    <row r="50745" spans="8:8">
      <c r="H50745" s="680" t="s">
        <v>6153</v>
      </c>
    </row>
    <row r="50746" spans="8:8">
      <c r="H50746" s="680" t="s">
        <v>6153</v>
      </c>
    </row>
    <row r="50747" spans="8:8">
      <c r="H50747" s="680" t="s">
        <v>6153</v>
      </c>
    </row>
    <row r="50748" spans="8:8">
      <c r="H50748" s="680" t="s">
        <v>6153</v>
      </c>
    </row>
    <row r="50749" spans="8:8">
      <c r="H50749" s="680" t="s">
        <v>6153</v>
      </c>
    </row>
    <row r="50750" spans="8:8">
      <c r="H50750" s="680" t="s">
        <v>6153</v>
      </c>
    </row>
    <row r="50751" spans="8:8">
      <c r="H50751" s="680" t="s">
        <v>6153</v>
      </c>
    </row>
    <row r="50752" spans="8:8">
      <c r="H50752" s="680" t="s">
        <v>6153</v>
      </c>
    </row>
    <row r="50753" spans="8:8">
      <c r="H50753" s="680" t="s">
        <v>6153</v>
      </c>
    </row>
    <row r="50754" spans="8:8">
      <c r="H50754" s="680" t="s">
        <v>6153</v>
      </c>
    </row>
    <row r="50755" spans="8:8">
      <c r="H50755" s="680" t="s">
        <v>6153</v>
      </c>
    </row>
    <row r="50756" spans="8:8">
      <c r="H50756" s="680" t="s">
        <v>6153</v>
      </c>
    </row>
    <row r="50757" spans="8:8">
      <c r="H50757" s="680" t="s">
        <v>6153</v>
      </c>
    </row>
    <row r="50758" spans="8:8">
      <c r="H50758" s="680" t="s">
        <v>6153</v>
      </c>
    </row>
    <row r="50759" spans="8:8">
      <c r="H50759" s="680" t="s">
        <v>6153</v>
      </c>
    </row>
    <row r="50760" spans="8:8">
      <c r="H50760" s="680" t="s">
        <v>6153</v>
      </c>
    </row>
    <row r="50761" spans="8:8">
      <c r="H50761" s="680" t="s">
        <v>6153</v>
      </c>
    </row>
    <row r="50762" spans="8:8">
      <c r="H50762" s="680" t="s">
        <v>6153</v>
      </c>
    </row>
    <row r="50763" spans="8:8">
      <c r="H50763" s="680" t="s">
        <v>6153</v>
      </c>
    </row>
    <row r="50764" spans="8:8">
      <c r="H50764" s="680" t="s">
        <v>6153</v>
      </c>
    </row>
    <row r="50765" spans="8:8">
      <c r="H50765" s="680" t="s">
        <v>6153</v>
      </c>
    </row>
    <row r="50766" spans="8:8">
      <c r="H50766" s="680" t="s">
        <v>6153</v>
      </c>
    </row>
    <row r="50767" spans="8:8">
      <c r="H50767" s="680" t="s">
        <v>6153</v>
      </c>
    </row>
    <row r="50768" spans="8:8">
      <c r="H50768" s="680" t="s">
        <v>6153</v>
      </c>
    </row>
    <row r="50769" spans="8:8">
      <c r="H50769" s="680" t="s">
        <v>6153</v>
      </c>
    </row>
    <row r="50770" spans="8:8">
      <c r="H50770" s="680" t="s">
        <v>6153</v>
      </c>
    </row>
    <row r="50771" spans="8:8">
      <c r="H50771" s="680" t="s">
        <v>6153</v>
      </c>
    </row>
    <row r="50772" spans="8:8">
      <c r="H50772" s="680" t="s">
        <v>6153</v>
      </c>
    </row>
    <row r="50773" spans="8:8">
      <c r="H50773" s="680" t="s">
        <v>6153</v>
      </c>
    </row>
    <row r="50774" spans="8:8">
      <c r="H50774" s="680" t="s">
        <v>6153</v>
      </c>
    </row>
    <row r="50775" spans="8:8">
      <c r="H50775" s="680" t="s">
        <v>6153</v>
      </c>
    </row>
    <row r="50776" spans="8:8">
      <c r="H50776" s="680" t="s">
        <v>6153</v>
      </c>
    </row>
    <row r="50777" spans="8:8">
      <c r="H50777" s="680" t="s">
        <v>6153</v>
      </c>
    </row>
    <row r="50778" spans="8:8">
      <c r="H50778" s="680" t="s">
        <v>6153</v>
      </c>
    </row>
    <row r="50779" spans="8:8">
      <c r="H50779" s="680" t="s">
        <v>6153</v>
      </c>
    </row>
    <row r="50780" spans="8:8">
      <c r="H50780" s="680" t="s">
        <v>6153</v>
      </c>
    </row>
    <row r="50781" spans="8:8">
      <c r="H50781" s="680" t="s">
        <v>6153</v>
      </c>
    </row>
    <row r="50782" spans="8:8">
      <c r="H50782" s="680" t="s">
        <v>6153</v>
      </c>
    </row>
    <row r="50783" spans="8:8">
      <c r="H50783" s="680" t="s">
        <v>6153</v>
      </c>
    </row>
    <row r="50784" spans="8:8">
      <c r="H50784" s="680" t="s">
        <v>6153</v>
      </c>
    </row>
    <row r="50785" spans="8:8">
      <c r="H50785" s="680" t="s">
        <v>6153</v>
      </c>
    </row>
    <row r="50786" spans="8:8">
      <c r="H50786" s="680" t="s">
        <v>6153</v>
      </c>
    </row>
    <row r="50787" spans="8:8">
      <c r="H50787" s="680" t="s">
        <v>6153</v>
      </c>
    </row>
    <row r="50788" spans="8:8">
      <c r="H50788" s="680" t="s">
        <v>6153</v>
      </c>
    </row>
    <row r="50789" spans="8:8">
      <c r="H50789" s="680" t="s">
        <v>6153</v>
      </c>
    </row>
    <row r="50790" spans="8:8">
      <c r="H50790" s="680" t="s">
        <v>6153</v>
      </c>
    </row>
    <row r="50791" spans="8:8">
      <c r="H50791" s="680" t="s">
        <v>6153</v>
      </c>
    </row>
    <row r="50792" spans="8:8">
      <c r="H50792" s="680" t="s">
        <v>6153</v>
      </c>
    </row>
    <row r="50793" spans="8:8">
      <c r="H50793" s="680" t="s">
        <v>6153</v>
      </c>
    </row>
    <row r="50794" spans="8:8">
      <c r="H50794" s="680" t="s">
        <v>6153</v>
      </c>
    </row>
    <row r="50795" spans="8:8">
      <c r="H50795" s="680" t="s">
        <v>6153</v>
      </c>
    </row>
    <row r="50796" spans="8:8">
      <c r="H50796" s="680" t="s">
        <v>6153</v>
      </c>
    </row>
    <row r="50797" spans="8:8">
      <c r="H50797" s="680" t="s">
        <v>6153</v>
      </c>
    </row>
    <row r="50798" spans="8:8">
      <c r="H50798" s="680" t="s">
        <v>6153</v>
      </c>
    </row>
    <row r="50799" spans="8:8">
      <c r="H50799" s="680" t="s">
        <v>6153</v>
      </c>
    </row>
    <row r="50800" spans="8:8">
      <c r="H50800" s="680" t="s">
        <v>6153</v>
      </c>
    </row>
    <row r="50801" spans="8:8">
      <c r="H50801" s="680" t="s">
        <v>6153</v>
      </c>
    </row>
    <row r="50802" spans="8:8">
      <c r="H50802" s="680" t="s">
        <v>6153</v>
      </c>
    </row>
    <row r="50803" spans="8:8">
      <c r="H50803" s="680" t="s">
        <v>6153</v>
      </c>
    </row>
    <row r="50804" spans="8:8">
      <c r="H50804" s="680" t="s">
        <v>6153</v>
      </c>
    </row>
    <row r="50805" spans="8:8">
      <c r="H50805" s="680" t="s">
        <v>6153</v>
      </c>
    </row>
    <row r="50806" spans="8:8">
      <c r="H50806" s="680" t="s">
        <v>6153</v>
      </c>
    </row>
    <row r="50807" spans="8:8">
      <c r="H50807" s="680" t="s">
        <v>6153</v>
      </c>
    </row>
    <row r="50808" spans="8:8">
      <c r="H50808" s="680" t="s">
        <v>6153</v>
      </c>
    </row>
    <row r="50809" spans="8:8">
      <c r="H50809" s="680" t="s">
        <v>6153</v>
      </c>
    </row>
    <row r="50810" spans="8:8">
      <c r="H50810" s="680" t="s">
        <v>6153</v>
      </c>
    </row>
    <row r="50811" spans="8:8">
      <c r="H50811" s="680" t="s">
        <v>6153</v>
      </c>
    </row>
    <row r="50812" spans="8:8">
      <c r="H50812" s="680" t="s">
        <v>6153</v>
      </c>
    </row>
    <row r="50813" spans="8:8">
      <c r="H50813" s="680" t="s">
        <v>6153</v>
      </c>
    </row>
    <row r="50814" spans="8:8">
      <c r="H50814" s="680" t="s">
        <v>6153</v>
      </c>
    </row>
    <row r="50815" spans="8:8">
      <c r="H50815" s="680" t="s">
        <v>6153</v>
      </c>
    </row>
    <row r="50816" spans="8:8">
      <c r="H50816" s="680" t="s">
        <v>6153</v>
      </c>
    </row>
    <row r="50817" spans="8:8">
      <c r="H50817" s="680" t="s">
        <v>6153</v>
      </c>
    </row>
    <row r="50818" spans="8:8">
      <c r="H50818" s="680" t="s">
        <v>6153</v>
      </c>
    </row>
    <row r="50819" spans="8:8">
      <c r="H50819" s="680" t="s">
        <v>6153</v>
      </c>
    </row>
    <row r="50820" spans="8:8">
      <c r="H50820" s="680" t="s">
        <v>6153</v>
      </c>
    </row>
    <row r="50821" spans="8:8">
      <c r="H50821" s="680" t="s">
        <v>6153</v>
      </c>
    </row>
    <row r="50822" spans="8:8">
      <c r="H50822" s="680" t="s">
        <v>6153</v>
      </c>
    </row>
    <row r="50823" spans="8:8">
      <c r="H50823" s="680" t="s">
        <v>6153</v>
      </c>
    </row>
    <row r="50824" spans="8:8">
      <c r="H50824" s="680" t="s">
        <v>6153</v>
      </c>
    </row>
    <row r="50825" spans="8:8">
      <c r="H50825" s="680" t="s">
        <v>6153</v>
      </c>
    </row>
    <row r="50826" spans="8:8">
      <c r="H50826" s="680" t="s">
        <v>6153</v>
      </c>
    </row>
    <row r="50827" spans="8:8">
      <c r="H50827" s="680" t="s">
        <v>6153</v>
      </c>
    </row>
    <row r="50828" spans="8:8">
      <c r="H50828" s="680" t="s">
        <v>6153</v>
      </c>
    </row>
    <row r="50829" spans="8:8">
      <c r="H50829" s="680" t="s">
        <v>6153</v>
      </c>
    </row>
    <row r="50830" spans="8:8">
      <c r="H50830" s="680" t="s">
        <v>6153</v>
      </c>
    </row>
    <row r="50831" spans="8:8">
      <c r="H50831" s="680" t="s">
        <v>6153</v>
      </c>
    </row>
    <row r="50832" spans="8:8">
      <c r="H50832" s="680" t="s">
        <v>6153</v>
      </c>
    </row>
    <row r="50833" spans="8:8">
      <c r="H50833" s="680" t="s">
        <v>6153</v>
      </c>
    </row>
    <row r="50834" spans="8:8">
      <c r="H50834" s="680" t="s">
        <v>6153</v>
      </c>
    </row>
    <row r="50835" spans="8:8">
      <c r="H50835" s="680" t="s">
        <v>6153</v>
      </c>
    </row>
    <row r="50836" spans="8:8">
      <c r="H50836" s="680" t="s">
        <v>6153</v>
      </c>
    </row>
    <row r="50837" spans="8:8">
      <c r="H50837" s="680" t="s">
        <v>6153</v>
      </c>
    </row>
    <row r="50838" spans="8:8">
      <c r="H50838" s="680" t="s">
        <v>6153</v>
      </c>
    </row>
    <row r="50839" spans="8:8">
      <c r="H50839" s="680" t="s">
        <v>6153</v>
      </c>
    </row>
    <row r="50840" spans="8:8">
      <c r="H50840" s="680" t="s">
        <v>6153</v>
      </c>
    </row>
    <row r="50841" spans="8:8">
      <c r="H50841" s="680" t="s">
        <v>6153</v>
      </c>
    </row>
    <row r="50842" spans="8:8">
      <c r="H50842" s="680" t="s">
        <v>6153</v>
      </c>
    </row>
    <row r="50843" spans="8:8">
      <c r="H50843" s="680" t="s">
        <v>6153</v>
      </c>
    </row>
    <row r="50844" spans="8:8">
      <c r="H50844" s="680" t="s">
        <v>6153</v>
      </c>
    </row>
    <row r="50845" spans="8:8">
      <c r="H50845" s="680" t="s">
        <v>6153</v>
      </c>
    </row>
    <row r="50846" spans="8:8">
      <c r="H50846" s="680" t="s">
        <v>6153</v>
      </c>
    </row>
    <row r="50847" spans="8:8">
      <c r="H50847" s="680" t="s">
        <v>6153</v>
      </c>
    </row>
    <row r="50848" spans="8:8">
      <c r="H50848" s="680" t="s">
        <v>6153</v>
      </c>
    </row>
    <row r="50849" spans="8:8">
      <c r="H50849" s="680" t="s">
        <v>6153</v>
      </c>
    </row>
    <row r="50850" spans="8:8">
      <c r="H50850" s="680" t="s">
        <v>6153</v>
      </c>
    </row>
    <row r="50851" spans="8:8">
      <c r="H50851" s="680" t="s">
        <v>6153</v>
      </c>
    </row>
    <row r="50852" spans="8:8">
      <c r="H50852" s="680" t="s">
        <v>6153</v>
      </c>
    </row>
    <row r="50853" spans="8:8">
      <c r="H50853" s="680" t="s">
        <v>6153</v>
      </c>
    </row>
    <row r="50854" spans="8:8">
      <c r="H50854" s="680" t="s">
        <v>6153</v>
      </c>
    </row>
    <row r="50855" spans="8:8">
      <c r="H50855" s="680" t="s">
        <v>6153</v>
      </c>
    </row>
    <row r="50856" spans="8:8">
      <c r="H50856" s="680" t="s">
        <v>6153</v>
      </c>
    </row>
    <row r="50857" spans="8:8">
      <c r="H50857" s="680" t="s">
        <v>6153</v>
      </c>
    </row>
    <row r="50858" spans="8:8">
      <c r="H50858" s="680" t="s">
        <v>6153</v>
      </c>
    </row>
    <row r="50859" spans="8:8">
      <c r="H50859" s="680" t="s">
        <v>6153</v>
      </c>
    </row>
    <row r="50860" spans="8:8">
      <c r="H50860" s="680" t="s">
        <v>6153</v>
      </c>
    </row>
    <row r="50861" spans="8:8">
      <c r="H50861" s="680" t="s">
        <v>6153</v>
      </c>
    </row>
    <row r="50862" spans="8:8">
      <c r="H50862" s="680" t="s">
        <v>6153</v>
      </c>
    </row>
    <row r="50863" spans="8:8">
      <c r="H50863" s="680" t="s">
        <v>6153</v>
      </c>
    </row>
    <row r="50864" spans="8:8">
      <c r="H50864" s="680" t="s">
        <v>6153</v>
      </c>
    </row>
    <row r="50865" spans="8:8">
      <c r="H50865" s="680" t="s">
        <v>6153</v>
      </c>
    </row>
    <row r="50866" spans="8:8">
      <c r="H50866" s="680" t="s">
        <v>6153</v>
      </c>
    </row>
    <row r="50867" spans="8:8">
      <c r="H50867" s="680" t="s">
        <v>6153</v>
      </c>
    </row>
    <row r="50868" spans="8:8">
      <c r="H50868" s="680" t="s">
        <v>6153</v>
      </c>
    </row>
    <row r="50869" spans="8:8">
      <c r="H50869" s="680" t="s">
        <v>6153</v>
      </c>
    </row>
    <row r="50870" spans="8:8">
      <c r="H50870" s="680" t="s">
        <v>6153</v>
      </c>
    </row>
    <row r="50871" spans="8:8">
      <c r="H50871" s="680" t="s">
        <v>6153</v>
      </c>
    </row>
    <row r="50872" spans="8:8">
      <c r="H50872" s="680" t="s">
        <v>6153</v>
      </c>
    </row>
    <row r="50873" spans="8:8">
      <c r="H50873" s="680" t="s">
        <v>6153</v>
      </c>
    </row>
    <row r="50874" spans="8:8">
      <c r="H50874" s="680" t="s">
        <v>6153</v>
      </c>
    </row>
    <row r="50875" spans="8:8">
      <c r="H50875" s="680" t="s">
        <v>6153</v>
      </c>
    </row>
    <row r="50876" spans="8:8">
      <c r="H50876" s="680" t="s">
        <v>6153</v>
      </c>
    </row>
    <row r="50877" spans="8:8">
      <c r="H50877" s="680" t="s">
        <v>6153</v>
      </c>
    </row>
    <row r="50878" spans="8:8">
      <c r="H50878" s="680" t="s">
        <v>6153</v>
      </c>
    </row>
    <row r="50879" spans="8:8">
      <c r="H50879" s="680" t="s">
        <v>6153</v>
      </c>
    </row>
    <row r="50880" spans="8:8">
      <c r="H50880" s="680" t="s">
        <v>6153</v>
      </c>
    </row>
    <row r="50881" spans="8:8">
      <c r="H50881" s="680" t="s">
        <v>6153</v>
      </c>
    </row>
    <row r="50882" spans="8:8">
      <c r="H50882" s="680" t="s">
        <v>6153</v>
      </c>
    </row>
    <row r="50883" spans="8:8">
      <c r="H50883" s="680" t="s">
        <v>6153</v>
      </c>
    </row>
    <row r="50884" spans="8:8">
      <c r="H50884" s="680" t="s">
        <v>6153</v>
      </c>
    </row>
    <row r="50885" spans="8:8">
      <c r="H50885" s="680" t="s">
        <v>6153</v>
      </c>
    </row>
    <row r="50886" spans="8:8">
      <c r="H50886" s="680" t="s">
        <v>6153</v>
      </c>
    </row>
    <row r="50887" spans="8:8">
      <c r="H50887" s="680" t="s">
        <v>6153</v>
      </c>
    </row>
    <row r="50888" spans="8:8">
      <c r="H50888" s="680" t="s">
        <v>6153</v>
      </c>
    </row>
    <row r="50889" spans="8:8">
      <c r="H50889" s="680" t="s">
        <v>6153</v>
      </c>
    </row>
    <row r="50890" spans="8:8">
      <c r="H50890" s="680" t="s">
        <v>6153</v>
      </c>
    </row>
    <row r="50891" spans="8:8">
      <c r="H50891" s="680" t="s">
        <v>6153</v>
      </c>
    </row>
    <row r="50892" spans="8:8">
      <c r="H50892" s="680" t="s">
        <v>6153</v>
      </c>
    </row>
    <row r="50893" spans="8:8">
      <c r="H50893" s="680" t="s">
        <v>6153</v>
      </c>
    </row>
    <row r="50894" spans="8:8">
      <c r="H50894" s="680" t="s">
        <v>6153</v>
      </c>
    </row>
    <row r="50895" spans="8:8">
      <c r="H50895" s="680" t="s">
        <v>6153</v>
      </c>
    </row>
    <row r="50896" spans="8:8">
      <c r="H50896" s="680" t="s">
        <v>6153</v>
      </c>
    </row>
    <row r="50897" spans="8:8">
      <c r="H50897" s="680" t="s">
        <v>6153</v>
      </c>
    </row>
    <row r="50898" spans="8:8">
      <c r="H50898" s="680" t="s">
        <v>6153</v>
      </c>
    </row>
    <row r="50899" spans="8:8">
      <c r="H50899" s="680" t="s">
        <v>6153</v>
      </c>
    </row>
    <row r="50900" spans="8:8">
      <c r="H50900" s="680" t="s">
        <v>6153</v>
      </c>
    </row>
    <row r="50901" spans="8:8">
      <c r="H50901" s="680" t="s">
        <v>6153</v>
      </c>
    </row>
    <row r="50902" spans="8:8">
      <c r="H50902" s="680" t="s">
        <v>6153</v>
      </c>
    </row>
    <row r="50903" spans="8:8">
      <c r="H50903" s="680" t="s">
        <v>6153</v>
      </c>
    </row>
    <row r="50904" spans="8:8">
      <c r="H50904" s="680" t="s">
        <v>6153</v>
      </c>
    </row>
    <row r="50905" spans="8:8">
      <c r="H50905" s="680" t="s">
        <v>6153</v>
      </c>
    </row>
    <row r="50906" spans="8:8">
      <c r="H50906" s="680" t="s">
        <v>6153</v>
      </c>
    </row>
    <row r="50907" spans="8:8">
      <c r="H50907" s="680" t="s">
        <v>6153</v>
      </c>
    </row>
    <row r="50908" spans="8:8">
      <c r="H50908" s="680" t="s">
        <v>6153</v>
      </c>
    </row>
    <row r="50909" spans="8:8">
      <c r="H50909" s="680" t="s">
        <v>6153</v>
      </c>
    </row>
    <row r="50910" spans="8:8">
      <c r="H50910" s="680" t="s">
        <v>6153</v>
      </c>
    </row>
    <row r="50911" spans="8:8">
      <c r="H50911" s="680" t="s">
        <v>6153</v>
      </c>
    </row>
    <row r="50912" spans="8:8">
      <c r="H50912" s="680" t="s">
        <v>6153</v>
      </c>
    </row>
    <row r="50913" spans="8:8">
      <c r="H50913" s="680" t="s">
        <v>6153</v>
      </c>
    </row>
    <row r="50914" spans="8:8">
      <c r="H50914" s="680" t="s">
        <v>6153</v>
      </c>
    </row>
    <row r="50915" spans="8:8">
      <c r="H50915" s="680" t="s">
        <v>6153</v>
      </c>
    </row>
    <row r="50916" spans="8:8">
      <c r="H50916" s="680" t="s">
        <v>6153</v>
      </c>
    </row>
    <row r="50917" spans="8:8">
      <c r="H50917" s="680" t="s">
        <v>6153</v>
      </c>
    </row>
    <row r="50918" spans="8:8">
      <c r="H50918" s="680" t="s">
        <v>6153</v>
      </c>
    </row>
    <row r="50919" spans="8:8">
      <c r="H50919" s="680" t="s">
        <v>6153</v>
      </c>
    </row>
    <row r="50920" spans="8:8">
      <c r="H50920" s="680" t="s">
        <v>6153</v>
      </c>
    </row>
    <row r="50921" spans="8:8">
      <c r="H50921" s="680" t="s">
        <v>6153</v>
      </c>
    </row>
    <row r="50922" spans="8:8">
      <c r="H50922" s="680" t="s">
        <v>6153</v>
      </c>
    </row>
    <row r="50923" spans="8:8">
      <c r="H50923" s="680" t="s">
        <v>6153</v>
      </c>
    </row>
    <row r="50924" spans="8:8">
      <c r="H50924" s="680" t="s">
        <v>6153</v>
      </c>
    </row>
    <row r="50925" spans="8:8">
      <c r="H50925" s="680" t="s">
        <v>6153</v>
      </c>
    </row>
    <row r="50926" spans="8:8">
      <c r="H50926" s="680" t="s">
        <v>6153</v>
      </c>
    </row>
    <row r="50927" spans="8:8">
      <c r="H50927" s="680" t="s">
        <v>6153</v>
      </c>
    </row>
    <row r="50928" spans="8:8">
      <c r="H50928" s="680" t="s">
        <v>6153</v>
      </c>
    </row>
    <row r="50929" spans="8:8">
      <c r="H50929" s="680" t="s">
        <v>6153</v>
      </c>
    </row>
    <row r="50930" spans="8:8">
      <c r="H50930" s="680" t="s">
        <v>6153</v>
      </c>
    </row>
    <row r="50931" spans="8:8">
      <c r="H50931" s="680" t="s">
        <v>6153</v>
      </c>
    </row>
    <row r="50932" spans="8:8">
      <c r="H50932" s="680" t="s">
        <v>6153</v>
      </c>
    </row>
    <row r="50933" spans="8:8">
      <c r="H50933" s="680" t="s">
        <v>6153</v>
      </c>
    </row>
    <row r="50934" spans="8:8">
      <c r="H50934" s="680" t="s">
        <v>6153</v>
      </c>
    </row>
    <row r="50935" spans="8:8">
      <c r="H50935" s="680" t="s">
        <v>6153</v>
      </c>
    </row>
    <row r="50936" spans="8:8">
      <c r="H50936" s="680" t="s">
        <v>6153</v>
      </c>
    </row>
    <row r="50937" spans="8:8">
      <c r="H50937" s="680" t="s">
        <v>6153</v>
      </c>
    </row>
    <row r="50938" spans="8:8">
      <c r="H50938" s="680" t="s">
        <v>6153</v>
      </c>
    </row>
    <row r="50939" spans="8:8">
      <c r="H50939" s="680" t="s">
        <v>6153</v>
      </c>
    </row>
    <row r="50940" spans="8:8">
      <c r="H50940" s="680" t="s">
        <v>6153</v>
      </c>
    </row>
    <row r="50941" spans="8:8">
      <c r="H50941" s="680" t="s">
        <v>6153</v>
      </c>
    </row>
    <row r="50942" spans="8:8">
      <c r="H50942" s="680" t="s">
        <v>6153</v>
      </c>
    </row>
    <row r="50943" spans="8:8">
      <c r="H50943" s="680" t="s">
        <v>6153</v>
      </c>
    </row>
    <row r="50944" spans="8:8">
      <c r="H50944" s="680" t="s">
        <v>6153</v>
      </c>
    </row>
    <row r="50945" spans="8:8">
      <c r="H50945" s="680" t="s">
        <v>6153</v>
      </c>
    </row>
    <row r="50946" spans="8:8">
      <c r="H50946" s="680" t="s">
        <v>6153</v>
      </c>
    </row>
    <row r="50947" spans="8:8">
      <c r="H50947" s="680" t="s">
        <v>6153</v>
      </c>
    </row>
    <row r="50948" spans="8:8">
      <c r="H50948" s="680" t="s">
        <v>6153</v>
      </c>
    </row>
    <row r="50949" spans="8:8">
      <c r="H50949" s="680" t="s">
        <v>6153</v>
      </c>
    </row>
    <row r="50950" spans="8:8">
      <c r="H50950" s="680" t="s">
        <v>6153</v>
      </c>
    </row>
    <row r="50951" spans="8:8">
      <c r="H50951" s="680" t="s">
        <v>6153</v>
      </c>
    </row>
    <row r="50952" spans="8:8">
      <c r="H50952" s="680" t="s">
        <v>6153</v>
      </c>
    </row>
    <row r="50953" spans="8:8">
      <c r="H50953" s="680" t="s">
        <v>6153</v>
      </c>
    </row>
    <row r="50954" spans="8:8">
      <c r="H50954" s="680" t="s">
        <v>6153</v>
      </c>
    </row>
    <row r="50955" spans="8:8">
      <c r="H50955" s="680" t="s">
        <v>6153</v>
      </c>
    </row>
    <row r="50956" spans="8:8">
      <c r="H50956" s="680" t="s">
        <v>6153</v>
      </c>
    </row>
    <row r="50957" spans="8:8">
      <c r="H50957" s="680" t="s">
        <v>6153</v>
      </c>
    </row>
    <row r="50958" spans="8:8">
      <c r="H50958" s="680" t="s">
        <v>6153</v>
      </c>
    </row>
    <row r="50959" spans="8:8">
      <c r="H50959" s="680" t="s">
        <v>6153</v>
      </c>
    </row>
    <row r="50960" spans="8:8">
      <c r="H50960" s="680" t="s">
        <v>6153</v>
      </c>
    </row>
    <row r="50961" spans="8:8">
      <c r="H50961" s="680" t="s">
        <v>6153</v>
      </c>
    </row>
    <row r="50962" spans="8:8">
      <c r="H50962" s="680" t="s">
        <v>6153</v>
      </c>
    </row>
    <row r="50963" spans="8:8">
      <c r="H50963" s="680" t="s">
        <v>6153</v>
      </c>
    </row>
    <row r="50964" spans="8:8">
      <c r="H50964" s="680" t="s">
        <v>6153</v>
      </c>
    </row>
    <row r="50965" spans="8:8">
      <c r="H50965" s="680" t="s">
        <v>6153</v>
      </c>
    </row>
    <row r="50966" spans="8:8">
      <c r="H50966" s="680" t="s">
        <v>6153</v>
      </c>
    </row>
    <row r="50967" spans="8:8">
      <c r="H50967" s="680" t="s">
        <v>6153</v>
      </c>
    </row>
    <row r="50968" spans="8:8">
      <c r="H50968" s="680" t="s">
        <v>6153</v>
      </c>
    </row>
    <row r="50969" spans="8:8">
      <c r="H50969" s="680" t="s">
        <v>6153</v>
      </c>
    </row>
    <row r="50970" spans="8:8">
      <c r="H50970" s="680" t="s">
        <v>6153</v>
      </c>
    </row>
    <row r="50971" spans="8:8">
      <c r="H50971" s="680" t="s">
        <v>6153</v>
      </c>
    </row>
    <row r="50972" spans="8:8">
      <c r="H50972" s="680" t="s">
        <v>6153</v>
      </c>
    </row>
    <row r="50973" spans="8:8">
      <c r="H50973" s="680" t="s">
        <v>6153</v>
      </c>
    </row>
    <row r="50974" spans="8:8">
      <c r="H50974" s="680" t="s">
        <v>6153</v>
      </c>
    </row>
    <row r="50975" spans="8:8">
      <c r="H50975" s="680" t="s">
        <v>6153</v>
      </c>
    </row>
    <row r="50976" spans="8:8">
      <c r="H50976" s="680" t="s">
        <v>6153</v>
      </c>
    </row>
    <row r="50977" spans="8:8">
      <c r="H50977" s="680" t="s">
        <v>6153</v>
      </c>
    </row>
    <row r="50978" spans="8:8">
      <c r="H50978" s="680" t="s">
        <v>6153</v>
      </c>
    </row>
    <row r="50979" spans="8:8">
      <c r="H50979" s="680" t="s">
        <v>6153</v>
      </c>
    </row>
    <row r="50980" spans="8:8">
      <c r="H50980" s="680" t="s">
        <v>6153</v>
      </c>
    </row>
    <row r="50981" spans="8:8">
      <c r="H50981" s="680" t="s">
        <v>6153</v>
      </c>
    </row>
    <row r="50982" spans="8:8">
      <c r="H50982" s="680" t="s">
        <v>6153</v>
      </c>
    </row>
    <row r="50983" spans="8:8">
      <c r="H50983" s="680" t="s">
        <v>6153</v>
      </c>
    </row>
    <row r="50984" spans="8:8">
      <c r="H50984" s="680" t="s">
        <v>6153</v>
      </c>
    </row>
    <row r="50985" spans="8:8">
      <c r="H50985" s="680" t="s">
        <v>6153</v>
      </c>
    </row>
    <row r="50986" spans="8:8">
      <c r="H50986" s="680" t="s">
        <v>6153</v>
      </c>
    </row>
    <row r="50987" spans="8:8">
      <c r="H50987" s="680" t="s">
        <v>6153</v>
      </c>
    </row>
    <row r="50988" spans="8:8">
      <c r="H50988" s="680" t="s">
        <v>6153</v>
      </c>
    </row>
    <row r="50989" spans="8:8">
      <c r="H50989" s="680" t="s">
        <v>6153</v>
      </c>
    </row>
    <row r="50990" spans="8:8">
      <c r="H50990" s="680" t="s">
        <v>6153</v>
      </c>
    </row>
    <row r="50991" spans="8:8">
      <c r="H50991" s="680" t="s">
        <v>6153</v>
      </c>
    </row>
    <row r="50992" spans="8:8">
      <c r="H50992" s="680" t="s">
        <v>6153</v>
      </c>
    </row>
    <row r="50993" spans="8:8">
      <c r="H50993" s="680" t="s">
        <v>6153</v>
      </c>
    </row>
    <row r="50994" spans="8:8">
      <c r="H50994" s="680" t="s">
        <v>6153</v>
      </c>
    </row>
    <row r="50995" spans="8:8">
      <c r="H50995" s="680" t="s">
        <v>6153</v>
      </c>
    </row>
    <row r="50996" spans="8:8">
      <c r="H50996" s="680" t="s">
        <v>6153</v>
      </c>
    </row>
    <row r="50997" spans="8:8">
      <c r="H50997" s="680" t="s">
        <v>6153</v>
      </c>
    </row>
    <row r="50998" spans="8:8">
      <c r="H50998" s="680" t="s">
        <v>6153</v>
      </c>
    </row>
    <row r="50999" spans="8:8">
      <c r="H50999" s="680" t="s">
        <v>6153</v>
      </c>
    </row>
    <row r="51000" spans="8:8">
      <c r="H51000" s="680" t="s">
        <v>6153</v>
      </c>
    </row>
    <row r="51001" spans="8:8">
      <c r="H51001" s="680" t="s">
        <v>6153</v>
      </c>
    </row>
    <row r="51002" spans="8:8">
      <c r="H51002" s="680" t="s">
        <v>6153</v>
      </c>
    </row>
    <row r="51003" spans="8:8">
      <c r="H51003" s="680" t="s">
        <v>6153</v>
      </c>
    </row>
    <row r="51004" spans="8:8">
      <c r="H51004" s="680" t="s">
        <v>6153</v>
      </c>
    </row>
    <row r="51005" spans="8:8">
      <c r="H51005" s="680" t="s">
        <v>6153</v>
      </c>
    </row>
    <row r="51006" spans="8:8">
      <c r="H51006" s="680" t="s">
        <v>6153</v>
      </c>
    </row>
    <row r="51007" spans="8:8">
      <c r="H51007" s="680" t="s">
        <v>6153</v>
      </c>
    </row>
    <row r="51008" spans="8:8">
      <c r="H51008" s="680" t="s">
        <v>6153</v>
      </c>
    </row>
    <row r="51009" spans="8:8">
      <c r="H51009" s="680" t="s">
        <v>6153</v>
      </c>
    </row>
    <row r="51010" spans="8:8">
      <c r="H51010" s="680" t="s">
        <v>6153</v>
      </c>
    </row>
    <row r="51011" spans="8:8">
      <c r="H51011" s="680" t="s">
        <v>6153</v>
      </c>
    </row>
    <row r="51012" spans="8:8">
      <c r="H51012" s="680" t="s">
        <v>6153</v>
      </c>
    </row>
    <row r="51013" spans="8:8">
      <c r="H51013" s="680" t="s">
        <v>6153</v>
      </c>
    </row>
    <row r="51014" spans="8:8">
      <c r="H51014" s="680" t="s">
        <v>6153</v>
      </c>
    </row>
    <row r="51015" spans="8:8">
      <c r="H51015" s="680" t="s">
        <v>6153</v>
      </c>
    </row>
    <row r="51016" spans="8:8">
      <c r="H51016" s="680" t="s">
        <v>6153</v>
      </c>
    </row>
    <row r="51017" spans="8:8">
      <c r="H51017" s="680" t="s">
        <v>6153</v>
      </c>
    </row>
    <row r="51018" spans="8:8">
      <c r="H51018" s="680" t="s">
        <v>6153</v>
      </c>
    </row>
    <row r="51019" spans="8:8">
      <c r="H51019" s="680" t="s">
        <v>6153</v>
      </c>
    </row>
    <row r="51020" spans="8:8">
      <c r="H51020" s="680" t="s">
        <v>6153</v>
      </c>
    </row>
    <row r="51021" spans="8:8">
      <c r="H51021" s="680" t="s">
        <v>6153</v>
      </c>
    </row>
    <row r="51022" spans="8:8">
      <c r="H51022" s="680" t="s">
        <v>6153</v>
      </c>
    </row>
    <row r="51023" spans="8:8">
      <c r="H51023" s="680" t="s">
        <v>6153</v>
      </c>
    </row>
    <row r="51024" spans="8:8">
      <c r="H51024" s="680" t="s">
        <v>6153</v>
      </c>
    </row>
    <row r="51025" spans="8:8">
      <c r="H51025" s="680" t="s">
        <v>6153</v>
      </c>
    </row>
    <row r="51026" spans="8:8">
      <c r="H51026" s="680" t="s">
        <v>6153</v>
      </c>
    </row>
    <row r="51027" spans="8:8">
      <c r="H51027" s="680" t="s">
        <v>6153</v>
      </c>
    </row>
    <row r="51028" spans="8:8">
      <c r="H51028" s="680" t="s">
        <v>6153</v>
      </c>
    </row>
    <row r="51029" spans="8:8">
      <c r="H51029" s="680" t="s">
        <v>6153</v>
      </c>
    </row>
    <row r="51030" spans="8:8">
      <c r="H51030" s="680" t="s">
        <v>6153</v>
      </c>
    </row>
    <row r="51031" spans="8:8">
      <c r="H51031" s="680" t="s">
        <v>6153</v>
      </c>
    </row>
    <row r="51032" spans="8:8">
      <c r="H51032" s="680" t="s">
        <v>6153</v>
      </c>
    </row>
    <row r="51033" spans="8:8">
      <c r="H51033" s="680" t="s">
        <v>6153</v>
      </c>
    </row>
    <row r="51034" spans="8:8">
      <c r="H51034" s="680" t="s">
        <v>6153</v>
      </c>
    </row>
    <row r="51035" spans="8:8">
      <c r="H51035" s="680" t="s">
        <v>6153</v>
      </c>
    </row>
    <row r="51036" spans="8:8">
      <c r="H51036" s="680" t="s">
        <v>6153</v>
      </c>
    </row>
    <row r="51037" spans="8:8">
      <c r="H51037" s="680" t="s">
        <v>6153</v>
      </c>
    </row>
    <row r="51038" spans="8:8">
      <c r="H51038" s="680" t="s">
        <v>6153</v>
      </c>
    </row>
    <row r="51039" spans="8:8">
      <c r="H51039" s="680" t="s">
        <v>6153</v>
      </c>
    </row>
    <row r="51040" spans="8:8">
      <c r="H51040" s="680" t="s">
        <v>6153</v>
      </c>
    </row>
    <row r="51041" spans="8:8">
      <c r="H51041" s="680" t="s">
        <v>6153</v>
      </c>
    </row>
    <row r="51042" spans="8:8">
      <c r="H51042" s="680" t="s">
        <v>6153</v>
      </c>
    </row>
    <row r="51043" spans="8:8">
      <c r="H51043" s="680" t="s">
        <v>6153</v>
      </c>
    </row>
    <row r="51044" spans="8:8">
      <c r="H51044" s="680" t="s">
        <v>6153</v>
      </c>
    </row>
    <row r="51045" spans="8:8">
      <c r="H51045" s="680" t="s">
        <v>6153</v>
      </c>
    </row>
    <row r="51046" spans="8:8">
      <c r="H51046" s="680" t="s">
        <v>6153</v>
      </c>
    </row>
    <row r="51047" spans="8:8">
      <c r="H51047" s="680" t="s">
        <v>6153</v>
      </c>
    </row>
    <row r="51048" spans="8:8">
      <c r="H51048" s="680" t="s">
        <v>6153</v>
      </c>
    </row>
    <row r="51049" spans="8:8">
      <c r="H51049" s="680" t="s">
        <v>6153</v>
      </c>
    </row>
    <row r="51050" spans="8:8">
      <c r="H51050" s="680" t="s">
        <v>6153</v>
      </c>
    </row>
    <row r="51051" spans="8:8">
      <c r="H51051" s="680" t="s">
        <v>6153</v>
      </c>
    </row>
    <row r="51052" spans="8:8">
      <c r="H51052" s="680" t="s">
        <v>6153</v>
      </c>
    </row>
    <row r="51053" spans="8:8">
      <c r="H51053" s="680" t="s">
        <v>6153</v>
      </c>
    </row>
    <row r="51054" spans="8:8">
      <c r="H51054" s="680" t="s">
        <v>6153</v>
      </c>
    </row>
    <row r="51055" spans="8:8">
      <c r="H51055" s="680" t="s">
        <v>6153</v>
      </c>
    </row>
    <row r="51056" spans="8:8">
      <c r="H51056" s="680" t="s">
        <v>6153</v>
      </c>
    </row>
    <row r="51057" spans="8:8">
      <c r="H51057" s="680" t="s">
        <v>6153</v>
      </c>
    </row>
    <row r="51058" spans="8:8">
      <c r="H51058" s="680" t="s">
        <v>6153</v>
      </c>
    </row>
    <row r="51059" spans="8:8">
      <c r="H51059" s="680" t="s">
        <v>6153</v>
      </c>
    </row>
    <row r="51060" spans="8:8">
      <c r="H51060" s="680" t="s">
        <v>6153</v>
      </c>
    </row>
    <row r="51061" spans="8:8">
      <c r="H51061" s="680" t="s">
        <v>6153</v>
      </c>
    </row>
    <row r="51062" spans="8:8">
      <c r="H51062" s="680" t="s">
        <v>6153</v>
      </c>
    </row>
    <row r="51063" spans="8:8">
      <c r="H51063" s="680" t="s">
        <v>6153</v>
      </c>
    </row>
    <row r="51064" spans="8:8">
      <c r="H51064" s="680" t="s">
        <v>6153</v>
      </c>
    </row>
    <row r="51065" spans="8:8">
      <c r="H51065" s="680" t="s">
        <v>6153</v>
      </c>
    </row>
    <row r="51066" spans="8:8">
      <c r="H51066" s="680" t="s">
        <v>6153</v>
      </c>
    </row>
    <row r="51067" spans="8:8">
      <c r="H51067" s="680" t="s">
        <v>6153</v>
      </c>
    </row>
    <row r="51068" spans="8:8">
      <c r="H51068" s="680" t="s">
        <v>6153</v>
      </c>
    </row>
    <row r="51069" spans="8:8">
      <c r="H51069" s="680" t="s">
        <v>6153</v>
      </c>
    </row>
    <row r="51070" spans="8:8">
      <c r="H51070" s="680" t="s">
        <v>6153</v>
      </c>
    </row>
    <row r="51071" spans="8:8">
      <c r="H51071" s="680" t="s">
        <v>6153</v>
      </c>
    </row>
    <row r="51072" spans="8:8">
      <c r="H51072" s="680" t="s">
        <v>6153</v>
      </c>
    </row>
    <row r="51073" spans="8:8">
      <c r="H51073" s="680" t="s">
        <v>6153</v>
      </c>
    </row>
    <row r="51074" spans="8:8">
      <c r="H51074" s="680" t="s">
        <v>6153</v>
      </c>
    </row>
    <row r="51075" spans="8:8">
      <c r="H51075" s="680" t="s">
        <v>6153</v>
      </c>
    </row>
    <row r="51076" spans="8:8">
      <c r="H51076" s="680" t="s">
        <v>6153</v>
      </c>
    </row>
    <row r="51077" spans="8:8">
      <c r="H51077" s="680" t="s">
        <v>6153</v>
      </c>
    </row>
    <row r="51078" spans="8:8">
      <c r="H51078" s="680" t="s">
        <v>6153</v>
      </c>
    </row>
    <row r="51079" spans="8:8">
      <c r="H51079" s="680" t="s">
        <v>6153</v>
      </c>
    </row>
    <row r="51080" spans="8:8">
      <c r="H51080" s="680" t="s">
        <v>6153</v>
      </c>
    </row>
    <row r="51081" spans="8:8">
      <c r="H51081" s="680" t="s">
        <v>6153</v>
      </c>
    </row>
    <row r="51082" spans="8:8">
      <c r="H51082" s="680" t="s">
        <v>6153</v>
      </c>
    </row>
    <row r="51083" spans="8:8">
      <c r="H51083" s="680" t="s">
        <v>6153</v>
      </c>
    </row>
    <row r="51084" spans="8:8">
      <c r="H51084" s="680" t="s">
        <v>6153</v>
      </c>
    </row>
    <row r="51085" spans="8:8">
      <c r="H51085" s="680" t="s">
        <v>6153</v>
      </c>
    </row>
    <row r="51086" spans="8:8">
      <c r="H51086" s="680" t="s">
        <v>6153</v>
      </c>
    </row>
    <row r="51087" spans="8:8">
      <c r="H51087" s="680" t="s">
        <v>6153</v>
      </c>
    </row>
    <row r="51088" spans="8:8">
      <c r="H51088" s="680" t="s">
        <v>6153</v>
      </c>
    </row>
    <row r="51089" spans="8:8">
      <c r="H51089" s="680" t="s">
        <v>6153</v>
      </c>
    </row>
    <row r="51090" spans="8:8">
      <c r="H51090" s="680" t="s">
        <v>6153</v>
      </c>
    </row>
    <row r="51091" spans="8:8">
      <c r="H51091" s="680" t="s">
        <v>6153</v>
      </c>
    </row>
    <row r="51092" spans="8:8">
      <c r="H51092" s="680" t="s">
        <v>6153</v>
      </c>
    </row>
    <row r="51093" spans="8:8">
      <c r="H51093" s="680" t="s">
        <v>6153</v>
      </c>
    </row>
    <row r="51094" spans="8:8">
      <c r="H51094" s="680" t="s">
        <v>6153</v>
      </c>
    </row>
    <row r="51095" spans="8:8">
      <c r="H51095" s="680" t="s">
        <v>6153</v>
      </c>
    </row>
    <row r="51096" spans="8:8">
      <c r="H51096" s="680" t="s">
        <v>6153</v>
      </c>
    </row>
    <row r="51097" spans="8:8">
      <c r="H51097" s="680" t="s">
        <v>6153</v>
      </c>
    </row>
    <row r="51098" spans="8:8">
      <c r="H51098" s="680" t="s">
        <v>6153</v>
      </c>
    </row>
    <row r="51099" spans="8:8">
      <c r="H51099" s="680" t="s">
        <v>6153</v>
      </c>
    </row>
    <row r="51100" spans="8:8">
      <c r="H51100" s="680" t="s">
        <v>6153</v>
      </c>
    </row>
    <row r="51101" spans="8:8">
      <c r="H51101" s="680" t="s">
        <v>6153</v>
      </c>
    </row>
    <row r="51102" spans="8:8">
      <c r="H51102" s="680" t="s">
        <v>6153</v>
      </c>
    </row>
    <row r="51103" spans="8:8">
      <c r="H51103" s="680" t="s">
        <v>6153</v>
      </c>
    </row>
    <row r="51104" spans="8:8">
      <c r="H51104" s="680" t="s">
        <v>6153</v>
      </c>
    </row>
    <row r="51105" spans="8:8">
      <c r="H51105" s="680" t="s">
        <v>6153</v>
      </c>
    </row>
    <row r="51106" spans="8:8">
      <c r="H51106" s="680" t="s">
        <v>6153</v>
      </c>
    </row>
    <row r="51107" spans="8:8">
      <c r="H51107" s="680" t="s">
        <v>6153</v>
      </c>
    </row>
    <row r="51108" spans="8:8">
      <c r="H51108" s="680" t="s">
        <v>6153</v>
      </c>
    </row>
    <row r="51109" spans="8:8">
      <c r="H51109" s="680" t="s">
        <v>6153</v>
      </c>
    </row>
    <row r="51110" spans="8:8">
      <c r="H51110" s="680" t="s">
        <v>6153</v>
      </c>
    </row>
    <row r="51111" spans="8:8">
      <c r="H51111" s="680" t="s">
        <v>6153</v>
      </c>
    </row>
    <row r="51112" spans="8:8">
      <c r="H51112" s="680" t="s">
        <v>6153</v>
      </c>
    </row>
    <row r="51113" spans="8:8">
      <c r="H51113" s="680" t="s">
        <v>6153</v>
      </c>
    </row>
    <row r="51114" spans="8:8">
      <c r="H51114" s="680" t="s">
        <v>6153</v>
      </c>
    </row>
    <row r="51115" spans="8:8">
      <c r="H51115" s="680" t="s">
        <v>6153</v>
      </c>
    </row>
    <row r="51116" spans="8:8">
      <c r="H51116" s="680" t="s">
        <v>6153</v>
      </c>
    </row>
    <row r="51117" spans="8:8">
      <c r="H51117" s="680" t="s">
        <v>6153</v>
      </c>
    </row>
    <row r="51118" spans="8:8">
      <c r="H51118" s="680" t="s">
        <v>6153</v>
      </c>
    </row>
    <row r="51119" spans="8:8">
      <c r="H51119" s="680" t="s">
        <v>6153</v>
      </c>
    </row>
    <row r="51120" spans="8:8">
      <c r="H51120" s="680" t="s">
        <v>6153</v>
      </c>
    </row>
    <row r="51121" spans="8:8">
      <c r="H51121" s="680" t="s">
        <v>6153</v>
      </c>
    </row>
    <row r="51122" spans="8:8">
      <c r="H51122" s="680" t="s">
        <v>6153</v>
      </c>
    </row>
    <row r="51123" spans="8:8">
      <c r="H51123" s="680" t="s">
        <v>6153</v>
      </c>
    </row>
    <row r="51124" spans="8:8">
      <c r="H51124" s="680" t="s">
        <v>6153</v>
      </c>
    </row>
    <row r="51125" spans="8:8">
      <c r="H51125" s="680" t="s">
        <v>6153</v>
      </c>
    </row>
    <row r="51126" spans="8:8">
      <c r="H51126" s="680" t="s">
        <v>6153</v>
      </c>
    </row>
    <row r="51127" spans="8:8">
      <c r="H51127" s="680" t="s">
        <v>6153</v>
      </c>
    </row>
    <row r="51128" spans="8:8">
      <c r="H51128" s="680" t="s">
        <v>6153</v>
      </c>
    </row>
    <row r="51129" spans="8:8">
      <c r="H51129" s="680" t="s">
        <v>6153</v>
      </c>
    </row>
    <row r="51130" spans="8:8">
      <c r="H51130" s="680" t="s">
        <v>6153</v>
      </c>
    </row>
    <row r="51131" spans="8:8">
      <c r="H51131" s="680" t="s">
        <v>6153</v>
      </c>
    </row>
    <row r="51132" spans="8:8">
      <c r="H51132" s="680" t="s">
        <v>6153</v>
      </c>
    </row>
    <row r="51133" spans="8:8">
      <c r="H51133" s="680" t="s">
        <v>6153</v>
      </c>
    </row>
    <row r="51134" spans="8:8">
      <c r="H51134" s="680" t="s">
        <v>6153</v>
      </c>
    </row>
    <row r="51135" spans="8:8">
      <c r="H51135" s="680" t="s">
        <v>6153</v>
      </c>
    </row>
    <row r="51136" spans="8:8">
      <c r="H51136" s="680" t="s">
        <v>6153</v>
      </c>
    </row>
    <row r="51137" spans="8:8">
      <c r="H51137" s="680" t="s">
        <v>6153</v>
      </c>
    </row>
    <row r="51138" spans="8:8">
      <c r="H51138" s="680" t="s">
        <v>6153</v>
      </c>
    </row>
    <row r="51139" spans="8:8">
      <c r="H51139" s="680" t="s">
        <v>6153</v>
      </c>
    </row>
    <row r="51140" spans="8:8">
      <c r="H51140" s="680" t="s">
        <v>6153</v>
      </c>
    </row>
    <row r="51141" spans="8:8">
      <c r="H51141" s="680" t="s">
        <v>6153</v>
      </c>
    </row>
    <row r="51142" spans="8:8">
      <c r="H51142" s="680" t="s">
        <v>6153</v>
      </c>
    </row>
    <row r="51143" spans="8:8">
      <c r="H51143" s="680" t="s">
        <v>6153</v>
      </c>
    </row>
    <row r="51144" spans="8:8">
      <c r="H51144" s="680" t="s">
        <v>6153</v>
      </c>
    </row>
    <row r="51145" spans="8:8">
      <c r="H51145" s="680" t="s">
        <v>6153</v>
      </c>
    </row>
    <row r="51146" spans="8:8">
      <c r="H51146" s="680" t="s">
        <v>6153</v>
      </c>
    </row>
    <row r="51147" spans="8:8">
      <c r="H51147" s="680" t="s">
        <v>6153</v>
      </c>
    </row>
    <row r="51148" spans="8:8">
      <c r="H51148" s="680" t="s">
        <v>6153</v>
      </c>
    </row>
    <row r="51149" spans="8:8">
      <c r="H51149" s="680" t="s">
        <v>6153</v>
      </c>
    </row>
    <row r="51150" spans="8:8">
      <c r="H51150" s="680" t="s">
        <v>6153</v>
      </c>
    </row>
    <row r="51151" spans="8:8">
      <c r="H51151" s="680" t="s">
        <v>6153</v>
      </c>
    </row>
    <row r="51152" spans="8:8">
      <c r="H51152" s="680" t="s">
        <v>6153</v>
      </c>
    </row>
    <row r="51153" spans="8:8">
      <c r="H51153" s="680" t="s">
        <v>6153</v>
      </c>
    </row>
    <row r="51154" spans="8:8">
      <c r="H51154" s="680" t="s">
        <v>6153</v>
      </c>
    </row>
    <row r="51155" spans="8:8">
      <c r="H51155" s="680" t="s">
        <v>6153</v>
      </c>
    </row>
    <row r="51156" spans="8:8">
      <c r="H51156" s="680" t="s">
        <v>6153</v>
      </c>
    </row>
    <row r="51157" spans="8:8">
      <c r="H51157" s="680" t="s">
        <v>6153</v>
      </c>
    </row>
    <row r="51158" spans="8:8">
      <c r="H51158" s="680" t="s">
        <v>6153</v>
      </c>
    </row>
    <row r="51159" spans="8:8">
      <c r="H51159" s="680" t="s">
        <v>6153</v>
      </c>
    </row>
    <row r="51160" spans="8:8">
      <c r="H51160" s="680" t="s">
        <v>6153</v>
      </c>
    </row>
    <row r="51161" spans="8:8">
      <c r="H51161" s="680" t="s">
        <v>6153</v>
      </c>
    </row>
    <row r="51162" spans="8:8">
      <c r="H51162" s="680" t="s">
        <v>6153</v>
      </c>
    </row>
    <row r="51163" spans="8:8">
      <c r="H51163" s="680" t="s">
        <v>6153</v>
      </c>
    </row>
    <row r="51164" spans="8:8">
      <c r="H51164" s="680" t="s">
        <v>6153</v>
      </c>
    </row>
    <row r="51165" spans="8:8">
      <c r="H51165" s="680" t="s">
        <v>6153</v>
      </c>
    </row>
    <row r="51166" spans="8:8">
      <c r="H51166" s="680" t="s">
        <v>6153</v>
      </c>
    </row>
    <row r="51167" spans="8:8">
      <c r="H51167" s="680" t="s">
        <v>6153</v>
      </c>
    </row>
    <row r="51168" spans="8:8">
      <c r="H51168" s="680" t="s">
        <v>6153</v>
      </c>
    </row>
    <row r="51169" spans="8:8">
      <c r="H51169" s="680" t="s">
        <v>6153</v>
      </c>
    </row>
    <row r="51170" spans="8:8">
      <c r="H51170" s="680" t="s">
        <v>6153</v>
      </c>
    </row>
    <row r="51171" spans="8:8">
      <c r="H51171" s="680" t="s">
        <v>6153</v>
      </c>
    </row>
    <row r="51172" spans="8:8">
      <c r="H51172" s="680" t="s">
        <v>6153</v>
      </c>
    </row>
    <row r="51173" spans="8:8">
      <c r="H51173" s="680" t="s">
        <v>6153</v>
      </c>
    </row>
    <row r="51174" spans="8:8">
      <c r="H51174" s="680" t="s">
        <v>6153</v>
      </c>
    </row>
    <row r="51175" spans="8:8">
      <c r="H51175" s="680" t="s">
        <v>6153</v>
      </c>
    </row>
    <row r="51176" spans="8:8">
      <c r="H51176" s="680" t="s">
        <v>6153</v>
      </c>
    </row>
    <row r="51177" spans="8:8">
      <c r="H51177" s="680" t="s">
        <v>6153</v>
      </c>
    </row>
    <row r="51178" spans="8:8">
      <c r="H51178" s="680" t="s">
        <v>6153</v>
      </c>
    </row>
    <row r="51179" spans="8:8">
      <c r="H51179" s="680" t="s">
        <v>6153</v>
      </c>
    </row>
    <row r="51180" spans="8:8">
      <c r="H51180" s="680" t="s">
        <v>6153</v>
      </c>
    </row>
    <row r="51181" spans="8:8">
      <c r="H51181" s="680" t="s">
        <v>6153</v>
      </c>
    </row>
    <row r="51182" spans="8:8">
      <c r="H51182" s="680" t="s">
        <v>6153</v>
      </c>
    </row>
    <row r="51183" spans="8:8">
      <c r="H51183" s="680" t="s">
        <v>6153</v>
      </c>
    </row>
    <row r="51184" spans="8:8">
      <c r="H51184" s="680" t="s">
        <v>6153</v>
      </c>
    </row>
    <row r="51185" spans="8:8">
      <c r="H51185" s="680" t="s">
        <v>6153</v>
      </c>
    </row>
    <row r="51186" spans="8:8">
      <c r="H51186" s="680" t="s">
        <v>6153</v>
      </c>
    </row>
    <row r="51187" spans="8:8">
      <c r="H51187" s="680" t="s">
        <v>6153</v>
      </c>
    </row>
    <row r="51188" spans="8:8">
      <c r="H51188" s="680" t="s">
        <v>6153</v>
      </c>
    </row>
    <row r="51189" spans="8:8">
      <c r="H51189" s="680" t="s">
        <v>6153</v>
      </c>
    </row>
    <row r="51190" spans="8:8">
      <c r="H51190" s="680" t="s">
        <v>6153</v>
      </c>
    </row>
    <row r="51191" spans="8:8">
      <c r="H51191" s="680" t="s">
        <v>6153</v>
      </c>
    </row>
    <row r="51192" spans="8:8">
      <c r="H51192" s="680" t="s">
        <v>6153</v>
      </c>
    </row>
    <row r="51193" spans="8:8">
      <c r="H51193" s="680" t="s">
        <v>6153</v>
      </c>
    </row>
    <row r="51194" spans="8:8">
      <c r="H51194" s="680" t="s">
        <v>6153</v>
      </c>
    </row>
    <row r="51195" spans="8:8">
      <c r="H51195" s="680" t="s">
        <v>6153</v>
      </c>
    </row>
    <row r="51196" spans="8:8">
      <c r="H51196" s="680" t="s">
        <v>6153</v>
      </c>
    </row>
    <row r="51197" spans="8:8">
      <c r="H51197" s="680" t="s">
        <v>6153</v>
      </c>
    </row>
    <row r="51198" spans="8:8">
      <c r="H51198" s="680" t="s">
        <v>6153</v>
      </c>
    </row>
    <row r="51199" spans="8:8">
      <c r="H51199" s="680" t="s">
        <v>6153</v>
      </c>
    </row>
    <row r="51200" spans="8:8">
      <c r="H51200" s="680" t="s">
        <v>6153</v>
      </c>
    </row>
    <row r="51201" spans="8:8">
      <c r="H51201" s="680" t="s">
        <v>6153</v>
      </c>
    </row>
    <row r="51202" spans="8:8">
      <c r="H51202" s="680" t="s">
        <v>6153</v>
      </c>
    </row>
    <row r="51203" spans="8:8">
      <c r="H51203" s="680" t="s">
        <v>6153</v>
      </c>
    </row>
    <row r="51204" spans="8:8">
      <c r="H51204" s="680" t="s">
        <v>6153</v>
      </c>
    </row>
    <row r="51205" spans="8:8">
      <c r="H51205" s="680" t="s">
        <v>6153</v>
      </c>
    </row>
    <row r="51206" spans="8:8">
      <c r="H51206" s="680" t="s">
        <v>6153</v>
      </c>
    </row>
    <row r="51207" spans="8:8">
      <c r="H51207" s="680" t="s">
        <v>6153</v>
      </c>
    </row>
    <row r="51208" spans="8:8">
      <c r="H51208" s="680" t="s">
        <v>6153</v>
      </c>
    </row>
    <row r="51209" spans="8:8">
      <c r="H51209" s="680" t="s">
        <v>6153</v>
      </c>
    </row>
    <row r="51210" spans="8:8">
      <c r="H51210" s="680" t="s">
        <v>6153</v>
      </c>
    </row>
    <row r="51211" spans="8:8">
      <c r="H51211" s="680" t="s">
        <v>6153</v>
      </c>
    </row>
    <row r="51212" spans="8:8">
      <c r="H51212" s="680" t="s">
        <v>6153</v>
      </c>
    </row>
    <row r="51213" spans="8:8">
      <c r="H51213" s="680" t="s">
        <v>6153</v>
      </c>
    </row>
    <row r="51214" spans="8:8">
      <c r="H51214" s="680" t="s">
        <v>6153</v>
      </c>
    </row>
    <row r="51215" spans="8:8">
      <c r="H51215" s="680" t="s">
        <v>6153</v>
      </c>
    </row>
    <row r="51216" spans="8:8">
      <c r="H51216" s="680" t="s">
        <v>6153</v>
      </c>
    </row>
    <row r="51217" spans="8:8">
      <c r="H51217" s="680" t="s">
        <v>6153</v>
      </c>
    </row>
    <row r="51218" spans="8:8">
      <c r="H51218" s="680" t="s">
        <v>6153</v>
      </c>
    </row>
    <row r="51219" spans="8:8">
      <c r="H51219" s="680" t="s">
        <v>6153</v>
      </c>
    </row>
    <row r="51220" spans="8:8">
      <c r="H51220" s="680" t="s">
        <v>6153</v>
      </c>
    </row>
    <row r="51221" spans="8:8">
      <c r="H51221" s="680" t="s">
        <v>6153</v>
      </c>
    </row>
    <row r="51222" spans="8:8">
      <c r="H51222" s="680" t="s">
        <v>6153</v>
      </c>
    </row>
    <row r="51223" spans="8:8">
      <c r="H51223" s="680" t="s">
        <v>6153</v>
      </c>
    </row>
    <row r="51224" spans="8:8">
      <c r="H51224" s="680" t="s">
        <v>6153</v>
      </c>
    </row>
    <row r="51225" spans="8:8">
      <c r="H51225" s="680" t="s">
        <v>6153</v>
      </c>
    </row>
    <row r="51226" spans="8:8">
      <c r="H51226" s="680" t="s">
        <v>6153</v>
      </c>
    </row>
    <row r="51227" spans="8:8">
      <c r="H51227" s="680" t="s">
        <v>6153</v>
      </c>
    </row>
    <row r="51228" spans="8:8">
      <c r="H51228" s="680" t="s">
        <v>6153</v>
      </c>
    </row>
    <row r="51229" spans="8:8">
      <c r="H51229" s="680" t="s">
        <v>6153</v>
      </c>
    </row>
    <row r="51230" spans="8:8">
      <c r="H51230" s="680" t="s">
        <v>6153</v>
      </c>
    </row>
    <row r="51231" spans="8:8">
      <c r="H51231" s="680" t="s">
        <v>6153</v>
      </c>
    </row>
    <row r="51232" spans="8:8">
      <c r="H51232" s="680" t="s">
        <v>6153</v>
      </c>
    </row>
    <row r="51233" spans="8:8">
      <c r="H51233" s="680" t="s">
        <v>6153</v>
      </c>
    </row>
    <row r="51234" spans="8:8">
      <c r="H51234" s="680" t="s">
        <v>6153</v>
      </c>
    </row>
    <row r="51235" spans="8:8">
      <c r="H51235" s="680" t="s">
        <v>6153</v>
      </c>
    </row>
    <row r="51236" spans="8:8">
      <c r="H51236" s="680" t="s">
        <v>6153</v>
      </c>
    </row>
    <row r="51237" spans="8:8">
      <c r="H51237" s="680" t="s">
        <v>6153</v>
      </c>
    </row>
    <row r="51238" spans="8:8">
      <c r="H51238" s="680" t="s">
        <v>6153</v>
      </c>
    </row>
    <row r="51239" spans="8:8">
      <c r="H51239" s="680" t="s">
        <v>6153</v>
      </c>
    </row>
    <row r="51240" spans="8:8">
      <c r="H51240" s="680" t="s">
        <v>6153</v>
      </c>
    </row>
    <row r="51241" spans="8:8">
      <c r="H51241" s="680" t="s">
        <v>6153</v>
      </c>
    </row>
    <row r="51242" spans="8:8">
      <c r="H51242" s="680" t="s">
        <v>6153</v>
      </c>
    </row>
    <row r="51243" spans="8:8">
      <c r="H51243" s="680" t="s">
        <v>6153</v>
      </c>
    </row>
    <row r="51244" spans="8:8">
      <c r="H51244" s="680" t="s">
        <v>6153</v>
      </c>
    </row>
    <row r="51245" spans="8:8">
      <c r="H51245" s="680" t="s">
        <v>6153</v>
      </c>
    </row>
    <row r="51246" spans="8:8">
      <c r="H51246" s="680" t="s">
        <v>6153</v>
      </c>
    </row>
    <row r="51247" spans="8:8">
      <c r="H51247" s="680" t="s">
        <v>6153</v>
      </c>
    </row>
    <row r="51248" spans="8:8">
      <c r="H51248" s="680" t="s">
        <v>6153</v>
      </c>
    </row>
    <row r="51249" spans="8:8">
      <c r="H51249" s="680" t="s">
        <v>6153</v>
      </c>
    </row>
    <row r="51250" spans="8:8">
      <c r="H51250" s="680" t="s">
        <v>6153</v>
      </c>
    </row>
    <row r="51251" spans="8:8">
      <c r="H51251" s="680" t="s">
        <v>6153</v>
      </c>
    </row>
    <row r="51252" spans="8:8">
      <c r="H51252" s="680" t="s">
        <v>6153</v>
      </c>
    </row>
    <row r="51253" spans="8:8">
      <c r="H51253" s="680" t="s">
        <v>6153</v>
      </c>
    </row>
    <row r="51254" spans="8:8">
      <c r="H51254" s="680" t="s">
        <v>6153</v>
      </c>
    </row>
    <row r="51255" spans="8:8">
      <c r="H51255" s="680" t="s">
        <v>6153</v>
      </c>
    </row>
    <row r="51256" spans="8:8">
      <c r="H51256" s="680" t="s">
        <v>6153</v>
      </c>
    </row>
    <row r="51257" spans="8:8">
      <c r="H51257" s="680" t="s">
        <v>6153</v>
      </c>
    </row>
    <row r="51258" spans="8:8">
      <c r="H51258" s="680" t="s">
        <v>6153</v>
      </c>
    </row>
    <row r="51259" spans="8:8">
      <c r="H51259" s="680" t="s">
        <v>6153</v>
      </c>
    </row>
    <row r="51260" spans="8:8">
      <c r="H51260" s="680" t="s">
        <v>6153</v>
      </c>
    </row>
    <row r="51261" spans="8:8">
      <c r="H51261" s="680" t="s">
        <v>6153</v>
      </c>
    </row>
    <row r="51262" spans="8:8">
      <c r="H51262" s="680" t="s">
        <v>6153</v>
      </c>
    </row>
    <row r="51263" spans="8:8">
      <c r="H51263" s="680" t="s">
        <v>6153</v>
      </c>
    </row>
    <row r="51264" spans="8:8">
      <c r="H51264" s="680" t="s">
        <v>6153</v>
      </c>
    </row>
    <row r="51265" spans="8:8">
      <c r="H51265" s="680" t="s">
        <v>6153</v>
      </c>
    </row>
    <row r="51266" spans="8:8">
      <c r="H51266" s="680" t="s">
        <v>6153</v>
      </c>
    </row>
    <row r="51267" spans="8:8">
      <c r="H51267" s="680" t="s">
        <v>6153</v>
      </c>
    </row>
    <row r="51268" spans="8:8">
      <c r="H51268" s="680" t="s">
        <v>6153</v>
      </c>
    </row>
    <row r="51269" spans="8:8">
      <c r="H51269" s="680" t="s">
        <v>6153</v>
      </c>
    </row>
    <row r="51270" spans="8:8">
      <c r="H51270" s="680" t="s">
        <v>6153</v>
      </c>
    </row>
    <row r="51271" spans="8:8">
      <c r="H51271" s="680" t="s">
        <v>6153</v>
      </c>
    </row>
    <row r="51272" spans="8:8">
      <c r="H51272" s="680" t="s">
        <v>6153</v>
      </c>
    </row>
    <row r="51273" spans="8:8">
      <c r="H51273" s="680" t="s">
        <v>6153</v>
      </c>
    </row>
    <row r="51274" spans="8:8">
      <c r="H51274" s="680" t="s">
        <v>6153</v>
      </c>
    </row>
    <row r="51275" spans="8:8">
      <c r="H51275" s="680" t="s">
        <v>6153</v>
      </c>
    </row>
    <row r="51276" spans="8:8">
      <c r="H51276" s="680" t="s">
        <v>6153</v>
      </c>
    </row>
    <row r="51277" spans="8:8">
      <c r="H51277" s="680" t="s">
        <v>6153</v>
      </c>
    </row>
    <row r="51278" spans="8:8">
      <c r="H51278" s="680" t="s">
        <v>6153</v>
      </c>
    </row>
    <row r="51279" spans="8:8">
      <c r="H51279" s="680" t="s">
        <v>6153</v>
      </c>
    </row>
    <row r="51280" spans="8:8">
      <c r="H51280" s="680" t="s">
        <v>6153</v>
      </c>
    </row>
    <row r="51281" spans="8:8">
      <c r="H51281" s="680" t="s">
        <v>6153</v>
      </c>
    </row>
    <row r="51282" spans="8:8">
      <c r="H51282" s="680" t="s">
        <v>6153</v>
      </c>
    </row>
    <row r="51283" spans="8:8">
      <c r="H51283" s="680" t="s">
        <v>6153</v>
      </c>
    </row>
    <row r="51284" spans="8:8">
      <c r="H51284" s="680" t="s">
        <v>6153</v>
      </c>
    </row>
    <row r="51285" spans="8:8">
      <c r="H51285" s="680" t="s">
        <v>6153</v>
      </c>
    </row>
    <row r="51286" spans="8:8">
      <c r="H51286" s="680" t="s">
        <v>6153</v>
      </c>
    </row>
    <row r="51287" spans="8:8">
      <c r="H51287" s="680" t="s">
        <v>6153</v>
      </c>
    </row>
    <row r="51288" spans="8:8">
      <c r="H51288" s="680" t="s">
        <v>6153</v>
      </c>
    </row>
    <row r="51289" spans="8:8">
      <c r="H51289" s="680" t="s">
        <v>6153</v>
      </c>
    </row>
    <row r="51290" spans="8:8">
      <c r="H51290" s="680" t="s">
        <v>6153</v>
      </c>
    </row>
    <row r="51291" spans="8:8">
      <c r="H51291" s="680" t="s">
        <v>6153</v>
      </c>
    </row>
    <row r="51292" spans="8:8">
      <c r="H51292" s="680" t="s">
        <v>6153</v>
      </c>
    </row>
    <row r="51293" spans="8:8">
      <c r="H51293" s="680" t="s">
        <v>6153</v>
      </c>
    </row>
    <row r="51294" spans="8:8">
      <c r="H51294" s="680" t="s">
        <v>6153</v>
      </c>
    </row>
    <row r="51295" spans="8:8">
      <c r="H51295" s="680" t="s">
        <v>6153</v>
      </c>
    </row>
    <row r="51296" spans="8:8">
      <c r="H51296" s="680" t="s">
        <v>6153</v>
      </c>
    </row>
    <row r="51297" spans="8:8">
      <c r="H51297" s="680" t="s">
        <v>6153</v>
      </c>
    </row>
    <row r="51298" spans="8:8">
      <c r="H51298" s="680" t="s">
        <v>6153</v>
      </c>
    </row>
    <row r="51299" spans="8:8">
      <c r="H51299" s="680" t="s">
        <v>6153</v>
      </c>
    </row>
    <row r="51300" spans="8:8">
      <c r="H51300" s="680" t="s">
        <v>6153</v>
      </c>
    </row>
    <row r="51301" spans="8:8">
      <c r="H51301" s="680" t="s">
        <v>6153</v>
      </c>
    </row>
    <row r="51302" spans="8:8">
      <c r="H51302" s="680" t="s">
        <v>6153</v>
      </c>
    </row>
    <row r="51303" spans="8:8">
      <c r="H51303" s="680" t="s">
        <v>6153</v>
      </c>
    </row>
    <row r="51304" spans="8:8">
      <c r="H51304" s="680" t="s">
        <v>6153</v>
      </c>
    </row>
    <row r="51305" spans="8:8">
      <c r="H51305" s="680" t="s">
        <v>6153</v>
      </c>
    </row>
    <row r="51306" spans="8:8">
      <c r="H51306" s="680" t="s">
        <v>6153</v>
      </c>
    </row>
    <row r="51307" spans="8:8">
      <c r="H51307" s="680" t="s">
        <v>6153</v>
      </c>
    </row>
    <row r="51308" spans="8:8">
      <c r="H51308" s="680" t="s">
        <v>6153</v>
      </c>
    </row>
    <row r="51309" spans="8:8">
      <c r="H51309" s="680" t="s">
        <v>6153</v>
      </c>
    </row>
    <row r="51310" spans="8:8">
      <c r="H51310" s="680" t="s">
        <v>6153</v>
      </c>
    </row>
    <row r="51311" spans="8:8">
      <c r="H51311" s="680" t="s">
        <v>6153</v>
      </c>
    </row>
    <row r="51312" spans="8:8">
      <c r="H51312" s="680" t="s">
        <v>6153</v>
      </c>
    </row>
    <row r="51313" spans="8:8">
      <c r="H51313" s="680" t="s">
        <v>6153</v>
      </c>
    </row>
    <row r="51314" spans="8:8">
      <c r="H51314" s="680" t="s">
        <v>6153</v>
      </c>
    </row>
    <row r="51315" spans="8:8">
      <c r="H51315" s="680" t="s">
        <v>6153</v>
      </c>
    </row>
    <row r="51316" spans="8:8">
      <c r="H51316" s="680" t="s">
        <v>6153</v>
      </c>
    </row>
    <row r="51317" spans="8:8">
      <c r="H51317" s="680" t="s">
        <v>6153</v>
      </c>
    </row>
    <row r="51318" spans="8:8">
      <c r="H51318" s="680" t="s">
        <v>6153</v>
      </c>
    </row>
    <row r="51319" spans="8:8">
      <c r="H51319" s="680" t="s">
        <v>6153</v>
      </c>
    </row>
    <row r="51320" spans="8:8">
      <c r="H51320" s="680" t="s">
        <v>6153</v>
      </c>
    </row>
    <row r="51321" spans="8:8">
      <c r="H51321" s="680" t="s">
        <v>6153</v>
      </c>
    </row>
    <row r="51322" spans="8:8">
      <c r="H51322" s="680" t="s">
        <v>6153</v>
      </c>
    </row>
    <row r="51323" spans="8:8">
      <c r="H51323" s="680" t="s">
        <v>6153</v>
      </c>
    </row>
    <row r="51324" spans="8:8">
      <c r="H51324" s="680" t="s">
        <v>6153</v>
      </c>
    </row>
    <row r="51325" spans="8:8">
      <c r="H51325" s="680" t="s">
        <v>6153</v>
      </c>
    </row>
    <row r="51326" spans="8:8">
      <c r="H51326" s="680" t="s">
        <v>6153</v>
      </c>
    </row>
    <row r="51327" spans="8:8">
      <c r="H51327" s="680" t="s">
        <v>6153</v>
      </c>
    </row>
    <row r="51328" spans="8:8">
      <c r="H51328" s="680" t="s">
        <v>6153</v>
      </c>
    </row>
    <row r="51329" spans="8:8">
      <c r="H51329" s="680" t="s">
        <v>6153</v>
      </c>
    </row>
    <row r="51330" spans="8:8">
      <c r="H51330" s="680" t="s">
        <v>6153</v>
      </c>
    </row>
    <row r="51331" spans="8:8">
      <c r="H51331" s="680" t="s">
        <v>6153</v>
      </c>
    </row>
    <row r="51332" spans="8:8">
      <c r="H51332" s="680" t="s">
        <v>6153</v>
      </c>
    </row>
    <row r="51333" spans="8:8">
      <c r="H51333" s="680" t="s">
        <v>6153</v>
      </c>
    </row>
    <row r="51334" spans="8:8">
      <c r="H51334" s="680" t="s">
        <v>6153</v>
      </c>
    </row>
    <row r="51335" spans="8:8">
      <c r="H51335" s="680" t="s">
        <v>6153</v>
      </c>
    </row>
    <row r="51336" spans="8:8">
      <c r="H51336" s="680" t="s">
        <v>6153</v>
      </c>
    </row>
    <row r="51337" spans="8:8">
      <c r="H51337" s="680" t="s">
        <v>6153</v>
      </c>
    </row>
    <row r="51338" spans="8:8">
      <c r="H51338" s="680" t="s">
        <v>6153</v>
      </c>
    </row>
    <row r="51339" spans="8:8">
      <c r="H51339" s="680" t="s">
        <v>6153</v>
      </c>
    </row>
    <row r="51340" spans="8:8">
      <c r="H51340" s="680" t="s">
        <v>6153</v>
      </c>
    </row>
    <row r="51341" spans="8:8">
      <c r="H51341" s="680" t="s">
        <v>6153</v>
      </c>
    </row>
    <row r="51342" spans="8:8">
      <c r="H51342" s="680" t="s">
        <v>6153</v>
      </c>
    </row>
    <row r="51343" spans="8:8">
      <c r="H51343" s="680" t="s">
        <v>6153</v>
      </c>
    </row>
    <row r="51344" spans="8:8">
      <c r="H51344" s="680" t="s">
        <v>6153</v>
      </c>
    </row>
    <row r="51345" spans="8:8">
      <c r="H51345" s="680" t="s">
        <v>6153</v>
      </c>
    </row>
    <row r="51346" spans="8:8">
      <c r="H51346" s="680" t="s">
        <v>6153</v>
      </c>
    </row>
    <row r="51347" spans="8:8">
      <c r="H51347" s="680" t="s">
        <v>6153</v>
      </c>
    </row>
    <row r="51348" spans="8:8">
      <c r="H51348" s="680" t="s">
        <v>6153</v>
      </c>
    </row>
    <row r="51349" spans="8:8">
      <c r="H51349" s="680" t="s">
        <v>6153</v>
      </c>
    </row>
    <row r="51350" spans="8:8">
      <c r="H51350" s="680" t="s">
        <v>6153</v>
      </c>
    </row>
    <row r="51351" spans="8:8">
      <c r="H51351" s="680" t="s">
        <v>6153</v>
      </c>
    </row>
    <row r="51352" spans="8:8">
      <c r="H51352" s="680" t="s">
        <v>6153</v>
      </c>
    </row>
    <row r="51353" spans="8:8">
      <c r="H51353" s="680" t="s">
        <v>6153</v>
      </c>
    </row>
    <row r="51354" spans="8:8">
      <c r="H51354" s="680" t="s">
        <v>6153</v>
      </c>
    </row>
    <row r="51355" spans="8:8">
      <c r="H51355" s="680" t="s">
        <v>6153</v>
      </c>
    </row>
    <row r="51356" spans="8:8">
      <c r="H51356" s="680" t="s">
        <v>6153</v>
      </c>
    </row>
    <row r="51357" spans="8:8">
      <c r="H51357" s="680" t="s">
        <v>6153</v>
      </c>
    </row>
    <row r="51358" spans="8:8">
      <c r="H51358" s="680" t="s">
        <v>6153</v>
      </c>
    </row>
    <row r="51359" spans="8:8">
      <c r="H51359" s="680" t="s">
        <v>6153</v>
      </c>
    </row>
    <row r="51360" spans="8:8">
      <c r="H51360" s="680" t="s">
        <v>6153</v>
      </c>
    </row>
    <row r="51361" spans="8:8">
      <c r="H51361" s="680" t="s">
        <v>6153</v>
      </c>
    </row>
    <row r="51362" spans="8:8">
      <c r="H51362" s="680" t="s">
        <v>6153</v>
      </c>
    </row>
    <row r="51363" spans="8:8">
      <c r="H51363" s="680" t="s">
        <v>6153</v>
      </c>
    </row>
    <row r="51364" spans="8:8">
      <c r="H51364" s="680" t="s">
        <v>6153</v>
      </c>
    </row>
    <row r="51365" spans="8:8">
      <c r="H51365" s="680" t="s">
        <v>6153</v>
      </c>
    </row>
    <row r="51366" spans="8:8">
      <c r="H51366" s="680" t="s">
        <v>6153</v>
      </c>
    </row>
    <row r="51367" spans="8:8">
      <c r="H51367" s="680" t="s">
        <v>6153</v>
      </c>
    </row>
    <row r="51368" spans="8:8">
      <c r="H51368" s="680" t="s">
        <v>6153</v>
      </c>
    </row>
    <row r="51369" spans="8:8">
      <c r="H51369" s="680" t="s">
        <v>6153</v>
      </c>
    </row>
    <row r="51370" spans="8:8">
      <c r="H51370" s="680" t="s">
        <v>6153</v>
      </c>
    </row>
    <row r="51371" spans="8:8">
      <c r="H51371" s="680" t="s">
        <v>6153</v>
      </c>
    </row>
    <row r="51372" spans="8:8">
      <c r="H51372" s="680" t="s">
        <v>6153</v>
      </c>
    </row>
    <row r="51373" spans="8:8">
      <c r="H51373" s="680" t="s">
        <v>6153</v>
      </c>
    </row>
    <row r="51374" spans="8:8">
      <c r="H51374" s="680" t="s">
        <v>6153</v>
      </c>
    </row>
    <row r="51375" spans="8:8">
      <c r="H51375" s="680" t="s">
        <v>6153</v>
      </c>
    </row>
    <row r="51376" spans="8:8">
      <c r="H51376" s="680" t="s">
        <v>6153</v>
      </c>
    </row>
    <row r="51377" spans="8:8">
      <c r="H51377" s="680" t="s">
        <v>6153</v>
      </c>
    </row>
    <row r="51378" spans="8:8">
      <c r="H51378" s="680" t="s">
        <v>6153</v>
      </c>
    </row>
    <row r="51379" spans="8:8">
      <c r="H51379" s="680" t="s">
        <v>6153</v>
      </c>
    </row>
    <row r="51380" spans="8:8">
      <c r="H51380" s="680" t="s">
        <v>6153</v>
      </c>
    </row>
    <row r="51381" spans="8:8">
      <c r="H51381" s="680" t="s">
        <v>6153</v>
      </c>
    </row>
    <row r="51382" spans="8:8">
      <c r="H51382" s="680" t="s">
        <v>6153</v>
      </c>
    </row>
    <row r="51383" spans="8:8">
      <c r="H51383" s="680" t="s">
        <v>6153</v>
      </c>
    </row>
    <row r="51384" spans="8:8">
      <c r="H51384" s="680" t="s">
        <v>6153</v>
      </c>
    </row>
    <row r="51385" spans="8:8">
      <c r="H51385" s="680" t="s">
        <v>6153</v>
      </c>
    </row>
    <row r="51386" spans="8:8">
      <c r="H51386" s="680" t="s">
        <v>6153</v>
      </c>
    </row>
    <row r="51387" spans="8:8">
      <c r="H51387" s="680" t="s">
        <v>6153</v>
      </c>
    </row>
    <row r="51388" spans="8:8">
      <c r="H51388" s="680" t="s">
        <v>6153</v>
      </c>
    </row>
    <row r="51389" spans="8:8">
      <c r="H51389" s="680" t="s">
        <v>6153</v>
      </c>
    </row>
    <row r="51390" spans="8:8">
      <c r="H51390" s="680" t="s">
        <v>6153</v>
      </c>
    </row>
    <row r="51391" spans="8:8">
      <c r="H51391" s="680" t="s">
        <v>6153</v>
      </c>
    </row>
    <row r="51392" spans="8:8">
      <c r="H51392" s="680" t="s">
        <v>6153</v>
      </c>
    </row>
    <row r="51393" spans="8:8">
      <c r="H51393" s="680" t="s">
        <v>6153</v>
      </c>
    </row>
    <row r="51394" spans="8:8">
      <c r="H51394" s="680" t="s">
        <v>6153</v>
      </c>
    </row>
    <row r="51395" spans="8:8">
      <c r="H51395" s="680" t="s">
        <v>6153</v>
      </c>
    </row>
    <row r="51396" spans="8:8">
      <c r="H51396" s="680" t="s">
        <v>6153</v>
      </c>
    </row>
    <row r="51397" spans="8:8">
      <c r="H51397" s="680" t="s">
        <v>6153</v>
      </c>
    </row>
    <row r="51398" spans="8:8">
      <c r="H51398" s="680" t="s">
        <v>6153</v>
      </c>
    </row>
    <row r="51399" spans="8:8">
      <c r="H51399" s="680" t="s">
        <v>6153</v>
      </c>
    </row>
    <row r="51400" spans="8:8">
      <c r="H51400" s="680" t="s">
        <v>6153</v>
      </c>
    </row>
    <row r="51401" spans="8:8">
      <c r="H51401" s="680" t="s">
        <v>6153</v>
      </c>
    </row>
    <row r="51402" spans="8:8">
      <c r="H51402" s="680" t="s">
        <v>6153</v>
      </c>
    </row>
    <row r="51403" spans="8:8">
      <c r="H51403" s="680" t="s">
        <v>6153</v>
      </c>
    </row>
    <row r="51404" spans="8:8">
      <c r="H51404" s="680" t="s">
        <v>6153</v>
      </c>
    </row>
    <row r="51405" spans="8:8">
      <c r="H51405" s="680" t="s">
        <v>6153</v>
      </c>
    </row>
    <row r="51406" spans="8:8">
      <c r="H51406" s="680" t="s">
        <v>6153</v>
      </c>
    </row>
    <row r="51407" spans="8:8">
      <c r="H51407" s="680" t="s">
        <v>6153</v>
      </c>
    </row>
    <row r="51408" spans="8:8">
      <c r="H51408" s="680" t="s">
        <v>6153</v>
      </c>
    </row>
    <row r="51409" spans="8:8">
      <c r="H51409" s="680" t="s">
        <v>6153</v>
      </c>
    </row>
    <row r="51410" spans="8:8">
      <c r="H51410" s="680" t="s">
        <v>6153</v>
      </c>
    </row>
    <row r="51411" spans="8:8">
      <c r="H51411" s="680" t="s">
        <v>6153</v>
      </c>
    </row>
    <row r="51412" spans="8:8">
      <c r="H51412" s="680" t="s">
        <v>6153</v>
      </c>
    </row>
    <row r="51413" spans="8:8">
      <c r="H51413" s="680" t="s">
        <v>6153</v>
      </c>
    </row>
    <row r="51414" spans="8:8">
      <c r="H51414" s="680" t="s">
        <v>6153</v>
      </c>
    </row>
    <row r="51415" spans="8:8">
      <c r="H51415" s="680" t="s">
        <v>6153</v>
      </c>
    </row>
    <row r="51416" spans="8:8">
      <c r="H51416" s="680" t="s">
        <v>6153</v>
      </c>
    </row>
    <row r="51417" spans="8:8">
      <c r="H51417" s="680" t="s">
        <v>6153</v>
      </c>
    </row>
    <row r="51418" spans="8:8">
      <c r="H51418" s="680" t="s">
        <v>6153</v>
      </c>
    </row>
    <row r="51419" spans="8:8">
      <c r="H51419" s="680" t="s">
        <v>6153</v>
      </c>
    </row>
    <row r="51420" spans="8:8">
      <c r="H51420" s="680" t="s">
        <v>6153</v>
      </c>
    </row>
    <row r="51421" spans="8:8">
      <c r="H51421" s="680" t="s">
        <v>6153</v>
      </c>
    </row>
    <row r="51422" spans="8:8">
      <c r="H51422" s="680" t="s">
        <v>6153</v>
      </c>
    </row>
    <row r="51423" spans="8:8">
      <c r="H51423" s="680" t="s">
        <v>6153</v>
      </c>
    </row>
    <row r="51424" spans="8:8">
      <c r="H51424" s="680" t="s">
        <v>6153</v>
      </c>
    </row>
    <row r="51425" spans="8:8">
      <c r="H51425" s="680" t="s">
        <v>6153</v>
      </c>
    </row>
    <row r="51426" spans="8:8">
      <c r="H51426" s="680" t="s">
        <v>6153</v>
      </c>
    </row>
    <row r="51427" spans="8:8">
      <c r="H51427" s="680" t="s">
        <v>6153</v>
      </c>
    </row>
    <row r="51428" spans="8:8">
      <c r="H51428" s="680" t="s">
        <v>6153</v>
      </c>
    </row>
    <row r="51429" spans="8:8">
      <c r="H51429" s="680" t="s">
        <v>6153</v>
      </c>
    </row>
    <row r="51430" spans="8:8">
      <c r="H51430" s="680" t="s">
        <v>6153</v>
      </c>
    </row>
    <row r="51431" spans="8:8">
      <c r="H51431" s="680" t="s">
        <v>6153</v>
      </c>
    </row>
    <row r="51432" spans="8:8">
      <c r="H51432" s="680" t="s">
        <v>6153</v>
      </c>
    </row>
    <row r="51433" spans="8:8">
      <c r="H51433" s="680" t="s">
        <v>6153</v>
      </c>
    </row>
    <row r="51434" spans="8:8">
      <c r="H51434" s="680" t="s">
        <v>6153</v>
      </c>
    </row>
    <row r="51435" spans="8:8">
      <c r="H51435" s="680" t="s">
        <v>6153</v>
      </c>
    </row>
    <row r="51436" spans="8:8">
      <c r="H51436" s="680" t="s">
        <v>6153</v>
      </c>
    </row>
    <row r="51437" spans="8:8">
      <c r="H51437" s="680" t="s">
        <v>6153</v>
      </c>
    </row>
    <row r="51438" spans="8:8">
      <c r="H51438" s="680" t="s">
        <v>6153</v>
      </c>
    </row>
    <row r="51439" spans="8:8">
      <c r="H51439" s="680" t="s">
        <v>6153</v>
      </c>
    </row>
    <row r="51440" spans="8:8">
      <c r="H51440" s="680" t="s">
        <v>6153</v>
      </c>
    </row>
    <row r="51441" spans="8:8">
      <c r="H51441" s="680" t="s">
        <v>6153</v>
      </c>
    </row>
    <row r="51442" spans="8:8">
      <c r="H51442" s="680" t="s">
        <v>6153</v>
      </c>
    </row>
    <row r="51443" spans="8:8">
      <c r="H51443" s="680" t="s">
        <v>6153</v>
      </c>
    </row>
    <row r="51444" spans="8:8">
      <c r="H51444" s="680" t="s">
        <v>6153</v>
      </c>
    </row>
    <row r="51445" spans="8:8">
      <c r="H51445" s="680" t="s">
        <v>6153</v>
      </c>
    </row>
    <row r="51446" spans="8:8">
      <c r="H51446" s="680" t="s">
        <v>6153</v>
      </c>
    </row>
    <row r="51447" spans="8:8">
      <c r="H51447" s="680" t="s">
        <v>6153</v>
      </c>
    </row>
    <row r="51448" spans="8:8">
      <c r="H51448" s="680" t="s">
        <v>6153</v>
      </c>
    </row>
    <row r="51449" spans="8:8">
      <c r="H51449" s="680" t="s">
        <v>6153</v>
      </c>
    </row>
    <row r="51450" spans="8:8">
      <c r="H51450" s="680" t="s">
        <v>6153</v>
      </c>
    </row>
    <row r="51451" spans="8:8">
      <c r="H51451" s="680" t="s">
        <v>6153</v>
      </c>
    </row>
    <row r="51452" spans="8:8">
      <c r="H51452" s="680" t="s">
        <v>6153</v>
      </c>
    </row>
    <row r="51453" spans="8:8">
      <c r="H51453" s="680" t="s">
        <v>6153</v>
      </c>
    </row>
    <row r="51454" spans="8:8">
      <c r="H51454" s="680" t="s">
        <v>6153</v>
      </c>
    </row>
    <row r="51455" spans="8:8">
      <c r="H51455" s="680" t="s">
        <v>6153</v>
      </c>
    </row>
    <row r="51456" spans="8:8">
      <c r="H51456" s="680" t="s">
        <v>6153</v>
      </c>
    </row>
    <row r="51457" spans="8:8">
      <c r="H51457" s="680" t="s">
        <v>6153</v>
      </c>
    </row>
    <row r="51458" spans="8:8">
      <c r="H51458" s="680" t="s">
        <v>6153</v>
      </c>
    </row>
    <row r="51459" spans="8:8">
      <c r="H51459" s="680" t="s">
        <v>6153</v>
      </c>
    </row>
    <row r="51460" spans="8:8">
      <c r="H51460" s="680" t="s">
        <v>6153</v>
      </c>
    </row>
    <row r="51461" spans="8:8">
      <c r="H51461" s="680" t="s">
        <v>6153</v>
      </c>
    </row>
    <row r="51462" spans="8:8">
      <c r="H51462" s="680" t="s">
        <v>6153</v>
      </c>
    </row>
    <row r="51463" spans="8:8">
      <c r="H51463" s="680" t="s">
        <v>6153</v>
      </c>
    </row>
    <row r="51464" spans="8:8">
      <c r="H51464" s="680" t="s">
        <v>6153</v>
      </c>
    </row>
    <row r="51465" spans="8:8">
      <c r="H51465" s="680" t="s">
        <v>6153</v>
      </c>
    </row>
    <row r="51466" spans="8:8">
      <c r="H51466" s="680" t="s">
        <v>6153</v>
      </c>
    </row>
    <row r="51467" spans="8:8">
      <c r="H51467" s="680" t="s">
        <v>6153</v>
      </c>
    </row>
    <row r="51468" spans="8:8">
      <c r="H51468" s="680" t="s">
        <v>6153</v>
      </c>
    </row>
    <row r="51469" spans="8:8">
      <c r="H51469" s="680" t="s">
        <v>6153</v>
      </c>
    </row>
    <row r="51470" spans="8:8">
      <c r="H51470" s="680" t="s">
        <v>6153</v>
      </c>
    </row>
    <row r="51471" spans="8:8">
      <c r="H51471" s="680" t="s">
        <v>6153</v>
      </c>
    </row>
    <row r="51472" spans="8:8">
      <c r="H51472" s="680" t="s">
        <v>6153</v>
      </c>
    </row>
    <row r="51473" spans="8:8">
      <c r="H51473" s="680" t="s">
        <v>6153</v>
      </c>
    </row>
    <row r="51474" spans="8:8">
      <c r="H51474" s="680" t="s">
        <v>6153</v>
      </c>
    </row>
    <row r="51475" spans="8:8">
      <c r="H51475" s="680" t="s">
        <v>6153</v>
      </c>
    </row>
    <row r="51476" spans="8:8">
      <c r="H51476" s="680" t="s">
        <v>6153</v>
      </c>
    </row>
    <row r="51477" spans="8:8">
      <c r="H51477" s="680" t="s">
        <v>6153</v>
      </c>
    </row>
    <row r="51478" spans="8:8">
      <c r="H51478" s="680" t="s">
        <v>6153</v>
      </c>
    </row>
    <row r="51479" spans="8:8">
      <c r="H51479" s="680" t="s">
        <v>6153</v>
      </c>
    </row>
    <row r="51480" spans="8:8">
      <c r="H51480" s="680" t="s">
        <v>6153</v>
      </c>
    </row>
    <row r="51481" spans="8:8">
      <c r="H51481" s="680" t="s">
        <v>6153</v>
      </c>
    </row>
    <row r="51482" spans="8:8">
      <c r="H51482" s="680" t="s">
        <v>6153</v>
      </c>
    </row>
    <row r="51483" spans="8:8">
      <c r="H51483" s="680" t="s">
        <v>6153</v>
      </c>
    </row>
    <row r="51484" spans="8:8">
      <c r="H51484" s="680" t="s">
        <v>6153</v>
      </c>
    </row>
    <row r="51485" spans="8:8">
      <c r="H51485" s="680" t="s">
        <v>6153</v>
      </c>
    </row>
    <row r="51486" spans="8:8">
      <c r="H51486" s="680" t="s">
        <v>6153</v>
      </c>
    </row>
    <row r="51487" spans="8:8">
      <c r="H51487" s="680" t="s">
        <v>6153</v>
      </c>
    </row>
    <row r="51488" spans="8:8">
      <c r="H51488" s="680" t="s">
        <v>6153</v>
      </c>
    </row>
    <row r="51489" spans="8:8">
      <c r="H51489" s="680" t="s">
        <v>6153</v>
      </c>
    </row>
    <row r="51490" spans="8:8">
      <c r="H51490" s="680" t="s">
        <v>6153</v>
      </c>
    </row>
    <row r="51491" spans="8:8">
      <c r="H51491" s="680" t="s">
        <v>6153</v>
      </c>
    </row>
    <row r="51492" spans="8:8">
      <c r="H51492" s="680" t="s">
        <v>6153</v>
      </c>
    </row>
    <row r="51493" spans="8:8">
      <c r="H51493" s="680" t="s">
        <v>6153</v>
      </c>
    </row>
    <row r="51494" spans="8:8">
      <c r="H51494" s="680" t="s">
        <v>6153</v>
      </c>
    </row>
    <row r="51495" spans="8:8">
      <c r="H51495" s="680" t="s">
        <v>6153</v>
      </c>
    </row>
    <row r="51496" spans="8:8">
      <c r="H51496" s="680" t="s">
        <v>6153</v>
      </c>
    </row>
    <row r="51497" spans="8:8">
      <c r="H51497" s="680" t="s">
        <v>6153</v>
      </c>
    </row>
    <row r="51498" spans="8:8">
      <c r="H51498" s="680" t="s">
        <v>6153</v>
      </c>
    </row>
    <row r="51499" spans="8:8">
      <c r="H51499" s="680" t="s">
        <v>6153</v>
      </c>
    </row>
    <row r="51500" spans="8:8">
      <c r="H51500" s="680" t="s">
        <v>6153</v>
      </c>
    </row>
    <row r="51501" spans="8:8">
      <c r="H51501" s="680" t="s">
        <v>6153</v>
      </c>
    </row>
    <row r="51502" spans="8:8">
      <c r="H51502" s="680" t="s">
        <v>6153</v>
      </c>
    </row>
    <row r="51503" spans="8:8">
      <c r="H51503" s="680" t="s">
        <v>6153</v>
      </c>
    </row>
    <row r="51504" spans="8:8">
      <c r="H51504" s="680" t="s">
        <v>6153</v>
      </c>
    </row>
    <row r="51505" spans="8:8">
      <c r="H51505" s="680" t="s">
        <v>6153</v>
      </c>
    </row>
    <row r="51506" spans="8:8">
      <c r="H51506" s="680" t="s">
        <v>6153</v>
      </c>
    </row>
    <row r="51507" spans="8:8">
      <c r="H51507" s="680" t="s">
        <v>6153</v>
      </c>
    </row>
    <row r="51508" spans="8:8">
      <c r="H51508" s="680" t="s">
        <v>6153</v>
      </c>
    </row>
    <row r="51509" spans="8:8">
      <c r="H51509" s="680" t="s">
        <v>6153</v>
      </c>
    </row>
    <row r="51510" spans="8:8">
      <c r="H51510" s="680" t="s">
        <v>6153</v>
      </c>
    </row>
    <row r="51511" spans="8:8">
      <c r="H51511" s="680" t="s">
        <v>6153</v>
      </c>
    </row>
    <row r="51512" spans="8:8">
      <c r="H51512" s="680" t="s">
        <v>6153</v>
      </c>
    </row>
    <row r="51513" spans="8:8">
      <c r="H51513" s="680" t="s">
        <v>6153</v>
      </c>
    </row>
    <row r="51514" spans="8:8">
      <c r="H51514" s="680" t="s">
        <v>6153</v>
      </c>
    </row>
    <row r="51515" spans="8:8">
      <c r="H51515" s="680" t="s">
        <v>6153</v>
      </c>
    </row>
    <row r="51516" spans="8:8">
      <c r="H51516" s="680" t="s">
        <v>6153</v>
      </c>
    </row>
    <row r="51517" spans="8:8">
      <c r="H51517" s="680" t="s">
        <v>6153</v>
      </c>
    </row>
    <row r="51518" spans="8:8">
      <c r="H51518" s="680" t="s">
        <v>6153</v>
      </c>
    </row>
    <row r="51519" spans="8:8">
      <c r="H51519" s="680" t="s">
        <v>6153</v>
      </c>
    </row>
    <row r="51520" spans="8:8">
      <c r="H51520" s="680" t="s">
        <v>6153</v>
      </c>
    </row>
    <row r="51521" spans="8:8">
      <c r="H51521" s="680" t="s">
        <v>6153</v>
      </c>
    </row>
    <row r="51522" spans="8:8">
      <c r="H51522" s="680" t="s">
        <v>6153</v>
      </c>
    </row>
    <row r="51523" spans="8:8">
      <c r="H51523" s="680" t="s">
        <v>6153</v>
      </c>
    </row>
    <row r="51524" spans="8:8">
      <c r="H51524" s="680" t="s">
        <v>6153</v>
      </c>
    </row>
    <row r="51525" spans="8:8">
      <c r="H51525" s="680" t="s">
        <v>6153</v>
      </c>
    </row>
    <row r="51526" spans="8:8">
      <c r="H51526" s="680" t="s">
        <v>6153</v>
      </c>
    </row>
    <row r="51527" spans="8:8">
      <c r="H51527" s="680" t="s">
        <v>6153</v>
      </c>
    </row>
    <row r="51528" spans="8:8">
      <c r="H51528" s="680" t="s">
        <v>6153</v>
      </c>
    </row>
    <row r="51529" spans="8:8">
      <c r="H51529" s="680" t="s">
        <v>6153</v>
      </c>
    </row>
    <row r="51530" spans="8:8">
      <c r="H51530" s="680" t="s">
        <v>6153</v>
      </c>
    </row>
    <row r="51531" spans="8:8">
      <c r="H51531" s="680" t="s">
        <v>6153</v>
      </c>
    </row>
    <row r="51532" spans="8:8">
      <c r="H51532" s="680" t="s">
        <v>6153</v>
      </c>
    </row>
    <row r="51533" spans="8:8">
      <c r="H51533" s="680" t="s">
        <v>6153</v>
      </c>
    </row>
    <row r="51534" spans="8:8">
      <c r="H51534" s="680" t="s">
        <v>6153</v>
      </c>
    </row>
    <row r="51535" spans="8:8">
      <c r="H51535" s="680" t="s">
        <v>6153</v>
      </c>
    </row>
    <row r="51536" spans="8:8">
      <c r="H51536" s="680" t="s">
        <v>6153</v>
      </c>
    </row>
    <row r="51537" spans="8:8">
      <c r="H51537" s="680" t="s">
        <v>6153</v>
      </c>
    </row>
    <row r="51538" spans="8:8">
      <c r="H51538" s="680" t="s">
        <v>6153</v>
      </c>
    </row>
    <row r="51539" spans="8:8">
      <c r="H51539" s="680" t="s">
        <v>6153</v>
      </c>
    </row>
    <row r="51540" spans="8:8">
      <c r="H51540" s="680" t="s">
        <v>6153</v>
      </c>
    </row>
    <row r="51541" spans="8:8">
      <c r="H51541" s="680" t="s">
        <v>6153</v>
      </c>
    </row>
    <row r="51542" spans="8:8">
      <c r="H51542" s="680" t="s">
        <v>6153</v>
      </c>
    </row>
    <row r="51543" spans="8:8">
      <c r="H51543" s="680" t="s">
        <v>6153</v>
      </c>
    </row>
    <row r="51544" spans="8:8">
      <c r="H51544" s="680" t="s">
        <v>6153</v>
      </c>
    </row>
    <row r="51545" spans="8:8">
      <c r="H51545" s="680" t="s">
        <v>6153</v>
      </c>
    </row>
    <row r="51546" spans="8:8">
      <c r="H51546" s="680" t="s">
        <v>6153</v>
      </c>
    </row>
    <row r="51547" spans="8:8">
      <c r="H51547" s="680" t="s">
        <v>6153</v>
      </c>
    </row>
    <row r="51548" spans="8:8">
      <c r="H51548" s="680" t="s">
        <v>6153</v>
      </c>
    </row>
    <row r="51549" spans="8:8">
      <c r="H51549" s="680" t="s">
        <v>6153</v>
      </c>
    </row>
    <row r="51550" spans="8:8">
      <c r="H51550" s="680" t="s">
        <v>6153</v>
      </c>
    </row>
    <row r="51551" spans="8:8">
      <c r="H51551" s="680" t="s">
        <v>6153</v>
      </c>
    </row>
    <row r="51552" spans="8:8">
      <c r="H51552" s="680" t="s">
        <v>6153</v>
      </c>
    </row>
    <row r="51553" spans="8:8">
      <c r="H51553" s="680" t="s">
        <v>6153</v>
      </c>
    </row>
    <row r="51554" spans="8:8">
      <c r="H51554" s="680" t="s">
        <v>6153</v>
      </c>
    </row>
    <row r="51555" spans="8:8">
      <c r="H51555" s="680" t="s">
        <v>6153</v>
      </c>
    </row>
    <row r="51556" spans="8:8">
      <c r="H51556" s="680" t="s">
        <v>6153</v>
      </c>
    </row>
    <row r="51557" spans="8:8">
      <c r="H51557" s="680" t="s">
        <v>6153</v>
      </c>
    </row>
    <row r="51558" spans="8:8">
      <c r="H51558" s="680" t="s">
        <v>6153</v>
      </c>
    </row>
    <row r="51559" spans="8:8">
      <c r="H51559" s="680" t="s">
        <v>6153</v>
      </c>
    </row>
    <row r="51560" spans="8:8">
      <c r="H51560" s="680" t="s">
        <v>6153</v>
      </c>
    </row>
    <row r="51561" spans="8:8">
      <c r="H51561" s="680" t="s">
        <v>6153</v>
      </c>
    </row>
    <row r="51562" spans="8:8">
      <c r="H51562" s="680" t="s">
        <v>6153</v>
      </c>
    </row>
    <row r="51563" spans="8:8">
      <c r="H51563" s="680" t="s">
        <v>6153</v>
      </c>
    </row>
    <row r="51564" spans="8:8">
      <c r="H51564" s="680" t="s">
        <v>6153</v>
      </c>
    </row>
    <row r="51565" spans="8:8">
      <c r="H51565" s="680" t="s">
        <v>6153</v>
      </c>
    </row>
    <row r="51566" spans="8:8">
      <c r="H51566" s="680" t="s">
        <v>6153</v>
      </c>
    </row>
    <row r="51567" spans="8:8">
      <c r="H51567" s="680" t="s">
        <v>6153</v>
      </c>
    </row>
    <row r="51568" spans="8:8">
      <c r="H51568" s="680" t="s">
        <v>6153</v>
      </c>
    </row>
    <row r="51569" spans="8:8">
      <c r="H51569" s="680" t="s">
        <v>6153</v>
      </c>
    </row>
    <row r="51570" spans="8:8">
      <c r="H51570" s="680" t="s">
        <v>6153</v>
      </c>
    </row>
    <row r="51571" spans="8:8">
      <c r="H51571" s="680" t="s">
        <v>6153</v>
      </c>
    </row>
    <row r="51572" spans="8:8">
      <c r="H51572" s="680" t="s">
        <v>6153</v>
      </c>
    </row>
    <row r="51573" spans="8:8">
      <c r="H51573" s="680" t="s">
        <v>6153</v>
      </c>
    </row>
    <row r="51574" spans="8:8">
      <c r="H51574" s="680" t="s">
        <v>6153</v>
      </c>
    </row>
    <row r="51575" spans="8:8">
      <c r="H51575" s="680" t="s">
        <v>6153</v>
      </c>
    </row>
    <row r="51576" spans="8:8">
      <c r="H51576" s="680" t="s">
        <v>6153</v>
      </c>
    </row>
    <row r="51577" spans="8:8">
      <c r="H51577" s="680" t="s">
        <v>6153</v>
      </c>
    </row>
    <row r="51578" spans="8:8">
      <c r="H51578" s="680" t="s">
        <v>6153</v>
      </c>
    </row>
    <row r="51579" spans="8:8">
      <c r="H51579" s="680" t="s">
        <v>6153</v>
      </c>
    </row>
    <row r="51580" spans="8:8">
      <c r="H51580" s="680" t="s">
        <v>6153</v>
      </c>
    </row>
    <row r="51581" spans="8:8">
      <c r="H51581" s="680" t="s">
        <v>6153</v>
      </c>
    </row>
    <row r="51582" spans="8:8">
      <c r="H51582" s="680" t="s">
        <v>6153</v>
      </c>
    </row>
    <row r="51583" spans="8:8">
      <c r="H51583" s="680" t="s">
        <v>6153</v>
      </c>
    </row>
    <row r="51584" spans="8:8">
      <c r="H51584" s="680" t="s">
        <v>6153</v>
      </c>
    </row>
    <row r="51585" spans="8:8">
      <c r="H51585" s="680" t="s">
        <v>6153</v>
      </c>
    </row>
    <row r="51586" spans="8:8">
      <c r="H51586" s="680" t="s">
        <v>6153</v>
      </c>
    </row>
    <row r="51587" spans="8:8">
      <c r="H51587" s="680" t="s">
        <v>6153</v>
      </c>
    </row>
    <row r="51588" spans="8:8">
      <c r="H51588" s="680" t="s">
        <v>6153</v>
      </c>
    </row>
    <row r="51589" spans="8:8">
      <c r="H51589" s="680" t="s">
        <v>6153</v>
      </c>
    </row>
    <row r="51590" spans="8:8">
      <c r="H51590" s="680" t="s">
        <v>6153</v>
      </c>
    </row>
    <row r="51591" spans="8:8">
      <c r="H51591" s="680" t="s">
        <v>6153</v>
      </c>
    </row>
    <row r="51592" spans="8:8">
      <c r="H51592" s="680" t="s">
        <v>6153</v>
      </c>
    </row>
    <row r="51593" spans="8:8">
      <c r="H51593" s="680" t="s">
        <v>6153</v>
      </c>
    </row>
    <row r="51594" spans="8:8">
      <c r="H51594" s="680" t="s">
        <v>6153</v>
      </c>
    </row>
    <row r="51595" spans="8:8">
      <c r="H51595" s="680" t="s">
        <v>6153</v>
      </c>
    </row>
    <row r="51596" spans="8:8">
      <c r="H51596" s="680" t="s">
        <v>6153</v>
      </c>
    </row>
    <row r="51597" spans="8:8">
      <c r="H51597" s="680" t="s">
        <v>6153</v>
      </c>
    </row>
    <row r="51598" spans="8:8">
      <c r="H51598" s="680" t="s">
        <v>6153</v>
      </c>
    </row>
    <row r="51599" spans="8:8">
      <c r="H51599" s="680" t="s">
        <v>6153</v>
      </c>
    </row>
    <row r="51600" spans="8:8">
      <c r="H51600" s="680" t="s">
        <v>6153</v>
      </c>
    </row>
    <row r="51601" spans="8:8">
      <c r="H51601" s="680" t="s">
        <v>6153</v>
      </c>
    </row>
    <row r="51602" spans="8:8">
      <c r="H51602" s="680" t="s">
        <v>6153</v>
      </c>
    </row>
    <row r="51603" spans="8:8">
      <c r="H51603" s="680" t="s">
        <v>6153</v>
      </c>
    </row>
    <row r="51604" spans="8:8">
      <c r="H51604" s="680" t="s">
        <v>6153</v>
      </c>
    </row>
    <row r="51605" spans="8:8">
      <c r="H51605" s="680" t="s">
        <v>6153</v>
      </c>
    </row>
    <row r="51606" spans="8:8">
      <c r="H51606" s="680" t="s">
        <v>6153</v>
      </c>
    </row>
    <row r="51607" spans="8:8">
      <c r="H51607" s="680" t="s">
        <v>6153</v>
      </c>
    </row>
    <row r="51608" spans="8:8">
      <c r="H51608" s="680" t="s">
        <v>6153</v>
      </c>
    </row>
    <row r="51609" spans="8:8">
      <c r="H51609" s="680" t="s">
        <v>6153</v>
      </c>
    </row>
    <row r="51610" spans="8:8">
      <c r="H51610" s="680" t="s">
        <v>6153</v>
      </c>
    </row>
    <row r="51611" spans="8:8">
      <c r="H51611" s="680" t="s">
        <v>6153</v>
      </c>
    </row>
    <row r="51612" spans="8:8">
      <c r="H51612" s="680" t="s">
        <v>6153</v>
      </c>
    </row>
    <row r="51613" spans="8:8">
      <c r="H51613" s="680" t="s">
        <v>6153</v>
      </c>
    </row>
    <row r="51614" spans="8:8">
      <c r="H51614" s="680" t="s">
        <v>6153</v>
      </c>
    </row>
    <row r="51615" spans="8:8">
      <c r="H51615" s="680" t="s">
        <v>6153</v>
      </c>
    </row>
    <row r="51616" spans="8:8">
      <c r="H51616" s="680" t="s">
        <v>6153</v>
      </c>
    </row>
    <row r="51617" spans="8:8">
      <c r="H51617" s="680" t="s">
        <v>6153</v>
      </c>
    </row>
    <row r="51618" spans="8:8">
      <c r="H51618" s="680" t="s">
        <v>6153</v>
      </c>
    </row>
    <row r="51619" spans="8:8">
      <c r="H51619" s="680" t="s">
        <v>6153</v>
      </c>
    </row>
    <row r="51620" spans="8:8">
      <c r="H51620" s="680" t="s">
        <v>6153</v>
      </c>
    </row>
    <row r="51621" spans="8:8">
      <c r="H51621" s="680" t="s">
        <v>6153</v>
      </c>
    </row>
    <row r="51622" spans="8:8">
      <c r="H51622" s="680" t="s">
        <v>6153</v>
      </c>
    </row>
    <row r="51623" spans="8:8">
      <c r="H51623" s="680" t="s">
        <v>6153</v>
      </c>
    </row>
    <row r="51624" spans="8:8">
      <c r="H51624" s="680" t="s">
        <v>6153</v>
      </c>
    </row>
    <row r="51625" spans="8:8">
      <c r="H51625" s="680" t="s">
        <v>6153</v>
      </c>
    </row>
    <row r="51626" spans="8:8">
      <c r="H51626" s="680" t="s">
        <v>6153</v>
      </c>
    </row>
    <row r="51627" spans="8:8">
      <c r="H51627" s="680" t="s">
        <v>6153</v>
      </c>
    </row>
    <row r="51628" spans="8:8">
      <c r="H51628" s="680" t="s">
        <v>6153</v>
      </c>
    </row>
    <row r="51629" spans="8:8">
      <c r="H51629" s="680" t="s">
        <v>6153</v>
      </c>
    </row>
    <row r="51630" spans="8:8">
      <c r="H51630" s="680" t="s">
        <v>6153</v>
      </c>
    </row>
    <row r="51631" spans="8:8">
      <c r="H51631" s="680" t="s">
        <v>6153</v>
      </c>
    </row>
    <row r="51632" spans="8:8">
      <c r="H51632" s="680" t="s">
        <v>6153</v>
      </c>
    </row>
    <row r="51633" spans="8:8">
      <c r="H51633" s="680" t="s">
        <v>6153</v>
      </c>
    </row>
    <row r="51634" spans="8:8">
      <c r="H51634" s="680" t="s">
        <v>6153</v>
      </c>
    </row>
    <row r="51635" spans="8:8">
      <c r="H51635" s="680" t="s">
        <v>6153</v>
      </c>
    </row>
    <row r="51636" spans="8:8">
      <c r="H51636" s="680" t="s">
        <v>6153</v>
      </c>
    </row>
    <row r="51637" spans="8:8">
      <c r="H51637" s="680" t="s">
        <v>6153</v>
      </c>
    </row>
    <row r="51638" spans="8:8">
      <c r="H51638" s="680" t="s">
        <v>6153</v>
      </c>
    </row>
    <row r="51639" spans="8:8">
      <c r="H51639" s="680" t="s">
        <v>6153</v>
      </c>
    </row>
    <row r="51640" spans="8:8">
      <c r="H51640" s="680" t="s">
        <v>6153</v>
      </c>
    </row>
    <row r="51641" spans="8:8">
      <c r="H51641" s="680" t="s">
        <v>6153</v>
      </c>
    </row>
    <row r="51642" spans="8:8">
      <c r="H51642" s="680" t="s">
        <v>6153</v>
      </c>
    </row>
    <row r="51643" spans="8:8">
      <c r="H51643" s="680" t="s">
        <v>6153</v>
      </c>
    </row>
    <row r="51644" spans="8:8">
      <c r="H51644" s="680" t="s">
        <v>6153</v>
      </c>
    </row>
    <row r="51645" spans="8:8">
      <c r="H51645" s="680" t="s">
        <v>6153</v>
      </c>
    </row>
    <row r="51646" spans="8:8">
      <c r="H51646" s="680" t="s">
        <v>6153</v>
      </c>
    </row>
    <row r="51647" spans="8:8">
      <c r="H51647" s="680" t="s">
        <v>6153</v>
      </c>
    </row>
    <row r="51648" spans="8:8">
      <c r="H51648" s="680" t="s">
        <v>6153</v>
      </c>
    </row>
    <row r="51649" spans="8:8">
      <c r="H51649" s="680" t="s">
        <v>6153</v>
      </c>
    </row>
    <row r="51650" spans="8:8">
      <c r="H51650" s="680" t="s">
        <v>6153</v>
      </c>
    </row>
    <row r="51651" spans="8:8">
      <c r="H51651" s="680" t="s">
        <v>6153</v>
      </c>
    </row>
    <row r="51652" spans="8:8">
      <c r="H51652" s="680" t="s">
        <v>6153</v>
      </c>
    </row>
    <row r="51653" spans="8:8">
      <c r="H51653" s="680" t="s">
        <v>6153</v>
      </c>
    </row>
    <row r="51654" spans="8:8">
      <c r="H51654" s="680" t="s">
        <v>6153</v>
      </c>
    </row>
    <row r="51655" spans="8:8">
      <c r="H51655" s="680" t="s">
        <v>6153</v>
      </c>
    </row>
    <row r="51656" spans="8:8">
      <c r="H51656" s="680" t="s">
        <v>6153</v>
      </c>
    </row>
    <row r="51657" spans="8:8">
      <c r="H51657" s="680" t="s">
        <v>6153</v>
      </c>
    </row>
    <row r="51658" spans="8:8">
      <c r="H51658" s="680" t="s">
        <v>6153</v>
      </c>
    </row>
    <row r="51659" spans="8:8">
      <c r="H51659" s="680" t="s">
        <v>6153</v>
      </c>
    </row>
    <row r="51660" spans="8:8">
      <c r="H51660" s="680" t="s">
        <v>6153</v>
      </c>
    </row>
    <row r="51661" spans="8:8">
      <c r="H51661" s="680" t="s">
        <v>6153</v>
      </c>
    </row>
    <row r="51662" spans="8:8">
      <c r="H51662" s="680" t="s">
        <v>6153</v>
      </c>
    </row>
    <row r="51663" spans="8:8">
      <c r="H51663" s="680" t="s">
        <v>6153</v>
      </c>
    </row>
    <row r="51664" spans="8:8">
      <c r="H51664" s="680" t="s">
        <v>6153</v>
      </c>
    </row>
    <row r="51665" spans="8:8">
      <c r="H51665" s="680" t="s">
        <v>6153</v>
      </c>
    </row>
    <row r="51666" spans="8:8">
      <c r="H51666" s="680" t="s">
        <v>6153</v>
      </c>
    </row>
    <row r="51667" spans="8:8">
      <c r="H51667" s="680" t="s">
        <v>6153</v>
      </c>
    </row>
    <row r="51668" spans="8:8">
      <c r="H51668" s="680" t="s">
        <v>6153</v>
      </c>
    </row>
    <row r="51669" spans="8:8">
      <c r="H51669" s="680" t="s">
        <v>6153</v>
      </c>
    </row>
    <row r="51670" spans="8:8">
      <c r="H51670" s="680" t="s">
        <v>6153</v>
      </c>
    </row>
    <row r="51671" spans="8:8">
      <c r="H51671" s="680" t="s">
        <v>6153</v>
      </c>
    </row>
    <row r="51672" spans="8:8">
      <c r="H51672" s="680" t="s">
        <v>6153</v>
      </c>
    </row>
    <row r="51673" spans="8:8">
      <c r="H51673" s="680" t="s">
        <v>6153</v>
      </c>
    </row>
    <row r="51674" spans="8:8">
      <c r="H51674" s="680" t="s">
        <v>6153</v>
      </c>
    </row>
    <row r="51675" spans="8:8">
      <c r="H51675" s="680" t="s">
        <v>6153</v>
      </c>
    </row>
    <row r="51676" spans="8:8">
      <c r="H51676" s="680" t="s">
        <v>6153</v>
      </c>
    </row>
    <row r="51677" spans="8:8">
      <c r="H51677" s="680" t="s">
        <v>6153</v>
      </c>
    </row>
    <row r="51678" spans="8:8">
      <c r="H51678" s="680" t="s">
        <v>6153</v>
      </c>
    </row>
    <row r="51679" spans="8:8">
      <c r="H51679" s="680" t="s">
        <v>6153</v>
      </c>
    </row>
    <row r="51680" spans="8:8">
      <c r="H51680" s="680" t="s">
        <v>6153</v>
      </c>
    </row>
    <row r="51681" spans="8:8">
      <c r="H51681" s="680" t="s">
        <v>6153</v>
      </c>
    </row>
    <row r="51682" spans="8:8">
      <c r="H51682" s="680" t="s">
        <v>6153</v>
      </c>
    </row>
    <row r="51683" spans="8:8">
      <c r="H51683" s="680" t="s">
        <v>6153</v>
      </c>
    </row>
    <row r="51684" spans="8:8">
      <c r="H51684" s="680" t="s">
        <v>6153</v>
      </c>
    </row>
    <row r="51685" spans="8:8">
      <c r="H51685" s="680" t="s">
        <v>6153</v>
      </c>
    </row>
    <row r="51686" spans="8:8">
      <c r="H51686" s="680" t="s">
        <v>6153</v>
      </c>
    </row>
    <row r="51687" spans="8:8">
      <c r="H51687" s="680" t="s">
        <v>6153</v>
      </c>
    </row>
    <row r="51688" spans="8:8">
      <c r="H51688" s="680" t="s">
        <v>6153</v>
      </c>
    </row>
    <row r="51689" spans="8:8">
      <c r="H51689" s="680" t="s">
        <v>6153</v>
      </c>
    </row>
    <row r="51690" spans="8:8">
      <c r="H51690" s="680" t="s">
        <v>6153</v>
      </c>
    </row>
    <row r="51691" spans="8:8">
      <c r="H51691" s="680" t="s">
        <v>6153</v>
      </c>
    </row>
    <row r="51692" spans="8:8">
      <c r="H51692" s="680" t="s">
        <v>6153</v>
      </c>
    </row>
    <row r="51693" spans="8:8">
      <c r="H51693" s="680" t="s">
        <v>6153</v>
      </c>
    </row>
    <row r="51694" spans="8:8">
      <c r="H51694" s="680" t="s">
        <v>6153</v>
      </c>
    </row>
    <row r="51695" spans="8:8">
      <c r="H51695" s="680" t="s">
        <v>6153</v>
      </c>
    </row>
    <row r="51696" spans="8:8">
      <c r="H51696" s="680" t="s">
        <v>6153</v>
      </c>
    </row>
    <row r="51697" spans="8:8">
      <c r="H51697" s="680" t="s">
        <v>6153</v>
      </c>
    </row>
    <row r="51698" spans="8:8">
      <c r="H51698" s="680" t="s">
        <v>6153</v>
      </c>
    </row>
    <row r="51699" spans="8:8">
      <c r="H51699" s="680" t="s">
        <v>6153</v>
      </c>
    </row>
    <row r="51700" spans="8:8">
      <c r="H51700" s="680" t="s">
        <v>6153</v>
      </c>
    </row>
    <row r="51701" spans="8:8">
      <c r="H51701" s="680" t="s">
        <v>6153</v>
      </c>
    </row>
    <row r="51702" spans="8:8">
      <c r="H51702" s="680" t="s">
        <v>6153</v>
      </c>
    </row>
    <row r="51703" spans="8:8">
      <c r="H51703" s="680" t="s">
        <v>6153</v>
      </c>
    </row>
    <row r="51704" spans="8:8">
      <c r="H51704" s="680" t="s">
        <v>6153</v>
      </c>
    </row>
    <row r="51705" spans="8:8">
      <c r="H51705" s="680" t="s">
        <v>6153</v>
      </c>
    </row>
    <row r="51706" spans="8:8">
      <c r="H51706" s="680" t="s">
        <v>6153</v>
      </c>
    </row>
    <row r="51707" spans="8:8">
      <c r="H51707" s="680" t="s">
        <v>6153</v>
      </c>
    </row>
    <row r="51708" spans="8:8">
      <c r="H51708" s="680" t="s">
        <v>6153</v>
      </c>
    </row>
    <row r="51709" spans="8:8">
      <c r="H51709" s="680" t="s">
        <v>6153</v>
      </c>
    </row>
    <row r="51710" spans="8:8">
      <c r="H51710" s="680" t="s">
        <v>6153</v>
      </c>
    </row>
    <row r="51711" spans="8:8">
      <c r="H51711" s="680" t="s">
        <v>6153</v>
      </c>
    </row>
    <row r="51712" spans="8:8">
      <c r="H51712" s="680" t="s">
        <v>6153</v>
      </c>
    </row>
    <row r="51713" spans="8:8">
      <c r="H51713" s="680" t="s">
        <v>6153</v>
      </c>
    </row>
    <row r="51714" spans="8:8">
      <c r="H51714" s="680" t="s">
        <v>6153</v>
      </c>
    </row>
    <row r="51715" spans="8:8">
      <c r="H51715" s="680" t="s">
        <v>6153</v>
      </c>
    </row>
    <row r="51716" spans="8:8">
      <c r="H51716" s="680" t="s">
        <v>6153</v>
      </c>
    </row>
    <row r="51717" spans="8:8">
      <c r="H51717" s="680" t="s">
        <v>6153</v>
      </c>
    </row>
    <row r="51718" spans="8:8">
      <c r="H51718" s="680" t="s">
        <v>6153</v>
      </c>
    </row>
    <row r="51719" spans="8:8">
      <c r="H51719" s="680" t="s">
        <v>6153</v>
      </c>
    </row>
    <row r="51720" spans="8:8">
      <c r="H51720" s="680" t="s">
        <v>6153</v>
      </c>
    </row>
    <row r="51721" spans="8:8">
      <c r="H51721" s="680" t="s">
        <v>6153</v>
      </c>
    </row>
    <row r="51722" spans="8:8">
      <c r="H51722" s="680" t="s">
        <v>6153</v>
      </c>
    </row>
    <row r="51723" spans="8:8">
      <c r="H51723" s="680" t="s">
        <v>6153</v>
      </c>
    </row>
    <row r="51724" spans="8:8">
      <c r="H51724" s="680" t="s">
        <v>6153</v>
      </c>
    </row>
    <row r="51725" spans="8:8">
      <c r="H51725" s="680" t="s">
        <v>6153</v>
      </c>
    </row>
    <row r="51726" spans="8:8">
      <c r="H51726" s="680" t="s">
        <v>6153</v>
      </c>
    </row>
    <row r="51727" spans="8:8">
      <c r="H51727" s="680" t="s">
        <v>6153</v>
      </c>
    </row>
    <row r="51728" spans="8:8">
      <c r="H51728" s="680" t="s">
        <v>6153</v>
      </c>
    </row>
    <row r="51729" spans="8:8">
      <c r="H51729" s="680" t="s">
        <v>6153</v>
      </c>
    </row>
    <row r="51730" spans="8:8">
      <c r="H51730" s="680" t="s">
        <v>6153</v>
      </c>
    </row>
    <row r="51731" spans="8:8">
      <c r="H51731" s="680" t="s">
        <v>6153</v>
      </c>
    </row>
    <row r="51732" spans="8:8">
      <c r="H51732" s="680" t="s">
        <v>6153</v>
      </c>
    </row>
    <row r="51733" spans="8:8">
      <c r="H51733" s="680" t="s">
        <v>6153</v>
      </c>
    </row>
    <row r="51734" spans="8:8">
      <c r="H51734" s="680" t="s">
        <v>6153</v>
      </c>
    </row>
    <row r="51735" spans="8:8">
      <c r="H51735" s="680" t="s">
        <v>6153</v>
      </c>
    </row>
    <row r="51736" spans="8:8">
      <c r="H51736" s="680" t="s">
        <v>6153</v>
      </c>
    </row>
    <row r="51737" spans="8:8">
      <c r="H51737" s="680" t="s">
        <v>6153</v>
      </c>
    </row>
    <row r="51738" spans="8:8">
      <c r="H51738" s="680" t="s">
        <v>6153</v>
      </c>
    </row>
    <row r="51739" spans="8:8">
      <c r="H51739" s="680" t="s">
        <v>6153</v>
      </c>
    </row>
    <row r="51740" spans="8:8">
      <c r="H51740" s="680" t="s">
        <v>6153</v>
      </c>
    </row>
    <row r="51741" spans="8:8">
      <c r="H51741" s="680" t="s">
        <v>6153</v>
      </c>
    </row>
    <row r="51742" spans="8:8">
      <c r="H51742" s="680" t="s">
        <v>6153</v>
      </c>
    </row>
    <row r="51743" spans="8:8">
      <c r="H51743" s="680" t="s">
        <v>6153</v>
      </c>
    </row>
    <row r="51744" spans="8:8">
      <c r="H51744" s="680" t="s">
        <v>6153</v>
      </c>
    </row>
    <row r="51745" spans="8:8">
      <c r="H51745" s="680" t="s">
        <v>6153</v>
      </c>
    </row>
    <row r="51746" spans="8:8">
      <c r="H51746" s="680" t="s">
        <v>6153</v>
      </c>
    </row>
    <row r="51747" spans="8:8">
      <c r="H51747" s="680" t="s">
        <v>6153</v>
      </c>
    </row>
    <row r="51748" spans="8:8">
      <c r="H51748" s="680" t="s">
        <v>6153</v>
      </c>
    </row>
    <row r="51749" spans="8:8">
      <c r="H51749" s="680" t="s">
        <v>6153</v>
      </c>
    </row>
    <row r="51750" spans="8:8">
      <c r="H51750" s="680" t="s">
        <v>6153</v>
      </c>
    </row>
    <row r="51751" spans="8:8">
      <c r="H51751" s="680" t="s">
        <v>6153</v>
      </c>
    </row>
    <row r="51752" spans="8:8">
      <c r="H51752" s="680" t="s">
        <v>6153</v>
      </c>
    </row>
    <row r="51753" spans="8:8">
      <c r="H51753" s="680" t="s">
        <v>6153</v>
      </c>
    </row>
    <row r="51754" spans="8:8">
      <c r="H51754" s="680" t="s">
        <v>6153</v>
      </c>
    </row>
    <row r="51755" spans="8:8">
      <c r="H51755" s="680" t="s">
        <v>6153</v>
      </c>
    </row>
    <row r="51756" spans="8:8">
      <c r="H51756" s="680" t="s">
        <v>6153</v>
      </c>
    </row>
    <row r="51757" spans="8:8">
      <c r="H51757" s="680" t="s">
        <v>6153</v>
      </c>
    </row>
    <row r="51758" spans="8:8">
      <c r="H51758" s="680" t="s">
        <v>6153</v>
      </c>
    </row>
    <row r="51759" spans="8:8">
      <c r="H51759" s="680" t="s">
        <v>6153</v>
      </c>
    </row>
    <row r="51760" spans="8:8">
      <c r="H51760" s="680" t="s">
        <v>6153</v>
      </c>
    </row>
    <row r="51761" spans="8:8">
      <c r="H51761" s="680" t="s">
        <v>6153</v>
      </c>
    </row>
    <row r="51762" spans="8:8">
      <c r="H51762" s="680" t="s">
        <v>6153</v>
      </c>
    </row>
    <row r="51763" spans="8:8">
      <c r="H51763" s="680" t="s">
        <v>6153</v>
      </c>
    </row>
    <row r="51764" spans="8:8">
      <c r="H51764" s="680" t="s">
        <v>6153</v>
      </c>
    </row>
    <row r="51765" spans="8:8">
      <c r="H51765" s="680" t="s">
        <v>6153</v>
      </c>
    </row>
    <row r="51766" spans="8:8">
      <c r="H51766" s="680" t="s">
        <v>6153</v>
      </c>
    </row>
    <row r="51767" spans="8:8">
      <c r="H51767" s="680" t="s">
        <v>6153</v>
      </c>
    </row>
    <row r="51768" spans="8:8">
      <c r="H51768" s="680" t="s">
        <v>6153</v>
      </c>
    </row>
    <row r="51769" spans="8:8">
      <c r="H51769" s="680" t="s">
        <v>6153</v>
      </c>
    </row>
    <row r="51770" spans="8:8">
      <c r="H51770" s="680" t="s">
        <v>6153</v>
      </c>
    </row>
    <row r="51771" spans="8:8">
      <c r="H51771" s="680" t="s">
        <v>6153</v>
      </c>
    </row>
    <row r="51772" spans="8:8">
      <c r="H51772" s="680" t="s">
        <v>6153</v>
      </c>
    </row>
    <row r="51773" spans="8:8">
      <c r="H51773" s="680" t="s">
        <v>6153</v>
      </c>
    </row>
    <row r="51774" spans="8:8">
      <c r="H51774" s="680" t="s">
        <v>6153</v>
      </c>
    </row>
    <row r="51775" spans="8:8">
      <c r="H51775" s="680" t="s">
        <v>6153</v>
      </c>
    </row>
    <row r="51776" spans="8:8">
      <c r="H51776" s="680" t="s">
        <v>6153</v>
      </c>
    </row>
    <row r="51777" spans="8:8">
      <c r="H51777" s="680" t="s">
        <v>6153</v>
      </c>
    </row>
    <row r="51778" spans="8:8">
      <c r="H51778" s="680" t="s">
        <v>6153</v>
      </c>
    </row>
    <row r="51779" spans="8:8">
      <c r="H51779" s="680" t="s">
        <v>6153</v>
      </c>
    </row>
    <row r="51780" spans="8:8">
      <c r="H51780" s="680" t="s">
        <v>6153</v>
      </c>
    </row>
    <row r="51781" spans="8:8">
      <c r="H51781" s="680" t="s">
        <v>6153</v>
      </c>
    </row>
    <row r="51782" spans="8:8">
      <c r="H51782" s="680" t="s">
        <v>6153</v>
      </c>
    </row>
    <row r="51783" spans="8:8">
      <c r="H51783" s="680" t="s">
        <v>6153</v>
      </c>
    </row>
    <row r="51784" spans="8:8">
      <c r="H51784" s="680" t="s">
        <v>6153</v>
      </c>
    </row>
    <row r="51785" spans="8:8">
      <c r="H51785" s="680" t="s">
        <v>6153</v>
      </c>
    </row>
    <row r="51786" spans="8:8">
      <c r="H51786" s="680" t="s">
        <v>6153</v>
      </c>
    </row>
    <row r="51787" spans="8:8">
      <c r="H51787" s="680" t="s">
        <v>6153</v>
      </c>
    </row>
    <row r="51788" spans="8:8">
      <c r="H51788" s="680" t="s">
        <v>6153</v>
      </c>
    </row>
    <row r="51789" spans="8:8">
      <c r="H51789" s="680" t="s">
        <v>6153</v>
      </c>
    </row>
    <row r="51790" spans="8:8">
      <c r="H51790" s="680" t="s">
        <v>6153</v>
      </c>
    </row>
    <row r="51791" spans="8:8">
      <c r="H51791" s="680" t="s">
        <v>6153</v>
      </c>
    </row>
    <row r="51792" spans="8:8">
      <c r="H51792" s="680" t="s">
        <v>6153</v>
      </c>
    </row>
    <row r="51793" spans="8:8">
      <c r="H51793" s="680" t="s">
        <v>6153</v>
      </c>
    </row>
    <row r="51794" spans="8:8">
      <c r="H51794" s="680" t="s">
        <v>6153</v>
      </c>
    </row>
    <row r="51795" spans="8:8">
      <c r="H51795" s="680" t="s">
        <v>6153</v>
      </c>
    </row>
    <row r="51796" spans="8:8">
      <c r="H51796" s="680" t="s">
        <v>6153</v>
      </c>
    </row>
    <row r="51797" spans="8:8">
      <c r="H51797" s="680" t="s">
        <v>6153</v>
      </c>
    </row>
    <row r="51798" spans="8:8">
      <c r="H51798" s="680" t="s">
        <v>6153</v>
      </c>
    </row>
    <row r="51799" spans="8:8">
      <c r="H51799" s="680" t="s">
        <v>6153</v>
      </c>
    </row>
    <row r="51800" spans="8:8">
      <c r="H51800" s="680" t="s">
        <v>6153</v>
      </c>
    </row>
    <row r="51801" spans="8:8">
      <c r="H51801" s="680" t="s">
        <v>6153</v>
      </c>
    </row>
    <row r="51802" spans="8:8">
      <c r="H51802" s="680" t="s">
        <v>6153</v>
      </c>
    </row>
    <row r="51803" spans="8:8">
      <c r="H51803" s="680" t="s">
        <v>6153</v>
      </c>
    </row>
    <row r="51804" spans="8:8">
      <c r="H51804" s="680" t="s">
        <v>6153</v>
      </c>
    </row>
    <row r="51805" spans="8:8">
      <c r="H51805" s="680" t="s">
        <v>6153</v>
      </c>
    </row>
    <row r="51806" spans="8:8">
      <c r="H51806" s="680" t="s">
        <v>6153</v>
      </c>
    </row>
    <row r="51807" spans="8:8">
      <c r="H51807" s="680" t="s">
        <v>6153</v>
      </c>
    </row>
    <row r="51808" spans="8:8">
      <c r="H51808" s="680" t="s">
        <v>6153</v>
      </c>
    </row>
    <row r="51809" spans="8:8">
      <c r="H51809" s="680" t="s">
        <v>6153</v>
      </c>
    </row>
    <row r="51810" spans="8:8">
      <c r="H51810" s="680" t="s">
        <v>6153</v>
      </c>
    </row>
    <row r="51811" spans="8:8">
      <c r="H51811" s="680" t="s">
        <v>6153</v>
      </c>
    </row>
    <row r="51812" spans="8:8">
      <c r="H51812" s="680" t="s">
        <v>6153</v>
      </c>
    </row>
    <row r="51813" spans="8:8">
      <c r="H51813" s="680" t="s">
        <v>6153</v>
      </c>
    </row>
    <row r="51814" spans="8:8">
      <c r="H51814" s="680" t="s">
        <v>6153</v>
      </c>
    </row>
    <row r="51815" spans="8:8">
      <c r="H51815" s="680" t="s">
        <v>6153</v>
      </c>
    </row>
    <row r="51816" spans="8:8">
      <c r="H51816" s="680" t="s">
        <v>6153</v>
      </c>
    </row>
    <row r="51817" spans="8:8">
      <c r="H51817" s="680" t="s">
        <v>6153</v>
      </c>
    </row>
    <row r="51818" spans="8:8">
      <c r="H51818" s="680" t="s">
        <v>6153</v>
      </c>
    </row>
    <row r="51819" spans="8:8">
      <c r="H51819" s="680" t="s">
        <v>6153</v>
      </c>
    </row>
    <row r="51820" spans="8:8">
      <c r="H51820" s="680" t="s">
        <v>6153</v>
      </c>
    </row>
    <row r="51821" spans="8:8">
      <c r="H51821" s="680" t="s">
        <v>6153</v>
      </c>
    </row>
    <row r="51822" spans="8:8">
      <c r="H51822" s="680" t="s">
        <v>6153</v>
      </c>
    </row>
    <row r="51823" spans="8:8">
      <c r="H51823" s="680" t="s">
        <v>6153</v>
      </c>
    </row>
    <row r="51824" spans="8:8">
      <c r="H51824" s="680" t="s">
        <v>6153</v>
      </c>
    </row>
    <row r="51825" spans="8:8">
      <c r="H51825" s="680" t="s">
        <v>6153</v>
      </c>
    </row>
    <row r="51826" spans="8:8">
      <c r="H51826" s="680" t="s">
        <v>6153</v>
      </c>
    </row>
    <row r="51827" spans="8:8">
      <c r="H51827" s="680" t="s">
        <v>6153</v>
      </c>
    </row>
    <row r="51828" spans="8:8">
      <c r="H51828" s="680" t="s">
        <v>6153</v>
      </c>
    </row>
    <row r="51829" spans="8:8">
      <c r="H51829" s="680" t="s">
        <v>6153</v>
      </c>
    </row>
    <row r="51830" spans="8:8">
      <c r="H51830" s="680" t="s">
        <v>6153</v>
      </c>
    </row>
    <row r="51831" spans="8:8">
      <c r="H51831" s="680" t="s">
        <v>6153</v>
      </c>
    </row>
    <row r="51832" spans="8:8">
      <c r="H51832" s="680" t="s">
        <v>6153</v>
      </c>
    </row>
    <row r="51833" spans="8:8">
      <c r="H51833" s="680" t="s">
        <v>6153</v>
      </c>
    </row>
    <row r="51834" spans="8:8">
      <c r="H51834" s="680" t="s">
        <v>6153</v>
      </c>
    </row>
    <row r="51835" spans="8:8">
      <c r="H51835" s="680" t="s">
        <v>6153</v>
      </c>
    </row>
    <row r="51836" spans="8:8">
      <c r="H51836" s="680" t="s">
        <v>6153</v>
      </c>
    </row>
    <row r="51837" spans="8:8">
      <c r="H51837" s="680" t="s">
        <v>6153</v>
      </c>
    </row>
    <row r="51838" spans="8:8">
      <c r="H51838" s="680" t="s">
        <v>6153</v>
      </c>
    </row>
    <row r="51839" spans="8:8">
      <c r="H51839" s="680" t="s">
        <v>6153</v>
      </c>
    </row>
    <row r="51840" spans="8:8">
      <c r="H51840" s="680" t="s">
        <v>6153</v>
      </c>
    </row>
    <row r="51841" spans="8:8">
      <c r="H51841" s="680" t="s">
        <v>6153</v>
      </c>
    </row>
    <row r="51842" spans="8:8">
      <c r="H51842" s="680" t="s">
        <v>6153</v>
      </c>
    </row>
    <row r="51843" spans="8:8">
      <c r="H51843" s="680" t="s">
        <v>6153</v>
      </c>
    </row>
    <row r="51844" spans="8:8">
      <c r="H51844" s="680" t="s">
        <v>6153</v>
      </c>
    </row>
    <row r="51845" spans="8:8">
      <c r="H51845" s="680" t="s">
        <v>6153</v>
      </c>
    </row>
    <row r="51846" spans="8:8">
      <c r="H51846" s="680" t="s">
        <v>6153</v>
      </c>
    </row>
    <row r="51847" spans="8:8">
      <c r="H51847" s="680" t="s">
        <v>6153</v>
      </c>
    </row>
    <row r="51848" spans="8:8">
      <c r="H51848" s="680" t="s">
        <v>6153</v>
      </c>
    </row>
    <row r="51849" spans="8:8">
      <c r="H51849" s="680" t="s">
        <v>6153</v>
      </c>
    </row>
    <row r="51850" spans="8:8">
      <c r="H51850" s="680" t="s">
        <v>6153</v>
      </c>
    </row>
    <row r="51851" spans="8:8">
      <c r="H51851" s="680" t="s">
        <v>6153</v>
      </c>
    </row>
    <row r="51852" spans="8:8">
      <c r="H51852" s="680" t="s">
        <v>6153</v>
      </c>
    </row>
    <row r="51853" spans="8:8">
      <c r="H51853" s="680" t="s">
        <v>6153</v>
      </c>
    </row>
    <row r="51854" spans="8:8">
      <c r="H51854" s="680" t="s">
        <v>6153</v>
      </c>
    </row>
    <row r="51855" spans="8:8">
      <c r="H51855" s="680" t="s">
        <v>6153</v>
      </c>
    </row>
    <row r="51856" spans="8:8">
      <c r="H51856" s="680" t="s">
        <v>6153</v>
      </c>
    </row>
    <row r="51857" spans="8:8">
      <c r="H51857" s="680" t="s">
        <v>6153</v>
      </c>
    </row>
    <row r="51858" spans="8:8">
      <c r="H51858" s="680" t="s">
        <v>6153</v>
      </c>
    </row>
    <row r="51859" spans="8:8">
      <c r="H51859" s="680" t="s">
        <v>6153</v>
      </c>
    </row>
    <row r="51860" spans="8:8">
      <c r="H51860" s="680" t="s">
        <v>6153</v>
      </c>
    </row>
    <row r="51861" spans="8:8">
      <c r="H51861" s="680" t="s">
        <v>6153</v>
      </c>
    </row>
    <row r="51862" spans="8:8">
      <c r="H51862" s="680" t="s">
        <v>6153</v>
      </c>
    </row>
    <row r="51863" spans="8:8">
      <c r="H51863" s="680" t="s">
        <v>6153</v>
      </c>
    </row>
    <row r="51864" spans="8:8">
      <c r="H51864" s="680" t="s">
        <v>6153</v>
      </c>
    </row>
    <row r="51865" spans="8:8">
      <c r="H51865" s="680" t="s">
        <v>6153</v>
      </c>
    </row>
    <row r="51866" spans="8:8">
      <c r="H51866" s="680" t="s">
        <v>6153</v>
      </c>
    </row>
    <row r="51867" spans="8:8">
      <c r="H51867" s="680" t="s">
        <v>6153</v>
      </c>
    </row>
    <row r="51868" spans="8:8">
      <c r="H51868" s="680" t="s">
        <v>6153</v>
      </c>
    </row>
    <row r="51869" spans="8:8">
      <c r="H51869" s="680" t="s">
        <v>6153</v>
      </c>
    </row>
    <row r="51870" spans="8:8">
      <c r="H51870" s="680" t="s">
        <v>6153</v>
      </c>
    </row>
    <row r="51871" spans="8:8">
      <c r="H51871" s="680" t="s">
        <v>6153</v>
      </c>
    </row>
    <row r="51872" spans="8:8">
      <c r="H51872" s="680" t="s">
        <v>6153</v>
      </c>
    </row>
    <row r="51873" spans="8:8">
      <c r="H51873" s="680" t="s">
        <v>6153</v>
      </c>
    </row>
    <row r="51874" spans="8:8">
      <c r="H51874" s="680" t="s">
        <v>6153</v>
      </c>
    </row>
    <row r="51875" spans="8:8">
      <c r="H51875" s="680" t="s">
        <v>6153</v>
      </c>
    </row>
    <row r="51876" spans="8:8">
      <c r="H51876" s="680" t="s">
        <v>6153</v>
      </c>
    </row>
    <row r="51877" spans="8:8">
      <c r="H51877" s="680" t="s">
        <v>6153</v>
      </c>
    </row>
    <row r="51878" spans="8:8">
      <c r="H51878" s="680" t="s">
        <v>6153</v>
      </c>
    </row>
    <row r="51879" spans="8:8">
      <c r="H51879" s="680" t="s">
        <v>6153</v>
      </c>
    </row>
    <row r="51880" spans="8:8">
      <c r="H51880" s="680" t="s">
        <v>6153</v>
      </c>
    </row>
    <row r="51881" spans="8:8">
      <c r="H51881" s="680" t="s">
        <v>6153</v>
      </c>
    </row>
    <row r="51882" spans="8:8">
      <c r="H51882" s="680" t="s">
        <v>6153</v>
      </c>
    </row>
    <row r="51883" spans="8:8">
      <c r="H51883" s="680" t="s">
        <v>6153</v>
      </c>
    </row>
    <row r="51884" spans="8:8">
      <c r="H51884" s="680" t="s">
        <v>6153</v>
      </c>
    </row>
    <row r="51885" spans="8:8">
      <c r="H51885" s="680" t="s">
        <v>6153</v>
      </c>
    </row>
    <row r="51886" spans="8:8">
      <c r="H51886" s="680" t="s">
        <v>6153</v>
      </c>
    </row>
    <row r="51887" spans="8:8">
      <c r="H51887" s="680" t="s">
        <v>6153</v>
      </c>
    </row>
    <row r="51888" spans="8:8">
      <c r="H51888" s="680" t="s">
        <v>6153</v>
      </c>
    </row>
    <row r="51889" spans="8:8">
      <c r="H51889" s="680" t="s">
        <v>6153</v>
      </c>
    </row>
    <row r="51890" spans="8:8">
      <c r="H51890" s="680" t="s">
        <v>6153</v>
      </c>
    </row>
    <row r="51891" spans="8:8">
      <c r="H51891" s="680" t="s">
        <v>6153</v>
      </c>
    </row>
    <row r="51892" spans="8:8">
      <c r="H51892" s="680" t="s">
        <v>6153</v>
      </c>
    </row>
    <row r="51893" spans="8:8">
      <c r="H51893" s="680" t="s">
        <v>6153</v>
      </c>
    </row>
    <row r="51894" spans="8:8">
      <c r="H51894" s="680" t="s">
        <v>6153</v>
      </c>
    </row>
    <row r="51895" spans="8:8">
      <c r="H51895" s="680" t="s">
        <v>6153</v>
      </c>
    </row>
    <row r="51896" spans="8:8">
      <c r="H51896" s="680" t="s">
        <v>6153</v>
      </c>
    </row>
    <row r="51897" spans="8:8">
      <c r="H51897" s="680" t="s">
        <v>6153</v>
      </c>
    </row>
    <row r="51898" spans="8:8">
      <c r="H51898" s="680" t="s">
        <v>6153</v>
      </c>
    </row>
    <row r="51899" spans="8:8">
      <c r="H51899" s="680" t="s">
        <v>6153</v>
      </c>
    </row>
    <row r="51900" spans="8:8">
      <c r="H51900" s="680" t="s">
        <v>6153</v>
      </c>
    </row>
    <row r="51901" spans="8:8">
      <c r="H51901" s="680" t="s">
        <v>6153</v>
      </c>
    </row>
    <row r="51902" spans="8:8">
      <c r="H51902" s="680" t="s">
        <v>6153</v>
      </c>
    </row>
    <row r="51903" spans="8:8">
      <c r="H51903" s="680" t="s">
        <v>6153</v>
      </c>
    </row>
    <row r="51904" spans="8:8">
      <c r="H51904" s="680" t="s">
        <v>6153</v>
      </c>
    </row>
    <row r="51905" spans="8:8">
      <c r="H51905" s="680" t="s">
        <v>6153</v>
      </c>
    </row>
    <row r="51906" spans="8:8">
      <c r="H51906" s="680" t="s">
        <v>6153</v>
      </c>
    </row>
    <row r="51907" spans="8:8">
      <c r="H51907" s="680" t="s">
        <v>6153</v>
      </c>
    </row>
    <row r="51908" spans="8:8">
      <c r="H51908" s="680" t="s">
        <v>6153</v>
      </c>
    </row>
    <row r="51909" spans="8:8">
      <c r="H51909" s="680" t="s">
        <v>6153</v>
      </c>
    </row>
    <row r="51910" spans="8:8">
      <c r="H51910" s="680" t="s">
        <v>6153</v>
      </c>
    </row>
    <row r="51911" spans="8:8">
      <c r="H51911" s="680" t="s">
        <v>6153</v>
      </c>
    </row>
    <row r="51912" spans="8:8">
      <c r="H51912" s="680" t="s">
        <v>6153</v>
      </c>
    </row>
    <row r="51913" spans="8:8">
      <c r="H51913" s="680" t="s">
        <v>6153</v>
      </c>
    </row>
    <row r="51914" spans="8:8">
      <c r="H51914" s="680" t="s">
        <v>6153</v>
      </c>
    </row>
    <row r="51915" spans="8:8">
      <c r="H51915" s="680" t="s">
        <v>6153</v>
      </c>
    </row>
    <row r="51916" spans="8:8">
      <c r="H51916" s="680" t="s">
        <v>6153</v>
      </c>
    </row>
    <row r="51917" spans="8:8">
      <c r="H51917" s="680" t="s">
        <v>6153</v>
      </c>
    </row>
    <row r="51918" spans="8:8">
      <c r="H51918" s="680" t="s">
        <v>6153</v>
      </c>
    </row>
    <row r="51919" spans="8:8">
      <c r="H51919" s="680" t="s">
        <v>6153</v>
      </c>
    </row>
    <row r="51920" spans="8:8">
      <c r="H51920" s="680" t="s">
        <v>6153</v>
      </c>
    </row>
    <row r="51921" spans="8:8">
      <c r="H51921" s="680" t="s">
        <v>6153</v>
      </c>
    </row>
    <row r="51922" spans="8:8">
      <c r="H51922" s="680" t="s">
        <v>6153</v>
      </c>
    </row>
    <row r="51923" spans="8:8">
      <c r="H51923" s="680" t="s">
        <v>6153</v>
      </c>
    </row>
    <row r="51924" spans="8:8">
      <c r="H51924" s="680" t="s">
        <v>6153</v>
      </c>
    </row>
    <row r="51925" spans="8:8">
      <c r="H51925" s="680" t="s">
        <v>6153</v>
      </c>
    </row>
    <row r="51926" spans="8:8">
      <c r="H51926" s="680" t="s">
        <v>6153</v>
      </c>
    </row>
    <row r="51927" spans="8:8">
      <c r="H51927" s="680" t="s">
        <v>6153</v>
      </c>
    </row>
    <row r="51928" spans="8:8">
      <c r="H51928" s="680" t="s">
        <v>6153</v>
      </c>
    </row>
    <row r="51929" spans="8:8">
      <c r="H51929" s="680" t="s">
        <v>6153</v>
      </c>
    </row>
    <row r="51930" spans="8:8">
      <c r="H51930" s="680" t="s">
        <v>6153</v>
      </c>
    </row>
    <row r="51931" spans="8:8">
      <c r="H51931" s="680" t="s">
        <v>6153</v>
      </c>
    </row>
    <row r="51932" spans="8:8">
      <c r="H51932" s="680" t="s">
        <v>6153</v>
      </c>
    </row>
    <row r="51933" spans="8:8">
      <c r="H51933" s="680" t="s">
        <v>6153</v>
      </c>
    </row>
    <row r="51934" spans="8:8">
      <c r="H51934" s="680" t="s">
        <v>6153</v>
      </c>
    </row>
    <row r="51935" spans="8:8">
      <c r="H51935" s="680" t="s">
        <v>6153</v>
      </c>
    </row>
    <row r="51936" spans="8:8">
      <c r="H51936" s="680" t="s">
        <v>6153</v>
      </c>
    </row>
    <row r="51937" spans="8:8">
      <c r="H51937" s="680" t="s">
        <v>6153</v>
      </c>
    </row>
    <row r="51938" spans="8:8">
      <c r="H51938" s="680" t="s">
        <v>6153</v>
      </c>
    </row>
    <row r="51939" spans="8:8">
      <c r="H51939" s="680" t="s">
        <v>6153</v>
      </c>
    </row>
    <row r="51940" spans="8:8">
      <c r="H51940" s="680" t="s">
        <v>6153</v>
      </c>
    </row>
    <row r="51941" spans="8:8">
      <c r="H51941" s="680" t="s">
        <v>6153</v>
      </c>
    </row>
    <row r="51942" spans="8:8">
      <c r="H51942" s="680" t="s">
        <v>6153</v>
      </c>
    </row>
    <row r="51943" spans="8:8">
      <c r="H51943" s="680" t="s">
        <v>6153</v>
      </c>
    </row>
    <row r="51944" spans="8:8">
      <c r="H51944" s="680" t="s">
        <v>6153</v>
      </c>
    </row>
    <row r="51945" spans="8:8">
      <c r="H51945" s="680" t="s">
        <v>6153</v>
      </c>
    </row>
    <row r="51946" spans="8:8">
      <c r="H51946" s="680" t="s">
        <v>6153</v>
      </c>
    </row>
    <row r="51947" spans="8:8">
      <c r="H51947" s="680" t="s">
        <v>6153</v>
      </c>
    </row>
    <row r="51948" spans="8:8">
      <c r="H51948" s="680" t="s">
        <v>6153</v>
      </c>
    </row>
    <row r="51949" spans="8:8">
      <c r="H51949" s="680" t="s">
        <v>6153</v>
      </c>
    </row>
    <row r="51950" spans="8:8">
      <c r="H51950" s="680" t="s">
        <v>6153</v>
      </c>
    </row>
    <row r="51951" spans="8:8">
      <c r="H51951" s="680" t="s">
        <v>6153</v>
      </c>
    </row>
    <row r="51952" spans="8:8">
      <c r="H51952" s="680" t="s">
        <v>6153</v>
      </c>
    </row>
    <row r="51953" spans="8:8">
      <c r="H51953" s="680" t="s">
        <v>6153</v>
      </c>
    </row>
    <row r="51954" spans="8:8">
      <c r="H51954" s="680" t="s">
        <v>6153</v>
      </c>
    </row>
    <row r="51955" spans="8:8">
      <c r="H51955" s="680" t="s">
        <v>6153</v>
      </c>
    </row>
    <row r="51956" spans="8:8">
      <c r="H51956" s="680" t="s">
        <v>6153</v>
      </c>
    </row>
    <row r="51957" spans="8:8">
      <c r="H51957" s="680" t="s">
        <v>6153</v>
      </c>
    </row>
    <row r="51958" spans="8:8">
      <c r="H51958" s="680" t="s">
        <v>6153</v>
      </c>
    </row>
    <row r="51959" spans="8:8">
      <c r="H51959" s="680" t="s">
        <v>6153</v>
      </c>
    </row>
    <row r="51960" spans="8:8">
      <c r="H51960" s="680" t="s">
        <v>6153</v>
      </c>
    </row>
    <row r="51961" spans="8:8">
      <c r="H51961" s="680" t="s">
        <v>6153</v>
      </c>
    </row>
    <row r="51962" spans="8:8">
      <c r="H51962" s="680" t="s">
        <v>6153</v>
      </c>
    </row>
    <row r="51963" spans="8:8">
      <c r="H51963" s="680" t="s">
        <v>6153</v>
      </c>
    </row>
    <row r="51964" spans="8:8">
      <c r="H51964" s="680" t="s">
        <v>6153</v>
      </c>
    </row>
    <row r="51965" spans="8:8">
      <c r="H51965" s="680" t="s">
        <v>6153</v>
      </c>
    </row>
    <row r="51966" spans="8:8">
      <c r="H51966" s="680" t="s">
        <v>6153</v>
      </c>
    </row>
    <row r="51967" spans="8:8">
      <c r="H51967" s="680" t="s">
        <v>6153</v>
      </c>
    </row>
    <row r="51968" spans="8:8">
      <c r="H51968" s="680" t="s">
        <v>6153</v>
      </c>
    </row>
    <row r="51969" spans="8:8">
      <c r="H51969" s="680" t="s">
        <v>6153</v>
      </c>
    </row>
    <row r="51970" spans="8:8">
      <c r="H51970" s="680" t="s">
        <v>6153</v>
      </c>
    </row>
    <row r="51971" spans="8:8">
      <c r="H51971" s="680" t="s">
        <v>6153</v>
      </c>
    </row>
    <row r="51972" spans="8:8">
      <c r="H51972" s="680" t="s">
        <v>6153</v>
      </c>
    </row>
    <row r="51973" spans="8:8">
      <c r="H51973" s="680" t="s">
        <v>6153</v>
      </c>
    </row>
    <row r="51974" spans="8:8">
      <c r="H51974" s="680" t="s">
        <v>6153</v>
      </c>
    </row>
    <row r="51975" spans="8:8">
      <c r="H51975" s="680" t="s">
        <v>6153</v>
      </c>
    </row>
    <row r="51976" spans="8:8">
      <c r="H51976" s="680" t="s">
        <v>6153</v>
      </c>
    </row>
    <row r="51977" spans="8:8">
      <c r="H51977" s="680" t="s">
        <v>6153</v>
      </c>
    </row>
    <row r="51978" spans="8:8">
      <c r="H51978" s="680" t="s">
        <v>6153</v>
      </c>
    </row>
    <row r="51979" spans="8:8">
      <c r="H51979" s="680" t="s">
        <v>6153</v>
      </c>
    </row>
    <row r="51980" spans="8:8">
      <c r="H51980" s="680" t="s">
        <v>6153</v>
      </c>
    </row>
    <row r="51981" spans="8:8">
      <c r="H51981" s="680" t="s">
        <v>6153</v>
      </c>
    </row>
    <row r="51982" spans="8:8">
      <c r="H51982" s="680" t="s">
        <v>6153</v>
      </c>
    </row>
    <row r="51983" spans="8:8">
      <c r="H51983" s="680" t="s">
        <v>6153</v>
      </c>
    </row>
    <row r="51984" spans="8:8">
      <c r="H51984" s="680" t="s">
        <v>6153</v>
      </c>
    </row>
    <row r="51985" spans="8:8">
      <c r="H51985" s="680" t="s">
        <v>6153</v>
      </c>
    </row>
    <row r="51986" spans="8:8">
      <c r="H51986" s="680" t="s">
        <v>6153</v>
      </c>
    </row>
    <row r="51987" spans="8:8">
      <c r="H51987" s="680" t="s">
        <v>6153</v>
      </c>
    </row>
    <row r="51988" spans="8:8">
      <c r="H51988" s="680" t="s">
        <v>6153</v>
      </c>
    </row>
    <row r="51989" spans="8:8">
      <c r="H51989" s="680" t="s">
        <v>6153</v>
      </c>
    </row>
    <row r="51990" spans="8:8">
      <c r="H51990" s="680" t="s">
        <v>6153</v>
      </c>
    </row>
    <row r="51991" spans="8:8">
      <c r="H51991" s="680" t="s">
        <v>6153</v>
      </c>
    </row>
    <row r="51992" spans="8:8">
      <c r="H51992" s="680" t="s">
        <v>6153</v>
      </c>
    </row>
    <row r="51993" spans="8:8">
      <c r="H51993" s="680" t="s">
        <v>6153</v>
      </c>
    </row>
    <row r="51994" spans="8:8">
      <c r="H51994" s="680" t="s">
        <v>6153</v>
      </c>
    </row>
    <row r="51995" spans="8:8">
      <c r="H51995" s="680" t="s">
        <v>6153</v>
      </c>
    </row>
    <row r="51996" spans="8:8">
      <c r="H51996" s="680" t="s">
        <v>6153</v>
      </c>
    </row>
    <row r="51997" spans="8:8">
      <c r="H51997" s="680" t="s">
        <v>6153</v>
      </c>
    </row>
    <row r="51998" spans="8:8">
      <c r="H51998" s="680" t="s">
        <v>6153</v>
      </c>
    </row>
    <row r="51999" spans="8:8">
      <c r="H51999" s="680" t="s">
        <v>6153</v>
      </c>
    </row>
    <row r="52000" spans="8:8">
      <c r="H52000" s="680" t="s">
        <v>6153</v>
      </c>
    </row>
    <row r="52001" spans="8:8">
      <c r="H52001" s="680" t="s">
        <v>6153</v>
      </c>
    </row>
    <row r="52002" spans="8:8">
      <c r="H52002" s="680" t="s">
        <v>6153</v>
      </c>
    </row>
    <row r="52003" spans="8:8">
      <c r="H52003" s="680" t="s">
        <v>6153</v>
      </c>
    </row>
    <row r="52004" spans="8:8">
      <c r="H52004" s="680" t="s">
        <v>6153</v>
      </c>
    </row>
    <row r="52005" spans="8:8">
      <c r="H52005" s="680" t="s">
        <v>6153</v>
      </c>
    </row>
    <row r="52006" spans="8:8">
      <c r="H52006" s="680" t="s">
        <v>6153</v>
      </c>
    </row>
    <row r="52007" spans="8:8">
      <c r="H52007" s="680" t="s">
        <v>6153</v>
      </c>
    </row>
    <row r="52008" spans="8:8">
      <c r="H52008" s="680" t="s">
        <v>6153</v>
      </c>
    </row>
    <row r="52009" spans="8:8">
      <c r="H52009" s="680" t="s">
        <v>6153</v>
      </c>
    </row>
    <row r="52010" spans="8:8">
      <c r="H52010" s="680" t="s">
        <v>6153</v>
      </c>
    </row>
    <row r="52011" spans="8:8">
      <c r="H52011" s="680" t="s">
        <v>6153</v>
      </c>
    </row>
    <row r="52012" spans="8:8">
      <c r="H52012" s="680" t="s">
        <v>6153</v>
      </c>
    </row>
    <row r="52013" spans="8:8">
      <c r="H52013" s="680" t="s">
        <v>6153</v>
      </c>
    </row>
    <row r="52014" spans="8:8">
      <c r="H52014" s="680" t="s">
        <v>6153</v>
      </c>
    </row>
    <row r="52015" spans="8:8">
      <c r="H52015" s="680" t="s">
        <v>6153</v>
      </c>
    </row>
    <row r="52016" spans="8:8">
      <c r="H52016" s="680" t="s">
        <v>6153</v>
      </c>
    </row>
    <row r="52017" spans="8:8">
      <c r="H52017" s="680" t="s">
        <v>6153</v>
      </c>
    </row>
    <row r="52018" spans="8:8">
      <c r="H52018" s="680" t="s">
        <v>6153</v>
      </c>
    </row>
    <row r="52019" spans="8:8">
      <c r="H52019" s="680" t="s">
        <v>6153</v>
      </c>
    </row>
    <row r="52020" spans="8:8">
      <c r="H52020" s="680" t="s">
        <v>6153</v>
      </c>
    </row>
    <row r="52021" spans="8:8">
      <c r="H52021" s="680" t="s">
        <v>6153</v>
      </c>
    </row>
    <row r="52022" spans="8:8">
      <c r="H52022" s="680" t="s">
        <v>6153</v>
      </c>
    </row>
    <row r="52023" spans="8:8">
      <c r="H52023" s="680" t="s">
        <v>6153</v>
      </c>
    </row>
    <row r="52024" spans="8:8">
      <c r="H52024" s="680" t="s">
        <v>6153</v>
      </c>
    </row>
    <row r="52025" spans="8:8">
      <c r="H52025" s="680" t="s">
        <v>6153</v>
      </c>
    </row>
    <row r="52026" spans="8:8">
      <c r="H52026" s="680" t="s">
        <v>6153</v>
      </c>
    </row>
    <row r="52027" spans="8:8">
      <c r="H52027" s="680" t="s">
        <v>6153</v>
      </c>
    </row>
    <row r="52028" spans="8:8">
      <c r="H52028" s="680" t="s">
        <v>6153</v>
      </c>
    </row>
    <row r="52029" spans="8:8">
      <c r="H52029" s="680" t="s">
        <v>6153</v>
      </c>
    </row>
    <row r="52030" spans="8:8">
      <c r="H52030" s="680" t="s">
        <v>6153</v>
      </c>
    </row>
    <row r="52031" spans="8:8">
      <c r="H52031" s="680" t="s">
        <v>6153</v>
      </c>
    </row>
    <row r="52032" spans="8:8">
      <c r="H52032" s="680" t="s">
        <v>6153</v>
      </c>
    </row>
    <row r="52033" spans="8:8">
      <c r="H52033" s="680" t="s">
        <v>6153</v>
      </c>
    </row>
    <row r="52034" spans="8:8">
      <c r="H52034" s="680" t="s">
        <v>6153</v>
      </c>
    </row>
    <row r="52035" spans="8:8">
      <c r="H52035" s="680" t="s">
        <v>6153</v>
      </c>
    </row>
    <row r="52036" spans="8:8">
      <c r="H52036" s="680" t="s">
        <v>6153</v>
      </c>
    </row>
    <row r="52037" spans="8:8">
      <c r="H52037" s="680" t="s">
        <v>6153</v>
      </c>
    </row>
    <row r="52038" spans="8:8">
      <c r="H52038" s="680" t="s">
        <v>6153</v>
      </c>
    </row>
    <row r="52039" spans="8:8">
      <c r="H52039" s="680" t="s">
        <v>6153</v>
      </c>
    </row>
    <row r="52040" spans="8:8">
      <c r="H52040" s="680" t="s">
        <v>6153</v>
      </c>
    </row>
    <row r="52041" spans="8:8">
      <c r="H52041" s="680" t="s">
        <v>6153</v>
      </c>
    </row>
    <row r="52042" spans="8:8">
      <c r="H52042" s="680" t="s">
        <v>6153</v>
      </c>
    </row>
    <row r="52043" spans="8:8">
      <c r="H52043" s="680" t="s">
        <v>6153</v>
      </c>
    </row>
    <row r="52044" spans="8:8">
      <c r="H52044" s="680" t="s">
        <v>6153</v>
      </c>
    </row>
    <row r="52045" spans="8:8">
      <c r="H52045" s="680" t="s">
        <v>6153</v>
      </c>
    </row>
    <row r="52046" spans="8:8">
      <c r="H52046" s="680" t="s">
        <v>6153</v>
      </c>
    </row>
    <row r="52047" spans="8:8">
      <c r="H52047" s="680" t="s">
        <v>6153</v>
      </c>
    </row>
    <row r="52048" spans="8:8">
      <c r="H52048" s="680" t="s">
        <v>6153</v>
      </c>
    </row>
    <row r="52049" spans="8:8">
      <c r="H52049" s="680" t="s">
        <v>6153</v>
      </c>
    </row>
    <row r="52050" spans="8:8">
      <c r="H52050" s="680" t="s">
        <v>6153</v>
      </c>
    </row>
    <row r="52051" spans="8:8">
      <c r="H52051" s="680" t="s">
        <v>6153</v>
      </c>
    </row>
    <row r="52052" spans="8:8">
      <c r="H52052" s="680" t="s">
        <v>6153</v>
      </c>
    </row>
    <row r="52053" spans="8:8">
      <c r="H52053" s="680" t="s">
        <v>6153</v>
      </c>
    </row>
    <row r="52054" spans="8:8">
      <c r="H52054" s="680" t="s">
        <v>6153</v>
      </c>
    </row>
    <row r="52055" spans="8:8">
      <c r="H52055" s="680" t="s">
        <v>6153</v>
      </c>
    </row>
    <row r="52056" spans="8:8">
      <c r="H52056" s="680" t="s">
        <v>6153</v>
      </c>
    </row>
    <row r="52057" spans="8:8">
      <c r="H52057" s="680" t="s">
        <v>6153</v>
      </c>
    </row>
    <row r="52058" spans="8:8">
      <c r="H52058" s="680" t="s">
        <v>6153</v>
      </c>
    </row>
    <row r="52059" spans="8:8">
      <c r="H52059" s="680" t="s">
        <v>6153</v>
      </c>
    </row>
    <row r="52060" spans="8:8">
      <c r="H52060" s="680" t="s">
        <v>6153</v>
      </c>
    </row>
    <row r="52061" spans="8:8">
      <c r="H52061" s="680" t="s">
        <v>6153</v>
      </c>
    </row>
    <row r="52062" spans="8:8">
      <c r="H52062" s="680" t="s">
        <v>6153</v>
      </c>
    </row>
    <row r="52063" spans="8:8">
      <c r="H52063" s="680" t="s">
        <v>6153</v>
      </c>
    </row>
    <row r="52064" spans="8:8">
      <c r="H52064" s="680" t="s">
        <v>6153</v>
      </c>
    </row>
    <row r="52065" spans="8:8">
      <c r="H52065" s="680" t="s">
        <v>6153</v>
      </c>
    </row>
    <row r="52066" spans="8:8">
      <c r="H52066" s="680" t="s">
        <v>6153</v>
      </c>
    </row>
    <row r="52067" spans="8:8">
      <c r="H52067" s="680" t="s">
        <v>6153</v>
      </c>
    </row>
    <row r="52068" spans="8:8">
      <c r="H52068" s="680" t="s">
        <v>6153</v>
      </c>
    </row>
    <row r="52069" spans="8:8">
      <c r="H52069" s="680" t="s">
        <v>6153</v>
      </c>
    </row>
    <row r="52070" spans="8:8">
      <c r="H52070" s="680" t="s">
        <v>6153</v>
      </c>
    </row>
    <row r="52071" spans="8:8">
      <c r="H52071" s="680" t="s">
        <v>6153</v>
      </c>
    </row>
    <row r="52072" spans="8:8">
      <c r="H52072" s="680" t="s">
        <v>6153</v>
      </c>
    </row>
    <row r="52073" spans="8:8">
      <c r="H52073" s="680" t="s">
        <v>6153</v>
      </c>
    </row>
    <row r="52074" spans="8:8">
      <c r="H52074" s="680" t="s">
        <v>6153</v>
      </c>
    </row>
    <row r="52075" spans="8:8">
      <c r="H52075" s="680" t="s">
        <v>6153</v>
      </c>
    </row>
    <row r="52076" spans="8:8">
      <c r="H52076" s="680" t="s">
        <v>6153</v>
      </c>
    </row>
    <row r="52077" spans="8:8">
      <c r="H52077" s="680" t="s">
        <v>6153</v>
      </c>
    </row>
    <row r="52078" spans="8:8">
      <c r="H52078" s="680" t="s">
        <v>6153</v>
      </c>
    </row>
    <row r="52079" spans="8:8">
      <c r="H52079" s="680" t="s">
        <v>6153</v>
      </c>
    </row>
    <row r="52080" spans="8:8">
      <c r="H52080" s="680" t="s">
        <v>6153</v>
      </c>
    </row>
    <row r="52081" spans="8:8">
      <c r="H52081" s="680" t="s">
        <v>6153</v>
      </c>
    </row>
    <row r="52082" spans="8:8">
      <c r="H52082" s="680" t="s">
        <v>6153</v>
      </c>
    </row>
    <row r="52083" spans="8:8">
      <c r="H52083" s="680" t="s">
        <v>6153</v>
      </c>
    </row>
    <row r="52084" spans="8:8">
      <c r="H52084" s="680" t="s">
        <v>6153</v>
      </c>
    </row>
    <row r="52085" spans="8:8">
      <c r="H52085" s="680" t="s">
        <v>6153</v>
      </c>
    </row>
    <row r="52086" spans="8:8">
      <c r="H52086" s="680" t="s">
        <v>6153</v>
      </c>
    </row>
    <row r="52087" spans="8:8">
      <c r="H52087" s="680" t="s">
        <v>6153</v>
      </c>
    </row>
    <row r="52088" spans="8:8">
      <c r="H52088" s="680" t="s">
        <v>6153</v>
      </c>
    </row>
    <row r="52089" spans="8:8">
      <c r="H52089" s="680" t="s">
        <v>6153</v>
      </c>
    </row>
    <row r="52090" spans="8:8">
      <c r="H52090" s="680" t="s">
        <v>6153</v>
      </c>
    </row>
    <row r="52091" spans="8:8">
      <c r="H52091" s="680" t="s">
        <v>6153</v>
      </c>
    </row>
    <row r="52092" spans="8:8">
      <c r="H52092" s="680" t="s">
        <v>6153</v>
      </c>
    </row>
    <row r="52093" spans="8:8">
      <c r="H52093" s="680" t="s">
        <v>6153</v>
      </c>
    </row>
    <row r="52094" spans="8:8">
      <c r="H52094" s="680" t="s">
        <v>6153</v>
      </c>
    </row>
    <row r="52095" spans="8:8">
      <c r="H52095" s="680" t="s">
        <v>6153</v>
      </c>
    </row>
    <row r="52096" spans="8:8">
      <c r="H52096" s="680" t="s">
        <v>6153</v>
      </c>
    </row>
    <row r="52097" spans="8:8">
      <c r="H52097" s="680" t="s">
        <v>6153</v>
      </c>
    </row>
    <row r="52098" spans="8:8">
      <c r="H52098" s="680" t="s">
        <v>6153</v>
      </c>
    </row>
    <row r="52099" spans="8:8">
      <c r="H52099" s="680" t="s">
        <v>6153</v>
      </c>
    </row>
    <row r="52100" spans="8:8">
      <c r="H52100" s="680" t="s">
        <v>6153</v>
      </c>
    </row>
    <row r="52101" spans="8:8">
      <c r="H52101" s="680" t="s">
        <v>6153</v>
      </c>
    </row>
    <row r="52102" spans="8:8">
      <c r="H52102" s="680" t="s">
        <v>6153</v>
      </c>
    </row>
    <row r="52103" spans="8:8">
      <c r="H52103" s="680" t="s">
        <v>6153</v>
      </c>
    </row>
    <row r="52104" spans="8:8">
      <c r="H52104" s="680" t="s">
        <v>6153</v>
      </c>
    </row>
    <row r="52105" spans="8:8">
      <c r="H52105" s="680" t="s">
        <v>6153</v>
      </c>
    </row>
    <row r="52106" spans="8:8">
      <c r="H52106" s="680" t="s">
        <v>6153</v>
      </c>
    </row>
    <row r="52107" spans="8:8">
      <c r="H52107" s="680" t="s">
        <v>6153</v>
      </c>
    </row>
    <row r="52108" spans="8:8">
      <c r="H52108" s="680" t="s">
        <v>6153</v>
      </c>
    </row>
    <row r="52109" spans="8:8">
      <c r="H52109" s="680" t="s">
        <v>6153</v>
      </c>
    </row>
    <row r="52110" spans="8:8">
      <c r="H52110" s="680" t="s">
        <v>6153</v>
      </c>
    </row>
    <row r="52111" spans="8:8">
      <c r="H52111" s="680" t="s">
        <v>6153</v>
      </c>
    </row>
    <row r="52112" spans="8:8">
      <c r="H52112" s="680" t="s">
        <v>6153</v>
      </c>
    </row>
    <row r="52113" spans="8:8">
      <c r="H52113" s="680" t="s">
        <v>6153</v>
      </c>
    </row>
    <row r="52114" spans="8:8">
      <c r="H52114" s="680" t="s">
        <v>6153</v>
      </c>
    </row>
    <row r="52115" spans="8:8">
      <c r="H52115" s="680" t="s">
        <v>6153</v>
      </c>
    </row>
    <row r="52116" spans="8:8">
      <c r="H52116" s="680" t="s">
        <v>6153</v>
      </c>
    </row>
    <row r="52117" spans="8:8">
      <c r="H52117" s="680" t="s">
        <v>6153</v>
      </c>
    </row>
    <row r="52118" spans="8:8">
      <c r="H52118" s="680" t="s">
        <v>6153</v>
      </c>
    </row>
    <row r="52119" spans="8:8">
      <c r="H52119" s="680" t="s">
        <v>6153</v>
      </c>
    </row>
    <row r="52120" spans="8:8">
      <c r="H52120" s="680" t="s">
        <v>6153</v>
      </c>
    </row>
    <row r="52121" spans="8:8">
      <c r="H52121" s="680" t="s">
        <v>6153</v>
      </c>
    </row>
    <row r="52122" spans="8:8">
      <c r="H52122" s="680" t="s">
        <v>6153</v>
      </c>
    </row>
    <row r="52123" spans="8:8">
      <c r="H52123" s="680" t="s">
        <v>6153</v>
      </c>
    </row>
    <row r="52124" spans="8:8">
      <c r="H52124" s="680" t="s">
        <v>6153</v>
      </c>
    </row>
    <row r="52125" spans="8:8">
      <c r="H52125" s="680" t="s">
        <v>6153</v>
      </c>
    </row>
    <row r="52126" spans="8:8">
      <c r="H52126" s="680" t="s">
        <v>6153</v>
      </c>
    </row>
    <row r="52127" spans="8:8">
      <c r="H52127" s="680" t="s">
        <v>6153</v>
      </c>
    </row>
    <row r="52128" spans="8:8">
      <c r="H52128" s="680" t="s">
        <v>6153</v>
      </c>
    </row>
    <row r="52129" spans="8:8">
      <c r="H52129" s="680" t="s">
        <v>6153</v>
      </c>
    </row>
    <row r="52130" spans="8:8">
      <c r="H52130" s="680" t="s">
        <v>6153</v>
      </c>
    </row>
    <row r="52131" spans="8:8">
      <c r="H52131" s="680" t="s">
        <v>6153</v>
      </c>
    </row>
    <row r="52132" spans="8:8">
      <c r="H52132" s="680" t="s">
        <v>6153</v>
      </c>
    </row>
    <row r="52133" spans="8:8">
      <c r="H52133" s="680" t="s">
        <v>6153</v>
      </c>
    </row>
    <row r="52134" spans="8:8">
      <c r="H52134" s="680" t="s">
        <v>6153</v>
      </c>
    </row>
    <row r="52135" spans="8:8">
      <c r="H52135" s="680" t="s">
        <v>6153</v>
      </c>
    </row>
    <row r="52136" spans="8:8">
      <c r="H52136" s="680" t="s">
        <v>6153</v>
      </c>
    </row>
    <row r="52137" spans="8:8">
      <c r="H52137" s="680" t="s">
        <v>6153</v>
      </c>
    </row>
    <row r="52138" spans="8:8">
      <c r="H52138" s="680" t="s">
        <v>6153</v>
      </c>
    </row>
    <row r="52139" spans="8:8">
      <c r="H52139" s="680" t="s">
        <v>6153</v>
      </c>
    </row>
    <row r="52140" spans="8:8">
      <c r="H52140" s="680" t="s">
        <v>6153</v>
      </c>
    </row>
    <row r="52141" spans="8:8">
      <c r="H52141" s="680" t="s">
        <v>6153</v>
      </c>
    </row>
    <row r="52142" spans="8:8">
      <c r="H52142" s="680" t="s">
        <v>6153</v>
      </c>
    </row>
    <row r="52143" spans="8:8">
      <c r="H52143" s="680" t="s">
        <v>6153</v>
      </c>
    </row>
    <row r="52144" spans="8:8">
      <c r="H52144" s="680" t="s">
        <v>6153</v>
      </c>
    </row>
    <row r="52145" spans="8:8">
      <c r="H52145" s="680" t="s">
        <v>6153</v>
      </c>
    </row>
    <row r="52146" spans="8:8">
      <c r="H52146" s="680" t="s">
        <v>6153</v>
      </c>
    </row>
    <row r="52147" spans="8:8">
      <c r="H52147" s="680" t="s">
        <v>6153</v>
      </c>
    </row>
    <row r="52148" spans="8:8">
      <c r="H52148" s="680" t="s">
        <v>6153</v>
      </c>
    </row>
    <row r="52149" spans="8:8">
      <c r="H52149" s="680" t="s">
        <v>6153</v>
      </c>
    </row>
    <row r="52150" spans="8:8">
      <c r="H52150" s="680" t="s">
        <v>6153</v>
      </c>
    </row>
    <row r="52151" spans="8:8">
      <c r="H52151" s="680" t="s">
        <v>6153</v>
      </c>
    </row>
    <row r="52152" spans="8:8">
      <c r="H52152" s="680" t="s">
        <v>6153</v>
      </c>
    </row>
    <row r="52153" spans="8:8">
      <c r="H52153" s="680" t="s">
        <v>6153</v>
      </c>
    </row>
    <row r="52154" spans="8:8">
      <c r="H52154" s="680" t="s">
        <v>6153</v>
      </c>
    </row>
    <row r="52155" spans="8:8">
      <c r="H52155" s="680" t="s">
        <v>6153</v>
      </c>
    </row>
    <row r="52156" spans="8:8">
      <c r="H52156" s="680" t="s">
        <v>6153</v>
      </c>
    </row>
    <row r="52157" spans="8:8">
      <c r="H52157" s="680" t="s">
        <v>6153</v>
      </c>
    </row>
    <row r="52158" spans="8:8">
      <c r="H52158" s="680" t="s">
        <v>6153</v>
      </c>
    </row>
    <row r="52159" spans="8:8">
      <c r="H52159" s="680" t="s">
        <v>6153</v>
      </c>
    </row>
    <row r="52160" spans="8:8">
      <c r="H52160" s="680" t="s">
        <v>6153</v>
      </c>
    </row>
    <row r="52161" spans="8:8">
      <c r="H52161" s="680" t="s">
        <v>6153</v>
      </c>
    </row>
    <row r="52162" spans="8:8">
      <c r="H52162" s="680" t="s">
        <v>6153</v>
      </c>
    </row>
    <row r="52163" spans="8:8">
      <c r="H52163" s="680" t="s">
        <v>6153</v>
      </c>
    </row>
    <row r="52164" spans="8:8">
      <c r="H52164" s="680" t="s">
        <v>6153</v>
      </c>
    </row>
    <row r="52165" spans="8:8">
      <c r="H52165" s="680" t="s">
        <v>6153</v>
      </c>
    </row>
    <row r="52166" spans="8:8">
      <c r="H52166" s="680" t="s">
        <v>6153</v>
      </c>
    </row>
    <row r="52167" spans="8:8">
      <c r="H52167" s="680" t="s">
        <v>6153</v>
      </c>
    </row>
    <row r="52168" spans="8:8">
      <c r="H52168" s="680" t="s">
        <v>6153</v>
      </c>
    </row>
    <row r="52169" spans="8:8">
      <c r="H52169" s="680" t="s">
        <v>6153</v>
      </c>
    </row>
    <row r="52170" spans="8:8">
      <c r="H52170" s="680" t="s">
        <v>6153</v>
      </c>
    </row>
    <row r="52171" spans="8:8">
      <c r="H52171" s="680" t="s">
        <v>6153</v>
      </c>
    </row>
    <row r="52172" spans="8:8">
      <c r="H52172" s="680" t="s">
        <v>6153</v>
      </c>
    </row>
    <row r="52173" spans="8:8">
      <c r="H52173" s="680" t="s">
        <v>6153</v>
      </c>
    </row>
    <row r="52174" spans="8:8">
      <c r="H52174" s="680" t="s">
        <v>6153</v>
      </c>
    </row>
    <row r="52175" spans="8:8">
      <c r="H52175" s="680" t="s">
        <v>6153</v>
      </c>
    </row>
    <row r="52176" spans="8:8">
      <c r="H52176" s="680" t="s">
        <v>6153</v>
      </c>
    </row>
    <row r="52177" spans="8:8">
      <c r="H52177" s="680" t="s">
        <v>6153</v>
      </c>
    </row>
    <row r="52178" spans="8:8">
      <c r="H52178" s="680" t="s">
        <v>6153</v>
      </c>
    </row>
    <row r="52179" spans="8:8">
      <c r="H52179" s="680" t="s">
        <v>6153</v>
      </c>
    </row>
    <row r="52180" spans="8:8">
      <c r="H52180" s="680" t="s">
        <v>6153</v>
      </c>
    </row>
    <row r="52181" spans="8:8">
      <c r="H52181" s="680" t="s">
        <v>6153</v>
      </c>
    </row>
    <row r="52182" spans="8:8">
      <c r="H52182" s="680" t="s">
        <v>6153</v>
      </c>
    </row>
    <row r="52183" spans="8:8">
      <c r="H52183" s="680" t="s">
        <v>6153</v>
      </c>
    </row>
    <row r="52184" spans="8:8">
      <c r="H52184" s="680" t="s">
        <v>6153</v>
      </c>
    </row>
    <row r="52185" spans="8:8">
      <c r="H52185" s="680" t="s">
        <v>6153</v>
      </c>
    </row>
    <row r="52186" spans="8:8">
      <c r="H52186" s="680" t="s">
        <v>6153</v>
      </c>
    </row>
    <row r="52187" spans="8:8">
      <c r="H52187" s="680" t="s">
        <v>6153</v>
      </c>
    </row>
    <row r="52188" spans="8:8">
      <c r="H52188" s="680" t="s">
        <v>6153</v>
      </c>
    </row>
    <row r="52189" spans="8:8">
      <c r="H52189" s="680" t="s">
        <v>6153</v>
      </c>
    </row>
    <row r="52190" spans="8:8">
      <c r="H52190" s="680" t="s">
        <v>6153</v>
      </c>
    </row>
    <row r="52191" spans="8:8">
      <c r="H52191" s="680" t="s">
        <v>6153</v>
      </c>
    </row>
    <row r="52192" spans="8:8">
      <c r="H52192" s="680" t="s">
        <v>6153</v>
      </c>
    </row>
    <row r="52193" spans="8:8">
      <c r="H52193" s="680" t="s">
        <v>6153</v>
      </c>
    </row>
    <row r="52194" spans="8:8">
      <c r="H52194" s="680" t="s">
        <v>6153</v>
      </c>
    </row>
    <row r="52195" spans="8:8">
      <c r="H52195" s="680" t="s">
        <v>6153</v>
      </c>
    </row>
    <row r="52196" spans="8:8">
      <c r="H52196" s="680" t="s">
        <v>6153</v>
      </c>
    </row>
    <row r="52197" spans="8:8">
      <c r="H52197" s="680" t="s">
        <v>6153</v>
      </c>
    </row>
    <row r="52198" spans="8:8">
      <c r="H52198" s="680" t="s">
        <v>6153</v>
      </c>
    </row>
    <row r="52199" spans="8:8">
      <c r="H52199" s="680" t="s">
        <v>6153</v>
      </c>
    </row>
    <row r="52200" spans="8:8">
      <c r="H52200" s="680" t="s">
        <v>6153</v>
      </c>
    </row>
    <row r="52201" spans="8:8">
      <c r="H52201" s="680" t="s">
        <v>6153</v>
      </c>
    </row>
    <row r="52202" spans="8:8">
      <c r="H52202" s="680" t="s">
        <v>6153</v>
      </c>
    </row>
    <row r="52203" spans="8:8">
      <c r="H52203" s="680" t="s">
        <v>6153</v>
      </c>
    </row>
    <row r="52204" spans="8:8">
      <c r="H52204" s="680" t="s">
        <v>6153</v>
      </c>
    </row>
    <row r="52205" spans="8:8">
      <c r="H52205" s="680" t="s">
        <v>6153</v>
      </c>
    </row>
    <row r="52206" spans="8:8">
      <c r="H52206" s="680" t="s">
        <v>6153</v>
      </c>
    </row>
    <row r="52207" spans="8:8">
      <c r="H52207" s="680" t="s">
        <v>6153</v>
      </c>
    </row>
    <row r="52208" spans="8:8">
      <c r="H52208" s="680" t="s">
        <v>6153</v>
      </c>
    </row>
    <row r="52209" spans="8:8">
      <c r="H52209" s="680" t="s">
        <v>6153</v>
      </c>
    </row>
    <row r="52210" spans="8:8">
      <c r="H52210" s="680" t="s">
        <v>6153</v>
      </c>
    </row>
    <row r="52211" spans="8:8">
      <c r="H52211" s="680" t="s">
        <v>6153</v>
      </c>
    </row>
    <row r="52212" spans="8:8">
      <c r="H52212" s="680" t="s">
        <v>6153</v>
      </c>
    </row>
    <row r="52213" spans="8:8">
      <c r="H52213" s="680" t="s">
        <v>6153</v>
      </c>
    </row>
    <row r="52214" spans="8:8">
      <c r="H52214" s="680" t="s">
        <v>6153</v>
      </c>
    </row>
    <row r="52215" spans="8:8">
      <c r="H52215" s="680" t="s">
        <v>6153</v>
      </c>
    </row>
    <row r="52216" spans="8:8">
      <c r="H52216" s="680" t="s">
        <v>6153</v>
      </c>
    </row>
    <row r="52217" spans="8:8">
      <c r="H52217" s="680" t="s">
        <v>6153</v>
      </c>
    </row>
    <row r="52218" spans="8:8">
      <c r="H52218" s="680" t="s">
        <v>6153</v>
      </c>
    </row>
    <row r="52219" spans="8:8">
      <c r="H52219" s="680" t="s">
        <v>6153</v>
      </c>
    </row>
    <row r="52220" spans="8:8">
      <c r="H52220" s="680" t="s">
        <v>6153</v>
      </c>
    </row>
    <row r="52221" spans="8:8">
      <c r="H52221" s="680" t="s">
        <v>6153</v>
      </c>
    </row>
    <row r="52222" spans="8:8">
      <c r="H52222" s="680" t="s">
        <v>6153</v>
      </c>
    </row>
    <row r="52223" spans="8:8">
      <c r="H52223" s="680" t="s">
        <v>6153</v>
      </c>
    </row>
    <row r="52224" spans="8:8">
      <c r="H52224" s="680" t="s">
        <v>6153</v>
      </c>
    </row>
    <row r="52225" spans="8:8">
      <c r="H52225" s="680" t="s">
        <v>6153</v>
      </c>
    </row>
    <row r="52226" spans="8:8">
      <c r="H52226" s="680" t="s">
        <v>6153</v>
      </c>
    </row>
    <row r="52227" spans="8:8">
      <c r="H52227" s="680" t="s">
        <v>6153</v>
      </c>
    </row>
    <row r="52228" spans="8:8">
      <c r="H52228" s="680" t="s">
        <v>6153</v>
      </c>
    </row>
    <row r="52229" spans="8:8">
      <c r="H52229" s="680" t="s">
        <v>6153</v>
      </c>
    </row>
    <row r="52230" spans="8:8">
      <c r="H52230" s="680" t="s">
        <v>6153</v>
      </c>
    </row>
    <row r="52231" spans="8:8">
      <c r="H52231" s="680" t="s">
        <v>6153</v>
      </c>
    </row>
    <row r="52232" spans="8:8">
      <c r="H52232" s="680" t="s">
        <v>6153</v>
      </c>
    </row>
    <row r="52233" spans="8:8">
      <c r="H52233" s="680" t="s">
        <v>6153</v>
      </c>
    </row>
    <row r="52234" spans="8:8">
      <c r="H52234" s="680" t="s">
        <v>6153</v>
      </c>
    </row>
    <row r="52235" spans="8:8">
      <c r="H52235" s="680" t="s">
        <v>6153</v>
      </c>
    </row>
    <row r="52236" spans="8:8">
      <c r="H52236" s="680" t="s">
        <v>6153</v>
      </c>
    </row>
    <row r="52237" spans="8:8">
      <c r="H52237" s="680" t="s">
        <v>6153</v>
      </c>
    </row>
    <row r="52238" spans="8:8">
      <c r="H52238" s="680" t="s">
        <v>6153</v>
      </c>
    </row>
    <row r="52239" spans="8:8">
      <c r="H52239" s="680" t="s">
        <v>6153</v>
      </c>
    </row>
    <row r="52240" spans="8:8">
      <c r="H52240" s="680" t="s">
        <v>6153</v>
      </c>
    </row>
    <row r="52241" spans="8:8">
      <c r="H52241" s="680" t="s">
        <v>6153</v>
      </c>
    </row>
    <row r="52242" spans="8:8">
      <c r="H52242" s="680" t="s">
        <v>6153</v>
      </c>
    </row>
    <row r="52243" spans="8:8">
      <c r="H52243" s="680" t="s">
        <v>6153</v>
      </c>
    </row>
    <row r="52244" spans="8:8">
      <c r="H52244" s="680" t="s">
        <v>6153</v>
      </c>
    </row>
    <row r="52245" spans="8:8">
      <c r="H52245" s="680" t="s">
        <v>6153</v>
      </c>
    </row>
    <row r="52246" spans="8:8">
      <c r="H52246" s="680" t="s">
        <v>6153</v>
      </c>
    </row>
    <row r="52247" spans="8:8">
      <c r="H52247" s="680" t="s">
        <v>6153</v>
      </c>
    </row>
    <row r="52248" spans="8:8">
      <c r="H52248" s="680" t="s">
        <v>6153</v>
      </c>
    </row>
    <row r="52249" spans="8:8">
      <c r="H52249" s="680" t="s">
        <v>6153</v>
      </c>
    </row>
    <row r="52250" spans="8:8">
      <c r="H52250" s="680" t="s">
        <v>6153</v>
      </c>
    </row>
    <row r="52251" spans="8:8">
      <c r="H52251" s="680" t="s">
        <v>6153</v>
      </c>
    </row>
    <row r="52252" spans="8:8">
      <c r="H52252" s="680" t="s">
        <v>6153</v>
      </c>
    </row>
    <row r="52253" spans="8:8">
      <c r="H52253" s="680" t="s">
        <v>6153</v>
      </c>
    </row>
    <row r="52254" spans="8:8">
      <c r="H52254" s="680" t="s">
        <v>6153</v>
      </c>
    </row>
    <row r="52255" spans="8:8">
      <c r="H52255" s="680" t="s">
        <v>6153</v>
      </c>
    </row>
    <row r="52256" spans="8:8">
      <c r="H52256" s="680" t="s">
        <v>6153</v>
      </c>
    </row>
    <row r="52257" spans="8:8">
      <c r="H52257" s="680" t="s">
        <v>6153</v>
      </c>
    </row>
    <row r="52258" spans="8:8">
      <c r="H52258" s="680" t="s">
        <v>6153</v>
      </c>
    </row>
    <row r="52259" spans="8:8">
      <c r="H52259" s="680" t="s">
        <v>6153</v>
      </c>
    </row>
    <row r="52260" spans="8:8">
      <c r="H52260" s="680" t="s">
        <v>6153</v>
      </c>
    </row>
    <row r="52261" spans="8:8">
      <c r="H52261" s="680" t="s">
        <v>6153</v>
      </c>
    </row>
    <row r="52262" spans="8:8">
      <c r="H52262" s="680" t="s">
        <v>6153</v>
      </c>
    </row>
    <row r="52263" spans="8:8">
      <c r="H52263" s="680" t="s">
        <v>6153</v>
      </c>
    </row>
    <row r="52264" spans="8:8">
      <c r="H52264" s="680" t="s">
        <v>6153</v>
      </c>
    </row>
    <row r="52265" spans="8:8">
      <c r="H52265" s="680" t="s">
        <v>6153</v>
      </c>
    </row>
    <row r="52266" spans="8:8">
      <c r="H52266" s="680" t="s">
        <v>6153</v>
      </c>
    </row>
    <row r="52267" spans="8:8">
      <c r="H52267" s="680" t="s">
        <v>6153</v>
      </c>
    </row>
    <row r="52268" spans="8:8">
      <c r="H52268" s="680" t="s">
        <v>6153</v>
      </c>
    </row>
    <row r="52269" spans="8:8">
      <c r="H52269" s="680" t="s">
        <v>6153</v>
      </c>
    </row>
    <row r="52270" spans="8:8">
      <c r="H52270" s="680" t="s">
        <v>6153</v>
      </c>
    </row>
    <row r="52271" spans="8:8">
      <c r="H52271" s="680" t="s">
        <v>6153</v>
      </c>
    </row>
    <row r="52272" spans="8:8">
      <c r="H52272" s="680" t="s">
        <v>6153</v>
      </c>
    </row>
    <row r="52273" spans="8:8">
      <c r="H52273" s="680" t="s">
        <v>6153</v>
      </c>
    </row>
    <row r="52274" spans="8:8">
      <c r="H52274" s="680" t="s">
        <v>6153</v>
      </c>
    </row>
    <row r="52275" spans="8:8">
      <c r="H52275" s="680" t="s">
        <v>6153</v>
      </c>
    </row>
    <row r="52276" spans="8:8">
      <c r="H52276" s="680" t="s">
        <v>6153</v>
      </c>
    </row>
    <row r="52277" spans="8:8">
      <c r="H52277" s="680" t="s">
        <v>6153</v>
      </c>
    </row>
    <row r="52278" spans="8:8">
      <c r="H52278" s="680" t="s">
        <v>6153</v>
      </c>
    </row>
    <row r="52279" spans="8:8">
      <c r="H52279" s="680" t="s">
        <v>6153</v>
      </c>
    </row>
    <row r="52280" spans="8:8">
      <c r="H52280" s="680" t="s">
        <v>6153</v>
      </c>
    </row>
    <row r="52281" spans="8:8">
      <c r="H52281" s="680" t="s">
        <v>6153</v>
      </c>
    </row>
    <row r="52282" spans="8:8">
      <c r="H52282" s="680" t="s">
        <v>6153</v>
      </c>
    </row>
    <row r="52283" spans="8:8">
      <c r="H52283" s="680" t="s">
        <v>6153</v>
      </c>
    </row>
    <row r="52284" spans="8:8">
      <c r="H52284" s="680" t="s">
        <v>6153</v>
      </c>
    </row>
    <row r="52285" spans="8:8">
      <c r="H52285" s="680" t="s">
        <v>6153</v>
      </c>
    </row>
    <row r="52286" spans="8:8">
      <c r="H52286" s="680" t="s">
        <v>6153</v>
      </c>
    </row>
    <row r="52287" spans="8:8">
      <c r="H52287" s="680" t="s">
        <v>6153</v>
      </c>
    </row>
    <row r="52288" spans="8:8">
      <c r="H52288" s="680" t="s">
        <v>6153</v>
      </c>
    </row>
    <row r="52289" spans="8:8">
      <c r="H52289" s="680" t="s">
        <v>6153</v>
      </c>
    </row>
    <row r="52290" spans="8:8">
      <c r="H52290" s="680" t="s">
        <v>6153</v>
      </c>
    </row>
    <row r="52291" spans="8:8">
      <c r="H52291" s="680" t="s">
        <v>6153</v>
      </c>
    </row>
    <row r="52292" spans="8:8">
      <c r="H52292" s="680" t="s">
        <v>6153</v>
      </c>
    </row>
    <row r="52293" spans="8:8">
      <c r="H52293" s="680" t="s">
        <v>6153</v>
      </c>
    </row>
    <row r="52294" spans="8:8">
      <c r="H52294" s="680" t="s">
        <v>6153</v>
      </c>
    </row>
    <row r="52295" spans="8:8">
      <c r="H52295" s="680" t="s">
        <v>6153</v>
      </c>
    </row>
    <row r="52296" spans="8:8">
      <c r="H52296" s="680" t="s">
        <v>6153</v>
      </c>
    </row>
    <row r="52297" spans="8:8">
      <c r="H52297" s="680" t="s">
        <v>6153</v>
      </c>
    </row>
    <row r="52298" spans="8:8">
      <c r="H52298" s="680" t="s">
        <v>6153</v>
      </c>
    </row>
    <row r="52299" spans="8:8">
      <c r="H52299" s="680" t="s">
        <v>6153</v>
      </c>
    </row>
    <row r="52300" spans="8:8">
      <c r="H52300" s="680" t="s">
        <v>6153</v>
      </c>
    </row>
    <row r="52301" spans="8:8">
      <c r="H52301" s="680" t="s">
        <v>6153</v>
      </c>
    </row>
    <row r="52302" spans="8:8">
      <c r="H52302" s="680" t="s">
        <v>6153</v>
      </c>
    </row>
    <row r="52303" spans="8:8">
      <c r="H52303" s="680" t="s">
        <v>6153</v>
      </c>
    </row>
    <row r="52304" spans="8:8">
      <c r="H52304" s="680" t="s">
        <v>6153</v>
      </c>
    </row>
    <row r="52305" spans="8:8">
      <c r="H52305" s="680" t="s">
        <v>6153</v>
      </c>
    </row>
    <row r="52306" spans="8:8">
      <c r="H52306" s="680" t="s">
        <v>6153</v>
      </c>
    </row>
    <row r="52307" spans="8:8">
      <c r="H52307" s="680" t="s">
        <v>6153</v>
      </c>
    </row>
    <row r="52308" spans="8:8">
      <c r="H52308" s="680" t="s">
        <v>6153</v>
      </c>
    </row>
    <row r="52309" spans="8:8">
      <c r="H52309" s="680" t="s">
        <v>6153</v>
      </c>
    </row>
    <row r="52310" spans="8:8">
      <c r="H52310" s="680" t="s">
        <v>6153</v>
      </c>
    </row>
    <row r="52311" spans="8:8">
      <c r="H52311" s="680" t="s">
        <v>6153</v>
      </c>
    </row>
    <row r="52312" spans="8:8">
      <c r="H52312" s="680" t="s">
        <v>6153</v>
      </c>
    </row>
    <row r="52313" spans="8:8">
      <c r="H52313" s="680" t="s">
        <v>6153</v>
      </c>
    </row>
    <row r="52314" spans="8:8">
      <c r="H52314" s="680" t="s">
        <v>6153</v>
      </c>
    </row>
    <row r="52315" spans="8:8">
      <c r="H52315" s="680" t="s">
        <v>6153</v>
      </c>
    </row>
    <row r="52316" spans="8:8">
      <c r="H52316" s="680" t="s">
        <v>6153</v>
      </c>
    </row>
    <row r="52317" spans="8:8">
      <c r="H52317" s="680" t="s">
        <v>6153</v>
      </c>
    </row>
    <row r="52318" spans="8:8">
      <c r="H52318" s="680" t="s">
        <v>6153</v>
      </c>
    </row>
    <row r="52319" spans="8:8">
      <c r="H52319" s="680" t="s">
        <v>6153</v>
      </c>
    </row>
    <row r="52320" spans="8:8">
      <c r="H52320" s="680" t="s">
        <v>6153</v>
      </c>
    </row>
    <row r="52321" spans="8:8">
      <c r="H52321" s="680" t="s">
        <v>6153</v>
      </c>
    </row>
    <row r="52322" spans="8:8">
      <c r="H52322" s="680" t="s">
        <v>6153</v>
      </c>
    </row>
    <row r="52323" spans="8:8">
      <c r="H52323" s="680" t="s">
        <v>6153</v>
      </c>
    </row>
    <row r="52324" spans="8:8">
      <c r="H52324" s="680" t="s">
        <v>6153</v>
      </c>
    </row>
    <row r="52325" spans="8:8">
      <c r="H52325" s="680" t="s">
        <v>6153</v>
      </c>
    </row>
    <row r="52326" spans="8:8">
      <c r="H52326" s="680" t="s">
        <v>6153</v>
      </c>
    </row>
    <row r="52327" spans="8:8">
      <c r="H52327" s="680" t="s">
        <v>6153</v>
      </c>
    </row>
    <row r="52328" spans="8:8">
      <c r="H52328" s="680" t="s">
        <v>6153</v>
      </c>
    </row>
    <row r="52329" spans="8:8">
      <c r="H52329" s="680" t="s">
        <v>6153</v>
      </c>
    </row>
    <row r="52330" spans="8:8">
      <c r="H52330" s="680" t="s">
        <v>6153</v>
      </c>
    </row>
    <row r="52331" spans="8:8">
      <c r="H52331" s="680" t="s">
        <v>6153</v>
      </c>
    </row>
    <row r="52332" spans="8:8">
      <c r="H52332" s="680" t="s">
        <v>6153</v>
      </c>
    </row>
    <row r="52333" spans="8:8">
      <c r="H52333" s="680" t="s">
        <v>6153</v>
      </c>
    </row>
    <row r="52334" spans="8:8">
      <c r="H52334" s="680" t="s">
        <v>6153</v>
      </c>
    </row>
    <row r="52335" spans="8:8">
      <c r="H52335" s="680" t="s">
        <v>6153</v>
      </c>
    </row>
    <row r="52336" spans="8:8">
      <c r="H52336" s="680" t="s">
        <v>6153</v>
      </c>
    </row>
    <row r="52337" spans="8:8">
      <c r="H52337" s="680" t="s">
        <v>6153</v>
      </c>
    </row>
    <row r="52338" spans="8:8">
      <c r="H52338" s="680" t="s">
        <v>6153</v>
      </c>
    </row>
    <row r="52339" spans="8:8">
      <c r="H52339" s="680" t="s">
        <v>6153</v>
      </c>
    </row>
    <row r="52340" spans="8:8">
      <c r="H52340" s="680" t="s">
        <v>6153</v>
      </c>
    </row>
    <row r="52341" spans="8:8">
      <c r="H52341" s="680" t="s">
        <v>6153</v>
      </c>
    </row>
    <row r="52342" spans="8:8">
      <c r="H52342" s="680" t="s">
        <v>6153</v>
      </c>
    </row>
    <row r="52343" spans="8:8">
      <c r="H52343" s="680" t="s">
        <v>6153</v>
      </c>
    </row>
    <row r="52344" spans="8:8">
      <c r="H52344" s="680" t="s">
        <v>6153</v>
      </c>
    </row>
    <row r="52345" spans="8:8">
      <c r="H52345" s="680" t="s">
        <v>6153</v>
      </c>
    </row>
    <row r="52346" spans="8:8">
      <c r="H52346" s="680" t="s">
        <v>6153</v>
      </c>
    </row>
    <row r="52347" spans="8:8">
      <c r="H52347" s="680" t="s">
        <v>6153</v>
      </c>
    </row>
    <row r="52348" spans="8:8">
      <c r="H52348" s="680" t="s">
        <v>6153</v>
      </c>
    </row>
    <row r="52349" spans="8:8">
      <c r="H52349" s="680" t="s">
        <v>6153</v>
      </c>
    </row>
    <row r="52350" spans="8:8">
      <c r="H52350" s="680" t="s">
        <v>6153</v>
      </c>
    </row>
    <row r="52351" spans="8:8">
      <c r="H52351" s="680" t="s">
        <v>6153</v>
      </c>
    </row>
    <row r="52352" spans="8:8">
      <c r="H52352" s="680" t="s">
        <v>6153</v>
      </c>
    </row>
    <row r="52353" spans="8:8">
      <c r="H52353" s="680" t="s">
        <v>6153</v>
      </c>
    </row>
    <row r="52354" spans="8:8">
      <c r="H52354" s="680" t="s">
        <v>6153</v>
      </c>
    </row>
    <row r="52355" spans="8:8">
      <c r="H52355" s="680" t="s">
        <v>6153</v>
      </c>
    </row>
    <row r="52356" spans="8:8">
      <c r="H52356" s="680" t="s">
        <v>6153</v>
      </c>
    </row>
    <row r="52357" spans="8:8">
      <c r="H52357" s="680" t="s">
        <v>6153</v>
      </c>
    </row>
    <row r="52358" spans="8:8">
      <c r="H52358" s="680" t="s">
        <v>6153</v>
      </c>
    </row>
    <row r="52359" spans="8:8">
      <c r="H52359" s="680" t="s">
        <v>6153</v>
      </c>
    </row>
    <row r="52360" spans="8:8">
      <c r="H52360" s="680" t="s">
        <v>6153</v>
      </c>
    </row>
    <row r="52361" spans="8:8">
      <c r="H52361" s="680" t="s">
        <v>6153</v>
      </c>
    </row>
    <row r="52362" spans="8:8">
      <c r="H52362" s="680" t="s">
        <v>6153</v>
      </c>
    </row>
    <row r="52363" spans="8:8">
      <c r="H52363" s="680" t="s">
        <v>6153</v>
      </c>
    </row>
    <row r="52364" spans="8:8">
      <c r="H52364" s="680" t="s">
        <v>6153</v>
      </c>
    </row>
    <row r="52365" spans="8:8">
      <c r="H52365" s="680" t="s">
        <v>6153</v>
      </c>
    </row>
    <row r="52366" spans="8:8">
      <c r="H52366" s="680" t="s">
        <v>6153</v>
      </c>
    </row>
    <row r="52367" spans="8:8">
      <c r="H52367" s="680" t="s">
        <v>6153</v>
      </c>
    </row>
    <row r="52368" spans="8:8">
      <c r="H52368" s="680" t="s">
        <v>6153</v>
      </c>
    </row>
    <row r="52369" spans="8:8">
      <c r="H52369" s="680" t="s">
        <v>6153</v>
      </c>
    </row>
    <row r="52370" spans="8:8">
      <c r="H52370" s="680" t="s">
        <v>6153</v>
      </c>
    </row>
    <row r="52371" spans="8:8">
      <c r="H52371" s="680" t="s">
        <v>6153</v>
      </c>
    </row>
    <row r="52372" spans="8:8">
      <c r="H52372" s="680" t="s">
        <v>6153</v>
      </c>
    </row>
    <row r="52373" spans="8:8">
      <c r="H52373" s="680" t="s">
        <v>6153</v>
      </c>
    </row>
    <row r="52374" spans="8:8">
      <c r="H52374" s="680" t="s">
        <v>6153</v>
      </c>
    </row>
    <row r="52375" spans="8:8">
      <c r="H52375" s="680" t="s">
        <v>6153</v>
      </c>
    </row>
    <row r="52376" spans="8:8">
      <c r="H52376" s="680" t="s">
        <v>6153</v>
      </c>
    </row>
    <row r="52377" spans="8:8">
      <c r="H52377" s="680" t="s">
        <v>6153</v>
      </c>
    </row>
    <row r="52378" spans="8:8">
      <c r="H52378" s="680" t="s">
        <v>6153</v>
      </c>
    </row>
    <row r="52379" spans="8:8">
      <c r="H52379" s="680" t="s">
        <v>6153</v>
      </c>
    </row>
    <row r="52380" spans="8:8">
      <c r="H52380" s="680" t="s">
        <v>6153</v>
      </c>
    </row>
    <row r="52381" spans="8:8">
      <c r="H52381" s="680" t="s">
        <v>6153</v>
      </c>
    </row>
    <row r="52382" spans="8:8">
      <c r="H52382" s="680" t="s">
        <v>6153</v>
      </c>
    </row>
    <row r="52383" spans="8:8">
      <c r="H52383" s="680" t="s">
        <v>6153</v>
      </c>
    </row>
    <row r="52384" spans="8:8">
      <c r="H52384" s="680" t="s">
        <v>6153</v>
      </c>
    </row>
    <row r="52385" spans="8:8">
      <c r="H52385" s="680" t="s">
        <v>6153</v>
      </c>
    </row>
    <row r="52386" spans="8:8">
      <c r="H52386" s="680" t="s">
        <v>6153</v>
      </c>
    </row>
    <row r="52387" spans="8:8">
      <c r="H52387" s="680" t="s">
        <v>6153</v>
      </c>
    </row>
    <row r="52388" spans="8:8">
      <c r="H52388" s="680" t="s">
        <v>6153</v>
      </c>
    </row>
    <row r="52389" spans="8:8">
      <c r="H52389" s="680" t="s">
        <v>6153</v>
      </c>
    </row>
    <row r="52390" spans="8:8">
      <c r="H52390" s="680" t="s">
        <v>6153</v>
      </c>
    </row>
    <row r="52391" spans="8:8">
      <c r="H52391" s="680" t="s">
        <v>6153</v>
      </c>
    </row>
    <row r="52392" spans="8:8">
      <c r="H52392" s="680" t="s">
        <v>6153</v>
      </c>
    </row>
    <row r="52393" spans="8:8">
      <c r="H52393" s="680" t="s">
        <v>6153</v>
      </c>
    </row>
    <row r="52394" spans="8:8">
      <c r="H52394" s="680" t="s">
        <v>6153</v>
      </c>
    </row>
    <row r="52395" spans="8:8">
      <c r="H52395" s="680" t="s">
        <v>6153</v>
      </c>
    </row>
    <row r="52396" spans="8:8">
      <c r="H52396" s="680" t="s">
        <v>6153</v>
      </c>
    </row>
    <row r="52397" spans="8:8">
      <c r="H52397" s="680" t="s">
        <v>6153</v>
      </c>
    </row>
    <row r="52398" spans="8:8">
      <c r="H52398" s="680" t="s">
        <v>6153</v>
      </c>
    </row>
    <row r="52399" spans="8:8">
      <c r="H52399" s="680" t="s">
        <v>6153</v>
      </c>
    </row>
    <row r="52400" spans="8:8">
      <c r="H52400" s="680" t="s">
        <v>6153</v>
      </c>
    </row>
    <row r="52401" spans="8:8">
      <c r="H52401" s="680" t="s">
        <v>6153</v>
      </c>
    </row>
    <row r="52402" spans="8:8">
      <c r="H52402" s="680" t="s">
        <v>6153</v>
      </c>
    </row>
    <row r="52403" spans="8:8">
      <c r="H52403" s="680" t="s">
        <v>6153</v>
      </c>
    </row>
    <row r="52404" spans="8:8">
      <c r="H52404" s="680" t="s">
        <v>6153</v>
      </c>
    </row>
    <row r="52405" spans="8:8">
      <c r="H52405" s="680" t="s">
        <v>6153</v>
      </c>
    </row>
    <row r="52406" spans="8:8">
      <c r="H52406" s="680" t="s">
        <v>6153</v>
      </c>
    </row>
    <row r="52407" spans="8:8">
      <c r="H52407" s="680" t="s">
        <v>6153</v>
      </c>
    </row>
    <row r="52408" spans="8:8">
      <c r="H52408" s="680" t="s">
        <v>6153</v>
      </c>
    </row>
    <row r="52409" spans="8:8">
      <c r="H52409" s="680" t="s">
        <v>6153</v>
      </c>
    </row>
    <row r="52410" spans="8:8">
      <c r="H52410" s="680" t="s">
        <v>6153</v>
      </c>
    </row>
    <row r="52411" spans="8:8">
      <c r="H52411" s="680" t="s">
        <v>6153</v>
      </c>
    </row>
    <row r="52412" spans="8:8">
      <c r="H52412" s="680" t="s">
        <v>6153</v>
      </c>
    </row>
    <row r="52413" spans="8:8">
      <c r="H52413" s="680" t="s">
        <v>6153</v>
      </c>
    </row>
    <row r="52414" spans="8:8">
      <c r="H52414" s="680" t="s">
        <v>6153</v>
      </c>
    </row>
    <row r="52415" spans="8:8">
      <c r="H52415" s="680" t="s">
        <v>6153</v>
      </c>
    </row>
    <row r="52416" spans="8:8">
      <c r="H52416" s="680" t="s">
        <v>6153</v>
      </c>
    </row>
    <row r="52417" spans="8:8">
      <c r="H52417" s="680" t="s">
        <v>6153</v>
      </c>
    </row>
    <row r="52418" spans="8:8">
      <c r="H52418" s="680" t="s">
        <v>6153</v>
      </c>
    </row>
    <row r="52419" spans="8:8">
      <c r="H52419" s="680" t="s">
        <v>6153</v>
      </c>
    </row>
    <row r="52420" spans="8:8">
      <c r="H52420" s="680" t="s">
        <v>6153</v>
      </c>
    </row>
    <row r="52421" spans="8:8">
      <c r="H52421" s="680" t="s">
        <v>6153</v>
      </c>
    </row>
    <row r="52422" spans="8:8">
      <c r="H52422" s="680" t="s">
        <v>6153</v>
      </c>
    </row>
    <row r="52423" spans="8:8">
      <c r="H52423" s="680" t="s">
        <v>6153</v>
      </c>
    </row>
    <row r="52424" spans="8:8">
      <c r="H52424" s="680" t="s">
        <v>6153</v>
      </c>
    </row>
    <row r="52425" spans="8:8">
      <c r="H52425" s="680" t="s">
        <v>6153</v>
      </c>
    </row>
    <row r="52426" spans="8:8">
      <c r="H52426" s="680" t="s">
        <v>6153</v>
      </c>
    </row>
    <row r="52427" spans="8:8">
      <c r="H52427" s="680" t="s">
        <v>6153</v>
      </c>
    </row>
    <row r="52428" spans="8:8">
      <c r="H52428" s="680" t="s">
        <v>6153</v>
      </c>
    </row>
    <row r="52429" spans="8:8">
      <c r="H52429" s="680" t="s">
        <v>6153</v>
      </c>
    </row>
    <row r="52430" spans="8:8">
      <c r="H52430" s="680" t="s">
        <v>6153</v>
      </c>
    </row>
    <row r="52431" spans="8:8">
      <c r="H52431" s="680" t="s">
        <v>6153</v>
      </c>
    </row>
    <row r="52432" spans="8:8">
      <c r="H52432" s="680" t="s">
        <v>6153</v>
      </c>
    </row>
    <row r="52433" spans="8:8">
      <c r="H52433" s="680" t="s">
        <v>6153</v>
      </c>
    </row>
    <row r="52434" spans="8:8">
      <c r="H52434" s="680" t="s">
        <v>6153</v>
      </c>
    </row>
    <row r="52435" spans="8:8">
      <c r="H52435" s="680" t="s">
        <v>6153</v>
      </c>
    </row>
    <row r="52436" spans="8:8">
      <c r="H52436" s="680" t="s">
        <v>6153</v>
      </c>
    </row>
    <row r="52437" spans="8:8">
      <c r="H52437" s="680" t="s">
        <v>6153</v>
      </c>
    </row>
    <row r="52438" spans="8:8">
      <c r="H52438" s="680" t="s">
        <v>6153</v>
      </c>
    </row>
    <row r="52439" spans="8:8">
      <c r="H52439" s="680" t="s">
        <v>6153</v>
      </c>
    </row>
    <row r="52440" spans="8:8">
      <c r="H52440" s="680" t="s">
        <v>6153</v>
      </c>
    </row>
    <row r="52441" spans="8:8">
      <c r="H52441" s="680" t="s">
        <v>6153</v>
      </c>
    </row>
    <row r="52442" spans="8:8">
      <c r="H52442" s="680" t="s">
        <v>6153</v>
      </c>
    </row>
    <row r="52443" spans="8:8">
      <c r="H52443" s="680" t="s">
        <v>6153</v>
      </c>
    </row>
    <row r="52444" spans="8:8">
      <c r="H52444" s="680" t="s">
        <v>6153</v>
      </c>
    </row>
    <row r="52445" spans="8:8">
      <c r="H52445" s="680" t="s">
        <v>6153</v>
      </c>
    </row>
    <row r="52446" spans="8:8">
      <c r="H52446" s="680" t="s">
        <v>6153</v>
      </c>
    </row>
    <row r="52447" spans="8:8">
      <c r="H52447" s="680" t="s">
        <v>6153</v>
      </c>
    </row>
    <row r="52448" spans="8:8">
      <c r="H52448" s="680" t="s">
        <v>6153</v>
      </c>
    </row>
    <row r="52449" spans="8:8">
      <c r="H52449" s="680" t="s">
        <v>6153</v>
      </c>
    </row>
    <row r="52450" spans="8:8">
      <c r="H52450" s="680" t="s">
        <v>6153</v>
      </c>
    </row>
    <row r="52451" spans="8:8">
      <c r="H52451" s="680" t="s">
        <v>6153</v>
      </c>
    </row>
    <row r="52452" spans="8:8">
      <c r="H52452" s="680" t="s">
        <v>6153</v>
      </c>
    </row>
    <row r="52453" spans="8:8">
      <c r="H52453" s="680" t="s">
        <v>6153</v>
      </c>
    </row>
    <row r="52454" spans="8:8">
      <c r="H52454" s="680" t="s">
        <v>6153</v>
      </c>
    </row>
    <row r="52455" spans="8:8">
      <c r="H52455" s="680" t="s">
        <v>6153</v>
      </c>
    </row>
    <row r="52456" spans="8:8">
      <c r="H52456" s="680" t="s">
        <v>6153</v>
      </c>
    </row>
    <row r="52457" spans="8:8">
      <c r="H52457" s="680" t="s">
        <v>6153</v>
      </c>
    </row>
    <row r="52458" spans="8:8">
      <c r="H52458" s="680" t="s">
        <v>6153</v>
      </c>
    </row>
    <row r="52459" spans="8:8">
      <c r="H52459" s="680" t="s">
        <v>6153</v>
      </c>
    </row>
    <row r="52460" spans="8:8">
      <c r="H52460" s="680" t="s">
        <v>6153</v>
      </c>
    </row>
    <row r="52461" spans="8:8">
      <c r="H52461" s="680" t="s">
        <v>6153</v>
      </c>
    </row>
    <row r="52462" spans="8:8">
      <c r="H52462" s="680" t="s">
        <v>6153</v>
      </c>
    </row>
    <row r="52463" spans="8:8">
      <c r="H52463" s="680" t="s">
        <v>6153</v>
      </c>
    </row>
    <row r="52464" spans="8:8">
      <c r="H52464" s="680" t="s">
        <v>6153</v>
      </c>
    </row>
    <row r="52465" spans="8:8">
      <c r="H52465" s="680" t="s">
        <v>6153</v>
      </c>
    </row>
    <row r="52466" spans="8:8">
      <c r="H52466" s="680" t="s">
        <v>6153</v>
      </c>
    </row>
    <row r="52467" spans="8:8">
      <c r="H52467" s="680" t="s">
        <v>6153</v>
      </c>
    </row>
    <row r="52468" spans="8:8">
      <c r="H52468" s="680" t="s">
        <v>6153</v>
      </c>
    </row>
    <row r="52469" spans="8:8">
      <c r="H52469" s="680" t="s">
        <v>6153</v>
      </c>
    </row>
    <row r="52470" spans="8:8">
      <c r="H52470" s="680" t="s">
        <v>6153</v>
      </c>
    </row>
    <row r="52471" spans="8:8">
      <c r="H52471" s="680" t="s">
        <v>6153</v>
      </c>
    </row>
    <row r="52472" spans="8:8">
      <c r="H52472" s="680" t="s">
        <v>6153</v>
      </c>
    </row>
    <row r="52473" spans="8:8">
      <c r="H52473" s="680" t="s">
        <v>6153</v>
      </c>
    </row>
    <row r="52474" spans="8:8">
      <c r="H52474" s="680" t="s">
        <v>6153</v>
      </c>
    </row>
    <row r="52475" spans="8:8">
      <c r="H52475" s="680" t="s">
        <v>6153</v>
      </c>
    </row>
    <row r="52476" spans="8:8">
      <c r="H52476" s="680" t="s">
        <v>6153</v>
      </c>
    </row>
    <row r="52477" spans="8:8">
      <c r="H52477" s="680" t="s">
        <v>6153</v>
      </c>
    </row>
    <row r="52478" spans="8:8">
      <c r="H52478" s="680" t="s">
        <v>6153</v>
      </c>
    </row>
    <row r="52479" spans="8:8">
      <c r="H52479" s="680" t="s">
        <v>6153</v>
      </c>
    </row>
    <row r="52480" spans="8:8">
      <c r="H52480" s="680" t="s">
        <v>6153</v>
      </c>
    </row>
    <row r="52481" spans="8:8">
      <c r="H52481" s="680" t="s">
        <v>6153</v>
      </c>
    </row>
    <row r="52482" spans="8:8">
      <c r="H52482" s="680" t="s">
        <v>6153</v>
      </c>
    </row>
    <row r="52483" spans="8:8">
      <c r="H52483" s="680" t="s">
        <v>6153</v>
      </c>
    </row>
    <row r="52484" spans="8:8">
      <c r="H52484" s="680" t="s">
        <v>6153</v>
      </c>
    </row>
    <row r="52485" spans="8:8">
      <c r="H52485" s="680" t="s">
        <v>6153</v>
      </c>
    </row>
    <row r="52486" spans="8:8">
      <c r="H52486" s="680" t="s">
        <v>6153</v>
      </c>
    </row>
    <row r="52487" spans="8:8">
      <c r="H52487" s="680" t="s">
        <v>6153</v>
      </c>
    </row>
    <row r="52488" spans="8:8">
      <c r="H52488" s="680" t="s">
        <v>6153</v>
      </c>
    </row>
    <row r="52489" spans="8:8">
      <c r="H52489" s="680" t="s">
        <v>6153</v>
      </c>
    </row>
    <row r="52490" spans="8:8">
      <c r="H52490" s="680" t="s">
        <v>6153</v>
      </c>
    </row>
    <row r="52491" spans="8:8">
      <c r="H52491" s="680" t="s">
        <v>6153</v>
      </c>
    </row>
    <row r="52492" spans="8:8">
      <c r="H52492" s="680" t="s">
        <v>6153</v>
      </c>
    </row>
    <row r="52493" spans="8:8">
      <c r="H52493" s="680" t="s">
        <v>6153</v>
      </c>
    </row>
    <row r="52494" spans="8:8">
      <c r="H52494" s="680" t="s">
        <v>6153</v>
      </c>
    </row>
    <row r="52495" spans="8:8">
      <c r="H52495" s="680" t="s">
        <v>6153</v>
      </c>
    </row>
    <row r="52496" spans="8:8">
      <c r="H52496" s="680" t="s">
        <v>6153</v>
      </c>
    </row>
    <row r="52497" spans="8:8">
      <c r="H52497" s="680" t="s">
        <v>6153</v>
      </c>
    </row>
    <row r="52498" spans="8:8">
      <c r="H52498" s="680" t="s">
        <v>6153</v>
      </c>
    </row>
    <row r="52499" spans="8:8">
      <c r="H52499" s="680" t="s">
        <v>6153</v>
      </c>
    </row>
    <row r="52500" spans="8:8">
      <c r="H52500" s="680" t="s">
        <v>6153</v>
      </c>
    </row>
    <row r="52501" spans="8:8">
      <c r="H52501" s="680" t="s">
        <v>6153</v>
      </c>
    </row>
    <row r="52502" spans="8:8">
      <c r="H52502" s="680" t="s">
        <v>6153</v>
      </c>
    </row>
    <row r="52503" spans="8:8">
      <c r="H52503" s="680" t="s">
        <v>6153</v>
      </c>
    </row>
    <row r="52504" spans="8:8">
      <c r="H52504" s="680" t="s">
        <v>6153</v>
      </c>
    </row>
    <row r="52505" spans="8:8">
      <c r="H52505" s="680" t="s">
        <v>6153</v>
      </c>
    </row>
    <row r="52506" spans="8:8">
      <c r="H52506" s="680" t="s">
        <v>6153</v>
      </c>
    </row>
    <row r="52507" spans="8:8">
      <c r="H52507" s="680" t="s">
        <v>6153</v>
      </c>
    </row>
    <row r="52508" spans="8:8">
      <c r="H52508" s="680" t="s">
        <v>6153</v>
      </c>
    </row>
    <row r="52509" spans="8:8">
      <c r="H52509" s="680" t="s">
        <v>6153</v>
      </c>
    </row>
    <row r="52510" spans="8:8">
      <c r="H52510" s="680" t="s">
        <v>6153</v>
      </c>
    </row>
    <row r="52511" spans="8:8">
      <c r="H52511" s="680" t="s">
        <v>6153</v>
      </c>
    </row>
    <row r="52512" spans="8:8">
      <c r="H52512" s="680" t="s">
        <v>6153</v>
      </c>
    </row>
    <row r="52513" spans="8:8">
      <c r="H52513" s="680" t="s">
        <v>6153</v>
      </c>
    </row>
    <row r="52514" spans="8:8">
      <c r="H52514" s="680" t="s">
        <v>6153</v>
      </c>
    </row>
    <row r="52515" spans="8:8">
      <c r="H52515" s="680" t="s">
        <v>6153</v>
      </c>
    </row>
    <row r="52516" spans="8:8">
      <c r="H52516" s="680" t="s">
        <v>6153</v>
      </c>
    </row>
    <row r="52517" spans="8:8">
      <c r="H52517" s="680" t="s">
        <v>6153</v>
      </c>
    </row>
    <row r="52518" spans="8:8">
      <c r="H52518" s="680" t="s">
        <v>6153</v>
      </c>
    </row>
    <row r="52519" spans="8:8">
      <c r="H52519" s="680" t="s">
        <v>6153</v>
      </c>
    </row>
    <row r="52520" spans="8:8">
      <c r="H52520" s="680" t="s">
        <v>6153</v>
      </c>
    </row>
    <row r="52521" spans="8:8">
      <c r="H52521" s="680" t="s">
        <v>6153</v>
      </c>
    </row>
    <row r="52522" spans="8:8">
      <c r="H52522" s="680" t="s">
        <v>6153</v>
      </c>
    </row>
    <row r="52523" spans="8:8">
      <c r="H52523" s="680" t="s">
        <v>6153</v>
      </c>
    </row>
    <row r="52524" spans="8:8">
      <c r="H52524" s="680" t="s">
        <v>6153</v>
      </c>
    </row>
    <row r="52525" spans="8:8">
      <c r="H52525" s="680" t="s">
        <v>6153</v>
      </c>
    </row>
    <row r="52526" spans="8:8">
      <c r="H52526" s="680" t="s">
        <v>6153</v>
      </c>
    </row>
    <row r="52527" spans="8:8">
      <c r="H52527" s="680" t="s">
        <v>6153</v>
      </c>
    </row>
    <row r="52528" spans="8:8">
      <c r="H52528" s="680" t="s">
        <v>6153</v>
      </c>
    </row>
    <row r="52529" spans="8:8">
      <c r="H52529" s="680" t="s">
        <v>6153</v>
      </c>
    </row>
    <row r="52530" spans="8:8">
      <c r="H52530" s="680" t="s">
        <v>6153</v>
      </c>
    </row>
    <row r="52531" spans="8:8">
      <c r="H52531" s="680" t="s">
        <v>6153</v>
      </c>
    </row>
    <row r="52532" spans="8:8">
      <c r="H52532" s="680" t="s">
        <v>6153</v>
      </c>
    </row>
    <row r="52533" spans="8:8">
      <c r="H52533" s="680" t="s">
        <v>6153</v>
      </c>
    </row>
    <row r="52534" spans="8:8">
      <c r="H52534" s="680" t="s">
        <v>6153</v>
      </c>
    </row>
    <row r="52535" spans="8:8">
      <c r="H52535" s="680" t="s">
        <v>6153</v>
      </c>
    </row>
    <row r="52536" spans="8:8">
      <c r="H52536" s="680" t="s">
        <v>6153</v>
      </c>
    </row>
    <row r="52537" spans="8:8">
      <c r="H52537" s="680" t="s">
        <v>6153</v>
      </c>
    </row>
    <row r="52538" spans="8:8">
      <c r="H52538" s="680" t="s">
        <v>6153</v>
      </c>
    </row>
    <row r="52539" spans="8:8">
      <c r="H52539" s="680" t="s">
        <v>6153</v>
      </c>
    </row>
    <row r="52540" spans="8:8">
      <c r="H52540" s="680" t="s">
        <v>6153</v>
      </c>
    </row>
    <row r="52541" spans="8:8">
      <c r="H52541" s="680" t="s">
        <v>6153</v>
      </c>
    </row>
    <row r="52542" spans="8:8">
      <c r="H52542" s="680" t="s">
        <v>6153</v>
      </c>
    </row>
    <row r="52543" spans="8:8">
      <c r="H52543" s="680" t="s">
        <v>6153</v>
      </c>
    </row>
    <row r="52544" spans="8:8">
      <c r="H52544" s="680" t="s">
        <v>6153</v>
      </c>
    </row>
    <row r="52545" spans="8:8">
      <c r="H52545" s="680" t="s">
        <v>6153</v>
      </c>
    </row>
    <row r="52546" spans="8:8">
      <c r="H52546" s="680" t="s">
        <v>6153</v>
      </c>
    </row>
    <row r="52547" spans="8:8">
      <c r="H52547" s="680" t="s">
        <v>6153</v>
      </c>
    </row>
    <row r="52548" spans="8:8">
      <c r="H52548" s="680" t="s">
        <v>6153</v>
      </c>
    </row>
    <row r="52549" spans="8:8">
      <c r="H52549" s="680" t="s">
        <v>6153</v>
      </c>
    </row>
    <row r="52550" spans="8:8">
      <c r="H52550" s="680" t="s">
        <v>6153</v>
      </c>
    </row>
    <row r="52551" spans="8:8">
      <c r="H52551" s="680" t="s">
        <v>6153</v>
      </c>
    </row>
    <row r="52552" spans="8:8">
      <c r="H52552" s="680" t="s">
        <v>6153</v>
      </c>
    </row>
    <row r="52553" spans="8:8">
      <c r="H52553" s="680" t="s">
        <v>6153</v>
      </c>
    </row>
    <row r="52554" spans="8:8">
      <c r="H52554" s="680" t="s">
        <v>6153</v>
      </c>
    </row>
    <row r="52555" spans="8:8">
      <c r="H52555" s="680" t="s">
        <v>6153</v>
      </c>
    </row>
    <row r="52556" spans="8:8">
      <c r="H52556" s="680" t="s">
        <v>6153</v>
      </c>
    </row>
    <row r="52557" spans="8:8">
      <c r="H52557" s="680" t="s">
        <v>6153</v>
      </c>
    </row>
    <row r="52558" spans="8:8">
      <c r="H52558" s="680" t="s">
        <v>6153</v>
      </c>
    </row>
    <row r="52559" spans="8:8">
      <c r="H52559" s="680" t="s">
        <v>6153</v>
      </c>
    </row>
    <row r="52560" spans="8:8">
      <c r="H52560" s="680" t="s">
        <v>6153</v>
      </c>
    </row>
    <row r="52561" spans="8:8">
      <c r="H52561" s="680" t="s">
        <v>6153</v>
      </c>
    </row>
    <row r="52562" spans="8:8">
      <c r="H52562" s="680" t="s">
        <v>6153</v>
      </c>
    </row>
    <row r="52563" spans="8:8">
      <c r="H52563" s="680" t="s">
        <v>6153</v>
      </c>
    </row>
    <row r="52564" spans="8:8">
      <c r="H52564" s="680" t="s">
        <v>6153</v>
      </c>
    </row>
    <row r="52565" spans="8:8">
      <c r="H52565" s="680" t="s">
        <v>6153</v>
      </c>
    </row>
    <row r="52566" spans="8:8">
      <c r="H52566" s="680" t="s">
        <v>6153</v>
      </c>
    </row>
    <row r="52567" spans="8:8">
      <c r="H52567" s="680" t="s">
        <v>6153</v>
      </c>
    </row>
    <row r="52568" spans="8:8">
      <c r="H52568" s="680" t="s">
        <v>6153</v>
      </c>
    </row>
    <row r="52569" spans="8:8">
      <c r="H52569" s="680" t="s">
        <v>6153</v>
      </c>
    </row>
    <row r="52570" spans="8:8">
      <c r="H52570" s="680" t="s">
        <v>6153</v>
      </c>
    </row>
    <row r="52571" spans="8:8">
      <c r="H52571" s="680" t="s">
        <v>6153</v>
      </c>
    </row>
    <row r="52572" spans="8:8">
      <c r="H52572" s="680" t="s">
        <v>6153</v>
      </c>
    </row>
    <row r="52573" spans="8:8">
      <c r="H52573" s="680" t="s">
        <v>6153</v>
      </c>
    </row>
    <row r="52574" spans="8:8">
      <c r="H52574" s="680" t="s">
        <v>6153</v>
      </c>
    </row>
    <row r="52575" spans="8:8">
      <c r="H52575" s="680" t="s">
        <v>6153</v>
      </c>
    </row>
    <row r="52576" spans="8:8">
      <c r="H52576" s="680" t="s">
        <v>6153</v>
      </c>
    </row>
    <row r="52577" spans="8:8">
      <c r="H52577" s="680" t="s">
        <v>6153</v>
      </c>
    </row>
    <row r="52578" spans="8:8">
      <c r="H52578" s="680" t="s">
        <v>6153</v>
      </c>
    </row>
    <row r="52579" spans="8:8">
      <c r="H52579" s="680" t="s">
        <v>6153</v>
      </c>
    </row>
    <row r="52580" spans="8:8">
      <c r="H52580" s="680" t="s">
        <v>6153</v>
      </c>
    </row>
    <row r="52581" spans="8:8">
      <c r="H52581" s="680" t="s">
        <v>6153</v>
      </c>
    </row>
    <row r="52582" spans="8:8">
      <c r="H52582" s="680" t="s">
        <v>6153</v>
      </c>
    </row>
    <row r="52583" spans="8:8">
      <c r="H52583" s="680" t="s">
        <v>6153</v>
      </c>
    </row>
    <row r="52584" spans="8:8">
      <c r="H52584" s="680" t="s">
        <v>6153</v>
      </c>
    </row>
    <row r="52585" spans="8:8">
      <c r="H52585" s="680" t="s">
        <v>6153</v>
      </c>
    </row>
    <row r="52586" spans="8:8">
      <c r="H52586" s="680" t="s">
        <v>6153</v>
      </c>
    </row>
    <row r="52587" spans="8:8">
      <c r="H52587" s="680" t="s">
        <v>6153</v>
      </c>
    </row>
    <row r="52588" spans="8:8">
      <c r="H52588" s="680" t="s">
        <v>6153</v>
      </c>
    </row>
    <row r="52589" spans="8:8">
      <c r="H52589" s="680" t="s">
        <v>6153</v>
      </c>
    </row>
    <row r="52590" spans="8:8">
      <c r="H52590" s="680" t="s">
        <v>6153</v>
      </c>
    </row>
    <row r="52591" spans="8:8">
      <c r="H52591" s="680" t="s">
        <v>6153</v>
      </c>
    </row>
    <row r="52592" spans="8:8">
      <c r="H52592" s="680" t="s">
        <v>6153</v>
      </c>
    </row>
    <row r="52593" spans="8:8">
      <c r="H52593" s="680" t="s">
        <v>6153</v>
      </c>
    </row>
    <row r="52594" spans="8:8">
      <c r="H52594" s="680" t="s">
        <v>6153</v>
      </c>
    </row>
    <row r="52595" spans="8:8">
      <c r="H52595" s="680" t="s">
        <v>6153</v>
      </c>
    </row>
    <row r="52596" spans="8:8">
      <c r="H52596" s="680" t="s">
        <v>6153</v>
      </c>
    </row>
    <row r="52597" spans="8:8">
      <c r="H52597" s="680" t="s">
        <v>6153</v>
      </c>
    </row>
    <row r="52598" spans="8:8">
      <c r="H52598" s="680" t="s">
        <v>6153</v>
      </c>
    </row>
    <row r="52599" spans="8:8">
      <c r="H52599" s="680" t="s">
        <v>6153</v>
      </c>
    </row>
    <row r="52600" spans="8:8">
      <c r="H52600" s="680" t="s">
        <v>6153</v>
      </c>
    </row>
    <row r="52601" spans="8:8">
      <c r="H52601" s="680" t="s">
        <v>6153</v>
      </c>
    </row>
    <row r="52602" spans="8:8">
      <c r="H52602" s="680" t="s">
        <v>6153</v>
      </c>
    </row>
    <row r="52603" spans="8:8">
      <c r="H52603" s="680" t="s">
        <v>6153</v>
      </c>
    </row>
    <row r="52604" spans="8:8">
      <c r="H52604" s="680" t="s">
        <v>6153</v>
      </c>
    </row>
    <row r="52605" spans="8:8">
      <c r="H52605" s="680" t="s">
        <v>6153</v>
      </c>
    </row>
    <row r="52606" spans="8:8">
      <c r="H52606" s="680" t="s">
        <v>6153</v>
      </c>
    </row>
    <row r="52607" spans="8:8">
      <c r="H52607" s="680" t="s">
        <v>6153</v>
      </c>
    </row>
    <row r="52608" spans="8:8">
      <c r="H52608" s="680" t="s">
        <v>6153</v>
      </c>
    </row>
    <row r="52609" spans="8:8">
      <c r="H52609" s="680" t="s">
        <v>6153</v>
      </c>
    </row>
    <row r="52610" spans="8:8">
      <c r="H52610" s="680" t="s">
        <v>6153</v>
      </c>
    </row>
    <row r="52611" spans="8:8">
      <c r="H52611" s="680" t="s">
        <v>6153</v>
      </c>
    </row>
    <row r="52612" spans="8:8">
      <c r="H52612" s="680" t="s">
        <v>6153</v>
      </c>
    </row>
    <row r="52613" spans="8:8">
      <c r="H52613" s="680" t="s">
        <v>6153</v>
      </c>
    </row>
    <row r="52614" spans="8:8">
      <c r="H52614" s="680" t="s">
        <v>6153</v>
      </c>
    </row>
    <row r="52615" spans="8:8">
      <c r="H52615" s="680" t="s">
        <v>6153</v>
      </c>
    </row>
    <row r="52616" spans="8:8">
      <c r="H52616" s="680" t="s">
        <v>6153</v>
      </c>
    </row>
    <row r="52617" spans="8:8">
      <c r="H52617" s="680" t="s">
        <v>6153</v>
      </c>
    </row>
    <row r="52618" spans="8:8">
      <c r="H52618" s="680" t="s">
        <v>6153</v>
      </c>
    </row>
    <row r="52619" spans="8:8">
      <c r="H52619" s="680" t="s">
        <v>6153</v>
      </c>
    </row>
    <row r="52620" spans="8:8">
      <c r="H52620" s="680" t="s">
        <v>6153</v>
      </c>
    </row>
    <row r="52621" spans="8:8">
      <c r="H52621" s="680" t="s">
        <v>6153</v>
      </c>
    </row>
    <row r="52622" spans="8:8">
      <c r="H52622" s="680" t="s">
        <v>6153</v>
      </c>
    </row>
    <row r="52623" spans="8:8">
      <c r="H52623" s="680" t="s">
        <v>6153</v>
      </c>
    </row>
    <row r="52624" spans="8:8">
      <c r="H52624" s="680" t="s">
        <v>6153</v>
      </c>
    </row>
    <row r="52625" spans="8:8">
      <c r="H52625" s="680" t="s">
        <v>6153</v>
      </c>
    </row>
    <row r="52626" spans="8:8">
      <c r="H52626" s="680" t="s">
        <v>6153</v>
      </c>
    </row>
    <row r="52627" spans="8:8">
      <c r="H52627" s="680" t="s">
        <v>6153</v>
      </c>
    </row>
    <row r="52628" spans="8:8">
      <c r="H52628" s="680" t="s">
        <v>6153</v>
      </c>
    </row>
    <row r="52629" spans="8:8">
      <c r="H52629" s="680" t="s">
        <v>6153</v>
      </c>
    </row>
    <row r="52630" spans="8:8">
      <c r="H52630" s="680" t="s">
        <v>6153</v>
      </c>
    </row>
    <row r="52631" spans="8:8">
      <c r="H52631" s="680" t="s">
        <v>6153</v>
      </c>
    </row>
    <row r="52632" spans="8:8">
      <c r="H52632" s="680" t="s">
        <v>6153</v>
      </c>
    </row>
    <row r="52633" spans="8:8">
      <c r="H52633" s="680" t="s">
        <v>6153</v>
      </c>
    </row>
    <row r="52634" spans="8:8">
      <c r="H52634" s="680" t="s">
        <v>6153</v>
      </c>
    </row>
    <row r="52635" spans="8:8">
      <c r="H52635" s="680" t="s">
        <v>6153</v>
      </c>
    </row>
    <row r="52636" spans="8:8">
      <c r="H52636" s="680" t="s">
        <v>6153</v>
      </c>
    </row>
    <row r="52637" spans="8:8">
      <c r="H52637" s="680" t="s">
        <v>6153</v>
      </c>
    </row>
    <row r="52638" spans="8:8">
      <c r="H52638" s="680" t="s">
        <v>6153</v>
      </c>
    </row>
    <row r="52639" spans="8:8">
      <c r="H52639" s="680" t="s">
        <v>6153</v>
      </c>
    </row>
    <row r="52640" spans="8:8">
      <c r="H52640" s="680" t="s">
        <v>6153</v>
      </c>
    </row>
    <row r="52641" spans="8:8">
      <c r="H52641" s="680" t="s">
        <v>6153</v>
      </c>
    </row>
    <row r="52642" spans="8:8">
      <c r="H52642" s="680" t="s">
        <v>6153</v>
      </c>
    </row>
    <row r="52643" spans="8:8">
      <c r="H52643" s="680" t="s">
        <v>6153</v>
      </c>
    </row>
    <row r="52644" spans="8:8">
      <c r="H52644" s="680" t="s">
        <v>6153</v>
      </c>
    </row>
    <row r="52645" spans="8:8">
      <c r="H52645" s="680" t="s">
        <v>6153</v>
      </c>
    </row>
    <row r="52646" spans="8:8">
      <c r="H52646" s="680" t="s">
        <v>6153</v>
      </c>
    </row>
    <row r="52647" spans="8:8">
      <c r="H52647" s="680" t="s">
        <v>6153</v>
      </c>
    </row>
    <row r="52648" spans="8:8">
      <c r="H52648" s="680" t="s">
        <v>6153</v>
      </c>
    </row>
    <row r="52649" spans="8:8">
      <c r="H52649" s="680" t="s">
        <v>6153</v>
      </c>
    </row>
    <row r="52650" spans="8:8">
      <c r="H52650" s="680" t="s">
        <v>6153</v>
      </c>
    </row>
    <row r="52651" spans="8:8">
      <c r="H52651" s="680" t="s">
        <v>6153</v>
      </c>
    </row>
    <row r="52652" spans="8:8">
      <c r="H52652" s="680" t="s">
        <v>6153</v>
      </c>
    </row>
    <row r="52653" spans="8:8">
      <c r="H52653" s="680" t="s">
        <v>6153</v>
      </c>
    </row>
    <row r="52654" spans="8:8">
      <c r="H52654" s="680" t="s">
        <v>6153</v>
      </c>
    </row>
    <row r="52655" spans="8:8">
      <c r="H52655" s="680" t="s">
        <v>6153</v>
      </c>
    </row>
    <row r="52656" spans="8:8">
      <c r="H52656" s="680" t="s">
        <v>6153</v>
      </c>
    </row>
    <row r="52657" spans="8:8">
      <c r="H52657" s="680" t="s">
        <v>6153</v>
      </c>
    </row>
    <row r="52658" spans="8:8">
      <c r="H52658" s="680" t="s">
        <v>6153</v>
      </c>
    </row>
    <row r="52659" spans="8:8">
      <c r="H52659" s="680" t="s">
        <v>6153</v>
      </c>
    </row>
    <row r="52660" spans="8:8">
      <c r="H52660" s="680" t="s">
        <v>6153</v>
      </c>
    </row>
    <row r="52661" spans="8:8">
      <c r="H52661" s="680" t="s">
        <v>6153</v>
      </c>
    </row>
    <row r="52662" spans="8:8">
      <c r="H52662" s="680" t="s">
        <v>6153</v>
      </c>
    </row>
    <row r="52663" spans="8:8">
      <c r="H52663" s="680" t="s">
        <v>6153</v>
      </c>
    </row>
    <row r="52664" spans="8:8">
      <c r="H52664" s="680" t="s">
        <v>6153</v>
      </c>
    </row>
    <row r="52665" spans="8:8">
      <c r="H52665" s="680" t="s">
        <v>6153</v>
      </c>
    </row>
    <row r="52666" spans="8:8">
      <c r="H52666" s="680" t="s">
        <v>6153</v>
      </c>
    </row>
    <row r="52667" spans="8:8">
      <c r="H52667" s="680" t="s">
        <v>6153</v>
      </c>
    </row>
    <row r="52668" spans="8:8">
      <c r="H52668" s="680" t="s">
        <v>6153</v>
      </c>
    </row>
    <row r="52669" spans="8:8">
      <c r="H52669" s="680" t="s">
        <v>6153</v>
      </c>
    </row>
    <row r="52670" spans="8:8">
      <c r="H52670" s="680" t="s">
        <v>6153</v>
      </c>
    </row>
    <row r="52671" spans="8:8">
      <c r="H52671" s="680" t="s">
        <v>6153</v>
      </c>
    </row>
    <row r="52672" spans="8:8">
      <c r="H52672" s="680" t="s">
        <v>6153</v>
      </c>
    </row>
    <row r="52673" spans="8:8">
      <c r="H52673" s="680" t="s">
        <v>6153</v>
      </c>
    </row>
    <row r="52674" spans="8:8">
      <c r="H52674" s="680" t="s">
        <v>6153</v>
      </c>
    </row>
    <row r="52675" spans="8:8">
      <c r="H52675" s="680" t="s">
        <v>6153</v>
      </c>
    </row>
    <row r="52676" spans="8:8">
      <c r="H52676" s="680" t="s">
        <v>6153</v>
      </c>
    </row>
    <row r="52677" spans="8:8">
      <c r="H52677" s="680" t="s">
        <v>6153</v>
      </c>
    </row>
    <row r="52678" spans="8:8">
      <c r="H52678" s="680" t="s">
        <v>6153</v>
      </c>
    </row>
    <row r="52679" spans="8:8">
      <c r="H52679" s="680" t="s">
        <v>6153</v>
      </c>
    </row>
    <row r="52680" spans="8:8">
      <c r="H52680" s="680" t="s">
        <v>6153</v>
      </c>
    </row>
    <row r="52681" spans="8:8">
      <c r="H52681" s="680" t="s">
        <v>6153</v>
      </c>
    </row>
    <row r="52682" spans="8:8">
      <c r="H52682" s="680" t="s">
        <v>6153</v>
      </c>
    </row>
    <row r="52683" spans="8:8">
      <c r="H52683" s="680" t="s">
        <v>6153</v>
      </c>
    </row>
    <row r="52684" spans="8:8">
      <c r="H52684" s="680" t="s">
        <v>6153</v>
      </c>
    </row>
    <row r="52685" spans="8:8">
      <c r="H52685" s="680" t="s">
        <v>6153</v>
      </c>
    </row>
    <row r="52686" spans="8:8">
      <c r="H52686" s="680" t="s">
        <v>6153</v>
      </c>
    </row>
    <row r="52687" spans="8:8">
      <c r="H52687" s="680" t="s">
        <v>6153</v>
      </c>
    </row>
    <row r="52688" spans="8:8">
      <c r="H52688" s="680" t="s">
        <v>6153</v>
      </c>
    </row>
    <row r="52689" spans="8:8">
      <c r="H52689" s="680" t="s">
        <v>6153</v>
      </c>
    </row>
    <row r="52690" spans="8:8">
      <c r="H52690" s="680" t="s">
        <v>6153</v>
      </c>
    </row>
    <row r="52691" spans="8:8">
      <c r="H52691" s="680" t="s">
        <v>6153</v>
      </c>
    </row>
    <row r="52692" spans="8:8">
      <c r="H52692" s="680" t="s">
        <v>6153</v>
      </c>
    </row>
    <row r="52693" spans="8:8">
      <c r="H52693" s="680" t="s">
        <v>6153</v>
      </c>
    </row>
    <row r="52694" spans="8:8">
      <c r="H52694" s="680" t="s">
        <v>6153</v>
      </c>
    </row>
    <row r="52695" spans="8:8">
      <c r="H52695" s="680" t="s">
        <v>6153</v>
      </c>
    </row>
    <row r="52696" spans="8:8">
      <c r="H52696" s="680" t="s">
        <v>6153</v>
      </c>
    </row>
    <row r="52697" spans="8:8">
      <c r="H52697" s="680" t="s">
        <v>6153</v>
      </c>
    </row>
    <row r="52698" spans="8:8">
      <c r="H52698" s="680" t="s">
        <v>6153</v>
      </c>
    </row>
    <row r="52699" spans="8:8">
      <c r="H52699" s="680" t="s">
        <v>6153</v>
      </c>
    </row>
    <row r="52700" spans="8:8">
      <c r="H52700" s="680" t="s">
        <v>6153</v>
      </c>
    </row>
    <row r="52701" spans="8:8">
      <c r="H52701" s="680" t="s">
        <v>6153</v>
      </c>
    </row>
    <row r="52702" spans="8:8">
      <c r="H52702" s="680" t="s">
        <v>6153</v>
      </c>
    </row>
    <row r="52703" spans="8:8">
      <c r="H52703" s="680" t="s">
        <v>6153</v>
      </c>
    </row>
    <row r="52704" spans="8:8">
      <c r="H52704" s="680" t="s">
        <v>6153</v>
      </c>
    </row>
    <row r="52705" spans="8:8">
      <c r="H52705" s="680" t="s">
        <v>6153</v>
      </c>
    </row>
    <row r="52706" spans="8:8">
      <c r="H52706" s="680" t="s">
        <v>6153</v>
      </c>
    </row>
    <row r="52707" spans="8:8">
      <c r="H52707" s="680" t="s">
        <v>6153</v>
      </c>
    </row>
    <row r="52708" spans="8:8">
      <c r="H52708" s="680" t="s">
        <v>6153</v>
      </c>
    </row>
    <row r="52709" spans="8:8">
      <c r="H52709" s="680" t="s">
        <v>6153</v>
      </c>
    </row>
    <row r="52710" spans="8:8">
      <c r="H52710" s="680" t="s">
        <v>6153</v>
      </c>
    </row>
    <row r="52711" spans="8:8">
      <c r="H52711" s="680" t="s">
        <v>6153</v>
      </c>
    </row>
    <row r="52712" spans="8:8">
      <c r="H52712" s="680" t="s">
        <v>6153</v>
      </c>
    </row>
    <row r="52713" spans="8:8">
      <c r="H52713" s="680" t="s">
        <v>6153</v>
      </c>
    </row>
    <row r="52714" spans="8:8">
      <c r="H52714" s="680" t="s">
        <v>6153</v>
      </c>
    </row>
    <row r="52715" spans="8:8">
      <c r="H52715" s="680" t="s">
        <v>6153</v>
      </c>
    </row>
    <row r="52716" spans="8:8">
      <c r="H52716" s="680" t="s">
        <v>6153</v>
      </c>
    </row>
    <row r="52717" spans="8:8">
      <c r="H52717" s="680" t="s">
        <v>6153</v>
      </c>
    </row>
    <row r="52718" spans="8:8">
      <c r="H52718" s="680" t="s">
        <v>6153</v>
      </c>
    </row>
    <row r="52719" spans="8:8">
      <c r="H52719" s="680" t="s">
        <v>6153</v>
      </c>
    </row>
    <row r="52720" spans="8:8">
      <c r="H52720" s="680" t="s">
        <v>6153</v>
      </c>
    </row>
    <row r="52721" spans="8:8">
      <c r="H52721" s="680" t="s">
        <v>6153</v>
      </c>
    </row>
    <row r="52722" spans="8:8">
      <c r="H52722" s="680" t="s">
        <v>6153</v>
      </c>
    </row>
    <row r="52723" spans="8:8">
      <c r="H52723" s="680" t="s">
        <v>6153</v>
      </c>
    </row>
    <row r="52724" spans="8:8">
      <c r="H52724" s="680" t="s">
        <v>6153</v>
      </c>
    </row>
    <row r="52725" spans="8:8">
      <c r="H52725" s="680" t="s">
        <v>6153</v>
      </c>
    </row>
    <row r="52726" spans="8:8">
      <c r="H52726" s="680" t="s">
        <v>6153</v>
      </c>
    </row>
    <row r="52727" spans="8:8">
      <c r="H52727" s="680" t="s">
        <v>6153</v>
      </c>
    </row>
    <row r="52728" spans="8:8">
      <c r="H52728" s="680" t="s">
        <v>6153</v>
      </c>
    </row>
    <row r="52729" spans="8:8">
      <c r="H52729" s="680" t="s">
        <v>6153</v>
      </c>
    </row>
    <row r="52730" spans="8:8">
      <c r="H52730" s="680" t="s">
        <v>6153</v>
      </c>
    </row>
    <row r="52731" spans="8:8">
      <c r="H52731" s="680" t="s">
        <v>6153</v>
      </c>
    </row>
    <row r="52732" spans="8:8">
      <c r="H52732" s="680" t="s">
        <v>6153</v>
      </c>
    </row>
    <row r="52733" spans="8:8">
      <c r="H52733" s="680" t="s">
        <v>6153</v>
      </c>
    </row>
    <row r="52734" spans="8:8">
      <c r="H52734" s="680" t="s">
        <v>6153</v>
      </c>
    </row>
    <row r="52735" spans="8:8">
      <c r="H52735" s="680" t="s">
        <v>6153</v>
      </c>
    </row>
    <row r="52736" spans="8:8">
      <c r="H52736" s="680" t="s">
        <v>6153</v>
      </c>
    </row>
    <row r="52737" spans="8:8">
      <c r="H52737" s="680" t="s">
        <v>6153</v>
      </c>
    </row>
    <row r="52738" spans="8:8">
      <c r="H52738" s="680" t="s">
        <v>6153</v>
      </c>
    </row>
    <row r="52739" spans="8:8">
      <c r="H52739" s="680" t="s">
        <v>6153</v>
      </c>
    </row>
    <row r="52740" spans="8:8">
      <c r="H52740" s="680" t="s">
        <v>6153</v>
      </c>
    </row>
    <row r="52741" spans="8:8">
      <c r="H52741" s="680" t="s">
        <v>6153</v>
      </c>
    </row>
    <row r="52742" spans="8:8">
      <c r="H52742" s="680" t="s">
        <v>6153</v>
      </c>
    </row>
    <row r="52743" spans="8:8">
      <c r="H52743" s="680" t="s">
        <v>6153</v>
      </c>
    </row>
    <row r="52744" spans="8:8">
      <c r="H52744" s="680" t="s">
        <v>6153</v>
      </c>
    </row>
    <row r="52745" spans="8:8">
      <c r="H52745" s="680" t="s">
        <v>6153</v>
      </c>
    </row>
    <row r="52746" spans="8:8">
      <c r="H52746" s="680" t="s">
        <v>6153</v>
      </c>
    </row>
    <row r="52747" spans="8:8">
      <c r="H52747" s="680" t="s">
        <v>6153</v>
      </c>
    </row>
    <row r="52748" spans="8:8">
      <c r="H52748" s="680" t="s">
        <v>6153</v>
      </c>
    </row>
    <row r="52749" spans="8:8">
      <c r="H52749" s="680" t="s">
        <v>6153</v>
      </c>
    </row>
    <row r="52750" spans="8:8">
      <c r="H52750" s="680" t="s">
        <v>6153</v>
      </c>
    </row>
    <row r="52751" spans="8:8">
      <c r="H52751" s="680" t="s">
        <v>6153</v>
      </c>
    </row>
    <row r="52752" spans="8:8">
      <c r="H52752" s="680" t="s">
        <v>6153</v>
      </c>
    </row>
    <row r="52753" spans="8:8">
      <c r="H52753" s="680" t="s">
        <v>6153</v>
      </c>
    </row>
    <row r="52754" spans="8:8">
      <c r="H52754" s="680" t="s">
        <v>6153</v>
      </c>
    </row>
    <row r="52755" spans="8:8">
      <c r="H52755" s="680" t="s">
        <v>6153</v>
      </c>
    </row>
    <row r="52756" spans="8:8">
      <c r="H52756" s="680" t="s">
        <v>6153</v>
      </c>
    </row>
    <row r="52757" spans="8:8">
      <c r="H52757" s="680" t="s">
        <v>6153</v>
      </c>
    </row>
    <row r="52758" spans="8:8">
      <c r="H52758" s="680" t="s">
        <v>6153</v>
      </c>
    </row>
    <row r="52759" spans="8:8">
      <c r="H52759" s="680" t="s">
        <v>6153</v>
      </c>
    </row>
    <row r="52760" spans="8:8">
      <c r="H52760" s="680" t="s">
        <v>6153</v>
      </c>
    </row>
    <row r="52761" spans="8:8">
      <c r="H52761" s="680" t="s">
        <v>6153</v>
      </c>
    </row>
    <row r="52762" spans="8:8">
      <c r="H52762" s="680" t="s">
        <v>6153</v>
      </c>
    </row>
    <row r="52763" spans="8:8">
      <c r="H52763" s="680" t="s">
        <v>6153</v>
      </c>
    </row>
    <row r="52764" spans="8:8">
      <c r="H52764" s="680" t="s">
        <v>6153</v>
      </c>
    </row>
    <row r="52765" spans="8:8">
      <c r="H52765" s="680" t="s">
        <v>6153</v>
      </c>
    </row>
    <row r="52766" spans="8:8">
      <c r="H52766" s="680" t="s">
        <v>6153</v>
      </c>
    </row>
    <row r="52767" spans="8:8">
      <c r="H52767" s="680" t="s">
        <v>6153</v>
      </c>
    </row>
    <row r="52768" spans="8:8">
      <c r="H52768" s="680" t="s">
        <v>6153</v>
      </c>
    </row>
    <row r="52769" spans="8:8">
      <c r="H52769" s="680" t="s">
        <v>6153</v>
      </c>
    </row>
    <row r="52770" spans="8:8">
      <c r="H52770" s="680" t="s">
        <v>6153</v>
      </c>
    </row>
    <row r="52771" spans="8:8">
      <c r="H52771" s="680" t="s">
        <v>6153</v>
      </c>
    </row>
    <row r="52772" spans="8:8">
      <c r="H52772" s="680" t="s">
        <v>6153</v>
      </c>
    </row>
    <row r="52773" spans="8:8">
      <c r="H52773" s="680" t="s">
        <v>6153</v>
      </c>
    </row>
    <row r="52774" spans="8:8">
      <c r="H52774" s="680" t="s">
        <v>6153</v>
      </c>
    </row>
    <row r="52775" spans="8:8">
      <c r="H52775" s="680" t="s">
        <v>6153</v>
      </c>
    </row>
    <row r="52776" spans="8:8">
      <c r="H52776" s="680" t="s">
        <v>6153</v>
      </c>
    </row>
    <row r="52777" spans="8:8">
      <c r="H52777" s="680" t="s">
        <v>6153</v>
      </c>
    </row>
    <row r="52778" spans="8:8">
      <c r="H52778" s="680" t="s">
        <v>6153</v>
      </c>
    </row>
    <row r="52779" spans="8:8">
      <c r="H52779" s="680" t="s">
        <v>6153</v>
      </c>
    </row>
    <row r="52780" spans="8:8">
      <c r="H52780" s="680" t="s">
        <v>6153</v>
      </c>
    </row>
    <row r="52781" spans="8:8">
      <c r="H52781" s="680" t="s">
        <v>6153</v>
      </c>
    </row>
    <row r="52782" spans="8:8">
      <c r="H52782" s="680" t="s">
        <v>6153</v>
      </c>
    </row>
    <row r="52783" spans="8:8">
      <c r="H52783" s="680" t="s">
        <v>6153</v>
      </c>
    </row>
    <row r="52784" spans="8:8">
      <c r="H52784" s="680" t="s">
        <v>6153</v>
      </c>
    </row>
    <row r="52785" spans="8:8">
      <c r="H52785" s="680" t="s">
        <v>6153</v>
      </c>
    </row>
    <row r="52786" spans="8:8">
      <c r="H52786" s="680" t="s">
        <v>6153</v>
      </c>
    </row>
    <row r="52787" spans="8:8">
      <c r="H52787" s="680" t="s">
        <v>6153</v>
      </c>
    </row>
    <row r="52788" spans="8:8">
      <c r="H52788" s="680" t="s">
        <v>6153</v>
      </c>
    </row>
    <row r="52789" spans="8:8">
      <c r="H52789" s="680" t="s">
        <v>6153</v>
      </c>
    </row>
    <row r="52790" spans="8:8">
      <c r="H52790" s="680" t="s">
        <v>6153</v>
      </c>
    </row>
    <row r="52791" spans="8:8">
      <c r="H52791" s="680" t="s">
        <v>6153</v>
      </c>
    </row>
    <row r="52792" spans="8:8">
      <c r="H52792" s="680" t="s">
        <v>6153</v>
      </c>
    </row>
    <row r="52793" spans="8:8">
      <c r="H52793" s="680" t="s">
        <v>6153</v>
      </c>
    </row>
    <row r="52794" spans="8:8">
      <c r="H52794" s="680" t="s">
        <v>6153</v>
      </c>
    </row>
    <row r="52795" spans="8:8">
      <c r="H52795" s="680" t="s">
        <v>6153</v>
      </c>
    </row>
    <row r="52796" spans="8:8">
      <c r="H52796" s="680" t="s">
        <v>6153</v>
      </c>
    </row>
    <row r="52797" spans="8:8">
      <c r="H52797" s="680" t="s">
        <v>6153</v>
      </c>
    </row>
    <row r="52798" spans="8:8">
      <c r="H52798" s="680" t="s">
        <v>6153</v>
      </c>
    </row>
    <row r="52799" spans="8:8">
      <c r="H52799" s="680" t="s">
        <v>6153</v>
      </c>
    </row>
    <row r="52800" spans="8:8">
      <c r="H52800" s="680" t="s">
        <v>6153</v>
      </c>
    </row>
    <row r="52801" spans="8:8">
      <c r="H52801" s="680" t="s">
        <v>6153</v>
      </c>
    </row>
    <row r="52802" spans="8:8">
      <c r="H52802" s="680" t="s">
        <v>6153</v>
      </c>
    </row>
    <row r="52803" spans="8:8">
      <c r="H52803" s="680" t="s">
        <v>6153</v>
      </c>
    </row>
    <row r="52804" spans="8:8">
      <c r="H52804" s="680" t="s">
        <v>6153</v>
      </c>
    </row>
    <row r="52805" spans="8:8">
      <c r="H52805" s="680" t="s">
        <v>6153</v>
      </c>
    </row>
    <row r="52806" spans="8:8">
      <c r="H52806" s="680" t="s">
        <v>6153</v>
      </c>
    </row>
    <row r="52807" spans="8:8">
      <c r="H52807" s="680" t="s">
        <v>6153</v>
      </c>
    </row>
    <row r="52808" spans="8:8">
      <c r="H52808" s="680" t="s">
        <v>6153</v>
      </c>
    </row>
    <row r="52809" spans="8:8">
      <c r="H52809" s="680" t="s">
        <v>6153</v>
      </c>
    </row>
    <row r="52810" spans="8:8">
      <c r="H52810" s="680" t="s">
        <v>6153</v>
      </c>
    </row>
    <row r="52811" spans="8:8">
      <c r="H52811" s="680" t="s">
        <v>6153</v>
      </c>
    </row>
    <row r="52812" spans="8:8">
      <c r="H52812" s="680" t="s">
        <v>6153</v>
      </c>
    </row>
    <row r="52813" spans="8:8">
      <c r="H52813" s="680" t="s">
        <v>6153</v>
      </c>
    </row>
    <row r="52814" spans="8:8">
      <c r="H52814" s="680" t="s">
        <v>6153</v>
      </c>
    </row>
    <row r="52815" spans="8:8">
      <c r="H52815" s="680" t="s">
        <v>6153</v>
      </c>
    </row>
    <row r="52816" spans="8:8">
      <c r="H52816" s="680" t="s">
        <v>6153</v>
      </c>
    </row>
    <row r="52817" spans="8:8">
      <c r="H52817" s="680" t="s">
        <v>6153</v>
      </c>
    </row>
    <row r="52818" spans="8:8">
      <c r="H52818" s="680" t="s">
        <v>6153</v>
      </c>
    </row>
    <row r="52819" spans="8:8">
      <c r="H52819" s="680" t="s">
        <v>6153</v>
      </c>
    </row>
    <row r="52820" spans="8:8">
      <c r="H52820" s="680" t="s">
        <v>6153</v>
      </c>
    </row>
    <row r="52821" spans="8:8">
      <c r="H52821" s="680" t="s">
        <v>6153</v>
      </c>
    </row>
    <row r="52822" spans="8:8">
      <c r="H52822" s="680" t="s">
        <v>6153</v>
      </c>
    </row>
    <row r="52823" spans="8:8">
      <c r="H52823" s="680" t="s">
        <v>6153</v>
      </c>
    </row>
    <row r="52824" spans="8:8">
      <c r="H52824" s="680" t="s">
        <v>6153</v>
      </c>
    </row>
    <row r="52825" spans="8:8">
      <c r="H52825" s="680" t="s">
        <v>6153</v>
      </c>
    </row>
    <row r="52826" spans="8:8">
      <c r="H52826" s="680" t="s">
        <v>6153</v>
      </c>
    </row>
    <row r="52827" spans="8:8">
      <c r="H52827" s="680" t="s">
        <v>6153</v>
      </c>
    </row>
    <row r="52828" spans="8:8">
      <c r="H52828" s="680" t="s">
        <v>6153</v>
      </c>
    </row>
    <row r="52829" spans="8:8">
      <c r="H52829" s="680" t="s">
        <v>6153</v>
      </c>
    </row>
    <row r="52830" spans="8:8">
      <c r="H52830" s="680" t="s">
        <v>6153</v>
      </c>
    </row>
    <row r="52831" spans="8:8">
      <c r="H52831" s="680" t="s">
        <v>6153</v>
      </c>
    </row>
    <row r="52832" spans="8:8">
      <c r="H52832" s="680" t="s">
        <v>6153</v>
      </c>
    </row>
    <row r="52833" spans="8:8">
      <c r="H52833" s="680" t="s">
        <v>6153</v>
      </c>
    </row>
    <row r="52834" spans="8:8">
      <c r="H52834" s="680" t="s">
        <v>6153</v>
      </c>
    </row>
    <row r="52835" spans="8:8">
      <c r="H52835" s="680" t="s">
        <v>6153</v>
      </c>
    </row>
    <row r="52836" spans="8:8">
      <c r="H52836" s="680" t="s">
        <v>6153</v>
      </c>
    </row>
    <row r="52837" spans="8:8">
      <c r="H52837" s="680" t="s">
        <v>6153</v>
      </c>
    </row>
    <row r="52838" spans="8:8">
      <c r="H52838" s="680" t="s">
        <v>6153</v>
      </c>
    </row>
    <row r="52839" spans="8:8">
      <c r="H52839" s="680" t="s">
        <v>6153</v>
      </c>
    </row>
    <row r="52840" spans="8:8">
      <c r="H52840" s="680" t="s">
        <v>6153</v>
      </c>
    </row>
    <row r="52841" spans="8:8">
      <c r="H52841" s="680" t="s">
        <v>6153</v>
      </c>
    </row>
    <row r="52842" spans="8:8">
      <c r="H52842" s="680" t="s">
        <v>6153</v>
      </c>
    </row>
    <row r="52843" spans="8:8">
      <c r="H52843" s="680" t="s">
        <v>6153</v>
      </c>
    </row>
    <row r="52844" spans="8:8">
      <c r="H52844" s="680" t="s">
        <v>6153</v>
      </c>
    </row>
    <row r="52845" spans="8:8">
      <c r="H52845" s="680" t="s">
        <v>6153</v>
      </c>
    </row>
    <row r="52846" spans="8:8">
      <c r="H52846" s="680" t="s">
        <v>6153</v>
      </c>
    </row>
    <row r="52847" spans="8:8">
      <c r="H52847" s="680" t="s">
        <v>6153</v>
      </c>
    </row>
    <row r="52848" spans="8:8">
      <c r="H52848" s="680" t="s">
        <v>6153</v>
      </c>
    </row>
    <row r="52849" spans="8:8">
      <c r="H52849" s="680" t="s">
        <v>6153</v>
      </c>
    </row>
    <row r="52850" spans="8:8">
      <c r="H52850" s="680" t="s">
        <v>6153</v>
      </c>
    </row>
    <row r="52851" spans="8:8">
      <c r="H52851" s="680" t="s">
        <v>6153</v>
      </c>
    </row>
    <row r="52852" spans="8:8">
      <c r="H52852" s="680" t="s">
        <v>6153</v>
      </c>
    </row>
    <row r="52853" spans="8:8">
      <c r="H52853" s="680" t="s">
        <v>6153</v>
      </c>
    </row>
    <row r="52854" spans="8:8">
      <c r="H52854" s="680" t="s">
        <v>6153</v>
      </c>
    </row>
    <row r="52855" spans="8:8">
      <c r="H52855" s="680" t="s">
        <v>6153</v>
      </c>
    </row>
    <row r="52856" spans="8:8">
      <c r="H52856" s="680" t="s">
        <v>6153</v>
      </c>
    </row>
    <row r="52857" spans="8:8">
      <c r="H52857" s="680" t="s">
        <v>6153</v>
      </c>
    </row>
    <row r="52858" spans="8:8">
      <c r="H52858" s="680" t="s">
        <v>6153</v>
      </c>
    </row>
    <row r="52859" spans="8:8">
      <c r="H52859" s="680" t="s">
        <v>6153</v>
      </c>
    </row>
    <row r="52860" spans="8:8">
      <c r="H52860" s="680" t="s">
        <v>6153</v>
      </c>
    </row>
    <row r="52861" spans="8:8">
      <c r="H52861" s="680" t="s">
        <v>6153</v>
      </c>
    </row>
    <row r="52862" spans="8:8">
      <c r="H52862" s="680" t="s">
        <v>6153</v>
      </c>
    </row>
    <row r="52863" spans="8:8">
      <c r="H52863" s="680" t="s">
        <v>6153</v>
      </c>
    </row>
    <row r="52864" spans="8:8">
      <c r="H52864" s="680" t="s">
        <v>6153</v>
      </c>
    </row>
    <row r="52865" spans="8:8">
      <c r="H52865" s="680" t="s">
        <v>6153</v>
      </c>
    </row>
    <row r="52866" spans="8:8">
      <c r="H52866" s="680" t="s">
        <v>6153</v>
      </c>
    </row>
    <row r="52867" spans="8:8">
      <c r="H52867" s="680" t="s">
        <v>6153</v>
      </c>
    </row>
    <row r="52868" spans="8:8">
      <c r="H52868" s="680" t="s">
        <v>6153</v>
      </c>
    </row>
    <row r="52869" spans="8:8">
      <c r="H52869" s="680" t="s">
        <v>6153</v>
      </c>
    </row>
    <row r="52870" spans="8:8">
      <c r="H52870" s="680" t="s">
        <v>6153</v>
      </c>
    </row>
    <row r="52871" spans="8:8">
      <c r="H52871" s="680" t="s">
        <v>6153</v>
      </c>
    </row>
    <row r="52872" spans="8:8">
      <c r="H52872" s="680" t="s">
        <v>6153</v>
      </c>
    </row>
    <row r="52873" spans="8:8">
      <c r="H52873" s="680" t="s">
        <v>6153</v>
      </c>
    </row>
    <row r="52874" spans="8:8">
      <c r="H52874" s="680" t="s">
        <v>6153</v>
      </c>
    </row>
    <row r="52875" spans="8:8">
      <c r="H52875" s="680" t="s">
        <v>6153</v>
      </c>
    </row>
    <row r="52876" spans="8:8">
      <c r="H52876" s="680" t="s">
        <v>6153</v>
      </c>
    </row>
    <row r="52877" spans="8:8">
      <c r="H52877" s="680" t="s">
        <v>6153</v>
      </c>
    </row>
    <row r="52878" spans="8:8">
      <c r="H52878" s="680" t="s">
        <v>6153</v>
      </c>
    </row>
    <row r="52879" spans="8:8">
      <c r="H52879" s="680" t="s">
        <v>6153</v>
      </c>
    </row>
    <row r="52880" spans="8:8">
      <c r="H52880" s="680" t="s">
        <v>6153</v>
      </c>
    </row>
    <row r="52881" spans="8:8">
      <c r="H52881" s="680" t="s">
        <v>6153</v>
      </c>
    </row>
    <row r="52882" spans="8:8">
      <c r="H52882" s="680" t="s">
        <v>6153</v>
      </c>
    </row>
    <row r="52883" spans="8:8">
      <c r="H52883" s="680" t="s">
        <v>6153</v>
      </c>
    </row>
    <row r="52884" spans="8:8">
      <c r="H52884" s="680" t="s">
        <v>6153</v>
      </c>
    </row>
    <row r="52885" spans="8:8">
      <c r="H52885" s="680" t="s">
        <v>6153</v>
      </c>
    </row>
    <row r="52886" spans="8:8">
      <c r="H52886" s="680" t="s">
        <v>6153</v>
      </c>
    </row>
    <row r="52887" spans="8:8">
      <c r="H52887" s="680" t="s">
        <v>6153</v>
      </c>
    </row>
    <row r="52888" spans="8:8">
      <c r="H52888" s="680" t="s">
        <v>6153</v>
      </c>
    </row>
    <row r="52889" spans="8:8">
      <c r="H52889" s="680" t="s">
        <v>6153</v>
      </c>
    </row>
    <row r="52890" spans="8:8">
      <c r="H52890" s="680" t="s">
        <v>6153</v>
      </c>
    </row>
    <row r="52891" spans="8:8">
      <c r="H52891" s="680" t="s">
        <v>6153</v>
      </c>
    </row>
    <row r="52892" spans="8:8">
      <c r="H52892" s="680" t="s">
        <v>6153</v>
      </c>
    </row>
    <row r="52893" spans="8:8">
      <c r="H52893" s="680" t="s">
        <v>6153</v>
      </c>
    </row>
    <row r="52894" spans="8:8">
      <c r="H52894" s="680" t="s">
        <v>6153</v>
      </c>
    </row>
    <row r="52895" spans="8:8">
      <c r="H52895" s="680" t="s">
        <v>6153</v>
      </c>
    </row>
    <row r="52896" spans="8:8">
      <c r="H52896" s="680" t="s">
        <v>6153</v>
      </c>
    </row>
    <row r="52897" spans="8:8">
      <c r="H52897" s="680" t="s">
        <v>6153</v>
      </c>
    </row>
    <row r="52898" spans="8:8">
      <c r="H52898" s="680" t="s">
        <v>6153</v>
      </c>
    </row>
    <row r="52899" spans="8:8">
      <c r="H52899" s="680" t="s">
        <v>6153</v>
      </c>
    </row>
    <row r="52900" spans="8:8">
      <c r="H52900" s="680" t="s">
        <v>6153</v>
      </c>
    </row>
    <row r="52901" spans="8:8">
      <c r="H52901" s="680" t="s">
        <v>6153</v>
      </c>
    </row>
    <row r="52902" spans="8:8">
      <c r="H52902" s="680" t="s">
        <v>6153</v>
      </c>
    </row>
    <row r="52903" spans="8:8">
      <c r="H52903" s="680" t="s">
        <v>6153</v>
      </c>
    </row>
    <row r="52904" spans="8:8">
      <c r="H52904" s="680" t="s">
        <v>6153</v>
      </c>
    </row>
    <row r="52905" spans="8:8">
      <c r="H52905" s="680" t="s">
        <v>6153</v>
      </c>
    </row>
    <row r="52906" spans="8:8">
      <c r="H52906" s="680" t="s">
        <v>6153</v>
      </c>
    </row>
    <row r="52907" spans="8:8">
      <c r="H52907" s="680" t="s">
        <v>6153</v>
      </c>
    </row>
    <row r="52908" spans="8:8">
      <c r="H52908" s="680" t="s">
        <v>6153</v>
      </c>
    </row>
    <row r="52909" spans="8:8">
      <c r="H52909" s="680" t="s">
        <v>6153</v>
      </c>
    </row>
    <row r="52910" spans="8:8">
      <c r="H52910" s="680" t="s">
        <v>6153</v>
      </c>
    </row>
    <row r="52911" spans="8:8">
      <c r="H52911" s="680" t="s">
        <v>6153</v>
      </c>
    </row>
    <row r="52912" spans="8:8">
      <c r="H52912" s="680" t="s">
        <v>6153</v>
      </c>
    </row>
    <row r="52913" spans="8:8">
      <c r="H52913" s="680" t="s">
        <v>6153</v>
      </c>
    </row>
    <row r="52914" spans="8:8">
      <c r="H52914" s="680" t="s">
        <v>6153</v>
      </c>
    </row>
    <row r="52915" spans="8:8">
      <c r="H52915" s="680" t="s">
        <v>6153</v>
      </c>
    </row>
    <row r="52916" spans="8:8">
      <c r="H52916" s="680" t="s">
        <v>6153</v>
      </c>
    </row>
    <row r="52917" spans="8:8">
      <c r="H52917" s="680" t="s">
        <v>6153</v>
      </c>
    </row>
    <row r="52918" spans="8:8">
      <c r="H52918" s="680" t="s">
        <v>6153</v>
      </c>
    </row>
    <row r="52919" spans="8:8">
      <c r="H52919" s="680" t="s">
        <v>6153</v>
      </c>
    </row>
    <row r="52920" spans="8:8">
      <c r="H52920" s="680" t="s">
        <v>6153</v>
      </c>
    </row>
    <row r="52921" spans="8:8">
      <c r="H52921" s="680" t="s">
        <v>6153</v>
      </c>
    </row>
    <row r="52922" spans="8:8">
      <c r="H52922" s="680" t="s">
        <v>6153</v>
      </c>
    </row>
    <row r="52923" spans="8:8">
      <c r="H52923" s="680" t="s">
        <v>6153</v>
      </c>
    </row>
    <row r="52924" spans="8:8">
      <c r="H52924" s="680" t="s">
        <v>6153</v>
      </c>
    </row>
    <row r="52925" spans="8:8">
      <c r="H52925" s="680" t="s">
        <v>6153</v>
      </c>
    </row>
    <row r="52926" spans="8:8">
      <c r="H52926" s="680" t="s">
        <v>6153</v>
      </c>
    </row>
    <row r="52927" spans="8:8">
      <c r="H52927" s="680" t="s">
        <v>6153</v>
      </c>
    </row>
    <row r="52928" spans="8:8">
      <c r="H52928" s="680" t="s">
        <v>6153</v>
      </c>
    </row>
    <row r="52929" spans="8:8">
      <c r="H52929" s="680" t="s">
        <v>6153</v>
      </c>
    </row>
    <row r="52930" spans="8:8">
      <c r="H52930" s="680" t="s">
        <v>6153</v>
      </c>
    </row>
    <row r="52931" spans="8:8">
      <c r="H52931" s="680" t="s">
        <v>6153</v>
      </c>
    </row>
    <row r="52932" spans="8:8">
      <c r="H52932" s="680" t="s">
        <v>6153</v>
      </c>
    </row>
    <row r="52933" spans="8:8">
      <c r="H52933" s="680" t="s">
        <v>6153</v>
      </c>
    </row>
    <row r="52934" spans="8:8">
      <c r="H52934" s="680" t="s">
        <v>6153</v>
      </c>
    </row>
    <row r="52935" spans="8:8">
      <c r="H52935" s="680" t="s">
        <v>6153</v>
      </c>
    </row>
    <row r="52936" spans="8:8">
      <c r="H52936" s="680" t="s">
        <v>6153</v>
      </c>
    </row>
    <row r="52937" spans="8:8">
      <c r="H52937" s="680" t="s">
        <v>6153</v>
      </c>
    </row>
    <row r="52938" spans="8:8">
      <c r="H52938" s="680" t="s">
        <v>6153</v>
      </c>
    </row>
    <row r="52939" spans="8:8">
      <c r="H52939" s="680" t="s">
        <v>6153</v>
      </c>
    </row>
    <row r="52940" spans="8:8">
      <c r="H52940" s="680" t="s">
        <v>6153</v>
      </c>
    </row>
    <row r="52941" spans="8:8">
      <c r="H52941" s="680" t="s">
        <v>6153</v>
      </c>
    </row>
    <row r="52942" spans="8:8">
      <c r="H52942" s="680" t="s">
        <v>6153</v>
      </c>
    </row>
    <row r="52943" spans="8:8">
      <c r="H52943" s="680" t="s">
        <v>6153</v>
      </c>
    </row>
    <row r="52944" spans="8:8">
      <c r="H52944" s="680" t="s">
        <v>6153</v>
      </c>
    </row>
    <row r="52945" spans="8:8">
      <c r="H52945" s="680" t="s">
        <v>6153</v>
      </c>
    </row>
    <row r="52946" spans="8:8">
      <c r="H52946" s="680" t="s">
        <v>6153</v>
      </c>
    </row>
    <row r="52947" spans="8:8">
      <c r="H52947" s="680" t="s">
        <v>6153</v>
      </c>
    </row>
    <row r="52948" spans="8:8">
      <c r="H52948" s="680" t="s">
        <v>6153</v>
      </c>
    </row>
    <row r="52949" spans="8:8">
      <c r="H52949" s="680" t="s">
        <v>6153</v>
      </c>
    </row>
    <row r="52950" spans="8:8">
      <c r="H52950" s="680" t="s">
        <v>6153</v>
      </c>
    </row>
    <row r="52951" spans="8:8">
      <c r="H52951" s="680" t="s">
        <v>6153</v>
      </c>
    </row>
    <row r="52952" spans="8:8">
      <c r="H52952" s="680" t="s">
        <v>6153</v>
      </c>
    </row>
    <row r="52953" spans="8:8">
      <c r="H52953" s="680" t="s">
        <v>6153</v>
      </c>
    </row>
    <row r="52954" spans="8:8">
      <c r="H52954" s="680" t="s">
        <v>6153</v>
      </c>
    </row>
    <row r="52955" spans="8:8">
      <c r="H52955" s="680" t="s">
        <v>6153</v>
      </c>
    </row>
    <row r="52956" spans="8:8">
      <c r="H52956" s="680" t="s">
        <v>6153</v>
      </c>
    </row>
    <row r="52957" spans="8:8">
      <c r="H52957" s="680" t="s">
        <v>6153</v>
      </c>
    </row>
    <row r="52958" spans="8:8">
      <c r="H52958" s="680" t="s">
        <v>6153</v>
      </c>
    </row>
    <row r="52959" spans="8:8">
      <c r="H52959" s="680" t="s">
        <v>6153</v>
      </c>
    </row>
    <row r="52960" spans="8:8">
      <c r="H52960" s="680" t="s">
        <v>6153</v>
      </c>
    </row>
    <row r="52961" spans="8:8">
      <c r="H52961" s="680" t="s">
        <v>6153</v>
      </c>
    </row>
    <row r="52962" spans="8:8">
      <c r="H52962" s="680" t="s">
        <v>6153</v>
      </c>
    </row>
    <row r="52963" spans="8:8">
      <c r="H52963" s="680" t="s">
        <v>6153</v>
      </c>
    </row>
    <row r="52964" spans="8:8">
      <c r="H52964" s="680" t="s">
        <v>6153</v>
      </c>
    </row>
    <row r="52965" spans="8:8">
      <c r="H52965" s="680" t="s">
        <v>6153</v>
      </c>
    </row>
    <row r="52966" spans="8:8">
      <c r="H52966" s="680" t="s">
        <v>6153</v>
      </c>
    </row>
    <row r="52967" spans="8:8">
      <c r="H52967" s="680" t="s">
        <v>6153</v>
      </c>
    </row>
    <row r="52968" spans="8:8">
      <c r="H52968" s="680" t="s">
        <v>6153</v>
      </c>
    </row>
    <row r="52969" spans="8:8">
      <c r="H52969" s="680" t="s">
        <v>6153</v>
      </c>
    </row>
    <row r="52970" spans="8:8">
      <c r="H52970" s="680" t="s">
        <v>6153</v>
      </c>
    </row>
    <row r="52971" spans="8:8">
      <c r="H52971" s="680" t="s">
        <v>6153</v>
      </c>
    </row>
    <row r="52972" spans="8:8">
      <c r="H52972" s="680" t="s">
        <v>6153</v>
      </c>
    </row>
    <row r="52973" spans="8:8">
      <c r="H52973" s="680" t="s">
        <v>6153</v>
      </c>
    </row>
    <row r="52974" spans="8:8">
      <c r="H52974" s="680" t="s">
        <v>6153</v>
      </c>
    </row>
    <row r="52975" spans="8:8">
      <c r="H52975" s="680" t="s">
        <v>6153</v>
      </c>
    </row>
    <row r="52976" spans="8:8">
      <c r="H52976" s="680" t="s">
        <v>6153</v>
      </c>
    </row>
    <row r="52977" spans="8:8">
      <c r="H52977" s="680" t="s">
        <v>6153</v>
      </c>
    </row>
    <row r="52978" spans="8:8">
      <c r="H52978" s="680" t="s">
        <v>6153</v>
      </c>
    </row>
    <row r="52979" spans="8:8">
      <c r="H52979" s="680" t="s">
        <v>6153</v>
      </c>
    </row>
    <row r="52980" spans="8:8">
      <c r="H52980" s="680" t="s">
        <v>6153</v>
      </c>
    </row>
    <row r="52981" spans="8:8">
      <c r="H52981" s="680" t="s">
        <v>6153</v>
      </c>
    </row>
    <row r="52982" spans="8:8">
      <c r="H52982" s="680" t="s">
        <v>6153</v>
      </c>
    </row>
    <row r="52983" spans="8:8">
      <c r="H52983" s="680" t="s">
        <v>6153</v>
      </c>
    </row>
    <row r="52984" spans="8:8">
      <c r="H52984" s="680" t="s">
        <v>6153</v>
      </c>
    </row>
    <row r="52985" spans="8:8">
      <c r="H52985" s="680" t="s">
        <v>6153</v>
      </c>
    </row>
    <row r="52986" spans="8:8">
      <c r="H52986" s="680" t="s">
        <v>6153</v>
      </c>
    </row>
    <row r="52987" spans="8:8">
      <c r="H52987" s="680" t="s">
        <v>6153</v>
      </c>
    </row>
    <row r="52988" spans="8:8">
      <c r="H52988" s="680" t="s">
        <v>6153</v>
      </c>
    </row>
    <row r="52989" spans="8:8">
      <c r="H52989" s="680" t="s">
        <v>6153</v>
      </c>
    </row>
    <row r="52990" spans="8:8">
      <c r="H52990" s="680" t="s">
        <v>6153</v>
      </c>
    </row>
    <row r="52991" spans="8:8">
      <c r="H52991" s="680" t="s">
        <v>6153</v>
      </c>
    </row>
    <row r="52992" spans="8:8">
      <c r="H52992" s="680" t="s">
        <v>6153</v>
      </c>
    </row>
    <row r="52993" spans="8:8">
      <c r="H52993" s="680" t="s">
        <v>6153</v>
      </c>
    </row>
    <row r="52994" spans="8:8">
      <c r="H52994" s="680" t="s">
        <v>6153</v>
      </c>
    </row>
    <row r="52995" spans="8:8">
      <c r="H52995" s="680" t="s">
        <v>6153</v>
      </c>
    </row>
    <row r="52996" spans="8:8">
      <c r="H52996" s="680" t="s">
        <v>6153</v>
      </c>
    </row>
    <row r="52997" spans="8:8">
      <c r="H52997" s="680" t="s">
        <v>6153</v>
      </c>
    </row>
    <row r="52998" spans="8:8">
      <c r="H52998" s="680" t="s">
        <v>6153</v>
      </c>
    </row>
    <row r="52999" spans="8:8">
      <c r="H52999" s="680" t="s">
        <v>6153</v>
      </c>
    </row>
    <row r="53000" spans="8:8">
      <c r="H53000" s="680" t="s">
        <v>6153</v>
      </c>
    </row>
    <row r="53001" spans="8:8">
      <c r="H53001" s="680" t="s">
        <v>6153</v>
      </c>
    </row>
    <row r="53002" spans="8:8">
      <c r="H53002" s="680" t="s">
        <v>6153</v>
      </c>
    </row>
    <row r="53003" spans="8:8">
      <c r="H53003" s="680" t="s">
        <v>6153</v>
      </c>
    </row>
    <row r="53004" spans="8:8">
      <c r="H53004" s="680" t="s">
        <v>6153</v>
      </c>
    </row>
    <row r="53005" spans="8:8">
      <c r="H53005" s="680" t="s">
        <v>6153</v>
      </c>
    </row>
    <row r="53006" spans="8:8">
      <c r="H53006" s="680" t="s">
        <v>6153</v>
      </c>
    </row>
    <row r="53007" spans="8:8">
      <c r="H53007" s="680" t="s">
        <v>6153</v>
      </c>
    </row>
    <row r="53008" spans="8:8">
      <c r="H53008" s="680" t="s">
        <v>6153</v>
      </c>
    </row>
    <row r="53009" spans="8:8">
      <c r="H53009" s="680" t="s">
        <v>6153</v>
      </c>
    </row>
    <row r="53010" spans="8:8">
      <c r="H53010" s="680" t="s">
        <v>6153</v>
      </c>
    </row>
    <row r="53011" spans="8:8">
      <c r="H53011" s="680" t="s">
        <v>6153</v>
      </c>
    </row>
    <row r="53012" spans="8:8">
      <c r="H53012" s="680" t="s">
        <v>6153</v>
      </c>
    </row>
    <row r="53013" spans="8:8">
      <c r="H53013" s="680" t="s">
        <v>6153</v>
      </c>
    </row>
    <row r="53014" spans="8:8">
      <c r="H53014" s="680" t="s">
        <v>6153</v>
      </c>
    </row>
    <row r="53015" spans="8:8">
      <c r="H53015" s="680" t="s">
        <v>6153</v>
      </c>
    </row>
    <row r="53016" spans="8:8">
      <c r="H53016" s="680" t="s">
        <v>6153</v>
      </c>
    </row>
    <row r="53017" spans="8:8">
      <c r="H53017" s="680" t="s">
        <v>6153</v>
      </c>
    </row>
    <row r="53018" spans="8:8">
      <c r="H53018" s="680" t="s">
        <v>6153</v>
      </c>
    </row>
    <row r="53019" spans="8:8">
      <c r="H53019" s="680" t="s">
        <v>6153</v>
      </c>
    </row>
    <row r="53020" spans="8:8">
      <c r="H53020" s="680" t="s">
        <v>6153</v>
      </c>
    </row>
    <row r="53021" spans="8:8">
      <c r="H53021" s="680" t="s">
        <v>6153</v>
      </c>
    </row>
    <row r="53022" spans="8:8">
      <c r="H53022" s="680" t="s">
        <v>6153</v>
      </c>
    </row>
    <row r="53023" spans="8:8">
      <c r="H53023" s="680" t="s">
        <v>6153</v>
      </c>
    </row>
    <row r="53024" spans="8:8">
      <c r="H53024" s="680" t="s">
        <v>6153</v>
      </c>
    </row>
    <row r="53025" spans="8:8">
      <c r="H53025" s="680" t="s">
        <v>6153</v>
      </c>
    </row>
    <row r="53026" spans="8:8">
      <c r="H53026" s="680" t="s">
        <v>6153</v>
      </c>
    </row>
    <row r="53027" spans="8:8">
      <c r="H53027" s="680" t="s">
        <v>6153</v>
      </c>
    </row>
    <row r="53028" spans="8:8">
      <c r="H53028" s="680" t="s">
        <v>6153</v>
      </c>
    </row>
    <row r="53029" spans="8:8">
      <c r="H53029" s="680" t="s">
        <v>6153</v>
      </c>
    </row>
    <row r="53030" spans="8:8">
      <c r="H53030" s="680" t="s">
        <v>6153</v>
      </c>
    </row>
    <row r="53031" spans="8:8">
      <c r="H53031" s="680" t="s">
        <v>6153</v>
      </c>
    </row>
    <row r="53032" spans="8:8">
      <c r="H53032" s="680" t="s">
        <v>6153</v>
      </c>
    </row>
    <row r="53033" spans="8:8">
      <c r="H53033" s="680" t="s">
        <v>6153</v>
      </c>
    </row>
    <row r="53034" spans="8:8">
      <c r="H53034" s="680" t="s">
        <v>6153</v>
      </c>
    </row>
    <row r="53035" spans="8:8">
      <c r="H53035" s="680" t="s">
        <v>6153</v>
      </c>
    </row>
    <row r="53036" spans="8:8">
      <c r="H53036" s="680" t="s">
        <v>6153</v>
      </c>
    </row>
    <row r="53037" spans="8:8">
      <c r="H53037" s="680" t="s">
        <v>6153</v>
      </c>
    </row>
    <row r="53038" spans="8:8">
      <c r="H53038" s="680" t="s">
        <v>6153</v>
      </c>
    </row>
    <row r="53039" spans="8:8">
      <c r="H53039" s="680" t="s">
        <v>6153</v>
      </c>
    </row>
    <row r="53040" spans="8:8">
      <c r="H53040" s="680" t="s">
        <v>6153</v>
      </c>
    </row>
    <row r="53041" spans="8:8">
      <c r="H53041" s="680" t="s">
        <v>6153</v>
      </c>
    </row>
    <row r="53042" spans="8:8">
      <c r="H53042" s="680" t="s">
        <v>6153</v>
      </c>
    </row>
    <row r="53043" spans="8:8">
      <c r="H53043" s="680" t="s">
        <v>6153</v>
      </c>
    </row>
    <row r="53044" spans="8:8">
      <c r="H53044" s="680" t="s">
        <v>6153</v>
      </c>
    </row>
    <row r="53045" spans="8:8">
      <c r="H53045" s="680" t="s">
        <v>6153</v>
      </c>
    </row>
    <row r="53046" spans="8:8">
      <c r="H53046" s="680" t="s">
        <v>6153</v>
      </c>
    </row>
    <row r="53047" spans="8:8">
      <c r="H53047" s="680" t="s">
        <v>6153</v>
      </c>
    </row>
    <row r="53048" spans="8:8">
      <c r="H53048" s="680" t="s">
        <v>6153</v>
      </c>
    </row>
    <row r="53049" spans="8:8">
      <c r="H53049" s="680" t="s">
        <v>6153</v>
      </c>
    </row>
    <row r="53050" spans="8:8">
      <c r="H53050" s="680" t="s">
        <v>6153</v>
      </c>
    </row>
    <row r="53051" spans="8:8">
      <c r="H53051" s="680" t="s">
        <v>6153</v>
      </c>
    </row>
    <row r="53052" spans="8:8">
      <c r="H53052" s="680" t="s">
        <v>6153</v>
      </c>
    </row>
    <row r="53053" spans="8:8">
      <c r="H53053" s="680" t="s">
        <v>6153</v>
      </c>
    </row>
    <row r="53054" spans="8:8">
      <c r="H53054" s="680" t="s">
        <v>6153</v>
      </c>
    </row>
    <row r="53055" spans="8:8">
      <c r="H53055" s="680" t="s">
        <v>6153</v>
      </c>
    </row>
    <row r="53056" spans="8:8">
      <c r="H53056" s="680" t="s">
        <v>6153</v>
      </c>
    </row>
    <row r="53057" spans="8:8">
      <c r="H53057" s="680" t="s">
        <v>6153</v>
      </c>
    </row>
    <row r="53058" spans="8:8">
      <c r="H53058" s="680" t="s">
        <v>6153</v>
      </c>
    </row>
    <row r="53059" spans="8:8">
      <c r="H53059" s="680" t="s">
        <v>6153</v>
      </c>
    </row>
    <row r="53060" spans="8:8">
      <c r="H53060" s="680" t="s">
        <v>6153</v>
      </c>
    </row>
    <row r="53061" spans="8:8">
      <c r="H53061" s="680" t="s">
        <v>6153</v>
      </c>
    </row>
    <row r="53062" spans="8:8">
      <c r="H53062" s="680" t="s">
        <v>6153</v>
      </c>
    </row>
    <row r="53063" spans="8:8">
      <c r="H53063" s="680" t="s">
        <v>6153</v>
      </c>
    </row>
    <row r="53064" spans="8:8">
      <c r="H53064" s="680" t="s">
        <v>6153</v>
      </c>
    </row>
    <row r="53065" spans="8:8">
      <c r="H53065" s="680" t="s">
        <v>6153</v>
      </c>
    </row>
    <row r="53066" spans="8:8">
      <c r="H53066" s="680" t="s">
        <v>6153</v>
      </c>
    </row>
    <row r="53067" spans="8:8">
      <c r="H53067" s="680" t="s">
        <v>6153</v>
      </c>
    </row>
    <row r="53068" spans="8:8">
      <c r="H53068" s="680" t="s">
        <v>6153</v>
      </c>
    </row>
    <row r="53069" spans="8:8">
      <c r="H53069" s="680" t="s">
        <v>6153</v>
      </c>
    </row>
    <row r="53070" spans="8:8">
      <c r="H53070" s="680" t="s">
        <v>6153</v>
      </c>
    </row>
    <row r="53071" spans="8:8">
      <c r="H53071" s="680" t="s">
        <v>6153</v>
      </c>
    </row>
    <row r="53072" spans="8:8">
      <c r="H53072" s="680" t="s">
        <v>6153</v>
      </c>
    </row>
    <row r="53073" spans="8:8">
      <c r="H53073" s="680" t="s">
        <v>6153</v>
      </c>
    </row>
    <row r="53074" spans="8:8">
      <c r="H53074" s="680" t="s">
        <v>6153</v>
      </c>
    </row>
    <row r="53075" spans="8:8">
      <c r="H53075" s="680" t="s">
        <v>6153</v>
      </c>
    </row>
    <row r="53076" spans="8:8">
      <c r="H53076" s="680" t="s">
        <v>6153</v>
      </c>
    </row>
    <row r="53077" spans="8:8">
      <c r="H53077" s="680" t="s">
        <v>6153</v>
      </c>
    </row>
    <row r="53078" spans="8:8">
      <c r="H53078" s="680" t="s">
        <v>6153</v>
      </c>
    </row>
    <row r="53079" spans="8:8">
      <c r="H53079" s="680" t="s">
        <v>6153</v>
      </c>
    </row>
    <row r="53080" spans="8:8">
      <c r="H53080" s="680" t="s">
        <v>6153</v>
      </c>
    </row>
    <row r="53081" spans="8:8">
      <c r="H53081" s="680" t="s">
        <v>6153</v>
      </c>
    </row>
    <row r="53082" spans="8:8">
      <c r="H53082" s="680" t="s">
        <v>6153</v>
      </c>
    </row>
    <row r="53083" spans="8:8">
      <c r="H53083" s="680" t="s">
        <v>6153</v>
      </c>
    </row>
    <row r="53084" spans="8:8">
      <c r="H53084" s="680" t="s">
        <v>6153</v>
      </c>
    </row>
    <row r="53085" spans="8:8">
      <c r="H53085" s="680" t="s">
        <v>6153</v>
      </c>
    </row>
    <row r="53086" spans="8:8">
      <c r="H53086" s="680" t="s">
        <v>6153</v>
      </c>
    </row>
    <row r="53087" spans="8:8">
      <c r="H53087" s="680" t="s">
        <v>6153</v>
      </c>
    </row>
    <row r="53088" spans="8:8">
      <c r="H53088" s="680" t="s">
        <v>6153</v>
      </c>
    </row>
    <row r="53089" spans="8:8">
      <c r="H53089" s="680" t="s">
        <v>6153</v>
      </c>
    </row>
    <row r="53090" spans="8:8">
      <c r="H53090" s="680" t="s">
        <v>6153</v>
      </c>
    </row>
    <row r="53091" spans="8:8">
      <c r="H53091" s="680" t="s">
        <v>6153</v>
      </c>
    </row>
    <row r="53092" spans="8:8">
      <c r="H53092" s="680" t="s">
        <v>6153</v>
      </c>
    </row>
    <row r="53093" spans="8:8">
      <c r="H53093" s="680" t="s">
        <v>6153</v>
      </c>
    </row>
    <row r="53094" spans="8:8">
      <c r="H53094" s="680" t="s">
        <v>6153</v>
      </c>
    </row>
    <row r="53095" spans="8:8">
      <c r="H53095" s="680" t="s">
        <v>6153</v>
      </c>
    </row>
    <row r="53096" spans="8:8">
      <c r="H53096" s="680" t="s">
        <v>6153</v>
      </c>
    </row>
    <row r="53097" spans="8:8">
      <c r="H53097" s="680" t="s">
        <v>6153</v>
      </c>
    </row>
    <row r="53098" spans="8:8">
      <c r="H53098" s="680" t="s">
        <v>6153</v>
      </c>
    </row>
    <row r="53099" spans="8:8">
      <c r="H53099" s="680" t="s">
        <v>6153</v>
      </c>
    </row>
    <row r="53100" spans="8:8">
      <c r="H53100" s="680" t="s">
        <v>6153</v>
      </c>
    </row>
    <row r="53101" spans="8:8">
      <c r="H53101" s="680" t="s">
        <v>6153</v>
      </c>
    </row>
    <row r="53102" spans="8:8">
      <c r="H53102" s="680" t="s">
        <v>6153</v>
      </c>
    </row>
    <row r="53103" spans="8:8">
      <c r="H53103" s="680" t="s">
        <v>6153</v>
      </c>
    </row>
    <row r="53104" spans="8:8">
      <c r="H53104" s="680" t="s">
        <v>6153</v>
      </c>
    </row>
    <row r="53105" spans="8:8">
      <c r="H53105" s="680" t="s">
        <v>6153</v>
      </c>
    </row>
    <row r="53106" spans="8:8">
      <c r="H53106" s="680" t="s">
        <v>6153</v>
      </c>
    </row>
    <row r="53107" spans="8:8">
      <c r="H53107" s="680" t="s">
        <v>6153</v>
      </c>
    </row>
    <row r="53108" spans="8:8">
      <c r="H53108" s="680" t="s">
        <v>6153</v>
      </c>
    </row>
    <row r="53109" spans="8:8">
      <c r="H53109" s="680" t="s">
        <v>6153</v>
      </c>
    </row>
    <row r="53110" spans="8:8">
      <c r="H53110" s="680" t="s">
        <v>6153</v>
      </c>
    </row>
    <row r="53111" spans="8:8">
      <c r="H53111" s="680" t="s">
        <v>6153</v>
      </c>
    </row>
    <row r="53112" spans="8:8">
      <c r="H53112" s="680" t="s">
        <v>6153</v>
      </c>
    </row>
    <row r="53113" spans="8:8">
      <c r="H53113" s="680" t="s">
        <v>6153</v>
      </c>
    </row>
    <row r="53114" spans="8:8">
      <c r="H53114" s="680" t="s">
        <v>6153</v>
      </c>
    </row>
    <row r="53115" spans="8:8">
      <c r="H53115" s="680" t="s">
        <v>6153</v>
      </c>
    </row>
    <row r="53116" spans="8:8">
      <c r="H53116" s="680" t="s">
        <v>6153</v>
      </c>
    </row>
    <row r="53117" spans="8:8">
      <c r="H53117" s="680" t="s">
        <v>6153</v>
      </c>
    </row>
    <row r="53118" spans="8:8">
      <c r="H53118" s="680" t="s">
        <v>6153</v>
      </c>
    </row>
    <row r="53119" spans="8:8">
      <c r="H53119" s="680" t="s">
        <v>6153</v>
      </c>
    </row>
    <row r="53120" spans="8:8">
      <c r="H53120" s="680" t="s">
        <v>6153</v>
      </c>
    </row>
    <row r="53121" spans="8:8">
      <c r="H53121" s="680" t="s">
        <v>6153</v>
      </c>
    </row>
    <row r="53122" spans="8:8">
      <c r="H53122" s="680" t="s">
        <v>6153</v>
      </c>
    </row>
    <row r="53123" spans="8:8">
      <c r="H53123" s="680" t="s">
        <v>6153</v>
      </c>
    </row>
    <row r="53124" spans="8:8">
      <c r="H53124" s="680" t="s">
        <v>6153</v>
      </c>
    </row>
    <row r="53125" spans="8:8">
      <c r="H53125" s="680" t="s">
        <v>6153</v>
      </c>
    </row>
    <row r="53126" spans="8:8">
      <c r="H53126" s="680" t="s">
        <v>6153</v>
      </c>
    </row>
    <row r="53127" spans="8:8">
      <c r="H53127" s="680" t="s">
        <v>6153</v>
      </c>
    </row>
    <row r="53128" spans="8:8">
      <c r="H53128" s="680" t="s">
        <v>6153</v>
      </c>
    </row>
    <row r="53129" spans="8:8">
      <c r="H53129" s="680" t="s">
        <v>6153</v>
      </c>
    </row>
    <row r="53130" spans="8:8">
      <c r="H53130" s="680" t="s">
        <v>6153</v>
      </c>
    </row>
    <row r="53131" spans="8:8">
      <c r="H53131" s="680" t="s">
        <v>6153</v>
      </c>
    </row>
    <row r="53132" spans="8:8">
      <c r="H53132" s="680" t="s">
        <v>6153</v>
      </c>
    </row>
    <row r="53133" spans="8:8">
      <c r="H53133" s="680" t="s">
        <v>6153</v>
      </c>
    </row>
    <row r="53134" spans="8:8">
      <c r="H53134" s="680" t="s">
        <v>6153</v>
      </c>
    </row>
    <row r="53135" spans="8:8">
      <c r="H53135" s="680" t="s">
        <v>6153</v>
      </c>
    </row>
    <row r="53136" spans="8:8">
      <c r="H53136" s="680" t="s">
        <v>6153</v>
      </c>
    </row>
    <row r="53137" spans="8:8">
      <c r="H53137" s="680" t="s">
        <v>6153</v>
      </c>
    </row>
    <row r="53138" spans="8:8">
      <c r="H53138" s="680" t="s">
        <v>6153</v>
      </c>
    </row>
    <row r="53139" spans="8:8">
      <c r="H53139" s="680" t="s">
        <v>6153</v>
      </c>
    </row>
    <row r="53140" spans="8:8">
      <c r="H53140" s="680" t="s">
        <v>6153</v>
      </c>
    </row>
    <row r="53141" spans="8:8">
      <c r="H53141" s="680" t="s">
        <v>6153</v>
      </c>
    </row>
    <row r="53142" spans="8:8">
      <c r="H53142" s="680" t="s">
        <v>6153</v>
      </c>
    </row>
    <row r="53143" spans="8:8">
      <c r="H53143" s="680" t="s">
        <v>6153</v>
      </c>
    </row>
    <row r="53144" spans="8:8">
      <c r="H53144" s="680" t="s">
        <v>6153</v>
      </c>
    </row>
    <row r="53145" spans="8:8">
      <c r="H53145" s="680" t="s">
        <v>6153</v>
      </c>
    </row>
    <row r="53146" spans="8:8">
      <c r="H53146" s="680" t="s">
        <v>6153</v>
      </c>
    </row>
    <row r="53147" spans="8:8">
      <c r="H53147" s="680" t="s">
        <v>6153</v>
      </c>
    </row>
    <row r="53148" spans="8:8">
      <c r="H53148" s="680" t="s">
        <v>6153</v>
      </c>
    </row>
    <row r="53149" spans="8:8">
      <c r="H53149" s="680" t="s">
        <v>6153</v>
      </c>
    </row>
    <row r="53150" spans="8:8">
      <c r="H53150" s="680" t="s">
        <v>6153</v>
      </c>
    </row>
    <row r="53151" spans="8:8">
      <c r="H53151" s="680" t="s">
        <v>6153</v>
      </c>
    </row>
    <row r="53152" spans="8:8">
      <c r="H53152" s="680" t="s">
        <v>6153</v>
      </c>
    </row>
    <row r="53153" spans="8:8">
      <c r="H53153" s="680" t="s">
        <v>6153</v>
      </c>
    </row>
    <row r="53154" spans="8:8">
      <c r="H53154" s="680" t="s">
        <v>6153</v>
      </c>
    </row>
    <row r="53155" spans="8:8">
      <c r="H53155" s="680" t="s">
        <v>6153</v>
      </c>
    </row>
    <row r="53156" spans="8:8">
      <c r="H53156" s="680" t="s">
        <v>6153</v>
      </c>
    </row>
    <row r="53157" spans="8:8">
      <c r="H53157" s="680" t="s">
        <v>6153</v>
      </c>
    </row>
    <row r="53158" spans="8:8">
      <c r="H53158" s="680" t="s">
        <v>6153</v>
      </c>
    </row>
    <row r="53159" spans="8:8">
      <c r="H53159" s="680" t="s">
        <v>6153</v>
      </c>
    </row>
    <row r="53160" spans="8:8">
      <c r="H53160" s="680" t="s">
        <v>6153</v>
      </c>
    </row>
    <row r="53161" spans="8:8">
      <c r="H53161" s="680" t="s">
        <v>6153</v>
      </c>
    </row>
    <row r="53162" spans="8:8">
      <c r="H53162" s="680" t="s">
        <v>6153</v>
      </c>
    </row>
    <row r="53163" spans="8:8">
      <c r="H53163" s="680" t="s">
        <v>6153</v>
      </c>
    </row>
    <row r="53164" spans="8:8">
      <c r="H53164" s="680" t="s">
        <v>6153</v>
      </c>
    </row>
    <row r="53165" spans="8:8">
      <c r="H53165" s="680" t="s">
        <v>6153</v>
      </c>
    </row>
    <row r="53166" spans="8:8">
      <c r="H53166" s="680" t="s">
        <v>6153</v>
      </c>
    </row>
    <row r="53167" spans="8:8">
      <c r="H53167" s="680" t="s">
        <v>6153</v>
      </c>
    </row>
    <row r="53168" spans="8:8">
      <c r="H53168" s="680" t="s">
        <v>6153</v>
      </c>
    </row>
    <row r="53169" spans="8:8">
      <c r="H53169" s="680" t="s">
        <v>6153</v>
      </c>
    </row>
    <row r="53170" spans="8:8">
      <c r="H53170" s="680" t="s">
        <v>6153</v>
      </c>
    </row>
    <row r="53171" spans="8:8">
      <c r="H53171" s="680" t="s">
        <v>6153</v>
      </c>
    </row>
    <row r="53172" spans="8:8">
      <c r="H53172" s="680" t="s">
        <v>6153</v>
      </c>
    </row>
    <row r="53173" spans="8:8">
      <c r="H53173" s="680" t="s">
        <v>6153</v>
      </c>
    </row>
    <row r="53174" spans="8:8">
      <c r="H53174" s="680" t="s">
        <v>6153</v>
      </c>
    </row>
    <row r="53175" spans="8:8">
      <c r="H53175" s="680" t="s">
        <v>6153</v>
      </c>
    </row>
    <row r="53176" spans="8:8">
      <c r="H53176" s="680" t="s">
        <v>6153</v>
      </c>
    </row>
    <row r="53177" spans="8:8">
      <c r="H53177" s="680" t="s">
        <v>6153</v>
      </c>
    </row>
    <row r="53178" spans="8:8">
      <c r="H53178" s="680" t="s">
        <v>6153</v>
      </c>
    </row>
    <row r="53179" spans="8:8">
      <c r="H53179" s="680" t="s">
        <v>6153</v>
      </c>
    </row>
    <row r="53180" spans="8:8">
      <c r="H53180" s="680" t="s">
        <v>6153</v>
      </c>
    </row>
    <row r="53181" spans="8:8">
      <c r="H53181" s="680" t="s">
        <v>6153</v>
      </c>
    </row>
    <row r="53182" spans="8:8">
      <c r="H53182" s="680" t="s">
        <v>6153</v>
      </c>
    </row>
    <row r="53183" spans="8:8">
      <c r="H53183" s="680" t="s">
        <v>6153</v>
      </c>
    </row>
    <row r="53184" spans="8:8">
      <c r="H53184" s="680" t="s">
        <v>6153</v>
      </c>
    </row>
    <row r="53185" spans="8:8">
      <c r="H53185" s="680" t="s">
        <v>6153</v>
      </c>
    </row>
    <row r="53186" spans="8:8">
      <c r="H53186" s="680" t="s">
        <v>6153</v>
      </c>
    </row>
    <row r="53187" spans="8:8">
      <c r="H53187" s="680" t="s">
        <v>6153</v>
      </c>
    </row>
    <row r="53188" spans="8:8">
      <c r="H53188" s="680" t="s">
        <v>6153</v>
      </c>
    </row>
    <row r="53189" spans="8:8">
      <c r="H53189" s="680" t="s">
        <v>6153</v>
      </c>
    </row>
    <row r="53190" spans="8:8">
      <c r="H53190" s="680" t="s">
        <v>6153</v>
      </c>
    </row>
    <row r="53191" spans="8:8">
      <c r="H53191" s="680" t="s">
        <v>6153</v>
      </c>
    </row>
    <row r="53192" spans="8:8">
      <c r="H53192" s="680" t="s">
        <v>6153</v>
      </c>
    </row>
    <row r="53193" spans="8:8">
      <c r="H53193" s="680" t="s">
        <v>6153</v>
      </c>
    </row>
    <row r="53194" spans="8:8">
      <c r="H53194" s="680" t="s">
        <v>6153</v>
      </c>
    </row>
    <row r="53195" spans="8:8">
      <c r="H53195" s="680" t="s">
        <v>6153</v>
      </c>
    </row>
    <row r="53196" spans="8:8">
      <c r="H53196" s="680" t="s">
        <v>6153</v>
      </c>
    </row>
    <row r="53197" spans="8:8">
      <c r="H53197" s="680" t="s">
        <v>6153</v>
      </c>
    </row>
    <row r="53198" spans="8:8">
      <c r="H53198" s="680" t="s">
        <v>6153</v>
      </c>
    </row>
    <row r="53199" spans="8:8">
      <c r="H53199" s="680" t="s">
        <v>6153</v>
      </c>
    </row>
    <row r="53200" spans="8:8">
      <c r="H53200" s="680" t="s">
        <v>6153</v>
      </c>
    </row>
    <row r="53201" spans="8:8">
      <c r="H53201" s="680" t="s">
        <v>6153</v>
      </c>
    </row>
    <row r="53202" spans="8:8">
      <c r="H53202" s="680" t="s">
        <v>6153</v>
      </c>
    </row>
    <row r="53203" spans="8:8">
      <c r="H53203" s="680" t="s">
        <v>6153</v>
      </c>
    </row>
    <row r="53204" spans="8:8">
      <c r="H53204" s="680" t="s">
        <v>6153</v>
      </c>
    </row>
    <row r="53205" spans="8:8">
      <c r="H53205" s="680" t="s">
        <v>6153</v>
      </c>
    </row>
    <row r="53206" spans="8:8">
      <c r="H53206" s="680" t="s">
        <v>6153</v>
      </c>
    </row>
    <row r="53207" spans="8:8">
      <c r="H53207" s="680" t="s">
        <v>6153</v>
      </c>
    </row>
    <row r="53208" spans="8:8">
      <c r="H53208" s="680" t="s">
        <v>6153</v>
      </c>
    </row>
    <row r="53209" spans="8:8">
      <c r="H53209" s="680" t="s">
        <v>6153</v>
      </c>
    </row>
    <row r="53210" spans="8:8">
      <c r="H53210" s="680" t="s">
        <v>6153</v>
      </c>
    </row>
    <row r="53211" spans="8:8">
      <c r="H53211" s="680" t="s">
        <v>6153</v>
      </c>
    </row>
    <row r="53212" spans="8:8">
      <c r="H53212" s="680" t="s">
        <v>6153</v>
      </c>
    </row>
    <row r="53213" spans="8:8">
      <c r="H53213" s="680" t="s">
        <v>6153</v>
      </c>
    </row>
    <row r="53214" spans="8:8">
      <c r="H53214" s="680" t="s">
        <v>6153</v>
      </c>
    </row>
    <row r="53215" spans="8:8">
      <c r="H53215" s="680" t="s">
        <v>6153</v>
      </c>
    </row>
    <row r="53216" spans="8:8">
      <c r="H53216" s="680" t="s">
        <v>6153</v>
      </c>
    </row>
    <row r="53217" spans="8:8">
      <c r="H53217" s="680" t="s">
        <v>6153</v>
      </c>
    </row>
    <row r="53218" spans="8:8">
      <c r="H53218" s="680" t="s">
        <v>6153</v>
      </c>
    </row>
    <row r="53219" spans="8:8">
      <c r="H53219" s="680" t="s">
        <v>6153</v>
      </c>
    </row>
    <row r="53220" spans="8:8">
      <c r="H53220" s="680" t="s">
        <v>6153</v>
      </c>
    </row>
    <row r="53221" spans="8:8">
      <c r="H53221" s="680" t="s">
        <v>6153</v>
      </c>
    </row>
    <row r="53222" spans="8:8">
      <c r="H53222" s="680" t="s">
        <v>6153</v>
      </c>
    </row>
    <row r="53223" spans="8:8">
      <c r="H53223" s="680" t="s">
        <v>6153</v>
      </c>
    </row>
    <row r="53224" spans="8:8">
      <c r="H53224" s="680" t="s">
        <v>6153</v>
      </c>
    </row>
    <row r="53225" spans="8:8">
      <c r="H53225" s="680" t="s">
        <v>6153</v>
      </c>
    </row>
    <row r="53226" spans="8:8">
      <c r="H53226" s="680" t="s">
        <v>6153</v>
      </c>
    </row>
    <row r="53227" spans="8:8">
      <c r="H53227" s="680" t="s">
        <v>6153</v>
      </c>
    </row>
    <row r="53228" spans="8:8">
      <c r="H53228" s="680" t="s">
        <v>6153</v>
      </c>
    </row>
    <row r="53229" spans="8:8">
      <c r="H53229" s="680" t="s">
        <v>6153</v>
      </c>
    </row>
    <row r="53230" spans="8:8">
      <c r="H53230" s="680" t="s">
        <v>6153</v>
      </c>
    </row>
    <row r="53231" spans="8:8">
      <c r="H53231" s="680" t="s">
        <v>6153</v>
      </c>
    </row>
    <row r="53232" spans="8:8">
      <c r="H53232" s="680" t="s">
        <v>6153</v>
      </c>
    </row>
    <row r="53233" spans="8:8">
      <c r="H53233" s="680" t="s">
        <v>6153</v>
      </c>
    </row>
    <row r="53234" spans="8:8">
      <c r="H53234" s="680" t="s">
        <v>6153</v>
      </c>
    </row>
    <row r="53235" spans="8:8">
      <c r="H53235" s="680" t="s">
        <v>6153</v>
      </c>
    </row>
    <row r="53236" spans="8:8">
      <c r="H53236" s="680" t="s">
        <v>6153</v>
      </c>
    </row>
    <row r="53237" spans="8:8">
      <c r="H53237" s="680" t="s">
        <v>6153</v>
      </c>
    </row>
    <row r="53238" spans="8:8">
      <c r="H53238" s="680" t="s">
        <v>6153</v>
      </c>
    </row>
    <row r="53239" spans="8:8">
      <c r="H53239" s="680" t="s">
        <v>6153</v>
      </c>
    </row>
    <row r="53240" spans="8:8">
      <c r="H53240" s="680" t="s">
        <v>6153</v>
      </c>
    </row>
    <row r="53241" spans="8:8">
      <c r="H53241" s="680" t="s">
        <v>6153</v>
      </c>
    </row>
    <row r="53242" spans="8:8">
      <c r="H53242" s="680" t="s">
        <v>6153</v>
      </c>
    </row>
    <row r="53243" spans="8:8">
      <c r="H53243" s="680" t="s">
        <v>6153</v>
      </c>
    </row>
    <row r="53244" spans="8:8">
      <c r="H53244" s="680" t="s">
        <v>6153</v>
      </c>
    </row>
    <row r="53245" spans="8:8">
      <c r="H53245" s="680" t="s">
        <v>6153</v>
      </c>
    </row>
    <row r="53246" spans="8:8">
      <c r="H53246" s="680" t="s">
        <v>6153</v>
      </c>
    </row>
    <row r="53247" spans="8:8">
      <c r="H53247" s="680" t="s">
        <v>6153</v>
      </c>
    </row>
    <row r="53248" spans="8:8">
      <c r="H53248" s="680" t="s">
        <v>6153</v>
      </c>
    </row>
    <row r="53249" spans="8:8">
      <c r="H53249" s="680" t="s">
        <v>6153</v>
      </c>
    </row>
    <row r="53250" spans="8:8">
      <c r="H53250" s="680" t="s">
        <v>6153</v>
      </c>
    </row>
    <row r="53251" spans="8:8">
      <c r="H53251" s="680" t="s">
        <v>6153</v>
      </c>
    </row>
    <row r="53252" spans="8:8">
      <c r="H53252" s="680" t="s">
        <v>6153</v>
      </c>
    </row>
    <row r="53253" spans="8:8">
      <c r="H53253" s="680" t="s">
        <v>6153</v>
      </c>
    </row>
    <row r="53254" spans="8:8">
      <c r="H53254" s="680" t="s">
        <v>6153</v>
      </c>
    </row>
    <row r="53255" spans="8:8">
      <c r="H53255" s="680" t="s">
        <v>6153</v>
      </c>
    </row>
    <row r="53256" spans="8:8">
      <c r="H53256" s="680" t="s">
        <v>6153</v>
      </c>
    </row>
    <row r="53257" spans="8:8">
      <c r="H53257" s="680" t="s">
        <v>6153</v>
      </c>
    </row>
    <row r="53258" spans="8:8">
      <c r="H53258" s="680" t="s">
        <v>6153</v>
      </c>
    </row>
    <row r="53259" spans="8:8">
      <c r="H53259" s="680" t="s">
        <v>6153</v>
      </c>
    </row>
    <row r="53260" spans="8:8">
      <c r="H53260" s="680" t="s">
        <v>6153</v>
      </c>
    </row>
    <row r="53261" spans="8:8">
      <c r="H53261" s="680" t="s">
        <v>6153</v>
      </c>
    </row>
    <row r="53262" spans="8:8">
      <c r="H53262" s="680" t="s">
        <v>6153</v>
      </c>
    </row>
    <row r="53263" spans="8:8">
      <c r="H53263" s="680" t="s">
        <v>6153</v>
      </c>
    </row>
    <row r="53264" spans="8:8">
      <c r="H53264" s="680" t="s">
        <v>6153</v>
      </c>
    </row>
    <row r="53265" spans="8:8">
      <c r="H53265" s="680" t="s">
        <v>6153</v>
      </c>
    </row>
    <row r="53266" spans="8:8">
      <c r="H53266" s="680" t="s">
        <v>6153</v>
      </c>
    </row>
    <row r="53267" spans="8:8">
      <c r="H53267" s="680" t="s">
        <v>6153</v>
      </c>
    </row>
    <row r="53268" spans="8:8">
      <c r="H53268" s="680" t="s">
        <v>6153</v>
      </c>
    </row>
    <row r="53269" spans="8:8">
      <c r="H53269" s="680" t="s">
        <v>6153</v>
      </c>
    </row>
    <row r="53270" spans="8:8">
      <c r="H53270" s="680" t="s">
        <v>6153</v>
      </c>
    </row>
    <row r="53271" spans="8:8">
      <c r="H53271" s="680" t="s">
        <v>6153</v>
      </c>
    </row>
    <row r="53272" spans="8:8">
      <c r="H53272" s="680" t="s">
        <v>6153</v>
      </c>
    </row>
    <row r="53273" spans="8:8">
      <c r="H53273" s="680" t="s">
        <v>6153</v>
      </c>
    </row>
    <row r="53274" spans="8:8">
      <c r="H53274" s="680" t="s">
        <v>6153</v>
      </c>
    </row>
    <row r="53275" spans="8:8">
      <c r="H53275" s="680" t="s">
        <v>6153</v>
      </c>
    </row>
    <row r="53276" spans="8:8">
      <c r="H53276" s="680" t="s">
        <v>6153</v>
      </c>
    </row>
    <row r="53277" spans="8:8">
      <c r="H53277" s="680" t="s">
        <v>6153</v>
      </c>
    </row>
    <row r="53278" spans="8:8">
      <c r="H53278" s="680" t="s">
        <v>6153</v>
      </c>
    </row>
    <row r="53279" spans="8:8">
      <c r="H53279" s="680" t="s">
        <v>6153</v>
      </c>
    </row>
    <row r="53280" spans="8:8">
      <c r="H53280" s="680" t="s">
        <v>6153</v>
      </c>
    </row>
    <row r="53281" spans="8:8">
      <c r="H53281" s="680" t="s">
        <v>6153</v>
      </c>
    </row>
    <row r="53282" spans="8:8">
      <c r="H53282" s="680" t="s">
        <v>6153</v>
      </c>
    </row>
    <row r="53283" spans="8:8">
      <c r="H53283" s="680" t="s">
        <v>6153</v>
      </c>
    </row>
    <row r="53284" spans="8:8">
      <c r="H53284" s="680" t="s">
        <v>6153</v>
      </c>
    </row>
    <row r="53285" spans="8:8">
      <c r="H53285" s="680" t="s">
        <v>6153</v>
      </c>
    </row>
    <row r="53286" spans="8:8">
      <c r="H53286" s="680" t="s">
        <v>6153</v>
      </c>
    </row>
    <row r="53287" spans="8:8">
      <c r="H53287" s="680" t="s">
        <v>6153</v>
      </c>
    </row>
    <row r="53288" spans="8:8">
      <c r="H53288" s="680" t="s">
        <v>6153</v>
      </c>
    </row>
    <row r="53289" spans="8:8">
      <c r="H53289" s="680" t="s">
        <v>6153</v>
      </c>
    </row>
    <row r="53290" spans="8:8">
      <c r="H53290" s="680" t="s">
        <v>6153</v>
      </c>
    </row>
    <row r="53291" spans="8:8">
      <c r="H53291" s="680" t="s">
        <v>6153</v>
      </c>
    </row>
    <row r="53292" spans="8:8">
      <c r="H53292" s="680" t="s">
        <v>6153</v>
      </c>
    </row>
    <row r="53293" spans="8:8">
      <c r="H53293" s="680" t="s">
        <v>6153</v>
      </c>
    </row>
    <row r="53294" spans="8:8">
      <c r="H53294" s="680" t="s">
        <v>6153</v>
      </c>
    </row>
    <row r="53295" spans="8:8">
      <c r="H53295" s="680" t="s">
        <v>6153</v>
      </c>
    </row>
    <row r="53296" spans="8:8">
      <c r="H53296" s="680" t="s">
        <v>6153</v>
      </c>
    </row>
    <row r="53297" spans="8:8">
      <c r="H53297" s="680" t="s">
        <v>6153</v>
      </c>
    </row>
    <row r="53298" spans="8:8">
      <c r="H53298" s="680" t="s">
        <v>6153</v>
      </c>
    </row>
    <row r="53299" spans="8:8">
      <c r="H53299" s="680" t="s">
        <v>6153</v>
      </c>
    </row>
    <row r="53300" spans="8:8">
      <c r="H53300" s="680" t="s">
        <v>6153</v>
      </c>
    </row>
    <row r="53301" spans="8:8">
      <c r="H53301" s="680" t="s">
        <v>6153</v>
      </c>
    </row>
    <row r="53302" spans="8:8">
      <c r="H53302" s="680" t="s">
        <v>6153</v>
      </c>
    </row>
    <row r="53303" spans="8:8">
      <c r="H53303" s="680" t="s">
        <v>6153</v>
      </c>
    </row>
    <row r="53304" spans="8:8">
      <c r="H53304" s="680" t="s">
        <v>6153</v>
      </c>
    </row>
    <row r="53305" spans="8:8">
      <c r="H53305" s="680" t="s">
        <v>6153</v>
      </c>
    </row>
    <row r="53306" spans="8:8">
      <c r="H53306" s="680" t="s">
        <v>6153</v>
      </c>
    </row>
    <row r="53307" spans="8:8">
      <c r="H53307" s="680" t="s">
        <v>6153</v>
      </c>
    </row>
    <row r="53308" spans="8:8">
      <c r="H53308" s="680" t="s">
        <v>6153</v>
      </c>
    </row>
    <row r="53309" spans="8:8">
      <c r="H53309" s="680" t="s">
        <v>6153</v>
      </c>
    </row>
    <row r="53310" spans="8:8">
      <c r="H53310" s="680" t="s">
        <v>6153</v>
      </c>
    </row>
    <row r="53311" spans="8:8">
      <c r="H53311" s="680" t="s">
        <v>6153</v>
      </c>
    </row>
    <row r="53312" spans="8:8">
      <c r="H53312" s="680" t="s">
        <v>6153</v>
      </c>
    </row>
    <row r="53313" spans="8:8">
      <c r="H53313" s="680" t="s">
        <v>6153</v>
      </c>
    </row>
    <row r="53314" spans="8:8">
      <c r="H53314" s="680" t="s">
        <v>6153</v>
      </c>
    </row>
    <row r="53315" spans="8:8">
      <c r="H53315" s="680" t="s">
        <v>6153</v>
      </c>
    </row>
    <row r="53316" spans="8:8">
      <c r="H53316" s="680" t="s">
        <v>6153</v>
      </c>
    </row>
    <row r="53317" spans="8:8">
      <c r="H53317" s="680" t="s">
        <v>6153</v>
      </c>
    </row>
    <row r="53318" spans="8:8">
      <c r="H53318" s="680" t="s">
        <v>6153</v>
      </c>
    </row>
    <row r="53319" spans="8:8">
      <c r="H53319" s="680" t="s">
        <v>6153</v>
      </c>
    </row>
    <row r="53320" spans="8:8">
      <c r="H53320" s="680" t="s">
        <v>6153</v>
      </c>
    </row>
    <row r="53321" spans="8:8">
      <c r="H53321" s="680" t="s">
        <v>6153</v>
      </c>
    </row>
    <row r="53322" spans="8:8">
      <c r="H53322" s="680" t="s">
        <v>6153</v>
      </c>
    </row>
    <row r="53323" spans="8:8">
      <c r="H53323" s="680" t="s">
        <v>6153</v>
      </c>
    </row>
    <row r="53324" spans="8:8">
      <c r="H53324" s="680" t="s">
        <v>6153</v>
      </c>
    </row>
    <row r="53325" spans="8:8">
      <c r="H53325" s="680" t="s">
        <v>6153</v>
      </c>
    </row>
    <row r="53326" spans="8:8">
      <c r="H53326" s="680" t="s">
        <v>6153</v>
      </c>
    </row>
    <row r="53327" spans="8:8">
      <c r="H53327" s="680" t="s">
        <v>6153</v>
      </c>
    </row>
    <row r="53328" spans="8:8">
      <c r="H53328" s="680" t="s">
        <v>6153</v>
      </c>
    </row>
    <row r="53329" spans="8:8">
      <c r="H53329" s="680" t="s">
        <v>6153</v>
      </c>
    </row>
    <row r="53330" spans="8:8">
      <c r="H53330" s="680" t="s">
        <v>6153</v>
      </c>
    </row>
    <row r="53331" spans="8:8">
      <c r="H53331" s="680" t="s">
        <v>6153</v>
      </c>
    </row>
    <row r="53332" spans="8:8">
      <c r="H53332" s="680" t="s">
        <v>6153</v>
      </c>
    </row>
    <row r="53333" spans="8:8">
      <c r="H53333" s="680" t="s">
        <v>6153</v>
      </c>
    </row>
    <row r="53334" spans="8:8">
      <c r="H53334" s="680" t="s">
        <v>6153</v>
      </c>
    </row>
    <row r="53335" spans="8:8">
      <c r="H53335" s="680" t="s">
        <v>6153</v>
      </c>
    </row>
    <row r="53336" spans="8:8">
      <c r="H53336" s="680" t="s">
        <v>6153</v>
      </c>
    </row>
    <row r="53337" spans="8:8">
      <c r="H53337" s="680" t="s">
        <v>6153</v>
      </c>
    </row>
    <row r="53338" spans="8:8">
      <c r="H53338" s="680" t="s">
        <v>6153</v>
      </c>
    </row>
    <row r="53339" spans="8:8">
      <c r="H53339" s="680" t="s">
        <v>6153</v>
      </c>
    </row>
    <row r="53340" spans="8:8">
      <c r="H53340" s="680" t="s">
        <v>6153</v>
      </c>
    </row>
    <row r="53341" spans="8:8">
      <c r="H53341" s="680" t="s">
        <v>6153</v>
      </c>
    </row>
    <row r="53342" spans="8:8">
      <c r="H53342" s="680" t="s">
        <v>6153</v>
      </c>
    </row>
    <row r="53343" spans="8:8">
      <c r="H53343" s="680" t="s">
        <v>6153</v>
      </c>
    </row>
    <row r="53344" spans="8:8">
      <c r="H53344" s="680" t="s">
        <v>6153</v>
      </c>
    </row>
    <row r="53345" spans="8:8">
      <c r="H53345" s="680" t="s">
        <v>6153</v>
      </c>
    </row>
    <row r="53346" spans="8:8">
      <c r="H53346" s="680" t="s">
        <v>6153</v>
      </c>
    </row>
    <row r="53347" spans="8:8">
      <c r="H53347" s="680" t="s">
        <v>6153</v>
      </c>
    </row>
    <row r="53348" spans="8:8">
      <c r="H53348" s="680" t="s">
        <v>6153</v>
      </c>
    </row>
    <row r="53349" spans="8:8">
      <c r="H53349" s="680" t="s">
        <v>6153</v>
      </c>
    </row>
    <row r="53350" spans="8:8">
      <c r="H53350" s="680" t="s">
        <v>6153</v>
      </c>
    </row>
    <row r="53351" spans="8:8">
      <c r="H53351" s="680" t="s">
        <v>6153</v>
      </c>
    </row>
    <row r="53352" spans="8:8">
      <c r="H53352" s="680" t="s">
        <v>6153</v>
      </c>
    </row>
    <row r="53353" spans="8:8">
      <c r="H53353" s="680" t="s">
        <v>6153</v>
      </c>
    </row>
    <row r="53354" spans="8:8">
      <c r="H53354" s="680" t="s">
        <v>6153</v>
      </c>
    </row>
    <row r="53355" spans="8:8">
      <c r="H53355" s="680" t="s">
        <v>6153</v>
      </c>
    </row>
    <row r="53356" spans="8:8">
      <c r="H53356" s="680" t="s">
        <v>6153</v>
      </c>
    </row>
    <row r="53357" spans="8:8">
      <c r="H53357" s="680" t="s">
        <v>6153</v>
      </c>
    </row>
    <row r="53358" spans="8:8">
      <c r="H53358" s="680" t="s">
        <v>6153</v>
      </c>
    </row>
    <row r="53359" spans="8:8">
      <c r="H53359" s="680" t="s">
        <v>6153</v>
      </c>
    </row>
    <row r="53360" spans="8:8">
      <c r="H53360" s="680" t="s">
        <v>6153</v>
      </c>
    </row>
    <row r="53361" spans="8:8">
      <c r="H53361" s="680" t="s">
        <v>6153</v>
      </c>
    </row>
    <row r="53362" spans="8:8">
      <c r="H53362" s="680" t="s">
        <v>6153</v>
      </c>
    </row>
    <row r="53363" spans="8:8">
      <c r="H53363" s="680" t="s">
        <v>6153</v>
      </c>
    </row>
    <row r="53364" spans="8:8">
      <c r="H53364" s="680" t="s">
        <v>6153</v>
      </c>
    </row>
    <row r="53365" spans="8:8">
      <c r="H53365" s="680" t="s">
        <v>6153</v>
      </c>
    </row>
    <row r="53366" spans="8:8">
      <c r="H53366" s="680" t="s">
        <v>6153</v>
      </c>
    </row>
    <row r="53367" spans="8:8">
      <c r="H53367" s="680" t="s">
        <v>6153</v>
      </c>
    </row>
    <row r="53368" spans="8:8">
      <c r="H53368" s="680" t="s">
        <v>6153</v>
      </c>
    </row>
    <row r="53369" spans="8:8">
      <c r="H53369" s="680" t="s">
        <v>6153</v>
      </c>
    </row>
    <row r="53370" spans="8:8">
      <c r="H53370" s="680" t="s">
        <v>6153</v>
      </c>
    </row>
    <row r="53371" spans="8:8">
      <c r="H53371" s="680" t="s">
        <v>6153</v>
      </c>
    </row>
    <row r="53372" spans="8:8">
      <c r="H53372" s="680" t="s">
        <v>6153</v>
      </c>
    </row>
    <row r="53373" spans="8:8">
      <c r="H53373" s="680" t="s">
        <v>6153</v>
      </c>
    </row>
    <row r="53374" spans="8:8">
      <c r="H53374" s="680" t="s">
        <v>6153</v>
      </c>
    </row>
    <row r="53375" spans="8:8">
      <c r="H53375" s="680" t="s">
        <v>6153</v>
      </c>
    </row>
    <row r="53376" spans="8:8">
      <c r="H53376" s="680" t="s">
        <v>6153</v>
      </c>
    </row>
    <row r="53377" spans="8:8">
      <c r="H53377" s="680" t="s">
        <v>6153</v>
      </c>
    </row>
    <row r="53378" spans="8:8">
      <c r="H53378" s="680" t="s">
        <v>6153</v>
      </c>
    </row>
    <row r="53379" spans="8:8">
      <c r="H53379" s="680" t="s">
        <v>6153</v>
      </c>
    </row>
    <row r="53380" spans="8:8">
      <c r="H53380" s="680" t="s">
        <v>6153</v>
      </c>
    </row>
    <row r="53381" spans="8:8">
      <c r="H53381" s="680" t="s">
        <v>6153</v>
      </c>
    </row>
    <row r="53382" spans="8:8">
      <c r="H53382" s="680" t="s">
        <v>6153</v>
      </c>
    </row>
    <row r="53383" spans="8:8">
      <c r="H53383" s="680" t="s">
        <v>6153</v>
      </c>
    </row>
    <row r="53384" spans="8:8">
      <c r="H53384" s="680" t="s">
        <v>6153</v>
      </c>
    </row>
    <row r="53385" spans="8:8">
      <c r="H53385" s="680" t="s">
        <v>6153</v>
      </c>
    </row>
    <row r="53386" spans="8:8">
      <c r="H53386" s="680" t="s">
        <v>6153</v>
      </c>
    </row>
    <row r="53387" spans="8:8">
      <c r="H53387" s="680" t="s">
        <v>6153</v>
      </c>
    </row>
    <row r="53388" spans="8:8">
      <c r="H53388" s="680" t="s">
        <v>6153</v>
      </c>
    </row>
    <row r="53389" spans="8:8">
      <c r="H53389" s="680" t="s">
        <v>6153</v>
      </c>
    </row>
    <row r="53390" spans="8:8">
      <c r="H53390" s="680" t="s">
        <v>6153</v>
      </c>
    </row>
    <row r="53391" spans="8:8">
      <c r="H53391" s="680" t="s">
        <v>6153</v>
      </c>
    </row>
    <row r="53392" spans="8:8">
      <c r="H53392" s="680" t="s">
        <v>6153</v>
      </c>
    </row>
    <row r="53393" spans="8:8">
      <c r="H53393" s="680" t="s">
        <v>6153</v>
      </c>
    </row>
    <row r="53394" spans="8:8">
      <c r="H53394" s="680" t="s">
        <v>6153</v>
      </c>
    </row>
    <row r="53395" spans="8:8">
      <c r="H53395" s="680" t="s">
        <v>6153</v>
      </c>
    </row>
    <row r="53396" spans="8:8">
      <c r="H53396" s="680" t="s">
        <v>6153</v>
      </c>
    </row>
    <row r="53397" spans="8:8">
      <c r="H53397" s="680" t="s">
        <v>6153</v>
      </c>
    </row>
    <row r="53398" spans="8:8">
      <c r="H53398" s="680" t="s">
        <v>6153</v>
      </c>
    </row>
    <row r="53399" spans="8:8">
      <c r="H53399" s="680" t="s">
        <v>6153</v>
      </c>
    </row>
    <row r="53400" spans="8:8">
      <c r="H53400" s="680" t="s">
        <v>6153</v>
      </c>
    </row>
    <row r="53401" spans="8:8">
      <c r="H53401" s="680" t="s">
        <v>6153</v>
      </c>
    </row>
    <row r="53402" spans="8:8">
      <c r="H53402" s="680" t="s">
        <v>6153</v>
      </c>
    </row>
    <row r="53403" spans="8:8">
      <c r="H53403" s="680" t="s">
        <v>6153</v>
      </c>
    </row>
    <row r="53404" spans="8:8">
      <c r="H53404" s="680" t="s">
        <v>6153</v>
      </c>
    </row>
    <row r="53405" spans="8:8">
      <c r="H53405" s="680" t="s">
        <v>6153</v>
      </c>
    </row>
    <row r="53406" spans="8:8">
      <c r="H53406" s="680" t="s">
        <v>6153</v>
      </c>
    </row>
    <row r="53407" spans="8:8">
      <c r="H53407" s="680" t="s">
        <v>6153</v>
      </c>
    </row>
    <row r="53408" spans="8:8">
      <c r="H53408" s="680" t="s">
        <v>6153</v>
      </c>
    </row>
    <row r="53409" spans="8:8">
      <c r="H53409" s="680" t="s">
        <v>6153</v>
      </c>
    </row>
    <row r="53410" spans="8:8">
      <c r="H53410" s="680" t="s">
        <v>6153</v>
      </c>
    </row>
    <row r="53411" spans="8:8">
      <c r="H53411" s="680" t="s">
        <v>6153</v>
      </c>
    </row>
    <row r="53412" spans="8:8">
      <c r="H53412" s="680" t="s">
        <v>6153</v>
      </c>
    </row>
    <row r="53413" spans="8:8">
      <c r="H53413" s="680" t="s">
        <v>6153</v>
      </c>
    </row>
    <row r="53414" spans="8:8">
      <c r="H53414" s="680" t="s">
        <v>6153</v>
      </c>
    </row>
    <row r="53415" spans="8:8">
      <c r="H53415" s="680" t="s">
        <v>6153</v>
      </c>
    </row>
    <row r="53416" spans="8:8">
      <c r="H53416" s="680" t="s">
        <v>6153</v>
      </c>
    </row>
    <row r="53417" spans="8:8">
      <c r="H53417" s="680" t="s">
        <v>6153</v>
      </c>
    </row>
    <row r="53418" spans="8:8">
      <c r="H53418" s="680" t="s">
        <v>6153</v>
      </c>
    </row>
    <row r="53419" spans="8:8">
      <c r="H53419" s="680" t="s">
        <v>6153</v>
      </c>
    </row>
    <row r="53420" spans="8:8">
      <c r="H53420" s="680" t="s">
        <v>6153</v>
      </c>
    </row>
    <row r="53421" spans="8:8">
      <c r="H53421" s="680" t="s">
        <v>6153</v>
      </c>
    </row>
    <row r="53422" spans="8:8">
      <c r="H53422" s="680" t="s">
        <v>6153</v>
      </c>
    </row>
    <row r="53423" spans="8:8">
      <c r="H53423" s="680" t="s">
        <v>6153</v>
      </c>
    </row>
    <row r="53424" spans="8:8">
      <c r="H53424" s="680" t="s">
        <v>6153</v>
      </c>
    </row>
    <row r="53425" spans="8:8">
      <c r="H53425" s="680" t="s">
        <v>6153</v>
      </c>
    </row>
    <row r="53426" spans="8:8">
      <c r="H53426" s="680" t="s">
        <v>6153</v>
      </c>
    </row>
    <row r="53427" spans="8:8">
      <c r="H53427" s="680" t="s">
        <v>6153</v>
      </c>
    </row>
    <row r="53428" spans="8:8">
      <c r="H53428" s="680" t="s">
        <v>6153</v>
      </c>
    </row>
    <row r="53429" spans="8:8">
      <c r="H53429" s="680" t="s">
        <v>6153</v>
      </c>
    </row>
    <row r="53430" spans="8:8">
      <c r="H53430" s="680" t="s">
        <v>6153</v>
      </c>
    </row>
    <row r="53431" spans="8:8">
      <c r="H53431" s="680" t="s">
        <v>6153</v>
      </c>
    </row>
    <row r="53432" spans="8:8">
      <c r="H53432" s="680" t="s">
        <v>6153</v>
      </c>
    </row>
    <row r="53433" spans="8:8">
      <c r="H53433" s="680" t="s">
        <v>6153</v>
      </c>
    </row>
    <row r="53434" spans="8:8">
      <c r="H53434" s="680" t="s">
        <v>6153</v>
      </c>
    </row>
    <row r="53435" spans="8:8">
      <c r="H53435" s="680" t="s">
        <v>6153</v>
      </c>
    </row>
    <row r="53436" spans="8:8">
      <c r="H53436" s="680" t="s">
        <v>6153</v>
      </c>
    </row>
    <row r="53437" spans="8:8">
      <c r="H53437" s="680" t="s">
        <v>6153</v>
      </c>
    </row>
    <row r="53438" spans="8:8">
      <c r="H53438" s="680" t="s">
        <v>6153</v>
      </c>
    </row>
    <row r="53439" spans="8:8">
      <c r="H53439" s="680" t="s">
        <v>6153</v>
      </c>
    </row>
    <row r="53440" spans="8:8">
      <c r="H53440" s="680" t="s">
        <v>6153</v>
      </c>
    </row>
    <row r="53441" spans="8:8">
      <c r="H53441" s="680" t="s">
        <v>6153</v>
      </c>
    </row>
    <row r="53442" spans="8:8">
      <c r="H53442" s="680" t="s">
        <v>6153</v>
      </c>
    </row>
    <row r="53443" spans="8:8">
      <c r="H53443" s="680" t="s">
        <v>6153</v>
      </c>
    </row>
    <row r="53444" spans="8:8">
      <c r="H53444" s="680" t="s">
        <v>6153</v>
      </c>
    </row>
    <row r="53445" spans="8:8">
      <c r="H53445" s="680" t="s">
        <v>6153</v>
      </c>
    </row>
    <row r="53446" spans="8:8">
      <c r="H53446" s="680" t="s">
        <v>6153</v>
      </c>
    </row>
    <row r="53447" spans="8:8">
      <c r="H53447" s="680" t="s">
        <v>6153</v>
      </c>
    </row>
    <row r="53448" spans="8:8">
      <c r="H53448" s="680" t="s">
        <v>6153</v>
      </c>
    </row>
    <row r="53449" spans="8:8">
      <c r="H53449" s="680" t="s">
        <v>6153</v>
      </c>
    </row>
    <row r="53450" spans="8:8">
      <c r="H53450" s="680" t="s">
        <v>6153</v>
      </c>
    </row>
    <row r="53451" spans="8:8">
      <c r="H53451" s="680" t="s">
        <v>6153</v>
      </c>
    </row>
    <row r="53452" spans="8:8">
      <c r="H53452" s="680" t="s">
        <v>6153</v>
      </c>
    </row>
    <row r="53453" spans="8:8">
      <c r="H53453" s="680" t="s">
        <v>6153</v>
      </c>
    </row>
    <row r="53454" spans="8:8">
      <c r="H53454" s="680" t="s">
        <v>6153</v>
      </c>
    </row>
    <row r="53455" spans="8:8">
      <c r="H53455" s="680" t="s">
        <v>6153</v>
      </c>
    </row>
    <row r="53456" spans="8:8">
      <c r="H53456" s="680" t="s">
        <v>6153</v>
      </c>
    </row>
    <row r="53457" spans="8:8">
      <c r="H53457" s="680" t="s">
        <v>6153</v>
      </c>
    </row>
    <row r="53458" spans="8:8">
      <c r="H53458" s="680" t="s">
        <v>6153</v>
      </c>
    </row>
    <row r="53459" spans="8:8">
      <c r="H53459" s="680" t="s">
        <v>6153</v>
      </c>
    </row>
    <row r="53460" spans="8:8">
      <c r="H53460" s="680" t="s">
        <v>6153</v>
      </c>
    </row>
    <row r="53461" spans="8:8">
      <c r="H53461" s="680" t="s">
        <v>6153</v>
      </c>
    </row>
    <row r="53462" spans="8:8">
      <c r="H53462" s="680" t="s">
        <v>6153</v>
      </c>
    </row>
    <row r="53463" spans="8:8">
      <c r="H53463" s="680" t="s">
        <v>6153</v>
      </c>
    </row>
    <row r="53464" spans="8:8">
      <c r="H53464" s="680" t="s">
        <v>6153</v>
      </c>
    </row>
    <row r="53465" spans="8:8">
      <c r="H53465" s="680" t="s">
        <v>6153</v>
      </c>
    </row>
    <row r="53466" spans="8:8">
      <c r="H53466" s="680" t="s">
        <v>6153</v>
      </c>
    </row>
    <row r="53467" spans="8:8">
      <c r="H53467" s="680" t="s">
        <v>6153</v>
      </c>
    </row>
    <row r="53468" spans="8:8">
      <c r="H53468" s="680" t="s">
        <v>6153</v>
      </c>
    </row>
    <row r="53469" spans="8:8">
      <c r="H53469" s="680" t="s">
        <v>6153</v>
      </c>
    </row>
    <row r="53470" spans="8:8">
      <c r="H53470" s="680" t="s">
        <v>6153</v>
      </c>
    </row>
    <row r="53471" spans="8:8">
      <c r="H53471" s="680" t="s">
        <v>6153</v>
      </c>
    </row>
    <row r="53472" spans="8:8">
      <c r="H53472" s="680" t="s">
        <v>6153</v>
      </c>
    </row>
    <row r="53473" spans="8:8">
      <c r="H53473" s="680" t="s">
        <v>6153</v>
      </c>
    </row>
    <row r="53474" spans="8:8">
      <c r="H53474" s="680" t="s">
        <v>6153</v>
      </c>
    </row>
    <row r="53475" spans="8:8">
      <c r="H53475" s="680" t="s">
        <v>6153</v>
      </c>
    </row>
    <row r="53476" spans="8:8">
      <c r="H53476" s="680" t="s">
        <v>6153</v>
      </c>
    </row>
    <row r="53477" spans="8:8">
      <c r="H53477" s="680" t="s">
        <v>6153</v>
      </c>
    </row>
    <row r="53478" spans="8:8">
      <c r="H53478" s="680" t="s">
        <v>6153</v>
      </c>
    </row>
    <row r="53479" spans="8:8">
      <c r="H53479" s="680" t="s">
        <v>6153</v>
      </c>
    </row>
    <row r="53480" spans="8:8">
      <c r="H53480" s="680" t="s">
        <v>6153</v>
      </c>
    </row>
    <row r="53481" spans="8:8">
      <c r="H53481" s="680" t="s">
        <v>6153</v>
      </c>
    </row>
    <row r="53482" spans="8:8">
      <c r="H53482" s="680" t="s">
        <v>6153</v>
      </c>
    </row>
    <row r="53483" spans="8:8">
      <c r="H53483" s="680" t="s">
        <v>6153</v>
      </c>
    </row>
    <row r="53484" spans="8:8">
      <c r="H53484" s="680" t="s">
        <v>6153</v>
      </c>
    </row>
    <row r="53485" spans="8:8">
      <c r="H53485" s="680" t="s">
        <v>6153</v>
      </c>
    </row>
    <row r="53486" spans="8:8">
      <c r="H53486" s="680" t="s">
        <v>6153</v>
      </c>
    </row>
    <row r="53487" spans="8:8">
      <c r="H53487" s="680" t="s">
        <v>6153</v>
      </c>
    </row>
    <row r="53488" spans="8:8">
      <c r="H53488" s="680" t="s">
        <v>6153</v>
      </c>
    </row>
    <row r="53489" spans="8:8">
      <c r="H53489" s="680" t="s">
        <v>6153</v>
      </c>
    </row>
    <row r="53490" spans="8:8">
      <c r="H53490" s="680" t="s">
        <v>6153</v>
      </c>
    </row>
    <row r="53491" spans="8:8">
      <c r="H53491" s="680" t="s">
        <v>6153</v>
      </c>
    </row>
    <row r="53492" spans="8:8">
      <c r="H53492" s="680" t="s">
        <v>6153</v>
      </c>
    </row>
    <row r="53493" spans="8:8">
      <c r="H53493" s="680" t="s">
        <v>6153</v>
      </c>
    </row>
    <row r="53494" spans="8:8">
      <c r="H53494" s="680" t="s">
        <v>6153</v>
      </c>
    </row>
    <row r="53495" spans="8:8">
      <c r="H53495" s="680" t="s">
        <v>6153</v>
      </c>
    </row>
    <row r="53496" spans="8:8">
      <c r="H53496" s="680" t="s">
        <v>6153</v>
      </c>
    </row>
    <row r="53497" spans="8:8">
      <c r="H53497" s="680" t="s">
        <v>6153</v>
      </c>
    </row>
    <row r="53498" spans="8:8">
      <c r="H53498" s="680" t="s">
        <v>6153</v>
      </c>
    </row>
    <row r="53499" spans="8:8">
      <c r="H53499" s="680" t="s">
        <v>6153</v>
      </c>
    </row>
    <row r="53500" spans="8:8">
      <c r="H53500" s="680" t="s">
        <v>6153</v>
      </c>
    </row>
    <row r="53501" spans="8:8">
      <c r="H53501" s="680" t="s">
        <v>6153</v>
      </c>
    </row>
    <row r="53502" spans="8:8">
      <c r="H53502" s="680" t="s">
        <v>6153</v>
      </c>
    </row>
    <row r="53503" spans="8:8">
      <c r="H53503" s="680" t="s">
        <v>6153</v>
      </c>
    </row>
    <row r="53504" spans="8:8">
      <c r="H53504" s="680" t="s">
        <v>6153</v>
      </c>
    </row>
    <row r="53505" spans="8:8">
      <c r="H53505" s="680" t="s">
        <v>6153</v>
      </c>
    </row>
    <row r="53506" spans="8:8">
      <c r="H53506" s="680" t="s">
        <v>6153</v>
      </c>
    </row>
    <row r="53507" spans="8:8">
      <c r="H53507" s="680" t="s">
        <v>6153</v>
      </c>
    </row>
    <row r="53508" spans="8:8">
      <c r="H53508" s="680" t="s">
        <v>6153</v>
      </c>
    </row>
    <row r="53509" spans="8:8">
      <c r="H53509" s="680" t="s">
        <v>6153</v>
      </c>
    </row>
    <row r="53510" spans="8:8">
      <c r="H53510" s="680" t="s">
        <v>6153</v>
      </c>
    </row>
    <row r="53511" spans="8:8">
      <c r="H53511" s="680" t="s">
        <v>6153</v>
      </c>
    </row>
    <row r="53512" spans="8:8">
      <c r="H53512" s="680" t="s">
        <v>6153</v>
      </c>
    </row>
    <row r="53513" spans="8:8">
      <c r="H53513" s="680" t="s">
        <v>6153</v>
      </c>
    </row>
    <row r="53514" spans="8:8">
      <c r="H53514" s="680" t="s">
        <v>6153</v>
      </c>
    </row>
    <row r="53515" spans="8:8">
      <c r="H53515" s="680" t="s">
        <v>6153</v>
      </c>
    </row>
    <row r="53516" spans="8:8">
      <c r="H53516" s="680" t="s">
        <v>6153</v>
      </c>
    </row>
    <row r="53517" spans="8:8">
      <c r="H53517" s="680" t="s">
        <v>6153</v>
      </c>
    </row>
    <row r="53518" spans="8:8">
      <c r="H53518" s="680" t="s">
        <v>6153</v>
      </c>
    </row>
    <row r="53519" spans="8:8">
      <c r="H53519" s="680" t="s">
        <v>6153</v>
      </c>
    </row>
    <row r="53520" spans="8:8">
      <c r="H53520" s="680" t="s">
        <v>6153</v>
      </c>
    </row>
    <row r="53521" spans="8:8">
      <c r="H53521" s="680" t="s">
        <v>6153</v>
      </c>
    </row>
    <row r="53522" spans="8:8">
      <c r="H53522" s="680" t="s">
        <v>6153</v>
      </c>
    </row>
    <row r="53523" spans="8:8">
      <c r="H53523" s="680" t="s">
        <v>6153</v>
      </c>
    </row>
    <row r="53524" spans="8:8">
      <c r="H53524" s="680" t="s">
        <v>6153</v>
      </c>
    </row>
    <row r="53525" spans="8:8">
      <c r="H53525" s="680" t="s">
        <v>6153</v>
      </c>
    </row>
    <row r="53526" spans="8:8">
      <c r="H53526" s="680" t="s">
        <v>6153</v>
      </c>
    </row>
    <row r="53527" spans="8:8">
      <c r="H53527" s="680" t="s">
        <v>6153</v>
      </c>
    </row>
    <row r="53528" spans="8:8">
      <c r="H53528" s="680" t="s">
        <v>6153</v>
      </c>
    </row>
    <row r="53529" spans="8:8">
      <c r="H53529" s="680" t="s">
        <v>6153</v>
      </c>
    </row>
    <row r="53530" spans="8:8">
      <c r="H53530" s="680" t="s">
        <v>6153</v>
      </c>
    </row>
    <row r="53531" spans="8:8">
      <c r="H53531" s="680" t="s">
        <v>6153</v>
      </c>
    </row>
    <row r="53532" spans="8:8">
      <c r="H53532" s="680" t="s">
        <v>6153</v>
      </c>
    </row>
    <row r="53533" spans="8:8">
      <c r="H53533" s="680" t="s">
        <v>6153</v>
      </c>
    </row>
    <row r="53534" spans="8:8">
      <c r="H53534" s="680" t="s">
        <v>6153</v>
      </c>
    </row>
    <row r="53535" spans="8:8">
      <c r="H53535" s="680" t="s">
        <v>6153</v>
      </c>
    </row>
    <row r="53536" spans="8:8">
      <c r="H53536" s="680" t="s">
        <v>6153</v>
      </c>
    </row>
    <row r="53537" spans="8:8">
      <c r="H53537" s="680" t="s">
        <v>6153</v>
      </c>
    </row>
    <row r="53538" spans="8:8">
      <c r="H53538" s="680" t="s">
        <v>6153</v>
      </c>
    </row>
    <row r="53539" spans="8:8">
      <c r="H53539" s="680" t="s">
        <v>6153</v>
      </c>
    </row>
    <row r="53540" spans="8:8">
      <c r="H53540" s="680" t="s">
        <v>6153</v>
      </c>
    </row>
    <row r="53541" spans="8:8">
      <c r="H53541" s="680" t="s">
        <v>6153</v>
      </c>
    </row>
    <row r="53542" spans="8:8">
      <c r="H53542" s="680" t="s">
        <v>6153</v>
      </c>
    </row>
    <row r="53543" spans="8:8">
      <c r="H53543" s="680" t="s">
        <v>6153</v>
      </c>
    </row>
    <row r="53544" spans="8:8">
      <c r="H53544" s="680" t="s">
        <v>6153</v>
      </c>
    </row>
    <row r="53545" spans="8:8">
      <c r="H53545" s="680" t="s">
        <v>6153</v>
      </c>
    </row>
    <row r="53546" spans="8:8">
      <c r="H53546" s="680" t="s">
        <v>6153</v>
      </c>
    </row>
    <row r="53547" spans="8:8">
      <c r="H53547" s="680" t="s">
        <v>6153</v>
      </c>
    </row>
    <row r="53548" spans="8:8">
      <c r="H53548" s="680" t="s">
        <v>6153</v>
      </c>
    </row>
    <row r="53549" spans="8:8">
      <c r="H53549" s="680" t="s">
        <v>6153</v>
      </c>
    </row>
    <row r="53550" spans="8:8">
      <c r="H53550" s="680" t="s">
        <v>6153</v>
      </c>
    </row>
    <row r="53551" spans="8:8">
      <c r="H53551" s="680" t="s">
        <v>6153</v>
      </c>
    </row>
    <row r="53552" spans="8:8">
      <c r="H53552" s="680" t="s">
        <v>6153</v>
      </c>
    </row>
    <row r="53553" spans="8:8">
      <c r="H53553" s="680" t="s">
        <v>6153</v>
      </c>
    </row>
    <row r="53554" spans="8:8">
      <c r="H53554" s="680" t="s">
        <v>6153</v>
      </c>
    </row>
    <row r="53555" spans="8:8">
      <c r="H53555" s="680" t="s">
        <v>6153</v>
      </c>
    </row>
    <row r="53556" spans="8:8">
      <c r="H53556" s="680" t="s">
        <v>6153</v>
      </c>
    </row>
    <row r="53557" spans="8:8">
      <c r="H53557" s="680" t="s">
        <v>6153</v>
      </c>
    </row>
    <row r="53558" spans="8:8">
      <c r="H53558" s="680" t="s">
        <v>6153</v>
      </c>
    </row>
    <row r="53559" spans="8:8">
      <c r="H53559" s="680" t="s">
        <v>6153</v>
      </c>
    </row>
    <row r="53560" spans="8:8">
      <c r="H53560" s="680" t="s">
        <v>6153</v>
      </c>
    </row>
    <row r="53561" spans="8:8">
      <c r="H53561" s="680" t="s">
        <v>6153</v>
      </c>
    </row>
    <row r="53562" spans="8:8">
      <c r="H53562" s="680" t="s">
        <v>6153</v>
      </c>
    </row>
    <row r="53563" spans="8:8">
      <c r="H53563" s="680" t="s">
        <v>6153</v>
      </c>
    </row>
    <row r="53564" spans="8:8">
      <c r="H53564" s="680" t="s">
        <v>6153</v>
      </c>
    </row>
    <row r="53565" spans="8:8">
      <c r="H53565" s="680" t="s">
        <v>6153</v>
      </c>
    </row>
    <row r="53566" spans="8:8">
      <c r="H53566" s="680" t="s">
        <v>6153</v>
      </c>
    </row>
    <row r="53567" spans="8:8">
      <c r="H53567" s="680" t="s">
        <v>6153</v>
      </c>
    </row>
    <row r="53568" spans="8:8">
      <c r="H53568" s="680" t="s">
        <v>6153</v>
      </c>
    </row>
    <row r="53569" spans="8:8">
      <c r="H53569" s="680" t="s">
        <v>6153</v>
      </c>
    </row>
    <row r="53570" spans="8:8">
      <c r="H53570" s="680" t="s">
        <v>6153</v>
      </c>
    </row>
    <row r="53571" spans="8:8">
      <c r="H53571" s="680" t="s">
        <v>6153</v>
      </c>
    </row>
    <row r="53572" spans="8:8">
      <c r="H53572" s="680" t="s">
        <v>6153</v>
      </c>
    </row>
    <row r="53573" spans="8:8">
      <c r="H53573" s="680" t="s">
        <v>6153</v>
      </c>
    </row>
    <row r="53574" spans="8:8">
      <c r="H53574" s="680" t="s">
        <v>6153</v>
      </c>
    </row>
    <row r="53575" spans="8:8">
      <c r="H53575" s="680" t="s">
        <v>6153</v>
      </c>
    </row>
    <row r="53576" spans="8:8">
      <c r="H53576" s="680" t="s">
        <v>6153</v>
      </c>
    </row>
    <row r="53577" spans="8:8">
      <c r="H53577" s="680" t="s">
        <v>6153</v>
      </c>
    </row>
    <row r="53578" spans="8:8">
      <c r="H53578" s="680" t="s">
        <v>6153</v>
      </c>
    </row>
    <row r="53579" spans="8:8">
      <c r="H53579" s="680" t="s">
        <v>6153</v>
      </c>
    </row>
    <row r="53580" spans="8:8">
      <c r="H53580" s="680" t="s">
        <v>6153</v>
      </c>
    </row>
    <row r="53581" spans="8:8">
      <c r="H53581" s="680" t="s">
        <v>6153</v>
      </c>
    </row>
    <row r="53582" spans="8:8">
      <c r="H53582" s="680" t="s">
        <v>6153</v>
      </c>
    </row>
    <row r="53583" spans="8:8">
      <c r="H53583" s="680" t="s">
        <v>6153</v>
      </c>
    </row>
    <row r="53584" spans="8:8">
      <c r="H53584" s="680" t="s">
        <v>6153</v>
      </c>
    </row>
    <row r="53585" spans="8:8">
      <c r="H53585" s="680" t="s">
        <v>6153</v>
      </c>
    </row>
    <row r="53586" spans="8:8">
      <c r="H53586" s="680" t="s">
        <v>6153</v>
      </c>
    </row>
    <row r="53587" spans="8:8">
      <c r="H53587" s="680" t="s">
        <v>6153</v>
      </c>
    </row>
    <row r="53588" spans="8:8">
      <c r="H53588" s="680" t="s">
        <v>6153</v>
      </c>
    </row>
    <row r="53589" spans="8:8">
      <c r="H53589" s="680" t="s">
        <v>6153</v>
      </c>
    </row>
    <row r="53590" spans="8:8">
      <c r="H53590" s="680" t="s">
        <v>6153</v>
      </c>
    </row>
    <row r="53591" spans="8:8">
      <c r="H53591" s="680" t="s">
        <v>6153</v>
      </c>
    </row>
    <row r="53592" spans="8:8">
      <c r="H53592" s="680" t="s">
        <v>6153</v>
      </c>
    </row>
    <row r="53593" spans="8:8">
      <c r="H53593" s="680" t="s">
        <v>6153</v>
      </c>
    </row>
    <row r="53594" spans="8:8">
      <c r="H53594" s="680" t="s">
        <v>6153</v>
      </c>
    </row>
    <row r="53595" spans="8:8">
      <c r="H53595" s="680" t="s">
        <v>6153</v>
      </c>
    </row>
    <row r="53596" spans="8:8">
      <c r="H53596" s="680" t="s">
        <v>6153</v>
      </c>
    </row>
    <row r="53597" spans="8:8">
      <c r="H53597" s="680" t="s">
        <v>6153</v>
      </c>
    </row>
    <row r="53598" spans="8:8">
      <c r="H53598" s="680" t="s">
        <v>6153</v>
      </c>
    </row>
    <row r="53599" spans="8:8">
      <c r="H53599" s="680" t="s">
        <v>6153</v>
      </c>
    </row>
    <row r="53600" spans="8:8">
      <c r="H53600" s="680" t="s">
        <v>6153</v>
      </c>
    </row>
    <row r="53601" spans="8:8">
      <c r="H53601" s="680" t="s">
        <v>6153</v>
      </c>
    </row>
    <row r="53602" spans="8:8">
      <c r="H53602" s="680" t="s">
        <v>6153</v>
      </c>
    </row>
    <row r="53603" spans="8:8">
      <c r="H53603" s="680" t="s">
        <v>6153</v>
      </c>
    </row>
    <row r="53604" spans="8:8">
      <c r="H53604" s="680" t="s">
        <v>6153</v>
      </c>
    </row>
    <row r="53605" spans="8:8">
      <c r="H53605" s="680" t="s">
        <v>6153</v>
      </c>
    </row>
    <row r="53606" spans="8:8">
      <c r="H53606" s="680" t="s">
        <v>6153</v>
      </c>
    </row>
    <row r="53607" spans="8:8">
      <c r="H53607" s="680" t="s">
        <v>6153</v>
      </c>
    </row>
    <row r="53608" spans="8:8">
      <c r="H53608" s="680" t="s">
        <v>6153</v>
      </c>
    </row>
    <row r="53609" spans="8:8">
      <c r="H53609" s="680" t="s">
        <v>6153</v>
      </c>
    </row>
    <row r="53610" spans="8:8">
      <c r="H53610" s="680" t="s">
        <v>6153</v>
      </c>
    </row>
    <row r="53611" spans="8:8">
      <c r="H53611" s="680" t="s">
        <v>6153</v>
      </c>
    </row>
    <row r="53612" spans="8:8">
      <c r="H53612" s="680" t="s">
        <v>6153</v>
      </c>
    </row>
    <row r="53613" spans="8:8">
      <c r="H53613" s="680" t="s">
        <v>6153</v>
      </c>
    </row>
    <row r="53614" spans="8:8">
      <c r="H53614" s="680" t="s">
        <v>6153</v>
      </c>
    </row>
    <row r="53615" spans="8:8">
      <c r="H53615" s="680" t="s">
        <v>6153</v>
      </c>
    </row>
    <row r="53616" spans="8:8">
      <c r="H53616" s="680" t="s">
        <v>6153</v>
      </c>
    </row>
    <row r="53617" spans="8:8">
      <c r="H53617" s="680" t="s">
        <v>6153</v>
      </c>
    </row>
    <row r="53618" spans="8:8">
      <c r="H53618" s="680" t="s">
        <v>6153</v>
      </c>
    </row>
    <row r="53619" spans="8:8">
      <c r="H53619" s="680" t="s">
        <v>6153</v>
      </c>
    </row>
    <row r="53620" spans="8:8">
      <c r="H53620" s="680" t="s">
        <v>6153</v>
      </c>
    </row>
    <row r="53621" spans="8:8">
      <c r="H53621" s="680" t="s">
        <v>6153</v>
      </c>
    </row>
    <row r="53622" spans="8:8">
      <c r="H53622" s="680" t="s">
        <v>6153</v>
      </c>
    </row>
    <row r="53623" spans="8:8">
      <c r="H53623" s="680" t="s">
        <v>6153</v>
      </c>
    </row>
    <row r="53624" spans="8:8">
      <c r="H53624" s="680" t="s">
        <v>6153</v>
      </c>
    </row>
    <row r="53625" spans="8:8">
      <c r="H53625" s="680" t="s">
        <v>6153</v>
      </c>
    </row>
    <row r="53626" spans="8:8">
      <c r="H53626" s="680" t="s">
        <v>6153</v>
      </c>
    </row>
    <row r="53627" spans="8:8">
      <c r="H53627" s="680" t="s">
        <v>6153</v>
      </c>
    </row>
    <row r="53628" spans="8:8">
      <c r="H53628" s="680" t="s">
        <v>6153</v>
      </c>
    </row>
    <row r="53629" spans="8:8">
      <c r="H53629" s="680" t="s">
        <v>6153</v>
      </c>
    </row>
    <row r="53630" spans="8:8">
      <c r="H53630" s="680" t="s">
        <v>6153</v>
      </c>
    </row>
    <row r="53631" spans="8:8">
      <c r="H53631" s="680" t="s">
        <v>6153</v>
      </c>
    </row>
    <row r="53632" spans="8:8">
      <c r="H53632" s="680" t="s">
        <v>6153</v>
      </c>
    </row>
    <row r="53633" spans="8:8">
      <c r="H53633" s="680" t="s">
        <v>6153</v>
      </c>
    </row>
    <row r="53634" spans="8:8">
      <c r="H53634" s="680" t="s">
        <v>6153</v>
      </c>
    </row>
    <row r="53635" spans="8:8">
      <c r="H53635" s="680" t="s">
        <v>6153</v>
      </c>
    </row>
    <row r="53636" spans="8:8">
      <c r="H53636" s="680" t="s">
        <v>6153</v>
      </c>
    </row>
    <row r="53637" spans="8:8">
      <c r="H53637" s="680" t="s">
        <v>6153</v>
      </c>
    </row>
    <row r="53638" spans="8:8">
      <c r="H53638" s="680" t="s">
        <v>6153</v>
      </c>
    </row>
    <row r="53639" spans="8:8">
      <c r="H53639" s="680" t="s">
        <v>6153</v>
      </c>
    </row>
    <row r="53640" spans="8:8">
      <c r="H53640" s="680" t="s">
        <v>6153</v>
      </c>
    </row>
    <row r="53641" spans="8:8">
      <c r="H53641" s="680" t="s">
        <v>6153</v>
      </c>
    </row>
    <row r="53642" spans="8:8">
      <c r="H53642" s="680" t="s">
        <v>6153</v>
      </c>
    </row>
    <row r="53643" spans="8:8">
      <c r="H53643" s="680" t="s">
        <v>6153</v>
      </c>
    </row>
    <row r="53644" spans="8:8">
      <c r="H53644" s="680" t="s">
        <v>6153</v>
      </c>
    </row>
    <row r="53645" spans="8:8">
      <c r="H53645" s="680" t="s">
        <v>6153</v>
      </c>
    </row>
    <row r="53646" spans="8:8">
      <c r="H53646" s="680" t="s">
        <v>6153</v>
      </c>
    </row>
    <row r="53647" spans="8:8">
      <c r="H53647" s="680" t="s">
        <v>6153</v>
      </c>
    </row>
    <row r="53648" spans="8:8">
      <c r="H53648" s="680" t="s">
        <v>6153</v>
      </c>
    </row>
    <row r="53649" spans="8:8">
      <c r="H53649" s="680" t="s">
        <v>6153</v>
      </c>
    </row>
    <row r="53650" spans="8:8">
      <c r="H53650" s="680" t="s">
        <v>6153</v>
      </c>
    </row>
    <row r="53651" spans="8:8">
      <c r="H53651" s="680" t="s">
        <v>6153</v>
      </c>
    </row>
    <row r="53652" spans="8:8">
      <c r="H53652" s="680" t="s">
        <v>6153</v>
      </c>
    </row>
    <row r="53653" spans="8:8">
      <c r="H53653" s="680" t="s">
        <v>6153</v>
      </c>
    </row>
    <row r="53654" spans="8:8">
      <c r="H53654" s="680" t="s">
        <v>6153</v>
      </c>
    </row>
    <row r="53655" spans="8:8">
      <c r="H53655" s="680" t="s">
        <v>6153</v>
      </c>
    </row>
    <row r="53656" spans="8:8">
      <c r="H53656" s="680" t="s">
        <v>6153</v>
      </c>
    </row>
    <row r="53657" spans="8:8">
      <c r="H53657" s="680" t="s">
        <v>6153</v>
      </c>
    </row>
    <row r="53658" spans="8:8">
      <c r="H53658" s="680" t="s">
        <v>6153</v>
      </c>
    </row>
    <row r="53659" spans="8:8">
      <c r="H53659" s="680" t="s">
        <v>6153</v>
      </c>
    </row>
    <row r="53660" spans="8:8">
      <c r="H53660" s="680" t="s">
        <v>6153</v>
      </c>
    </row>
    <row r="53661" spans="8:8">
      <c r="H53661" s="680" t="s">
        <v>6153</v>
      </c>
    </row>
    <row r="53662" spans="8:8">
      <c r="H53662" s="680" t="s">
        <v>6153</v>
      </c>
    </row>
    <row r="53663" spans="8:8">
      <c r="H53663" s="680" t="s">
        <v>6153</v>
      </c>
    </row>
    <row r="53664" spans="8:8">
      <c r="H53664" s="680" t="s">
        <v>6153</v>
      </c>
    </row>
    <row r="53665" spans="8:8">
      <c r="H53665" s="680" t="s">
        <v>6153</v>
      </c>
    </row>
    <row r="53666" spans="8:8">
      <c r="H53666" s="680" t="s">
        <v>6153</v>
      </c>
    </row>
    <row r="53667" spans="8:8">
      <c r="H53667" s="680" t="s">
        <v>6153</v>
      </c>
    </row>
    <row r="53668" spans="8:8">
      <c r="H53668" s="680" t="s">
        <v>6153</v>
      </c>
    </row>
    <row r="53669" spans="8:8">
      <c r="H53669" s="680" t="s">
        <v>6153</v>
      </c>
    </row>
    <row r="53670" spans="8:8">
      <c r="H53670" s="680" t="s">
        <v>6153</v>
      </c>
    </row>
    <row r="53671" spans="8:8">
      <c r="H53671" s="680" t="s">
        <v>6153</v>
      </c>
    </row>
    <row r="53672" spans="8:8">
      <c r="H53672" s="680" t="s">
        <v>6153</v>
      </c>
    </row>
    <row r="53673" spans="8:8">
      <c r="H53673" s="680" t="s">
        <v>6153</v>
      </c>
    </row>
    <row r="53674" spans="8:8">
      <c r="H53674" s="680" t="s">
        <v>6153</v>
      </c>
    </row>
    <row r="53675" spans="8:8">
      <c r="H53675" s="680" t="s">
        <v>6153</v>
      </c>
    </row>
    <row r="53676" spans="8:8">
      <c r="H53676" s="680" t="s">
        <v>6153</v>
      </c>
    </row>
    <row r="53677" spans="8:8">
      <c r="H53677" s="680" t="s">
        <v>6153</v>
      </c>
    </row>
    <row r="53678" spans="8:8">
      <c r="H53678" s="680" t="s">
        <v>6153</v>
      </c>
    </row>
    <row r="53679" spans="8:8">
      <c r="H53679" s="680" t="s">
        <v>6153</v>
      </c>
    </row>
    <row r="53680" spans="8:8">
      <c r="H53680" s="680" t="s">
        <v>6153</v>
      </c>
    </row>
    <row r="53681" spans="8:8">
      <c r="H53681" s="680" t="s">
        <v>6153</v>
      </c>
    </row>
    <row r="53682" spans="8:8">
      <c r="H53682" s="680" t="s">
        <v>6153</v>
      </c>
    </row>
    <row r="53683" spans="8:8">
      <c r="H53683" s="680" t="s">
        <v>6153</v>
      </c>
    </row>
    <row r="53684" spans="8:8">
      <c r="H53684" s="680" t="s">
        <v>6153</v>
      </c>
    </row>
    <row r="53685" spans="8:8">
      <c r="H53685" s="680" t="s">
        <v>6153</v>
      </c>
    </row>
    <row r="53686" spans="8:8">
      <c r="H53686" s="680" t="s">
        <v>6153</v>
      </c>
    </row>
    <row r="53687" spans="8:8">
      <c r="H53687" s="680" t="s">
        <v>6153</v>
      </c>
    </row>
    <row r="53688" spans="8:8">
      <c r="H53688" s="680" t="s">
        <v>6153</v>
      </c>
    </row>
    <row r="53689" spans="8:8">
      <c r="H53689" s="680" t="s">
        <v>6153</v>
      </c>
    </row>
    <row r="53690" spans="8:8">
      <c r="H53690" s="680" t="s">
        <v>6153</v>
      </c>
    </row>
    <row r="53691" spans="8:8">
      <c r="H53691" s="680" t="s">
        <v>6153</v>
      </c>
    </row>
    <row r="53692" spans="8:8">
      <c r="H53692" s="680" t="s">
        <v>6153</v>
      </c>
    </row>
    <row r="53693" spans="8:8">
      <c r="H53693" s="680" t="s">
        <v>6153</v>
      </c>
    </row>
    <row r="53694" spans="8:8">
      <c r="H53694" s="680" t="s">
        <v>6153</v>
      </c>
    </row>
    <row r="53695" spans="8:8">
      <c r="H53695" s="680" t="s">
        <v>6153</v>
      </c>
    </row>
    <row r="53696" spans="8:8">
      <c r="H53696" s="680" t="s">
        <v>6153</v>
      </c>
    </row>
    <row r="53697" spans="8:8">
      <c r="H53697" s="680" t="s">
        <v>6153</v>
      </c>
    </row>
    <row r="53698" spans="8:8">
      <c r="H53698" s="680" t="s">
        <v>6153</v>
      </c>
    </row>
    <row r="53699" spans="8:8">
      <c r="H53699" s="680" t="s">
        <v>6153</v>
      </c>
    </row>
    <row r="53700" spans="8:8">
      <c r="H53700" s="680" t="s">
        <v>6153</v>
      </c>
    </row>
    <row r="53701" spans="8:8">
      <c r="H53701" s="680" t="s">
        <v>6153</v>
      </c>
    </row>
    <row r="53702" spans="8:8">
      <c r="H53702" s="680" t="s">
        <v>6153</v>
      </c>
    </row>
    <row r="53703" spans="8:8">
      <c r="H53703" s="680" t="s">
        <v>6153</v>
      </c>
    </row>
    <row r="53704" spans="8:8">
      <c r="H53704" s="680" t="s">
        <v>6153</v>
      </c>
    </row>
    <row r="53705" spans="8:8">
      <c r="H53705" s="680" t="s">
        <v>6153</v>
      </c>
    </row>
    <row r="53706" spans="8:8">
      <c r="H53706" s="680" t="s">
        <v>6153</v>
      </c>
    </row>
    <row r="53707" spans="8:8">
      <c r="H53707" s="680" t="s">
        <v>6153</v>
      </c>
    </row>
    <row r="53708" spans="8:8">
      <c r="H53708" s="680" t="s">
        <v>6153</v>
      </c>
    </row>
    <row r="53709" spans="8:8">
      <c r="H53709" s="680" t="s">
        <v>6153</v>
      </c>
    </row>
    <row r="53710" spans="8:8">
      <c r="H53710" s="680" t="s">
        <v>6153</v>
      </c>
    </row>
    <row r="53711" spans="8:8">
      <c r="H53711" s="680" t="s">
        <v>6153</v>
      </c>
    </row>
    <row r="53712" spans="8:8">
      <c r="H53712" s="680" t="s">
        <v>6153</v>
      </c>
    </row>
    <row r="53713" spans="8:8">
      <c r="H53713" s="680" t="s">
        <v>6153</v>
      </c>
    </row>
    <row r="53714" spans="8:8">
      <c r="H53714" s="680" t="s">
        <v>6153</v>
      </c>
    </row>
    <row r="53715" spans="8:8">
      <c r="H53715" s="680" t="s">
        <v>6153</v>
      </c>
    </row>
    <row r="53716" spans="8:8">
      <c r="H53716" s="680" t="s">
        <v>6153</v>
      </c>
    </row>
    <row r="53717" spans="8:8">
      <c r="H53717" s="680" t="s">
        <v>6153</v>
      </c>
    </row>
    <row r="53718" spans="8:8">
      <c r="H53718" s="680" t="s">
        <v>6153</v>
      </c>
    </row>
    <row r="53719" spans="8:8">
      <c r="H53719" s="680" t="s">
        <v>6153</v>
      </c>
    </row>
    <row r="53720" spans="8:8">
      <c r="H53720" s="680" t="s">
        <v>6153</v>
      </c>
    </row>
    <row r="53721" spans="8:8">
      <c r="H53721" s="680" t="s">
        <v>6153</v>
      </c>
    </row>
    <row r="53722" spans="8:8">
      <c r="H53722" s="680" t="s">
        <v>6153</v>
      </c>
    </row>
    <row r="53723" spans="8:8">
      <c r="H53723" s="680" t="s">
        <v>6153</v>
      </c>
    </row>
    <row r="53724" spans="8:8">
      <c r="H53724" s="680" t="s">
        <v>6153</v>
      </c>
    </row>
    <row r="53725" spans="8:8">
      <c r="H53725" s="680" t="s">
        <v>6153</v>
      </c>
    </row>
    <row r="53726" spans="8:8">
      <c r="H53726" s="680" t="s">
        <v>6153</v>
      </c>
    </row>
    <row r="53727" spans="8:8">
      <c r="H53727" s="680" t="s">
        <v>6153</v>
      </c>
    </row>
    <row r="53728" spans="8:8">
      <c r="H53728" s="680" t="s">
        <v>6153</v>
      </c>
    </row>
    <row r="53729" spans="8:8">
      <c r="H53729" s="680" t="s">
        <v>6153</v>
      </c>
    </row>
    <row r="53730" spans="8:8">
      <c r="H53730" s="680" t="s">
        <v>6153</v>
      </c>
    </row>
    <row r="53731" spans="8:8">
      <c r="H53731" s="680" t="s">
        <v>6153</v>
      </c>
    </row>
    <row r="53732" spans="8:8">
      <c r="H53732" s="680" t="s">
        <v>6153</v>
      </c>
    </row>
    <row r="53733" spans="8:8">
      <c r="H53733" s="680" t="s">
        <v>6153</v>
      </c>
    </row>
    <row r="53734" spans="8:8">
      <c r="H53734" s="680" t="s">
        <v>6153</v>
      </c>
    </row>
    <row r="53735" spans="8:8">
      <c r="H53735" s="680" t="s">
        <v>6153</v>
      </c>
    </row>
    <row r="53736" spans="8:8">
      <c r="H53736" s="680" t="s">
        <v>6153</v>
      </c>
    </row>
    <row r="53737" spans="8:8">
      <c r="H53737" s="680" t="s">
        <v>6153</v>
      </c>
    </row>
    <row r="53738" spans="8:8">
      <c r="H53738" s="680" t="s">
        <v>6153</v>
      </c>
    </row>
    <row r="53739" spans="8:8">
      <c r="H53739" s="680" t="s">
        <v>6153</v>
      </c>
    </row>
    <row r="53740" spans="8:8">
      <c r="H53740" s="680" t="s">
        <v>6153</v>
      </c>
    </row>
    <row r="53741" spans="8:8">
      <c r="H53741" s="680" t="s">
        <v>6153</v>
      </c>
    </row>
    <row r="53742" spans="8:8">
      <c r="H53742" s="680" t="s">
        <v>6153</v>
      </c>
    </row>
    <row r="53743" spans="8:8">
      <c r="H53743" s="680" t="s">
        <v>6153</v>
      </c>
    </row>
    <row r="53744" spans="8:8">
      <c r="H53744" s="680" t="s">
        <v>6153</v>
      </c>
    </row>
    <row r="53745" spans="8:8">
      <c r="H53745" s="680" t="s">
        <v>6153</v>
      </c>
    </row>
    <row r="53746" spans="8:8">
      <c r="H53746" s="680" t="s">
        <v>6153</v>
      </c>
    </row>
    <row r="53747" spans="8:8">
      <c r="H53747" s="680" t="s">
        <v>6153</v>
      </c>
    </row>
    <row r="53748" spans="8:8">
      <c r="H53748" s="680" t="s">
        <v>6153</v>
      </c>
    </row>
    <row r="53749" spans="8:8">
      <c r="H53749" s="680" t="s">
        <v>6153</v>
      </c>
    </row>
    <row r="53750" spans="8:8">
      <c r="H53750" s="680" t="s">
        <v>6153</v>
      </c>
    </row>
    <row r="53751" spans="8:8">
      <c r="H53751" s="680" t="s">
        <v>6153</v>
      </c>
    </row>
    <row r="53752" spans="8:8">
      <c r="H53752" s="680" t="s">
        <v>6153</v>
      </c>
    </row>
    <row r="53753" spans="8:8">
      <c r="H53753" s="680" t="s">
        <v>6153</v>
      </c>
    </row>
    <row r="53754" spans="8:8">
      <c r="H53754" s="680" t="s">
        <v>6153</v>
      </c>
    </row>
    <row r="53755" spans="8:8">
      <c r="H53755" s="680" t="s">
        <v>6153</v>
      </c>
    </row>
    <row r="53756" spans="8:8">
      <c r="H53756" s="680" t="s">
        <v>6153</v>
      </c>
    </row>
    <row r="53757" spans="8:8">
      <c r="H53757" s="680" t="s">
        <v>6153</v>
      </c>
    </row>
    <row r="53758" spans="8:8">
      <c r="H53758" s="680" t="s">
        <v>6153</v>
      </c>
    </row>
    <row r="53759" spans="8:8">
      <c r="H53759" s="680" t="s">
        <v>6153</v>
      </c>
    </row>
    <row r="53760" spans="8:8">
      <c r="H53760" s="680" t="s">
        <v>6153</v>
      </c>
    </row>
    <row r="53761" spans="8:8">
      <c r="H53761" s="680" t="s">
        <v>6153</v>
      </c>
    </row>
    <row r="53762" spans="8:8">
      <c r="H53762" s="680" t="s">
        <v>6153</v>
      </c>
    </row>
    <row r="53763" spans="8:8">
      <c r="H53763" s="680" t="s">
        <v>6153</v>
      </c>
    </row>
    <row r="53764" spans="8:8">
      <c r="H53764" s="680" t="s">
        <v>6153</v>
      </c>
    </row>
    <row r="53765" spans="8:8">
      <c r="H53765" s="680" t="s">
        <v>6153</v>
      </c>
    </row>
    <row r="53766" spans="8:8">
      <c r="H53766" s="680" t="s">
        <v>6153</v>
      </c>
    </row>
    <row r="53767" spans="8:8">
      <c r="H53767" s="680" t="s">
        <v>6153</v>
      </c>
    </row>
    <row r="53768" spans="8:8">
      <c r="H53768" s="680" t="s">
        <v>6153</v>
      </c>
    </row>
    <row r="53769" spans="8:8">
      <c r="H53769" s="680" t="s">
        <v>6153</v>
      </c>
    </row>
    <row r="53770" spans="8:8">
      <c r="H53770" s="680" t="s">
        <v>6153</v>
      </c>
    </row>
    <row r="53771" spans="8:8">
      <c r="H53771" s="680" t="s">
        <v>6153</v>
      </c>
    </row>
    <row r="53772" spans="8:8">
      <c r="H53772" s="680" t="s">
        <v>6153</v>
      </c>
    </row>
    <row r="53773" spans="8:8">
      <c r="H53773" s="680" t="s">
        <v>6153</v>
      </c>
    </row>
    <row r="53774" spans="8:8">
      <c r="H53774" s="680" t="s">
        <v>6153</v>
      </c>
    </row>
    <row r="53775" spans="8:8">
      <c r="H53775" s="680" t="s">
        <v>6153</v>
      </c>
    </row>
    <row r="53776" spans="8:8">
      <c r="H53776" s="680" t="s">
        <v>6153</v>
      </c>
    </row>
    <row r="53777" spans="8:8">
      <c r="H53777" s="680" t="s">
        <v>6153</v>
      </c>
    </row>
    <row r="53778" spans="8:8">
      <c r="H53778" s="680" t="s">
        <v>6153</v>
      </c>
    </row>
    <row r="53779" spans="8:8">
      <c r="H53779" s="680" t="s">
        <v>6153</v>
      </c>
    </row>
    <row r="53780" spans="8:8">
      <c r="H53780" s="680" t="s">
        <v>6153</v>
      </c>
    </row>
    <row r="53781" spans="8:8">
      <c r="H53781" s="680" t="s">
        <v>6153</v>
      </c>
    </row>
    <row r="53782" spans="8:8">
      <c r="H53782" s="680" t="s">
        <v>6153</v>
      </c>
    </row>
    <row r="53783" spans="8:8">
      <c r="H53783" s="680" t="s">
        <v>6153</v>
      </c>
    </row>
    <row r="53784" spans="8:8">
      <c r="H53784" s="680" t="s">
        <v>6153</v>
      </c>
    </row>
    <row r="53785" spans="8:8">
      <c r="H53785" s="680" t="s">
        <v>6153</v>
      </c>
    </row>
    <row r="53786" spans="8:8">
      <c r="H53786" s="680" t="s">
        <v>6153</v>
      </c>
    </row>
    <row r="53787" spans="8:8">
      <c r="H53787" s="680" t="s">
        <v>6153</v>
      </c>
    </row>
    <row r="53788" spans="8:8">
      <c r="H53788" s="680" t="s">
        <v>6153</v>
      </c>
    </row>
    <row r="53789" spans="8:8">
      <c r="H53789" s="680" t="s">
        <v>6153</v>
      </c>
    </row>
    <row r="53790" spans="8:8">
      <c r="H53790" s="680" t="s">
        <v>6153</v>
      </c>
    </row>
    <row r="53791" spans="8:8">
      <c r="H53791" s="680" t="s">
        <v>6153</v>
      </c>
    </row>
    <row r="53792" spans="8:8">
      <c r="H53792" s="680" t="s">
        <v>6153</v>
      </c>
    </row>
    <row r="53793" spans="8:8">
      <c r="H53793" s="680" t="s">
        <v>6153</v>
      </c>
    </row>
    <row r="53794" spans="8:8">
      <c r="H53794" s="680" t="s">
        <v>6153</v>
      </c>
    </row>
    <row r="53795" spans="8:8">
      <c r="H53795" s="680" t="s">
        <v>6153</v>
      </c>
    </row>
    <row r="53796" spans="8:8">
      <c r="H53796" s="680" t="s">
        <v>6153</v>
      </c>
    </row>
    <row r="53797" spans="8:8">
      <c r="H53797" s="680" t="s">
        <v>6153</v>
      </c>
    </row>
    <row r="53798" spans="8:8">
      <c r="H53798" s="680" t="s">
        <v>6153</v>
      </c>
    </row>
    <row r="53799" spans="8:8">
      <c r="H53799" s="680" t="s">
        <v>6153</v>
      </c>
    </row>
    <row r="53800" spans="8:8">
      <c r="H53800" s="680" t="s">
        <v>6153</v>
      </c>
    </row>
    <row r="53801" spans="8:8">
      <c r="H53801" s="680" t="s">
        <v>6153</v>
      </c>
    </row>
    <row r="53802" spans="8:8">
      <c r="H53802" s="680" t="s">
        <v>6153</v>
      </c>
    </row>
    <row r="53803" spans="8:8">
      <c r="H53803" s="680" t="s">
        <v>6153</v>
      </c>
    </row>
    <row r="53804" spans="8:8">
      <c r="H53804" s="680" t="s">
        <v>6153</v>
      </c>
    </row>
    <row r="53805" spans="8:8">
      <c r="H53805" s="680" t="s">
        <v>6153</v>
      </c>
    </row>
    <row r="53806" spans="8:8">
      <c r="H53806" s="680" t="s">
        <v>6153</v>
      </c>
    </row>
    <row r="53807" spans="8:8">
      <c r="H53807" s="680" t="s">
        <v>6153</v>
      </c>
    </row>
    <row r="53808" spans="8:8">
      <c r="H53808" s="680" t="s">
        <v>6153</v>
      </c>
    </row>
    <row r="53809" spans="8:8">
      <c r="H53809" s="680" t="s">
        <v>6153</v>
      </c>
    </row>
    <row r="53810" spans="8:8">
      <c r="H53810" s="680" t="s">
        <v>6153</v>
      </c>
    </row>
    <row r="53811" spans="8:8">
      <c r="H53811" s="680" t="s">
        <v>6153</v>
      </c>
    </row>
    <row r="53812" spans="8:8">
      <c r="H53812" s="680" t="s">
        <v>6153</v>
      </c>
    </row>
    <row r="53813" spans="8:8">
      <c r="H53813" s="680" t="s">
        <v>6153</v>
      </c>
    </row>
    <row r="53814" spans="8:8">
      <c r="H53814" s="680" t="s">
        <v>6153</v>
      </c>
    </row>
    <row r="53815" spans="8:8">
      <c r="H53815" s="680" t="s">
        <v>6153</v>
      </c>
    </row>
    <row r="53816" spans="8:8">
      <c r="H53816" s="680" t="s">
        <v>6153</v>
      </c>
    </row>
    <row r="53817" spans="8:8">
      <c r="H53817" s="680" t="s">
        <v>6153</v>
      </c>
    </row>
    <row r="53818" spans="8:8">
      <c r="H53818" s="680" t="s">
        <v>6153</v>
      </c>
    </row>
    <row r="53819" spans="8:8">
      <c r="H53819" s="680" t="s">
        <v>6153</v>
      </c>
    </row>
    <row r="53820" spans="8:8">
      <c r="H53820" s="680" t="s">
        <v>6153</v>
      </c>
    </row>
    <row r="53821" spans="8:8">
      <c r="H53821" s="680" t="s">
        <v>6153</v>
      </c>
    </row>
    <row r="53822" spans="8:8">
      <c r="H53822" s="680" t="s">
        <v>6153</v>
      </c>
    </row>
    <row r="53823" spans="8:8">
      <c r="H53823" s="680" t="s">
        <v>6153</v>
      </c>
    </row>
    <row r="53824" spans="8:8">
      <c r="H53824" s="680" t="s">
        <v>6153</v>
      </c>
    </row>
    <row r="53825" spans="8:8">
      <c r="H53825" s="680" t="s">
        <v>6153</v>
      </c>
    </row>
    <row r="53826" spans="8:8">
      <c r="H53826" s="680" t="s">
        <v>6153</v>
      </c>
    </row>
    <row r="53827" spans="8:8">
      <c r="H53827" s="680" t="s">
        <v>6153</v>
      </c>
    </row>
    <row r="53828" spans="8:8">
      <c r="H53828" s="680" t="s">
        <v>6153</v>
      </c>
    </row>
    <row r="53829" spans="8:8">
      <c r="H53829" s="680" t="s">
        <v>6153</v>
      </c>
    </row>
    <row r="53830" spans="8:8">
      <c r="H53830" s="680" t="s">
        <v>6153</v>
      </c>
    </row>
    <row r="53831" spans="8:8">
      <c r="H53831" s="680" t="s">
        <v>6153</v>
      </c>
    </row>
    <row r="53832" spans="8:8">
      <c r="H53832" s="680" t="s">
        <v>6153</v>
      </c>
    </row>
    <row r="53833" spans="8:8">
      <c r="H53833" s="680" t="s">
        <v>6153</v>
      </c>
    </row>
    <row r="53834" spans="8:8">
      <c r="H53834" s="680" t="s">
        <v>6153</v>
      </c>
    </row>
    <row r="53835" spans="8:8">
      <c r="H53835" s="680" t="s">
        <v>6153</v>
      </c>
    </row>
    <row r="53836" spans="8:8">
      <c r="H53836" s="680" t="s">
        <v>6153</v>
      </c>
    </row>
    <row r="53837" spans="8:8">
      <c r="H53837" s="680" t="s">
        <v>6153</v>
      </c>
    </row>
    <row r="53838" spans="8:8">
      <c r="H53838" s="680" t="s">
        <v>6153</v>
      </c>
    </row>
    <row r="53839" spans="8:8">
      <c r="H53839" s="680" t="s">
        <v>6153</v>
      </c>
    </row>
    <row r="53840" spans="8:8">
      <c r="H53840" s="680" t="s">
        <v>6153</v>
      </c>
    </row>
    <row r="53841" spans="8:8">
      <c r="H53841" s="680" t="s">
        <v>6153</v>
      </c>
    </row>
    <row r="53842" spans="8:8">
      <c r="H53842" s="680" t="s">
        <v>6153</v>
      </c>
    </row>
    <row r="53843" spans="8:8">
      <c r="H53843" s="680" t="s">
        <v>6153</v>
      </c>
    </row>
    <row r="53844" spans="8:8">
      <c r="H53844" s="680" t="s">
        <v>6153</v>
      </c>
    </row>
    <row r="53845" spans="8:8">
      <c r="H53845" s="680" t="s">
        <v>6153</v>
      </c>
    </row>
    <row r="53846" spans="8:8">
      <c r="H53846" s="680" t="s">
        <v>6153</v>
      </c>
    </row>
    <row r="53847" spans="8:8">
      <c r="H53847" s="680" t="s">
        <v>6153</v>
      </c>
    </row>
    <row r="53848" spans="8:8">
      <c r="H53848" s="680" t="s">
        <v>6153</v>
      </c>
    </row>
    <row r="53849" spans="8:8">
      <c r="H53849" s="680" t="s">
        <v>6153</v>
      </c>
    </row>
    <row r="53850" spans="8:8">
      <c r="H53850" s="680" t="s">
        <v>6153</v>
      </c>
    </row>
    <row r="53851" spans="8:8">
      <c r="H53851" s="680" t="s">
        <v>6153</v>
      </c>
    </row>
    <row r="53852" spans="8:8">
      <c r="H53852" s="680" t="s">
        <v>6153</v>
      </c>
    </row>
    <row r="53853" spans="8:8">
      <c r="H53853" s="680" t="s">
        <v>6153</v>
      </c>
    </row>
    <row r="53854" spans="8:8">
      <c r="H53854" s="680" t="s">
        <v>6153</v>
      </c>
    </row>
    <row r="53855" spans="8:8">
      <c r="H53855" s="680" t="s">
        <v>6153</v>
      </c>
    </row>
    <row r="53856" spans="8:8">
      <c r="H53856" s="680" t="s">
        <v>6153</v>
      </c>
    </row>
    <row r="53857" spans="8:8">
      <c r="H53857" s="680" t="s">
        <v>6153</v>
      </c>
    </row>
    <row r="53858" spans="8:8">
      <c r="H53858" s="680" t="s">
        <v>6153</v>
      </c>
    </row>
    <row r="53859" spans="8:8">
      <c r="H53859" s="680" t="s">
        <v>6153</v>
      </c>
    </row>
    <row r="53860" spans="8:8">
      <c r="H53860" s="680" t="s">
        <v>6153</v>
      </c>
    </row>
    <row r="53861" spans="8:8">
      <c r="H53861" s="680" t="s">
        <v>6153</v>
      </c>
    </row>
    <row r="53862" spans="8:8">
      <c r="H53862" s="680" t="s">
        <v>6153</v>
      </c>
    </row>
    <row r="53863" spans="8:8">
      <c r="H53863" s="680" t="s">
        <v>6153</v>
      </c>
    </row>
    <row r="53864" spans="8:8">
      <c r="H53864" s="680" t="s">
        <v>6153</v>
      </c>
    </row>
    <row r="53865" spans="8:8">
      <c r="H53865" s="680" t="s">
        <v>6153</v>
      </c>
    </row>
    <row r="53866" spans="8:8">
      <c r="H53866" s="680" t="s">
        <v>6153</v>
      </c>
    </row>
    <row r="53867" spans="8:8">
      <c r="H53867" s="680" t="s">
        <v>6153</v>
      </c>
    </row>
    <row r="53868" spans="8:8">
      <c r="H53868" s="680" t="s">
        <v>6153</v>
      </c>
    </row>
    <row r="53869" spans="8:8">
      <c r="H53869" s="680" t="s">
        <v>6153</v>
      </c>
    </row>
    <row r="53870" spans="8:8">
      <c r="H53870" s="680" t="s">
        <v>6153</v>
      </c>
    </row>
    <row r="53871" spans="8:8">
      <c r="H53871" s="680" t="s">
        <v>6153</v>
      </c>
    </row>
    <row r="53872" spans="8:8">
      <c r="H53872" s="680" t="s">
        <v>6153</v>
      </c>
    </row>
    <row r="53873" spans="8:8">
      <c r="H53873" s="680" t="s">
        <v>6153</v>
      </c>
    </row>
    <row r="53874" spans="8:8">
      <c r="H53874" s="680" t="s">
        <v>6153</v>
      </c>
    </row>
    <row r="53875" spans="8:8">
      <c r="H53875" s="680" t="s">
        <v>6153</v>
      </c>
    </row>
    <row r="53876" spans="8:8">
      <c r="H53876" s="680" t="s">
        <v>6153</v>
      </c>
    </row>
    <row r="53877" spans="8:8">
      <c r="H53877" s="680" t="s">
        <v>6153</v>
      </c>
    </row>
    <row r="53878" spans="8:8">
      <c r="H53878" s="680" t="s">
        <v>6153</v>
      </c>
    </row>
    <row r="53879" spans="8:8">
      <c r="H53879" s="680" t="s">
        <v>6153</v>
      </c>
    </row>
    <row r="53880" spans="8:8">
      <c r="H53880" s="680" t="s">
        <v>6153</v>
      </c>
    </row>
    <row r="53881" spans="8:8">
      <c r="H53881" s="680" t="s">
        <v>6153</v>
      </c>
    </row>
    <row r="53882" spans="8:8">
      <c r="H53882" s="680" t="s">
        <v>6153</v>
      </c>
    </row>
    <row r="53883" spans="8:8">
      <c r="H53883" s="680" t="s">
        <v>6153</v>
      </c>
    </row>
    <row r="53884" spans="8:8">
      <c r="H53884" s="680" t="s">
        <v>6153</v>
      </c>
    </row>
    <row r="53885" spans="8:8">
      <c r="H53885" s="680" t="s">
        <v>6153</v>
      </c>
    </row>
    <row r="53886" spans="8:8">
      <c r="H53886" s="680" t="s">
        <v>6153</v>
      </c>
    </row>
    <row r="53887" spans="8:8">
      <c r="H53887" s="680" t="s">
        <v>6153</v>
      </c>
    </row>
    <row r="53888" spans="8:8">
      <c r="H53888" s="680" t="s">
        <v>6153</v>
      </c>
    </row>
    <row r="53889" spans="8:8">
      <c r="H53889" s="680" t="s">
        <v>6153</v>
      </c>
    </row>
    <row r="53890" spans="8:8">
      <c r="H53890" s="680" t="s">
        <v>6153</v>
      </c>
    </row>
    <row r="53891" spans="8:8">
      <c r="H53891" s="680" t="s">
        <v>6153</v>
      </c>
    </row>
    <row r="53892" spans="8:8">
      <c r="H53892" s="680" t="s">
        <v>6153</v>
      </c>
    </row>
    <row r="53893" spans="8:8">
      <c r="H53893" s="680" t="s">
        <v>6153</v>
      </c>
    </row>
    <row r="53894" spans="8:8">
      <c r="H53894" s="680" t="s">
        <v>6153</v>
      </c>
    </row>
    <row r="53895" spans="8:8">
      <c r="H53895" s="680" t="s">
        <v>6153</v>
      </c>
    </row>
    <row r="53896" spans="8:8">
      <c r="H53896" s="680" t="s">
        <v>6153</v>
      </c>
    </row>
    <row r="53897" spans="8:8">
      <c r="H53897" s="680" t="s">
        <v>6153</v>
      </c>
    </row>
    <row r="53898" spans="8:8">
      <c r="H53898" s="680" t="s">
        <v>6153</v>
      </c>
    </row>
    <row r="53899" spans="8:8">
      <c r="H53899" s="680" t="s">
        <v>6153</v>
      </c>
    </row>
    <row r="53900" spans="8:8">
      <c r="H53900" s="680" t="s">
        <v>6153</v>
      </c>
    </row>
    <row r="53901" spans="8:8">
      <c r="H53901" s="680" t="s">
        <v>6153</v>
      </c>
    </row>
    <row r="53902" spans="8:8">
      <c r="H53902" s="680" t="s">
        <v>6153</v>
      </c>
    </row>
    <row r="53903" spans="8:8">
      <c r="H53903" s="680" t="s">
        <v>6153</v>
      </c>
    </row>
    <row r="53904" spans="8:8">
      <c r="H53904" s="680" t="s">
        <v>6153</v>
      </c>
    </row>
    <row r="53905" spans="8:8">
      <c r="H53905" s="680" t="s">
        <v>6153</v>
      </c>
    </row>
    <row r="53906" spans="8:8">
      <c r="H53906" s="680" t="s">
        <v>6153</v>
      </c>
    </row>
    <row r="53907" spans="8:8">
      <c r="H53907" s="680" t="s">
        <v>6153</v>
      </c>
    </row>
    <row r="53908" spans="8:8">
      <c r="H53908" s="680" t="s">
        <v>6153</v>
      </c>
    </row>
    <row r="53909" spans="8:8">
      <c r="H53909" s="680" t="s">
        <v>6153</v>
      </c>
    </row>
    <row r="53910" spans="8:8">
      <c r="H53910" s="680" t="s">
        <v>6153</v>
      </c>
    </row>
    <row r="53911" spans="8:8">
      <c r="H53911" s="680" t="s">
        <v>6153</v>
      </c>
    </row>
    <row r="53912" spans="8:8">
      <c r="H53912" s="680" t="s">
        <v>6153</v>
      </c>
    </row>
    <row r="53913" spans="8:8">
      <c r="H53913" s="680" t="s">
        <v>6153</v>
      </c>
    </row>
    <row r="53914" spans="8:8">
      <c r="H53914" s="680" t="s">
        <v>6153</v>
      </c>
    </row>
    <row r="53915" spans="8:8">
      <c r="H53915" s="680" t="s">
        <v>6153</v>
      </c>
    </row>
    <row r="53916" spans="8:8">
      <c r="H53916" s="680" t="s">
        <v>6153</v>
      </c>
    </row>
    <row r="53917" spans="8:8">
      <c r="H53917" s="680" t="s">
        <v>6153</v>
      </c>
    </row>
    <row r="53918" spans="8:8">
      <c r="H53918" s="680" t="s">
        <v>6153</v>
      </c>
    </row>
    <row r="53919" spans="8:8">
      <c r="H53919" s="680" t="s">
        <v>6153</v>
      </c>
    </row>
    <row r="53920" spans="8:8">
      <c r="H53920" s="680" t="s">
        <v>6153</v>
      </c>
    </row>
    <row r="53921" spans="8:8">
      <c r="H53921" s="680" t="s">
        <v>6153</v>
      </c>
    </row>
    <row r="53922" spans="8:8">
      <c r="H53922" s="680" t="s">
        <v>6153</v>
      </c>
    </row>
    <row r="53923" spans="8:8">
      <c r="H53923" s="680" t="s">
        <v>6153</v>
      </c>
    </row>
    <row r="53924" spans="8:8">
      <c r="H53924" s="680" t="s">
        <v>6153</v>
      </c>
    </row>
    <row r="53925" spans="8:8">
      <c r="H53925" s="680" t="s">
        <v>6153</v>
      </c>
    </row>
    <row r="53926" spans="8:8">
      <c r="H53926" s="680" t="s">
        <v>6153</v>
      </c>
    </row>
    <row r="53927" spans="8:8">
      <c r="H53927" s="680" t="s">
        <v>6153</v>
      </c>
    </row>
    <row r="53928" spans="8:8">
      <c r="H53928" s="680" t="s">
        <v>6153</v>
      </c>
    </row>
    <row r="53929" spans="8:8">
      <c r="H53929" s="680" t="s">
        <v>6153</v>
      </c>
    </row>
    <row r="53930" spans="8:8">
      <c r="H53930" s="680" t="s">
        <v>6153</v>
      </c>
    </row>
    <row r="53931" spans="8:8">
      <c r="H53931" s="680" t="s">
        <v>6153</v>
      </c>
    </row>
    <row r="53932" spans="8:8">
      <c r="H53932" s="680" t="s">
        <v>6153</v>
      </c>
    </row>
    <row r="53933" spans="8:8">
      <c r="H53933" s="680" t="s">
        <v>6153</v>
      </c>
    </row>
    <row r="53934" spans="8:8">
      <c r="H53934" s="680" t="s">
        <v>6153</v>
      </c>
    </row>
    <row r="53935" spans="8:8">
      <c r="H53935" s="680" t="s">
        <v>6153</v>
      </c>
    </row>
    <row r="53936" spans="8:8">
      <c r="H53936" s="680" t="s">
        <v>6153</v>
      </c>
    </row>
    <row r="53937" spans="8:8">
      <c r="H53937" s="680" t="s">
        <v>6153</v>
      </c>
    </row>
    <row r="53938" spans="8:8">
      <c r="H53938" s="680" t="s">
        <v>6153</v>
      </c>
    </row>
    <row r="53939" spans="8:8">
      <c r="H53939" s="680" t="s">
        <v>6153</v>
      </c>
    </row>
    <row r="53940" spans="8:8">
      <c r="H53940" s="680" t="s">
        <v>6153</v>
      </c>
    </row>
    <row r="53941" spans="8:8">
      <c r="H53941" s="680" t="s">
        <v>6153</v>
      </c>
    </row>
    <row r="53942" spans="8:8">
      <c r="H53942" s="680" t="s">
        <v>6153</v>
      </c>
    </row>
    <row r="53943" spans="8:8">
      <c r="H53943" s="680" t="s">
        <v>6153</v>
      </c>
    </row>
    <row r="53944" spans="8:8">
      <c r="H53944" s="680" t="s">
        <v>6153</v>
      </c>
    </row>
    <row r="53945" spans="8:8">
      <c r="H53945" s="680" t="s">
        <v>6153</v>
      </c>
    </row>
    <row r="53946" spans="8:8">
      <c r="H53946" s="680" t="s">
        <v>6153</v>
      </c>
    </row>
    <row r="53947" spans="8:8">
      <c r="H53947" s="680" t="s">
        <v>6153</v>
      </c>
    </row>
    <row r="53948" spans="8:8">
      <c r="H53948" s="680" t="s">
        <v>6153</v>
      </c>
    </row>
    <row r="53949" spans="8:8">
      <c r="H53949" s="680" t="s">
        <v>6153</v>
      </c>
    </row>
    <row r="53950" spans="8:8">
      <c r="H53950" s="680" t="s">
        <v>6153</v>
      </c>
    </row>
    <row r="53951" spans="8:8">
      <c r="H53951" s="680" t="s">
        <v>6153</v>
      </c>
    </row>
    <row r="53952" spans="8:8">
      <c r="H53952" s="680" t="s">
        <v>6153</v>
      </c>
    </row>
    <row r="53953" spans="8:8">
      <c r="H53953" s="680" t="s">
        <v>6153</v>
      </c>
    </row>
    <row r="53954" spans="8:8">
      <c r="H53954" s="680" t="s">
        <v>6153</v>
      </c>
    </row>
    <row r="53955" spans="8:8">
      <c r="H53955" s="680" t="s">
        <v>6153</v>
      </c>
    </row>
    <row r="53956" spans="8:8">
      <c r="H53956" s="680" t="s">
        <v>6153</v>
      </c>
    </row>
    <row r="53957" spans="8:8">
      <c r="H53957" s="680" t="s">
        <v>6153</v>
      </c>
    </row>
    <row r="53958" spans="8:8">
      <c r="H53958" s="680" t="s">
        <v>6153</v>
      </c>
    </row>
    <row r="53959" spans="8:8">
      <c r="H53959" s="680" t="s">
        <v>6153</v>
      </c>
    </row>
    <row r="53960" spans="8:8">
      <c r="H53960" s="680" t="s">
        <v>6153</v>
      </c>
    </row>
    <row r="53961" spans="8:8">
      <c r="H53961" s="680" t="s">
        <v>6153</v>
      </c>
    </row>
    <row r="53962" spans="8:8">
      <c r="H53962" s="680" t="s">
        <v>6153</v>
      </c>
    </row>
    <row r="53963" spans="8:8">
      <c r="H53963" s="680" t="s">
        <v>6153</v>
      </c>
    </row>
    <row r="53964" spans="8:8">
      <c r="H53964" s="680" t="s">
        <v>6153</v>
      </c>
    </row>
    <row r="53965" spans="8:8">
      <c r="H53965" s="680" t="s">
        <v>6153</v>
      </c>
    </row>
    <row r="53966" spans="8:8">
      <c r="H53966" s="680" t="s">
        <v>6153</v>
      </c>
    </row>
    <row r="53967" spans="8:8">
      <c r="H53967" s="680" t="s">
        <v>6153</v>
      </c>
    </row>
    <row r="53968" spans="8:8">
      <c r="H53968" s="680" t="s">
        <v>6153</v>
      </c>
    </row>
    <row r="53969" spans="8:8">
      <c r="H53969" s="680" t="s">
        <v>6153</v>
      </c>
    </row>
    <row r="53970" spans="8:8">
      <c r="H53970" s="680" t="s">
        <v>6153</v>
      </c>
    </row>
    <row r="53971" spans="8:8">
      <c r="H53971" s="680" t="s">
        <v>6153</v>
      </c>
    </row>
    <row r="53972" spans="8:8">
      <c r="H53972" s="680" t="s">
        <v>6153</v>
      </c>
    </row>
    <row r="53973" spans="8:8">
      <c r="H53973" s="680" t="s">
        <v>6153</v>
      </c>
    </row>
    <row r="53974" spans="8:8">
      <c r="H53974" s="680" t="s">
        <v>6153</v>
      </c>
    </row>
    <row r="53975" spans="8:8">
      <c r="H53975" s="680" t="s">
        <v>6153</v>
      </c>
    </row>
    <row r="53976" spans="8:8">
      <c r="H53976" s="680" t="s">
        <v>6153</v>
      </c>
    </row>
    <row r="53977" spans="8:8">
      <c r="H53977" s="680" t="s">
        <v>6153</v>
      </c>
    </row>
    <row r="53978" spans="8:8">
      <c r="H53978" s="680" t="s">
        <v>6153</v>
      </c>
    </row>
    <row r="53979" spans="8:8">
      <c r="H53979" s="680" t="s">
        <v>6153</v>
      </c>
    </row>
    <row r="53980" spans="8:8">
      <c r="H53980" s="680" t="s">
        <v>6153</v>
      </c>
    </row>
    <row r="53981" spans="8:8">
      <c r="H53981" s="680" t="s">
        <v>6153</v>
      </c>
    </row>
    <row r="53982" spans="8:8">
      <c r="H53982" s="680" t="s">
        <v>6153</v>
      </c>
    </row>
    <row r="53983" spans="8:8">
      <c r="H53983" s="680" t="s">
        <v>6153</v>
      </c>
    </row>
    <row r="53984" spans="8:8">
      <c r="H53984" s="680" t="s">
        <v>6153</v>
      </c>
    </row>
    <row r="53985" spans="8:8">
      <c r="H53985" s="680" t="s">
        <v>6153</v>
      </c>
    </row>
    <row r="53986" spans="8:8">
      <c r="H53986" s="680" t="s">
        <v>6153</v>
      </c>
    </row>
    <row r="53987" spans="8:8">
      <c r="H53987" s="680" t="s">
        <v>6153</v>
      </c>
    </row>
    <row r="53988" spans="8:8">
      <c r="H53988" s="680" t="s">
        <v>6153</v>
      </c>
    </row>
    <row r="53989" spans="8:8">
      <c r="H53989" s="680" t="s">
        <v>6153</v>
      </c>
    </row>
    <row r="53990" spans="8:8">
      <c r="H53990" s="680" t="s">
        <v>6153</v>
      </c>
    </row>
    <row r="53991" spans="8:8">
      <c r="H53991" s="680" t="s">
        <v>6153</v>
      </c>
    </row>
    <row r="53992" spans="8:8">
      <c r="H53992" s="680" t="s">
        <v>6153</v>
      </c>
    </row>
    <row r="53993" spans="8:8">
      <c r="H53993" s="680" t="s">
        <v>6153</v>
      </c>
    </row>
    <row r="53994" spans="8:8">
      <c r="H53994" s="680" t="s">
        <v>6153</v>
      </c>
    </row>
    <row r="53995" spans="8:8">
      <c r="H53995" s="680" t="s">
        <v>6153</v>
      </c>
    </row>
    <row r="53996" spans="8:8">
      <c r="H53996" s="680" t="s">
        <v>6153</v>
      </c>
    </row>
    <row r="53997" spans="8:8">
      <c r="H53997" s="680" t="s">
        <v>6153</v>
      </c>
    </row>
    <row r="53998" spans="8:8">
      <c r="H53998" s="680" t="s">
        <v>6153</v>
      </c>
    </row>
    <row r="53999" spans="8:8">
      <c r="H53999" s="680" t="s">
        <v>6153</v>
      </c>
    </row>
    <row r="54000" spans="8:8">
      <c r="H54000" s="680" t="s">
        <v>6153</v>
      </c>
    </row>
    <row r="54001" spans="8:8">
      <c r="H54001" s="680" t="s">
        <v>6153</v>
      </c>
    </row>
    <row r="54002" spans="8:8">
      <c r="H54002" s="680" t="s">
        <v>6153</v>
      </c>
    </row>
    <row r="54003" spans="8:8">
      <c r="H54003" s="680" t="s">
        <v>6153</v>
      </c>
    </row>
    <row r="54004" spans="8:8">
      <c r="H54004" s="680" t="s">
        <v>6153</v>
      </c>
    </row>
    <row r="54005" spans="8:8">
      <c r="H54005" s="680" t="s">
        <v>6153</v>
      </c>
    </row>
    <row r="54006" spans="8:8">
      <c r="H54006" s="680" t="s">
        <v>6153</v>
      </c>
    </row>
    <row r="54007" spans="8:8">
      <c r="H54007" s="680" t="s">
        <v>6153</v>
      </c>
    </row>
    <row r="54008" spans="8:8">
      <c r="H54008" s="680" t="s">
        <v>6153</v>
      </c>
    </row>
    <row r="54009" spans="8:8">
      <c r="H54009" s="680" t="s">
        <v>6153</v>
      </c>
    </row>
    <row r="54010" spans="8:8">
      <c r="H54010" s="680" t="s">
        <v>6153</v>
      </c>
    </row>
    <row r="54011" spans="8:8">
      <c r="H54011" s="680" t="s">
        <v>6153</v>
      </c>
    </row>
    <row r="54012" spans="8:8">
      <c r="H54012" s="680" t="s">
        <v>6153</v>
      </c>
    </row>
    <row r="54013" spans="8:8">
      <c r="H54013" s="680" t="s">
        <v>6153</v>
      </c>
    </row>
    <row r="54014" spans="8:8">
      <c r="H54014" s="680" t="s">
        <v>6153</v>
      </c>
    </row>
    <row r="54015" spans="8:8">
      <c r="H54015" s="680" t="s">
        <v>6153</v>
      </c>
    </row>
    <row r="54016" spans="8:8">
      <c r="H54016" s="680" t="s">
        <v>6153</v>
      </c>
    </row>
    <row r="54017" spans="8:8">
      <c r="H54017" s="680" t="s">
        <v>6153</v>
      </c>
    </row>
    <row r="54018" spans="8:8">
      <c r="H54018" s="680" t="s">
        <v>6153</v>
      </c>
    </row>
    <row r="54019" spans="8:8">
      <c r="H54019" s="680" t="s">
        <v>6153</v>
      </c>
    </row>
    <row r="54020" spans="8:8">
      <c r="H54020" s="680" t="s">
        <v>6153</v>
      </c>
    </row>
    <row r="54021" spans="8:8">
      <c r="H54021" s="680" t="s">
        <v>6153</v>
      </c>
    </row>
    <row r="54022" spans="8:8">
      <c r="H54022" s="680" t="s">
        <v>6153</v>
      </c>
    </row>
    <row r="54023" spans="8:8">
      <c r="H54023" s="680" t="s">
        <v>6153</v>
      </c>
    </row>
    <row r="54024" spans="8:8">
      <c r="H54024" s="680" t="s">
        <v>6153</v>
      </c>
    </row>
    <row r="54025" spans="8:8">
      <c r="H54025" s="680" t="s">
        <v>6153</v>
      </c>
    </row>
    <row r="54026" spans="8:8">
      <c r="H54026" s="680" t="s">
        <v>6153</v>
      </c>
    </row>
    <row r="54027" spans="8:8">
      <c r="H54027" s="680" t="s">
        <v>6153</v>
      </c>
    </row>
    <row r="54028" spans="8:8">
      <c r="H54028" s="680" t="s">
        <v>6153</v>
      </c>
    </row>
    <row r="54029" spans="8:8">
      <c r="H54029" s="680" t="s">
        <v>6153</v>
      </c>
    </row>
    <row r="54030" spans="8:8">
      <c r="H54030" s="680" t="s">
        <v>6153</v>
      </c>
    </row>
    <row r="54031" spans="8:8">
      <c r="H54031" s="680" t="s">
        <v>6153</v>
      </c>
    </row>
    <row r="54032" spans="8:8">
      <c r="H54032" s="680" t="s">
        <v>6153</v>
      </c>
    </row>
    <row r="54033" spans="8:8">
      <c r="H54033" s="680" t="s">
        <v>6153</v>
      </c>
    </row>
    <row r="54034" spans="8:8">
      <c r="H54034" s="680" t="s">
        <v>6153</v>
      </c>
    </row>
    <row r="54035" spans="8:8">
      <c r="H54035" s="680" t="s">
        <v>6153</v>
      </c>
    </row>
    <row r="54036" spans="8:8">
      <c r="H54036" s="680" t="s">
        <v>6153</v>
      </c>
    </row>
    <row r="54037" spans="8:8">
      <c r="H54037" s="680" t="s">
        <v>6153</v>
      </c>
    </row>
    <row r="54038" spans="8:8">
      <c r="H54038" s="680" t="s">
        <v>6153</v>
      </c>
    </row>
    <row r="54039" spans="8:8">
      <c r="H54039" s="680" t="s">
        <v>6153</v>
      </c>
    </row>
    <row r="54040" spans="8:8">
      <c r="H54040" s="680" t="s">
        <v>6153</v>
      </c>
    </row>
    <row r="54041" spans="8:8">
      <c r="H54041" s="680" t="s">
        <v>6153</v>
      </c>
    </row>
    <row r="54042" spans="8:8">
      <c r="H54042" s="680" t="s">
        <v>6153</v>
      </c>
    </row>
    <row r="54043" spans="8:8">
      <c r="H54043" s="680" t="s">
        <v>6153</v>
      </c>
    </row>
    <row r="54044" spans="8:8">
      <c r="H54044" s="680" t="s">
        <v>6153</v>
      </c>
    </row>
    <row r="54045" spans="8:8">
      <c r="H54045" s="680" t="s">
        <v>6153</v>
      </c>
    </row>
    <row r="54046" spans="8:8">
      <c r="H54046" s="680" t="s">
        <v>6153</v>
      </c>
    </row>
    <row r="54047" spans="8:8">
      <c r="H54047" s="680" t="s">
        <v>6153</v>
      </c>
    </row>
    <row r="54048" spans="8:8">
      <c r="H54048" s="680" t="s">
        <v>6153</v>
      </c>
    </row>
    <row r="54049" spans="8:8">
      <c r="H54049" s="680" t="s">
        <v>6153</v>
      </c>
    </row>
    <row r="54050" spans="8:8">
      <c r="H54050" s="680" t="s">
        <v>6153</v>
      </c>
    </row>
    <row r="54051" spans="8:8">
      <c r="H54051" s="680" t="s">
        <v>6153</v>
      </c>
    </row>
    <row r="54052" spans="8:8">
      <c r="H54052" s="680" t="s">
        <v>6153</v>
      </c>
    </row>
    <row r="54053" spans="8:8">
      <c r="H54053" s="680" t="s">
        <v>6153</v>
      </c>
    </row>
    <row r="54054" spans="8:8">
      <c r="H54054" s="680" t="s">
        <v>6153</v>
      </c>
    </row>
    <row r="54055" spans="8:8">
      <c r="H54055" s="680" t="s">
        <v>6153</v>
      </c>
    </row>
    <row r="54056" spans="8:8">
      <c r="H54056" s="680" t="s">
        <v>6153</v>
      </c>
    </row>
    <row r="54057" spans="8:8">
      <c r="H54057" s="680" t="s">
        <v>6153</v>
      </c>
    </row>
    <row r="54058" spans="8:8">
      <c r="H54058" s="680" t="s">
        <v>6153</v>
      </c>
    </row>
    <row r="54059" spans="8:8">
      <c r="H54059" s="680" t="s">
        <v>6153</v>
      </c>
    </row>
    <row r="54060" spans="8:8">
      <c r="H54060" s="680" t="s">
        <v>6153</v>
      </c>
    </row>
    <row r="54061" spans="8:8">
      <c r="H54061" s="680" t="s">
        <v>6153</v>
      </c>
    </row>
    <row r="54062" spans="8:8">
      <c r="H54062" s="680" t="s">
        <v>6153</v>
      </c>
    </row>
    <row r="54063" spans="8:8">
      <c r="H54063" s="680" t="s">
        <v>6153</v>
      </c>
    </row>
    <row r="54064" spans="8:8">
      <c r="H54064" s="680" t="s">
        <v>6153</v>
      </c>
    </row>
    <row r="54065" spans="8:8">
      <c r="H54065" s="680" t="s">
        <v>6153</v>
      </c>
    </row>
    <row r="54066" spans="8:8">
      <c r="H54066" s="680" t="s">
        <v>6153</v>
      </c>
    </row>
    <row r="54067" spans="8:8">
      <c r="H54067" s="680" t="s">
        <v>6153</v>
      </c>
    </row>
    <row r="54068" spans="8:8">
      <c r="H54068" s="680" t="s">
        <v>6153</v>
      </c>
    </row>
    <row r="54069" spans="8:8">
      <c r="H54069" s="680" t="s">
        <v>6153</v>
      </c>
    </row>
    <row r="54070" spans="8:8">
      <c r="H54070" s="680" t="s">
        <v>6153</v>
      </c>
    </row>
    <row r="54071" spans="8:8">
      <c r="H54071" s="680" t="s">
        <v>6153</v>
      </c>
    </row>
    <row r="54072" spans="8:8">
      <c r="H54072" s="680" t="s">
        <v>6153</v>
      </c>
    </row>
    <row r="54073" spans="8:8">
      <c r="H54073" s="680" t="s">
        <v>6153</v>
      </c>
    </row>
    <row r="54074" spans="8:8">
      <c r="H54074" s="680" t="s">
        <v>6153</v>
      </c>
    </row>
    <row r="54075" spans="8:8">
      <c r="H54075" s="680" t="s">
        <v>6153</v>
      </c>
    </row>
    <row r="54076" spans="8:8">
      <c r="H54076" s="680" t="s">
        <v>6153</v>
      </c>
    </row>
    <row r="54077" spans="8:8">
      <c r="H54077" s="680" t="s">
        <v>6153</v>
      </c>
    </row>
    <row r="54078" spans="8:8">
      <c r="H54078" s="680" t="s">
        <v>6153</v>
      </c>
    </row>
    <row r="54079" spans="8:8">
      <c r="H54079" s="680" t="s">
        <v>6153</v>
      </c>
    </row>
    <row r="54080" spans="8:8">
      <c r="H54080" s="680" t="s">
        <v>6153</v>
      </c>
    </row>
    <row r="54081" spans="8:8">
      <c r="H54081" s="680" t="s">
        <v>6153</v>
      </c>
    </row>
    <row r="54082" spans="8:8">
      <c r="H54082" s="680" t="s">
        <v>6153</v>
      </c>
    </row>
    <row r="54083" spans="8:8">
      <c r="H54083" s="680" t="s">
        <v>6153</v>
      </c>
    </row>
    <row r="54084" spans="8:8">
      <c r="H54084" s="680" t="s">
        <v>6153</v>
      </c>
    </row>
    <row r="54085" spans="8:8">
      <c r="H54085" s="680" t="s">
        <v>6153</v>
      </c>
    </row>
    <row r="54086" spans="8:8">
      <c r="H54086" s="680" t="s">
        <v>6153</v>
      </c>
    </row>
    <row r="54087" spans="8:8">
      <c r="H54087" s="680" t="s">
        <v>6153</v>
      </c>
    </row>
    <row r="54088" spans="8:8">
      <c r="H54088" s="680" t="s">
        <v>6153</v>
      </c>
    </row>
    <row r="54089" spans="8:8">
      <c r="H54089" s="680" t="s">
        <v>6153</v>
      </c>
    </row>
    <row r="54090" spans="8:8">
      <c r="H54090" s="680" t="s">
        <v>6153</v>
      </c>
    </row>
    <row r="54091" spans="8:8">
      <c r="H54091" s="680" t="s">
        <v>6153</v>
      </c>
    </row>
    <row r="54092" spans="8:8">
      <c r="H54092" s="680" t="s">
        <v>6153</v>
      </c>
    </row>
    <row r="54093" spans="8:8">
      <c r="H54093" s="680" t="s">
        <v>6153</v>
      </c>
    </row>
    <row r="54094" spans="8:8">
      <c r="H54094" s="680" t="s">
        <v>6153</v>
      </c>
    </row>
    <row r="54095" spans="8:8">
      <c r="H54095" s="680" t="s">
        <v>6153</v>
      </c>
    </row>
    <row r="54096" spans="8:8">
      <c r="H54096" s="680" t="s">
        <v>6153</v>
      </c>
    </row>
    <row r="54097" spans="8:8">
      <c r="H54097" s="680" t="s">
        <v>6153</v>
      </c>
    </row>
    <row r="54098" spans="8:8">
      <c r="H54098" s="680" t="s">
        <v>6153</v>
      </c>
    </row>
    <row r="54099" spans="8:8">
      <c r="H54099" s="680" t="s">
        <v>6153</v>
      </c>
    </row>
    <row r="54100" spans="8:8">
      <c r="H54100" s="680" t="s">
        <v>6153</v>
      </c>
    </row>
    <row r="54101" spans="8:8">
      <c r="H54101" s="680" t="s">
        <v>6153</v>
      </c>
    </row>
    <row r="54102" spans="8:8">
      <c r="H54102" s="680" t="s">
        <v>6153</v>
      </c>
    </row>
    <row r="54103" spans="8:8">
      <c r="H54103" s="680" t="s">
        <v>6153</v>
      </c>
    </row>
    <row r="54104" spans="8:8">
      <c r="H54104" s="680" t="s">
        <v>6153</v>
      </c>
    </row>
    <row r="54105" spans="8:8">
      <c r="H54105" s="680" t="s">
        <v>6153</v>
      </c>
    </row>
    <row r="54106" spans="8:8">
      <c r="H54106" s="680" t="s">
        <v>6153</v>
      </c>
    </row>
    <row r="54107" spans="8:8">
      <c r="H54107" s="680" t="s">
        <v>6153</v>
      </c>
    </row>
    <row r="54108" spans="8:8">
      <c r="H54108" s="680" t="s">
        <v>6153</v>
      </c>
    </row>
    <row r="54109" spans="8:8">
      <c r="H54109" s="680" t="s">
        <v>6153</v>
      </c>
    </row>
    <row r="54110" spans="8:8">
      <c r="H54110" s="680" t="s">
        <v>6153</v>
      </c>
    </row>
    <row r="54111" spans="8:8">
      <c r="H54111" s="680" t="s">
        <v>6153</v>
      </c>
    </row>
    <row r="54112" spans="8:8">
      <c r="H54112" s="680" t="s">
        <v>6153</v>
      </c>
    </row>
    <row r="54113" spans="8:8">
      <c r="H54113" s="680" t="s">
        <v>6153</v>
      </c>
    </row>
    <row r="54114" spans="8:8">
      <c r="H54114" s="680" t="s">
        <v>6153</v>
      </c>
    </row>
    <row r="54115" spans="8:8">
      <c r="H54115" s="680" t="s">
        <v>6153</v>
      </c>
    </row>
    <row r="54116" spans="8:8">
      <c r="H54116" s="680" t="s">
        <v>6153</v>
      </c>
    </row>
    <row r="54117" spans="8:8">
      <c r="H54117" s="680" t="s">
        <v>6153</v>
      </c>
    </row>
    <row r="54118" spans="8:8">
      <c r="H54118" s="680" t="s">
        <v>6153</v>
      </c>
    </row>
    <row r="54119" spans="8:8">
      <c r="H54119" s="680" t="s">
        <v>6153</v>
      </c>
    </row>
    <row r="54120" spans="8:8">
      <c r="H54120" s="680" t="s">
        <v>6153</v>
      </c>
    </row>
    <row r="54121" spans="8:8">
      <c r="H54121" s="680" t="s">
        <v>6153</v>
      </c>
    </row>
    <row r="54122" spans="8:8">
      <c r="H54122" s="680" t="s">
        <v>6153</v>
      </c>
    </row>
    <row r="54123" spans="8:8">
      <c r="H54123" s="680" t="s">
        <v>6153</v>
      </c>
    </row>
    <row r="54124" spans="8:8">
      <c r="H54124" s="680" t="s">
        <v>6153</v>
      </c>
    </row>
    <row r="54125" spans="8:8">
      <c r="H54125" s="680" t="s">
        <v>6153</v>
      </c>
    </row>
    <row r="54126" spans="8:8">
      <c r="H54126" s="680" t="s">
        <v>6153</v>
      </c>
    </row>
    <row r="54127" spans="8:8">
      <c r="H54127" s="680" t="s">
        <v>6153</v>
      </c>
    </row>
    <row r="54128" spans="8:8">
      <c r="H54128" s="680" t="s">
        <v>6153</v>
      </c>
    </row>
    <row r="54129" spans="8:8">
      <c r="H54129" s="680" t="s">
        <v>6153</v>
      </c>
    </row>
    <row r="54130" spans="8:8">
      <c r="H54130" s="680" t="s">
        <v>6153</v>
      </c>
    </row>
    <row r="54131" spans="8:8">
      <c r="H54131" s="680" t="s">
        <v>6153</v>
      </c>
    </row>
    <row r="54132" spans="8:8">
      <c r="H54132" s="680" t="s">
        <v>6153</v>
      </c>
    </row>
    <row r="54133" spans="8:8">
      <c r="H54133" s="680" t="s">
        <v>6153</v>
      </c>
    </row>
    <row r="54134" spans="8:8">
      <c r="H54134" s="680" t="s">
        <v>6153</v>
      </c>
    </row>
    <row r="54135" spans="8:8">
      <c r="H54135" s="680" t="s">
        <v>6153</v>
      </c>
    </row>
    <row r="54136" spans="8:8">
      <c r="H54136" s="680" t="s">
        <v>6153</v>
      </c>
    </row>
    <row r="54137" spans="8:8">
      <c r="H54137" s="680" t="s">
        <v>6153</v>
      </c>
    </row>
    <row r="54138" spans="8:8">
      <c r="H54138" s="680" t="s">
        <v>6153</v>
      </c>
    </row>
    <row r="54139" spans="8:8">
      <c r="H54139" s="680" t="s">
        <v>6153</v>
      </c>
    </row>
    <row r="54140" spans="8:8">
      <c r="H54140" s="680" t="s">
        <v>6153</v>
      </c>
    </row>
    <row r="54141" spans="8:8">
      <c r="H54141" s="680" t="s">
        <v>6153</v>
      </c>
    </row>
    <row r="54142" spans="8:8">
      <c r="H54142" s="680" t="s">
        <v>6153</v>
      </c>
    </row>
    <row r="54143" spans="8:8">
      <c r="H54143" s="680" t="s">
        <v>6153</v>
      </c>
    </row>
    <row r="54144" spans="8:8">
      <c r="H54144" s="680" t="s">
        <v>6153</v>
      </c>
    </row>
    <row r="54145" spans="8:8">
      <c r="H54145" s="680" t="s">
        <v>6153</v>
      </c>
    </row>
    <row r="54146" spans="8:8">
      <c r="H54146" s="680" t="s">
        <v>6153</v>
      </c>
    </row>
    <row r="54147" spans="8:8">
      <c r="H54147" s="680" t="s">
        <v>6153</v>
      </c>
    </row>
    <row r="54148" spans="8:8">
      <c r="H54148" s="680" t="s">
        <v>6153</v>
      </c>
    </row>
    <row r="54149" spans="8:8">
      <c r="H54149" s="680" t="s">
        <v>6153</v>
      </c>
    </row>
    <row r="54150" spans="8:8">
      <c r="H54150" s="680" t="s">
        <v>6153</v>
      </c>
    </row>
    <row r="54151" spans="8:8">
      <c r="H54151" s="680" t="s">
        <v>6153</v>
      </c>
    </row>
    <row r="54152" spans="8:8">
      <c r="H54152" s="680" t="s">
        <v>6153</v>
      </c>
    </row>
    <row r="54153" spans="8:8">
      <c r="H54153" s="680" t="s">
        <v>6153</v>
      </c>
    </row>
    <row r="54154" spans="8:8">
      <c r="H54154" s="680" t="s">
        <v>6153</v>
      </c>
    </row>
    <row r="54155" spans="8:8">
      <c r="H54155" s="680" t="s">
        <v>6153</v>
      </c>
    </row>
    <row r="54156" spans="8:8">
      <c r="H54156" s="680" t="s">
        <v>6153</v>
      </c>
    </row>
    <row r="54157" spans="8:8">
      <c r="H54157" s="680" t="s">
        <v>6153</v>
      </c>
    </row>
    <row r="54158" spans="8:8">
      <c r="H54158" s="680" t="s">
        <v>6153</v>
      </c>
    </row>
    <row r="54159" spans="8:8">
      <c r="H54159" s="680" t="s">
        <v>6153</v>
      </c>
    </row>
    <row r="54160" spans="8:8">
      <c r="H54160" s="680" t="s">
        <v>6153</v>
      </c>
    </row>
    <row r="54161" spans="8:8">
      <c r="H54161" s="680" t="s">
        <v>6153</v>
      </c>
    </row>
    <row r="54162" spans="8:8">
      <c r="H54162" s="680" t="s">
        <v>6153</v>
      </c>
    </row>
    <row r="54163" spans="8:8">
      <c r="H54163" s="680" t="s">
        <v>6153</v>
      </c>
    </row>
    <row r="54164" spans="8:8">
      <c r="H54164" s="680" t="s">
        <v>6153</v>
      </c>
    </row>
    <row r="54165" spans="8:8">
      <c r="H54165" s="680" t="s">
        <v>6153</v>
      </c>
    </row>
    <row r="54166" spans="8:8">
      <c r="H54166" s="680" t="s">
        <v>6153</v>
      </c>
    </row>
    <row r="54167" spans="8:8">
      <c r="H54167" s="680" t="s">
        <v>6153</v>
      </c>
    </row>
    <row r="54168" spans="8:8">
      <c r="H54168" s="680" t="s">
        <v>6153</v>
      </c>
    </row>
    <row r="54169" spans="8:8">
      <c r="H54169" s="680" t="s">
        <v>6153</v>
      </c>
    </row>
    <row r="54170" spans="8:8">
      <c r="H54170" s="680" t="s">
        <v>6153</v>
      </c>
    </row>
    <row r="54171" spans="8:8">
      <c r="H54171" s="680" t="s">
        <v>6153</v>
      </c>
    </row>
    <row r="54172" spans="8:8">
      <c r="H54172" s="680" t="s">
        <v>6153</v>
      </c>
    </row>
    <row r="54173" spans="8:8">
      <c r="H54173" s="680" t="s">
        <v>6153</v>
      </c>
    </row>
    <row r="54174" spans="8:8">
      <c r="H54174" s="680" t="s">
        <v>6153</v>
      </c>
    </row>
    <row r="54175" spans="8:8">
      <c r="H54175" s="680" t="s">
        <v>6153</v>
      </c>
    </row>
    <row r="54176" spans="8:8">
      <c r="H54176" s="680" t="s">
        <v>6153</v>
      </c>
    </row>
    <row r="54177" spans="8:8">
      <c r="H54177" s="680" t="s">
        <v>6153</v>
      </c>
    </row>
    <row r="54178" spans="8:8">
      <c r="H54178" s="680" t="s">
        <v>6153</v>
      </c>
    </row>
    <row r="54179" spans="8:8">
      <c r="H54179" s="680" t="s">
        <v>6153</v>
      </c>
    </row>
    <row r="54180" spans="8:8">
      <c r="H54180" s="680" t="s">
        <v>6153</v>
      </c>
    </row>
    <row r="54181" spans="8:8">
      <c r="H54181" s="680" t="s">
        <v>6153</v>
      </c>
    </row>
    <row r="54182" spans="8:8">
      <c r="H54182" s="680" t="s">
        <v>6153</v>
      </c>
    </row>
    <row r="54183" spans="8:8">
      <c r="H54183" s="680" t="s">
        <v>6153</v>
      </c>
    </row>
    <row r="54184" spans="8:8">
      <c r="H54184" s="680" t="s">
        <v>6153</v>
      </c>
    </row>
    <row r="54185" spans="8:8">
      <c r="H54185" s="680" t="s">
        <v>6153</v>
      </c>
    </row>
    <row r="54186" spans="8:8">
      <c r="H54186" s="680" t="s">
        <v>6153</v>
      </c>
    </row>
    <row r="54187" spans="8:8">
      <c r="H54187" s="680" t="s">
        <v>6153</v>
      </c>
    </row>
    <row r="54188" spans="8:8">
      <c r="H54188" s="680" t="s">
        <v>6153</v>
      </c>
    </row>
    <row r="54189" spans="8:8">
      <c r="H54189" s="680" t="s">
        <v>6153</v>
      </c>
    </row>
    <row r="54190" spans="8:8">
      <c r="H54190" s="680" t="s">
        <v>6153</v>
      </c>
    </row>
    <row r="54191" spans="8:8">
      <c r="H54191" s="680" t="s">
        <v>6153</v>
      </c>
    </row>
    <row r="54192" spans="8:8">
      <c r="H54192" s="680" t="s">
        <v>6153</v>
      </c>
    </row>
    <row r="54193" spans="8:8">
      <c r="H54193" s="680" t="s">
        <v>6153</v>
      </c>
    </row>
    <row r="54194" spans="8:8">
      <c r="H54194" s="680" t="s">
        <v>6153</v>
      </c>
    </row>
    <row r="54195" spans="8:8">
      <c r="H54195" s="680" t="s">
        <v>6153</v>
      </c>
    </row>
    <row r="54196" spans="8:8">
      <c r="H54196" s="680" t="s">
        <v>6153</v>
      </c>
    </row>
    <row r="54197" spans="8:8">
      <c r="H54197" s="680" t="s">
        <v>6153</v>
      </c>
    </row>
    <row r="54198" spans="8:8">
      <c r="H54198" s="680" t="s">
        <v>6153</v>
      </c>
    </row>
    <row r="54199" spans="8:8">
      <c r="H54199" s="680" t="s">
        <v>6153</v>
      </c>
    </row>
    <row r="54200" spans="8:8">
      <c r="H54200" s="680" t="s">
        <v>6153</v>
      </c>
    </row>
    <row r="54201" spans="8:8">
      <c r="H54201" s="680" t="s">
        <v>6153</v>
      </c>
    </row>
    <row r="54202" spans="8:8">
      <c r="H54202" s="680" t="s">
        <v>6153</v>
      </c>
    </row>
    <row r="54203" spans="8:8">
      <c r="H54203" s="680" t="s">
        <v>6153</v>
      </c>
    </row>
    <row r="54204" spans="8:8">
      <c r="H54204" s="680" t="s">
        <v>6153</v>
      </c>
    </row>
    <row r="54205" spans="8:8">
      <c r="H54205" s="680" t="s">
        <v>6153</v>
      </c>
    </row>
    <row r="54206" spans="8:8">
      <c r="H54206" s="680" t="s">
        <v>6153</v>
      </c>
    </row>
    <row r="54207" spans="8:8">
      <c r="H54207" s="680" t="s">
        <v>6153</v>
      </c>
    </row>
    <row r="54208" spans="8:8">
      <c r="H54208" s="680" t="s">
        <v>6153</v>
      </c>
    </row>
    <row r="54209" spans="8:8">
      <c r="H54209" s="680" t="s">
        <v>6153</v>
      </c>
    </row>
    <row r="54210" spans="8:8">
      <c r="H54210" s="680" t="s">
        <v>6153</v>
      </c>
    </row>
    <row r="54211" spans="8:8">
      <c r="H54211" s="680" t="s">
        <v>6153</v>
      </c>
    </row>
    <row r="54212" spans="8:8">
      <c r="H54212" s="680" t="s">
        <v>6153</v>
      </c>
    </row>
    <row r="54213" spans="8:8">
      <c r="H54213" s="680" t="s">
        <v>6153</v>
      </c>
    </row>
    <row r="54214" spans="8:8">
      <c r="H54214" s="680" t="s">
        <v>6153</v>
      </c>
    </row>
    <row r="54215" spans="8:8">
      <c r="H54215" s="680" t="s">
        <v>6153</v>
      </c>
    </row>
    <row r="54216" spans="8:8">
      <c r="H54216" s="680" t="s">
        <v>6153</v>
      </c>
    </row>
    <row r="54217" spans="8:8">
      <c r="H54217" s="680" t="s">
        <v>6153</v>
      </c>
    </row>
    <row r="54218" spans="8:8">
      <c r="H54218" s="680" t="s">
        <v>6153</v>
      </c>
    </row>
    <row r="54219" spans="8:8">
      <c r="H54219" s="680" t="s">
        <v>6153</v>
      </c>
    </row>
    <row r="54220" spans="8:8">
      <c r="H54220" s="680" t="s">
        <v>6153</v>
      </c>
    </row>
    <row r="54221" spans="8:8">
      <c r="H54221" s="680" t="s">
        <v>6153</v>
      </c>
    </row>
    <row r="54222" spans="8:8">
      <c r="H54222" s="680" t="s">
        <v>6153</v>
      </c>
    </row>
    <row r="54223" spans="8:8">
      <c r="H54223" s="680" t="s">
        <v>6153</v>
      </c>
    </row>
    <row r="54224" spans="8:8">
      <c r="H54224" s="680" t="s">
        <v>6153</v>
      </c>
    </row>
    <row r="54225" spans="8:8">
      <c r="H54225" s="680" t="s">
        <v>6153</v>
      </c>
    </row>
    <row r="54226" spans="8:8">
      <c r="H54226" s="680" t="s">
        <v>6153</v>
      </c>
    </row>
    <row r="54227" spans="8:8">
      <c r="H54227" s="680" t="s">
        <v>6153</v>
      </c>
    </row>
    <row r="54228" spans="8:8">
      <c r="H54228" s="680" t="s">
        <v>6153</v>
      </c>
    </row>
    <row r="54229" spans="8:8">
      <c r="H54229" s="680" t="s">
        <v>6153</v>
      </c>
    </row>
    <row r="54230" spans="8:8">
      <c r="H54230" s="680" t="s">
        <v>6153</v>
      </c>
    </row>
    <row r="54231" spans="8:8">
      <c r="H54231" s="680" t="s">
        <v>6153</v>
      </c>
    </row>
    <row r="54232" spans="8:8">
      <c r="H54232" s="680" t="s">
        <v>6153</v>
      </c>
    </row>
    <row r="54233" spans="8:8">
      <c r="H54233" s="680" t="s">
        <v>6153</v>
      </c>
    </row>
    <row r="54234" spans="8:8">
      <c r="H54234" s="680" t="s">
        <v>6153</v>
      </c>
    </row>
    <row r="54235" spans="8:8">
      <c r="H54235" s="680" t="s">
        <v>6153</v>
      </c>
    </row>
    <row r="54236" spans="8:8">
      <c r="H54236" s="680" t="s">
        <v>6153</v>
      </c>
    </row>
    <row r="54237" spans="8:8">
      <c r="H54237" s="680" t="s">
        <v>6153</v>
      </c>
    </row>
    <row r="54238" spans="8:8">
      <c r="H54238" s="680" t="s">
        <v>6153</v>
      </c>
    </row>
    <row r="54239" spans="8:8">
      <c r="H54239" s="680" t="s">
        <v>6153</v>
      </c>
    </row>
    <row r="54240" spans="8:8">
      <c r="H54240" s="680" t="s">
        <v>6153</v>
      </c>
    </row>
    <row r="54241" spans="8:8">
      <c r="H54241" s="680" t="s">
        <v>6153</v>
      </c>
    </row>
    <row r="54242" spans="8:8">
      <c r="H54242" s="680" t="s">
        <v>6153</v>
      </c>
    </row>
    <row r="54243" spans="8:8">
      <c r="H54243" s="680" t="s">
        <v>6153</v>
      </c>
    </row>
    <row r="54244" spans="8:8">
      <c r="H54244" s="680" t="s">
        <v>6153</v>
      </c>
    </row>
    <row r="54245" spans="8:8">
      <c r="H54245" s="680" t="s">
        <v>6153</v>
      </c>
    </row>
    <row r="54246" spans="8:8">
      <c r="H54246" s="680" t="s">
        <v>6153</v>
      </c>
    </row>
    <row r="54247" spans="8:8">
      <c r="H54247" s="680" t="s">
        <v>6153</v>
      </c>
    </row>
    <row r="54248" spans="8:8">
      <c r="H54248" s="680" t="s">
        <v>6153</v>
      </c>
    </row>
    <row r="54249" spans="8:8">
      <c r="H54249" s="680" t="s">
        <v>6153</v>
      </c>
    </row>
    <row r="54250" spans="8:8">
      <c r="H54250" s="680" t="s">
        <v>6153</v>
      </c>
    </row>
    <row r="54251" spans="8:8">
      <c r="H54251" s="680" t="s">
        <v>6153</v>
      </c>
    </row>
    <row r="54252" spans="8:8">
      <c r="H54252" s="680" t="s">
        <v>6153</v>
      </c>
    </row>
    <row r="54253" spans="8:8">
      <c r="H54253" s="680" t="s">
        <v>6153</v>
      </c>
    </row>
    <row r="54254" spans="8:8">
      <c r="H54254" s="680" t="s">
        <v>6153</v>
      </c>
    </row>
    <row r="54255" spans="8:8">
      <c r="H54255" s="680" t="s">
        <v>6153</v>
      </c>
    </row>
    <row r="54256" spans="8:8">
      <c r="H54256" s="680" t="s">
        <v>6153</v>
      </c>
    </row>
    <row r="54257" spans="8:8">
      <c r="H54257" s="680" t="s">
        <v>6153</v>
      </c>
    </row>
    <row r="54258" spans="8:8">
      <c r="H54258" s="680" t="s">
        <v>6153</v>
      </c>
    </row>
    <row r="54259" spans="8:8">
      <c r="H54259" s="680" t="s">
        <v>6153</v>
      </c>
    </row>
    <row r="54260" spans="8:8">
      <c r="H54260" s="680" t="s">
        <v>6153</v>
      </c>
    </row>
    <row r="54261" spans="8:8">
      <c r="H54261" s="680" t="s">
        <v>6153</v>
      </c>
    </row>
    <row r="54262" spans="8:8">
      <c r="H54262" s="680" t="s">
        <v>6153</v>
      </c>
    </row>
    <row r="54263" spans="8:8">
      <c r="H54263" s="680" t="s">
        <v>6153</v>
      </c>
    </row>
    <row r="54264" spans="8:8">
      <c r="H54264" s="680" t="s">
        <v>6153</v>
      </c>
    </row>
    <row r="54265" spans="8:8">
      <c r="H54265" s="680" t="s">
        <v>6153</v>
      </c>
    </row>
    <row r="54266" spans="8:8">
      <c r="H54266" s="680" t="s">
        <v>6153</v>
      </c>
    </row>
    <row r="54267" spans="8:8">
      <c r="H54267" s="680" t="s">
        <v>6153</v>
      </c>
    </row>
    <row r="54268" spans="8:8">
      <c r="H54268" s="680" t="s">
        <v>6153</v>
      </c>
    </row>
    <row r="54269" spans="8:8">
      <c r="H54269" s="680" t="s">
        <v>6153</v>
      </c>
    </row>
    <row r="54270" spans="8:8">
      <c r="H54270" s="680" t="s">
        <v>6153</v>
      </c>
    </row>
    <row r="54271" spans="8:8">
      <c r="H54271" s="680" t="s">
        <v>6153</v>
      </c>
    </row>
    <row r="54272" spans="8:8">
      <c r="H54272" s="680" t="s">
        <v>6153</v>
      </c>
    </row>
    <row r="54273" spans="8:8">
      <c r="H54273" s="680" t="s">
        <v>6153</v>
      </c>
    </row>
    <row r="54274" spans="8:8">
      <c r="H54274" s="680" t="s">
        <v>6153</v>
      </c>
    </row>
    <row r="54275" spans="8:8">
      <c r="H54275" s="680" t="s">
        <v>6153</v>
      </c>
    </row>
    <row r="54276" spans="8:8">
      <c r="H54276" s="680" t="s">
        <v>6153</v>
      </c>
    </row>
    <row r="54277" spans="8:8">
      <c r="H54277" s="680" t="s">
        <v>6153</v>
      </c>
    </row>
    <row r="54278" spans="8:8">
      <c r="H54278" s="680" t="s">
        <v>6153</v>
      </c>
    </row>
    <row r="54279" spans="8:8">
      <c r="H54279" s="680" t="s">
        <v>6153</v>
      </c>
    </row>
    <row r="54280" spans="8:8">
      <c r="H54280" s="680" t="s">
        <v>6153</v>
      </c>
    </row>
    <row r="54281" spans="8:8">
      <c r="H54281" s="680" t="s">
        <v>6153</v>
      </c>
    </row>
    <row r="54282" spans="8:8">
      <c r="H54282" s="680" t="s">
        <v>6153</v>
      </c>
    </row>
    <row r="54283" spans="8:8">
      <c r="H54283" s="680" t="s">
        <v>6153</v>
      </c>
    </row>
    <row r="54284" spans="8:8">
      <c r="H54284" s="680" t="s">
        <v>6153</v>
      </c>
    </row>
    <row r="54285" spans="8:8">
      <c r="H54285" s="680" t="s">
        <v>6153</v>
      </c>
    </row>
    <row r="54286" spans="8:8">
      <c r="H54286" s="680" t="s">
        <v>6153</v>
      </c>
    </row>
    <row r="54287" spans="8:8">
      <c r="H54287" s="680" t="s">
        <v>6153</v>
      </c>
    </row>
    <row r="54288" spans="8:8">
      <c r="H54288" s="680" t="s">
        <v>6153</v>
      </c>
    </row>
    <row r="54289" spans="8:8">
      <c r="H54289" s="680" t="s">
        <v>6153</v>
      </c>
    </row>
    <row r="54290" spans="8:8">
      <c r="H54290" s="680" t="s">
        <v>6153</v>
      </c>
    </row>
    <row r="54291" spans="8:8">
      <c r="H54291" s="680" t="s">
        <v>6153</v>
      </c>
    </row>
    <row r="54292" spans="8:8">
      <c r="H54292" s="680" t="s">
        <v>6153</v>
      </c>
    </row>
    <row r="54293" spans="8:8">
      <c r="H54293" s="680" t="s">
        <v>6153</v>
      </c>
    </row>
    <row r="54294" spans="8:8">
      <c r="H54294" s="680" t="s">
        <v>6153</v>
      </c>
    </row>
    <row r="54295" spans="8:8">
      <c r="H54295" s="680" t="s">
        <v>6153</v>
      </c>
    </row>
    <row r="54296" spans="8:8">
      <c r="H54296" s="680" t="s">
        <v>6153</v>
      </c>
    </row>
    <row r="54297" spans="8:8">
      <c r="H54297" s="680" t="s">
        <v>6153</v>
      </c>
    </row>
    <row r="54298" spans="8:8">
      <c r="H54298" s="680" t="s">
        <v>6153</v>
      </c>
    </row>
    <row r="54299" spans="8:8">
      <c r="H54299" s="680" t="s">
        <v>6153</v>
      </c>
    </row>
    <row r="54300" spans="8:8">
      <c r="H54300" s="680" t="s">
        <v>6153</v>
      </c>
    </row>
    <row r="54301" spans="8:8">
      <c r="H54301" s="680" t="s">
        <v>6153</v>
      </c>
    </row>
    <row r="54302" spans="8:8">
      <c r="H54302" s="680" t="s">
        <v>6153</v>
      </c>
    </row>
    <row r="54303" spans="8:8">
      <c r="H54303" s="680" t="s">
        <v>6153</v>
      </c>
    </row>
    <row r="54304" spans="8:8">
      <c r="H54304" s="680" t="s">
        <v>6153</v>
      </c>
    </row>
    <row r="54305" spans="8:8">
      <c r="H54305" s="680" t="s">
        <v>6153</v>
      </c>
    </row>
    <row r="54306" spans="8:8">
      <c r="H54306" s="680" t="s">
        <v>6153</v>
      </c>
    </row>
    <row r="54307" spans="8:8">
      <c r="H54307" s="680" t="s">
        <v>6153</v>
      </c>
    </row>
    <row r="54308" spans="8:8">
      <c r="H54308" s="680" t="s">
        <v>6153</v>
      </c>
    </row>
    <row r="54309" spans="8:8">
      <c r="H54309" s="680" t="s">
        <v>6153</v>
      </c>
    </row>
    <row r="54310" spans="8:8">
      <c r="H54310" s="680" t="s">
        <v>6153</v>
      </c>
    </row>
    <row r="54311" spans="8:8">
      <c r="H54311" s="680" t="s">
        <v>6153</v>
      </c>
    </row>
    <row r="54312" spans="8:8">
      <c r="H54312" s="680" t="s">
        <v>6153</v>
      </c>
    </row>
    <row r="54313" spans="8:8">
      <c r="H54313" s="680" t="s">
        <v>6153</v>
      </c>
    </row>
    <row r="54314" spans="8:8">
      <c r="H54314" s="680" t="s">
        <v>6153</v>
      </c>
    </row>
    <row r="54315" spans="8:8">
      <c r="H54315" s="680" t="s">
        <v>6153</v>
      </c>
    </row>
    <row r="54316" spans="8:8">
      <c r="H54316" s="680" t="s">
        <v>6153</v>
      </c>
    </row>
    <row r="54317" spans="8:8">
      <c r="H54317" s="680" t="s">
        <v>6153</v>
      </c>
    </row>
    <row r="54318" spans="8:8">
      <c r="H54318" s="680" t="s">
        <v>6153</v>
      </c>
    </row>
    <row r="54319" spans="8:8">
      <c r="H54319" s="680" t="s">
        <v>6153</v>
      </c>
    </row>
    <row r="54320" spans="8:8">
      <c r="H54320" s="680" t="s">
        <v>6153</v>
      </c>
    </row>
    <row r="54321" spans="8:8">
      <c r="H54321" s="680" t="s">
        <v>6153</v>
      </c>
    </row>
    <row r="54322" spans="8:8">
      <c r="H54322" s="680" t="s">
        <v>6153</v>
      </c>
    </row>
    <row r="54323" spans="8:8">
      <c r="H54323" s="680" t="s">
        <v>6153</v>
      </c>
    </row>
    <row r="54324" spans="8:8">
      <c r="H54324" s="680" t="s">
        <v>6153</v>
      </c>
    </row>
    <row r="54325" spans="8:8">
      <c r="H54325" s="680" t="s">
        <v>6153</v>
      </c>
    </row>
    <row r="54326" spans="8:8">
      <c r="H54326" s="680" t="s">
        <v>6153</v>
      </c>
    </row>
    <row r="54327" spans="8:8">
      <c r="H54327" s="680" t="s">
        <v>6153</v>
      </c>
    </row>
    <row r="54328" spans="8:8">
      <c r="H54328" s="680" t="s">
        <v>6153</v>
      </c>
    </row>
    <row r="54329" spans="8:8">
      <c r="H54329" s="680" t="s">
        <v>6153</v>
      </c>
    </row>
    <row r="54330" spans="8:8">
      <c r="H54330" s="680" t="s">
        <v>6153</v>
      </c>
    </row>
    <row r="54331" spans="8:8">
      <c r="H54331" s="680" t="s">
        <v>6153</v>
      </c>
    </row>
    <row r="54332" spans="8:8">
      <c r="H54332" s="680" t="s">
        <v>6153</v>
      </c>
    </row>
    <row r="54333" spans="8:8">
      <c r="H54333" s="680" t="s">
        <v>6153</v>
      </c>
    </row>
    <row r="54334" spans="8:8">
      <c r="H54334" s="680" t="s">
        <v>6153</v>
      </c>
    </row>
    <row r="54335" spans="8:8">
      <c r="H54335" s="680" t="s">
        <v>6153</v>
      </c>
    </row>
    <row r="54336" spans="8:8">
      <c r="H54336" s="680" t="s">
        <v>6153</v>
      </c>
    </row>
    <row r="54337" spans="8:8">
      <c r="H54337" s="680" t="s">
        <v>6153</v>
      </c>
    </row>
    <row r="54338" spans="8:8">
      <c r="H54338" s="680" t="s">
        <v>6153</v>
      </c>
    </row>
    <row r="54339" spans="8:8">
      <c r="H54339" s="680" t="s">
        <v>6153</v>
      </c>
    </row>
    <row r="54340" spans="8:8">
      <c r="H54340" s="680" t="s">
        <v>6153</v>
      </c>
    </row>
    <row r="54341" spans="8:8">
      <c r="H54341" s="680" t="s">
        <v>6153</v>
      </c>
    </row>
    <row r="54342" spans="8:8">
      <c r="H54342" s="680" t="s">
        <v>6153</v>
      </c>
    </row>
    <row r="54343" spans="8:8">
      <c r="H54343" s="680" t="s">
        <v>6153</v>
      </c>
    </row>
    <row r="54344" spans="8:8">
      <c r="H54344" s="680" t="s">
        <v>6153</v>
      </c>
    </row>
    <row r="54345" spans="8:8">
      <c r="H54345" s="680" t="s">
        <v>6153</v>
      </c>
    </row>
    <row r="54346" spans="8:8">
      <c r="H54346" s="680" t="s">
        <v>6153</v>
      </c>
    </row>
    <row r="54347" spans="8:8">
      <c r="H54347" s="680" t="s">
        <v>6153</v>
      </c>
    </row>
    <row r="54348" spans="8:8">
      <c r="H54348" s="680" t="s">
        <v>6153</v>
      </c>
    </row>
    <row r="54349" spans="8:8">
      <c r="H54349" s="680" t="s">
        <v>6153</v>
      </c>
    </row>
    <row r="54350" spans="8:8">
      <c r="H54350" s="680" t="s">
        <v>6153</v>
      </c>
    </row>
    <row r="54351" spans="8:8">
      <c r="H54351" s="680" t="s">
        <v>6153</v>
      </c>
    </row>
    <row r="54352" spans="8:8">
      <c r="H54352" s="680" t="s">
        <v>6153</v>
      </c>
    </row>
    <row r="54353" spans="8:8">
      <c r="H54353" s="680" t="s">
        <v>6153</v>
      </c>
    </row>
    <row r="54354" spans="8:8">
      <c r="H54354" s="680" t="s">
        <v>6153</v>
      </c>
    </row>
    <row r="54355" spans="8:8">
      <c r="H54355" s="680" t="s">
        <v>6153</v>
      </c>
    </row>
    <row r="54356" spans="8:8">
      <c r="H54356" s="680" t="s">
        <v>6153</v>
      </c>
    </row>
    <row r="54357" spans="8:8">
      <c r="H54357" s="680" t="s">
        <v>6153</v>
      </c>
    </row>
    <row r="54358" spans="8:8">
      <c r="H54358" s="680" t="s">
        <v>6153</v>
      </c>
    </row>
    <row r="54359" spans="8:8">
      <c r="H54359" s="680" t="s">
        <v>6153</v>
      </c>
    </row>
    <row r="54360" spans="8:8">
      <c r="H54360" s="680" t="s">
        <v>6153</v>
      </c>
    </row>
    <row r="54361" spans="8:8">
      <c r="H54361" s="680" t="s">
        <v>6153</v>
      </c>
    </row>
    <row r="54362" spans="8:8">
      <c r="H54362" s="680" t="s">
        <v>6153</v>
      </c>
    </row>
    <row r="54363" spans="8:8">
      <c r="H54363" s="680" t="s">
        <v>6153</v>
      </c>
    </row>
    <row r="54364" spans="8:8">
      <c r="H54364" s="680" t="s">
        <v>6153</v>
      </c>
    </row>
    <row r="54365" spans="8:8">
      <c r="H54365" s="680" t="s">
        <v>6153</v>
      </c>
    </row>
    <row r="54366" spans="8:8">
      <c r="H54366" s="680" t="s">
        <v>6153</v>
      </c>
    </row>
    <row r="54367" spans="8:8">
      <c r="H54367" s="680" t="s">
        <v>6153</v>
      </c>
    </row>
    <row r="54368" spans="8:8">
      <c r="H54368" s="680" t="s">
        <v>6153</v>
      </c>
    </row>
    <row r="54369" spans="8:8">
      <c r="H54369" s="680" t="s">
        <v>6153</v>
      </c>
    </row>
    <row r="54370" spans="8:8">
      <c r="H54370" s="680" t="s">
        <v>6153</v>
      </c>
    </row>
    <row r="54371" spans="8:8">
      <c r="H54371" s="680" t="s">
        <v>6153</v>
      </c>
    </row>
    <row r="54372" spans="8:8">
      <c r="H54372" s="680" t="s">
        <v>6153</v>
      </c>
    </row>
    <row r="54373" spans="8:8">
      <c r="H54373" s="680" t="s">
        <v>6153</v>
      </c>
    </row>
    <row r="54374" spans="8:8">
      <c r="H54374" s="680" t="s">
        <v>6153</v>
      </c>
    </row>
    <row r="54375" spans="8:8">
      <c r="H54375" s="680" t="s">
        <v>6153</v>
      </c>
    </row>
    <row r="54376" spans="8:8">
      <c r="H54376" s="680" t="s">
        <v>6153</v>
      </c>
    </row>
    <row r="54377" spans="8:8">
      <c r="H54377" s="680" t="s">
        <v>6153</v>
      </c>
    </row>
    <row r="54378" spans="8:8">
      <c r="H54378" s="680" t="s">
        <v>6153</v>
      </c>
    </row>
    <row r="54379" spans="8:8">
      <c r="H54379" s="680" t="s">
        <v>6153</v>
      </c>
    </row>
    <row r="54380" spans="8:8">
      <c r="H54380" s="680" t="s">
        <v>6153</v>
      </c>
    </row>
    <row r="54381" spans="8:8">
      <c r="H54381" s="680" t="s">
        <v>6153</v>
      </c>
    </row>
    <row r="54382" spans="8:8">
      <c r="H54382" s="680" t="s">
        <v>6153</v>
      </c>
    </row>
    <row r="54383" spans="8:8">
      <c r="H54383" s="680" t="s">
        <v>6153</v>
      </c>
    </row>
    <row r="54384" spans="8:8">
      <c r="H54384" s="680" t="s">
        <v>6153</v>
      </c>
    </row>
    <row r="54385" spans="8:8">
      <c r="H54385" s="680" t="s">
        <v>6153</v>
      </c>
    </row>
    <row r="54386" spans="8:8">
      <c r="H54386" s="680" t="s">
        <v>6153</v>
      </c>
    </row>
    <row r="54387" spans="8:8">
      <c r="H54387" s="680" t="s">
        <v>6153</v>
      </c>
    </row>
    <row r="54388" spans="8:8">
      <c r="H54388" s="680" t="s">
        <v>6153</v>
      </c>
    </row>
    <row r="54389" spans="8:8">
      <c r="H54389" s="680" t="s">
        <v>6153</v>
      </c>
    </row>
    <row r="54390" spans="8:8">
      <c r="H54390" s="680" t="s">
        <v>6153</v>
      </c>
    </row>
    <row r="54391" spans="8:8">
      <c r="H54391" s="680" t="s">
        <v>6153</v>
      </c>
    </row>
    <row r="54392" spans="8:8">
      <c r="H54392" s="680" t="s">
        <v>6153</v>
      </c>
    </row>
    <row r="54393" spans="8:8">
      <c r="H54393" s="680" t="s">
        <v>6153</v>
      </c>
    </row>
    <row r="54394" spans="8:8">
      <c r="H54394" s="680" t="s">
        <v>6153</v>
      </c>
    </row>
    <row r="54395" spans="8:8">
      <c r="H54395" s="680" t="s">
        <v>6153</v>
      </c>
    </row>
    <row r="54396" spans="8:8">
      <c r="H54396" s="680" t="s">
        <v>6153</v>
      </c>
    </row>
    <row r="54397" spans="8:8">
      <c r="H54397" s="680" t="s">
        <v>6153</v>
      </c>
    </row>
    <row r="54398" spans="8:8">
      <c r="H54398" s="680" t="s">
        <v>6153</v>
      </c>
    </row>
    <row r="54399" spans="8:8">
      <c r="H54399" s="680" t="s">
        <v>6153</v>
      </c>
    </row>
    <row r="54400" spans="8:8">
      <c r="H54400" s="680" t="s">
        <v>6153</v>
      </c>
    </row>
    <row r="54401" spans="8:8">
      <c r="H54401" s="680" t="s">
        <v>6153</v>
      </c>
    </row>
    <row r="54402" spans="8:8">
      <c r="H54402" s="680" t="s">
        <v>6153</v>
      </c>
    </row>
    <row r="54403" spans="8:8">
      <c r="H54403" s="680" t="s">
        <v>6153</v>
      </c>
    </row>
    <row r="54404" spans="8:8">
      <c r="H54404" s="680" t="s">
        <v>6153</v>
      </c>
    </row>
    <row r="54405" spans="8:8">
      <c r="H54405" s="680" t="s">
        <v>6153</v>
      </c>
    </row>
    <row r="54406" spans="8:8">
      <c r="H54406" s="680" t="s">
        <v>6153</v>
      </c>
    </row>
    <row r="54407" spans="8:8">
      <c r="H54407" s="680" t="s">
        <v>6153</v>
      </c>
    </row>
    <row r="54408" spans="8:8">
      <c r="H54408" s="680" t="s">
        <v>6153</v>
      </c>
    </row>
    <row r="54409" spans="8:8">
      <c r="H54409" s="680" t="s">
        <v>6153</v>
      </c>
    </row>
    <row r="54410" spans="8:8">
      <c r="H54410" s="680" t="s">
        <v>6153</v>
      </c>
    </row>
    <row r="54411" spans="8:8">
      <c r="H54411" s="680" t="s">
        <v>6153</v>
      </c>
    </row>
    <row r="54412" spans="8:8">
      <c r="H54412" s="680" t="s">
        <v>6153</v>
      </c>
    </row>
    <row r="54413" spans="8:8">
      <c r="H54413" s="680" t="s">
        <v>6153</v>
      </c>
    </row>
    <row r="54414" spans="8:8">
      <c r="H54414" s="680" t="s">
        <v>6153</v>
      </c>
    </row>
    <row r="54415" spans="8:8">
      <c r="H54415" s="680" t="s">
        <v>6153</v>
      </c>
    </row>
    <row r="54416" spans="8:8">
      <c r="H54416" s="680" t="s">
        <v>6153</v>
      </c>
    </row>
    <row r="54417" spans="8:8">
      <c r="H54417" s="680" t="s">
        <v>6153</v>
      </c>
    </row>
    <row r="54418" spans="8:8">
      <c r="H54418" s="680" t="s">
        <v>6153</v>
      </c>
    </row>
    <row r="54419" spans="8:8">
      <c r="H54419" s="680" t="s">
        <v>6153</v>
      </c>
    </row>
    <row r="54420" spans="8:8">
      <c r="H54420" s="680" t="s">
        <v>6153</v>
      </c>
    </row>
    <row r="54421" spans="8:8">
      <c r="H54421" s="680" t="s">
        <v>6153</v>
      </c>
    </row>
    <row r="54422" spans="8:8">
      <c r="H54422" s="680" t="s">
        <v>6153</v>
      </c>
    </row>
    <row r="54423" spans="8:8">
      <c r="H54423" s="680" t="s">
        <v>6153</v>
      </c>
    </row>
    <row r="54424" spans="8:8">
      <c r="H54424" s="680" t="s">
        <v>6153</v>
      </c>
    </row>
    <row r="54425" spans="8:8">
      <c r="H54425" s="680" t="s">
        <v>6153</v>
      </c>
    </row>
    <row r="54426" spans="8:8">
      <c r="H54426" s="680" t="s">
        <v>6153</v>
      </c>
    </row>
    <row r="54427" spans="8:8">
      <c r="H54427" s="680" t="s">
        <v>6153</v>
      </c>
    </row>
    <row r="54428" spans="8:8">
      <c r="H54428" s="680" t="s">
        <v>6153</v>
      </c>
    </row>
    <row r="54429" spans="8:8">
      <c r="H54429" s="680" t="s">
        <v>6153</v>
      </c>
    </row>
    <row r="54430" spans="8:8">
      <c r="H54430" s="680" t="s">
        <v>6153</v>
      </c>
    </row>
    <row r="54431" spans="8:8">
      <c r="H54431" s="680" t="s">
        <v>6153</v>
      </c>
    </row>
    <row r="54432" spans="8:8">
      <c r="H54432" s="680" t="s">
        <v>6153</v>
      </c>
    </row>
    <row r="54433" spans="8:8">
      <c r="H54433" s="680" t="s">
        <v>6153</v>
      </c>
    </row>
    <row r="54434" spans="8:8">
      <c r="H54434" s="680" t="s">
        <v>6153</v>
      </c>
    </row>
    <row r="54435" spans="8:8">
      <c r="H54435" s="680" t="s">
        <v>6153</v>
      </c>
    </row>
    <row r="54436" spans="8:8">
      <c r="H54436" s="680" t="s">
        <v>6153</v>
      </c>
    </row>
    <row r="54437" spans="8:8">
      <c r="H54437" s="680" t="s">
        <v>6153</v>
      </c>
    </row>
    <row r="54438" spans="8:8">
      <c r="H54438" s="680" t="s">
        <v>6153</v>
      </c>
    </row>
    <row r="54439" spans="8:8">
      <c r="H54439" s="680" t="s">
        <v>6153</v>
      </c>
    </row>
    <row r="54440" spans="8:8">
      <c r="H54440" s="680" t="s">
        <v>6153</v>
      </c>
    </row>
    <row r="54441" spans="8:8">
      <c r="H54441" s="680" t="s">
        <v>6153</v>
      </c>
    </row>
    <row r="54442" spans="8:8">
      <c r="H54442" s="680" t="s">
        <v>6153</v>
      </c>
    </row>
    <row r="54443" spans="8:8">
      <c r="H54443" s="680" t="s">
        <v>6153</v>
      </c>
    </row>
    <row r="54444" spans="8:8">
      <c r="H54444" s="680" t="s">
        <v>6153</v>
      </c>
    </row>
    <row r="54445" spans="8:8">
      <c r="H54445" s="680" t="s">
        <v>6153</v>
      </c>
    </row>
    <row r="54446" spans="8:8">
      <c r="H54446" s="680" t="s">
        <v>6153</v>
      </c>
    </row>
    <row r="54447" spans="8:8">
      <c r="H54447" s="680" t="s">
        <v>6153</v>
      </c>
    </row>
    <row r="54448" spans="8:8">
      <c r="H54448" s="680" t="s">
        <v>6153</v>
      </c>
    </row>
    <row r="54449" spans="8:8">
      <c r="H54449" s="680" t="s">
        <v>6153</v>
      </c>
    </row>
    <row r="54450" spans="8:8">
      <c r="H54450" s="680" t="s">
        <v>6153</v>
      </c>
    </row>
    <row r="54451" spans="8:8">
      <c r="H54451" s="680" t="s">
        <v>6153</v>
      </c>
    </row>
    <row r="54452" spans="8:8">
      <c r="H54452" s="680" t="s">
        <v>6153</v>
      </c>
    </row>
    <row r="54453" spans="8:8">
      <c r="H54453" s="680" t="s">
        <v>6153</v>
      </c>
    </row>
    <row r="54454" spans="8:8">
      <c r="H54454" s="680" t="s">
        <v>6153</v>
      </c>
    </row>
    <row r="54455" spans="8:8">
      <c r="H54455" s="680" t="s">
        <v>6153</v>
      </c>
    </row>
    <row r="54456" spans="8:8">
      <c r="H54456" s="680" t="s">
        <v>6153</v>
      </c>
    </row>
    <row r="54457" spans="8:8">
      <c r="H54457" s="680" t="s">
        <v>6153</v>
      </c>
    </row>
    <row r="54458" spans="8:8">
      <c r="H54458" s="680" t="s">
        <v>6153</v>
      </c>
    </row>
    <row r="54459" spans="8:8">
      <c r="H54459" s="680" t="s">
        <v>6153</v>
      </c>
    </row>
    <row r="54460" spans="8:8">
      <c r="H54460" s="680" t="s">
        <v>6153</v>
      </c>
    </row>
    <row r="54461" spans="8:8">
      <c r="H54461" s="680" t="s">
        <v>6153</v>
      </c>
    </row>
    <row r="54462" spans="8:8">
      <c r="H54462" s="680" t="s">
        <v>6153</v>
      </c>
    </row>
    <row r="54463" spans="8:8">
      <c r="H54463" s="680" t="s">
        <v>6153</v>
      </c>
    </row>
    <row r="54464" spans="8:8">
      <c r="H54464" s="680" t="s">
        <v>6153</v>
      </c>
    </row>
    <row r="54465" spans="8:8">
      <c r="H54465" s="680" t="s">
        <v>6153</v>
      </c>
    </row>
    <row r="54466" spans="8:8">
      <c r="H54466" s="680" t="s">
        <v>6153</v>
      </c>
    </row>
    <row r="54467" spans="8:8">
      <c r="H54467" s="680" t="s">
        <v>6153</v>
      </c>
    </row>
    <row r="54468" spans="8:8">
      <c r="H54468" s="680" t="s">
        <v>6153</v>
      </c>
    </row>
    <row r="54469" spans="8:8">
      <c r="H54469" s="680" t="s">
        <v>6153</v>
      </c>
    </row>
    <row r="54470" spans="8:8">
      <c r="H54470" s="680" t="s">
        <v>6153</v>
      </c>
    </row>
    <row r="54471" spans="8:8">
      <c r="H54471" s="680" t="s">
        <v>6153</v>
      </c>
    </row>
    <row r="54472" spans="8:8">
      <c r="H54472" s="680" t="s">
        <v>6153</v>
      </c>
    </row>
    <row r="54473" spans="8:8">
      <c r="H54473" s="680" t="s">
        <v>6153</v>
      </c>
    </row>
    <row r="54474" spans="8:8">
      <c r="H54474" s="680" t="s">
        <v>6153</v>
      </c>
    </row>
    <row r="54475" spans="8:8">
      <c r="H54475" s="680" t="s">
        <v>6153</v>
      </c>
    </row>
    <row r="54476" spans="8:8">
      <c r="H54476" s="680" t="s">
        <v>6153</v>
      </c>
    </row>
    <row r="54477" spans="8:8">
      <c r="H54477" s="680" t="s">
        <v>6153</v>
      </c>
    </row>
    <row r="54478" spans="8:8">
      <c r="H54478" s="680" t="s">
        <v>6153</v>
      </c>
    </row>
    <row r="54479" spans="8:8">
      <c r="H54479" s="680" t="s">
        <v>6153</v>
      </c>
    </row>
    <row r="54480" spans="8:8">
      <c r="H54480" s="680" t="s">
        <v>6153</v>
      </c>
    </row>
    <row r="54481" spans="8:8">
      <c r="H54481" s="680" t="s">
        <v>6153</v>
      </c>
    </row>
    <row r="54482" spans="8:8">
      <c r="H54482" s="680" t="s">
        <v>6153</v>
      </c>
    </row>
    <row r="54483" spans="8:8">
      <c r="H54483" s="680" t="s">
        <v>6153</v>
      </c>
    </row>
    <row r="54484" spans="8:8">
      <c r="H54484" s="680" t="s">
        <v>6153</v>
      </c>
    </row>
    <row r="54485" spans="8:8">
      <c r="H54485" s="680" t="s">
        <v>6153</v>
      </c>
    </row>
    <row r="54486" spans="8:8">
      <c r="H54486" s="680" t="s">
        <v>6153</v>
      </c>
    </row>
    <row r="54487" spans="8:8">
      <c r="H54487" s="680" t="s">
        <v>6153</v>
      </c>
    </row>
    <row r="54488" spans="8:8">
      <c r="H54488" s="680" t="s">
        <v>6153</v>
      </c>
    </row>
    <row r="54489" spans="8:8">
      <c r="H54489" s="680" t="s">
        <v>6153</v>
      </c>
    </row>
    <row r="54490" spans="8:8">
      <c r="H54490" s="680" t="s">
        <v>6153</v>
      </c>
    </row>
    <row r="54491" spans="8:8">
      <c r="H54491" s="680" t="s">
        <v>6153</v>
      </c>
    </row>
    <row r="54492" spans="8:8">
      <c r="H54492" s="680" t="s">
        <v>6153</v>
      </c>
    </row>
    <row r="54493" spans="8:8">
      <c r="H54493" s="680" t="s">
        <v>6153</v>
      </c>
    </row>
    <row r="54494" spans="8:8">
      <c r="H54494" s="680" t="s">
        <v>6153</v>
      </c>
    </row>
    <row r="54495" spans="8:8">
      <c r="H54495" s="680" t="s">
        <v>6153</v>
      </c>
    </row>
    <row r="54496" spans="8:8">
      <c r="H54496" s="680" t="s">
        <v>6153</v>
      </c>
    </row>
    <row r="54497" spans="8:8">
      <c r="H54497" s="680" t="s">
        <v>6153</v>
      </c>
    </row>
    <row r="54498" spans="8:8">
      <c r="H54498" s="680" t="s">
        <v>6153</v>
      </c>
    </row>
    <row r="54499" spans="8:8">
      <c r="H54499" s="680" t="s">
        <v>6153</v>
      </c>
    </row>
    <row r="54500" spans="8:8">
      <c r="H54500" s="680" t="s">
        <v>6153</v>
      </c>
    </row>
    <row r="54501" spans="8:8">
      <c r="H54501" s="680" t="s">
        <v>6153</v>
      </c>
    </row>
    <row r="54502" spans="8:8">
      <c r="H54502" s="680" t="s">
        <v>6153</v>
      </c>
    </row>
    <row r="54503" spans="8:8">
      <c r="H54503" s="680" t="s">
        <v>6153</v>
      </c>
    </row>
    <row r="54504" spans="8:8">
      <c r="H54504" s="680" t="s">
        <v>6153</v>
      </c>
    </row>
    <row r="54505" spans="8:8">
      <c r="H54505" s="680" t="s">
        <v>6153</v>
      </c>
    </row>
    <row r="54506" spans="8:8">
      <c r="H54506" s="680" t="s">
        <v>6153</v>
      </c>
    </row>
    <row r="54507" spans="8:8">
      <c r="H54507" s="680" t="s">
        <v>6153</v>
      </c>
    </row>
    <row r="54508" spans="8:8">
      <c r="H54508" s="680" t="s">
        <v>6153</v>
      </c>
    </row>
    <row r="54509" spans="8:8">
      <c r="H54509" s="680" t="s">
        <v>6153</v>
      </c>
    </row>
    <row r="54510" spans="8:8">
      <c r="H54510" s="680" t="s">
        <v>6153</v>
      </c>
    </row>
    <row r="54511" spans="8:8">
      <c r="H54511" s="680" t="s">
        <v>6153</v>
      </c>
    </row>
    <row r="54512" spans="8:8">
      <c r="H54512" s="680" t="s">
        <v>6153</v>
      </c>
    </row>
    <row r="54513" spans="8:8">
      <c r="H54513" s="680" t="s">
        <v>6153</v>
      </c>
    </row>
    <row r="54514" spans="8:8">
      <c r="H54514" s="680" t="s">
        <v>6153</v>
      </c>
    </row>
    <row r="54515" spans="8:8">
      <c r="H54515" s="680" t="s">
        <v>6153</v>
      </c>
    </row>
    <row r="54516" spans="8:8">
      <c r="H54516" s="680" t="s">
        <v>6153</v>
      </c>
    </row>
    <row r="54517" spans="8:8">
      <c r="H54517" s="680" t="s">
        <v>6153</v>
      </c>
    </row>
    <row r="54518" spans="8:8">
      <c r="H54518" s="680" t="s">
        <v>6153</v>
      </c>
    </row>
    <row r="54519" spans="8:8">
      <c r="H54519" s="680" t="s">
        <v>6153</v>
      </c>
    </row>
    <row r="54520" spans="8:8">
      <c r="H54520" s="680" t="s">
        <v>6153</v>
      </c>
    </row>
    <row r="54521" spans="8:8">
      <c r="H54521" s="680" t="s">
        <v>6153</v>
      </c>
    </row>
    <row r="54522" spans="8:8">
      <c r="H54522" s="680" t="s">
        <v>6153</v>
      </c>
    </row>
    <row r="54523" spans="8:8">
      <c r="H54523" s="680" t="s">
        <v>6153</v>
      </c>
    </row>
    <row r="54524" spans="8:8">
      <c r="H54524" s="680" t="s">
        <v>6153</v>
      </c>
    </row>
    <row r="54525" spans="8:8">
      <c r="H54525" s="680" t="s">
        <v>6153</v>
      </c>
    </row>
    <row r="54526" spans="8:8">
      <c r="H54526" s="680" t="s">
        <v>6153</v>
      </c>
    </row>
    <row r="54527" spans="8:8">
      <c r="H54527" s="680" t="s">
        <v>6153</v>
      </c>
    </row>
    <row r="54528" spans="8:8">
      <c r="H54528" s="680" t="s">
        <v>6153</v>
      </c>
    </row>
    <row r="54529" spans="8:8">
      <c r="H54529" s="680" t="s">
        <v>6153</v>
      </c>
    </row>
    <row r="54530" spans="8:8">
      <c r="H54530" s="680" t="s">
        <v>6153</v>
      </c>
    </row>
    <row r="54531" spans="8:8">
      <c r="H54531" s="680" t="s">
        <v>6153</v>
      </c>
    </row>
    <row r="54532" spans="8:8">
      <c r="H54532" s="680" t="s">
        <v>6153</v>
      </c>
    </row>
    <row r="54533" spans="8:8">
      <c r="H54533" s="680" t="s">
        <v>6153</v>
      </c>
    </row>
    <row r="54534" spans="8:8">
      <c r="H54534" s="680" t="s">
        <v>6153</v>
      </c>
    </row>
    <row r="54535" spans="8:8">
      <c r="H54535" s="680" t="s">
        <v>6153</v>
      </c>
    </row>
    <row r="54536" spans="8:8">
      <c r="H54536" s="680" t="s">
        <v>6153</v>
      </c>
    </row>
    <row r="54537" spans="8:8">
      <c r="H54537" s="680" t="s">
        <v>6153</v>
      </c>
    </row>
    <row r="54538" spans="8:8">
      <c r="H54538" s="680" t="s">
        <v>6153</v>
      </c>
    </row>
    <row r="54539" spans="8:8">
      <c r="H54539" s="680" t="s">
        <v>6153</v>
      </c>
    </row>
    <row r="54540" spans="8:8">
      <c r="H54540" s="680" t="s">
        <v>6153</v>
      </c>
    </row>
    <row r="54541" spans="8:8">
      <c r="H54541" s="680" t="s">
        <v>6153</v>
      </c>
    </row>
    <row r="54542" spans="8:8">
      <c r="H54542" s="680" t="s">
        <v>6153</v>
      </c>
    </row>
    <row r="54543" spans="8:8">
      <c r="H54543" s="680" t="s">
        <v>6153</v>
      </c>
    </row>
    <row r="54544" spans="8:8">
      <c r="H54544" s="680" t="s">
        <v>6153</v>
      </c>
    </row>
    <row r="54545" spans="8:8">
      <c r="H54545" s="680" t="s">
        <v>6153</v>
      </c>
    </row>
    <row r="54546" spans="8:8">
      <c r="H54546" s="680" t="s">
        <v>6153</v>
      </c>
    </row>
    <row r="54547" spans="8:8">
      <c r="H54547" s="680" t="s">
        <v>6153</v>
      </c>
    </row>
    <row r="54548" spans="8:8">
      <c r="H54548" s="680" t="s">
        <v>6153</v>
      </c>
    </row>
    <row r="54549" spans="8:8">
      <c r="H54549" s="680" t="s">
        <v>6153</v>
      </c>
    </row>
    <row r="54550" spans="8:8">
      <c r="H54550" s="680" t="s">
        <v>6153</v>
      </c>
    </row>
    <row r="54551" spans="8:8">
      <c r="H54551" s="680" t="s">
        <v>6153</v>
      </c>
    </row>
    <row r="54552" spans="8:8">
      <c r="H54552" s="680" t="s">
        <v>6153</v>
      </c>
    </row>
    <row r="54553" spans="8:8">
      <c r="H54553" s="680" t="s">
        <v>6153</v>
      </c>
    </row>
    <row r="54554" spans="8:8">
      <c r="H54554" s="680" t="s">
        <v>6153</v>
      </c>
    </row>
    <row r="54555" spans="8:8">
      <c r="H54555" s="680" t="s">
        <v>6153</v>
      </c>
    </row>
    <row r="54556" spans="8:8">
      <c r="H54556" s="680" t="s">
        <v>6153</v>
      </c>
    </row>
    <row r="54557" spans="8:8">
      <c r="H54557" s="680" t="s">
        <v>6153</v>
      </c>
    </row>
    <row r="54558" spans="8:8">
      <c r="H54558" s="680" t="s">
        <v>6153</v>
      </c>
    </row>
    <row r="54559" spans="8:8">
      <c r="H54559" s="680" t="s">
        <v>6153</v>
      </c>
    </row>
    <row r="54560" spans="8:8">
      <c r="H54560" s="680" t="s">
        <v>6153</v>
      </c>
    </row>
    <row r="54561" spans="8:8">
      <c r="H54561" s="680" t="s">
        <v>6153</v>
      </c>
    </row>
    <row r="54562" spans="8:8">
      <c r="H54562" s="680" t="s">
        <v>6153</v>
      </c>
    </row>
    <row r="54563" spans="8:8">
      <c r="H54563" s="680" t="s">
        <v>6153</v>
      </c>
    </row>
    <row r="54564" spans="8:8">
      <c r="H54564" s="680" t="s">
        <v>6153</v>
      </c>
    </row>
    <row r="54565" spans="8:8">
      <c r="H54565" s="680" t="s">
        <v>6153</v>
      </c>
    </row>
    <row r="54566" spans="8:8">
      <c r="H54566" s="680" t="s">
        <v>6153</v>
      </c>
    </row>
    <row r="54567" spans="8:8">
      <c r="H54567" s="680" t="s">
        <v>6153</v>
      </c>
    </row>
    <row r="54568" spans="8:8">
      <c r="H54568" s="680" t="s">
        <v>6153</v>
      </c>
    </row>
    <row r="54569" spans="8:8">
      <c r="H54569" s="680" t="s">
        <v>6153</v>
      </c>
    </row>
    <row r="54570" spans="8:8">
      <c r="H54570" s="680" t="s">
        <v>6153</v>
      </c>
    </row>
    <row r="54571" spans="8:8">
      <c r="H54571" s="680" t="s">
        <v>6153</v>
      </c>
    </row>
    <row r="54572" spans="8:8">
      <c r="H54572" s="680" t="s">
        <v>6153</v>
      </c>
    </row>
    <row r="54573" spans="8:8">
      <c r="H54573" s="680" t="s">
        <v>6153</v>
      </c>
    </row>
    <row r="54574" spans="8:8">
      <c r="H54574" s="680" t="s">
        <v>6153</v>
      </c>
    </row>
    <row r="54575" spans="8:8">
      <c r="H54575" s="680" t="s">
        <v>6153</v>
      </c>
    </row>
    <row r="54576" spans="8:8">
      <c r="H54576" s="680" t="s">
        <v>6153</v>
      </c>
    </row>
    <row r="54577" spans="8:8">
      <c r="H54577" s="680" t="s">
        <v>6153</v>
      </c>
    </row>
    <row r="54578" spans="8:8">
      <c r="H54578" s="680" t="s">
        <v>6153</v>
      </c>
    </row>
    <row r="54579" spans="8:8">
      <c r="H54579" s="680" t="s">
        <v>6153</v>
      </c>
    </row>
    <row r="54580" spans="8:8">
      <c r="H54580" s="680" t="s">
        <v>6153</v>
      </c>
    </row>
    <row r="54581" spans="8:8">
      <c r="H54581" s="680" t="s">
        <v>6153</v>
      </c>
    </row>
    <row r="54582" spans="8:8">
      <c r="H54582" s="680" t="s">
        <v>6153</v>
      </c>
    </row>
    <row r="54583" spans="8:8">
      <c r="H54583" s="680" t="s">
        <v>6153</v>
      </c>
    </row>
    <row r="54584" spans="8:8">
      <c r="H54584" s="680" t="s">
        <v>6153</v>
      </c>
    </row>
    <row r="54585" spans="8:8">
      <c r="H54585" s="680" t="s">
        <v>6153</v>
      </c>
    </row>
    <row r="54586" spans="8:8">
      <c r="H54586" s="680" t="s">
        <v>6153</v>
      </c>
    </row>
    <row r="54587" spans="8:8">
      <c r="H54587" s="680" t="s">
        <v>6153</v>
      </c>
    </row>
    <row r="54588" spans="8:8">
      <c r="H54588" s="680" t="s">
        <v>6153</v>
      </c>
    </row>
    <row r="54589" spans="8:8">
      <c r="H54589" s="680" t="s">
        <v>6153</v>
      </c>
    </row>
    <row r="54590" spans="8:8">
      <c r="H54590" s="680" t="s">
        <v>6153</v>
      </c>
    </row>
    <row r="54591" spans="8:8">
      <c r="H54591" s="680" t="s">
        <v>6153</v>
      </c>
    </row>
    <row r="54592" spans="8:8">
      <c r="H54592" s="680" t="s">
        <v>6153</v>
      </c>
    </row>
    <row r="54593" spans="8:8">
      <c r="H54593" s="680" t="s">
        <v>6153</v>
      </c>
    </row>
    <row r="54594" spans="8:8">
      <c r="H54594" s="680" t="s">
        <v>6153</v>
      </c>
    </row>
    <row r="54595" spans="8:8">
      <c r="H54595" s="680" t="s">
        <v>6153</v>
      </c>
    </row>
    <row r="54596" spans="8:8">
      <c r="H54596" s="680" t="s">
        <v>6153</v>
      </c>
    </row>
    <row r="54597" spans="8:8">
      <c r="H54597" s="680" t="s">
        <v>6153</v>
      </c>
    </row>
    <row r="54598" spans="8:8">
      <c r="H54598" s="680" t="s">
        <v>6153</v>
      </c>
    </row>
    <row r="54599" spans="8:8">
      <c r="H54599" s="680" t="s">
        <v>6153</v>
      </c>
    </row>
    <row r="54600" spans="8:8">
      <c r="H54600" s="680" t="s">
        <v>6153</v>
      </c>
    </row>
    <row r="54601" spans="8:8">
      <c r="H54601" s="680" t="s">
        <v>6153</v>
      </c>
    </row>
    <row r="54602" spans="8:8">
      <c r="H54602" s="680" t="s">
        <v>6153</v>
      </c>
    </row>
    <row r="54603" spans="8:8">
      <c r="H54603" s="680" t="s">
        <v>6153</v>
      </c>
    </row>
    <row r="54604" spans="8:8">
      <c r="H54604" s="680" t="s">
        <v>6153</v>
      </c>
    </row>
    <row r="54605" spans="8:8">
      <c r="H54605" s="680" t="s">
        <v>6153</v>
      </c>
    </row>
    <row r="54606" spans="8:8">
      <c r="H54606" s="680" t="s">
        <v>6153</v>
      </c>
    </row>
    <row r="54607" spans="8:8">
      <c r="H54607" s="680" t="s">
        <v>6153</v>
      </c>
    </row>
    <row r="54608" spans="8:8">
      <c r="H54608" s="680" t="s">
        <v>6153</v>
      </c>
    </row>
    <row r="54609" spans="8:8">
      <c r="H54609" s="680" t="s">
        <v>6153</v>
      </c>
    </row>
    <row r="54610" spans="8:8">
      <c r="H54610" s="680" t="s">
        <v>6153</v>
      </c>
    </row>
    <row r="54611" spans="8:8">
      <c r="H54611" s="680" t="s">
        <v>6153</v>
      </c>
    </row>
    <row r="54612" spans="8:8">
      <c r="H54612" s="680" t="s">
        <v>6153</v>
      </c>
    </row>
    <row r="54613" spans="8:8">
      <c r="H54613" s="680" t="s">
        <v>6153</v>
      </c>
    </row>
    <row r="54614" spans="8:8">
      <c r="H54614" s="680" t="s">
        <v>6153</v>
      </c>
    </row>
    <row r="54615" spans="8:8">
      <c r="H54615" s="680" t="s">
        <v>6153</v>
      </c>
    </row>
    <row r="54616" spans="8:8">
      <c r="H54616" s="680" t="s">
        <v>6153</v>
      </c>
    </row>
    <row r="54617" spans="8:8">
      <c r="H54617" s="680" t="s">
        <v>6153</v>
      </c>
    </row>
    <row r="54618" spans="8:8">
      <c r="H54618" s="680" t="s">
        <v>6153</v>
      </c>
    </row>
    <row r="54619" spans="8:8">
      <c r="H54619" s="680" t="s">
        <v>6153</v>
      </c>
    </row>
    <row r="54620" spans="8:8">
      <c r="H54620" s="680" t="s">
        <v>6153</v>
      </c>
    </row>
    <row r="54621" spans="8:8">
      <c r="H54621" s="680" t="s">
        <v>6153</v>
      </c>
    </row>
    <row r="54622" spans="8:8">
      <c r="H54622" s="680" t="s">
        <v>6153</v>
      </c>
    </row>
    <row r="54623" spans="8:8">
      <c r="H54623" s="680" t="s">
        <v>6153</v>
      </c>
    </row>
    <row r="54624" spans="8:8">
      <c r="H54624" s="680" t="s">
        <v>6153</v>
      </c>
    </row>
    <row r="54625" spans="8:8">
      <c r="H54625" s="680" t="s">
        <v>6153</v>
      </c>
    </row>
    <row r="54626" spans="8:8">
      <c r="H54626" s="680" t="s">
        <v>6153</v>
      </c>
    </row>
    <row r="54627" spans="8:8">
      <c r="H54627" s="680" t="s">
        <v>6153</v>
      </c>
    </row>
    <row r="54628" spans="8:8">
      <c r="H54628" s="680" t="s">
        <v>6153</v>
      </c>
    </row>
    <row r="54629" spans="8:8">
      <c r="H54629" s="680" t="s">
        <v>6153</v>
      </c>
    </row>
    <row r="54630" spans="8:8">
      <c r="H54630" s="680" t="s">
        <v>6153</v>
      </c>
    </row>
    <row r="54631" spans="8:8">
      <c r="H54631" s="680" t="s">
        <v>6153</v>
      </c>
    </row>
    <row r="54632" spans="8:8">
      <c r="H54632" s="680" t="s">
        <v>6153</v>
      </c>
    </row>
    <row r="54633" spans="8:8">
      <c r="H54633" s="680" t="s">
        <v>6153</v>
      </c>
    </row>
    <row r="54634" spans="8:8">
      <c r="H54634" s="680" t="s">
        <v>6153</v>
      </c>
    </row>
    <row r="54635" spans="8:8">
      <c r="H54635" s="680" t="s">
        <v>6153</v>
      </c>
    </row>
    <row r="54636" spans="8:8">
      <c r="H54636" s="680" t="s">
        <v>6153</v>
      </c>
    </row>
    <row r="54637" spans="8:8">
      <c r="H54637" s="680" t="s">
        <v>6153</v>
      </c>
    </row>
    <row r="54638" spans="8:8">
      <c r="H54638" s="680" t="s">
        <v>6153</v>
      </c>
    </row>
    <row r="54639" spans="8:8">
      <c r="H54639" s="680" t="s">
        <v>6153</v>
      </c>
    </row>
    <row r="54640" spans="8:8">
      <c r="H54640" s="680" t="s">
        <v>6153</v>
      </c>
    </row>
    <row r="54641" spans="8:8">
      <c r="H54641" s="680" t="s">
        <v>6153</v>
      </c>
    </row>
    <row r="54642" spans="8:8">
      <c r="H54642" s="680" t="s">
        <v>6153</v>
      </c>
    </row>
    <row r="54643" spans="8:8">
      <c r="H54643" s="680" t="s">
        <v>6153</v>
      </c>
    </row>
    <row r="54644" spans="8:8">
      <c r="H54644" s="680" t="s">
        <v>6153</v>
      </c>
    </row>
    <row r="54645" spans="8:8">
      <c r="H54645" s="680" t="s">
        <v>6153</v>
      </c>
    </row>
    <row r="54646" spans="8:8">
      <c r="H54646" s="680" t="s">
        <v>6153</v>
      </c>
    </row>
    <row r="54647" spans="8:8">
      <c r="H54647" s="680" t="s">
        <v>6153</v>
      </c>
    </row>
    <row r="54648" spans="8:8">
      <c r="H54648" s="680" t="s">
        <v>6153</v>
      </c>
    </row>
    <row r="54649" spans="8:8">
      <c r="H54649" s="680" t="s">
        <v>6153</v>
      </c>
    </row>
    <row r="54650" spans="8:8">
      <c r="H54650" s="680" t="s">
        <v>6153</v>
      </c>
    </row>
    <row r="54651" spans="8:8">
      <c r="H54651" s="680" t="s">
        <v>6153</v>
      </c>
    </row>
    <row r="54652" spans="8:8">
      <c r="H54652" s="680" t="s">
        <v>6153</v>
      </c>
    </row>
    <row r="54653" spans="8:8">
      <c r="H54653" s="680" t="s">
        <v>6153</v>
      </c>
    </row>
    <row r="54654" spans="8:8">
      <c r="H54654" s="680" t="s">
        <v>6153</v>
      </c>
    </row>
    <row r="54655" spans="8:8">
      <c r="H54655" s="680" t="s">
        <v>6153</v>
      </c>
    </row>
    <row r="54656" spans="8:8">
      <c r="H54656" s="680" t="s">
        <v>6153</v>
      </c>
    </row>
    <row r="54657" spans="8:8">
      <c r="H54657" s="680" t="s">
        <v>6153</v>
      </c>
    </row>
    <row r="54658" spans="8:8">
      <c r="H54658" s="680" t="s">
        <v>6153</v>
      </c>
    </row>
    <row r="54659" spans="8:8">
      <c r="H54659" s="680" t="s">
        <v>6153</v>
      </c>
    </row>
    <row r="54660" spans="8:8">
      <c r="H54660" s="680" t="s">
        <v>6153</v>
      </c>
    </row>
    <row r="54661" spans="8:8">
      <c r="H54661" s="680" t="s">
        <v>6153</v>
      </c>
    </row>
    <row r="54662" spans="8:8">
      <c r="H54662" s="680" t="s">
        <v>6153</v>
      </c>
    </row>
    <row r="54663" spans="8:8">
      <c r="H54663" s="680" t="s">
        <v>6153</v>
      </c>
    </row>
    <row r="54664" spans="8:8">
      <c r="H54664" s="680" t="s">
        <v>6153</v>
      </c>
    </row>
    <row r="54665" spans="8:8">
      <c r="H54665" s="680" t="s">
        <v>6153</v>
      </c>
    </row>
    <row r="54666" spans="8:8">
      <c r="H54666" s="680" t="s">
        <v>6153</v>
      </c>
    </row>
    <row r="54667" spans="8:8">
      <c r="H54667" s="680" t="s">
        <v>6153</v>
      </c>
    </row>
    <row r="54668" spans="8:8">
      <c r="H54668" s="680" t="s">
        <v>6153</v>
      </c>
    </row>
    <row r="54669" spans="8:8">
      <c r="H54669" s="680" t="s">
        <v>6153</v>
      </c>
    </row>
    <row r="54670" spans="8:8">
      <c r="H54670" s="680" t="s">
        <v>6153</v>
      </c>
    </row>
    <row r="54671" spans="8:8">
      <c r="H54671" s="680" t="s">
        <v>6153</v>
      </c>
    </row>
    <row r="54672" spans="8:8">
      <c r="H54672" s="680" t="s">
        <v>6153</v>
      </c>
    </row>
    <row r="54673" spans="8:8">
      <c r="H54673" s="680" t="s">
        <v>6153</v>
      </c>
    </row>
    <row r="54674" spans="8:8">
      <c r="H54674" s="680" t="s">
        <v>6153</v>
      </c>
    </row>
    <row r="54675" spans="8:8">
      <c r="H54675" s="680" t="s">
        <v>6153</v>
      </c>
    </row>
    <row r="54676" spans="8:8">
      <c r="H54676" s="680" t="s">
        <v>6153</v>
      </c>
    </row>
    <row r="54677" spans="8:8">
      <c r="H54677" s="680" t="s">
        <v>6153</v>
      </c>
    </row>
    <row r="54678" spans="8:8">
      <c r="H54678" s="680" t="s">
        <v>6153</v>
      </c>
    </row>
    <row r="54679" spans="8:8">
      <c r="H54679" s="680" t="s">
        <v>6153</v>
      </c>
    </row>
    <row r="54680" spans="8:8">
      <c r="H54680" s="680" t="s">
        <v>6153</v>
      </c>
    </row>
    <row r="54681" spans="8:8">
      <c r="H54681" s="680" t="s">
        <v>6153</v>
      </c>
    </row>
    <row r="54682" spans="8:8">
      <c r="H54682" s="680" t="s">
        <v>6153</v>
      </c>
    </row>
    <row r="54683" spans="8:8">
      <c r="H54683" s="680" t="s">
        <v>6153</v>
      </c>
    </row>
    <row r="54684" spans="8:8">
      <c r="H54684" s="680" t="s">
        <v>6153</v>
      </c>
    </row>
    <row r="54685" spans="8:8">
      <c r="H54685" s="680" t="s">
        <v>6153</v>
      </c>
    </row>
    <row r="54686" spans="8:8">
      <c r="H54686" s="680" t="s">
        <v>6153</v>
      </c>
    </row>
    <row r="54687" spans="8:8">
      <c r="H54687" s="680" t="s">
        <v>6153</v>
      </c>
    </row>
    <row r="54688" spans="8:8">
      <c r="H54688" s="680" t="s">
        <v>6153</v>
      </c>
    </row>
    <row r="54689" spans="8:8">
      <c r="H54689" s="680" t="s">
        <v>6153</v>
      </c>
    </row>
    <row r="54690" spans="8:8">
      <c r="H54690" s="680" t="s">
        <v>6153</v>
      </c>
    </row>
    <row r="54691" spans="8:8">
      <c r="H54691" s="680" t="s">
        <v>6153</v>
      </c>
    </row>
    <row r="54692" spans="8:8">
      <c r="H54692" s="680" t="s">
        <v>6153</v>
      </c>
    </row>
    <row r="54693" spans="8:8">
      <c r="H54693" s="680" t="s">
        <v>6153</v>
      </c>
    </row>
    <row r="54694" spans="8:8">
      <c r="H54694" s="680" t="s">
        <v>6153</v>
      </c>
    </row>
    <row r="54695" spans="8:8">
      <c r="H54695" s="680" t="s">
        <v>6153</v>
      </c>
    </row>
    <row r="54696" spans="8:8">
      <c r="H54696" s="680" t="s">
        <v>6153</v>
      </c>
    </row>
    <row r="54697" spans="8:8">
      <c r="H54697" s="680" t="s">
        <v>6153</v>
      </c>
    </row>
    <row r="54698" spans="8:8">
      <c r="H54698" s="680" t="s">
        <v>6153</v>
      </c>
    </row>
    <row r="54699" spans="8:8">
      <c r="H54699" s="680" t="s">
        <v>6153</v>
      </c>
    </row>
    <row r="54700" spans="8:8">
      <c r="H54700" s="680" t="s">
        <v>6153</v>
      </c>
    </row>
    <row r="54701" spans="8:8">
      <c r="H54701" s="680" t="s">
        <v>6153</v>
      </c>
    </row>
    <row r="54702" spans="8:8">
      <c r="H54702" s="680" t="s">
        <v>6153</v>
      </c>
    </row>
    <row r="54703" spans="8:8">
      <c r="H54703" s="680" t="s">
        <v>6153</v>
      </c>
    </row>
    <row r="54704" spans="8:8">
      <c r="H54704" s="680" t="s">
        <v>6153</v>
      </c>
    </row>
    <row r="54705" spans="8:8">
      <c r="H54705" s="680" t="s">
        <v>6153</v>
      </c>
    </row>
    <row r="54706" spans="8:8">
      <c r="H54706" s="680" t="s">
        <v>6153</v>
      </c>
    </row>
    <row r="54707" spans="8:8">
      <c r="H54707" s="680" t="s">
        <v>6153</v>
      </c>
    </row>
    <row r="54708" spans="8:8">
      <c r="H54708" s="680" t="s">
        <v>6153</v>
      </c>
    </row>
    <row r="54709" spans="8:8">
      <c r="H54709" s="680" t="s">
        <v>6153</v>
      </c>
    </row>
    <row r="54710" spans="8:8">
      <c r="H54710" s="680" t="s">
        <v>6153</v>
      </c>
    </row>
    <row r="54711" spans="8:8">
      <c r="H54711" s="680" t="s">
        <v>6153</v>
      </c>
    </row>
    <row r="54712" spans="8:8">
      <c r="H54712" s="680" t="s">
        <v>6153</v>
      </c>
    </row>
    <row r="54713" spans="8:8">
      <c r="H54713" s="680" t="s">
        <v>6153</v>
      </c>
    </row>
    <row r="54714" spans="8:8">
      <c r="H54714" s="680" t="s">
        <v>6153</v>
      </c>
    </row>
    <row r="54715" spans="8:8">
      <c r="H54715" s="680" t="s">
        <v>6153</v>
      </c>
    </row>
    <row r="54716" spans="8:8">
      <c r="H54716" s="680" t="s">
        <v>6153</v>
      </c>
    </row>
    <row r="54717" spans="8:8">
      <c r="H54717" s="680" t="s">
        <v>6153</v>
      </c>
    </row>
    <row r="54718" spans="8:8">
      <c r="H54718" s="680" t="s">
        <v>6153</v>
      </c>
    </row>
    <row r="54719" spans="8:8">
      <c r="H54719" s="680" t="s">
        <v>6153</v>
      </c>
    </row>
    <row r="54720" spans="8:8">
      <c r="H54720" s="680" t="s">
        <v>6153</v>
      </c>
    </row>
    <row r="54721" spans="8:8">
      <c r="H54721" s="680" t="s">
        <v>6153</v>
      </c>
    </row>
    <row r="54722" spans="8:8">
      <c r="H54722" s="680" t="s">
        <v>6153</v>
      </c>
    </row>
    <row r="54723" spans="8:8">
      <c r="H54723" s="680" t="s">
        <v>6153</v>
      </c>
    </row>
    <row r="54724" spans="8:8">
      <c r="H54724" s="680" t="s">
        <v>6153</v>
      </c>
    </row>
    <row r="54725" spans="8:8">
      <c r="H54725" s="680" t="s">
        <v>6153</v>
      </c>
    </row>
    <row r="54726" spans="8:8">
      <c r="H54726" s="680" t="s">
        <v>6153</v>
      </c>
    </row>
    <row r="54727" spans="8:8">
      <c r="H54727" s="680" t="s">
        <v>6153</v>
      </c>
    </row>
    <row r="54728" spans="8:8">
      <c r="H54728" s="680" t="s">
        <v>6153</v>
      </c>
    </row>
    <row r="54729" spans="8:8">
      <c r="H54729" s="680" t="s">
        <v>6153</v>
      </c>
    </row>
    <row r="54730" spans="8:8">
      <c r="H54730" s="680" t="s">
        <v>6153</v>
      </c>
    </row>
    <row r="54731" spans="8:8">
      <c r="H54731" s="680" t="s">
        <v>6153</v>
      </c>
    </row>
    <row r="54732" spans="8:8">
      <c r="H54732" s="680" t="s">
        <v>6153</v>
      </c>
    </row>
    <row r="54733" spans="8:8">
      <c r="H54733" s="680" t="s">
        <v>6153</v>
      </c>
    </row>
    <row r="54734" spans="8:8">
      <c r="H54734" s="680" t="s">
        <v>6153</v>
      </c>
    </row>
    <row r="54735" spans="8:8">
      <c r="H54735" s="680" t="s">
        <v>6153</v>
      </c>
    </row>
    <row r="54736" spans="8:8">
      <c r="H54736" s="680" t="s">
        <v>6153</v>
      </c>
    </row>
    <row r="54737" spans="8:8">
      <c r="H54737" s="680" t="s">
        <v>6153</v>
      </c>
    </row>
    <row r="54738" spans="8:8">
      <c r="H54738" s="680" t="s">
        <v>6153</v>
      </c>
    </row>
    <row r="54739" spans="8:8">
      <c r="H54739" s="680" t="s">
        <v>6153</v>
      </c>
    </row>
    <row r="54740" spans="8:8">
      <c r="H54740" s="680" t="s">
        <v>6153</v>
      </c>
    </row>
    <row r="54741" spans="8:8">
      <c r="H54741" s="680" t="s">
        <v>6153</v>
      </c>
    </row>
    <row r="54742" spans="8:8">
      <c r="H54742" s="680" t="s">
        <v>6153</v>
      </c>
    </row>
    <row r="54743" spans="8:8">
      <c r="H54743" s="680" t="s">
        <v>6153</v>
      </c>
    </row>
    <row r="54744" spans="8:8">
      <c r="H54744" s="680" t="s">
        <v>6153</v>
      </c>
    </row>
    <row r="54745" spans="8:8">
      <c r="H54745" s="680" t="s">
        <v>6153</v>
      </c>
    </row>
    <row r="54746" spans="8:8">
      <c r="H54746" s="680" t="s">
        <v>6153</v>
      </c>
    </row>
    <row r="54747" spans="8:8">
      <c r="H54747" s="680" t="s">
        <v>6153</v>
      </c>
    </row>
    <row r="54748" spans="8:8">
      <c r="H54748" s="680" t="s">
        <v>6153</v>
      </c>
    </row>
    <row r="54749" spans="8:8">
      <c r="H54749" s="680" t="s">
        <v>6153</v>
      </c>
    </row>
    <row r="54750" spans="8:8">
      <c r="H54750" s="680" t="s">
        <v>6153</v>
      </c>
    </row>
    <row r="54751" spans="8:8">
      <c r="H54751" s="680" t="s">
        <v>6153</v>
      </c>
    </row>
    <row r="54752" spans="8:8">
      <c r="H54752" s="680" t="s">
        <v>6153</v>
      </c>
    </row>
    <row r="54753" spans="8:8">
      <c r="H54753" s="680" t="s">
        <v>6153</v>
      </c>
    </row>
    <row r="54754" spans="8:8">
      <c r="H54754" s="680" t="s">
        <v>6153</v>
      </c>
    </row>
    <row r="54755" spans="8:8">
      <c r="H54755" s="680" t="s">
        <v>6153</v>
      </c>
    </row>
    <row r="54756" spans="8:8">
      <c r="H54756" s="680" t="s">
        <v>6153</v>
      </c>
    </row>
    <row r="54757" spans="8:8">
      <c r="H54757" s="680" t="s">
        <v>6153</v>
      </c>
    </row>
    <row r="54758" spans="8:8">
      <c r="H54758" s="680" t="s">
        <v>6153</v>
      </c>
    </row>
    <row r="54759" spans="8:8">
      <c r="H54759" s="680" t="s">
        <v>6153</v>
      </c>
    </row>
    <row r="54760" spans="8:8">
      <c r="H54760" s="680" t="s">
        <v>6153</v>
      </c>
    </row>
    <row r="54761" spans="8:8">
      <c r="H54761" s="680" t="s">
        <v>6153</v>
      </c>
    </row>
    <row r="54762" spans="8:8">
      <c r="H54762" s="680" t="s">
        <v>6153</v>
      </c>
    </row>
    <row r="54763" spans="8:8">
      <c r="H54763" s="680" t="s">
        <v>6153</v>
      </c>
    </row>
    <row r="54764" spans="8:8">
      <c r="H54764" s="680" t="s">
        <v>6153</v>
      </c>
    </row>
    <row r="54765" spans="8:8">
      <c r="H54765" s="680" t="s">
        <v>6153</v>
      </c>
    </row>
    <row r="54766" spans="8:8">
      <c r="H54766" s="680" t="s">
        <v>6153</v>
      </c>
    </row>
    <row r="54767" spans="8:8">
      <c r="H54767" s="680" t="s">
        <v>6153</v>
      </c>
    </row>
    <row r="54768" spans="8:8">
      <c r="H54768" s="680" t="s">
        <v>6153</v>
      </c>
    </row>
    <row r="54769" spans="8:8">
      <c r="H54769" s="680" t="s">
        <v>6153</v>
      </c>
    </row>
    <row r="54770" spans="8:8">
      <c r="H54770" s="680" t="s">
        <v>6153</v>
      </c>
    </row>
    <row r="54771" spans="8:8">
      <c r="H54771" s="680" t="s">
        <v>6153</v>
      </c>
    </row>
    <row r="54772" spans="8:8">
      <c r="H54772" s="680" t="s">
        <v>6153</v>
      </c>
    </row>
    <row r="54773" spans="8:8">
      <c r="H54773" s="680" t="s">
        <v>6153</v>
      </c>
    </row>
    <row r="54774" spans="8:8">
      <c r="H54774" s="680" t="s">
        <v>6153</v>
      </c>
    </row>
    <row r="54775" spans="8:8">
      <c r="H54775" s="680" t="s">
        <v>6153</v>
      </c>
    </row>
    <row r="54776" spans="8:8">
      <c r="H54776" s="680" t="s">
        <v>6153</v>
      </c>
    </row>
    <row r="54777" spans="8:8">
      <c r="H54777" s="680" t="s">
        <v>6153</v>
      </c>
    </row>
    <row r="54778" spans="8:8">
      <c r="H54778" s="680" t="s">
        <v>6153</v>
      </c>
    </row>
    <row r="54779" spans="8:8">
      <c r="H54779" s="680" t="s">
        <v>6153</v>
      </c>
    </row>
    <row r="54780" spans="8:8">
      <c r="H54780" s="680" t="s">
        <v>6153</v>
      </c>
    </row>
    <row r="54781" spans="8:8">
      <c r="H54781" s="680" t="s">
        <v>6153</v>
      </c>
    </row>
    <row r="54782" spans="8:8">
      <c r="H54782" s="680" t="s">
        <v>6153</v>
      </c>
    </row>
    <row r="54783" spans="8:8">
      <c r="H54783" s="680" t="s">
        <v>6153</v>
      </c>
    </row>
    <row r="54784" spans="8:8">
      <c r="H54784" s="680" t="s">
        <v>6153</v>
      </c>
    </row>
    <row r="54785" spans="8:8">
      <c r="H54785" s="680" t="s">
        <v>6153</v>
      </c>
    </row>
    <row r="54786" spans="8:8">
      <c r="H54786" s="680" t="s">
        <v>6153</v>
      </c>
    </row>
    <row r="54787" spans="8:8">
      <c r="H54787" s="680" t="s">
        <v>6153</v>
      </c>
    </row>
    <row r="54788" spans="8:8">
      <c r="H54788" s="680" t="s">
        <v>6153</v>
      </c>
    </row>
    <row r="54789" spans="8:8">
      <c r="H54789" s="680" t="s">
        <v>6153</v>
      </c>
    </row>
    <row r="54790" spans="8:8">
      <c r="H54790" s="680" t="s">
        <v>6153</v>
      </c>
    </row>
    <row r="54791" spans="8:8">
      <c r="H54791" s="680" t="s">
        <v>6153</v>
      </c>
    </row>
    <row r="54792" spans="8:8">
      <c r="H54792" s="680" t="s">
        <v>6153</v>
      </c>
    </row>
    <row r="54793" spans="8:8">
      <c r="H54793" s="680" t="s">
        <v>6153</v>
      </c>
    </row>
    <row r="54794" spans="8:8">
      <c r="H54794" s="680" t="s">
        <v>6153</v>
      </c>
    </row>
    <row r="54795" spans="8:8">
      <c r="H54795" s="680" t="s">
        <v>6153</v>
      </c>
    </row>
    <row r="54796" spans="8:8">
      <c r="H54796" s="680" t="s">
        <v>6153</v>
      </c>
    </row>
    <row r="54797" spans="8:8">
      <c r="H54797" s="680" t="s">
        <v>6153</v>
      </c>
    </row>
    <row r="54798" spans="8:8">
      <c r="H54798" s="680" t="s">
        <v>6153</v>
      </c>
    </row>
    <row r="54799" spans="8:8">
      <c r="H54799" s="680" t="s">
        <v>6153</v>
      </c>
    </row>
    <row r="54800" spans="8:8">
      <c r="H54800" s="680" t="s">
        <v>6153</v>
      </c>
    </row>
    <row r="54801" spans="8:8">
      <c r="H54801" s="680" t="s">
        <v>6153</v>
      </c>
    </row>
    <row r="54802" spans="8:8">
      <c r="H54802" s="680" t="s">
        <v>6153</v>
      </c>
    </row>
    <row r="54803" spans="8:8">
      <c r="H54803" s="680" t="s">
        <v>6153</v>
      </c>
    </row>
    <row r="54804" spans="8:8">
      <c r="H54804" s="680" t="s">
        <v>6153</v>
      </c>
    </row>
    <row r="54805" spans="8:8">
      <c r="H54805" s="680" t="s">
        <v>6153</v>
      </c>
    </row>
    <row r="54806" spans="8:8">
      <c r="H54806" s="680" t="s">
        <v>6153</v>
      </c>
    </row>
    <row r="54807" spans="8:8">
      <c r="H54807" s="680" t="s">
        <v>6153</v>
      </c>
    </row>
    <row r="54808" spans="8:8">
      <c r="H54808" s="680" t="s">
        <v>6153</v>
      </c>
    </row>
    <row r="54809" spans="8:8">
      <c r="H54809" s="680" t="s">
        <v>6153</v>
      </c>
    </row>
    <row r="54810" spans="8:8">
      <c r="H54810" s="680" t="s">
        <v>6153</v>
      </c>
    </row>
    <row r="54811" spans="8:8">
      <c r="H54811" s="680" t="s">
        <v>6153</v>
      </c>
    </row>
    <row r="54812" spans="8:8">
      <c r="H54812" s="680" t="s">
        <v>6153</v>
      </c>
    </row>
    <row r="54813" spans="8:8">
      <c r="H54813" s="680" t="s">
        <v>6153</v>
      </c>
    </row>
    <row r="54814" spans="8:8">
      <c r="H54814" s="680" t="s">
        <v>6153</v>
      </c>
    </row>
    <row r="54815" spans="8:8">
      <c r="H54815" s="680" t="s">
        <v>6153</v>
      </c>
    </row>
    <row r="54816" spans="8:8">
      <c r="H54816" s="680" t="s">
        <v>6153</v>
      </c>
    </row>
    <row r="54817" spans="8:8">
      <c r="H54817" s="680" t="s">
        <v>6153</v>
      </c>
    </row>
    <row r="54818" spans="8:8">
      <c r="H54818" s="680" t="s">
        <v>6153</v>
      </c>
    </row>
    <row r="54819" spans="8:8">
      <c r="H54819" s="680" t="s">
        <v>6153</v>
      </c>
    </row>
    <row r="54820" spans="8:8">
      <c r="H54820" s="680" t="s">
        <v>6153</v>
      </c>
    </row>
    <row r="54821" spans="8:8">
      <c r="H54821" s="680" t="s">
        <v>6153</v>
      </c>
    </row>
    <row r="54822" spans="8:8">
      <c r="H54822" s="680" t="s">
        <v>6153</v>
      </c>
    </row>
    <row r="54823" spans="8:8">
      <c r="H54823" s="680" t="s">
        <v>6153</v>
      </c>
    </row>
    <row r="54824" spans="8:8">
      <c r="H54824" s="680" t="s">
        <v>6153</v>
      </c>
    </row>
    <row r="54825" spans="8:8">
      <c r="H54825" s="680" t="s">
        <v>6153</v>
      </c>
    </row>
    <row r="54826" spans="8:8">
      <c r="H54826" s="680" t="s">
        <v>6153</v>
      </c>
    </row>
    <row r="54827" spans="8:8">
      <c r="H54827" s="680" t="s">
        <v>6153</v>
      </c>
    </row>
    <row r="54828" spans="8:8">
      <c r="H54828" s="680" t="s">
        <v>6153</v>
      </c>
    </row>
    <row r="54829" spans="8:8">
      <c r="H54829" s="680" t="s">
        <v>6153</v>
      </c>
    </row>
    <row r="54830" spans="8:8">
      <c r="H54830" s="680" t="s">
        <v>6153</v>
      </c>
    </row>
    <row r="54831" spans="8:8">
      <c r="H54831" s="680" t="s">
        <v>6153</v>
      </c>
    </row>
    <row r="54832" spans="8:8">
      <c r="H54832" s="680" t="s">
        <v>6153</v>
      </c>
    </row>
    <row r="54833" spans="8:8">
      <c r="H54833" s="680" t="s">
        <v>6153</v>
      </c>
    </row>
    <row r="54834" spans="8:8">
      <c r="H54834" s="680" t="s">
        <v>6153</v>
      </c>
    </row>
    <row r="54835" spans="8:8">
      <c r="H54835" s="680" t="s">
        <v>6153</v>
      </c>
    </row>
    <row r="54836" spans="8:8">
      <c r="H54836" s="680" t="s">
        <v>6153</v>
      </c>
    </row>
    <row r="54837" spans="8:8">
      <c r="H54837" s="680" t="s">
        <v>6153</v>
      </c>
    </row>
    <row r="54838" spans="8:8">
      <c r="H54838" s="680" t="s">
        <v>6153</v>
      </c>
    </row>
    <row r="54839" spans="8:8">
      <c r="H54839" s="680" t="s">
        <v>6153</v>
      </c>
    </row>
    <row r="54840" spans="8:8">
      <c r="H54840" s="680" t="s">
        <v>6153</v>
      </c>
    </row>
    <row r="54841" spans="8:8">
      <c r="H54841" s="680" t="s">
        <v>6153</v>
      </c>
    </row>
    <row r="54842" spans="8:8">
      <c r="H54842" s="680" t="s">
        <v>6153</v>
      </c>
    </row>
    <row r="54843" spans="8:8">
      <c r="H54843" s="680" t="s">
        <v>6153</v>
      </c>
    </row>
    <row r="54844" spans="8:8">
      <c r="H54844" s="680" t="s">
        <v>6153</v>
      </c>
    </row>
    <row r="54845" spans="8:8">
      <c r="H54845" s="680" t="s">
        <v>6153</v>
      </c>
    </row>
    <row r="54846" spans="8:8">
      <c r="H54846" s="680" t="s">
        <v>6153</v>
      </c>
    </row>
    <row r="54847" spans="8:8">
      <c r="H54847" s="680" t="s">
        <v>6153</v>
      </c>
    </row>
    <row r="54848" spans="8:8">
      <c r="H54848" s="680" t="s">
        <v>6153</v>
      </c>
    </row>
    <row r="54849" spans="8:8">
      <c r="H54849" s="680" t="s">
        <v>6153</v>
      </c>
    </row>
    <row r="54850" spans="8:8">
      <c r="H54850" s="680" t="s">
        <v>6153</v>
      </c>
    </row>
    <row r="54851" spans="8:8">
      <c r="H54851" s="680" t="s">
        <v>6153</v>
      </c>
    </row>
    <row r="54852" spans="8:8">
      <c r="H54852" s="680" t="s">
        <v>6153</v>
      </c>
    </row>
    <row r="54853" spans="8:8">
      <c r="H54853" s="680" t="s">
        <v>6153</v>
      </c>
    </row>
    <row r="54854" spans="8:8">
      <c r="H54854" s="680" t="s">
        <v>6153</v>
      </c>
    </row>
    <row r="54855" spans="8:8">
      <c r="H54855" s="680" t="s">
        <v>6153</v>
      </c>
    </row>
    <row r="54856" spans="8:8">
      <c r="H54856" s="680" t="s">
        <v>6153</v>
      </c>
    </row>
    <row r="54857" spans="8:8">
      <c r="H54857" s="680" t="s">
        <v>6153</v>
      </c>
    </row>
    <row r="54858" spans="8:8">
      <c r="H54858" s="680" t="s">
        <v>6153</v>
      </c>
    </row>
    <row r="54859" spans="8:8">
      <c r="H54859" s="680" t="s">
        <v>6153</v>
      </c>
    </row>
    <row r="54860" spans="8:8">
      <c r="H54860" s="680" t="s">
        <v>6153</v>
      </c>
    </row>
    <row r="54861" spans="8:8">
      <c r="H54861" s="680" t="s">
        <v>6153</v>
      </c>
    </row>
    <row r="54862" spans="8:8">
      <c r="H54862" s="680" t="s">
        <v>6153</v>
      </c>
    </row>
    <row r="54863" spans="8:8">
      <c r="H54863" s="680" t="s">
        <v>6153</v>
      </c>
    </row>
    <row r="54864" spans="8:8">
      <c r="H54864" s="680" t="s">
        <v>6153</v>
      </c>
    </row>
    <row r="54865" spans="8:8">
      <c r="H54865" s="680" t="s">
        <v>6153</v>
      </c>
    </row>
    <row r="54866" spans="8:8">
      <c r="H54866" s="680" t="s">
        <v>6153</v>
      </c>
    </row>
    <row r="54867" spans="8:8">
      <c r="H54867" s="680" t="s">
        <v>6153</v>
      </c>
    </row>
    <row r="54868" spans="8:8">
      <c r="H54868" s="680" t="s">
        <v>6153</v>
      </c>
    </row>
    <row r="54869" spans="8:8">
      <c r="H54869" s="680" t="s">
        <v>6153</v>
      </c>
    </row>
    <row r="54870" spans="8:8">
      <c r="H54870" s="680" t="s">
        <v>6153</v>
      </c>
    </row>
    <row r="54871" spans="8:8">
      <c r="H54871" s="680" t="s">
        <v>6153</v>
      </c>
    </row>
    <row r="54872" spans="8:8">
      <c r="H54872" s="680" t="s">
        <v>6153</v>
      </c>
    </row>
    <row r="54873" spans="8:8">
      <c r="H54873" s="680" t="s">
        <v>6153</v>
      </c>
    </row>
    <row r="54874" spans="8:8">
      <c r="H54874" s="680" t="s">
        <v>6153</v>
      </c>
    </row>
    <row r="54875" spans="8:8">
      <c r="H54875" s="680" t="s">
        <v>6153</v>
      </c>
    </row>
    <row r="54876" spans="8:8">
      <c r="H54876" s="680" t="s">
        <v>6153</v>
      </c>
    </row>
    <row r="54877" spans="8:8">
      <c r="H54877" s="680" t="s">
        <v>6153</v>
      </c>
    </row>
    <row r="54878" spans="8:8">
      <c r="H54878" s="680" t="s">
        <v>6153</v>
      </c>
    </row>
    <row r="54879" spans="8:8">
      <c r="H54879" s="680" t="s">
        <v>6153</v>
      </c>
    </row>
    <row r="54880" spans="8:8">
      <c r="H54880" s="680" t="s">
        <v>6153</v>
      </c>
    </row>
    <row r="54881" spans="8:8">
      <c r="H54881" s="680" t="s">
        <v>6153</v>
      </c>
    </row>
    <row r="54882" spans="8:8">
      <c r="H54882" s="680" t="s">
        <v>6153</v>
      </c>
    </row>
    <row r="54883" spans="8:8">
      <c r="H54883" s="680" t="s">
        <v>6153</v>
      </c>
    </row>
    <row r="54884" spans="8:8">
      <c r="H54884" s="680" t="s">
        <v>6153</v>
      </c>
    </row>
    <row r="54885" spans="8:8">
      <c r="H54885" s="680" t="s">
        <v>6153</v>
      </c>
    </row>
    <row r="54886" spans="8:8">
      <c r="H54886" s="680" t="s">
        <v>6153</v>
      </c>
    </row>
    <row r="54887" spans="8:8">
      <c r="H54887" s="680" t="s">
        <v>6153</v>
      </c>
    </row>
    <row r="54888" spans="8:8">
      <c r="H54888" s="680" t="s">
        <v>6153</v>
      </c>
    </row>
    <row r="54889" spans="8:8">
      <c r="H54889" s="680" t="s">
        <v>6153</v>
      </c>
    </row>
    <row r="54890" spans="8:8">
      <c r="H54890" s="680" t="s">
        <v>6153</v>
      </c>
    </row>
    <row r="54891" spans="8:8">
      <c r="H54891" s="680" t="s">
        <v>6153</v>
      </c>
    </row>
    <row r="54892" spans="8:8">
      <c r="H54892" s="680" t="s">
        <v>6153</v>
      </c>
    </row>
    <row r="54893" spans="8:8">
      <c r="H54893" s="680" t="s">
        <v>6153</v>
      </c>
    </row>
    <row r="54894" spans="8:8">
      <c r="H54894" s="680" t="s">
        <v>6153</v>
      </c>
    </row>
    <row r="54895" spans="8:8">
      <c r="H54895" s="680" t="s">
        <v>6153</v>
      </c>
    </row>
    <row r="54896" spans="8:8">
      <c r="H54896" s="680" t="s">
        <v>6153</v>
      </c>
    </row>
    <row r="54897" spans="8:8">
      <c r="H54897" s="680" t="s">
        <v>6153</v>
      </c>
    </row>
    <row r="54898" spans="8:8">
      <c r="H54898" s="680" t="s">
        <v>6153</v>
      </c>
    </row>
    <row r="54899" spans="8:8">
      <c r="H54899" s="680" t="s">
        <v>6153</v>
      </c>
    </row>
    <row r="54900" spans="8:8">
      <c r="H54900" s="680" t="s">
        <v>6153</v>
      </c>
    </row>
    <row r="54901" spans="8:8">
      <c r="H54901" s="680" t="s">
        <v>6153</v>
      </c>
    </row>
    <row r="54902" spans="8:8">
      <c r="H54902" s="680" t="s">
        <v>6153</v>
      </c>
    </row>
    <row r="54903" spans="8:8">
      <c r="H54903" s="680" t="s">
        <v>6153</v>
      </c>
    </row>
    <row r="54904" spans="8:8">
      <c r="H54904" s="680" t="s">
        <v>6153</v>
      </c>
    </row>
    <row r="54905" spans="8:8">
      <c r="H54905" s="680" t="s">
        <v>6153</v>
      </c>
    </row>
    <row r="54906" spans="8:8">
      <c r="H54906" s="680" t="s">
        <v>6153</v>
      </c>
    </row>
    <row r="54907" spans="8:8">
      <c r="H54907" s="680" t="s">
        <v>6153</v>
      </c>
    </row>
    <row r="54908" spans="8:8">
      <c r="H54908" s="680" t="s">
        <v>6153</v>
      </c>
    </row>
    <row r="54909" spans="8:8">
      <c r="H54909" s="680" t="s">
        <v>6153</v>
      </c>
    </row>
    <row r="54910" spans="8:8">
      <c r="H54910" s="680" t="s">
        <v>6153</v>
      </c>
    </row>
    <row r="54911" spans="8:8">
      <c r="H54911" s="680" t="s">
        <v>6153</v>
      </c>
    </row>
    <row r="54912" spans="8:8">
      <c r="H54912" s="680" t="s">
        <v>6153</v>
      </c>
    </row>
    <row r="54913" spans="8:8">
      <c r="H54913" s="680" t="s">
        <v>6153</v>
      </c>
    </row>
    <row r="54914" spans="8:8">
      <c r="H54914" s="680" t="s">
        <v>6153</v>
      </c>
    </row>
    <row r="54915" spans="8:8">
      <c r="H54915" s="680" t="s">
        <v>6153</v>
      </c>
    </row>
    <row r="54916" spans="8:8">
      <c r="H54916" s="680" t="s">
        <v>6153</v>
      </c>
    </row>
    <row r="54917" spans="8:8">
      <c r="H54917" s="680" t="s">
        <v>6153</v>
      </c>
    </row>
    <row r="54918" spans="8:8">
      <c r="H54918" s="680" t="s">
        <v>6153</v>
      </c>
    </row>
    <row r="54919" spans="8:8">
      <c r="H54919" s="680" t="s">
        <v>6153</v>
      </c>
    </row>
    <row r="54920" spans="8:8">
      <c r="H54920" s="680" t="s">
        <v>6153</v>
      </c>
    </row>
    <row r="54921" spans="8:8">
      <c r="H54921" s="680" t="s">
        <v>6153</v>
      </c>
    </row>
    <row r="54922" spans="8:8">
      <c r="H54922" s="680" t="s">
        <v>6153</v>
      </c>
    </row>
    <row r="54923" spans="8:8">
      <c r="H54923" s="680" t="s">
        <v>6153</v>
      </c>
    </row>
    <row r="54924" spans="8:8">
      <c r="H54924" s="680" t="s">
        <v>6153</v>
      </c>
    </row>
    <row r="54925" spans="8:8">
      <c r="H54925" s="680" t="s">
        <v>6153</v>
      </c>
    </row>
    <row r="54926" spans="8:8">
      <c r="H54926" s="680" t="s">
        <v>6153</v>
      </c>
    </row>
    <row r="54927" spans="8:8">
      <c r="H54927" s="680" t="s">
        <v>6153</v>
      </c>
    </row>
    <row r="54928" spans="8:8">
      <c r="H54928" s="680" t="s">
        <v>6153</v>
      </c>
    </row>
    <row r="54929" spans="8:8">
      <c r="H54929" s="680" t="s">
        <v>6153</v>
      </c>
    </row>
    <row r="54930" spans="8:8">
      <c r="H54930" s="680" t="s">
        <v>6153</v>
      </c>
    </row>
    <row r="54931" spans="8:8">
      <c r="H54931" s="680" t="s">
        <v>6153</v>
      </c>
    </row>
    <row r="54932" spans="8:8">
      <c r="H54932" s="680" t="s">
        <v>6153</v>
      </c>
    </row>
    <row r="54933" spans="8:8">
      <c r="H54933" s="680" t="s">
        <v>6153</v>
      </c>
    </row>
    <row r="54934" spans="8:8">
      <c r="H54934" s="680" t="s">
        <v>6153</v>
      </c>
    </row>
    <row r="54935" spans="8:8">
      <c r="H54935" s="680" t="s">
        <v>6153</v>
      </c>
    </row>
    <row r="54936" spans="8:8">
      <c r="H54936" s="680" t="s">
        <v>6153</v>
      </c>
    </row>
    <row r="54937" spans="8:8">
      <c r="H54937" s="680" t="s">
        <v>6153</v>
      </c>
    </row>
    <row r="54938" spans="8:8">
      <c r="H54938" s="680" t="s">
        <v>6153</v>
      </c>
    </row>
    <row r="54939" spans="8:8">
      <c r="H54939" s="680" t="s">
        <v>6153</v>
      </c>
    </row>
    <row r="54940" spans="8:8">
      <c r="H54940" s="680" t="s">
        <v>6153</v>
      </c>
    </row>
    <row r="54941" spans="8:8">
      <c r="H54941" s="680" t="s">
        <v>6153</v>
      </c>
    </row>
    <row r="54942" spans="8:8">
      <c r="H54942" s="680" t="s">
        <v>6153</v>
      </c>
    </row>
    <row r="54943" spans="8:8">
      <c r="H54943" s="680" t="s">
        <v>6153</v>
      </c>
    </row>
    <row r="54944" spans="8:8">
      <c r="H54944" s="680" t="s">
        <v>6153</v>
      </c>
    </row>
    <row r="54945" spans="8:8">
      <c r="H54945" s="680" t="s">
        <v>6153</v>
      </c>
    </row>
    <row r="54946" spans="8:8">
      <c r="H54946" s="680" t="s">
        <v>6153</v>
      </c>
    </row>
    <row r="54947" spans="8:8">
      <c r="H54947" s="680" t="s">
        <v>6153</v>
      </c>
    </row>
    <row r="54948" spans="8:8">
      <c r="H54948" s="680" t="s">
        <v>6153</v>
      </c>
    </row>
    <row r="54949" spans="8:8">
      <c r="H54949" s="680" t="s">
        <v>6153</v>
      </c>
    </row>
    <row r="54950" spans="8:8">
      <c r="H54950" s="680" t="s">
        <v>6153</v>
      </c>
    </row>
    <row r="54951" spans="8:8">
      <c r="H54951" s="680" t="s">
        <v>6153</v>
      </c>
    </row>
    <row r="54952" spans="8:8">
      <c r="H54952" s="680" t="s">
        <v>6153</v>
      </c>
    </row>
    <row r="54953" spans="8:8">
      <c r="H54953" s="680" t="s">
        <v>6153</v>
      </c>
    </row>
    <row r="54954" spans="8:8">
      <c r="H54954" s="680" t="s">
        <v>6153</v>
      </c>
    </row>
    <row r="54955" spans="8:8">
      <c r="H54955" s="680" t="s">
        <v>6153</v>
      </c>
    </row>
    <row r="54956" spans="8:8">
      <c r="H54956" s="680" t="s">
        <v>6153</v>
      </c>
    </row>
    <row r="54957" spans="8:8">
      <c r="H54957" s="680" t="s">
        <v>6153</v>
      </c>
    </row>
    <row r="54958" spans="8:8">
      <c r="H54958" s="680" t="s">
        <v>6153</v>
      </c>
    </row>
    <row r="54959" spans="8:8">
      <c r="H54959" s="680" t="s">
        <v>6153</v>
      </c>
    </row>
    <row r="54960" spans="8:8">
      <c r="H54960" s="680" t="s">
        <v>6153</v>
      </c>
    </row>
    <row r="54961" spans="8:8">
      <c r="H54961" s="680" t="s">
        <v>6153</v>
      </c>
    </row>
    <row r="54962" spans="8:8">
      <c r="H54962" s="680" t="s">
        <v>6153</v>
      </c>
    </row>
    <row r="54963" spans="8:8">
      <c r="H54963" s="680" t="s">
        <v>6153</v>
      </c>
    </row>
    <row r="54964" spans="8:8">
      <c r="H54964" s="680" t="s">
        <v>6153</v>
      </c>
    </row>
    <row r="54965" spans="8:8">
      <c r="H54965" s="680" t="s">
        <v>6153</v>
      </c>
    </row>
    <row r="54966" spans="8:8">
      <c r="H54966" s="680" t="s">
        <v>6153</v>
      </c>
    </row>
    <row r="54967" spans="8:8">
      <c r="H54967" s="680" t="s">
        <v>6153</v>
      </c>
    </row>
    <row r="54968" spans="8:8">
      <c r="H54968" s="680" t="s">
        <v>6153</v>
      </c>
    </row>
    <row r="54969" spans="8:8">
      <c r="H54969" s="680" t="s">
        <v>6153</v>
      </c>
    </row>
    <row r="54970" spans="8:8">
      <c r="H54970" s="680" t="s">
        <v>6153</v>
      </c>
    </row>
    <row r="54971" spans="8:8">
      <c r="H54971" s="680" t="s">
        <v>6153</v>
      </c>
    </row>
    <row r="54972" spans="8:8">
      <c r="H54972" s="680" t="s">
        <v>6153</v>
      </c>
    </row>
    <row r="54973" spans="8:8">
      <c r="H54973" s="680" t="s">
        <v>6153</v>
      </c>
    </row>
    <row r="54974" spans="8:8">
      <c r="H54974" s="680" t="s">
        <v>6153</v>
      </c>
    </row>
    <row r="54975" spans="8:8">
      <c r="H54975" s="680" t="s">
        <v>6153</v>
      </c>
    </row>
    <row r="54976" spans="8:8">
      <c r="H54976" s="680" t="s">
        <v>6153</v>
      </c>
    </row>
    <row r="54977" spans="8:8">
      <c r="H54977" s="680" t="s">
        <v>6153</v>
      </c>
    </row>
    <row r="54978" spans="8:8">
      <c r="H54978" s="680" t="s">
        <v>6153</v>
      </c>
    </row>
    <row r="54979" spans="8:8">
      <c r="H54979" s="680" t="s">
        <v>6153</v>
      </c>
    </row>
    <row r="54980" spans="8:8">
      <c r="H54980" s="680" t="s">
        <v>6153</v>
      </c>
    </row>
    <row r="54981" spans="8:8">
      <c r="H54981" s="680" t="s">
        <v>6153</v>
      </c>
    </row>
    <row r="54982" spans="8:8">
      <c r="H54982" s="680" t="s">
        <v>6153</v>
      </c>
    </row>
    <row r="54983" spans="8:8">
      <c r="H54983" s="680" t="s">
        <v>6153</v>
      </c>
    </row>
    <row r="54984" spans="8:8">
      <c r="H54984" s="680" t="s">
        <v>6153</v>
      </c>
    </row>
    <row r="54985" spans="8:8">
      <c r="H54985" s="680" t="s">
        <v>6153</v>
      </c>
    </row>
    <row r="54986" spans="8:8">
      <c r="H54986" s="680" t="s">
        <v>6153</v>
      </c>
    </row>
    <row r="54987" spans="8:8">
      <c r="H54987" s="680" t="s">
        <v>6153</v>
      </c>
    </row>
    <row r="54988" spans="8:8">
      <c r="H54988" s="680" t="s">
        <v>6153</v>
      </c>
    </row>
    <row r="54989" spans="8:8">
      <c r="H54989" s="680" t="s">
        <v>6153</v>
      </c>
    </row>
    <row r="54990" spans="8:8">
      <c r="H54990" s="680" t="s">
        <v>6153</v>
      </c>
    </row>
    <row r="54991" spans="8:8">
      <c r="H54991" s="680" t="s">
        <v>6153</v>
      </c>
    </row>
    <row r="54992" spans="8:8">
      <c r="H54992" s="680" t="s">
        <v>6153</v>
      </c>
    </row>
    <row r="54993" spans="8:8">
      <c r="H54993" s="680" t="s">
        <v>6153</v>
      </c>
    </row>
    <row r="54994" spans="8:8">
      <c r="H54994" s="680" t="s">
        <v>6153</v>
      </c>
    </row>
    <row r="54995" spans="8:8">
      <c r="H54995" s="680" t="s">
        <v>6153</v>
      </c>
    </row>
    <row r="54996" spans="8:8">
      <c r="H54996" s="680" t="s">
        <v>6153</v>
      </c>
    </row>
    <row r="54997" spans="8:8">
      <c r="H54997" s="680" t="s">
        <v>6153</v>
      </c>
    </row>
    <row r="54998" spans="8:8">
      <c r="H54998" s="680" t="s">
        <v>6153</v>
      </c>
    </row>
    <row r="54999" spans="8:8">
      <c r="H54999" s="680" t="s">
        <v>6153</v>
      </c>
    </row>
    <row r="55000" spans="8:8">
      <c r="H55000" s="680" t="s">
        <v>6153</v>
      </c>
    </row>
    <row r="55001" spans="8:8">
      <c r="H55001" s="680" t="s">
        <v>6153</v>
      </c>
    </row>
    <row r="55002" spans="8:8">
      <c r="H55002" s="680" t="s">
        <v>6153</v>
      </c>
    </row>
    <row r="55003" spans="8:8">
      <c r="H55003" s="680" t="s">
        <v>6153</v>
      </c>
    </row>
    <row r="55004" spans="8:8">
      <c r="H55004" s="680" t="s">
        <v>6153</v>
      </c>
    </row>
    <row r="55005" spans="8:8">
      <c r="H55005" s="680" t="s">
        <v>6153</v>
      </c>
    </row>
    <row r="55006" spans="8:8">
      <c r="H55006" s="680" t="s">
        <v>6153</v>
      </c>
    </row>
    <row r="55007" spans="8:8">
      <c r="H55007" s="680" t="s">
        <v>6153</v>
      </c>
    </row>
    <row r="55008" spans="8:8">
      <c r="H55008" s="680" t="s">
        <v>6153</v>
      </c>
    </row>
    <row r="55009" spans="8:8">
      <c r="H55009" s="680" t="s">
        <v>6153</v>
      </c>
    </row>
    <row r="55010" spans="8:8">
      <c r="H55010" s="680" t="s">
        <v>6153</v>
      </c>
    </row>
    <row r="55011" spans="8:8">
      <c r="H55011" s="680" t="s">
        <v>6153</v>
      </c>
    </row>
    <row r="55012" spans="8:8">
      <c r="H55012" s="680" t="s">
        <v>6153</v>
      </c>
    </row>
    <row r="55013" spans="8:8">
      <c r="H55013" s="680" t="s">
        <v>6153</v>
      </c>
    </row>
    <row r="55014" spans="8:8">
      <c r="H55014" s="680" t="s">
        <v>6153</v>
      </c>
    </row>
    <row r="55015" spans="8:8">
      <c r="H55015" s="680" t="s">
        <v>6153</v>
      </c>
    </row>
    <row r="55016" spans="8:8">
      <c r="H55016" s="680" t="s">
        <v>6153</v>
      </c>
    </row>
    <row r="55017" spans="8:8">
      <c r="H55017" s="680" t="s">
        <v>6153</v>
      </c>
    </row>
    <row r="55018" spans="8:8">
      <c r="H55018" s="680" t="s">
        <v>6153</v>
      </c>
    </row>
    <row r="55019" spans="8:8">
      <c r="H55019" s="680" t="s">
        <v>6153</v>
      </c>
    </row>
    <row r="55020" spans="8:8">
      <c r="H55020" s="680" t="s">
        <v>6153</v>
      </c>
    </row>
    <row r="55021" spans="8:8">
      <c r="H55021" s="680" t="s">
        <v>6153</v>
      </c>
    </row>
    <row r="55022" spans="8:8">
      <c r="H55022" s="680" t="s">
        <v>6153</v>
      </c>
    </row>
    <row r="55023" spans="8:8">
      <c r="H55023" s="680" t="s">
        <v>6153</v>
      </c>
    </row>
    <row r="55024" spans="8:8">
      <c r="H55024" s="680" t="s">
        <v>6153</v>
      </c>
    </row>
    <row r="55025" spans="8:8">
      <c r="H55025" s="680" t="s">
        <v>6153</v>
      </c>
    </row>
    <row r="55026" spans="8:8">
      <c r="H55026" s="680" t="s">
        <v>6153</v>
      </c>
    </row>
    <row r="55027" spans="8:8">
      <c r="H55027" s="680" t="s">
        <v>6153</v>
      </c>
    </row>
    <row r="55028" spans="8:8">
      <c r="H55028" s="680" t="s">
        <v>6153</v>
      </c>
    </row>
    <row r="55029" spans="8:8">
      <c r="H55029" s="680" t="s">
        <v>6153</v>
      </c>
    </row>
    <row r="55030" spans="8:8">
      <c r="H55030" s="680" t="s">
        <v>6153</v>
      </c>
    </row>
    <row r="55031" spans="8:8">
      <c r="H55031" s="680" t="s">
        <v>6153</v>
      </c>
    </row>
    <row r="55032" spans="8:8">
      <c r="H55032" s="680" t="s">
        <v>6153</v>
      </c>
    </row>
    <row r="55033" spans="8:8">
      <c r="H55033" s="680" t="s">
        <v>6153</v>
      </c>
    </row>
    <row r="55034" spans="8:8">
      <c r="H55034" s="680" t="s">
        <v>6153</v>
      </c>
    </row>
    <row r="55035" spans="8:8">
      <c r="H55035" s="680" t="s">
        <v>6153</v>
      </c>
    </row>
    <row r="55036" spans="8:8">
      <c r="H55036" s="680" t="s">
        <v>6153</v>
      </c>
    </row>
    <row r="55037" spans="8:8">
      <c r="H55037" s="680" t="s">
        <v>6153</v>
      </c>
    </row>
    <row r="55038" spans="8:8">
      <c r="H55038" s="680" t="s">
        <v>6153</v>
      </c>
    </row>
    <row r="55039" spans="8:8">
      <c r="H55039" s="680" t="s">
        <v>6153</v>
      </c>
    </row>
    <row r="55040" spans="8:8">
      <c r="H55040" s="680" t="s">
        <v>6153</v>
      </c>
    </row>
    <row r="55041" spans="8:8">
      <c r="H55041" s="680" t="s">
        <v>6153</v>
      </c>
    </row>
    <row r="55042" spans="8:8">
      <c r="H55042" s="680" t="s">
        <v>6153</v>
      </c>
    </row>
    <row r="55043" spans="8:8">
      <c r="H55043" s="680" t="s">
        <v>6153</v>
      </c>
    </row>
    <row r="55044" spans="8:8">
      <c r="H55044" s="680" t="s">
        <v>6153</v>
      </c>
    </row>
    <row r="55045" spans="8:8">
      <c r="H55045" s="680" t="s">
        <v>6153</v>
      </c>
    </row>
    <row r="55046" spans="8:8">
      <c r="H55046" s="680" t="s">
        <v>6153</v>
      </c>
    </row>
    <row r="55047" spans="8:8">
      <c r="H55047" s="680" t="s">
        <v>6153</v>
      </c>
    </row>
    <row r="55048" spans="8:8">
      <c r="H55048" s="680" t="s">
        <v>6153</v>
      </c>
    </row>
    <row r="55049" spans="8:8">
      <c r="H55049" s="680" t="s">
        <v>6153</v>
      </c>
    </row>
    <row r="55050" spans="8:8">
      <c r="H55050" s="680" t="s">
        <v>6153</v>
      </c>
    </row>
    <row r="55051" spans="8:8">
      <c r="H55051" s="680" t="s">
        <v>6153</v>
      </c>
    </row>
    <row r="55052" spans="8:8">
      <c r="H55052" s="680" t="s">
        <v>6153</v>
      </c>
    </row>
    <row r="55053" spans="8:8">
      <c r="H55053" s="680" t="s">
        <v>6153</v>
      </c>
    </row>
    <row r="55054" spans="8:8">
      <c r="H55054" s="680" t="s">
        <v>6153</v>
      </c>
    </row>
    <row r="55055" spans="8:8">
      <c r="H55055" s="680" t="s">
        <v>6153</v>
      </c>
    </row>
    <row r="55056" spans="8:8">
      <c r="H55056" s="680" t="s">
        <v>6153</v>
      </c>
    </row>
    <row r="55057" spans="8:8">
      <c r="H55057" s="680" t="s">
        <v>6153</v>
      </c>
    </row>
    <row r="55058" spans="8:8">
      <c r="H55058" s="680" t="s">
        <v>6153</v>
      </c>
    </row>
    <row r="55059" spans="8:8">
      <c r="H55059" s="680" t="s">
        <v>6153</v>
      </c>
    </row>
    <row r="55060" spans="8:8">
      <c r="H55060" s="680" t="s">
        <v>6153</v>
      </c>
    </row>
    <row r="55061" spans="8:8">
      <c r="H55061" s="680" t="s">
        <v>6153</v>
      </c>
    </row>
    <row r="55062" spans="8:8">
      <c r="H55062" s="680" t="s">
        <v>6153</v>
      </c>
    </row>
    <row r="55063" spans="8:8">
      <c r="H55063" s="680" t="s">
        <v>6153</v>
      </c>
    </row>
    <row r="55064" spans="8:8">
      <c r="H55064" s="680" t="s">
        <v>6153</v>
      </c>
    </row>
    <row r="55065" spans="8:8">
      <c r="H55065" s="680" t="s">
        <v>6153</v>
      </c>
    </row>
    <row r="55066" spans="8:8">
      <c r="H55066" s="680" t="s">
        <v>6153</v>
      </c>
    </row>
    <row r="55067" spans="8:8">
      <c r="H55067" s="680" t="s">
        <v>6153</v>
      </c>
    </row>
    <row r="55068" spans="8:8">
      <c r="H55068" s="680" t="s">
        <v>6153</v>
      </c>
    </row>
    <row r="55069" spans="8:8">
      <c r="H55069" s="680" t="s">
        <v>6153</v>
      </c>
    </row>
    <row r="55070" spans="8:8">
      <c r="H55070" s="680" t="s">
        <v>6153</v>
      </c>
    </row>
    <row r="55071" spans="8:8">
      <c r="H55071" s="680" t="s">
        <v>6153</v>
      </c>
    </row>
    <row r="55072" spans="8:8">
      <c r="H55072" s="680" t="s">
        <v>6153</v>
      </c>
    </row>
    <row r="55073" spans="8:8">
      <c r="H55073" s="680" t="s">
        <v>6153</v>
      </c>
    </row>
    <row r="55074" spans="8:8">
      <c r="H55074" s="680" t="s">
        <v>6153</v>
      </c>
    </row>
    <row r="55075" spans="8:8">
      <c r="H55075" s="680" t="s">
        <v>6153</v>
      </c>
    </row>
    <row r="55076" spans="8:8">
      <c r="H55076" s="680" t="s">
        <v>6153</v>
      </c>
    </row>
    <row r="55077" spans="8:8">
      <c r="H55077" s="680" t="s">
        <v>6153</v>
      </c>
    </row>
    <row r="55078" spans="8:8">
      <c r="H55078" s="680" t="s">
        <v>6153</v>
      </c>
    </row>
    <row r="55079" spans="8:8">
      <c r="H55079" s="680" t="s">
        <v>6153</v>
      </c>
    </row>
    <row r="55080" spans="8:8">
      <c r="H55080" s="680" t="s">
        <v>6153</v>
      </c>
    </row>
    <row r="55081" spans="8:8">
      <c r="H55081" s="680" t="s">
        <v>6153</v>
      </c>
    </row>
    <row r="55082" spans="8:8">
      <c r="H55082" s="680" t="s">
        <v>6153</v>
      </c>
    </row>
    <row r="55083" spans="8:8">
      <c r="H55083" s="680" t="s">
        <v>6153</v>
      </c>
    </row>
    <row r="55084" spans="8:8">
      <c r="H55084" s="680" t="s">
        <v>6153</v>
      </c>
    </row>
    <row r="55085" spans="8:8">
      <c r="H55085" s="680" t="s">
        <v>6153</v>
      </c>
    </row>
    <row r="55086" spans="8:8">
      <c r="H55086" s="680" t="s">
        <v>6153</v>
      </c>
    </row>
    <row r="55087" spans="8:8">
      <c r="H55087" s="680" t="s">
        <v>6153</v>
      </c>
    </row>
    <row r="55088" spans="8:8">
      <c r="H55088" s="680" t="s">
        <v>6153</v>
      </c>
    </row>
    <row r="55089" spans="8:8">
      <c r="H55089" s="680" t="s">
        <v>6153</v>
      </c>
    </row>
    <row r="55090" spans="8:8">
      <c r="H55090" s="680" t="s">
        <v>6153</v>
      </c>
    </row>
    <row r="55091" spans="8:8">
      <c r="H55091" s="680" t="s">
        <v>6153</v>
      </c>
    </row>
    <row r="55092" spans="8:8">
      <c r="H55092" s="680" t="s">
        <v>6153</v>
      </c>
    </row>
    <row r="55093" spans="8:8">
      <c r="H55093" s="680" t="s">
        <v>6153</v>
      </c>
    </row>
    <row r="55094" spans="8:8">
      <c r="H55094" s="680" t="s">
        <v>6153</v>
      </c>
    </row>
    <row r="55095" spans="8:8">
      <c r="H55095" s="680" t="s">
        <v>6153</v>
      </c>
    </row>
    <row r="55096" spans="8:8">
      <c r="H55096" s="680" t="s">
        <v>6153</v>
      </c>
    </row>
    <row r="55097" spans="8:8">
      <c r="H55097" s="680" t="s">
        <v>6153</v>
      </c>
    </row>
    <row r="55098" spans="8:8">
      <c r="H55098" s="680" t="s">
        <v>6153</v>
      </c>
    </row>
    <row r="55099" spans="8:8">
      <c r="H55099" s="680" t="s">
        <v>6153</v>
      </c>
    </row>
    <row r="55100" spans="8:8">
      <c r="H55100" s="680" t="s">
        <v>6153</v>
      </c>
    </row>
    <row r="55101" spans="8:8">
      <c r="H55101" s="680" t="s">
        <v>6153</v>
      </c>
    </row>
    <row r="55102" spans="8:8">
      <c r="H55102" s="680" t="s">
        <v>6153</v>
      </c>
    </row>
    <row r="55103" spans="8:8">
      <c r="H55103" s="680" t="s">
        <v>6153</v>
      </c>
    </row>
    <row r="55104" spans="8:8">
      <c r="H55104" s="680" t="s">
        <v>6153</v>
      </c>
    </row>
    <row r="55105" spans="8:8">
      <c r="H55105" s="680" t="s">
        <v>6153</v>
      </c>
    </row>
    <row r="55106" spans="8:8">
      <c r="H55106" s="680" t="s">
        <v>6153</v>
      </c>
    </row>
    <row r="55107" spans="8:8">
      <c r="H55107" s="680" t="s">
        <v>6153</v>
      </c>
    </row>
    <row r="55108" spans="8:8">
      <c r="H55108" s="680" t="s">
        <v>6153</v>
      </c>
    </row>
    <row r="55109" spans="8:8">
      <c r="H55109" s="680" t="s">
        <v>6153</v>
      </c>
    </row>
    <row r="55110" spans="8:8">
      <c r="H55110" s="680" t="s">
        <v>6153</v>
      </c>
    </row>
    <row r="55111" spans="8:8">
      <c r="H55111" s="680" t="s">
        <v>6153</v>
      </c>
    </row>
    <row r="55112" spans="8:8">
      <c r="H55112" s="680" t="s">
        <v>6153</v>
      </c>
    </row>
    <row r="55113" spans="8:8">
      <c r="H55113" s="680" t="s">
        <v>6153</v>
      </c>
    </row>
    <row r="55114" spans="8:8">
      <c r="H55114" s="680" t="s">
        <v>6153</v>
      </c>
    </row>
    <row r="55115" spans="8:8">
      <c r="H55115" s="680" t="s">
        <v>6153</v>
      </c>
    </row>
    <row r="55116" spans="8:8">
      <c r="H55116" s="680" t="s">
        <v>6153</v>
      </c>
    </row>
    <row r="55117" spans="8:8">
      <c r="H55117" s="680" t="s">
        <v>6153</v>
      </c>
    </row>
    <row r="55118" spans="8:8">
      <c r="H55118" s="680" t="s">
        <v>6153</v>
      </c>
    </row>
    <row r="55119" spans="8:8">
      <c r="H55119" s="680" t="s">
        <v>6153</v>
      </c>
    </row>
    <row r="55120" spans="8:8">
      <c r="H55120" s="680" t="s">
        <v>6153</v>
      </c>
    </row>
    <row r="55121" spans="8:8">
      <c r="H55121" s="680" t="s">
        <v>6153</v>
      </c>
    </row>
    <row r="55122" spans="8:8">
      <c r="H55122" s="680" t="s">
        <v>6153</v>
      </c>
    </row>
    <row r="55123" spans="8:8">
      <c r="H55123" s="680" t="s">
        <v>6153</v>
      </c>
    </row>
    <row r="55124" spans="8:8">
      <c r="H55124" s="680" t="s">
        <v>6153</v>
      </c>
    </row>
    <row r="55125" spans="8:8">
      <c r="H55125" s="680" t="s">
        <v>6153</v>
      </c>
    </row>
    <row r="55126" spans="8:8">
      <c r="H55126" s="680" t="s">
        <v>6153</v>
      </c>
    </row>
    <row r="55127" spans="8:8">
      <c r="H55127" s="680" t="s">
        <v>6153</v>
      </c>
    </row>
    <row r="55128" spans="8:8">
      <c r="H55128" s="680" t="s">
        <v>6153</v>
      </c>
    </row>
    <row r="55129" spans="8:8">
      <c r="H55129" s="680" t="s">
        <v>6153</v>
      </c>
    </row>
    <row r="55130" spans="8:8">
      <c r="H55130" s="680" t="s">
        <v>6153</v>
      </c>
    </row>
    <row r="55131" spans="8:8">
      <c r="H55131" s="680" t="s">
        <v>6153</v>
      </c>
    </row>
    <row r="55132" spans="8:8">
      <c r="H55132" s="680" t="s">
        <v>6153</v>
      </c>
    </row>
    <row r="55133" spans="8:8">
      <c r="H55133" s="680" t="s">
        <v>6153</v>
      </c>
    </row>
    <row r="55134" spans="8:8">
      <c r="H55134" s="680" t="s">
        <v>6153</v>
      </c>
    </row>
    <row r="55135" spans="8:8">
      <c r="H55135" s="680" t="s">
        <v>6153</v>
      </c>
    </row>
    <row r="55136" spans="8:8">
      <c r="H55136" s="680" t="s">
        <v>6153</v>
      </c>
    </row>
    <row r="55137" spans="8:8">
      <c r="H55137" s="680" t="s">
        <v>6153</v>
      </c>
    </row>
    <row r="55138" spans="8:8">
      <c r="H55138" s="680" t="s">
        <v>6153</v>
      </c>
    </row>
    <row r="55139" spans="8:8">
      <c r="H55139" s="680" t="s">
        <v>6153</v>
      </c>
    </row>
    <row r="55140" spans="8:8">
      <c r="H55140" s="680" t="s">
        <v>6153</v>
      </c>
    </row>
    <row r="55141" spans="8:8">
      <c r="H55141" s="680" t="s">
        <v>6153</v>
      </c>
    </row>
    <row r="55142" spans="8:8">
      <c r="H55142" s="680" t="s">
        <v>6153</v>
      </c>
    </row>
    <row r="55143" spans="8:8">
      <c r="H55143" s="680" t="s">
        <v>6153</v>
      </c>
    </row>
    <row r="55144" spans="8:8">
      <c r="H55144" s="680" t="s">
        <v>6153</v>
      </c>
    </row>
    <row r="55145" spans="8:8">
      <c r="H55145" s="680" t="s">
        <v>6153</v>
      </c>
    </row>
    <row r="55146" spans="8:8">
      <c r="H55146" s="680" t="s">
        <v>6153</v>
      </c>
    </row>
    <row r="55147" spans="8:8">
      <c r="H55147" s="680" t="s">
        <v>6153</v>
      </c>
    </row>
    <row r="55148" spans="8:8">
      <c r="H55148" s="680" t="s">
        <v>6153</v>
      </c>
    </row>
    <row r="55149" spans="8:8">
      <c r="H55149" s="680" t="s">
        <v>6153</v>
      </c>
    </row>
    <row r="55150" spans="8:8">
      <c r="H55150" s="680" t="s">
        <v>6153</v>
      </c>
    </row>
    <row r="55151" spans="8:8">
      <c r="H55151" s="680" t="s">
        <v>6153</v>
      </c>
    </row>
    <row r="55152" spans="8:8">
      <c r="H55152" s="680" t="s">
        <v>6153</v>
      </c>
    </row>
    <row r="55153" spans="8:8">
      <c r="H55153" s="680" t="s">
        <v>6153</v>
      </c>
    </row>
    <row r="55154" spans="8:8">
      <c r="H55154" s="680" t="s">
        <v>6153</v>
      </c>
    </row>
    <row r="55155" spans="8:8">
      <c r="H55155" s="680" t="s">
        <v>6153</v>
      </c>
    </row>
    <row r="55156" spans="8:8">
      <c r="H55156" s="680" t="s">
        <v>6153</v>
      </c>
    </row>
    <row r="55157" spans="8:8">
      <c r="H55157" s="680" t="s">
        <v>6153</v>
      </c>
    </row>
    <row r="55158" spans="8:8">
      <c r="H55158" s="680" t="s">
        <v>6153</v>
      </c>
    </row>
    <row r="55159" spans="8:8">
      <c r="H55159" s="680" t="s">
        <v>6153</v>
      </c>
    </row>
    <row r="55160" spans="8:8">
      <c r="H55160" s="680" t="s">
        <v>6153</v>
      </c>
    </row>
    <row r="55161" spans="8:8">
      <c r="H55161" s="680" t="s">
        <v>6153</v>
      </c>
    </row>
    <row r="55162" spans="8:8">
      <c r="H55162" s="680" t="s">
        <v>6153</v>
      </c>
    </row>
    <row r="55163" spans="8:8">
      <c r="H55163" s="680" t="s">
        <v>6153</v>
      </c>
    </row>
    <row r="55164" spans="8:8">
      <c r="H55164" s="680" t="s">
        <v>6153</v>
      </c>
    </row>
    <row r="55165" spans="8:8">
      <c r="H55165" s="680" t="s">
        <v>6153</v>
      </c>
    </row>
    <row r="55166" spans="8:8">
      <c r="H55166" s="680" t="s">
        <v>6153</v>
      </c>
    </row>
    <row r="55167" spans="8:8">
      <c r="H55167" s="680" t="s">
        <v>6153</v>
      </c>
    </row>
    <row r="55168" spans="8:8">
      <c r="H55168" s="680" t="s">
        <v>6153</v>
      </c>
    </row>
    <row r="55169" spans="8:8">
      <c r="H55169" s="680" t="s">
        <v>6153</v>
      </c>
    </row>
    <row r="55170" spans="8:8">
      <c r="H55170" s="680" t="s">
        <v>6153</v>
      </c>
    </row>
    <row r="55171" spans="8:8">
      <c r="H55171" s="680" t="s">
        <v>6153</v>
      </c>
    </row>
    <row r="55172" spans="8:8">
      <c r="H55172" s="680" t="s">
        <v>6153</v>
      </c>
    </row>
    <row r="55173" spans="8:8">
      <c r="H55173" s="680" t="s">
        <v>6153</v>
      </c>
    </row>
    <row r="55174" spans="8:8">
      <c r="H55174" s="680" t="s">
        <v>6153</v>
      </c>
    </row>
    <row r="55175" spans="8:8">
      <c r="H55175" s="680" t="s">
        <v>6153</v>
      </c>
    </row>
    <row r="55176" spans="8:8">
      <c r="H55176" s="680" t="s">
        <v>6153</v>
      </c>
    </row>
    <row r="55177" spans="8:8">
      <c r="H55177" s="680" t="s">
        <v>6153</v>
      </c>
    </row>
    <row r="55178" spans="8:8">
      <c r="H55178" s="680" t="s">
        <v>6153</v>
      </c>
    </row>
    <row r="55179" spans="8:8">
      <c r="H55179" s="680" t="s">
        <v>6153</v>
      </c>
    </row>
    <row r="55180" spans="8:8">
      <c r="H55180" s="680" t="s">
        <v>6153</v>
      </c>
    </row>
    <row r="55181" spans="8:8">
      <c r="H55181" s="680" t="s">
        <v>6153</v>
      </c>
    </row>
    <row r="55182" spans="8:8">
      <c r="H55182" s="680" t="s">
        <v>6153</v>
      </c>
    </row>
    <row r="55183" spans="8:8">
      <c r="H55183" s="680" t="s">
        <v>6153</v>
      </c>
    </row>
    <row r="55184" spans="8:8">
      <c r="H55184" s="680" t="s">
        <v>6153</v>
      </c>
    </row>
    <row r="55185" spans="8:8">
      <c r="H55185" s="680" t="s">
        <v>6153</v>
      </c>
    </row>
    <row r="55186" spans="8:8">
      <c r="H55186" s="680" t="s">
        <v>6153</v>
      </c>
    </row>
    <row r="55187" spans="8:8">
      <c r="H55187" s="680" t="s">
        <v>6153</v>
      </c>
    </row>
    <row r="55188" spans="8:8">
      <c r="H55188" s="680" t="s">
        <v>6153</v>
      </c>
    </row>
    <row r="55189" spans="8:8">
      <c r="H55189" s="680" t="s">
        <v>6153</v>
      </c>
    </row>
    <row r="55190" spans="8:8">
      <c r="H55190" s="680" t="s">
        <v>6153</v>
      </c>
    </row>
    <row r="55191" spans="8:8">
      <c r="H55191" s="680" t="s">
        <v>6153</v>
      </c>
    </row>
    <row r="55192" spans="8:8">
      <c r="H55192" s="680" t="s">
        <v>6153</v>
      </c>
    </row>
    <row r="55193" spans="8:8">
      <c r="H55193" s="680" t="s">
        <v>6153</v>
      </c>
    </row>
    <row r="55194" spans="8:8">
      <c r="H55194" s="680" t="s">
        <v>6153</v>
      </c>
    </row>
    <row r="55195" spans="8:8">
      <c r="H55195" s="680" t="s">
        <v>6153</v>
      </c>
    </row>
    <row r="55196" spans="8:8">
      <c r="H55196" s="680" t="s">
        <v>6153</v>
      </c>
    </row>
    <row r="55197" spans="8:8">
      <c r="H55197" s="680" t="s">
        <v>6153</v>
      </c>
    </row>
    <row r="55198" spans="8:8">
      <c r="H55198" s="680" t="s">
        <v>6153</v>
      </c>
    </row>
    <row r="55199" spans="8:8">
      <c r="H55199" s="680" t="s">
        <v>6153</v>
      </c>
    </row>
    <row r="55200" spans="8:8">
      <c r="H55200" s="680" t="s">
        <v>6153</v>
      </c>
    </row>
    <row r="55201" spans="8:8">
      <c r="H55201" s="680" t="s">
        <v>6153</v>
      </c>
    </row>
    <row r="55202" spans="8:8">
      <c r="H55202" s="680" t="s">
        <v>6153</v>
      </c>
    </row>
    <row r="55203" spans="8:8">
      <c r="H55203" s="680" t="s">
        <v>6153</v>
      </c>
    </row>
    <row r="55204" spans="8:8">
      <c r="H55204" s="680" t="s">
        <v>6153</v>
      </c>
    </row>
    <row r="55205" spans="8:8">
      <c r="H55205" s="680" t="s">
        <v>6153</v>
      </c>
    </row>
    <row r="55206" spans="8:8">
      <c r="H55206" s="680" t="s">
        <v>6153</v>
      </c>
    </row>
    <row r="55207" spans="8:8">
      <c r="H55207" s="680" t="s">
        <v>6153</v>
      </c>
    </row>
    <row r="55208" spans="8:8">
      <c r="H55208" s="680" t="s">
        <v>6153</v>
      </c>
    </row>
    <row r="55209" spans="8:8">
      <c r="H55209" s="680" t="s">
        <v>6153</v>
      </c>
    </row>
    <row r="55210" spans="8:8">
      <c r="H55210" s="680" t="s">
        <v>6153</v>
      </c>
    </row>
    <row r="55211" spans="8:8">
      <c r="H55211" s="680" t="s">
        <v>6153</v>
      </c>
    </row>
    <row r="55212" spans="8:8">
      <c r="H55212" s="680" t="s">
        <v>6153</v>
      </c>
    </row>
    <row r="55213" spans="8:8">
      <c r="H55213" s="680" t="s">
        <v>6153</v>
      </c>
    </row>
    <row r="55214" spans="8:8">
      <c r="H55214" s="680" t="s">
        <v>6153</v>
      </c>
    </row>
    <row r="55215" spans="8:8">
      <c r="H55215" s="680" t="s">
        <v>6153</v>
      </c>
    </row>
    <row r="55216" spans="8:8">
      <c r="H55216" s="680" t="s">
        <v>6153</v>
      </c>
    </row>
    <row r="55217" spans="8:8">
      <c r="H55217" s="680" t="s">
        <v>6153</v>
      </c>
    </row>
    <row r="55218" spans="8:8">
      <c r="H55218" s="680" t="s">
        <v>6153</v>
      </c>
    </row>
    <row r="55219" spans="8:8">
      <c r="H55219" s="680" t="s">
        <v>6153</v>
      </c>
    </row>
    <row r="55220" spans="8:8">
      <c r="H55220" s="680" t="s">
        <v>6153</v>
      </c>
    </row>
    <row r="55221" spans="8:8">
      <c r="H55221" s="680" t="s">
        <v>6153</v>
      </c>
    </row>
    <row r="55222" spans="8:8">
      <c r="H55222" s="680" t="s">
        <v>6153</v>
      </c>
    </row>
    <row r="55223" spans="8:8">
      <c r="H55223" s="680" t="s">
        <v>6153</v>
      </c>
    </row>
    <row r="55224" spans="8:8">
      <c r="H55224" s="680" t="s">
        <v>6153</v>
      </c>
    </row>
    <row r="55225" spans="8:8">
      <c r="H55225" s="680" t="s">
        <v>6153</v>
      </c>
    </row>
    <row r="55226" spans="8:8">
      <c r="H55226" s="680" t="s">
        <v>6153</v>
      </c>
    </row>
    <row r="55227" spans="8:8">
      <c r="H55227" s="680" t="s">
        <v>6153</v>
      </c>
    </row>
    <row r="55228" spans="8:8">
      <c r="H55228" s="680" t="s">
        <v>6153</v>
      </c>
    </row>
    <row r="55229" spans="8:8">
      <c r="H55229" s="680" t="s">
        <v>6153</v>
      </c>
    </row>
    <row r="55230" spans="8:8">
      <c r="H55230" s="680" t="s">
        <v>6153</v>
      </c>
    </row>
    <row r="55231" spans="8:8">
      <c r="H55231" s="680" t="s">
        <v>6153</v>
      </c>
    </row>
    <row r="55232" spans="8:8">
      <c r="H55232" s="680" t="s">
        <v>6153</v>
      </c>
    </row>
    <row r="55233" spans="8:8">
      <c r="H55233" s="680" t="s">
        <v>6153</v>
      </c>
    </row>
    <row r="55234" spans="8:8">
      <c r="H55234" s="680" t="s">
        <v>6153</v>
      </c>
    </row>
    <row r="55235" spans="8:8">
      <c r="H55235" s="680" t="s">
        <v>6153</v>
      </c>
    </row>
    <row r="55236" spans="8:8">
      <c r="H55236" s="680" t="s">
        <v>6153</v>
      </c>
    </row>
    <row r="55237" spans="8:8">
      <c r="H55237" s="680" t="s">
        <v>6153</v>
      </c>
    </row>
    <row r="55238" spans="8:8">
      <c r="H55238" s="680" t="s">
        <v>6153</v>
      </c>
    </row>
    <row r="55239" spans="8:8">
      <c r="H55239" s="680" t="s">
        <v>6153</v>
      </c>
    </row>
    <row r="55240" spans="8:8">
      <c r="H55240" s="680" t="s">
        <v>6153</v>
      </c>
    </row>
    <row r="55241" spans="8:8">
      <c r="H55241" s="680" t="s">
        <v>6153</v>
      </c>
    </row>
    <row r="55242" spans="8:8">
      <c r="H55242" s="680" t="s">
        <v>6153</v>
      </c>
    </row>
    <row r="55243" spans="8:8">
      <c r="H55243" s="680" t="s">
        <v>6153</v>
      </c>
    </row>
    <row r="55244" spans="8:8">
      <c r="H55244" s="680" t="s">
        <v>6153</v>
      </c>
    </row>
    <row r="55245" spans="8:8">
      <c r="H55245" s="680" t="s">
        <v>6153</v>
      </c>
    </row>
    <row r="55246" spans="8:8">
      <c r="H55246" s="680" t="s">
        <v>6153</v>
      </c>
    </row>
    <row r="55247" spans="8:8">
      <c r="H55247" s="680" t="s">
        <v>6153</v>
      </c>
    </row>
    <row r="55248" spans="8:8">
      <c r="H55248" s="680" t="s">
        <v>6153</v>
      </c>
    </row>
    <row r="55249" spans="8:8">
      <c r="H55249" s="680" t="s">
        <v>6153</v>
      </c>
    </row>
    <row r="55250" spans="8:8">
      <c r="H55250" s="680" t="s">
        <v>6153</v>
      </c>
    </row>
    <row r="55251" spans="8:8">
      <c r="H55251" s="680" t="s">
        <v>6153</v>
      </c>
    </row>
    <row r="55252" spans="8:8">
      <c r="H55252" s="680" t="s">
        <v>6153</v>
      </c>
    </row>
    <row r="55253" spans="8:8">
      <c r="H55253" s="680" t="s">
        <v>6153</v>
      </c>
    </row>
    <row r="55254" spans="8:8">
      <c r="H55254" s="680" t="s">
        <v>6153</v>
      </c>
    </row>
    <row r="55255" spans="8:8">
      <c r="H55255" s="680" t="s">
        <v>6153</v>
      </c>
    </row>
    <row r="55256" spans="8:8">
      <c r="H55256" s="680" t="s">
        <v>6153</v>
      </c>
    </row>
    <row r="55257" spans="8:8">
      <c r="H55257" s="680" t="s">
        <v>6153</v>
      </c>
    </row>
    <row r="55258" spans="8:8">
      <c r="H55258" s="680" t="s">
        <v>6153</v>
      </c>
    </row>
    <row r="55259" spans="8:8">
      <c r="H55259" s="680" t="s">
        <v>6153</v>
      </c>
    </row>
    <row r="55260" spans="8:8">
      <c r="H55260" s="680" t="s">
        <v>6153</v>
      </c>
    </row>
    <row r="55261" spans="8:8">
      <c r="H55261" s="680" t="s">
        <v>6153</v>
      </c>
    </row>
    <row r="55262" spans="8:8">
      <c r="H55262" s="680" t="s">
        <v>6153</v>
      </c>
    </row>
    <row r="55263" spans="8:8">
      <c r="H55263" s="680" t="s">
        <v>6153</v>
      </c>
    </row>
    <row r="55264" spans="8:8">
      <c r="H55264" s="680" t="s">
        <v>6153</v>
      </c>
    </row>
    <row r="55265" spans="8:8">
      <c r="H55265" s="680" t="s">
        <v>6153</v>
      </c>
    </row>
    <row r="55266" spans="8:8">
      <c r="H55266" s="680" t="s">
        <v>6153</v>
      </c>
    </row>
    <row r="55267" spans="8:8">
      <c r="H55267" s="680" t="s">
        <v>6153</v>
      </c>
    </row>
    <row r="55268" spans="8:8">
      <c r="H55268" s="680" t="s">
        <v>6153</v>
      </c>
    </row>
    <row r="55269" spans="8:8">
      <c r="H55269" s="680" t="s">
        <v>6153</v>
      </c>
    </row>
    <row r="55270" spans="8:8">
      <c r="H55270" s="680" t="s">
        <v>6153</v>
      </c>
    </row>
    <row r="55271" spans="8:8">
      <c r="H55271" s="680" t="s">
        <v>6153</v>
      </c>
    </row>
    <row r="55272" spans="8:8">
      <c r="H55272" s="680" t="s">
        <v>6153</v>
      </c>
    </row>
    <row r="55273" spans="8:8">
      <c r="H55273" s="680" t="s">
        <v>6153</v>
      </c>
    </row>
    <row r="55274" spans="8:8">
      <c r="H55274" s="680" t="s">
        <v>6153</v>
      </c>
    </row>
    <row r="55275" spans="8:8">
      <c r="H55275" s="680" t="s">
        <v>6153</v>
      </c>
    </row>
    <row r="55276" spans="8:8">
      <c r="H55276" s="680" t="s">
        <v>6153</v>
      </c>
    </row>
    <row r="55277" spans="8:8">
      <c r="H55277" s="680" t="s">
        <v>6153</v>
      </c>
    </row>
    <row r="55278" spans="8:8">
      <c r="H55278" s="680" t="s">
        <v>6153</v>
      </c>
    </row>
    <row r="55279" spans="8:8">
      <c r="H55279" s="680" t="s">
        <v>6153</v>
      </c>
    </row>
    <row r="55280" spans="8:8">
      <c r="H55280" s="680" t="s">
        <v>6153</v>
      </c>
    </row>
    <row r="55281" spans="8:8">
      <c r="H55281" s="680" t="s">
        <v>6153</v>
      </c>
    </row>
    <row r="55282" spans="8:8">
      <c r="H55282" s="680" t="s">
        <v>6153</v>
      </c>
    </row>
    <row r="55283" spans="8:8">
      <c r="H55283" s="680" t="s">
        <v>6153</v>
      </c>
    </row>
    <row r="55284" spans="8:8">
      <c r="H55284" s="680" t="s">
        <v>6153</v>
      </c>
    </row>
    <row r="55285" spans="8:8">
      <c r="H55285" s="680" t="s">
        <v>6153</v>
      </c>
    </row>
    <row r="55286" spans="8:8">
      <c r="H55286" s="680" t="s">
        <v>6153</v>
      </c>
    </row>
    <row r="55287" spans="8:8">
      <c r="H55287" s="680" t="s">
        <v>6153</v>
      </c>
    </row>
    <row r="55288" spans="8:8">
      <c r="H55288" s="680" t="s">
        <v>6153</v>
      </c>
    </row>
    <row r="55289" spans="8:8">
      <c r="H55289" s="680" t="s">
        <v>6153</v>
      </c>
    </row>
    <row r="55290" spans="8:8">
      <c r="H55290" s="680" t="s">
        <v>6153</v>
      </c>
    </row>
    <row r="55291" spans="8:8">
      <c r="H55291" s="680" t="s">
        <v>6153</v>
      </c>
    </row>
    <row r="55292" spans="8:8">
      <c r="H55292" s="680" t="s">
        <v>6153</v>
      </c>
    </row>
    <row r="55293" spans="8:8">
      <c r="H55293" s="680" t="s">
        <v>6153</v>
      </c>
    </row>
    <row r="55294" spans="8:8">
      <c r="H55294" s="680" t="s">
        <v>6153</v>
      </c>
    </row>
    <row r="55295" spans="8:8">
      <c r="H55295" s="680" t="s">
        <v>6153</v>
      </c>
    </row>
    <row r="55296" spans="8:8">
      <c r="H55296" s="680" t="s">
        <v>6153</v>
      </c>
    </row>
    <row r="55297" spans="8:8">
      <c r="H55297" s="680" t="s">
        <v>6153</v>
      </c>
    </row>
    <row r="55298" spans="8:8">
      <c r="H55298" s="680" t="s">
        <v>6153</v>
      </c>
    </row>
    <row r="55299" spans="8:8">
      <c r="H55299" s="680" t="s">
        <v>6153</v>
      </c>
    </row>
    <row r="55300" spans="8:8">
      <c r="H55300" s="680" t="s">
        <v>6153</v>
      </c>
    </row>
    <row r="55301" spans="8:8">
      <c r="H55301" s="680" t="s">
        <v>6153</v>
      </c>
    </row>
    <row r="55302" spans="8:8">
      <c r="H55302" s="680" t="s">
        <v>6153</v>
      </c>
    </row>
    <row r="55303" spans="8:8">
      <c r="H55303" s="680" t="s">
        <v>6153</v>
      </c>
    </row>
    <row r="55304" spans="8:8">
      <c r="H55304" s="680" t="s">
        <v>6153</v>
      </c>
    </row>
    <row r="55305" spans="8:8">
      <c r="H55305" s="680" t="s">
        <v>6153</v>
      </c>
    </row>
    <row r="55306" spans="8:8">
      <c r="H55306" s="680" t="s">
        <v>6153</v>
      </c>
    </row>
    <row r="55307" spans="8:8">
      <c r="H55307" s="680" t="s">
        <v>6153</v>
      </c>
    </row>
    <row r="55308" spans="8:8">
      <c r="H55308" s="680" t="s">
        <v>6153</v>
      </c>
    </row>
    <row r="55309" spans="8:8">
      <c r="H55309" s="680" t="s">
        <v>6153</v>
      </c>
    </row>
    <row r="55310" spans="8:8">
      <c r="H55310" s="680" t="s">
        <v>6153</v>
      </c>
    </row>
    <row r="55311" spans="8:8">
      <c r="H55311" s="680" t="s">
        <v>6153</v>
      </c>
    </row>
    <row r="55312" spans="8:8">
      <c r="H55312" s="680" t="s">
        <v>6153</v>
      </c>
    </row>
    <row r="55313" spans="8:8">
      <c r="H55313" s="680" t="s">
        <v>6153</v>
      </c>
    </row>
    <row r="55314" spans="8:8">
      <c r="H55314" s="680" t="s">
        <v>6153</v>
      </c>
    </row>
    <row r="55315" spans="8:8">
      <c r="H55315" s="680" t="s">
        <v>6153</v>
      </c>
    </row>
    <row r="55316" spans="8:8">
      <c r="H55316" s="680" t="s">
        <v>6153</v>
      </c>
    </row>
    <row r="55317" spans="8:8">
      <c r="H55317" s="680" t="s">
        <v>6153</v>
      </c>
    </row>
    <row r="55318" spans="8:8">
      <c r="H55318" s="680" t="s">
        <v>6153</v>
      </c>
    </row>
    <row r="55319" spans="8:8">
      <c r="H55319" s="680" t="s">
        <v>6153</v>
      </c>
    </row>
    <row r="55320" spans="8:8">
      <c r="H55320" s="680" t="s">
        <v>6153</v>
      </c>
    </row>
    <row r="55321" spans="8:8">
      <c r="H55321" s="680" t="s">
        <v>6153</v>
      </c>
    </row>
    <row r="55322" spans="8:8">
      <c r="H55322" s="680" t="s">
        <v>6153</v>
      </c>
    </row>
    <row r="55323" spans="8:8">
      <c r="H55323" s="680" t="s">
        <v>6153</v>
      </c>
    </row>
    <row r="55324" spans="8:8">
      <c r="H55324" s="680" t="s">
        <v>6153</v>
      </c>
    </row>
    <row r="55325" spans="8:8">
      <c r="H55325" s="680" t="s">
        <v>6153</v>
      </c>
    </row>
    <row r="55326" spans="8:8">
      <c r="H55326" s="680" t="s">
        <v>6153</v>
      </c>
    </row>
    <row r="55327" spans="8:8">
      <c r="H55327" s="680" t="s">
        <v>6153</v>
      </c>
    </row>
    <row r="55328" spans="8:8">
      <c r="H55328" s="680" t="s">
        <v>6153</v>
      </c>
    </row>
    <row r="55329" spans="8:8">
      <c r="H55329" s="680" t="s">
        <v>6153</v>
      </c>
    </row>
    <row r="55330" spans="8:8">
      <c r="H55330" s="680" t="s">
        <v>6153</v>
      </c>
    </row>
    <row r="55331" spans="8:8">
      <c r="H55331" s="680" t="s">
        <v>6153</v>
      </c>
    </row>
    <row r="55332" spans="8:8">
      <c r="H55332" s="680" t="s">
        <v>6153</v>
      </c>
    </row>
    <row r="55333" spans="8:8">
      <c r="H55333" s="680" t="s">
        <v>6153</v>
      </c>
    </row>
    <row r="55334" spans="8:8">
      <c r="H55334" s="680" t="s">
        <v>6153</v>
      </c>
    </row>
    <row r="55335" spans="8:8">
      <c r="H55335" s="680" t="s">
        <v>6153</v>
      </c>
    </row>
    <row r="55336" spans="8:8">
      <c r="H55336" s="680" t="s">
        <v>6153</v>
      </c>
    </row>
    <row r="55337" spans="8:8">
      <c r="H55337" s="680" t="s">
        <v>6153</v>
      </c>
    </row>
    <row r="55338" spans="8:8">
      <c r="H55338" s="680" t="s">
        <v>6153</v>
      </c>
    </row>
    <row r="55339" spans="8:8">
      <c r="H55339" s="680" t="s">
        <v>6153</v>
      </c>
    </row>
    <row r="55340" spans="8:8">
      <c r="H55340" s="680" t="s">
        <v>6153</v>
      </c>
    </row>
    <row r="55341" spans="8:8">
      <c r="H55341" s="680" t="s">
        <v>6153</v>
      </c>
    </row>
    <row r="55342" spans="8:8">
      <c r="H55342" s="680" t="s">
        <v>6153</v>
      </c>
    </row>
    <row r="55343" spans="8:8">
      <c r="H55343" s="680" t="s">
        <v>6153</v>
      </c>
    </row>
    <row r="55344" spans="8:8">
      <c r="H55344" s="680" t="s">
        <v>6153</v>
      </c>
    </row>
    <row r="55345" spans="8:8">
      <c r="H55345" s="680" t="s">
        <v>6153</v>
      </c>
    </row>
    <row r="55346" spans="8:8">
      <c r="H55346" s="680" t="s">
        <v>6153</v>
      </c>
    </row>
    <row r="55347" spans="8:8">
      <c r="H55347" s="680" t="s">
        <v>6153</v>
      </c>
    </row>
    <row r="55348" spans="8:8">
      <c r="H55348" s="680" t="s">
        <v>6153</v>
      </c>
    </row>
    <row r="55349" spans="8:8">
      <c r="H55349" s="680" t="s">
        <v>6153</v>
      </c>
    </row>
    <row r="55350" spans="8:8">
      <c r="H55350" s="680" t="s">
        <v>6153</v>
      </c>
    </row>
    <row r="55351" spans="8:8">
      <c r="H55351" s="680" t="s">
        <v>6153</v>
      </c>
    </row>
    <row r="55352" spans="8:8">
      <c r="H55352" s="680" t="s">
        <v>6153</v>
      </c>
    </row>
    <row r="55353" spans="8:8">
      <c r="H55353" s="680" t="s">
        <v>6153</v>
      </c>
    </row>
    <row r="55354" spans="8:8">
      <c r="H55354" s="680" t="s">
        <v>6153</v>
      </c>
    </row>
    <row r="55355" spans="8:8">
      <c r="H55355" s="680" t="s">
        <v>6153</v>
      </c>
    </row>
    <row r="55356" spans="8:8">
      <c r="H55356" s="680" t="s">
        <v>6153</v>
      </c>
    </row>
    <row r="55357" spans="8:8">
      <c r="H55357" s="680" t="s">
        <v>6153</v>
      </c>
    </row>
    <row r="55358" spans="8:8">
      <c r="H55358" s="680" t="s">
        <v>6153</v>
      </c>
    </row>
    <row r="55359" spans="8:8">
      <c r="H55359" s="680" t="s">
        <v>6153</v>
      </c>
    </row>
    <row r="55360" spans="8:8">
      <c r="H55360" s="680" t="s">
        <v>6153</v>
      </c>
    </row>
    <row r="55361" spans="8:8">
      <c r="H55361" s="680" t="s">
        <v>6153</v>
      </c>
    </row>
    <row r="55362" spans="8:8">
      <c r="H55362" s="680" t="s">
        <v>6153</v>
      </c>
    </row>
    <row r="55363" spans="8:8">
      <c r="H55363" s="680" t="s">
        <v>6153</v>
      </c>
    </row>
    <row r="55364" spans="8:8">
      <c r="H55364" s="680" t="s">
        <v>6153</v>
      </c>
    </row>
    <row r="55365" spans="8:8">
      <c r="H55365" s="680" t="s">
        <v>6153</v>
      </c>
    </row>
    <row r="55366" spans="8:8">
      <c r="H55366" s="680" t="s">
        <v>6153</v>
      </c>
    </row>
    <row r="55367" spans="8:8">
      <c r="H55367" s="680" t="s">
        <v>6153</v>
      </c>
    </row>
    <row r="55368" spans="8:8">
      <c r="H55368" s="680" t="s">
        <v>6153</v>
      </c>
    </row>
    <row r="55369" spans="8:8">
      <c r="H55369" s="680" t="s">
        <v>6153</v>
      </c>
    </row>
    <row r="55370" spans="8:8">
      <c r="H55370" s="680" t="s">
        <v>6153</v>
      </c>
    </row>
    <row r="55371" spans="8:8">
      <c r="H55371" s="680" t="s">
        <v>6153</v>
      </c>
    </row>
    <row r="55372" spans="8:8">
      <c r="H55372" s="680" t="s">
        <v>6153</v>
      </c>
    </row>
    <row r="55373" spans="8:8">
      <c r="H55373" s="680" t="s">
        <v>6153</v>
      </c>
    </row>
    <row r="55374" spans="8:8">
      <c r="H55374" s="680" t="s">
        <v>6153</v>
      </c>
    </row>
    <row r="55375" spans="8:8">
      <c r="H55375" s="680" t="s">
        <v>6153</v>
      </c>
    </row>
    <row r="55376" spans="8:8">
      <c r="H55376" s="680" t="s">
        <v>6153</v>
      </c>
    </row>
    <row r="55377" spans="8:8">
      <c r="H55377" s="680" t="s">
        <v>6153</v>
      </c>
    </row>
    <row r="55378" spans="8:8">
      <c r="H55378" s="680" t="s">
        <v>6153</v>
      </c>
    </row>
    <row r="55379" spans="8:8">
      <c r="H55379" s="680" t="s">
        <v>6153</v>
      </c>
    </row>
    <row r="55380" spans="8:8">
      <c r="H55380" s="680" t="s">
        <v>6153</v>
      </c>
    </row>
    <row r="55381" spans="8:8">
      <c r="H55381" s="680" t="s">
        <v>6153</v>
      </c>
    </row>
    <row r="55382" spans="8:8">
      <c r="H55382" s="680" t="s">
        <v>6153</v>
      </c>
    </row>
    <row r="55383" spans="8:8">
      <c r="H55383" s="680" t="s">
        <v>6153</v>
      </c>
    </row>
    <row r="55384" spans="8:8">
      <c r="H55384" s="680" t="s">
        <v>6153</v>
      </c>
    </row>
    <row r="55385" spans="8:8">
      <c r="H55385" s="680" t="s">
        <v>6153</v>
      </c>
    </row>
    <row r="55386" spans="8:8">
      <c r="H55386" s="680" t="s">
        <v>6153</v>
      </c>
    </row>
    <row r="55387" spans="8:8">
      <c r="H55387" s="680" t="s">
        <v>6153</v>
      </c>
    </row>
    <row r="55388" spans="8:8">
      <c r="H55388" s="680" t="s">
        <v>6153</v>
      </c>
    </row>
    <row r="55389" spans="8:8">
      <c r="H55389" s="680" t="s">
        <v>6153</v>
      </c>
    </row>
    <row r="55390" spans="8:8">
      <c r="H55390" s="680" t="s">
        <v>6153</v>
      </c>
    </row>
    <row r="55391" spans="8:8">
      <c r="H55391" s="680" t="s">
        <v>6153</v>
      </c>
    </row>
    <row r="55392" spans="8:8">
      <c r="H55392" s="680" t="s">
        <v>6153</v>
      </c>
    </row>
    <row r="55393" spans="8:8">
      <c r="H55393" s="680" t="s">
        <v>6153</v>
      </c>
    </row>
    <row r="55394" spans="8:8">
      <c r="H55394" s="680" t="s">
        <v>6153</v>
      </c>
    </row>
    <row r="55395" spans="8:8">
      <c r="H55395" s="680" t="s">
        <v>6153</v>
      </c>
    </row>
    <row r="55396" spans="8:8">
      <c r="H55396" s="680" t="s">
        <v>6153</v>
      </c>
    </row>
    <row r="55397" spans="8:8">
      <c r="H55397" s="680" t="s">
        <v>6153</v>
      </c>
    </row>
    <row r="55398" spans="8:8">
      <c r="H55398" s="680" t="s">
        <v>6153</v>
      </c>
    </row>
    <row r="55399" spans="8:8">
      <c r="H55399" s="680" t="s">
        <v>6153</v>
      </c>
    </row>
    <row r="55400" spans="8:8">
      <c r="H55400" s="680" t="s">
        <v>6153</v>
      </c>
    </row>
    <row r="55401" spans="8:8">
      <c r="H55401" s="680" t="s">
        <v>6153</v>
      </c>
    </row>
    <row r="55402" spans="8:8">
      <c r="H55402" s="680" t="s">
        <v>6153</v>
      </c>
    </row>
    <row r="55403" spans="8:8">
      <c r="H55403" s="680" t="s">
        <v>6153</v>
      </c>
    </row>
    <row r="55404" spans="8:8">
      <c r="H55404" s="680" t="s">
        <v>6153</v>
      </c>
    </row>
    <row r="55405" spans="8:8">
      <c r="H55405" s="680" t="s">
        <v>6153</v>
      </c>
    </row>
    <row r="55406" spans="8:8">
      <c r="H55406" s="680" t="s">
        <v>6153</v>
      </c>
    </row>
    <row r="55407" spans="8:8">
      <c r="H55407" s="680" t="s">
        <v>6153</v>
      </c>
    </row>
    <row r="55408" spans="8:8">
      <c r="H55408" s="680" t="s">
        <v>6153</v>
      </c>
    </row>
    <row r="55409" spans="8:8">
      <c r="H55409" s="680" t="s">
        <v>6153</v>
      </c>
    </row>
    <row r="55410" spans="8:8">
      <c r="H55410" s="680" t="s">
        <v>6153</v>
      </c>
    </row>
    <row r="55411" spans="8:8">
      <c r="H55411" s="680" t="s">
        <v>6153</v>
      </c>
    </row>
    <row r="55412" spans="8:8">
      <c r="H55412" s="680" t="s">
        <v>6153</v>
      </c>
    </row>
    <row r="55413" spans="8:8">
      <c r="H55413" s="680" t="s">
        <v>6153</v>
      </c>
    </row>
    <row r="55414" spans="8:8">
      <c r="H55414" s="680" t="s">
        <v>6153</v>
      </c>
    </row>
    <row r="55415" spans="8:8">
      <c r="H55415" s="680" t="s">
        <v>6153</v>
      </c>
    </row>
    <row r="55416" spans="8:8">
      <c r="H55416" s="680" t="s">
        <v>6153</v>
      </c>
    </row>
    <row r="55417" spans="8:8">
      <c r="H55417" s="680" t="s">
        <v>6153</v>
      </c>
    </row>
    <row r="55418" spans="8:8">
      <c r="H55418" s="680" t="s">
        <v>6153</v>
      </c>
    </row>
    <row r="55419" spans="8:8">
      <c r="H55419" s="680" t="s">
        <v>6153</v>
      </c>
    </row>
    <row r="55420" spans="8:8">
      <c r="H55420" s="680" t="s">
        <v>6153</v>
      </c>
    </row>
    <row r="55421" spans="8:8">
      <c r="H55421" s="680" t="s">
        <v>6153</v>
      </c>
    </row>
    <row r="55422" spans="8:8">
      <c r="H55422" s="680" t="s">
        <v>6153</v>
      </c>
    </row>
    <row r="55423" spans="8:8">
      <c r="H55423" s="680" t="s">
        <v>6153</v>
      </c>
    </row>
    <row r="55424" spans="8:8">
      <c r="H55424" s="680" t="s">
        <v>6153</v>
      </c>
    </row>
    <row r="55425" spans="8:8">
      <c r="H55425" s="680" t="s">
        <v>6153</v>
      </c>
    </row>
    <row r="55426" spans="8:8">
      <c r="H55426" s="680" t="s">
        <v>6153</v>
      </c>
    </row>
    <row r="55427" spans="8:8">
      <c r="H55427" s="680" t="s">
        <v>6153</v>
      </c>
    </row>
    <row r="55428" spans="8:8">
      <c r="H55428" s="680" t="s">
        <v>6153</v>
      </c>
    </row>
    <row r="55429" spans="8:8">
      <c r="H55429" s="680" t="s">
        <v>6153</v>
      </c>
    </row>
    <row r="55430" spans="8:8">
      <c r="H55430" s="680" t="s">
        <v>6153</v>
      </c>
    </row>
    <row r="55431" spans="8:8">
      <c r="H55431" s="680" t="s">
        <v>6153</v>
      </c>
    </row>
    <row r="55432" spans="8:8">
      <c r="H55432" s="680" t="s">
        <v>6153</v>
      </c>
    </row>
    <row r="55433" spans="8:8">
      <c r="H55433" s="680" t="s">
        <v>6153</v>
      </c>
    </row>
    <row r="55434" spans="8:8">
      <c r="H55434" s="680" t="s">
        <v>6153</v>
      </c>
    </row>
    <row r="55435" spans="8:8">
      <c r="H55435" s="680" t="s">
        <v>6153</v>
      </c>
    </row>
    <row r="55436" spans="8:8">
      <c r="H55436" s="680" t="s">
        <v>6153</v>
      </c>
    </row>
    <row r="55437" spans="8:8">
      <c r="H55437" s="680" t="s">
        <v>6153</v>
      </c>
    </row>
    <row r="55438" spans="8:8">
      <c r="H55438" s="680" t="s">
        <v>6153</v>
      </c>
    </row>
    <row r="55439" spans="8:8">
      <c r="H55439" s="680" t="s">
        <v>6153</v>
      </c>
    </row>
    <row r="55440" spans="8:8">
      <c r="H55440" s="680" t="s">
        <v>6153</v>
      </c>
    </row>
    <row r="55441" spans="8:8">
      <c r="H55441" s="680" t="s">
        <v>6153</v>
      </c>
    </row>
    <row r="55442" spans="8:8">
      <c r="H55442" s="680" t="s">
        <v>6153</v>
      </c>
    </row>
    <row r="55443" spans="8:8">
      <c r="H55443" s="680" t="s">
        <v>6153</v>
      </c>
    </row>
    <row r="55444" spans="8:8">
      <c r="H55444" s="680" t="s">
        <v>6153</v>
      </c>
    </row>
    <row r="55445" spans="8:8">
      <c r="H55445" s="680" t="s">
        <v>6153</v>
      </c>
    </row>
    <row r="55446" spans="8:8">
      <c r="H55446" s="680" t="s">
        <v>6153</v>
      </c>
    </row>
    <row r="55447" spans="8:8">
      <c r="H55447" s="680" t="s">
        <v>6153</v>
      </c>
    </row>
    <row r="55448" spans="8:8">
      <c r="H55448" s="680" t="s">
        <v>6153</v>
      </c>
    </row>
    <row r="55449" spans="8:8">
      <c r="H55449" s="680" t="s">
        <v>6153</v>
      </c>
    </row>
    <row r="55450" spans="8:8">
      <c r="H55450" s="680" t="s">
        <v>6153</v>
      </c>
    </row>
    <row r="55451" spans="8:8">
      <c r="H55451" s="680" t="s">
        <v>6153</v>
      </c>
    </row>
    <row r="55452" spans="8:8">
      <c r="H55452" s="680" t="s">
        <v>6153</v>
      </c>
    </row>
    <row r="55453" spans="8:8">
      <c r="H55453" s="680" t="s">
        <v>6153</v>
      </c>
    </row>
    <row r="55454" spans="8:8">
      <c r="H55454" s="680" t="s">
        <v>6153</v>
      </c>
    </row>
    <row r="55455" spans="8:8">
      <c r="H55455" s="680" t="s">
        <v>6153</v>
      </c>
    </row>
    <row r="55456" spans="8:8">
      <c r="H55456" s="680" t="s">
        <v>6153</v>
      </c>
    </row>
    <row r="55457" spans="8:8">
      <c r="H55457" s="680" t="s">
        <v>6153</v>
      </c>
    </row>
    <row r="55458" spans="8:8">
      <c r="H55458" s="680" t="s">
        <v>6153</v>
      </c>
    </row>
    <row r="55459" spans="8:8">
      <c r="H55459" s="680" t="s">
        <v>6153</v>
      </c>
    </row>
    <row r="55460" spans="8:8">
      <c r="H55460" s="680" t="s">
        <v>6153</v>
      </c>
    </row>
    <row r="55461" spans="8:8">
      <c r="H55461" s="680" t="s">
        <v>6153</v>
      </c>
    </row>
    <row r="55462" spans="8:8">
      <c r="H55462" s="680" t="s">
        <v>6153</v>
      </c>
    </row>
    <row r="55463" spans="8:8">
      <c r="H55463" s="680" t="s">
        <v>6153</v>
      </c>
    </row>
    <row r="55464" spans="8:8">
      <c r="H55464" s="680" t="s">
        <v>6153</v>
      </c>
    </row>
    <row r="55465" spans="8:8">
      <c r="H55465" s="680" t="s">
        <v>6153</v>
      </c>
    </row>
    <row r="55466" spans="8:8">
      <c r="H55466" s="680" t="s">
        <v>6153</v>
      </c>
    </row>
    <row r="55467" spans="8:8">
      <c r="H55467" s="680" t="s">
        <v>6153</v>
      </c>
    </row>
    <row r="55468" spans="8:8">
      <c r="H55468" s="680" t="s">
        <v>6153</v>
      </c>
    </row>
    <row r="55469" spans="8:8">
      <c r="H55469" s="680" t="s">
        <v>6153</v>
      </c>
    </row>
    <row r="55470" spans="8:8">
      <c r="H55470" s="680" t="s">
        <v>6153</v>
      </c>
    </row>
    <row r="55471" spans="8:8">
      <c r="H55471" s="680" t="s">
        <v>6153</v>
      </c>
    </row>
    <row r="55472" spans="8:8">
      <c r="H55472" s="680" t="s">
        <v>6153</v>
      </c>
    </row>
    <row r="55473" spans="8:8">
      <c r="H55473" s="680" t="s">
        <v>6153</v>
      </c>
    </row>
    <row r="55474" spans="8:8">
      <c r="H55474" s="680" t="s">
        <v>6153</v>
      </c>
    </row>
    <row r="55475" spans="8:8">
      <c r="H55475" s="680" t="s">
        <v>6153</v>
      </c>
    </row>
    <row r="55476" spans="8:8">
      <c r="H55476" s="680" t="s">
        <v>6153</v>
      </c>
    </row>
    <row r="55477" spans="8:8">
      <c r="H55477" s="680" t="s">
        <v>6153</v>
      </c>
    </row>
    <row r="55478" spans="8:8">
      <c r="H55478" s="680" t="s">
        <v>6153</v>
      </c>
    </row>
    <row r="55479" spans="8:8">
      <c r="H55479" s="680" t="s">
        <v>6153</v>
      </c>
    </row>
    <row r="55480" spans="8:8">
      <c r="H55480" s="680" t="s">
        <v>6153</v>
      </c>
    </row>
    <row r="55481" spans="8:8">
      <c r="H55481" s="680" t="s">
        <v>6153</v>
      </c>
    </row>
    <row r="55482" spans="8:8">
      <c r="H55482" s="680" t="s">
        <v>6153</v>
      </c>
    </row>
    <row r="55483" spans="8:8">
      <c r="H55483" s="680" t="s">
        <v>6153</v>
      </c>
    </row>
    <row r="55484" spans="8:8">
      <c r="H55484" s="680" t="s">
        <v>6153</v>
      </c>
    </row>
    <row r="55485" spans="8:8">
      <c r="H55485" s="680" t="s">
        <v>6153</v>
      </c>
    </row>
    <row r="55486" spans="8:8">
      <c r="H55486" s="680" t="s">
        <v>6153</v>
      </c>
    </row>
    <row r="55487" spans="8:8">
      <c r="H55487" s="680" t="s">
        <v>6153</v>
      </c>
    </row>
    <row r="55488" spans="8:8">
      <c r="H55488" s="680" t="s">
        <v>6153</v>
      </c>
    </row>
    <row r="55489" spans="8:8">
      <c r="H55489" s="680" t="s">
        <v>6153</v>
      </c>
    </row>
    <row r="55490" spans="8:8">
      <c r="H55490" s="680" t="s">
        <v>6153</v>
      </c>
    </row>
    <row r="55491" spans="8:8">
      <c r="H55491" s="680" t="s">
        <v>6153</v>
      </c>
    </row>
    <row r="55492" spans="8:8">
      <c r="H55492" s="680" t="s">
        <v>6153</v>
      </c>
    </row>
    <row r="55493" spans="8:8">
      <c r="H55493" s="680" t="s">
        <v>6153</v>
      </c>
    </row>
    <row r="55494" spans="8:8">
      <c r="H55494" s="680" t="s">
        <v>6153</v>
      </c>
    </row>
    <row r="55495" spans="8:8">
      <c r="H55495" s="680" t="s">
        <v>6153</v>
      </c>
    </row>
    <row r="55496" spans="8:8">
      <c r="H55496" s="680" t="s">
        <v>6153</v>
      </c>
    </row>
    <row r="55497" spans="8:8">
      <c r="H55497" s="680" t="s">
        <v>6153</v>
      </c>
    </row>
    <row r="55498" spans="8:8">
      <c r="H55498" s="680" t="s">
        <v>6153</v>
      </c>
    </row>
    <row r="55499" spans="8:8">
      <c r="H55499" s="680" t="s">
        <v>6153</v>
      </c>
    </row>
    <row r="55500" spans="8:8">
      <c r="H55500" s="680" t="s">
        <v>6153</v>
      </c>
    </row>
    <row r="55501" spans="8:8">
      <c r="H55501" s="680" t="s">
        <v>6153</v>
      </c>
    </row>
    <row r="55502" spans="8:8">
      <c r="H55502" s="680" t="s">
        <v>6153</v>
      </c>
    </row>
    <row r="55503" spans="8:8">
      <c r="H55503" s="680" t="s">
        <v>6153</v>
      </c>
    </row>
    <row r="55504" spans="8:8">
      <c r="H55504" s="680" t="s">
        <v>6153</v>
      </c>
    </row>
    <row r="55505" spans="8:8">
      <c r="H55505" s="680" t="s">
        <v>6153</v>
      </c>
    </row>
    <row r="55506" spans="8:8">
      <c r="H55506" s="680" t="s">
        <v>6153</v>
      </c>
    </row>
    <row r="55507" spans="8:8">
      <c r="H55507" s="680" t="s">
        <v>6153</v>
      </c>
    </row>
    <row r="55508" spans="8:8">
      <c r="H55508" s="680" t="s">
        <v>6153</v>
      </c>
    </row>
    <row r="55509" spans="8:8">
      <c r="H55509" s="680" t="s">
        <v>6153</v>
      </c>
    </row>
    <row r="55510" spans="8:8">
      <c r="H55510" s="680" t="s">
        <v>6153</v>
      </c>
    </row>
    <row r="55511" spans="8:8">
      <c r="H55511" s="680" t="s">
        <v>6153</v>
      </c>
    </row>
    <row r="55512" spans="8:8">
      <c r="H55512" s="680" t="s">
        <v>6153</v>
      </c>
    </row>
    <row r="55513" spans="8:8">
      <c r="H55513" s="680" t="s">
        <v>6153</v>
      </c>
    </row>
    <row r="55514" spans="8:8">
      <c r="H55514" s="680" t="s">
        <v>6153</v>
      </c>
    </row>
    <row r="55515" spans="8:8">
      <c r="H55515" s="680" t="s">
        <v>6153</v>
      </c>
    </row>
    <row r="55516" spans="8:8">
      <c r="H55516" s="680" t="s">
        <v>6153</v>
      </c>
    </row>
    <row r="55517" spans="8:8">
      <c r="H55517" s="680" t="s">
        <v>6153</v>
      </c>
    </row>
    <row r="55518" spans="8:8">
      <c r="H55518" s="680" t="s">
        <v>6153</v>
      </c>
    </row>
    <row r="55519" spans="8:8">
      <c r="H55519" s="680" t="s">
        <v>6153</v>
      </c>
    </row>
    <row r="55520" spans="8:8">
      <c r="H55520" s="680" t="s">
        <v>6153</v>
      </c>
    </row>
    <row r="55521" spans="8:8">
      <c r="H55521" s="680" t="s">
        <v>6153</v>
      </c>
    </row>
    <row r="55522" spans="8:8">
      <c r="H55522" s="680" t="s">
        <v>6153</v>
      </c>
    </row>
    <row r="55523" spans="8:8">
      <c r="H55523" s="680" t="s">
        <v>6153</v>
      </c>
    </row>
    <row r="55524" spans="8:8">
      <c r="H55524" s="680" t="s">
        <v>6153</v>
      </c>
    </row>
    <row r="55525" spans="8:8">
      <c r="H55525" s="680" t="s">
        <v>6153</v>
      </c>
    </row>
    <row r="55526" spans="8:8">
      <c r="H55526" s="680" t="s">
        <v>6153</v>
      </c>
    </row>
    <row r="55527" spans="8:8">
      <c r="H55527" s="680" t="s">
        <v>6153</v>
      </c>
    </row>
    <row r="55528" spans="8:8">
      <c r="H55528" s="680" t="s">
        <v>6153</v>
      </c>
    </row>
    <row r="55529" spans="8:8">
      <c r="H55529" s="680" t="s">
        <v>6153</v>
      </c>
    </row>
    <row r="55530" spans="8:8">
      <c r="H55530" s="680" t="s">
        <v>6153</v>
      </c>
    </row>
    <row r="55531" spans="8:8">
      <c r="H55531" s="680" t="s">
        <v>6153</v>
      </c>
    </row>
    <row r="55532" spans="8:8">
      <c r="H55532" s="680" t="s">
        <v>6153</v>
      </c>
    </row>
    <row r="55533" spans="8:8">
      <c r="H55533" s="680" t="s">
        <v>6153</v>
      </c>
    </row>
    <row r="55534" spans="8:8">
      <c r="H55534" s="680" t="s">
        <v>6153</v>
      </c>
    </row>
    <row r="55535" spans="8:8">
      <c r="H55535" s="680" t="s">
        <v>6153</v>
      </c>
    </row>
    <row r="55536" spans="8:8">
      <c r="H55536" s="680" t="s">
        <v>6153</v>
      </c>
    </row>
    <row r="55537" spans="8:8">
      <c r="H55537" s="680" t="s">
        <v>6153</v>
      </c>
    </row>
    <row r="55538" spans="8:8">
      <c r="H55538" s="680" t="s">
        <v>6153</v>
      </c>
    </row>
    <row r="55539" spans="8:8">
      <c r="H55539" s="680" t="s">
        <v>6153</v>
      </c>
    </row>
    <row r="55540" spans="8:8">
      <c r="H55540" s="680" t="s">
        <v>6153</v>
      </c>
    </row>
    <row r="55541" spans="8:8">
      <c r="H55541" s="680" t="s">
        <v>6153</v>
      </c>
    </row>
    <row r="55542" spans="8:8">
      <c r="H55542" s="680" t="s">
        <v>6153</v>
      </c>
    </row>
    <row r="55543" spans="8:8">
      <c r="H55543" s="680" t="s">
        <v>6153</v>
      </c>
    </row>
    <row r="55544" spans="8:8">
      <c r="H55544" s="680" t="s">
        <v>6153</v>
      </c>
    </row>
    <row r="55545" spans="8:8">
      <c r="H55545" s="680" t="s">
        <v>6153</v>
      </c>
    </row>
    <row r="55546" spans="8:8">
      <c r="H55546" s="680" t="s">
        <v>6153</v>
      </c>
    </row>
    <row r="55547" spans="8:8">
      <c r="H55547" s="680" t="s">
        <v>6153</v>
      </c>
    </row>
    <row r="55548" spans="8:8">
      <c r="H55548" s="680" t="s">
        <v>6153</v>
      </c>
    </row>
    <row r="55549" spans="8:8">
      <c r="H55549" s="680" t="s">
        <v>6153</v>
      </c>
    </row>
    <row r="55550" spans="8:8">
      <c r="H55550" s="680" t="s">
        <v>6153</v>
      </c>
    </row>
    <row r="55551" spans="8:8">
      <c r="H55551" s="680" t="s">
        <v>6153</v>
      </c>
    </row>
    <row r="55552" spans="8:8">
      <c r="H55552" s="680" t="s">
        <v>6153</v>
      </c>
    </row>
    <row r="55553" spans="8:8">
      <c r="H55553" s="680" t="s">
        <v>6153</v>
      </c>
    </row>
    <row r="55554" spans="8:8">
      <c r="H55554" s="680" t="s">
        <v>6153</v>
      </c>
    </row>
    <row r="55555" spans="8:8">
      <c r="H55555" s="680" t="s">
        <v>6153</v>
      </c>
    </row>
    <row r="55556" spans="8:8">
      <c r="H55556" s="680" t="s">
        <v>6153</v>
      </c>
    </row>
    <row r="55557" spans="8:8">
      <c r="H55557" s="680" t="s">
        <v>6153</v>
      </c>
    </row>
    <row r="55558" spans="8:8">
      <c r="H55558" s="680" t="s">
        <v>6153</v>
      </c>
    </row>
    <row r="55559" spans="8:8">
      <c r="H55559" s="680" t="s">
        <v>6153</v>
      </c>
    </row>
    <row r="55560" spans="8:8">
      <c r="H55560" s="680" t="s">
        <v>6153</v>
      </c>
    </row>
    <row r="55561" spans="8:8">
      <c r="H55561" s="680" t="s">
        <v>6153</v>
      </c>
    </row>
    <row r="55562" spans="8:8">
      <c r="H55562" s="680" t="s">
        <v>6153</v>
      </c>
    </row>
    <row r="55563" spans="8:8">
      <c r="H55563" s="680" t="s">
        <v>6153</v>
      </c>
    </row>
    <row r="55564" spans="8:8">
      <c r="H55564" s="680" t="s">
        <v>6153</v>
      </c>
    </row>
    <row r="55565" spans="8:8">
      <c r="H55565" s="680" t="s">
        <v>6153</v>
      </c>
    </row>
    <row r="55566" spans="8:8">
      <c r="H55566" s="680" t="s">
        <v>6153</v>
      </c>
    </row>
    <row r="55567" spans="8:8">
      <c r="H55567" s="680" t="s">
        <v>6153</v>
      </c>
    </row>
    <row r="55568" spans="8:8">
      <c r="H55568" s="680" t="s">
        <v>6153</v>
      </c>
    </row>
    <row r="55569" spans="8:8">
      <c r="H55569" s="680" t="s">
        <v>6153</v>
      </c>
    </row>
    <row r="55570" spans="8:8">
      <c r="H55570" s="680" t="s">
        <v>6153</v>
      </c>
    </row>
    <row r="55571" spans="8:8">
      <c r="H55571" s="680" t="s">
        <v>6153</v>
      </c>
    </row>
    <row r="55572" spans="8:8">
      <c r="H55572" s="680" t="s">
        <v>6153</v>
      </c>
    </row>
    <row r="55573" spans="8:8">
      <c r="H55573" s="680" t="s">
        <v>6153</v>
      </c>
    </row>
    <row r="55574" spans="8:8">
      <c r="H55574" s="680" t="s">
        <v>6153</v>
      </c>
    </row>
    <row r="55575" spans="8:8">
      <c r="H55575" s="680" t="s">
        <v>6153</v>
      </c>
    </row>
    <row r="55576" spans="8:8">
      <c r="H55576" s="680" t="s">
        <v>6153</v>
      </c>
    </row>
    <row r="55577" spans="8:8">
      <c r="H55577" s="680" t="s">
        <v>6153</v>
      </c>
    </row>
    <row r="55578" spans="8:8">
      <c r="H55578" s="680" t="s">
        <v>6153</v>
      </c>
    </row>
    <row r="55579" spans="8:8">
      <c r="H55579" s="680" t="s">
        <v>6153</v>
      </c>
    </row>
    <row r="55580" spans="8:8">
      <c r="H55580" s="680" t="s">
        <v>6153</v>
      </c>
    </row>
    <row r="55581" spans="8:8">
      <c r="H55581" s="680" t="s">
        <v>6153</v>
      </c>
    </row>
    <row r="55582" spans="8:8">
      <c r="H55582" s="680" t="s">
        <v>6153</v>
      </c>
    </row>
    <row r="55583" spans="8:8">
      <c r="H55583" s="680" t="s">
        <v>6153</v>
      </c>
    </row>
    <row r="55584" spans="8:8">
      <c r="H55584" s="680" t="s">
        <v>6153</v>
      </c>
    </row>
    <row r="55585" spans="8:8">
      <c r="H55585" s="680" t="s">
        <v>6153</v>
      </c>
    </row>
    <row r="55586" spans="8:8">
      <c r="H55586" s="680" t="s">
        <v>6153</v>
      </c>
    </row>
    <row r="55587" spans="8:8">
      <c r="H55587" s="680" t="s">
        <v>6153</v>
      </c>
    </row>
    <row r="55588" spans="8:8">
      <c r="H55588" s="680" t="s">
        <v>6153</v>
      </c>
    </row>
    <row r="55589" spans="8:8">
      <c r="H55589" s="680" t="s">
        <v>6153</v>
      </c>
    </row>
    <row r="55590" spans="8:8">
      <c r="H55590" s="680" t="s">
        <v>6153</v>
      </c>
    </row>
    <row r="55591" spans="8:8">
      <c r="H55591" s="680" t="s">
        <v>6153</v>
      </c>
    </row>
    <row r="55592" spans="8:8">
      <c r="H55592" s="680" t="s">
        <v>6153</v>
      </c>
    </row>
    <row r="55593" spans="8:8">
      <c r="H55593" s="680" t="s">
        <v>6153</v>
      </c>
    </row>
    <row r="55594" spans="8:8">
      <c r="H55594" s="680" t="s">
        <v>6153</v>
      </c>
    </row>
    <row r="55595" spans="8:8">
      <c r="H55595" s="680" t="s">
        <v>6153</v>
      </c>
    </row>
    <row r="55596" spans="8:8">
      <c r="H55596" s="680" t="s">
        <v>6153</v>
      </c>
    </row>
    <row r="55597" spans="8:8">
      <c r="H55597" s="680" t="s">
        <v>6153</v>
      </c>
    </row>
    <row r="55598" spans="8:8">
      <c r="H55598" s="680" t="s">
        <v>6153</v>
      </c>
    </row>
    <row r="55599" spans="8:8">
      <c r="H55599" s="680" t="s">
        <v>6153</v>
      </c>
    </row>
    <row r="55600" spans="8:8">
      <c r="H55600" s="680" t="s">
        <v>6153</v>
      </c>
    </row>
    <row r="55601" spans="8:8">
      <c r="H55601" s="680" t="s">
        <v>6153</v>
      </c>
    </row>
    <row r="55602" spans="8:8">
      <c r="H55602" s="680" t="s">
        <v>6153</v>
      </c>
    </row>
    <row r="55603" spans="8:8">
      <c r="H55603" s="680" t="s">
        <v>6153</v>
      </c>
    </row>
    <row r="55604" spans="8:8">
      <c r="H55604" s="680" t="s">
        <v>6153</v>
      </c>
    </row>
    <row r="55605" spans="8:8">
      <c r="H55605" s="680" t="s">
        <v>6153</v>
      </c>
    </row>
    <row r="55606" spans="8:8">
      <c r="H55606" s="680" t="s">
        <v>6153</v>
      </c>
    </row>
    <row r="55607" spans="8:8">
      <c r="H55607" s="680" t="s">
        <v>6153</v>
      </c>
    </row>
    <row r="55608" spans="8:8">
      <c r="H55608" s="680" t="s">
        <v>6153</v>
      </c>
    </row>
    <row r="55609" spans="8:8">
      <c r="H55609" s="680" t="s">
        <v>6153</v>
      </c>
    </row>
    <row r="55610" spans="8:8">
      <c r="H55610" s="680" t="s">
        <v>6153</v>
      </c>
    </row>
    <row r="55611" spans="8:8">
      <c r="H55611" s="680" t="s">
        <v>6153</v>
      </c>
    </row>
    <row r="55612" spans="8:8">
      <c r="H55612" s="680" t="s">
        <v>6153</v>
      </c>
    </row>
    <row r="55613" spans="8:8">
      <c r="H55613" s="680" t="s">
        <v>6153</v>
      </c>
    </row>
    <row r="55614" spans="8:8">
      <c r="H55614" s="680" t="s">
        <v>6153</v>
      </c>
    </row>
    <row r="55615" spans="8:8">
      <c r="H55615" s="680" t="s">
        <v>6153</v>
      </c>
    </row>
    <row r="55616" spans="8:8">
      <c r="H55616" s="680" t="s">
        <v>6153</v>
      </c>
    </row>
    <row r="55617" spans="8:8">
      <c r="H55617" s="680" t="s">
        <v>6153</v>
      </c>
    </row>
    <row r="55618" spans="8:8">
      <c r="H55618" s="680" t="s">
        <v>6153</v>
      </c>
    </row>
    <row r="55619" spans="8:8">
      <c r="H55619" s="680" t="s">
        <v>6153</v>
      </c>
    </row>
    <row r="55620" spans="8:8">
      <c r="H55620" s="680" t="s">
        <v>6153</v>
      </c>
    </row>
    <row r="55621" spans="8:8">
      <c r="H55621" s="680" t="s">
        <v>6153</v>
      </c>
    </row>
    <row r="55622" spans="8:8">
      <c r="H55622" s="680" t="s">
        <v>6153</v>
      </c>
    </row>
    <row r="55623" spans="8:8">
      <c r="H55623" s="680" t="s">
        <v>6153</v>
      </c>
    </row>
    <row r="55624" spans="8:8">
      <c r="H55624" s="680" t="s">
        <v>6153</v>
      </c>
    </row>
    <row r="55625" spans="8:8">
      <c r="H55625" s="680" t="s">
        <v>6153</v>
      </c>
    </row>
    <row r="55626" spans="8:8">
      <c r="H55626" s="680" t="s">
        <v>6153</v>
      </c>
    </row>
    <row r="55627" spans="8:8">
      <c r="H55627" s="680" t="s">
        <v>6153</v>
      </c>
    </row>
    <row r="55628" spans="8:8">
      <c r="H55628" s="680" t="s">
        <v>6153</v>
      </c>
    </row>
    <row r="55629" spans="8:8">
      <c r="H55629" s="680" t="s">
        <v>6153</v>
      </c>
    </row>
    <row r="55630" spans="8:8">
      <c r="H55630" s="680" t="s">
        <v>6153</v>
      </c>
    </row>
    <row r="55631" spans="8:8">
      <c r="H55631" s="680" t="s">
        <v>6153</v>
      </c>
    </row>
    <row r="55632" spans="8:8">
      <c r="H55632" s="680" t="s">
        <v>6153</v>
      </c>
    </row>
    <row r="55633" spans="8:8">
      <c r="H55633" s="680" t="s">
        <v>6153</v>
      </c>
    </row>
    <row r="55634" spans="8:8">
      <c r="H55634" s="680" t="s">
        <v>6153</v>
      </c>
    </row>
    <row r="55635" spans="8:8">
      <c r="H55635" s="680" t="s">
        <v>6153</v>
      </c>
    </row>
    <row r="55636" spans="8:8">
      <c r="H55636" s="680" t="s">
        <v>6153</v>
      </c>
    </row>
    <row r="55637" spans="8:8">
      <c r="H55637" s="680" t="s">
        <v>6153</v>
      </c>
    </row>
    <row r="55638" spans="8:8">
      <c r="H55638" s="680" t="s">
        <v>6153</v>
      </c>
    </row>
    <row r="55639" spans="8:8">
      <c r="H55639" s="680" t="s">
        <v>6153</v>
      </c>
    </row>
    <row r="55640" spans="8:8">
      <c r="H55640" s="680" t="s">
        <v>6153</v>
      </c>
    </row>
    <row r="55641" spans="8:8">
      <c r="H55641" s="680" t="s">
        <v>6153</v>
      </c>
    </row>
    <row r="55642" spans="8:8">
      <c r="H55642" s="680" t="s">
        <v>6153</v>
      </c>
    </row>
    <row r="55643" spans="8:8">
      <c r="H55643" s="680" t="s">
        <v>6153</v>
      </c>
    </row>
    <row r="55644" spans="8:8">
      <c r="H55644" s="680" t="s">
        <v>6153</v>
      </c>
    </row>
    <row r="55645" spans="8:8">
      <c r="H55645" s="680" t="s">
        <v>6153</v>
      </c>
    </row>
    <row r="55646" spans="8:8">
      <c r="H55646" s="680" t="s">
        <v>6153</v>
      </c>
    </row>
    <row r="55647" spans="8:8">
      <c r="H55647" s="680" t="s">
        <v>6153</v>
      </c>
    </row>
    <row r="55648" spans="8:8">
      <c r="H55648" s="680" t="s">
        <v>6153</v>
      </c>
    </row>
    <row r="55649" spans="8:8">
      <c r="H55649" s="680" t="s">
        <v>6153</v>
      </c>
    </row>
    <row r="55650" spans="8:8">
      <c r="H55650" s="680" t="s">
        <v>6153</v>
      </c>
    </row>
    <row r="55651" spans="8:8">
      <c r="H55651" s="680" t="s">
        <v>6153</v>
      </c>
    </row>
    <row r="55652" spans="8:8">
      <c r="H55652" s="680" t="s">
        <v>6153</v>
      </c>
    </row>
    <row r="55653" spans="8:8">
      <c r="H55653" s="680" t="s">
        <v>6153</v>
      </c>
    </row>
    <row r="55654" spans="8:8">
      <c r="H55654" s="680" t="s">
        <v>6153</v>
      </c>
    </row>
    <row r="55655" spans="8:8">
      <c r="H55655" s="680" t="s">
        <v>6153</v>
      </c>
    </row>
    <row r="55656" spans="8:8">
      <c r="H55656" s="680" t="s">
        <v>6153</v>
      </c>
    </row>
    <row r="55657" spans="8:8">
      <c r="H55657" s="680" t="s">
        <v>6153</v>
      </c>
    </row>
    <row r="55658" spans="8:8">
      <c r="H55658" s="680" t="s">
        <v>6153</v>
      </c>
    </row>
    <row r="55659" spans="8:8">
      <c r="H55659" s="680" t="s">
        <v>6153</v>
      </c>
    </row>
    <row r="55660" spans="8:8">
      <c r="H55660" s="680" t="s">
        <v>6153</v>
      </c>
    </row>
    <row r="55661" spans="8:8">
      <c r="H55661" s="680" t="s">
        <v>6153</v>
      </c>
    </row>
    <row r="55662" spans="8:8">
      <c r="H55662" s="680" t="s">
        <v>6153</v>
      </c>
    </row>
    <row r="55663" spans="8:8">
      <c r="H55663" s="680" t="s">
        <v>6153</v>
      </c>
    </row>
    <row r="55664" spans="8:8">
      <c r="H55664" s="680" t="s">
        <v>6153</v>
      </c>
    </row>
    <row r="55665" spans="8:8">
      <c r="H55665" s="680" t="s">
        <v>6153</v>
      </c>
    </row>
    <row r="55666" spans="8:8">
      <c r="H55666" s="680" t="s">
        <v>6153</v>
      </c>
    </row>
    <row r="55667" spans="8:8">
      <c r="H55667" s="680" t="s">
        <v>6153</v>
      </c>
    </row>
    <row r="55668" spans="8:8">
      <c r="H55668" s="680" t="s">
        <v>6153</v>
      </c>
    </row>
    <row r="55669" spans="8:8">
      <c r="H55669" s="680" t="s">
        <v>6153</v>
      </c>
    </row>
    <row r="55670" spans="8:8">
      <c r="H55670" s="680" t="s">
        <v>6153</v>
      </c>
    </row>
    <row r="55671" spans="8:8">
      <c r="H55671" s="680" t="s">
        <v>6153</v>
      </c>
    </row>
    <row r="55672" spans="8:8">
      <c r="H55672" s="680" t="s">
        <v>6153</v>
      </c>
    </row>
    <row r="55673" spans="8:8">
      <c r="H55673" s="680" t="s">
        <v>6153</v>
      </c>
    </row>
    <row r="55674" spans="8:8">
      <c r="H55674" s="680" t="s">
        <v>6153</v>
      </c>
    </row>
    <row r="55675" spans="8:8">
      <c r="H55675" s="680" t="s">
        <v>6153</v>
      </c>
    </row>
    <row r="55676" spans="8:8">
      <c r="H55676" s="680" t="s">
        <v>6153</v>
      </c>
    </row>
    <row r="55677" spans="8:8">
      <c r="H55677" s="680" t="s">
        <v>6153</v>
      </c>
    </row>
    <row r="55678" spans="8:8">
      <c r="H55678" s="680" t="s">
        <v>6153</v>
      </c>
    </row>
    <row r="55679" spans="8:8">
      <c r="H55679" s="680" t="s">
        <v>6153</v>
      </c>
    </row>
    <row r="55680" spans="8:8">
      <c r="H55680" s="680" t="s">
        <v>6153</v>
      </c>
    </row>
    <row r="55681" spans="8:8">
      <c r="H55681" s="680" t="s">
        <v>6153</v>
      </c>
    </row>
    <row r="55682" spans="8:8">
      <c r="H55682" s="680" t="s">
        <v>6153</v>
      </c>
    </row>
    <row r="55683" spans="8:8">
      <c r="H55683" s="680" t="s">
        <v>6153</v>
      </c>
    </row>
    <row r="55684" spans="8:8">
      <c r="H55684" s="680" t="s">
        <v>6153</v>
      </c>
    </row>
    <row r="55685" spans="8:8">
      <c r="H55685" s="680" t="s">
        <v>6153</v>
      </c>
    </row>
    <row r="55686" spans="8:8">
      <c r="H55686" s="680" t="s">
        <v>6153</v>
      </c>
    </row>
    <row r="55687" spans="8:8">
      <c r="H55687" s="680" t="s">
        <v>6153</v>
      </c>
    </row>
    <row r="55688" spans="8:8">
      <c r="H55688" s="680" t="s">
        <v>6153</v>
      </c>
    </row>
    <row r="55689" spans="8:8">
      <c r="H55689" s="680" t="s">
        <v>6153</v>
      </c>
    </row>
    <row r="55690" spans="8:8">
      <c r="H55690" s="680" t="s">
        <v>6153</v>
      </c>
    </row>
    <row r="55691" spans="8:8">
      <c r="H55691" s="680" t="s">
        <v>6153</v>
      </c>
    </row>
    <row r="55692" spans="8:8">
      <c r="H55692" s="680" t="s">
        <v>6153</v>
      </c>
    </row>
    <row r="55693" spans="8:8">
      <c r="H55693" s="680" t="s">
        <v>6153</v>
      </c>
    </row>
    <row r="55694" spans="8:8">
      <c r="H55694" s="680" t="s">
        <v>6153</v>
      </c>
    </row>
    <row r="55695" spans="8:8">
      <c r="H55695" s="680" t="s">
        <v>6153</v>
      </c>
    </row>
    <row r="55696" spans="8:8">
      <c r="H55696" s="680" t="s">
        <v>6153</v>
      </c>
    </row>
    <row r="55697" spans="8:8">
      <c r="H55697" s="680" t="s">
        <v>6153</v>
      </c>
    </row>
    <row r="55698" spans="8:8">
      <c r="H55698" s="680" t="s">
        <v>6153</v>
      </c>
    </row>
    <row r="55699" spans="8:8">
      <c r="H55699" s="680" t="s">
        <v>6153</v>
      </c>
    </row>
    <row r="55700" spans="8:8">
      <c r="H55700" s="680" t="s">
        <v>6153</v>
      </c>
    </row>
    <row r="55701" spans="8:8">
      <c r="H55701" s="680" t="s">
        <v>6153</v>
      </c>
    </row>
    <row r="55702" spans="8:8">
      <c r="H55702" s="680" t="s">
        <v>6153</v>
      </c>
    </row>
    <row r="55703" spans="8:8">
      <c r="H55703" s="680" t="s">
        <v>6153</v>
      </c>
    </row>
    <row r="55704" spans="8:8">
      <c r="H55704" s="680" t="s">
        <v>6153</v>
      </c>
    </row>
    <row r="55705" spans="8:8">
      <c r="H55705" s="680" t="s">
        <v>6153</v>
      </c>
    </row>
    <row r="55706" spans="8:8">
      <c r="H55706" s="680" t="s">
        <v>6153</v>
      </c>
    </row>
    <row r="55707" spans="8:8">
      <c r="H55707" s="680" t="s">
        <v>6153</v>
      </c>
    </row>
    <row r="55708" spans="8:8">
      <c r="H55708" s="680" t="s">
        <v>6153</v>
      </c>
    </row>
    <row r="55709" spans="8:8">
      <c r="H55709" s="680" t="s">
        <v>6153</v>
      </c>
    </row>
    <row r="55710" spans="8:8">
      <c r="H55710" s="680" t="s">
        <v>6153</v>
      </c>
    </row>
    <row r="55711" spans="8:8">
      <c r="H55711" s="680" t="s">
        <v>6153</v>
      </c>
    </row>
    <row r="55712" spans="8:8">
      <c r="H55712" s="680" t="s">
        <v>6153</v>
      </c>
    </row>
    <row r="55713" spans="8:8">
      <c r="H55713" s="680" t="s">
        <v>6153</v>
      </c>
    </row>
    <row r="55714" spans="8:8">
      <c r="H55714" s="680" t="s">
        <v>6153</v>
      </c>
    </row>
    <row r="55715" spans="8:8">
      <c r="H55715" s="680" t="s">
        <v>6153</v>
      </c>
    </row>
    <row r="55716" spans="8:8">
      <c r="H55716" s="680" t="s">
        <v>6153</v>
      </c>
    </row>
    <row r="55717" spans="8:8">
      <c r="H55717" s="680" t="s">
        <v>6153</v>
      </c>
    </row>
    <row r="55718" spans="8:8">
      <c r="H55718" s="680" t="s">
        <v>6153</v>
      </c>
    </row>
    <row r="55719" spans="8:8">
      <c r="H55719" s="680" t="s">
        <v>6153</v>
      </c>
    </row>
    <row r="55720" spans="8:8">
      <c r="H55720" s="680" t="s">
        <v>6153</v>
      </c>
    </row>
    <row r="55721" spans="8:8">
      <c r="H55721" s="680" t="s">
        <v>6153</v>
      </c>
    </row>
    <row r="55722" spans="8:8">
      <c r="H55722" s="680" t="s">
        <v>6153</v>
      </c>
    </row>
    <row r="55723" spans="8:8">
      <c r="H55723" s="680" t="s">
        <v>6153</v>
      </c>
    </row>
    <row r="55724" spans="8:8">
      <c r="H55724" s="680" t="s">
        <v>6153</v>
      </c>
    </row>
    <row r="55725" spans="8:8">
      <c r="H55725" s="680" t="s">
        <v>6153</v>
      </c>
    </row>
    <row r="55726" spans="8:8">
      <c r="H55726" s="680" t="s">
        <v>6153</v>
      </c>
    </row>
    <row r="55727" spans="8:8">
      <c r="H55727" s="680" t="s">
        <v>6153</v>
      </c>
    </row>
    <row r="55728" spans="8:8">
      <c r="H55728" s="680" t="s">
        <v>6153</v>
      </c>
    </row>
    <row r="55729" spans="8:8">
      <c r="H55729" s="680" t="s">
        <v>6153</v>
      </c>
    </row>
    <row r="55730" spans="8:8">
      <c r="H55730" s="680" t="s">
        <v>6153</v>
      </c>
    </row>
    <row r="55731" spans="8:8">
      <c r="H55731" s="680" t="s">
        <v>6153</v>
      </c>
    </row>
    <row r="55732" spans="8:8">
      <c r="H55732" s="680" t="s">
        <v>6153</v>
      </c>
    </row>
    <row r="55733" spans="8:8">
      <c r="H55733" s="680" t="s">
        <v>6153</v>
      </c>
    </row>
    <row r="55734" spans="8:8">
      <c r="H55734" s="680" t="s">
        <v>6153</v>
      </c>
    </row>
    <row r="55735" spans="8:8">
      <c r="H55735" s="680" t="s">
        <v>6153</v>
      </c>
    </row>
    <row r="55736" spans="8:8">
      <c r="H55736" s="680" t="s">
        <v>6153</v>
      </c>
    </row>
    <row r="55737" spans="8:8">
      <c r="H55737" s="680" t="s">
        <v>6153</v>
      </c>
    </row>
    <row r="55738" spans="8:8">
      <c r="H55738" s="680" t="s">
        <v>6153</v>
      </c>
    </row>
    <row r="55739" spans="8:8">
      <c r="H55739" s="680" t="s">
        <v>6153</v>
      </c>
    </row>
    <row r="55740" spans="8:8">
      <c r="H55740" s="680" t="s">
        <v>6153</v>
      </c>
    </row>
    <row r="55741" spans="8:8">
      <c r="H55741" s="680" t="s">
        <v>6153</v>
      </c>
    </row>
    <row r="55742" spans="8:8">
      <c r="H55742" s="680" t="s">
        <v>6153</v>
      </c>
    </row>
    <row r="55743" spans="8:8">
      <c r="H55743" s="680" t="s">
        <v>6153</v>
      </c>
    </row>
    <row r="55744" spans="8:8">
      <c r="H55744" s="680" t="s">
        <v>6153</v>
      </c>
    </row>
    <row r="55745" spans="8:8">
      <c r="H55745" s="680" t="s">
        <v>6153</v>
      </c>
    </row>
    <row r="55746" spans="8:8">
      <c r="H55746" s="680" t="s">
        <v>6153</v>
      </c>
    </row>
    <row r="55747" spans="8:8">
      <c r="H55747" s="680" t="s">
        <v>6153</v>
      </c>
    </row>
    <row r="55748" spans="8:8">
      <c r="H55748" s="680" t="s">
        <v>6153</v>
      </c>
    </row>
    <row r="55749" spans="8:8">
      <c r="H55749" s="680" t="s">
        <v>6153</v>
      </c>
    </row>
    <row r="55750" spans="8:8">
      <c r="H55750" s="680" t="s">
        <v>6153</v>
      </c>
    </row>
    <row r="55751" spans="8:8">
      <c r="H55751" s="680" t="s">
        <v>6153</v>
      </c>
    </row>
    <row r="55752" spans="8:8">
      <c r="H55752" s="680" t="s">
        <v>6153</v>
      </c>
    </row>
    <row r="55753" spans="8:8">
      <c r="H55753" s="680" t="s">
        <v>6153</v>
      </c>
    </row>
    <row r="55754" spans="8:8">
      <c r="H55754" s="680" t="s">
        <v>6153</v>
      </c>
    </row>
    <row r="55755" spans="8:8">
      <c r="H55755" s="680" t="s">
        <v>6153</v>
      </c>
    </row>
    <row r="55756" spans="8:8">
      <c r="H55756" s="680" t="s">
        <v>6153</v>
      </c>
    </row>
    <row r="55757" spans="8:8">
      <c r="H55757" s="680" t="s">
        <v>6153</v>
      </c>
    </row>
    <row r="55758" spans="8:8">
      <c r="H55758" s="680" t="s">
        <v>6153</v>
      </c>
    </row>
    <row r="55759" spans="8:8">
      <c r="H55759" s="680" t="s">
        <v>6153</v>
      </c>
    </row>
    <row r="55760" spans="8:8">
      <c r="H55760" s="680" t="s">
        <v>6153</v>
      </c>
    </row>
    <row r="55761" spans="8:8">
      <c r="H55761" s="680" t="s">
        <v>6153</v>
      </c>
    </row>
    <row r="55762" spans="8:8">
      <c r="H55762" s="680" t="s">
        <v>6153</v>
      </c>
    </row>
    <row r="55763" spans="8:8">
      <c r="H55763" s="680" t="s">
        <v>6153</v>
      </c>
    </row>
    <row r="55764" spans="8:8">
      <c r="H55764" s="680" t="s">
        <v>6153</v>
      </c>
    </row>
    <row r="55765" spans="8:8">
      <c r="H55765" s="680" t="s">
        <v>6153</v>
      </c>
    </row>
    <row r="55766" spans="8:8">
      <c r="H55766" s="680" t="s">
        <v>6153</v>
      </c>
    </row>
    <row r="55767" spans="8:8">
      <c r="H55767" s="680" t="s">
        <v>6153</v>
      </c>
    </row>
    <row r="55768" spans="8:8">
      <c r="H55768" s="680" t="s">
        <v>6153</v>
      </c>
    </row>
    <row r="55769" spans="8:8">
      <c r="H55769" s="680" t="s">
        <v>6153</v>
      </c>
    </row>
    <row r="55770" spans="8:8">
      <c r="H55770" s="680" t="s">
        <v>6153</v>
      </c>
    </row>
    <row r="55771" spans="8:8">
      <c r="H55771" s="680" t="s">
        <v>6153</v>
      </c>
    </row>
    <row r="55772" spans="8:8">
      <c r="H55772" s="680" t="s">
        <v>6153</v>
      </c>
    </row>
    <row r="55773" spans="8:8">
      <c r="H55773" s="680" t="s">
        <v>6153</v>
      </c>
    </row>
    <row r="55774" spans="8:8">
      <c r="H55774" s="680" t="s">
        <v>6153</v>
      </c>
    </row>
    <row r="55775" spans="8:8">
      <c r="H55775" s="680" t="s">
        <v>6153</v>
      </c>
    </row>
    <row r="55776" spans="8:8">
      <c r="H55776" s="680" t="s">
        <v>6153</v>
      </c>
    </row>
    <row r="55777" spans="8:8">
      <c r="H55777" s="680" t="s">
        <v>6153</v>
      </c>
    </row>
    <row r="55778" spans="8:8">
      <c r="H55778" s="680" t="s">
        <v>6153</v>
      </c>
    </row>
    <row r="55779" spans="8:8">
      <c r="H55779" s="680" t="s">
        <v>6153</v>
      </c>
    </row>
    <row r="55780" spans="8:8">
      <c r="H55780" s="680" t="s">
        <v>6153</v>
      </c>
    </row>
    <row r="55781" spans="8:8">
      <c r="H55781" s="680" t="s">
        <v>6153</v>
      </c>
    </row>
    <row r="55782" spans="8:8">
      <c r="H55782" s="680" t="s">
        <v>6153</v>
      </c>
    </row>
    <row r="55783" spans="8:8">
      <c r="H55783" s="680" t="s">
        <v>6153</v>
      </c>
    </row>
    <row r="55784" spans="8:8">
      <c r="H55784" s="680" t="s">
        <v>6153</v>
      </c>
    </row>
    <row r="55785" spans="8:8">
      <c r="H55785" s="680" t="s">
        <v>6153</v>
      </c>
    </row>
    <row r="55786" spans="8:8">
      <c r="H55786" s="680" t="s">
        <v>6153</v>
      </c>
    </row>
    <row r="55787" spans="8:8">
      <c r="H55787" s="680" t="s">
        <v>6153</v>
      </c>
    </row>
    <row r="55788" spans="8:8">
      <c r="H55788" s="680" t="s">
        <v>6153</v>
      </c>
    </row>
    <row r="55789" spans="8:8">
      <c r="H55789" s="680" t="s">
        <v>6153</v>
      </c>
    </row>
    <row r="55790" spans="8:8">
      <c r="H55790" s="680" t="s">
        <v>6153</v>
      </c>
    </row>
    <row r="55791" spans="8:8">
      <c r="H55791" s="680" t="s">
        <v>6153</v>
      </c>
    </row>
    <row r="55792" spans="8:8">
      <c r="H55792" s="680" t="s">
        <v>6153</v>
      </c>
    </row>
    <row r="55793" spans="8:8">
      <c r="H55793" s="680" t="s">
        <v>6153</v>
      </c>
    </row>
    <row r="55794" spans="8:8">
      <c r="H55794" s="680" t="s">
        <v>6153</v>
      </c>
    </row>
    <row r="55795" spans="8:8">
      <c r="H55795" s="680" t="s">
        <v>6153</v>
      </c>
    </row>
    <row r="55796" spans="8:8">
      <c r="H55796" s="680" t="s">
        <v>6153</v>
      </c>
    </row>
    <row r="55797" spans="8:8">
      <c r="H55797" s="680" t="s">
        <v>6153</v>
      </c>
    </row>
    <row r="55798" spans="8:8">
      <c r="H55798" s="680" t="s">
        <v>6153</v>
      </c>
    </row>
    <row r="55799" spans="8:8">
      <c r="H55799" s="680" t="s">
        <v>6153</v>
      </c>
    </row>
    <row r="55800" spans="8:8">
      <c r="H55800" s="680" t="s">
        <v>6153</v>
      </c>
    </row>
    <row r="55801" spans="8:8">
      <c r="H55801" s="680" t="s">
        <v>6153</v>
      </c>
    </row>
    <row r="55802" spans="8:8">
      <c r="H55802" s="680" t="s">
        <v>6153</v>
      </c>
    </row>
    <row r="55803" spans="8:8">
      <c r="H55803" s="680" t="s">
        <v>6153</v>
      </c>
    </row>
    <row r="55804" spans="8:8">
      <c r="H55804" s="680" t="s">
        <v>6153</v>
      </c>
    </row>
    <row r="55805" spans="8:8">
      <c r="H55805" s="680" t="s">
        <v>6153</v>
      </c>
    </row>
    <row r="55806" spans="8:8">
      <c r="H55806" s="680" t="s">
        <v>6153</v>
      </c>
    </row>
    <row r="55807" spans="8:8">
      <c r="H55807" s="680" t="s">
        <v>6153</v>
      </c>
    </row>
    <row r="55808" spans="8:8">
      <c r="H55808" s="680" t="s">
        <v>6153</v>
      </c>
    </row>
    <row r="55809" spans="8:8">
      <c r="H55809" s="680" t="s">
        <v>6153</v>
      </c>
    </row>
    <row r="55810" spans="8:8">
      <c r="H55810" s="680" t="s">
        <v>6153</v>
      </c>
    </row>
    <row r="55811" spans="8:8">
      <c r="H55811" s="680" t="s">
        <v>6153</v>
      </c>
    </row>
    <row r="55812" spans="8:8">
      <c r="H55812" s="680" t="s">
        <v>6153</v>
      </c>
    </row>
    <row r="55813" spans="8:8">
      <c r="H55813" s="680" t="s">
        <v>6153</v>
      </c>
    </row>
    <row r="55814" spans="8:8">
      <c r="H55814" s="680" t="s">
        <v>6153</v>
      </c>
    </row>
    <row r="55815" spans="8:8">
      <c r="H55815" s="680" t="s">
        <v>6153</v>
      </c>
    </row>
    <row r="55816" spans="8:8">
      <c r="H55816" s="680" t="s">
        <v>6153</v>
      </c>
    </row>
    <row r="55817" spans="8:8">
      <c r="H55817" s="680" t="s">
        <v>6153</v>
      </c>
    </row>
    <row r="55818" spans="8:8">
      <c r="H55818" s="680" t="s">
        <v>6153</v>
      </c>
    </row>
    <row r="55819" spans="8:8">
      <c r="H55819" s="680" t="s">
        <v>6153</v>
      </c>
    </row>
    <row r="55820" spans="8:8">
      <c r="H55820" s="680" t="s">
        <v>6153</v>
      </c>
    </row>
    <row r="55821" spans="8:8">
      <c r="H55821" s="680" t="s">
        <v>6153</v>
      </c>
    </row>
    <row r="55822" spans="8:8">
      <c r="H55822" s="680" t="s">
        <v>6153</v>
      </c>
    </row>
    <row r="55823" spans="8:8">
      <c r="H55823" s="680" t="s">
        <v>6153</v>
      </c>
    </row>
    <row r="55824" spans="8:8">
      <c r="H55824" s="680" t="s">
        <v>6153</v>
      </c>
    </row>
    <row r="55825" spans="8:8">
      <c r="H55825" s="680" t="s">
        <v>6153</v>
      </c>
    </row>
    <row r="55826" spans="8:8">
      <c r="H55826" s="680" t="s">
        <v>6153</v>
      </c>
    </row>
    <row r="55827" spans="8:8">
      <c r="H55827" s="680" t="s">
        <v>6153</v>
      </c>
    </row>
    <row r="55828" spans="8:8">
      <c r="H55828" s="680" t="s">
        <v>6153</v>
      </c>
    </row>
    <row r="55829" spans="8:8">
      <c r="H55829" s="680" t="s">
        <v>6153</v>
      </c>
    </row>
    <row r="55830" spans="8:8">
      <c r="H55830" s="680" t="s">
        <v>6153</v>
      </c>
    </row>
    <row r="55831" spans="8:8">
      <c r="H55831" s="680" t="s">
        <v>6153</v>
      </c>
    </row>
    <row r="55832" spans="8:8">
      <c r="H55832" s="680" t="s">
        <v>6153</v>
      </c>
    </row>
    <row r="55833" spans="8:8">
      <c r="H55833" s="680" t="s">
        <v>6153</v>
      </c>
    </row>
    <row r="55834" spans="8:8">
      <c r="H55834" s="680" t="s">
        <v>6153</v>
      </c>
    </row>
    <row r="55835" spans="8:8">
      <c r="H55835" s="680" t="s">
        <v>6153</v>
      </c>
    </row>
    <row r="55836" spans="8:8">
      <c r="H55836" s="680" t="s">
        <v>6153</v>
      </c>
    </row>
    <row r="55837" spans="8:8">
      <c r="H55837" s="680" t="s">
        <v>6153</v>
      </c>
    </row>
    <row r="55838" spans="8:8">
      <c r="H55838" s="680" t="s">
        <v>6153</v>
      </c>
    </row>
    <row r="55839" spans="8:8">
      <c r="H55839" s="680" t="s">
        <v>6153</v>
      </c>
    </row>
    <row r="55840" spans="8:8">
      <c r="H55840" s="680" t="s">
        <v>6153</v>
      </c>
    </row>
    <row r="55841" spans="8:8">
      <c r="H55841" s="680" t="s">
        <v>6153</v>
      </c>
    </row>
    <row r="55842" spans="8:8">
      <c r="H55842" s="680" t="s">
        <v>6153</v>
      </c>
    </row>
    <row r="55843" spans="8:8">
      <c r="H55843" s="680" t="s">
        <v>6153</v>
      </c>
    </row>
    <row r="55844" spans="8:8">
      <c r="H55844" s="680" t="s">
        <v>6153</v>
      </c>
    </row>
    <row r="55845" spans="8:8">
      <c r="H55845" s="680" t="s">
        <v>6153</v>
      </c>
    </row>
    <row r="55846" spans="8:8">
      <c r="H55846" s="680" t="s">
        <v>6153</v>
      </c>
    </row>
    <row r="55847" spans="8:8">
      <c r="H55847" s="680" t="s">
        <v>6153</v>
      </c>
    </row>
    <row r="55848" spans="8:8">
      <c r="H55848" s="680" t="s">
        <v>6153</v>
      </c>
    </row>
    <row r="55849" spans="8:8">
      <c r="H55849" s="680" t="s">
        <v>6153</v>
      </c>
    </row>
    <row r="55850" spans="8:8">
      <c r="H55850" s="680" t="s">
        <v>6153</v>
      </c>
    </row>
    <row r="55851" spans="8:8">
      <c r="H55851" s="680" t="s">
        <v>6153</v>
      </c>
    </row>
    <row r="55852" spans="8:8">
      <c r="H55852" s="680" t="s">
        <v>6153</v>
      </c>
    </row>
    <row r="55853" spans="8:8">
      <c r="H55853" s="680" t="s">
        <v>6153</v>
      </c>
    </row>
    <row r="55854" spans="8:8">
      <c r="H55854" s="680" t="s">
        <v>6153</v>
      </c>
    </row>
    <row r="55855" spans="8:8">
      <c r="H55855" s="680" t="s">
        <v>6153</v>
      </c>
    </row>
    <row r="55856" spans="8:8">
      <c r="H55856" s="680" t="s">
        <v>6153</v>
      </c>
    </row>
    <row r="55857" spans="8:8">
      <c r="H55857" s="680" t="s">
        <v>6153</v>
      </c>
    </row>
    <row r="55858" spans="8:8">
      <c r="H55858" s="680" t="s">
        <v>6153</v>
      </c>
    </row>
    <row r="55859" spans="8:8">
      <c r="H55859" s="680" t="s">
        <v>6153</v>
      </c>
    </row>
    <row r="55860" spans="8:8">
      <c r="H55860" s="680" t="s">
        <v>6153</v>
      </c>
    </row>
    <row r="55861" spans="8:8">
      <c r="H55861" s="680" t="s">
        <v>6153</v>
      </c>
    </row>
    <row r="55862" spans="8:8">
      <c r="H55862" s="680" t="s">
        <v>6153</v>
      </c>
    </row>
    <row r="55863" spans="8:8">
      <c r="H55863" s="680" t="s">
        <v>6153</v>
      </c>
    </row>
    <row r="55864" spans="8:8">
      <c r="H55864" s="680" t="s">
        <v>6153</v>
      </c>
    </row>
    <row r="55865" spans="8:8">
      <c r="H55865" s="680" t="s">
        <v>6153</v>
      </c>
    </row>
    <row r="55866" spans="8:8">
      <c r="H55866" s="680" t="s">
        <v>6153</v>
      </c>
    </row>
    <row r="55867" spans="8:8">
      <c r="H55867" s="680" t="s">
        <v>6153</v>
      </c>
    </row>
    <row r="55868" spans="8:8">
      <c r="H55868" s="680" t="s">
        <v>6153</v>
      </c>
    </row>
    <row r="55869" spans="8:8">
      <c r="H55869" s="680" t="s">
        <v>6153</v>
      </c>
    </row>
    <row r="55870" spans="8:8">
      <c r="H55870" s="680" t="s">
        <v>6153</v>
      </c>
    </row>
    <row r="55871" spans="8:8">
      <c r="H55871" s="680" t="s">
        <v>6153</v>
      </c>
    </row>
    <row r="55872" spans="8:8">
      <c r="H55872" s="680" t="s">
        <v>6153</v>
      </c>
    </row>
    <row r="55873" spans="8:8">
      <c r="H55873" s="680" t="s">
        <v>6153</v>
      </c>
    </row>
    <row r="55874" spans="8:8">
      <c r="H55874" s="680" t="s">
        <v>6153</v>
      </c>
    </row>
    <row r="55875" spans="8:8">
      <c r="H55875" s="680" t="s">
        <v>6153</v>
      </c>
    </row>
    <row r="55876" spans="8:8">
      <c r="H55876" s="680" t="s">
        <v>6153</v>
      </c>
    </row>
    <row r="55877" spans="8:8">
      <c r="H55877" s="680" t="s">
        <v>6153</v>
      </c>
    </row>
    <row r="55878" spans="8:8">
      <c r="H55878" s="680" t="s">
        <v>6153</v>
      </c>
    </row>
    <row r="55879" spans="8:8">
      <c r="H55879" s="680" t="s">
        <v>6153</v>
      </c>
    </row>
    <row r="55880" spans="8:8">
      <c r="H55880" s="680" t="s">
        <v>6153</v>
      </c>
    </row>
    <row r="55881" spans="8:8">
      <c r="H55881" s="680" t="s">
        <v>6153</v>
      </c>
    </row>
    <row r="55882" spans="8:8">
      <c r="H55882" s="680" t="s">
        <v>6153</v>
      </c>
    </row>
    <row r="55883" spans="8:8">
      <c r="H55883" s="680" t="s">
        <v>6153</v>
      </c>
    </row>
    <row r="55884" spans="8:8">
      <c r="H55884" s="680" t="s">
        <v>6153</v>
      </c>
    </row>
    <row r="55885" spans="8:8">
      <c r="H55885" s="680" t="s">
        <v>6153</v>
      </c>
    </row>
    <row r="55886" spans="8:8">
      <c r="H55886" s="680" t="s">
        <v>6153</v>
      </c>
    </row>
    <row r="55887" spans="8:8">
      <c r="H55887" s="680" t="s">
        <v>6153</v>
      </c>
    </row>
    <row r="55888" spans="8:8">
      <c r="H55888" s="680" t="s">
        <v>6153</v>
      </c>
    </row>
    <row r="55889" spans="8:8">
      <c r="H55889" s="680" t="s">
        <v>6153</v>
      </c>
    </row>
    <row r="55890" spans="8:8">
      <c r="H55890" s="680" t="s">
        <v>6153</v>
      </c>
    </row>
    <row r="55891" spans="8:8">
      <c r="H55891" s="680" t="s">
        <v>6153</v>
      </c>
    </row>
    <row r="55892" spans="8:8">
      <c r="H55892" s="680" t="s">
        <v>6153</v>
      </c>
    </row>
    <row r="55893" spans="8:8">
      <c r="H55893" s="680" t="s">
        <v>6153</v>
      </c>
    </row>
    <row r="55894" spans="8:8">
      <c r="H55894" s="680" t="s">
        <v>6153</v>
      </c>
    </row>
    <row r="55895" spans="8:8">
      <c r="H55895" s="680" t="s">
        <v>6153</v>
      </c>
    </row>
    <row r="55896" spans="8:8">
      <c r="H55896" s="680" t="s">
        <v>6153</v>
      </c>
    </row>
    <row r="55897" spans="8:8">
      <c r="H55897" s="680" t="s">
        <v>6153</v>
      </c>
    </row>
    <row r="55898" spans="8:8">
      <c r="H55898" s="680" t="s">
        <v>6153</v>
      </c>
    </row>
    <row r="55899" spans="8:8">
      <c r="H55899" s="680" t="s">
        <v>6153</v>
      </c>
    </row>
    <row r="55900" spans="8:8">
      <c r="H55900" s="680" t="s">
        <v>6153</v>
      </c>
    </row>
    <row r="55901" spans="8:8">
      <c r="H55901" s="680" t="s">
        <v>6153</v>
      </c>
    </row>
    <row r="55902" spans="8:8">
      <c r="H55902" s="680" t="s">
        <v>6153</v>
      </c>
    </row>
    <row r="55903" spans="8:8">
      <c r="H55903" s="680" t="s">
        <v>6153</v>
      </c>
    </row>
    <row r="55904" spans="8:8">
      <c r="H55904" s="680" t="s">
        <v>6153</v>
      </c>
    </row>
    <row r="55905" spans="8:8">
      <c r="H55905" s="680" t="s">
        <v>6153</v>
      </c>
    </row>
    <row r="55906" spans="8:8">
      <c r="H55906" s="680" t="s">
        <v>6153</v>
      </c>
    </row>
    <row r="55907" spans="8:8">
      <c r="H55907" s="680" t="s">
        <v>6153</v>
      </c>
    </row>
    <row r="55908" spans="8:8">
      <c r="H55908" s="680" t="s">
        <v>6153</v>
      </c>
    </row>
    <row r="55909" spans="8:8">
      <c r="H55909" s="680" t="s">
        <v>6153</v>
      </c>
    </row>
    <row r="55910" spans="8:8">
      <c r="H55910" s="680" t="s">
        <v>6153</v>
      </c>
    </row>
    <row r="55911" spans="8:8">
      <c r="H55911" s="680" t="s">
        <v>6153</v>
      </c>
    </row>
    <row r="55912" spans="8:8">
      <c r="H55912" s="680" t="s">
        <v>6153</v>
      </c>
    </row>
    <row r="55913" spans="8:8">
      <c r="H55913" s="680" t="s">
        <v>6153</v>
      </c>
    </row>
    <row r="55914" spans="8:8">
      <c r="H55914" s="680" t="s">
        <v>6153</v>
      </c>
    </row>
    <row r="55915" spans="8:8">
      <c r="H55915" s="680" t="s">
        <v>6153</v>
      </c>
    </row>
    <row r="55916" spans="8:8">
      <c r="H55916" s="680" t="s">
        <v>6153</v>
      </c>
    </row>
    <row r="55917" spans="8:8">
      <c r="H55917" s="680" t="s">
        <v>6153</v>
      </c>
    </row>
    <row r="55918" spans="8:8">
      <c r="H55918" s="680" t="s">
        <v>6153</v>
      </c>
    </row>
    <row r="55919" spans="8:8">
      <c r="H55919" s="680" t="s">
        <v>6153</v>
      </c>
    </row>
    <row r="55920" spans="8:8">
      <c r="H55920" s="680" t="s">
        <v>6153</v>
      </c>
    </row>
    <row r="55921" spans="8:8">
      <c r="H55921" s="680" t="s">
        <v>6153</v>
      </c>
    </row>
    <row r="55922" spans="8:8">
      <c r="H55922" s="680" t="s">
        <v>6153</v>
      </c>
    </row>
    <row r="55923" spans="8:8">
      <c r="H55923" s="680" t="s">
        <v>6153</v>
      </c>
    </row>
    <row r="55924" spans="8:8">
      <c r="H55924" s="680" t="s">
        <v>6153</v>
      </c>
    </row>
    <row r="55925" spans="8:8">
      <c r="H55925" s="680" t="s">
        <v>6153</v>
      </c>
    </row>
    <row r="55926" spans="8:8">
      <c r="H55926" s="680" t="s">
        <v>6153</v>
      </c>
    </row>
    <row r="55927" spans="8:8">
      <c r="H55927" s="680" t="s">
        <v>6153</v>
      </c>
    </row>
    <row r="55928" spans="8:8">
      <c r="H55928" s="680" t="s">
        <v>6153</v>
      </c>
    </row>
    <row r="55929" spans="8:8">
      <c r="H55929" s="680" t="s">
        <v>6153</v>
      </c>
    </row>
    <row r="55930" spans="8:8">
      <c r="H55930" s="680" t="s">
        <v>6153</v>
      </c>
    </row>
    <row r="55931" spans="8:8">
      <c r="H55931" s="680" t="s">
        <v>6153</v>
      </c>
    </row>
    <row r="55932" spans="8:8">
      <c r="H55932" s="680" t="s">
        <v>6153</v>
      </c>
    </row>
    <row r="55933" spans="8:8">
      <c r="H55933" s="680" t="s">
        <v>6153</v>
      </c>
    </row>
    <row r="55934" spans="8:8">
      <c r="H55934" s="680" t="s">
        <v>6153</v>
      </c>
    </row>
    <row r="55935" spans="8:8">
      <c r="H55935" s="680" t="s">
        <v>6153</v>
      </c>
    </row>
    <row r="55936" spans="8:8">
      <c r="H55936" s="680" t="s">
        <v>6153</v>
      </c>
    </row>
    <row r="55937" spans="8:8">
      <c r="H55937" s="680" t="s">
        <v>6153</v>
      </c>
    </row>
    <row r="55938" spans="8:8">
      <c r="H55938" s="680" t="s">
        <v>6153</v>
      </c>
    </row>
    <row r="55939" spans="8:8">
      <c r="H55939" s="680" t="s">
        <v>6153</v>
      </c>
    </row>
    <row r="55940" spans="8:8">
      <c r="H55940" s="680" t="s">
        <v>6153</v>
      </c>
    </row>
    <row r="55941" spans="8:8">
      <c r="H55941" s="680" t="s">
        <v>6153</v>
      </c>
    </row>
    <row r="55942" spans="8:8">
      <c r="H55942" s="680" t="s">
        <v>6153</v>
      </c>
    </row>
    <row r="55943" spans="8:8">
      <c r="H55943" s="680" t="s">
        <v>6153</v>
      </c>
    </row>
    <row r="55944" spans="8:8">
      <c r="H55944" s="680" t="s">
        <v>6153</v>
      </c>
    </row>
    <row r="55945" spans="8:8">
      <c r="H55945" s="680" t="s">
        <v>6153</v>
      </c>
    </row>
    <row r="55946" spans="8:8">
      <c r="H55946" s="680" t="s">
        <v>6153</v>
      </c>
    </row>
    <row r="55947" spans="8:8">
      <c r="H55947" s="680" t="s">
        <v>6153</v>
      </c>
    </row>
    <row r="55948" spans="8:8">
      <c r="H55948" s="680" t="s">
        <v>6153</v>
      </c>
    </row>
    <row r="55949" spans="8:8">
      <c r="H55949" s="680" t="s">
        <v>6153</v>
      </c>
    </row>
    <row r="55950" spans="8:8">
      <c r="H55950" s="680" t="s">
        <v>6153</v>
      </c>
    </row>
    <row r="55951" spans="8:8">
      <c r="H55951" s="680" t="s">
        <v>6153</v>
      </c>
    </row>
    <row r="55952" spans="8:8">
      <c r="H55952" s="680" t="s">
        <v>6153</v>
      </c>
    </row>
    <row r="55953" spans="8:8">
      <c r="H55953" s="680" t="s">
        <v>6153</v>
      </c>
    </row>
    <row r="55954" spans="8:8">
      <c r="H55954" s="680" t="s">
        <v>6153</v>
      </c>
    </row>
    <row r="55955" spans="8:8">
      <c r="H55955" s="680" t="s">
        <v>6153</v>
      </c>
    </row>
    <row r="55956" spans="8:8">
      <c r="H55956" s="680" t="s">
        <v>6153</v>
      </c>
    </row>
    <row r="55957" spans="8:8">
      <c r="H55957" s="680" t="s">
        <v>6153</v>
      </c>
    </row>
    <row r="55958" spans="8:8">
      <c r="H55958" s="680" t="s">
        <v>6153</v>
      </c>
    </row>
    <row r="55959" spans="8:8">
      <c r="H55959" s="680" t="s">
        <v>6153</v>
      </c>
    </row>
    <row r="55960" spans="8:8">
      <c r="H55960" s="680" t="s">
        <v>6153</v>
      </c>
    </row>
    <row r="55961" spans="8:8">
      <c r="H55961" s="680" t="s">
        <v>6153</v>
      </c>
    </row>
    <row r="55962" spans="8:8">
      <c r="H55962" s="680" t="s">
        <v>6153</v>
      </c>
    </row>
    <row r="55963" spans="8:8">
      <c r="H55963" s="680" t="s">
        <v>6153</v>
      </c>
    </row>
    <row r="55964" spans="8:8">
      <c r="H55964" s="680" t="s">
        <v>6153</v>
      </c>
    </row>
    <row r="55965" spans="8:8">
      <c r="H55965" s="680" t="s">
        <v>6153</v>
      </c>
    </row>
    <row r="55966" spans="8:8">
      <c r="H55966" s="680" t="s">
        <v>6153</v>
      </c>
    </row>
    <row r="55967" spans="8:8">
      <c r="H55967" s="680" t="s">
        <v>6153</v>
      </c>
    </row>
    <row r="55968" spans="8:8">
      <c r="H55968" s="680" t="s">
        <v>6153</v>
      </c>
    </row>
    <row r="55969" spans="8:8">
      <c r="H55969" s="680" t="s">
        <v>6153</v>
      </c>
    </row>
    <row r="55970" spans="8:8">
      <c r="H55970" s="680" t="s">
        <v>6153</v>
      </c>
    </row>
    <row r="55971" spans="8:8">
      <c r="H55971" s="680" t="s">
        <v>6153</v>
      </c>
    </row>
    <row r="55972" spans="8:8">
      <c r="H55972" s="680" t="s">
        <v>6153</v>
      </c>
    </row>
    <row r="55973" spans="8:8">
      <c r="H55973" s="680" t="s">
        <v>6153</v>
      </c>
    </row>
    <row r="55974" spans="8:8">
      <c r="H55974" s="680" t="s">
        <v>6153</v>
      </c>
    </row>
    <row r="55975" spans="8:8">
      <c r="H55975" s="680" t="s">
        <v>6153</v>
      </c>
    </row>
    <row r="55976" spans="8:8">
      <c r="H55976" s="680" t="s">
        <v>6153</v>
      </c>
    </row>
    <row r="55977" spans="8:8">
      <c r="H55977" s="680" t="s">
        <v>6153</v>
      </c>
    </row>
    <row r="55978" spans="8:8">
      <c r="H55978" s="680" t="s">
        <v>6153</v>
      </c>
    </row>
    <row r="55979" spans="8:8">
      <c r="H55979" s="680" t="s">
        <v>6153</v>
      </c>
    </row>
    <row r="55980" spans="8:8">
      <c r="H55980" s="680" t="s">
        <v>6153</v>
      </c>
    </row>
    <row r="55981" spans="8:8">
      <c r="H55981" s="680" t="s">
        <v>6153</v>
      </c>
    </row>
    <row r="55982" spans="8:8">
      <c r="H55982" s="680" t="s">
        <v>6153</v>
      </c>
    </row>
    <row r="55983" spans="8:8">
      <c r="H55983" s="680" t="s">
        <v>6153</v>
      </c>
    </row>
    <row r="55984" spans="8:8">
      <c r="H55984" s="680" t="s">
        <v>6153</v>
      </c>
    </row>
    <row r="55985" spans="8:8">
      <c r="H55985" s="680" t="s">
        <v>6153</v>
      </c>
    </row>
    <row r="55986" spans="8:8">
      <c r="H55986" s="680" t="s">
        <v>6153</v>
      </c>
    </row>
    <row r="55987" spans="8:8">
      <c r="H55987" s="680" t="s">
        <v>6153</v>
      </c>
    </row>
    <row r="55988" spans="8:8">
      <c r="H55988" s="680" t="s">
        <v>6153</v>
      </c>
    </row>
    <row r="55989" spans="8:8">
      <c r="H55989" s="680" t="s">
        <v>6153</v>
      </c>
    </row>
    <row r="55990" spans="8:8">
      <c r="H55990" s="680" t="s">
        <v>6153</v>
      </c>
    </row>
    <row r="55991" spans="8:8">
      <c r="H55991" s="680" t="s">
        <v>6153</v>
      </c>
    </row>
    <row r="55992" spans="8:8">
      <c r="H55992" s="680" t="s">
        <v>6153</v>
      </c>
    </row>
    <row r="55993" spans="8:8">
      <c r="H55993" s="680" t="s">
        <v>6153</v>
      </c>
    </row>
    <row r="55994" spans="8:8">
      <c r="H55994" s="680" t="s">
        <v>6153</v>
      </c>
    </row>
    <row r="55995" spans="8:8">
      <c r="H55995" s="680" t="s">
        <v>6153</v>
      </c>
    </row>
    <row r="55996" spans="8:8">
      <c r="H55996" s="680" t="s">
        <v>6153</v>
      </c>
    </row>
    <row r="55997" spans="8:8">
      <c r="H55997" s="680" t="s">
        <v>6153</v>
      </c>
    </row>
    <row r="55998" spans="8:8">
      <c r="H55998" s="680" t="s">
        <v>6153</v>
      </c>
    </row>
    <row r="55999" spans="8:8">
      <c r="H55999" s="680" t="s">
        <v>6153</v>
      </c>
    </row>
    <row r="56000" spans="8:8">
      <c r="H56000" s="680" t="s">
        <v>6153</v>
      </c>
    </row>
    <row r="56001" spans="8:8">
      <c r="H56001" s="680" t="s">
        <v>6153</v>
      </c>
    </row>
    <row r="56002" spans="8:8">
      <c r="H56002" s="680" t="s">
        <v>6153</v>
      </c>
    </row>
    <row r="56003" spans="8:8">
      <c r="H56003" s="680" t="s">
        <v>6153</v>
      </c>
    </row>
    <row r="56004" spans="8:8">
      <c r="H56004" s="680" t="s">
        <v>6153</v>
      </c>
    </row>
    <row r="56005" spans="8:8">
      <c r="H56005" s="680" t="s">
        <v>6153</v>
      </c>
    </row>
    <row r="56006" spans="8:8">
      <c r="H56006" s="680" t="s">
        <v>6153</v>
      </c>
    </row>
    <row r="56007" spans="8:8">
      <c r="H56007" s="680" t="s">
        <v>6153</v>
      </c>
    </row>
    <row r="56008" spans="8:8">
      <c r="H56008" s="680" t="s">
        <v>6153</v>
      </c>
    </row>
    <row r="56009" spans="8:8">
      <c r="H56009" s="680" t="s">
        <v>6153</v>
      </c>
    </row>
    <row r="56010" spans="8:8">
      <c r="H56010" s="680" t="s">
        <v>6153</v>
      </c>
    </row>
    <row r="56011" spans="8:8">
      <c r="H56011" s="680" t="s">
        <v>6153</v>
      </c>
    </row>
    <row r="56012" spans="8:8">
      <c r="H56012" s="680" t="s">
        <v>6153</v>
      </c>
    </row>
    <row r="56013" spans="8:8">
      <c r="H56013" s="680" t="s">
        <v>6153</v>
      </c>
    </row>
    <row r="56014" spans="8:8">
      <c r="H56014" s="680" t="s">
        <v>6153</v>
      </c>
    </row>
    <row r="56015" spans="8:8">
      <c r="H56015" s="680" t="s">
        <v>6153</v>
      </c>
    </row>
    <row r="56016" spans="8:8">
      <c r="H56016" s="680" t="s">
        <v>6153</v>
      </c>
    </row>
    <row r="56017" spans="8:8">
      <c r="H56017" s="680" t="s">
        <v>6153</v>
      </c>
    </row>
    <row r="56018" spans="8:8">
      <c r="H56018" s="680" t="s">
        <v>6153</v>
      </c>
    </row>
    <row r="56019" spans="8:8">
      <c r="H56019" s="680" t="s">
        <v>6153</v>
      </c>
    </row>
    <row r="56020" spans="8:8">
      <c r="H56020" s="680" t="s">
        <v>6153</v>
      </c>
    </row>
    <row r="56021" spans="8:8">
      <c r="H56021" s="680" t="s">
        <v>6153</v>
      </c>
    </row>
    <row r="56022" spans="8:8">
      <c r="H56022" s="680" t="s">
        <v>6153</v>
      </c>
    </row>
    <row r="56023" spans="8:8">
      <c r="H56023" s="680" t="s">
        <v>6153</v>
      </c>
    </row>
    <row r="56024" spans="8:8">
      <c r="H56024" s="680" t="s">
        <v>6153</v>
      </c>
    </row>
    <row r="56025" spans="8:8">
      <c r="H56025" s="680" t="s">
        <v>6153</v>
      </c>
    </row>
    <row r="56026" spans="8:8">
      <c r="H56026" s="680" t="s">
        <v>6153</v>
      </c>
    </row>
    <row r="56027" spans="8:8">
      <c r="H56027" s="680" t="s">
        <v>6153</v>
      </c>
    </row>
    <row r="56028" spans="8:8">
      <c r="H56028" s="680" t="s">
        <v>6153</v>
      </c>
    </row>
    <row r="56029" spans="8:8">
      <c r="H56029" s="680" t="s">
        <v>6153</v>
      </c>
    </row>
    <row r="56030" spans="8:8">
      <c r="H56030" s="680" t="s">
        <v>6153</v>
      </c>
    </row>
    <row r="56031" spans="8:8">
      <c r="H56031" s="680" t="s">
        <v>6153</v>
      </c>
    </row>
    <row r="56032" spans="8:8">
      <c r="H56032" s="680" t="s">
        <v>6153</v>
      </c>
    </row>
    <row r="56033" spans="8:8">
      <c r="H56033" s="680" t="s">
        <v>6153</v>
      </c>
    </row>
    <row r="56034" spans="8:8">
      <c r="H56034" s="680" t="s">
        <v>6153</v>
      </c>
    </row>
    <row r="56035" spans="8:8">
      <c r="H56035" s="680" t="s">
        <v>6153</v>
      </c>
    </row>
    <row r="56036" spans="8:8">
      <c r="H56036" s="680" t="s">
        <v>6153</v>
      </c>
    </row>
    <row r="56037" spans="8:8">
      <c r="H56037" s="680" t="s">
        <v>6153</v>
      </c>
    </row>
    <row r="56038" spans="8:8">
      <c r="H56038" s="680" t="s">
        <v>6153</v>
      </c>
    </row>
    <row r="56039" spans="8:8">
      <c r="H56039" s="680" t="s">
        <v>6153</v>
      </c>
    </row>
    <row r="56040" spans="8:8">
      <c r="H56040" s="680" t="s">
        <v>6153</v>
      </c>
    </row>
    <row r="56041" spans="8:8">
      <c r="H56041" s="680" t="s">
        <v>6153</v>
      </c>
    </row>
    <row r="56042" spans="8:8">
      <c r="H56042" s="680" t="s">
        <v>6153</v>
      </c>
    </row>
    <row r="56043" spans="8:8">
      <c r="H56043" s="680" t="s">
        <v>6153</v>
      </c>
    </row>
    <row r="56044" spans="8:8">
      <c r="H56044" s="680" t="s">
        <v>6153</v>
      </c>
    </row>
    <row r="56045" spans="8:8">
      <c r="H56045" s="680" t="s">
        <v>6153</v>
      </c>
    </row>
    <row r="56046" spans="8:8">
      <c r="H56046" s="680" t="s">
        <v>6153</v>
      </c>
    </row>
    <row r="56047" spans="8:8">
      <c r="H56047" s="680" t="s">
        <v>6153</v>
      </c>
    </row>
    <row r="56048" spans="8:8">
      <c r="H56048" s="680" t="s">
        <v>6153</v>
      </c>
    </row>
    <row r="56049" spans="8:8">
      <c r="H56049" s="680" t="s">
        <v>6153</v>
      </c>
    </row>
    <row r="56050" spans="8:8">
      <c r="H56050" s="680" t="s">
        <v>6153</v>
      </c>
    </row>
    <row r="56051" spans="8:8">
      <c r="H56051" s="680" t="s">
        <v>6153</v>
      </c>
    </row>
    <row r="56052" spans="8:8">
      <c r="H56052" s="680" t="s">
        <v>6153</v>
      </c>
    </row>
    <row r="56053" spans="8:8">
      <c r="H56053" s="680" t="s">
        <v>6153</v>
      </c>
    </row>
    <row r="56054" spans="8:8">
      <c r="H56054" s="680" t="s">
        <v>6153</v>
      </c>
    </row>
    <row r="56055" spans="8:8">
      <c r="H56055" s="680" t="s">
        <v>6153</v>
      </c>
    </row>
    <row r="56056" spans="8:8">
      <c r="H56056" s="680" t="s">
        <v>6153</v>
      </c>
    </row>
    <row r="56057" spans="8:8">
      <c r="H56057" s="680" t="s">
        <v>6153</v>
      </c>
    </row>
    <row r="56058" spans="8:8">
      <c r="H56058" s="680" t="s">
        <v>6153</v>
      </c>
    </row>
    <row r="56059" spans="8:8">
      <c r="H56059" s="680" t="s">
        <v>6153</v>
      </c>
    </row>
    <row r="56060" spans="8:8">
      <c r="H56060" s="680" t="s">
        <v>6153</v>
      </c>
    </row>
    <row r="56061" spans="8:8">
      <c r="H56061" s="680" t="s">
        <v>6153</v>
      </c>
    </row>
    <row r="56062" spans="8:8">
      <c r="H56062" s="680" t="s">
        <v>6153</v>
      </c>
    </row>
    <row r="56063" spans="8:8">
      <c r="H56063" s="680" t="s">
        <v>6153</v>
      </c>
    </row>
    <row r="56064" spans="8:8">
      <c r="H56064" s="680" t="s">
        <v>6153</v>
      </c>
    </row>
    <row r="56065" spans="8:8">
      <c r="H56065" s="680" t="s">
        <v>6153</v>
      </c>
    </row>
    <row r="56066" spans="8:8">
      <c r="H56066" s="680" t="s">
        <v>6153</v>
      </c>
    </row>
    <row r="56067" spans="8:8">
      <c r="H56067" s="680" t="s">
        <v>6153</v>
      </c>
    </row>
    <row r="56068" spans="8:8">
      <c r="H56068" s="680" t="s">
        <v>6153</v>
      </c>
    </row>
    <row r="56069" spans="8:8">
      <c r="H56069" s="680" t="s">
        <v>6153</v>
      </c>
    </row>
    <row r="56070" spans="8:8">
      <c r="H56070" s="680" t="s">
        <v>6153</v>
      </c>
    </row>
    <row r="56071" spans="8:8">
      <c r="H56071" s="680" t="s">
        <v>6153</v>
      </c>
    </row>
    <row r="56072" spans="8:8">
      <c r="H56072" s="680" t="s">
        <v>6153</v>
      </c>
    </row>
    <row r="56073" spans="8:8">
      <c r="H56073" s="680" t="s">
        <v>6153</v>
      </c>
    </row>
    <row r="56074" spans="8:8">
      <c r="H56074" s="680" t="s">
        <v>6153</v>
      </c>
    </row>
    <row r="56075" spans="8:8">
      <c r="H56075" s="680" t="s">
        <v>6153</v>
      </c>
    </row>
    <row r="56076" spans="8:8">
      <c r="H56076" s="680" t="s">
        <v>6153</v>
      </c>
    </row>
    <row r="56077" spans="8:8">
      <c r="H56077" s="680" t="s">
        <v>6153</v>
      </c>
    </row>
    <row r="56078" spans="8:8">
      <c r="H56078" s="680" t="s">
        <v>6153</v>
      </c>
    </row>
    <row r="56079" spans="8:8">
      <c r="H56079" s="680" t="s">
        <v>6153</v>
      </c>
    </row>
    <row r="56080" spans="8:8">
      <c r="H56080" s="680" t="s">
        <v>6153</v>
      </c>
    </row>
    <row r="56081" spans="8:8">
      <c r="H56081" s="680" t="s">
        <v>6153</v>
      </c>
    </row>
    <row r="56082" spans="8:8">
      <c r="H56082" s="680" t="s">
        <v>6153</v>
      </c>
    </row>
    <row r="56083" spans="8:8">
      <c r="H56083" s="680" t="s">
        <v>6153</v>
      </c>
    </row>
    <row r="56084" spans="8:8">
      <c r="H56084" s="680" t="s">
        <v>6153</v>
      </c>
    </row>
    <row r="56085" spans="8:8">
      <c r="H56085" s="680" t="s">
        <v>6153</v>
      </c>
    </row>
    <row r="56086" spans="8:8">
      <c r="H56086" s="680" t="s">
        <v>6153</v>
      </c>
    </row>
    <row r="56087" spans="8:8">
      <c r="H56087" s="680" t="s">
        <v>6153</v>
      </c>
    </row>
    <row r="56088" spans="8:8">
      <c r="H56088" s="680" t="s">
        <v>6153</v>
      </c>
    </row>
    <row r="56089" spans="8:8">
      <c r="H56089" s="680" t="s">
        <v>6153</v>
      </c>
    </row>
    <row r="56090" spans="8:8">
      <c r="H56090" s="680" t="s">
        <v>6153</v>
      </c>
    </row>
    <row r="56091" spans="8:8">
      <c r="H56091" s="680" t="s">
        <v>6153</v>
      </c>
    </row>
    <row r="56092" spans="8:8">
      <c r="H56092" s="680" t="s">
        <v>6153</v>
      </c>
    </row>
    <row r="56093" spans="8:8">
      <c r="H56093" s="680" t="s">
        <v>6153</v>
      </c>
    </row>
    <row r="56094" spans="8:8">
      <c r="H56094" s="680" t="s">
        <v>6153</v>
      </c>
    </row>
    <row r="56095" spans="8:8">
      <c r="H56095" s="680" t="s">
        <v>6153</v>
      </c>
    </row>
    <row r="56096" spans="8:8">
      <c r="H56096" s="680" t="s">
        <v>6153</v>
      </c>
    </row>
    <row r="56097" spans="8:8">
      <c r="H56097" s="680" t="s">
        <v>6153</v>
      </c>
    </row>
    <row r="56098" spans="8:8">
      <c r="H56098" s="680" t="s">
        <v>6153</v>
      </c>
    </row>
    <row r="56099" spans="8:8">
      <c r="H56099" s="680" t="s">
        <v>6153</v>
      </c>
    </row>
    <row r="56100" spans="8:8">
      <c r="H56100" s="680" t="s">
        <v>6153</v>
      </c>
    </row>
    <row r="56101" spans="8:8">
      <c r="H56101" s="680" t="s">
        <v>6153</v>
      </c>
    </row>
    <row r="56102" spans="8:8">
      <c r="H56102" s="680" t="s">
        <v>6153</v>
      </c>
    </row>
    <row r="56103" spans="8:8">
      <c r="H56103" s="680" t="s">
        <v>6153</v>
      </c>
    </row>
    <row r="56104" spans="8:8">
      <c r="H56104" s="680" t="s">
        <v>6153</v>
      </c>
    </row>
    <row r="56105" spans="8:8">
      <c r="H56105" s="680" t="s">
        <v>6153</v>
      </c>
    </row>
    <row r="56106" spans="8:8">
      <c r="H56106" s="680" t="s">
        <v>6153</v>
      </c>
    </row>
    <row r="56107" spans="8:8">
      <c r="H56107" s="680" t="s">
        <v>6153</v>
      </c>
    </row>
    <row r="56108" spans="8:8">
      <c r="H56108" s="680" t="s">
        <v>6153</v>
      </c>
    </row>
    <row r="56109" spans="8:8">
      <c r="H56109" s="680" t="s">
        <v>6153</v>
      </c>
    </row>
    <row r="56110" spans="8:8">
      <c r="H56110" s="680" t="s">
        <v>6153</v>
      </c>
    </row>
    <row r="56111" spans="8:8">
      <c r="H56111" s="680" t="s">
        <v>6153</v>
      </c>
    </row>
    <row r="56112" spans="8:8">
      <c r="H56112" s="680" t="s">
        <v>6153</v>
      </c>
    </row>
    <row r="56113" spans="8:8">
      <c r="H56113" s="680" t="s">
        <v>6153</v>
      </c>
    </row>
    <row r="56114" spans="8:8">
      <c r="H56114" s="680" t="s">
        <v>6153</v>
      </c>
    </row>
    <row r="56115" spans="8:8">
      <c r="H56115" s="680" t="s">
        <v>6153</v>
      </c>
    </row>
    <row r="56116" spans="8:8">
      <c r="H56116" s="680" t="s">
        <v>6153</v>
      </c>
    </row>
    <row r="56117" spans="8:8">
      <c r="H56117" s="680" t="s">
        <v>6153</v>
      </c>
    </row>
    <row r="56118" spans="8:8">
      <c r="H56118" s="680" t="s">
        <v>6153</v>
      </c>
    </row>
    <row r="56119" spans="8:8">
      <c r="H56119" s="680" t="s">
        <v>6153</v>
      </c>
    </row>
    <row r="56120" spans="8:8">
      <c r="H56120" s="680" t="s">
        <v>6153</v>
      </c>
    </row>
    <row r="56121" spans="8:8">
      <c r="H56121" s="680" t="s">
        <v>6153</v>
      </c>
    </row>
    <row r="56122" spans="8:8">
      <c r="H56122" s="680" t="s">
        <v>6153</v>
      </c>
    </row>
    <row r="56123" spans="8:8">
      <c r="H56123" s="680" t="s">
        <v>6153</v>
      </c>
    </row>
    <row r="56124" spans="8:8">
      <c r="H56124" s="680" t="s">
        <v>6153</v>
      </c>
    </row>
    <row r="56125" spans="8:8">
      <c r="H56125" s="680" t="s">
        <v>6153</v>
      </c>
    </row>
    <row r="56126" spans="8:8">
      <c r="H56126" s="680" t="s">
        <v>6153</v>
      </c>
    </row>
    <row r="56127" spans="8:8">
      <c r="H56127" s="680" t="s">
        <v>6153</v>
      </c>
    </row>
    <row r="56128" spans="8:8">
      <c r="H56128" s="680" t="s">
        <v>6153</v>
      </c>
    </row>
    <row r="56129" spans="8:8">
      <c r="H56129" s="680" t="s">
        <v>6153</v>
      </c>
    </row>
    <row r="56130" spans="8:8">
      <c r="H56130" s="680" t="s">
        <v>6153</v>
      </c>
    </row>
    <row r="56131" spans="8:8">
      <c r="H56131" s="680" t="s">
        <v>6153</v>
      </c>
    </row>
    <row r="56132" spans="8:8">
      <c r="H56132" s="680" t="s">
        <v>6153</v>
      </c>
    </row>
    <row r="56133" spans="8:8">
      <c r="H56133" s="680" t="s">
        <v>6153</v>
      </c>
    </row>
    <row r="56134" spans="8:8">
      <c r="H56134" s="680" t="s">
        <v>6153</v>
      </c>
    </row>
    <row r="56135" spans="8:8">
      <c r="H56135" s="680" t="s">
        <v>6153</v>
      </c>
    </row>
    <row r="56136" spans="8:8">
      <c r="H56136" s="680" t="s">
        <v>6153</v>
      </c>
    </row>
    <row r="56137" spans="8:8">
      <c r="H56137" s="680" t="s">
        <v>6153</v>
      </c>
    </row>
    <row r="56138" spans="8:8">
      <c r="H56138" s="680" t="s">
        <v>6153</v>
      </c>
    </row>
    <row r="56139" spans="8:8">
      <c r="H56139" s="680" t="s">
        <v>6153</v>
      </c>
    </row>
    <row r="56140" spans="8:8">
      <c r="H56140" s="680" t="s">
        <v>6153</v>
      </c>
    </row>
    <row r="56141" spans="8:8">
      <c r="H56141" s="680" t="s">
        <v>6153</v>
      </c>
    </row>
    <row r="56142" spans="8:8">
      <c r="H56142" s="680" t="s">
        <v>6153</v>
      </c>
    </row>
    <row r="56143" spans="8:8">
      <c r="H56143" s="680" t="s">
        <v>6153</v>
      </c>
    </row>
    <row r="56144" spans="8:8">
      <c r="H56144" s="680" t="s">
        <v>6153</v>
      </c>
    </row>
    <row r="56145" spans="8:8">
      <c r="H56145" s="680" t="s">
        <v>6153</v>
      </c>
    </row>
    <row r="56146" spans="8:8">
      <c r="H56146" s="680" t="s">
        <v>6153</v>
      </c>
    </row>
    <row r="56147" spans="8:8">
      <c r="H56147" s="680" t="s">
        <v>6153</v>
      </c>
    </row>
    <row r="56148" spans="8:8">
      <c r="H56148" s="680" t="s">
        <v>6153</v>
      </c>
    </row>
    <row r="56149" spans="8:8">
      <c r="H56149" s="680" t="s">
        <v>6153</v>
      </c>
    </row>
    <row r="56150" spans="8:8">
      <c r="H56150" s="680" t="s">
        <v>6153</v>
      </c>
    </row>
    <row r="56151" spans="8:8">
      <c r="H56151" s="680" t="s">
        <v>6153</v>
      </c>
    </row>
    <row r="56152" spans="8:8">
      <c r="H56152" s="680" t="s">
        <v>6153</v>
      </c>
    </row>
    <row r="56153" spans="8:8">
      <c r="H56153" s="680" t="s">
        <v>6153</v>
      </c>
    </row>
    <row r="56154" spans="8:8">
      <c r="H56154" s="680" t="s">
        <v>6153</v>
      </c>
    </row>
    <row r="56155" spans="8:8">
      <c r="H56155" s="680" t="s">
        <v>6153</v>
      </c>
    </row>
    <row r="56156" spans="8:8">
      <c r="H56156" s="680" t="s">
        <v>6153</v>
      </c>
    </row>
    <row r="56157" spans="8:8">
      <c r="H56157" s="680" t="s">
        <v>6153</v>
      </c>
    </row>
    <row r="56158" spans="8:8">
      <c r="H56158" s="680" t="s">
        <v>6153</v>
      </c>
    </row>
    <row r="56159" spans="8:8">
      <c r="H56159" s="680" t="s">
        <v>6153</v>
      </c>
    </row>
    <row r="56160" spans="8:8">
      <c r="H56160" s="680" t="s">
        <v>6153</v>
      </c>
    </row>
    <row r="56161" spans="8:8">
      <c r="H56161" s="680" t="s">
        <v>6153</v>
      </c>
    </row>
    <row r="56162" spans="8:8">
      <c r="H56162" s="680" t="s">
        <v>6153</v>
      </c>
    </row>
    <row r="56163" spans="8:8">
      <c r="H56163" s="680" t="s">
        <v>6153</v>
      </c>
    </row>
    <row r="56164" spans="8:8">
      <c r="H56164" s="680" t="s">
        <v>6153</v>
      </c>
    </row>
    <row r="56165" spans="8:8">
      <c r="H56165" s="680" t="s">
        <v>6153</v>
      </c>
    </row>
    <row r="56166" spans="8:8">
      <c r="H56166" s="680" t="s">
        <v>6153</v>
      </c>
    </row>
    <row r="56167" spans="8:8">
      <c r="H56167" s="680" t="s">
        <v>6153</v>
      </c>
    </row>
    <row r="56168" spans="8:8">
      <c r="H56168" s="680" t="s">
        <v>6153</v>
      </c>
    </row>
    <row r="56169" spans="8:8">
      <c r="H56169" s="680" t="s">
        <v>6153</v>
      </c>
    </row>
    <row r="56170" spans="8:8">
      <c r="H56170" s="680" t="s">
        <v>6153</v>
      </c>
    </row>
    <row r="56171" spans="8:8">
      <c r="H56171" s="680" t="s">
        <v>6153</v>
      </c>
    </row>
    <row r="56172" spans="8:8">
      <c r="H56172" s="680" t="s">
        <v>6153</v>
      </c>
    </row>
    <row r="56173" spans="8:8">
      <c r="H56173" s="680" t="s">
        <v>6153</v>
      </c>
    </row>
    <row r="56174" spans="8:8">
      <c r="H56174" s="680" t="s">
        <v>6153</v>
      </c>
    </row>
    <row r="56175" spans="8:8">
      <c r="H56175" s="680" t="s">
        <v>6153</v>
      </c>
    </row>
    <row r="56176" spans="8:8">
      <c r="H56176" s="680" t="s">
        <v>6153</v>
      </c>
    </row>
    <row r="56177" spans="8:8">
      <c r="H56177" s="680" t="s">
        <v>6153</v>
      </c>
    </row>
    <row r="56178" spans="8:8">
      <c r="H56178" s="680" t="s">
        <v>6153</v>
      </c>
    </row>
    <row r="56179" spans="8:8">
      <c r="H56179" s="680" t="s">
        <v>6153</v>
      </c>
    </row>
    <row r="56180" spans="8:8">
      <c r="H56180" s="680" t="s">
        <v>6153</v>
      </c>
    </row>
    <row r="56181" spans="8:8">
      <c r="H56181" s="680" t="s">
        <v>6153</v>
      </c>
    </row>
    <row r="56182" spans="8:8">
      <c r="H56182" s="680" t="s">
        <v>6153</v>
      </c>
    </row>
    <row r="56183" spans="8:8">
      <c r="H56183" s="680" t="s">
        <v>6153</v>
      </c>
    </row>
    <row r="56184" spans="8:8">
      <c r="H56184" s="680" t="s">
        <v>6153</v>
      </c>
    </row>
    <row r="56185" spans="8:8">
      <c r="H56185" s="680" t="s">
        <v>6153</v>
      </c>
    </row>
    <row r="56186" spans="8:8">
      <c r="H56186" s="680" t="s">
        <v>6153</v>
      </c>
    </row>
    <row r="56187" spans="8:8">
      <c r="H56187" s="680" t="s">
        <v>6153</v>
      </c>
    </row>
    <row r="56188" spans="8:8">
      <c r="H56188" s="680" t="s">
        <v>6153</v>
      </c>
    </row>
    <row r="56189" spans="8:8">
      <c r="H56189" s="680" t="s">
        <v>6153</v>
      </c>
    </row>
    <row r="56190" spans="8:8">
      <c r="H56190" s="680" t="s">
        <v>6153</v>
      </c>
    </row>
    <row r="56191" spans="8:8">
      <c r="H56191" s="680" t="s">
        <v>6153</v>
      </c>
    </row>
    <row r="56192" spans="8:8">
      <c r="H56192" s="680" t="s">
        <v>6153</v>
      </c>
    </row>
    <row r="56193" spans="8:8">
      <c r="H56193" s="680" t="s">
        <v>6153</v>
      </c>
    </row>
    <row r="56194" spans="8:8">
      <c r="H56194" s="680" t="s">
        <v>6153</v>
      </c>
    </row>
    <row r="56195" spans="8:8">
      <c r="H56195" s="680" t="s">
        <v>6153</v>
      </c>
    </row>
    <row r="56196" spans="8:8">
      <c r="H56196" s="680" t="s">
        <v>6153</v>
      </c>
    </row>
    <row r="56197" spans="8:8">
      <c r="H56197" s="680" t="s">
        <v>6153</v>
      </c>
    </row>
    <row r="56198" spans="8:8">
      <c r="H56198" s="680" t="s">
        <v>6153</v>
      </c>
    </row>
    <row r="56199" spans="8:8">
      <c r="H56199" s="680" t="s">
        <v>6153</v>
      </c>
    </row>
    <row r="56200" spans="8:8">
      <c r="H56200" s="680" t="s">
        <v>6153</v>
      </c>
    </row>
    <row r="56201" spans="8:8">
      <c r="H56201" s="680" t="s">
        <v>6153</v>
      </c>
    </row>
    <row r="56202" spans="8:8">
      <c r="H56202" s="680" t="s">
        <v>6153</v>
      </c>
    </row>
    <row r="56203" spans="8:8">
      <c r="H56203" s="680" t="s">
        <v>6153</v>
      </c>
    </row>
    <row r="56204" spans="8:8">
      <c r="H56204" s="680" t="s">
        <v>6153</v>
      </c>
    </row>
    <row r="56205" spans="8:8">
      <c r="H56205" s="680" t="s">
        <v>6153</v>
      </c>
    </row>
    <row r="56206" spans="8:8">
      <c r="H56206" s="680" t="s">
        <v>6153</v>
      </c>
    </row>
    <row r="56207" spans="8:8">
      <c r="H56207" s="680" t="s">
        <v>6153</v>
      </c>
    </row>
    <row r="56208" spans="8:8">
      <c r="H56208" s="680" t="s">
        <v>6153</v>
      </c>
    </row>
    <row r="56209" spans="8:8">
      <c r="H56209" s="680" t="s">
        <v>6153</v>
      </c>
    </row>
    <row r="56210" spans="8:8">
      <c r="H56210" s="680" t="s">
        <v>6153</v>
      </c>
    </row>
    <row r="56211" spans="8:8">
      <c r="H56211" s="680" t="s">
        <v>6153</v>
      </c>
    </row>
    <row r="56212" spans="8:8">
      <c r="H56212" s="680" t="s">
        <v>6153</v>
      </c>
    </row>
    <row r="56213" spans="8:8">
      <c r="H56213" s="680" t="s">
        <v>6153</v>
      </c>
    </row>
    <row r="56214" spans="8:8">
      <c r="H56214" s="680" t="s">
        <v>6153</v>
      </c>
    </row>
    <row r="56215" spans="8:8">
      <c r="H56215" s="680" t="s">
        <v>6153</v>
      </c>
    </row>
    <row r="56216" spans="8:8">
      <c r="H56216" s="680" t="s">
        <v>6153</v>
      </c>
    </row>
    <row r="56217" spans="8:8">
      <c r="H56217" s="680" t="s">
        <v>6153</v>
      </c>
    </row>
    <row r="56218" spans="8:8">
      <c r="H56218" s="680" t="s">
        <v>6153</v>
      </c>
    </row>
    <row r="56219" spans="8:8">
      <c r="H56219" s="680" t="s">
        <v>6153</v>
      </c>
    </row>
    <row r="56220" spans="8:8">
      <c r="H56220" s="680" t="s">
        <v>6153</v>
      </c>
    </row>
    <row r="56221" spans="8:8">
      <c r="H56221" s="680" t="s">
        <v>6153</v>
      </c>
    </row>
    <row r="56222" spans="8:8">
      <c r="H56222" s="680" t="s">
        <v>6153</v>
      </c>
    </row>
    <row r="56223" spans="8:8">
      <c r="H56223" s="680" t="s">
        <v>6153</v>
      </c>
    </row>
    <row r="56224" spans="8:8">
      <c r="H56224" s="680" t="s">
        <v>6153</v>
      </c>
    </row>
    <row r="56225" spans="8:8">
      <c r="H56225" s="680" t="s">
        <v>6153</v>
      </c>
    </row>
    <row r="56226" spans="8:8">
      <c r="H56226" s="680" t="s">
        <v>6153</v>
      </c>
    </row>
    <row r="56227" spans="8:8">
      <c r="H56227" s="680" t="s">
        <v>6153</v>
      </c>
    </row>
    <row r="56228" spans="8:8">
      <c r="H56228" s="680" t="s">
        <v>6153</v>
      </c>
    </row>
    <row r="56229" spans="8:8">
      <c r="H56229" s="680" t="s">
        <v>6153</v>
      </c>
    </row>
    <row r="56230" spans="8:8">
      <c r="H56230" s="680" t="s">
        <v>6153</v>
      </c>
    </row>
    <row r="56231" spans="8:8">
      <c r="H56231" s="680" t="s">
        <v>6153</v>
      </c>
    </row>
    <row r="56232" spans="8:8">
      <c r="H56232" s="680" t="s">
        <v>6153</v>
      </c>
    </row>
    <row r="56233" spans="8:8">
      <c r="H56233" s="680" t="s">
        <v>6153</v>
      </c>
    </row>
    <row r="56234" spans="8:8">
      <c r="H56234" s="680" t="s">
        <v>6153</v>
      </c>
    </row>
    <row r="56235" spans="8:8">
      <c r="H56235" s="680" t="s">
        <v>6153</v>
      </c>
    </row>
    <row r="56236" spans="8:8">
      <c r="H56236" s="680" t="s">
        <v>6153</v>
      </c>
    </row>
    <row r="56237" spans="8:8">
      <c r="H56237" s="680" t="s">
        <v>6153</v>
      </c>
    </row>
    <row r="56238" spans="8:8">
      <c r="H56238" s="680" t="s">
        <v>6153</v>
      </c>
    </row>
    <row r="56239" spans="8:8">
      <c r="H56239" s="680" t="s">
        <v>6153</v>
      </c>
    </row>
    <row r="56240" spans="8:8">
      <c r="H56240" s="680" t="s">
        <v>6153</v>
      </c>
    </row>
    <row r="56241" spans="8:8">
      <c r="H56241" s="680" t="s">
        <v>6153</v>
      </c>
    </row>
    <row r="56242" spans="8:8">
      <c r="H56242" s="680" t="s">
        <v>6153</v>
      </c>
    </row>
    <row r="56243" spans="8:8">
      <c r="H56243" s="680" t="s">
        <v>6153</v>
      </c>
    </row>
    <row r="56244" spans="8:8">
      <c r="H56244" s="680" t="s">
        <v>6153</v>
      </c>
    </row>
    <row r="56245" spans="8:8">
      <c r="H56245" s="680" t="s">
        <v>6153</v>
      </c>
    </row>
    <row r="56246" spans="8:8">
      <c r="H56246" s="680" t="s">
        <v>6153</v>
      </c>
    </row>
    <row r="56247" spans="8:8">
      <c r="H56247" s="680" t="s">
        <v>6153</v>
      </c>
    </row>
    <row r="56248" spans="8:8">
      <c r="H56248" s="680" t="s">
        <v>6153</v>
      </c>
    </row>
    <row r="56249" spans="8:8">
      <c r="H56249" s="680" t="s">
        <v>6153</v>
      </c>
    </row>
    <row r="56250" spans="8:8">
      <c r="H56250" s="680" t="s">
        <v>6153</v>
      </c>
    </row>
    <row r="56251" spans="8:8">
      <c r="H56251" s="680" t="s">
        <v>6153</v>
      </c>
    </row>
    <row r="56252" spans="8:8">
      <c r="H56252" s="680" t="s">
        <v>6153</v>
      </c>
    </row>
    <row r="56253" spans="8:8">
      <c r="H56253" s="680" t="s">
        <v>6153</v>
      </c>
    </row>
    <row r="56254" spans="8:8">
      <c r="H56254" s="680" t="s">
        <v>6153</v>
      </c>
    </row>
    <row r="56255" spans="8:8">
      <c r="H56255" s="680" t="s">
        <v>6153</v>
      </c>
    </row>
    <row r="56256" spans="8:8">
      <c r="H56256" s="680" t="s">
        <v>6153</v>
      </c>
    </row>
    <row r="56257" spans="8:8">
      <c r="H56257" s="680" t="s">
        <v>6153</v>
      </c>
    </row>
    <row r="56258" spans="8:8">
      <c r="H56258" s="680" t="s">
        <v>6153</v>
      </c>
    </row>
    <row r="56259" spans="8:8">
      <c r="H56259" s="680" t="s">
        <v>6153</v>
      </c>
    </row>
    <row r="56260" spans="8:8">
      <c r="H56260" s="680" t="s">
        <v>6153</v>
      </c>
    </row>
    <row r="56261" spans="8:8">
      <c r="H56261" s="680" t="s">
        <v>6153</v>
      </c>
    </row>
    <row r="56262" spans="8:8">
      <c r="H56262" s="680" t="s">
        <v>6153</v>
      </c>
    </row>
    <row r="56263" spans="8:8">
      <c r="H56263" s="680" t="s">
        <v>6153</v>
      </c>
    </row>
    <row r="56264" spans="8:8">
      <c r="H56264" s="680" t="s">
        <v>6153</v>
      </c>
    </row>
    <row r="56265" spans="8:8">
      <c r="H56265" s="680" t="s">
        <v>6153</v>
      </c>
    </row>
    <row r="56266" spans="8:8">
      <c r="H56266" s="680" t="s">
        <v>6153</v>
      </c>
    </row>
    <row r="56267" spans="8:8">
      <c r="H56267" s="680" t="s">
        <v>6153</v>
      </c>
    </row>
    <row r="56268" spans="8:8">
      <c r="H56268" s="680" t="s">
        <v>6153</v>
      </c>
    </row>
    <row r="56269" spans="8:8">
      <c r="H56269" s="680" t="s">
        <v>6153</v>
      </c>
    </row>
    <row r="56270" spans="8:8">
      <c r="H56270" s="680" t="s">
        <v>6153</v>
      </c>
    </row>
    <row r="56271" spans="8:8">
      <c r="H56271" s="680" t="s">
        <v>6153</v>
      </c>
    </row>
    <row r="56272" spans="8:8">
      <c r="H56272" s="680" t="s">
        <v>6153</v>
      </c>
    </row>
    <row r="56273" spans="8:8">
      <c r="H56273" s="680" t="s">
        <v>6153</v>
      </c>
    </row>
    <row r="56274" spans="8:8">
      <c r="H56274" s="680" t="s">
        <v>6153</v>
      </c>
    </row>
    <row r="56275" spans="8:8">
      <c r="H56275" s="680" t="s">
        <v>6153</v>
      </c>
    </row>
    <row r="56276" spans="8:8">
      <c r="H56276" s="680" t="s">
        <v>6153</v>
      </c>
    </row>
    <row r="56277" spans="8:8">
      <c r="H56277" s="680" t="s">
        <v>6153</v>
      </c>
    </row>
    <row r="56278" spans="8:8">
      <c r="H56278" s="680" t="s">
        <v>6153</v>
      </c>
    </row>
    <row r="56279" spans="8:8">
      <c r="H56279" s="680" t="s">
        <v>6153</v>
      </c>
    </row>
    <row r="56280" spans="8:8">
      <c r="H56280" s="680" t="s">
        <v>6153</v>
      </c>
    </row>
    <row r="56281" spans="8:8">
      <c r="H56281" s="680" t="s">
        <v>6153</v>
      </c>
    </row>
    <row r="56282" spans="8:8">
      <c r="H56282" s="680" t="s">
        <v>6153</v>
      </c>
    </row>
    <row r="56283" spans="8:8">
      <c r="H56283" s="680" t="s">
        <v>6153</v>
      </c>
    </row>
    <row r="56284" spans="8:8">
      <c r="H56284" s="680" t="s">
        <v>6153</v>
      </c>
    </row>
    <row r="56285" spans="8:8">
      <c r="H56285" s="680" t="s">
        <v>6153</v>
      </c>
    </row>
    <row r="56286" spans="8:8">
      <c r="H56286" s="680" t="s">
        <v>6153</v>
      </c>
    </row>
    <row r="56287" spans="8:8">
      <c r="H56287" s="680" t="s">
        <v>6153</v>
      </c>
    </row>
    <row r="56288" spans="8:8">
      <c r="H56288" s="680" t="s">
        <v>6153</v>
      </c>
    </row>
    <row r="56289" spans="8:8">
      <c r="H56289" s="680" t="s">
        <v>6153</v>
      </c>
    </row>
    <row r="56290" spans="8:8">
      <c r="H56290" s="680" t="s">
        <v>6153</v>
      </c>
    </row>
    <row r="56291" spans="8:8">
      <c r="H56291" s="680" t="s">
        <v>6153</v>
      </c>
    </row>
    <row r="56292" spans="8:8">
      <c r="H56292" s="680" t="s">
        <v>6153</v>
      </c>
    </row>
    <row r="56293" spans="8:8">
      <c r="H56293" s="680" t="s">
        <v>6153</v>
      </c>
    </row>
    <row r="56294" spans="8:8">
      <c r="H56294" s="680" t="s">
        <v>6153</v>
      </c>
    </row>
    <row r="56295" spans="8:8">
      <c r="H56295" s="680" t="s">
        <v>6153</v>
      </c>
    </row>
    <row r="56296" spans="8:8">
      <c r="H56296" s="680" t="s">
        <v>6153</v>
      </c>
    </row>
    <row r="56297" spans="8:8">
      <c r="H56297" s="680" t="s">
        <v>6153</v>
      </c>
    </row>
    <row r="56298" spans="8:8">
      <c r="H56298" s="680" t="s">
        <v>6153</v>
      </c>
    </row>
    <row r="56299" spans="8:8">
      <c r="H56299" s="680" t="s">
        <v>6153</v>
      </c>
    </row>
    <row r="56300" spans="8:8">
      <c r="H56300" s="680" t="s">
        <v>6153</v>
      </c>
    </row>
    <row r="56301" spans="8:8">
      <c r="H56301" s="680" t="s">
        <v>6153</v>
      </c>
    </row>
    <row r="56302" spans="8:8">
      <c r="H56302" s="680" t="s">
        <v>6153</v>
      </c>
    </row>
    <row r="56303" spans="8:8">
      <c r="H56303" s="680" t="s">
        <v>6153</v>
      </c>
    </row>
    <row r="56304" spans="8:8">
      <c r="H56304" s="680" t="s">
        <v>6153</v>
      </c>
    </row>
    <row r="56305" spans="8:8">
      <c r="H56305" s="680" t="s">
        <v>6153</v>
      </c>
    </row>
    <row r="56306" spans="8:8">
      <c r="H56306" s="680" t="s">
        <v>6153</v>
      </c>
    </row>
    <row r="56307" spans="8:8">
      <c r="H56307" s="680" t="s">
        <v>6153</v>
      </c>
    </row>
    <row r="56308" spans="8:8">
      <c r="H56308" s="680" t="s">
        <v>6153</v>
      </c>
    </row>
    <row r="56309" spans="8:8">
      <c r="H56309" s="680" t="s">
        <v>6153</v>
      </c>
    </row>
    <row r="56310" spans="8:8">
      <c r="H56310" s="680" t="s">
        <v>6153</v>
      </c>
    </row>
    <row r="56311" spans="8:8">
      <c r="H56311" s="680" t="s">
        <v>6153</v>
      </c>
    </row>
    <row r="56312" spans="8:8">
      <c r="H56312" s="680" t="s">
        <v>6153</v>
      </c>
    </row>
    <row r="56313" spans="8:8">
      <c r="H56313" s="680" t="s">
        <v>6153</v>
      </c>
    </row>
    <row r="56314" spans="8:8">
      <c r="H56314" s="680" t="s">
        <v>6153</v>
      </c>
    </row>
    <row r="56315" spans="8:8">
      <c r="H56315" s="680" t="s">
        <v>6153</v>
      </c>
    </row>
    <row r="56316" spans="8:8">
      <c r="H56316" s="680" t="s">
        <v>6153</v>
      </c>
    </row>
    <row r="56317" spans="8:8">
      <c r="H56317" s="680" t="s">
        <v>6153</v>
      </c>
    </row>
    <row r="56318" spans="8:8">
      <c r="H56318" s="680" t="s">
        <v>6153</v>
      </c>
    </row>
    <row r="56319" spans="8:8">
      <c r="H56319" s="680" t="s">
        <v>6153</v>
      </c>
    </row>
    <row r="56320" spans="8:8">
      <c r="H56320" s="680" t="s">
        <v>6153</v>
      </c>
    </row>
    <row r="56321" spans="8:8">
      <c r="H56321" s="680" t="s">
        <v>6153</v>
      </c>
    </row>
    <row r="56322" spans="8:8">
      <c r="H56322" s="680" t="s">
        <v>6153</v>
      </c>
    </row>
    <row r="56323" spans="8:8">
      <c r="H56323" s="680" t="s">
        <v>6153</v>
      </c>
    </row>
    <row r="56324" spans="8:8">
      <c r="H56324" s="680" t="s">
        <v>6153</v>
      </c>
    </row>
    <row r="56325" spans="8:8">
      <c r="H56325" s="680" t="s">
        <v>6153</v>
      </c>
    </row>
    <row r="56326" spans="8:8">
      <c r="H56326" s="680" t="s">
        <v>6153</v>
      </c>
    </row>
    <row r="56327" spans="8:8">
      <c r="H56327" s="680" t="s">
        <v>6153</v>
      </c>
    </row>
    <row r="56328" spans="8:8">
      <c r="H56328" s="680" t="s">
        <v>6153</v>
      </c>
    </row>
    <row r="56329" spans="8:8">
      <c r="H56329" s="680" t="s">
        <v>6153</v>
      </c>
    </row>
    <row r="56330" spans="8:8">
      <c r="H56330" s="680" t="s">
        <v>6153</v>
      </c>
    </row>
    <row r="56331" spans="8:8">
      <c r="H56331" s="680" t="s">
        <v>6153</v>
      </c>
    </row>
    <row r="56332" spans="8:8">
      <c r="H56332" s="680" t="s">
        <v>6153</v>
      </c>
    </row>
    <row r="56333" spans="8:8">
      <c r="H56333" s="680" t="s">
        <v>6153</v>
      </c>
    </row>
    <row r="56334" spans="8:8">
      <c r="H56334" s="680" t="s">
        <v>6153</v>
      </c>
    </row>
    <row r="56335" spans="8:8">
      <c r="H56335" s="680" t="s">
        <v>6153</v>
      </c>
    </row>
    <row r="56336" spans="8:8">
      <c r="H56336" s="680" t="s">
        <v>6153</v>
      </c>
    </row>
    <row r="56337" spans="8:8">
      <c r="H56337" s="680" t="s">
        <v>6153</v>
      </c>
    </row>
    <row r="56338" spans="8:8">
      <c r="H56338" s="680" t="s">
        <v>6153</v>
      </c>
    </row>
    <row r="56339" spans="8:8">
      <c r="H56339" s="680" t="s">
        <v>6153</v>
      </c>
    </row>
    <row r="56340" spans="8:8">
      <c r="H56340" s="680" t="s">
        <v>6153</v>
      </c>
    </row>
    <row r="56341" spans="8:8">
      <c r="H56341" s="680" t="s">
        <v>6153</v>
      </c>
    </row>
    <row r="56342" spans="8:8">
      <c r="H56342" s="680" t="s">
        <v>6153</v>
      </c>
    </row>
    <row r="56343" spans="8:8">
      <c r="H56343" s="680" t="s">
        <v>6153</v>
      </c>
    </row>
    <row r="56344" spans="8:8">
      <c r="H56344" s="680" t="s">
        <v>6153</v>
      </c>
    </row>
    <row r="56345" spans="8:8">
      <c r="H56345" s="680" t="s">
        <v>6153</v>
      </c>
    </row>
    <row r="56346" spans="8:8">
      <c r="H56346" s="680" t="s">
        <v>6153</v>
      </c>
    </row>
    <row r="56347" spans="8:8">
      <c r="H56347" s="680" t="s">
        <v>6153</v>
      </c>
    </row>
    <row r="56348" spans="8:8">
      <c r="H56348" s="680" t="s">
        <v>6153</v>
      </c>
    </row>
    <row r="56349" spans="8:8">
      <c r="H56349" s="680" t="s">
        <v>6153</v>
      </c>
    </row>
    <row r="56350" spans="8:8">
      <c r="H56350" s="680" t="s">
        <v>6153</v>
      </c>
    </row>
    <row r="56351" spans="8:8">
      <c r="H56351" s="680" t="s">
        <v>6153</v>
      </c>
    </row>
    <row r="56352" spans="8:8">
      <c r="H56352" s="680" t="s">
        <v>6153</v>
      </c>
    </row>
    <row r="56353" spans="8:8">
      <c r="H56353" s="680" t="s">
        <v>6153</v>
      </c>
    </row>
    <row r="56354" spans="8:8">
      <c r="H56354" s="680" t="s">
        <v>6153</v>
      </c>
    </row>
    <row r="56355" spans="8:8">
      <c r="H56355" s="680" t="s">
        <v>6153</v>
      </c>
    </row>
    <row r="56356" spans="8:8">
      <c r="H56356" s="680" t="s">
        <v>6153</v>
      </c>
    </row>
    <row r="56357" spans="8:8">
      <c r="H56357" s="680" t="s">
        <v>6153</v>
      </c>
    </row>
    <row r="56358" spans="8:8">
      <c r="H56358" s="680" t="s">
        <v>6153</v>
      </c>
    </row>
    <row r="56359" spans="8:8">
      <c r="H56359" s="680" t="s">
        <v>6153</v>
      </c>
    </row>
    <row r="56360" spans="8:8">
      <c r="H56360" s="680" t="s">
        <v>6153</v>
      </c>
    </row>
    <row r="56361" spans="8:8">
      <c r="H56361" s="680" t="s">
        <v>6153</v>
      </c>
    </row>
    <row r="56362" spans="8:8">
      <c r="H56362" s="680" t="s">
        <v>6153</v>
      </c>
    </row>
    <row r="56363" spans="8:8">
      <c r="H56363" s="680" t="s">
        <v>6153</v>
      </c>
    </row>
    <row r="56364" spans="8:8">
      <c r="H56364" s="680" t="s">
        <v>6153</v>
      </c>
    </row>
    <row r="56365" spans="8:8">
      <c r="H56365" s="680" t="s">
        <v>6153</v>
      </c>
    </row>
    <row r="56366" spans="8:8">
      <c r="H56366" s="680" t="s">
        <v>6153</v>
      </c>
    </row>
    <row r="56367" spans="8:8">
      <c r="H56367" s="680" t="s">
        <v>6153</v>
      </c>
    </row>
    <row r="56368" spans="8:8">
      <c r="H56368" s="680" t="s">
        <v>6153</v>
      </c>
    </row>
    <row r="56369" spans="8:8">
      <c r="H56369" s="680" t="s">
        <v>6153</v>
      </c>
    </row>
    <row r="56370" spans="8:8">
      <c r="H56370" s="680" t="s">
        <v>6153</v>
      </c>
    </row>
    <row r="56371" spans="8:8">
      <c r="H56371" s="680" t="s">
        <v>6153</v>
      </c>
    </row>
    <row r="56372" spans="8:8">
      <c r="H56372" s="680" t="s">
        <v>6153</v>
      </c>
    </row>
    <row r="56373" spans="8:8">
      <c r="H56373" s="680" t="s">
        <v>6153</v>
      </c>
    </row>
    <row r="56374" spans="8:8">
      <c r="H56374" s="680" t="s">
        <v>6153</v>
      </c>
    </row>
    <row r="56375" spans="8:8">
      <c r="H56375" s="680" t="s">
        <v>6153</v>
      </c>
    </row>
    <row r="56376" spans="8:8">
      <c r="H56376" s="680" t="s">
        <v>6153</v>
      </c>
    </row>
    <row r="56377" spans="8:8">
      <c r="H56377" s="680" t="s">
        <v>6153</v>
      </c>
    </row>
    <row r="56378" spans="8:8">
      <c r="H56378" s="680" t="s">
        <v>6153</v>
      </c>
    </row>
    <row r="56379" spans="8:8">
      <c r="H56379" s="680" t="s">
        <v>6153</v>
      </c>
    </row>
    <row r="56380" spans="8:8">
      <c r="H56380" s="680" t="s">
        <v>6153</v>
      </c>
    </row>
    <row r="56381" spans="8:8">
      <c r="H56381" s="680" t="s">
        <v>6153</v>
      </c>
    </row>
    <row r="56382" spans="8:8">
      <c r="H56382" s="680" t="s">
        <v>6153</v>
      </c>
    </row>
    <row r="56383" spans="8:8">
      <c r="H56383" s="680" t="s">
        <v>6153</v>
      </c>
    </row>
    <row r="56384" spans="8:8">
      <c r="H56384" s="680" t="s">
        <v>6153</v>
      </c>
    </row>
    <row r="56385" spans="8:8">
      <c r="H56385" s="680" t="s">
        <v>6153</v>
      </c>
    </row>
    <row r="56386" spans="8:8">
      <c r="H56386" s="680" t="s">
        <v>6153</v>
      </c>
    </row>
    <row r="56387" spans="8:8">
      <c r="H56387" s="680" t="s">
        <v>6153</v>
      </c>
    </row>
    <row r="56388" spans="8:8">
      <c r="H56388" s="680" t="s">
        <v>6153</v>
      </c>
    </row>
    <row r="56389" spans="8:8">
      <c r="H56389" s="680" t="s">
        <v>6153</v>
      </c>
    </row>
    <row r="56390" spans="8:8">
      <c r="H56390" s="680" t="s">
        <v>6153</v>
      </c>
    </row>
    <row r="56391" spans="8:8">
      <c r="H56391" s="680" t="s">
        <v>6153</v>
      </c>
    </row>
    <row r="56392" spans="8:8">
      <c r="H56392" s="680" t="s">
        <v>6153</v>
      </c>
    </row>
    <row r="56393" spans="8:8">
      <c r="H56393" s="680" t="s">
        <v>6153</v>
      </c>
    </row>
    <row r="56394" spans="8:8">
      <c r="H56394" s="680" t="s">
        <v>6153</v>
      </c>
    </row>
    <row r="56395" spans="8:8">
      <c r="H56395" s="680" t="s">
        <v>6153</v>
      </c>
    </row>
    <row r="56396" spans="8:8">
      <c r="H56396" s="680" t="s">
        <v>6153</v>
      </c>
    </row>
    <row r="56397" spans="8:8">
      <c r="H56397" s="680" t="s">
        <v>6153</v>
      </c>
    </row>
    <row r="56398" spans="8:8">
      <c r="H56398" s="680" t="s">
        <v>6153</v>
      </c>
    </row>
    <row r="56399" spans="8:8">
      <c r="H56399" s="680" t="s">
        <v>6153</v>
      </c>
    </row>
    <row r="56400" spans="8:8">
      <c r="H56400" s="680" t="s">
        <v>6153</v>
      </c>
    </row>
    <row r="56401" spans="8:8">
      <c r="H56401" s="680" t="s">
        <v>6153</v>
      </c>
    </row>
    <row r="56402" spans="8:8">
      <c r="H56402" s="680" t="s">
        <v>6153</v>
      </c>
    </row>
    <row r="56403" spans="8:8">
      <c r="H56403" s="680" t="s">
        <v>6153</v>
      </c>
    </row>
    <row r="56404" spans="8:8">
      <c r="H56404" s="680" t="s">
        <v>6153</v>
      </c>
    </row>
    <row r="56405" spans="8:8">
      <c r="H56405" s="680" t="s">
        <v>6153</v>
      </c>
    </row>
    <row r="56406" spans="8:8">
      <c r="H56406" s="680" t="s">
        <v>6153</v>
      </c>
    </row>
    <row r="56407" spans="8:8">
      <c r="H56407" s="680" t="s">
        <v>6153</v>
      </c>
    </row>
    <row r="56408" spans="8:8">
      <c r="H56408" s="680" t="s">
        <v>6153</v>
      </c>
    </row>
    <row r="56409" spans="8:8">
      <c r="H56409" s="680" t="s">
        <v>6153</v>
      </c>
    </row>
    <row r="56410" spans="8:8">
      <c r="H56410" s="680" t="s">
        <v>6153</v>
      </c>
    </row>
    <row r="56411" spans="8:8">
      <c r="H56411" s="680" t="s">
        <v>6153</v>
      </c>
    </row>
    <row r="56412" spans="8:8">
      <c r="H56412" s="680" t="s">
        <v>6153</v>
      </c>
    </row>
    <row r="56413" spans="8:8">
      <c r="H56413" s="680" t="s">
        <v>6153</v>
      </c>
    </row>
    <row r="56414" spans="8:8">
      <c r="H56414" s="680" t="s">
        <v>6153</v>
      </c>
    </row>
    <row r="56415" spans="8:8">
      <c r="H56415" s="680" t="s">
        <v>6153</v>
      </c>
    </row>
    <row r="56416" spans="8:8">
      <c r="H56416" s="680" t="s">
        <v>6153</v>
      </c>
    </row>
    <row r="56417" spans="8:8">
      <c r="H56417" s="680" t="s">
        <v>6153</v>
      </c>
    </row>
    <row r="56418" spans="8:8">
      <c r="H56418" s="680" t="s">
        <v>6153</v>
      </c>
    </row>
    <row r="56419" spans="8:8">
      <c r="H56419" s="680" t="s">
        <v>6153</v>
      </c>
    </row>
    <row r="56420" spans="8:8">
      <c r="H56420" s="680" t="s">
        <v>6153</v>
      </c>
    </row>
    <row r="56421" spans="8:8">
      <c r="H56421" s="680" t="s">
        <v>6153</v>
      </c>
    </row>
    <row r="56422" spans="8:8">
      <c r="H56422" s="680" t="s">
        <v>6153</v>
      </c>
    </row>
    <row r="56423" spans="8:8">
      <c r="H56423" s="680" t="s">
        <v>6153</v>
      </c>
    </row>
    <row r="56424" spans="8:8">
      <c r="H56424" s="680" t="s">
        <v>6153</v>
      </c>
    </row>
    <row r="56425" spans="8:8">
      <c r="H56425" s="680" t="s">
        <v>6153</v>
      </c>
    </row>
    <row r="56426" spans="8:8">
      <c r="H56426" s="680" t="s">
        <v>6153</v>
      </c>
    </row>
    <row r="56427" spans="8:8">
      <c r="H56427" s="680" t="s">
        <v>6153</v>
      </c>
    </row>
    <row r="56428" spans="8:8">
      <c r="H56428" s="680" t="s">
        <v>6153</v>
      </c>
    </row>
    <row r="56429" spans="8:8">
      <c r="H56429" s="680" t="s">
        <v>6153</v>
      </c>
    </row>
    <row r="56430" spans="8:8">
      <c r="H56430" s="680" t="s">
        <v>6153</v>
      </c>
    </row>
    <row r="56431" spans="8:8">
      <c r="H56431" s="680" t="s">
        <v>6153</v>
      </c>
    </row>
    <row r="56432" spans="8:8">
      <c r="H56432" s="680" t="s">
        <v>6153</v>
      </c>
    </row>
    <row r="56433" spans="8:8">
      <c r="H56433" s="680" t="s">
        <v>6153</v>
      </c>
    </row>
    <row r="56434" spans="8:8">
      <c r="H56434" s="680" t="s">
        <v>6153</v>
      </c>
    </row>
    <row r="56435" spans="8:8">
      <c r="H56435" s="680" t="s">
        <v>6153</v>
      </c>
    </row>
    <row r="56436" spans="8:8">
      <c r="H56436" s="680" t="s">
        <v>6153</v>
      </c>
    </row>
    <row r="56437" spans="8:8">
      <c r="H56437" s="680" t="s">
        <v>6153</v>
      </c>
    </row>
    <row r="56438" spans="8:8">
      <c r="H56438" s="680" t="s">
        <v>6153</v>
      </c>
    </row>
    <row r="56439" spans="8:8">
      <c r="H56439" s="680" t="s">
        <v>6153</v>
      </c>
    </row>
    <row r="56440" spans="8:8">
      <c r="H56440" s="680" t="s">
        <v>6153</v>
      </c>
    </row>
    <row r="56441" spans="8:8">
      <c r="H56441" s="680" t="s">
        <v>6153</v>
      </c>
    </row>
    <row r="56442" spans="8:8">
      <c r="H56442" s="680" t="s">
        <v>6153</v>
      </c>
    </row>
    <row r="56443" spans="8:8">
      <c r="H56443" s="680" t="s">
        <v>6153</v>
      </c>
    </row>
    <row r="56444" spans="8:8">
      <c r="H56444" s="680" t="s">
        <v>6153</v>
      </c>
    </row>
    <row r="56445" spans="8:8">
      <c r="H56445" s="680" t="s">
        <v>6153</v>
      </c>
    </row>
    <row r="56446" spans="8:8">
      <c r="H56446" s="680" t="s">
        <v>6153</v>
      </c>
    </row>
    <row r="56447" spans="8:8">
      <c r="H56447" s="680" t="s">
        <v>6153</v>
      </c>
    </row>
    <row r="56448" spans="8:8">
      <c r="H56448" s="680" t="s">
        <v>6153</v>
      </c>
    </row>
    <row r="56449" spans="8:8">
      <c r="H56449" s="680" t="s">
        <v>6153</v>
      </c>
    </row>
    <row r="56450" spans="8:8">
      <c r="H56450" s="680" t="s">
        <v>6153</v>
      </c>
    </row>
    <row r="56451" spans="8:8">
      <c r="H56451" s="680" t="s">
        <v>6153</v>
      </c>
    </row>
    <row r="56452" spans="8:8">
      <c r="H56452" s="680" t="s">
        <v>6153</v>
      </c>
    </row>
    <row r="56453" spans="8:8">
      <c r="H56453" s="680" t="s">
        <v>6153</v>
      </c>
    </row>
    <row r="56454" spans="8:8">
      <c r="H56454" s="680" t="s">
        <v>6153</v>
      </c>
    </row>
    <row r="56455" spans="8:8">
      <c r="H56455" s="680" t="s">
        <v>6153</v>
      </c>
    </row>
    <row r="56456" spans="8:8">
      <c r="H56456" s="680" t="s">
        <v>6153</v>
      </c>
    </row>
    <row r="56457" spans="8:8">
      <c r="H56457" s="680" t="s">
        <v>6153</v>
      </c>
    </row>
    <row r="56458" spans="8:8">
      <c r="H56458" s="680" t="s">
        <v>6153</v>
      </c>
    </row>
    <row r="56459" spans="8:8">
      <c r="H56459" s="680" t="s">
        <v>6153</v>
      </c>
    </row>
    <row r="56460" spans="8:8">
      <c r="H56460" s="680" t="s">
        <v>6153</v>
      </c>
    </row>
    <row r="56461" spans="8:8">
      <c r="H56461" s="680" t="s">
        <v>6153</v>
      </c>
    </row>
    <row r="56462" spans="8:8">
      <c r="H56462" s="680" t="s">
        <v>6153</v>
      </c>
    </row>
    <row r="56463" spans="8:8">
      <c r="H56463" s="680" t="s">
        <v>6153</v>
      </c>
    </row>
    <row r="56464" spans="8:8">
      <c r="H56464" s="680" t="s">
        <v>6153</v>
      </c>
    </row>
    <row r="56465" spans="8:8">
      <c r="H56465" s="680" t="s">
        <v>6153</v>
      </c>
    </row>
    <row r="56466" spans="8:8">
      <c r="H56466" s="680" t="s">
        <v>6153</v>
      </c>
    </row>
    <row r="56467" spans="8:8">
      <c r="H56467" s="680" t="s">
        <v>6153</v>
      </c>
    </row>
    <row r="56468" spans="8:8">
      <c r="H56468" s="680" t="s">
        <v>6153</v>
      </c>
    </row>
    <row r="56469" spans="8:8">
      <c r="H56469" s="680" t="s">
        <v>6153</v>
      </c>
    </row>
    <row r="56470" spans="8:8">
      <c r="H56470" s="680" t="s">
        <v>6153</v>
      </c>
    </row>
    <row r="56471" spans="8:8">
      <c r="H56471" s="680" t="s">
        <v>6153</v>
      </c>
    </row>
    <row r="56472" spans="8:8">
      <c r="H56472" s="680" t="s">
        <v>6153</v>
      </c>
    </row>
    <row r="56473" spans="8:8">
      <c r="H56473" s="680" t="s">
        <v>6153</v>
      </c>
    </row>
    <row r="56474" spans="8:8">
      <c r="H56474" s="680" t="s">
        <v>6153</v>
      </c>
    </row>
    <row r="56475" spans="8:8">
      <c r="H56475" s="680" t="s">
        <v>6153</v>
      </c>
    </row>
    <row r="56476" spans="8:8">
      <c r="H56476" s="680" t="s">
        <v>6153</v>
      </c>
    </row>
    <row r="56477" spans="8:8">
      <c r="H56477" s="680" t="s">
        <v>6153</v>
      </c>
    </row>
    <row r="56478" spans="8:8">
      <c r="H56478" s="680" t="s">
        <v>6153</v>
      </c>
    </row>
    <row r="56479" spans="8:8">
      <c r="H56479" s="680" t="s">
        <v>6153</v>
      </c>
    </row>
    <row r="56480" spans="8:8">
      <c r="H56480" s="680" t="s">
        <v>6153</v>
      </c>
    </row>
    <row r="56481" spans="8:8">
      <c r="H56481" s="680" t="s">
        <v>6153</v>
      </c>
    </row>
    <row r="56482" spans="8:8">
      <c r="H56482" s="680" t="s">
        <v>6153</v>
      </c>
    </row>
    <row r="56483" spans="8:8">
      <c r="H56483" s="680" t="s">
        <v>6153</v>
      </c>
    </row>
    <row r="56484" spans="8:8">
      <c r="H56484" s="680" t="s">
        <v>6153</v>
      </c>
    </row>
    <row r="56485" spans="8:8">
      <c r="H56485" s="680" t="s">
        <v>6153</v>
      </c>
    </row>
    <row r="56486" spans="8:8">
      <c r="H56486" s="680" t="s">
        <v>6153</v>
      </c>
    </row>
    <row r="56487" spans="8:8">
      <c r="H56487" s="680" t="s">
        <v>6153</v>
      </c>
    </row>
    <row r="56488" spans="8:8">
      <c r="H56488" s="680" t="s">
        <v>6153</v>
      </c>
    </row>
    <row r="56489" spans="8:8">
      <c r="H56489" s="680" t="s">
        <v>6153</v>
      </c>
    </row>
    <row r="56490" spans="8:8">
      <c r="H56490" s="680" t="s">
        <v>6153</v>
      </c>
    </row>
    <row r="56491" spans="8:8">
      <c r="H56491" s="680" t="s">
        <v>6153</v>
      </c>
    </row>
    <row r="56492" spans="8:8">
      <c r="H56492" s="680" t="s">
        <v>6153</v>
      </c>
    </row>
    <row r="56493" spans="8:8">
      <c r="H56493" s="680" t="s">
        <v>6153</v>
      </c>
    </row>
    <row r="56494" spans="8:8">
      <c r="H56494" s="680" t="s">
        <v>6153</v>
      </c>
    </row>
    <row r="56495" spans="8:8">
      <c r="H56495" s="680" t="s">
        <v>6153</v>
      </c>
    </row>
    <row r="56496" spans="8:8">
      <c r="H56496" s="680" t="s">
        <v>6153</v>
      </c>
    </row>
    <row r="56497" spans="8:8">
      <c r="H56497" s="680" t="s">
        <v>6153</v>
      </c>
    </row>
    <row r="56498" spans="8:8">
      <c r="H56498" s="680" t="s">
        <v>6153</v>
      </c>
    </row>
    <row r="56499" spans="8:8">
      <c r="H56499" s="680" t="s">
        <v>6153</v>
      </c>
    </row>
    <row r="56500" spans="8:8">
      <c r="H56500" s="680" t="s">
        <v>6153</v>
      </c>
    </row>
    <row r="56501" spans="8:8">
      <c r="H56501" s="680" t="s">
        <v>6153</v>
      </c>
    </row>
    <row r="56502" spans="8:8">
      <c r="H56502" s="680" t="s">
        <v>6153</v>
      </c>
    </row>
    <row r="56503" spans="8:8">
      <c r="H56503" s="680" t="s">
        <v>6153</v>
      </c>
    </row>
    <row r="56504" spans="8:8">
      <c r="H56504" s="680" t="s">
        <v>6153</v>
      </c>
    </row>
    <row r="56505" spans="8:8">
      <c r="H56505" s="680" t="s">
        <v>6153</v>
      </c>
    </row>
    <row r="56506" spans="8:8">
      <c r="H56506" s="680" t="s">
        <v>6153</v>
      </c>
    </row>
    <row r="56507" spans="8:8">
      <c r="H56507" s="680" t="s">
        <v>6153</v>
      </c>
    </row>
    <row r="56508" spans="8:8">
      <c r="H56508" s="680" t="s">
        <v>6153</v>
      </c>
    </row>
    <row r="56509" spans="8:8">
      <c r="H56509" s="680" t="s">
        <v>6153</v>
      </c>
    </row>
    <row r="56510" spans="8:8">
      <c r="H56510" s="680" t="s">
        <v>6153</v>
      </c>
    </row>
    <row r="56511" spans="8:8">
      <c r="H56511" s="680" t="s">
        <v>6153</v>
      </c>
    </row>
    <row r="56512" spans="8:8">
      <c r="H56512" s="680" t="s">
        <v>6153</v>
      </c>
    </row>
    <row r="56513" spans="8:8">
      <c r="H56513" s="680" t="s">
        <v>6153</v>
      </c>
    </row>
    <row r="56514" spans="8:8">
      <c r="H56514" s="680" t="s">
        <v>6153</v>
      </c>
    </row>
    <row r="56515" spans="8:8">
      <c r="H56515" s="680" t="s">
        <v>6153</v>
      </c>
    </row>
    <row r="56516" spans="8:8">
      <c r="H56516" s="680" t="s">
        <v>6153</v>
      </c>
    </row>
    <row r="56517" spans="8:8">
      <c r="H56517" s="680" t="s">
        <v>6153</v>
      </c>
    </row>
    <row r="56518" spans="8:8">
      <c r="H56518" s="680" t="s">
        <v>6153</v>
      </c>
    </row>
    <row r="56519" spans="8:8">
      <c r="H56519" s="680" t="s">
        <v>6153</v>
      </c>
    </row>
    <row r="56520" spans="8:8">
      <c r="H56520" s="680" t="s">
        <v>6153</v>
      </c>
    </row>
    <row r="56521" spans="8:8">
      <c r="H56521" s="680" t="s">
        <v>6153</v>
      </c>
    </row>
    <row r="56522" spans="8:8">
      <c r="H56522" s="680" t="s">
        <v>6153</v>
      </c>
    </row>
    <row r="56523" spans="8:8">
      <c r="H56523" s="680" t="s">
        <v>6153</v>
      </c>
    </row>
    <row r="56524" spans="8:8">
      <c r="H56524" s="680" t="s">
        <v>6153</v>
      </c>
    </row>
    <row r="56525" spans="8:8">
      <c r="H56525" s="680" t="s">
        <v>6153</v>
      </c>
    </row>
    <row r="56526" spans="8:8">
      <c r="H56526" s="680" t="s">
        <v>6153</v>
      </c>
    </row>
    <row r="56527" spans="8:8">
      <c r="H56527" s="680" t="s">
        <v>6153</v>
      </c>
    </row>
    <row r="56528" spans="8:8">
      <c r="H56528" s="680" t="s">
        <v>6153</v>
      </c>
    </row>
    <row r="56529" spans="8:8">
      <c r="H56529" s="680" t="s">
        <v>6153</v>
      </c>
    </row>
    <row r="56530" spans="8:8">
      <c r="H56530" s="680" t="s">
        <v>6153</v>
      </c>
    </row>
    <row r="56531" spans="8:8">
      <c r="H56531" s="680" t="s">
        <v>6153</v>
      </c>
    </row>
    <row r="56532" spans="8:8">
      <c r="H56532" s="680" t="s">
        <v>6153</v>
      </c>
    </row>
    <row r="56533" spans="8:8">
      <c r="H56533" s="680" t="s">
        <v>6153</v>
      </c>
    </row>
    <row r="56534" spans="8:8">
      <c r="H56534" s="680" t="s">
        <v>6153</v>
      </c>
    </row>
    <row r="56535" spans="8:8">
      <c r="H56535" s="680" t="s">
        <v>6153</v>
      </c>
    </row>
    <row r="56536" spans="8:8">
      <c r="H56536" s="680" t="s">
        <v>6153</v>
      </c>
    </row>
    <row r="56537" spans="8:8">
      <c r="H56537" s="680" t="s">
        <v>6153</v>
      </c>
    </row>
    <row r="56538" spans="8:8">
      <c r="H56538" s="680" t="s">
        <v>6153</v>
      </c>
    </row>
    <row r="56539" spans="8:8">
      <c r="H56539" s="680" t="s">
        <v>6153</v>
      </c>
    </row>
    <row r="56540" spans="8:8">
      <c r="H56540" s="680" t="s">
        <v>6153</v>
      </c>
    </row>
    <row r="56541" spans="8:8">
      <c r="H56541" s="680" t="s">
        <v>6153</v>
      </c>
    </row>
    <row r="56542" spans="8:8">
      <c r="H56542" s="680" t="s">
        <v>6153</v>
      </c>
    </row>
    <row r="56543" spans="8:8">
      <c r="H56543" s="680" t="s">
        <v>6153</v>
      </c>
    </row>
    <row r="56544" spans="8:8">
      <c r="H56544" s="680" t="s">
        <v>6153</v>
      </c>
    </row>
    <row r="56545" spans="8:8">
      <c r="H56545" s="680" t="s">
        <v>6153</v>
      </c>
    </row>
    <row r="56546" spans="8:8">
      <c r="H56546" s="680" t="s">
        <v>6153</v>
      </c>
    </row>
    <row r="56547" spans="8:8">
      <c r="H56547" s="680" t="s">
        <v>6153</v>
      </c>
    </row>
    <row r="56548" spans="8:8">
      <c r="H56548" s="680" t="s">
        <v>6153</v>
      </c>
    </row>
    <row r="56549" spans="8:8">
      <c r="H56549" s="680" t="s">
        <v>6153</v>
      </c>
    </row>
    <row r="56550" spans="8:8">
      <c r="H56550" s="680" t="s">
        <v>6153</v>
      </c>
    </row>
    <row r="56551" spans="8:8">
      <c r="H56551" s="680" t="s">
        <v>6153</v>
      </c>
    </row>
    <row r="56552" spans="8:8">
      <c r="H56552" s="680" t="s">
        <v>6153</v>
      </c>
    </row>
    <row r="56553" spans="8:8">
      <c r="H56553" s="680" t="s">
        <v>6153</v>
      </c>
    </row>
    <row r="56554" spans="8:8">
      <c r="H56554" s="680" t="s">
        <v>6153</v>
      </c>
    </row>
    <row r="56555" spans="8:8">
      <c r="H56555" s="680" t="s">
        <v>6153</v>
      </c>
    </row>
    <row r="56556" spans="8:8">
      <c r="H56556" s="680" t="s">
        <v>6153</v>
      </c>
    </row>
    <row r="56557" spans="8:8">
      <c r="H56557" s="680" t="s">
        <v>6153</v>
      </c>
    </row>
    <row r="56558" spans="8:8">
      <c r="H56558" s="680" t="s">
        <v>6153</v>
      </c>
    </row>
    <row r="56559" spans="8:8">
      <c r="H56559" s="680" t="s">
        <v>6153</v>
      </c>
    </row>
    <row r="56560" spans="8:8">
      <c r="H56560" s="680" t="s">
        <v>6153</v>
      </c>
    </row>
    <row r="56561" spans="8:8">
      <c r="H56561" s="680" t="s">
        <v>6153</v>
      </c>
    </row>
    <row r="56562" spans="8:8">
      <c r="H56562" s="680" t="s">
        <v>6153</v>
      </c>
    </row>
    <row r="56563" spans="8:8">
      <c r="H56563" s="680" t="s">
        <v>6153</v>
      </c>
    </row>
    <row r="56564" spans="8:8">
      <c r="H56564" s="680" t="s">
        <v>6153</v>
      </c>
    </row>
    <row r="56565" spans="8:8">
      <c r="H56565" s="680" t="s">
        <v>6153</v>
      </c>
    </row>
    <row r="56566" spans="8:8">
      <c r="H56566" s="680" t="s">
        <v>6153</v>
      </c>
    </row>
    <row r="56567" spans="8:8">
      <c r="H56567" s="680" t="s">
        <v>6153</v>
      </c>
    </row>
    <row r="56568" spans="8:8">
      <c r="H56568" s="680" t="s">
        <v>6153</v>
      </c>
    </row>
    <row r="56569" spans="8:8">
      <c r="H56569" s="680" t="s">
        <v>6153</v>
      </c>
    </row>
    <row r="56570" spans="8:8">
      <c r="H56570" s="680" t="s">
        <v>6153</v>
      </c>
    </row>
    <row r="56571" spans="8:8">
      <c r="H56571" s="680" t="s">
        <v>6153</v>
      </c>
    </row>
    <row r="56572" spans="8:8">
      <c r="H56572" s="680" t="s">
        <v>6153</v>
      </c>
    </row>
    <row r="56573" spans="8:8">
      <c r="H56573" s="680" t="s">
        <v>6153</v>
      </c>
    </row>
    <row r="56574" spans="8:8">
      <c r="H56574" s="680" t="s">
        <v>6153</v>
      </c>
    </row>
    <row r="56575" spans="8:8">
      <c r="H56575" s="680" t="s">
        <v>6153</v>
      </c>
    </row>
    <row r="56576" spans="8:8">
      <c r="H56576" s="680" t="s">
        <v>6153</v>
      </c>
    </row>
    <row r="56577" spans="8:8">
      <c r="H56577" s="680" t="s">
        <v>6153</v>
      </c>
    </row>
    <row r="56578" spans="8:8">
      <c r="H56578" s="680" t="s">
        <v>6153</v>
      </c>
    </row>
    <row r="56579" spans="8:8">
      <c r="H56579" s="680" t="s">
        <v>6153</v>
      </c>
    </row>
    <row r="56580" spans="8:8">
      <c r="H56580" s="680" t="s">
        <v>6153</v>
      </c>
    </row>
    <row r="56581" spans="8:8">
      <c r="H56581" s="680" t="s">
        <v>6153</v>
      </c>
    </row>
    <row r="56582" spans="8:8">
      <c r="H56582" s="680" t="s">
        <v>6153</v>
      </c>
    </row>
    <row r="56583" spans="8:8">
      <c r="H56583" s="680" t="s">
        <v>6153</v>
      </c>
    </row>
    <row r="56584" spans="8:8">
      <c r="H56584" s="680" t="s">
        <v>6153</v>
      </c>
    </row>
    <row r="56585" spans="8:8">
      <c r="H56585" s="680" t="s">
        <v>6153</v>
      </c>
    </row>
    <row r="56586" spans="8:8">
      <c r="H56586" s="680" t="s">
        <v>6153</v>
      </c>
    </row>
    <row r="56587" spans="8:8">
      <c r="H56587" s="680" t="s">
        <v>6153</v>
      </c>
    </row>
    <row r="56588" spans="8:8">
      <c r="H56588" s="680" t="s">
        <v>6153</v>
      </c>
    </row>
    <row r="56589" spans="8:8">
      <c r="H56589" s="680" t="s">
        <v>6153</v>
      </c>
    </row>
    <row r="56590" spans="8:8">
      <c r="H56590" s="680" t="s">
        <v>6153</v>
      </c>
    </row>
    <row r="56591" spans="8:8">
      <c r="H56591" s="680" t="s">
        <v>6153</v>
      </c>
    </row>
    <row r="56592" spans="8:8">
      <c r="H56592" s="680" t="s">
        <v>6153</v>
      </c>
    </row>
    <row r="56593" spans="8:8">
      <c r="H56593" s="680" t="s">
        <v>6153</v>
      </c>
    </row>
    <row r="56594" spans="8:8">
      <c r="H56594" s="680" t="s">
        <v>6153</v>
      </c>
    </row>
    <row r="56595" spans="8:8">
      <c r="H56595" s="680" t="s">
        <v>6153</v>
      </c>
    </row>
    <row r="56596" spans="8:8">
      <c r="H56596" s="680" t="s">
        <v>6153</v>
      </c>
    </row>
    <row r="56597" spans="8:8">
      <c r="H56597" s="680" t="s">
        <v>6153</v>
      </c>
    </row>
    <row r="56598" spans="8:8">
      <c r="H56598" s="680" t="s">
        <v>6153</v>
      </c>
    </row>
    <row r="56599" spans="8:8">
      <c r="H56599" s="680" t="s">
        <v>6153</v>
      </c>
    </row>
    <row r="56600" spans="8:8">
      <c r="H56600" s="680" t="s">
        <v>6153</v>
      </c>
    </row>
    <row r="56601" spans="8:8">
      <c r="H56601" s="680" t="s">
        <v>6153</v>
      </c>
    </row>
    <row r="56602" spans="8:8">
      <c r="H56602" s="680" t="s">
        <v>6153</v>
      </c>
    </row>
    <row r="56603" spans="8:8">
      <c r="H56603" s="680" t="s">
        <v>6153</v>
      </c>
    </row>
    <row r="56604" spans="8:8">
      <c r="H56604" s="680" t="s">
        <v>6153</v>
      </c>
    </row>
    <row r="56605" spans="8:8">
      <c r="H56605" s="680" t="s">
        <v>6153</v>
      </c>
    </row>
    <row r="56606" spans="8:8">
      <c r="H56606" s="680" t="s">
        <v>6153</v>
      </c>
    </row>
    <row r="56607" spans="8:8">
      <c r="H56607" s="680" t="s">
        <v>6153</v>
      </c>
    </row>
    <row r="56608" spans="8:8">
      <c r="H56608" s="680" t="s">
        <v>6153</v>
      </c>
    </row>
    <row r="56609" spans="8:8">
      <c r="H56609" s="680" t="s">
        <v>6153</v>
      </c>
    </row>
    <row r="56610" spans="8:8">
      <c r="H56610" s="680" t="s">
        <v>6153</v>
      </c>
    </row>
    <row r="56611" spans="8:8">
      <c r="H56611" s="680" t="s">
        <v>6153</v>
      </c>
    </row>
    <row r="56612" spans="8:8">
      <c r="H56612" s="680" t="s">
        <v>6153</v>
      </c>
    </row>
    <row r="56613" spans="8:8">
      <c r="H56613" s="680" t="s">
        <v>6153</v>
      </c>
    </row>
    <row r="56614" spans="8:8">
      <c r="H56614" s="680" t="s">
        <v>6153</v>
      </c>
    </row>
    <row r="56615" spans="8:8">
      <c r="H56615" s="680" t="s">
        <v>6153</v>
      </c>
    </row>
    <row r="56616" spans="8:8">
      <c r="H56616" s="680" t="s">
        <v>6153</v>
      </c>
    </row>
    <row r="56617" spans="8:8">
      <c r="H56617" s="680" t="s">
        <v>6153</v>
      </c>
    </row>
    <row r="56618" spans="8:8">
      <c r="H56618" s="680" t="s">
        <v>6153</v>
      </c>
    </row>
    <row r="56619" spans="8:8">
      <c r="H56619" s="680" t="s">
        <v>6153</v>
      </c>
    </row>
    <row r="56620" spans="8:8">
      <c r="H56620" s="680" t="s">
        <v>6153</v>
      </c>
    </row>
    <row r="56621" spans="8:8">
      <c r="H56621" s="680" t="s">
        <v>6153</v>
      </c>
    </row>
    <row r="56622" spans="8:8">
      <c r="H56622" s="680" t="s">
        <v>6153</v>
      </c>
    </row>
    <row r="56623" spans="8:8">
      <c r="H56623" s="680" t="s">
        <v>6153</v>
      </c>
    </row>
    <row r="56624" spans="8:8">
      <c r="H56624" s="680" t="s">
        <v>6153</v>
      </c>
    </row>
    <row r="56625" spans="8:8">
      <c r="H56625" s="680" t="s">
        <v>6153</v>
      </c>
    </row>
    <row r="56626" spans="8:8">
      <c r="H56626" s="680" t="s">
        <v>6153</v>
      </c>
    </row>
    <row r="56627" spans="8:8">
      <c r="H56627" s="680" t="s">
        <v>6153</v>
      </c>
    </row>
    <row r="56628" spans="8:8">
      <c r="H56628" s="680" t="s">
        <v>6153</v>
      </c>
    </row>
    <row r="56629" spans="8:8">
      <c r="H56629" s="680" t="s">
        <v>6153</v>
      </c>
    </row>
    <row r="56630" spans="8:8">
      <c r="H56630" s="680" t="s">
        <v>6153</v>
      </c>
    </row>
    <row r="56631" spans="8:8">
      <c r="H56631" s="680" t="s">
        <v>6153</v>
      </c>
    </row>
    <row r="56632" spans="8:8">
      <c r="H56632" s="680" t="s">
        <v>6153</v>
      </c>
    </row>
    <row r="56633" spans="8:8">
      <c r="H56633" s="680" t="s">
        <v>6153</v>
      </c>
    </row>
    <row r="56634" spans="8:8">
      <c r="H56634" s="680" t="s">
        <v>6153</v>
      </c>
    </row>
    <row r="56635" spans="8:8">
      <c r="H56635" s="680" t="s">
        <v>6153</v>
      </c>
    </row>
    <row r="56636" spans="8:8">
      <c r="H56636" s="680" t="s">
        <v>6153</v>
      </c>
    </row>
    <row r="56637" spans="8:8">
      <c r="H56637" s="680" t="s">
        <v>6153</v>
      </c>
    </row>
    <row r="56638" spans="8:8">
      <c r="H56638" s="680" t="s">
        <v>6153</v>
      </c>
    </row>
    <row r="56639" spans="8:8">
      <c r="H56639" s="680" t="s">
        <v>6153</v>
      </c>
    </row>
    <row r="56640" spans="8:8">
      <c r="H56640" s="680" t="s">
        <v>6153</v>
      </c>
    </row>
    <row r="56641" spans="8:8">
      <c r="H56641" s="680" t="s">
        <v>6153</v>
      </c>
    </row>
    <row r="56642" spans="8:8">
      <c r="H56642" s="680" t="s">
        <v>6153</v>
      </c>
    </row>
    <row r="56643" spans="8:8">
      <c r="H56643" s="680" t="s">
        <v>6153</v>
      </c>
    </row>
    <row r="56644" spans="8:8">
      <c r="H56644" s="680" t="s">
        <v>6153</v>
      </c>
    </row>
    <row r="56645" spans="8:8">
      <c r="H56645" s="680" t="s">
        <v>6153</v>
      </c>
    </row>
    <row r="56646" spans="8:8">
      <c r="H56646" s="680" t="s">
        <v>6153</v>
      </c>
    </row>
    <row r="56647" spans="8:8">
      <c r="H56647" s="680" t="s">
        <v>6153</v>
      </c>
    </row>
    <row r="56648" spans="8:8">
      <c r="H56648" s="680" t="s">
        <v>6153</v>
      </c>
    </row>
    <row r="56649" spans="8:8">
      <c r="H56649" s="680" t="s">
        <v>6153</v>
      </c>
    </row>
    <row r="56650" spans="8:8">
      <c r="H56650" s="680" t="s">
        <v>6153</v>
      </c>
    </row>
    <row r="56651" spans="8:8">
      <c r="H56651" s="680" t="s">
        <v>6153</v>
      </c>
    </row>
    <row r="56652" spans="8:8">
      <c r="H56652" s="680" t="s">
        <v>6153</v>
      </c>
    </row>
    <row r="56653" spans="8:8">
      <c r="H56653" s="680" t="s">
        <v>6153</v>
      </c>
    </row>
    <row r="56654" spans="8:8">
      <c r="H56654" s="680" t="s">
        <v>6153</v>
      </c>
    </row>
    <row r="56655" spans="8:8">
      <c r="H56655" s="680" t="s">
        <v>6153</v>
      </c>
    </row>
    <row r="56656" spans="8:8">
      <c r="H56656" s="680" t="s">
        <v>6153</v>
      </c>
    </row>
    <row r="56657" spans="8:8">
      <c r="H56657" s="680" t="s">
        <v>6153</v>
      </c>
    </row>
    <row r="56658" spans="8:8">
      <c r="H56658" s="680" t="s">
        <v>6153</v>
      </c>
    </row>
    <row r="56659" spans="8:8">
      <c r="H56659" s="680" t="s">
        <v>6153</v>
      </c>
    </row>
    <row r="56660" spans="8:8">
      <c r="H56660" s="680" t="s">
        <v>6153</v>
      </c>
    </row>
    <row r="56661" spans="8:8">
      <c r="H56661" s="680" t="s">
        <v>6153</v>
      </c>
    </row>
    <row r="56662" spans="8:8">
      <c r="H56662" s="680" t="s">
        <v>6153</v>
      </c>
    </row>
    <row r="56663" spans="8:8">
      <c r="H56663" s="680" t="s">
        <v>6153</v>
      </c>
    </row>
    <row r="56664" spans="8:8">
      <c r="H56664" s="680" t="s">
        <v>6153</v>
      </c>
    </row>
    <row r="56665" spans="8:8">
      <c r="H56665" s="680" t="s">
        <v>6153</v>
      </c>
    </row>
    <row r="56666" spans="8:8">
      <c r="H56666" s="680" t="s">
        <v>6153</v>
      </c>
    </row>
    <row r="56667" spans="8:8">
      <c r="H56667" s="680" t="s">
        <v>6153</v>
      </c>
    </row>
    <row r="56668" spans="8:8">
      <c r="H56668" s="680" t="s">
        <v>6153</v>
      </c>
    </row>
    <row r="56669" spans="8:8">
      <c r="H56669" s="680" t="s">
        <v>6153</v>
      </c>
    </row>
    <row r="56670" spans="8:8">
      <c r="H56670" s="680" t="s">
        <v>6153</v>
      </c>
    </row>
    <row r="56671" spans="8:8">
      <c r="H56671" s="680" t="s">
        <v>6153</v>
      </c>
    </row>
    <row r="56672" spans="8:8">
      <c r="H56672" s="680" t="s">
        <v>6153</v>
      </c>
    </row>
    <row r="56673" spans="8:8">
      <c r="H56673" s="680" t="s">
        <v>6153</v>
      </c>
    </row>
    <row r="56674" spans="8:8">
      <c r="H56674" s="680" t="s">
        <v>6153</v>
      </c>
    </row>
    <row r="56675" spans="8:8">
      <c r="H56675" s="680" t="s">
        <v>6153</v>
      </c>
    </row>
    <row r="56676" spans="8:8">
      <c r="H56676" s="680" t="s">
        <v>6153</v>
      </c>
    </row>
    <row r="56677" spans="8:8">
      <c r="H56677" s="680" t="s">
        <v>6153</v>
      </c>
    </row>
    <row r="56678" spans="8:8">
      <c r="H56678" s="680" t="s">
        <v>6153</v>
      </c>
    </row>
    <row r="56679" spans="8:8">
      <c r="H56679" s="680" t="s">
        <v>6153</v>
      </c>
    </row>
    <row r="56680" spans="8:8">
      <c r="H56680" s="680" t="s">
        <v>6153</v>
      </c>
    </row>
    <row r="56681" spans="8:8">
      <c r="H56681" s="680" t="s">
        <v>6153</v>
      </c>
    </row>
    <row r="56682" spans="8:8">
      <c r="H56682" s="680" t="s">
        <v>6153</v>
      </c>
    </row>
    <row r="56683" spans="8:8">
      <c r="H56683" s="680" t="s">
        <v>6153</v>
      </c>
    </row>
    <row r="56684" spans="8:8">
      <c r="H56684" s="680" t="s">
        <v>6153</v>
      </c>
    </row>
    <row r="56685" spans="8:8">
      <c r="H56685" s="680" t="s">
        <v>6153</v>
      </c>
    </row>
    <row r="56686" spans="8:8">
      <c r="H56686" s="680" t="s">
        <v>6153</v>
      </c>
    </row>
    <row r="56687" spans="8:8">
      <c r="H56687" s="680" t="s">
        <v>6153</v>
      </c>
    </row>
    <row r="56688" spans="8:8">
      <c r="H56688" s="680" t="s">
        <v>6153</v>
      </c>
    </row>
    <row r="56689" spans="8:8">
      <c r="H56689" s="680" t="s">
        <v>6153</v>
      </c>
    </row>
    <row r="56690" spans="8:8">
      <c r="H56690" s="680" t="s">
        <v>6153</v>
      </c>
    </row>
    <row r="56691" spans="8:8">
      <c r="H56691" s="680" t="s">
        <v>6153</v>
      </c>
    </row>
    <row r="56692" spans="8:8">
      <c r="H56692" s="680" t="s">
        <v>6153</v>
      </c>
    </row>
    <row r="56693" spans="8:8">
      <c r="H56693" s="680" t="s">
        <v>6153</v>
      </c>
    </row>
    <row r="56694" spans="8:8">
      <c r="H56694" s="680" t="s">
        <v>6153</v>
      </c>
    </row>
    <row r="56695" spans="8:8">
      <c r="H56695" s="680" t="s">
        <v>6153</v>
      </c>
    </row>
    <row r="56696" spans="8:8">
      <c r="H56696" s="680" t="s">
        <v>6153</v>
      </c>
    </row>
    <row r="56697" spans="8:8">
      <c r="H56697" s="680" t="s">
        <v>6153</v>
      </c>
    </row>
    <row r="56698" spans="8:8">
      <c r="H56698" s="680" t="s">
        <v>6153</v>
      </c>
    </row>
    <row r="56699" spans="8:8">
      <c r="H56699" s="680" t="s">
        <v>6153</v>
      </c>
    </row>
    <row r="56700" spans="8:8">
      <c r="H56700" s="680" t="s">
        <v>6153</v>
      </c>
    </row>
    <row r="56701" spans="8:8">
      <c r="H56701" s="680" t="s">
        <v>6153</v>
      </c>
    </row>
    <row r="56702" spans="8:8">
      <c r="H56702" s="680" t="s">
        <v>6153</v>
      </c>
    </row>
    <row r="56703" spans="8:8">
      <c r="H56703" s="680" t="s">
        <v>6153</v>
      </c>
    </row>
    <row r="56704" spans="8:8">
      <c r="H56704" s="680" t="s">
        <v>6153</v>
      </c>
    </row>
    <row r="56705" spans="8:8">
      <c r="H56705" s="680" t="s">
        <v>6153</v>
      </c>
    </row>
    <row r="56706" spans="8:8">
      <c r="H56706" s="680" t="s">
        <v>6153</v>
      </c>
    </row>
    <row r="56707" spans="8:8">
      <c r="H56707" s="680" t="s">
        <v>6153</v>
      </c>
    </row>
    <row r="56708" spans="8:8">
      <c r="H56708" s="680" t="s">
        <v>6153</v>
      </c>
    </row>
    <row r="56709" spans="8:8">
      <c r="H56709" s="680" t="s">
        <v>6153</v>
      </c>
    </row>
    <row r="56710" spans="8:8">
      <c r="H56710" s="680" t="s">
        <v>6153</v>
      </c>
    </row>
    <row r="56711" spans="8:8">
      <c r="H56711" s="680" t="s">
        <v>6153</v>
      </c>
    </row>
    <row r="56712" spans="8:8">
      <c r="H56712" s="680" t="s">
        <v>6153</v>
      </c>
    </row>
    <row r="56713" spans="8:8">
      <c r="H56713" s="680" t="s">
        <v>6153</v>
      </c>
    </row>
    <row r="56714" spans="8:8">
      <c r="H56714" s="680" t="s">
        <v>6153</v>
      </c>
    </row>
    <row r="56715" spans="8:8">
      <c r="H56715" s="680" t="s">
        <v>6153</v>
      </c>
    </row>
    <row r="56716" spans="8:8">
      <c r="H56716" s="680" t="s">
        <v>6153</v>
      </c>
    </row>
    <row r="56717" spans="8:8">
      <c r="H56717" s="680" t="s">
        <v>6153</v>
      </c>
    </row>
    <row r="56718" spans="8:8">
      <c r="H56718" s="680" t="s">
        <v>6153</v>
      </c>
    </row>
    <row r="56719" spans="8:8">
      <c r="H56719" s="680" t="s">
        <v>6153</v>
      </c>
    </row>
    <row r="56720" spans="8:8">
      <c r="H56720" s="680" t="s">
        <v>6153</v>
      </c>
    </row>
    <row r="56721" spans="8:8">
      <c r="H56721" s="680" t="s">
        <v>6153</v>
      </c>
    </row>
    <row r="56722" spans="8:8">
      <c r="H56722" s="680" t="s">
        <v>6153</v>
      </c>
    </row>
    <row r="56723" spans="8:8">
      <c r="H56723" s="680" t="s">
        <v>6153</v>
      </c>
    </row>
    <row r="56724" spans="8:8">
      <c r="H56724" s="680" t="s">
        <v>6153</v>
      </c>
    </row>
    <row r="56725" spans="8:8">
      <c r="H56725" s="680" t="s">
        <v>6153</v>
      </c>
    </row>
    <row r="56726" spans="8:8">
      <c r="H56726" s="680" t="s">
        <v>6153</v>
      </c>
    </row>
    <row r="56727" spans="8:8">
      <c r="H56727" s="680" t="s">
        <v>6153</v>
      </c>
    </row>
    <row r="56728" spans="8:8">
      <c r="H56728" s="680" t="s">
        <v>6153</v>
      </c>
    </row>
    <row r="56729" spans="8:8">
      <c r="H56729" s="680" t="s">
        <v>6153</v>
      </c>
    </row>
    <row r="56730" spans="8:8">
      <c r="H56730" s="680" t="s">
        <v>6153</v>
      </c>
    </row>
    <row r="56731" spans="8:8">
      <c r="H56731" s="680" t="s">
        <v>6153</v>
      </c>
    </row>
    <row r="56732" spans="8:8">
      <c r="H56732" s="680" t="s">
        <v>6153</v>
      </c>
    </row>
    <row r="56733" spans="8:8">
      <c r="H56733" s="680" t="s">
        <v>6153</v>
      </c>
    </row>
    <row r="56734" spans="8:8">
      <c r="H56734" s="680" t="s">
        <v>6153</v>
      </c>
    </row>
    <row r="56735" spans="8:8">
      <c r="H56735" s="680" t="s">
        <v>6153</v>
      </c>
    </row>
    <row r="56736" spans="8:8">
      <c r="H56736" s="680" t="s">
        <v>6153</v>
      </c>
    </row>
    <row r="56737" spans="8:8">
      <c r="H56737" s="680" t="s">
        <v>6153</v>
      </c>
    </row>
    <row r="56738" spans="8:8">
      <c r="H56738" s="680" t="s">
        <v>6153</v>
      </c>
    </row>
    <row r="56739" spans="8:8">
      <c r="H56739" s="680" t="s">
        <v>6153</v>
      </c>
    </row>
    <row r="56740" spans="8:8">
      <c r="H56740" s="680" t="s">
        <v>6153</v>
      </c>
    </row>
    <row r="56741" spans="8:8">
      <c r="H56741" s="680" t="s">
        <v>6153</v>
      </c>
    </row>
    <row r="56742" spans="8:8">
      <c r="H56742" s="680" t="s">
        <v>6153</v>
      </c>
    </row>
    <row r="56743" spans="8:8">
      <c r="H56743" s="680" t="s">
        <v>6153</v>
      </c>
    </row>
    <row r="56744" spans="8:8">
      <c r="H56744" s="680" t="s">
        <v>6153</v>
      </c>
    </row>
    <row r="56745" spans="8:8">
      <c r="H56745" s="680" t="s">
        <v>6153</v>
      </c>
    </row>
    <row r="56746" spans="8:8">
      <c r="H56746" s="680" t="s">
        <v>6153</v>
      </c>
    </row>
    <row r="56747" spans="8:8">
      <c r="H56747" s="680" t="s">
        <v>6153</v>
      </c>
    </row>
    <row r="56748" spans="8:8">
      <c r="H56748" s="680" t="s">
        <v>6153</v>
      </c>
    </row>
    <row r="56749" spans="8:8">
      <c r="H56749" s="680" t="s">
        <v>6153</v>
      </c>
    </row>
    <row r="56750" spans="8:8">
      <c r="H56750" s="680" t="s">
        <v>6153</v>
      </c>
    </row>
    <row r="56751" spans="8:8">
      <c r="H56751" s="680" t="s">
        <v>6153</v>
      </c>
    </row>
    <row r="56752" spans="8:8">
      <c r="H56752" s="680" t="s">
        <v>6153</v>
      </c>
    </row>
    <row r="56753" spans="8:8">
      <c r="H56753" s="680" t="s">
        <v>6153</v>
      </c>
    </row>
    <row r="56754" spans="8:8">
      <c r="H56754" s="680" t="s">
        <v>6153</v>
      </c>
    </row>
    <row r="56755" spans="8:8">
      <c r="H56755" s="680" t="s">
        <v>6153</v>
      </c>
    </row>
    <row r="56756" spans="8:8">
      <c r="H56756" s="680" t="s">
        <v>6153</v>
      </c>
    </row>
    <row r="56757" spans="8:8">
      <c r="H56757" s="680" t="s">
        <v>6153</v>
      </c>
    </row>
    <row r="56758" spans="8:8">
      <c r="H56758" s="680" t="s">
        <v>6153</v>
      </c>
    </row>
    <row r="56759" spans="8:8">
      <c r="H56759" s="680" t="s">
        <v>6153</v>
      </c>
    </row>
    <row r="56760" spans="8:8">
      <c r="H56760" s="680" t="s">
        <v>6153</v>
      </c>
    </row>
    <row r="56761" spans="8:8">
      <c r="H56761" s="680" t="s">
        <v>6153</v>
      </c>
    </row>
    <row r="56762" spans="8:8">
      <c r="H56762" s="680" t="s">
        <v>6153</v>
      </c>
    </row>
    <row r="56763" spans="8:8">
      <c r="H56763" s="680" t="s">
        <v>6153</v>
      </c>
    </row>
    <row r="56764" spans="8:8">
      <c r="H56764" s="680" t="s">
        <v>6153</v>
      </c>
    </row>
    <row r="56765" spans="8:8">
      <c r="H56765" s="680" t="s">
        <v>6153</v>
      </c>
    </row>
    <row r="56766" spans="8:8">
      <c r="H56766" s="680" t="s">
        <v>6153</v>
      </c>
    </row>
    <row r="56767" spans="8:8">
      <c r="H56767" s="680" t="s">
        <v>6153</v>
      </c>
    </row>
    <row r="56768" spans="8:8">
      <c r="H56768" s="680" t="s">
        <v>6153</v>
      </c>
    </row>
    <row r="56769" spans="8:8">
      <c r="H56769" s="680" t="s">
        <v>6153</v>
      </c>
    </row>
    <row r="56770" spans="8:8">
      <c r="H56770" s="680" t="s">
        <v>6153</v>
      </c>
    </row>
    <row r="56771" spans="8:8">
      <c r="H56771" s="680" t="s">
        <v>6153</v>
      </c>
    </row>
    <row r="56772" spans="8:8">
      <c r="H56772" s="680" t="s">
        <v>6153</v>
      </c>
    </row>
    <row r="56773" spans="8:8">
      <c r="H56773" s="680" t="s">
        <v>6153</v>
      </c>
    </row>
    <row r="56774" spans="8:8">
      <c r="H56774" s="680" t="s">
        <v>6153</v>
      </c>
    </row>
    <row r="56775" spans="8:8">
      <c r="H56775" s="680" t="s">
        <v>6153</v>
      </c>
    </row>
    <row r="56776" spans="8:8">
      <c r="H56776" s="680" t="s">
        <v>6153</v>
      </c>
    </row>
    <row r="56777" spans="8:8">
      <c r="H56777" s="680" t="s">
        <v>6153</v>
      </c>
    </row>
    <row r="56778" spans="8:8">
      <c r="H56778" s="680" t="s">
        <v>6153</v>
      </c>
    </row>
    <row r="56779" spans="8:8">
      <c r="H56779" s="680" t="s">
        <v>6153</v>
      </c>
    </row>
    <row r="56780" spans="8:8">
      <c r="H56780" s="680" t="s">
        <v>6153</v>
      </c>
    </row>
    <row r="56781" spans="8:8">
      <c r="H56781" s="680" t="s">
        <v>6153</v>
      </c>
    </row>
    <row r="56782" spans="8:8">
      <c r="H56782" s="680" t="s">
        <v>6153</v>
      </c>
    </row>
    <row r="56783" spans="8:8">
      <c r="H56783" s="680" t="s">
        <v>6153</v>
      </c>
    </row>
    <row r="56784" spans="8:8">
      <c r="H56784" s="680" t="s">
        <v>6153</v>
      </c>
    </row>
    <row r="56785" spans="8:8">
      <c r="H56785" s="680" t="s">
        <v>6153</v>
      </c>
    </row>
    <row r="56786" spans="8:8">
      <c r="H56786" s="680" t="s">
        <v>6153</v>
      </c>
    </row>
    <row r="56787" spans="8:8">
      <c r="H56787" s="680" t="s">
        <v>6153</v>
      </c>
    </row>
    <row r="56788" spans="8:8">
      <c r="H56788" s="680" t="s">
        <v>6153</v>
      </c>
    </row>
    <row r="56789" spans="8:8">
      <c r="H56789" s="680" t="s">
        <v>6153</v>
      </c>
    </row>
    <row r="56790" spans="8:8">
      <c r="H56790" s="680" t="s">
        <v>6153</v>
      </c>
    </row>
    <row r="56791" spans="8:8">
      <c r="H56791" s="680" t="s">
        <v>6153</v>
      </c>
    </row>
    <row r="56792" spans="8:8">
      <c r="H56792" s="680" t="s">
        <v>6153</v>
      </c>
    </row>
    <row r="56793" spans="8:8">
      <c r="H56793" s="680" t="s">
        <v>6153</v>
      </c>
    </row>
    <row r="56794" spans="8:8">
      <c r="H56794" s="680" t="s">
        <v>6153</v>
      </c>
    </row>
    <row r="56795" spans="8:8">
      <c r="H56795" s="680" t="s">
        <v>6153</v>
      </c>
    </row>
    <row r="56796" spans="8:8">
      <c r="H56796" s="680" t="s">
        <v>6153</v>
      </c>
    </row>
    <row r="56797" spans="8:8">
      <c r="H56797" s="680" t="s">
        <v>6153</v>
      </c>
    </row>
    <row r="56798" spans="8:8">
      <c r="H56798" s="680" t="s">
        <v>6153</v>
      </c>
    </row>
    <row r="56799" spans="8:8">
      <c r="H56799" s="680" t="s">
        <v>6153</v>
      </c>
    </row>
    <row r="56800" spans="8:8">
      <c r="H56800" s="680" t="s">
        <v>6153</v>
      </c>
    </row>
    <row r="56801" spans="8:8">
      <c r="H56801" s="680" t="s">
        <v>6153</v>
      </c>
    </row>
    <row r="56802" spans="8:8">
      <c r="H56802" s="680" t="s">
        <v>6153</v>
      </c>
    </row>
    <row r="56803" spans="8:8">
      <c r="H56803" s="680" t="s">
        <v>6153</v>
      </c>
    </row>
    <row r="56804" spans="8:8">
      <c r="H56804" s="680" t="s">
        <v>6153</v>
      </c>
    </row>
    <row r="56805" spans="8:8">
      <c r="H56805" s="680" t="s">
        <v>6153</v>
      </c>
    </row>
    <row r="56806" spans="8:8">
      <c r="H56806" s="680" t="s">
        <v>6153</v>
      </c>
    </row>
    <row r="56807" spans="8:8">
      <c r="H56807" s="680" t="s">
        <v>6153</v>
      </c>
    </row>
    <row r="56808" spans="8:8">
      <c r="H56808" s="680" t="s">
        <v>6153</v>
      </c>
    </row>
    <row r="56809" spans="8:8">
      <c r="H56809" s="680" t="s">
        <v>6153</v>
      </c>
    </row>
    <row r="56810" spans="8:8">
      <c r="H56810" s="680" t="s">
        <v>6153</v>
      </c>
    </row>
    <row r="56811" spans="8:8">
      <c r="H56811" s="680" t="s">
        <v>6153</v>
      </c>
    </row>
    <row r="56812" spans="8:8">
      <c r="H56812" s="680" t="s">
        <v>6153</v>
      </c>
    </row>
    <row r="56813" spans="8:8">
      <c r="H56813" s="680" t="s">
        <v>6153</v>
      </c>
    </row>
    <row r="56814" spans="8:8">
      <c r="H56814" s="680" t="s">
        <v>6153</v>
      </c>
    </row>
    <row r="56815" spans="8:8">
      <c r="H56815" s="680" t="s">
        <v>6153</v>
      </c>
    </row>
    <row r="56816" spans="8:8">
      <c r="H56816" s="680" t="s">
        <v>6153</v>
      </c>
    </row>
    <row r="56817" spans="8:8">
      <c r="H56817" s="680" t="s">
        <v>6153</v>
      </c>
    </row>
    <row r="56818" spans="8:8">
      <c r="H56818" s="680" t="s">
        <v>6153</v>
      </c>
    </row>
    <row r="56819" spans="8:8">
      <c r="H56819" s="680" t="s">
        <v>6153</v>
      </c>
    </row>
    <row r="56820" spans="8:8">
      <c r="H56820" s="680" t="s">
        <v>6153</v>
      </c>
    </row>
    <row r="56821" spans="8:8">
      <c r="H56821" s="680" t="s">
        <v>6153</v>
      </c>
    </row>
    <row r="56822" spans="8:8">
      <c r="H56822" s="680" t="s">
        <v>6153</v>
      </c>
    </row>
    <row r="56823" spans="8:8">
      <c r="H56823" s="680" t="s">
        <v>6153</v>
      </c>
    </row>
    <row r="56824" spans="8:8">
      <c r="H56824" s="680" t="s">
        <v>6153</v>
      </c>
    </row>
    <row r="56825" spans="8:8">
      <c r="H56825" s="680" t="s">
        <v>6153</v>
      </c>
    </row>
    <row r="56826" spans="8:8">
      <c r="H56826" s="680" t="s">
        <v>6153</v>
      </c>
    </row>
    <row r="56827" spans="8:8">
      <c r="H56827" s="680" t="s">
        <v>6153</v>
      </c>
    </row>
    <row r="56828" spans="8:8">
      <c r="H56828" s="680" t="s">
        <v>6153</v>
      </c>
    </row>
    <row r="56829" spans="8:8">
      <c r="H56829" s="680" t="s">
        <v>6153</v>
      </c>
    </row>
    <row r="56830" spans="8:8">
      <c r="H56830" s="680" t="s">
        <v>6153</v>
      </c>
    </row>
    <row r="56831" spans="8:8">
      <c r="H56831" s="680" t="s">
        <v>6153</v>
      </c>
    </row>
    <row r="56832" spans="8:8">
      <c r="H56832" s="680" t="s">
        <v>6153</v>
      </c>
    </row>
    <row r="56833" spans="8:8">
      <c r="H56833" s="680" t="s">
        <v>6153</v>
      </c>
    </row>
    <row r="56834" spans="8:8">
      <c r="H56834" s="680" t="s">
        <v>6153</v>
      </c>
    </row>
    <row r="56835" spans="8:8">
      <c r="H56835" s="680" t="s">
        <v>6153</v>
      </c>
    </row>
    <row r="56836" spans="8:8">
      <c r="H56836" s="680" t="s">
        <v>6153</v>
      </c>
    </row>
    <row r="56837" spans="8:8">
      <c r="H56837" s="680" t="s">
        <v>6153</v>
      </c>
    </row>
    <row r="56838" spans="8:8">
      <c r="H56838" s="680" t="s">
        <v>6153</v>
      </c>
    </row>
    <row r="56839" spans="8:8">
      <c r="H56839" s="680" t="s">
        <v>6153</v>
      </c>
    </row>
    <row r="56840" spans="8:8">
      <c r="H56840" s="680" t="s">
        <v>6153</v>
      </c>
    </row>
    <row r="56841" spans="8:8">
      <c r="H56841" s="680" t="s">
        <v>6153</v>
      </c>
    </row>
    <row r="56842" spans="8:8">
      <c r="H56842" s="680" t="s">
        <v>6153</v>
      </c>
    </row>
    <row r="56843" spans="8:8">
      <c r="H56843" s="680" t="s">
        <v>6153</v>
      </c>
    </row>
    <row r="56844" spans="8:8">
      <c r="H56844" s="680" t="s">
        <v>6153</v>
      </c>
    </row>
    <row r="56845" spans="8:8">
      <c r="H56845" s="680" t="s">
        <v>6153</v>
      </c>
    </row>
    <row r="56846" spans="8:8">
      <c r="H56846" s="680" t="s">
        <v>6153</v>
      </c>
    </row>
    <row r="56847" spans="8:8">
      <c r="H56847" s="680" t="s">
        <v>6153</v>
      </c>
    </row>
    <row r="56848" spans="8:8">
      <c r="H56848" s="680" t="s">
        <v>6153</v>
      </c>
    </row>
    <row r="56849" spans="8:8">
      <c r="H56849" s="680" t="s">
        <v>6153</v>
      </c>
    </row>
    <row r="56850" spans="8:8">
      <c r="H56850" s="680" t="s">
        <v>6153</v>
      </c>
    </row>
    <row r="56851" spans="8:8">
      <c r="H56851" s="680" t="s">
        <v>6153</v>
      </c>
    </row>
    <row r="56852" spans="8:8">
      <c r="H56852" s="680" t="s">
        <v>6153</v>
      </c>
    </row>
    <row r="56853" spans="8:8">
      <c r="H56853" s="680" t="s">
        <v>6153</v>
      </c>
    </row>
    <row r="56854" spans="8:8">
      <c r="H56854" s="680" t="s">
        <v>6153</v>
      </c>
    </row>
    <row r="56855" spans="8:8">
      <c r="H56855" s="680" t="s">
        <v>6153</v>
      </c>
    </row>
    <row r="56856" spans="8:8">
      <c r="H56856" s="680" t="s">
        <v>6153</v>
      </c>
    </row>
    <row r="56857" spans="8:8">
      <c r="H56857" s="680" t="s">
        <v>6153</v>
      </c>
    </row>
    <row r="56858" spans="8:8">
      <c r="H56858" s="680" t="s">
        <v>6153</v>
      </c>
    </row>
    <row r="56859" spans="8:8">
      <c r="H56859" s="680" t="s">
        <v>6153</v>
      </c>
    </row>
    <row r="56860" spans="8:8">
      <c r="H56860" s="680" t="s">
        <v>6153</v>
      </c>
    </row>
    <row r="56861" spans="8:8">
      <c r="H56861" s="680" t="s">
        <v>6153</v>
      </c>
    </row>
    <row r="56862" spans="8:8">
      <c r="H56862" s="680" t="s">
        <v>6153</v>
      </c>
    </row>
    <row r="56863" spans="8:8">
      <c r="H56863" s="680" t="s">
        <v>6153</v>
      </c>
    </row>
    <row r="56864" spans="8:8">
      <c r="H56864" s="680" t="s">
        <v>6153</v>
      </c>
    </row>
    <row r="56865" spans="8:8">
      <c r="H56865" s="680" t="s">
        <v>6153</v>
      </c>
    </row>
    <row r="56866" spans="8:8">
      <c r="H56866" s="680" t="s">
        <v>6153</v>
      </c>
    </row>
    <row r="56867" spans="8:8">
      <c r="H56867" s="680" t="s">
        <v>6153</v>
      </c>
    </row>
    <row r="56868" spans="8:8">
      <c r="H56868" s="680" t="s">
        <v>6153</v>
      </c>
    </row>
    <row r="56869" spans="8:8">
      <c r="H56869" s="680" t="s">
        <v>6153</v>
      </c>
    </row>
    <row r="56870" spans="8:8">
      <c r="H56870" s="680" t="s">
        <v>6153</v>
      </c>
    </row>
    <row r="56871" spans="8:8">
      <c r="H56871" s="680" t="s">
        <v>6153</v>
      </c>
    </row>
    <row r="56872" spans="8:8">
      <c r="H56872" s="680" t="s">
        <v>6153</v>
      </c>
    </row>
    <row r="56873" spans="8:8">
      <c r="H56873" s="680" t="s">
        <v>6153</v>
      </c>
    </row>
    <row r="56874" spans="8:8">
      <c r="H56874" s="680" t="s">
        <v>6153</v>
      </c>
    </row>
    <row r="56875" spans="8:8">
      <c r="H56875" s="680" t="s">
        <v>6153</v>
      </c>
    </row>
    <row r="56876" spans="8:8">
      <c r="H56876" s="680" t="s">
        <v>6153</v>
      </c>
    </row>
    <row r="56877" spans="8:8">
      <c r="H56877" s="680" t="s">
        <v>6153</v>
      </c>
    </row>
    <row r="56878" spans="8:8">
      <c r="H56878" s="680" t="s">
        <v>6153</v>
      </c>
    </row>
    <row r="56879" spans="8:8">
      <c r="H56879" s="680" t="s">
        <v>6153</v>
      </c>
    </row>
    <row r="56880" spans="8:8">
      <c r="H56880" s="680" t="s">
        <v>6153</v>
      </c>
    </row>
    <row r="56881" spans="8:8">
      <c r="H56881" s="680" t="s">
        <v>6153</v>
      </c>
    </row>
    <row r="56882" spans="8:8">
      <c r="H56882" s="680" t="s">
        <v>6153</v>
      </c>
    </row>
    <row r="56883" spans="8:8">
      <c r="H56883" s="680" t="s">
        <v>6153</v>
      </c>
    </row>
    <row r="56884" spans="8:8">
      <c r="H56884" s="680" t="s">
        <v>6153</v>
      </c>
    </row>
    <row r="56885" spans="8:8">
      <c r="H56885" s="680" t="s">
        <v>6153</v>
      </c>
    </row>
    <row r="56886" spans="8:8">
      <c r="H56886" s="680" t="s">
        <v>6153</v>
      </c>
    </row>
    <row r="56887" spans="8:8">
      <c r="H56887" s="680" t="s">
        <v>6153</v>
      </c>
    </row>
    <row r="56888" spans="8:8">
      <c r="H56888" s="680" t="s">
        <v>6153</v>
      </c>
    </row>
    <row r="56889" spans="8:8">
      <c r="H56889" s="680" t="s">
        <v>6153</v>
      </c>
    </row>
    <row r="56890" spans="8:8">
      <c r="H56890" s="680" t="s">
        <v>6153</v>
      </c>
    </row>
    <row r="56891" spans="8:8">
      <c r="H56891" s="680" t="s">
        <v>6153</v>
      </c>
    </row>
    <row r="56892" spans="8:8">
      <c r="H56892" s="680" t="s">
        <v>6153</v>
      </c>
    </row>
    <row r="56893" spans="8:8">
      <c r="H56893" s="680" t="s">
        <v>6153</v>
      </c>
    </row>
    <row r="56894" spans="8:8">
      <c r="H56894" s="680" t="s">
        <v>6153</v>
      </c>
    </row>
    <row r="56895" spans="8:8">
      <c r="H56895" s="680" t="s">
        <v>6153</v>
      </c>
    </row>
    <row r="56896" spans="8:8">
      <c r="H56896" s="680" t="s">
        <v>6153</v>
      </c>
    </row>
    <row r="56897" spans="8:8">
      <c r="H56897" s="680" t="s">
        <v>6153</v>
      </c>
    </row>
    <row r="56898" spans="8:8">
      <c r="H56898" s="680" t="s">
        <v>6153</v>
      </c>
    </row>
    <row r="56899" spans="8:8">
      <c r="H56899" s="680" t="s">
        <v>6153</v>
      </c>
    </row>
    <row r="56900" spans="8:8">
      <c r="H56900" s="680" t="s">
        <v>6153</v>
      </c>
    </row>
    <row r="56901" spans="8:8">
      <c r="H56901" s="680" t="s">
        <v>6153</v>
      </c>
    </row>
    <row r="56902" spans="8:8">
      <c r="H56902" s="680" t="s">
        <v>6153</v>
      </c>
    </row>
    <row r="56903" spans="8:8">
      <c r="H56903" s="680" t="s">
        <v>6153</v>
      </c>
    </row>
    <row r="56904" spans="8:8">
      <c r="H56904" s="680" t="s">
        <v>6153</v>
      </c>
    </row>
    <row r="56905" spans="8:8">
      <c r="H56905" s="680" t="s">
        <v>6153</v>
      </c>
    </row>
    <row r="56906" spans="8:8">
      <c r="H56906" s="680" t="s">
        <v>6153</v>
      </c>
    </row>
    <row r="56907" spans="8:8">
      <c r="H56907" s="680" t="s">
        <v>6153</v>
      </c>
    </row>
    <row r="56908" spans="8:8">
      <c r="H56908" s="680" t="s">
        <v>6153</v>
      </c>
    </row>
    <row r="56909" spans="8:8">
      <c r="H56909" s="680" t="s">
        <v>6153</v>
      </c>
    </row>
    <row r="56910" spans="8:8">
      <c r="H56910" s="680" t="s">
        <v>6153</v>
      </c>
    </row>
    <row r="56911" spans="8:8">
      <c r="H56911" s="680" t="s">
        <v>6153</v>
      </c>
    </row>
    <row r="56912" spans="8:8">
      <c r="H56912" s="680" t="s">
        <v>6153</v>
      </c>
    </row>
    <row r="56913" spans="8:8">
      <c r="H56913" s="680" t="s">
        <v>6153</v>
      </c>
    </row>
    <row r="56914" spans="8:8">
      <c r="H56914" s="680" t="s">
        <v>6153</v>
      </c>
    </row>
    <row r="56915" spans="8:8">
      <c r="H56915" s="680" t="s">
        <v>6153</v>
      </c>
    </row>
    <row r="56916" spans="8:8">
      <c r="H56916" s="680" t="s">
        <v>6153</v>
      </c>
    </row>
    <row r="56917" spans="8:8">
      <c r="H56917" s="680" t="s">
        <v>6153</v>
      </c>
    </row>
    <row r="56918" spans="8:8">
      <c r="H56918" s="680" t="s">
        <v>6153</v>
      </c>
    </row>
    <row r="56919" spans="8:8">
      <c r="H56919" s="680" t="s">
        <v>6153</v>
      </c>
    </row>
    <row r="56920" spans="8:8">
      <c r="H56920" s="680" t="s">
        <v>6153</v>
      </c>
    </row>
    <row r="56921" spans="8:8">
      <c r="H56921" s="680" t="s">
        <v>6153</v>
      </c>
    </row>
    <row r="56922" spans="8:8">
      <c r="H56922" s="680" t="s">
        <v>6153</v>
      </c>
    </row>
    <row r="56923" spans="8:8">
      <c r="H56923" s="680" t="s">
        <v>6153</v>
      </c>
    </row>
    <row r="56924" spans="8:8">
      <c r="H56924" s="680" t="s">
        <v>6153</v>
      </c>
    </row>
    <row r="56925" spans="8:8">
      <c r="H56925" s="680" t="s">
        <v>6153</v>
      </c>
    </row>
    <row r="56926" spans="8:8">
      <c r="H56926" s="680" t="s">
        <v>6153</v>
      </c>
    </row>
    <row r="56927" spans="8:8">
      <c r="H56927" s="680" t="s">
        <v>6153</v>
      </c>
    </row>
    <row r="56928" spans="8:8">
      <c r="H56928" s="680" t="s">
        <v>6153</v>
      </c>
    </row>
    <row r="56929" spans="8:8">
      <c r="H56929" s="680" t="s">
        <v>6153</v>
      </c>
    </row>
    <row r="56930" spans="8:8">
      <c r="H56930" s="680" t="s">
        <v>6153</v>
      </c>
    </row>
    <row r="56931" spans="8:8">
      <c r="H56931" s="680" t="s">
        <v>6153</v>
      </c>
    </row>
    <row r="56932" spans="8:8">
      <c r="H56932" s="680" t="s">
        <v>6153</v>
      </c>
    </row>
    <row r="56933" spans="8:8">
      <c r="H56933" s="680" t="s">
        <v>6153</v>
      </c>
    </row>
    <row r="56934" spans="8:8">
      <c r="H56934" s="680" t="s">
        <v>6153</v>
      </c>
    </row>
    <row r="56935" spans="8:8">
      <c r="H56935" s="680" t="s">
        <v>6153</v>
      </c>
    </row>
    <row r="56936" spans="8:8">
      <c r="H56936" s="680" t="s">
        <v>6153</v>
      </c>
    </row>
    <row r="56937" spans="8:8">
      <c r="H56937" s="680" t="s">
        <v>6153</v>
      </c>
    </row>
    <row r="56938" spans="8:8">
      <c r="H56938" s="680" t="s">
        <v>6153</v>
      </c>
    </row>
    <row r="56939" spans="8:8">
      <c r="H56939" s="680" t="s">
        <v>6153</v>
      </c>
    </row>
    <row r="56940" spans="8:8">
      <c r="H56940" s="680" t="s">
        <v>6153</v>
      </c>
    </row>
    <row r="56941" spans="8:8">
      <c r="H56941" s="680" t="s">
        <v>6153</v>
      </c>
    </row>
    <row r="56942" spans="8:8">
      <c r="H56942" s="680" t="s">
        <v>6153</v>
      </c>
    </row>
    <row r="56943" spans="8:8">
      <c r="H56943" s="680" t="s">
        <v>6153</v>
      </c>
    </row>
    <row r="56944" spans="8:8">
      <c r="H56944" s="680" t="s">
        <v>6153</v>
      </c>
    </row>
    <row r="56945" spans="8:8">
      <c r="H56945" s="680" t="s">
        <v>6153</v>
      </c>
    </row>
    <row r="56946" spans="8:8">
      <c r="H56946" s="680" t="s">
        <v>6153</v>
      </c>
    </row>
    <row r="56947" spans="8:8">
      <c r="H56947" s="680" t="s">
        <v>6153</v>
      </c>
    </row>
    <row r="56948" spans="8:8">
      <c r="H56948" s="680" t="s">
        <v>6153</v>
      </c>
    </row>
    <row r="56949" spans="8:8">
      <c r="H56949" s="680" t="s">
        <v>6153</v>
      </c>
    </row>
    <row r="56950" spans="8:8">
      <c r="H56950" s="680" t="s">
        <v>6153</v>
      </c>
    </row>
    <row r="56951" spans="8:8">
      <c r="H56951" s="680" t="s">
        <v>6153</v>
      </c>
    </row>
    <row r="56952" spans="8:8">
      <c r="H56952" s="680" t="s">
        <v>6153</v>
      </c>
    </row>
    <row r="56953" spans="8:8">
      <c r="H56953" s="680" t="s">
        <v>6153</v>
      </c>
    </row>
    <row r="56954" spans="8:8">
      <c r="H56954" s="680" t="s">
        <v>6153</v>
      </c>
    </row>
    <row r="56955" spans="8:8">
      <c r="H56955" s="680" t="s">
        <v>6153</v>
      </c>
    </row>
    <row r="56956" spans="8:8">
      <c r="H56956" s="680" t="s">
        <v>6153</v>
      </c>
    </row>
    <row r="56957" spans="8:8">
      <c r="H56957" s="680" t="s">
        <v>6153</v>
      </c>
    </row>
    <row r="56958" spans="8:8">
      <c r="H56958" s="680" t="s">
        <v>6153</v>
      </c>
    </row>
    <row r="56959" spans="8:8">
      <c r="H56959" s="680" t="s">
        <v>6153</v>
      </c>
    </row>
    <row r="56960" spans="8:8">
      <c r="H56960" s="680" t="s">
        <v>6153</v>
      </c>
    </row>
    <row r="56961" spans="8:8">
      <c r="H56961" s="680" t="s">
        <v>6153</v>
      </c>
    </row>
    <row r="56962" spans="8:8">
      <c r="H56962" s="680" t="s">
        <v>6153</v>
      </c>
    </row>
    <row r="56963" spans="8:8">
      <c r="H56963" s="680" t="s">
        <v>6153</v>
      </c>
    </row>
    <row r="56964" spans="8:8">
      <c r="H56964" s="680" t="s">
        <v>6153</v>
      </c>
    </row>
    <row r="56965" spans="8:8">
      <c r="H56965" s="680" t="s">
        <v>6153</v>
      </c>
    </row>
    <row r="56966" spans="8:8">
      <c r="H56966" s="680" t="s">
        <v>6153</v>
      </c>
    </row>
    <row r="56967" spans="8:8">
      <c r="H56967" s="680" t="s">
        <v>6153</v>
      </c>
    </row>
    <row r="56968" spans="8:8">
      <c r="H56968" s="680" t="s">
        <v>6153</v>
      </c>
    </row>
    <row r="56969" spans="8:8">
      <c r="H56969" s="680" t="s">
        <v>6153</v>
      </c>
    </row>
    <row r="56970" spans="8:8">
      <c r="H56970" s="680" t="s">
        <v>6153</v>
      </c>
    </row>
    <row r="56971" spans="8:8">
      <c r="H56971" s="680" t="s">
        <v>6153</v>
      </c>
    </row>
    <row r="56972" spans="8:8">
      <c r="H56972" s="680" t="s">
        <v>6153</v>
      </c>
    </row>
    <row r="56973" spans="8:8">
      <c r="H56973" s="680" t="s">
        <v>6153</v>
      </c>
    </row>
    <row r="56974" spans="8:8">
      <c r="H56974" s="680" t="s">
        <v>6153</v>
      </c>
    </row>
    <row r="56975" spans="8:8">
      <c r="H56975" s="680" t="s">
        <v>6153</v>
      </c>
    </row>
    <row r="56976" spans="8:8">
      <c r="H56976" s="680" t="s">
        <v>6153</v>
      </c>
    </row>
    <row r="56977" spans="8:8">
      <c r="H56977" s="680" t="s">
        <v>6153</v>
      </c>
    </row>
    <row r="56978" spans="8:8">
      <c r="H56978" s="680" t="s">
        <v>6153</v>
      </c>
    </row>
    <row r="56979" spans="8:8">
      <c r="H56979" s="680" t="s">
        <v>6153</v>
      </c>
    </row>
    <row r="56980" spans="8:8">
      <c r="H56980" s="680" t="s">
        <v>6153</v>
      </c>
    </row>
    <row r="56981" spans="8:8">
      <c r="H56981" s="680" t="s">
        <v>6153</v>
      </c>
    </row>
    <row r="56982" spans="8:8">
      <c r="H56982" s="680" t="s">
        <v>6153</v>
      </c>
    </row>
    <row r="56983" spans="8:8">
      <c r="H56983" s="680" t="s">
        <v>6153</v>
      </c>
    </row>
    <row r="56984" spans="8:8">
      <c r="H56984" s="680" t="s">
        <v>6153</v>
      </c>
    </row>
    <row r="56985" spans="8:8">
      <c r="H56985" s="680" t="s">
        <v>6153</v>
      </c>
    </row>
    <row r="56986" spans="8:8">
      <c r="H56986" s="680" t="s">
        <v>6153</v>
      </c>
    </row>
    <row r="56987" spans="8:8">
      <c r="H56987" s="680" t="s">
        <v>6153</v>
      </c>
    </row>
    <row r="56988" spans="8:8">
      <c r="H56988" s="680" t="s">
        <v>6153</v>
      </c>
    </row>
    <row r="56989" spans="8:8">
      <c r="H56989" s="680" t="s">
        <v>6153</v>
      </c>
    </row>
    <row r="56990" spans="8:8">
      <c r="H56990" s="680" t="s">
        <v>6153</v>
      </c>
    </row>
    <row r="56991" spans="8:8">
      <c r="H56991" s="680" t="s">
        <v>6153</v>
      </c>
    </row>
    <row r="56992" spans="8:8">
      <c r="H56992" s="680" t="s">
        <v>6153</v>
      </c>
    </row>
    <row r="56993" spans="8:8">
      <c r="H56993" s="680" t="s">
        <v>6153</v>
      </c>
    </row>
    <row r="56994" spans="8:8">
      <c r="H56994" s="680" t="s">
        <v>6153</v>
      </c>
    </row>
    <row r="56995" spans="8:8">
      <c r="H56995" s="680" t="s">
        <v>6153</v>
      </c>
    </row>
    <row r="56996" spans="8:8">
      <c r="H56996" s="680" t="s">
        <v>6153</v>
      </c>
    </row>
    <row r="56997" spans="8:8">
      <c r="H56997" s="680" t="s">
        <v>6153</v>
      </c>
    </row>
    <row r="56998" spans="8:8">
      <c r="H56998" s="680" t="s">
        <v>6153</v>
      </c>
    </row>
    <row r="56999" spans="8:8">
      <c r="H56999" s="680" t="s">
        <v>6153</v>
      </c>
    </row>
    <row r="57000" spans="8:8">
      <c r="H57000" s="680" t="s">
        <v>6153</v>
      </c>
    </row>
    <row r="57001" spans="8:8">
      <c r="H57001" s="680" t="s">
        <v>6153</v>
      </c>
    </row>
    <row r="57002" spans="8:8">
      <c r="H57002" s="680" t="s">
        <v>6153</v>
      </c>
    </row>
    <row r="57003" spans="8:8">
      <c r="H57003" s="680" t="s">
        <v>6153</v>
      </c>
    </row>
    <row r="57004" spans="8:8">
      <c r="H57004" s="680" t="s">
        <v>6153</v>
      </c>
    </row>
    <row r="57005" spans="8:8">
      <c r="H57005" s="680" t="s">
        <v>6153</v>
      </c>
    </row>
    <row r="57006" spans="8:8">
      <c r="H57006" s="680" t="s">
        <v>6153</v>
      </c>
    </row>
    <row r="57007" spans="8:8">
      <c r="H57007" s="680" t="s">
        <v>6153</v>
      </c>
    </row>
    <row r="57008" spans="8:8">
      <c r="H57008" s="680" t="s">
        <v>6153</v>
      </c>
    </row>
    <row r="57009" spans="8:8">
      <c r="H57009" s="680" t="s">
        <v>6153</v>
      </c>
    </row>
    <row r="57010" spans="8:8">
      <c r="H57010" s="680" t="s">
        <v>6153</v>
      </c>
    </row>
    <row r="57011" spans="8:8">
      <c r="H57011" s="680" t="s">
        <v>6153</v>
      </c>
    </row>
    <row r="57012" spans="8:8">
      <c r="H57012" s="680" t="s">
        <v>6153</v>
      </c>
    </row>
    <row r="57013" spans="8:8">
      <c r="H57013" s="680" t="s">
        <v>6153</v>
      </c>
    </row>
    <row r="57014" spans="8:8">
      <c r="H57014" s="680" t="s">
        <v>6153</v>
      </c>
    </row>
    <row r="57015" spans="8:8">
      <c r="H57015" s="680" t="s">
        <v>6153</v>
      </c>
    </row>
    <row r="57016" spans="8:8">
      <c r="H57016" s="680" t="s">
        <v>6153</v>
      </c>
    </row>
    <row r="57017" spans="8:8">
      <c r="H57017" s="680" t="s">
        <v>6153</v>
      </c>
    </row>
    <row r="57018" spans="8:8">
      <c r="H57018" s="680" t="s">
        <v>6153</v>
      </c>
    </row>
    <row r="57019" spans="8:8">
      <c r="H57019" s="680" t="s">
        <v>6153</v>
      </c>
    </row>
    <row r="57020" spans="8:8">
      <c r="H57020" s="680" t="s">
        <v>6153</v>
      </c>
    </row>
    <row r="57021" spans="8:8">
      <c r="H57021" s="680" t="s">
        <v>6153</v>
      </c>
    </row>
    <row r="57022" spans="8:8">
      <c r="H57022" s="680" t="s">
        <v>6153</v>
      </c>
    </row>
    <row r="57023" spans="8:8">
      <c r="H57023" s="680" t="s">
        <v>6153</v>
      </c>
    </row>
    <row r="57024" spans="8:8">
      <c r="H57024" s="680" t="s">
        <v>6153</v>
      </c>
    </row>
    <row r="57025" spans="8:8">
      <c r="H57025" s="680" t="s">
        <v>6153</v>
      </c>
    </row>
    <row r="57026" spans="8:8">
      <c r="H57026" s="680" t="s">
        <v>6153</v>
      </c>
    </row>
    <row r="57027" spans="8:8">
      <c r="H57027" s="680" t="s">
        <v>6153</v>
      </c>
    </row>
    <row r="57028" spans="8:8">
      <c r="H57028" s="680" t="s">
        <v>6153</v>
      </c>
    </row>
    <row r="57029" spans="8:8">
      <c r="H57029" s="680" t="s">
        <v>6153</v>
      </c>
    </row>
    <row r="57030" spans="8:8">
      <c r="H57030" s="680" t="s">
        <v>6153</v>
      </c>
    </row>
    <row r="57031" spans="8:8">
      <c r="H57031" s="680" t="s">
        <v>6153</v>
      </c>
    </row>
    <row r="57032" spans="8:8">
      <c r="H57032" s="680" t="s">
        <v>6153</v>
      </c>
    </row>
    <row r="57033" spans="8:8">
      <c r="H57033" s="680" t="s">
        <v>6153</v>
      </c>
    </row>
    <row r="57034" spans="8:8">
      <c r="H57034" s="680" t="s">
        <v>6153</v>
      </c>
    </row>
    <row r="57035" spans="8:8">
      <c r="H57035" s="680" t="s">
        <v>6153</v>
      </c>
    </row>
    <row r="57036" spans="8:8">
      <c r="H57036" s="680" t="s">
        <v>6153</v>
      </c>
    </row>
    <row r="57037" spans="8:8">
      <c r="H57037" s="680" t="s">
        <v>6153</v>
      </c>
    </row>
    <row r="57038" spans="8:8">
      <c r="H57038" s="680" t="s">
        <v>6153</v>
      </c>
    </row>
    <row r="57039" spans="8:8">
      <c r="H57039" s="680" t="s">
        <v>6153</v>
      </c>
    </row>
    <row r="57040" spans="8:8">
      <c r="H57040" s="680" t="s">
        <v>6153</v>
      </c>
    </row>
    <row r="57041" spans="8:8">
      <c r="H57041" s="680" t="s">
        <v>6153</v>
      </c>
    </row>
    <row r="57042" spans="8:8">
      <c r="H57042" s="680" t="s">
        <v>6153</v>
      </c>
    </row>
    <row r="57043" spans="8:8">
      <c r="H57043" s="680" t="s">
        <v>6153</v>
      </c>
    </row>
    <row r="57044" spans="8:8">
      <c r="H57044" s="680" t="s">
        <v>6153</v>
      </c>
    </row>
    <row r="57045" spans="8:8">
      <c r="H57045" s="680" t="s">
        <v>6153</v>
      </c>
    </row>
    <row r="57046" spans="8:8">
      <c r="H57046" s="680" t="s">
        <v>6153</v>
      </c>
    </row>
    <row r="57047" spans="8:8">
      <c r="H57047" s="680" t="s">
        <v>6153</v>
      </c>
    </row>
    <row r="57048" spans="8:8">
      <c r="H57048" s="680" t="s">
        <v>6153</v>
      </c>
    </row>
    <row r="57049" spans="8:8">
      <c r="H57049" s="680" t="s">
        <v>6153</v>
      </c>
    </row>
    <row r="57050" spans="8:8">
      <c r="H57050" s="680" t="s">
        <v>6153</v>
      </c>
    </row>
    <row r="57051" spans="8:8">
      <c r="H57051" s="680" t="s">
        <v>6153</v>
      </c>
    </row>
    <row r="57052" spans="8:8">
      <c r="H57052" s="680" t="s">
        <v>6153</v>
      </c>
    </row>
    <row r="57053" spans="8:8">
      <c r="H57053" s="680" t="s">
        <v>6153</v>
      </c>
    </row>
    <row r="57054" spans="8:8">
      <c r="H57054" s="680" t="s">
        <v>6153</v>
      </c>
    </row>
    <row r="57055" spans="8:8">
      <c r="H57055" s="680" t="s">
        <v>6153</v>
      </c>
    </row>
    <row r="57056" spans="8:8">
      <c r="H57056" s="680" t="s">
        <v>6153</v>
      </c>
    </row>
    <row r="57057" spans="8:8">
      <c r="H57057" s="680" t="s">
        <v>6153</v>
      </c>
    </row>
    <row r="57058" spans="8:8">
      <c r="H57058" s="680" t="s">
        <v>6153</v>
      </c>
    </row>
    <row r="57059" spans="8:8">
      <c r="H57059" s="680" t="s">
        <v>6153</v>
      </c>
    </row>
    <row r="57060" spans="8:8">
      <c r="H57060" s="680" t="s">
        <v>6153</v>
      </c>
    </row>
    <row r="57061" spans="8:8">
      <c r="H57061" s="680" t="s">
        <v>6153</v>
      </c>
    </row>
    <row r="57062" spans="8:8">
      <c r="H57062" s="680" t="s">
        <v>6153</v>
      </c>
    </row>
    <row r="57063" spans="8:8">
      <c r="H57063" s="680" t="s">
        <v>6153</v>
      </c>
    </row>
    <row r="57064" spans="8:8">
      <c r="H57064" s="680" t="s">
        <v>6153</v>
      </c>
    </row>
    <row r="57065" spans="8:8">
      <c r="H57065" s="680" t="s">
        <v>6153</v>
      </c>
    </row>
    <row r="57066" spans="8:8">
      <c r="H57066" s="680" t="s">
        <v>6153</v>
      </c>
    </row>
    <row r="57067" spans="8:8">
      <c r="H57067" s="680" t="s">
        <v>6153</v>
      </c>
    </row>
    <row r="57068" spans="8:8">
      <c r="H57068" s="680" t="s">
        <v>6153</v>
      </c>
    </row>
    <row r="57069" spans="8:8">
      <c r="H57069" s="680" t="s">
        <v>6153</v>
      </c>
    </row>
    <row r="57070" spans="8:8">
      <c r="H57070" s="680" t="s">
        <v>6153</v>
      </c>
    </row>
    <row r="57071" spans="8:8">
      <c r="H57071" s="680" t="s">
        <v>6153</v>
      </c>
    </row>
    <row r="57072" spans="8:8">
      <c r="H57072" s="680" t="s">
        <v>6153</v>
      </c>
    </row>
    <row r="57073" spans="8:8">
      <c r="H57073" s="680" t="s">
        <v>6153</v>
      </c>
    </row>
    <row r="57074" spans="8:8">
      <c r="H57074" s="680" t="s">
        <v>6153</v>
      </c>
    </row>
    <row r="57075" spans="8:8">
      <c r="H57075" s="680" t="s">
        <v>6153</v>
      </c>
    </row>
    <row r="57076" spans="8:8">
      <c r="H57076" s="680" t="s">
        <v>6153</v>
      </c>
    </row>
    <row r="57077" spans="8:8">
      <c r="H57077" s="680" t="s">
        <v>6153</v>
      </c>
    </row>
    <row r="57078" spans="8:8">
      <c r="H57078" s="680" t="s">
        <v>6153</v>
      </c>
    </row>
    <row r="57079" spans="8:8">
      <c r="H57079" s="680" t="s">
        <v>6153</v>
      </c>
    </row>
    <row r="57080" spans="8:8">
      <c r="H57080" s="680" t="s">
        <v>6153</v>
      </c>
    </row>
    <row r="57081" spans="8:8">
      <c r="H57081" s="680" t="s">
        <v>6153</v>
      </c>
    </row>
    <row r="57082" spans="8:8">
      <c r="H57082" s="680" t="s">
        <v>6153</v>
      </c>
    </row>
    <row r="57083" spans="8:8">
      <c r="H57083" s="680" t="s">
        <v>6153</v>
      </c>
    </row>
    <row r="57084" spans="8:8">
      <c r="H57084" s="680" t="s">
        <v>6153</v>
      </c>
    </row>
    <row r="57085" spans="8:8">
      <c r="H57085" s="680" t="s">
        <v>6153</v>
      </c>
    </row>
    <row r="57086" spans="8:8">
      <c r="H57086" s="680" t="s">
        <v>6153</v>
      </c>
    </row>
    <row r="57087" spans="8:8">
      <c r="H57087" s="680" t="s">
        <v>6153</v>
      </c>
    </row>
    <row r="57088" spans="8:8">
      <c r="H57088" s="680" t="s">
        <v>6153</v>
      </c>
    </row>
    <row r="57089" spans="8:8">
      <c r="H57089" s="680" t="s">
        <v>6153</v>
      </c>
    </row>
    <row r="57090" spans="8:8">
      <c r="H57090" s="680" t="s">
        <v>6153</v>
      </c>
    </row>
    <row r="57091" spans="8:8">
      <c r="H57091" s="680" t="s">
        <v>6153</v>
      </c>
    </row>
    <row r="57092" spans="8:8">
      <c r="H57092" s="680" t="s">
        <v>6153</v>
      </c>
    </row>
    <row r="57093" spans="8:8">
      <c r="H57093" s="680" t="s">
        <v>6153</v>
      </c>
    </row>
    <row r="57094" spans="8:8">
      <c r="H57094" s="680" t="s">
        <v>6153</v>
      </c>
    </row>
    <row r="57095" spans="8:8">
      <c r="H57095" s="680" t="s">
        <v>6153</v>
      </c>
    </row>
    <row r="57096" spans="8:8">
      <c r="H57096" s="680" t="s">
        <v>6153</v>
      </c>
    </row>
    <row r="57097" spans="8:8">
      <c r="H57097" s="680" t="s">
        <v>6153</v>
      </c>
    </row>
    <row r="57098" spans="8:8">
      <c r="H57098" s="680" t="s">
        <v>6153</v>
      </c>
    </row>
    <row r="57099" spans="8:8">
      <c r="H57099" s="680" t="s">
        <v>6153</v>
      </c>
    </row>
    <row r="57100" spans="8:8">
      <c r="H57100" s="680" t="s">
        <v>6153</v>
      </c>
    </row>
    <row r="57101" spans="8:8">
      <c r="H57101" s="680" t="s">
        <v>6153</v>
      </c>
    </row>
    <row r="57102" spans="8:8">
      <c r="H57102" s="680" t="s">
        <v>6153</v>
      </c>
    </row>
    <row r="57103" spans="8:8">
      <c r="H57103" s="680" t="s">
        <v>6153</v>
      </c>
    </row>
    <row r="57104" spans="8:8">
      <c r="H57104" s="680" t="s">
        <v>6153</v>
      </c>
    </row>
    <row r="57105" spans="8:8">
      <c r="H57105" s="680" t="s">
        <v>6153</v>
      </c>
    </row>
    <row r="57106" spans="8:8">
      <c r="H57106" s="680" t="s">
        <v>6153</v>
      </c>
    </row>
    <row r="57107" spans="8:8">
      <c r="H57107" s="680" t="s">
        <v>6153</v>
      </c>
    </row>
    <row r="57108" spans="8:8">
      <c r="H57108" s="680" t="s">
        <v>6153</v>
      </c>
    </row>
    <row r="57109" spans="8:8">
      <c r="H57109" s="680" t="s">
        <v>6153</v>
      </c>
    </row>
    <row r="57110" spans="8:8">
      <c r="H57110" s="680" t="s">
        <v>6153</v>
      </c>
    </row>
    <row r="57111" spans="8:8">
      <c r="H57111" s="680" t="s">
        <v>6153</v>
      </c>
    </row>
    <row r="57112" spans="8:8">
      <c r="H57112" s="680" t="s">
        <v>6153</v>
      </c>
    </row>
    <row r="57113" spans="8:8">
      <c r="H57113" s="680" t="s">
        <v>6153</v>
      </c>
    </row>
    <row r="57114" spans="8:8">
      <c r="H57114" s="680" t="s">
        <v>6153</v>
      </c>
    </row>
    <row r="57115" spans="8:8">
      <c r="H57115" s="680" t="s">
        <v>6153</v>
      </c>
    </row>
    <row r="57116" spans="8:8">
      <c r="H57116" s="680" t="s">
        <v>6153</v>
      </c>
    </row>
    <row r="57117" spans="8:8">
      <c r="H57117" s="680" t="s">
        <v>6153</v>
      </c>
    </row>
    <row r="57118" spans="8:8">
      <c r="H57118" s="680" t="s">
        <v>6153</v>
      </c>
    </row>
    <row r="57119" spans="8:8">
      <c r="H57119" s="680" t="s">
        <v>6153</v>
      </c>
    </row>
    <row r="57120" spans="8:8">
      <c r="H57120" s="680" t="s">
        <v>6153</v>
      </c>
    </row>
    <row r="57121" spans="8:8">
      <c r="H57121" s="680" t="s">
        <v>6153</v>
      </c>
    </row>
    <row r="57122" spans="8:8">
      <c r="H57122" s="680" t="s">
        <v>6153</v>
      </c>
    </row>
    <row r="57123" spans="8:8">
      <c r="H57123" s="680" t="s">
        <v>6153</v>
      </c>
    </row>
    <row r="57124" spans="8:8">
      <c r="H57124" s="680" t="s">
        <v>6153</v>
      </c>
    </row>
    <row r="57125" spans="8:8">
      <c r="H57125" s="680" t="s">
        <v>6153</v>
      </c>
    </row>
    <row r="57126" spans="8:8">
      <c r="H57126" s="680" t="s">
        <v>6153</v>
      </c>
    </row>
    <row r="57127" spans="8:8">
      <c r="H57127" s="680" t="s">
        <v>6153</v>
      </c>
    </row>
    <row r="57128" spans="8:8">
      <c r="H57128" s="680" t="s">
        <v>6153</v>
      </c>
    </row>
    <row r="57129" spans="8:8">
      <c r="H57129" s="680" t="s">
        <v>6153</v>
      </c>
    </row>
    <row r="57130" spans="8:8">
      <c r="H57130" s="680" t="s">
        <v>6153</v>
      </c>
    </row>
    <row r="57131" spans="8:8">
      <c r="H57131" s="680" t="s">
        <v>6153</v>
      </c>
    </row>
    <row r="57132" spans="8:8">
      <c r="H57132" s="680" t="s">
        <v>6153</v>
      </c>
    </row>
    <row r="57133" spans="8:8">
      <c r="H57133" s="680" t="s">
        <v>6153</v>
      </c>
    </row>
    <row r="57134" spans="8:8">
      <c r="H57134" s="680" t="s">
        <v>6153</v>
      </c>
    </row>
    <row r="57135" spans="8:8">
      <c r="H57135" s="680" t="s">
        <v>6153</v>
      </c>
    </row>
    <row r="57136" spans="8:8">
      <c r="H57136" s="680" t="s">
        <v>6153</v>
      </c>
    </row>
    <row r="57137" spans="8:8">
      <c r="H57137" s="680" t="s">
        <v>6153</v>
      </c>
    </row>
    <row r="57138" spans="8:8">
      <c r="H57138" s="680" t="s">
        <v>6153</v>
      </c>
    </row>
    <row r="57139" spans="8:8">
      <c r="H57139" s="680" t="s">
        <v>6153</v>
      </c>
    </row>
    <row r="57140" spans="8:8">
      <c r="H57140" s="680" t="s">
        <v>6153</v>
      </c>
    </row>
    <row r="57141" spans="8:8">
      <c r="H57141" s="680" t="s">
        <v>6153</v>
      </c>
    </row>
    <row r="57142" spans="8:8">
      <c r="H57142" s="680" t="s">
        <v>6153</v>
      </c>
    </row>
    <row r="57143" spans="8:8">
      <c r="H57143" s="680" t="s">
        <v>6153</v>
      </c>
    </row>
    <row r="57144" spans="8:8">
      <c r="H57144" s="680" t="s">
        <v>6153</v>
      </c>
    </row>
    <row r="57145" spans="8:8">
      <c r="H57145" s="680" t="s">
        <v>6153</v>
      </c>
    </row>
    <row r="57146" spans="8:8">
      <c r="H57146" s="680" t="s">
        <v>6153</v>
      </c>
    </row>
    <row r="57147" spans="8:8">
      <c r="H57147" s="680" t="s">
        <v>6153</v>
      </c>
    </row>
    <row r="57148" spans="8:8">
      <c r="H57148" s="680" t="s">
        <v>6153</v>
      </c>
    </row>
    <row r="57149" spans="8:8">
      <c r="H57149" s="680" t="s">
        <v>6153</v>
      </c>
    </row>
    <row r="57150" spans="8:8">
      <c r="H57150" s="680" t="s">
        <v>6153</v>
      </c>
    </row>
    <row r="57151" spans="8:8">
      <c r="H57151" s="680" t="s">
        <v>6153</v>
      </c>
    </row>
    <row r="57152" spans="8:8">
      <c r="H57152" s="680" t="s">
        <v>6153</v>
      </c>
    </row>
    <row r="57153" spans="8:8">
      <c r="H57153" s="680" t="s">
        <v>6153</v>
      </c>
    </row>
    <row r="57154" spans="8:8">
      <c r="H57154" s="680" t="s">
        <v>6153</v>
      </c>
    </row>
    <row r="57155" spans="8:8">
      <c r="H57155" s="680" t="s">
        <v>6153</v>
      </c>
    </row>
    <row r="57156" spans="8:8">
      <c r="H57156" s="680" t="s">
        <v>6153</v>
      </c>
    </row>
    <row r="57157" spans="8:8">
      <c r="H57157" s="680" t="s">
        <v>6153</v>
      </c>
    </row>
    <row r="57158" spans="8:8">
      <c r="H57158" s="680" t="s">
        <v>6153</v>
      </c>
    </row>
    <row r="57159" spans="8:8">
      <c r="H57159" s="680" t="s">
        <v>6153</v>
      </c>
    </row>
    <row r="57160" spans="8:8">
      <c r="H57160" s="680" t="s">
        <v>6153</v>
      </c>
    </row>
    <row r="57161" spans="8:8">
      <c r="H57161" s="680" t="s">
        <v>6153</v>
      </c>
    </row>
    <row r="57162" spans="8:8">
      <c r="H57162" s="680" t="s">
        <v>6153</v>
      </c>
    </row>
    <row r="57163" spans="8:8">
      <c r="H57163" s="680" t="s">
        <v>6153</v>
      </c>
    </row>
    <row r="57164" spans="8:8">
      <c r="H57164" s="680" t="s">
        <v>6153</v>
      </c>
    </row>
    <row r="57165" spans="8:8">
      <c r="H57165" s="680" t="s">
        <v>6153</v>
      </c>
    </row>
    <row r="57166" spans="8:8">
      <c r="H57166" s="680" t="s">
        <v>6153</v>
      </c>
    </row>
    <row r="57167" spans="8:8">
      <c r="H57167" s="680" t="s">
        <v>6153</v>
      </c>
    </row>
    <row r="57168" spans="8:8">
      <c r="H57168" s="680" t="s">
        <v>6153</v>
      </c>
    </row>
    <row r="57169" spans="8:8">
      <c r="H57169" s="680" t="s">
        <v>6153</v>
      </c>
    </row>
    <row r="57170" spans="8:8">
      <c r="H57170" s="680" t="s">
        <v>6153</v>
      </c>
    </row>
    <row r="57171" spans="8:8">
      <c r="H57171" s="680" t="s">
        <v>6153</v>
      </c>
    </row>
    <row r="57172" spans="8:8">
      <c r="H57172" s="680" t="s">
        <v>6153</v>
      </c>
    </row>
    <row r="57173" spans="8:8">
      <c r="H57173" s="680" t="s">
        <v>6153</v>
      </c>
    </row>
    <row r="57174" spans="8:8">
      <c r="H57174" s="680" t="s">
        <v>6153</v>
      </c>
    </row>
    <row r="57175" spans="8:8">
      <c r="H57175" s="680" t="s">
        <v>6153</v>
      </c>
    </row>
    <row r="57176" spans="8:8">
      <c r="H57176" s="680" t="s">
        <v>6153</v>
      </c>
    </row>
    <row r="57177" spans="8:8">
      <c r="H57177" s="680" t="s">
        <v>6153</v>
      </c>
    </row>
    <row r="57178" spans="8:8">
      <c r="H57178" s="680" t="s">
        <v>6153</v>
      </c>
    </row>
    <row r="57179" spans="8:8">
      <c r="H57179" s="680" t="s">
        <v>6153</v>
      </c>
    </row>
    <row r="57180" spans="8:8">
      <c r="H57180" s="680" t="s">
        <v>6153</v>
      </c>
    </row>
    <row r="57181" spans="8:8">
      <c r="H57181" s="680" t="s">
        <v>6153</v>
      </c>
    </row>
    <row r="57182" spans="8:8">
      <c r="H57182" s="680" t="s">
        <v>6153</v>
      </c>
    </row>
    <row r="57183" spans="8:8">
      <c r="H57183" s="680" t="s">
        <v>6153</v>
      </c>
    </row>
    <row r="57184" spans="8:8">
      <c r="H57184" s="680" t="s">
        <v>6153</v>
      </c>
    </row>
    <row r="57185" spans="8:8">
      <c r="H57185" s="680" t="s">
        <v>6153</v>
      </c>
    </row>
    <row r="57186" spans="8:8">
      <c r="H57186" s="680" t="s">
        <v>6153</v>
      </c>
    </row>
    <row r="57187" spans="8:8">
      <c r="H57187" s="680" t="s">
        <v>6153</v>
      </c>
    </row>
    <row r="57188" spans="8:8">
      <c r="H57188" s="680" t="s">
        <v>6153</v>
      </c>
    </row>
    <row r="57189" spans="8:8">
      <c r="H57189" s="680" t="s">
        <v>6153</v>
      </c>
    </row>
    <row r="57190" spans="8:8">
      <c r="H57190" s="680" t="s">
        <v>6153</v>
      </c>
    </row>
    <row r="57191" spans="8:8">
      <c r="H57191" s="680" t="s">
        <v>6153</v>
      </c>
    </row>
    <row r="57192" spans="8:8">
      <c r="H57192" s="680" t="s">
        <v>6153</v>
      </c>
    </row>
    <row r="57193" spans="8:8">
      <c r="H57193" s="680" t="s">
        <v>6153</v>
      </c>
    </row>
    <row r="57194" spans="8:8">
      <c r="H57194" s="680" t="s">
        <v>6153</v>
      </c>
    </row>
    <row r="57195" spans="8:8">
      <c r="H57195" s="680" t="s">
        <v>6153</v>
      </c>
    </row>
    <row r="57196" spans="8:8">
      <c r="H57196" s="680" t="s">
        <v>6153</v>
      </c>
    </row>
    <row r="57197" spans="8:8">
      <c r="H57197" s="680" t="s">
        <v>6153</v>
      </c>
    </row>
    <row r="57198" spans="8:8">
      <c r="H57198" s="680" t="s">
        <v>6153</v>
      </c>
    </row>
    <row r="57199" spans="8:8">
      <c r="H57199" s="680" t="s">
        <v>6153</v>
      </c>
    </row>
    <row r="57200" spans="8:8">
      <c r="H57200" s="680" t="s">
        <v>6153</v>
      </c>
    </row>
    <row r="57201" spans="8:8">
      <c r="H57201" s="680" t="s">
        <v>6153</v>
      </c>
    </row>
    <row r="57202" spans="8:8">
      <c r="H57202" s="680" t="s">
        <v>6153</v>
      </c>
    </row>
    <row r="57203" spans="8:8">
      <c r="H57203" s="680" t="s">
        <v>6153</v>
      </c>
    </row>
    <row r="57204" spans="8:8">
      <c r="H57204" s="680" t="s">
        <v>6153</v>
      </c>
    </row>
    <row r="57205" spans="8:8">
      <c r="H57205" s="680" t="s">
        <v>6153</v>
      </c>
    </row>
    <row r="57206" spans="8:8">
      <c r="H57206" s="680" t="s">
        <v>6153</v>
      </c>
    </row>
    <row r="57207" spans="8:8">
      <c r="H57207" s="680" t="s">
        <v>6153</v>
      </c>
    </row>
    <row r="57208" spans="8:8">
      <c r="H57208" s="680" t="s">
        <v>6153</v>
      </c>
    </row>
    <row r="57209" spans="8:8">
      <c r="H57209" s="680" t="s">
        <v>6153</v>
      </c>
    </row>
    <row r="57210" spans="8:8">
      <c r="H57210" s="680" t="s">
        <v>6153</v>
      </c>
    </row>
    <row r="57211" spans="8:8">
      <c r="H57211" s="680" t="s">
        <v>6153</v>
      </c>
    </row>
    <row r="57212" spans="8:8">
      <c r="H57212" s="680" t="s">
        <v>6153</v>
      </c>
    </row>
    <row r="57213" spans="8:8">
      <c r="H57213" s="680" t="s">
        <v>6153</v>
      </c>
    </row>
    <row r="57214" spans="8:8">
      <c r="H57214" s="680" t="s">
        <v>6153</v>
      </c>
    </row>
    <row r="57215" spans="8:8">
      <c r="H57215" s="680" t="s">
        <v>6153</v>
      </c>
    </row>
    <row r="57216" spans="8:8">
      <c r="H57216" s="680" t="s">
        <v>6153</v>
      </c>
    </row>
    <row r="57217" spans="8:8">
      <c r="H57217" s="680" t="s">
        <v>6153</v>
      </c>
    </row>
    <row r="57218" spans="8:8">
      <c r="H57218" s="680" t="s">
        <v>6153</v>
      </c>
    </row>
    <row r="57219" spans="8:8">
      <c r="H57219" s="680" t="s">
        <v>6153</v>
      </c>
    </row>
    <row r="57220" spans="8:8">
      <c r="H57220" s="680" t="s">
        <v>6153</v>
      </c>
    </row>
    <row r="57221" spans="8:8">
      <c r="H57221" s="680" t="s">
        <v>6153</v>
      </c>
    </row>
    <row r="57222" spans="8:8">
      <c r="H57222" s="680" t="s">
        <v>6153</v>
      </c>
    </row>
    <row r="57223" spans="8:8">
      <c r="H57223" s="680" t="s">
        <v>6153</v>
      </c>
    </row>
    <row r="57224" spans="8:8">
      <c r="H57224" s="680" t="s">
        <v>6153</v>
      </c>
    </row>
    <row r="57225" spans="8:8">
      <c r="H57225" s="680" t="s">
        <v>6153</v>
      </c>
    </row>
    <row r="57226" spans="8:8">
      <c r="H57226" s="680" t="s">
        <v>6153</v>
      </c>
    </row>
    <row r="57227" spans="8:8">
      <c r="H57227" s="680" t="s">
        <v>6153</v>
      </c>
    </row>
    <row r="57228" spans="8:8">
      <c r="H57228" s="680" t="s">
        <v>6153</v>
      </c>
    </row>
    <row r="57229" spans="8:8">
      <c r="H57229" s="680" t="s">
        <v>6153</v>
      </c>
    </row>
    <row r="57230" spans="8:8">
      <c r="H57230" s="680" t="s">
        <v>6153</v>
      </c>
    </row>
    <row r="57231" spans="8:8">
      <c r="H57231" s="680" t="s">
        <v>6153</v>
      </c>
    </row>
    <row r="57232" spans="8:8">
      <c r="H57232" s="680" t="s">
        <v>6153</v>
      </c>
    </row>
    <row r="57233" spans="8:8">
      <c r="H57233" s="680" t="s">
        <v>6153</v>
      </c>
    </row>
    <row r="57234" spans="8:8">
      <c r="H57234" s="680" t="s">
        <v>6153</v>
      </c>
    </row>
    <row r="57235" spans="8:8">
      <c r="H57235" s="680" t="s">
        <v>6153</v>
      </c>
    </row>
    <row r="57236" spans="8:8">
      <c r="H57236" s="680" t="s">
        <v>6153</v>
      </c>
    </row>
    <row r="57237" spans="8:8">
      <c r="H57237" s="680" t="s">
        <v>6153</v>
      </c>
    </row>
    <row r="57238" spans="8:8">
      <c r="H57238" s="680" t="s">
        <v>6153</v>
      </c>
    </row>
    <row r="57239" spans="8:8">
      <c r="H57239" s="680" t="s">
        <v>6153</v>
      </c>
    </row>
    <row r="57240" spans="8:8">
      <c r="H57240" s="680" t="s">
        <v>6153</v>
      </c>
    </row>
    <row r="57241" spans="8:8">
      <c r="H57241" s="680" t="s">
        <v>6153</v>
      </c>
    </row>
    <row r="57242" spans="8:8">
      <c r="H57242" s="680" t="s">
        <v>6153</v>
      </c>
    </row>
    <row r="57243" spans="8:8">
      <c r="H57243" s="680" t="s">
        <v>6153</v>
      </c>
    </row>
    <row r="57244" spans="8:8">
      <c r="H57244" s="680" t="s">
        <v>6153</v>
      </c>
    </row>
    <row r="57245" spans="8:8">
      <c r="H57245" s="680" t="s">
        <v>6153</v>
      </c>
    </row>
    <row r="57246" spans="8:8">
      <c r="H57246" s="680" t="s">
        <v>6153</v>
      </c>
    </row>
    <row r="57247" spans="8:8">
      <c r="H57247" s="680" t="s">
        <v>6153</v>
      </c>
    </row>
    <row r="57248" spans="8:8">
      <c r="H57248" s="680" t="s">
        <v>6153</v>
      </c>
    </row>
    <row r="57249" spans="8:8">
      <c r="H57249" s="680" t="s">
        <v>6153</v>
      </c>
    </row>
    <row r="57250" spans="8:8">
      <c r="H57250" s="680" t="s">
        <v>6153</v>
      </c>
    </row>
    <row r="57251" spans="8:8">
      <c r="H57251" s="680" t="s">
        <v>6153</v>
      </c>
    </row>
    <row r="57252" spans="8:8">
      <c r="H57252" s="680" t="s">
        <v>6153</v>
      </c>
    </row>
    <row r="57253" spans="8:8">
      <c r="H57253" s="680" t="s">
        <v>6153</v>
      </c>
    </row>
    <row r="57254" spans="8:8">
      <c r="H57254" s="680" t="s">
        <v>6153</v>
      </c>
    </row>
    <row r="57255" spans="8:8">
      <c r="H57255" s="680" t="s">
        <v>6153</v>
      </c>
    </row>
    <row r="57256" spans="8:8">
      <c r="H57256" s="680" t="s">
        <v>6153</v>
      </c>
    </row>
    <row r="57257" spans="8:8">
      <c r="H57257" s="680" t="s">
        <v>6153</v>
      </c>
    </row>
    <row r="57258" spans="8:8">
      <c r="H57258" s="680" t="s">
        <v>6153</v>
      </c>
    </row>
    <row r="57259" spans="8:8">
      <c r="H57259" s="680" t="s">
        <v>6153</v>
      </c>
    </row>
    <row r="57260" spans="8:8">
      <c r="H57260" s="680" t="s">
        <v>6153</v>
      </c>
    </row>
    <row r="57261" spans="8:8">
      <c r="H57261" s="680" t="s">
        <v>6153</v>
      </c>
    </row>
    <row r="57262" spans="8:8">
      <c r="H57262" s="680" t="s">
        <v>6153</v>
      </c>
    </row>
    <row r="57263" spans="8:8">
      <c r="H57263" s="680" t="s">
        <v>6153</v>
      </c>
    </row>
    <row r="57264" spans="8:8">
      <c r="H57264" s="680" t="s">
        <v>6153</v>
      </c>
    </row>
    <row r="57265" spans="8:8">
      <c r="H57265" s="680" t="s">
        <v>6153</v>
      </c>
    </row>
    <row r="57266" spans="8:8">
      <c r="H57266" s="680" t="s">
        <v>6153</v>
      </c>
    </row>
    <row r="57267" spans="8:8">
      <c r="H57267" s="680" t="s">
        <v>6153</v>
      </c>
    </row>
    <row r="57268" spans="8:8">
      <c r="H57268" s="680" t="s">
        <v>6153</v>
      </c>
    </row>
    <row r="57269" spans="8:8">
      <c r="H57269" s="680" t="s">
        <v>6153</v>
      </c>
    </row>
    <row r="57270" spans="8:8">
      <c r="H57270" s="680" t="s">
        <v>6153</v>
      </c>
    </row>
    <row r="57271" spans="8:8">
      <c r="H57271" s="680" t="s">
        <v>6153</v>
      </c>
    </row>
    <row r="57272" spans="8:8">
      <c r="H57272" s="680" t="s">
        <v>6153</v>
      </c>
    </row>
    <row r="57273" spans="8:8">
      <c r="H57273" s="680" t="s">
        <v>6153</v>
      </c>
    </row>
    <row r="57274" spans="8:8">
      <c r="H57274" s="680" t="s">
        <v>6153</v>
      </c>
    </row>
    <row r="57275" spans="8:8">
      <c r="H57275" s="680" t="s">
        <v>6153</v>
      </c>
    </row>
    <row r="57276" spans="8:8">
      <c r="H57276" s="680" t="s">
        <v>6153</v>
      </c>
    </row>
    <row r="57277" spans="8:8">
      <c r="H57277" s="680" t="s">
        <v>6153</v>
      </c>
    </row>
    <row r="57278" spans="8:8">
      <c r="H57278" s="680" t="s">
        <v>6153</v>
      </c>
    </row>
    <row r="57279" spans="8:8">
      <c r="H57279" s="680" t="s">
        <v>6153</v>
      </c>
    </row>
    <row r="57280" spans="8:8">
      <c r="H57280" s="680" t="s">
        <v>6153</v>
      </c>
    </row>
    <row r="57281" spans="8:8">
      <c r="H57281" s="680" t="s">
        <v>6153</v>
      </c>
    </row>
    <row r="57282" spans="8:8">
      <c r="H57282" s="680" t="s">
        <v>6153</v>
      </c>
    </row>
    <row r="57283" spans="8:8">
      <c r="H57283" s="680" t="s">
        <v>6153</v>
      </c>
    </row>
    <row r="57284" spans="8:8">
      <c r="H57284" s="680" t="s">
        <v>6153</v>
      </c>
    </row>
    <row r="57285" spans="8:8">
      <c r="H57285" s="680" t="s">
        <v>6153</v>
      </c>
    </row>
    <row r="57286" spans="8:8">
      <c r="H57286" s="680" t="s">
        <v>6153</v>
      </c>
    </row>
    <row r="57287" spans="8:8">
      <c r="H57287" s="680" t="s">
        <v>6153</v>
      </c>
    </row>
    <row r="57288" spans="8:8">
      <c r="H57288" s="680" t="s">
        <v>6153</v>
      </c>
    </row>
    <row r="57289" spans="8:8">
      <c r="H57289" s="680" t="s">
        <v>6153</v>
      </c>
    </row>
    <row r="57290" spans="8:8">
      <c r="H57290" s="680" t="s">
        <v>6153</v>
      </c>
    </row>
    <row r="57291" spans="8:8">
      <c r="H57291" s="680" t="s">
        <v>6153</v>
      </c>
    </row>
    <row r="57292" spans="8:8">
      <c r="H57292" s="680" t="s">
        <v>6153</v>
      </c>
    </row>
    <row r="57293" spans="8:8">
      <c r="H57293" s="680" t="s">
        <v>6153</v>
      </c>
    </row>
    <row r="57294" spans="8:8">
      <c r="H57294" s="680" t="s">
        <v>6153</v>
      </c>
    </row>
    <row r="57295" spans="8:8">
      <c r="H57295" s="680" t="s">
        <v>6153</v>
      </c>
    </row>
    <row r="57296" spans="8:8">
      <c r="H57296" s="680" t="s">
        <v>6153</v>
      </c>
    </row>
    <row r="57297" spans="8:8">
      <c r="H57297" s="680" t="s">
        <v>6153</v>
      </c>
    </row>
    <row r="57298" spans="8:8">
      <c r="H57298" s="680" t="s">
        <v>6153</v>
      </c>
    </row>
    <row r="57299" spans="8:8">
      <c r="H57299" s="680" t="s">
        <v>6153</v>
      </c>
    </row>
    <row r="57300" spans="8:8">
      <c r="H57300" s="680" t="s">
        <v>6153</v>
      </c>
    </row>
    <row r="57301" spans="8:8">
      <c r="H57301" s="680" t="s">
        <v>6153</v>
      </c>
    </row>
    <row r="57302" spans="8:8">
      <c r="H57302" s="680" t="s">
        <v>6153</v>
      </c>
    </row>
    <row r="57303" spans="8:8">
      <c r="H57303" s="680" t="s">
        <v>6153</v>
      </c>
    </row>
    <row r="57304" spans="8:8">
      <c r="H57304" s="680" t="s">
        <v>6153</v>
      </c>
    </row>
    <row r="57305" spans="8:8">
      <c r="H57305" s="680" t="s">
        <v>6153</v>
      </c>
    </row>
    <row r="57306" spans="8:8">
      <c r="H57306" s="680" t="s">
        <v>6153</v>
      </c>
    </row>
    <row r="57307" spans="8:8">
      <c r="H57307" s="680" t="s">
        <v>6153</v>
      </c>
    </row>
    <row r="57308" spans="8:8">
      <c r="H57308" s="680" t="s">
        <v>6153</v>
      </c>
    </row>
    <row r="57309" spans="8:8">
      <c r="H57309" s="680" t="s">
        <v>6153</v>
      </c>
    </row>
    <row r="57310" spans="8:8">
      <c r="H57310" s="680" t="s">
        <v>6153</v>
      </c>
    </row>
    <row r="57311" spans="8:8">
      <c r="H57311" s="680" t="s">
        <v>6153</v>
      </c>
    </row>
    <row r="57312" spans="8:8">
      <c r="H57312" s="680" t="s">
        <v>6153</v>
      </c>
    </row>
    <row r="57313" spans="8:8">
      <c r="H57313" s="680" t="s">
        <v>6153</v>
      </c>
    </row>
    <row r="57314" spans="8:8">
      <c r="H57314" s="680" t="s">
        <v>6153</v>
      </c>
    </row>
    <row r="57315" spans="8:8">
      <c r="H57315" s="680" t="s">
        <v>6153</v>
      </c>
    </row>
    <row r="57316" spans="8:8">
      <c r="H57316" s="680" t="s">
        <v>6153</v>
      </c>
    </row>
    <row r="57317" spans="8:8">
      <c r="H57317" s="680" t="s">
        <v>6153</v>
      </c>
    </row>
    <row r="57318" spans="8:8">
      <c r="H57318" s="680" t="s">
        <v>6153</v>
      </c>
    </row>
    <row r="57319" spans="8:8">
      <c r="H57319" s="680" t="s">
        <v>6153</v>
      </c>
    </row>
    <row r="57320" spans="8:8">
      <c r="H57320" s="680" t="s">
        <v>6153</v>
      </c>
    </row>
    <row r="57321" spans="8:8">
      <c r="H57321" s="680" t="s">
        <v>6153</v>
      </c>
    </row>
    <row r="57322" spans="8:8">
      <c r="H57322" s="680" t="s">
        <v>6153</v>
      </c>
    </row>
    <row r="57323" spans="8:8">
      <c r="H57323" s="680" t="s">
        <v>6153</v>
      </c>
    </row>
    <row r="57324" spans="8:8">
      <c r="H57324" s="680" t="s">
        <v>6153</v>
      </c>
    </row>
    <row r="57325" spans="8:8">
      <c r="H57325" s="680" t="s">
        <v>6153</v>
      </c>
    </row>
    <row r="57326" spans="8:8">
      <c r="H57326" s="680" t="s">
        <v>6153</v>
      </c>
    </row>
    <row r="57327" spans="8:8">
      <c r="H57327" s="680" t="s">
        <v>6153</v>
      </c>
    </row>
    <row r="57328" spans="8:8">
      <c r="H57328" s="680" t="s">
        <v>6153</v>
      </c>
    </row>
    <row r="57329" spans="8:8">
      <c r="H57329" s="680" t="s">
        <v>6153</v>
      </c>
    </row>
    <row r="57330" spans="8:8">
      <c r="H57330" s="680" t="s">
        <v>6153</v>
      </c>
    </row>
    <row r="57331" spans="8:8">
      <c r="H57331" s="680" t="s">
        <v>6153</v>
      </c>
    </row>
    <row r="57332" spans="8:8">
      <c r="H57332" s="680" t="s">
        <v>6153</v>
      </c>
    </row>
    <row r="57333" spans="8:8">
      <c r="H57333" s="680" t="s">
        <v>6153</v>
      </c>
    </row>
    <row r="57334" spans="8:8">
      <c r="H57334" s="680" t="s">
        <v>6153</v>
      </c>
    </row>
    <row r="57335" spans="8:8">
      <c r="H57335" s="680" t="s">
        <v>6153</v>
      </c>
    </row>
    <row r="57336" spans="8:8">
      <c r="H57336" s="680" t="s">
        <v>6153</v>
      </c>
    </row>
    <row r="57337" spans="8:8">
      <c r="H57337" s="680" t="s">
        <v>6153</v>
      </c>
    </row>
    <row r="57338" spans="8:8">
      <c r="H57338" s="680" t="s">
        <v>6153</v>
      </c>
    </row>
    <row r="57339" spans="8:8">
      <c r="H57339" s="680" t="s">
        <v>6153</v>
      </c>
    </row>
    <row r="57340" spans="8:8">
      <c r="H57340" s="680" t="s">
        <v>6153</v>
      </c>
    </row>
    <row r="57341" spans="8:8">
      <c r="H57341" s="680" t="s">
        <v>6153</v>
      </c>
    </row>
    <row r="57342" spans="8:8">
      <c r="H57342" s="680" t="s">
        <v>6153</v>
      </c>
    </row>
    <row r="57343" spans="8:8">
      <c r="H57343" s="680" t="s">
        <v>6153</v>
      </c>
    </row>
    <row r="57344" spans="8:8">
      <c r="H57344" s="680" t="s">
        <v>6153</v>
      </c>
    </row>
    <row r="57345" spans="8:8">
      <c r="H57345" s="680" t="s">
        <v>6153</v>
      </c>
    </row>
    <row r="57346" spans="8:8">
      <c r="H57346" s="680" t="s">
        <v>6153</v>
      </c>
    </row>
    <row r="57347" spans="8:8">
      <c r="H57347" s="680" t="s">
        <v>6153</v>
      </c>
    </row>
    <row r="57348" spans="8:8">
      <c r="H57348" s="680" t="s">
        <v>6153</v>
      </c>
    </row>
    <row r="57349" spans="8:8">
      <c r="H57349" s="680" t="s">
        <v>6153</v>
      </c>
    </row>
    <row r="57350" spans="8:8">
      <c r="H57350" s="680" t="s">
        <v>6153</v>
      </c>
    </row>
    <row r="57351" spans="8:8">
      <c r="H57351" s="680" t="s">
        <v>6153</v>
      </c>
    </row>
    <row r="57352" spans="8:8">
      <c r="H57352" s="680" t="s">
        <v>6153</v>
      </c>
    </row>
    <row r="57353" spans="8:8">
      <c r="H57353" s="680" t="s">
        <v>6153</v>
      </c>
    </row>
    <row r="57354" spans="8:8">
      <c r="H57354" s="680" t="s">
        <v>6153</v>
      </c>
    </row>
    <row r="57355" spans="8:8">
      <c r="H57355" s="680" t="s">
        <v>6153</v>
      </c>
    </row>
    <row r="57356" spans="8:8">
      <c r="H57356" s="680" t="s">
        <v>6153</v>
      </c>
    </row>
    <row r="57357" spans="8:8">
      <c r="H57357" s="680" t="s">
        <v>6153</v>
      </c>
    </row>
    <row r="57358" spans="8:8">
      <c r="H57358" s="680" t="s">
        <v>6153</v>
      </c>
    </row>
    <row r="57359" spans="8:8">
      <c r="H57359" s="680" t="s">
        <v>6153</v>
      </c>
    </row>
    <row r="57360" spans="8:8">
      <c r="H57360" s="680" t="s">
        <v>6153</v>
      </c>
    </row>
    <row r="57361" spans="8:8">
      <c r="H57361" s="680" t="s">
        <v>6153</v>
      </c>
    </row>
    <row r="57362" spans="8:8">
      <c r="H57362" s="680" t="s">
        <v>6153</v>
      </c>
    </row>
    <row r="57363" spans="8:8">
      <c r="H57363" s="680" t="s">
        <v>6153</v>
      </c>
    </row>
    <row r="57364" spans="8:8">
      <c r="H57364" s="680" t="s">
        <v>6153</v>
      </c>
    </row>
    <row r="57365" spans="8:8">
      <c r="H57365" s="680" t="s">
        <v>6153</v>
      </c>
    </row>
    <row r="57366" spans="8:8">
      <c r="H57366" s="680" t="s">
        <v>6153</v>
      </c>
    </row>
    <row r="57367" spans="8:8">
      <c r="H57367" s="680" t="s">
        <v>6153</v>
      </c>
    </row>
    <row r="57368" spans="8:8">
      <c r="H57368" s="680" t="s">
        <v>6153</v>
      </c>
    </row>
    <row r="57369" spans="8:8">
      <c r="H57369" s="680" t="s">
        <v>6153</v>
      </c>
    </row>
    <row r="57370" spans="8:8">
      <c r="H57370" s="680" t="s">
        <v>6153</v>
      </c>
    </row>
    <row r="57371" spans="8:8">
      <c r="H57371" s="680" t="s">
        <v>6153</v>
      </c>
    </row>
    <row r="57372" spans="8:8">
      <c r="H57372" s="680" t="s">
        <v>6153</v>
      </c>
    </row>
    <row r="57373" spans="8:8">
      <c r="H57373" s="680" t="s">
        <v>6153</v>
      </c>
    </row>
    <row r="57374" spans="8:8">
      <c r="H57374" s="680" t="s">
        <v>6153</v>
      </c>
    </row>
    <row r="57375" spans="8:8">
      <c r="H57375" s="680" t="s">
        <v>6153</v>
      </c>
    </row>
    <row r="57376" spans="8:8">
      <c r="H57376" s="680" t="s">
        <v>6153</v>
      </c>
    </row>
    <row r="57377" spans="8:8">
      <c r="H57377" s="680" t="s">
        <v>6153</v>
      </c>
    </row>
    <row r="57378" spans="8:8">
      <c r="H57378" s="680" t="s">
        <v>6153</v>
      </c>
    </row>
    <row r="57379" spans="8:8">
      <c r="H57379" s="680" t="s">
        <v>6153</v>
      </c>
    </row>
    <row r="57380" spans="8:8">
      <c r="H57380" s="680" t="s">
        <v>6153</v>
      </c>
    </row>
    <row r="57381" spans="8:8">
      <c r="H57381" s="680" t="s">
        <v>6153</v>
      </c>
    </row>
    <row r="57382" spans="8:8">
      <c r="H57382" s="680" t="s">
        <v>6153</v>
      </c>
    </row>
    <row r="57383" spans="8:8">
      <c r="H57383" s="680" t="s">
        <v>6153</v>
      </c>
    </row>
    <row r="57384" spans="8:8">
      <c r="H57384" s="680" t="s">
        <v>6153</v>
      </c>
    </row>
    <row r="57385" spans="8:8">
      <c r="H57385" s="680" t="s">
        <v>6153</v>
      </c>
    </row>
    <row r="57386" spans="8:8">
      <c r="H57386" s="680" t="s">
        <v>6153</v>
      </c>
    </row>
    <row r="57387" spans="8:8">
      <c r="H57387" s="680" t="s">
        <v>6153</v>
      </c>
    </row>
    <row r="57388" spans="8:8">
      <c r="H57388" s="680" t="s">
        <v>6153</v>
      </c>
    </row>
    <row r="57389" spans="8:8">
      <c r="H57389" s="680" t="s">
        <v>6153</v>
      </c>
    </row>
    <row r="57390" spans="8:8">
      <c r="H57390" s="680" t="s">
        <v>6153</v>
      </c>
    </row>
    <row r="57391" spans="8:8">
      <c r="H57391" s="680" t="s">
        <v>6153</v>
      </c>
    </row>
    <row r="57392" spans="8:8">
      <c r="H57392" s="680" t="s">
        <v>6153</v>
      </c>
    </row>
    <row r="57393" spans="8:8">
      <c r="H57393" s="680" t="s">
        <v>6153</v>
      </c>
    </row>
    <row r="57394" spans="8:8">
      <c r="H57394" s="680" t="s">
        <v>6153</v>
      </c>
    </row>
    <row r="57395" spans="8:8">
      <c r="H57395" s="680" t="s">
        <v>6153</v>
      </c>
    </row>
    <row r="57396" spans="8:8">
      <c r="H57396" s="680" t="s">
        <v>6153</v>
      </c>
    </row>
    <row r="57397" spans="8:8">
      <c r="H57397" s="680" t="s">
        <v>6153</v>
      </c>
    </row>
    <row r="57398" spans="8:8">
      <c r="H57398" s="680" t="s">
        <v>6153</v>
      </c>
    </row>
    <row r="57399" spans="8:8">
      <c r="H57399" s="680" t="s">
        <v>6153</v>
      </c>
    </row>
    <row r="57400" spans="8:8">
      <c r="H57400" s="680" t="s">
        <v>6153</v>
      </c>
    </row>
    <row r="57401" spans="8:8">
      <c r="H57401" s="680" t="s">
        <v>6153</v>
      </c>
    </row>
    <row r="57402" spans="8:8">
      <c r="H57402" s="680" t="s">
        <v>6153</v>
      </c>
    </row>
    <row r="57403" spans="8:8">
      <c r="H57403" s="680" t="s">
        <v>6153</v>
      </c>
    </row>
    <row r="57404" spans="8:8">
      <c r="H57404" s="680" t="s">
        <v>6153</v>
      </c>
    </row>
    <row r="57405" spans="8:8">
      <c r="H57405" s="680" t="s">
        <v>6153</v>
      </c>
    </row>
    <row r="57406" spans="8:8">
      <c r="H57406" s="680" t="s">
        <v>6153</v>
      </c>
    </row>
    <row r="57407" spans="8:8">
      <c r="H57407" s="680" t="s">
        <v>6153</v>
      </c>
    </row>
    <row r="57408" spans="8:8">
      <c r="H57408" s="680" t="s">
        <v>6153</v>
      </c>
    </row>
    <row r="57409" spans="8:8">
      <c r="H57409" s="680" t="s">
        <v>6153</v>
      </c>
    </row>
    <row r="57410" spans="8:8">
      <c r="H57410" s="680" t="s">
        <v>6153</v>
      </c>
    </row>
    <row r="57411" spans="8:8">
      <c r="H57411" s="680" t="s">
        <v>6153</v>
      </c>
    </row>
    <row r="57412" spans="8:8">
      <c r="H57412" s="680" t="s">
        <v>6153</v>
      </c>
    </row>
    <row r="57413" spans="8:8">
      <c r="H57413" s="680" t="s">
        <v>6153</v>
      </c>
    </row>
    <row r="57414" spans="8:8">
      <c r="H57414" s="680" t="s">
        <v>6153</v>
      </c>
    </row>
    <row r="57415" spans="8:8">
      <c r="H57415" s="680" t="s">
        <v>6153</v>
      </c>
    </row>
    <row r="57416" spans="8:8">
      <c r="H57416" s="680" t="s">
        <v>6153</v>
      </c>
    </row>
    <row r="57417" spans="8:8">
      <c r="H57417" s="680" t="s">
        <v>6153</v>
      </c>
    </row>
    <row r="57418" spans="8:8">
      <c r="H57418" s="680" t="s">
        <v>6153</v>
      </c>
    </row>
    <row r="57419" spans="8:8">
      <c r="H57419" s="680" t="s">
        <v>6153</v>
      </c>
    </row>
    <row r="57420" spans="8:8">
      <c r="H57420" s="680" t="s">
        <v>6153</v>
      </c>
    </row>
    <row r="57421" spans="8:8">
      <c r="H57421" s="680" t="s">
        <v>6153</v>
      </c>
    </row>
    <row r="57422" spans="8:8">
      <c r="H57422" s="680" t="s">
        <v>6153</v>
      </c>
    </row>
    <row r="57423" spans="8:8">
      <c r="H57423" s="680" t="s">
        <v>6153</v>
      </c>
    </row>
    <row r="57424" spans="8:8">
      <c r="H57424" s="680" t="s">
        <v>6153</v>
      </c>
    </row>
    <row r="57425" spans="8:8">
      <c r="H57425" s="680" t="s">
        <v>6153</v>
      </c>
    </row>
    <row r="57426" spans="8:8">
      <c r="H57426" s="680" t="s">
        <v>6153</v>
      </c>
    </row>
    <row r="57427" spans="8:8">
      <c r="H57427" s="680" t="s">
        <v>6153</v>
      </c>
    </row>
    <row r="57428" spans="8:8">
      <c r="H57428" s="680" t="s">
        <v>6153</v>
      </c>
    </row>
    <row r="57429" spans="8:8">
      <c r="H57429" s="680" t="s">
        <v>6153</v>
      </c>
    </row>
    <row r="57430" spans="8:8">
      <c r="H57430" s="680" t="s">
        <v>6153</v>
      </c>
    </row>
    <row r="57431" spans="8:8">
      <c r="H57431" s="680" t="s">
        <v>6153</v>
      </c>
    </row>
    <row r="57432" spans="8:8">
      <c r="H57432" s="680" t="s">
        <v>6153</v>
      </c>
    </row>
    <row r="57433" spans="8:8">
      <c r="H57433" s="680" t="s">
        <v>6153</v>
      </c>
    </row>
    <row r="57434" spans="8:8">
      <c r="H57434" s="680" t="s">
        <v>6153</v>
      </c>
    </row>
    <row r="57435" spans="8:8">
      <c r="H57435" s="680" t="s">
        <v>6153</v>
      </c>
    </row>
    <row r="57436" spans="8:8">
      <c r="H57436" s="680" t="s">
        <v>6153</v>
      </c>
    </row>
    <row r="57437" spans="8:8">
      <c r="H57437" s="680" t="s">
        <v>6153</v>
      </c>
    </row>
    <row r="57438" spans="8:8">
      <c r="H57438" s="680" t="s">
        <v>6153</v>
      </c>
    </row>
    <row r="57439" spans="8:8">
      <c r="H57439" s="680" t="s">
        <v>6153</v>
      </c>
    </row>
    <row r="57440" spans="8:8">
      <c r="H57440" s="680" t="s">
        <v>6153</v>
      </c>
    </row>
    <row r="57441" spans="8:8">
      <c r="H57441" s="680" t="s">
        <v>6153</v>
      </c>
    </row>
    <row r="57442" spans="8:8">
      <c r="H57442" s="680" t="s">
        <v>6153</v>
      </c>
    </row>
    <row r="57443" spans="8:8">
      <c r="H57443" s="680" t="s">
        <v>6153</v>
      </c>
    </row>
    <row r="57444" spans="8:8">
      <c r="H57444" s="680" t="s">
        <v>6153</v>
      </c>
    </row>
    <row r="57445" spans="8:8">
      <c r="H57445" s="680" t="s">
        <v>6153</v>
      </c>
    </row>
    <row r="57446" spans="8:8">
      <c r="H57446" s="680" t="s">
        <v>6153</v>
      </c>
    </row>
    <row r="57447" spans="8:8">
      <c r="H57447" s="680" t="s">
        <v>6153</v>
      </c>
    </row>
    <row r="57448" spans="8:8">
      <c r="H57448" s="680" t="s">
        <v>6153</v>
      </c>
    </row>
    <row r="57449" spans="8:8">
      <c r="H57449" s="680" t="s">
        <v>6153</v>
      </c>
    </row>
    <row r="57450" spans="8:8">
      <c r="H57450" s="680" t="s">
        <v>6153</v>
      </c>
    </row>
    <row r="57451" spans="8:8">
      <c r="H57451" s="680" t="s">
        <v>6153</v>
      </c>
    </row>
    <row r="57452" spans="8:8">
      <c r="H57452" s="680" t="s">
        <v>6153</v>
      </c>
    </row>
    <row r="57453" spans="8:8">
      <c r="H57453" s="680" t="s">
        <v>6153</v>
      </c>
    </row>
    <row r="57454" spans="8:8">
      <c r="H57454" s="680" t="s">
        <v>6153</v>
      </c>
    </row>
    <row r="57455" spans="8:8">
      <c r="H57455" s="680" t="s">
        <v>6153</v>
      </c>
    </row>
    <row r="57456" spans="8:8">
      <c r="H57456" s="680" t="s">
        <v>6153</v>
      </c>
    </row>
    <row r="57457" spans="8:8">
      <c r="H57457" s="680" t="s">
        <v>6153</v>
      </c>
    </row>
    <row r="57458" spans="8:8">
      <c r="H57458" s="680" t="s">
        <v>6153</v>
      </c>
    </row>
    <row r="57459" spans="8:8">
      <c r="H57459" s="680" t="s">
        <v>6153</v>
      </c>
    </row>
    <row r="57460" spans="8:8">
      <c r="H57460" s="680" t="s">
        <v>6153</v>
      </c>
    </row>
    <row r="57461" spans="8:8">
      <c r="H57461" s="680" t="s">
        <v>6153</v>
      </c>
    </row>
    <row r="57462" spans="8:8">
      <c r="H57462" s="680" t="s">
        <v>6153</v>
      </c>
    </row>
    <row r="57463" spans="8:8">
      <c r="H57463" s="680" t="s">
        <v>6153</v>
      </c>
    </row>
    <row r="57464" spans="8:8">
      <c r="H57464" s="680" t="s">
        <v>6153</v>
      </c>
    </row>
    <row r="57465" spans="8:8">
      <c r="H57465" s="680" t="s">
        <v>6153</v>
      </c>
    </row>
    <row r="57466" spans="8:8">
      <c r="H57466" s="680" t="s">
        <v>6153</v>
      </c>
    </row>
    <row r="57467" spans="8:8">
      <c r="H57467" s="680" t="s">
        <v>6153</v>
      </c>
    </row>
    <row r="57468" spans="8:8">
      <c r="H57468" s="680" t="s">
        <v>6153</v>
      </c>
    </row>
    <row r="57469" spans="8:8">
      <c r="H57469" s="680" t="s">
        <v>6153</v>
      </c>
    </row>
    <row r="57470" spans="8:8">
      <c r="H57470" s="680" t="s">
        <v>6153</v>
      </c>
    </row>
    <row r="57471" spans="8:8">
      <c r="H57471" s="680" t="s">
        <v>6153</v>
      </c>
    </row>
    <row r="57472" spans="8:8">
      <c r="H57472" s="680" t="s">
        <v>6153</v>
      </c>
    </row>
    <row r="57473" spans="8:8">
      <c r="H57473" s="680" t="s">
        <v>6153</v>
      </c>
    </row>
    <row r="57474" spans="8:8">
      <c r="H57474" s="680" t="s">
        <v>6153</v>
      </c>
    </row>
    <row r="57475" spans="8:8">
      <c r="H57475" s="680" t="s">
        <v>6153</v>
      </c>
    </row>
    <row r="57476" spans="8:8">
      <c r="H57476" s="680" t="s">
        <v>6153</v>
      </c>
    </row>
    <row r="57477" spans="8:8">
      <c r="H57477" s="680" t="s">
        <v>6153</v>
      </c>
    </row>
    <row r="57478" spans="8:8">
      <c r="H57478" s="680" t="s">
        <v>6153</v>
      </c>
    </row>
    <row r="57479" spans="8:8">
      <c r="H57479" s="680" t="s">
        <v>6153</v>
      </c>
    </row>
    <row r="57480" spans="8:8">
      <c r="H57480" s="680" t="s">
        <v>6153</v>
      </c>
    </row>
    <row r="57481" spans="8:8">
      <c r="H57481" s="680" t="s">
        <v>6153</v>
      </c>
    </row>
    <row r="57482" spans="8:8">
      <c r="H57482" s="680" t="s">
        <v>6153</v>
      </c>
    </row>
    <row r="57483" spans="8:8">
      <c r="H57483" s="680" t="s">
        <v>6153</v>
      </c>
    </row>
    <row r="57484" spans="8:8">
      <c r="H57484" s="680" t="s">
        <v>6153</v>
      </c>
    </row>
    <row r="57485" spans="8:8">
      <c r="H57485" s="680" t="s">
        <v>6153</v>
      </c>
    </row>
    <row r="57486" spans="8:8">
      <c r="H57486" s="680" t="s">
        <v>6153</v>
      </c>
    </row>
    <row r="57487" spans="8:8">
      <c r="H57487" s="680" t="s">
        <v>6153</v>
      </c>
    </row>
    <row r="57488" spans="8:8">
      <c r="H57488" s="680" t="s">
        <v>6153</v>
      </c>
    </row>
    <row r="57489" spans="8:8">
      <c r="H57489" s="680" t="s">
        <v>6153</v>
      </c>
    </row>
    <row r="57490" spans="8:8">
      <c r="H57490" s="680" t="s">
        <v>6153</v>
      </c>
    </row>
    <row r="57491" spans="8:8">
      <c r="H57491" s="680" t="s">
        <v>6153</v>
      </c>
    </row>
    <row r="57492" spans="8:8">
      <c r="H57492" s="680" t="s">
        <v>6153</v>
      </c>
    </row>
    <row r="57493" spans="8:8">
      <c r="H57493" s="680" t="s">
        <v>6153</v>
      </c>
    </row>
    <row r="57494" spans="8:8">
      <c r="H57494" s="680" t="s">
        <v>6153</v>
      </c>
    </row>
    <row r="57495" spans="8:8">
      <c r="H57495" s="680" t="s">
        <v>6153</v>
      </c>
    </row>
    <row r="57496" spans="8:8">
      <c r="H57496" s="680" t="s">
        <v>6153</v>
      </c>
    </row>
    <row r="57497" spans="8:8">
      <c r="H57497" s="680" t="s">
        <v>6153</v>
      </c>
    </row>
    <row r="57498" spans="8:8">
      <c r="H57498" s="680" t="s">
        <v>6153</v>
      </c>
    </row>
    <row r="57499" spans="8:8">
      <c r="H57499" s="680" t="s">
        <v>6153</v>
      </c>
    </row>
    <row r="57500" spans="8:8">
      <c r="H57500" s="680" t="s">
        <v>6153</v>
      </c>
    </row>
    <row r="57501" spans="8:8">
      <c r="H57501" s="680" t="s">
        <v>6153</v>
      </c>
    </row>
    <row r="57502" spans="8:8">
      <c r="H57502" s="680" t="s">
        <v>6153</v>
      </c>
    </row>
    <row r="57503" spans="8:8">
      <c r="H57503" s="680" t="s">
        <v>6153</v>
      </c>
    </row>
    <row r="57504" spans="8:8">
      <c r="H57504" s="680" t="s">
        <v>6153</v>
      </c>
    </row>
    <row r="57505" spans="8:8">
      <c r="H57505" s="680" t="s">
        <v>6153</v>
      </c>
    </row>
    <row r="57506" spans="8:8">
      <c r="H57506" s="680" t="s">
        <v>6153</v>
      </c>
    </row>
    <row r="57507" spans="8:8">
      <c r="H57507" s="680" t="s">
        <v>6153</v>
      </c>
    </row>
    <row r="57508" spans="8:8">
      <c r="H57508" s="680" t="s">
        <v>6153</v>
      </c>
    </row>
    <row r="57509" spans="8:8">
      <c r="H57509" s="680" t="s">
        <v>6153</v>
      </c>
    </row>
    <row r="57510" spans="8:8">
      <c r="H57510" s="680" t="s">
        <v>6153</v>
      </c>
    </row>
    <row r="57511" spans="8:8">
      <c r="H57511" s="680" t="s">
        <v>6153</v>
      </c>
    </row>
    <row r="57512" spans="8:8">
      <c r="H57512" s="680" t="s">
        <v>6153</v>
      </c>
    </row>
    <row r="57513" spans="8:8">
      <c r="H57513" s="680" t="s">
        <v>6153</v>
      </c>
    </row>
    <row r="57514" spans="8:8">
      <c r="H57514" s="680" t="s">
        <v>6153</v>
      </c>
    </row>
    <row r="57515" spans="8:8">
      <c r="H57515" s="680" t="s">
        <v>6153</v>
      </c>
    </row>
    <row r="57516" spans="8:8">
      <c r="H57516" s="680" t="s">
        <v>6153</v>
      </c>
    </row>
    <row r="57517" spans="8:8">
      <c r="H57517" s="680" t="s">
        <v>6153</v>
      </c>
    </row>
    <row r="57518" spans="8:8">
      <c r="H57518" s="680" t="s">
        <v>6153</v>
      </c>
    </row>
    <row r="57519" spans="8:8">
      <c r="H57519" s="680" t="s">
        <v>6153</v>
      </c>
    </row>
    <row r="57520" spans="8:8">
      <c r="H57520" s="680" t="s">
        <v>6153</v>
      </c>
    </row>
    <row r="57521" spans="8:8">
      <c r="H57521" s="680" t="s">
        <v>6153</v>
      </c>
    </row>
    <row r="57522" spans="8:8">
      <c r="H57522" s="680" t="s">
        <v>6153</v>
      </c>
    </row>
    <row r="57523" spans="8:8">
      <c r="H57523" s="680" t="s">
        <v>6153</v>
      </c>
    </row>
    <row r="57524" spans="8:8">
      <c r="H57524" s="680" t="s">
        <v>6153</v>
      </c>
    </row>
    <row r="57525" spans="8:8">
      <c r="H57525" s="680" t="s">
        <v>6153</v>
      </c>
    </row>
    <row r="57526" spans="8:8">
      <c r="H57526" s="680" t="s">
        <v>6153</v>
      </c>
    </row>
    <row r="57527" spans="8:8">
      <c r="H57527" s="680" t="s">
        <v>6153</v>
      </c>
    </row>
    <row r="57528" spans="8:8">
      <c r="H57528" s="680" t="s">
        <v>6153</v>
      </c>
    </row>
    <row r="57529" spans="8:8">
      <c r="H57529" s="680" t="s">
        <v>6153</v>
      </c>
    </row>
    <row r="57530" spans="8:8">
      <c r="H57530" s="680" t="s">
        <v>6153</v>
      </c>
    </row>
    <row r="57531" spans="8:8">
      <c r="H57531" s="680" t="s">
        <v>6153</v>
      </c>
    </row>
    <row r="57532" spans="8:8">
      <c r="H57532" s="680" t="s">
        <v>6153</v>
      </c>
    </row>
    <row r="57533" spans="8:8">
      <c r="H57533" s="680" t="s">
        <v>6153</v>
      </c>
    </row>
    <row r="57534" spans="8:8">
      <c r="H57534" s="680" t="s">
        <v>6153</v>
      </c>
    </row>
    <row r="57535" spans="8:8">
      <c r="H57535" s="680" t="s">
        <v>6153</v>
      </c>
    </row>
    <row r="57536" spans="8:8">
      <c r="H57536" s="680" t="s">
        <v>6153</v>
      </c>
    </row>
    <row r="57537" spans="8:8">
      <c r="H57537" s="680" t="s">
        <v>6153</v>
      </c>
    </row>
    <row r="57538" spans="8:8">
      <c r="H57538" s="680" t="s">
        <v>6153</v>
      </c>
    </row>
    <row r="57539" spans="8:8">
      <c r="H57539" s="680" t="s">
        <v>6153</v>
      </c>
    </row>
    <row r="57540" spans="8:8">
      <c r="H57540" s="680" t="s">
        <v>6153</v>
      </c>
    </row>
    <row r="57541" spans="8:8">
      <c r="H57541" s="680" t="s">
        <v>6153</v>
      </c>
    </row>
    <row r="57542" spans="8:8">
      <c r="H57542" s="680" t="s">
        <v>6153</v>
      </c>
    </row>
    <row r="57543" spans="8:8">
      <c r="H57543" s="680" t="s">
        <v>6153</v>
      </c>
    </row>
    <row r="57544" spans="8:8">
      <c r="H57544" s="680" t="s">
        <v>6153</v>
      </c>
    </row>
    <row r="57545" spans="8:8">
      <c r="H57545" s="680" t="s">
        <v>6153</v>
      </c>
    </row>
    <row r="57546" spans="8:8">
      <c r="H57546" s="680" t="s">
        <v>6153</v>
      </c>
    </row>
    <row r="57547" spans="8:8">
      <c r="H57547" s="680" t="s">
        <v>6153</v>
      </c>
    </row>
    <row r="57548" spans="8:8">
      <c r="H57548" s="680" t="s">
        <v>6153</v>
      </c>
    </row>
    <row r="57549" spans="8:8">
      <c r="H57549" s="680" t="s">
        <v>6153</v>
      </c>
    </row>
    <row r="57550" spans="8:8">
      <c r="H57550" s="680" t="s">
        <v>6153</v>
      </c>
    </row>
    <row r="57551" spans="8:8">
      <c r="H57551" s="680" t="s">
        <v>6153</v>
      </c>
    </row>
    <row r="57552" spans="8:8">
      <c r="H57552" s="680" t="s">
        <v>6153</v>
      </c>
    </row>
    <row r="57553" spans="8:8">
      <c r="H57553" s="680" t="s">
        <v>6153</v>
      </c>
    </row>
    <row r="57554" spans="8:8">
      <c r="H57554" s="680" t="s">
        <v>6153</v>
      </c>
    </row>
    <row r="57555" spans="8:8">
      <c r="H57555" s="680" t="s">
        <v>6153</v>
      </c>
    </row>
    <row r="57556" spans="8:8">
      <c r="H57556" s="680" t="s">
        <v>6153</v>
      </c>
    </row>
    <row r="57557" spans="8:8">
      <c r="H57557" s="680" t="s">
        <v>6153</v>
      </c>
    </row>
    <row r="57558" spans="8:8">
      <c r="H57558" s="680" t="s">
        <v>6153</v>
      </c>
    </row>
    <row r="57559" spans="8:8">
      <c r="H57559" s="680" t="s">
        <v>6153</v>
      </c>
    </row>
    <row r="57560" spans="8:8">
      <c r="H57560" s="680" t="s">
        <v>6153</v>
      </c>
    </row>
    <row r="57561" spans="8:8">
      <c r="H57561" s="680" t="s">
        <v>6153</v>
      </c>
    </row>
    <row r="57562" spans="8:8">
      <c r="H57562" s="680" t="s">
        <v>6153</v>
      </c>
    </row>
    <row r="57563" spans="8:8">
      <c r="H57563" s="680" t="s">
        <v>6153</v>
      </c>
    </row>
    <row r="57564" spans="8:8">
      <c r="H57564" s="680" t="s">
        <v>6153</v>
      </c>
    </row>
    <row r="57565" spans="8:8">
      <c r="H57565" s="680" t="s">
        <v>6153</v>
      </c>
    </row>
    <row r="57566" spans="8:8">
      <c r="H57566" s="680" t="s">
        <v>6153</v>
      </c>
    </row>
    <row r="57567" spans="8:8">
      <c r="H57567" s="680" t="s">
        <v>6153</v>
      </c>
    </row>
    <row r="57568" spans="8:8">
      <c r="H57568" s="680" t="s">
        <v>6153</v>
      </c>
    </row>
    <row r="57569" spans="8:8">
      <c r="H57569" s="680" t="s">
        <v>6153</v>
      </c>
    </row>
    <row r="57570" spans="8:8">
      <c r="H57570" s="680" t="s">
        <v>6153</v>
      </c>
    </row>
    <row r="57571" spans="8:8">
      <c r="H57571" s="680" t="s">
        <v>6153</v>
      </c>
    </row>
    <row r="57572" spans="8:8">
      <c r="H57572" s="680" t="s">
        <v>6153</v>
      </c>
    </row>
    <row r="57573" spans="8:8">
      <c r="H57573" s="680" t="s">
        <v>6153</v>
      </c>
    </row>
    <row r="57574" spans="8:8">
      <c r="H57574" s="680" t="s">
        <v>6153</v>
      </c>
    </row>
    <row r="57575" spans="8:8">
      <c r="H57575" s="680" t="s">
        <v>6153</v>
      </c>
    </row>
    <row r="57576" spans="8:8">
      <c r="H57576" s="680" t="s">
        <v>6153</v>
      </c>
    </row>
    <row r="57577" spans="8:8">
      <c r="H57577" s="680" t="s">
        <v>6153</v>
      </c>
    </row>
    <row r="57578" spans="8:8">
      <c r="H57578" s="680" t="s">
        <v>6153</v>
      </c>
    </row>
    <row r="57579" spans="8:8">
      <c r="H57579" s="680" t="s">
        <v>6153</v>
      </c>
    </row>
    <row r="57580" spans="8:8">
      <c r="H57580" s="680" t="s">
        <v>6153</v>
      </c>
    </row>
    <row r="57581" spans="8:8">
      <c r="H57581" s="680" t="s">
        <v>6153</v>
      </c>
    </row>
    <row r="57582" spans="8:8">
      <c r="H57582" s="680" t="s">
        <v>6153</v>
      </c>
    </row>
    <row r="57583" spans="8:8">
      <c r="H57583" s="680" t="s">
        <v>6153</v>
      </c>
    </row>
    <row r="57584" spans="8:8">
      <c r="H57584" s="680" t="s">
        <v>6153</v>
      </c>
    </row>
    <row r="57585" spans="8:8">
      <c r="H57585" s="680" t="s">
        <v>6153</v>
      </c>
    </row>
    <row r="57586" spans="8:8">
      <c r="H57586" s="680" t="s">
        <v>6153</v>
      </c>
    </row>
    <row r="57587" spans="8:8">
      <c r="H57587" s="680" t="s">
        <v>6153</v>
      </c>
    </row>
    <row r="57588" spans="8:8">
      <c r="H57588" s="680" t="s">
        <v>6153</v>
      </c>
    </row>
    <row r="57589" spans="8:8">
      <c r="H57589" s="680" t="s">
        <v>6153</v>
      </c>
    </row>
    <row r="57590" spans="8:8">
      <c r="H57590" s="680" t="s">
        <v>6153</v>
      </c>
    </row>
    <row r="57591" spans="8:8">
      <c r="H57591" s="680" t="s">
        <v>6153</v>
      </c>
    </row>
    <row r="57592" spans="8:8">
      <c r="H57592" s="680" t="s">
        <v>6153</v>
      </c>
    </row>
    <row r="57593" spans="8:8">
      <c r="H57593" s="680" t="s">
        <v>6153</v>
      </c>
    </row>
    <row r="57594" spans="8:8">
      <c r="H57594" s="680" t="s">
        <v>6153</v>
      </c>
    </row>
    <row r="57595" spans="8:8">
      <c r="H57595" s="680" t="s">
        <v>6153</v>
      </c>
    </row>
    <row r="57596" spans="8:8">
      <c r="H57596" s="680" t="s">
        <v>6153</v>
      </c>
    </row>
    <row r="57597" spans="8:8">
      <c r="H57597" s="680" t="s">
        <v>6153</v>
      </c>
    </row>
    <row r="57598" spans="8:8">
      <c r="H57598" s="680" t="s">
        <v>6153</v>
      </c>
    </row>
    <row r="57599" spans="8:8">
      <c r="H57599" s="680" t="s">
        <v>6153</v>
      </c>
    </row>
    <row r="57600" spans="8:8">
      <c r="H57600" s="680" t="s">
        <v>6153</v>
      </c>
    </row>
    <row r="57601" spans="8:8">
      <c r="H57601" s="680" t="s">
        <v>6153</v>
      </c>
    </row>
    <row r="57602" spans="8:8">
      <c r="H57602" s="680" t="s">
        <v>6153</v>
      </c>
    </row>
    <row r="57603" spans="8:8">
      <c r="H57603" s="680" t="s">
        <v>6153</v>
      </c>
    </row>
    <row r="57604" spans="8:8">
      <c r="H57604" s="680" t="s">
        <v>6153</v>
      </c>
    </row>
    <row r="57605" spans="8:8">
      <c r="H57605" s="680" t="s">
        <v>6153</v>
      </c>
    </row>
    <row r="57606" spans="8:8">
      <c r="H57606" s="680" t="s">
        <v>6153</v>
      </c>
    </row>
    <row r="57607" spans="8:8">
      <c r="H57607" s="680" t="s">
        <v>6153</v>
      </c>
    </row>
    <row r="57608" spans="8:8">
      <c r="H57608" s="680" t="s">
        <v>6153</v>
      </c>
    </row>
    <row r="57609" spans="8:8">
      <c r="H57609" s="680" t="s">
        <v>6153</v>
      </c>
    </row>
    <row r="57610" spans="8:8">
      <c r="H57610" s="680" t="s">
        <v>6153</v>
      </c>
    </row>
    <row r="57611" spans="8:8">
      <c r="H57611" s="680" t="s">
        <v>6153</v>
      </c>
    </row>
    <row r="57612" spans="8:8">
      <c r="H57612" s="680" t="s">
        <v>6153</v>
      </c>
    </row>
    <row r="57613" spans="8:8">
      <c r="H57613" s="680" t="s">
        <v>6153</v>
      </c>
    </row>
    <row r="57614" spans="8:8">
      <c r="H57614" s="680" t="s">
        <v>6153</v>
      </c>
    </row>
    <row r="57615" spans="8:8">
      <c r="H57615" s="680" t="s">
        <v>6153</v>
      </c>
    </row>
    <row r="57616" spans="8:8">
      <c r="H57616" s="680" t="s">
        <v>6153</v>
      </c>
    </row>
    <row r="57617" spans="8:8">
      <c r="H57617" s="680" t="s">
        <v>6153</v>
      </c>
    </row>
    <row r="57618" spans="8:8">
      <c r="H57618" s="680" t="s">
        <v>6153</v>
      </c>
    </row>
    <row r="57619" spans="8:8">
      <c r="H57619" s="680" t="s">
        <v>6153</v>
      </c>
    </row>
    <row r="57620" spans="8:8">
      <c r="H57620" s="680" t="s">
        <v>6153</v>
      </c>
    </row>
    <row r="57621" spans="8:8">
      <c r="H57621" s="680" t="s">
        <v>6153</v>
      </c>
    </row>
    <row r="57622" spans="8:8">
      <c r="H57622" s="680" t="s">
        <v>6153</v>
      </c>
    </row>
    <row r="57623" spans="8:8">
      <c r="H57623" s="680" t="s">
        <v>6153</v>
      </c>
    </row>
    <row r="57624" spans="8:8">
      <c r="H57624" s="680" t="s">
        <v>6153</v>
      </c>
    </row>
    <row r="57625" spans="8:8">
      <c r="H57625" s="680" t="s">
        <v>6153</v>
      </c>
    </row>
    <row r="57626" spans="8:8">
      <c r="H57626" s="680" t="s">
        <v>6153</v>
      </c>
    </row>
    <row r="57627" spans="8:8">
      <c r="H57627" s="680" t="s">
        <v>6153</v>
      </c>
    </row>
    <row r="57628" spans="8:8">
      <c r="H57628" s="680" t="s">
        <v>6153</v>
      </c>
    </row>
    <row r="57629" spans="8:8">
      <c r="H57629" s="680" t="s">
        <v>6153</v>
      </c>
    </row>
    <row r="57630" spans="8:8">
      <c r="H57630" s="680" t="s">
        <v>6153</v>
      </c>
    </row>
    <row r="57631" spans="8:8">
      <c r="H57631" s="680" t="s">
        <v>6153</v>
      </c>
    </row>
    <row r="57632" spans="8:8">
      <c r="H57632" s="680" t="s">
        <v>6153</v>
      </c>
    </row>
    <row r="57633" spans="8:8">
      <c r="H57633" s="680" t="s">
        <v>6153</v>
      </c>
    </row>
    <row r="57634" spans="8:8">
      <c r="H57634" s="680" t="s">
        <v>6153</v>
      </c>
    </row>
    <row r="57635" spans="8:8">
      <c r="H57635" s="680" t="s">
        <v>6153</v>
      </c>
    </row>
    <row r="57636" spans="8:8">
      <c r="H57636" s="680" t="s">
        <v>6153</v>
      </c>
    </row>
    <row r="57637" spans="8:8">
      <c r="H57637" s="680" t="s">
        <v>6153</v>
      </c>
    </row>
    <row r="57638" spans="8:8">
      <c r="H57638" s="680" t="s">
        <v>6153</v>
      </c>
    </row>
    <row r="57639" spans="8:8">
      <c r="H57639" s="680" t="s">
        <v>6153</v>
      </c>
    </row>
    <row r="57640" spans="8:8">
      <c r="H57640" s="680" t="s">
        <v>6153</v>
      </c>
    </row>
    <row r="57641" spans="8:8">
      <c r="H57641" s="680" t="s">
        <v>6153</v>
      </c>
    </row>
    <row r="57642" spans="8:8">
      <c r="H57642" s="680" t="s">
        <v>6153</v>
      </c>
    </row>
    <row r="57643" spans="8:8">
      <c r="H57643" s="680" t="s">
        <v>6153</v>
      </c>
    </row>
    <row r="57644" spans="8:8">
      <c r="H57644" s="680" t="s">
        <v>6153</v>
      </c>
    </row>
    <row r="57645" spans="8:8">
      <c r="H57645" s="680" t="s">
        <v>6153</v>
      </c>
    </row>
    <row r="57646" spans="8:8">
      <c r="H57646" s="680" t="s">
        <v>6153</v>
      </c>
    </row>
    <row r="57647" spans="8:8">
      <c r="H57647" s="680" t="s">
        <v>6153</v>
      </c>
    </row>
    <row r="57648" spans="8:8">
      <c r="H57648" s="680" t="s">
        <v>6153</v>
      </c>
    </row>
    <row r="57649" spans="8:8">
      <c r="H57649" s="680" t="s">
        <v>6153</v>
      </c>
    </row>
    <row r="57650" spans="8:8">
      <c r="H57650" s="680" t="s">
        <v>6153</v>
      </c>
    </row>
    <row r="57651" spans="8:8">
      <c r="H57651" s="680" t="s">
        <v>6153</v>
      </c>
    </row>
    <row r="57652" spans="8:8">
      <c r="H57652" s="680" t="s">
        <v>6153</v>
      </c>
    </row>
    <row r="57653" spans="8:8">
      <c r="H57653" s="680" t="s">
        <v>6153</v>
      </c>
    </row>
    <row r="57654" spans="8:8">
      <c r="H57654" s="680" t="s">
        <v>6153</v>
      </c>
    </row>
    <row r="57655" spans="8:8">
      <c r="H57655" s="680" t="s">
        <v>6153</v>
      </c>
    </row>
    <row r="57656" spans="8:8">
      <c r="H57656" s="680" t="s">
        <v>6153</v>
      </c>
    </row>
    <row r="57657" spans="8:8">
      <c r="H57657" s="680" t="s">
        <v>6153</v>
      </c>
    </row>
    <row r="57658" spans="8:8">
      <c r="H57658" s="680" t="s">
        <v>6153</v>
      </c>
    </row>
    <row r="57659" spans="8:8">
      <c r="H57659" s="680" t="s">
        <v>6153</v>
      </c>
    </row>
    <row r="57660" spans="8:8">
      <c r="H57660" s="680" t="s">
        <v>6153</v>
      </c>
    </row>
    <row r="57661" spans="8:8">
      <c r="H57661" s="680" t="s">
        <v>6153</v>
      </c>
    </row>
    <row r="57662" spans="8:8">
      <c r="H57662" s="680" t="s">
        <v>6153</v>
      </c>
    </row>
    <row r="57663" spans="8:8">
      <c r="H57663" s="680" t="s">
        <v>6153</v>
      </c>
    </row>
    <row r="57664" spans="8:8">
      <c r="H57664" s="680" t="s">
        <v>6153</v>
      </c>
    </row>
    <row r="57665" spans="8:8">
      <c r="H57665" s="680" t="s">
        <v>6153</v>
      </c>
    </row>
    <row r="57666" spans="8:8">
      <c r="H57666" s="680" t="s">
        <v>6153</v>
      </c>
    </row>
    <row r="57667" spans="8:8">
      <c r="H57667" s="680" t="s">
        <v>6153</v>
      </c>
    </row>
    <row r="57668" spans="8:8">
      <c r="H57668" s="680" t="s">
        <v>6153</v>
      </c>
    </row>
    <row r="57669" spans="8:8">
      <c r="H57669" s="680" t="s">
        <v>6153</v>
      </c>
    </row>
    <row r="57670" spans="8:8">
      <c r="H57670" s="680" t="s">
        <v>6153</v>
      </c>
    </row>
    <row r="57671" spans="8:8">
      <c r="H57671" s="680" t="s">
        <v>6153</v>
      </c>
    </row>
    <row r="57672" spans="8:8">
      <c r="H57672" s="680" t="s">
        <v>6153</v>
      </c>
    </row>
    <row r="57673" spans="8:8">
      <c r="H57673" s="680" t="s">
        <v>6153</v>
      </c>
    </row>
    <row r="57674" spans="8:8">
      <c r="H57674" s="680" t="s">
        <v>6153</v>
      </c>
    </row>
    <row r="57675" spans="8:8">
      <c r="H57675" s="680" t="s">
        <v>6153</v>
      </c>
    </row>
    <row r="57676" spans="8:8">
      <c r="H57676" s="680" t="s">
        <v>6153</v>
      </c>
    </row>
    <row r="57677" spans="8:8">
      <c r="H57677" s="680" t="s">
        <v>6153</v>
      </c>
    </row>
    <row r="57678" spans="8:8">
      <c r="H57678" s="680" t="s">
        <v>6153</v>
      </c>
    </row>
    <row r="57679" spans="8:8">
      <c r="H57679" s="680" t="s">
        <v>6153</v>
      </c>
    </row>
    <row r="57680" spans="8:8">
      <c r="H57680" s="680" t="s">
        <v>6153</v>
      </c>
    </row>
    <row r="57681" spans="8:8">
      <c r="H57681" s="680" t="s">
        <v>6153</v>
      </c>
    </row>
    <row r="57682" spans="8:8">
      <c r="H57682" s="680" t="s">
        <v>6153</v>
      </c>
    </row>
    <row r="57683" spans="8:8">
      <c r="H57683" s="680" t="s">
        <v>6153</v>
      </c>
    </row>
    <row r="57684" spans="8:8">
      <c r="H57684" s="680" t="s">
        <v>6153</v>
      </c>
    </row>
    <row r="57685" spans="8:8">
      <c r="H57685" s="680" t="s">
        <v>6153</v>
      </c>
    </row>
    <row r="57686" spans="8:8">
      <c r="H57686" s="680" t="s">
        <v>6153</v>
      </c>
    </row>
    <row r="57687" spans="8:8">
      <c r="H57687" s="680" t="s">
        <v>6153</v>
      </c>
    </row>
    <row r="57688" spans="8:8">
      <c r="H57688" s="680" t="s">
        <v>6153</v>
      </c>
    </row>
    <row r="57689" spans="8:8">
      <c r="H57689" s="680" t="s">
        <v>6153</v>
      </c>
    </row>
    <row r="57690" spans="8:8">
      <c r="H57690" s="680" t="s">
        <v>6153</v>
      </c>
    </row>
    <row r="57691" spans="8:8">
      <c r="H57691" s="680" t="s">
        <v>6153</v>
      </c>
    </row>
    <row r="57692" spans="8:8">
      <c r="H57692" s="680" t="s">
        <v>6153</v>
      </c>
    </row>
    <row r="57693" spans="8:8">
      <c r="H57693" s="680" t="s">
        <v>6153</v>
      </c>
    </row>
    <row r="57694" spans="8:8">
      <c r="H57694" s="680" t="s">
        <v>6153</v>
      </c>
    </row>
    <row r="57695" spans="8:8">
      <c r="H57695" s="680" t="s">
        <v>6153</v>
      </c>
    </row>
    <row r="57696" spans="8:8">
      <c r="H57696" s="680" t="s">
        <v>6153</v>
      </c>
    </row>
    <row r="57697" spans="8:8">
      <c r="H57697" s="680" t="s">
        <v>6153</v>
      </c>
    </row>
    <row r="57698" spans="8:8">
      <c r="H57698" s="680" t="s">
        <v>6153</v>
      </c>
    </row>
    <row r="57699" spans="8:8">
      <c r="H57699" s="680" t="s">
        <v>6153</v>
      </c>
    </row>
    <row r="57700" spans="8:8">
      <c r="H57700" s="680" t="s">
        <v>6153</v>
      </c>
    </row>
    <row r="57701" spans="8:8">
      <c r="H57701" s="680" t="s">
        <v>6153</v>
      </c>
    </row>
    <row r="57702" spans="8:8">
      <c r="H57702" s="680" t="s">
        <v>6153</v>
      </c>
    </row>
    <row r="57703" spans="8:8">
      <c r="H57703" s="680" t="s">
        <v>6153</v>
      </c>
    </row>
    <row r="57704" spans="8:8">
      <c r="H57704" s="680" t="s">
        <v>6153</v>
      </c>
    </row>
    <row r="57705" spans="8:8">
      <c r="H57705" s="680" t="s">
        <v>6153</v>
      </c>
    </row>
    <row r="57706" spans="8:8">
      <c r="H57706" s="680" t="s">
        <v>6153</v>
      </c>
    </row>
    <row r="57707" spans="8:8">
      <c r="H57707" s="680" t="s">
        <v>6153</v>
      </c>
    </row>
    <row r="57708" spans="8:8">
      <c r="H57708" s="680" t="s">
        <v>6153</v>
      </c>
    </row>
    <row r="57709" spans="8:8">
      <c r="H57709" s="680" t="s">
        <v>6153</v>
      </c>
    </row>
    <row r="57710" spans="8:8">
      <c r="H57710" s="680" t="s">
        <v>6153</v>
      </c>
    </row>
    <row r="57711" spans="8:8">
      <c r="H57711" s="680" t="s">
        <v>6153</v>
      </c>
    </row>
    <row r="57712" spans="8:8">
      <c r="H57712" s="680" t="s">
        <v>6153</v>
      </c>
    </row>
    <row r="57713" spans="8:8">
      <c r="H57713" s="680" t="s">
        <v>6153</v>
      </c>
    </row>
    <row r="57714" spans="8:8">
      <c r="H57714" s="680" t="s">
        <v>6153</v>
      </c>
    </row>
    <row r="57715" spans="8:8">
      <c r="H57715" s="680" t="s">
        <v>6153</v>
      </c>
    </row>
    <row r="57716" spans="8:8">
      <c r="H57716" s="680" t="s">
        <v>6153</v>
      </c>
    </row>
    <row r="57717" spans="8:8">
      <c r="H57717" s="680" t="s">
        <v>6153</v>
      </c>
    </row>
    <row r="57718" spans="8:8">
      <c r="H57718" s="680" t="s">
        <v>6153</v>
      </c>
    </row>
    <row r="57719" spans="8:8">
      <c r="H57719" s="680" t="s">
        <v>6153</v>
      </c>
    </row>
    <row r="57720" spans="8:8">
      <c r="H57720" s="680" t="s">
        <v>6153</v>
      </c>
    </row>
    <row r="57721" spans="8:8">
      <c r="H57721" s="680" t="s">
        <v>6153</v>
      </c>
    </row>
    <row r="57722" spans="8:8">
      <c r="H57722" s="680" t="s">
        <v>6153</v>
      </c>
    </row>
    <row r="57723" spans="8:8">
      <c r="H57723" s="680" t="s">
        <v>6153</v>
      </c>
    </row>
    <row r="57724" spans="8:8">
      <c r="H57724" s="680" t="s">
        <v>6153</v>
      </c>
    </row>
    <row r="57725" spans="8:8">
      <c r="H57725" s="680" t="s">
        <v>6153</v>
      </c>
    </row>
    <row r="57726" spans="8:8">
      <c r="H57726" s="680" t="s">
        <v>6153</v>
      </c>
    </row>
    <row r="57727" spans="8:8">
      <c r="H57727" s="680" t="s">
        <v>6153</v>
      </c>
    </row>
    <row r="57728" spans="8:8">
      <c r="H57728" s="680" t="s">
        <v>6153</v>
      </c>
    </row>
    <row r="57729" spans="8:8">
      <c r="H57729" s="680" t="s">
        <v>6153</v>
      </c>
    </row>
    <row r="57730" spans="8:8">
      <c r="H57730" s="680" t="s">
        <v>6153</v>
      </c>
    </row>
    <row r="57731" spans="8:8">
      <c r="H57731" s="680" t="s">
        <v>6153</v>
      </c>
    </row>
    <row r="57732" spans="8:8">
      <c r="H57732" s="680" t="s">
        <v>6153</v>
      </c>
    </row>
    <row r="57733" spans="8:8">
      <c r="H57733" s="680" t="s">
        <v>6153</v>
      </c>
    </row>
    <row r="57734" spans="8:8">
      <c r="H57734" s="680" t="s">
        <v>6153</v>
      </c>
    </row>
    <row r="57735" spans="8:8">
      <c r="H57735" s="680" t="s">
        <v>6153</v>
      </c>
    </row>
    <row r="57736" spans="8:8">
      <c r="H57736" s="680" t="s">
        <v>6153</v>
      </c>
    </row>
    <row r="57737" spans="8:8">
      <c r="H57737" s="680" t="s">
        <v>6153</v>
      </c>
    </row>
    <row r="57738" spans="8:8">
      <c r="H57738" s="680" t="s">
        <v>6153</v>
      </c>
    </row>
    <row r="57739" spans="8:8">
      <c r="H57739" s="680" t="s">
        <v>6153</v>
      </c>
    </row>
    <row r="57740" spans="8:8">
      <c r="H57740" s="680" t="s">
        <v>6153</v>
      </c>
    </row>
    <row r="57741" spans="8:8">
      <c r="H57741" s="680" t="s">
        <v>6153</v>
      </c>
    </row>
    <row r="57742" spans="8:8">
      <c r="H57742" s="680" t="s">
        <v>6153</v>
      </c>
    </row>
    <row r="57743" spans="8:8">
      <c r="H57743" s="680" t="s">
        <v>6153</v>
      </c>
    </row>
    <row r="57744" spans="8:8">
      <c r="H57744" s="680" t="s">
        <v>6153</v>
      </c>
    </row>
    <row r="57745" spans="8:8">
      <c r="H57745" s="680" t="s">
        <v>6153</v>
      </c>
    </row>
    <row r="57746" spans="8:8">
      <c r="H57746" s="680" t="s">
        <v>6153</v>
      </c>
    </row>
    <row r="57747" spans="8:8">
      <c r="H57747" s="680" t="s">
        <v>6153</v>
      </c>
    </row>
    <row r="57748" spans="8:8">
      <c r="H57748" s="680" t="s">
        <v>6153</v>
      </c>
    </row>
    <row r="57749" spans="8:8">
      <c r="H57749" s="680" t="s">
        <v>6153</v>
      </c>
    </row>
    <row r="57750" spans="8:8">
      <c r="H57750" s="680" t="s">
        <v>6153</v>
      </c>
    </row>
    <row r="57751" spans="8:8">
      <c r="H57751" s="680" t="s">
        <v>6153</v>
      </c>
    </row>
    <row r="57752" spans="8:8">
      <c r="H57752" s="680" t="s">
        <v>6153</v>
      </c>
    </row>
    <row r="57753" spans="8:8">
      <c r="H57753" s="680" t="s">
        <v>6153</v>
      </c>
    </row>
    <row r="57754" spans="8:8">
      <c r="H57754" s="680" t="s">
        <v>6153</v>
      </c>
    </row>
    <row r="57755" spans="8:8">
      <c r="H57755" s="680" t="s">
        <v>6153</v>
      </c>
    </row>
    <row r="57756" spans="8:8">
      <c r="H57756" s="680" t="s">
        <v>6153</v>
      </c>
    </row>
    <row r="57757" spans="8:8">
      <c r="H57757" s="680" t="s">
        <v>6153</v>
      </c>
    </row>
    <row r="57758" spans="8:8">
      <c r="H57758" s="680" t="s">
        <v>6153</v>
      </c>
    </row>
    <row r="57759" spans="8:8">
      <c r="H57759" s="680" t="s">
        <v>6153</v>
      </c>
    </row>
    <row r="57760" spans="8:8">
      <c r="H57760" s="680" t="s">
        <v>6153</v>
      </c>
    </row>
    <row r="57761" spans="8:8">
      <c r="H57761" s="680" t="s">
        <v>6153</v>
      </c>
    </row>
    <row r="57762" spans="8:8">
      <c r="H57762" s="680" t="s">
        <v>6153</v>
      </c>
    </row>
    <row r="57763" spans="8:8">
      <c r="H57763" s="680" t="s">
        <v>6153</v>
      </c>
    </row>
    <row r="57764" spans="8:8">
      <c r="H57764" s="680" t="s">
        <v>6153</v>
      </c>
    </row>
    <row r="57765" spans="8:8">
      <c r="H57765" s="680" t="s">
        <v>6153</v>
      </c>
    </row>
    <row r="57766" spans="8:8">
      <c r="H57766" s="680" t="s">
        <v>6153</v>
      </c>
    </row>
    <row r="57767" spans="8:8">
      <c r="H57767" s="680" t="s">
        <v>6153</v>
      </c>
    </row>
    <row r="57768" spans="8:8">
      <c r="H57768" s="680" t="s">
        <v>6153</v>
      </c>
    </row>
    <row r="57769" spans="8:8">
      <c r="H57769" s="680" t="s">
        <v>6153</v>
      </c>
    </row>
    <row r="57770" spans="8:8">
      <c r="H57770" s="680" t="s">
        <v>6153</v>
      </c>
    </row>
    <row r="57771" spans="8:8">
      <c r="H57771" s="680" t="s">
        <v>6153</v>
      </c>
    </row>
    <row r="57772" spans="8:8">
      <c r="H57772" s="680" t="s">
        <v>6153</v>
      </c>
    </row>
    <row r="57773" spans="8:8">
      <c r="H57773" s="680" t="s">
        <v>6153</v>
      </c>
    </row>
    <row r="57774" spans="8:8">
      <c r="H57774" s="680" t="s">
        <v>6153</v>
      </c>
    </row>
    <row r="57775" spans="8:8">
      <c r="H57775" s="680" t="s">
        <v>6153</v>
      </c>
    </row>
    <row r="57776" spans="8:8">
      <c r="H57776" s="680" t="s">
        <v>6153</v>
      </c>
    </row>
    <row r="57777" spans="8:8">
      <c r="H57777" s="680" t="s">
        <v>6153</v>
      </c>
    </row>
    <row r="57778" spans="8:8">
      <c r="H57778" s="680" t="s">
        <v>6153</v>
      </c>
    </row>
    <row r="57779" spans="8:8">
      <c r="H57779" s="680" t="s">
        <v>6153</v>
      </c>
    </row>
    <row r="57780" spans="8:8">
      <c r="H57780" s="680" t="s">
        <v>6153</v>
      </c>
    </row>
    <row r="57781" spans="8:8">
      <c r="H57781" s="680" t="s">
        <v>6153</v>
      </c>
    </row>
    <row r="57782" spans="8:8">
      <c r="H57782" s="680" t="s">
        <v>6153</v>
      </c>
    </row>
    <row r="57783" spans="8:8">
      <c r="H57783" s="680" t="s">
        <v>6153</v>
      </c>
    </row>
    <row r="57784" spans="8:8">
      <c r="H57784" s="680" t="s">
        <v>6153</v>
      </c>
    </row>
    <row r="57785" spans="8:8">
      <c r="H57785" s="680" t="s">
        <v>6153</v>
      </c>
    </row>
    <row r="57786" spans="8:8">
      <c r="H57786" s="680" t="s">
        <v>6153</v>
      </c>
    </row>
    <row r="57787" spans="8:8">
      <c r="H57787" s="680" t="s">
        <v>6153</v>
      </c>
    </row>
    <row r="57788" spans="8:8">
      <c r="H57788" s="680" t="s">
        <v>6153</v>
      </c>
    </row>
    <row r="57789" spans="8:8">
      <c r="H57789" s="680" t="s">
        <v>6153</v>
      </c>
    </row>
    <row r="57790" spans="8:8">
      <c r="H57790" s="680" t="s">
        <v>6153</v>
      </c>
    </row>
    <row r="57791" spans="8:8">
      <c r="H57791" s="680" t="s">
        <v>6153</v>
      </c>
    </row>
    <row r="57792" spans="8:8">
      <c r="H57792" s="680" t="s">
        <v>6153</v>
      </c>
    </row>
    <row r="57793" spans="8:8">
      <c r="H57793" s="680" t="s">
        <v>6153</v>
      </c>
    </row>
    <row r="57794" spans="8:8">
      <c r="H57794" s="680" t="s">
        <v>6153</v>
      </c>
    </row>
    <row r="57795" spans="8:8">
      <c r="H57795" s="680" t="s">
        <v>6153</v>
      </c>
    </row>
    <row r="57796" spans="8:8">
      <c r="H57796" s="680" t="s">
        <v>6153</v>
      </c>
    </row>
    <row r="57797" spans="8:8">
      <c r="H57797" s="680" t="s">
        <v>6153</v>
      </c>
    </row>
    <row r="57798" spans="8:8">
      <c r="H57798" s="680" t="s">
        <v>6153</v>
      </c>
    </row>
    <row r="57799" spans="8:8">
      <c r="H57799" s="680" t="s">
        <v>6153</v>
      </c>
    </row>
    <row r="57800" spans="8:8">
      <c r="H57800" s="680" t="s">
        <v>6153</v>
      </c>
    </row>
    <row r="57801" spans="8:8">
      <c r="H57801" s="680" t="s">
        <v>6153</v>
      </c>
    </row>
    <row r="57802" spans="8:8">
      <c r="H57802" s="680" t="s">
        <v>6153</v>
      </c>
    </row>
    <row r="57803" spans="8:8">
      <c r="H57803" s="680" t="s">
        <v>6153</v>
      </c>
    </row>
    <row r="57804" spans="8:8">
      <c r="H57804" s="680" t="s">
        <v>6153</v>
      </c>
    </row>
    <row r="57805" spans="8:8">
      <c r="H57805" s="680" t="s">
        <v>6153</v>
      </c>
    </row>
    <row r="57806" spans="8:8">
      <c r="H57806" s="680" t="s">
        <v>6153</v>
      </c>
    </row>
    <row r="57807" spans="8:8">
      <c r="H57807" s="680" t="s">
        <v>6153</v>
      </c>
    </row>
    <row r="57808" spans="8:8">
      <c r="H57808" s="680" t="s">
        <v>6153</v>
      </c>
    </row>
    <row r="57809" spans="8:8">
      <c r="H57809" s="680" t="s">
        <v>6153</v>
      </c>
    </row>
    <row r="57810" spans="8:8">
      <c r="H57810" s="680" t="s">
        <v>6153</v>
      </c>
    </row>
    <row r="57811" spans="8:8">
      <c r="H57811" s="680" t="s">
        <v>6153</v>
      </c>
    </row>
    <row r="57812" spans="8:8">
      <c r="H57812" s="680" t="s">
        <v>6153</v>
      </c>
    </row>
    <row r="57813" spans="8:8">
      <c r="H57813" s="680" t="s">
        <v>6153</v>
      </c>
    </row>
    <row r="57814" spans="8:8">
      <c r="H57814" s="680" t="s">
        <v>6153</v>
      </c>
    </row>
    <row r="57815" spans="8:8">
      <c r="H57815" s="680" t="s">
        <v>6153</v>
      </c>
    </row>
    <row r="57816" spans="8:8">
      <c r="H57816" s="680" t="s">
        <v>6153</v>
      </c>
    </row>
    <row r="57817" spans="8:8">
      <c r="H57817" s="680" t="s">
        <v>6153</v>
      </c>
    </row>
    <row r="57818" spans="8:8">
      <c r="H57818" s="680" t="s">
        <v>6153</v>
      </c>
    </row>
    <row r="57819" spans="8:8">
      <c r="H57819" s="680" t="s">
        <v>6153</v>
      </c>
    </row>
    <row r="57820" spans="8:8">
      <c r="H57820" s="680" t="s">
        <v>6153</v>
      </c>
    </row>
    <row r="57821" spans="8:8">
      <c r="H57821" s="680" t="s">
        <v>6153</v>
      </c>
    </row>
    <row r="57822" spans="8:8">
      <c r="H57822" s="680" t="s">
        <v>6153</v>
      </c>
    </row>
    <row r="57823" spans="8:8">
      <c r="H57823" s="680" t="s">
        <v>6153</v>
      </c>
    </row>
    <row r="57824" spans="8:8">
      <c r="H57824" s="680" t="s">
        <v>6153</v>
      </c>
    </row>
    <row r="57825" spans="8:8">
      <c r="H57825" s="680" t="s">
        <v>6153</v>
      </c>
    </row>
    <row r="57826" spans="8:8">
      <c r="H57826" s="680" t="s">
        <v>6153</v>
      </c>
    </row>
    <row r="57827" spans="8:8">
      <c r="H57827" s="680" t="s">
        <v>6153</v>
      </c>
    </row>
    <row r="57828" spans="8:8">
      <c r="H57828" s="680" t="s">
        <v>6153</v>
      </c>
    </row>
    <row r="57829" spans="8:8">
      <c r="H57829" s="680" t="s">
        <v>6153</v>
      </c>
    </row>
    <row r="57830" spans="8:8">
      <c r="H57830" s="680" t="s">
        <v>6153</v>
      </c>
    </row>
    <row r="57831" spans="8:8">
      <c r="H57831" s="680" t="s">
        <v>6153</v>
      </c>
    </row>
    <row r="57832" spans="8:8">
      <c r="H57832" s="680" t="s">
        <v>6153</v>
      </c>
    </row>
    <row r="57833" spans="8:8">
      <c r="H57833" s="680" t="s">
        <v>6153</v>
      </c>
    </row>
    <row r="57834" spans="8:8">
      <c r="H57834" s="680" t="s">
        <v>6153</v>
      </c>
    </row>
    <row r="57835" spans="8:8">
      <c r="H57835" s="680" t="s">
        <v>6153</v>
      </c>
    </row>
    <row r="57836" spans="8:8">
      <c r="H57836" s="680" t="s">
        <v>6153</v>
      </c>
    </row>
    <row r="57837" spans="8:8">
      <c r="H57837" s="680" t="s">
        <v>6153</v>
      </c>
    </row>
    <row r="57838" spans="8:8">
      <c r="H57838" s="680" t="s">
        <v>6153</v>
      </c>
    </row>
    <row r="57839" spans="8:8">
      <c r="H57839" s="680" t="s">
        <v>6153</v>
      </c>
    </row>
    <row r="57840" spans="8:8">
      <c r="H57840" s="680" t="s">
        <v>6153</v>
      </c>
    </row>
    <row r="57841" spans="8:8">
      <c r="H57841" s="680" t="s">
        <v>6153</v>
      </c>
    </row>
    <row r="57842" spans="8:8">
      <c r="H57842" s="680" t="s">
        <v>6153</v>
      </c>
    </row>
    <row r="57843" spans="8:8">
      <c r="H57843" s="680" t="s">
        <v>6153</v>
      </c>
    </row>
    <row r="57844" spans="8:8">
      <c r="H57844" s="680" t="s">
        <v>6153</v>
      </c>
    </row>
    <row r="57845" spans="8:8">
      <c r="H57845" s="680" t="s">
        <v>6153</v>
      </c>
    </row>
    <row r="57846" spans="8:8">
      <c r="H57846" s="680" t="s">
        <v>6153</v>
      </c>
    </row>
    <row r="57847" spans="8:8">
      <c r="H57847" s="680" t="s">
        <v>6153</v>
      </c>
    </row>
    <row r="57848" spans="8:8">
      <c r="H57848" s="680" t="s">
        <v>6153</v>
      </c>
    </row>
    <row r="57849" spans="8:8">
      <c r="H57849" s="680" t="s">
        <v>6153</v>
      </c>
    </row>
    <row r="57850" spans="8:8">
      <c r="H57850" s="680" t="s">
        <v>6153</v>
      </c>
    </row>
    <row r="57851" spans="8:8">
      <c r="H57851" s="680" t="s">
        <v>6153</v>
      </c>
    </row>
    <row r="57852" spans="8:8">
      <c r="H57852" s="680" t="s">
        <v>6153</v>
      </c>
    </row>
    <row r="57853" spans="8:8">
      <c r="H57853" s="680" t="s">
        <v>6153</v>
      </c>
    </row>
    <row r="57854" spans="8:8">
      <c r="H57854" s="680" t="s">
        <v>6153</v>
      </c>
    </row>
    <row r="57855" spans="8:8">
      <c r="H57855" s="680" t="s">
        <v>6153</v>
      </c>
    </row>
    <row r="57856" spans="8:8">
      <c r="H57856" s="680" t="s">
        <v>6153</v>
      </c>
    </row>
    <row r="57857" spans="8:8">
      <c r="H57857" s="680" t="s">
        <v>6153</v>
      </c>
    </row>
    <row r="57858" spans="8:8">
      <c r="H57858" s="680" t="s">
        <v>6153</v>
      </c>
    </row>
    <row r="57859" spans="8:8">
      <c r="H57859" s="680" t="s">
        <v>6153</v>
      </c>
    </row>
    <row r="57860" spans="8:8">
      <c r="H57860" s="680" t="s">
        <v>6153</v>
      </c>
    </row>
    <row r="57861" spans="8:8">
      <c r="H57861" s="680" t="s">
        <v>6153</v>
      </c>
    </row>
    <row r="57862" spans="8:8">
      <c r="H57862" s="680" t="s">
        <v>6153</v>
      </c>
    </row>
    <row r="57863" spans="8:8">
      <c r="H57863" s="680" t="s">
        <v>6153</v>
      </c>
    </row>
    <row r="57864" spans="8:8">
      <c r="H57864" s="680" t="s">
        <v>6153</v>
      </c>
    </row>
    <row r="57865" spans="8:8">
      <c r="H57865" s="680" t="s">
        <v>6153</v>
      </c>
    </row>
    <row r="57866" spans="8:8">
      <c r="H57866" s="680" t="s">
        <v>6153</v>
      </c>
    </row>
    <row r="57867" spans="8:8">
      <c r="H57867" s="680" t="s">
        <v>6153</v>
      </c>
    </row>
    <row r="57868" spans="8:8">
      <c r="H57868" s="680" t="s">
        <v>6153</v>
      </c>
    </row>
    <row r="57869" spans="8:8">
      <c r="H57869" s="680" t="s">
        <v>6153</v>
      </c>
    </row>
    <row r="57870" spans="8:8">
      <c r="H57870" s="680" t="s">
        <v>6153</v>
      </c>
    </row>
    <row r="57871" spans="8:8">
      <c r="H57871" s="680" t="s">
        <v>6153</v>
      </c>
    </row>
    <row r="57872" spans="8:8">
      <c r="H57872" s="680" t="s">
        <v>6153</v>
      </c>
    </row>
    <row r="57873" spans="8:8">
      <c r="H57873" s="680" t="s">
        <v>6153</v>
      </c>
    </row>
    <row r="57874" spans="8:8">
      <c r="H57874" s="680" t="s">
        <v>6153</v>
      </c>
    </row>
    <row r="57875" spans="8:8">
      <c r="H57875" s="680" t="s">
        <v>6153</v>
      </c>
    </row>
    <row r="57876" spans="8:8">
      <c r="H57876" s="680" t="s">
        <v>6153</v>
      </c>
    </row>
    <row r="57877" spans="8:8">
      <c r="H57877" s="680" t="s">
        <v>6153</v>
      </c>
    </row>
    <row r="57878" spans="8:8">
      <c r="H57878" s="680" t="s">
        <v>6153</v>
      </c>
    </row>
    <row r="57879" spans="8:8">
      <c r="H57879" s="680" t="s">
        <v>6153</v>
      </c>
    </row>
    <row r="57880" spans="8:8">
      <c r="H57880" s="680" t="s">
        <v>6153</v>
      </c>
    </row>
    <row r="57881" spans="8:8">
      <c r="H57881" s="680" t="s">
        <v>6153</v>
      </c>
    </row>
    <row r="57882" spans="8:8">
      <c r="H57882" s="680" t="s">
        <v>6153</v>
      </c>
    </row>
    <row r="57883" spans="8:8">
      <c r="H57883" s="680" t="s">
        <v>6153</v>
      </c>
    </row>
    <row r="57884" spans="8:8">
      <c r="H57884" s="680" t="s">
        <v>6153</v>
      </c>
    </row>
    <row r="57885" spans="8:8">
      <c r="H57885" s="680" t="s">
        <v>6153</v>
      </c>
    </row>
    <row r="57886" spans="8:8">
      <c r="H57886" s="680" t="s">
        <v>6153</v>
      </c>
    </row>
    <row r="57887" spans="8:8">
      <c r="H57887" s="680" t="s">
        <v>6153</v>
      </c>
    </row>
    <row r="57888" spans="8:8">
      <c r="H57888" s="680" t="s">
        <v>6153</v>
      </c>
    </row>
    <row r="57889" spans="8:8">
      <c r="H57889" s="680" t="s">
        <v>6153</v>
      </c>
    </row>
    <row r="57890" spans="8:8">
      <c r="H57890" s="680" t="s">
        <v>6153</v>
      </c>
    </row>
    <row r="57891" spans="8:8">
      <c r="H57891" s="680" t="s">
        <v>6153</v>
      </c>
    </row>
    <row r="57892" spans="8:8">
      <c r="H57892" s="680" t="s">
        <v>6153</v>
      </c>
    </row>
    <row r="57893" spans="8:8">
      <c r="H57893" s="680" t="s">
        <v>6153</v>
      </c>
    </row>
    <row r="57894" spans="8:8">
      <c r="H57894" s="680" t="s">
        <v>6153</v>
      </c>
    </row>
    <row r="57895" spans="8:8">
      <c r="H57895" s="680" t="s">
        <v>6153</v>
      </c>
    </row>
    <row r="57896" spans="8:8">
      <c r="H57896" s="680" t="s">
        <v>6153</v>
      </c>
    </row>
    <row r="57897" spans="8:8">
      <c r="H57897" s="680" t="s">
        <v>6153</v>
      </c>
    </row>
    <row r="57898" spans="8:8">
      <c r="H57898" s="680" t="s">
        <v>6153</v>
      </c>
    </row>
    <row r="57899" spans="8:8">
      <c r="H57899" s="680" t="s">
        <v>6153</v>
      </c>
    </row>
    <row r="57900" spans="8:8">
      <c r="H57900" s="680" t="s">
        <v>6153</v>
      </c>
    </row>
    <row r="57901" spans="8:8">
      <c r="H57901" s="680" t="s">
        <v>6153</v>
      </c>
    </row>
    <row r="57902" spans="8:8">
      <c r="H57902" s="680" t="s">
        <v>6153</v>
      </c>
    </row>
    <row r="57903" spans="8:8">
      <c r="H57903" s="680" t="s">
        <v>6153</v>
      </c>
    </row>
    <row r="57904" spans="8:8">
      <c r="H57904" s="680" t="s">
        <v>6153</v>
      </c>
    </row>
    <row r="57905" spans="8:8">
      <c r="H57905" s="680" t="s">
        <v>6153</v>
      </c>
    </row>
    <row r="57906" spans="8:8">
      <c r="H57906" s="680" t="s">
        <v>6153</v>
      </c>
    </row>
    <row r="57907" spans="8:8">
      <c r="H57907" s="680" t="s">
        <v>6153</v>
      </c>
    </row>
    <row r="57908" spans="8:8">
      <c r="H57908" s="680" t="s">
        <v>6153</v>
      </c>
    </row>
    <row r="57909" spans="8:8">
      <c r="H57909" s="680" t="s">
        <v>6153</v>
      </c>
    </row>
    <row r="57910" spans="8:8">
      <c r="H57910" s="680" t="s">
        <v>6153</v>
      </c>
    </row>
    <row r="57911" spans="8:8">
      <c r="H57911" s="680" t="s">
        <v>6153</v>
      </c>
    </row>
    <row r="57912" spans="8:8">
      <c r="H57912" s="680" t="s">
        <v>6153</v>
      </c>
    </row>
    <row r="57913" spans="8:8">
      <c r="H57913" s="680" t="s">
        <v>6153</v>
      </c>
    </row>
    <row r="57914" spans="8:8">
      <c r="H57914" s="680" t="s">
        <v>6153</v>
      </c>
    </row>
    <row r="57915" spans="8:8">
      <c r="H57915" s="680" t="s">
        <v>6153</v>
      </c>
    </row>
    <row r="57916" spans="8:8">
      <c r="H57916" s="680" t="s">
        <v>6153</v>
      </c>
    </row>
    <row r="57917" spans="8:8">
      <c r="H57917" s="680" t="s">
        <v>6153</v>
      </c>
    </row>
    <row r="57918" spans="8:8">
      <c r="H57918" s="680" t="s">
        <v>6153</v>
      </c>
    </row>
    <row r="57919" spans="8:8">
      <c r="H57919" s="680" t="s">
        <v>6153</v>
      </c>
    </row>
    <row r="57920" spans="8:8">
      <c r="H57920" s="680" t="s">
        <v>6153</v>
      </c>
    </row>
    <row r="57921" spans="8:8">
      <c r="H57921" s="680" t="s">
        <v>6153</v>
      </c>
    </row>
    <row r="57922" spans="8:8">
      <c r="H57922" s="680" t="s">
        <v>6153</v>
      </c>
    </row>
    <row r="57923" spans="8:8">
      <c r="H57923" s="680" t="s">
        <v>6153</v>
      </c>
    </row>
    <row r="57924" spans="8:8">
      <c r="H57924" s="680" t="s">
        <v>6153</v>
      </c>
    </row>
    <row r="57925" spans="8:8">
      <c r="H57925" s="680" t="s">
        <v>6153</v>
      </c>
    </row>
    <row r="57926" spans="8:8">
      <c r="H57926" s="680" t="s">
        <v>6153</v>
      </c>
    </row>
    <row r="57927" spans="8:8">
      <c r="H57927" s="680" t="s">
        <v>6153</v>
      </c>
    </row>
    <row r="57928" spans="8:8">
      <c r="H57928" s="680" t="s">
        <v>6153</v>
      </c>
    </row>
    <row r="57929" spans="8:8">
      <c r="H57929" s="680" t="s">
        <v>6153</v>
      </c>
    </row>
    <row r="57930" spans="8:8">
      <c r="H57930" s="680" t="s">
        <v>6153</v>
      </c>
    </row>
    <row r="57931" spans="8:8">
      <c r="H57931" s="680" t="s">
        <v>6153</v>
      </c>
    </row>
    <row r="57932" spans="8:8">
      <c r="H57932" s="680" t="s">
        <v>6153</v>
      </c>
    </row>
    <row r="57933" spans="8:8">
      <c r="H57933" s="680" t="s">
        <v>6153</v>
      </c>
    </row>
    <row r="57934" spans="8:8">
      <c r="H57934" s="680" t="s">
        <v>6153</v>
      </c>
    </row>
    <row r="57935" spans="8:8">
      <c r="H57935" s="680" t="s">
        <v>6153</v>
      </c>
    </row>
    <row r="57936" spans="8:8">
      <c r="H57936" s="680" t="s">
        <v>6153</v>
      </c>
    </row>
    <row r="57937" spans="8:8">
      <c r="H57937" s="680" t="s">
        <v>6153</v>
      </c>
    </row>
    <row r="57938" spans="8:8">
      <c r="H57938" s="680" t="s">
        <v>6153</v>
      </c>
    </row>
    <row r="57939" spans="8:8">
      <c r="H57939" s="680" t="s">
        <v>6153</v>
      </c>
    </row>
    <row r="57940" spans="8:8">
      <c r="H57940" s="680" t="s">
        <v>6153</v>
      </c>
    </row>
    <row r="57941" spans="8:8">
      <c r="H57941" s="680" t="s">
        <v>6153</v>
      </c>
    </row>
    <row r="57942" spans="8:8">
      <c r="H57942" s="680" t="s">
        <v>6153</v>
      </c>
    </row>
    <row r="57943" spans="8:8">
      <c r="H57943" s="680" t="s">
        <v>6153</v>
      </c>
    </row>
    <row r="57944" spans="8:8">
      <c r="H57944" s="680" t="s">
        <v>6153</v>
      </c>
    </row>
    <row r="57945" spans="8:8">
      <c r="H57945" s="680" t="s">
        <v>6153</v>
      </c>
    </row>
    <row r="57946" spans="8:8">
      <c r="H57946" s="680" t="s">
        <v>6153</v>
      </c>
    </row>
    <row r="57947" spans="8:8">
      <c r="H57947" s="680" t="s">
        <v>6153</v>
      </c>
    </row>
    <row r="57948" spans="8:8">
      <c r="H57948" s="680" t="s">
        <v>6153</v>
      </c>
    </row>
    <row r="57949" spans="8:8">
      <c r="H57949" s="680" t="s">
        <v>6153</v>
      </c>
    </row>
    <row r="57950" spans="8:8">
      <c r="H57950" s="680" t="s">
        <v>6153</v>
      </c>
    </row>
    <row r="57951" spans="8:8">
      <c r="H57951" s="680" t="s">
        <v>6153</v>
      </c>
    </row>
    <row r="57952" spans="8:8">
      <c r="H57952" s="680" t="s">
        <v>6153</v>
      </c>
    </row>
    <row r="57953" spans="8:8">
      <c r="H57953" s="680" t="s">
        <v>6153</v>
      </c>
    </row>
    <row r="57954" spans="8:8">
      <c r="H57954" s="680" t="s">
        <v>6153</v>
      </c>
    </row>
    <row r="57955" spans="8:8">
      <c r="H57955" s="680" t="s">
        <v>6153</v>
      </c>
    </row>
    <row r="57956" spans="8:8">
      <c r="H57956" s="680" t="s">
        <v>6153</v>
      </c>
    </row>
    <row r="57957" spans="8:8">
      <c r="H57957" s="680" t="s">
        <v>6153</v>
      </c>
    </row>
    <row r="57958" spans="8:8">
      <c r="H57958" s="680" t="s">
        <v>6153</v>
      </c>
    </row>
    <row r="57959" spans="8:8">
      <c r="H57959" s="680" t="s">
        <v>6153</v>
      </c>
    </row>
    <row r="57960" spans="8:8">
      <c r="H57960" s="680" t="s">
        <v>6153</v>
      </c>
    </row>
    <row r="57961" spans="8:8">
      <c r="H57961" s="680" t="s">
        <v>6153</v>
      </c>
    </row>
    <row r="57962" spans="8:8">
      <c r="H57962" s="680" t="s">
        <v>6153</v>
      </c>
    </row>
    <row r="57963" spans="8:8">
      <c r="H57963" s="680" t="s">
        <v>6153</v>
      </c>
    </row>
    <row r="57964" spans="8:8">
      <c r="H57964" s="680" t="s">
        <v>6153</v>
      </c>
    </row>
    <row r="57965" spans="8:8">
      <c r="H57965" s="680" t="s">
        <v>6153</v>
      </c>
    </row>
    <row r="57966" spans="8:8">
      <c r="H57966" s="680" t="s">
        <v>6153</v>
      </c>
    </row>
    <row r="57967" spans="8:8">
      <c r="H57967" s="680" t="s">
        <v>6153</v>
      </c>
    </row>
    <row r="57968" spans="8:8">
      <c r="H57968" s="680" t="s">
        <v>6153</v>
      </c>
    </row>
    <row r="57969" spans="8:8">
      <c r="H57969" s="680" t="s">
        <v>6153</v>
      </c>
    </row>
    <row r="57970" spans="8:8">
      <c r="H57970" s="680" t="s">
        <v>6153</v>
      </c>
    </row>
    <row r="57971" spans="8:8">
      <c r="H57971" s="680" t="s">
        <v>6153</v>
      </c>
    </row>
    <row r="57972" spans="8:8">
      <c r="H57972" s="680" t="s">
        <v>6153</v>
      </c>
    </row>
    <row r="57973" spans="8:8">
      <c r="H57973" s="680" t="s">
        <v>6153</v>
      </c>
    </row>
    <row r="57974" spans="8:8">
      <c r="H57974" s="680" t="s">
        <v>6153</v>
      </c>
    </row>
    <row r="57975" spans="8:8">
      <c r="H57975" s="680" t="s">
        <v>6153</v>
      </c>
    </row>
    <row r="57976" spans="8:8">
      <c r="H57976" s="680" t="s">
        <v>6153</v>
      </c>
    </row>
    <row r="57977" spans="8:8">
      <c r="H57977" s="680" t="s">
        <v>6153</v>
      </c>
    </row>
    <row r="57978" spans="8:8">
      <c r="H57978" s="680" t="s">
        <v>6153</v>
      </c>
    </row>
    <row r="57979" spans="8:8">
      <c r="H57979" s="680" t="s">
        <v>6153</v>
      </c>
    </row>
    <row r="57980" spans="8:8">
      <c r="H57980" s="680" t="s">
        <v>6153</v>
      </c>
    </row>
    <row r="57981" spans="8:8">
      <c r="H57981" s="680" t="s">
        <v>6153</v>
      </c>
    </row>
    <row r="57982" spans="8:8">
      <c r="H57982" s="680" t="s">
        <v>6153</v>
      </c>
    </row>
    <row r="57983" spans="8:8">
      <c r="H57983" s="680" t="s">
        <v>6153</v>
      </c>
    </row>
    <row r="57984" spans="8:8">
      <c r="H57984" s="680" t="s">
        <v>6153</v>
      </c>
    </row>
    <row r="57985" spans="8:8">
      <c r="H57985" s="680" t="s">
        <v>6153</v>
      </c>
    </row>
    <row r="57986" spans="8:8">
      <c r="H57986" s="680" t="s">
        <v>6153</v>
      </c>
    </row>
    <row r="57987" spans="8:8">
      <c r="H57987" s="680" t="s">
        <v>6153</v>
      </c>
    </row>
    <row r="57988" spans="8:8">
      <c r="H57988" s="680" t="s">
        <v>6153</v>
      </c>
    </row>
    <row r="57989" spans="8:8">
      <c r="H57989" s="680" t="s">
        <v>6153</v>
      </c>
    </row>
    <row r="57990" spans="8:8">
      <c r="H57990" s="680" t="s">
        <v>6153</v>
      </c>
    </row>
    <row r="57991" spans="8:8">
      <c r="H57991" s="680" t="s">
        <v>6153</v>
      </c>
    </row>
    <row r="57992" spans="8:8">
      <c r="H57992" s="680" t="s">
        <v>6153</v>
      </c>
    </row>
    <row r="57993" spans="8:8">
      <c r="H57993" s="680" t="s">
        <v>6153</v>
      </c>
    </row>
    <row r="57994" spans="8:8">
      <c r="H57994" s="680" t="s">
        <v>6153</v>
      </c>
    </row>
    <row r="57995" spans="8:8">
      <c r="H57995" s="680" t="s">
        <v>6153</v>
      </c>
    </row>
    <row r="57996" spans="8:8">
      <c r="H57996" s="680" t="s">
        <v>6153</v>
      </c>
    </row>
    <row r="57997" spans="8:8">
      <c r="H57997" s="680" t="s">
        <v>6153</v>
      </c>
    </row>
    <row r="57998" spans="8:8">
      <c r="H57998" s="680" t="s">
        <v>6153</v>
      </c>
    </row>
    <row r="57999" spans="8:8">
      <c r="H57999" s="680" t="s">
        <v>6153</v>
      </c>
    </row>
    <row r="58000" spans="8:8">
      <c r="H58000" s="680" t="s">
        <v>6153</v>
      </c>
    </row>
    <row r="58001" spans="8:8">
      <c r="H58001" s="680" t="s">
        <v>6153</v>
      </c>
    </row>
    <row r="58002" spans="8:8">
      <c r="H58002" s="680" t="s">
        <v>6153</v>
      </c>
    </row>
    <row r="58003" spans="8:8">
      <c r="H58003" s="680" t="s">
        <v>6153</v>
      </c>
    </row>
    <row r="58004" spans="8:8">
      <c r="H58004" s="680" t="s">
        <v>6153</v>
      </c>
    </row>
    <row r="58005" spans="8:8">
      <c r="H58005" s="680" t="s">
        <v>6153</v>
      </c>
    </row>
    <row r="58006" spans="8:8">
      <c r="H58006" s="680" t="s">
        <v>6153</v>
      </c>
    </row>
    <row r="58007" spans="8:8">
      <c r="H58007" s="680" t="s">
        <v>6153</v>
      </c>
    </row>
    <row r="58008" spans="8:8">
      <c r="H58008" s="680" t="s">
        <v>6153</v>
      </c>
    </row>
    <row r="58009" spans="8:8">
      <c r="H58009" s="680" t="s">
        <v>6153</v>
      </c>
    </row>
    <row r="58010" spans="8:8">
      <c r="H58010" s="680" t="s">
        <v>6153</v>
      </c>
    </row>
    <row r="58011" spans="8:8">
      <c r="H58011" s="680" t="s">
        <v>6153</v>
      </c>
    </row>
    <row r="58012" spans="8:8">
      <c r="H58012" s="680" t="s">
        <v>6153</v>
      </c>
    </row>
    <row r="58013" spans="8:8">
      <c r="H58013" s="680" t="s">
        <v>6153</v>
      </c>
    </row>
    <row r="58014" spans="8:8">
      <c r="H58014" s="680" t="s">
        <v>6153</v>
      </c>
    </row>
    <row r="58015" spans="8:8">
      <c r="H58015" s="680" t="s">
        <v>6153</v>
      </c>
    </row>
    <row r="58016" spans="8:8">
      <c r="H58016" s="680" t="s">
        <v>6153</v>
      </c>
    </row>
    <row r="58017" spans="8:8">
      <c r="H58017" s="680" t="s">
        <v>6153</v>
      </c>
    </row>
    <row r="58018" spans="8:8">
      <c r="H58018" s="680" t="s">
        <v>6153</v>
      </c>
    </row>
    <row r="58019" spans="8:8">
      <c r="H58019" s="680" t="s">
        <v>6153</v>
      </c>
    </row>
    <row r="58020" spans="8:8">
      <c r="H58020" s="680" t="s">
        <v>6153</v>
      </c>
    </row>
    <row r="58021" spans="8:8">
      <c r="H58021" s="680" t="s">
        <v>6153</v>
      </c>
    </row>
    <row r="58022" spans="8:8">
      <c r="H58022" s="680" t="s">
        <v>6153</v>
      </c>
    </row>
    <row r="58023" spans="8:8">
      <c r="H58023" s="680" t="s">
        <v>6153</v>
      </c>
    </row>
    <row r="58024" spans="8:8">
      <c r="H58024" s="680" t="s">
        <v>6153</v>
      </c>
    </row>
    <row r="58025" spans="8:8">
      <c r="H58025" s="680" t="s">
        <v>6153</v>
      </c>
    </row>
    <row r="58026" spans="8:8">
      <c r="H58026" s="680" t="s">
        <v>6153</v>
      </c>
    </row>
    <row r="58027" spans="8:8">
      <c r="H58027" s="680" t="s">
        <v>6153</v>
      </c>
    </row>
    <row r="58028" spans="8:8">
      <c r="H58028" s="680" t="s">
        <v>6153</v>
      </c>
    </row>
    <row r="58029" spans="8:8">
      <c r="H58029" s="680" t="s">
        <v>6153</v>
      </c>
    </row>
    <row r="58030" spans="8:8">
      <c r="H58030" s="680" t="s">
        <v>6153</v>
      </c>
    </row>
    <row r="58031" spans="8:8">
      <c r="H58031" s="680" t="s">
        <v>6153</v>
      </c>
    </row>
    <row r="58032" spans="8:8">
      <c r="H58032" s="680" t="s">
        <v>6153</v>
      </c>
    </row>
    <row r="58033" spans="8:8">
      <c r="H58033" s="680" t="s">
        <v>6153</v>
      </c>
    </row>
    <row r="58034" spans="8:8">
      <c r="H58034" s="680" t="s">
        <v>6153</v>
      </c>
    </row>
    <row r="58035" spans="8:8">
      <c r="H58035" s="680" t="s">
        <v>6153</v>
      </c>
    </row>
    <row r="58036" spans="8:8">
      <c r="H58036" s="680" t="s">
        <v>6153</v>
      </c>
    </row>
    <row r="58037" spans="8:8">
      <c r="H58037" s="680" t="s">
        <v>6153</v>
      </c>
    </row>
    <row r="58038" spans="8:8">
      <c r="H58038" s="680" t="s">
        <v>6153</v>
      </c>
    </row>
    <row r="58039" spans="8:8">
      <c r="H58039" s="680" t="s">
        <v>6153</v>
      </c>
    </row>
    <row r="58040" spans="8:8">
      <c r="H58040" s="680" t="s">
        <v>6153</v>
      </c>
    </row>
    <row r="58041" spans="8:8">
      <c r="H58041" s="680" t="s">
        <v>6153</v>
      </c>
    </row>
    <row r="58042" spans="8:8">
      <c r="H58042" s="680" t="s">
        <v>6153</v>
      </c>
    </row>
    <row r="58043" spans="8:8">
      <c r="H58043" s="680" t="s">
        <v>6153</v>
      </c>
    </row>
    <row r="58044" spans="8:8">
      <c r="H58044" s="680" t="s">
        <v>6153</v>
      </c>
    </row>
    <row r="58045" spans="8:8">
      <c r="H58045" s="680" t="s">
        <v>6153</v>
      </c>
    </row>
    <row r="58046" spans="8:8">
      <c r="H58046" s="680" t="s">
        <v>6153</v>
      </c>
    </row>
    <row r="58047" spans="8:8">
      <c r="H58047" s="680" t="s">
        <v>6153</v>
      </c>
    </row>
    <row r="58048" spans="8:8">
      <c r="H58048" s="680" t="s">
        <v>6153</v>
      </c>
    </row>
    <row r="58049" spans="8:8">
      <c r="H58049" s="680" t="s">
        <v>6153</v>
      </c>
    </row>
    <row r="58050" spans="8:8">
      <c r="H58050" s="680" t="s">
        <v>6153</v>
      </c>
    </row>
    <row r="58051" spans="8:8">
      <c r="H58051" s="680" t="s">
        <v>6153</v>
      </c>
    </row>
    <row r="58052" spans="8:8">
      <c r="H58052" s="680" t="s">
        <v>6153</v>
      </c>
    </row>
    <row r="58053" spans="8:8">
      <c r="H58053" s="680" t="s">
        <v>6153</v>
      </c>
    </row>
    <row r="58054" spans="8:8">
      <c r="H58054" s="680" t="s">
        <v>6153</v>
      </c>
    </row>
    <row r="58055" spans="8:8">
      <c r="H58055" s="680" t="s">
        <v>6153</v>
      </c>
    </row>
    <row r="58056" spans="8:8">
      <c r="H58056" s="680" t="s">
        <v>6153</v>
      </c>
    </row>
    <row r="58057" spans="8:8">
      <c r="H58057" s="680" t="s">
        <v>6153</v>
      </c>
    </row>
    <row r="58058" spans="8:8">
      <c r="H58058" s="680" t="s">
        <v>6153</v>
      </c>
    </row>
    <row r="58059" spans="8:8">
      <c r="H58059" s="680" t="s">
        <v>6153</v>
      </c>
    </row>
    <row r="58060" spans="8:8">
      <c r="H58060" s="680" t="s">
        <v>6153</v>
      </c>
    </row>
    <row r="58061" spans="8:8">
      <c r="H58061" s="680" t="s">
        <v>6153</v>
      </c>
    </row>
    <row r="58062" spans="8:8">
      <c r="H58062" s="680" t="s">
        <v>6153</v>
      </c>
    </row>
    <row r="58063" spans="8:8">
      <c r="H58063" s="680" t="s">
        <v>6153</v>
      </c>
    </row>
    <row r="58064" spans="8:8">
      <c r="H58064" s="680" t="s">
        <v>6153</v>
      </c>
    </row>
    <row r="58065" spans="8:8">
      <c r="H58065" s="680" t="s">
        <v>6153</v>
      </c>
    </row>
    <row r="58066" spans="8:8">
      <c r="H58066" s="680" t="s">
        <v>6153</v>
      </c>
    </row>
    <row r="58067" spans="8:8">
      <c r="H58067" s="680" t="s">
        <v>6153</v>
      </c>
    </row>
    <row r="58068" spans="8:8">
      <c r="H58068" s="680" t="s">
        <v>6153</v>
      </c>
    </row>
    <row r="58069" spans="8:8">
      <c r="H58069" s="680" t="s">
        <v>6153</v>
      </c>
    </row>
    <row r="58070" spans="8:8">
      <c r="H58070" s="680" t="s">
        <v>6153</v>
      </c>
    </row>
    <row r="58071" spans="8:8">
      <c r="H58071" s="680" t="s">
        <v>6153</v>
      </c>
    </row>
    <row r="58072" spans="8:8">
      <c r="H58072" s="680" t="s">
        <v>6153</v>
      </c>
    </row>
    <row r="58073" spans="8:8">
      <c r="H58073" s="680" t="s">
        <v>6153</v>
      </c>
    </row>
    <row r="58074" spans="8:8">
      <c r="H58074" s="680" t="s">
        <v>6153</v>
      </c>
    </row>
    <row r="58075" spans="8:8">
      <c r="H58075" s="680" t="s">
        <v>6153</v>
      </c>
    </row>
    <row r="58076" spans="8:8">
      <c r="H58076" s="680" t="s">
        <v>6153</v>
      </c>
    </row>
    <row r="58077" spans="8:8">
      <c r="H58077" s="680" t="s">
        <v>6153</v>
      </c>
    </row>
    <row r="58078" spans="8:8">
      <c r="H58078" s="680" t="s">
        <v>6153</v>
      </c>
    </row>
    <row r="58079" spans="8:8">
      <c r="H58079" s="680" t="s">
        <v>6153</v>
      </c>
    </row>
    <row r="58080" spans="8:8">
      <c r="H58080" s="680" t="s">
        <v>6153</v>
      </c>
    </row>
    <row r="58081" spans="8:8">
      <c r="H58081" s="680" t="s">
        <v>6153</v>
      </c>
    </row>
    <row r="58082" spans="8:8">
      <c r="H58082" s="680" t="s">
        <v>6153</v>
      </c>
    </row>
    <row r="58083" spans="8:8">
      <c r="H58083" s="680" t="s">
        <v>6153</v>
      </c>
    </row>
    <row r="58084" spans="8:8">
      <c r="H58084" s="680" t="s">
        <v>6153</v>
      </c>
    </row>
    <row r="58085" spans="8:8">
      <c r="H58085" s="680" t="s">
        <v>6153</v>
      </c>
    </row>
    <row r="58086" spans="8:8">
      <c r="H58086" s="680" t="s">
        <v>6153</v>
      </c>
    </row>
    <row r="58087" spans="8:8">
      <c r="H58087" s="680" t="s">
        <v>6153</v>
      </c>
    </row>
    <row r="58088" spans="8:8">
      <c r="H58088" s="680" t="s">
        <v>6153</v>
      </c>
    </row>
    <row r="58089" spans="8:8">
      <c r="H58089" s="680" t="s">
        <v>6153</v>
      </c>
    </row>
    <row r="58090" spans="8:8">
      <c r="H58090" s="680" t="s">
        <v>6153</v>
      </c>
    </row>
    <row r="58091" spans="8:8">
      <c r="H58091" s="680" t="s">
        <v>6153</v>
      </c>
    </row>
    <row r="58092" spans="8:8">
      <c r="H58092" s="680" t="s">
        <v>6153</v>
      </c>
    </row>
    <row r="58093" spans="8:8">
      <c r="H58093" s="680" t="s">
        <v>6153</v>
      </c>
    </row>
    <row r="58094" spans="8:8">
      <c r="H58094" s="680" t="s">
        <v>6153</v>
      </c>
    </row>
    <row r="58095" spans="8:8">
      <c r="H58095" s="680" t="s">
        <v>6153</v>
      </c>
    </row>
    <row r="58096" spans="8:8">
      <c r="H58096" s="680" t="s">
        <v>6153</v>
      </c>
    </row>
    <row r="58097" spans="8:8">
      <c r="H58097" s="680" t="s">
        <v>6153</v>
      </c>
    </row>
    <row r="58098" spans="8:8">
      <c r="H58098" s="680" t="s">
        <v>6153</v>
      </c>
    </row>
    <row r="58099" spans="8:8">
      <c r="H58099" s="680" t="s">
        <v>6153</v>
      </c>
    </row>
    <row r="58100" spans="8:8">
      <c r="H58100" s="680" t="s">
        <v>6153</v>
      </c>
    </row>
    <row r="58101" spans="8:8">
      <c r="H58101" s="680" t="s">
        <v>6153</v>
      </c>
    </row>
    <row r="58102" spans="8:8">
      <c r="H58102" s="680" t="s">
        <v>6153</v>
      </c>
    </row>
    <row r="58103" spans="8:8">
      <c r="H58103" s="680" t="s">
        <v>6153</v>
      </c>
    </row>
    <row r="58104" spans="8:8">
      <c r="H58104" s="680" t="s">
        <v>6153</v>
      </c>
    </row>
    <row r="58105" spans="8:8">
      <c r="H58105" s="680" t="s">
        <v>6153</v>
      </c>
    </row>
    <row r="58106" spans="8:8">
      <c r="H58106" s="680" t="s">
        <v>6153</v>
      </c>
    </row>
    <row r="58107" spans="8:8">
      <c r="H58107" s="680" t="s">
        <v>6153</v>
      </c>
    </row>
    <row r="58108" spans="8:8">
      <c r="H58108" s="680" t="s">
        <v>6153</v>
      </c>
    </row>
    <row r="58109" spans="8:8">
      <c r="H58109" s="680" t="s">
        <v>6153</v>
      </c>
    </row>
    <row r="58110" spans="8:8">
      <c r="H58110" s="680" t="s">
        <v>6153</v>
      </c>
    </row>
    <row r="58111" spans="8:8">
      <c r="H58111" s="680" t="s">
        <v>6153</v>
      </c>
    </row>
    <row r="58112" spans="8:8">
      <c r="H58112" s="680" t="s">
        <v>6153</v>
      </c>
    </row>
    <row r="58113" spans="8:8">
      <c r="H58113" s="680" t="s">
        <v>6153</v>
      </c>
    </row>
    <row r="58114" spans="8:8">
      <c r="H58114" s="680" t="s">
        <v>6153</v>
      </c>
    </row>
    <row r="58115" spans="8:8">
      <c r="H58115" s="680" t="s">
        <v>6153</v>
      </c>
    </row>
    <row r="58116" spans="8:8">
      <c r="H58116" s="680" t="s">
        <v>6153</v>
      </c>
    </row>
    <row r="58117" spans="8:8">
      <c r="H58117" s="680" t="s">
        <v>6153</v>
      </c>
    </row>
    <row r="58118" spans="8:8">
      <c r="H58118" s="680" t="s">
        <v>6153</v>
      </c>
    </row>
    <row r="58119" spans="8:8">
      <c r="H58119" s="680" t="s">
        <v>6153</v>
      </c>
    </row>
    <row r="58120" spans="8:8">
      <c r="H58120" s="680" t="s">
        <v>6153</v>
      </c>
    </row>
    <row r="58121" spans="8:8">
      <c r="H58121" s="680" t="s">
        <v>6153</v>
      </c>
    </row>
    <row r="58122" spans="8:8">
      <c r="H58122" s="680" t="s">
        <v>6153</v>
      </c>
    </row>
    <row r="58123" spans="8:8">
      <c r="H58123" s="680" t="s">
        <v>6153</v>
      </c>
    </row>
    <row r="58124" spans="8:8">
      <c r="H58124" s="680" t="s">
        <v>6153</v>
      </c>
    </row>
    <row r="58125" spans="8:8">
      <c r="H58125" s="680" t="s">
        <v>6153</v>
      </c>
    </row>
    <row r="58126" spans="8:8">
      <c r="H58126" s="680" t="s">
        <v>6153</v>
      </c>
    </row>
    <row r="58127" spans="8:8">
      <c r="H58127" s="680" t="s">
        <v>6153</v>
      </c>
    </row>
    <row r="58128" spans="8:8">
      <c r="H58128" s="680" t="s">
        <v>6153</v>
      </c>
    </row>
    <row r="58129" spans="8:8">
      <c r="H58129" s="680" t="s">
        <v>6153</v>
      </c>
    </row>
    <row r="58130" spans="8:8">
      <c r="H58130" s="680" t="s">
        <v>6153</v>
      </c>
    </row>
    <row r="58131" spans="8:8">
      <c r="H58131" s="680" t="s">
        <v>6153</v>
      </c>
    </row>
    <row r="58132" spans="8:8">
      <c r="H58132" s="680" t="s">
        <v>6153</v>
      </c>
    </row>
    <row r="58133" spans="8:8">
      <c r="H58133" s="680" t="s">
        <v>6153</v>
      </c>
    </row>
    <row r="58134" spans="8:8">
      <c r="H58134" s="680" t="s">
        <v>6153</v>
      </c>
    </row>
    <row r="58135" spans="8:8">
      <c r="H58135" s="680" t="s">
        <v>6153</v>
      </c>
    </row>
    <row r="58136" spans="8:8">
      <c r="H58136" s="680" t="s">
        <v>6153</v>
      </c>
    </row>
    <row r="58137" spans="8:8">
      <c r="H58137" s="680" t="s">
        <v>6153</v>
      </c>
    </row>
    <row r="58138" spans="8:8">
      <c r="H58138" s="680" t="s">
        <v>6153</v>
      </c>
    </row>
    <row r="58139" spans="8:8">
      <c r="H58139" s="680" t="s">
        <v>6153</v>
      </c>
    </row>
    <row r="58140" spans="8:8">
      <c r="H58140" s="680" t="s">
        <v>6153</v>
      </c>
    </row>
    <row r="58141" spans="8:8">
      <c r="H58141" s="680" t="s">
        <v>6153</v>
      </c>
    </row>
    <row r="58142" spans="8:8">
      <c r="H58142" s="680" t="s">
        <v>6153</v>
      </c>
    </row>
    <row r="58143" spans="8:8">
      <c r="H58143" s="680" t="s">
        <v>6153</v>
      </c>
    </row>
    <row r="58144" spans="8:8">
      <c r="H58144" s="680" t="s">
        <v>6153</v>
      </c>
    </row>
    <row r="58145" spans="8:8">
      <c r="H58145" s="680" t="s">
        <v>6153</v>
      </c>
    </row>
    <row r="58146" spans="8:8">
      <c r="H58146" s="680" t="s">
        <v>6153</v>
      </c>
    </row>
    <row r="58147" spans="8:8">
      <c r="H58147" s="680" t="s">
        <v>6153</v>
      </c>
    </row>
    <row r="58148" spans="8:8">
      <c r="H58148" s="680" t="s">
        <v>6153</v>
      </c>
    </row>
    <row r="58149" spans="8:8">
      <c r="H58149" s="680" t="s">
        <v>6153</v>
      </c>
    </row>
    <row r="58150" spans="8:8">
      <c r="H58150" s="680" t="s">
        <v>6153</v>
      </c>
    </row>
    <row r="58151" spans="8:8">
      <c r="H58151" s="680" t="s">
        <v>6153</v>
      </c>
    </row>
    <row r="58152" spans="8:8">
      <c r="H58152" s="680" t="s">
        <v>6153</v>
      </c>
    </row>
    <row r="58153" spans="8:8">
      <c r="H58153" s="680" t="s">
        <v>6153</v>
      </c>
    </row>
    <row r="58154" spans="8:8">
      <c r="H58154" s="680" t="s">
        <v>6153</v>
      </c>
    </row>
    <row r="58155" spans="8:8">
      <c r="H58155" s="680" t="s">
        <v>6153</v>
      </c>
    </row>
    <row r="58156" spans="8:8">
      <c r="H58156" s="680" t="s">
        <v>6153</v>
      </c>
    </row>
    <row r="58157" spans="8:8">
      <c r="H58157" s="680" t="s">
        <v>6153</v>
      </c>
    </row>
    <row r="58158" spans="8:8">
      <c r="H58158" s="680" t="s">
        <v>6153</v>
      </c>
    </row>
    <row r="58159" spans="8:8">
      <c r="H58159" s="680" t="s">
        <v>6153</v>
      </c>
    </row>
    <row r="58160" spans="8:8">
      <c r="H58160" s="680" t="s">
        <v>6153</v>
      </c>
    </row>
    <row r="58161" spans="8:8">
      <c r="H58161" s="680" t="s">
        <v>6153</v>
      </c>
    </row>
    <row r="58162" spans="8:8">
      <c r="H58162" s="680" t="s">
        <v>6153</v>
      </c>
    </row>
    <row r="58163" spans="8:8">
      <c r="H58163" s="680" t="s">
        <v>6153</v>
      </c>
    </row>
    <row r="58164" spans="8:8">
      <c r="H58164" s="680" t="s">
        <v>6153</v>
      </c>
    </row>
    <row r="58165" spans="8:8">
      <c r="H58165" s="680" t="s">
        <v>6153</v>
      </c>
    </row>
    <row r="58166" spans="8:8">
      <c r="H58166" s="680" t="s">
        <v>6153</v>
      </c>
    </row>
    <row r="58167" spans="8:8">
      <c r="H58167" s="680" t="s">
        <v>6153</v>
      </c>
    </row>
    <row r="58168" spans="8:8">
      <c r="H58168" s="680" t="s">
        <v>6153</v>
      </c>
    </row>
    <row r="58169" spans="8:8">
      <c r="H58169" s="680" t="s">
        <v>6153</v>
      </c>
    </row>
    <row r="58170" spans="8:8">
      <c r="H58170" s="680" t="s">
        <v>6153</v>
      </c>
    </row>
    <row r="58171" spans="8:8">
      <c r="H58171" s="680" t="s">
        <v>6153</v>
      </c>
    </row>
    <row r="58172" spans="8:8">
      <c r="H58172" s="680" t="s">
        <v>6153</v>
      </c>
    </row>
    <row r="58173" spans="8:8">
      <c r="H58173" s="680" t="s">
        <v>6153</v>
      </c>
    </row>
    <row r="58174" spans="8:8">
      <c r="H58174" s="680" t="s">
        <v>6153</v>
      </c>
    </row>
    <row r="58175" spans="8:8">
      <c r="H58175" s="680" t="s">
        <v>6153</v>
      </c>
    </row>
    <row r="58176" spans="8:8">
      <c r="H58176" s="680" t="s">
        <v>6153</v>
      </c>
    </row>
    <row r="58177" spans="8:8">
      <c r="H58177" s="680" t="s">
        <v>6153</v>
      </c>
    </row>
    <row r="58178" spans="8:8">
      <c r="H58178" s="680" t="s">
        <v>6153</v>
      </c>
    </row>
    <row r="58179" spans="8:8">
      <c r="H58179" s="680" t="s">
        <v>6153</v>
      </c>
    </row>
    <row r="58180" spans="8:8">
      <c r="H58180" s="680" t="s">
        <v>6153</v>
      </c>
    </row>
    <row r="58181" spans="8:8">
      <c r="H58181" s="680" t="s">
        <v>6153</v>
      </c>
    </row>
    <row r="58182" spans="8:8">
      <c r="H58182" s="680" t="s">
        <v>6153</v>
      </c>
    </row>
    <row r="58183" spans="8:8">
      <c r="H58183" s="680" t="s">
        <v>6153</v>
      </c>
    </row>
    <row r="58184" spans="8:8">
      <c r="H58184" s="680" t="s">
        <v>6153</v>
      </c>
    </row>
    <row r="58185" spans="8:8">
      <c r="H58185" s="680" t="s">
        <v>6153</v>
      </c>
    </row>
    <row r="58186" spans="8:8">
      <c r="H58186" s="680" t="s">
        <v>6153</v>
      </c>
    </row>
    <row r="58187" spans="8:8">
      <c r="H58187" s="680" t="s">
        <v>6153</v>
      </c>
    </row>
    <row r="58188" spans="8:8">
      <c r="H58188" s="680" t="s">
        <v>6153</v>
      </c>
    </row>
    <row r="58189" spans="8:8">
      <c r="H58189" s="680" t="s">
        <v>6153</v>
      </c>
    </row>
    <row r="58190" spans="8:8">
      <c r="H58190" s="680" t="s">
        <v>6153</v>
      </c>
    </row>
    <row r="58191" spans="8:8">
      <c r="H58191" s="680" t="s">
        <v>6153</v>
      </c>
    </row>
    <row r="58192" spans="8:8">
      <c r="H58192" s="680" t="s">
        <v>6153</v>
      </c>
    </row>
    <row r="58193" spans="8:8">
      <c r="H58193" s="680" t="s">
        <v>6153</v>
      </c>
    </row>
    <row r="58194" spans="8:8">
      <c r="H58194" s="680" t="s">
        <v>6153</v>
      </c>
    </row>
    <row r="58195" spans="8:8">
      <c r="H58195" s="680" t="s">
        <v>6153</v>
      </c>
    </row>
    <row r="58196" spans="8:8">
      <c r="H58196" s="680" t="s">
        <v>6153</v>
      </c>
    </row>
    <row r="58197" spans="8:8">
      <c r="H58197" s="680" t="s">
        <v>6153</v>
      </c>
    </row>
    <row r="58198" spans="8:8">
      <c r="H58198" s="680" t="s">
        <v>6153</v>
      </c>
    </row>
    <row r="58199" spans="8:8">
      <c r="H58199" s="680" t="s">
        <v>6153</v>
      </c>
    </row>
    <row r="58200" spans="8:8">
      <c r="H58200" s="680" t="s">
        <v>6153</v>
      </c>
    </row>
    <row r="58201" spans="8:8">
      <c r="H58201" s="680" t="s">
        <v>6153</v>
      </c>
    </row>
    <row r="58202" spans="8:8">
      <c r="H58202" s="680" t="s">
        <v>6153</v>
      </c>
    </row>
    <row r="58203" spans="8:8">
      <c r="H58203" s="680" t="s">
        <v>6153</v>
      </c>
    </row>
    <row r="58204" spans="8:8">
      <c r="H58204" s="680" t="s">
        <v>6153</v>
      </c>
    </row>
    <row r="58205" spans="8:8">
      <c r="H58205" s="680" t="s">
        <v>6153</v>
      </c>
    </row>
    <row r="58206" spans="8:8">
      <c r="H58206" s="680" t="s">
        <v>6153</v>
      </c>
    </row>
    <row r="58207" spans="8:8">
      <c r="H58207" s="680" t="s">
        <v>6153</v>
      </c>
    </row>
    <row r="58208" spans="8:8">
      <c r="H58208" s="680" t="s">
        <v>6153</v>
      </c>
    </row>
    <row r="58209" spans="8:8">
      <c r="H58209" s="680" t="s">
        <v>6153</v>
      </c>
    </row>
    <row r="58210" spans="8:8">
      <c r="H58210" s="680" t="s">
        <v>6153</v>
      </c>
    </row>
    <row r="58211" spans="8:8">
      <c r="H58211" s="680" t="s">
        <v>6153</v>
      </c>
    </row>
    <row r="58212" spans="8:8">
      <c r="H58212" s="680" t="s">
        <v>6153</v>
      </c>
    </row>
    <row r="58213" spans="8:8">
      <c r="H58213" s="680" t="s">
        <v>6153</v>
      </c>
    </row>
    <row r="58214" spans="8:8">
      <c r="H58214" s="680" t="s">
        <v>6153</v>
      </c>
    </row>
    <row r="58215" spans="8:8">
      <c r="H58215" s="680" t="s">
        <v>6153</v>
      </c>
    </row>
    <row r="58216" spans="8:8">
      <c r="H58216" s="680" t="s">
        <v>6153</v>
      </c>
    </row>
    <row r="58217" spans="8:8">
      <c r="H58217" s="680" t="s">
        <v>6153</v>
      </c>
    </row>
    <row r="58218" spans="8:8">
      <c r="H58218" s="680" t="s">
        <v>6153</v>
      </c>
    </row>
    <row r="58219" spans="8:8">
      <c r="H58219" s="680" t="s">
        <v>6153</v>
      </c>
    </row>
    <row r="58220" spans="8:8">
      <c r="H58220" s="680" t="s">
        <v>6153</v>
      </c>
    </row>
    <row r="58221" spans="8:8">
      <c r="H58221" s="680" t="s">
        <v>6153</v>
      </c>
    </row>
    <row r="58222" spans="8:8">
      <c r="H58222" s="680" t="s">
        <v>6153</v>
      </c>
    </row>
    <row r="58223" spans="8:8">
      <c r="H58223" s="680" t="s">
        <v>6153</v>
      </c>
    </row>
    <row r="58224" spans="8:8">
      <c r="H58224" s="680" t="s">
        <v>6153</v>
      </c>
    </row>
    <row r="58225" spans="8:8">
      <c r="H58225" s="680" t="s">
        <v>6153</v>
      </c>
    </row>
    <row r="58226" spans="8:8">
      <c r="H58226" s="680" t="s">
        <v>6153</v>
      </c>
    </row>
    <row r="58227" spans="8:8">
      <c r="H58227" s="680" t="s">
        <v>6153</v>
      </c>
    </row>
    <row r="58228" spans="8:8">
      <c r="H58228" s="680" t="s">
        <v>6153</v>
      </c>
    </row>
    <row r="58229" spans="8:8">
      <c r="H58229" s="680" t="s">
        <v>6153</v>
      </c>
    </row>
    <row r="58230" spans="8:8">
      <c r="H58230" s="680" t="s">
        <v>6153</v>
      </c>
    </row>
    <row r="58231" spans="8:8">
      <c r="H58231" s="680" t="s">
        <v>6153</v>
      </c>
    </row>
    <row r="58232" spans="8:8">
      <c r="H58232" s="680" t="s">
        <v>6153</v>
      </c>
    </row>
    <row r="58233" spans="8:8">
      <c r="H58233" s="680" t="s">
        <v>6153</v>
      </c>
    </row>
    <row r="58234" spans="8:8">
      <c r="H58234" s="680" t="s">
        <v>6153</v>
      </c>
    </row>
    <row r="58235" spans="8:8">
      <c r="H58235" s="680" t="s">
        <v>6153</v>
      </c>
    </row>
    <row r="58236" spans="8:8">
      <c r="H58236" s="680" t="s">
        <v>6153</v>
      </c>
    </row>
    <row r="58237" spans="8:8">
      <c r="H58237" s="680" t="s">
        <v>6153</v>
      </c>
    </row>
    <row r="58238" spans="8:8">
      <c r="H58238" s="680" t="s">
        <v>6153</v>
      </c>
    </row>
    <row r="58239" spans="8:8">
      <c r="H58239" s="680" t="s">
        <v>6153</v>
      </c>
    </row>
    <row r="58240" spans="8:8">
      <c r="H58240" s="680" t="s">
        <v>6153</v>
      </c>
    </row>
    <row r="58241" spans="8:8">
      <c r="H58241" s="680" t="s">
        <v>6153</v>
      </c>
    </row>
    <row r="58242" spans="8:8">
      <c r="H58242" s="680" t="s">
        <v>6153</v>
      </c>
    </row>
    <row r="58243" spans="8:8">
      <c r="H58243" s="680" t="s">
        <v>6153</v>
      </c>
    </row>
    <row r="58244" spans="8:8">
      <c r="H58244" s="680" t="s">
        <v>6153</v>
      </c>
    </row>
    <row r="58245" spans="8:8">
      <c r="H58245" s="680" t="s">
        <v>6153</v>
      </c>
    </row>
    <row r="58246" spans="8:8">
      <c r="H58246" s="680" t="s">
        <v>6153</v>
      </c>
    </row>
    <row r="58247" spans="8:8">
      <c r="H58247" s="680" t="s">
        <v>6153</v>
      </c>
    </row>
    <row r="58248" spans="8:8">
      <c r="H58248" s="680" t="s">
        <v>6153</v>
      </c>
    </row>
    <row r="58249" spans="8:8">
      <c r="H58249" s="680" t="s">
        <v>6153</v>
      </c>
    </row>
    <row r="58250" spans="8:8">
      <c r="H58250" s="680" t="s">
        <v>6153</v>
      </c>
    </row>
    <row r="58251" spans="8:8">
      <c r="H58251" s="680" t="s">
        <v>6153</v>
      </c>
    </row>
    <row r="58252" spans="8:8">
      <c r="H58252" s="680" t="s">
        <v>6153</v>
      </c>
    </row>
    <row r="58253" spans="8:8">
      <c r="H58253" s="680" t="s">
        <v>6153</v>
      </c>
    </row>
    <row r="58254" spans="8:8">
      <c r="H58254" s="680" t="s">
        <v>6153</v>
      </c>
    </row>
    <row r="58255" spans="8:8">
      <c r="H58255" s="680" t="s">
        <v>6153</v>
      </c>
    </row>
    <row r="58256" spans="8:8">
      <c r="H58256" s="680" t="s">
        <v>6153</v>
      </c>
    </row>
    <row r="58257" spans="8:8">
      <c r="H58257" s="680" t="s">
        <v>6153</v>
      </c>
    </row>
    <row r="58258" spans="8:8">
      <c r="H58258" s="680" t="s">
        <v>6153</v>
      </c>
    </row>
    <row r="58259" spans="8:8">
      <c r="H58259" s="680" t="s">
        <v>6153</v>
      </c>
    </row>
    <row r="58260" spans="8:8">
      <c r="H58260" s="680" t="s">
        <v>6153</v>
      </c>
    </row>
    <row r="58261" spans="8:8">
      <c r="H58261" s="680" t="s">
        <v>6153</v>
      </c>
    </row>
    <row r="58262" spans="8:8">
      <c r="H58262" s="680" t="s">
        <v>6153</v>
      </c>
    </row>
    <row r="58263" spans="8:8">
      <c r="H58263" s="680" t="s">
        <v>6153</v>
      </c>
    </row>
    <row r="58264" spans="8:8">
      <c r="H58264" s="680" t="s">
        <v>6153</v>
      </c>
    </row>
    <row r="58265" spans="8:8">
      <c r="H58265" s="680" t="s">
        <v>6153</v>
      </c>
    </row>
    <row r="58266" spans="8:8">
      <c r="H58266" s="680" t="s">
        <v>6153</v>
      </c>
    </row>
    <row r="58267" spans="8:8">
      <c r="H58267" s="680" t="s">
        <v>6153</v>
      </c>
    </row>
    <row r="58268" spans="8:8">
      <c r="H58268" s="680" t="s">
        <v>6153</v>
      </c>
    </row>
    <row r="58269" spans="8:8">
      <c r="H58269" s="680" t="s">
        <v>6153</v>
      </c>
    </row>
    <row r="58270" spans="8:8">
      <c r="H58270" s="680" t="s">
        <v>6153</v>
      </c>
    </row>
    <row r="58271" spans="8:8">
      <c r="H58271" s="680" t="s">
        <v>6153</v>
      </c>
    </row>
    <row r="58272" spans="8:8">
      <c r="H58272" s="680" t="s">
        <v>6153</v>
      </c>
    </row>
    <row r="58273" spans="8:8">
      <c r="H58273" s="680" t="s">
        <v>6153</v>
      </c>
    </row>
    <row r="58274" spans="8:8">
      <c r="H58274" s="680" t="s">
        <v>6153</v>
      </c>
    </row>
    <row r="58275" spans="8:8">
      <c r="H58275" s="680" t="s">
        <v>6153</v>
      </c>
    </row>
    <row r="58276" spans="8:8">
      <c r="H58276" s="680" t="s">
        <v>6153</v>
      </c>
    </row>
    <row r="58277" spans="8:8">
      <c r="H58277" s="680" t="s">
        <v>6153</v>
      </c>
    </row>
    <row r="58278" spans="8:8">
      <c r="H58278" s="680" t="s">
        <v>6153</v>
      </c>
    </row>
    <row r="58279" spans="8:8">
      <c r="H58279" s="680" t="s">
        <v>6153</v>
      </c>
    </row>
    <row r="58280" spans="8:8">
      <c r="H58280" s="680" t="s">
        <v>6153</v>
      </c>
    </row>
    <row r="58281" spans="8:8">
      <c r="H58281" s="680" t="s">
        <v>6153</v>
      </c>
    </row>
    <row r="58282" spans="8:8">
      <c r="H58282" s="680" t="s">
        <v>6153</v>
      </c>
    </row>
    <row r="58283" spans="8:8">
      <c r="H58283" s="680" t="s">
        <v>6153</v>
      </c>
    </row>
    <row r="58284" spans="8:8">
      <c r="H58284" s="680" t="s">
        <v>6153</v>
      </c>
    </row>
    <row r="58285" spans="8:8">
      <c r="H58285" s="680" t="s">
        <v>6153</v>
      </c>
    </row>
    <row r="58286" spans="8:8">
      <c r="H58286" s="680" t="s">
        <v>6153</v>
      </c>
    </row>
    <row r="58287" spans="8:8">
      <c r="H58287" s="680" t="s">
        <v>6153</v>
      </c>
    </row>
    <row r="58288" spans="8:8">
      <c r="H58288" s="680" t="s">
        <v>6153</v>
      </c>
    </row>
    <row r="58289" spans="8:8">
      <c r="H58289" s="680" t="s">
        <v>6153</v>
      </c>
    </row>
    <row r="58290" spans="8:8">
      <c r="H58290" s="680" t="s">
        <v>6153</v>
      </c>
    </row>
    <row r="58291" spans="8:8">
      <c r="H58291" s="680" t="s">
        <v>6153</v>
      </c>
    </row>
    <row r="58292" spans="8:8">
      <c r="H58292" s="680" t="s">
        <v>6153</v>
      </c>
    </row>
    <row r="58293" spans="8:8">
      <c r="H58293" s="680" t="s">
        <v>6153</v>
      </c>
    </row>
    <row r="58294" spans="8:8">
      <c r="H58294" s="680" t="s">
        <v>6153</v>
      </c>
    </row>
    <row r="58295" spans="8:8">
      <c r="H58295" s="680" t="s">
        <v>6153</v>
      </c>
    </row>
    <row r="58296" spans="8:8">
      <c r="H58296" s="680" t="s">
        <v>6153</v>
      </c>
    </row>
    <row r="58297" spans="8:8">
      <c r="H58297" s="680" t="s">
        <v>6153</v>
      </c>
    </row>
    <row r="58298" spans="8:8">
      <c r="H58298" s="680" t="s">
        <v>6153</v>
      </c>
    </row>
    <row r="58299" spans="8:8">
      <c r="H58299" s="680" t="s">
        <v>6153</v>
      </c>
    </row>
    <row r="58300" spans="8:8">
      <c r="H58300" s="680" t="s">
        <v>6153</v>
      </c>
    </row>
    <row r="58301" spans="8:8">
      <c r="H58301" s="680" t="s">
        <v>6153</v>
      </c>
    </row>
    <row r="58302" spans="8:8">
      <c r="H58302" s="680" t="s">
        <v>6153</v>
      </c>
    </row>
    <row r="58303" spans="8:8">
      <c r="H58303" s="680" t="s">
        <v>6153</v>
      </c>
    </row>
    <row r="58304" spans="8:8">
      <c r="H58304" s="680" t="s">
        <v>6153</v>
      </c>
    </row>
    <row r="58305" spans="8:8">
      <c r="H58305" s="680" t="s">
        <v>6153</v>
      </c>
    </row>
    <row r="58306" spans="8:8">
      <c r="H58306" s="680" t="s">
        <v>6153</v>
      </c>
    </row>
    <row r="58307" spans="8:8">
      <c r="H58307" s="680" t="s">
        <v>6153</v>
      </c>
    </row>
    <row r="58308" spans="8:8">
      <c r="H58308" s="680" t="s">
        <v>6153</v>
      </c>
    </row>
    <row r="58309" spans="8:8">
      <c r="H58309" s="680" t="s">
        <v>6153</v>
      </c>
    </row>
    <row r="58310" spans="8:8">
      <c r="H58310" s="680" t="s">
        <v>6153</v>
      </c>
    </row>
    <row r="58311" spans="8:8">
      <c r="H58311" s="680" t="s">
        <v>6153</v>
      </c>
    </row>
    <row r="58312" spans="8:8">
      <c r="H58312" s="680" t="s">
        <v>6153</v>
      </c>
    </row>
    <row r="58313" spans="8:8">
      <c r="H58313" s="680" t="s">
        <v>6153</v>
      </c>
    </row>
    <row r="58314" spans="8:8">
      <c r="H58314" s="680" t="s">
        <v>6153</v>
      </c>
    </row>
    <row r="58315" spans="8:8">
      <c r="H58315" s="680" t="s">
        <v>6153</v>
      </c>
    </row>
    <row r="58316" spans="8:8">
      <c r="H58316" s="680" t="s">
        <v>6153</v>
      </c>
    </row>
    <row r="58317" spans="8:8">
      <c r="H58317" s="680" t="s">
        <v>6153</v>
      </c>
    </row>
    <row r="58318" spans="8:8">
      <c r="H58318" s="680" t="s">
        <v>6153</v>
      </c>
    </row>
    <row r="58319" spans="8:8">
      <c r="H58319" s="680" t="s">
        <v>6153</v>
      </c>
    </row>
    <row r="58320" spans="8:8">
      <c r="H58320" s="680" t="s">
        <v>6153</v>
      </c>
    </row>
    <row r="58321" spans="8:8">
      <c r="H58321" s="680" t="s">
        <v>6153</v>
      </c>
    </row>
    <row r="58322" spans="8:8">
      <c r="H58322" s="680" t="s">
        <v>6153</v>
      </c>
    </row>
    <row r="58323" spans="8:8">
      <c r="H58323" s="680" t="s">
        <v>6153</v>
      </c>
    </row>
    <row r="58324" spans="8:8">
      <c r="H58324" s="680" t="s">
        <v>6153</v>
      </c>
    </row>
    <row r="58325" spans="8:8">
      <c r="H58325" s="680" t="s">
        <v>6153</v>
      </c>
    </row>
    <row r="58326" spans="8:8">
      <c r="H58326" s="680" t="s">
        <v>6153</v>
      </c>
    </row>
    <row r="58327" spans="8:8">
      <c r="H58327" s="680" t="s">
        <v>6153</v>
      </c>
    </row>
    <row r="58328" spans="8:8">
      <c r="H58328" s="680" t="s">
        <v>6153</v>
      </c>
    </row>
    <row r="58329" spans="8:8">
      <c r="H58329" s="680" t="s">
        <v>6153</v>
      </c>
    </row>
    <row r="58330" spans="8:8">
      <c r="H58330" s="680" t="s">
        <v>6153</v>
      </c>
    </row>
    <row r="58331" spans="8:8">
      <c r="H58331" s="680" t="s">
        <v>6153</v>
      </c>
    </row>
    <row r="58332" spans="8:8">
      <c r="H58332" s="680" t="s">
        <v>6153</v>
      </c>
    </row>
    <row r="58333" spans="8:8">
      <c r="H58333" s="680" t="s">
        <v>6153</v>
      </c>
    </row>
    <row r="58334" spans="8:8">
      <c r="H58334" s="680" t="s">
        <v>6153</v>
      </c>
    </row>
    <row r="58335" spans="8:8">
      <c r="H58335" s="680" t="s">
        <v>6153</v>
      </c>
    </row>
    <row r="58336" spans="8:8">
      <c r="H58336" s="680" t="s">
        <v>6153</v>
      </c>
    </row>
    <row r="58337" spans="8:8">
      <c r="H58337" s="680" t="s">
        <v>6153</v>
      </c>
    </row>
    <row r="58338" spans="8:8">
      <c r="H58338" s="680" t="s">
        <v>6153</v>
      </c>
    </row>
    <row r="58339" spans="8:8">
      <c r="H58339" s="680" t="s">
        <v>6153</v>
      </c>
    </row>
    <row r="58340" spans="8:8">
      <c r="H58340" s="680" t="s">
        <v>6153</v>
      </c>
    </row>
    <row r="58341" spans="8:8">
      <c r="H58341" s="680" t="s">
        <v>6153</v>
      </c>
    </row>
    <row r="58342" spans="8:8">
      <c r="H58342" s="680" t="s">
        <v>6153</v>
      </c>
    </row>
    <row r="58343" spans="8:8">
      <c r="H58343" s="680" t="s">
        <v>6153</v>
      </c>
    </row>
    <row r="58344" spans="8:8">
      <c r="H58344" s="680" t="s">
        <v>6153</v>
      </c>
    </row>
    <row r="58345" spans="8:8">
      <c r="H58345" s="680" t="s">
        <v>6153</v>
      </c>
    </row>
    <row r="58346" spans="8:8">
      <c r="H58346" s="680" t="s">
        <v>6153</v>
      </c>
    </row>
    <row r="58347" spans="8:8">
      <c r="H58347" s="680" t="s">
        <v>6153</v>
      </c>
    </row>
    <row r="58348" spans="8:8">
      <c r="H58348" s="680" t="s">
        <v>6153</v>
      </c>
    </row>
    <row r="58349" spans="8:8">
      <c r="H58349" s="680" t="s">
        <v>6153</v>
      </c>
    </row>
    <row r="58350" spans="8:8">
      <c r="H58350" s="680" t="s">
        <v>6153</v>
      </c>
    </row>
    <row r="58351" spans="8:8">
      <c r="H58351" s="680" t="s">
        <v>6153</v>
      </c>
    </row>
    <row r="58352" spans="8:8">
      <c r="H58352" s="680" t="s">
        <v>6153</v>
      </c>
    </row>
    <row r="58353" spans="8:8">
      <c r="H58353" s="680" t="s">
        <v>6153</v>
      </c>
    </row>
    <row r="58354" spans="8:8">
      <c r="H58354" s="680" t="s">
        <v>6153</v>
      </c>
    </row>
    <row r="58355" spans="8:8">
      <c r="H58355" s="680" t="s">
        <v>6153</v>
      </c>
    </row>
    <row r="58356" spans="8:8">
      <c r="H58356" s="680" t="s">
        <v>6153</v>
      </c>
    </row>
    <row r="58357" spans="8:8">
      <c r="H58357" s="680" t="s">
        <v>6153</v>
      </c>
    </row>
    <row r="58358" spans="8:8">
      <c r="H58358" s="680" t="s">
        <v>6153</v>
      </c>
    </row>
    <row r="58359" spans="8:8">
      <c r="H58359" s="680" t="s">
        <v>6153</v>
      </c>
    </row>
    <row r="58360" spans="8:8">
      <c r="H58360" s="680" t="s">
        <v>6153</v>
      </c>
    </row>
    <row r="58361" spans="8:8">
      <c r="H58361" s="680" t="s">
        <v>6153</v>
      </c>
    </row>
    <row r="58362" spans="8:8">
      <c r="H58362" s="680" t="s">
        <v>6153</v>
      </c>
    </row>
    <row r="58363" spans="8:8">
      <c r="H58363" s="680" t="s">
        <v>6153</v>
      </c>
    </row>
    <row r="58364" spans="8:8">
      <c r="H58364" s="680" t="s">
        <v>6153</v>
      </c>
    </row>
    <row r="58365" spans="8:8">
      <c r="H58365" s="680" t="s">
        <v>6153</v>
      </c>
    </row>
    <row r="58366" spans="8:8">
      <c r="H58366" s="680" t="s">
        <v>6153</v>
      </c>
    </row>
    <row r="58367" spans="8:8">
      <c r="H58367" s="680" t="s">
        <v>6153</v>
      </c>
    </row>
    <row r="58368" spans="8:8">
      <c r="H58368" s="680" t="s">
        <v>6153</v>
      </c>
    </row>
    <row r="58369" spans="8:8">
      <c r="H58369" s="680" t="s">
        <v>6153</v>
      </c>
    </row>
    <row r="58370" spans="8:8">
      <c r="H58370" s="680" t="s">
        <v>6153</v>
      </c>
    </row>
    <row r="58371" spans="8:8">
      <c r="H58371" s="680" t="s">
        <v>6153</v>
      </c>
    </row>
    <row r="58372" spans="8:8">
      <c r="H58372" s="680" t="s">
        <v>6153</v>
      </c>
    </row>
    <row r="58373" spans="8:8">
      <c r="H58373" s="680" t="s">
        <v>6153</v>
      </c>
    </row>
    <row r="58374" spans="8:8">
      <c r="H58374" s="680" t="s">
        <v>6153</v>
      </c>
    </row>
    <row r="58375" spans="8:8">
      <c r="H58375" s="680" t="s">
        <v>6153</v>
      </c>
    </row>
    <row r="58376" spans="8:8">
      <c r="H58376" s="680" t="s">
        <v>6153</v>
      </c>
    </row>
    <row r="58377" spans="8:8">
      <c r="H58377" s="680" t="s">
        <v>6153</v>
      </c>
    </row>
    <row r="58378" spans="8:8">
      <c r="H58378" s="680" t="s">
        <v>6153</v>
      </c>
    </row>
    <row r="58379" spans="8:8">
      <c r="H58379" s="680" t="s">
        <v>6153</v>
      </c>
    </row>
    <row r="58380" spans="8:8">
      <c r="H58380" s="680" t="s">
        <v>6153</v>
      </c>
    </row>
    <row r="58381" spans="8:8">
      <c r="H58381" s="680" t="s">
        <v>6153</v>
      </c>
    </row>
    <row r="58382" spans="8:8">
      <c r="H58382" s="680" t="s">
        <v>6153</v>
      </c>
    </row>
    <row r="58383" spans="8:8">
      <c r="H58383" s="680" t="s">
        <v>6153</v>
      </c>
    </row>
    <row r="58384" spans="8:8">
      <c r="H58384" s="680" t="s">
        <v>6153</v>
      </c>
    </row>
    <row r="58385" spans="8:8">
      <c r="H58385" s="680" t="s">
        <v>6153</v>
      </c>
    </row>
    <row r="58386" spans="8:8">
      <c r="H58386" s="680" t="s">
        <v>6153</v>
      </c>
    </row>
    <row r="58387" spans="8:8">
      <c r="H58387" s="680" t="s">
        <v>6153</v>
      </c>
    </row>
    <row r="58388" spans="8:8">
      <c r="H58388" s="680" t="s">
        <v>6153</v>
      </c>
    </row>
    <row r="58389" spans="8:8">
      <c r="H58389" s="680" t="s">
        <v>6153</v>
      </c>
    </row>
    <row r="58390" spans="8:8">
      <c r="H58390" s="680" t="s">
        <v>6153</v>
      </c>
    </row>
    <row r="58391" spans="8:8">
      <c r="H58391" s="680" t="s">
        <v>6153</v>
      </c>
    </row>
    <row r="58392" spans="8:8">
      <c r="H58392" s="680" t="s">
        <v>6153</v>
      </c>
    </row>
    <row r="58393" spans="8:8">
      <c r="H58393" s="680" t="s">
        <v>6153</v>
      </c>
    </row>
    <row r="58394" spans="8:8">
      <c r="H58394" s="680" t="s">
        <v>6153</v>
      </c>
    </row>
    <row r="58395" spans="8:8">
      <c r="H58395" s="680" t="s">
        <v>6153</v>
      </c>
    </row>
    <row r="58396" spans="8:8">
      <c r="H58396" s="680" t="s">
        <v>6153</v>
      </c>
    </row>
    <row r="58397" spans="8:8">
      <c r="H58397" s="680" t="s">
        <v>6153</v>
      </c>
    </row>
    <row r="58398" spans="8:8">
      <c r="H58398" s="680" t="s">
        <v>6153</v>
      </c>
    </row>
    <row r="58399" spans="8:8">
      <c r="H58399" s="680" t="s">
        <v>6153</v>
      </c>
    </row>
    <row r="58400" spans="8:8">
      <c r="H58400" s="680" t="s">
        <v>6153</v>
      </c>
    </row>
    <row r="58401" spans="8:8">
      <c r="H58401" s="680" t="s">
        <v>6153</v>
      </c>
    </row>
    <row r="58402" spans="8:8">
      <c r="H58402" s="680" t="s">
        <v>6153</v>
      </c>
    </row>
    <row r="58403" spans="8:8">
      <c r="H58403" s="680" t="s">
        <v>6153</v>
      </c>
    </row>
    <row r="58404" spans="8:8">
      <c r="H58404" s="680" t="s">
        <v>6153</v>
      </c>
    </row>
    <row r="58405" spans="8:8">
      <c r="H58405" s="680" t="s">
        <v>6153</v>
      </c>
    </row>
    <row r="58406" spans="8:8">
      <c r="H58406" s="680" t="s">
        <v>6153</v>
      </c>
    </row>
    <row r="58407" spans="8:8">
      <c r="H58407" s="680" t="s">
        <v>6153</v>
      </c>
    </row>
    <row r="58408" spans="8:8">
      <c r="H58408" s="680" t="s">
        <v>6153</v>
      </c>
    </row>
    <row r="58409" spans="8:8">
      <c r="H58409" s="680" t="s">
        <v>6153</v>
      </c>
    </row>
    <row r="58410" spans="8:8">
      <c r="H58410" s="680" t="s">
        <v>6153</v>
      </c>
    </row>
    <row r="58411" spans="8:8">
      <c r="H58411" s="680" t="s">
        <v>6153</v>
      </c>
    </row>
    <row r="58412" spans="8:8">
      <c r="H58412" s="680" t="s">
        <v>6153</v>
      </c>
    </row>
    <row r="58413" spans="8:8">
      <c r="H58413" s="680" t="s">
        <v>6153</v>
      </c>
    </row>
    <row r="58414" spans="8:8">
      <c r="H58414" s="680" t="s">
        <v>6153</v>
      </c>
    </row>
    <row r="58415" spans="8:8">
      <c r="H58415" s="680" t="s">
        <v>6153</v>
      </c>
    </row>
    <row r="58416" spans="8:8">
      <c r="H58416" s="680" t="s">
        <v>6153</v>
      </c>
    </row>
    <row r="58417" spans="8:8">
      <c r="H58417" s="680" t="s">
        <v>6153</v>
      </c>
    </row>
    <row r="58418" spans="8:8">
      <c r="H58418" s="680" t="s">
        <v>6153</v>
      </c>
    </row>
    <row r="58419" spans="8:8">
      <c r="H58419" s="680" t="s">
        <v>6153</v>
      </c>
    </row>
    <row r="58420" spans="8:8">
      <c r="H58420" s="680" t="s">
        <v>6153</v>
      </c>
    </row>
    <row r="58421" spans="8:8">
      <c r="H58421" s="680" t="s">
        <v>6153</v>
      </c>
    </row>
    <row r="58422" spans="8:8">
      <c r="H58422" s="680" t="s">
        <v>6153</v>
      </c>
    </row>
    <row r="58423" spans="8:8">
      <c r="H58423" s="680" t="s">
        <v>6153</v>
      </c>
    </row>
    <row r="58424" spans="8:8">
      <c r="H58424" s="680" t="s">
        <v>6153</v>
      </c>
    </row>
    <row r="58425" spans="8:8">
      <c r="H58425" s="680" t="s">
        <v>6153</v>
      </c>
    </row>
    <row r="58426" spans="8:8">
      <c r="H58426" s="680" t="s">
        <v>6153</v>
      </c>
    </row>
    <row r="58427" spans="8:8">
      <c r="H58427" s="680" t="s">
        <v>6153</v>
      </c>
    </row>
    <row r="58428" spans="8:8">
      <c r="H58428" s="680" t="s">
        <v>6153</v>
      </c>
    </row>
    <row r="58429" spans="8:8">
      <c r="H58429" s="680" t="s">
        <v>6153</v>
      </c>
    </row>
    <row r="58430" spans="8:8">
      <c r="H58430" s="680" t="s">
        <v>6153</v>
      </c>
    </row>
    <row r="58431" spans="8:8">
      <c r="H58431" s="680" t="s">
        <v>6153</v>
      </c>
    </row>
    <row r="58432" spans="8:8">
      <c r="H58432" s="680" t="s">
        <v>6153</v>
      </c>
    </row>
    <row r="58433" spans="8:8">
      <c r="H58433" s="680" t="s">
        <v>6153</v>
      </c>
    </row>
    <row r="58434" spans="8:8">
      <c r="H58434" s="680" t="s">
        <v>6153</v>
      </c>
    </row>
    <row r="58435" spans="8:8">
      <c r="H58435" s="680" t="s">
        <v>6153</v>
      </c>
    </row>
    <row r="58436" spans="8:8">
      <c r="H58436" s="680" t="s">
        <v>6153</v>
      </c>
    </row>
    <row r="58437" spans="8:8">
      <c r="H58437" s="680" t="s">
        <v>6153</v>
      </c>
    </row>
    <row r="58438" spans="8:8">
      <c r="H58438" s="680" t="s">
        <v>6153</v>
      </c>
    </row>
    <row r="58439" spans="8:8">
      <c r="H58439" s="680" t="s">
        <v>6153</v>
      </c>
    </row>
    <row r="58440" spans="8:8">
      <c r="H58440" s="680" t="s">
        <v>6153</v>
      </c>
    </row>
    <row r="58441" spans="8:8">
      <c r="H58441" s="680" t="s">
        <v>6153</v>
      </c>
    </row>
    <row r="58442" spans="8:8">
      <c r="H58442" s="680" t="s">
        <v>6153</v>
      </c>
    </row>
    <row r="58443" spans="8:8">
      <c r="H58443" s="680" t="s">
        <v>6153</v>
      </c>
    </row>
    <row r="58444" spans="8:8">
      <c r="H58444" s="680" t="s">
        <v>6153</v>
      </c>
    </row>
    <row r="58445" spans="8:8">
      <c r="H58445" s="680" t="s">
        <v>6153</v>
      </c>
    </row>
    <row r="58446" spans="8:8">
      <c r="H58446" s="680" t="s">
        <v>6153</v>
      </c>
    </row>
    <row r="58447" spans="8:8">
      <c r="H58447" s="680" t="s">
        <v>6153</v>
      </c>
    </row>
    <row r="58448" spans="8:8">
      <c r="H58448" s="680" t="s">
        <v>6153</v>
      </c>
    </row>
    <row r="58449" spans="8:8">
      <c r="H58449" s="680" t="s">
        <v>6153</v>
      </c>
    </row>
    <row r="58450" spans="8:8">
      <c r="H58450" s="680" t="s">
        <v>6153</v>
      </c>
    </row>
    <row r="58451" spans="8:8">
      <c r="H58451" s="680" t="s">
        <v>6153</v>
      </c>
    </row>
    <row r="58452" spans="8:8">
      <c r="H58452" s="680" t="s">
        <v>6153</v>
      </c>
    </row>
    <row r="58453" spans="8:8">
      <c r="H58453" s="680" t="s">
        <v>6153</v>
      </c>
    </row>
    <row r="58454" spans="8:8">
      <c r="H58454" s="680" t="s">
        <v>6153</v>
      </c>
    </row>
    <row r="58455" spans="8:8">
      <c r="H58455" s="680" t="s">
        <v>6153</v>
      </c>
    </row>
    <row r="58456" spans="8:8">
      <c r="H58456" s="680" t="s">
        <v>6153</v>
      </c>
    </row>
    <row r="58457" spans="8:8">
      <c r="H58457" s="680" t="s">
        <v>6153</v>
      </c>
    </row>
    <row r="58458" spans="8:8">
      <c r="H58458" s="680" t="s">
        <v>6153</v>
      </c>
    </row>
    <row r="58459" spans="8:8">
      <c r="H58459" s="680" t="s">
        <v>6153</v>
      </c>
    </row>
    <row r="58460" spans="8:8">
      <c r="H58460" s="680" t="s">
        <v>6153</v>
      </c>
    </row>
    <row r="58461" spans="8:8">
      <c r="H58461" s="680" t="s">
        <v>6153</v>
      </c>
    </row>
    <row r="58462" spans="8:8">
      <c r="H58462" s="680" t="s">
        <v>6153</v>
      </c>
    </row>
    <row r="58463" spans="8:8">
      <c r="H58463" s="680" t="s">
        <v>6153</v>
      </c>
    </row>
    <row r="58464" spans="8:8">
      <c r="H58464" s="680" t="s">
        <v>6153</v>
      </c>
    </row>
    <row r="58465" spans="8:8">
      <c r="H58465" s="680" t="s">
        <v>6153</v>
      </c>
    </row>
    <row r="58466" spans="8:8">
      <c r="H58466" s="680" t="s">
        <v>6153</v>
      </c>
    </row>
    <row r="58467" spans="8:8">
      <c r="H58467" s="680" t="s">
        <v>6153</v>
      </c>
    </row>
    <row r="58468" spans="8:8">
      <c r="H58468" s="680" t="s">
        <v>6153</v>
      </c>
    </row>
    <row r="58469" spans="8:8">
      <c r="H58469" s="680" t="s">
        <v>6153</v>
      </c>
    </row>
    <row r="58470" spans="8:8">
      <c r="H58470" s="680" t="s">
        <v>6153</v>
      </c>
    </row>
    <row r="58471" spans="8:8">
      <c r="H58471" s="680" t="s">
        <v>6153</v>
      </c>
    </row>
    <row r="58472" spans="8:8">
      <c r="H58472" s="680" t="s">
        <v>6153</v>
      </c>
    </row>
    <row r="58473" spans="8:8">
      <c r="H58473" s="680" t="s">
        <v>6153</v>
      </c>
    </row>
    <row r="58474" spans="8:8">
      <c r="H58474" s="680" t="s">
        <v>6153</v>
      </c>
    </row>
    <row r="58475" spans="8:8">
      <c r="H58475" s="680" t="s">
        <v>6153</v>
      </c>
    </row>
    <row r="58476" spans="8:8">
      <c r="H58476" s="680" t="s">
        <v>6153</v>
      </c>
    </row>
    <row r="58477" spans="8:8">
      <c r="H58477" s="680" t="s">
        <v>6153</v>
      </c>
    </row>
    <row r="58478" spans="8:8">
      <c r="H58478" s="680" t="s">
        <v>6153</v>
      </c>
    </row>
    <row r="58479" spans="8:8">
      <c r="H58479" s="680" t="s">
        <v>6153</v>
      </c>
    </row>
    <row r="58480" spans="8:8">
      <c r="H58480" s="680" t="s">
        <v>6153</v>
      </c>
    </row>
    <row r="58481" spans="8:8">
      <c r="H58481" s="680" t="s">
        <v>6153</v>
      </c>
    </row>
    <row r="58482" spans="8:8">
      <c r="H58482" s="680" t="s">
        <v>6153</v>
      </c>
    </row>
    <row r="58483" spans="8:8">
      <c r="H58483" s="680" t="s">
        <v>6153</v>
      </c>
    </row>
    <row r="58484" spans="8:8">
      <c r="H58484" s="680" t="s">
        <v>6153</v>
      </c>
    </row>
    <row r="58485" spans="8:8">
      <c r="H58485" s="680" t="s">
        <v>6153</v>
      </c>
    </row>
    <row r="58486" spans="8:8">
      <c r="H58486" s="680" t="s">
        <v>6153</v>
      </c>
    </row>
    <row r="58487" spans="8:8">
      <c r="H58487" s="680" t="s">
        <v>6153</v>
      </c>
    </row>
    <row r="58488" spans="8:8">
      <c r="H58488" s="680" t="s">
        <v>6153</v>
      </c>
    </row>
    <row r="58489" spans="8:8">
      <c r="H58489" s="680" t="s">
        <v>6153</v>
      </c>
    </row>
    <row r="58490" spans="8:8">
      <c r="H58490" s="680" t="s">
        <v>6153</v>
      </c>
    </row>
    <row r="58491" spans="8:8">
      <c r="H58491" s="680" t="s">
        <v>6153</v>
      </c>
    </row>
    <row r="58492" spans="8:8">
      <c r="H58492" s="680" t="s">
        <v>6153</v>
      </c>
    </row>
    <row r="58493" spans="8:8">
      <c r="H58493" s="680" t="s">
        <v>6153</v>
      </c>
    </row>
    <row r="58494" spans="8:8">
      <c r="H58494" s="680" t="s">
        <v>6153</v>
      </c>
    </row>
    <row r="58495" spans="8:8">
      <c r="H58495" s="680" t="s">
        <v>6153</v>
      </c>
    </row>
    <row r="58496" spans="8:8">
      <c r="H58496" s="680" t="s">
        <v>6153</v>
      </c>
    </row>
    <row r="58497" spans="8:8">
      <c r="H58497" s="680" t="s">
        <v>6153</v>
      </c>
    </row>
    <row r="58498" spans="8:8">
      <c r="H58498" s="680" t="s">
        <v>6153</v>
      </c>
    </row>
    <row r="58499" spans="8:8">
      <c r="H58499" s="680" t="s">
        <v>6153</v>
      </c>
    </row>
    <row r="58500" spans="8:8">
      <c r="H58500" s="680" t="s">
        <v>6153</v>
      </c>
    </row>
    <row r="58501" spans="8:8">
      <c r="H58501" s="680" t="s">
        <v>6153</v>
      </c>
    </row>
    <row r="58502" spans="8:8">
      <c r="H58502" s="680" t="s">
        <v>6153</v>
      </c>
    </row>
    <row r="58503" spans="8:8">
      <c r="H58503" s="680" t="s">
        <v>6153</v>
      </c>
    </row>
    <row r="58504" spans="8:8">
      <c r="H58504" s="680" t="s">
        <v>6153</v>
      </c>
    </row>
    <row r="58505" spans="8:8">
      <c r="H58505" s="680" t="s">
        <v>6153</v>
      </c>
    </row>
    <row r="58506" spans="8:8">
      <c r="H58506" s="680" t="s">
        <v>6153</v>
      </c>
    </row>
    <row r="58507" spans="8:8">
      <c r="H58507" s="680" t="s">
        <v>6153</v>
      </c>
    </row>
    <row r="58508" spans="8:8">
      <c r="H58508" s="680" t="s">
        <v>6153</v>
      </c>
    </row>
    <row r="58509" spans="8:8">
      <c r="H58509" s="680" t="s">
        <v>6153</v>
      </c>
    </row>
    <row r="58510" spans="8:8">
      <c r="H58510" s="680" t="s">
        <v>6153</v>
      </c>
    </row>
    <row r="58511" spans="8:8">
      <c r="H58511" s="680" t="s">
        <v>6153</v>
      </c>
    </row>
    <row r="58512" spans="8:8">
      <c r="H58512" s="680" t="s">
        <v>6153</v>
      </c>
    </row>
    <row r="58513" spans="8:8">
      <c r="H58513" s="680" t="s">
        <v>6153</v>
      </c>
    </row>
    <row r="58514" spans="8:8">
      <c r="H58514" s="680" t="s">
        <v>6153</v>
      </c>
    </row>
    <row r="58515" spans="8:8">
      <c r="H58515" s="680" t="s">
        <v>6153</v>
      </c>
    </row>
    <row r="58516" spans="8:8">
      <c r="H58516" s="680" t="s">
        <v>6153</v>
      </c>
    </row>
    <row r="58517" spans="8:8">
      <c r="H58517" s="680" t="s">
        <v>6153</v>
      </c>
    </row>
    <row r="58518" spans="8:8">
      <c r="H58518" s="680" t="s">
        <v>6153</v>
      </c>
    </row>
    <row r="58519" spans="8:8">
      <c r="H58519" s="680" t="s">
        <v>6153</v>
      </c>
    </row>
    <row r="58520" spans="8:8">
      <c r="H58520" s="680" t="s">
        <v>6153</v>
      </c>
    </row>
    <row r="58521" spans="8:8">
      <c r="H58521" s="680" t="s">
        <v>6153</v>
      </c>
    </row>
    <row r="58522" spans="8:8">
      <c r="H58522" s="680" t="s">
        <v>6153</v>
      </c>
    </row>
    <row r="58523" spans="8:8">
      <c r="H58523" s="680" t="s">
        <v>6153</v>
      </c>
    </row>
    <row r="58524" spans="8:8">
      <c r="H58524" s="680" t="s">
        <v>6153</v>
      </c>
    </row>
    <row r="58525" spans="8:8">
      <c r="H58525" s="680" t="s">
        <v>6153</v>
      </c>
    </row>
    <row r="58526" spans="8:8">
      <c r="H58526" s="680" t="s">
        <v>6153</v>
      </c>
    </row>
    <row r="58527" spans="8:8">
      <c r="H58527" s="680" t="s">
        <v>6153</v>
      </c>
    </row>
    <row r="58528" spans="8:8">
      <c r="H58528" s="680" t="s">
        <v>6153</v>
      </c>
    </row>
    <row r="58529" spans="8:8">
      <c r="H58529" s="680" t="s">
        <v>6153</v>
      </c>
    </row>
    <row r="58530" spans="8:8">
      <c r="H58530" s="680" t="s">
        <v>6153</v>
      </c>
    </row>
    <row r="58531" spans="8:8">
      <c r="H58531" s="680" t="s">
        <v>6153</v>
      </c>
    </row>
    <row r="58532" spans="8:8">
      <c r="H58532" s="680" t="s">
        <v>6153</v>
      </c>
    </row>
    <row r="58533" spans="8:8">
      <c r="H58533" s="680" t="s">
        <v>6153</v>
      </c>
    </row>
    <row r="58534" spans="8:8">
      <c r="H58534" s="680" t="s">
        <v>6153</v>
      </c>
    </row>
    <row r="58535" spans="8:8">
      <c r="H58535" s="680" t="s">
        <v>6153</v>
      </c>
    </row>
    <row r="58536" spans="8:8">
      <c r="H58536" s="680" t="s">
        <v>6153</v>
      </c>
    </row>
    <row r="58537" spans="8:8">
      <c r="H58537" s="680" t="s">
        <v>6153</v>
      </c>
    </row>
    <row r="58538" spans="8:8">
      <c r="H58538" s="680" t="s">
        <v>6153</v>
      </c>
    </row>
    <row r="58539" spans="8:8">
      <c r="H58539" s="680" t="s">
        <v>6153</v>
      </c>
    </row>
    <row r="58540" spans="8:8">
      <c r="H58540" s="680" t="s">
        <v>6153</v>
      </c>
    </row>
    <row r="58541" spans="8:8">
      <c r="H58541" s="680" t="s">
        <v>6153</v>
      </c>
    </row>
    <row r="58542" spans="8:8">
      <c r="H58542" s="680" t="s">
        <v>6153</v>
      </c>
    </row>
    <row r="58543" spans="8:8">
      <c r="H58543" s="680" t="s">
        <v>6153</v>
      </c>
    </row>
    <row r="58544" spans="8:8">
      <c r="H58544" s="680" t="s">
        <v>6153</v>
      </c>
    </row>
    <row r="58545" spans="8:8">
      <c r="H58545" s="680" t="s">
        <v>6153</v>
      </c>
    </row>
    <row r="58546" spans="8:8">
      <c r="H58546" s="680" t="s">
        <v>6153</v>
      </c>
    </row>
    <row r="58547" spans="8:8">
      <c r="H58547" s="680" t="s">
        <v>6153</v>
      </c>
    </row>
    <row r="58548" spans="8:8">
      <c r="H58548" s="680" t="s">
        <v>6153</v>
      </c>
    </row>
    <row r="58549" spans="8:8">
      <c r="H58549" s="680" t="s">
        <v>6153</v>
      </c>
    </row>
    <row r="58550" spans="8:8">
      <c r="H58550" s="680" t="s">
        <v>6153</v>
      </c>
    </row>
    <row r="58551" spans="8:8">
      <c r="H58551" s="680" t="s">
        <v>6153</v>
      </c>
    </row>
    <row r="58552" spans="8:8">
      <c r="H58552" s="680" t="s">
        <v>6153</v>
      </c>
    </row>
    <row r="58553" spans="8:8">
      <c r="H58553" s="680" t="s">
        <v>6153</v>
      </c>
    </row>
    <row r="58554" spans="8:8">
      <c r="H58554" s="680" t="s">
        <v>6153</v>
      </c>
    </row>
    <row r="58555" spans="8:8">
      <c r="H58555" s="680" t="s">
        <v>6153</v>
      </c>
    </row>
    <row r="58556" spans="8:8">
      <c r="H58556" s="680" t="s">
        <v>6153</v>
      </c>
    </row>
    <row r="58557" spans="8:8">
      <c r="H58557" s="680" t="s">
        <v>6153</v>
      </c>
    </row>
    <row r="58558" spans="8:8">
      <c r="H58558" s="680" t="s">
        <v>6153</v>
      </c>
    </row>
    <row r="58559" spans="8:8">
      <c r="H58559" s="680" t="s">
        <v>6153</v>
      </c>
    </row>
    <row r="58560" spans="8:8">
      <c r="H58560" s="680" t="s">
        <v>6153</v>
      </c>
    </row>
    <row r="58561" spans="8:8">
      <c r="H58561" s="680" t="s">
        <v>6153</v>
      </c>
    </row>
    <row r="58562" spans="8:8">
      <c r="H58562" s="680" t="s">
        <v>6153</v>
      </c>
    </row>
    <row r="58563" spans="8:8">
      <c r="H58563" s="680" t="s">
        <v>6153</v>
      </c>
    </row>
    <row r="58564" spans="8:8">
      <c r="H58564" s="680" t="s">
        <v>6153</v>
      </c>
    </row>
    <row r="58565" spans="8:8">
      <c r="H58565" s="680" t="s">
        <v>6153</v>
      </c>
    </row>
    <row r="58566" spans="8:8">
      <c r="H58566" s="680" t="s">
        <v>6153</v>
      </c>
    </row>
    <row r="58567" spans="8:8">
      <c r="H58567" s="680" t="s">
        <v>6153</v>
      </c>
    </row>
    <row r="58568" spans="8:8">
      <c r="H58568" s="680" t="s">
        <v>6153</v>
      </c>
    </row>
    <row r="58569" spans="8:8">
      <c r="H58569" s="680" t="s">
        <v>6153</v>
      </c>
    </row>
    <row r="58570" spans="8:8">
      <c r="H58570" s="680" t="s">
        <v>6153</v>
      </c>
    </row>
    <row r="58571" spans="8:8">
      <c r="H58571" s="680" t="s">
        <v>6153</v>
      </c>
    </row>
    <row r="58572" spans="8:8">
      <c r="H58572" s="680" t="s">
        <v>6153</v>
      </c>
    </row>
    <row r="58573" spans="8:8">
      <c r="H58573" s="680" t="s">
        <v>6153</v>
      </c>
    </row>
    <row r="58574" spans="8:8">
      <c r="H58574" s="680" t="s">
        <v>6153</v>
      </c>
    </row>
    <row r="58575" spans="8:8">
      <c r="H58575" s="680" t="s">
        <v>6153</v>
      </c>
    </row>
    <row r="58576" spans="8:8">
      <c r="H58576" s="680" t="s">
        <v>6153</v>
      </c>
    </row>
    <row r="58577" spans="8:8">
      <c r="H58577" s="680" t="s">
        <v>6153</v>
      </c>
    </row>
    <row r="58578" spans="8:8">
      <c r="H58578" s="680" t="s">
        <v>6153</v>
      </c>
    </row>
    <row r="58579" spans="8:8">
      <c r="H58579" s="680" t="s">
        <v>6153</v>
      </c>
    </row>
    <row r="58580" spans="8:8">
      <c r="H58580" s="680" t="s">
        <v>6153</v>
      </c>
    </row>
    <row r="58581" spans="8:8">
      <c r="H58581" s="680" t="s">
        <v>6153</v>
      </c>
    </row>
    <row r="58582" spans="8:8">
      <c r="H58582" s="680" t="s">
        <v>6153</v>
      </c>
    </row>
    <row r="58583" spans="8:8">
      <c r="H58583" s="680" t="s">
        <v>6153</v>
      </c>
    </row>
    <row r="58584" spans="8:8">
      <c r="H58584" s="680" t="s">
        <v>6153</v>
      </c>
    </row>
    <row r="58585" spans="8:8">
      <c r="H58585" s="680" t="s">
        <v>6153</v>
      </c>
    </row>
    <row r="58586" spans="8:8">
      <c r="H58586" s="680" t="s">
        <v>6153</v>
      </c>
    </row>
    <row r="58587" spans="8:8">
      <c r="H58587" s="680" t="s">
        <v>6153</v>
      </c>
    </row>
    <row r="58588" spans="8:8">
      <c r="H58588" s="680" t="s">
        <v>6153</v>
      </c>
    </row>
    <row r="58589" spans="8:8">
      <c r="H58589" s="680" t="s">
        <v>6153</v>
      </c>
    </row>
    <row r="58590" spans="8:8">
      <c r="H58590" s="680" t="s">
        <v>6153</v>
      </c>
    </row>
    <row r="58591" spans="8:8">
      <c r="H58591" s="680" t="s">
        <v>6153</v>
      </c>
    </row>
    <row r="58592" spans="8:8">
      <c r="H58592" s="680" t="s">
        <v>6153</v>
      </c>
    </row>
    <row r="58593" spans="8:8">
      <c r="H58593" s="680" t="s">
        <v>6153</v>
      </c>
    </row>
    <row r="58594" spans="8:8">
      <c r="H58594" s="680" t="s">
        <v>6153</v>
      </c>
    </row>
    <row r="58595" spans="8:8">
      <c r="H58595" s="680" t="s">
        <v>6153</v>
      </c>
    </row>
    <row r="58596" spans="8:8">
      <c r="H58596" s="680" t="s">
        <v>6153</v>
      </c>
    </row>
    <row r="58597" spans="8:8">
      <c r="H58597" s="680" t="s">
        <v>6153</v>
      </c>
    </row>
    <row r="58598" spans="8:8">
      <c r="H58598" s="680" t="s">
        <v>6153</v>
      </c>
    </row>
    <row r="58599" spans="8:8">
      <c r="H58599" s="680" t="s">
        <v>6153</v>
      </c>
    </row>
    <row r="58600" spans="8:8">
      <c r="H58600" s="680" t="s">
        <v>6153</v>
      </c>
    </row>
    <row r="58601" spans="8:8">
      <c r="H58601" s="680" t="s">
        <v>6153</v>
      </c>
    </row>
    <row r="58602" spans="8:8">
      <c r="H58602" s="680" t="s">
        <v>6153</v>
      </c>
    </row>
    <row r="58603" spans="8:8">
      <c r="H58603" s="680" t="s">
        <v>6153</v>
      </c>
    </row>
    <row r="58604" spans="8:8">
      <c r="H58604" s="680" t="s">
        <v>6153</v>
      </c>
    </row>
    <row r="58605" spans="8:8">
      <c r="H58605" s="680" t="s">
        <v>6153</v>
      </c>
    </row>
    <row r="58606" spans="8:8">
      <c r="H58606" s="680" t="s">
        <v>6153</v>
      </c>
    </row>
    <row r="58607" spans="8:8">
      <c r="H58607" s="680" t="s">
        <v>6153</v>
      </c>
    </row>
    <row r="58608" spans="8:8">
      <c r="H58608" s="680" t="s">
        <v>6153</v>
      </c>
    </row>
    <row r="58609" spans="8:8">
      <c r="H58609" s="680" t="s">
        <v>6153</v>
      </c>
    </row>
    <row r="58610" spans="8:8">
      <c r="H58610" s="680" t="s">
        <v>6153</v>
      </c>
    </row>
    <row r="58611" spans="8:8">
      <c r="H58611" s="680" t="s">
        <v>6153</v>
      </c>
    </row>
    <row r="58612" spans="8:8">
      <c r="H58612" s="680" t="s">
        <v>6153</v>
      </c>
    </row>
    <row r="58613" spans="8:8">
      <c r="H58613" s="680" t="s">
        <v>6153</v>
      </c>
    </row>
    <row r="58614" spans="8:8">
      <c r="H58614" s="680" t="s">
        <v>6153</v>
      </c>
    </row>
    <row r="58615" spans="8:8">
      <c r="H58615" s="680" t="s">
        <v>6153</v>
      </c>
    </row>
    <row r="58616" spans="8:8">
      <c r="H58616" s="680" t="s">
        <v>6153</v>
      </c>
    </row>
    <row r="58617" spans="8:8">
      <c r="H58617" s="680" t="s">
        <v>6153</v>
      </c>
    </row>
    <row r="58618" spans="8:8">
      <c r="H58618" s="680" t="s">
        <v>6153</v>
      </c>
    </row>
    <row r="58619" spans="8:8">
      <c r="H58619" s="680" t="s">
        <v>6153</v>
      </c>
    </row>
    <row r="58620" spans="8:8">
      <c r="H58620" s="680" t="s">
        <v>6153</v>
      </c>
    </row>
    <row r="58621" spans="8:8">
      <c r="H58621" s="680" t="s">
        <v>6153</v>
      </c>
    </row>
    <row r="58622" spans="8:8">
      <c r="H58622" s="680" t="s">
        <v>6153</v>
      </c>
    </row>
    <row r="58623" spans="8:8">
      <c r="H58623" s="680" t="s">
        <v>6153</v>
      </c>
    </row>
    <row r="58624" spans="8:8">
      <c r="H58624" s="680" t="s">
        <v>6153</v>
      </c>
    </row>
    <row r="58625" spans="8:8">
      <c r="H58625" s="680" t="s">
        <v>6153</v>
      </c>
    </row>
    <row r="58626" spans="8:8">
      <c r="H58626" s="680" t="s">
        <v>6153</v>
      </c>
    </row>
    <row r="58627" spans="8:8">
      <c r="H58627" s="680" t="s">
        <v>6153</v>
      </c>
    </row>
    <row r="58628" spans="8:8">
      <c r="H58628" s="680" t="s">
        <v>6153</v>
      </c>
    </row>
    <row r="58629" spans="8:8">
      <c r="H58629" s="680" t="s">
        <v>6153</v>
      </c>
    </row>
    <row r="58630" spans="8:8">
      <c r="H58630" s="680" t="s">
        <v>6153</v>
      </c>
    </row>
    <row r="58631" spans="8:8">
      <c r="H58631" s="680" t="s">
        <v>6153</v>
      </c>
    </row>
    <row r="58632" spans="8:8">
      <c r="H58632" s="680" t="s">
        <v>6153</v>
      </c>
    </row>
    <row r="58633" spans="8:8">
      <c r="H58633" s="680" t="s">
        <v>6153</v>
      </c>
    </row>
    <row r="58634" spans="8:8">
      <c r="H58634" s="680" t="s">
        <v>6153</v>
      </c>
    </row>
    <row r="58635" spans="8:8">
      <c r="H58635" s="680" t="s">
        <v>6153</v>
      </c>
    </row>
    <row r="58636" spans="8:8">
      <c r="H58636" s="680" t="s">
        <v>6153</v>
      </c>
    </row>
    <row r="58637" spans="8:8">
      <c r="H58637" s="680" t="s">
        <v>6153</v>
      </c>
    </row>
    <row r="58638" spans="8:8">
      <c r="H58638" s="680" t="s">
        <v>6153</v>
      </c>
    </row>
    <row r="58639" spans="8:8">
      <c r="H58639" s="680" t="s">
        <v>6153</v>
      </c>
    </row>
    <row r="58640" spans="8:8">
      <c r="H58640" s="680" t="s">
        <v>6153</v>
      </c>
    </row>
    <row r="58641" spans="8:8">
      <c r="H58641" s="680" t="s">
        <v>6153</v>
      </c>
    </row>
    <row r="58642" spans="8:8">
      <c r="H58642" s="680" t="s">
        <v>6153</v>
      </c>
    </row>
    <row r="58643" spans="8:8">
      <c r="H58643" s="680" t="s">
        <v>6153</v>
      </c>
    </row>
    <row r="58644" spans="8:8">
      <c r="H58644" s="680" t="s">
        <v>6153</v>
      </c>
    </row>
    <row r="58645" spans="8:8">
      <c r="H58645" s="680" t="s">
        <v>6153</v>
      </c>
    </row>
    <row r="58646" spans="8:8">
      <c r="H58646" s="680" t="s">
        <v>6153</v>
      </c>
    </row>
    <row r="58647" spans="8:8">
      <c r="H58647" s="680" t="s">
        <v>6153</v>
      </c>
    </row>
    <row r="58648" spans="8:8">
      <c r="H58648" s="680" t="s">
        <v>6153</v>
      </c>
    </row>
    <row r="58649" spans="8:8">
      <c r="H58649" s="680" t="s">
        <v>6153</v>
      </c>
    </row>
    <row r="58650" spans="8:8">
      <c r="H58650" s="680" t="s">
        <v>6153</v>
      </c>
    </row>
    <row r="58651" spans="8:8">
      <c r="H58651" s="680" t="s">
        <v>6153</v>
      </c>
    </row>
    <row r="58652" spans="8:8">
      <c r="H58652" s="680" t="s">
        <v>6153</v>
      </c>
    </row>
    <row r="58653" spans="8:8">
      <c r="H58653" s="680" t="s">
        <v>6153</v>
      </c>
    </row>
    <row r="58654" spans="8:8">
      <c r="H58654" s="680" t="s">
        <v>6153</v>
      </c>
    </row>
    <row r="58655" spans="8:8">
      <c r="H58655" s="680" t="s">
        <v>6153</v>
      </c>
    </row>
    <row r="58656" spans="8:8">
      <c r="H58656" s="680" t="s">
        <v>6153</v>
      </c>
    </row>
    <row r="58657" spans="8:8">
      <c r="H58657" s="680" t="s">
        <v>6153</v>
      </c>
    </row>
    <row r="58658" spans="8:8">
      <c r="H58658" s="680" t="s">
        <v>6153</v>
      </c>
    </row>
    <row r="58659" spans="8:8">
      <c r="H58659" s="680" t="s">
        <v>6153</v>
      </c>
    </row>
    <row r="58660" spans="8:8">
      <c r="H58660" s="680" t="s">
        <v>6153</v>
      </c>
    </row>
    <row r="58661" spans="8:8">
      <c r="H58661" s="680" t="s">
        <v>6153</v>
      </c>
    </row>
    <row r="58662" spans="8:8">
      <c r="H58662" s="680" t="s">
        <v>6153</v>
      </c>
    </row>
    <row r="58663" spans="8:8">
      <c r="H58663" s="680" t="s">
        <v>6153</v>
      </c>
    </row>
    <row r="58664" spans="8:8">
      <c r="H58664" s="680" t="s">
        <v>6153</v>
      </c>
    </row>
    <row r="58665" spans="8:8">
      <c r="H58665" s="680" t="s">
        <v>6153</v>
      </c>
    </row>
    <row r="58666" spans="8:8">
      <c r="H58666" s="680" t="s">
        <v>6153</v>
      </c>
    </row>
    <row r="58667" spans="8:8">
      <c r="H58667" s="680" t="s">
        <v>6153</v>
      </c>
    </row>
    <row r="58668" spans="8:8">
      <c r="H58668" s="680" t="s">
        <v>6153</v>
      </c>
    </row>
    <row r="58669" spans="8:8">
      <c r="H58669" s="680" t="s">
        <v>6153</v>
      </c>
    </row>
    <row r="58670" spans="8:8">
      <c r="H58670" s="680" t="s">
        <v>6153</v>
      </c>
    </row>
    <row r="58671" spans="8:8">
      <c r="H58671" s="680" t="s">
        <v>6153</v>
      </c>
    </row>
    <row r="58672" spans="8:8">
      <c r="H58672" s="680" t="s">
        <v>6153</v>
      </c>
    </row>
    <row r="58673" spans="8:8">
      <c r="H58673" s="680" t="s">
        <v>6153</v>
      </c>
    </row>
    <row r="58674" spans="8:8">
      <c r="H58674" s="680" t="s">
        <v>6153</v>
      </c>
    </row>
    <row r="58675" spans="8:8">
      <c r="H58675" s="680" t="s">
        <v>6153</v>
      </c>
    </row>
    <row r="58676" spans="8:8">
      <c r="H58676" s="680" t="s">
        <v>6153</v>
      </c>
    </row>
    <row r="58677" spans="8:8">
      <c r="H58677" s="680" t="s">
        <v>6153</v>
      </c>
    </row>
    <row r="58678" spans="8:8">
      <c r="H58678" s="680" t="s">
        <v>6153</v>
      </c>
    </row>
    <row r="58679" spans="8:8">
      <c r="H58679" s="680" t="s">
        <v>6153</v>
      </c>
    </row>
    <row r="58680" spans="8:8">
      <c r="H58680" s="680" t="s">
        <v>6153</v>
      </c>
    </row>
    <row r="58681" spans="8:8">
      <c r="H58681" s="680" t="s">
        <v>6153</v>
      </c>
    </row>
    <row r="58682" spans="8:8">
      <c r="H58682" s="680" t="s">
        <v>6153</v>
      </c>
    </row>
    <row r="58683" spans="8:8">
      <c r="H58683" s="680" t="s">
        <v>6153</v>
      </c>
    </row>
    <row r="58684" spans="8:8">
      <c r="H58684" s="680" t="s">
        <v>6153</v>
      </c>
    </row>
    <row r="58685" spans="8:8">
      <c r="H58685" s="680" t="s">
        <v>6153</v>
      </c>
    </row>
    <row r="58686" spans="8:8">
      <c r="H58686" s="680" t="s">
        <v>6153</v>
      </c>
    </row>
    <row r="58687" spans="8:8">
      <c r="H58687" s="680" t="s">
        <v>6153</v>
      </c>
    </row>
    <row r="58688" spans="8:8">
      <c r="H58688" s="680" t="s">
        <v>6153</v>
      </c>
    </row>
    <row r="58689" spans="8:8">
      <c r="H58689" s="680" t="s">
        <v>6153</v>
      </c>
    </row>
    <row r="58690" spans="8:8">
      <c r="H58690" s="680" t="s">
        <v>6153</v>
      </c>
    </row>
    <row r="58691" spans="8:8">
      <c r="H58691" s="680" t="s">
        <v>6153</v>
      </c>
    </row>
    <row r="58692" spans="8:8">
      <c r="H58692" s="680" t="s">
        <v>6153</v>
      </c>
    </row>
    <row r="58693" spans="8:8">
      <c r="H58693" s="680" t="s">
        <v>6153</v>
      </c>
    </row>
    <row r="58694" spans="8:8">
      <c r="H58694" s="680" t="s">
        <v>6153</v>
      </c>
    </row>
    <row r="58695" spans="8:8">
      <c r="H58695" s="680" t="s">
        <v>6153</v>
      </c>
    </row>
    <row r="58696" spans="8:8">
      <c r="H58696" s="680" t="s">
        <v>6153</v>
      </c>
    </row>
    <row r="58697" spans="8:8">
      <c r="H58697" s="680" t="s">
        <v>6153</v>
      </c>
    </row>
    <row r="58698" spans="8:8">
      <c r="H58698" s="680" t="s">
        <v>6153</v>
      </c>
    </row>
    <row r="58699" spans="8:8">
      <c r="H58699" s="680" t="s">
        <v>6153</v>
      </c>
    </row>
    <row r="58700" spans="8:8">
      <c r="H58700" s="680" t="s">
        <v>6153</v>
      </c>
    </row>
    <row r="58701" spans="8:8">
      <c r="H58701" s="680" t="s">
        <v>6153</v>
      </c>
    </row>
    <row r="58702" spans="8:8">
      <c r="H58702" s="680" t="s">
        <v>6153</v>
      </c>
    </row>
    <row r="58703" spans="8:8">
      <c r="H58703" s="680" t="s">
        <v>6153</v>
      </c>
    </row>
    <row r="58704" spans="8:8">
      <c r="H58704" s="680" t="s">
        <v>6153</v>
      </c>
    </row>
    <row r="58705" spans="8:8">
      <c r="H58705" s="680" t="s">
        <v>6153</v>
      </c>
    </row>
    <row r="58706" spans="8:8">
      <c r="H58706" s="680" t="s">
        <v>6153</v>
      </c>
    </row>
    <row r="58707" spans="8:8">
      <c r="H58707" s="680" t="s">
        <v>6153</v>
      </c>
    </row>
    <row r="58708" spans="8:8">
      <c r="H58708" s="680" t="s">
        <v>6153</v>
      </c>
    </row>
    <row r="58709" spans="8:8">
      <c r="H58709" s="680" t="s">
        <v>6153</v>
      </c>
    </row>
    <row r="58710" spans="8:8">
      <c r="H58710" s="680" t="s">
        <v>6153</v>
      </c>
    </row>
    <row r="58711" spans="8:8">
      <c r="H58711" s="680" t="s">
        <v>6153</v>
      </c>
    </row>
    <row r="58712" spans="8:8">
      <c r="H58712" s="680" t="s">
        <v>6153</v>
      </c>
    </row>
    <row r="58713" spans="8:8">
      <c r="H58713" s="680" t="s">
        <v>6153</v>
      </c>
    </row>
    <row r="58714" spans="8:8">
      <c r="H58714" s="680" t="s">
        <v>6153</v>
      </c>
    </row>
    <row r="58715" spans="8:8">
      <c r="H58715" s="680" t="s">
        <v>6153</v>
      </c>
    </row>
    <row r="58716" spans="8:8">
      <c r="H58716" s="680" t="s">
        <v>6153</v>
      </c>
    </row>
    <row r="58717" spans="8:8">
      <c r="H58717" s="680" t="s">
        <v>6153</v>
      </c>
    </row>
    <row r="58718" spans="8:8">
      <c r="H58718" s="680" t="s">
        <v>6153</v>
      </c>
    </row>
    <row r="58719" spans="8:8">
      <c r="H58719" s="680" t="s">
        <v>6153</v>
      </c>
    </row>
    <row r="58720" spans="8:8">
      <c r="H58720" s="680" t="s">
        <v>6153</v>
      </c>
    </row>
    <row r="58721" spans="8:8">
      <c r="H58721" s="680" t="s">
        <v>6153</v>
      </c>
    </row>
    <row r="58722" spans="8:8">
      <c r="H58722" s="680" t="s">
        <v>6153</v>
      </c>
    </row>
    <row r="58723" spans="8:8">
      <c r="H58723" s="680" t="s">
        <v>6153</v>
      </c>
    </row>
    <row r="58724" spans="8:8">
      <c r="H58724" s="680" t="s">
        <v>6153</v>
      </c>
    </row>
    <row r="58725" spans="8:8">
      <c r="H58725" s="680" t="s">
        <v>6153</v>
      </c>
    </row>
    <row r="58726" spans="8:8">
      <c r="H58726" s="680" t="s">
        <v>6153</v>
      </c>
    </row>
    <row r="58727" spans="8:8">
      <c r="H58727" s="680" t="s">
        <v>6153</v>
      </c>
    </row>
    <row r="58728" spans="8:8">
      <c r="H58728" s="680" t="s">
        <v>6153</v>
      </c>
    </row>
    <row r="58729" spans="8:8">
      <c r="H58729" s="680" t="s">
        <v>6153</v>
      </c>
    </row>
    <row r="58730" spans="8:8">
      <c r="H58730" s="680" t="s">
        <v>6153</v>
      </c>
    </row>
    <row r="58731" spans="8:8">
      <c r="H58731" s="680" t="s">
        <v>6153</v>
      </c>
    </row>
    <row r="58732" spans="8:8">
      <c r="H58732" s="680" t="s">
        <v>6153</v>
      </c>
    </row>
    <row r="58733" spans="8:8">
      <c r="H58733" s="680" t="s">
        <v>6153</v>
      </c>
    </row>
    <row r="58734" spans="8:8">
      <c r="H58734" s="680" t="s">
        <v>6153</v>
      </c>
    </row>
    <row r="58735" spans="8:8">
      <c r="H58735" s="680" t="s">
        <v>6153</v>
      </c>
    </row>
    <row r="58736" spans="8:8">
      <c r="H58736" s="680" t="s">
        <v>6153</v>
      </c>
    </row>
    <row r="58737" spans="8:8">
      <c r="H58737" s="680" t="s">
        <v>6153</v>
      </c>
    </row>
    <row r="58738" spans="8:8">
      <c r="H58738" s="680" t="s">
        <v>6153</v>
      </c>
    </row>
    <row r="58739" spans="8:8">
      <c r="H58739" s="680" t="s">
        <v>6153</v>
      </c>
    </row>
    <row r="58740" spans="8:8">
      <c r="H58740" s="680" t="s">
        <v>6153</v>
      </c>
    </row>
    <row r="58741" spans="8:8">
      <c r="H58741" s="680" t="s">
        <v>6153</v>
      </c>
    </row>
    <row r="58742" spans="8:8">
      <c r="H58742" s="680" t="s">
        <v>6153</v>
      </c>
    </row>
    <row r="58743" spans="8:8">
      <c r="H58743" s="680" t="s">
        <v>6153</v>
      </c>
    </row>
    <row r="58744" spans="8:8">
      <c r="H58744" s="680" t="s">
        <v>6153</v>
      </c>
    </row>
    <row r="58745" spans="8:8">
      <c r="H58745" s="680" t="s">
        <v>6153</v>
      </c>
    </row>
    <row r="58746" spans="8:8">
      <c r="H58746" s="680" t="s">
        <v>6153</v>
      </c>
    </row>
    <row r="58747" spans="8:8">
      <c r="H58747" s="680" t="s">
        <v>6153</v>
      </c>
    </row>
    <row r="58748" spans="8:8">
      <c r="H58748" s="680" t="s">
        <v>6153</v>
      </c>
    </row>
    <row r="58749" spans="8:8">
      <c r="H58749" s="680" t="s">
        <v>6153</v>
      </c>
    </row>
    <row r="58750" spans="8:8">
      <c r="H58750" s="680" t="s">
        <v>6153</v>
      </c>
    </row>
    <row r="58751" spans="8:8">
      <c r="H58751" s="680" t="s">
        <v>6153</v>
      </c>
    </row>
    <row r="58752" spans="8:8">
      <c r="H58752" s="680" t="s">
        <v>6153</v>
      </c>
    </row>
    <row r="58753" spans="8:8">
      <c r="H58753" s="680" t="s">
        <v>6153</v>
      </c>
    </row>
    <row r="58754" spans="8:8">
      <c r="H58754" s="680" t="s">
        <v>6153</v>
      </c>
    </row>
    <row r="58755" spans="8:8">
      <c r="H58755" s="680" t="s">
        <v>6153</v>
      </c>
    </row>
    <row r="58756" spans="8:8">
      <c r="H58756" s="680" t="s">
        <v>6153</v>
      </c>
    </row>
    <row r="58757" spans="8:8">
      <c r="H58757" s="680" t="s">
        <v>6153</v>
      </c>
    </row>
    <row r="58758" spans="8:8">
      <c r="H58758" s="680" t="s">
        <v>6153</v>
      </c>
    </row>
    <row r="58759" spans="8:8">
      <c r="H58759" s="680" t="s">
        <v>6153</v>
      </c>
    </row>
    <row r="58760" spans="8:8">
      <c r="H58760" s="680" t="s">
        <v>6153</v>
      </c>
    </row>
    <row r="58761" spans="8:8">
      <c r="H58761" s="680" t="s">
        <v>6153</v>
      </c>
    </row>
    <row r="58762" spans="8:8">
      <c r="H58762" s="680" t="s">
        <v>6153</v>
      </c>
    </row>
    <row r="58763" spans="8:8">
      <c r="H58763" s="680" t="s">
        <v>6153</v>
      </c>
    </row>
    <row r="58764" spans="8:8">
      <c r="H58764" s="680" t="s">
        <v>6153</v>
      </c>
    </row>
    <row r="58765" spans="8:8">
      <c r="H58765" s="680" t="s">
        <v>6153</v>
      </c>
    </row>
    <row r="58766" spans="8:8">
      <c r="H58766" s="680" t="s">
        <v>6153</v>
      </c>
    </row>
    <row r="58767" spans="8:8">
      <c r="H58767" s="680" t="s">
        <v>6153</v>
      </c>
    </row>
    <row r="58768" spans="8:8">
      <c r="H58768" s="680" t="s">
        <v>6153</v>
      </c>
    </row>
    <row r="58769" spans="8:8">
      <c r="H58769" s="680" t="s">
        <v>6153</v>
      </c>
    </row>
    <row r="58770" spans="8:8">
      <c r="H58770" s="680" t="s">
        <v>6153</v>
      </c>
    </row>
    <row r="58771" spans="8:8">
      <c r="H58771" s="680" t="s">
        <v>6153</v>
      </c>
    </row>
    <row r="58772" spans="8:8">
      <c r="H58772" s="680" t="s">
        <v>6153</v>
      </c>
    </row>
    <row r="58773" spans="8:8">
      <c r="H58773" s="680" t="s">
        <v>6153</v>
      </c>
    </row>
    <row r="58774" spans="8:8">
      <c r="H58774" s="680" t="s">
        <v>6153</v>
      </c>
    </row>
    <row r="58775" spans="8:8">
      <c r="H58775" s="680" t="s">
        <v>6153</v>
      </c>
    </row>
    <row r="58776" spans="8:8">
      <c r="H58776" s="680" t="s">
        <v>6153</v>
      </c>
    </row>
    <row r="58777" spans="8:8">
      <c r="H58777" s="680" t="s">
        <v>6153</v>
      </c>
    </row>
    <row r="58778" spans="8:8">
      <c r="H58778" s="680" t="s">
        <v>6153</v>
      </c>
    </row>
    <row r="58779" spans="8:8">
      <c r="H58779" s="680" t="s">
        <v>6153</v>
      </c>
    </row>
    <row r="58780" spans="8:8">
      <c r="H58780" s="680" t="s">
        <v>6153</v>
      </c>
    </row>
    <row r="58781" spans="8:8">
      <c r="H58781" s="680" t="s">
        <v>6153</v>
      </c>
    </row>
    <row r="58782" spans="8:8">
      <c r="H58782" s="680" t="s">
        <v>6153</v>
      </c>
    </row>
    <row r="58783" spans="8:8">
      <c r="H58783" s="680" t="s">
        <v>6153</v>
      </c>
    </row>
    <row r="58784" spans="8:8">
      <c r="H58784" s="680" t="s">
        <v>6153</v>
      </c>
    </row>
    <row r="58785" spans="8:8">
      <c r="H58785" s="680" t="s">
        <v>6153</v>
      </c>
    </row>
    <row r="58786" spans="8:8">
      <c r="H58786" s="680" t="s">
        <v>6153</v>
      </c>
    </row>
    <row r="58787" spans="8:8">
      <c r="H58787" s="680" t="s">
        <v>6153</v>
      </c>
    </row>
    <row r="58788" spans="8:8">
      <c r="H58788" s="680" t="s">
        <v>6153</v>
      </c>
    </row>
    <row r="58789" spans="8:8">
      <c r="H58789" s="680" t="s">
        <v>6153</v>
      </c>
    </row>
    <row r="58790" spans="8:8">
      <c r="H58790" s="680" t="s">
        <v>6153</v>
      </c>
    </row>
    <row r="58791" spans="8:8">
      <c r="H58791" s="680" t="s">
        <v>6153</v>
      </c>
    </row>
    <row r="58792" spans="8:8">
      <c r="H58792" s="680" t="s">
        <v>6153</v>
      </c>
    </row>
    <row r="58793" spans="8:8">
      <c r="H58793" s="680" t="s">
        <v>6153</v>
      </c>
    </row>
    <row r="58794" spans="8:8">
      <c r="H58794" s="680" t="s">
        <v>6153</v>
      </c>
    </row>
    <row r="58795" spans="8:8">
      <c r="H58795" s="680" t="s">
        <v>6153</v>
      </c>
    </row>
    <row r="58796" spans="8:8">
      <c r="H58796" s="680" t="s">
        <v>6153</v>
      </c>
    </row>
    <row r="58797" spans="8:8">
      <c r="H58797" s="680" t="s">
        <v>6153</v>
      </c>
    </row>
    <row r="58798" spans="8:8">
      <c r="H58798" s="680" t="s">
        <v>6153</v>
      </c>
    </row>
    <row r="58799" spans="8:8">
      <c r="H58799" s="680" t="s">
        <v>6153</v>
      </c>
    </row>
    <row r="58800" spans="8:8">
      <c r="H58800" s="680" t="s">
        <v>6153</v>
      </c>
    </row>
    <row r="58801" spans="8:8">
      <c r="H58801" s="680" t="s">
        <v>6153</v>
      </c>
    </row>
    <row r="58802" spans="8:8">
      <c r="H58802" s="680" t="s">
        <v>6153</v>
      </c>
    </row>
    <row r="58803" spans="8:8">
      <c r="H58803" s="680" t="s">
        <v>6153</v>
      </c>
    </row>
    <row r="58804" spans="8:8">
      <c r="H58804" s="680" t="s">
        <v>6153</v>
      </c>
    </row>
    <row r="58805" spans="8:8">
      <c r="H58805" s="680" t="s">
        <v>6153</v>
      </c>
    </row>
    <row r="58806" spans="8:8">
      <c r="H58806" s="680" t="s">
        <v>6153</v>
      </c>
    </row>
    <row r="58807" spans="8:8">
      <c r="H58807" s="680" t="s">
        <v>6153</v>
      </c>
    </row>
    <row r="58808" spans="8:8">
      <c r="H58808" s="680" t="s">
        <v>6153</v>
      </c>
    </row>
    <row r="58809" spans="8:8">
      <c r="H58809" s="680" t="s">
        <v>6153</v>
      </c>
    </row>
    <row r="58810" spans="8:8">
      <c r="H58810" s="680" t="s">
        <v>6153</v>
      </c>
    </row>
    <row r="58811" spans="8:8">
      <c r="H58811" s="680" t="s">
        <v>6153</v>
      </c>
    </row>
    <row r="58812" spans="8:8">
      <c r="H58812" s="680" t="s">
        <v>6153</v>
      </c>
    </row>
    <row r="58813" spans="8:8">
      <c r="H58813" s="680" t="s">
        <v>6153</v>
      </c>
    </row>
    <row r="58814" spans="8:8">
      <c r="H58814" s="680" t="s">
        <v>6153</v>
      </c>
    </row>
    <row r="58815" spans="8:8">
      <c r="H58815" s="680" t="s">
        <v>6153</v>
      </c>
    </row>
    <row r="58816" spans="8:8">
      <c r="H58816" s="680" t="s">
        <v>6153</v>
      </c>
    </row>
    <row r="58817" spans="8:8">
      <c r="H58817" s="680" t="s">
        <v>6153</v>
      </c>
    </row>
    <row r="58818" spans="8:8">
      <c r="H58818" s="680" t="s">
        <v>6153</v>
      </c>
    </row>
    <row r="58819" spans="8:8">
      <c r="H58819" s="680" t="s">
        <v>6153</v>
      </c>
    </row>
    <row r="58820" spans="8:8">
      <c r="H58820" s="680" t="s">
        <v>6153</v>
      </c>
    </row>
    <row r="58821" spans="8:8">
      <c r="H58821" s="680" t="s">
        <v>6153</v>
      </c>
    </row>
    <row r="58822" spans="8:8">
      <c r="H58822" s="680" t="s">
        <v>6153</v>
      </c>
    </row>
    <row r="58823" spans="8:8">
      <c r="H58823" s="680" t="s">
        <v>6153</v>
      </c>
    </row>
    <row r="58824" spans="8:8">
      <c r="H58824" s="680" t="s">
        <v>6153</v>
      </c>
    </row>
    <row r="58825" spans="8:8">
      <c r="H58825" s="680" t="s">
        <v>6153</v>
      </c>
    </row>
    <row r="58826" spans="8:8">
      <c r="H58826" s="680" t="s">
        <v>6153</v>
      </c>
    </row>
    <row r="58827" spans="8:8">
      <c r="H58827" s="680" t="s">
        <v>6153</v>
      </c>
    </row>
    <row r="58828" spans="8:8">
      <c r="H58828" s="680" t="s">
        <v>6153</v>
      </c>
    </row>
    <row r="58829" spans="8:8">
      <c r="H58829" s="680" t="s">
        <v>6153</v>
      </c>
    </row>
    <row r="58830" spans="8:8">
      <c r="H58830" s="680" t="s">
        <v>6153</v>
      </c>
    </row>
    <row r="58831" spans="8:8">
      <c r="H58831" s="680" t="s">
        <v>6153</v>
      </c>
    </row>
    <row r="58832" spans="8:8">
      <c r="H58832" s="680" t="s">
        <v>6153</v>
      </c>
    </row>
    <row r="58833" spans="8:8">
      <c r="H58833" s="680" t="s">
        <v>6153</v>
      </c>
    </row>
    <row r="58834" spans="8:8">
      <c r="H58834" s="680" t="s">
        <v>6153</v>
      </c>
    </row>
    <row r="58835" spans="8:8">
      <c r="H58835" s="680" t="s">
        <v>6153</v>
      </c>
    </row>
    <row r="58836" spans="8:8">
      <c r="H58836" s="680" t="s">
        <v>6153</v>
      </c>
    </row>
    <row r="58837" spans="8:8">
      <c r="H58837" s="680" t="s">
        <v>6153</v>
      </c>
    </row>
    <row r="58838" spans="8:8">
      <c r="H58838" s="680" t="s">
        <v>6153</v>
      </c>
    </row>
    <row r="58839" spans="8:8">
      <c r="H58839" s="680" t="s">
        <v>6153</v>
      </c>
    </row>
    <row r="58840" spans="8:8">
      <c r="H58840" s="680" t="s">
        <v>6153</v>
      </c>
    </row>
    <row r="58841" spans="8:8">
      <c r="H58841" s="680" t="s">
        <v>6153</v>
      </c>
    </row>
    <row r="58842" spans="8:8">
      <c r="H58842" s="680" t="s">
        <v>6153</v>
      </c>
    </row>
    <row r="58843" spans="8:8">
      <c r="H58843" s="680" t="s">
        <v>6153</v>
      </c>
    </row>
    <row r="58844" spans="8:8">
      <c r="H58844" s="680" t="s">
        <v>6153</v>
      </c>
    </row>
    <row r="58845" spans="8:8">
      <c r="H58845" s="680" t="s">
        <v>6153</v>
      </c>
    </row>
    <row r="58846" spans="8:8">
      <c r="H58846" s="680" t="s">
        <v>6153</v>
      </c>
    </row>
    <row r="58847" spans="8:8">
      <c r="H58847" s="680" t="s">
        <v>6153</v>
      </c>
    </row>
    <row r="58848" spans="8:8">
      <c r="H58848" s="680" t="s">
        <v>6153</v>
      </c>
    </row>
    <row r="58849" spans="8:8">
      <c r="H58849" s="680" t="s">
        <v>6153</v>
      </c>
    </row>
    <row r="58850" spans="8:8">
      <c r="H58850" s="680" t="s">
        <v>6153</v>
      </c>
    </row>
    <row r="58851" spans="8:8">
      <c r="H58851" s="680" t="s">
        <v>6153</v>
      </c>
    </row>
    <row r="58852" spans="8:8">
      <c r="H58852" s="680" t="s">
        <v>6153</v>
      </c>
    </row>
    <row r="58853" spans="8:8">
      <c r="H58853" s="680" t="s">
        <v>6153</v>
      </c>
    </row>
    <row r="58854" spans="8:8">
      <c r="H58854" s="680" t="s">
        <v>6153</v>
      </c>
    </row>
    <row r="58855" spans="8:8">
      <c r="H58855" s="680" t="s">
        <v>6153</v>
      </c>
    </row>
    <row r="58856" spans="8:8">
      <c r="H58856" s="680" t="s">
        <v>6153</v>
      </c>
    </row>
    <row r="58857" spans="8:8">
      <c r="H58857" s="680" t="s">
        <v>6153</v>
      </c>
    </row>
    <row r="58858" spans="8:8">
      <c r="H58858" s="680" t="s">
        <v>6153</v>
      </c>
    </row>
    <row r="58859" spans="8:8">
      <c r="H58859" s="680" t="s">
        <v>6153</v>
      </c>
    </row>
    <row r="58860" spans="8:8">
      <c r="H58860" s="680" t="s">
        <v>6153</v>
      </c>
    </row>
    <row r="58861" spans="8:8">
      <c r="H58861" s="680" t="s">
        <v>6153</v>
      </c>
    </row>
    <row r="58862" spans="8:8">
      <c r="H58862" s="680" t="s">
        <v>6153</v>
      </c>
    </row>
    <row r="58863" spans="8:8">
      <c r="H58863" s="680" t="s">
        <v>6153</v>
      </c>
    </row>
    <row r="58864" spans="8:8">
      <c r="H58864" s="680" t="s">
        <v>6153</v>
      </c>
    </row>
    <row r="58865" spans="8:8">
      <c r="H58865" s="680" t="s">
        <v>6153</v>
      </c>
    </row>
    <row r="58866" spans="8:8">
      <c r="H58866" s="680" t="s">
        <v>6153</v>
      </c>
    </row>
    <row r="58867" spans="8:8">
      <c r="H58867" s="680" t="s">
        <v>6153</v>
      </c>
    </row>
    <row r="58868" spans="8:8">
      <c r="H58868" s="680" t="s">
        <v>6153</v>
      </c>
    </row>
    <row r="58869" spans="8:8">
      <c r="H58869" s="680" t="s">
        <v>6153</v>
      </c>
    </row>
    <row r="58870" spans="8:8">
      <c r="H58870" s="680" t="s">
        <v>6153</v>
      </c>
    </row>
    <row r="58871" spans="8:8">
      <c r="H58871" s="680" t="s">
        <v>6153</v>
      </c>
    </row>
    <row r="58872" spans="8:8">
      <c r="H58872" s="680" t="s">
        <v>6153</v>
      </c>
    </row>
    <row r="58873" spans="8:8">
      <c r="H58873" s="680" t="s">
        <v>6153</v>
      </c>
    </row>
    <row r="58874" spans="8:8">
      <c r="H58874" s="680" t="s">
        <v>6153</v>
      </c>
    </row>
    <row r="58875" spans="8:8">
      <c r="H58875" s="680" t="s">
        <v>6153</v>
      </c>
    </row>
    <row r="58876" spans="8:8">
      <c r="H58876" s="680" t="s">
        <v>6153</v>
      </c>
    </row>
    <row r="58877" spans="8:8">
      <c r="H58877" s="680" t="s">
        <v>6153</v>
      </c>
    </row>
    <row r="58878" spans="8:8">
      <c r="H58878" s="680" t="s">
        <v>6153</v>
      </c>
    </row>
    <row r="58879" spans="8:8">
      <c r="H58879" s="680" t="s">
        <v>6153</v>
      </c>
    </row>
    <row r="58880" spans="8:8">
      <c r="H58880" s="680" t="s">
        <v>6153</v>
      </c>
    </row>
    <row r="58881" spans="8:8">
      <c r="H58881" s="680" t="s">
        <v>6153</v>
      </c>
    </row>
    <row r="58882" spans="8:8">
      <c r="H58882" s="680" t="s">
        <v>6153</v>
      </c>
    </row>
    <row r="58883" spans="8:8">
      <c r="H58883" s="680" t="s">
        <v>6153</v>
      </c>
    </row>
    <row r="58884" spans="8:8">
      <c r="H58884" s="680" t="s">
        <v>6153</v>
      </c>
    </row>
    <row r="58885" spans="8:8">
      <c r="H58885" s="680" t="s">
        <v>6153</v>
      </c>
    </row>
    <row r="58886" spans="8:8">
      <c r="H58886" s="680" t="s">
        <v>6153</v>
      </c>
    </row>
    <row r="58887" spans="8:8">
      <c r="H58887" s="680" t="s">
        <v>6153</v>
      </c>
    </row>
    <row r="58888" spans="8:8">
      <c r="H58888" s="680" t="s">
        <v>6153</v>
      </c>
    </row>
    <row r="58889" spans="8:8">
      <c r="H58889" s="680" t="s">
        <v>6153</v>
      </c>
    </row>
    <row r="58890" spans="8:8">
      <c r="H58890" s="680" t="s">
        <v>6153</v>
      </c>
    </row>
    <row r="58891" spans="8:8">
      <c r="H58891" s="680" t="s">
        <v>6153</v>
      </c>
    </row>
    <row r="58892" spans="8:8">
      <c r="H58892" s="680" t="s">
        <v>6153</v>
      </c>
    </row>
    <row r="58893" spans="8:8">
      <c r="H58893" s="680" t="s">
        <v>6153</v>
      </c>
    </row>
    <row r="58894" spans="8:8">
      <c r="H58894" s="680" t="s">
        <v>6153</v>
      </c>
    </row>
    <row r="58895" spans="8:8">
      <c r="H58895" s="680" t="s">
        <v>6153</v>
      </c>
    </row>
    <row r="58896" spans="8:8">
      <c r="H58896" s="680" t="s">
        <v>6153</v>
      </c>
    </row>
    <row r="58897" spans="8:8">
      <c r="H58897" s="680" t="s">
        <v>6153</v>
      </c>
    </row>
    <row r="58898" spans="8:8">
      <c r="H58898" s="680" t="s">
        <v>6153</v>
      </c>
    </row>
    <row r="58899" spans="8:8">
      <c r="H58899" s="680" t="s">
        <v>6153</v>
      </c>
    </row>
    <row r="58900" spans="8:8">
      <c r="H58900" s="680" t="s">
        <v>6153</v>
      </c>
    </row>
    <row r="58901" spans="8:8">
      <c r="H58901" s="680" t="s">
        <v>6153</v>
      </c>
    </row>
    <row r="58902" spans="8:8">
      <c r="H58902" s="680" t="s">
        <v>6153</v>
      </c>
    </row>
    <row r="58903" spans="8:8">
      <c r="H58903" s="680" t="s">
        <v>6153</v>
      </c>
    </row>
    <row r="58904" spans="8:8">
      <c r="H58904" s="680" t="s">
        <v>6153</v>
      </c>
    </row>
    <row r="58905" spans="8:8">
      <c r="H58905" s="680" t="s">
        <v>6153</v>
      </c>
    </row>
    <row r="58906" spans="8:8">
      <c r="H58906" s="680" t="s">
        <v>6153</v>
      </c>
    </row>
    <row r="58907" spans="8:8">
      <c r="H58907" s="680" t="s">
        <v>6153</v>
      </c>
    </row>
    <row r="58908" spans="8:8">
      <c r="H58908" s="680" t="s">
        <v>6153</v>
      </c>
    </row>
    <row r="58909" spans="8:8">
      <c r="H58909" s="680" t="s">
        <v>6153</v>
      </c>
    </row>
    <row r="58910" spans="8:8">
      <c r="H58910" s="680" t="s">
        <v>6153</v>
      </c>
    </row>
    <row r="58911" spans="8:8">
      <c r="H58911" s="680" t="s">
        <v>6153</v>
      </c>
    </row>
    <row r="58912" spans="8:8">
      <c r="H58912" s="680" t="s">
        <v>6153</v>
      </c>
    </row>
    <row r="58913" spans="8:8">
      <c r="H58913" s="680" t="s">
        <v>6153</v>
      </c>
    </row>
    <row r="58914" spans="8:8">
      <c r="H58914" s="680" t="s">
        <v>6153</v>
      </c>
    </row>
    <row r="58915" spans="8:8">
      <c r="H58915" s="680" t="s">
        <v>6153</v>
      </c>
    </row>
    <row r="58916" spans="8:8">
      <c r="H58916" s="680" t="s">
        <v>6153</v>
      </c>
    </row>
    <row r="58917" spans="8:8">
      <c r="H58917" s="680" t="s">
        <v>6153</v>
      </c>
    </row>
    <row r="58918" spans="8:8">
      <c r="H58918" s="680" t="s">
        <v>6153</v>
      </c>
    </row>
    <row r="58919" spans="8:8">
      <c r="H58919" s="680" t="s">
        <v>6153</v>
      </c>
    </row>
    <row r="58920" spans="8:8">
      <c r="H58920" s="680" t="s">
        <v>6153</v>
      </c>
    </row>
    <row r="58921" spans="8:8">
      <c r="H58921" s="680" t="s">
        <v>6153</v>
      </c>
    </row>
    <row r="58922" spans="8:8">
      <c r="H58922" s="680" t="s">
        <v>6153</v>
      </c>
    </row>
    <row r="58923" spans="8:8">
      <c r="H58923" s="680" t="s">
        <v>6153</v>
      </c>
    </row>
    <row r="58924" spans="8:8">
      <c r="H58924" s="680" t="s">
        <v>6153</v>
      </c>
    </row>
    <row r="58925" spans="8:8">
      <c r="H58925" s="680" t="s">
        <v>6153</v>
      </c>
    </row>
    <row r="58926" spans="8:8">
      <c r="H58926" s="680" t="s">
        <v>6153</v>
      </c>
    </row>
    <row r="58927" spans="8:8">
      <c r="H58927" s="680" t="s">
        <v>6153</v>
      </c>
    </row>
    <row r="58928" spans="8:8">
      <c r="H58928" s="680" t="s">
        <v>6153</v>
      </c>
    </row>
    <row r="58929" spans="8:8">
      <c r="H58929" s="680" t="s">
        <v>6153</v>
      </c>
    </row>
    <row r="58930" spans="8:8">
      <c r="H58930" s="680" t="s">
        <v>6153</v>
      </c>
    </row>
    <row r="58931" spans="8:8">
      <c r="H58931" s="680" t="s">
        <v>6153</v>
      </c>
    </row>
    <row r="58932" spans="8:8">
      <c r="H58932" s="680" t="s">
        <v>6153</v>
      </c>
    </row>
    <row r="58933" spans="8:8">
      <c r="H58933" s="680" t="s">
        <v>6153</v>
      </c>
    </row>
    <row r="58934" spans="8:8">
      <c r="H58934" s="680" t="s">
        <v>6153</v>
      </c>
    </row>
    <row r="58935" spans="8:8">
      <c r="H58935" s="680" t="s">
        <v>6153</v>
      </c>
    </row>
    <row r="58936" spans="8:8">
      <c r="H58936" s="680" t="s">
        <v>6153</v>
      </c>
    </row>
    <row r="58937" spans="8:8">
      <c r="H58937" s="680" t="s">
        <v>6153</v>
      </c>
    </row>
    <row r="58938" spans="8:8">
      <c r="H58938" s="680" t="s">
        <v>6153</v>
      </c>
    </row>
    <row r="58939" spans="8:8">
      <c r="H58939" s="680" t="s">
        <v>6153</v>
      </c>
    </row>
    <row r="58940" spans="8:8">
      <c r="H58940" s="680" t="s">
        <v>6153</v>
      </c>
    </row>
    <row r="58941" spans="8:8">
      <c r="H58941" s="680" t="s">
        <v>6153</v>
      </c>
    </row>
    <row r="58942" spans="8:8">
      <c r="H58942" s="680" t="s">
        <v>6153</v>
      </c>
    </row>
    <row r="58943" spans="8:8">
      <c r="H58943" s="680" t="s">
        <v>6153</v>
      </c>
    </row>
    <row r="58944" spans="8:8">
      <c r="H58944" s="680" t="s">
        <v>6153</v>
      </c>
    </row>
    <row r="58945" spans="8:8">
      <c r="H58945" s="680" t="s">
        <v>6153</v>
      </c>
    </row>
    <row r="58946" spans="8:8">
      <c r="H58946" s="680" t="s">
        <v>6153</v>
      </c>
    </row>
    <row r="58947" spans="8:8">
      <c r="H58947" s="680" t="s">
        <v>6153</v>
      </c>
    </row>
    <row r="58948" spans="8:8">
      <c r="H58948" s="680" t="s">
        <v>6153</v>
      </c>
    </row>
    <row r="58949" spans="8:8">
      <c r="H58949" s="680" t="s">
        <v>6153</v>
      </c>
    </row>
    <row r="58950" spans="8:8">
      <c r="H58950" s="680" t="s">
        <v>6153</v>
      </c>
    </row>
    <row r="58951" spans="8:8">
      <c r="H58951" s="680" t="s">
        <v>6153</v>
      </c>
    </row>
    <row r="58952" spans="8:8">
      <c r="H58952" s="680" t="s">
        <v>6153</v>
      </c>
    </row>
    <row r="58953" spans="8:8">
      <c r="H58953" s="680" t="s">
        <v>6153</v>
      </c>
    </row>
    <row r="58954" spans="8:8">
      <c r="H58954" s="680" t="s">
        <v>6153</v>
      </c>
    </row>
    <row r="58955" spans="8:8">
      <c r="H58955" s="680" t="s">
        <v>6153</v>
      </c>
    </row>
    <row r="58956" spans="8:8">
      <c r="H58956" s="680" t="s">
        <v>6153</v>
      </c>
    </row>
    <row r="58957" spans="8:8">
      <c r="H58957" s="680" t="s">
        <v>6153</v>
      </c>
    </row>
    <row r="58958" spans="8:8">
      <c r="H58958" s="680" t="s">
        <v>6153</v>
      </c>
    </row>
    <row r="58959" spans="8:8">
      <c r="H58959" s="680" t="s">
        <v>6153</v>
      </c>
    </row>
    <row r="58960" spans="8:8">
      <c r="H58960" s="680" t="s">
        <v>6153</v>
      </c>
    </row>
    <row r="58961" spans="8:8">
      <c r="H58961" s="680" t="s">
        <v>6153</v>
      </c>
    </row>
    <row r="58962" spans="8:8">
      <c r="H58962" s="680" t="s">
        <v>6153</v>
      </c>
    </row>
    <row r="58963" spans="8:8">
      <c r="H58963" s="680" t="s">
        <v>6153</v>
      </c>
    </row>
    <row r="58964" spans="8:8">
      <c r="H58964" s="680" t="s">
        <v>6153</v>
      </c>
    </row>
    <row r="58965" spans="8:8">
      <c r="H58965" s="680" t="s">
        <v>6153</v>
      </c>
    </row>
    <row r="58966" spans="8:8">
      <c r="H58966" s="680" t="s">
        <v>6153</v>
      </c>
    </row>
    <row r="58967" spans="8:8">
      <c r="H58967" s="680" t="s">
        <v>6153</v>
      </c>
    </row>
    <row r="58968" spans="8:8">
      <c r="H58968" s="680" t="s">
        <v>6153</v>
      </c>
    </row>
    <row r="58969" spans="8:8">
      <c r="H58969" s="680" t="s">
        <v>6153</v>
      </c>
    </row>
    <row r="58970" spans="8:8">
      <c r="H58970" s="680" t="s">
        <v>6153</v>
      </c>
    </row>
    <row r="58971" spans="8:8">
      <c r="H58971" s="680" t="s">
        <v>6153</v>
      </c>
    </row>
    <row r="58972" spans="8:8">
      <c r="H58972" s="680" t="s">
        <v>6153</v>
      </c>
    </row>
    <row r="58973" spans="8:8">
      <c r="H58973" s="680" t="s">
        <v>6153</v>
      </c>
    </row>
    <row r="58974" spans="8:8">
      <c r="H58974" s="680" t="s">
        <v>6153</v>
      </c>
    </row>
    <row r="58975" spans="8:8">
      <c r="H58975" s="680" t="s">
        <v>6153</v>
      </c>
    </row>
    <row r="58976" spans="8:8">
      <c r="H58976" s="680" t="s">
        <v>6153</v>
      </c>
    </row>
    <row r="58977" spans="8:8">
      <c r="H58977" s="680" t="s">
        <v>6153</v>
      </c>
    </row>
    <row r="58978" spans="8:8">
      <c r="H58978" s="680" t="s">
        <v>6153</v>
      </c>
    </row>
    <row r="58979" spans="8:8">
      <c r="H58979" s="680" t="s">
        <v>6153</v>
      </c>
    </row>
    <row r="58980" spans="8:8">
      <c r="H58980" s="680" t="s">
        <v>6153</v>
      </c>
    </row>
    <row r="58981" spans="8:8">
      <c r="H58981" s="680" t="s">
        <v>6153</v>
      </c>
    </row>
    <row r="58982" spans="8:8">
      <c r="H58982" s="680" t="s">
        <v>6153</v>
      </c>
    </row>
    <row r="58983" spans="8:8">
      <c r="H58983" s="680" t="s">
        <v>6153</v>
      </c>
    </row>
    <row r="58984" spans="8:8">
      <c r="H58984" s="680" t="s">
        <v>6153</v>
      </c>
    </row>
    <row r="58985" spans="8:8">
      <c r="H58985" s="680" t="s">
        <v>6153</v>
      </c>
    </row>
    <row r="58986" spans="8:8">
      <c r="H58986" s="680" t="s">
        <v>6153</v>
      </c>
    </row>
    <row r="58987" spans="8:8">
      <c r="H58987" s="680" t="s">
        <v>6153</v>
      </c>
    </row>
    <row r="58988" spans="8:8">
      <c r="H58988" s="680" t="s">
        <v>6153</v>
      </c>
    </row>
    <row r="58989" spans="8:8">
      <c r="H58989" s="680" t="s">
        <v>6153</v>
      </c>
    </row>
    <row r="58990" spans="8:8">
      <c r="H58990" s="680" t="s">
        <v>6153</v>
      </c>
    </row>
    <row r="58991" spans="8:8">
      <c r="H58991" s="680" t="s">
        <v>6153</v>
      </c>
    </row>
    <row r="58992" spans="8:8">
      <c r="H58992" s="680" t="s">
        <v>6153</v>
      </c>
    </row>
    <row r="58993" spans="8:8">
      <c r="H58993" s="680" t="s">
        <v>6153</v>
      </c>
    </row>
    <row r="58994" spans="8:8">
      <c r="H58994" s="680" t="s">
        <v>6153</v>
      </c>
    </row>
    <row r="58995" spans="8:8">
      <c r="H58995" s="680" t="s">
        <v>6153</v>
      </c>
    </row>
    <row r="58996" spans="8:8">
      <c r="H58996" s="680" t="s">
        <v>6153</v>
      </c>
    </row>
    <row r="58997" spans="8:8">
      <c r="H58997" s="680" t="s">
        <v>6153</v>
      </c>
    </row>
    <row r="58998" spans="8:8">
      <c r="H58998" s="680" t="s">
        <v>6153</v>
      </c>
    </row>
    <row r="58999" spans="8:8">
      <c r="H58999" s="680" t="s">
        <v>6153</v>
      </c>
    </row>
    <row r="59000" spans="8:8">
      <c r="H59000" s="680" t="s">
        <v>6153</v>
      </c>
    </row>
    <row r="59001" spans="8:8">
      <c r="H59001" s="680" t="s">
        <v>6153</v>
      </c>
    </row>
    <row r="59002" spans="8:8">
      <c r="H59002" s="680" t="s">
        <v>6153</v>
      </c>
    </row>
    <row r="59003" spans="8:8">
      <c r="H59003" s="680" t="s">
        <v>6153</v>
      </c>
    </row>
    <row r="59004" spans="8:8">
      <c r="H59004" s="680" t="s">
        <v>6153</v>
      </c>
    </row>
    <row r="59005" spans="8:8">
      <c r="H59005" s="680" t="s">
        <v>6153</v>
      </c>
    </row>
    <row r="59006" spans="8:8">
      <c r="H59006" s="680" t="s">
        <v>6153</v>
      </c>
    </row>
    <row r="59007" spans="8:8">
      <c r="H59007" s="680" t="s">
        <v>6153</v>
      </c>
    </row>
    <row r="59008" spans="8:8">
      <c r="H59008" s="680" t="s">
        <v>6153</v>
      </c>
    </row>
    <row r="59009" spans="8:8">
      <c r="H59009" s="680" t="s">
        <v>6153</v>
      </c>
    </row>
    <row r="59010" spans="8:8">
      <c r="H59010" s="680" t="s">
        <v>6153</v>
      </c>
    </row>
    <row r="59011" spans="8:8">
      <c r="H59011" s="680" t="s">
        <v>6153</v>
      </c>
    </row>
    <row r="59012" spans="8:8">
      <c r="H59012" s="680" t="s">
        <v>6153</v>
      </c>
    </row>
    <row r="59013" spans="8:8">
      <c r="H59013" s="680" t="s">
        <v>6153</v>
      </c>
    </row>
    <row r="59014" spans="8:8">
      <c r="H59014" s="680" t="s">
        <v>6153</v>
      </c>
    </row>
    <row r="59015" spans="8:8">
      <c r="H59015" s="680" t="s">
        <v>6153</v>
      </c>
    </row>
    <row r="59016" spans="8:8">
      <c r="H59016" s="680" t="s">
        <v>6153</v>
      </c>
    </row>
    <row r="59017" spans="8:8">
      <c r="H59017" s="680" t="s">
        <v>6153</v>
      </c>
    </row>
    <row r="59018" spans="8:8">
      <c r="H59018" s="680" t="s">
        <v>6153</v>
      </c>
    </row>
    <row r="59019" spans="8:8">
      <c r="H59019" s="680" t="s">
        <v>6153</v>
      </c>
    </row>
    <row r="59020" spans="8:8">
      <c r="H59020" s="680" t="s">
        <v>6153</v>
      </c>
    </row>
    <row r="59021" spans="8:8">
      <c r="H59021" s="680" t="s">
        <v>6153</v>
      </c>
    </row>
    <row r="59022" spans="8:8">
      <c r="H59022" s="680" t="s">
        <v>6153</v>
      </c>
    </row>
    <row r="59023" spans="8:8">
      <c r="H59023" s="680" t="s">
        <v>6153</v>
      </c>
    </row>
    <row r="59024" spans="8:8">
      <c r="H59024" s="680" t="s">
        <v>6153</v>
      </c>
    </row>
    <row r="59025" spans="8:8">
      <c r="H59025" s="680" t="s">
        <v>6153</v>
      </c>
    </row>
    <row r="59026" spans="8:8">
      <c r="H59026" s="680" t="s">
        <v>6153</v>
      </c>
    </row>
    <row r="59027" spans="8:8">
      <c r="H59027" s="680" t="s">
        <v>6153</v>
      </c>
    </row>
    <row r="59028" spans="8:8">
      <c r="H59028" s="680" t="s">
        <v>6153</v>
      </c>
    </row>
    <row r="59029" spans="8:8">
      <c r="H59029" s="680" t="s">
        <v>6153</v>
      </c>
    </row>
    <row r="59030" spans="8:8">
      <c r="H59030" s="680" t="s">
        <v>6153</v>
      </c>
    </row>
    <row r="59031" spans="8:8">
      <c r="H59031" s="680" t="s">
        <v>6153</v>
      </c>
    </row>
    <row r="59032" spans="8:8">
      <c r="H59032" s="680" t="s">
        <v>6153</v>
      </c>
    </row>
    <row r="59033" spans="8:8">
      <c r="H59033" s="680" t="s">
        <v>6153</v>
      </c>
    </row>
    <row r="59034" spans="8:8">
      <c r="H59034" s="680" t="s">
        <v>6153</v>
      </c>
    </row>
    <row r="59035" spans="8:8">
      <c r="H59035" s="680" t="s">
        <v>6153</v>
      </c>
    </row>
    <row r="59036" spans="8:8">
      <c r="H59036" s="680" t="s">
        <v>6153</v>
      </c>
    </row>
    <row r="59037" spans="8:8">
      <c r="H59037" s="680" t="s">
        <v>6153</v>
      </c>
    </row>
    <row r="59038" spans="8:8">
      <c r="H59038" s="680" t="s">
        <v>6153</v>
      </c>
    </row>
    <row r="59039" spans="8:8">
      <c r="H59039" s="680" t="s">
        <v>6153</v>
      </c>
    </row>
    <row r="59040" spans="8:8">
      <c r="H59040" s="680" t="s">
        <v>6153</v>
      </c>
    </row>
    <row r="59041" spans="8:8">
      <c r="H59041" s="680" t="s">
        <v>6153</v>
      </c>
    </row>
    <row r="59042" spans="8:8">
      <c r="H59042" s="680" t="s">
        <v>6153</v>
      </c>
    </row>
    <row r="59043" spans="8:8">
      <c r="H59043" s="680" t="s">
        <v>6153</v>
      </c>
    </row>
    <row r="59044" spans="8:8">
      <c r="H59044" s="680" t="s">
        <v>6153</v>
      </c>
    </row>
    <row r="59045" spans="8:8">
      <c r="H59045" s="680" t="s">
        <v>6153</v>
      </c>
    </row>
    <row r="59046" spans="8:8">
      <c r="H59046" s="680" t="s">
        <v>6153</v>
      </c>
    </row>
    <row r="59047" spans="8:8">
      <c r="H59047" s="680" t="s">
        <v>6153</v>
      </c>
    </row>
    <row r="59048" spans="8:8">
      <c r="H59048" s="680" t="s">
        <v>6153</v>
      </c>
    </row>
    <row r="59049" spans="8:8">
      <c r="H59049" s="680" t="s">
        <v>6153</v>
      </c>
    </row>
    <row r="59050" spans="8:8">
      <c r="H59050" s="680" t="s">
        <v>6153</v>
      </c>
    </row>
    <row r="59051" spans="8:8">
      <c r="H59051" s="680" t="s">
        <v>6153</v>
      </c>
    </row>
    <row r="59052" spans="8:8">
      <c r="H59052" s="680" t="s">
        <v>6153</v>
      </c>
    </row>
    <row r="59053" spans="8:8">
      <c r="H59053" s="680" t="s">
        <v>6153</v>
      </c>
    </row>
    <row r="59054" spans="8:8">
      <c r="H59054" s="680" t="s">
        <v>6153</v>
      </c>
    </row>
    <row r="59055" spans="8:8">
      <c r="H59055" s="680" t="s">
        <v>6153</v>
      </c>
    </row>
    <row r="59056" spans="8:8">
      <c r="H59056" s="680" t="s">
        <v>6153</v>
      </c>
    </row>
    <row r="59057" spans="8:8">
      <c r="H59057" s="680" t="s">
        <v>6153</v>
      </c>
    </row>
    <row r="59058" spans="8:8">
      <c r="H59058" s="680" t="s">
        <v>6153</v>
      </c>
    </row>
    <row r="59059" spans="8:8">
      <c r="H59059" s="680" t="s">
        <v>6153</v>
      </c>
    </row>
    <row r="59060" spans="8:8">
      <c r="H59060" s="680" t="s">
        <v>6153</v>
      </c>
    </row>
    <row r="59061" spans="8:8">
      <c r="H59061" s="680" t="s">
        <v>6153</v>
      </c>
    </row>
    <row r="59062" spans="8:8">
      <c r="H59062" s="680" t="s">
        <v>6153</v>
      </c>
    </row>
    <row r="59063" spans="8:8">
      <c r="H59063" s="680" t="s">
        <v>6153</v>
      </c>
    </row>
    <row r="59064" spans="8:8">
      <c r="H59064" s="680" t="s">
        <v>6153</v>
      </c>
    </row>
    <row r="59065" spans="8:8">
      <c r="H59065" s="680" t="s">
        <v>6153</v>
      </c>
    </row>
    <row r="59066" spans="8:8">
      <c r="H59066" s="680" t="s">
        <v>6153</v>
      </c>
    </row>
    <row r="59067" spans="8:8">
      <c r="H59067" s="680" t="s">
        <v>6153</v>
      </c>
    </row>
    <row r="59068" spans="8:8">
      <c r="H59068" s="680" t="s">
        <v>6153</v>
      </c>
    </row>
    <row r="59069" spans="8:8">
      <c r="H59069" s="680" t="s">
        <v>6153</v>
      </c>
    </row>
    <row r="59070" spans="8:8">
      <c r="H59070" s="680" t="s">
        <v>6153</v>
      </c>
    </row>
    <row r="59071" spans="8:8">
      <c r="H59071" s="680" t="s">
        <v>6153</v>
      </c>
    </row>
    <row r="59072" spans="8:8">
      <c r="H59072" s="680" t="s">
        <v>6153</v>
      </c>
    </row>
    <row r="59073" spans="8:8">
      <c r="H59073" s="680" t="s">
        <v>6153</v>
      </c>
    </row>
    <row r="59074" spans="8:8">
      <c r="H59074" s="680" t="s">
        <v>6153</v>
      </c>
    </row>
    <row r="59075" spans="8:8">
      <c r="H59075" s="680" t="s">
        <v>6153</v>
      </c>
    </row>
    <row r="59076" spans="8:8">
      <c r="H59076" s="680" t="s">
        <v>6153</v>
      </c>
    </row>
    <row r="59077" spans="8:8">
      <c r="H59077" s="680" t="s">
        <v>6153</v>
      </c>
    </row>
    <row r="59078" spans="8:8">
      <c r="H59078" s="680" t="s">
        <v>6153</v>
      </c>
    </row>
    <row r="59079" spans="8:8">
      <c r="H59079" s="680" t="s">
        <v>6153</v>
      </c>
    </row>
    <row r="59080" spans="8:8">
      <c r="H59080" s="680" t="s">
        <v>6153</v>
      </c>
    </row>
    <row r="59081" spans="8:8">
      <c r="H59081" s="680" t="s">
        <v>6153</v>
      </c>
    </row>
    <row r="59082" spans="8:8">
      <c r="H59082" s="680" t="s">
        <v>6153</v>
      </c>
    </row>
    <row r="59083" spans="8:8">
      <c r="H59083" s="680" t="s">
        <v>6153</v>
      </c>
    </row>
    <row r="59084" spans="8:8">
      <c r="H59084" s="680" t="s">
        <v>6153</v>
      </c>
    </row>
    <row r="59085" spans="8:8">
      <c r="H59085" s="680" t="s">
        <v>6153</v>
      </c>
    </row>
    <row r="59086" spans="8:8">
      <c r="H59086" s="680" t="s">
        <v>6153</v>
      </c>
    </row>
    <row r="59087" spans="8:8">
      <c r="H59087" s="680" t="s">
        <v>6153</v>
      </c>
    </row>
    <row r="59088" spans="8:8">
      <c r="H59088" s="680" t="s">
        <v>6153</v>
      </c>
    </row>
    <row r="59089" spans="8:8">
      <c r="H59089" s="680" t="s">
        <v>6153</v>
      </c>
    </row>
    <row r="59090" spans="8:8">
      <c r="H59090" s="680" t="s">
        <v>6153</v>
      </c>
    </row>
    <row r="59091" spans="8:8">
      <c r="H59091" s="680" t="s">
        <v>6153</v>
      </c>
    </row>
    <row r="59092" spans="8:8">
      <c r="H59092" s="680" t="s">
        <v>6153</v>
      </c>
    </row>
    <row r="59093" spans="8:8">
      <c r="H59093" s="680" t="s">
        <v>6153</v>
      </c>
    </row>
    <row r="59094" spans="8:8">
      <c r="H59094" s="680" t="s">
        <v>6153</v>
      </c>
    </row>
    <row r="59095" spans="8:8">
      <c r="H59095" s="680" t="s">
        <v>6153</v>
      </c>
    </row>
    <row r="59096" spans="8:8">
      <c r="H59096" s="680" t="s">
        <v>6153</v>
      </c>
    </row>
    <row r="59097" spans="8:8">
      <c r="H59097" s="680" t="s">
        <v>6153</v>
      </c>
    </row>
    <row r="59098" spans="8:8">
      <c r="H59098" s="680" t="s">
        <v>6153</v>
      </c>
    </row>
    <row r="59099" spans="8:8">
      <c r="H59099" s="680" t="s">
        <v>6153</v>
      </c>
    </row>
    <row r="59100" spans="8:8">
      <c r="H59100" s="680" t="s">
        <v>6153</v>
      </c>
    </row>
    <row r="59101" spans="8:8">
      <c r="H59101" s="680" t="s">
        <v>6153</v>
      </c>
    </row>
    <row r="59102" spans="8:8">
      <c r="H59102" s="680" t="s">
        <v>6153</v>
      </c>
    </row>
    <row r="59103" spans="8:8">
      <c r="H59103" s="680" t="s">
        <v>6153</v>
      </c>
    </row>
    <row r="59104" spans="8:8">
      <c r="H59104" s="680" t="s">
        <v>6153</v>
      </c>
    </row>
    <row r="59105" spans="8:8">
      <c r="H59105" s="680" t="s">
        <v>6153</v>
      </c>
    </row>
    <row r="59106" spans="8:8">
      <c r="H59106" s="680" t="s">
        <v>6153</v>
      </c>
    </row>
    <row r="59107" spans="8:8">
      <c r="H59107" s="680" t="s">
        <v>6153</v>
      </c>
    </row>
    <row r="59108" spans="8:8">
      <c r="H59108" s="680" t="s">
        <v>6153</v>
      </c>
    </row>
    <row r="59109" spans="8:8">
      <c r="H59109" s="680" t="s">
        <v>6153</v>
      </c>
    </row>
    <row r="59110" spans="8:8">
      <c r="H59110" s="680" t="s">
        <v>6153</v>
      </c>
    </row>
    <row r="59111" spans="8:8">
      <c r="H59111" s="680" t="s">
        <v>6153</v>
      </c>
    </row>
    <row r="59112" spans="8:8">
      <c r="H59112" s="680" t="s">
        <v>6153</v>
      </c>
    </row>
    <row r="59113" spans="8:8">
      <c r="H59113" s="680" t="s">
        <v>6153</v>
      </c>
    </row>
    <row r="59114" spans="8:8">
      <c r="H59114" s="680" t="s">
        <v>6153</v>
      </c>
    </row>
    <row r="59115" spans="8:8">
      <c r="H59115" s="680" t="s">
        <v>6153</v>
      </c>
    </row>
    <row r="59116" spans="8:8">
      <c r="H59116" s="680" t="s">
        <v>6153</v>
      </c>
    </row>
    <row r="59117" spans="8:8">
      <c r="H59117" s="680" t="s">
        <v>6153</v>
      </c>
    </row>
    <row r="59118" spans="8:8">
      <c r="H59118" s="680" t="s">
        <v>6153</v>
      </c>
    </row>
    <row r="59119" spans="8:8">
      <c r="H59119" s="680" t="s">
        <v>6153</v>
      </c>
    </row>
    <row r="59120" spans="8:8">
      <c r="H59120" s="680" t="s">
        <v>6153</v>
      </c>
    </row>
    <row r="59121" spans="8:8">
      <c r="H59121" s="680" t="s">
        <v>6153</v>
      </c>
    </row>
    <row r="59122" spans="8:8">
      <c r="H59122" s="680" t="s">
        <v>6153</v>
      </c>
    </row>
    <row r="59123" spans="8:8">
      <c r="H59123" s="680" t="s">
        <v>6153</v>
      </c>
    </row>
    <row r="59124" spans="8:8">
      <c r="H59124" s="680" t="s">
        <v>6153</v>
      </c>
    </row>
    <row r="59125" spans="8:8">
      <c r="H59125" s="680" t="s">
        <v>6153</v>
      </c>
    </row>
    <row r="59126" spans="8:8">
      <c r="H59126" s="680" t="s">
        <v>6153</v>
      </c>
    </row>
    <row r="59127" spans="8:8">
      <c r="H59127" s="680" t="s">
        <v>6153</v>
      </c>
    </row>
    <row r="59128" spans="8:8">
      <c r="H59128" s="680" t="s">
        <v>6153</v>
      </c>
    </row>
    <row r="59129" spans="8:8">
      <c r="H59129" s="680" t="s">
        <v>6153</v>
      </c>
    </row>
    <row r="59130" spans="8:8">
      <c r="H59130" s="680" t="s">
        <v>6153</v>
      </c>
    </row>
    <row r="59131" spans="8:8">
      <c r="H59131" s="680" t="s">
        <v>6153</v>
      </c>
    </row>
    <row r="59132" spans="8:8">
      <c r="H59132" s="680" t="s">
        <v>6153</v>
      </c>
    </row>
    <row r="59133" spans="8:8">
      <c r="H59133" s="680" t="s">
        <v>6153</v>
      </c>
    </row>
    <row r="59134" spans="8:8">
      <c r="H59134" s="680" t="s">
        <v>6153</v>
      </c>
    </row>
    <row r="59135" spans="8:8">
      <c r="H59135" s="680" t="s">
        <v>6153</v>
      </c>
    </row>
    <row r="59136" spans="8:8">
      <c r="H59136" s="680" t="s">
        <v>6153</v>
      </c>
    </row>
    <row r="59137" spans="8:8">
      <c r="H59137" s="680" t="s">
        <v>6153</v>
      </c>
    </row>
    <row r="59138" spans="8:8">
      <c r="H59138" s="680" t="s">
        <v>6153</v>
      </c>
    </row>
    <row r="59139" spans="8:8">
      <c r="H59139" s="680" t="s">
        <v>6153</v>
      </c>
    </row>
    <row r="59140" spans="8:8">
      <c r="H59140" s="680" t="s">
        <v>6153</v>
      </c>
    </row>
    <row r="59141" spans="8:8">
      <c r="H59141" s="680" t="s">
        <v>6153</v>
      </c>
    </row>
    <row r="59142" spans="8:8">
      <c r="H59142" s="680" t="s">
        <v>6153</v>
      </c>
    </row>
    <row r="59143" spans="8:8">
      <c r="H59143" s="680" t="s">
        <v>6153</v>
      </c>
    </row>
    <row r="59144" spans="8:8">
      <c r="H59144" s="680" t="s">
        <v>6153</v>
      </c>
    </row>
    <row r="59145" spans="8:8">
      <c r="H59145" s="680" t="s">
        <v>6153</v>
      </c>
    </row>
    <row r="59146" spans="8:8">
      <c r="H59146" s="680" t="s">
        <v>6153</v>
      </c>
    </row>
    <row r="59147" spans="8:8">
      <c r="H59147" s="680" t="s">
        <v>6153</v>
      </c>
    </row>
    <row r="59148" spans="8:8">
      <c r="H59148" s="680" t="s">
        <v>6153</v>
      </c>
    </row>
    <row r="59149" spans="8:8">
      <c r="H59149" s="680" t="s">
        <v>6153</v>
      </c>
    </row>
    <row r="59150" spans="8:8">
      <c r="H59150" s="680" t="s">
        <v>6153</v>
      </c>
    </row>
    <row r="59151" spans="8:8">
      <c r="H59151" s="680" t="s">
        <v>6153</v>
      </c>
    </row>
    <row r="59152" spans="8:8">
      <c r="H59152" s="680" t="s">
        <v>6153</v>
      </c>
    </row>
    <row r="59153" spans="8:8">
      <c r="H59153" s="680" t="s">
        <v>6153</v>
      </c>
    </row>
    <row r="59154" spans="8:8">
      <c r="H59154" s="680" t="s">
        <v>6153</v>
      </c>
    </row>
    <row r="59155" spans="8:8">
      <c r="H59155" s="680" t="s">
        <v>6153</v>
      </c>
    </row>
    <row r="59156" spans="8:8">
      <c r="H59156" s="680" t="s">
        <v>6153</v>
      </c>
    </row>
    <row r="59157" spans="8:8">
      <c r="H59157" s="680" t="s">
        <v>6153</v>
      </c>
    </row>
    <row r="59158" spans="8:8">
      <c r="H59158" s="680" t="s">
        <v>6153</v>
      </c>
    </row>
    <row r="59159" spans="8:8">
      <c r="H59159" s="680" t="s">
        <v>6153</v>
      </c>
    </row>
    <row r="59160" spans="8:8">
      <c r="H59160" s="680" t="s">
        <v>6153</v>
      </c>
    </row>
    <row r="59161" spans="8:8">
      <c r="H59161" s="680" t="s">
        <v>6153</v>
      </c>
    </row>
    <row r="59162" spans="8:8">
      <c r="H59162" s="680" t="s">
        <v>6153</v>
      </c>
    </row>
    <row r="59163" spans="8:8">
      <c r="H59163" s="680" t="s">
        <v>6153</v>
      </c>
    </row>
    <row r="59164" spans="8:8">
      <c r="H59164" s="680" t="s">
        <v>6153</v>
      </c>
    </row>
    <row r="59165" spans="8:8">
      <c r="H59165" s="680" t="s">
        <v>6153</v>
      </c>
    </row>
    <row r="59166" spans="8:8">
      <c r="H59166" s="680" t="s">
        <v>6153</v>
      </c>
    </row>
    <row r="59167" spans="8:8">
      <c r="H59167" s="680" t="s">
        <v>6153</v>
      </c>
    </row>
    <row r="59168" spans="8:8">
      <c r="H59168" s="680" t="s">
        <v>6153</v>
      </c>
    </row>
    <row r="59169" spans="8:8">
      <c r="H59169" s="680" t="s">
        <v>6153</v>
      </c>
    </row>
    <row r="59170" spans="8:8">
      <c r="H59170" s="680" t="s">
        <v>6153</v>
      </c>
    </row>
    <row r="59171" spans="8:8">
      <c r="H59171" s="680" t="s">
        <v>6153</v>
      </c>
    </row>
    <row r="59172" spans="8:8">
      <c r="H59172" s="680" t="s">
        <v>6153</v>
      </c>
    </row>
    <row r="59173" spans="8:8">
      <c r="H59173" s="680" t="s">
        <v>6153</v>
      </c>
    </row>
    <row r="59174" spans="8:8">
      <c r="H59174" s="680" t="s">
        <v>6153</v>
      </c>
    </row>
    <row r="59175" spans="8:8">
      <c r="H59175" s="680" t="s">
        <v>6153</v>
      </c>
    </row>
    <row r="59176" spans="8:8">
      <c r="H59176" s="680" t="s">
        <v>6153</v>
      </c>
    </row>
    <row r="59177" spans="8:8">
      <c r="H59177" s="680" t="s">
        <v>6153</v>
      </c>
    </row>
    <row r="59178" spans="8:8">
      <c r="H59178" s="680" t="s">
        <v>6153</v>
      </c>
    </row>
    <row r="59179" spans="8:8">
      <c r="H59179" s="680" t="s">
        <v>6153</v>
      </c>
    </row>
    <row r="59180" spans="8:8">
      <c r="H59180" s="680" t="s">
        <v>6153</v>
      </c>
    </row>
    <row r="59181" spans="8:8">
      <c r="H59181" s="680" t="s">
        <v>6153</v>
      </c>
    </row>
    <row r="59182" spans="8:8">
      <c r="H59182" s="680" t="s">
        <v>6153</v>
      </c>
    </row>
    <row r="59183" spans="8:8">
      <c r="H59183" s="680" t="s">
        <v>6153</v>
      </c>
    </row>
    <row r="59184" spans="8:8">
      <c r="H59184" s="680" t="s">
        <v>6153</v>
      </c>
    </row>
    <row r="59185" spans="8:8">
      <c r="H59185" s="680" t="s">
        <v>6153</v>
      </c>
    </row>
    <row r="59186" spans="8:8">
      <c r="H59186" s="680" t="s">
        <v>6153</v>
      </c>
    </row>
    <row r="59187" spans="8:8">
      <c r="H59187" s="680" t="s">
        <v>6153</v>
      </c>
    </row>
    <row r="59188" spans="8:8">
      <c r="H59188" s="680" t="s">
        <v>6153</v>
      </c>
    </row>
    <row r="59189" spans="8:8">
      <c r="H59189" s="680" t="s">
        <v>6153</v>
      </c>
    </row>
    <row r="59190" spans="8:8">
      <c r="H59190" s="680" t="s">
        <v>6153</v>
      </c>
    </row>
    <row r="59191" spans="8:8">
      <c r="H59191" s="680" t="s">
        <v>6153</v>
      </c>
    </row>
    <row r="59192" spans="8:8">
      <c r="H59192" s="680" t="s">
        <v>6153</v>
      </c>
    </row>
    <row r="59193" spans="8:8">
      <c r="H59193" s="680" t="s">
        <v>6153</v>
      </c>
    </row>
    <row r="59194" spans="8:8">
      <c r="H59194" s="680" t="s">
        <v>6153</v>
      </c>
    </row>
    <row r="59195" spans="8:8">
      <c r="H59195" s="680" t="s">
        <v>6153</v>
      </c>
    </row>
    <row r="59196" spans="8:8">
      <c r="H59196" s="680" t="s">
        <v>6153</v>
      </c>
    </row>
    <row r="59197" spans="8:8">
      <c r="H59197" s="680" t="s">
        <v>6153</v>
      </c>
    </row>
    <row r="59198" spans="8:8">
      <c r="H59198" s="680" t="s">
        <v>6153</v>
      </c>
    </row>
    <row r="59199" spans="8:8">
      <c r="H59199" s="680" t="s">
        <v>6153</v>
      </c>
    </row>
    <row r="59200" spans="8:8">
      <c r="H59200" s="680" t="s">
        <v>6153</v>
      </c>
    </row>
    <row r="59201" spans="8:8">
      <c r="H59201" s="680" t="s">
        <v>6153</v>
      </c>
    </row>
    <row r="59202" spans="8:8">
      <c r="H59202" s="680" t="s">
        <v>6153</v>
      </c>
    </row>
    <row r="59203" spans="8:8">
      <c r="H59203" s="680" t="s">
        <v>6153</v>
      </c>
    </row>
    <row r="59204" spans="8:8">
      <c r="H59204" s="680" t="s">
        <v>6153</v>
      </c>
    </row>
    <row r="59205" spans="8:8">
      <c r="H59205" s="680" t="s">
        <v>6153</v>
      </c>
    </row>
    <row r="59206" spans="8:8">
      <c r="H59206" s="680" t="s">
        <v>6153</v>
      </c>
    </row>
    <row r="59207" spans="8:8">
      <c r="H59207" s="680" t="s">
        <v>6153</v>
      </c>
    </row>
    <row r="59208" spans="8:8">
      <c r="H59208" s="680" t="s">
        <v>6153</v>
      </c>
    </row>
    <row r="59209" spans="8:8">
      <c r="H59209" s="680" t="s">
        <v>6153</v>
      </c>
    </row>
    <row r="59210" spans="8:8">
      <c r="H59210" s="680" t="s">
        <v>6153</v>
      </c>
    </row>
    <row r="59211" spans="8:8">
      <c r="H59211" s="680" t="s">
        <v>6153</v>
      </c>
    </row>
    <row r="59212" spans="8:8">
      <c r="H59212" s="680" t="s">
        <v>6153</v>
      </c>
    </row>
    <row r="59213" spans="8:8">
      <c r="H59213" s="680" t="s">
        <v>6153</v>
      </c>
    </row>
    <row r="59214" spans="8:8">
      <c r="H59214" s="680" t="s">
        <v>6153</v>
      </c>
    </row>
    <row r="59215" spans="8:8">
      <c r="H59215" s="680" t="s">
        <v>6153</v>
      </c>
    </row>
    <row r="59216" spans="8:8">
      <c r="H59216" s="680" t="s">
        <v>6153</v>
      </c>
    </row>
    <row r="59217" spans="8:8">
      <c r="H59217" s="680" t="s">
        <v>6153</v>
      </c>
    </row>
    <row r="59218" spans="8:8">
      <c r="H59218" s="680" t="s">
        <v>6153</v>
      </c>
    </row>
    <row r="59219" spans="8:8">
      <c r="H59219" s="680" t="s">
        <v>6153</v>
      </c>
    </row>
    <row r="59220" spans="8:8">
      <c r="H59220" s="680" t="s">
        <v>6153</v>
      </c>
    </row>
    <row r="59221" spans="8:8">
      <c r="H59221" s="680" t="s">
        <v>6153</v>
      </c>
    </row>
    <row r="59222" spans="8:8">
      <c r="H59222" s="680" t="s">
        <v>6153</v>
      </c>
    </row>
    <row r="59223" spans="8:8">
      <c r="H59223" s="680" t="s">
        <v>6153</v>
      </c>
    </row>
    <row r="59224" spans="8:8">
      <c r="H59224" s="680" t="s">
        <v>6153</v>
      </c>
    </row>
    <row r="59225" spans="8:8">
      <c r="H59225" s="680" t="s">
        <v>6153</v>
      </c>
    </row>
    <row r="59226" spans="8:8">
      <c r="H59226" s="680" t="s">
        <v>6153</v>
      </c>
    </row>
    <row r="59227" spans="8:8">
      <c r="H59227" s="680" t="s">
        <v>6153</v>
      </c>
    </row>
    <row r="59228" spans="8:8">
      <c r="H59228" s="680" t="s">
        <v>6153</v>
      </c>
    </row>
    <row r="59229" spans="8:8">
      <c r="H59229" s="680" t="s">
        <v>6153</v>
      </c>
    </row>
    <row r="59230" spans="8:8">
      <c r="H59230" s="680" t="s">
        <v>6153</v>
      </c>
    </row>
    <row r="59231" spans="8:8">
      <c r="H59231" s="680" t="s">
        <v>6153</v>
      </c>
    </row>
    <row r="59232" spans="8:8">
      <c r="H59232" s="680" t="s">
        <v>6153</v>
      </c>
    </row>
    <row r="59233" spans="8:8">
      <c r="H59233" s="680" t="s">
        <v>6153</v>
      </c>
    </row>
    <row r="59234" spans="8:8">
      <c r="H59234" s="680" t="s">
        <v>6153</v>
      </c>
    </row>
    <row r="59235" spans="8:8">
      <c r="H59235" s="680" t="s">
        <v>6153</v>
      </c>
    </row>
    <row r="59236" spans="8:8">
      <c r="H59236" s="680" t="s">
        <v>6153</v>
      </c>
    </row>
    <row r="59237" spans="8:8">
      <c r="H59237" s="680" t="s">
        <v>6153</v>
      </c>
    </row>
    <row r="59238" spans="8:8">
      <c r="H59238" s="680" t="s">
        <v>6153</v>
      </c>
    </row>
    <row r="59239" spans="8:8">
      <c r="H59239" s="680" t="s">
        <v>6153</v>
      </c>
    </row>
    <row r="59240" spans="8:8">
      <c r="H59240" s="680" t="s">
        <v>6153</v>
      </c>
    </row>
    <row r="59241" spans="8:8">
      <c r="H59241" s="680" t="s">
        <v>6153</v>
      </c>
    </row>
    <row r="59242" spans="8:8">
      <c r="H59242" s="680" t="s">
        <v>6153</v>
      </c>
    </row>
    <row r="59243" spans="8:8">
      <c r="H59243" s="680" t="s">
        <v>6153</v>
      </c>
    </row>
    <row r="59244" spans="8:8">
      <c r="H59244" s="680" t="s">
        <v>6153</v>
      </c>
    </row>
    <row r="59245" spans="8:8">
      <c r="H59245" s="680" t="s">
        <v>6153</v>
      </c>
    </row>
    <row r="59246" spans="8:8">
      <c r="H59246" s="680" t="s">
        <v>6153</v>
      </c>
    </row>
    <row r="59247" spans="8:8">
      <c r="H59247" s="680" t="s">
        <v>6153</v>
      </c>
    </row>
    <row r="59248" spans="8:8">
      <c r="H59248" s="680" t="s">
        <v>6153</v>
      </c>
    </row>
    <row r="59249" spans="8:8">
      <c r="H59249" s="680" t="s">
        <v>6153</v>
      </c>
    </row>
    <row r="59250" spans="8:8">
      <c r="H59250" s="680" t="s">
        <v>6153</v>
      </c>
    </row>
    <row r="59251" spans="8:8">
      <c r="H59251" s="680" t="s">
        <v>6153</v>
      </c>
    </row>
    <row r="59252" spans="8:8">
      <c r="H59252" s="680" t="s">
        <v>6153</v>
      </c>
    </row>
    <row r="59253" spans="8:8">
      <c r="H59253" s="680" t="s">
        <v>6153</v>
      </c>
    </row>
    <row r="59254" spans="8:8">
      <c r="H59254" s="680" t="s">
        <v>6153</v>
      </c>
    </row>
    <row r="59255" spans="8:8">
      <c r="H59255" s="680" t="s">
        <v>6153</v>
      </c>
    </row>
    <row r="59256" spans="8:8">
      <c r="H59256" s="680" t="s">
        <v>6153</v>
      </c>
    </row>
    <row r="59257" spans="8:8">
      <c r="H59257" s="680" t="s">
        <v>6153</v>
      </c>
    </row>
    <row r="59258" spans="8:8">
      <c r="H59258" s="680" t="s">
        <v>6153</v>
      </c>
    </row>
    <row r="59259" spans="8:8">
      <c r="H59259" s="680" t="s">
        <v>6153</v>
      </c>
    </row>
    <row r="59260" spans="8:8">
      <c r="H59260" s="680" t="s">
        <v>6153</v>
      </c>
    </row>
    <row r="59261" spans="8:8">
      <c r="H59261" s="680" t="s">
        <v>6153</v>
      </c>
    </row>
    <row r="59262" spans="8:8">
      <c r="H59262" s="680" t="s">
        <v>6153</v>
      </c>
    </row>
    <row r="59263" spans="8:8">
      <c r="H59263" s="680" t="s">
        <v>6153</v>
      </c>
    </row>
    <row r="59264" spans="8:8">
      <c r="H59264" s="680" t="s">
        <v>6153</v>
      </c>
    </row>
    <row r="59265" spans="8:8">
      <c r="H59265" s="680" t="s">
        <v>6153</v>
      </c>
    </row>
    <row r="59266" spans="8:8">
      <c r="H59266" s="680" t="s">
        <v>6153</v>
      </c>
    </row>
    <row r="59267" spans="8:8">
      <c r="H59267" s="680" t="s">
        <v>6153</v>
      </c>
    </row>
    <row r="59268" spans="8:8">
      <c r="H59268" s="680" t="s">
        <v>6153</v>
      </c>
    </row>
    <row r="59269" spans="8:8">
      <c r="H59269" s="680" t="s">
        <v>6153</v>
      </c>
    </row>
    <row r="59270" spans="8:8">
      <c r="H59270" s="680" t="s">
        <v>6153</v>
      </c>
    </row>
    <row r="59271" spans="8:8">
      <c r="H59271" s="680" t="s">
        <v>6153</v>
      </c>
    </row>
    <row r="59272" spans="8:8">
      <c r="H59272" s="680" t="s">
        <v>6153</v>
      </c>
    </row>
    <row r="59273" spans="8:8">
      <c r="H59273" s="680" t="s">
        <v>6153</v>
      </c>
    </row>
    <row r="59274" spans="8:8">
      <c r="H59274" s="680" t="s">
        <v>6153</v>
      </c>
    </row>
    <row r="59275" spans="8:8">
      <c r="H59275" s="680" t="s">
        <v>6153</v>
      </c>
    </row>
    <row r="59276" spans="8:8">
      <c r="H59276" s="680" t="s">
        <v>6153</v>
      </c>
    </row>
    <row r="59277" spans="8:8">
      <c r="H59277" s="680" t="s">
        <v>6153</v>
      </c>
    </row>
    <row r="59278" spans="8:8">
      <c r="H59278" s="680" t="s">
        <v>6153</v>
      </c>
    </row>
    <row r="59279" spans="8:8">
      <c r="H59279" s="680" t="s">
        <v>6153</v>
      </c>
    </row>
    <row r="59280" spans="8:8">
      <c r="H59280" s="680" t="s">
        <v>6153</v>
      </c>
    </row>
    <row r="59281" spans="8:8">
      <c r="H59281" s="680" t="s">
        <v>6153</v>
      </c>
    </row>
    <row r="59282" spans="8:8">
      <c r="H59282" s="680" t="s">
        <v>6153</v>
      </c>
    </row>
    <row r="59283" spans="8:8">
      <c r="H59283" s="680" t="s">
        <v>6153</v>
      </c>
    </row>
    <row r="59284" spans="8:8">
      <c r="H59284" s="680" t="s">
        <v>6153</v>
      </c>
    </row>
    <row r="59285" spans="8:8">
      <c r="H59285" s="680" t="s">
        <v>6153</v>
      </c>
    </row>
    <row r="59286" spans="8:8">
      <c r="H59286" s="680" t="s">
        <v>6153</v>
      </c>
    </row>
    <row r="59287" spans="8:8">
      <c r="H59287" s="680" t="s">
        <v>6153</v>
      </c>
    </row>
    <row r="59288" spans="8:8">
      <c r="H59288" s="680" t="s">
        <v>6153</v>
      </c>
    </row>
    <row r="59289" spans="8:8">
      <c r="H59289" s="680" t="s">
        <v>6153</v>
      </c>
    </row>
    <row r="59290" spans="8:8">
      <c r="H59290" s="680" t="s">
        <v>6153</v>
      </c>
    </row>
    <row r="59291" spans="8:8">
      <c r="H59291" s="680" t="s">
        <v>6153</v>
      </c>
    </row>
    <row r="59292" spans="8:8">
      <c r="H59292" s="680" t="s">
        <v>6153</v>
      </c>
    </row>
    <row r="59293" spans="8:8">
      <c r="H59293" s="680" t="s">
        <v>6153</v>
      </c>
    </row>
    <row r="59294" spans="8:8">
      <c r="H59294" s="680" t="s">
        <v>6153</v>
      </c>
    </row>
    <row r="59295" spans="8:8">
      <c r="H59295" s="680" t="s">
        <v>6153</v>
      </c>
    </row>
    <row r="59296" spans="8:8">
      <c r="H59296" s="680" t="s">
        <v>6153</v>
      </c>
    </row>
    <row r="59297" spans="8:8">
      <c r="H59297" s="680" t="s">
        <v>6153</v>
      </c>
    </row>
    <row r="59298" spans="8:8">
      <c r="H59298" s="680" t="s">
        <v>6153</v>
      </c>
    </row>
    <row r="59299" spans="8:8">
      <c r="H59299" s="680" t="s">
        <v>6153</v>
      </c>
    </row>
    <row r="59300" spans="8:8">
      <c r="H59300" s="680" t="s">
        <v>6153</v>
      </c>
    </row>
    <row r="59301" spans="8:8">
      <c r="H59301" s="680" t="s">
        <v>6153</v>
      </c>
    </row>
    <row r="59302" spans="8:8">
      <c r="H59302" s="680" t="s">
        <v>6153</v>
      </c>
    </row>
    <row r="59303" spans="8:8">
      <c r="H59303" s="680" t="s">
        <v>6153</v>
      </c>
    </row>
    <row r="59304" spans="8:8">
      <c r="H59304" s="680" t="s">
        <v>6153</v>
      </c>
    </row>
    <row r="59305" spans="8:8">
      <c r="H59305" s="680" t="s">
        <v>6153</v>
      </c>
    </row>
    <row r="59306" spans="8:8">
      <c r="H59306" s="680" t="s">
        <v>6153</v>
      </c>
    </row>
    <row r="59307" spans="8:8">
      <c r="H59307" s="680" t="s">
        <v>6153</v>
      </c>
    </row>
    <row r="59308" spans="8:8">
      <c r="H59308" s="680" t="s">
        <v>6153</v>
      </c>
    </row>
    <row r="59309" spans="8:8">
      <c r="H59309" s="680" t="s">
        <v>6153</v>
      </c>
    </row>
    <row r="59310" spans="8:8">
      <c r="H59310" s="680" t="s">
        <v>6153</v>
      </c>
    </row>
    <row r="59311" spans="8:8">
      <c r="H59311" s="680" t="s">
        <v>6153</v>
      </c>
    </row>
    <row r="59312" spans="8:8">
      <c r="H59312" s="680" t="s">
        <v>6153</v>
      </c>
    </row>
    <row r="59313" spans="8:8">
      <c r="H59313" s="680" t="s">
        <v>6153</v>
      </c>
    </row>
    <row r="59314" spans="8:8">
      <c r="H59314" s="680" t="s">
        <v>6153</v>
      </c>
    </row>
    <row r="59315" spans="8:8">
      <c r="H59315" s="680" t="s">
        <v>6153</v>
      </c>
    </row>
    <row r="59316" spans="8:8">
      <c r="H59316" s="680" t="s">
        <v>6153</v>
      </c>
    </row>
    <row r="59317" spans="8:8">
      <c r="H59317" s="680" t="s">
        <v>6153</v>
      </c>
    </row>
    <row r="59318" spans="8:8">
      <c r="H59318" s="680" t="s">
        <v>6153</v>
      </c>
    </row>
    <row r="59319" spans="8:8">
      <c r="H59319" s="680" t="s">
        <v>6153</v>
      </c>
    </row>
    <row r="59320" spans="8:8">
      <c r="H59320" s="680" t="s">
        <v>6153</v>
      </c>
    </row>
    <row r="59321" spans="8:8">
      <c r="H59321" s="680" t="s">
        <v>6153</v>
      </c>
    </row>
    <row r="59322" spans="8:8">
      <c r="H59322" s="680" t="s">
        <v>6153</v>
      </c>
    </row>
    <row r="59323" spans="8:8">
      <c r="H59323" s="680" t="s">
        <v>6153</v>
      </c>
    </row>
    <row r="59324" spans="8:8">
      <c r="H59324" s="680" t="s">
        <v>6153</v>
      </c>
    </row>
    <row r="59325" spans="8:8">
      <c r="H59325" s="680" t="s">
        <v>6153</v>
      </c>
    </row>
    <row r="59326" spans="8:8">
      <c r="H59326" s="680" t="s">
        <v>6153</v>
      </c>
    </row>
    <row r="59327" spans="8:8">
      <c r="H59327" s="680" t="s">
        <v>6153</v>
      </c>
    </row>
    <row r="59328" spans="8:8">
      <c r="H59328" s="680" t="s">
        <v>6153</v>
      </c>
    </row>
    <row r="59329" spans="8:8">
      <c r="H59329" s="680" t="s">
        <v>6153</v>
      </c>
    </row>
    <row r="59330" spans="8:8">
      <c r="H59330" s="680" t="s">
        <v>6153</v>
      </c>
    </row>
    <row r="59331" spans="8:8">
      <c r="H59331" s="680" t="s">
        <v>6153</v>
      </c>
    </row>
    <row r="59332" spans="8:8">
      <c r="H59332" s="680" t="s">
        <v>6153</v>
      </c>
    </row>
    <row r="59333" spans="8:8">
      <c r="H59333" s="680" t="s">
        <v>6153</v>
      </c>
    </row>
    <row r="59334" spans="8:8">
      <c r="H59334" s="680" t="s">
        <v>6153</v>
      </c>
    </row>
    <row r="59335" spans="8:8">
      <c r="H59335" s="680" t="s">
        <v>6153</v>
      </c>
    </row>
    <row r="59336" spans="8:8">
      <c r="H59336" s="680" t="s">
        <v>6153</v>
      </c>
    </row>
    <row r="59337" spans="8:8">
      <c r="H59337" s="680" t="s">
        <v>6153</v>
      </c>
    </row>
    <row r="59338" spans="8:8">
      <c r="H59338" s="680" t="s">
        <v>6153</v>
      </c>
    </row>
    <row r="59339" spans="8:8">
      <c r="H59339" s="680" t="s">
        <v>6153</v>
      </c>
    </row>
    <row r="59340" spans="8:8">
      <c r="H59340" s="680" t="s">
        <v>6153</v>
      </c>
    </row>
    <row r="59341" spans="8:8">
      <c r="H59341" s="680" t="s">
        <v>6153</v>
      </c>
    </row>
    <row r="59342" spans="8:8">
      <c r="H59342" s="680" t="s">
        <v>6153</v>
      </c>
    </row>
    <row r="59343" spans="8:8">
      <c r="H59343" s="680" t="s">
        <v>6153</v>
      </c>
    </row>
    <row r="59344" spans="8:8">
      <c r="H59344" s="680" t="s">
        <v>6153</v>
      </c>
    </row>
    <row r="59345" spans="8:8">
      <c r="H59345" s="680" t="s">
        <v>6153</v>
      </c>
    </row>
    <row r="59346" spans="8:8">
      <c r="H59346" s="680" t="s">
        <v>6153</v>
      </c>
    </row>
    <row r="59347" spans="8:8">
      <c r="H59347" s="680" t="s">
        <v>6153</v>
      </c>
    </row>
    <row r="59348" spans="8:8">
      <c r="H59348" s="680" t="s">
        <v>6153</v>
      </c>
    </row>
    <row r="59349" spans="8:8">
      <c r="H59349" s="680" t="s">
        <v>6153</v>
      </c>
    </row>
    <row r="59350" spans="8:8">
      <c r="H59350" s="680" t="s">
        <v>6153</v>
      </c>
    </row>
    <row r="59351" spans="8:8">
      <c r="H59351" s="680" t="s">
        <v>6153</v>
      </c>
    </row>
    <row r="59352" spans="8:8">
      <c r="H59352" s="680" t="s">
        <v>6153</v>
      </c>
    </row>
    <row r="59353" spans="8:8">
      <c r="H59353" s="680" t="s">
        <v>6153</v>
      </c>
    </row>
    <row r="59354" spans="8:8">
      <c r="H59354" s="680" t="s">
        <v>6153</v>
      </c>
    </row>
    <row r="59355" spans="8:8">
      <c r="H59355" s="680" t="s">
        <v>6153</v>
      </c>
    </row>
    <row r="59356" spans="8:8">
      <c r="H59356" s="680" t="s">
        <v>6153</v>
      </c>
    </row>
    <row r="59357" spans="8:8">
      <c r="H59357" s="680" t="s">
        <v>6153</v>
      </c>
    </row>
    <row r="59358" spans="8:8">
      <c r="H59358" s="680" t="s">
        <v>6153</v>
      </c>
    </row>
    <row r="59359" spans="8:8">
      <c r="H59359" s="680" t="s">
        <v>6153</v>
      </c>
    </row>
    <row r="59360" spans="8:8">
      <c r="H59360" s="680" t="s">
        <v>6153</v>
      </c>
    </row>
    <row r="59361" spans="8:8">
      <c r="H59361" s="680" t="s">
        <v>6153</v>
      </c>
    </row>
    <row r="59362" spans="8:8">
      <c r="H59362" s="680" t="s">
        <v>6153</v>
      </c>
    </row>
    <row r="59363" spans="8:8">
      <c r="H59363" s="680" t="s">
        <v>6153</v>
      </c>
    </row>
    <row r="59364" spans="8:8">
      <c r="H59364" s="680" t="s">
        <v>6153</v>
      </c>
    </row>
    <row r="59365" spans="8:8">
      <c r="H59365" s="680" t="s">
        <v>6153</v>
      </c>
    </row>
    <row r="59366" spans="8:8">
      <c r="H59366" s="680" t="s">
        <v>6153</v>
      </c>
    </row>
    <row r="59367" spans="8:8">
      <c r="H59367" s="680" t="s">
        <v>6153</v>
      </c>
    </row>
    <row r="59368" spans="8:8">
      <c r="H59368" s="680" t="s">
        <v>6153</v>
      </c>
    </row>
    <row r="59369" spans="8:8">
      <c r="H59369" s="680" t="s">
        <v>6153</v>
      </c>
    </row>
    <row r="59370" spans="8:8">
      <c r="H59370" s="680" t="s">
        <v>6153</v>
      </c>
    </row>
    <row r="59371" spans="8:8">
      <c r="H59371" s="680" t="s">
        <v>6153</v>
      </c>
    </row>
    <row r="59372" spans="8:8">
      <c r="H59372" s="680" t="s">
        <v>6153</v>
      </c>
    </row>
    <row r="59373" spans="8:8">
      <c r="H59373" s="680" t="s">
        <v>6153</v>
      </c>
    </row>
    <row r="59374" spans="8:8">
      <c r="H59374" s="680" t="s">
        <v>6153</v>
      </c>
    </row>
    <row r="59375" spans="8:8">
      <c r="H59375" s="680" t="s">
        <v>6153</v>
      </c>
    </row>
    <row r="59376" spans="8:8">
      <c r="H59376" s="680" t="s">
        <v>6153</v>
      </c>
    </row>
    <row r="59377" spans="8:8">
      <c r="H59377" s="680" t="s">
        <v>6153</v>
      </c>
    </row>
    <row r="59378" spans="8:8">
      <c r="H59378" s="680" t="s">
        <v>6153</v>
      </c>
    </row>
    <row r="59379" spans="8:8">
      <c r="H59379" s="680" t="s">
        <v>6153</v>
      </c>
    </row>
    <row r="59380" spans="8:8">
      <c r="H59380" s="680" t="s">
        <v>6153</v>
      </c>
    </row>
    <row r="59381" spans="8:8">
      <c r="H59381" s="680" t="s">
        <v>6153</v>
      </c>
    </row>
    <row r="59382" spans="8:8">
      <c r="H59382" s="680" t="s">
        <v>6153</v>
      </c>
    </row>
    <row r="59383" spans="8:8">
      <c r="H59383" s="680" t="s">
        <v>6153</v>
      </c>
    </row>
    <row r="59384" spans="8:8">
      <c r="H59384" s="680" t="s">
        <v>6153</v>
      </c>
    </row>
    <row r="59385" spans="8:8">
      <c r="H59385" s="680" t="s">
        <v>6153</v>
      </c>
    </row>
    <row r="59386" spans="8:8">
      <c r="H59386" s="680" t="s">
        <v>6153</v>
      </c>
    </row>
    <row r="59387" spans="8:8">
      <c r="H59387" s="680" t="s">
        <v>6153</v>
      </c>
    </row>
    <row r="59388" spans="8:8">
      <c r="H59388" s="680" t="s">
        <v>6153</v>
      </c>
    </row>
    <row r="59389" spans="8:8">
      <c r="H59389" s="680" t="s">
        <v>6153</v>
      </c>
    </row>
    <row r="59390" spans="8:8">
      <c r="H59390" s="680" t="s">
        <v>6153</v>
      </c>
    </row>
    <row r="59391" spans="8:8">
      <c r="H59391" s="680" t="s">
        <v>6153</v>
      </c>
    </row>
    <row r="59392" spans="8:8">
      <c r="H59392" s="680" t="s">
        <v>6153</v>
      </c>
    </row>
    <row r="59393" spans="8:8">
      <c r="H59393" s="680" t="s">
        <v>6153</v>
      </c>
    </row>
    <row r="59394" spans="8:8">
      <c r="H59394" s="680" t="s">
        <v>6153</v>
      </c>
    </row>
    <row r="59395" spans="8:8">
      <c r="H59395" s="680" t="s">
        <v>6153</v>
      </c>
    </row>
    <row r="59396" spans="8:8">
      <c r="H59396" s="680" t="s">
        <v>6153</v>
      </c>
    </row>
    <row r="59397" spans="8:8">
      <c r="H59397" s="680" t="s">
        <v>6153</v>
      </c>
    </row>
    <row r="59398" spans="8:8">
      <c r="H59398" s="680" t="s">
        <v>6153</v>
      </c>
    </row>
    <row r="59399" spans="8:8">
      <c r="H59399" s="680" t="s">
        <v>6153</v>
      </c>
    </row>
    <row r="59400" spans="8:8">
      <c r="H59400" s="680" t="s">
        <v>6153</v>
      </c>
    </row>
    <row r="59401" spans="8:8">
      <c r="H59401" s="680" t="s">
        <v>6153</v>
      </c>
    </row>
    <row r="59402" spans="8:8">
      <c r="H59402" s="680" t="s">
        <v>6153</v>
      </c>
    </row>
    <row r="59403" spans="8:8">
      <c r="H59403" s="680" t="s">
        <v>6153</v>
      </c>
    </row>
    <row r="59404" spans="8:8">
      <c r="H59404" s="680" t="s">
        <v>6153</v>
      </c>
    </row>
    <row r="59405" spans="8:8">
      <c r="H59405" s="680" t="s">
        <v>6153</v>
      </c>
    </row>
    <row r="59406" spans="8:8">
      <c r="H59406" s="680" t="s">
        <v>6153</v>
      </c>
    </row>
    <row r="59407" spans="8:8">
      <c r="H59407" s="680" t="s">
        <v>6153</v>
      </c>
    </row>
    <row r="59408" spans="8:8">
      <c r="H59408" s="680" t="s">
        <v>6153</v>
      </c>
    </row>
    <row r="59409" spans="8:8">
      <c r="H59409" s="680" t="s">
        <v>6153</v>
      </c>
    </row>
    <row r="59410" spans="8:8">
      <c r="H59410" s="680" t="s">
        <v>6153</v>
      </c>
    </row>
    <row r="59411" spans="8:8">
      <c r="H59411" s="680" t="s">
        <v>6153</v>
      </c>
    </row>
    <row r="59412" spans="8:8">
      <c r="H59412" s="680" t="s">
        <v>6153</v>
      </c>
    </row>
    <row r="59413" spans="8:8">
      <c r="H59413" s="680" t="s">
        <v>6153</v>
      </c>
    </row>
    <row r="59414" spans="8:8">
      <c r="H59414" s="680" t="s">
        <v>6153</v>
      </c>
    </row>
    <row r="59415" spans="8:8">
      <c r="H59415" s="680" t="s">
        <v>6153</v>
      </c>
    </row>
    <row r="59416" spans="8:8">
      <c r="H59416" s="680" t="s">
        <v>6153</v>
      </c>
    </row>
    <row r="59417" spans="8:8">
      <c r="H59417" s="680" t="s">
        <v>6153</v>
      </c>
    </row>
    <row r="59418" spans="8:8">
      <c r="H59418" s="680" t="s">
        <v>6153</v>
      </c>
    </row>
    <row r="59419" spans="8:8">
      <c r="H59419" s="680" t="s">
        <v>6153</v>
      </c>
    </row>
    <row r="59420" spans="8:8">
      <c r="H59420" s="680" t="s">
        <v>6153</v>
      </c>
    </row>
    <row r="59421" spans="8:8">
      <c r="H59421" s="680" t="s">
        <v>6153</v>
      </c>
    </row>
    <row r="59422" spans="8:8">
      <c r="H59422" s="680" t="s">
        <v>6153</v>
      </c>
    </row>
    <row r="59423" spans="8:8">
      <c r="H59423" s="680" t="s">
        <v>6153</v>
      </c>
    </row>
    <row r="59424" spans="8:8">
      <c r="H59424" s="680" t="s">
        <v>6153</v>
      </c>
    </row>
    <row r="59425" spans="8:8">
      <c r="H59425" s="680" t="s">
        <v>6153</v>
      </c>
    </row>
    <row r="59426" spans="8:8">
      <c r="H59426" s="680" t="s">
        <v>6153</v>
      </c>
    </row>
    <row r="59427" spans="8:8">
      <c r="H59427" s="680" t="s">
        <v>6153</v>
      </c>
    </row>
    <row r="59428" spans="8:8">
      <c r="H59428" s="680" t="s">
        <v>6153</v>
      </c>
    </row>
    <row r="59429" spans="8:8">
      <c r="H59429" s="680" t="s">
        <v>6153</v>
      </c>
    </row>
    <row r="59430" spans="8:8">
      <c r="H59430" s="680" t="s">
        <v>6153</v>
      </c>
    </row>
    <row r="59431" spans="8:8">
      <c r="H59431" s="680" t="s">
        <v>6153</v>
      </c>
    </row>
    <row r="59432" spans="8:8">
      <c r="H59432" s="680" t="s">
        <v>6153</v>
      </c>
    </row>
    <row r="59433" spans="8:8">
      <c r="H59433" s="680" t="s">
        <v>6153</v>
      </c>
    </row>
    <row r="59434" spans="8:8">
      <c r="H59434" s="680" t="s">
        <v>6153</v>
      </c>
    </row>
    <row r="59435" spans="8:8">
      <c r="H59435" s="680" t="s">
        <v>6153</v>
      </c>
    </row>
    <row r="59436" spans="8:8">
      <c r="H59436" s="680" t="s">
        <v>6153</v>
      </c>
    </row>
    <row r="59437" spans="8:8">
      <c r="H59437" s="680" t="s">
        <v>6153</v>
      </c>
    </row>
    <row r="59438" spans="8:8">
      <c r="H59438" s="680" t="s">
        <v>6153</v>
      </c>
    </row>
    <row r="59439" spans="8:8">
      <c r="H59439" s="680" t="s">
        <v>6153</v>
      </c>
    </row>
    <row r="59440" spans="8:8">
      <c r="H59440" s="680" t="s">
        <v>6153</v>
      </c>
    </row>
    <row r="59441" spans="8:8">
      <c r="H59441" s="680" t="s">
        <v>6153</v>
      </c>
    </row>
    <row r="59442" spans="8:8">
      <c r="H59442" s="680" t="s">
        <v>6153</v>
      </c>
    </row>
    <row r="59443" spans="8:8">
      <c r="H59443" s="680" t="s">
        <v>6153</v>
      </c>
    </row>
    <row r="59444" spans="8:8">
      <c r="H59444" s="680" t="s">
        <v>6153</v>
      </c>
    </row>
    <row r="59445" spans="8:8">
      <c r="H59445" s="680" t="s">
        <v>6153</v>
      </c>
    </row>
    <row r="59446" spans="8:8">
      <c r="H59446" s="680" t="s">
        <v>6153</v>
      </c>
    </row>
    <row r="59447" spans="8:8">
      <c r="H59447" s="680" t="s">
        <v>6153</v>
      </c>
    </row>
    <row r="59448" spans="8:8">
      <c r="H59448" s="680" t="s">
        <v>6153</v>
      </c>
    </row>
    <row r="59449" spans="8:8">
      <c r="H59449" s="680" t="s">
        <v>6153</v>
      </c>
    </row>
    <row r="59450" spans="8:8">
      <c r="H59450" s="680" t="s">
        <v>6153</v>
      </c>
    </row>
    <row r="59451" spans="8:8">
      <c r="H59451" s="680" t="s">
        <v>6153</v>
      </c>
    </row>
    <row r="59452" spans="8:8">
      <c r="H59452" s="680" t="s">
        <v>6153</v>
      </c>
    </row>
    <row r="59453" spans="8:8">
      <c r="H59453" s="680" t="s">
        <v>6153</v>
      </c>
    </row>
    <row r="59454" spans="8:8">
      <c r="H59454" s="680" t="s">
        <v>6153</v>
      </c>
    </row>
    <row r="59455" spans="8:8">
      <c r="H59455" s="680" t="s">
        <v>6153</v>
      </c>
    </row>
    <row r="59456" spans="8:8">
      <c r="H59456" s="680" t="s">
        <v>6153</v>
      </c>
    </row>
    <row r="59457" spans="8:8">
      <c r="H59457" s="680" t="s">
        <v>6153</v>
      </c>
    </row>
    <row r="59458" spans="8:8">
      <c r="H59458" s="680" t="s">
        <v>6153</v>
      </c>
    </row>
    <row r="59459" spans="8:8">
      <c r="H59459" s="680" t="s">
        <v>6153</v>
      </c>
    </row>
    <row r="59460" spans="8:8">
      <c r="H59460" s="680" t="s">
        <v>6153</v>
      </c>
    </row>
    <row r="59461" spans="8:8">
      <c r="H59461" s="680" t="s">
        <v>6153</v>
      </c>
    </row>
    <row r="59462" spans="8:8">
      <c r="H59462" s="680" t="s">
        <v>6153</v>
      </c>
    </row>
    <row r="59463" spans="8:8">
      <c r="H59463" s="680" t="s">
        <v>6153</v>
      </c>
    </row>
    <row r="59464" spans="8:8">
      <c r="H59464" s="680" t="s">
        <v>6153</v>
      </c>
    </row>
    <row r="59465" spans="8:8">
      <c r="H59465" s="680" t="s">
        <v>6153</v>
      </c>
    </row>
    <row r="59466" spans="8:8">
      <c r="H59466" s="680" t="s">
        <v>6153</v>
      </c>
    </row>
    <row r="59467" spans="8:8">
      <c r="H59467" s="680" t="s">
        <v>6153</v>
      </c>
    </row>
    <row r="59468" spans="8:8">
      <c r="H59468" s="680" t="s">
        <v>6153</v>
      </c>
    </row>
    <row r="59469" spans="8:8">
      <c r="H59469" s="680" t="s">
        <v>6153</v>
      </c>
    </row>
    <row r="59470" spans="8:8">
      <c r="H59470" s="680" t="s">
        <v>6153</v>
      </c>
    </row>
    <row r="59471" spans="8:8">
      <c r="H59471" s="680" t="s">
        <v>6153</v>
      </c>
    </row>
    <row r="59472" spans="8:8">
      <c r="H59472" s="680" t="s">
        <v>6153</v>
      </c>
    </row>
    <row r="59473" spans="8:8">
      <c r="H59473" s="680" t="s">
        <v>6153</v>
      </c>
    </row>
    <row r="59474" spans="8:8">
      <c r="H59474" s="680" t="s">
        <v>6153</v>
      </c>
    </row>
    <row r="59475" spans="8:8">
      <c r="H59475" s="680" t="s">
        <v>6153</v>
      </c>
    </row>
    <row r="59476" spans="8:8">
      <c r="H59476" s="680" t="s">
        <v>6153</v>
      </c>
    </row>
    <row r="59477" spans="8:8">
      <c r="H59477" s="680" t="s">
        <v>6153</v>
      </c>
    </row>
    <row r="59478" spans="8:8">
      <c r="H59478" s="680" t="s">
        <v>6153</v>
      </c>
    </row>
    <row r="59479" spans="8:8">
      <c r="H59479" s="680" t="s">
        <v>6153</v>
      </c>
    </row>
    <row r="59480" spans="8:8">
      <c r="H59480" s="680" t="s">
        <v>6153</v>
      </c>
    </row>
    <row r="59481" spans="8:8">
      <c r="H59481" s="680" t="s">
        <v>6153</v>
      </c>
    </row>
    <row r="59482" spans="8:8">
      <c r="H59482" s="680" t="s">
        <v>6153</v>
      </c>
    </row>
    <row r="59483" spans="8:8">
      <c r="H59483" s="680" t="s">
        <v>6153</v>
      </c>
    </row>
    <row r="59484" spans="8:8">
      <c r="H59484" s="680" t="s">
        <v>6153</v>
      </c>
    </row>
    <row r="59485" spans="8:8">
      <c r="H59485" s="680" t="s">
        <v>6153</v>
      </c>
    </row>
    <row r="59486" spans="8:8">
      <c r="H59486" s="680" t="s">
        <v>6153</v>
      </c>
    </row>
    <row r="59487" spans="8:8">
      <c r="H59487" s="680" t="s">
        <v>6153</v>
      </c>
    </row>
    <row r="59488" spans="8:8">
      <c r="H59488" s="680" t="s">
        <v>6153</v>
      </c>
    </row>
    <row r="59489" spans="8:8">
      <c r="H59489" s="680" t="s">
        <v>6153</v>
      </c>
    </row>
    <row r="59490" spans="8:8">
      <c r="H59490" s="680" t="s">
        <v>6153</v>
      </c>
    </row>
    <row r="59491" spans="8:8">
      <c r="H59491" s="680" t="s">
        <v>6153</v>
      </c>
    </row>
    <row r="59492" spans="8:8">
      <c r="H59492" s="680" t="s">
        <v>6153</v>
      </c>
    </row>
    <row r="59493" spans="8:8">
      <c r="H59493" s="680" t="s">
        <v>6153</v>
      </c>
    </row>
    <row r="59494" spans="8:8">
      <c r="H59494" s="680" t="s">
        <v>6153</v>
      </c>
    </row>
    <row r="59495" spans="8:8">
      <c r="H59495" s="680" t="s">
        <v>6153</v>
      </c>
    </row>
    <row r="59496" spans="8:8">
      <c r="H59496" s="680" t="s">
        <v>6153</v>
      </c>
    </row>
    <row r="59497" spans="8:8">
      <c r="H59497" s="680" t="s">
        <v>6153</v>
      </c>
    </row>
    <row r="59498" spans="8:8">
      <c r="H59498" s="680" t="s">
        <v>6153</v>
      </c>
    </row>
    <row r="59499" spans="8:8">
      <c r="H59499" s="680" t="s">
        <v>6153</v>
      </c>
    </row>
    <row r="59500" spans="8:8">
      <c r="H59500" s="680" t="s">
        <v>6153</v>
      </c>
    </row>
    <row r="59501" spans="8:8">
      <c r="H59501" s="680" t="s">
        <v>6153</v>
      </c>
    </row>
    <row r="59502" spans="8:8">
      <c r="H59502" s="680" t="s">
        <v>6153</v>
      </c>
    </row>
    <row r="59503" spans="8:8">
      <c r="H59503" s="680" t="s">
        <v>6153</v>
      </c>
    </row>
    <row r="59504" spans="8:8">
      <c r="H59504" s="680" t="s">
        <v>6153</v>
      </c>
    </row>
    <row r="59505" spans="8:8">
      <c r="H59505" s="680" t="s">
        <v>6153</v>
      </c>
    </row>
    <row r="59506" spans="8:8">
      <c r="H59506" s="680" t="s">
        <v>6153</v>
      </c>
    </row>
    <row r="59507" spans="8:8">
      <c r="H59507" s="680" t="s">
        <v>6153</v>
      </c>
    </row>
    <row r="59508" spans="8:8">
      <c r="H59508" s="680" t="s">
        <v>6153</v>
      </c>
    </row>
    <row r="59509" spans="8:8">
      <c r="H59509" s="680" t="s">
        <v>6153</v>
      </c>
    </row>
    <row r="59510" spans="8:8">
      <c r="H59510" s="680" t="s">
        <v>6153</v>
      </c>
    </row>
    <row r="59511" spans="8:8">
      <c r="H59511" s="680" t="s">
        <v>6153</v>
      </c>
    </row>
    <row r="59512" spans="8:8">
      <c r="H59512" s="680" t="s">
        <v>6153</v>
      </c>
    </row>
    <row r="59513" spans="8:8">
      <c r="H59513" s="680" t="s">
        <v>6153</v>
      </c>
    </row>
    <row r="59514" spans="8:8">
      <c r="H59514" s="680" t="s">
        <v>6153</v>
      </c>
    </row>
    <row r="59515" spans="8:8">
      <c r="H59515" s="680" t="s">
        <v>6153</v>
      </c>
    </row>
    <row r="59516" spans="8:8">
      <c r="H59516" s="680" t="s">
        <v>6153</v>
      </c>
    </row>
    <row r="59517" spans="8:8">
      <c r="H59517" s="680" t="s">
        <v>6153</v>
      </c>
    </row>
    <row r="59518" spans="8:8">
      <c r="H59518" s="680" t="s">
        <v>6153</v>
      </c>
    </row>
    <row r="59519" spans="8:8">
      <c r="H59519" s="680" t="s">
        <v>6153</v>
      </c>
    </row>
    <row r="59520" spans="8:8">
      <c r="H59520" s="680" t="s">
        <v>6153</v>
      </c>
    </row>
    <row r="59521" spans="8:8">
      <c r="H59521" s="680" t="s">
        <v>6153</v>
      </c>
    </row>
    <row r="59522" spans="8:8">
      <c r="H59522" s="680" t="s">
        <v>6153</v>
      </c>
    </row>
    <row r="59523" spans="8:8">
      <c r="H59523" s="680" t="s">
        <v>6153</v>
      </c>
    </row>
    <row r="59524" spans="8:8">
      <c r="H59524" s="680" t="s">
        <v>6153</v>
      </c>
    </row>
    <row r="59525" spans="8:8">
      <c r="H59525" s="680" t="s">
        <v>6153</v>
      </c>
    </row>
    <row r="59526" spans="8:8">
      <c r="H59526" s="680" t="s">
        <v>6153</v>
      </c>
    </row>
    <row r="59527" spans="8:8">
      <c r="H59527" s="680" t="s">
        <v>6153</v>
      </c>
    </row>
    <row r="59528" spans="8:8">
      <c r="H59528" s="680" t="s">
        <v>6153</v>
      </c>
    </row>
    <row r="59529" spans="8:8">
      <c r="H59529" s="680" t="s">
        <v>6153</v>
      </c>
    </row>
    <row r="59530" spans="8:8">
      <c r="H59530" s="680" t="s">
        <v>6153</v>
      </c>
    </row>
    <row r="59531" spans="8:8">
      <c r="H59531" s="680" t="s">
        <v>6153</v>
      </c>
    </row>
    <row r="59532" spans="8:8">
      <c r="H59532" s="680" t="s">
        <v>6153</v>
      </c>
    </row>
    <row r="59533" spans="8:8">
      <c r="H59533" s="680" t="s">
        <v>6153</v>
      </c>
    </row>
    <row r="59534" spans="8:8">
      <c r="H59534" s="680" t="s">
        <v>6153</v>
      </c>
    </row>
    <row r="59535" spans="8:8">
      <c r="H59535" s="680" t="s">
        <v>6153</v>
      </c>
    </row>
    <row r="59536" spans="8:8">
      <c r="H59536" s="680" t="s">
        <v>6153</v>
      </c>
    </row>
    <row r="59537" spans="8:8">
      <c r="H59537" s="680" t="s">
        <v>6153</v>
      </c>
    </row>
    <row r="59538" spans="8:8">
      <c r="H59538" s="680" t="s">
        <v>6153</v>
      </c>
    </row>
    <row r="59539" spans="8:8">
      <c r="H59539" s="680" t="s">
        <v>6153</v>
      </c>
    </row>
    <row r="59540" spans="8:8">
      <c r="H59540" s="680" t="s">
        <v>6153</v>
      </c>
    </row>
    <row r="59541" spans="8:8">
      <c r="H59541" s="680" t="s">
        <v>6153</v>
      </c>
    </row>
    <row r="59542" spans="8:8">
      <c r="H59542" s="680" t="s">
        <v>6153</v>
      </c>
    </row>
    <row r="59543" spans="8:8">
      <c r="H59543" s="680" t="s">
        <v>6153</v>
      </c>
    </row>
    <row r="59544" spans="8:8">
      <c r="H59544" s="680" t="s">
        <v>6153</v>
      </c>
    </row>
    <row r="59545" spans="8:8">
      <c r="H59545" s="680" t="s">
        <v>6153</v>
      </c>
    </row>
    <row r="59546" spans="8:8">
      <c r="H59546" s="680" t="s">
        <v>6153</v>
      </c>
    </row>
    <row r="59547" spans="8:8">
      <c r="H59547" s="680" t="s">
        <v>6153</v>
      </c>
    </row>
    <row r="59548" spans="8:8">
      <c r="H59548" s="680" t="s">
        <v>6153</v>
      </c>
    </row>
    <row r="59549" spans="8:8">
      <c r="H59549" s="680" t="s">
        <v>6153</v>
      </c>
    </row>
    <row r="59550" spans="8:8">
      <c r="H59550" s="680" t="s">
        <v>6153</v>
      </c>
    </row>
    <row r="59551" spans="8:8">
      <c r="H59551" s="680" t="s">
        <v>6153</v>
      </c>
    </row>
    <row r="59552" spans="8:8">
      <c r="H59552" s="680" t="s">
        <v>6153</v>
      </c>
    </row>
    <row r="59553" spans="8:8">
      <c r="H59553" s="680" t="s">
        <v>6153</v>
      </c>
    </row>
    <row r="59554" spans="8:8">
      <c r="H59554" s="680" t="s">
        <v>6153</v>
      </c>
    </row>
    <row r="59555" spans="8:8">
      <c r="H59555" s="680" t="s">
        <v>6153</v>
      </c>
    </row>
    <row r="59556" spans="8:8">
      <c r="H59556" s="680" t="s">
        <v>6153</v>
      </c>
    </row>
    <row r="59557" spans="8:8">
      <c r="H59557" s="680" t="s">
        <v>6153</v>
      </c>
    </row>
    <row r="59558" spans="8:8">
      <c r="H59558" s="680" t="s">
        <v>6153</v>
      </c>
    </row>
    <row r="59559" spans="8:8">
      <c r="H59559" s="680" t="s">
        <v>6153</v>
      </c>
    </row>
    <row r="59560" spans="8:8">
      <c r="H59560" s="680" t="s">
        <v>6153</v>
      </c>
    </row>
    <row r="59561" spans="8:8">
      <c r="H59561" s="680" t="s">
        <v>6153</v>
      </c>
    </row>
    <row r="59562" spans="8:8">
      <c r="H59562" s="680" t="s">
        <v>6153</v>
      </c>
    </row>
    <row r="59563" spans="8:8">
      <c r="H59563" s="680" t="s">
        <v>6153</v>
      </c>
    </row>
    <row r="59564" spans="8:8">
      <c r="H59564" s="680" t="s">
        <v>6153</v>
      </c>
    </row>
    <row r="59565" spans="8:8">
      <c r="H59565" s="680" t="s">
        <v>6153</v>
      </c>
    </row>
    <row r="59566" spans="8:8">
      <c r="H59566" s="680" t="s">
        <v>6153</v>
      </c>
    </row>
    <row r="59567" spans="8:8">
      <c r="H59567" s="680" t="s">
        <v>6153</v>
      </c>
    </row>
    <row r="59568" spans="8:8">
      <c r="H59568" s="680" t="s">
        <v>6153</v>
      </c>
    </row>
    <row r="59569" spans="8:8">
      <c r="H59569" s="680" t="s">
        <v>6153</v>
      </c>
    </row>
    <row r="59570" spans="8:8">
      <c r="H59570" s="680" t="s">
        <v>6153</v>
      </c>
    </row>
    <row r="59571" spans="8:8">
      <c r="H59571" s="680" t="s">
        <v>6153</v>
      </c>
    </row>
    <row r="59572" spans="8:8">
      <c r="H59572" s="680" t="s">
        <v>6153</v>
      </c>
    </row>
    <row r="59573" spans="8:8">
      <c r="H59573" s="680" t="s">
        <v>6153</v>
      </c>
    </row>
    <row r="59574" spans="8:8">
      <c r="H59574" s="680" t="s">
        <v>6153</v>
      </c>
    </row>
    <row r="59575" spans="8:8">
      <c r="H59575" s="680" t="s">
        <v>6153</v>
      </c>
    </row>
    <row r="59576" spans="8:8">
      <c r="H59576" s="680" t="s">
        <v>6153</v>
      </c>
    </row>
    <row r="59577" spans="8:8">
      <c r="H59577" s="680" t="s">
        <v>6153</v>
      </c>
    </row>
    <row r="59578" spans="8:8">
      <c r="H59578" s="680" t="s">
        <v>6153</v>
      </c>
    </row>
    <row r="59579" spans="8:8">
      <c r="H59579" s="680" t="s">
        <v>6153</v>
      </c>
    </row>
    <row r="59580" spans="8:8">
      <c r="H59580" s="680" t="s">
        <v>6153</v>
      </c>
    </row>
    <row r="59581" spans="8:8">
      <c r="H59581" s="680" t="s">
        <v>6153</v>
      </c>
    </row>
    <row r="59582" spans="8:8">
      <c r="H59582" s="680" t="s">
        <v>6153</v>
      </c>
    </row>
    <row r="59583" spans="8:8">
      <c r="H59583" s="680" t="s">
        <v>6153</v>
      </c>
    </row>
    <row r="59584" spans="8:8">
      <c r="H59584" s="680" t="s">
        <v>6153</v>
      </c>
    </row>
    <row r="59585" spans="8:8">
      <c r="H59585" s="680" t="s">
        <v>6153</v>
      </c>
    </row>
    <row r="59586" spans="8:8">
      <c r="H59586" s="680" t="s">
        <v>6153</v>
      </c>
    </row>
    <row r="59587" spans="8:8">
      <c r="H59587" s="680" t="s">
        <v>6153</v>
      </c>
    </row>
    <row r="59588" spans="8:8">
      <c r="H59588" s="680" t="s">
        <v>6153</v>
      </c>
    </row>
    <row r="59589" spans="8:8">
      <c r="H59589" s="680" t="s">
        <v>6153</v>
      </c>
    </row>
    <row r="59590" spans="8:8">
      <c r="H59590" s="680" t="s">
        <v>6153</v>
      </c>
    </row>
    <row r="59591" spans="8:8">
      <c r="H59591" s="680" t="s">
        <v>6153</v>
      </c>
    </row>
    <row r="59592" spans="8:8">
      <c r="H59592" s="680" t="s">
        <v>6153</v>
      </c>
    </row>
    <row r="59593" spans="8:8">
      <c r="H59593" s="680" t="s">
        <v>6153</v>
      </c>
    </row>
    <row r="59594" spans="8:8">
      <c r="H59594" s="680" t="s">
        <v>6153</v>
      </c>
    </row>
    <row r="59595" spans="8:8">
      <c r="H59595" s="680" t="s">
        <v>6153</v>
      </c>
    </row>
    <row r="59596" spans="8:8">
      <c r="H59596" s="680" t="s">
        <v>6153</v>
      </c>
    </row>
    <row r="59597" spans="8:8">
      <c r="H59597" s="680" t="s">
        <v>6153</v>
      </c>
    </row>
    <row r="59598" spans="8:8">
      <c r="H59598" s="680" t="s">
        <v>6153</v>
      </c>
    </row>
    <row r="59599" spans="8:8">
      <c r="H59599" s="680" t="s">
        <v>6153</v>
      </c>
    </row>
    <row r="59600" spans="8:8">
      <c r="H59600" s="680" t="s">
        <v>6153</v>
      </c>
    </row>
    <row r="59601" spans="8:8">
      <c r="H59601" s="680" t="s">
        <v>6153</v>
      </c>
    </row>
    <row r="59602" spans="8:8">
      <c r="H59602" s="680" t="s">
        <v>6153</v>
      </c>
    </row>
    <row r="59603" spans="8:8">
      <c r="H59603" s="680" t="s">
        <v>6153</v>
      </c>
    </row>
    <row r="59604" spans="8:8">
      <c r="H59604" s="680" t="s">
        <v>6153</v>
      </c>
    </row>
    <row r="59605" spans="8:8">
      <c r="H59605" s="680" t="s">
        <v>6153</v>
      </c>
    </row>
    <row r="59606" spans="8:8">
      <c r="H59606" s="680" t="s">
        <v>6153</v>
      </c>
    </row>
    <row r="59607" spans="8:8">
      <c r="H59607" s="680" t="s">
        <v>6153</v>
      </c>
    </row>
    <row r="59608" spans="8:8">
      <c r="H59608" s="680" t="s">
        <v>6153</v>
      </c>
    </row>
    <row r="59609" spans="8:8">
      <c r="H59609" s="680" t="s">
        <v>6153</v>
      </c>
    </row>
    <row r="59610" spans="8:8">
      <c r="H59610" s="680" t="s">
        <v>6153</v>
      </c>
    </row>
    <row r="59611" spans="8:8">
      <c r="H59611" s="680" t="s">
        <v>6153</v>
      </c>
    </row>
    <row r="59612" spans="8:8">
      <c r="H59612" s="680" t="s">
        <v>6153</v>
      </c>
    </row>
    <row r="59613" spans="8:8">
      <c r="H59613" s="680" t="s">
        <v>6153</v>
      </c>
    </row>
    <row r="59614" spans="8:8">
      <c r="H59614" s="680" t="s">
        <v>6153</v>
      </c>
    </row>
    <row r="59615" spans="8:8">
      <c r="H59615" s="680" t="s">
        <v>6153</v>
      </c>
    </row>
    <row r="59616" spans="8:8">
      <c r="H59616" s="680" t="s">
        <v>6153</v>
      </c>
    </row>
    <row r="59617" spans="8:8">
      <c r="H59617" s="680" t="s">
        <v>6153</v>
      </c>
    </row>
    <row r="59618" spans="8:8">
      <c r="H59618" s="680" t="s">
        <v>6153</v>
      </c>
    </row>
    <row r="59619" spans="8:8">
      <c r="H59619" s="680" t="s">
        <v>6153</v>
      </c>
    </row>
    <row r="59620" spans="8:8">
      <c r="H59620" s="680" t="s">
        <v>6153</v>
      </c>
    </row>
    <row r="59621" spans="8:8">
      <c r="H59621" s="680" t="s">
        <v>6153</v>
      </c>
    </row>
    <row r="59622" spans="8:8">
      <c r="H59622" s="680" t="s">
        <v>6153</v>
      </c>
    </row>
    <row r="59623" spans="8:8">
      <c r="H59623" s="680" t="s">
        <v>6153</v>
      </c>
    </row>
    <row r="59624" spans="8:8">
      <c r="H59624" s="680" t="s">
        <v>6153</v>
      </c>
    </row>
    <row r="59625" spans="8:8">
      <c r="H59625" s="680" t="s">
        <v>6153</v>
      </c>
    </row>
    <row r="59626" spans="8:8">
      <c r="H59626" s="680" t="s">
        <v>6153</v>
      </c>
    </row>
    <row r="59627" spans="8:8">
      <c r="H59627" s="680" t="s">
        <v>6153</v>
      </c>
    </row>
    <row r="59628" spans="8:8">
      <c r="H59628" s="680" t="s">
        <v>6153</v>
      </c>
    </row>
    <row r="59629" spans="8:8">
      <c r="H59629" s="680" t="s">
        <v>6153</v>
      </c>
    </row>
    <row r="59630" spans="8:8">
      <c r="H59630" s="680" t="s">
        <v>6153</v>
      </c>
    </row>
    <row r="59631" spans="8:8">
      <c r="H59631" s="680" t="s">
        <v>6153</v>
      </c>
    </row>
    <row r="59632" spans="8:8">
      <c r="H59632" s="680" t="s">
        <v>6153</v>
      </c>
    </row>
    <row r="59633" spans="8:8">
      <c r="H59633" s="680" t="s">
        <v>6153</v>
      </c>
    </row>
    <row r="59634" spans="8:8">
      <c r="H59634" s="680" t="s">
        <v>6153</v>
      </c>
    </row>
    <row r="59635" spans="8:8">
      <c r="H59635" s="680" t="s">
        <v>6153</v>
      </c>
    </row>
    <row r="59636" spans="8:8">
      <c r="H59636" s="680" t="s">
        <v>6153</v>
      </c>
    </row>
    <row r="59637" spans="8:8">
      <c r="H59637" s="680" t="s">
        <v>6153</v>
      </c>
    </row>
    <row r="59638" spans="8:8">
      <c r="H59638" s="680" t="s">
        <v>6153</v>
      </c>
    </row>
    <row r="59639" spans="8:8">
      <c r="H59639" s="680" t="s">
        <v>6153</v>
      </c>
    </row>
    <row r="59640" spans="8:8">
      <c r="H59640" s="680" t="s">
        <v>6153</v>
      </c>
    </row>
    <row r="59641" spans="8:8">
      <c r="H59641" s="680" t="s">
        <v>6153</v>
      </c>
    </row>
    <row r="59642" spans="8:8">
      <c r="H59642" s="680" t="s">
        <v>6153</v>
      </c>
    </row>
    <row r="59643" spans="8:8">
      <c r="H59643" s="680" t="s">
        <v>6153</v>
      </c>
    </row>
    <row r="59644" spans="8:8">
      <c r="H59644" s="680" t="s">
        <v>6153</v>
      </c>
    </row>
    <row r="59645" spans="8:8">
      <c r="H59645" s="680" t="s">
        <v>6153</v>
      </c>
    </row>
    <row r="59646" spans="8:8">
      <c r="H59646" s="680" t="s">
        <v>6153</v>
      </c>
    </row>
    <row r="59647" spans="8:8">
      <c r="H59647" s="680" t="s">
        <v>6153</v>
      </c>
    </row>
    <row r="59648" spans="8:8">
      <c r="H59648" s="680" t="s">
        <v>6153</v>
      </c>
    </row>
    <row r="59649" spans="8:8">
      <c r="H59649" s="680" t="s">
        <v>6153</v>
      </c>
    </row>
    <row r="59650" spans="8:8">
      <c r="H59650" s="680" t="s">
        <v>6153</v>
      </c>
    </row>
    <row r="59651" spans="8:8">
      <c r="H59651" s="680" t="s">
        <v>6153</v>
      </c>
    </row>
    <row r="59652" spans="8:8">
      <c r="H59652" s="680" t="s">
        <v>6153</v>
      </c>
    </row>
    <row r="59653" spans="8:8">
      <c r="H59653" s="680" t="s">
        <v>6153</v>
      </c>
    </row>
    <row r="59654" spans="8:8">
      <c r="H59654" s="680" t="s">
        <v>6153</v>
      </c>
    </row>
    <row r="59655" spans="8:8">
      <c r="H59655" s="680" t="s">
        <v>6153</v>
      </c>
    </row>
    <row r="59656" spans="8:8">
      <c r="H59656" s="680" t="s">
        <v>6153</v>
      </c>
    </row>
    <row r="59657" spans="8:8">
      <c r="H59657" s="680" t="s">
        <v>6153</v>
      </c>
    </row>
    <row r="59658" spans="8:8">
      <c r="H59658" s="680" t="s">
        <v>6153</v>
      </c>
    </row>
    <row r="59659" spans="8:8">
      <c r="H59659" s="680" t="s">
        <v>6153</v>
      </c>
    </row>
    <row r="59660" spans="8:8">
      <c r="H59660" s="680" t="s">
        <v>6153</v>
      </c>
    </row>
    <row r="59661" spans="8:8">
      <c r="H59661" s="680" t="s">
        <v>6153</v>
      </c>
    </row>
    <row r="59662" spans="8:8">
      <c r="H59662" s="680" t="s">
        <v>6153</v>
      </c>
    </row>
    <row r="59663" spans="8:8">
      <c r="H59663" s="680" t="s">
        <v>6153</v>
      </c>
    </row>
    <row r="59664" spans="8:8">
      <c r="H59664" s="680" t="s">
        <v>6153</v>
      </c>
    </row>
    <row r="59665" spans="8:8">
      <c r="H59665" s="680" t="s">
        <v>6153</v>
      </c>
    </row>
    <row r="59666" spans="8:8">
      <c r="H59666" s="680" t="s">
        <v>6153</v>
      </c>
    </row>
    <row r="59667" spans="8:8">
      <c r="H59667" s="680" t="s">
        <v>6153</v>
      </c>
    </row>
    <row r="59668" spans="8:8">
      <c r="H59668" s="680" t="s">
        <v>6153</v>
      </c>
    </row>
    <row r="59669" spans="8:8">
      <c r="H59669" s="680" t="s">
        <v>6153</v>
      </c>
    </row>
    <row r="59670" spans="8:8">
      <c r="H59670" s="680" t="s">
        <v>6153</v>
      </c>
    </row>
    <row r="59671" spans="8:8">
      <c r="H59671" s="680" t="s">
        <v>6153</v>
      </c>
    </row>
    <row r="59672" spans="8:8">
      <c r="H59672" s="680" t="s">
        <v>6153</v>
      </c>
    </row>
    <row r="59673" spans="8:8">
      <c r="H59673" s="680" t="s">
        <v>6153</v>
      </c>
    </row>
    <row r="59674" spans="8:8">
      <c r="H59674" s="680" t="s">
        <v>6153</v>
      </c>
    </row>
    <row r="59675" spans="8:8">
      <c r="H59675" s="680" t="s">
        <v>6153</v>
      </c>
    </row>
    <row r="59676" spans="8:8">
      <c r="H59676" s="680" t="s">
        <v>6153</v>
      </c>
    </row>
    <row r="59677" spans="8:8">
      <c r="H59677" s="680" t="s">
        <v>6153</v>
      </c>
    </row>
    <row r="59678" spans="8:8">
      <c r="H59678" s="680" t="s">
        <v>6153</v>
      </c>
    </row>
    <row r="59679" spans="8:8">
      <c r="H59679" s="680" t="s">
        <v>6153</v>
      </c>
    </row>
    <row r="59680" spans="8:8">
      <c r="H59680" s="680" t="s">
        <v>6153</v>
      </c>
    </row>
    <row r="59681" spans="8:8">
      <c r="H59681" s="680" t="s">
        <v>6153</v>
      </c>
    </row>
    <row r="59682" spans="8:8">
      <c r="H59682" s="680" t="s">
        <v>6153</v>
      </c>
    </row>
    <row r="59683" spans="8:8">
      <c r="H59683" s="680" t="s">
        <v>6153</v>
      </c>
    </row>
    <row r="59684" spans="8:8">
      <c r="H59684" s="680" t="s">
        <v>6153</v>
      </c>
    </row>
    <row r="59685" spans="8:8">
      <c r="H59685" s="680" t="s">
        <v>6153</v>
      </c>
    </row>
    <row r="59686" spans="8:8">
      <c r="H59686" s="680" t="s">
        <v>6153</v>
      </c>
    </row>
    <row r="59687" spans="8:8">
      <c r="H59687" s="680" t="s">
        <v>6153</v>
      </c>
    </row>
    <row r="59688" spans="8:8">
      <c r="H59688" s="680" t="s">
        <v>6153</v>
      </c>
    </row>
    <row r="59689" spans="8:8">
      <c r="H59689" s="680" t="s">
        <v>6153</v>
      </c>
    </row>
    <row r="59690" spans="8:8">
      <c r="H59690" s="680" t="s">
        <v>6153</v>
      </c>
    </row>
    <row r="59691" spans="8:8">
      <c r="H59691" s="680" t="s">
        <v>6153</v>
      </c>
    </row>
    <row r="59692" spans="8:8">
      <c r="H59692" s="680" t="s">
        <v>6153</v>
      </c>
    </row>
    <row r="59693" spans="8:8">
      <c r="H59693" s="680" t="s">
        <v>6153</v>
      </c>
    </row>
    <row r="59694" spans="8:8">
      <c r="H59694" s="680" t="s">
        <v>6153</v>
      </c>
    </row>
    <row r="59695" spans="8:8">
      <c r="H59695" s="680" t="s">
        <v>6153</v>
      </c>
    </row>
    <row r="59696" spans="8:8">
      <c r="H59696" s="680" t="s">
        <v>6153</v>
      </c>
    </row>
    <row r="59697" spans="8:8">
      <c r="H59697" s="680" t="s">
        <v>6153</v>
      </c>
    </row>
    <row r="59698" spans="8:8">
      <c r="H59698" s="680" t="s">
        <v>6153</v>
      </c>
    </row>
    <row r="59699" spans="8:8">
      <c r="H59699" s="680" t="s">
        <v>6153</v>
      </c>
    </row>
    <row r="59700" spans="8:8">
      <c r="H59700" s="680" t="s">
        <v>6153</v>
      </c>
    </row>
    <row r="59701" spans="8:8">
      <c r="H59701" s="680" t="s">
        <v>6153</v>
      </c>
    </row>
    <row r="59702" spans="8:8">
      <c r="H59702" s="680" t="s">
        <v>6153</v>
      </c>
    </row>
    <row r="59703" spans="8:8">
      <c r="H59703" s="680" t="s">
        <v>6153</v>
      </c>
    </row>
    <row r="59704" spans="8:8">
      <c r="H59704" s="680" t="s">
        <v>6153</v>
      </c>
    </row>
    <row r="59705" spans="8:8">
      <c r="H59705" s="680" t="s">
        <v>6153</v>
      </c>
    </row>
    <row r="59706" spans="8:8">
      <c r="H59706" s="680" t="s">
        <v>6153</v>
      </c>
    </row>
    <row r="59707" spans="8:8">
      <c r="H59707" s="680" t="s">
        <v>6153</v>
      </c>
    </row>
    <row r="59708" spans="8:8">
      <c r="H59708" s="680" t="s">
        <v>6153</v>
      </c>
    </row>
    <row r="59709" spans="8:8">
      <c r="H59709" s="680" t="s">
        <v>6153</v>
      </c>
    </row>
    <row r="59710" spans="8:8">
      <c r="H59710" s="680" t="s">
        <v>6153</v>
      </c>
    </row>
    <row r="59711" spans="8:8">
      <c r="H59711" s="680" t="s">
        <v>6153</v>
      </c>
    </row>
    <row r="59712" spans="8:8">
      <c r="H59712" s="680" t="s">
        <v>6153</v>
      </c>
    </row>
    <row r="59713" spans="8:8">
      <c r="H59713" s="680" t="s">
        <v>6153</v>
      </c>
    </row>
    <row r="59714" spans="8:8">
      <c r="H59714" s="680" t="s">
        <v>6153</v>
      </c>
    </row>
    <row r="59715" spans="8:8">
      <c r="H59715" s="680" t="s">
        <v>6153</v>
      </c>
    </row>
    <row r="59716" spans="8:8">
      <c r="H59716" s="680" t="s">
        <v>6153</v>
      </c>
    </row>
    <row r="59717" spans="8:8">
      <c r="H59717" s="680" t="s">
        <v>6153</v>
      </c>
    </row>
    <row r="59718" spans="8:8">
      <c r="H59718" s="680" t="s">
        <v>6153</v>
      </c>
    </row>
    <row r="59719" spans="8:8">
      <c r="H59719" s="680" t="s">
        <v>6153</v>
      </c>
    </row>
    <row r="59720" spans="8:8">
      <c r="H59720" s="680" t="s">
        <v>6153</v>
      </c>
    </row>
    <row r="59721" spans="8:8">
      <c r="H59721" s="680" t="s">
        <v>6153</v>
      </c>
    </row>
    <row r="59722" spans="8:8">
      <c r="H59722" s="680" t="s">
        <v>6153</v>
      </c>
    </row>
    <row r="59723" spans="8:8">
      <c r="H59723" s="680" t="s">
        <v>6153</v>
      </c>
    </row>
    <row r="59724" spans="8:8">
      <c r="H59724" s="680" t="s">
        <v>6153</v>
      </c>
    </row>
    <row r="59725" spans="8:8">
      <c r="H59725" s="680" t="s">
        <v>6153</v>
      </c>
    </row>
    <row r="59726" spans="8:8">
      <c r="H59726" s="680" t="s">
        <v>6153</v>
      </c>
    </row>
    <row r="59727" spans="8:8">
      <c r="H59727" s="680" t="s">
        <v>6153</v>
      </c>
    </row>
    <row r="59728" spans="8:8">
      <c r="H59728" s="680" t="s">
        <v>6153</v>
      </c>
    </row>
    <row r="59729" spans="8:8">
      <c r="H59729" s="680" t="s">
        <v>6153</v>
      </c>
    </row>
    <row r="59730" spans="8:8">
      <c r="H59730" s="680" t="s">
        <v>6153</v>
      </c>
    </row>
    <row r="59731" spans="8:8">
      <c r="H59731" s="680" t="s">
        <v>6153</v>
      </c>
    </row>
    <row r="59732" spans="8:8">
      <c r="H59732" s="680" t="s">
        <v>6153</v>
      </c>
    </row>
    <row r="59733" spans="8:8">
      <c r="H59733" s="680" t="s">
        <v>6153</v>
      </c>
    </row>
    <row r="59734" spans="8:8">
      <c r="H59734" s="680" t="s">
        <v>6153</v>
      </c>
    </row>
    <row r="59735" spans="8:8">
      <c r="H59735" s="680" t="s">
        <v>6153</v>
      </c>
    </row>
    <row r="59736" spans="8:8">
      <c r="H59736" s="680" t="s">
        <v>6153</v>
      </c>
    </row>
    <row r="59737" spans="8:8">
      <c r="H59737" s="680" t="s">
        <v>6153</v>
      </c>
    </row>
    <row r="59738" spans="8:8">
      <c r="H59738" s="680" t="s">
        <v>6153</v>
      </c>
    </row>
    <row r="59739" spans="8:8">
      <c r="H59739" s="680" t="s">
        <v>6153</v>
      </c>
    </row>
    <row r="59740" spans="8:8">
      <c r="H59740" s="680" t="s">
        <v>6153</v>
      </c>
    </row>
    <row r="59741" spans="8:8">
      <c r="H59741" s="680" t="s">
        <v>6153</v>
      </c>
    </row>
    <row r="59742" spans="8:8">
      <c r="H59742" s="680" t="s">
        <v>6153</v>
      </c>
    </row>
    <row r="59743" spans="8:8">
      <c r="H59743" s="680" t="s">
        <v>6153</v>
      </c>
    </row>
    <row r="59744" spans="8:8">
      <c r="H59744" s="680" t="s">
        <v>6153</v>
      </c>
    </row>
    <row r="59745" spans="8:8">
      <c r="H59745" s="680" t="s">
        <v>6153</v>
      </c>
    </row>
    <row r="59746" spans="8:8">
      <c r="H59746" s="680" t="s">
        <v>6153</v>
      </c>
    </row>
    <row r="59747" spans="8:8">
      <c r="H59747" s="680" t="s">
        <v>6153</v>
      </c>
    </row>
    <row r="59748" spans="8:8">
      <c r="H59748" s="680" t="s">
        <v>6153</v>
      </c>
    </row>
    <row r="59749" spans="8:8">
      <c r="H59749" s="680" t="s">
        <v>6153</v>
      </c>
    </row>
    <row r="59750" spans="8:8">
      <c r="H59750" s="680" t="s">
        <v>6153</v>
      </c>
    </row>
    <row r="59751" spans="8:8">
      <c r="H59751" s="680" t="s">
        <v>6153</v>
      </c>
    </row>
    <row r="59752" spans="8:8">
      <c r="H59752" s="680" t="s">
        <v>6153</v>
      </c>
    </row>
    <row r="59753" spans="8:8">
      <c r="H59753" s="680" t="s">
        <v>6153</v>
      </c>
    </row>
    <row r="59754" spans="8:8">
      <c r="H59754" s="680" t="s">
        <v>6153</v>
      </c>
    </row>
    <row r="59755" spans="8:8">
      <c r="H59755" s="680" t="s">
        <v>6153</v>
      </c>
    </row>
    <row r="59756" spans="8:8">
      <c r="H59756" s="680" t="s">
        <v>6153</v>
      </c>
    </row>
    <row r="59757" spans="8:8">
      <c r="H59757" s="680" t="s">
        <v>6153</v>
      </c>
    </row>
    <row r="59758" spans="8:8">
      <c r="H59758" s="680" t="s">
        <v>6153</v>
      </c>
    </row>
    <row r="59759" spans="8:8">
      <c r="H59759" s="680" t="s">
        <v>6153</v>
      </c>
    </row>
    <row r="59760" spans="8:8">
      <c r="H59760" s="680" t="s">
        <v>6153</v>
      </c>
    </row>
    <row r="59761" spans="8:8">
      <c r="H59761" s="680" t="s">
        <v>6153</v>
      </c>
    </row>
    <row r="59762" spans="8:8">
      <c r="H59762" s="680" t="s">
        <v>6153</v>
      </c>
    </row>
    <row r="59763" spans="8:8">
      <c r="H59763" s="680" t="s">
        <v>6153</v>
      </c>
    </row>
    <row r="59764" spans="8:8">
      <c r="H59764" s="680" t="s">
        <v>6153</v>
      </c>
    </row>
    <row r="59765" spans="8:8">
      <c r="H59765" s="680" t="s">
        <v>6153</v>
      </c>
    </row>
    <row r="59766" spans="8:8">
      <c r="H59766" s="680" t="s">
        <v>6153</v>
      </c>
    </row>
    <row r="59767" spans="8:8">
      <c r="H59767" s="680" t="s">
        <v>6153</v>
      </c>
    </row>
    <row r="59768" spans="8:8">
      <c r="H59768" s="680" t="s">
        <v>6153</v>
      </c>
    </row>
    <row r="59769" spans="8:8">
      <c r="H59769" s="680" t="s">
        <v>6153</v>
      </c>
    </row>
    <row r="59770" spans="8:8">
      <c r="H59770" s="680" t="s">
        <v>6153</v>
      </c>
    </row>
    <row r="59771" spans="8:8">
      <c r="H59771" s="680" t="s">
        <v>6153</v>
      </c>
    </row>
    <row r="59772" spans="8:8">
      <c r="H59772" s="680" t="s">
        <v>6153</v>
      </c>
    </row>
    <row r="59773" spans="8:8">
      <c r="H59773" s="680" t="s">
        <v>6153</v>
      </c>
    </row>
    <row r="59774" spans="8:8">
      <c r="H59774" s="680" t="s">
        <v>6153</v>
      </c>
    </row>
    <row r="59775" spans="8:8">
      <c r="H59775" s="680" t="s">
        <v>6153</v>
      </c>
    </row>
    <row r="59776" spans="8:8">
      <c r="H59776" s="680" t="s">
        <v>6153</v>
      </c>
    </row>
    <row r="59777" spans="8:8">
      <c r="H59777" s="680" t="s">
        <v>6153</v>
      </c>
    </row>
    <row r="59778" spans="8:8">
      <c r="H59778" s="680" t="s">
        <v>6153</v>
      </c>
    </row>
    <row r="59779" spans="8:8">
      <c r="H59779" s="680" t="s">
        <v>6153</v>
      </c>
    </row>
    <row r="59780" spans="8:8">
      <c r="H59780" s="680" t="s">
        <v>6153</v>
      </c>
    </row>
    <row r="59781" spans="8:8">
      <c r="H59781" s="680" t="s">
        <v>6153</v>
      </c>
    </row>
    <row r="59782" spans="8:8">
      <c r="H59782" s="680" t="s">
        <v>6153</v>
      </c>
    </row>
    <row r="59783" spans="8:8">
      <c r="H59783" s="680" t="s">
        <v>6153</v>
      </c>
    </row>
    <row r="59784" spans="8:8">
      <c r="H59784" s="680" t="s">
        <v>6153</v>
      </c>
    </row>
    <row r="59785" spans="8:8">
      <c r="H59785" s="680" t="s">
        <v>6153</v>
      </c>
    </row>
    <row r="59786" spans="8:8">
      <c r="H59786" s="680" t="s">
        <v>6153</v>
      </c>
    </row>
    <row r="59787" spans="8:8">
      <c r="H59787" s="680" t="s">
        <v>6153</v>
      </c>
    </row>
    <row r="59788" spans="8:8">
      <c r="H59788" s="680" t="s">
        <v>6153</v>
      </c>
    </row>
    <row r="59789" spans="8:8">
      <c r="H59789" s="680" t="s">
        <v>6153</v>
      </c>
    </row>
    <row r="59790" spans="8:8">
      <c r="H59790" s="680" t="s">
        <v>6153</v>
      </c>
    </row>
    <row r="59791" spans="8:8">
      <c r="H59791" s="680" t="s">
        <v>6153</v>
      </c>
    </row>
    <row r="59792" spans="8:8">
      <c r="H59792" s="680" t="s">
        <v>6153</v>
      </c>
    </row>
    <row r="59793" spans="8:8">
      <c r="H59793" s="680" t="s">
        <v>6153</v>
      </c>
    </row>
    <row r="59794" spans="8:8">
      <c r="H59794" s="680" t="s">
        <v>6153</v>
      </c>
    </row>
    <row r="59795" spans="8:8">
      <c r="H59795" s="680" t="s">
        <v>6153</v>
      </c>
    </row>
    <row r="59796" spans="8:8">
      <c r="H59796" s="680" t="s">
        <v>6153</v>
      </c>
    </row>
    <row r="59797" spans="8:8">
      <c r="H59797" s="680" t="s">
        <v>6153</v>
      </c>
    </row>
    <row r="59798" spans="8:8">
      <c r="H59798" s="680" t="s">
        <v>6153</v>
      </c>
    </row>
    <row r="59799" spans="8:8">
      <c r="H59799" s="680" t="s">
        <v>6153</v>
      </c>
    </row>
    <row r="59800" spans="8:8">
      <c r="H59800" s="680" t="s">
        <v>6153</v>
      </c>
    </row>
    <row r="59801" spans="8:8">
      <c r="H59801" s="680" t="s">
        <v>6153</v>
      </c>
    </row>
    <row r="59802" spans="8:8">
      <c r="H59802" s="680" t="s">
        <v>6153</v>
      </c>
    </row>
    <row r="59803" spans="8:8">
      <c r="H59803" s="680" t="s">
        <v>6153</v>
      </c>
    </row>
    <row r="59804" spans="8:8">
      <c r="H59804" s="680" t="s">
        <v>6153</v>
      </c>
    </row>
    <row r="59805" spans="8:8">
      <c r="H59805" s="680" t="s">
        <v>6153</v>
      </c>
    </row>
    <row r="59806" spans="8:8">
      <c r="H59806" s="680" t="s">
        <v>6153</v>
      </c>
    </row>
    <row r="59807" spans="8:8">
      <c r="H59807" s="680" t="s">
        <v>6153</v>
      </c>
    </row>
    <row r="59808" spans="8:8">
      <c r="H59808" s="680" t="s">
        <v>6153</v>
      </c>
    </row>
    <row r="59809" spans="8:8">
      <c r="H59809" s="680" t="s">
        <v>6153</v>
      </c>
    </row>
    <row r="59810" spans="8:8">
      <c r="H59810" s="680" t="s">
        <v>6153</v>
      </c>
    </row>
    <row r="59811" spans="8:8">
      <c r="H59811" s="680" t="s">
        <v>6153</v>
      </c>
    </row>
    <row r="59812" spans="8:8">
      <c r="H59812" s="680" t="s">
        <v>6153</v>
      </c>
    </row>
    <row r="59813" spans="8:8">
      <c r="H59813" s="680" t="s">
        <v>6153</v>
      </c>
    </row>
    <row r="59814" spans="8:8">
      <c r="H59814" s="680" t="s">
        <v>6153</v>
      </c>
    </row>
    <row r="59815" spans="8:8">
      <c r="H59815" s="680" t="s">
        <v>6153</v>
      </c>
    </row>
    <row r="59816" spans="8:8">
      <c r="H59816" s="680" t="s">
        <v>6153</v>
      </c>
    </row>
    <row r="59817" spans="8:8">
      <c r="H59817" s="680" t="s">
        <v>6153</v>
      </c>
    </row>
    <row r="59818" spans="8:8">
      <c r="H59818" s="680" t="s">
        <v>6153</v>
      </c>
    </row>
    <row r="59819" spans="8:8">
      <c r="H59819" s="680" t="s">
        <v>6153</v>
      </c>
    </row>
    <row r="59820" spans="8:8">
      <c r="H59820" s="680" t="s">
        <v>6153</v>
      </c>
    </row>
    <row r="59821" spans="8:8">
      <c r="H59821" s="680" t="s">
        <v>6153</v>
      </c>
    </row>
    <row r="59822" spans="8:8">
      <c r="H59822" s="680" t="s">
        <v>6153</v>
      </c>
    </row>
    <row r="59823" spans="8:8">
      <c r="H59823" s="680" t="s">
        <v>6153</v>
      </c>
    </row>
    <row r="59824" spans="8:8">
      <c r="H59824" s="680" t="s">
        <v>6153</v>
      </c>
    </row>
    <row r="59825" spans="8:8">
      <c r="H59825" s="680" t="s">
        <v>6153</v>
      </c>
    </row>
    <row r="59826" spans="8:8">
      <c r="H59826" s="680" t="s">
        <v>6153</v>
      </c>
    </row>
    <row r="59827" spans="8:8">
      <c r="H59827" s="680" t="s">
        <v>6153</v>
      </c>
    </row>
    <row r="59828" spans="8:8">
      <c r="H59828" s="680" t="s">
        <v>6153</v>
      </c>
    </row>
    <row r="59829" spans="8:8">
      <c r="H59829" s="680" t="s">
        <v>6153</v>
      </c>
    </row>
    <row r="59830" spans="8:8">
      <c r="H59830" s="680" t="s">
        <v>6153</v>
      </c>
    </row>
    <row r="59831" spans="8:8">
      <c r="H59831" s="680" t="s">
        <v>6153</v>
      </c>
    </row>
    <row r="59832" spans="8:8">
      <c r="H59832" s="680" t="s">
        <v>6153</v>
      </c>
    </row>
    <row r="59833" spans="8:8">
      <c r="H59833" s="680" t="s">
        <v>6153</v>
      </c>
    </row>
    <row r="59834" spans="8:8">
      <c r="H59834" s="680" t="s">
        <v>6153</v>
      </c>
    </row>
    <row r="59835" spans="8:8">
      <c r="H59835" s="680" t="s">
        <v>6153</v>
      </c>
    </row>
    <row r="59836" spans="8:8">
      <c r="H59836" s="680" t="s">
        <v>6153</v>
      </c>
    </row>
    <row r="59837" spans="8:8">
      <c r="H59837" s="680" t="s">
        <v>6153</v>
      </c>
    </row>
    <row r="59838" spans="8:8">
      <c r="H59838" s="680" t="s">
        <v>6153</v>
      </c>
    </row>
    <row r="59839" spans="8:8">
      <c r="H59839" s="680" t="s">
        <v>6153</v>
      </c>
    </row>
    <row r="59840" spans="8:8">
      <c r="H59840" s="680" t="s">
        <v>6153</v>
      </c>
    </row>
    <row r="59841" spans="8:8">
      <c r="H59841" s="680" t="s">
        <v>6153</v>
      </c>
    </row>
    <row r="59842" spans="8:8">
      <c r="H59842" s="680" t="s">
        <v>6153</v>
      </c>
    </row>
    <row r="59843" spans="8:8">
      <c r="H59843" s="680" t="s">
        <v>6153</v>
      </c>
    </row>
    <row r="59844" spans="8:8">
      <c r="H59844" s="680" t="s">
        <v>6153</v>
      </c>
    </row>
    <row r="59845" spans="8:8">
      <c r="H59845" s="680" t="s">
        <v>6153</v>
      </c>
    </row>
    <row r="59846" spans="8:8">
      <c r="H59846" s="680" t="s">
        <v>6153</v>
      </c>
    </row>
    <row r="59847" spans="8:8">
      <c r="H59847" s="680" t="s">
        <v>6153</v>
      </c>
    </row>
    <row r="59848" spans="8:8">
      <c r="H59848" s="680" t="s">
        <v>6153</v>
      </c>
    </row>
    <row r="59849" spans="8:8">
      <c r="H59849" s="680" t="s">
        <v>6153</v>
      </c>
    </row>
    <row r="59850" spans="8:8">
      <c r="H59850" s="680" t="s">
        <v>6153</v>
      </c>
    </row>
    <row r="59851" spans="8:8">
      <c r="H59851" s="680" t="s">
        <v>6153</v>
      </c>
    </row>
    <row r="59852" spans="8:8">
      <c r="H59852" s="680" t="s">
        <v>6153</v>
      </c>
    </row>
    <row r="59853" spans="8:8">
      <c r="H59853" s="680" t="s">
        <v>6153</v>
      </c>
    </row>
    <row r="59854" spans="8:8">
      <c r="H59854" s="680" t="s">
        <v>6153</v>
      </c>
    </row>
    <row r="59855" spans="8:8">
      <c r="H59855" s="680" t="s">
        <v>6153</v>
      </c>
    </row>
    <row r="59856" spans="8:8">
      <c r="H59856" s="680" t="s">
        <v>6153</v>
      </c>
    </row>
    <row r="59857" spans="8:8">
      <c r="H59857" s="680" t="s">
        <v>6153</v>
      </c>
    </row>
    <row r="59858" spans="8:8">
      <c r="H59858" s="680" t="s">
        <v>6153</v>
      </c>
    </row>
    <row r="59859" spans="8:8">
      <c r="H59859" s="680" t="s">
        <v>6153</v>
      </c>
    </row>
    <row r="59860" spans="8:8">
      <c r="H59860" s="680" t="s">
        <v>6153</v>
      </c>
    </row>
    <row r="59861" spans="8:8">
      <c r="H59861" s="680" t="s">
        <v>6153</v>
      </c>
    </row>
    <row r="59862" spans="8:8">
      <c r="H59862" s="680" t="s">
        <v>6153</v>
      </c>
    </row>
    <row r="59863" spans="8:8">
      <c r="H59863" s="680" t="s">
        <v>6153</v>
      </c>
    </row>
    <row r="59864" spans="8:8">
      <c r="H59864" s="680" t="s">
        <v>6153</v>
      </c>
    </row>
    <row r="59865" spans="8:8">
      <c r="H59865" s="680" t="s">
        <v>6153</v>
      </c>
    </row>
    <row r="59866" spans="8:8">
      <c r="H59866" s="680" t="s">
        <v>6153</v>
      </c>
    </row>
    <row r="59867" spans="8:8">
      <c r="H59867" s="680" t="s">
        <v>6153</v>
      </c>
    </row>
    <row r="59868" spans="8:8">
      <c r="H59868" s="680" t="s">
        <v>6153</v>
      </c>
    </row>
    <row r="59869" spans="8:8">
      <c r="H59869" s="680" t="s">
        <v>6153</v>
      </c>
    </row>
    <row r="59870" spans="8:8">
      <c r="H59870" s="680" t="s">
        <v>6153</v>
      </c>
    </row>
    <row r="59871" spans="8:8">
      <c r="H59871" s="680" t="s">
        <v>6153</v>
      </c>
    </row>
    <row r="59872" spans="8:8">
      <c r="H59872" s="680" t="s">
        <v>6153</v>
      </c>
    </row>
    <row r="59873" spans="8:8">
      <c r="H59873" s="680" t="s">
        <v>6153</v>
      </c>
    </row>
    <row r="59874" spans="8:8">
      <c r="H59874" s="680" t="s">
        <v>6153</v>
      </c>
    </row>
    <row r="59875" spans="8:8">
      <c r="H59875" s="680" t="s">
        <v>6153</v>
      </c>
    </row>
    <row r="59876" spans="8:8">
      <c r="H59876" s="680" t="s">
        <v>6153</v>
      </c>
    </row>
    <row r="59877" spans="8:8">
      <c r="H59877" s="680" t="s">
        <v>6153</v>
      </c>
    </row>
    <row r="59878" spans="8:8">
      <c r="H59878" s="680" t="s">
        <v>6153</v>
      </c>
    </row>
    <row r="59879" spans="8:8">
      <c r="H59879" s="680" t="s">
        <v>6153</v>
      </c>
    </row>
    <row r="59880" spans="8:8">
      <c r="H59880" s="680" t="s">
        <v>6153</v>
      </c>
    </row>
    <row r="59881" spans="8:8">
      <c r="H59881" s="680" t="s">
        <v>6153</v>
      </c>
    </row>
    <row r="59882" spans="8:8">
      <c r="H59882" s="680" t="s">
        <v>6153</v>
      </c>
    </row>
    <row r="59883" spans="8:8">
      <c r="H59883" s="680" t="s">
        <v>6153</v>
      </c>
    </row>
    <row r="59884" spans="8:8">
      <c r="H59884" s="680" t="s">
        <v>6153</v>
      </c>
    </row>
    <row r="59885" spans="8:8">
      <c r="H59885" s="680" t="s">
        <v>6153</v>
      </c>
    </row>
    <row r="59886" spans="8:8">
      <c r="H59886" s="680" t="s">
        <v>6153</v>
      </c>
    </row>
    <row r="59887" spans="8:8">
      <c r="H59887" s="680" t="s">
        <v>6153</v>
      </c>
    </row>
    <row r="59888" spans="8:8">
      <c r="H59888" s="680" t="s">
        <v>6153</v>
      </c>
    </row>
    <row r="59889" spans="8:8">
      <c r="H59889" s="680" t="s">
        <v>6153</v>
      </c>
    </row>
    <row r="59890" spans="8:8">
      <c r="H59890" s="680" t="s">
        <v>6153</v>
      </c>
    </row>
    <row r="59891" spans="8:8">
      <c r="H59891" s="680" t="s">
        <v>6153</v>
      </c>
    </row>
    <row r="59892" spans="8:8">
      <c r="H59892" s="680" t="s">
        <v>6153</v>
      </c>
    </row>
    <row r="59893" spans="8:8">
      <c r="H59893" s="680" t="s">
        <v>6153</v>
      </c>
    </row>
    <row r="59894" spans="8:8">
      <c r="H59894" s="680" t="s">
        <v>6153</v>
      </c>
    </row>
    <row r="59895" spans="8:8">
      <c r="H59895" s="680" t="s">
        <v>6153</v>
      </c>
    </row>
    <row r="59896" spans="8:8">
      <c r="H59896" s="680" t="s">
        <v>6153</v>
      </c>
    </row>
    <row r="59897" spans="8:8">
      <c r="H59897" s="680" t="s">
        <v>6153</v>
      </c>
    </row>
    <row r="59898" spans="8:8">
      <c r="H59898" s="680" t="s">
        <v>6153</v>
      </c>
    </row>
    <row r="59899" spans="8:8">
      <c r="H59899" s="680" t="s">
        <v>6153</v>
      </c>
    </row>
    <row r="59900" spans="8:8">
      <c r="H59900" s="680" t="s">
        <v>6153</v>
      </c>
    </row>
    <row r="59901" spans="8:8">
      <c r="H59901" s="680" t="s">
        <v>6153</v>
      </c>
    </row>
    <row r="59902" spans="8:8">
      <c r="H59902" s="680" t="s">
        <v>6153</v>
      </c>
    </row>
    <row r="59903" spans="8:8">
      <c r="H59903" s="680" t="s">
        <v>6153</v>
      </c>
    </row>
    <row r="59904" spans="8:8">
      <c r="H59904" s="680" t="s">
        <v>6153</v>
      </c>
    </row>
    <row r="59905" spans="8:8">
      <c r="H59905" s="680" t="s">
        <v>6153</v>
      </c>
    </row>
    <row r="59906" spans="8:8">
      <c r="H59906" s="680" t="s">
        <v>6153</v>
      </c>
    </row>
    <row r="59907" spans="8:8">
      <c r="H59907" s="680" t="s">
        <v>6153</v>
      </c>
    </row>
    <row r="59908" spans="8:8">
      <c r="H59908" s="680" t="s">
        <v>6153</v>
      </c>
    </row>
    <row r="59909" spans="8:8">
      <c r="H59909" s="680" t="s">
        <v>6153</v>
      </c>
    </row>
    <row r="59910" spans="8:8">
      <c r="H59910" s="680" t="s">
        <v>6153</v>
      </c>
    </row>
    <row r="59911" spans="8:8">
      <c r="H59911" s="680" t="s">
        <v>6153</v>
      </c>
    </row>
    <row r="59912" spans="8:8">
      <c r="H59912" s="680" t="s">
        <v>6153</v>
      </c>
    </row>
    <row r="59913" spans="8:8">
      <c r="H59913" s="680" t="s">
        <v>6153</v>
      </c>
    </row>
    <row r="59914" spans="8:8">
      <c r="H59914" s="680" t="s">
        <v>6153</v>
      </c>
    </row>
    <row r="59915" spans="8:8">
      <c r="H59915" s="680" t="s">
        <v>6153</v>
      </c>
    </row>
    <row r="59916" spans="8:8">
      <c r="H59916" s="680" t="s">
        <v>6153</v>
      </c>
    </row>
    <row r="59917" spans="8:8">
      <c r="H59917" s="680" t="s">
        <v>6153</v>
      </c>
    </row>
    <row r="59918" spans="8:8">
      <c r="H59918" s="680" t="s">
        <v>6153</v>
      </c>
    </row>
    <row r="59919" spans="8:8">
      <c r="H59919" s="680" t="s">
        <v>6153</v>
      </c>
    </row>
    <row r="59920" spans="8:8">
      <c r="H59920" s="680" t="s">
        <v>6153</v>
      </c>
    </row>
    <row r="59921" spans="8:8">
      <c r="H59921" s="680" t="s">
        <v>6153</v>
      </c>
    </row>
    <row r="59922" spans="8:8">
      <c r="H59922" s="680" t="s">
        <v>6153</v>
      </c>
    </row>
    <row r="59923" spans="8:8">
      <c r="H59923" s="680" t="s">
        <v>6153</v>
      </c>
    </row>
    <row r="59924" spans="8:8">
      <c r="H59924" s="680" t="s">
        <v>6153</v>
      </c>
    </row>
    <row r="59925" spans="8:8">
      <c r="H59925" s="680" t="s">
        <v>6153</v>
      </c>
    </row>
    <row r="59926" spans="8:8">
      <c r="H59926" s="680" t="s">
        <v>6153</v>
      </c>
    </row>
    <row r="59927" spans="8:8">
      <c r="H59927" s="680" t="s">
        <v>6153</v>
      </c>
    </row>
    <row r="59928" spans="8:8">
      <c r="H59928" s="680" t="s">
        <v>6153</v>
      </c>
    </row>
    <row r="59929" spans="8:8">
      <c r="H59929" s="680" t="s">
        <v>6153</v>
      </c>
    </row>
    <row r="59930" spans="8:8">
      <c r="H59930" s="680" t="s">
        <v>6153</v>
      </c>
    </row>
    <row r="59931" spans="8:8">
      <c r="H59931" s="680" t="s">
        <v>6153</v>
      </c>
    </row>
    <row r="59932" spans="8:8">
      <c r="H59932" s="680" t="s">
        <v>6153</v>
      </c>
    </row>
    <row r="59933" spans="8:8">
      <c r="H59933" s="680" t="s">
        <v>6153</v>
      </c>
    </row>
    <row r="59934" spans="8:8">
      <c r="H59934" s="680" t="s">
        <v>6153</v>
      </c>
    </row>
    <row r="59935" spans="8:8">
      <c r="H59935" s="680" t="s">
        <v>6153</v>
      </c>
    </row>
    <row r="59936" spans="8:8">
      <c r="H59936" s="680" t="s">
        <v>6153</v>
      </c>
    </row>
    <row r="59937" spans="8:8">
      <c r="H59937" s="680" t="s">
        <v>6153</v>
      </c>
    </row>
    <row r="59938" spans="8:8">
      <c r="H59938" s="680" t="s">
        <v>6153</v>
      </c>
    </row>
    <row r="59939" spans="8:8">
      <c r="H59939" s="680" t="s">
        <v>6153</v>
      </c>
    </row>
    <row r="59940" spans="8:8">
      <c r="H59940" s="680" t="s">
        <v>6153</v>
      </c>
    </row>
    <row r="59941" spans="8:8">
      <c r="H59941" s="680" t="s">
        <v>6153</v>
      </c>
    </row>
    <row r="59942" spans="8:8">
      <c r="H59942" s="680" t="s">
        <v>6153</v>
      </c>
    </row>
    <row r="59943" spans="8:8">
      <c r="H59943" s="680" t="s">
        <v>6153</v>
      </c>
    </row>
    <row r="59944" spans="8:8">
      <c r="H59944" s="680" t="s">
        <v>6153</v>
      </c>
    </row>
    <row r="59945" spans="8:8">
      <c r="H59945" s="680" t="s">
        <v>6153</v>
      </c>
    </row>
    <row r="59946" spans="8:8">
      <c r="H59946" s="680" t="s">
        <v>6153</v>
      </c>
    </row>
    <row r="59947" spans="8:8">
      <c r="H59947" s="680" t="s">
        <v>6153</v>
      </c>
    </row>
    <row r="59948" spans="8:8">
      <c r="H59948" s="680" t="s">
        <v>6153</v>
      </c>
    </row>
    <row r="59949" spans="8:8">
      <c r="H59949" s="680" t="s">
        <v>6153</v>
      </c>
    </row>
    <row r="59950" spans="8:8">
      <c r="H59950" s="680" t="s">
        <v>6153</v>
      </c>
    </row>
    <row r="59951" spans="8:8">
      <c r="H59951" s="680" t="s">
        <v>6153</v>
      </c>
    </row>
    <row r="59952" spans="8:8">
      <c r="H59952" s="680" t="s">
        <v>6153</v>
      </c>
    </row>
    <row r="59953" spans="8:8">
      <c r="H59953" s="680" t="s">
        <v>6153</v>
      </c>
    </row>
    <row r="59954" spans="8:8">
      <c r="H59954" s="680" t="s">
        <v>6153</v>
      </c>
    </row>
    <row r="59955" spans="8:8">
      <c r="H59955" s="680" t="s">
        <v>6153</v>
      </c>
    </row>
    <row r="59956" spans="8:8">
      <c r="H59956" s="680" t="s">
        <v>6153</v>
      </c>
    </row>
    <row r="59957" spans="8:8">
      <c r="H59957" s="680" t="s">
        <v>6153</v>
      </c>
    </row>
    <row r="59958" spans="8:8">
      <c r="H59958" s="680" t="s">
        <v>6153</v>
      </c>
    </row>
    <row r="59959" spans="8:8">
      <c r="H59959" s="680" t="s">
        <v>6153</v>
      </c>
    </row>
    <row r="59960" spans="8:8">
      <c r="H59960" s="680" t="s">
        <v>6153</v>
      </c>
    </row>
    <row r="59961" spans="8:8">
      <c r="H59961" s="680" t="s">
        <v>6153</v>
      </c>
    </row>
    <row r="59962" spans="8:8">
      <c r="H59962" s="680" t="s">
        <v>6153</v>
      </c>
    </row>
    <row r="59963" spans="8:8">
      <c r="H59963" s="680" t="s">
        <v>6153</v>
      </c>
    </row>
    <row r="59964" spans="8:8">
      <c r="H59964" s="680" t="s">
        <v>6153</v>
      </c>
    </row>
    <row r="59965" spans="8:8">
      <c r="H59965" s="680" t="s">
        <v>6153</v>
      </c>
    </row>
    <row r="59966" spans="8:8">
      <c r="H59966" s="680" t="s">
        <v>6153</v>
      </c>
    </row>
    <row r="59967" spans="8:8">
      <c r="H59967" s="680" t="s">
        <v>6153</v>
      </c>
    </row>
    <row r="59968" spans="8:8">
      <c r="H59968" s="680" t="s">
        <v>6153</v>
      </c>
    </row>
    <row r="59969" spans="8:8">
      <c r="H59969" s="680" t="s">
        <v>6153</v>
      </c>
    </row>
    <row r="59970" spans="8:8">
      <c r="H59970" s="680" t="s">
        <v>6153</v>
      </c>
    </row>
    <row r="59971" spans="8:8">
      <c r="H59971" s="680" t="s">
        <v>6153</v>
      </c>
    </row>
    <row r="59972" spans="8:8">
      <c r="H59972" s="680" t="s">
        <v>6153</v>
      </c>
    </row>
    <row r="59973" spans="8:8">
      <c r="H59973" s="680" t="s">
        <v>6153</v>
      </c>
    </row>
    <row r="59974" spans="8:8">
      <c r="H59974" s="680" t="s">
        <v>6153</v>
      </c>
    </row>
    <row r="59975" spans="8:8">
      <c r="H59975" s="680" t="s">
        <v>6153</v>
      </c>
    </row>
    <row r="59976" spans="8:8">
      <c r="H59976" s="680" t="s">
        <v>6153</v>
      </c>
    </row>
    <row r="59977" spans="8:8">
      <c r="H59977" s="680" t="s">
        <v>6153</v>
      </c>
    </row>
    <row r="59978" spans="8:8">
      <c r="H59978" s="680" t="s">
        <v>6153</v>
      </c>
    </row>
    <row r="59979" spans="8:8">
      <c r="H59979" s="680" t="s">
        <v>6153</v>
      </c>
    </row>
    <row r="59980" spans="8:8">
      <c r="H59980" s="680" t="s">
        <v>6153</v>
      </c>
    </row>
    <row r="59981" spans="8:8">
      <c r="H59981" s="680" t="s">
        <v>6153</v>
      </c>
    </row>
    <row r="59982" spans="8:8">
      <c r="H59982" s="680" t="s">
        <v>6153</v>
      </c>
    </row>
    <row r="59983" spans="8:8">
      <c r="H59983" s="680" t="s">
        <v>6153</v>
      </c>
    </row>
    <row r="59984" spans="8:8">
      <c r="H59984" s="680" t="s">
        <v>6153</v>
      </c>
    </row>
    <row r="59985" spans="8:8">
      <c r="H59985" s="680" t="s">
        <v>6153</v>
      </c>
    </row>
    <row r="59986" spans="8:8">
      <c r="H59986" s="680" t="s">
        <v>6153</v>
      </c>
    </row>
    <row r="59987" spans="8:8">
      <c r="H59987" s="680" t="s">
        <v>6153</v>
      </c>
    </row>
    <row r="59988" spans="8:8">
      <c r="H59988" s="680" t="s">
        <v>6153</v>
      </c>
    </row>
    <row r="59989" spans="8:8">
      <c r="H59989" s="680" t="s">
        <v>6153</v>
      </c>
    </row>
    <row r="59990" spans="8:8">
      <c r="H59990" s="680" t="s">
        <v>6153</v>
      </c>
    </row>
    <row r="59991" spans="8:8">
      <c r="H59991" s="680" t="s">
        <v>6153</v>
      </c>
    </row>
    <row r="59992" spans="8:8">
      <c r="H59992" s="680" t="s">
        <v>6153</v>
      </c>
    </row>
    <row r="59993" spans="8:8">
      <c r="H59993" s="680" t="s">
        <v>6153</v>
      </c>
    </row>
    <row r="59994" spans="8:8">
      <c r="H59994" s="680" t="s">
        <v>6153</v>
      </c>
    </row>
    <row r="59995" spans="8:8">
      <c r="H59995" s="680" t="s">
        <v>6153</v>
      </c>
    </row>
    <row r="59996" spans="8:8">
      <c r="H59996" s="680" t="s">
        <v>6153</v>
      </c>
    </row>
    <row r="59997" spans="8:8">
      <c r="H59997" s="680" t="s">
        <v>6153</v>
      </c>
    </row>
    <row r="59998" spans="8:8">
      <c r="H59998" s="680" t="s">
        <v>6153</v>
      </c>
    </row>
    <row r="59999" spans="8:8">
      <c r="H59999" s="680" t="s">
        <v>6153</v>
      </c>
    </row>
    <row r="60000" spans="8:8">
      <c r="H60000" s="680" t="s">
        <v>6153</v>
      </c>
    </row>
    <row r="60001" spans="8:8">
      <c r="H60001" s="680" t="s">
        <v>6153</v>
      </c>
    </row>
    <row r="60002" spans="8:8">
      <c r="H60002" s="680" t="s">
        <v>6153</v>
      </c>
    </row>
    <row r="60003" spans="8:8">
      <c r="H60003" s="680" t="s">
        <v>6153</v>
      </c>
    </row>
    <row r="60004" spans="8:8">
      <c r="H60004" s="680" t="s">
        <v>6153</v>
      </c>
    </row>
    <row r="60005" spans="8:8">
      <c r="H60005" s="680" t="s">
        <v>6153</v>
      </c>
    </row>
    <row r="60006" spans="8:8">
      <c r="H60006" s="680" t="s">
        <v>6153</v>
      </c>
    </row>
    <row r="60007" spans="8:8">
      <c r="H60007" s="680" t="s">
        <v>6153</v>
      </c>
    </row>
    <row r="60008" spans="8:8">
      <c r="H60008" s="680" t="s">
        <v>6153</v>
      </c>
    </row>
    <row r="60009" spans="8:8">
      <c r="H60009" s="680" t="s">
        <v>6153</v>
      </c>
    </row>
    <row r="60010" spans="8:8">
      <c r="H60010" s="680" t="s">
        <v>6153</v>
      </c>
    </row>
    <row r="60011" spans="8:8">
      <c r="H60011" s="680" t="s">
        <v>6153</v>
      </c>
    </row>
    <row r="60012" spans="8:8">
      <c r="H60012" s="680" t="s">
        <v>6153</v>
      </c>
    </row>
    <row r="60013" spans="8:8">
      <c r="H60013" s="680" t="s">
        <v>6153</v>
      </c>
    </row>
    <row r="60014" spans="8:8">
      <c r="H60014" s="680" t="s">
        <v>6153</v>
      </c>
    </row>
    <row r="60015" spans="8:8">
      <c r="H60015" s="680" t="s">
        <v>6153</v>
      </c>
    </row>
    <row r="60016" spans="8:8">
      <c r="H60016" s="680" t="s">
        <v>6153</v>
      </c>
    </row>
    <row r="60017" spans="8:8">
      <c r="H60017" s="680" t="s">
        <v>6153</v>
      </c>
    </row>
    <row r="60018" spans="8:8">
      <c r="H60018" s="680" t="s">
        <v>6153</v>
      </c>
    </row>
    <row r="60019" spans="8:8">
      <c r="H60019" s="680" t="s">
        <v>6153</v>
      </c>
    </row>
    <row r="60020" spans="8:8">
      <c r="H60020" s="680" t="s">
        <v>6153</v>
      </c>
    </row>
    <row r="60021" spans="8:8">
      <c r="H60021" s="680" t="s">
        <v>6153</v>
      </c>
    </row>
    <row r="60022" spans="8:8">
      <c r="H60022" s="680" t="s">
        <v>6153</v>
      </c>
    </row>
    <row r="60023" spans="8:8">
      <c r="H60023" s="680" t="s">
        <v>6153</v>
      </c>
    </row>
    <row r="60024" spans="8:8">
      <c r="H60024" s="680" t="s">
        <v>6153</v>
      </c>
    </row>
    <row r="60025" spans="8:8">
      <c r="H60025" s="680" t="s">
        <v>6153</v>
      </c>
    </row>
    <row r="60026" spans="8:8">
      <c r="H60026" s="680" t="s">
        <v>6153</v>
      </c>
    </row>
    <row r="60027" spans="8:8">
      <c r="H60027" s="680" t="s">
        <v>6153</v>
      </c>
    </row>
    <row r="60028" spans="8:8">
      <c r="H60028" s="680" t="s">
        <v>6153</v>
      </c>
    </row>
    <row r="60029" spans="8:8">
      <c r="H60029" s="680" t="s">
        <v>6153</v>
      </c>
    </row>
    <row r="60030" spans="8:8">
      <c r="H60030" s="680" t="s">
        <v>6153</v>
      </c>
    </row>
    <row r="60031" spans="8:8">
      <c r="H60031" s="680" t="s">
        <v>6153</v>
      </c>
    </row>
    <row r="60032" spans="8:8">
      <c r="H60032" s="680" t="s">
        <v>6153</v>
      </c>
    </row>
    <row r="60033" spans="8:8">
      <c r="H60033" s="680" t="s">
        <v>6153</v>
      </c>
    </row>
    <row r="60034" spans="8:8">
      <c r="H60034" s="680" t="s">
        <v>6153</v>
      </c>
    </row>
    <row r="60035" spans="8:8">
      <c r="H60035" s="680" t="s">
        <v>6153</v>
      </c>
    </row>
    <row r="60036" spans="8:8">
      <c r="H60036" s="680" t="s">
        <v>6153</v>
      </c>
    </row>
    <row r="60037" spans="8:8">
      <c r="H60037" s="680" t="s">
        <v>6153</v>
      </c>
    </row>
    <row r="60038" spans="8:8">
      <c r="H60038" s="680" t="s">
        <v>6153</v>
      </c>
    </row>
    <row r="60039" spans="8:8">
      <c r="H60039" s="680" t="s">
        <v>6153</v>
      </c>
    </row>
    <row r="60040" spans="8:8">
      <c r="H60040" s="680" t="s">
        <v>6153</v>
      </c>
    </row>
    <row r="60041" spans="8:8">
      <c r="H60041" s="680" t="s">
        <v>6153</v>
      </c>
    </row>
    <row r="60042" spans="8:8">
      <c r="H60042" s="680" t="s">
        <v>6153</v>
      </c>
    </row>
    <row r="60043" spans="8:8">
      <c r="H60043" s="680" t="s">
        <v>6153</v>
      </c>
    </row>
    <row r="60044" spans="8:8">
      <c r="H60044" s="680" t="s">
        <v>6153</v>
      </c>
    </row>
    <row r="60045" spans="8:8">
      <c r="H60045" s="680" t="s">
        <v>6153</v>
      </c>
    </row>
    <row r="60046" spans="8:8">
      <c r="H60046" s="680" t="s">
        <v>6153</v>
      </c>
    </row>
    <row r="60047" spans="8:8">
      <c r="H60047" s="680" t="s">
        <v>6153</v>
      </c>
    </row>
    <row r="60048" spans="8:8">
      <c r="H60048" s="680" t="s">
        <v>6153</v>
      </c>
    </row>
    <row r="60049" spans="8:8">
      <c r="H60049" s="680" t="s">
        <v>6153</v>
      </c>
    </row>
    <row r="60050" spans="8:8">
      <c r="H60050" s="680" t="s">
        <v>6153</v>
      </c>
    </row>
    <row r="60051" spans="8:8">
      <c r="H60051" s="680" t="s">
        <v>6153</v>
      </c>
    </row>
    <row r="60052" spans="8:8">
      <c r="H60052" s="680" t="s">
        <v>6153</v>
      </c>
    </row>
    <row r="60053" spans="8:8">
      <c r="H60053" s="680" t="s">
        <v>6153</v>
      </c>
    </row>
    <row r="60054" spans="8:8">
      <c r="H60054" s="680" t="s">
        <v>6153</v>
      </c>
    </row>
    <row r="60055" spans="8:8">
      <c r="H60055" s="680" t="s">
        <v>6153</v>
      </c>
    </row>
    <row r="60056" spans="8:8">
      <c r="H60056" s="680" t="s">
        <v>6153</v>
      </c>
    </row>
    <row r="60057" spans="8:8">
      <c r="H60057" s="680" t="s">
        <v>6153</v>
      </c>
    </row>
    <row r="60058" spans="8:8">
      <c r="H60058" s="680" t="s">
        <v>6153</v>
      </c>
    </row>
    <row r="60059" spans="8:8">
      <c r="H60059" s="680" t="s">
        <v>6153</v>
      </c>
    </row>
    <row r="60060" spans="8:8">
      <c r="H60060" s="680" t="s">
        <v>6153</v>
      </c>
    </row>
    <row r="60061" spans="8:8">
      <c r="H60061" s="680" t="s">
        <v>6153</v>
      </c>
    </row>
    <row r="60062" spans="8:8">
      <c r="H60062" s="680" t="s">
        <v>6153</v>
      </c>
    </row>
    <row r="60063" spans="8:8">
      <c r="H60063" s="680" t="s">
        <v>6153</v>
      </c>
    </row>
    <row r="60064" spans="8:8">
      <c r="H60064" s="680" t="s">
        <v>6153</v>
      </c>
    </row>
    <row r="60065" spans="8:8">
      <c r="H60065" s="680" t="s">
        <v>6153</v>
      </c>
    </row>
    <row r="60066" spans="8:8">
      <c r="H60066" s="680" t="s">
        <v>6153</v>
      </c>
    </row>
    <row r="60067" spans="8:8">
      <c r="H60067" s="680" t="s">
        <v>6153</v>
      </c>
    </row>
    <row r="60068" spans="8:8">
      <c r="H60068" s="680" t="s">
        <v>6153</v>
      </c>
    </row>
    <row r="60069" spans="8:8">
      <c r="H60069" s="680" t="s">
        <v>6153</v>
      </c>
    </row>
    <row r="60070" spans="8:8">
      <c r="H60070" s="680" t="s">
        <v>6153</v>
      </c>
    </row>
    <row r="60071" spans="8:8">
      <c r="H60071" s="680" t="s">
        <v>6153</v>
      </c>
    </row>
    <row r="60072" spans="8:8">
      <c r="H60072" s="680" t="s">
        <v>6153</v>
      </c>
    </row>
    <row r="60073" spans="8:8">
      <c r="H60073" s="680" t="s">
        <v>6153</v>
      </c>
    </row>
    <row r="60074" spans="8:8">
      <c r="H60074" s="680" t="s">
        <v>6153</v>
      </c>
    </row>
    <row r="60075" spans="8:8">
      <c r="H60075" s="680" t="s">
        <v>6153</v>
      </c>
    </row>
    <row r="60076" spans="8:8">
      <c r="H60076" s="680" t="s">
        <v>6153</v>
      </c>
    </row>
    <row r="60077" spans="8:8">
      <c r="H60077" s="680" t="s">
        <v>6153</v>
      </c>
    </row>
    <row r="60078" spans="8:8">
      <c r="H60078" s="680" t="s">
        <v>6153</v>
      </c>
    </row>
    <row r="60079" spans="8:8">
      <c r="H60079" s="680" t="s">
        <v>6153</v>
      </c>
    </row>
    <row r="60080" spans="8:8">
      <c r="H60080" s="680" t="s">
        <v>6153</v>
      </c>
    </row>
    <row r="60081" spans="8:8">
      <c r="H60081" s="680" t="s">
        <v>6153</v>
      </c>
    </row>
    <row r="60082" spans="8:8">
      <c r="H60082" s="680" t="s">
        <v>6153</v>
      </c>
    </row>
    <row r="60083" spans="8:8">
      <c r="H60083" s="680" t="s">
        <v>6153</v>
      </c>
    </row>
    <row r="60084" spans="8:8">
      <c r="H60084" s="680" t="s">
        <v>6153</v>
      </c>
    </row>
    <row r="60085" spans="8:8">
      <c r="H60085" s="680" t="s">
        <v>6153</v>
      </c>
    </row>
    <row r="60086" spans="8:8">
      <c r="H60086" s="680" t="s">
        <v>6153</v>
      </c>
    </row>
    <row r="60087" spans="8:8">
      <c r="H60087" s="680" t="s">
        <v>6153</v>
      </c>
    </row>
    <row r="60088" spans="8:8">
      <c r="H60088" s="680" t="s">
        <v>6153</v>
      </c>
    </row>
    <row r="60089" spans="8:8">
      <c r="H60089" s="680" t="s">
        <v>6153</v>
      </c>
    </row>
    <row r="60090" spans="8:8">
      <c r="H60090" s="680" t="s">
        <v>6153</v>
      </c>
    </row>
    <row r="60091" spans="8:8">
      <c r="H60091" s="680" t="s">
        <v>6153</v>
      </c>
    </row>
    <row r="60092" spans="8:8">
      <c r="H60092" s="680" t="s">
        <v>6153</v>
      </c>
    </row>
    <row r="60093" spans="8:8">
      <c r="H60093" s="680" t="s">
        <v>6153</v>
      </c>
    </row>
    <row r="60094" spans="8:8">
      <c r="H60094" s="680" t="s">
        <v>6153</v>
      </c>
    </row>
    <row r="60095" spans="8:8">
      <c r="H60095" s="680" t="s">
        <v>6153</v>
      </c>
    </row>
    <row r="60096" spans="8:8">
      <c r="H60096" s="680" t="s">
        <v>6153</v>
      </c>
    </row>
    <row r="60097" spans="8:8">
      <c r="H60097" s="680" t="s">
        <v>6153</v>
      </c>
    </row>
    <row r="60098" spans="8:8">
      <c r="H60098" s="680" t="s">
        <v>6153</v>
      </c>
    </row>
    <row r="60099" spans="8:8">
      <c r="H60099" s="680" t="s">
        <v>6153</v>
      </c>
    </row>
    <row r="60100" spans="8:8">
      <c r="H60100" s="680" t="s">
        <v>6153</v>
      </c>
    </row>
    <row r="60101" spans="8:8">
      <c r="H60101" s="680" t="s">
        <v>6153</v>
      </c>
    </row>
    <row r="60102" spans="8:8">
      <c r="H60102" s="680" t="s">
        <v>6153</v>
      </c>
    </row>
    <row r="60103" spans="8:8">
      <c r="H60103" s="680" t="s">
        <v>6153</v>
      </c>
    </row>
    <row r="60104" spans="8:8">
      <c r="H60104" s="680" t="s">
        <v>6153</v>
      </c>
    </row>
    <row r="60105" spans="8:8">
      <c r="H60105" s="680" t="s">
        <v>6153</v>
      </c>
    </row>
    <row r="60106" spans="8:8">
      <c r="H60106" s="680" t="s">
        <v>6153</v>
      </c>
    </row>
    <row r="60107" spans="8:8">
      <c r="H60107" s="680" t="s">
        <v>6153</v>
      </c>
    </row>
    <row r="60108" spans="8:8">
      <c r="H60108" s="680" t="s">
        <v>6153</v>
      </c>
    </row>
    <row r="60109" spans="8:8">
      <c r="H60109" s="680" t="s">
        <v>6153</v>
      </c>
    </row>
    <row r="60110" spans="8:8">
      <c r="H60110" s="680" t="s">
        <v>6153</v>
      </c>
    </row>
    <row r="60111" spans="8:8">
      <c r="H60111" s="680" t="s">
        <v>6153</v>
      </c>
    </row>
    <row r="60112" spans="8:8">
      <c r="H60112" s="680" t="s">
        <v>6153</v>
      </c>
    </row>
    <row r="60113" spans="8:8">
      <c r="H60113" s="680" t="s">
        <v>6153</v>
      </c>
    </row>
    <row r="60114" spans="8:8">
      <c r="H60114" s="680" t="s">
        <v>6153</v>
      </c>
    </row>
    <row r="60115" spans="8:8">
      <c r="H60115" s="680" t="s">
        <v>6153</v>
      </c>
    </row>
    <row r="60116" spans="8:8">
      <c r="H60116" s="680" t="s">
        <v>6153</v>
      </c>
    </row>
    <row r="60117" spans="8:8">
      <c r="H60117" s="680" t="s">
        <v>6153</v>
      </c>
    </row>
    <row r="60118" spans="8:8">
      <c r="H60118" s="680" t="s">
        <v>6153</v>
      </c>
    </row>
    <row r="60119" spans="8:8">
      <c r="H60119" s="680" t="s">
        <v>6153</v>
      </c>
    </row>
    <row r="60120" spans="8:8">
      <c r="H60120" s="680" t="s">
        <v>6153</v>
      </c>
    </row>
    <row r="60121" spans="8:8">
      <c r="H60121" s="680" t="s">
        <v>6153</v>
      </c>
    </row>
    <row r="60122" spans="8:8">
      <c r="H60122" s="680" t="s">
        <v>6153</v>
      </c>
    </row>
    <row r="60123" spans="8:8">
      <c r="H60123" s="680" t="s">
        <v>6153</v>
      </c>
    </row>
    <row r="60124" spans="8:8">
      <c r="H60124" s="680" t="s">
        <v>6153</v>
      </c>
    </row>
    <row r="60125" spans="8:8">
      <c r="H60125" s="680" t="s">
        <v>6153</v>
      </c>
    </row>
    <row r="60126" spans="8:8">
      <c r="H60126" s="680" t="s">
        <v>6153</v>
      </c>
    </row>
    <row r="60127" spans="8:8">
      <c r="H60127" s="680" t="s">
        <v>6153</v>
      </c>
    </row>
    <row r="60128" spans="8:8">
      <c r="H60128" s="680" t="s">
        <v>6153</v>
      </c>
    </row>
    <row r="60129" spans="8:8">
      <c r="H60129" s="680" t="s">
        <v>6153</v>
      </c>
    </row>
    <row r="60130" spans="8:8">
      <c r="H60130" s="680" t="s">
        <v>6153</v>
      </c>
    </row>
    <row r="60131" spans="8:8">
      <c r="H60131" s="680" t="s">
        <v>6153</v>
      </c>
    </row>
    <row r="60132" spans="8:8">
      <c r="H60132" s="680" t="s">
        <v>6153</v>
      </c>
    </row>
    <row r="60133" spans="8:8">
      <c r="H60133" s="680" t="s">
        <v>6153</v>
      </c>
    </row>
    <row r="60134" spans="8:8">
      <c r="H60134" s="680" t="s">
        <v>6153</v>
      </c>
    </row>
    <row r="60135" spans="8:8">
      <c r="H60135" s="680" t="s">
        <v>6153</v>
      </c>
    </row>
    <row r="60136" spans="8:8">
      <c r="H60136" s="680" t="s">
        <v>6153</v>
      </c>
    </row>
    <row r="60137" spans="8:8">
      <c r="H60137" s="680" t="s">
        <v>6153</v>
      </c>
    </row>
    <row r="60138" spans="8:8">
      <c r="H60138" s="680" t="s">
        <v>6153</v>
      </c>
    </row>
    <row r="60139" spans="8:8">
      <c r="H60139" s="680" t="s">
        <v>6153</v>
      </c>
    </row>
    <row r="60140" spans="8:8">
      <c r="H60140" s="680" t="s">
        <v>6153</v>
      </c>
    </row>
    <row r="60141" spans="8:8">
      <c r="H60141" s="680" t="s">
        <v>6153</v>
      </c>
    </row>
    <row r="60142" spans="8:8">
      <c r="H60142" s="680" t="s">
        <v>6153</v>
      </c>
    </row>
    <row r="60143" spans="8:8">
      <c r="H60143" s="680" t="s">
        <v>6153</v>
      </c>
    </row>
    <row r="60144" spans="8:8">
      <c r="H60144" s="680" t="s">
        <v>6153</v>
      </c>
    </row>
    <row r="60145" spans="8:8">
      <c r="H60145" s="680" t="s">
        <v>6153</v>
      </c>
    </row>
    <row r="60146" spans="8:8">
      <c r="H60146" s="680" t="s">
        <v>6153</v>
      </c>
    </row>
    <row r="60147" spans="8:8">
      <c r="H60147" s="680" t="s">
        <v>6153</v>
      </c>
    </row>
    <row r="60148" spans="8:8">
      <c r="H60148" s="680" t="s">
        <v>6153</v>
      </c>
    </row>
    <row r="60149" spans="8:8">
      <c r="H60149" s="680" t="s">
        <v>6153</v>
      </c>
    </row>
    <row r="60150" spans="8:8">
      <c r="H60150" s="680" t="s">
        <v>6153</v>
      </c>
    </row>
    <row r="60151" spans="8:8">
      <c r="H60151" s="680" t="s">
        <v>6153</v>
      </c>
    </row>
    <row r="60152" spans="8:8">
      <c r="H60152" s="680" t="s">
        <v>6153</v>
      </c>
    </row>
    <row r="60153" spans="8:8">
      <c r="H60153" s="680" t="s">
        <v>6153</v>
      </c>
    </row>
    <row r="60154" spans="8:8">
      <c r="H60154" s="680" t="s">
        <v>6153</v>
      </c>
    </row>
    <row r="60155" spans="8:8">
      <c r="H60155" s="680" t="s">
        <v>6153</v>
      </c>
    </row>
    <row r="60156" spans="8:8">
      <c r="H60156" s="680" t="s">
        <v>6153</v>
      </c>
    </row>
    <row r="60157" spans="8:8">
      <c r="H60157" s="680" t="s">
        <v>6153</v>
      </c>
    </row>
    <row r="60158" spans="8:8">
      <c r="H60158" s="680" t="s">
        <v>6153</v>
      </c>
    </row>
    <row r="60159" spans="8:8">
      <c r="H60159" s="680" t="s">
        <v>6153</v>
      </c>
    </row>
    <row r="60160" spans="8:8">
      <c r="H60160" s="680" t="s">
        <v>6153</v>
      </c>
    </row>
    <row r="60161" spans="8:8">
      <c r="H60161" s="680" t="s">
        <v>6153</v>
      </c>
    </row>
    <row r="60162" spans="8:8">
      <c r="H60162" s="680" t="s">
        <v>6153</v>
      </c>
    </row>
    <row r="60163" spans="8:8">
      <c r="H60163" s="680" t="s">
        <v>6153</v>
      </c>
    </row>
    <row r="60164" spans="8:8">
      <c r="H60164" s="680" t="s">
        <v>6153</v>
      </c>
    </row>
    <row r="60165" spans="8:8">
      <c r="H60165" s="680" t="s">
        <v>6153</v>
      </c>
    </row>
    <row r="60166" spans="8:8">
      <c r="H60166" s="680" t="s">
        <v>6153</v>
      </c>
    </row>
    <row r="60167" spans="8:8">
      <c r="H60167" s="680" t="s">
        <v>6153</v>
      </c>
    </row>
    <row r="60168" spans="8:8">
      <c r="H60168" s="680" t="s">
        <v>6153</v>
      </c>
    </row>
    <row r="60169" spans="8:8">
      <c r="H60169" s="680" t="s">
        <v>6153</v>
      </c>
    </row>
    <row r="60170" spans="8:8">
      <c r="H60170" s="680" t="s">
        <v>6153</v>
      </c>
    </row>
    <row r="60171" spans="8:8">
      <c r="H60171" s="680" t="s">
        <v>6153</v>
      </c>
    </row>
    <row r="60172" spans="8:8">
      <c r="H60172" s="680" t="s">
        <v>6153</v>
      </c>
    </row>
    <row r="60173" spans="8:8">
      <c r="H60173" s="680" t="s">
        <v>6153</v>
      </c>
    </row>
    <row r="60174" spans="8:8">
      <c r="H60174" s="680" t="s">
        <v>6153</v>
      </c>
    </row>
    <row r="60175" spans="8:8">
      <c r="H60175" s="680" t="s">
        <v>6153</v>
      </c>
    </row>
    <row r="60176" spans="8:8">
      <c r="H60176" s="680" t="s">
        <v>6153</v>
      </c>
    </row>
    <row r="60177" spans="8:8">
      <c r="H60177" s="680" t="s">
        <v>6153</v>
      </c>
    </row>
    <row r="60178" spans="8:8">
      <c r="H60178" s="680" t="s">
        <v>6153</v>
      </c>
    </row>
    <row r="60179" spans="8:8">
      <c r="H60179" s="680" t="s">
        <v>6153</v>
      </c>
    </row>
    <row r="60180" spans="8:8">
      <c r="H60180" s="680" t="s">
        <v>6153</v>
      </c>
    </row>
    <row r="60181" spans="8:8">
      <c r="H60181" s="680" t="s">
        <v>6153</v>
      </c>
    </row>
    <row r="60182" spans="8:8">
      <c r="H60182" s="680" t="s">
        <v>6153</v>
      </c>
    </row>
    <row r="60183" spans="8:8">
      <c r="H60183" s="680" t="s">
        <v>6153</v>
      </c>
    </row>
    <row r="60184" spans="8:8">
      <c r="H60184" s="680" t="s">
        <v>6153</v>
      </c>
    </row>
    <row r="60185" spans="8:8">
      <c r="H60185" s="680" t="s">
        <v>6153</v>
      </c>
    </row>
    <row r="60186" spans="8:8">
      <c r="H60186" s="680" t="s">
        <v>6153</v>
      </c>
    </row>
    <row r="60187" spans="8:8">
      <c r="H60187" s="680" t="s">
        <v>6153</v>
      </c>
    </row>
    <row r="60188" spans="8:8">
      <c r="H60188" s="680" t="s">
        <v>6153</v>
      </c>
    </row>
    <row r="60189" spans="8:8">
      <c r="H60189" s="680" t="s">
        <v>6153</v>
      </c>
    </row>
    <row r="60190" spans="8:8">
      <c r="H60190" s="680" t="s">
        <v>6153</v>
      </c>
    </row>
    <row r="60191" spans="8:8">
      <c r="H60191" s="680" t="s">
        <v>6153</v>
      </c>
    </row>
    <row r="60192" spans="8:8">
      <c r="H60192" s="680" t="s">
        <v>6153</v>
      </c>
    </row>
    <row r="60193" spans="8:8">
      <c r="H60193" s="680" t="s">
        <v>6153</v>
      </c>
    </row>
    <row r="60194" spans="8:8">
      <c r="H60194" s="680" t="s">
        <v>6153</v>
      </c>
    </row>
    <row r="60195" spans="8:8">
      <c r="H60195" s="680" t="s">
        <v>6153</v>
      </c>
    </row>
    <row r="60196" spans="8:8">
      <c r="H60196" s="680" t="s">
        <v>6153</v>
      </c>
    </row>
    <row r="60197" spans="8:8">
      <c r="H60197" s="680" t="s">
        <v>6153</v>
      </c>
    </row>
    <row r="60198" spans="8:8">
      <c r="H60198" s="680" t="s">
        <v>6153</v>
      </c>
    </row>
    <row r="60199" spans="8:8">
      <c r="H60199" s="680" t="s">
        <v>6153</v>
      </c>
    </row>
    <row r="60200" spans="8:8">
      <c r="H60200" s="680" t="s">
        <v>6153</v>
      </c>
    </row>
    <row r="60201" spans="8:8">
      <c r="H60201" s="680" t="s">
        <v>6153</v>
      </c>
    </row>
    <row r="60202" spans="8:8">
      <c r="H60202" s="680" t="s">
        <v>6153</v>
      </c>
    </row>
    <row r="60203" spans="8:8">
      <c r="H60203" s="680" t="s">
        <v>6153</v>
      </c>
    </row>
    <row r="60204" spans="8:8">
      <c r="H60204" s="680" t="s">
        <v>6153</v>
      </c>
    </row>
    <row r="60205" spans="8:8">
      <c r="H60205" s="680" t="s">
        <v>6153</v>
      </c>
    </row>
    <row r="60206" spans="8:8">
      <c r="H60206" s="680" t="s">
        <v>6153</v>
      </c>
    </row>
    <row r="60207" spans="8:8">
      <c r="H60207" s="680" t="s">
        <v>6153</v>
      </c>
    </row>
    <row r="60208" spans="8:8">
      <c r="H60208" s="680" t="s">
        <v>6153</v>
      </c>
    </row>
    <row r="60209" spans="8:8">
      <c r="H60209" s="680" t="s">
        <v>6153</v>
      </c>
    </row>
    <row r="60210" spans="8:8">
      <c r="H60210" s="680" t="s">
        <v>6153</v>
      </c>
    </row>
    <row r="60211" spans="8:8">
      <c r="H60211" s="680" t="s">
        <v>6153</v>
      </c>
    </row>
    <row r="60212" spans="8:8">
      <c r="H60212" s="680" t="s">
        <v>6153</v>
      </c>
    </row>
    <row r="60213" spans="8:8">
      <c r="H60213" s="680" t="s">
        <v>6153</v>
      </c>
    </row>
    <row r="60214" spans="8:8">
      <c r="H60214" s="680" t="s">
        <v>6153</v>
      </c>
    </row>
    <row r="60215" spans="8:8">
      <c r="H60215" s="680" t="s">
        <v>6153</v>
      </c>
    </row>
    <row r="60216" spans="8:8">
      <c r="H60216" s="680" t="s">
        <v>6153</v>
      </c>
    </row>
    <row r="60217" spans="8:8">
      <c r="H60217" s="680" t="s">
        <v>6153</v>
      </c>
    </row>
    <row r="60218" spans="8:8">
      <c r="H60218" s="680" t="s">
        <v>6153</v>
      </c>
    </row>
    <row r="60219" spans="8:8">
      <c r="H60219" s="680" t="s">
        <v>6153</v>
      </c>
    </row>
    <row r="60220" spans="8:8">
      <c r="H60220" s="680" t="s">
        <v>6153</v>
      </c>
    </row>
    <row r="60221" spans="8:8">
      <c r="H60221" s="680" t="s">
        <v>6153</v>
      </c>
    </row>
    <row r="60222" spans="8:8">
      <c r="H60222" s="680" t="s">
        <v>6153</v>
      </c>
    </row>
    <row r="60223" spans="8:8">
      <c r="H60223" s="680" t="s">
        <v>6153</v>
      </c>
    </row>
    <row r="60224" spans="8:8">
      <c r="H60224" s="680" t="s">
        <v>6153</v>
      </c>
    </row>
    <row r="60225" spans="8:8">
      <c r="H60225" s="680" t="s">
        <v>6153</v>
      </c>
    </row>
    <row r="60226" spans="8:8">
      <c r="H60226" s="680" t="s">
        <v>6153</v>
      </c>
    </row>
    <row r="60227" spans="8:8">
      <c r="H60227" s="680" t="s">
        <v>6153</v>
      </c>
    </row>
    <row r="60228" spans="8:8">
      <c r="H60228" s="680" t="s">
        <v>6153</v>
      </c>
    </row>
    <row r="60229" spans="8:8">
      <c r="H60229" s="680" t="s">
        <v>6153</v>
      </c>
    </row>
    <row r="60230" spans="8:8">
      <c r="H60230" s="680" t="s">
        <v>6153</v>
      </c>
    </row>
    <row r="60231" spans="8:8">
      <c r="H60231" s="680" t="s">
        <v>6153</v>
      </c>
    </row>
    <row r="60232" spans="8:8">
      <c r="H60232" s="680" t="s">
        <v>6153</v>
      </c>
    </row>
    <row r="60233" spans="8:8">
      <c r="H60233" s="680" t="s">
        <v>6153</v>
      </c>
    </row>
    <row r="60234" spans="8:8">
      <c r="H60234" s="680" t="s">
        <v>6153</v>
      </c>
    </row>
    <row r="60235" spans="8:8">
      <c r="H60235" s="680" t="s">
        <v>6153</v>
      </c>
    </row>
    <row r="60236" spans="8:8">
      <c r="H60236" s="680" t="s">
        <v>6153</v>
      </c>
    </row>
    <row r="60237" spans="8:8">
      <c r="H60237" s="680" t="s">
        <v>6153</v>
      </c>
    </row>
    <row r="60238" spans="8:8">
      <c r="H60238" s="680" t="s">
        <v>6153</v>
      </c>
    </row>
    <row r="60239" spans="8:8">
      <c r="H60239" s="680" t="s">
        <v>6153</v>
      </c>
    </row>
    <row r="60240" spans="8:8">
      <c r="H60240" s="680" t="s">
        <v>6153</v>
      </c>
    </row>
    <row r="60241" spans="8:8">
      <c r="H60241" s="680" t="s">
        <v>6153</v>
      </c>
    </row>
    <row r="60242" spans="8:8">
      <c r="H60242" s="680" t="s">
        <v>6153</v>
      </c>
    </row>
    <row r="60243" spans="8:8">
      <c r="H60243" s="680" t="s">
        <v>6153</v>
      </c>
    </row>
    <row r="60244" spans="8:8">
      <c r="H60244" s="680" t="s">
        <v>6153</v>
      </c>
    </row>
    <row r="60245" spans="8:8">
      <c r="H60245" s="680" t="s">
        <v>6153</v>
      </c>
    </row>
    <row r="60246" spans="8:8">
      <c r="H60246" s="680" t="s">
        <v>6153</v>
      </c>
    </row>
    <row r="60247" spans="8:8">
      <c r="H60247" s="680" t="s">
        <v>6153</v>
      </c>
    </row>
    <row r="60248" spans="8:8">
      <c r="H60248" s="680" t="s">
        <v>6153</v>
      </c>
    </row>
    <row r="60249" spans="8:8">
      <c r="H60249" s="680" t="s">
        <v>6153</v>
      </c>
    </row>
    <row r="60250" spans="8:8">
      <c r="H60250" s="680" t="s">
        <v>6153</v>
      </c>
    </row>
    <row r="60251" spans="8:8">
      <c r="H60251" s="680" t="s">
        <v>6153</v>
      </c>
    </row>
    <row r="60252" spans="8:8">
      <c r="H60252" s="680" t="s">
        <v>6153</v>
      </c>
    </row>
    <row r="60253" spans="8:8">
      <c r="H60253" s="680" t="s">
        <v>6153</v>
      </c>
    </row>
    <row r="60254" spans="8:8">
      <c r="H60254" s="680" t="s">
        <v>6153</v>
      </c>
    </row>
    <row r="60255" spans="8:8">
      <c r="H60255" s="680" t="s">
        <v>6153</v>
      </c>
    </row>
    <row r="60256" spans="8:8">
      <c r="H60256" s="680" t="s">
        <v>6153</v>
      </c>
    </row>
    <row r="60257" spans="8:8">
      <c r="H60257" s="680" t="s">
        <v>6153</v>
      </c>
    </row>
    <row r="60258" spans="8:8">
      <c r="H60258" s="680" t="s">
        <v>6153</v>
      </c>
    </row>
    <row r="60259" spans="8:8">
      <c r="H60259" s="680" t="s">
        <v>6153</v>
      </c>
    </row>
    <row r="60260" spans="8:8">
      <c r="H60260" s="680" t="s">
        <v>6153</v>
      </c>
    </row>
    <row r="60261" spans="8:8">
      <c r="H60261" s="680" t="s">
        <v>6153</v>
      </c>
    </row>
    <row r="60262" spans="8:8">
      <c r="H60262" s="680" t="s">
        <v>6153</v>
      </c>
    </row>
    <row r="60263" spans="8:8">
      <c r="H60263" s="680" t="s">
        <v>6153</v>
      </c>
    </row>
    <row r="60264" spans="8:8">
      <c r="H60264" s="680" t="s">
        <v>6153</v>
      </c>
    </row>
    <row r="60265" spans="8:8">
      <c r="H60265" s="680" t="s">
        <v>6153</v>
      </c>
    </row>
    <row r="60266" spans="8:8">
      <c r="H60266" s="680" t="s">
        <v>6153</v>
      </c>
    </row>
    <row r="60267" spans="8:8">
      <c r="H60267" s="680" t="s">
        <v>6153</v>
      </c>
    </row>
    <row r="60268" spans="8:8">
      <c r="H60268" s="680" t="s">
        <v>6153</v>
      </c>
    </row>
    <row r="60269" spans="8:8">
      <c r="H60269" s="680" t="s">
        <v>6153</v>
      </c>
    </row>
    <row r="60270" spans="8:8">
      <c r="H60270" s="680" t="s">
        <v>6153</v>
      </c>
    </row>
    <row r="60271" spans="8:8">
      <c r="H60271" s="680" t="s">
        <v>6153</v>
      </c>
    </row>
    <row r="60272" spans="8:8">
      <c r="H60272" s="680" t="s">
        <v>6153</v>
      </c>
    </row>
    <row r="60273" spans="8:8">
      <c r="H60273" s="680" t="s">
        <v>6153</v>
      </c>
    </row>
    <row r="60274" spans="8:8">
      <c r="H60274" s="680" t="s">
        <v>6153</v>
      </c>
    </row>
    <row r="60275" spans="8:8">
      <c r="H60275" s="680" t="s">
        <v>6153</v>
      </c>
    </row>
    <row r="60276" spans="8:8">
      <c r="H60276" s="680" t="s">
        <v>6153</v>
      </c>
    </row>
    <row r="60277" spans="8:8">
      <c r="H60277" s="680" t="s">
        <v>6153</v>
      </c>
    </row>
    <row r="60278" spans="8:8">
      <c r="H60278" s="680" t="s">
        <v>6153</v>
      </c>
    </row>
    <row r="60279" spans="8:8">
      <c r="H60279" s="680" t="s">
        <v>6153</v>
      </c>
    </row>
    <row r="60280" spans="8:8">
      <c r="H60280" s="680" t="s">
        <v>6153</v>
      </c>
    </row>
    <row r="60281" spans="8:8">
      <c r="H60281" s="680" t="s">
        <v>6153</v>
      </c>
    </row>
    <row r="60282" spans="8:8">
      <c r="H60282" s="680" t="s">
        <v>6153</v>
      </c>
    </row>
    <row r="60283" spans="8:8">
      <c r="H60283" s="680" t="s">
        <v>6153</v>
      </c>
    </row>
    <row r="60284" spans="8:8">
      <c r="H60284" s="680" t="s">
        <v>6153</v>
      </c>
    </row>
    <row r="60285" spans="8:8">
      <c r="H60285" s="680" t="s">
        <v>6153</v>
      </c>
    </row>
    <row r="60286" spans="8:8">
      <c r="H60286" s="680" t="s">
        <v>6153</v>
      </c>
    </row>
    <row r="60287" spans="8:8">
      <c r="H60287" s="680" t="s">
        <v>6153</v>
      </c>
    </row>
    <row r="60288" spans="8:8">
      <c r="H60288" s="680" t="s">
        <v>6153</v>
      </c>
    </row>
    <row r="60289" spans="8:8">
      <c r="H60289" s="680" t="s">
        <v>6153</v>
      </c>
    </row>
    <row r="60290" spans="8:8">
      <c r="H60290" s="680" t="s">
        <v>6153</v>
      </c>
    </row>
    <row r="60291" spans="8:8">
      <c r="H60291" s="680" t="s">
        <v>6153</v>
      </c>
    </row>
    <row r="60292" spans="8:8">
      <c r="H60292" s="680" t="s">
        <v>6153</v>
      </c>
    </row>
    <row r="60293" spans="8:8">
      <c r="H60293" s="680" t="s">
        <v>6153</v>
      </c>
    </row>
    <row r="60294" spans="8:8">
      <c r="H60294" s="680" t="s">
        <v>6153</v>
      </c>
    </row>
    <row r="60295" spans="8:8">
      <c r="H60295" s="680" t="s">
        <v>6153</v>
      </c>
    </row>
    <row r="60296" spans="8:8">
      <c r="H60296" s="680" t="s">
        <v>6153</v>
      </c>
    </row>
    <row r="60297" spans="8:8">
      <c r="H60297" s="680" t="s">
        <v>6153</v>
      </c>
    </row>
    <row r="60298" spans="8:8">
      <c r="H60298" s="680" t="s">
        <v>6153</v>
      </c>
    </row>
    <row r="60299" spans="8:8">
      <c r="H60299" s="680" t="s">
        <v>6153</v>
      </c>
    </row>
    <row r="60300" spans="8:8">
      <c r="H60300" s="680" t="s">
        <v>6153</v>
      </c>
    </row>
    <row r="60301" spans="8:8">
      <c r="H60301" s="680" t="s">
        <v>6153</v>
      </c>
    </row>
    <row r="60302" spans="8:8">
      <c r="H60302" s="680" t="s">
        <v>6153</v>
      </c>
    </row>
    <row r="60303" spans="8:8">
      <c r="H60303" s="680" t="s">
        <v>6153</v>
      </c>
    </row>
    <row r="60304" spans="8:8">
      <c r="H60304" s="680" t="s">
        <v>6153</v>
      </c>
    </row>
    <row r="60305" spans="8:8">
      <c r="H60305" s="680" t="s">
        <v>6153</v>
      </c>
    </row>
    <row r="60306" spans="8:8">
      <c r="H60306" s="680" t="s">
        <v>6153</v>
      </c>
    </row>
    <row r="60307" spans="8:8">
      <c r="H60307" s="680" t="s">
        <v>6153</v>
      </c>
    </row>
    <row r="60308" spans="8:8">
      <c r="H60308" s="680" t="s">
        <v>6153</v>
      </c>
    </row>
    <row r="60309" spans="8:8">
      <c r="H60309" s="680" t="s">
        <v>6153</v>
      </c>
    </row>
    <row r="60310" spans="8:8">
      <c r="H60310" s="680" t="s">
        <v>6153</v>
      </c>
    </row>
    <row r="60311" spans="8:8">
      <c r="H60311" s="680" t="s">
        <v>6153</v>
      </c>
    </row>
    <row r="60312" spans="8:8">
      <c r="H60312" s="680" t="s">
        <v>6153</v>
      </c>
    </row>
    <row r="60313" spans="8:8">
      <c r="H60313" s="680" t="s">
        <v>6153</v>
      </c>
    </row>
    <row r="60314" spans="8:8">
      <c r="H60314" s="680" t="s">
        <v>6153</v>
      </c>
    </row>
    <row r="60315" spans="8:8">
      <c r="H60315" s="680" t="s">
        <v>6153</v>
      </c>
    </row>
    <row r="60316" spans="8:8">
      <c r="H60316" s="680" t="s">
        <v>6153</v>
      </c>
    </row>
    <row r="60317" spans="8:8">
      <c r="H60317" s="680" t="s">
        <v>6153</v>
      </c>
    </row>
    <row r="60318" spans="8:8">
      <c r="H60318" s="680" t="s">
        <v>6153</v>
      </c>
    </row>
    <row r="60319" spans="8:8">
      <c r="H60319" s="680" t="s">
        <v>6153</v>
      </c>
    </row>
    <row r="60320" spans="8:8">
      <c r="H60320" s="680" t="s">
        <v>6153</v>
      </c>
    </row>
    <row r="60321" spans="8:8">
      <c r="H60321" s="680" t="s">
        <v>6153</v>
      </c>
    </row>
    <row r="60322" spans="8:8">
      <c r="H60322" s="680" t="s">
        <v>6153</v>
      </c>
    </row>
    <row r="60323" spans="8:8">
      <c r="H60323" s="680" t="s">
        <v>6153</v>
      </c>
    </row>
    <row r="60324" spans="8:8">
      <c r="H60324" s="680" t="s">
        <v>6153</v>
      </c>
    </row>
    <row r="60325" spans="8:8">
      <c r="H60325" s="680" t="s">
        <v>6153</v>
      </c>
    </row>
    <row r="60326" spans="8:8">
      <c r="H60326" s="680" t="s">
        <v>6153</v>
      </c>
    </row>
    <row r="60327" spans="8:8">
      <c r="H60327" s="680" t="s">
        <v>6153</v>
      </c>
    </row>
    <row r="60328" spans="8:8">
      <c r="H60328" s="680" t="s">
        <v>6153</v>
      </c>
    </row>
    <row r="60329" spans="8:8">
      <c r="H60329" s="680" t="s">
        <v>6153</v>
      </c>
    </row>
    <row r="60330" spans="8:8">
      <c r="H60330" s="680" t="s">
        <v>6153</v>
      </c>
    </row>
    <row r="60331" spans="8:8">
      <c r="H60331" s="680" t="s">
        <v>6153</v>
      </c>
    </row>
    <row r="60332" spans="8:8">
      <c r="H60332" s="680" t="s">
        <v>6153</v>
      </c>
    </row>
    <row r="60333" spans="8:8">
      <c r="H60333" s="680" t="s">
        <v>6153</v>
      </c>
    </row>
    <row r="60334" spans="8:8">
      <c r="H60334" s="680" t="s">
        <v>6153</v>
      </c>
    </row>
    <row r="60335" spans="8:8">
      <c r="H60335" s="680" t="s">
        <v>6153</v>
      </c>
    </row>
    <row r="60336" spans="8:8">
      <c r="H60336" s="680" t="s">
        <v>6153</v>
      </c>
    </row>
    <row r="60337" spans="8:8">
      <c r="H60337" s="680" t="s">
        <v>6153</v>
      </c>
    </row>
    <row r="60338" spans="8:8">
      <c r="H60338" s="680" t="s">
        <v>6153</v>
      </c>
    </row>
    <row r="60339" spans="8:8">
      <c r="H60339" s="680" t="s">
        <v>6153</v>
      </c>
    </row>
    <row r="60340" spans="8:8">
      <c r="H60340" s="680" t="s">
        <v>6153</v>
      </c>
    </row>
    <row r="60341" spans="8:8">
      <c r="H60341" s="680" t="s">
        <v>6153</v>
      </c>
    </row>
    <row r="60342" spans="8:8">
      <c r="H60342" s="680" t="s">
        <v>6153</v>
      </c>
    </row>
    <row r="60343" spans="8:8">
      <c r="H60343" s="680" t="s">
        <v>6153</v>
      </c>
    </row>
    <row r="60344" spans="8:8">
      <c r="H60344" s="680" t="s">
        <v>6153</v>
      </c>
    </row>
    <row r="60345" spans="8:8">
      <c r="H60345" s="680" t="s">
        <v>6153</v>
      </c>
    </row>
    <row r="60346" spans="8:8">
      <c r="H60346" s="680" t="s">
        <v>6153</v>
      </c>
    </row>
    <row r="60347" spans="8:8">
      <c r="H60347" s="680" t="s">
        <v>6153</v>
      </c>
    </row>
    <row r="60348" spans="8:8">
      <c r="H60348" s="680" t="s">
        <v>6153</v>
      </c>
    </row>
    <row r="60349" spans="8:8">
      <c r="H60349" s="680" t="s">
        <v>6153</v>
      </c>
    </row>
    <row r="60350" spans="8:8">
      <c r="H60350" s="680" t="s">
        <v>6153</v>
      </c>
    </row>
    <row r="60351" spans="8:8">
      <c r="H60351" s="680" t="s">
        <v>6153</v>
      </c>
    </row>
    <row r="60352" spans="8:8">
      <c r="H60352" s="680" t="s">
        <v>6153</v>
      </c>
    </row>
    <row r="60353" spans="8:8">
      <c r="H60353" s="680" t="s">
        <v>6153</v>
      </c>
    </row>
    <row r="60354" spans="8:8">
      <c r="H60354" s="680" t="s">
        <v>6153</v>
      </c>
    </row>
    <row r="60355" spans="8:8">
      <c r="H60355" s="680" t="s">
        <v>6153</v>
      </c>
    </row>
    <row r="60356" spans="8:8">
      <c r="H60356" s="680" t="s">
        <v>6153</v>
      </c>
    </row>
    <row r="60357" spans="8:8">
      <c r="H60357" s="680" t="s">
        <v>6153</v>
      </c>
    </row>
    <row r="60358" spans="8:8">
      <c r="H60358" s="680" t="s">
        <v>6153</v>
      </c>
    </row>
    <row r="60359" spans="8:8">
      <c r="H60359" s="680" t="s">
        <v>6153</v>
      </c>
    </row>
    <row r="60360" spans="8:8">
      <c r="H60360" s="680" t="s">
        <v>6153</v>
      </c>
    </row>
    <row r="60361" spans="8:8">
      <c r="H60361" s="680" t="s">
        <v>6153</v>
      </c>
    </row>
    <row r="60362" spans="8:8">
      <c r="H60362" s="680" t="s">
        <v>6153</v>
      </c>
    </row>
    <row r="60363" spans="8:8">
      <c r="H60363" s="680" t="s">
        <v>6153</v>
      </c>
    </row>
    <row r="60364" spans="8:8">
      <c r="H60364" s="680" t="s">
        <v>6153</v>
      </c>
    </row>
    <row r="60365" spans="8:8">
      <c r="H60365" s="680" t="s">
        <v>6153</v>
      </c>
    </row>
    <row r="60366" spans="8:8">
      <c r="H60366" s="680" t="s">
        <v>6153</v>
      </c>
    </row>
    <row r="60367" spans="8:8">
      <c r="H60367" s="680" t="s">
        <v>6153</v>
      </c>
    </row>
    <row r="60368" spans="8:8">
      <c r="H60368" s="680" t="s">
        <v>6153</v>
      </c>
    </row>
    <row r="60369" spans="8:8">
      <c r="H60369" s="680" t="s">
        <v>6153</v>
      </c>
    </row>
    <row r="60370" spans="8:8">
      <c r="H60370" s="680" t="s">
        <v>6153</v>
      </c>
    </row>
    <row r="60371" spans="8:8">
      <c r="H60371" s="680" t="s">
        <v>6153</v>
      </c>
    </row>
    <row r="60372" spans="8:8">
      <c r="H60372" s="680" t="s">
        <v>6153</v>
      </c>
    </row>
    <row r="60373" spans="8:8">
      <c r="H60373" s="680" t="s">
        <v>6153</v>
      </c>
    </row>
    <row r="60374" spans="8:8">
      <c r="H60374" s="680" t="s">
        <v>6153</v>
      </c>
    </row>
    <row r="60375" spans="8:8">
      <c r="H60375" s="680" t="s">
        <v>6153</v>
      </c>
    </row>
    <row r="60376" spans="8:8">
      <c r="H60376" s="680" t="s">
        <v>6153</v>
      </c>
    </row>
    <row r="60377" spans="8:8">
      <c r="H60377" s="680" t="s">
        <v>6153</v>
      </c>
    </row>
    <row r="60378" spans="8:8">
      <c r="H60378" s="680" t="s">
        <v>6153</v>
      </c>
    </row>
    <row r="60379" spans="8:8">
      <c r="H60379" s="680" t="s">
        <v>6153</v>
      </c>
    </row>
    <row r="60380" spans="8:8">
      <c r="H60380" s="680" t="s">
        <v>6153</v>
      </c>
    </row>
    <row r="60381" spans="8:8">
      <c r="H60381" s="680" t="s">
        <v>6153</v>
      </c>
    </row>
    <row r="60382" spans="8:8">
      <c r="H60382" s="680" t="s">
        <v>6153</v>
      </c>
    </row>
    <row r="60383" spans="8:8">
      <c r="H60383" s="680" t="s">
        <v>6153</v>
      </c>
    </row>
    <row r="60384" spans="8:8">
      <c r="H60384" s="680" t="s">
        <v>6153</v>
      </c>
    </row>
    <row r="60385" spans="8:8">
      <c r="H60385" s="680" t="s">
        <v>6153</v>
      </c>
    </row>
    <row r="60386" spans="8:8">
      <c r="H60386" s="680" t="s">
        <v>6153</v>
      </c>
    </row>
    <row r="60387" spans="8:8">
      <c r="H60387" s="680" t="s">
        <v>6153</v>
      </c>
    </row>
    <row r="60388" spans="8:8">
      <c r="H60388" s="680" t="s">
        <v>6153</v>
      </c>
    </row>
    <row r="60389" spans="8:8">
      <c r="H60389" s="680" t="s">
        <v>6153</v>
      </c>
    </row>
    <row r="60390" spans="8:8">
      <c r="H60390" s="680" t="s">
        <v>6153</v>
      </c>
    </row>
    <row r="60391" spans="8:8">
      <c r="H60391" s="680" t="s">
        <v>6153</v>
      </c>
    </row>
    <row r="60392" spans="8:8">
      <c r="H60392" s="680" t="s">
        <v>6153</v>
      </c>
    </row>
    <row r="60393" spans="8:8">
      <c r="H60393" s="680" t="s">
        <v>6153</v>
      </c>
    </row>
    <row r="60394" spans="8:8">
      <c r="H60394" s="680" t="s">
        <v>6153</v>
      </c>
    </row>
    <row r="60395" spans="8:8">
      <c r="H60395" s="680" t="s">
        <v>6153</v>
      </c>
    </row>
    <row r="60396" spans="8:8">
      <c r="H60396" s="680" t="s">
        <v>6153</v>
      </c>
    </row>
    <row r="60397" spans="8:8">
      <c r="H60397" s="680" t="s">
        <v>6153</v>
      </c>
    </row>
    <row r="60398" spans="8:8">
      <c r="H60398" s="680" t="s">
        <v>6153</v>
      </c>
    </row>
    <row r="60399" spans="8:8">
      <c r="H60399" s="680" t="s">
        <v>6153</v>
      </c>
    </row>
    <row r="60400" spans="8:8">
      <c r="H60400" s="680" t="s">
        <v>6153</v>
      </c>
    </row>
    <row r="60401" spans="8:8">
      <c r="H60401" s="680" t="s">
        <v>6153</v>
      </c>
    </row>
    <row r="60402" spans="8:8">
      <c r="H60402" s="680" t="s">
        <v>6153</v>
      </c>
    </row>
    <row r="60403" spans="8:8">
      <c r="H60403" s="680" t="s">
        <v>6153</v>
      </c>
    </row>
    <row r="60404" spans="8:8">
      <c r="H60404" s="680" t="s">
        <v>6153</v>
      </c>
    </row>
    <row r="60405" spans="8:8">
      <c r="H60405" s="680" t="s">
        <v>6153</v>
      </c>
    </row>
    <row r="60406" spans="8:8">
      <c r="H60406" s="680" t="s">
        <v>6153</v>
      </c>
    </row>
    <row r="60407" spans="8:8">
      <c r="H60407" s="680" t="s">
        <v>6153</v>
      </c>
    </row>
    <row r="60408" spans="8:8">
      <c r="H60408" s="680" t="s">
        <v>6153</v>
      </c>
    </row>
    <row r="60409" spans="8:8">
      <c r="H60409" s="680" t="s">
        <v>6153</v>
      </c>
    </row>
    <row r="60410" spans="8:8">
      <c r="H60410" s="680" t="s">
        <v>6153</v>
      </c>
    </row>
    <row r="60411" spans="8:8">
      <c r="H60411" s="680" t="s">
        <v>6153</v>
      </c>
    </row>
    <row r="60412" spans="8:8">
      <c r="H60412" s="680" t="s">
        <v>6153</v>
      </c>
    </row>
    <row r="60413" spans="8:8">
      <c r="H60413" s="680" t="s">
        <v>6153</v>
      </c>
    </row>
    <row r="60414" spans="8:8">
      <c r="H60414" s="680" t="s">
        <v>6153</v>
      </c>
    </row>
    <row r="60415" spans="8:8">
      <c r="H60415" s="680" t="s">
        <v>6153</v>
      </c>
    </row>
    <row r="60416" spans="8:8">
      <c r="H60416" s="680" t="s">
        <v>6153</v>
      </c>
    </row>
    <row r="60417" spans="8:8">
      <c r="H60417" s="680" t="s">
        <v>6153</v>
      </c>
    </row>
    <row r="60418" spans="8:8">
      <c r="H60418" s="680" t="s">
        <v>6153</v>
      </c>
    </row>
    <row r="60419" spans="8:8">
      <c r="H60419" s="680" t="s">
        <v>6153</v>
      </c>
    </row>
    <row r="60420" spans="8:8">
      <c r="H60420" s="680" t="s">
        <v>6153</v>
      </c>
    </row>
    <row r="60421" spans="8:8">
      <c r="H60421" s="680" t="s">
        <v>6153</v>
      </c>
    </row>
    <row r="60422" spans="8:8">
      <c r="H60422" s="680" t="s">
        <v>6153</v>
      </c>
    </row>
    <row r="60423" spans="8:8">
      <c r="H60423" s="680" t="s">
        <v>6153</v>
      </c>
    </row>
    <row r="60424" spans="8:8">
      <c r="H60424" s="680" t="s">
        <v>6153</v>
      </c>
    </row>
    <row r="60425" spans="8:8">
      <c r="H60425" s="680" t="s">
        <v>6153</v>
      </c>
    </row>
    <row r="60426" spans="8:8">
      <c r="H60426" s="680" t="s">
        <v>6153</v>
      </c>
    </row>
    <row r="60427" spans="8:8">
      <c r="H60427" s="680" t="s">
        <v>6153</v>
      </c>
    </row>
    <row r="60428" spans="8:8">
      <c r="H60428" s="680" t="s">
        <v>6153</v>
      </c>
    </row>
    <row r="60429" spans="8:8">
      <c r="H60429" s="680" t="s">
        <v>6153</v>
      </c>
    </row>
    <row r="60430" spans="8:8">
      <c r="H60430" s="680" t="s">
        <v>6153</v>
      </c>
    </row>
    <row r="60431" spans="8:8">
      <c r="H60431" s="680" t="s">
        <v>6153</v>
      </c>
    </row>
    <row r="60432" spans="8:8">
      <c r="H60432" s="680" t="s">
        <v>6153</v>
      </c>
    </row>
    <row r="60433" spans="8:8">
      <c r="H60433" s="680" t="s">
        <v>6153</v>
      </c>
    </row>
    <row r="60434" spans="8:8">
      <c r="H60434" s="680" t="s">
        <v>6153</v>
      </c>
    </row>
    <row r="60435" spans="8:8">
      <c r="H60435" s="680" t="s">
        <v>6153</v>
      </c>
    </row>
    <row r="60436" spans="8:8">
      <c r="H60436" s="680" t="s">
        <v>6153</v>
      </c>
    </row>
    <row r="60437" spans="8:8">
      <c r="H60437" s="680" t="s">
        <v>6153</v>
      </c>
    </row>
    <row r="60438" spans="8:8">
      <c r="H60438" s="680" t="s">
        <v>6153</v>
      </c>
    </row>
    <row r="60439" spans="8:8">
      <c r="H60439" s="680" t="s">
        <v>6153</v>
      </c>
    </row>
    <row r="60440" spans="8:8">
      <c r="H60440" s="680" t="s">
        <v>6153</v>
      </c>
    </row>
    <row r="60441" spans="8:8">
      <c r="H60441" s="680" t="s">
        <v>6153</v>
      </c>
    </row>
    <row r="60442" spans="8:8">
      <c r="H60442" s="680" t="s">
        <v>6153</v>
      </c>
    </row>
    <row r="60443" spans="8:8">
      <c r="H60443" s="680" t="s">
        <v>6153</v>
      </c>
    </row>
    <row r="60444" spans="8:8">
      <c r="H60444" s="680" t="s">
        <v>6153</v>
      </c>
    </row>
    <row r="60445" spans="8:8">
      <c r="H60445" s="680" t="s">
        <v>6153</v>
      </c>
    </row>
    <row r="60446" spans="8:8">
      <c r="H60446" s="680" t="s">
        <v>6153</v>
      </c>
    </row>
    <row r="60447" spans="8:8">
      <c r="H60447" s="680" t="s">
        <v>6153</v>
      </c>
    </row>
    <row r="60448" spans="8:8">
      <c r="H60448" s="680" t="s">
        <v>6153</v>
      </c>
    </row>
    <row r="60449" spans="8:8">
      <c r="H60449" s="680" t="s">
        <v>6153</v>
      </c>
    </row>
    <row r="60450" spans="8:8">
      <c r="H60450" s="680" t="s">
        <v>6153</v>
      </c>
    </row>
    <row r="60451" spans="8:8">
      <c r="H60451" s="680" t="s">
        <v>6153</v>
      </c>
    </row>
    <row r="60452" spans="8:8">
      <c r="H60452" s="680" t="s">
        <v>6153</v>
      </c>
    </row>
    <row r="60453" spans="8:8">
      <c r="H60453" s="680" t="s">
        <v>6153</v>
      </c>
    </row>
    <row r="60454" spans="8:8">
      <c r="H60454" s="680" t="s">
        <v>6153</v>
      </c>
    </row>
    <row r="60455" spans="8:8">
      <c r="H60455" s="680" t="s">
        <v>6153</v>
      </c>
    </row>
    <row r="60456" spans="8:8">
      <c r="H60456" s="680" t="s">
        <v>6153</v>
      </c>
    </row>
    <row r="60457" spans="8:8">
      <c r="H60457" s="680" t="s">
        <v>6153</v>
      </c>
    </row>
    <row r="60458" spans="8:8">
      <c r="H60458" s="680" t="s">
        <v>6153</v>
      </c>
    </row>
    <row r="60459" spans="8:8">
      <c r="H60459" s="680" t="s">
        <v>6153</v>
      </c>
    </row>
    <row r="60460" spans="8:8">
      <c r="H60460" s="680" t="s">
        <v>6153</v>
      </c>
    </row>
    <row r="60461" spans="8:8">
      <c r="H60461" s="680" t="s">
        <v>6153</v>
      </c>
    </row>
    <row r="60462" spans="8:8">
      <c r="H60462" s="680" t="s">
        <v>6153</v>
      </c>
    </row>
    <row r="60463" spans="8:8">
      <c r="H60463" s="680" t="s">
        <v>6153</v>
      </c>
    </row>
    <row r="60464" spans="8:8">
      <c r="H60464" s="680" t="s">
        <v>6153</v>
      </c>
    </row>
    <row r="60465" spans="8:8">
      <c r="H60465" s="680" t="s">
        <v>6153</v>
      </c>
    </row>
    <row r="60466" spans="8:8">
      <c r="H60466" s="680" t="s">
        <v>6153</v>
      </c>
    </row>
    <row r="60467" spans="8:8">
      <c r="H60467" s="680" t="s">
        <v>6153</v>
      </c>
    </row>
    <row r="60468" spans="8:8">
      <c r="H60468" s="680" t="s">
        <v>6153</v>
      </c>
    </row>
    <row r="60469" spans="8:8">
      <c r="H60469" s="680" t="s">
        <v>6153</v>
      </c>
    </row>
    <row r="60470" spans="8:8">
      <c r="H60470" s="680" t="s">
        <v>6153</v>
      </c>
    </row>
    <row r="60471" spans="8:8">
      <c r="H60471" s="680" t="s">
        <v>6153</v>
      </c>
    </row>
    <row r="60472" spans="8:8">
      <c r="H60472" s="680" t="s">
        <v>6153</v>
      </c>
    </row>
    <row r="60473" spans="8:8">
      <c r="H60473" s="680" t="s">
        <v>6153</v>
      </c>
    </row>
    <row r="60474" spans="8:8">
      <c r="H60474" s="680" t="s">
        <v>6153</v>
      </c>
    </row>
    <row r="60475" spans="8:8">
      <c r="H60475" s="680" t="s">
        <v>6153</v>
      </c>
    </row>
    <row r="60476" spans="8:8">
      <c r="H60476" s="680" t="s">
        <v>6153</v>
      </c>
    </row>
    <row r="60477" spans="8:8">
      <c r="H60477" s="680" t="s">
        <v>6153</v>
      </c>
    </row>
    <row r="60478" spans="8:8">
      <c r="H60478" s="680" t="s">
        <v>6153</v>
      </c>
    </row>
    <row r="60479" spans="8:8">
      <c r="H60479" s="680" t="s">
        <v>6153</v>
      </c>
    </row>
    <row r="60480" spans="8:8">
      <c r="H60480" s="680" t="s">
        <v>6153</v>
      </c>
    </row>
    <row r="60481" spans="8:8">
      <c r="H60481" s="680" t="s">
        <v>6153</v>
      </c>
    </row>
    <row r="60482" spans="8:8">
      <c r="H60482" s="680" t="s">
        <v>6153</v>
      </c>
    </row>
    <row r="60483" spans="8:8">
      <c r="H60483" s="680" t="s">
        <v>6153</v>
      </c>
    </row>
    <row r="60484" spans="8:8">
      <c r="H60484" s="680" t="s">
        <v>6153</v>
      </c>
    </row>
    <row r="60485" spans="8:8">
      <c r="H60485" s="680" t="s">
        <v>6153</v>
      </c>
    </row>
    <row r="60486" spans="8:8">
      <c r="H60486" s="680" t="s">
        <v>6153</v>
      </c>
    </row>
    <row r="60487" spans="8:8">
      <c r="H60487" s="680" t="s">
        <v>6153</v>
      </c>
    </row>
    <row r="60488" spans="8:8">
      <c r="H60488" s="680" t="s">
        <v>6153</v>
      </c>
    </row>
    <row r="60489" spans="8:8">
      <c r="H60489" s="680" t="s">
        <v>6153</v>
      </c>
    </row>
    <row r="60490" spans="8:8">
      <c r="H60490" s="680" t="s">
        <v>6153</v>
      </c>
    </row>
    <row r="60491" spans="8:8">
      <c r="H60491" s="680" t="s">
        <v>6153</v>
      </c>
    </row>
    <row r="60492" spans="8:8">
      <c r="H60492" s="680" t="s">
        <v>6153</v>
      </c>
    </row>
    <row r="60493" spans="8:8">
      <c r="H60493" s="680" t="s">
        <v>6153</v>
      </c>
    </row>
    <row r="60494" spans="8:8">
      <c r="H60494" s="680" t="s">
        <v>6153</v>
      </c>
    </row>
    <row r="60495" spans="8:8">
      <c r="H60495" s="680" t="s">
        <v>6153</v>
      </c>
    </row>
    <row r="60496" spans="8:8">
      <c r="H60496" s="680" t="s">
        <v>6153</v>
      </c>
    </row>
    <row r="60497" spans="8:8">
      <c r="H60497" s="680" t="s">
        <v>6153</v>
      </c>
    </row>
    <row r="60498" spans="8:8">
      <c r="H60498" s="680" t="s">
        <v>6153</v>
      </c>
    </row>
    <row r="60499" spans="8:8">
      <c r="H60499" s="680" t="s">
        <v>6153</v>
      </c>
    </row>
    <row r="60500" spans="8:8">
      <c r="H60500" s="680" t="s">
        <v>6153</v>
      </c>
    </row>
    <row r="60501" spans="8:8">
      <c r="H60501" s="680" t="s">
        <v>6153</v>
      </c>
    </row>
    <row r="60502" spans="8:8">
      <c r="H60502" s="680" t="s">
        <v>6153</v>
      </c>
    </row>
    <row r="60503" spans="8:8">
      <c r="H60503" s="680" t="s">
        <v>6153</v>
      </c>
    </row>
    <row r="60504" spans="8:8">
      <c r="H60504" s="680" t="s">
        <v>6153</v>
      </c>
    </row>
    <row r="60505" spans="8:8">
      <c r="H60505" s="680" t="s">
        <v>6153</v>
      </c>
    </row>
    <row r="60506" spans="8:8">
      <c r="H60506" s="680" t="s">
        <v>6153</v>
      </c>
    </row>
    <row r="60507" spans="8:8">
      <c r="H60507" s="680" t="s">
        <v>6153</v>
      </c>
    </row>
    <row r="60508" spans="8:8">
      <c r="H60508" s="680" t="s">
        <v>6153</v>
      </c>
    </row>
    <row r="60509" spans="8:8">
      <c r="H60509" s="680" t="s">
        <v>6153</v>
      </c>
    </row>
    <row r="60510" spans="8:8">
      <c r="H60510" s="680" t="s">
        <v>6153</v>
      </c>
    </row>
    <row r="60511" spans="8:8">
      <c r="H60511" s="680" t="s">
        <v>6153</v>
      </c>
    </row>
    <row r="60512" spans="8:8">
      <c r="H60512" s="680" t="s">
        <v>6153</v>
      </c>
    </row>
    <row r="60513" spans="8:8">
      <c r="H60513" s="680" t="s">
        <v>6153</v>
      </c>
    </row>
    <row r="60514" spans="8:8">
      <c r="H60514" s="680" t="s">
        <v>6153</v>
      </c>
    </row>
    <row r="60515" spans="8:8">
      <c r="H60515" s="680" t="s">
        <v>6153</v>
      </c>
    </row>
    <row r="60516" spans="8:8">
      <c r="H60516" s="680" t="s">
        <v>6153</v>
      </c>
    </row>
    <row r="60517" spans="8:8">
      <c r="H60517" s="680" t="s">
        <v>6153</v>
      </c>
    </row>
    <row r="60518" spans="8:8">
      <c r="H60518" s="680" t="s">
        <v>6153</v>
      </c>
    </row>
    <row r="60519" spans="8:8">
      <c r="H60519" s="680" t="s">
        <v>6153</v>
      </c>
    </row>
    <row r="60520" spans="8:8">
      <c r="H60520" s="680" t="s">
        <v>6153</v>
      </c>
    </row>
    <row r="60521" spans="8:8">
      <c r="H60521" s="680" t="s">
        <v>6153</v>
      </c>
    </row>
    <row r="60522" spans="8:8">
      <c r="H60522" s="680" t="s">
        <v>6153</v>
      </c>
    </row>
    <row r="60523" spans="8:8">
      <c r="H60523" s="680" t="s">
        <v>6153</v>
      </c>
    </row>
    <row r="60524" spans="8:8">
      <c r="H60524" s="680" t="s">
        <v>6153</v>
      </c>
    </row>
    <row r="60525" spans="8:8">
      <c r="H60525" s="680" t="s">
        <v>6153</v>
      </c>
    </row>
    <row r="60526" spans="8:8">
      <c r="H60526" s="680" t="s">
        <v>6153</v>
      </c>
    </row>
    <row r="60527" spans="8:8">
      <c r="H60527" s="680" t="s">
        <v>6153</v>
      </c>
    </row>
    <row r="60528" spans="8:8">
      <c r="H60528" s="680" t="s">
        <v>6153</v>
      </c>
    </row>
    <row r="60529" spans="8:8">
      <c r="H60529" s="680" t="s">
        <v>6153</v>
      </c>
    </row>
    <row r="60530" spans="8:8">
      <c r="H60530" s="680" t="s">
        <v>6153</v>
      </c>
    </row>
    <row r="60531" spans="8:8">
      <c r="H60531" s="680" t="s">
        <v>6153</v>
      </c>
    </row>
    <row r="60532" spans="8:8">
      <c r="H60532" s="680" t="s">
        <v>6153</v>
      </c>
    </row>
    <row r="60533" spans="8:8">
      <c r="H60533" s="680" t="s">
        <v>6153</v>
      </c>
    </row>
    <row r="60534" spans="8:8">
      <c r="H60534" s="680" t="s">
        <v>6153</v>
      </c>
    </row>
    <row r="60535" spans="8:8">
      <c r="H60535" s="680" t="s">
        <v>6153</v>
      </c>
    </row>
    <row r="60536" spans="8:8">
      <c r="H60536" s="680" t="s">
        <v>6153</v>
      </c>
    </row>
    <row r="60537" spans="8:8">
      <c r="H60537" s="680" t="s">
        <v>6153</v>
      </c>
    </row>
    <row r="60538" spans="8:8">
      <c r="H60538" s="680" t="s">
        <v>6153</v>
      </c>
    </row>
    <row r="60539" spans="8:8">
      <c r="H60539" s="680" t="s">
        <v>6153</v>
      </c>
    </row>
    <row r="60540" spans="8:8">
      <c r="H60540" s="680" t="s">
        <v>6153</v>
      </c>
    </row>
    <row r="60541" spans="8:8">
      <c r="H60541" s="680" t="s">
        <v>6153</v>
      </c>
    </row>
    <row r="60542" spans="8:8">
      <c r="H60542" s="680" t="s">
        <v>6153</v>
      </c>
    </row>
    <row r="60543" spans="8:8">
      <c r="H60543" s="680" t="s">
        <v>6153</v>
      </c>
    </row>
    <row r="60544" spans="8:8">
      <c r="H60544" s="680" t="s">
        <v>6153</v>
      </c>
    </row>
    <row r="60545" spans="8:8">
      <c r="H60545" s="680" t="s">
        <v>6153</v>
      </c>
    </row>
    <row r="60546" spans="8:8">
      <c r="H60546" s="680" t="s">
        <v>6153</v>
      </c>
    </row>
    <row r="60547" spans="8:8">
      <c r="H60547" s="680" t="s">
        <v>6153</v>
      </c>
    </row>
    <row r="60548" spans="8:8">
      <c r="H60548" s="680" t="s">
        <v>6153</v>
      </c>
    </row>
    <row r="60549" spans="8:8">
      <c r="H60549" s="680" t="s">
        <v>6153</v>
      </c>
    </row>
    <row r="60550" spans="8:8">
      <c r="H60550" s="680" t="s">
        <v>6153</v>
      </c>
    </row>
    <row r="60551" spans="8:8">
      <c r="H60551" s="680" t="s">
        <v>6153</v>
      </c>
    </row>
    <row r="60552" spans="8:8">
      <c r="H60552" s="680" t="s">
        <v>6153</v>
      </c>
    </row>
    <row r="60553" spans="8:8">
      <c r="H60553" s="680" t="s">
        <v>6153</v>
      </c>
    </row>
    <row r="60554" spans="8:8">
      <c r="H60554" s="680" t="s">
        <v>6153</v>
      </c>
    </row>
    <row r="60555" spans="8:8">
      <c r="H60555" s="680" t="s">
        <v>6153</v>
      </c>
    </row>
    <row r="60556" spans="8:8">
      <c r="H60556" s="680" t="s">
        <v>6153</v>
      </c>
    </row>
    <row r="60557" spans="8:8">
      <c r="H60557" s="680" t="s">
        <v>6153</v>
      </c>
    </row>
    <row r="60558" spans="8:8">
      <c r="H60558" s="680" t="s">
        <v>6153</v>
      </c>
    </row>
    <row r="60559" spans="8:8">
      <c r="H60559" s="680" t="s">
        <v>6153</v>
      </c>
    </row>
    <row r="60560" spans="8:8">
      <c r="H60560" s="680" t="s">
        <v>6153</v>
      </c>
    </row>
    <row r="60561" spans="8:8">
      <c r="H60561" s="680" t="s">
        <v>6153</v>
      </c>
    </row>
    <row r="60562" spans="8:8">
      <c r="H60562" s="680" t="s">
        <v>6153</v>
      </c>
    </row>
    <row r="60563" spans="8:8">
      <c r="H60563" s="680" t="s">
        <v>6153</v>
      </c>
    </row>
    <row r="60564" spans="8:8">
      <c r="H60564" s="680" t="s">
        <v>6153</v>
      </c>
    </row>
    <row r="60565" spans="8:8">
      <c r="H60565" s="680" t="s">
        <v>6153</v>
      </c>
    </row>
    <row r="60566" spans="8:8">
      <c r="H60566" s="680" t="s">
        <v>6153</v>
      </c>
    </row>
    <row r="60567" spans="8:8">
      <c r="H60567" s="680" t="s">
        <v>6153</v>
      </c>
    </row>
    <row r="60568" spans="8:8">
      <c r="H60568" s="680" t="s">
        <v>6153</v>
      </c>
    </row>
    <row r="60569" spans="8:8">
      <c r="H60569" s="680" t="s">
        <v>6153</v>
      </c>
    </row>
    <row r="60570" spans="8:8">
      <c r="H60570" s="680" t="s">
        <v>6153</v>
      </c>
    </row>
    <row r="60571" spans="8:8">
      <c r="H60571" s="680" t="s">
        <v>6153</v>
      </c>
    </row>
    <row r="60572" spans="8:8">
      <c r="H60572" s="680" t="s">
        <v>6153</v>
      </c>
    </row>
    <row r="60573" spans="8:8">
      <c r="H60573" s="680" t="s">
        <v>6153</v>
      </c>
    </row>
    <row r="60574" spans="8:8">
      <c r="H60574" s="680" t="s">
        <v>6153</v>
      </c>
    </row>
    <row r="60575" spans="8:8">
      <c r="H60575" s="680" t="s">
        <v>6153</v>
      </c>
    </row>
    <row r="60576" spans="8:8">
      <c r="H60576" s="680" t="s">
        <v>6153</v>
      </c>
    </row>
    <row r="60577" spans="8:8">
      <c r="H60577" s="680" t="s">
        <v>6153</v>
      </c>
    </row>
    <row r="60578" spans="8:8">
      <c r="H60578" s="680" t="s">
        <v>6153</v>
      </c>
    </row>
    <row r="60579" spans="8:8">
      <c r="H60579" s="680" t="s">
        <v>6153</v>
      </c>
    </row>
    <row r="60580" spans="8:8">
      <c r="H60580" s="680" t="s">
        <v>6153</v>
      </c>
    </row>
    <row r="60581" spans="8:8">
      <c r="H60581" s="680" t="s">
        <v>6153</v>
      </c>
    </row>
    <row r="60582" spans="8:8">
      <c r="H60582" s="680" t="s">
        <v>6153</v>
      </c>
    </row>
    <row r="60583" spans="8:8">
      <c r="H60583" s="680" t="s">
        <v>6153</v>
      </c>
    </row>
    <row r="60584" spans="8:8">
      <c r="H60584" s="680" t="s">
        <v>6153</v>
      </c>
    </row>
    <row r="60585" spans="8:8">
      <c r="H60585" s="680" t="s">
        <v>6153</v>
      </c>
    </row>
    <row r="60586" spans="8:8">
      <c r="H60586" s="680" t="s">
        <v>6153</v>
      </c>
    </row>
    <row r="60587" spans="8:8">
      <c r="H60587" s="680" t="s">
        <v>6153</v>
      </c>
    </row>
    <row r="60588" spans="8:8">
      <c r="H60588" s="680" t="s">
        <v>6153</v>
      </c>
    </row>
    <row r="60589" spans="8:8">
      <c r="H60589" s="680" t="s">
        <v>6153</v>
      </c>
    </row>
    <row r="60590" spans="8:8">
      <c r="H60590" s="680" t="s">
        <v>6153</v>
      </c>
    </row>
    <row r="60591" spans="8:8">
      <c r="H60591" s="680" t="s">
        <v>6153</v>
      </c>
    </row>
    <row r="60592" spans="8:8">
      <c r="H60592" s="680" t="s">
        <v>6153</v>
      </c>
    </row>
    <row r="60593" spans="8:8">
      <c r="H60593" s="680" t="s">
        <v>6153</v>
      </c>
    </row>
    <row r="60594" spans="8:8">
      <c r="H60594" s="680" t="s">
        <v>6153</v>
      </c>
    </row>
    <row r="60595" spans="8:8">
      <c r="H60595" s="680" t="s">
        <v>6153</v>
      </c>
    </row>
    <row r="60596" spans="8:8">
      <c r="H60596" s="680" t="s">
        <v>6153</v>
      </c>
    </row>
    <row r="60597" spans="8:8">
      <c r="H60597" s="680" t="s">
        <v>6153</v>
      </c>
    </row>
    <row r="60598" spans="8:8">
      <c r="H60598" s="680" t="s">
        <v>6153</v>
      </c>
    </row>
    <row r="60599" spans="8:8">
      <c r="H60599" s="680" t="s">
        <v>6153</v>
      </c>
    </row>
    <row r="60600" spans="8:8">
      <c r="H60600" s="680" t="s">
        <v>6153</v>
      </c>
    </row>
    <row r="60601" spans="8:8">
      <c r="H60601" s="680" t="s">
        <v>6153</v>
      </c>
    </row>
    <row r="60602" spans="8:8">
      <c r="H60602" s="680" t="s">
        <v>6153</v>
      </c>
    </row>
    <row r="60603" spans="8:8">
      <c r="H60603" s="680" t="s">
        <v>6153</v>
      </c>
    </row>
    <row r="60604" spans="8:8">
      <c r="H60604" s="680" t="s">
        <v>6153</v>
      </c>
    </row>
    <row r="60605" spans="8:8">
      <c r="H60605" s="680" t="s">
        <v>6153</v>
      </c>
    </row>
    <row r="60606" spans="8:8">
      <c r="H60606" s="680" t="s">
        <v>6153</v>
      </c>
    </row>
    <row r="60607" spans="8:8">
      <c r="H60607" s="680" t="s">
        <v>6153</v>
      </c>
    </row>
    <row r="60608" spans="8:8">
      <c r="H60608" s="680" t="s">
        <v>6153</v>
      </c>
    </row>
    <row r="60609" spans="8:8">
      <c r="H60609" s="680" t="s">
        <v>6153</v>
      </c>
    </row>
    <row r="60610" spans="8:8">
      <c r="H60610" s="680" t="s">
        <v>6153</v>
      </c>
    </row>
    <row r="60611" spans="8:8">
      <c r="H60611" s="680" t="s">
        <v>6153</v>
      </c>
    </row>
    <row r="60612" spans="8:8">
      <c r="H60612" s="680" t="s">
        <v>6153</v>
      </c>
    </row>
    <row r="60613" spans="8:8">
      <c r="H60613" s="680" t="s">
        <v>6153</v>
      </c>
    </row>
    <row r="60614" spans="8:8">
      <c r="H60614" s="680" t="s">
        <v>6153</v>
      </c>
    </row>
    <row r="60615" spans="8:8">
      <c r="H60615" s="680" t="s">
        <v>6153</v>
      </c>
    </row>
    <row r="60616" spans="8:8">
      <c r="H60616" s="680" t="s">
        <v>6153</v>
      </c>
    </row>
    <row r="60617" spans="8:8">
      <c r="H60617" s="680" t="s">
        <v>6153</v>
      </c>
    </row>
    <row r="60618" spans="8:8">
      <c r="H60618" s="680" t="s">
        <v>6153</v>
      </c>
    </row>
    <row r="60619" spans="8:8">
      <c r="H60619" s="680" t="s">
        <v>6153</v>
      </c>
    </row>
    <row r="60620" spans="8:8">
      <c r="H60620" s="680" t="s">
        <v>6153</v>
      </c>
    </row>
    <row r="60621" spans="8:8">
      <c r="H60621" s="680" t="s">
        <v>6153</v>
      </c>
    </row>
    <row r="60622" spans="8:8">
      <c r="H60622" s="680" t="s">
        <v>6153</v>
      </c>
    </row>
    <row r="60623" spans="8:8">
      <c r="H60623" s="680" t="s">
        <v>6153</v>
      </c>
    </row>
    <row r="60624" spans="8:8">
      <c r="H60624" s="680" t="s">
        <v>6153</v>
      </c>
    </row>
    <row r="60625" spans="8:8">
      <c r="H60625" s="680" t="s">
        <v>6153</v>
      </c>
    </row>
    <row r="60626" spans="8:8">
      <c r="H60626" s="680" t="s">
        <v>6153</v>
      </c>
    </row>
    <row r="60627" spans="8:8">
      <c r="H60627" s="680" t="s">
        <v>6153</v>
      </c>
    </row>
    <row r="60628" spans="8:8">
      <c r="H60628" s="680" t="s">
        <v>6153</v>
      </c>
    </row>
    <row r="60629" spans="8:8">
      <c r="H60629" s="680" t="s">
        <v>6153</v>
      </c>
    </row>
    <row r="60630" spans="8:8">
      <c r="H60630" s="680" t="s">
        <v>6153</v>
      </c>
    </row>
    <row r="60631" spans="8:8">
      <c r="H60631" s="680" t="s">
        <v>6153</v>
      </c>
    </row>
    <row r="60632" spans="8:8">
      <c r="H60632" s="680" t="s">
        <v>6153</v>
      </c>
    </row>
    <row r="60633" spans="8:8">
      <c r="H60633" s="680" t="s">
        <v>6153</v>
      </c>
    </row>
    <row r="60634" spans="8:8">
      <c r="H60634" s="680" t="s">
        <v>6153</v>
      </c>
    </row>
    <row r="60635" spans="8:8">
      <c r="H60635" s="680" t="s">
        <v>6153</v>
      </c>
    </row>
    <row r="60636" spans="8:8">
      <c r="H60636" s="680" t="s">
        <v>6153</v>
      </c>
    </row>
    <row r="60637" spans="8:8">
      <c r="H60637" s="680" t="s">
        <v>6153</v>
      </c>
    </row>
    <row r="60638" spans="8:8">
      <c r="H60638" s="680" t="s">
        <v>6153</v>
      </c>
    </row>
    <row r="60639" spans="8:8">
      <c r="H60639" s="680" t="s">
        <v>6153</v>
      </c>
    </row>
    <row r="60640" spans="8:8">
      <c r="H60640" s="680" t="s">
        <v>6153</v>
      </c>
    </row>
    <row r="60641" spans="8:8">
      <c r="H60641" s="680" t="s">
        <v>6153</v>
      </c>
    </row>
    <row r="60642" spans="8:8">
      <c r="H60642" s="680" t="s">
        <v>6153</v>
      </c>
    </row>
    <row r="60643" spans="8:8">
      <c r="H60643" s="680" t="s">
        <v>6153</v>
      </c>
    </row>
    <row r="60644" spans="8:8">
      <c r="H60644" s="680" t="s">
        <v>6153</v>
      </c>
    </row>
    <row r="60645" spans="8:8">
      <c r="H60645" s="680" t="s">
        <v>6153</v>
      </c>
    </row>
    <row r="60646" spans="8:8">
      <c r="H60646" s="680" t="s">
        <v>6153</v>
      </c>
    </row>
    <row r="60647" spans="8:8">
      <c r="H60647" s="680" t="s">
        <v>6153</v>
      </c>
    </row>
    <row r="60648" spans="8:8">
      <c r="H60648" s="680" t="s">
        <v>6153</v>
      </c>
    </row>
    <row r="60649" spans="8:8">
      <c r="H60649" s="680" t="s">
        <v>6153</v>
      </c>
    </row>
    <row r="60650" spans="8:8">
      <c r="H60650" s="680" t="s">
        <v>6153</v>
      </c>
    </row>
    <row r="60651" spans="8:8">
      <c r="H60651" s="680" t="s">
        <v>6153</v>
      </c>
    </row>
    <row r="60652" spans="8:8">
      <c r="H60652" s="680" t="s">
        <v>6153</v>
      </c>
    </row>
    <row r="60653" spans="8:8">
      <c r="H60653" s="680" t="s">
        <v>6153</v>
      </c>
    </row>
    <row r="60654" spans="8:8">
      <c r="H60654" s="680" t="s">
        <v>6153</v>
      </c>
    </row>
    <row r="60655" spans="8:8">
      <c r="H60655" s="680" t="s">
        <v>6153</v>
      </c>
    </row>
    <row r="60656" spans="8:8">
      <c r="H60656" s="680" t="s">
        <v>6153</v>
      </c>
    </row>
    <row r="60657" spans="8:8">
      <c r="H60657" s="680" t="s">
        <v>6153</v>
      </c>
    </row>
    <row r="60658" spans="8:8">
      <c r="H60658" s="680" t="s">
        <v>6153</v>
      </c>
    </row>
    <row r="60659" spans="8:8">
      <c r="H60659" s="680" t="s">
        <v>6153</v>
      </c>
    </row>
    <row r="60660" spans="8:8">
      <c r="H60660" s="680" t="s">
        <v>6153</v>
      </c>
    </row>
    <row r="60661" spans="8:8">
      <c r="H60661" s="680" t="s">
        <v>6153</v>
      </c>
    </row>
    <row r="60662" spans="8:8">
      <c r="H60662" s="680" t="s">
        <v>6153</v>
      </c>
    </row>
    <row r="60663" spans="8:8">
      <c r="H60663" s="680" t="s">
        <v>6153</v>
      </c>
    </row>
    <row r="60664" spans="8:8">
      <c r="H60664" s="680" t="s">
        <v>6153</v>
      </c>
    </row>
    <row r="60665" spans="8:8">
      <c r="H60665" s="680" t="s">
        <v>6153</v>
      </c>
    </row>
    <row r="60666" spans="8:8">
      <c r="H60666" s="680" t="s">
        <v>6153</v>
      </c>
    </row>
    <row r="60667" spans="8:8">
      <c r="H60667" s="680" t="s">
        <v>6153</v>
      </c>
    </row>
    <row r="60668" spans="8:8">
      <c r="H60668" s="680" t="s">
        <v>6153</v>
      </c>
    </row>
    <row r="60669" spans="8:8">
      <c r="H60669" s="680" t="s">
        <v>6153</v>
      </c>
    </row>
    <row r="60670" spans="8:8">
      <c r="H60670" s="680" t="s">
        <v>6153</v>
      </c>
    </row>
    <row r="60671" spans="8:8">
      <c r="H60671" s="680" t="s">
        <v>6153</v>
      </c>
    </row>
    <row r="60672" spans="8:8">
      <c r="H60672" s="680" t="s">
        <v>6153</v>
      </c>
    </row>
    <row r="60673" spans="8:8">
      <c r="H60673" s="680" t="s">
        <v>6153</v>
      </c>
    </row>
    <row r="60674" spans="8:8">
      <c r="H60674" s="680" t="s">
        <v>6153</v>
      </c>
    </row>
    <row r="60675" spans="8:8">
      <c r="H60675" s="680" t="s">
        <v>6153</v>
      </c>
    </row>
    <row r="60676" spans="8:8">
      <c r="H60676" s="680" t="s">
        <v>6153</v>
      </c>
    </row>
    <row r="60677" spans="8:8">
      <c r="H60677" s="680" t="s">
        <v>6153</v>
      </c>
    </row>
    <row r="60678" spans="8:8">
      <c r="H60678" s="680" t="s">
        <v>6153</v>
      </c>
    </row>
    <row r="60679" spans="8:8">
      <c r="H60679" s="680" t="s">
        <v>6153</v>
      </c>
    </row>
    <row r="60680" spans="8:8">
      <c r="H60680" s="680" t="s">
        <v>6153</v>
      </c>
    </row>
    <row r="60681" spans="8:8">
      <c r="H60681" s="680" t="s">
        <v>6153</v>
      </c>
    </row>
    <row r="60682" spans="8:8">
      <c r="H60682" s="680" t="s">
        <v>6153</v>
      </c>
    </row>
    <row r="60683" spans="8:8">
      <c r="H60683" s="680" t="s">
        <v>6153</v>
      </c>
    </row>
    <row r="60684" spans="8:8">
      <c r="H60684" s="680" t="s">
        <v>6153</v>
      </c>
    </row>
    <row r="60685" spans="8:8">
      <c r="H60685" s="680" t="s">
        <v>6153</v>
      </c>
    </row>
    <row r="60686" spans="8:8">
      <c r="H60686" s="680" t="s">
        <v>6153</v>
      </c>
    </row>
    <row r="60687" spans="8:8">
      <c r="H60687" s="680" t="s">
        <v>6153</v>
      </c>
    </row>
    <row r="60688" spans="8:8">
      <c r="H60688" s="680" t="s">
        <v>6153</v>
      </c>
    </row>
    <row r="60689" spans="8:8">
      <c r="H60689" s="680" t="s">
        <v>6153</v>
      </c>
    </row>
    <row r="60690" spans="8:8">
      <c r="H60690" s="680" t="s">
        <v>6153</v>
      </c>
    </row>
    <row r="60691" spans="8:8">
      <c r="H60691" s="680" t="s">
        <v>6153</v>
      </c>
    </row>
    <row r="60692" spans="8:8">
      <c r="H60692" s="680" t="s">
        <v>6153</v>
      </c>
    </row>
    <row r="60693" spans="8:8">
      <c r="H60693" s="680" t="s">
        <v>6153</v>
      </c>
    </row>
    <row r="60694" spans="8:8">
      <c r="H60694" s="680" t="s">
        <v>6153</v>
      </c>
    </row>
    <row r="60695" spans="8:8">
      <c r="H60695" s="680" t="s">
        <v>6153</v>
      </c>
    </row>
    <row r="60696" spans="8:8">
      <c r="H60696" s="680" t="s">
        <v>6153</v>
      </c>
    </row>
    <row r="60697" spans="8:8">
      <c r="H60697" s="680" t="s">
        <v>6153</v>
      </c>
    </row>
    <row r="60698" spans="8:8">
      <c r="H60698" s="680" t="s">
        <v>6153</v>
      </c>
    </row>
    <row r="60699" spans="8:8">
      <c r="H60699" s="680" t="s">
        <v>6153</v>
      </c>
    </row>
    <row r="60700" spans="8:8">
      <c r="H60700" s="680" t="s">
        <v>6153</v>
      </c>
    </row>
    <row r="60701" spans="8:8">
      <c r="H60701" s="680" t="s">
        <v>6153</v>
      </c>
    </row>
    <row r="60702" spans="8:8">
      <c r="H60702" s="680" t="s">
        <v>6153</v>
      </c>
    </row>
    <row r="60703" spans="8:8">
      <c r="H60703" s="680" t="s">
        <v>6153</v>
      </c>
    </row>
    <row r="60704" spans="8:8">
      <c r="H60704" s="680" t="s">
        <v>6153</v>
      </c>
    </row>
    <row r="60705" spans="8:8">
      <c r="H60705" s="680" t="s">
        <v>6153</v>
      </c>
    </row>
    <row r="60706" spans="8:8">
      <c r="H60706" s="680" t="s">
        <v>6153</v>
      </c>
    </row>
    <row r="60707" spans="8:8">
      <c r="H60707" s="680" t="s">
        <v>6153</v>
      </c>
    </row>
    <row r="60708" spans="8:8">
      <c r="H60708" s="680" t="s">
        <v>6153</v>
      </c>
    </row>
    <row r="60709" spans="8:8">
      <c r="H60709" s="680" t="s">
        <v>6153</v>
      </c>
    </row>
    <row r="60710" spans="8:8">
      <c r="H60710" s="680" t="s">
        <v>6153</v>
      </c>
    </row>
    <row r="60711" spans="8:8">
      <c r="H60711" s="680" t="s">
        <v>6153</v>
      </c>
    </row>
    <row r="60712" spans="8:8">
      <c r="H60712" s="680" t="s">
        <v>6153</v>
      </c>
    </row>
    <row r="60713" spans="8:8">
      <c r="H60713" s="680" t="s">
        <v>6153</v>
      </c>
    </row>
    <row r="60714" spans="8:8">
      <c r="H60714" s="680" t="s">
        <v>6153</v>
      </c>
    </row>
    <row r="60715" spans="8:8">
      <c r="H60715" s="680" t="s">
        <v>6153</v>
      </c>
    </row>
    <row r="60716" spans="8:8">
      <c r="H60716" s="680" t="s">
        <v>6153</v>
      </c>
    </row>
    <row r="60717" spans="8:8">
      <c r="H60717" s="680" t="s">
        <v>6153</v>
      </c>
    </row>
    <row r="60718" spans="8:8">
      <c r="H60718" s="680" t="s">
        <v>6153</v>
      </c>
    </row>
    <row r="60719" spans="8:8">
      <c r="H60719" s="680" t="s">
        <v>6153</v>
      </c>
    </row>
    <row r="60720" spans="8:8">
      <c r="H60720" s="680" t="s">
        <v>6153</v>
      </c>
    </row>
    <row r="60721" spans="8:8">
      <c r="H60721" s="680" t="s">
        <v>6153</v>
      </c>
    </row>
    <row r="60722" spans="8:8">
      <c r="H60722" s="680" t="s">
        <v>6153</v>
      </c>
    </row>
    <row r="60723" spans="8:8">
      <c r="H60723" s="680" t="s">
        <v>6153</v>
      </c>
    </row>
    <row r="60724" spans="8:8">
      <c r="H60724" s="680" t="s">
        <v>6153</v>
      </c>
    </row>
    <row r="60725" spans="8:8">
      <c r="H60725" s="680" t="s">
        <v>6153</v>
      </c>
    </row>
    <row r="60726" spans="8:8">
      <c r="H60726" s="680" t="s">
        <v>6153</v>
      </c>
    </row>
    <row r="60727" spans="8:8">
      <c r="H60727" s="680" t="s">
        <v>6153</v>
      </c>
    </row>
    <row r="60728" spans="8:8">
      <c r="H60728" s="680" t="s">
        <v>6153</v>
      </c>
    </row>
    <row r="60729" spans="8:8">
      <c r="H60729" s="680" t="s">
        <v>6153</v>
      </c>
    </row>
    <row r="60730" spans="8:8">
      <c r="H60730" s="680" t="s">
        <v>6153</v>
      </c>
    </row>
    <row r="60731" spans="8:8">
      <c r="H60731" s="680" t="s">
        <v>6153</v>
      </c>
    </row>
    <row r="60732" spans="8:8">
      <c r="H60732" s="680" t="s">
        <v>6153</v>
      </c>
    </row>
    <row r="60733" spans="8:8">
      <c r="H60733" s="680" t="s">
        <v>6153</v>
      </c>
    </row>
    <row r="60734" spans="8:8">
      <c r="H60734" s="680" t="s">
        <v>6153</v>
      </c>
    </row>
    <row r="60735" spans="8:8">
      <c r="H60735" s="680" t="s">
        <v>6153</v>
      </c>
    </row>
    <row r="60736" spans="8:8">
      <c r="H60736" s="680" t="s">
        <v>6153</v>
      </c>
    </row>
    <row r="60737" spans="8:8">
      <c r="H60737" s="680" t="s">
        <v>6153</v>
      </c>
    </row>
    <row r="60738" spans="8:8">
      <c r="H60738" s="680" t="s">
        <v>6153</v>
      </c>
    </row>
    <row r="60739" spans="8:8">
      <c r="H60739" s="680" t="s">
        <v>6153</v>
      </c>
    </row>
    <row r="60740" spans="8:8">
      <c r="H60740" s="680" t="s">
        <v>6153</v>
      </c>
    </row>
    <row r="60741" spans="8:8">
      <c r="H60741" s="680" t="s">
        <v>6153</v>
      </c>
    </row>
    <row r="60742" spans="8:8">
      <c r="H60742" s="680" t="s">
        <v>6153</v>
      </c>
    </row>
    <row r="60743" spans="8:8">
      <c r="H60743" s="680" t="s">
        <v>6153</v>
      </c>
    </row>
    <row r="60744" spans="8:8">
      <c r="H60744" s="680" t="s">
        <v>6153</v>
      </c>
    </row>
    <row r="60745" spans="8:8">
      <c r="H60745" s="680" t="s">
        <v>6153</v>
      </c>
    </row>
    <row r="60746" spans="8:8">
      <c r="H60746" s="680" t="s">
        <v>6153</v>
      </c>
    </row>
    <row r="60747" spans="8:8">
      <c r="H60747" s="680" t="s">
        <v>6153</v>
      </c>
    </row>
    <row r="60748" spans="8:8">
      <c r="H60748" s="680" t="s">
        <v>6153</v>
      </c>
    </row>
    <row r="60749" spans="8:8">
      <c r="H60749" s="680" t="s">
        <v>6153</v>
      </c>
    </row>
    <row r="60750" spans="8:8">
      <c r="H60750" s="680" t="s">
        <v>6153</v>
      </c>
    </row>
    <row r="60751" spans="8:8">
      <c r="H60751" s="680" t="s">
        <v>6153</v>
      </c>
    </row>
    <row r="60752" spans="8:8">
      <c r="H60752" s="680" t="s">
        <v>6153</v>
      </c>
    </row>
    <row r="60753" spans="8:8">
      <c r="H60753" s="680" t="s">
        <v>6153</v>
      </c>
    </row>
    <row r="60754" spans="8:8">
      <c r="H60754" s="680" t="s">
        <v>6153</v>
      </c>
    </row>
    <row r="60755" spans="8:8">
      <c r="H60755" s="680" t="s">
        <v>6153</v>
      </c>
    </row>
    <row r="60756" spans="8:8">
      <c r="H60756" s="680" t="s">
        <v>6153</v>
      </c>
    </row>
    <row r="60757" spans="8:8">
      <c r="H60757" s="680" t="s">
        <v>6153</v>
      </c>
    </row>
    <row r="60758" spans="8:8">
      <c r="H60758" s="680" t="s">
        <v>6153</v>
      </c>
    </row>
    <row r="60759" spans="8:8">
      <c r="H60759" s="680" t="s">
        <v>6153</v>
      </c>
    </row>
    <row r="60760" spans="8:8">
      <c r="H60760" s="680" t="s">
        <v>6153</v>
      </c>
    </row>
    <row r="60761" spans="8:8">
      <c r="H60761" s="680" t="s">
        <v>6153</v>
      </c>
    </row>
    <row r="60762" spans="8:8">
      <c r="H60762" s="680" t="s">
        <v>6153</v>
      </c>
    </row>
    <row r="60763" spans="8:8">
      <c r="H60763" s="680" t="s">
        <v>6153</v>
      </c>
    </row>
    <row r="60764" spans="8:8">
      <c r="H60764" s="680" t="s">
        <v>6153</v>
      </c>
    </row>
    <row r="60765" spans="8:8">
      <c r="H60765" s="680" t="s">
        <v>6153</v>
      </c>
    </row>
    <row r="60766" spans="8:8">
      <c r="H60766" s="680" t="s">
        <v>6153</v>
      </c>
    </row>
    <row r="60767" spans="8:8">
      <c r="H60767" s="680" t="s">
        <v>6153</v>
      </c>
    </row>
    <row r="60768" spans="8:8">
      <c r="H60768" s="680" t="s">
        <v>6153</v>
      </c>
    </row>
    <row r="60769" spans="8:8">
      <c r="H60769" s="680" t="s">
        <v>6153</v>
      </c>
    </row>
    <row r="60770" spans="8:8">
      <c r="H60770" s="680" t="s">
        <v>6153</v>
      </c>
    </row>
    <row r="60771" spans="8:8">
      <c r="H60771" s="680" t="s">
        <v>6153</v>
      </c>
    </row>
    <row r="60772" spans="8:8">
      <c r="H60772" s="680" t="s">
        <v>6153</v>
      </c>
    </row>
    <row r="60773" spans="8:8">
      <c r="H60773" s="680" t="s">
        <v>6153</v>
      </c>
    </row>
    <row r="60774" spans="8:8">
      <c r="H60774" s="680" t="s">
        <v>6153</v>
      </c>
    </row>
    <row r="60775" spans="8:8">
      <c r="H60775" s="680" t="s">
        <v>6153</v>
      </c>
    </row>
    <row r="60776" spans="8:8">
      <c r="H60776" s="680" t="s">
        <v>6153</v>
      </c>
    </row>
    <row r="60777" spans="8:8">
      <c r="H60777" s="680" t="s">
        <v>6153</v>
      </c>
    </row>
    <row r="60778" spans="8:8">
      <c r="H60778" s="680" t="s">
        <v>6153</v>
      </c>
    </row>
    <row r="60779" spans="8:8">
      <c r="H60779" s="680" t="s">
        <v>6153</v>
      </c>
    </row>
    <row r="60780" spans="8:8">
      <c r="H60780" s="680" t="s">
        <v>6153</v>
      </c>
    </row>
    <row r="60781" spans="8:8">
      <c r="H60781" s="680" t="s">
        <v>6153</v>
      </c>
    </row>
    <row r="60782" spans="8:8">
      <c r="H60782" s="680" t="s">
        <v>6153</v>
      </c>
    </row>
    <row r="60783" spans="8:8">
      <c r="H60783" s="680" t="s">
        <v>6153</v>
      </c>
    </row>
    <row r="60784" spans="8:8">
      <c r="H60784" s="680" t="s">
        <v>6153</v>
      </c>
    </row>
    <row r="60785" spans="8:8">
      <c r="H60785" s="680" t="s">
        <v>6153</v>
      </c>
    </row>
    <row r="60786" spans="8:8">
      <c r="H60786" s="680" t="s">
        <v>6153</v>
      </c>
    </row>
    <row r="60787" spans="8:8">
      <c r="H60787" s="680" t="s">
        <v>6153</v>
      </c>
    </row>
    <row r="60788" spans="8:8">
      <c r="H60788" s="680" t="s">
        <v>6153</v>
      </c>
    </row>
    <row r="60789" spans="8:8">
      <c r="H60789" s="680" t="s">
        <v>6153</v>
      </c>
    </row>
    <row r="60790" spans="8:8">
      <c r="H60790" s="680" t="s">
        <v>6153</v>
      </c>
    </row>
    <row r="60791" spans="8:8">
      <c r="H60791" s="680" t="s">
        <v>6153</v>
      </c>
    </row>
    <row r="60792" spans="8:8">
      <c r="H60792" s="680" t="s">
        <v>6153</v>
      </c>
    </row>
    <row r="60793" spans="8:8">
      <c r="H60793" s="680" t="s">
        <v>6153</v>
      </c>
    </row>
    <row r="60794" spans="8:8">
      <c r="H60794" s="680" t="s">
        <v>6153</v>
      </c>
    </row>
    <row r="60795" spans="8:8">
      <c r="H60795" s="680" t="s">
        <v>6153</v>
      </c>
    </row>
    <row r="60796" spans="8:8">
      <c r="H60796" s="680" t="s">
        <v>6153</v>
      </c>
    </row>
    <row r="60797" spans="8:8">
      <c r="H60797" s="680" t="s">
        <v>6153</v>
      </c>
    </row>
    <row r="60798" spans="8:8">
      <c r="H60798" s="680" t="s">
        <v>6153</v>
      </c>
    </row>
    <row r="60799" spans="8:8">
      <c r="H60799" s="680" t="s">
        <v>6153</v>
      </c>
    </row>
    <row r="60800" spans="8:8">
      <c r="H60800" s="680" t="s">
        <v>6153</v>
      </c>
    </row>
    <row r="60801" spans="8:8">
      <c r="H60801" s="680" t="s">
        <v>6153</v>
      </c>
    </row>
    <row r="60802" spans="8:8">
      <c r="H60802" s="680" t="s">
        <v>6153</v>
      </c>
    </row>
    <row r="60803" spans="8:8">
      <c r="H60803" s="680" t="s">
        <v>6153</v>
      </c>
    </row>
    <row r="60804" spans="8:8">
      <c r="H60804" s="680" t="s">
        <v>6153</v>
      </c>
    </row>
    <row r="60805" spans="8:8">
      <c r="H60805" s="680" t="s">
        <v>6153</v>
      </c>
    </row>
    <row r="60806" spans="8:8">
      <c r="H60806" s="680" t="s">
        <v>6153</v>
      </c>
    </row>
    <row r="60807" spans="8:8">
      <c r="H60807" s="680" t="s">
        <v>6153</v>
      </c>
    </row>
    <row r="60808" spans="8:8">
      <c r="H60808" s="680" t="s">
        <v>6153</v>
      </c>
    </row>
    <row r="60809" spans="8:8">
      <c r="H60809" s="680" t="s">
        <v>6153</v>
      </c>
    </row>
    <row r="60810" spans="8:8">
      <c r="H60810" s="680" t="s">
        <v>6153</v>
      </c>
    </row>
    <row r="60811" spans="8:8">
      <c r="H60811" s="680" t="s">
        <v>6153</v>
      </c>
    </row>
    <row r="60812" spans="8:8">
      <c r="H60812" s="680" t="s">
        <v>6153</v>
      </c>
    </row>
    <row r="60813" spans="8:8">
      <c r="H60813" s="680" t="s">
        <v>6153</v>
      </c>
    </row>
    <row r="60814" spans="8:8">
      <c r="H60814" s="680" t="s">
        <v>6153</v>
      </c>
    </row>
    <row r="60815" spans="8:8">
      <c r="H60815" s="680" t="s">
        <v>6153</v>
      </c>
    </row>
    <row r="60816" spans="8:8">
      <c r="H60816" s="680" t="s">
        <v>6153</v>
      </c>
    </row>
    <row r="60817" spans="8:8">
      <c r="H60817" s="680" t="s">
        <v>6153</v>
      </c>
    </row>
    <row r="60818" spans="8:8">
      <c r="H60818" s="680" t="s">
        <v>6153</v>
      </c>
    </row>
    <row r="60819" spans="8:8">
      <c r="H60819" s="680" t="s">
        <v>6153</v>
      </c>
    </row>
    <row r="60820" spans="8:8">
      <c r="H60820" s="680" t="s">
        <v>6153</v>
      </c>
    </row>
    <row r="60821" spans="8:8">
      <c r="H60821" s="680" t="s">
        <v>6153</v>
      </c>
    </row>
    <row r="60822" spans="8:8">
      <c r="H60822" s="680" t="s">
        <v>6153</v>
      </c>
    </row>
    <row r="60823" spans="8:8">
      <c r="H60823" s="680" t="s">
        <v>6153</v>
      </c>
    </row>
    <row r="60824" spans="8:8">
      <c r="H60824" s="680" t="s">
        <v>6153</v>
      </c>
    </row>
    <row r="60825" spans="8:8">
      <c r="H60825" s="680" t="s">
        <v>6153</v>
      </c>
    </row>
    <row r="60826" spans="8:8">
      <c r="H60826" s="680" t="s">
        <v>6153</v>
      </c>
    </row>
    <row r="60827" spans="8:8">
      <c r="H60827" s="680" t="s">
        <v>6153</v>
      </c>
    </row>
    <row r="60828" spans="8:8">
      <c r="H60828" s="680" t="s">
        <v>6153</v>
      </c>
    </row>
    <row r="60829" spans="8:8">
      <c r="H60829" s="680" t="s">
        <v>6153</v>
      </c>
    </row>
    <row r="60830" spans="8:8">
      <c r="H60830" s="680" t="s">
        <v>6153</v>
      </c>
    </row>
    <row r="60831" spans="8:8">
      <c r="H60831" s="680" t="s">
        <v>6153</v>
      </c>
    </row>
    <row r="60832" spans="8:8">
      <c r="H60832" s="680" t="s">
        <v>6153</v>
      </c>
    </row>
    <row r="60833" spans="8:8">
      <c r="H60833" s="680" t="s">
        <v>6153</v>
      </c>
    </row>
    <row r="60834" spans="8:8">
      <c r="H60834" s="680" t="s">
        <v>6153</v>
      </c>
    </row>
    <row r="60835" spans="8:8">
      <c r="H60835" s="680" t="s">
        <v>6153</v>
      </c>
    </row>
    <row r="60836" spans="8:8">
      <c r="H60836" s="680" t="s">
        <v>6153</v>
      </c>
    </row>
    <row r="60837" spans="8:8">
      <c r="H60837" s="680" t="s">
        <v>6153</v>
      </c>
    </row>
    <row r="60838" spans="8:8">
      <c r="H60838" s="680" t="s">
        <v>6153</v>
      </c>
    </row>
    <row r="60839" spans="8:8">
      <c r="H60839" s="680" t="s">
        <v>6153</v>
      </c>
    </row>
    <row r="60840" spans="8:8">
      <c r="H60840" s="680" t="s">
        <v>6153</v>
      </c>
    </row>
    <row r="60841" spans="8:8">
      <c r="H60841" s="680" t="s">
        <v>6153</v>
      </c>
    </row>
    <row r="60842" spans="8:8">
      <c r="H60842" s="680" t="s">
        <v>6153</v>
      </c>
    </row>
    <row r="60843" spans="8:8">
      <c r="H60843" s="680" t="s">
        <v>6153</v>
      </c>
    </row>
    <row r="60844" spans="8:8">
      <c r="H60844" s="680" t="s">
        <v>6153</v>
      </c>
    </row>
    <row r="60845" spans="8:8">
      <c r="H60845" s="680" t="s">
        <v>6153</v>
      </c>
    </row>
    <row r="60846" spans="8:8">
      <c r="H60846" s="680" t="s">
        <v>6153</v>
      </c>
    </row>
    <row r="60847" spans="8:8">
      <c r="H60847" s="680" t="s">
        <v>6153</v>
      </c>
    </row>
    <row r="60848" spans="8:8">
      <c r="H60848" s="680" t="s">
        <v>6153</v>
      </c>
    </row>
    <row r="60849" spans="8:8">
      <c r="H60849" s="680" t="s">
        <v>6153</v>
      </c>
    </row>
    <row r="60850" spans="8:8">
      <c r="H60850" s="680" t="s">
        <v>6153</v>
      </c>
    </row>
    <row r="60851" spans="8:8">
      <c r="H60851" s="680" t="s">
        <v>6153</v>
      </c>
    </row>
    <row r="60852" spans="8:8">
      <c r="H60852" s="680" t="s">
        <v>6153</v>
      </c>
    </row>
    <row r="60853" spans="8:8">
      <c r="H60853" s="680" t="s">
        <v>6153</v>
      </c>
    </row>
    <row r="60854" spans="8:8">
      <c r="H60854" s="680" t="s">
        <v>6153</v>
      </c>
    </row>
    <row r="60855" spans="8:8">
      <c r="H60855" s="680" t="s">
        <v>6153</v>
      </c>
    </row>
    <row r="60856" spans="8:8">
      <c r="H60856" s="680" t="s">
        <v>6153</v>
      </c>
    </row>
    <row r="60857" spans="8:8">
      <c r="H60857" s="680" t="s">
        <v>6153</v>
      </c>
    </row>
    <row r="60858" spans="8:8">
      <c r="H60858" s="680" t="s">
        <v>6153</v>
      </c>
    </row>
    <row r="60859" spans="8:8">
      <c r="H60859" s="680" t="s">
        <v>6153</v>
      </c>
    </row>
    <row r="60860" spans="8:8">
      <c r="H60860" s="680" t="s">
        <v>6153</v>
      </c>
    </row>
    <row r="60861" spans="8:8">
      <c r="H60861" s="680" t="s">
        <v>6153</v>
      </c>
    </row>
    <row r="60862" spans="8:8">
      <c r="H60862" s="680" t="s">
        <v>6153</v>
      </c>
    </row>
    <row r="60863" spans="8:8">
      <c r="H60863" s="680" t="s">
        <v>6153</v>
      </c>
    </row>
    <row r="60864" spans="8:8">
      <c r="H60864" s="680" t="s">
        <v>6153</v>
      </c>
    </row>
    <row r="60865" spans="8:8">
      <c r="H60865" s="680" t="s">
        <v>6153</v>
      </c>
    </row>
    <row r="60866" spans="8:8">
      <c r="H60866" s="680" t="s">
        <v>6153</v>
      </c>
    </row>
    <row r="60867" spans="8:8">
      <c r="H60867" s="680" t="s">
        <v>6153</v>
      </c>
    </row>
    <row r="60868" spans="8:8">
      <c r="H60868" s="680" t="s">
        <v>6153</v>
      </c>
    </row>
    <row r="60869" spans="8:8">
      <c r="H60869" s="680" t="s">
        <v>6153</v>
      </c>
    </row>
    <row r="60870" spans="8:8">
      <c r="H60870" s="680" t="s">
        <v>6153</v>
      </c>
    </row>
    <row r="60871" spans="8:8">
      <c r="H60871" s="680" t="s">
        <v>6153</v>
      </c>
    </row>
    <row r="60872" spans="8:8">
      <c r="H60872" s="680" t="s">
        <v>6153</v>
      </c>
    </row>
    <row r="60873" spans="8:8">
      <c r="H60873" s="680" t="s">
        <v>6153</v>
      </c>
    </row>
    <row r="60874" spans="8:8">
      <c r="H60874" s="680" t="s">
        <v>6153</v>
      </c>
    </row>
    <row r="60875" spans="8:8">
      <c r="H60875" s="680" t="s">
        <v>6153</v>
      </c>
    </row>
    <row r="60876" spans="8:8">
      <c r="H60876" s="680" t="s">
        <v>6153</v>
      </c>
    </row>
    <row r="60877" spans="8:8">
      <c r="H60877" s="680" t="s">
        <v>6153</v>
      </c>
    </row>
    <row r="60878" spans="8:8">
      <c r="H60878" s="680" t="s">
        <v>6153</v>
      </c>
    </row>
    <row r="60879" spans="8:8">
      <c r="H60879" s="680" t="s">
        <v>6153</v>
      </c>
    </row>
    <row r="60880" spans="8:8">
      <c r="H60880" s="680" t="s">
        <v>6153</v>
      </c>
    </row>
    <row r="60881" spans="8:8">
      <c r="H60881" s="680" t="s">
        <v>6153</v>
      </c>
    </row>
    <row r="60882" spans="8:8">
      <c r="H60882" s="680" t="s">
        <v>6153</v>
      </c>
    </row>
    <row r="60883" spans="8:8">
      <c r="H60883" s="680" t="s">
        <v>6153</v>
      </c>
    </row>
    <row r="60884" spans="8:8">
      <c r="H60884" s="680" t="s">
        <v>6153</v>
      </c>
    </row>
    <row r="60885" spans="8:8">
      <c r="H60885" s="680" t="s">
        <v>6153</v>
      </c>
    </row>
    <row r="60886" spans="8:8">
      <c r="H60886" s="680" t="s">
        <v>6153</v>
      </c>
    </row>
    <row r="60887" spans="8:8">
      <c r="H60887" s="680" t="s">
        <v>6153</v>
      </c>
    </row>
    <row r="60888" spans="8:8">
      <c r="H60888" s="680" t="s">
        <v>6153</v>
      </c>
    </row>
    <row r="60889" spans="8:8">
      <c r="H60889" s="680" t="s">
        <v>6153</v>
      </c>
    </row>
    <row r="60890" spans="8:8">
      <c r="H60890" s="680" t="s">
        <v>6153</v>
      </c>
    </row>
    <row r="60891" spans="8:8">
      <c r="H60891" s="680" t="s">
        <v>6153</v>
      </c>
    </row>
    <row r="60892" spans="8:8">
      <c r="H60892" s="680" t="s">
        <v>6153</v>
      </c>
    </row>
    <row r="60893" spans="8:8">
      <c r="H60893" s="680" t="s">
        <v>6153</v>
      </c>
    </row>
    <row r="60894" spans="8:8">
      <c r="H60894" s="680" t="s">
        <v>6153</v>
      </c>
    </row>
    <row r="60895" spans="8:8">
      <c r="H60895" s="680" t="s">
        <v>6153</v>
      </c>
    </row>
    <row r="60896" spans="8:8">
      <c r="H60896" s="680" t="s">
        <v>6153</v>
      </c>
    </row>
    <row r="60897" spans="8:8">
      <c r="H60897" s="680" t="s">
        <v>6153</v>
      </c>
    </row>
    <row r="60898" spans="8:8">
      <c r="H60898" s="680" t="s">
        <v>6153</v>
      </c>
    </row>
    <row r="60899" spans="8:8">
      <c r="H60899" s="680" t="s">
        <v>6153</v>
      </c>
    </row>
    <row r="60900" spans="8:8">
      <c r="H60900" s="680" t="s">
        <v>6153</v>
      </c>
    </row>
    <row r="60901" spans="8:8">
      <c r="H60901" s="680" t="s">
        <v>6153</v>
      </c>
    </row>
    <row r="60902" spans="8:8">
      <c r="H60902" s="680" t="s">
        <v>6153</v>
      </c>
    </row>
    <row r="60903" spans="8:8">
      <c r="H60903" s="680" t="s">
        <v>6153</v>
      </c>
    </row>
    <row r="60904" spans="8:8">
      <c r="H60904" s="680" t="s">
        <v>6153</v>
      </c>
    </row>
    <row r="60905" spans="8:8">
      <c r="H60905" s="680" t="s">
        <v>6153</v>
      </c>
    </row>
    <row r="60906" spans="8:8">
      <c r="H60906" s="680" t="s">
        <v>6153</v>
      </c>
    </row>
    <row r="60907" spans="8:8">
      <c r="H60907" s="680" t="s">
        <v>6153</v>
      </c>
    </row>
    <row r="60908" spans="8:8">
      <c r="H60908" s="680" t="s">
        <v>6153</v>
      </c>
    </row>
    <row r="60909" spans="8:8">
      <c r="H60909" s="680" t="s">
        <v>6153</v>
      </c>
    </row>
    <row r="60910" spans="8:8">
      <c r="H60910" s="680" t="s">
        <v>6153</v>
      </c>
    </row>
    <row r="60911" spans="8:8">
      <c r="H60911" s="680" t="s">
        <v>6153</v>
      </c>
    </row>
    <row r="60912" spans="8:8">
      <c r="H60912" s="680" t="s">
        <v>6153</v>
      </c>
    </row>
    <row r="60913" spans="8:8">
      <c r="H60913" s="680" t="s">
        <v>6153</v>
      </c>
    </row>
    <row r="60914" spans="8:8">
      <c r="H60914" s="680" t="s">
        <v>6153</v>
      </c>
    </row>
    <row r="60915" spans="8:8">
      <c r="H60915" s="680" t="s">
        <v>6153</v>
      </c>
    </row>
    <row r="60916" spans="8:8">
      <c r="H60916" s="680" t="s">
        <v>6153</v>
      </c>
    </row>
    <row r="60917" spans="8:8">
      <c r="H60917" s="680" t="s">
        <v>6153</v>
      </c>
    </row>
    <row r="60918" spans="8:8">
      <c r="H60918" s="680" t="s">
        <v>6153</v>
      </c>
    </row>
    <row r="60919" spans="8:8">
      <c r="H60919" s="680" t="s">
        <v>6153</v>
      </c>
    </row>
    <row r="60920" spans="8:8">
      <c r="H60920" s="680" t="s">
        <v>6153</v>
      </c>
    </row>
    <row r="60921" spans="8:8">
      <c r="H60921" s="680" t="s">
        <v>6153</v>
      </c>
    </row>
    <row r="60922" spans="8:8">
      <c r="H60922" s="680" t="s">
        <v>6153</v>
      </c>
    </row>
    <row r="60923" spans="8:8">
      <c r="H60923" s="680" t="s">
        <v>6153</v>
      </c>
    </row>
    <row r="60924" spans="8:8">
      <c r="H60924" s="680" t="s">
        <v>6153</v>
      </c>
    </row>
    <row r="60925" spans="8:8">
      <c r="H60925" s="680" t="s">
        <v>6153</v>
      </c>
    </row>
    <row r="60926" spans="8:8">
      <c r="H60926" s="680" t="s">
        <v>6153</v>
      </c>
    </row>
    <row r="60927" spans="8:8">
      <c r="H60927" s="680" t="s">
        <v>6153</v>
      </c>
    </row>
    <row r="60928" spans="8:8">
      <c r="H60928" s="680" t="s">
        <v>6153</v>
      </c>
    </row>
    <row r="60929" spans="8:8">
      <c r="H60929" s="680" t="s">
        <v>6153</v>
      </c>
    </row>
    <row r="60930" spans="8:8">
      <c r="H60930" s="680" t="s">
        <v>6153</v>
      </c>
    </row>
    <row r="60931" spans="8:8">
      <c r="H60931" s="680" t="s">
        <v>6153</v>
      </c>
    </row>
    <row r="60932" spans="8:8">
      <c r="H60932" s="680" t="s">
        <v>6153</v>
      </c>
    </row>
    <row r="60933" spans="8:8">
      <c r="H60933" s="680" t="s">
        <v>6153</v>
      </c>
    </row>
    <row r="60934" spans="8:8">
      <c r="H60934" s="680" t="s">
        <v>6153</v>
      </c>
    </row>
    <row r="60935" spans="8:8">
      <c r="H60935" s="680" t="s">
        <v>6153</v>
      </c>
    </row>
    <row r="60936" spans="8:8">
      <c r="H60936" s="680" t="s">
        <v>6153</v>
      </c>
    </row>
    <row r="60937" spans="8:8">
      <c r="H60937" s="680" t="s">
        <v>6153</v>
      </c>
    </row>
    <row r="60938" spans="8:8">
      <c r="H60938" s="680" t="s">
        <v>6153</v>
      </c>
    </row>
    <row r="60939" spans="8:8">
      <c r="H60939" s="680" t="s">
        <v>6153</v>
      </c>
    </row>
    <row r="60940" spans="8:8">
      <c r="H60940" s="680" t="s">
        <v>6153</v>
      </c>
    </row>
    <row r="60941" spans="8:8">
      <c r="H60941" s="680" t="s">
        <v>6153</v>
      </c>
    </row>
    <row r="60942" spans="8:8">
      <c r="H60942" s="680" t="s">
        <v>6153</v>
      </c>
    </row>
    <row r="60943" spans="8:8">
      <c r="H60943" s="680" t="s">
        <v>6153</v>
      </c>
    </row>
    <row r="60944" spans="8:8">
      <c r="H60944" s="680" t="s">
        <v>6153</v>
      </c>
    </row>
    <row r="60945" spans="8:8">
      <c r="H60945" s="680" t="s">
        <v>6153</v>
      </c>
    </row>
    <row r="60946" spans="8:8">
      <c r="H60946" s="680" t="s">
        <v>6153</v>
      </c>
    </row>
    <row r="60947" spans="8:8">
      <c r="H60947" s="680" t="s">
        <v>6153</v>
      </c>
    </row>
    <row r="60948" spans="8:8">
      <c r="H60948" s="680" t="s">
        <v>6153</v>
      </c>
    </row>
    <row r="60949" spans="8:8">
      <c r="H60949" s="680" t="s">
        <v>6153</v>
      </c>
    </row>
    <row r="60950" spans="8:8">
      <c r="H60950" s="680" t="s">
        <v>6153</v>
      </c>
    </row>
    <row r="60951" spans="8:8">
      <c r="H60951" s="680" t="s">
        <v>6153</v>
      </c>
    </row>
    <row r="60952" spans="8:8">
      <c r="H60952" s="680" t="s">
        <v>6153</v>
      </c>
    </row>
    <row r="60953" spans="8:8">
      <c r="H60953" s="680" t="s">
        <v>6153</v>
      </c>
    </row>
    <row r="60954" spans="8:8">
      <c r="H60954" s="680" t="s">
        <v>6153</v>
      </c>
    </row>
    <row r="60955" spans="8:8">
      <c r="H60955" s="680" t="s">
        <v>6153</v>
      </c>
    </row>
    <row r="60956" spans="8:8">
      <c r="H60956" s="680" t="s">
        <v>6153</v>
      </c>
    </row>
    <row r="60957" spans="8:8">
      <c r="H60957" s="680" t="s">
        <v>6153</v>
      </c>
    </row>
    <row r="60958" spans="8:8">
      <c r="H60958" s="680" t="s">
        <v>6153</v>
      </c>
    </row>
    <row r="60959" spans="8:8">
      <c r="H60959" s="680" t="s">
        <v>6153</v>
      </c>
    </row>
    <row r="60960" spans="8:8">
      <c r="H60960" s="680" t="s">
        <v>6153</v>
      </c>
    </row>
    <row r="60961" spans="8:8">
      <c r="H60961" s="680" t="s">
        <v>6153</v>
      </c>
    </row>
    <row r="60962" spans="8:8">
      <c r="H60962" s="680" t="s">
        <v>6153</v>
      </c>
    </row>
    <row r="60963" spans="8:8">
      <c r="H60963" s="680" t="s">
        <v>6153</v>
      </c>
    </row>
    <row r="60964" spans="8:8">
      <c r="H60964" s="680" t="s">
        <v>6153</v>
      </c>
    </row>
    <row r="60965" spans="8:8">
      <c r="H60965" s="680" t="s">
        <v>6153</v>
      </c>
    </row>
    <row r="60966" spans="8:8">
      <c r="H60966" s="680" t="s">
        <v>6153</v>
      </c>
    </row>
    <row r="60967" spans="8:8">
      <c r="H60967" s="680" t="s">
        <v>6153</v>
      </c>
    </row>
    <row r="60968" spans="8:8">
      <c r="H60968" s="680" t="s">
        <v>6153</v>
      </c>
    </row>
    <row r="60969" spans="8:8">
      <c r="H60969" s="680" t="s">
        <v>6153</v>
      </c>
    </row>
    <row r="60970" spans="8:8">
      <c r="H60970" s="680" t="s">
        <v>6153</v>
      </c>
    </row>
    <row r="60971" spans="8:8">
      <c r="H60971" s="680" t="s">
        <v>6153</v>
      </c>
    </row>
    <row r="60972" spans="8:8">
      <c r="H60972" s="680" t="s">
        <v>6153</v>
      </c>
    </row>
    <row r="60973" spans="8:8">
      <c r="H60973" s="680" t="s">
        <v>6153</v>
      </c>
    </row>
    <row r="60974" spans="8:8">
      <c r="H60974" s="680" t="s">
        <v>6153</v>
      </c>
    </row>
    <row r="60975" spans="8:8">
      <c r="H60975" s="680" t="s">
        <v>6153</v>
      </c>
    </row>
    <row r="60976" spans="8:8">
      <c r="H60976" s="680" t="s">
        <v>6153</v>
      </c>
    </row>
    <row r="60977" spans="8:8">
      <c r="H60977" s="680" t="s">
        <v>6153</v>
      </c>
    </row>
    <row r="60978" spans="8:8">
      <c r="H60978" s="680" t="s">
        <v>6153</v>
      </c>
    </row>
    <row r="60979" spans="8:8">
      <c r="H60979" s="680" t="s">
        <v>6153</v>
      </c>
    </row>
    <row r="60980" spans="8:8">
      <c r="H60980" s="680" t="s">
        <v>6153</v>
      </c>
    </row>
    <row r="60981" spans="8:8">
      <c r="H60981" s="680" t="s">
        <v>6153</v>
      </c>
    </row>
    <row r="60982" spans="8:8">
      <c r="H60982" s="680" t="s">
        <v>6153</v>
      </c>
    </row>
    <row r="60983" spans="8:8">
      <c r="H60983" s="680" t="s">
        <v>6153</v>
      </c>
    </row>
    <row r="60984" spans="8:8">
      <c r="H60984" s="680" t="s">
        <v>6153</v>
      </c>
    </row>
    <row r="60985" spans="8:8">
      <c r="H60985" s="680" t="s">
        <v>6153</v>
      </c>
    </row>
    <row r="60986" spans="8:8">
      <c r="H60986" s="680" t="s">
        <v>6153</v>
      </c>
    </row>
    <row r="60987" spans="8:8">
      <c r="H60987" s="680" t="s">
        <v>6153</v>
      </c>
    </row>
    <row r="60988" spans="8:8">
      <c r="H60988" s="680" t="s">
        <v>6153</v>
      </c>
    </row>
    <row r="60989" spans="8:8">
      <c r="H60989" s="680" t="s">
        <v>6153</v>
      </c>
    </row>
    <row r="60990" spans="8:8">
      <c r="H60990" s="680" t="s">
        <v>6153</v>
      </c>
    </row>
    <row r="60991" spans="8:8">
      <c r="H60991" s="680" t="s">
        <v>6153</v>
      </c>
    </row>
    <row r="60992" spans="8:8">
      <c r="H60992" s="680" t="s">
        <v>6153</v>
      </c>
    </row>
    <row r="60993" spans="8:8">
      <c r="H60993" s="680" t="s">
        <v>6153</v>
      </c>
    </row>
    <row r="60994" spans="8:8">
      <c r="H60994" s="680" t="s">
        <v>6153</v>
      </c>
    </row>
    <row r="60995" spans="8:8">
      <c r="H60995" s="680" t="s">
        <v>6153</v>
      </c>
    </row>
    <row r="60996" spans="8:8">
      <c r="H60996" s="680" t="s">
        <v>6153</v>
      </c>
    </row>
    <row r="60997" spans="8:8">
      <c r="H60997" s="680" t="s">
        <v>6153</v>
      </c>
    </row>
    <row r="60998" spans="8:8">
      <c r="H60998" s="680" t="s">
        <v>6153</v>
      </c>
    </row>
    <row r="60999" spans="8:8">
      <c r="H60999" s="680" t="s">
        <v>6153</v>
      </c>
    </row>
    <row r="61000" spans="8:8">
      <c r="H61000" s="680" t="s">
        <v>6153</v>
      </c>
    </row>
    <row r="61001" spans="8:8">
      <c r="H61001" s="680" t="s">
        <v>6153</v>
      </c>
    </row>
    <row r="61002" spans="8:8">
      <c r="H61002" s="680" t="s">
        <v>6153</v>
      </c>
    </row>
    <row r="61003" spans="8:8">
      <c r="H61003" s="680" t="s">
        <v>6153</v>
      </c>
    </row>
    <row r="61004" spans="8:8">
      <c r="H61004" s="680" t="s">
        <v>6153</v>
      </c>
    </row>
    <row r="61005" spans="8:8">
      <c r="H61005" s="680" t="s">
        <v>6153</v>
      </c>
    </row>
    <row r="61006" spans="8:8">
      <c r="H61006" s="680" t="s">
        <v>6153</v>
      </c>
    </row>
    <row r="61007" spans="8:8">
      <c r="H61007" s="680" t="s">
        <v>6153</v>
      </c>
    </row>
    <row r="61008" spans="8:8">
      <c r="H61008" s="680" t="s">
        <v>6153</v>
      </c>
    </row>
    <row r="61009" spans="8:8">
      <c r="H61009" s="680" t="s">
        <v>6153</v>
      </c>
    </row>
    <row r="61010" spans="8:8">
      <c r="H61010" s="680" t="s">
        <v>6153</v>
      </c>
    </row>
    <row r="61011" spans="8:8">
      <c r="H61011" s="680" t="s">
        <v>6153</v>
      </c>
    </row>
    <row r="61012" spans="8:8">
      <c r="H61012" s="680" t="s">
        <v>6153</v>
      </c>
    </row>
    <row r="61013" spans="8:8">
      <c r="H61013" s="680" t="s">
        <v>6153</v>
      </c>
    </row>
    <row r="61014" spans="8:8">
      <c r="H61014" s="680" t="s">
        <v>6153</v>
      </c>
    </row>
    <row r="61015" spans="8:8">
      <c r="H61015" s="680" t="s">
        <v>6153</v>
      </c>
    </row>
    <row r="61016" spans="8:8">
      <c r="H61016" s="680" t="s">
        <v>6153</v>
      </c>
    </row>
    <row r="61017" spans="8:8">
      <c r="H61017" s="680" t="s">
        <v>6153</v>
      </c>
    </row>
    <row r="61018" spans="8:8">
      <c r="H61018" s="680" t="s">
        <v>6153</v>
      </c>
    </row>
    <row r="61019" spans="8:8">
      <c r="H61019" s="680" t="s">
        <v>6153</v>
      </c>
    </row>
    <row r="61020" spans="8:8">
      <c r="H61020" s="680" t="s">
        <v>6153</v>
      </c>
    </row>
    <row r="61021" spans="8:8">
      <c r="H61021" s="680" t="s">
        <v>6153</v>
      </c>
    </row>
    <row r="61022" spans="8:8">
      <c r="H61022" s="680" t="s">
        <v>6153</v>
      </c>
    </row>
    <row r="61023" spans="8:8">
      <c r="H61023" s="680" t="s">
        <v>6153</v>
      </c>
    </row>
    <row r="61024" spans="8:8">
      <c r="H61024" s="680" t="s">
        <v>6153</v>
      </c>
    </row>
    <row r="61025" spans="8:8">
      <c r="H61025" s="680" t="s">
        <v>6153</v>
      </c>
    </row>
    <row r="61026" spans="8:8">
      <c r="H61026" s="680" t="s">
        <v>6153</v>
      </c>
    </row>
    <row r="61027" spans="8:8">
      <c r="H61027" s="680" t="s">
        <v>6153</v>
      </c>
    </row>
    <row r="61028" spans="8:8">
      <c r="H61028" s="680" t="s">
        <v>6153</v>
      </c>
    </row>
    <row r="61029" spans="8:8">
      <c r="H61029" s="680" t="s">
        <v>6153</v>
      </c>
    </row>
    <row r="61030" spans="8:8">
      <c r="H61030" s="680" t="s">
        <v>6153</v>
      </c>
    </row>
    <row r="61031" spans="8:8">
      <c r="H61031" s="680" t="s">
        <v>6153</v>
      </c>
    </row>
    <row r="61032" spans="8:8">
      <c r="H61032" s="680" t="s">
        <v>6153</v>
      </c>
    </row>
    <row r="61033" spans="8:8">
      <c r="H61033" s="680" t="s">
        <v>6153</v>
      </c>
    </row>
    <row r="61034" spans="8:8">
      <c r="H61034" s="680" t="s">
        <v>6153</v>
      </c>
    </row>
    <row r="61035" spans="8:8">
      <c r="H61035" s="680" t="s">
        <v>6153</v>
      </c>
    </row>
    <row r="61036" spans="8:8">
      <c r="H61036" s="680" t="s">
        <v>6153</v>
      </c>
    </row>
    <row r="61037" spans="8:8">
      <c r="H61037" s="680" t="s">
        <v>6153</v>
      </c>
    </row>
    <row r="61038" spans="8:8">
      <c r="H61038" s="680" t="s">
        <v>6153</v>
      </c>
    </row>
    <row r="61039" spans="8:8">
      <c r="H61039" s="680" t="s">
        <v>6153</v>
      </c>
    </row>
    <row r="61040" spans="8:8">
      <c r="H61040" s="680" t="s">
        <v>6153</v>
      </c>
    </row>
    <row r="61041" spans="8:8">
      <c r="H61041" s="680" t="s">
        <v>6153</v>
      </c>
    </row>
    <row r="61042" spans="8:8">
      <c r="H61042" s="680" t="s">
        <v>6153</v>
      </c>
    </row>
    <row r="61043" spans="8:8">
      <c r="H61043" s="680" t="s">
        <v>6153</v>
      </c>
    </row>
    <row r="61044" spans="8:8">
      <c r="H61044" s="680" t="s">
        <v>6153</v>
      </c>
    </row>
    <row r="61045" spans="8:8">
      <c r="H61045" s="680" t="s">
        <v>6153</v>
      </c>
    </row>
    <row r="61046" spans="8:8">
      <c r="H61046" s="680" t="s">
        <v>6153</v>
      </c>
    </row>
    <row r="61047" spans="8:8">
      <c r="H61047" s="680" t="s">
        <v>6153</v>
      </c>
    </row>
    <row r="61048" spans="8:8">
      <c r="H61048" s="680" t="s">
        <v>6153</v>
      </c>
    </row>
    <row r="61049" spans="8:8">
      <c r="H61049" s="680" t="s">
        <v>6153</v>
      </c>
    </row>
    <row r="61050" spans="8:8">
      <c r="H61050" s="680" t="s">
        <v>6153</v>
      </c>
    </row>
    <row r="61051" spans="8:8">
      <c r="H61051" s="680" t="s">
        <v>6153</v>
      </c>
    </row>
    <row r="61052" spans="8:8">
      <c r="H61052" s="680" t="s">
        <v>6153</v>
      </c>
    </row>
    <row r="61053" spans="8:8">
      <c r="H61053" s="680" t="s">
        <v>6153</v>
      </c>
    </row>
    <row r="61054" spans="8:8">
      <c r="H61054" s="680" t="s">
        <v>6153</v>
      </c>
    </row>
    <row r="61055" spans="8:8">
      <c r="H61055" s="680" t="s">
        <v>6153</v>
      </c>
    </row>
    <row r="61056" spans="8:8">
      <c r="H61056" s="680" t="s">
        <v>6153</v>
      </c>
    </row>
    <row r="61057" spans="8:8">
      <c r="H61057" s="680" t="s">
        <v>6153</v>
      </c>
    </row>
    <row r="61058" spans="8:8">
      <c r="H61058" s="680" t="s">
        <v>6153</v>
      </c>
    </row>
    <row r="61059" spans="8:8">
      <c r="H61059" s="680" t="s">
        <v>6153</v>
      </c>
    </row>
    <row r="61060" spans="8:8">
      <c r="H61060" s="680" t="s">
        <v>6153</v>
      </c>
    </row>
    <row r="61061" spans="8:8">
      <c r="H61061" s="680" t="s">
        <v>6153</v>
      </c>
    </row>
    <row r="61062" spans="8:8">
      <c r="H61062" s="680" t="s">
        <v>6153</v>
      </c>
    </row>
    <row r="61063" spans="8:8">
      <c r="H61063" s="680" t="s">
        <v>6153</v>
      </c>
    </row>
    <row r="61064" spans="8:8">
      <c r="H61064" s="680" t="s">
        <v>6153</v>
      </c>
    </row>
    <row r="61065" spans="8:8">
      <c r="H61065" s="680" t="s">
        <v>6153</v>
      </c>
    </row>
    <row r="61066" spans="8:8">
      <c r="H61066" s="680" t="s">
        <v>6153</v>
      </c>
    </row>
    <row r="61067" spans="8:8">
      <c r="H61067" s="680" t="s">
        <v>6153</v>
      </c>
    </row>
    <row r="61068" spans="8:8">
      <c r="H61068" s="680" t="s">
        <v>6153</v>
      </c>
    </row>
    <row r="61069" spans="8:8">
      <c r="H61069" s="680" t="s">
        <v>6153</v>
      </c>
    </row>
    <row r="61070" spans="8:8">
      <c r="H61070" s="680" t="s">
        <v>6153</v>
      </c>
    </row>
    <row r="61071" spans="8:8">
      <c r="H61071" s="680" t="s">
        <v>6153</v>
      </c>
    </row>
    <row r="61072" spans="8:8">
      <c r="H61072" s="680" t="s">
        <v>6153</v>
      </c>
    </row>
    <row r="61073" spans="8:8">
      <c r="H61073" s="680" t="s">
        <v>6153</v>
      </c>
    </row>
    <row r="61074" spans="8:8">
      <c r="H61074" s="680" t="s">
        <v>6153</v>
      </c>
    </row>
    <row r="61075" spans="8:8">
      <c r="H61075" s="680" t="s">
        <v>6153</v>
      </c>
    </row>
    <row r="61076" spans="8:8">
      <c r="H61076" s="680" t="s">
        <v>6153</v>
      </c>
    </row>
    <row r="61077" spans="8:8">
      <c r="H61077" s="680" t="s">
        <v>6153</v>
      </c>
    </row>
    <row r="61078" spans="8:8">
      <c r="H61078" s="680" t="s">
        <v>6153</v>
      </c>
    </row>
    <row r="61079" spans="8:8">
      <c r="H61079" s="680" t="s">
        <v>6153</v>
      </c>
    </row>
    <row r="61080" spans="8:8">
      <c r="H61080" s="680" t="s">
        <v>6153</v>
      </c>
    </row>
    <row r="61081" spans="8:8">
      <c r="H61081" s="680" t="s">
        <v>6153</v>
      </c>
    </row>
    <row r="61082" spans="8:8">
      <c r="H61082" s="680" t="s">
        <v>6153</v>
      </c>
    </row>
    <row r="61083" spans="8:8">
      <c r="H61083" s="680" t="s">
        <v>6153</v>
      </c>
    </row>
    <row r="61084" spans="8:8">
      <c r="H61084" s="680" t="s">
        <v>6153</v>
      </c>
    </row>
    <row r="61085" spans="8:8">
      <c r="H61085" s="680" t="s">
        <v>6153</v>
      </c>
    </row>
    <row r="61086" spans="8:8">
      <c r="H61086" s="680" t="s">
        <v>6153</v>
      </c>
    </row>
    <row r="61087" spans="8:8">
      <c r="H61087" s="680" t="s">
        <v>6153</v>
      </c>
    </row>
    <row r="61088" spans="8:8">
      <c r="H61088" s="680" t="s">
        <v>6153</v>
      </c>
    </row>
    <row r="61089" spans="8:8">
      <c r="H61089" s="680" t="s">
        <v>6153</v>
      </c>
    </row>
    <row r="61090" spans="8:8">
      <c r="H61090" s="680" t="s">
        <v>6153</v>
      </c>
    </row>
    <row r="61091" spans="8:8">
      <c r="H61091" s="680" t="s">
        <v>6153</v>
      </c>
    </row>
    <row r="61092" spans="8:8">
      <c r="H61092" s="680" t="s">
        <v>6153</v>
      </c>
    </row>
    <row r="61093" spans="8:8">
      <c r="H61093" s="680" t="s">
        <v>6153</v>
      </c>
    </row>
    <row r="61094" spans="8:8">
      <c r="H61094" s="680" t="s">
        <v>6153</v>
      </c>
    </row>
    <row r="61095" spans="8:8">
      <c r="H61095" s="680" t="s">
        <v>6153</v>
      </c>
    </row>
    <row r="61096" spans="8:8">
      <c r="H61096" s="680" t="s">
        <v>6153</v>
      </c>
    </row>
    <row r="61097" spans="8:8">
      <c r="H61097" s="680" t="s">
        <v>6153</v>
      </c>
    </row>
    <row r="61098" spans="8:8">
      <c r="H61098" s="680" t="s">
        <v>6153</v>
      </c>
    </row>
    <row r="61099" spans="8:8">
      <c r="H61099" s="680" t="s">
        <v>6153</v>
      </c>
    </row>
    <row r="61100" spans="8:8">
      <c r="H61100" s="680" t="s">
        <v>6153</v>
      </c>
    </row>
    <row r="61101" spans="8:8">
      <c r="H61101" s="680" t="s">
        <v>6153</v>
      </c>
    </row>
    <row r="61102" spans="8:8">
      <c r="H61102" s="680" t="s">
        <v>6153</v>
      </c>
    </row>
    <row r="61103" spans="8:8">
      <c r="H61103" s="680" t="s">
        <v>6153</v>
      </c>
    </row>
    <row r="61104" spans="8:8">
      <c r="H61104" s="680" t="s">
        <v>6153</v>
      </c>
    </row>
    <row r="61105" spans="8:8">
      <c r="H61105" s="680" t="s">
        <v>6153</v>
      </c>
    </row>
    <row r="61106" spans="8:8">
      <c r="H61106" s="680" t="s">
        <v>6153</v>
      </c>
    </row>
    <row r="61107" spans="8:8">
      <c r="H61107" s="680" t="s">
        <v>6153</v>
      </c>
    </row>
    <row r="61108" spans="8:8">
      <c r="H61108" s="680" t="s">
        <v>6153</v>
      </c>
    </row>
    <row r="61109" spans="8:8">
      <c r="H61109" s="680" t="s">
        <v>6153</v>
      </c>
    </row>
    <row r="61110" spans="8:8">
      <c r="H61110" s="680" t="s">
        <v>6153</v>
      </c>
    </row>
    <row r="61111" spans="8:8">
      <c r="H61111" s="680" t="s">
        <v>6153</v>
      </c>
    </row>
    <row r="61112" spans="8:8">
      <c r="H61112" s="680" t="s">
        <v>6153</v>
      </c>
    </row>
    <row r="61113" spans="8:8">
      <c r="H61113" s="680" t="s">
        <v>6153</v>
      </c>
    </row>
    <row r="61114" spans="8:8">
      <c r="H61114" s="680" t="s">
        <v>6153</v>
      </c>
    </row>
    <row r="61115" spans="8:8">
      <c r="H61115" s="680" t="s">
        <v>6153</v>
      </c>
    </row>
    <row r="61116" spans="8:8">
      <c r="H61116" s="680" t="s">
        <v>6153</v>
      </c>
    </row>
    <row r="61117" spans="8:8">
      <c r="H61117" s="680" t="s">
        <v>6153</v>
      </c>
    </row>
    <row r="61118" spans="8:8">
      <c r="H61118" s="680" t="s">
        <v>6153</v>
      </c>
    </row>
    <row r="61119" spans="8:8">
      <c r="H61119" s="680" t="s">
        <v>6153</v>
      </c>
    </row>
    <row r="61120" spans="8:8">
      <c r="H61120" s="680" t="s">
        <v>6153</v>
      </c>
    </row>
    <row r="61121" spans="8:8">
      <c r="H61121" s="680" t="s">
        <v>6153</v>
      </c>
    </row>
    <row r="61122" spans="8:8">
      <c r="H61122" s="680" t="s">
        <v>6153</v>
      </c>
    </row>
    <row r="61123" spans="8:8">
      <c r="H61123" s="680" t="s">
        <v>6153</v>
      </c>
    </row>
    <row r="61124" spans="8:8">
      <c r="H61124" s="680" t="s">
        <v>6153</v>
      </c>
    </row>
    <row r="61125" spans="8:8">
      <c r="H61125" s="680" t="s">
        <v>6153</v>
      </c>
    </row>
    <row r="61126" spans="8:8">
      <c r="H61126" s="680" t="s">
        <v>6153</v>
      </c>
    </row>
    <row r="61127" spans="8:8">
      <c r="H61127" s="680" t="s">
        <v>6153</v>
      </c>
    </row>
    <row r="61128" spans="8:8">
      <c r="H61128" s="680" t="s">
        <v>6153</v>
      </c>
    </row>
    <row r="61129" spans="8:8">
      <c r="H61129" s="680" t="s">
        <v>6153</v>
      </c>
    </row>
    <row r="61130" spans="8:8">
      <c r="H61130" s="680" t="s">
        <v>6153</v>
      </c>
    </row>
    <row r="61131" spans="8:8">
      <c r="H61131" s="680" t="s">
        <v>6153</v>
      </c>
    </row>
    <row r="61132" spans="8:8">
      <c r="H61132" s="680" t="s">
        <v>6153</v>
      </c>
    </row>
    <row r="61133" spans="8:8">
      <c r="H61133" s="680" t="s">
        <v>6153</v>
      </c>
    </row>
    <row r="61134" spans="8:8">
      <c r="H61134" s="680" t="s">
        <v>6153</v>
      </c>
    </row>
    <row r="61135" spans="8:8">
      <c r="H61135" s="680" t="s">
        <v>6153</v>
      </c>
    </row>
    <row r="61136" spans="8:8">
      <c r="H61136" s="680" t="s">
        <v>6153</v>
      </c>
    </row>
    <row r="61137" spans="8:8">
      <c r="H61137" s="680" t="s">
        <v>6153</v>
      </c>
    </row>
    <row r="61138" spans="8:8">
      <c r="H61138" s="680" t="s">
        <v>6153</v>
      </c>
    </row>
    <row r="61139" spans="8:8">
      <c r="H61139" s="680" t="s">
        <v>6153</v>
      </c>
    </row>
    <row r="61140" spans="8:8">
      <c r="H61140" s="680" t="s">
        <v>6153</v>
      </c>
    </row>
    <row r="61141" spans="8:8">
      <c r="H61141" s="680" t="s">
        <v>6153</v>
      </c>
    </row>
    <row r="61142" spans="8:8">
      <c r="H61142" s="680" t="s">
        <v>6153</v>
      </c>
    </row>
    <row r="61143" spans="8:8">
      <c r="H61143" s="680" t="s">
        <v>6153</v>
      </c>
    </row>
    <row r="61144" spans="8:8">
      <c r="H61144" s="680" t="s">
        <v>6153</v>
      </c>
    </row>
    <row r="61145" spans="8:8">
      <c r="H61145" s="680" t="s">
        <v>6153</v>
      </c>
    </row>
    <row r="61146" spans="8:8">
      <c r="H61146" s="680" t="s">
        <v>6153</v>
      </c>
    </row>
    <row r="61147" spans="8:8">
      <c r="H61147" s="680" t="s">
        <v>6153</v>
      </c>
    </row>
    <row r="61148" spans="8:8">
      <c r="H61148" s="680" t="s">
        <v>6153</v>
      </c>
    </row>
    <row r="61149" spans="8:8">
      <c r="H61149" s="680" t="s">
        <v>6153</v>
      </c>
    </row>
    <row r="61150" spans="8:8">
      <c r="H61150" s="680" t="s">
        <v>6153</v>
      </c>
    </row>
    <row r="61151" spans="8:8">
      <c r="H61151" s="680" t="s">
        <v>6153</v>
      </c>
    </row>
    <row r="61152" spans="8:8">
      <c r="H61152" s="680" t="s">
        <v>6153</v>
      </c>
    </row>
    <row r="61153" spans="8:8">
      <c r="H61153" s="680" t="s">
        <v>6153</v>
      </c>
    </row>
    <row r="61154" spans="8:8">
      <c r="H61154" s="680" t="s">
        <v>6153</v>
      </c>
    </row>
    <row r="61155" spans="8:8">
      <c r="H61155" s="680" t="s">
        <v>6153</v>
      </c>
    </row>
    <row r="61156" spans="8:8">
      <c r="H61156" s="680" t="s">
        <v>6153</v>
      </c>
    </row>
    <row r="61157" spans="8:8">
      <c r="H61157" s="680" t="s">
        <v>6153</v>
      </c>
    </row>
    <row r="61158" spans="8:8">
      <c r="H61158" s="680" t="s">
        <v>6153</v>
      </c>
    </row>
    <row r="61159" spans="8:8">
      <c r="H61159" s="680" t="s">
        <v>6153</v>
      </c>
    </row>
    <row r="61160" spans="8:8">
      <c r="H61160" s="680" t="s">
        <v>6153</v>
      </c>
    </row>
    <row r="61161" spans="8:8">
      <c r="H61161" s="680" t="s">
        <v>6153</v>
      </c>
    </row>
    <row r="61162" spans="8:8">
      <c r="H61162" s="680" t="s">
        <v>6153</v>
      </c>
    </row>
    <row r="61163" spans="8:8">
      <c r="H61163" s="680" t="s">
        <v>6153</v>
      </c>
    </row>
    <row r="61164" spans="8:8">
      <c r="H61164" s="680" t="s">
        <v>6153</v>
      </c>
    </row>
    <row r="61165" spans="8:8">
      <c r="H61165" s="680" t="s">
        <v>6153</v>
      </c>
    </row>
    <row r="61166" spans="8:8">
      <c r="H61166" s="680" t="s">
        <v>6153</v>
      </c>
    </row>
    <row r="61167" spans="8:8">
      <c r="H61167" s="680" t="s">
        <v>6153</v>
      </c>
    </row>
    <row r="61168" spans="8:8">
      <c r="H61168" s="680" t="s">
        <v>6153</v>
      </c>
    </row>
    <row r="61169" spans="8:8">
      <c r="H61169" s="680" t="s">
        <v>6153</v>
      </c>
    </row>
    <row r="61170" spans="8:8">
      <c r="H61170" s="680" t="s">
        <v>6153</v>
      </c>
    </row>
    <row r="61171" spans="8:8">
      <c r="H61171" s="680" t="s">
        <v>6153</v>
      </c>
    </row>
    <row r="61172" spans="8:8">
      <c r="H61172" s="680" t="s">
        <v>6153</v>
      </c>
    </row>
    <row r="61173" spans="8:8">
      <c r="H61173" s="680" t="s">
        <v>6153</v>
      </c>
    </row>
    <row r="61174" spans="8:8">
      <c r="H61174" s="680" t="s">
        <v>6153</v>
      </c>
    </row>
    <row r="61175" spans="8:8">
      <c r="H61175" s="680" t="s">
        <v>6153</v>
      </c>
    </row>
    <row r="61176" spans="8:8">
      <c r="H61176" s="680" t="s">
        <v>6153</v>
      </c>
    </row>
    <row r="61177" spans="8:8">
      <c r="H61177" s="680" t="s">
        <v>6153</v>
      </c>
    </row>
    <row r="61178" spans="8:8">
      <c r="H61178" s="680" t="s">
        <v>6153</v>
      </c>
    </row>
    <row r="61179" spans="8:8">
      <c r="H61179" s="680" t="s">
        <v>6153</v>
      </c>
    </row>
    <row r="61180" spans="8:8">
      <c r="H61180" s="680" t="s">
        <v>6153</v>
      </c>
    </row>
    <row r="61181" spans="8:8">
      <c r="H61181" s="680" t="s">
        <v>6153</v>
      </c>
    </row>
    <row r="61182" spans="8:8">
      <c r="H61182" s="680" t="s">
        <v>6153</v>
      </c>
    </row>
    <row r="61183" spans="8:8">
      <c r="H61183" s="680" t="s">
        <v>6153</v>
      </c>
    </row>
    <row r="61184" spans="8:8">
      <c r="H61184" s="680" t="s">
        <v>6153</v>
      </c>
    </row>
    <row r="61185" spans="8:8">
      <c r="H61185" s="680" t="s">
        <v>6153</v>
      </c>
    </row>
    <row r="61186" spans="8:8">
      <c r="H61186" s="680" t="s">
        <v>6153</v>
      </c>
    </row>
    <row r="61187" spans="8:8">
      <c r="H61187" s="680" t="s">
        <v>6153</v>
      </c>
    </row>
    <row r="61188" spans="8:8">
      <c r="H61188" s="680" t="s">
        <v>6153</v>
      </c>
    </row>
    <row r="61189" spans="8:8">
      <c r="H61189" s="680" t="s">
        <v>6153</v>
      </c>
    </row>
    <row r="61190" spans="8:8">
      <c r="H61190" s="680" t="s">
        <v>6153</v>
      </c>
    </row>
    <row r="61191" spans="8:8">
      <c r="H61191" s="680" t="s">
        <v>6153</v>
      </c>
    </row>
    <row r="61192" spans="8:8">
      <c r="H61192" s="680" t="s">
        <v>6153</v>
      </c>
    </row>
    <row r="61193" spans="8:8">
      <c r="H61193" s="680" t="s">
        <v>6153</v>
      </c>
    </row>
    <row r="61194" spans="8:8">
      <c r="H61194" s="680" t="s">
        <v>6153</v>
      </c>
    </row>
    <row r="61195" spans="8:8">
      <c r="H61195" s="680" t="s">
        <v>6153</v>
      </c>
    </row>
    <row r="61196" spans="8:8">
      <c r="H61196" s="680" t="s">
        <v>6153</v>
      </c>
    </row>
    <row r="61197" spans="8:8">
      <c r="H61197" s="680" t="s">
        <v>6153</v>
      </c>
    </row>
    <row r="61198" spans="8:8">
      <c r="H61198" s="680" t="s">
        <v>6153</v>
      </c>
    </row>
    <row r="61199" spans="8:8">
      <c r="H61199" s="680" t="s">
        <v>6153</v>
      </c>
    </row>
    <row r="61200" spans="8:8">
      <c r="H61200" s="680" t="s">
        <v>6153</v>
      </c>
    </row>
    <row r="61201" spans="8:8">
      <c r="H61201" s="680" t="s">
        <v>6153</v>
      </c>
    </row>
    <row r="61202" spans="8:8">
      <c r="H61202" s="680" t="s">
        <v>6153</v>
      </c>
    </row>
    <row r="61203" spans="8:8">
      <c r="H61203" s="680" t="s">
        <v>6153</v>
      </c>
    </row>
    <row r="61204" spans="8:8">
      <c r="H61204" s="680" t="s">
        <v>6153</v>
      </c>
    </row>
    <row r="61205" spans="8:8">
      <c r="H61205" s="680" t="s">
        <v>6153</v>
      </c>
    </row>
    <row r="61206" spans="8:8">
      <c r="H61206" s="680" t="s">
        <v>6153</v>
      </c>
    </row>
    <row r="61207" spans="8:8">
      <c r="H61207" s="680" t="s">
        <v>6153</v>
      </c>
    </row>
    <row r="61208" spans="8:8">
      <c r="H61208" s="680" t="s">
        <v>6153</v>
      </c>
    </row>
    <row r="61209" spans="8:8">
      <c r="H61209" s="680" t="s">
        <v>6153</v>
      </c>
    </row>
    <row r="61210" spans="8:8">
      <c r="H61210" s="680" t="s">
        <v>6153</v>
      </c>
    </row>
    <row r="61211" spans="8:8">
      <c r="H61211" s="680" t="s">
        <v>6153</v>
      </c>
    </row>
    <row r="61212" spans="8:8">
      <c r="H61212" s="680" t="s">
        <v>6153</v>
      </c>
    </row>
    <row r="61213" spans="8:8">
      <c r="H61213" s="680" t="s">
        <v>6153</v>
      </c>
    </row>
    <row r="61214" spans="8:8">
      <c r="H61214" s="680" t="s">
        <v>6153</v>
      </c>
    </row>
    <row r="61215" spans="8:8">
      <c r="H61215" s="680" t="s">
        <v>6153</v>
      </c>
    </row>
    <row r="61216" spans="8:8">
      <c r="H61216" s="680" t="s">
        <v>6153</v>
      </c>
    </row>
    <row r="61217" spans="8:8">
      <c r="H61217" s="680" t="s">
        <v>6153</v>
      </c>
    </row>
    <row r="61218" spans="8:8">
      <c r="H61218" s="680" t="s">
        <v>6153</v>
      </c>
    </row>
    <row r="61219" spans="8:8">
      <c r="H61219" s="680" t="s">
        <v>6153</v>
      </c>
    </row>
    <row r="61220" spans="8:8">
      <c r="H61220" s="680" t="s">
        <v>6153</v>
      </c>
    </row>
    <row r="61221" spans="8:8">
      <c r="H61221" s="680" t="s">
        <v>6153</v>
      </c>
    </row>
    <row r="61222" spans="8:8">
      <c r="H61222" s="680" t="s">
        <v>6153</v>
      </c>
    </row>
    <row r="61223" spans="8:8">
      <c r="H61223" s="680" t="s">
        <v>6153</v>
      </c>
    </row>
    <row r="61224" spans="8:8">
      <c r="H61224" s="680" t="s">
        <v>6153</v>
      </c>
    </row>
    <row r="61225" spans="8:8">
      <c r="H61225" s="680" t="s">
        <v>6153</v>
      </c>
    </row>
    <row r="61226" spans="8:8">
      <c r="H61226" s="680" t="s">
        <v>6153</v>
      </c>
    </row>
    <row r="61227" spans="8:8">
      <c r="H61227" s="680" t="s">
        <v>6153</v>
      </c>
    </row>
    <row r="61228" spans="8:8">
      <c r="H61228" s="680" t="s">
        <v>6153</v>
      </c>
    </row>
    <row r="61229" spans="8:8">
      <c r="H61229" s="680" t="s">
        <v>6153</v>
      </c>
    </row>
    <row r="61230" spans="8:8">
      <c r="H61230" s="680" t="s">
        <v>6153</v>
      </c>
    </row>
    <row r="61231" spans="8:8">
      <c r="H61231" s="680" t="s">
        <v>6153</v>
      </c>
    </row>
    <row r="61232" spans="8:8">
      <c r="H61232" s="680" t="s">
        <v>6153</v>
      </c>
    </row>
    <row r="61233" spans="8:8">
      <c r="H61233" s="680" t="s">
        <v>6153</v>
      </c>
    </row>
    <row r="61234" spans="8:8">
      <c r="H61234" s="680" t="s">
        <v>6153</v>
      </c>
    </row>
    <row r="61235" spans="8:8">
      <c r="H61235" s="680" t="s">
        <v>6153</v>
      </c>
    </row>
    <row r="61236" spans="8:8">
      <c r="H61236" s="680" t="s">
        <v>6153</v>
      </c>
    </row>
    <row r="61237" spans="8:8">
      <c r="H61237" s="680" t="s">
        <v>6153</v>
      </c>
    </row>
    <row r="61238" spans="8:8">
      <c r="H61238" s="680" t="s">
        <v>6153</v>
      </c>
    </row>
    <row r="61239" spans="8:8">
      <c r="H61239" s="680" t="s">
        <v>6153</v>
      </c>
    </row>
    <row r="61240" spans="8:8">
      <c r="H61240" s="680" t="s">
        <v>6153</v>
      </c>
    </row>
    <row r="61241" spans="8:8">
      <c r="H61241" s="680" t="s">
        <v>6153</v>
      </c>
    </row>
    <row r="61242" spans="8:8">
      <c r="H61242" s="680" t="s">
        <v>6153</v>
      </c>
    </row>
    <row r="61243" spans="8:8">
      <c r="H61243" s="680" t="s">
        <v>6153</v>
      </c>
    </row>
    <row r="61244" spans="8:8">
      <c r="H61244" s="680" t="s">
        <v>6153</v>
      </c>
    </row>
    <row r="61245" spans="8:8">
      <c r="H61245" s="680" t="s">
        <v>6153</v>
      </c>
    </row>
    <row r="61246" spans="8:8">
      <c r="H61246" s="680" t="s">
        <v>6153</v>
      </c>
    </row>
    <row r="61247" spans="8:8">
      <c r="H61247" s="680" t="s">
        <v>6153</v>
      </c>
    </row>
    <row r="61248" spans="8:8">
      <c r="H61248" s="680" t="s">
        <v>6153</v>
      </c>
    </row>
    <row r="61249" spans="8:8">
      <c r="H61249" s="680" t="s">
        <v>6153</v>
      </c>
    </row>
    <row r="61250" spans="8:8">
      <c r="H61250" s="680" t="s">
        <v>6153</v>
      </c>
    </row>
    <row r="61251" spans="8:8">
      <c r="H61251" s="680" t="s">
        <v>6153</v>
      </c>
    </row>
    <row r="61252" spans="8:8">
      <c r="H61252" s="680" t="s">
        <v>6153</v>
      </c>
    </row>
    <row r="61253" spans="8:8">
      <c r="H61253" s="680" t="s">
        <v>6153</v>
      </c>
    </row>
    <row r="61254" spans="8:8">
      <c r="H61254" s="680" t="s">
        <v>6153</v>
      </c>
    </row>
    <row r="61255" spans="8:8">
      <c r="H61255" s="680" t="s">
        <v>6153</v>
      </c>
    </row>
    <row r="61256" spans="8:8">
      <c r="H61256" s="680" t="s">
        <v>6153</v>
      </c>
    </row>
    <row r="61257" spans="8:8">
      <c r="H61257" s="680" t="s">
        <v>6153</v>
      </c>
    </row>
    <row r="61258" spans="8:8">
      <c r="H61258" s="680" t="s">
        <v>6153</v>
      </c>
    </row>
    <row r="61259" spans="8:8">
      <c r="H61259" s="680" t="s">
        <v>6153</v>
      </c>
    </row>
    <row r="61260" spans="8:8">
      <c r="H61260" s="680" t="s">
        <v>6153</v>
      </c>
    </row>
    <row r="61261" spans="8:8">
      <c r="H61261" s="680" t="s">
        <v>6153</v>
      </c>
    </row>
    <row r="61262" spans="8:8">
      <c r="H61262" s="680" t="s">
        <v>6153</v>
      </c>
    </row>
    <row r="61263" spans="8:8">
      <c r="H61263" s="680" t="s">
        <v>6153</v>
      </c>
    </row>
    <row r="61264" spans="8:8">
      <c r="H61264" s="680" t="s">
        <v>6153</v>
      </c>
    </row>
    <row r="61265" spans="8:8">
      <c r="H61265" s="680" t="s">
        <v>6153</v>
      </c>
    </row>
    <row r="61266" spans="8:8">
      <c r="H61266" s="680" t="s">
        <v>6153</v>
      </c>
    </row>
    <row r="61267" spans="8:8">
      <c r="H61267" s="680" t="s">
        <v>6153</v>
      </c>
    </row>
    <row r="61268" spans="8:8">
      <c r="H61268" s="680" t="s">
        <v>6153</v>
      </c>
    </row>
    <row r="61269" spans="8:8">
      <c r="H61269" s="680" t="s">
        <v>6153</v>
      </c>
    </row>
    <row r="61270" spans="8:8">
      <c r="H61270" s="680" t="s">
        <v>6153</v>
      </c>
    </row>
    <row r="61271" spans="8:8">
      <c r="H61271" s="680" t="s">
        <v>6153</v>
      </c>
    </row>
    <row r="61272" spans="8:8">
      <c r="H61272" s="680" t="s">
        <v>6153</v>
      </c>
    </row>
    <row r="61273" spans="8:8">
      <c r="H61273" s="680" t="s">
        <v>6153</v>
      </c>
    </row>
    <row r="61274" spans="8:8">
      <c r="H61274" s="680" t="s">
        <v>6153</v>
      </c>
    </row>
    <row r="61275" spans="8:8">
      <c r="H61275" s="680" t="s">
        <v>6153</v>
      </c>
    </row>
    <row r="61276" spans="8:8">
      <c r="H61276" s="680" t="s">
        <v>6153</v>
      </c>
    </row>
    <row r="61277" spans="8:8">
      <c r="H61277" s="680" t="s">
        <v>6153</v>
      </c>
    </row>
    <row r="61278" spans="8:8">
      <c r="H61278" s="680" t="s">
        <v>6153</v>
      </c>
    </row>
    <row r="61279" spans="8:8">
      <c r="H61279" s="680" t="s">
        <v>6153</v>
      </c>
    </row>
    <row r="61280" spans="8:8">
      <c r="H61280" s="680" t="s">
        <v>6153</v>
      </c>
    </row>
    <row r="61281" spans="8:8">
      <c r="H61281" s="680" t="s">
        <v>6153</v>
      </c>
    </row>
    <row r="61282" spans="8:8">
      <c r="H61282" s="680" t="s">
        <v>6153</v>
      </c>
    </row>
    <row r="61283" spans="8:8">
      <c r="H61283" s="680" t="s">
        <v>6153</v>
      </c>
    </row>
    <row r="61284" spans="8:8">
      <c r="H61284" s="680" t="s">
        <v>6153</v>
      </c>
    </row>
    <row r="61285" spans="8:8">
      <c r="H61285" s="680" t="s">
        <v>6153</v>
      </c>
    </row>
    <row r="61286" spans="8:8">
      <c r="H61286" s="680" t="s">
        <v>6153</v>
      </c>
    </row>
    <row r="61287" spans="8:8">
      <c r="H61287" s="680" t="s">
        <v>6153</v>
      </c>
    </row>
    <row r="61288" spans="8:8">
      <c r="H61288" s="680" t="s">
        <v>6153</v>
      </c>
    </row>
    <row r="61289" spans="8:8">
      <c r="H61289" s="680" t="s">
        <v>6153</v>
      </c>
    </row>
    <row r="61290" spans="8:8">
      <c r="H61290" s="680" t="s">
        <v>6153</v>
      </c>
    </row>
    <row r="61291" spans="8:8">
      <c r="H61291" s="680" t="s">
        <v>6153</v>
      </c>
    </row>
    <row r="61292" spans="8:8">
      <c r="H61292" s="680" t="s">
        <v>6153</v>
      </c>
    </row>
    <row r="61293" spans="8:8">
      <c r="H61293" s="680" t="s">
        <v>6153</v>
      </c>
    </row>
    <row r="61294" spans="8:8">
      <c r="H61294" s="680" t="s">
        <v>6153</v>
      </c>
    </row>
    <row r="61295" spans="8:8">
      <c r="H61295" s="680" t="s">
        <v>6153</v>
      </c>
    </row>
    <row r="61296" spans="8:8">
      <c r="H61296" s="680" t="s">
        <v>6153</v>
      </c>
    </row>
    <row r="61297" spans="8:8">
      <c r="H61297" s="680" t="s">
        <v>6153</v>
      </c>
    </row>
    <row r="61298" spans="8:8">
      <c r="H61298" s="680" t="s">
        <v>6153</v>
      </c>
    </row>
    <row r="61299" spans="8:8">
      <c r="H61299" s="680" t="s">
        <v>6153</v>
      </c>
    </row>
    <row r="61300" spans="8:8">
      <c r="H61300" s="680" t="s">
        <v>6153</v>
      </c>
    </row>
    <row r="61301" spans="8:8">
      <c r="H61301" s="680" t="s">
        <v>6153</v>
      </c>
    </row>
    <row r="61302" spans="8:8">
      <c r="H61302" s="680" t="s">
        <v>6153</v>
      </c>
    </row>
    <row r="61303" spans="8:8">
      <c r="H61303" s="680" t="s">
        <v>6153</v>
      </c>
    </row>
    <row r="61304" spans="8:8">
      <c r="H61304" s="680" t="s">
        <v>6153</v>
      </c>
    </row>
    <row r="61305" spans="8:8">
      <c r="H61305" s="680" t="s">
        <v>6153</v>
      </c>
    </row>
    <row r="61306" spans="8:8">
      <c r="H61306" s="680" t="s">
        <v>6153</v>
      </c>
    </row>
    <row r="61307" spans="8:8">
      <c r="H61307" s="680" t="s">
        <v>6153</v>
      </c>
    </row>
    <row r="61308" spans="8:8">
      <c r="H61308" s="680" t="s">
        <v>6153</v>
      </c>
    </row>
    <row r="61309" spans="8:8">
      <c r="H61309" s="680" t="s">
        <v>6153</v>
      </c>
    </row>
    <row r="61310" spans="8:8">
      <c r="H61310" s="680" t="s">
        <v>6153</v>
      </c>
    </row>
    <row r="61311" spans="8:8">
      <c r="H61311" s="680" t="s">
        <v>6153</v>
      </c>
    </row>
    <row r="61312" spans="8:8">
      <c r="H61312" s="680" t="s">
        <v>6153</v>
      </c>
    </row>
    <row r="61313" spans="8:8">
      <c r="H61313" s="680" t="s">
        <v>6153</v>
      </c>
    </row>
    <row r="61314" spans="8:8">
      <c r="H61314" s="680" t="s">
        <v>6153</v>
      </c>
    </row>
    <row r="61315" spans="8:8">
      <c r="H61315" s="680" t="s">
        <v>6153</v>
      </c>
    </row>
    <row r="61316" spans="8:8">
      <c r="H61316" s="680" t="s">
        <v>6153</v>
      </c>
    </row>
    <row r="61317" spans="8:8">
      <c r="H61317" s="680" t="s">
        <v>6153</v>
      </c>
    </row>
    <row r="61318" spans="8:8">
      <c r="H61318" s="680" t="s">
        <v>6153</v>
      </c>
    </row>
    <row r="61319" spans="8:8">
      <c r="H61319" s="680" t="s">
        <v>6153</v>
      </c>
    </row>
    <row r="61320" spans="8:8">
      <c r="H61320" s="680" t="s">
        <v>6153</v>
      </c>
    </row>
    <row r="61321" spans="8:8">
      <c r="H61321" s="680" t="s">
        <v>6153</v>
      </c>
    </row>
    <row r="61322" spans="8:8">
      <c r="H61322" s="680" t="s">
        <v>6153</v>
      </c>
    </row>
    <row r="61323" spans="8:8">
      <c r="H61323" s="680" t="s">
        <v>6153</v>
      </c>
    </row>
    <row r="61324" spans="8:8">
      <c r="H61324" s="680" t="s">
        <v>6153</v>
      </c>
    </row>
    <row r="61325" spans="8:8">
      <c r="H61325" s="680" t="s">
        <v>6153</v>
      </c>
    </row>
    <row r="61326" spans="8:8">
      <c r="H61326" s="680" t="s">
        <v>6153</v>
      </c>
    </row>
    <row r="61327" spans="8:8">
      <c r="H61327" s="680" t="s">
        <v>6153</v>
      </c>
    </row>
    <row r="61328" spans="8:8">
      <c r="H61328" s="680" t="s">
        <v>6153</v>
      </c>
    </row>
    <row r="61329" spans="8:8">
      <c r="H61329" s="680" t="s">
        <v>6153</v>
      </c>
    </row>
    <row r="61330" spans="8:8">
      <c r="H61330" s="680" t="s">
        <v>6153</v>
      </c>
    </row>
    <row r="61331" spans="8:8">
      <c r="H61331" s="680" t="s">
        <v>6153</v>
      </c>
    </row>
    <row r="61332" spans="8:8">
      <c r="H61332" s="680" t="s">
        <v>6153</v>
      </c>
    </row>
    <row r="61333" spans="8:8">
      <c r="H61333" s="680" t="s">
        <v>6153</v>
      </c>
    </row>
    <row r="61334" spans="8:8">
      <c r="H61334" s="680" t="s">
        <v>6153</v>
      </c>
    </row>
    <row r="61335" spans="8:8">
      <c r="H61335" s="680" t="s">
        <v>6153</v>
      </c>
    </row>
    <row r="61336" spans="8:8">
      <c r="H61336" s="680" t="s">
        <v>6153</v>
      </c>
    </row>
    <row r="61337" spans="8:8">
      <c r="H61337" s="680" t="s">
        <v>6153</v>
      </c>
    </row>
    <row r="61338" spans="8:8">
      <c r="H61338" s="680" t="s">
        <v>6153</v>
      </c>
    </row>
    <row r="61339" spans="8:8">
      <c r="H61339" s="680" t="s">
        <v>6153</v>
      </c>
    </row>
    <row r="61340" spans="8:8">
      <c r="H61340" s="680" t="s">
        <v>6153</v>
      </c>
    </row>
    <row r="61341" spans="8:8">
      <c r="H61341" s="680" t="s">
        <v>6153</v>
      </c>
    </row>
    <row r="61342" spans="8:8">
      <c r="H61342" s="680" t="s">
        <v>6153</v>
      </c>
    </row>
    <row r="61343" spans="8:8">
      <c r="H61343" s="680" t="s">
        <v>6153</v>
      </c>
    </row>
    <row r="61344" spans="8:8">
      <c r="H61344" s="680" t="s">
        <v>6153</v>
      </c>
    </row>
    <row r="61345" spans="8:8">
      <c r="H61345" s="680" t="s">
        <v>6153</v>
      </c>
    </row>
    <row r="61346" spans="8:8">
      <c r="H61346" s="680" t="s">
        <v>6153</v>
      </c>
    </row>
    <row r="61347" spans="8:8">
      <c r="H61347" s="680" t="s">
        <v>6153</v>
      </c>
    </row>
    <row r="61348" spans="8:8">
      <c r="H61348" s="680" t="s">
        <v>6153</v>
      </c>
    </row>
    <row r="61349" spans="8:8">
      <c r="H61349" s="680" t="s">
        <v>6153</v>
      </c>
    </row>
    <row r="61350" spans="8:8">
      <c r="H61350" s="680" t="s">
        <v>6153</v>
      </c>
    </row>
    <row r="61351" spans="8:8">
      <c r="H61351" s="680" t="s">
        <v>6153</v>
      </c>
    </row>
    <row r="61352" spans="8:8">
      <c r="H61352" s="680" t="s">
        <v>6153</v>
      </c>
    </row>
    <row r="61353" spans="8:8">
      <c r="H61353" s="680" t="s">
        <v>6153</v>
      </c>
    </row>
    <row r="61354" spans="8:8">
      <c r="H61354" s="680" t="s">
        <v>6153</v>
      </c>
    </row>
    <row r="61355" spans="8:8">
      <c r="H61355" s="680" t="s">
        <v>6153</v>
      </c>
    </row>
    <row r="61356" spans="8:8">
      <c r="H61356" s="680" t="s">
        <v>6153</v>
      </c>
    </row>
    <row r="61357" spans="8:8">
      <c r="H61357" s="680" t="s">
        <v>6153</v>
      </c>
    </row>
    <row r="61358" spans="8:8">
      <c r="H61358" s="680" t="s">
        <v>6153</v>
      </c>
    </row>
    <row r="61359" spans="8:8">
      <c r="H61359" s="680" t="s">
        <v>6153</v>
      </c>
    </row>
    <row r="61360" spans="8:8">
      <c r="H61360" s="680" t="s">
        <v>6153</v>
      </c>
    </row>
    <row r="61361" spans="8:8">
      <c r="H61361" s="680" t="s">
        <v>6153</v>
      </c>
    </row>
    <row r="61362" spans="8:8">
      <c r="H61362" s="680" t="s">
        <v>6153</v>
      </c>
    </row>
    <row r="61363" spans="8:8">
      <c r="H61363" s="680" t="s">
        <v>6153</v>
      </c>
    </row>
    <row r="61364" spans="8:8">
      <c r="H61364" s="680" t="s">
        <v>6153</v>
      </c>
    </row>
    <row r="61365" spans="8:8">
      <c r="H61365" s="680" t="s">
        <v>6153</v>
      </c>
    </row>
    <row r="61366" spans="8:8">
      <c r="H61366" s="680" t="s">
        <v>6153</v>
      </c>
    </row>
    <row r="61367" spans="8:8">
      <c r="H61367" s="680" t="s">
        <v>6153</v>
      </c>
    </row>
    <row r="61368" spans="8:8">
      <c r="H61368" s="680" t="s">
        <v>6153</v>
      </c>
    </row>
    <row r="61369" spans="8:8">
      <c r="H61369" s="680" t="s">
        <v>6153</v>
      </c>
    </row>
    <row r="61370" spans="8:8">
      <c r="H61370" s="680" t="s">
        <v>6153</v>
      </c>
    </row>
    <row r="61371" spans="8:8">
      <c r="H61371" s="680" t="s">
        <v>6153</v>
      </c>
    </row>
    <row r="61372" spans="8:8">
      <c r="H61372" s="680" t="s">
        <v>6153</v>
      </c>
    </row>
    <row r="61373" spans="8:8">
      <c r="H61373" s="680" t="s">
        <v>6153</v>
      </c>
    </row>
    <row r="61374" spans="8:8">
      <c r="H61374" s="680" t="s">
        <v>6153</v>
      </c>
    </row>
    <row r="61375" spans="8:8">
      <c r="H61375" s="680" t="s">
        <v>6153</v>
      </c>
    </row>
    <row r="61376" spans="8:8">
      <c r="H61376" s="680" t="s">
        <v>6153</v>
      </c>
    </row>
    <row r="61377" spans="8:8">
      <c r="H61377" s="680" t="s">
        <v>6153</v>
      </c>
    </row>
    <row r="61378" spans="8:8">
      <c r="H61378" s="680" t="s">
        <v>6153</v>
      </c>
    </row>
    <row r="61379" spans="8:8">
      <c r="H61379" s="680" t="s">
        <v>6153</v>
      </c>
    </row>
    <row r="61380" spans="8:8">
      <c r="H61380" s="680" t="s">
        <v>6153</v>
      </c>
    </row>
    <row r="61381" spans="8:8">
      <c r="H61381" s="680" t="s">
        <v>6153</v>
      </c>
    </row>
    <row r="61382" spans="8:8">
      <c r="H61382" s="680" t="s">
        <v>6153</v>
      </c>
    </row>
    <row r="61383" spans="8:8">
      <c r="H61383" s="680" t="s">
        <v>6153</v>
      </c>
    </row>
    <row r="61384" spans="8:8">
      <c r="H61384" s="680" t="s">
        <v>6153</v>
      </c>
    </row>
    <row r="61385" spans="8:8">
      <c r="H61385" s="680" t="s">
        <v>6153</v>
      </c>
    </row>
    <row r="61386" spans="8:8">
      <c r="H61386" s="680" t="s">
        <v>6153</v>
      </c>
    </row>
    <row r="61387" spans="8:8">
      <c r="H61387" s="680" t="s">
        <v>6153</v>
      </c>
    </row>
    <row r="61388" spans="8:8">
      <c r="H61388" s="680" t="s">
        <v>6153</v>
      </c>
    </row>
    <row r="61389" spans="8:8">
      <c r="H61389" s="680" t="s">
        <v>6153</v>
      </c>
    </row>
    <row r="61390" spans="8:8">
      <c r="H61390" s="680" t="s">
        <v>6153</v>
      </c>
    </row>
    <row r="61391" spans="8:8">
      <c r="H61391" s="680" t="s">
        <v>6153</v>
      </c>
    </row>
    <row r="61392" spans="8:8">
      <c r="H61392" s="680" t="s">
        <v>6153</v>
      </c>
    </row>
    <row r="61393" spans="8:8">
      <c r="H61393" s="680" t="s">
        <v>6153</v>
      </c>
    </row>
    <row r="61394" spans="8:8">
      <c r="H61394" s="680" t="s">
        <v>6153</v>
      </c>
    </row>
    <row r="61395" spans="8:8">
      <c r="H61395" s="680" t="s">
        <v>6153</v>
      </c>
    </row>
    <row r="61396" spans="8:8">
      <c r="H61396" s="680" t="s">
        <v>6153</v>
      </c>
    </row>
    <row r="61397" spans="8:8">
      <c r="H61397" s="680" t="s">
        <v>6153</v>
      </c>
    </row>
    <row r="61398" spans="8:8">
      <c r="H61398" s="680" t="s">
        <v>6153</v>
      </c>
    </row>
    <row r="61399" spans="8:8">
      <c r="H61399" s="680" t="s">
        <v>6153</v>
      </c>
    </row>
    <row r="61400" spans="8:8">
      <c r="H61400" s="680" t="s">
        <v>6153</v>
      </c>
    </row>
    <row r="61401" spans="8:8">
      <c r="H61401" s="680" t="s">
        <v>6153</v>
      </c>
    </row>
    <row r="61402" spans="8:8">
      <c r="H61402" s="680" t="s">
        <v>6153</v>
      </c>
    </row>
    <row r="61403" spans="8:8">
      <c r="H61403" s="680" t="s">
        <v>6153</v>
      </c>
    </row>
    <row r="61404" spans="8:8">
      <c r="H61404" s="680" t="s">
        <v>6153</v>
      </c>
    </row>
    <row r="61405" spans="8:8">
      <c r="H61405" s="680" t="s">
        <v>6153</v>
      </c>
    </row>
    <row r="61406" spans="8:8">
      <c r="H61406" s="680" t="s">
        <v>6153</v>
      </c>
    </row>
    <row r="61407" spans="8:8">
      <c r="H61407" s="680" t="s">
        <v>6153</v>
      </c>
    </row>
    <row r="61408" spans="8:8">
      <c r="H61408" s="680" t="s">
        <v>6153</v>
      </c>
    </row>
    <row r="61409" spans="8:8">
      <c r="H61409" s="680" t="s">
        <v>6153</v>
      </c>
    </row>
    <row r="61410" spans="8:8">
      <c r="H61410" s="680" t="s">
        <v>6153</v>
      </c>
    </row>
    <row r="61411" spans="8:8">
      <c r="H61411" s="680" t="s">
        <v>6153</v>
      </c>
    </row>
    <row r="61412" spans="8:8">
      <c r="H61412" s="680" t="s">
        <v>6153</v>
      </c>
    </row>
    <row r="61413" spans="8:8">
      <c r="H61413" s="680" t="s">
        <v>6153</v>
      </c>
    </row>
    <row r="61414" spans="8:8">
      <c r="H61414" s="680" t="s">
        <v>6153</v>
      </c>
    </row>
    <row r="61415" spans="8:8">
      <c r="H61415" s="680" t="s">
        <v>6153</v>
      </c>
    </row>
    <row r="61416" spans="8:8">
      <c r="H61416" s="680" t="s">
        <v>6153</v>
      </c>
    </row>
    <row r="61417" spans="8:8">
      <c r="H61417" s="680" t="s">
        <v>6153</v>
      </c>
    </row>
    <row r="61418" spans="8:8">
      <c r="H61418" s="680" t="s">
        <v>6153</v>
      </c>
    </row>
    <row r="61419" spans="8:8">
      <c r="H61419" s="680" t="s">
        <v>6153</v>
      </c>
    </row>
    <row r="61420" spans="8:8">
      <c r="H61420" s="680" t="s">
        <v>6153</v>
      </c>
    </row>
    <row r="61421" spans="8:8">
      <c r="H61421" s="680" t="s">
        <v>6153</v>
      </c>
    </row>
    <row r="61422" spans="8:8">
      <c r="H61422" s="680" t="s">
        <v>6153</v>
      </c>
    </row>
    <row r="61423" spans="8:8">
      <c r="H61423" s="680" t="s">
        <v>6153</v>
      </c>
    </row>
    <row r="61424" spans="8:8">
      <c r="H61424" s="680" t="s">
        <v>6153</v>
      </c>
    </row>
    <row r="61425" spans="8:8">
      <c r="H61425" s="680" t="s">
        <v>6153</v>
      </c>
    </row>
    <row r="61426" spans="8:8">
      <c r="H61426" s="680" t="s">
        <v>6153</v>
      </c>
    </row>
    <row r="61427" spans="8:8">
      <c r="H61427" s="680" t="s">
        <v>6153</v>
      </c>
    </row>
    <row r="61428" spans="8:8">
      <c r="H61428" s="680" t="s">
        <v>6153</v>
      </c>
    </row>
    <row r="61429" spans="8:8">
      <c r="H61429" s="680" t="s">
        <v>6153</v>
      </c>
    </row>
    <row r="61430" spans="8:8">
      <c r="H61430" s="680" t="s">
        <v>6153</v>
      </c>
    </row>
    <row r="61431" spans="8:8">
      <c r="H61431" s="680" t="s">
        <v>6153</v>
      </c>
    </row>
    <row r="61432" spans="8:8">
      <c r="H61432" s="680" t="s">
        <v>6153</v>
      </c>
    </row>
    <row r="61433" spans="8:8">
      <c r="H61433" s="680" t="s">
        <v>6153</v>
      </c>
    </row>
    <row r="61434" spans="8:8">
      <c r="H61434" s="680" t="s">
        <v>6153</v>
      </c>
    </row>
    <row r="61435" spans="8:8">
      <c r="H61435" s="680" t="s">
        <v>6153</v>
      </c>
    </row>
    <row r="61436" spans="8:8">
      <c r="H61436" s="680" t="s">
        <v>6153</v>
      </c>
    </row>
    <row r="61437" spans="8:8">
      <c r="H61437" s="680" t="s">
        <v>6153</v>
      </c>
    </row>
    <row r="61438" spans="8:8">
      <c r="H61438" s="680" t="s">
        <v>6153</v>
      </c>
    </row>
    <row r="61439" spans="8:8">
      <c r="H61439" s="680" t="s">
        <v>6153</v>
      </c>
    </row>
    <row r="61440" spans="8:8">
      <c r="H61440" s="680" t="s">
        <v>6153</v>
      </c>
    </row>
    <row r="61441" spans="8:8">
      <c r="H61441" s="680" t="s">
        <v>6153</v>
      </c>
    </row>
    <row r="61442" spans="8:8">
      <c r="H61442" s="680" t="s">
        <v>6153</v>
      </c>
    </row>
    <row r="61443" spans="8:8">
      <c r="H61443" s="680" t="s">
        <v>6153</v>
      </c>
    </row>
    <row r="61444" spans="8:8">
      <c r="H61444" s="680" t="s">
        <v>6153</v>
      </c>
    </row>
    <row r="61445" spans="8:8">
      <c r="H61445" s="680" t="s">
        <v>6153</v>
      </c>
    </row>
    <row r="61446" spans="8:8">
      <c r="H61446" s="680" t="s">
        <v>6153</v>
      </c>
    </row>
    <row r="61447" spans="8:8">
      <c r="H61447" s="680" t="s">
        <v>6153</v>
      </c>
    </row>
    <row r="61448" spans="8:8">
      <c r="H61448" s="680" t="s">
        <v>6153</v>
      </c>
    </row>
    <row r="61449" spans="8:8">
      <c r="H61449" s="680" t="s">
        <v>6153</v>
      </c>
    </row>
    <row r="61450" spans="8:8">
      <c r="H61450" s="680" t="s">
        <v>6153</v>
      </c>
    </row>
    <row r="61451" spans="8:8">
      <c r="H61451" s="680" t="s">
        <v>6153</v>
      </c>
    </row>
    <row r="61452" spans="8:8">
      <c r="H61452" s="680" t="s">
        <v>6153</v>
      </c>
    </row>
    <row r="61453" spans="8:8">
      <c r="H61453" s="680" t="s">
        <v>6153</v>
      </c>
    </row>
    <row r="61454" spans="8:8">
      <c r="H61454" s="680" t="s">
        <v>6153</v>
      </c>
    </row>
    <row r="61455" spans="8:8">
      <c r="H61455" s="680" t="s">
        <v>6153</v>
      </c>
    </row>
    <row r="61456" spans="8:8">
      <c r="H61456" s="680" t="s">
        <v>6153</v>
      </c>
    </row>
    <row r="61457" spans="8:8">
      <c r="H61457" s="680" t="s">
        <v>6153</v>
      </c>
    </row>
    <row r="61458" spans="8:8">
      <c r="H61458" s="680" t="s">
        <v>6153</v>
      </c>
    </row>
    <row r="61459" spans="8:8">
      <c r="H61459" s="680" t="s">
        <v>6153</v>
      </c>
    </row>
    <row r="61460" spans="8:8">
      <c r="H61460" s="680" t="s">
        <v>6153</v>
      </c>
    </row>
    <row r="61461" spans="8:8">
      <c r="H61461" s="680" t="s">
        <v>6153</v>
      </c>
    </row>
    <row r="61462" spans="8:8">
      <c r="H61462" s="680" t="s">
        <v>6153</v>
      </c>
    </row>
    <row r="61463" spans="8:8">
      <c r="H61463" s="680" t="s">
        <v>6153</v>
      </c>
    </row>
    <row r="61464" spans="8:8">
      <c r="H61464" s="680" t="s">
        <v>6153</v>
      </c>
    </row>
    <row r="61465" spans="8:8">
      <c r="H61465" s="680" t="s">
        <v>6153</v>
      </c>
    </row>
    <row r="61466" spans="8:8">
      <c r="H61466" s="680" t="s">
        <v>6153</v>
      </c>
    </row>
    <row r="61467" spans="8:8">
      <c r="H61467" s="680" t="s">
        <v>6153</v>
      </c>
    </row>
    <row r="61468" spans="8:8">
      <c r="H61468" s="680" t="s">
        <v>6153</v>
      </c>
    </row>
    <row r="61469" spans="8:8">
      <c r="H61469" s="680" t="s">
        <v>6153</v>
      </c>
    </row>
    <row r="61470" spans="8:8">
      <c r="H61470" s="680" t="s">
        <v>6153</v>
      </c>
    </row>
    <row r="61471" spans="8:8">
      <c r="H61471" s="680" t="s">
        <v>6153</v>
      </c>
    </row>
    <row r="61472" spans="8:8">
      <c r="H61472" s="680" t="s">
        <v>6153</v>
      </c>
    </row>
    <row r="61473" spans="8:8">
      <c r="H61473" s="680" t="s">
        <v>6153</v>
      </c>
    </row>
    <row r="61474" spans="8:8">
      <c r="H61474" s="680" t="s">
        <v>6153</v>
      </c>
    </row>
    <row r="61475" spans="8:8">
      <c r="H61475" s="680" t="s">
        <v>6153</v>
      </c>
    </row>
    <row r="61476" spans="8:8">
      <c r="H61476" s="680" t="s">
        <v>6153</v>
      </c>
    </row>
    <row r="61477" spans="8:8">
      <c r="H61477" s="680" t="s">
        <v>6153</v>
      </c>
    </row>
    <row r="61478" spans="8:8">
      <c r="H61478" s="680" t="s">
        <v>6153</v>
      </c>
    </row>
    <row r="61479" spans="8:8">
      <c r="H61479" s="680" t="s">
        <v>6153</v>
      </c>
    </row>
    <row r="61480" spans="8:8">
      <c r="H61480" s="680" t="s">
        <v>6153</v>
      </c>
    </row>
    <row r="61481" spans="8:8">
      <c r="H61481" s="680" t="s">
        <v>6153</v>
      </c>
    </row>
    <row r="61482" spans="8:8">
      <c r="H61482" s="680" t="s">
        <v>6153</v>
      </c>
    </row>
    <row r="61483" spans="8:8">
      <c r="H61483" s="680" t="s">
        <v>6153</v>
      </c>
    </row>
    <row r="61484" spans="8:8">
      <c r="H61484" s="680" t="s">
        <v>6153</v>
      </c>
    </row>
    <row r="61485" spans="8:8">
      <c r="H61485" s="680" t="s">
        <v>6153</v>
      </c>
    </row>
    <row r="61486" spans="8:8">
      <c r="H61486" s="680" t="s">
        <v>6153</v>
      </c>
    </row>
    <row r="61487" spans="8:8">
      <c r="H61487" s="680" t="s">
        <v>6153</v>
      </c>
    </row>
    <row r="61488" spans="8:8">
      <c r="H61488" s="680" t="s">
        <v>6153</v>
      </c>
    </row>
    <row r="61489" spans="8:8">
      <c r="H61489" s="680" t="s">
        <v>6153</v>
      </c>
    </row>
    <row r="61490" spans="8:8">
      <c r="H61490" s="680" t="s">
        <v>6153</v>
      </c>
    </row>
    <row r="61491" spans="8:8">
      <c r="H61491" s="680" t="s">
        <v>6153</v>
      </c>
    </row>
    <row r="61492" spans="8:8">
      <c r="H61492" s="680" t="s">
        <v>6153</v>
      </c>
    </row>
    <row r="61493" spans="8:8">
      <c r="H61493" s="680" t="s">
        <v>6153</v>
      </c>
    </row>
    <row r="61494" spans="8:8">
      <c r="H61494" s="680" t="s">
        <v>6153</v>
      </c>
    </row>
    <row r="61495" spans="8:8">
      <c r="H61495" s="680" t="s">
        <v>6153</v>
      </c>
    </row>
    <row r="61496" spans="8:8">
      <c r="H61496" s="680" t="s">
        <v>6153</v>
      </c>
    </row>
    <row r="61497" spans="8:8">
      <c r="H61497" s="680" t="s">
        <v>6153</v>
      </c>
    </row>
    <row r="61498" spans="8:8">
      <c r="H61498" s="680" t="s">
        <v>6153</v>
      </c>
    </row>
    <row r="61499" spans="8:8">
      <c r="H61499" s="680" t="s">
        <v>6153</v>
      </c>
    </row>
    <row r="61500" spans="8:8">
      <c r="H61500" s="680" t="s">
        <v>6153</v>
      </c>
    </row>
    <row r="61501" spans="8:8">
      <c r="H61501" s="680" t="s">
        <v>6153</v>
      </c>
    </row>
    <row r="61502" spans="8:8">
      <c r="H61502" s="680" t="s">
        <v>6153</v>
      </c>
    </row>
    <row r="61503" spans="8:8">
      <c r="H61503" s="680" t="s">
        <v>6153</v>
      </c>
    </row>
    <row r="61504" spans="8:8">
      <c r="H61504" s="680" t="s">
        <v>6153</v>
      </c>
    </row>
    <row r="61505" spans="8:8">
      <c r="H61505" s="680" t="s">
        <v>6153</v>
      </c>
    </row>
    <row r="61506" spans="8:8">
      <c r="H61506" s="680" t="s">
        <v>6153</v>
      </c>
    </row>
    <row r="61507" spans="8:8">
      <c r="H61507" s="680" t="s">
        <v>6153</v>
      </c>
    </row>
    <row r="61508" spans="8:8">
      <c r="H61508" s="680" t="s">
        <v>6153</v>
      </c>
    </row>
    <row r="61509" spans="8:8">
      <c r="H61509" s="680" t="s">
        <v>6153</v>
      </c>
    </row>
    <row r="61510" spans="8:8">
      <c r="H61510" s="680" t="s">
        <v>6153</v>
      </c>
    </row>
    <row r="61511" spans="8:8">
      <c r="H61511" s="680" t="s">
        <v>6153</v>
      </c>
    </row>
    <row r="61512" spans="8:8">
      <c r="H61512" s="680" t="s">
        <v>6153</v>
      </c>
    </row>
    <row r="61513" spans="8:8">
      <c r="H61513" s="680" t="s">
        <v>6153</v>
      </c>
    </row>
    <row r="61514" spans="8:8">
      <c r="H61514" s="680" t="s">
        <v>6153</v>
      </c>
    </row>
    <row r="61515" spans="8:8">
      <c r="H61515" s="680" t="s">
        <v>6153</v>
      </c>
    </row>
    <row r="61516" spans="8:8">
      <c r="H61516" s="680" t="s">
        <v>6153</v>
      </c>
    </row>
    <row r="61517" spans="8:8">
      <c r="H61517" s="680" t="s">
        <v>6153</v>
      </c>
    </row>
    <row r="61518" spans="8:8">
      <c r="H61518" s="680" t="s">
        <v>6153</v>
      </c>
    </row>
    <row r="61519" spans="8:8">
      <c r="H61519" s="680" t="s">
        <v>6153</v>
      </c>
    </row>
    <row r="61520" spans="8:8">
      <c r="H61520" s="680" t="s">
        <v>6153</v>
      </c>
    </row>
    <row r="61521" spans="8:8">
      <c r="H61521" s="680" t="s">
        <v>6153</v>
      </c>
    </row>
    <row r="61522" spans="8:8">
      <c r="H61522" s="680" t="s">
        <v>6153</v>
      </c>
    </row>
    <row r="61523" spans="8:8">
      <c r="H61523" s="680" t="s">
        <v>6153</v>
      </c>
    </row>
    <row r="61524" spans="8:8">
      <c r="H61524" s="680" t="s">
        <v>6153</v>
      </c>
    </row>
    <row r="61525" spans="8:8">
      <c r="H61525" s="680" t="s">
        <v>6153</v>
      </c>
    </row>
    <row r="61526" spans="8:8">
      <c r="H61526" s="680" t="s">
        <v>6153</v>
      </c>
    </row>
    <row r="61527" spans="8:8">
      <c r="H61527" s="680" t="s">
        <v>6153</v>
      </c>
    </row>
    <row r="61528" spans="8:8">
      <c r="H61528" s="680" t="s">
        <v>6153</v>
      </c>
    </row>
    <row r="61529" spans="8:8">
      <c r="H61529" s="680" t="s">
        <v>6153</v>
      </c>
    </row>
    <row r="61530" spans="8:8">
      <c r="H61530" s="680" t="s">
        <v>6153</v>
      </c>
    </row>
    <row r="61531" spans="8:8">
      <c r="H61531" s="680" t="s">
        <v>6153</v>
      </c>
    </row>
    <row r="61532" spans="8:8">
      <c r="H61532" s="680" t="s">
        <v>6153</v>
      </c>
    </row>
    <row r="61533" spans="8:8">
      <c r="H61533" s="680" t="s">
        <v>6153</v>
      </c>
    </row>
    <row r="61534" spans="8:8">
      <c r="H61534" s="680" t="s">
        <v>6153</v>
      </c>
    </row>
    <row r="61535" spans="8:8">
      <c r="H61535" s="680" t="s">
        <v>6153</v>
      </c>
    </row>
    <row r="61536" spans="8:8">
      <c r="H61536" s="680" t="s">
        <v>6153</v>
      </c>
    </row>
    <row r="61537" spans="8:8">
      <c r="H61537" s="680" t="s">
        <v>6153</v>
      </c>
    </row>
    <row r="61538" spans="8:8">
      <c r="H61538" s="680" t="s">
        <v>6153</v>
      </c>
    </row>
    <row r="61539" spans="8:8">
      <c r="H61539" s="680" t="s">
        <v>6153</v>
      </c>
    </row>
    <row r="61540" spans="8:8">
      <c r="H61540" s="680" t="s">
        <v>6153</v>
      </c>
    </row>
    <row r="61541" spans="8:8">
      <c r="H61541" s="680" t="s">
        <v>6153</v>
      </c>
    </row>
    <row r="61542" spans="8:8">
      <c r="H61542" s="680" t="s">
        <v>6153</v>
      </c>
    </row>
    <row r="61543" spans="8:8">
      <c r="H61543" s="680" t="s">
        <v>6153</v>
      </c>
    </row>
    <row r="61544" spans="8:8">
      <c r="H61544" s="680" t="s">
        <v>6153</v>
      </c>
    </row>
    <row r="61545" spans="8:8">
      <c r="H61545" s="680" t="s">
        <v>6153</v>
      </c>
    </row>
    <row r="61546" spans="8:8">
      <c r="H61546" s="680" t="s">
        <v>6153</v>
      </c>
    </row>
    <row r="61547" spans="8:8">
      <c r="H61547" s="680" t="s">
        <v>6153</v>
      </c>
    </row>
    <row r="61548" spans="8:8">
      <c r="H61548" s="680" t="s">
        <v>6153</v>
      </c>
    </row>
    <row r="61549" spans="8:8">
      <c r="H61549" s="680" t="s">
        <v>6153</v>
      </c>
    </row>
    <row r="61550" spans="8:8">
      <c r="H61550" s="680" t="s">
        <v>6153</v>
      </c>
    </row>
    <row r="61551" spans="8:8">
      <c r="H61551" s="680" t="s">
        <v>6153</v>
      </c>
    </row>
    <row r="61552" spans="8:8">
      <c r="H61552" s="680" t="s">
        <v>6153</v>
      </c>
    </row>
    <row r="61553" spans="8:8">
      <c r="H61553" s="680" t="s">
        <v>6153</v>
      </c>
    </row>
    <row r="61554" spans="8:8">
      <c r="H61554" s="680" t="s">
        <v>6153</v>
      </c>
    </row>
    <row r="61555" spans="8:8">
      <c r="H61555" s="680" t="s">
        <v>6153</v>
      </c>
    </row>
    <row r="61556" spans="8:8">
      <c r="H61556" s="680" t="s">
        <v>6153</v>
      </c>
    </row>
    <row r="61557" spans="8:8">
      <c r="H61557" s="680" t="s">
        <v>6153</v>
      </c>
    </row>
    <row r="61558" spans="8:8">
      <c r="H61558" s="680" t="s">
        <v>6153</v>
      </c>
    </row>
    <row r="61559" spans="8:8">
      <c r="H61559" s="680" t="s">
        <v>6153</v>
      </c>
    </row>
    <row r="61560" spans="8:8">
      <c r="H61560" s="680" t="s">
        <v>6153</v>
      </c>
    </row>
    <row r="61561" spans="8:8">
      <c r="H61561" s="680" t="s">
        <v>6153</v>
      </c>
    </row>
    <row r="61562" spans="8:8">
      <c r="H61562" s="680" t="s">
        <v>6153</v>
      </c>
    </row>
    <row r="61563" spans="8:8">
      <c r="H61563" s="680" t="s">
        <v>6153</v>
      </c>
    </row>
    <row r="61564" spans="8:8">
      <c r="H61564" s="680" t="s">
        <v>6153</v>
      </c>
    </row>
    <row r="61565" spans="8:8">
      <c r="H61565" s="680" t="s">
        <v>6153</v>
      </c>
    </row>
    <row r="61566" spans="8:8">
      <c r="H61566" s="680" t="s">
        <v>6153</v>
      </c>
    </row>
    <row r="61567" spans="8:8">
      <c r="H61567" s="680" t="s">
        <v>6153</v>
      </c>
    </row>
    <row r="61568" spans="8:8">
      <c r="H61568" s="680" t="s">
        <v>6153</v>
      </c>
    </row>
    <row r="61569" spans="8:8">
      <c r="H61569" s="680" t="s">
        <v>6153</v>
      </c>
    </row>
    <row r="61570" spans="8:8">
      <c r="H61570" s="680" t="s">
        <v>6153</v>
      </c>
    </row>
    <row r="61571" spans="8:8">
      <c r="H61571" s="680" t="s">
        <v>6153</v>
      </c>
    </row>
    <row r="61572" spans="8:8">
      <c r="H61572" s="680" t="s">
        <v>6153</v>
      </c>
    </row>
    <row r="61573" spans="8:8">
      <c r="H61573" s="680" t="s">
        <v>6153</v>
      </c>
    </row>
    <row r="61574" spans="8:8">
      <c r="H61574" s="680" t="s">
        <v>6153</v>
      </c>
    </row>
    <row r="61575" spans="8:8">
      <c r="H61575" s="680" t="s">
        <v>6153</v>
      </c>
    </row>
    <row r="61576" spans="8:8">
      <c r="H61576" s="680" t="s">
        <v>6153</v>
      </c>
    </row>
    <row r="61577" spans="8:8">
      <c r="H61577" s="680" t="s">
        <v>6153</v>
      </c>
    </row>
    <row r="61578" spans="8:8">
      <c r="H61578" s="680" t="s">
        <v>6153</v>
      </c>
    </row>
    <row r="61579" spans="8:8">
      <c r="H61579" s="680" t="s">
        <v>6153</v>
      </c>
    </row>
    <row r="61580" spans="8:8">
      <c r="H61580" s="680" t="s">
        <v>6153</v>
      </c>
    </row>
    <row r="61581" spans="8:8">
      <c r="H61581" s="680" t="s">
        <v>6153</v>
      </c>
    </row>
    <row r="61582" spans="8:8">
      <c r="H61582" s="680" t="s">
        <v>6153</v>
      </c>
    </row>
    <row r="61583" spans="8:8">
      <c r="H61583" s="680" t="s">
        <v>6153</v>
      </c>
    </row>
    <row r="61584" spans="8:8">
      <c r="H61584" s="680" t="s">
        <v>6153</v>
      </c>
    </row>
    <row r="61585" spans="8:8">
      <c r="H61585" s="680" t="s">
        <v>6153</v>
      </c>
    </row>
    <row r="61586" spans="8:8">
      <c r="H61586" s="680" t="s">
        <v>6153</v>
      </c>
    </row>
    <row r="61587" spans="8:8">
      <c r="H61587" s="680" t="s">
        <v>6153</v>
      </c>
    </row>
    <row r="61588" spans="8:8">
      <c r="H61588" s="680" t="s">
        <v>6153</v>
      </c>
    </row>
    <row r="61589" spans="8:8">
      <c r="H61589" s="680" t="s">
        <v>6153</v>
      </c>
    </row>
    <row r="61590" spans="8:8">
      <c r="H61590" s="680" t="s">
        <v>6153</v>
      </c>
    </row>
    <row r="61591" spans="8:8">
      <c r="H61591" s="680" t="s">
        <v>6153</v>
      </c>
    </row>
    <row r="61592" spans="8:8">
      <c r="H61592" s="680" t="s">
        <v>6153</v>
      </c>
    </row>
    <row r="61593" spans="8:8">
      <c r="H61593" s="680" t="s">
        <v>6153</v>
      </c>
    </row>
    <row r="61594" spans="8:8">
      <c r="H61594" s="680" t="s">
        <v>6153</v>
      </c>
    </row>
    <row r="61595" spans="8:8">
      <c r="H61595" s="680" t="s">
        <v>6153</v>
      </c>
    </row>
    <row r="61596" spans="8:8">
      <c r="H61596" s="680" t="s">
        <v>6153</v>
      </c>
    </row>
    <row r="61597" spans="8:8">
      <c r="H61597" s="680" t="s">
        <v>6153</v>
      </c>
    </row>
    <row r="61598" spans="8:8">
      <c r="H61598" s="680" t="s">
        <v>6153</v>
      </c>
    </row>
    <row r="61599" spans="8:8">
      <c r="H61599" s="680" t="s">
        <v>6153</v>
      </c>
    </row>
    <row r="61600" spans="8:8">
      <c r="H61600" s="680" t="s">
        <v>6153</v>
      </c>
    </row>
    <row r="61601" spans="8:8">
      <c r="H61601" s="680" t="s">
        <v>6153</v>
      </c>
    </row>
    <row r="61602" spans="8:8">
      <c r="H61602" s="680" t="s">
        <v>6153</v>
      </c>
    </row>
    <row r="61603" spans="8:8">
      <c r="H61603" s="680" t="s">
        <v>6153</v>
      </c>
    </row>
    <row r="61604" spans="8:8">
      <c r="H61604" s="680" t="s">
        <v>6153</v>
      </c>
    </row>
    <row r="61605" spans="8:8">
      <c r="H61605" s="680" t="s">
        <v>6153</v>
      </c>
    </row>
    <row r="61606" spans="8:8">
      <c r="H61606" s="680" t="s">
        <v>6153</v>
      </c>
    </row>
    <row r="61607" spans="8:8">
      <c r="H61607" s="680" t="s">
        <v>6153</v>
      </c>
    </row>
    <row r="61608" spans="8:8">
      <c r="H61608" s="680" t="s">
        <v>6153</v>
      </c>
    </row>
    <row r="61609" spans="8:8">
      <c r="H61609" s="680" t="s">
        <v>6153</v>
      </c>
    </row>
    <row r="61610" spans="8:8">
      <c r="H61610" s="680" t="s">
        <v>6153</v>
      </c>
    </row>
    <row r="61611" spans="8:8">
      <c r="H61611" s="680" t="s">
        <v>6153</v>
      </c>
    </row>
    <row r="61612" spans="8:8">
      <c r="H61612" s="680" t="s">
        <v>6153</v>
      </c>
    </row>
    <row r="61613" spans="8:8">
      <c r="H61613" s="680" t="s">
        <v>6153</v>
      </c>
    </row>
    <row r="61614" spans="8:8">
      <c r="H61614" s="680" t="s">
        <v>6153</v>
      </c>
    </row>
    <row r="61615" spans="8:8">
      <c r="H61615" s="680" t="s">
        <v>6153</v>
      </c>
    </row>
    <row r="61616" spans="8:8">
      <c r="H61616" s="680" t="s">
        <v>6153</v>
      </c>
    </row>
    <row r="61617" spans="8:8">
      <c r="H61617" s="680" t="s">
        <v>6153</v>
      </c>
    </row>
    <row r="61618" spans="8:8">
      <c r="H61618" s="680" t="s">
        <v>6153</v>
      </c>
    </row>
    <row r="61619" spans="8:8">
      <c r="H61619" s="680" t="s">
        <v>6153</v>
      </c>
    </row>
    <row r="61620" spans="8:8">
      <c r="H61620" s="680" t="s">
        <v>6153</v>
      </c>
    </row>
    <row r="61621" spans="8:8">
      <c r="H61621" s="680" t="s">
        <v>6153</v>
      </c>
    </row>
    <row r="61622" spans="8:8">
      <c r="H61622" s="680" t="s">
        <v>6153</v>
      </c>
    </row>
    <row r="61623" spans="8:8">
      <c r="H61623" s="680" t="s">
        <v>6153</v>
      </c>
    </row>
    <row r="61624" spans="8:8">
      <c r="H61624" s="680" t="s">
        <v>6153</v>
      </c>
    </row>
    <row r="61625" spans="8:8">
      <c r="H61625" s="680" t="s">
        <v>6153</v>
      </c>
    </row>
    <row r="61626" spans="8:8">
      <c r="H61626" s="680" t="s">
        <v>6153</v>
      </c>
    </row>
    <row r="61627" spans="8:8">
      <c r="H61627" s="680" t="s">
        <v>6153</v>
      </c>
    </row>
    <row r="61628" spans="8:8">
      <c r="H61628" s="680" t="s">
        <v>6153</v>
      </c>
    </row>
    <row r="61629" spans="8:8">
      <c r="H61629" s="680" t="s">
        <v>6153</v>
      </c>
    </row>
    <row r="61630" spans="8:8">
      <c r="H61630" s="680" t="s">
        <v>6153</v>
      </c>
    </row>
    <row r="61631" spans="8:8">
      <c r="H61631" s="680" t="s">
        <v>6153</v>
      </c>
    </row>
    <row r="61632" spans="8:8">
      <c r="H61632" s="680" t="s">
        <v>6153</v>
      </c>
    </row>
    <row r="61633" spans="8:8">
      <c r="H61633" s="680" t="s">
        <v>6153</v>
      </c>
    </row>
    <row r="61634" spans="8:8">
      <c r="H61634" s="680" t="s">
        <v>6153</v>
      </c>
    </row>
    <row r="61635" spans="8:8">
      <c r="H61635" s="680" t="s">
        <v>6153</v>
      </c>
    </row>
    <row r="61636" spans="8:8">
      <c r="H61636" s="680" t="s">
        <v>6153</v>
      </c>
    </row>
    <row r="61637" spans="8:8">
      <c r="H61637" s="680" t="s">
        <v>6153</v>
      </c>
    </row>
    <row r="61638" spans="8:8">
      <c r="H61638" s="680" t="s">
        <v>6153</v>
      </c>
    </row>
    <row r="61639" spans="8:8">
      <c r="H61639" s="680" t="s">
        <v>6153</v>
      </c>
    </row>
    <row r="61640" spans="8:8">
      <c r="H61640" s="680" t="s">
        <v>6153</v>
      </c>
    </row>
    <row r="61641" spans="8:8">
      <c r="H61641" s="680" t="s">
        <v>6153</v>
      </c>
    </row>
    <row r="61642" spans="8:8">
      <c r="H61642" s="680" t="s">
        <v>6153</v>
      </c>
    </row>
    <row r="61643" spans="8:8">
      <c r="H61643" s="680" t="s">
        <v>6153</v>
      </c>
    </row>
    <row r="61644" spans="8:8">
      <c r="H61644" s="680" t="s">
        <v>6153</v>
      </c>
    </row>
    <row r="61645" spans="8:8">
      <c r="H61645" s="680" t="s">
        <v>6153</v>
      </c>
    </row>
    <row r="61646" spans="8:8">
      <c r="H61646" s="680" t="s">
        <v>6153</v>
      </c>
    </row>
    <row r="61647" spans="8:8">
      <c r="H61647" s="680" t="s">
        <v>6153</v>
      </c>
    </row>
    <row r="61648" spans="8:8">
      <c r="H61648" s="680" t="s">
        <v>6153</v>
      </c>
    </row>
    <row r="61649" spans="8:8">
      <c r="H61649" s="680" t="s">
        <v>6153</v>
      </c>
    </row>
    <row r="61650" spans="8:8">
      <c r="H61650" s="680" t="s">
        <v>6153</v>
      </c>
    </row>
    <row r="61651" spans="8:8">
      <c r="H61651" s="680" t="s">
        <v>6153</v>
      </c>
    </row>
    <row r="61652" spans="8:8">
      <c r="H61652" s="680" t="s">
        <v>6153</v>
      </c>
    </row>
    <row r="61653" spans="8:8">
      <c r="H61653" s="680" t="s">
        <v>6153</v>
      </c>
    </row>
    <row r="61654" spans="8:8">
      <c r="H61654" s="680" t="s">
        <v>6153</v>
      </c>
    </row>
    <row r="61655" spans="8:8">
      <c r="H61655" s="680" t="s">
        <v>6153</v>
      </c>
    </row>
    <row r="61656" spans="8:8">
      <c r="H61656" s="680" t="s">
        <v>6153</v>
      </c>
    </row>
    <row r="61657" spans="8:8">
      <c r="H61657" s="680" t="s">
        <v>6153</v>
      </c>
    </row>
    <row r="61658" spans="8:8">
      <c r="H61658" s="680" t="s">
        <v>6153</v>
      </c>
    </row>
    <row r="61659" spans="8:8">
      <c r="H61659" s="680" t="s">
        <v>6153</v>
      </c>
    </row>
    <row r="61660" spans="8:8">
      <c r="H61660" s="680" t="s">
        <v>6153</v>
      </c>
    </row>
    <row r="61661" spans="8:8">
      <c r="H61661" s="680" t="s">
        <v>6153</v>
      </c>
    </row>
    <row r="61662" spans="8:8">
      <c r="H61662" s="680" t="s">
        <v>6153</v>
      </c>
    </row>
    <row r="61663" spans="8:8">
      <c r="H61663" s="680" t="s">
        <v>6153</v>
      </c>
    </row>
    <row r="61664" spans="8:8">
      <c r="H61664" s="680" t="s">
        <v>6153</v>
      </c>
    </row>
    <row r="61665" spans="8:8">
      <c r="H61665" s="680" t="s">
        <v>6153</v>
      </c>
    </row>
    <row r="61666" spans="8:8">
      <c r="H61666" s="680" t="s">
        <v>6153</v>
      </c>
    </row>
    <row r="61667" spans="8:8">
      <c r="H61667" s="680" t="s">
        <v>6153</v>
      </c>
    </row>
    <row r="61668" spans="8:8">
      <c r="H61668" s="680" t="s">
        <v>6153</v>
      </c>
    </row>
    <row r="61669" spans="8:8">
      <c r="H61669" s="680" t="s">
        <v>6153</v>
      </c>
    </row>
    <row r="61670" spans="8:8">
      <c r="H61670" s="680" t="s">
        <v>6153</v>
      </c>
    </row>
    <row r="61671" spans="8:8">
      <c r="H61671" s="680" t="s">
        <v>6153</v>
      </c>
    </row>
    <row r="61672" spans="8:8">
      <c r="H61672" s="680" t="s">
        <v>6153</v>
      </c>
    </row>
    <row r="61673" spans="8:8">
      <c r="H61673" s="680" t="s">
        <v>6153</v>
      </c>
    </row>
    <row r="61674" spans="8:8">
      <c r="H61674" s="680" t="s">
        <v>6153</v>
      </c>
    </row>
    <row r="61675" spans="8:8">
      <c r="H61675" s="680" t="s">
        <v>6153</v>
      </c>
    </row>
    <row r="61676" spans="8:8">
      <c r="H61676" s="680" t="s">
        <v>6153</v>
      </c>
    </row>
    <row r="61677" spans="8:8">
      <c r="H61677" s="680" t="s">
        <v>6153</v>
      </c>
    </row>
    <row r="61678" spans="8:8">
      <c r="H61678" s="680" t="s">
        <v>6153</v>
      </c>
    </row>
    <row r="61679" spans="8:8">
      <c r="H61679" s="680" t="s">
        <v>6153</v>
      </c>
    </row>
    <row r="61680" spans="8:8">
      <c r="H61680" s="680" t="s">
        <v>6153</v>
      </c>
    </row>
    <row r="61681" spans="8:8">
      <c r="H61681" s="680" t="s">
        <v>6153</v>
      </c>
    </row>
    <row r="61682" spans="8:8">
      <c r="H61682" s="680" t="s">
        <v>6153</v>
      </c>
    </row>
    <row r="61683" spans="8:8">
      <c r="H61683" s="680" t="s">
        <v>6153</v>
      </c>
    </row>
    <row r="61684" spans="8:8">
      <c r="H61684" s="680" t="s">
        <v>6153</v>
      </c>
    </row>
    <row r="61685" spans="8:8">
      <c r="H61685" s="680" t="s">
        <v>6153</v>
      </c>
    </row>
    <row r="61686" spans="8:8">
      <c r="H61686" s="680" t="s">
        <v>6153</v>
      </c>
    </row>
    <row r="61687" spans="8:8">
      <c r="H61687" s="680" t="s">
        <v>6153</v>
      </c>
    </row>
    <row r="61688" spans="8:8">
      <c r="H61688" s="680" t="s">
        <v>6153</v>
      </c>
    </row>
    <row r="61689" spans="8:8">
      <c r="H61689" s="680" t="s">
        <v>6153</v>
      </c>
    </row>
    <row r="61690" spans="8:8">
      <c r="H61690" s="680" t="s">
        <v>6153</v>
      </c>
    </row>
    <row r="61691" spans="8:8">
      <c r="H61691" s="680" t="s">
        <v>6153</v>
      </c>
    </row>
    <row r="61692" spans="8:8">
      <c r="H61692" s="680" t="s">
        <v>6153</v>
      </c>
    </row>
    <row r="61693" spans="8:8">
      <c r="H61693" s="680" t="s">
        <v>6153</v>
      </c>
    </row>
    <row r="61694" spans="8:8">
      <c r="H61694" s="680" t="s">
        <v>6153</v>
      </c>
    </row>
    <row r="61695" spans="8:8">
      <c r="H61695" s="680" t="s">
        <v>6153</v>
      </c>
    </row>
    <row r="61696" spans="8:8">
      <c r="H61696" s="680" t="s">
        <v>6153</v>
      </c>
    </row>
    <row r="61697" spans="8:8">
      <c r="H61697" s="680" t="s">
        <v>6153</v>
      </c>
    </row>
    <row r="61698" spans="8:8">
      <c r="H61698" s="680" t="s">
        <v>6153</v>
      </c>
    </row>
    <row r="61699" spans="8:8">
      <c r="H61699" s="680" t="s">
        <v>6153</v>
      </c>
    </row>
    <row r="61700" spans="8:8">
      <c r="H61700" s="680" t="s">
        <v>6153</v>
      </c>
    </row>
    <row r="61701" spans="8:8">
      <c r="H61701" s="680" t="s">
        <v>6153</v>
      </c>
    </row>
    <row r="61702" spans="8:8">
      <c r="H61702" s="680" t="s">
        <v>6153</v>
      </c>
    </row>
    <row r="61703" spans="8:8">
      <c r="H61703" s="680" t="s">
        <v>6153</v>
      </c>
    </row>
    <row r="61704" spans="8:8">
      <c r="H61704" s="680" t="s">
        <v>6153</v>
      </c>
    </row>
    <row r="61705" spans="8:8">
      <c r="H61705" s="680" t="s">
        <v>6153</v>
      </c>
    </row>
    <row r="61706" spans="8:8">
      <c r="H61706" s="680" t="s">
        <v>6153</v>
      </c>
    </row>
    <row r="61707" spans="8:8">
      <c r="H61707" s="680" t="s">
        <v>6153</v>
      </c>
    </row>
    <row r="61708" spans="8:8">
      <c r="H61708" s="680" t="s">
        <v>6153</v>
      </c>
    </row>
    <row r="61709" spans="8:8">
      <c r="H61709" s="680" t="s">
        <v>6153</v>
      </c>
    </row>
    <row r="61710" spans="8:8">
      <c r="H61710" s="680" t="s">
        <v>6153</v>
      </c>
    </row>
    <row r="61711" spans="8:8">
      <c r="H61711" s="680" t="s">
        <v>6153</v>
      </c>
    </row>
    <row r="61712" spans="8:8">
      <c r="H61712" s="680" t="s">
        <v>6153</v>
      </c>
    </row>
    <row r="61713" spans="8:8">
      <c r="H61713" s="680" t="s">
        <v>6153</v>
      </c>
    </row>
    <row r="61714" spans="8:8">
      <c r="H61714" s="680" t="s">
        <v>6153</v>
      </c>
    </row>
    <row r="61715" spans="8:8">
      <c r="H61715" s="680" t="s">
        <v>6153</v>
      </c>
    </row>
    <row r="61716" spans="8:8">
      <c r="H61716" s="680" t="s">
        <v>6153</v>
      </c>
    </row>
    <row r="61717" spans="8:8">
      <c r="H61717" s="680" t="s">
        <v>6153</v>
      </c>
    </row>
    <row r="61718" spans="8:8">
      <c r="H61718" s="680" t="s">
        <v>6153</v>
      </c>
    </row>
    <row r="61719" spans="8:8">
      <c r="H61719" s="680" t="s">
        <v>6153</v>
      </c>
    </row>
    <row r="61720" spans="8:8">
      <c r="H61720" s="680" t="s">
        <v>6153</v>
      </c>
    </row>
    <row r="61721" spans="8:8">
      <c r="H61721" s="680" t="s">
        <v>6153</v>
      </c>
    </row>
    <row r="61722" spans="8:8">
      <c r="H61722" s="680" t="s">
        <v>6153</v>
      </c>
    </row>
    <row r="61723" spans="8:8">
      <c r="H61723" s="680" t="s">
        <v>6153</v>
      </c>
    </row>
    <row r="61724" spans="8:8">
      <c r="H61724" s="680" t="s">
        <v>6153</v>
      </c>
    </row>
    <row r="61725" spans="8:8">
      <c r="H61725" s="680" t="s">
        <v>6153</v>
      </c>
    </row>
    <row r="61726" spans="8:8">
      <c r="H61726" s="680" t="s">
        <v>6153</v>
      </c>
    </row>
    <row r="61727" spans="8:8">
      <c r="H61727" s="680" t="s">
        <v>6153</v>
      </c>
    </row>
    <row r="61728" spans="8:8">
      <c r="H61728" s="680" t="s">
        <v>6153</v>
      </c>
    </row>
    <row r="61729" spans="8:8">
      <c r="H61729" s="680" t="s">
        <v>6153</v>
      </c>
    </row>
    <row r="61730" spans="8:8">
      <c r="H61730" s="680" t="s">
        <v>6153</v>
      </c>
    </row>
    <row r="61731" spans="8:8">
      <c r="H61731" s="680" t="s">
        <v>6153</v>
      </c>
    </row>
    <row r="61732" spans="8:8">
      <c r="H61732" s="680" t="s">
        <v>6153</v>
      </c>
    </row>
    <row r="61733" spans="8:8">
      <c r="H61733" s="680" t="s">
        <v>6153</v>
      </c>
    </row>
    <row r="61734" spans="8:8">
      <c r="H61734" s="680" t="s">
        <v>6153</v>
      </c>
    </row>
    <row r="61735" spans="8:8">
      <c r="H61735" s="680" t="s">
        <v>6153</v>
      </c>
    </row>
    <row r="61736" spans="8:8">
      <c r="H61736" s="680" t="s">
        <v>6153</v>
      </c>
    </row>
    <row r="61737" spans="8:8">
      <c r="H61737" s="680" t="s">
        <v>6153</v>
      </c>
    </row>
    <row r="61738" spans="8:8">
      <c r="H61738" s="680" t="s">
        <v>6153</v>
      </c>
    </row>
    <row r="61739" spans="8:8">
      <c r="H61739" s="680" t="s">
        <v>6153</v>
      </c>
    </row>
    <row r="61740" spans="8:8">
      <c r="H61740" s="680" t="s">
        <v>6153</v>
      </c>
    </row>
    <row r="61741" spans="8:8">
      <c r="H61741" s="680" t="s">
        <v>6153</v>
      </c>
    </row>
    <row r="61742" spans="8:8">
      <c r="H61742" s="680" t="s">
        <v>6153</v>
      </c>
    </row>
    <row r="61743" spans="8:8">
      <c r="H61743" s="680" t="s">
        <v>6153</v>
      </c>
    </row>
    <row r="61744" spans="8:8">
      <c r="H61744" s="680" t="s">
        <v>6153</v>
      </c>
    </row>
    <row r="61745" spans="8:8">
      <c r="H61745" s="680" t="s">
        <v>6153</v>
      </c>
    </row>
    <row r="61746" spans="8:8">
      <c r="H61746" s="680" t="s">
        <v>6153</v>
      </c>
    </row>
    <row r="61747" spans="8:8">
      <c r="H61747" s="680" t="s">
        <v>6153</v>
      </c>
    </row>
    <row r="61748" spans="8:8">
      <c r="H61748" s="680" t="s">
        <v>6153</v>
      </c>
    </row>
    <row r="61749" spans="8:8">
      <c r="H61749" s="680" t="s">
        <v>6153</v>
      </c>
    </row>
    <row r="61750" spans="8:8">
      <c r="H61750" s="680" t="s">
        <v>6153</v>
      </c>
    </row>
    <row r="61751" spans="8:8">
      <c r="H61751" s="680" t="s">
        <v>6153</v>
      </c>
    </row>
    <row r="61752" spans="8:8">
      <c r="H61752" s="680" t="s">
        <v>6153</v>
      </c>
    </row>
    <row r="61753" spans="8:8">
      <c r="H61753" s="680" t="s">
        <v>6153</v>
      </c>
    </row>
    <row r="61754" spans="8:8">
      <c r="H61754" s="680" t="s">
        <v>6153</v>
      </c>
    </row>
    <row r="61755" spans="8:8">
      <c r="H61755" s="680" t="s">
        <v>6153</v>
      </c>
    </row>
    <row r="61756" spans="8:8">
      <c r="H61756" s="680" t="s">
        <v>6153</v>
      </c>
    </row>
    <row r="61757" spans="8:8">
      <c r="H61757" s="680" t="s">
        <v>6153</v>
      </c>
    </row>
    <row r="61758" spans="8:8">
      <c r="H61758" s="680" t="s">
        <v>6153</v>
      </c>
    </row>
    <row r="61759" spans="8:8">
      <c r="H61759" s="680" t="s">
        <v>6153</v>
      </c>
    </row>
    <row r="61760" spans="8:8">
      <c r="H61760" s="680" t="s">
        <v>6153</v>
      </c>
    </row>
    <row r="61761" spans="8:8">
      <c r="H61761" s="680" t="s">
        <v>6153</v>
      </c>
    </row>
    <row r="61762" spans="8:8">
      <c r="H61762" s="680" t="s">
        <v>6153</v>
      </c>
    </row>
    <row r="61763" spans="8:8">
      <c r="H61763" s="680" t="s">
        <v>6153</v>
      </c>
    </row>
    <row r="61764" spans="8:8">
      <c r="H61764" s="680" t="s">
        <v>6153</v>
      </c>
    </row>
    <row r="61765" spans="8:8">
      <c r="H61765" s="680" t="s">
        <v>6153</v>
      </c>
    </row>
    <row r="61766" spans="8:8">
      <c r="H61766" s="680" t="s">
        <v>6153</v>
      </c>
    </row>
    <row r="61767" spans="8:8">
      <c r="H61767" s="680" t="s">
        <v>6153</v>
      </c>
    </row>
    <row r="61768" spans="8:8">
      <c r="H61768" s="680" t="s">
        <v>6153</v>
      </c>
    </row>
    <row r="61769" spans="8:8">
      <c r="H61769" s="680" t="s">
        <v>6153</v>
      </c>
    </row>
    <row r="61770" spans="8:8">
      <c r="H61770" s="680" t="s">
        <v>6153</v>
      </c>
    </row>
    <row r="61771" spans="8:8">
      <c r="H61771" s="680" t="s">
        <v>6153</v>
      </c>
    </row>
    <row r="61772" spans="8:8">
      <c r="H61772" s="680" t="s">
        <v>6153</v>
      </c>
    </row>
    <row r="61773" spans="8:8">
      <c r="H61773" s="680" t="s">
        <v>6153</v>
      </c>
    </row>
    <row r="61774" spans="8:8">
      <c r="H61774" s="680" t="s">
        <v>6153</v>
      </c>
    </row>
    <row r="61775" spans="8:8">
      <c r="H61775" s="680" t="s">
        <v>6153</v>
      </c>
    </row>
    <row r="61776" spans="8:8">
      <c r="H61776" s="680" t="s">
        <v>6153</v>
      </c>
    </row>
    <row r="61777" spans="8:8">
      <c r="H61777" s="680" t="s">
        <v>6153</v>
      </c>
    </row>
    <row r="61778" spans="8:8">
      <c r="H61778" s="680" t="s">
        <v>6153</v>
      </c>
    </row>
    <row r="61779" spans="8:8">
      <c r="H61779" s="680" t="s">
        <v>6153</v>
      </c>
    </row>
    <row r="61780" spans="8:8">
      <c r="H61780" s="680" t="s">
        <v>6153</v>
      </c>
    </row>
    <row r="61781" spans="8:8">
      <c r="H61781" s="680" t="s">
        <v>6153</v>
      </c>
    </row>
    <row r="61782" spans="8:8">
      <c r="H61782" s="680" t="s">
        <v>6153</v>
      </c>
    </row>
    <row r="61783" spans="8:8">
      <c r="H61783" s="680" t="s">
        <v>6153</v>
      </c>
    </row>
    <row r="61784" spans="8:8">
      <c r="H61784" s="680" t="s">
        <v>6153</v>
      </c>
    </row>
    <row r="61785" spans="8:8">
      <c r="H61785" s="680" t="s">
        <v>6153</v>
      </c>
    </row>
    <row r="61786" spans="8:8">
      <c r="H61786" s="680" t="s">
        <v>6153</v>
      </c>
    </row>
    <row r="61787" spans="8:8">
      <c r="H61787" s="680" t="s">
        <v>6153</v>
      </c>
    </row>
    <row r="61788" spans="8:8">
      <c r="H61788" s="680" t="s">
        <v>6153</v>
      </c>
    </row>
    <row r="61789" spans="8:8">
      <c r="H61789" s="680" t="s">
        <v>6153</v>
      </c>
    </row>
    <row r="61790" spans="8:8">
      <c r="H61790" s="680" t="s">
        <v>6153</v>
      </c>
    </row>
    <row r="61791" spans="8:8">
      <c r="H61791" s="680" t="s">
        <v>6153</v>
      </c>
    </row>
    <row r="61792" spans="8:8">
      <c r="H61792" s="680" t="s">
        <v>6153</v>
      </c>
    </row>
    <row r="61793" spans="8:8">
      <c r="H61793" s="680" t="s">
        <v>6153</v>
      </c>
    </row>
    <row r="61794" spans="8:8">
      <c r="H61794" s="680" t="s">
        <v>6153</v>
      </c>
    </row>
    <row r="61795" spans="8:8">
      <c r="H61795" s="680" t="s">
        <v>6153</v>
      </c>
    </row>
    <row r="61796" spans="8:8">
      <c r="H61796" s="680" t="s">
        <v>6153</v>
      </c>
    </row>
    <row r="61797" spans="8:8">
      <c r="H61797" s="680" t="s">
        <v>6153</v>
      </c>
    </row>
    <row r="61798" spans="8:8">
      <c r="H61798" s="680" t="s">
        <v>6153</v>
      </c>
    </row>
    <row r="61799" spans="8:8">
      <c r="H61799" s="680" t="s">
        <v>6153</v>
      </c>
    </row>
    <row r="61800" spans="8:8">
      <c r="H61800" s="680" t="s">
        <v>6153</v>
      </c>
    </row>
    <row r="61801" spans="8:8">
      <c r="H61801" s="680" t="s">
        <v>6153</v>
      </c>
    </row>
    <row r="61802" spans="8:8">
      <c r="H61802" s="680" t="s">
        <v>6153</v>
      </c>
    </row>
    <row r="61803" spans="8:8">
      <c r="H61803" s="680" t="s">
        <v>6153</v>
      </c>
    </row>
    <row r="61804" spans="8:8">
      <c r="H61804" s="680" t="s">
        <v>6153</v>
      </c>
    </row>
    <row r="61805" spans="8:8">
      <c r="H61805" s="680" t="s">
        <v>6153</v>
      </c>
    </row>
    <row r="61806" spans="8:8">
      <c r="H61806" s="680" t="s">
        <v>6153</v>
      </c>
    </row>
    <row r="61807" spans="8:8">
      <c r="H61807" s="680" t="s">
        <v>6153</v>
      </c>
    </row>
    <row r="61808" spans="8:8">
      <c r="H61808" s="680" t="s">
        <v>6153</v>
      </c>
    </row>
    <row r="61809" spans="8:8">
      <c r="H61809" s="680" t="s">
        <v>6153</v>
      </c>
    </row>
    <row r="61810" spans="8:8">
      <c r="H61810" s="680" t="s">
        <v>6153</v>
      </c>
    </row>
    <row r="61811" spans="8:8">
      <c r="H61811" s="680" t="s">
        <v>6153</v>
      </c>
    </row>
    <row r="61812" spans="8:8">
      <c r="H61812" s="680" t="s">
        <v>6153</v>
      </c>
    </row>
    <row r="61813" spans="8:8">
      <c r="H61813" s="680" t="s">
        <v>6153</v>
      </c>
    </row>
    <row r="61814" spans="8:8">
      <c r="H61814" s="680" t="s">
        <v>6153</v>
      </c>
    </row>
    <row r="61815" spans="8:8">
      <c r="H61815" s="680" t="s">
        <v>6153</v>
      </c>
    </row>
    <row r="61816" spans="8:8">
      <c r="H61816" s="680" t="s">
        <v>6153</v>
      </c>
    </row>
    <row r="61817" spans="8:8">
      <c r="H61817" s="680" t="s">
        <v>6153</v>
      </c>
    </row>
    <row r="61818" spans="8:8">
      <c r="H61818" s="680" t="s">
        <v>6153</v>
      </c>
    </row>
    <row r="61819" spans="8:8">
      <c r="H61819" s="680" t="s">
        <v>6153</v>
      </c>
    </row>
    <row r="61820" spans="8:8">
      <c r="H61820" s="680" t="s">
        <v>6153</v>
      </c>
    </row>
    <row r="61821" spans="8:8">
      <c r="H61821" s="680" t="s">
        <v>6153</v>
      </c>
    </row>
    <row r="61822" spans="8:8">
      <c r="H61822" s="680" t="s">
        <v>6153</v>
      </c>
    </row>
    <row r="61823" spans="8:8">
      <c r="H61823" s="680" t="s">
        <v>6153</v>
      </c>
    </row>
    <row r="61824" spans="8:8">
      <c r="H61824" s="680" t="s">
        <v>6153</v>
      </c>
    </row>
    <row r="61825" spans="8:8">
      <c r="H61825" s="680" t="s">
        <v>6153</v>
      </c>
    </row>
    <row r="61826" spans="8:8">
      <c r="H61826" s="680" t="s">
        <v>6153</v>
      </c>
    </row>
    <row r="61827" spans="8:8">
      <c r="H61827" s="680" t="s">
        <v>6153</v>
      </c>
    </row>
    <row r="61828" spans="8:8">
      <c r="H61828" s="680" t="s">
        <v>6153</v>
      </c>
    </row>
    <row r="61829" spans="8:8">
      <c r="H61829" s="680" t="s">
        <v>6153</v>
      </c>
    </row>
    <row r="61830" spans="8:8">
      <c r="H61830" s="680" t="s">
        <v>6153</v>
      </c>
    </row>
    <row r="61831" spans="8:8">
      <c r="H61831" s="680" t="s">
        <v>6153</v>
      </c>
    </row>
    <row r="61832" spans="8:8">
      <c r="H61832" s="680" t="s">
        <v>6153</v>
      </c>
    </row>
    <row r="61833" spans="8:8">
      <c r="H61833" s="680" t="s">
        <v>6153</v>
      </c>
    </row>
    <row r="61834" spans="8:8">
      <c r="H61834" s="680" t="s">
        <v>6153</v>
      </c>
    </row>
    <row r="61835" spans="8:8">
      <c r="H61835" s="680" t="s">
        <v>6153</v>
      </c>
    </row>
    <row r="61836" spans="8:8">
      <c r="H61836" s="680" t="s">
        <v>6153</v>
      </c>
    </row>
    <row r="61837" spans="8:8">
      <c r="H61837" s="680" t="s">
        <v>6153</v>
      </c>
    </row>
    <row r="61838" spans="8:8">
      <c r="H61838" s="680" t="s">
        <v>6153</v>
      </c>
    </row>
    <row r="61839" spans="8:8">
      <c r="H61839" s="680" t="s">
        <v>6153</v>
      </c>
    </row>
    <row r="61840" spans="8:8">
      <c r="H61840" s="680" t="s">
        <v>6153</v>
      </c>
    </row>
    <row r="61841" spans="8:8">
      <c r="H61841" s="680" t="s">
        <v>6153</v>
      </c>
    </row>
    <row r="61842" spans="8:8">
      <c r="H61842" s="680" t="s">
        <v>6153</v>
      </c>
    </row>
    <row r="61843" spans="8:8">
      <c r="H61843" s="680" t="s">
        <v>6153</v>
      </c>
    </row>
    <row r="61844" spans="8:8">
      <c r="H61844" s="680" t="s">
        <v>6153</v>
      </c>
    </row>
    <row r="61845" spans="8:8">
      <c r="H61845" s="680" t="s">
        <v>6153</v>
      </c>
    </row>
    <row r="61846" spans="8:8">
      <c r="H61846" s="680" t="s">
        <v>6153</v>
      </c>
    </row>
    <row r="61847" spans="8:8">
      <c r="H61847" s="680" t="s">
        <v>6153</v>
      </c>
    </row>
    <row r="61848" spans="8:8">
      <c r="H61848" s="680" t="s">
        <v>6153</v>
      </c>
    </row>
    <row r="61849" spans="8:8">
      <c r="H61849" s="680" t="s">
        <v>6153</v>
      </c>
    </row>
    <row r="61850" spans="8:8">
      <c r="H61850" s="680" t="s">
        <v>6153</v>
      </c>
    </row>
    <row r="61851" spans="8:8">
      <c r="H61851" s="680" t="s">
        <v>6153</v>
      </c>
    </row>
    <row r="61852" spans="8:8">
      <c r="H61852" s="680" t="s">
        <v>6153</v>
      </c>
    </row>
    <row r="61853" spans="8:8">
      <c r="H61853" s="680" t="s">
        <v>6153</v>
      </c>
    </row>
    <row r="61854" spans="8:8">
      <c r="H61854" s="680" t="s">
        <v>6153</v>
      </c>
    </row>
    <row r="61855" spans="8:8">
      <c r="H61855" s="680" t="s">
        <v>6153</v>
      </c>
    </row>
    <row r="61856" spans="8:8">
      <c r="H61856" s="680" t="s">
        <v>6153</v>
      </c>
    </row>
    <row r="61857" spans="8:8">
      <c r="H61857" s="680" t="s">
        <v>6153</v>
      </c>
    </row>
    <row r="61858" spans="8:8">
      <c r="H61858" s="680" t="s">
        <v>6153</v>
      </c>
    </row>
    <row r="61859" spans="8:8">
      <c r="H61859" s="680" t="s">
        <v>6153</v>
      </c>
    </row>
    <row r="61860" spans="8:8">
      <c r="H61860" s="680" t="s">
        <v>6153</v>
      </c>
    </row>
    <row r="61861" spans="8:8">
      <c r="H61861" s="680" t="s">
        <v>6153</v>
      </c>
    </row>
    <row r="61862" spans="8:8">
      <c r="H61862" s="680" t="s">
        <v>6153</v>
      </c>
    </row>
    <row r="61863" spans="8:8">
      <c r="H61863" s="680" t="s">
        <v>6153</v>
      </c>
    </row>
    <row r="61864" spans="8:8">
      <c r="H61864" s="680" t="s">
        <v>6153</v>
      </c>
    </row>
    <row r="61865" spans="8:8">
      <c r="H61865" s="680" t="s">
        <v>6153</v>
      </c>
    </row>
    <row r="61866" spans="8:8">
      <c r="H61866" s="680" t="s">
        <v>6153</v>
      </c>
    </row>
    <row r="61867" spans="8:8">
      <c r="H61867" s="680" t="s">
        <v>6153</v>
      </c>
    </row>
    <row r="61868" spans="8:8">
      <c r="H61868" s="680" t="s">
        <v>6153</v>
      </c>
    </row>
    <row r="61869" spans="8:8">
      <c r="H61869" s="680" t="s">
        <v>6153</v>
      </c>
    </row>
    <row r="61870" spans="8:8">
      <c r="H61870" s="680" t="s">
        <v>6153</v>
      </c>
    </row>
    <row r="61871" spans="8:8">
      <c r="H61871" s="680" t="s">
        <v>6153</v>
      </c>
    </row>
    <row r="61872" spans="8:8">
      <c r="H61872" s="680" t="s">
        <v>6153</v>
      </c>
    </row>
    <row r="61873" spans="8:8">
      <c r="H61873" s="680" t="s">
        <v>6153</v>
      </c>
    </row>
    <row r="61874" spans="8:8">
      <c r="H61874" s="680" t="s">
        <v>6153</v>
      </c>
    </row>
    <row r="61875" spans="8:8">
      <c r="H61875" s="680" t="s">
        <v>6153</v>
      </c>
    </row>
    <row r="61876" spans="8:8">
      <c r="H61876" s="680" t="s">
        <v>6153</v>
      </c>
    </row>
    <row r="61877" spans="8:8">
      <c r="H61877" s="680" t="s">
        <v>6153</v>
      </c>
    </row>
    <row r="61878" spans="8:8">
      <c r="H61878" s="680" t="s">
        <v>6153</v>
      </c>
    </row>
    <row r="61879" spans="8:8">
      <c r="H61879" s="680" t="s">
        <v>6153</v>
      </c>
    </row>
    <row r="61880" spans="8:8">
      <c r="H61880" s="680" t="s">
        <v>6153</v>
      </c>
    </row>
    <row r="61881" spans="8:8">
      <c r="H61881" s="680" t="s">
        <v>6153</v>
      </c>
    </row>
    <row r="61882" spans="8:8">
      <c r="H61882" s="680" t="s">
        <v>6153</v>
      </c>
    </row>
    <row r="61883" spans="8:8">
      <c r="H61883" s="680" t="s">
        <v>6153</v>
      </c>
    </row>
    <row r="61884" spans="8:8">
      <c r="H61884" s="680" t="s">
        <v>6153</v>
      </c>
    </row>
    <row r="61885" spans="8:8">
      <c r="H61885" s="680" t="s">
        <v>6153</v>
      </c>
    </row>
    <row r="61886" spans="8:8">
      <c r="H61886" s="680" t="s">
        <v>6153</v>
      </c>
    </row>
    <row r="61887" spans="8:8">
      <c r="H61887" s="680" t="s">
        <v>6153</v>
      </c>
    </row>
    <row r="61888" spans="8:8">
      <c r="H61888" s="680" t="s">
        <v>6153</v>
      </c>
    </row>
    <row r="61889" spans="8:8">
      <c r="H61889" s="680" t="s">
        <v>6153</v>
      </c>
    </row>
    <row r="61890" spans="8:8">
      <c r="H61890" s="680" t="s">
        <v>6153</v>
      </c>
    </row>
    <row r="61891" spans="8:8">
      <c r="H61891" s="680" t="s">
        <v>6153</v>
      </c>
    </row>
    <row r="61892" spans="8:8">
      <c r="H61892" s="680" t="s">
        <v>6153</v>
      </c>
    </row>
    <row r="61893" spans="8:8">
      <c r="H61893" s="680" t="s">
        <v>6153</v>
      </c>
    </row>
    <row r="61894" spans="8:8">
      <c r="H61894" s="680" t="s">
        <v>6153</v>
      </c>
    </row>
    <row r="61895" spans="8:8">
      <c r="H61895" s="680" t="s">
        <v>6153</v>
      </c>
    </row>
    <row r="61896" spans="8:8">
      <c r="H61896" s="680" t="s">
        <v>6153</v>
      </c>
    </row>
    <row r="61897" spans="8:8">
      <c r="H61897" s="680" t="s">
        <v>6153</v>
      </c>
    </row>
    <row r="61898" spans="8:8">
      <c r="H61898" s="680" t="s">
        <v>6153</v>
      </c>
    </row>
    <row r="61899" spans="8:8">
      <c r="H61899" s="680" t="s">
        <v>6153</v>
      </c>
    </row>
    <row r="61900" spans="8:8">
      <c r="H61900" s="680" t="s">
        <v>6153</v>
      </c>
    </row>
    <row r="61901" spans="8:8">
      <c r="H61901" s="680" t="s">
        <v>6153</v>
      </c>
    </row>
    <row r="61902" spans="8:8">
      <c r="H61902" s="680" t="s">
        <v>6153</v>
      </c>
    </row>
    <row r="61903" spans="8:8">
      <c r="H61903" s="680" t="s">
        <v>6153</v>
      </c>
    </row>
    <row r="61904" spans="8:8">
      <c r="H61904" s="680" t="s">
        <v>6153</v>
      </c>
    </row>
    <row r="61905" spans="8:8">
      <c r="H61905" s="680" t="s">
        <v>6153</v>
      </c>
    </row>
    <row r="61906" spans="8:8">
      <c r="H61906" s="680" t="s">
        <v>6153</v>
      </c>
    </row>
    <row r="61907" spans="8:8">
      <c r="H61907" s="680" t="s">
        <v>6153</v>
      </c>
    </row>
    <row r="61908" spans="8:8">
      <c r="H61908" s="680" t="s">
        <v>6153</v>
      </c>
    </row>
    <row r="61909" spans="8:8">
      <c r="H61909" s="680" t="s">
        <v>6153</v>
      </c>
    </row>
    <row r="61910" spans="8:8">
      <c r="H61910" s="680" t="s">
        <v>6153</v>
      </c>
    </row>
    <row r="61911" spans="8:8">
      <c r="H61911" s="680" t="s">
        <v>6153</v>
      </c>
    </row>
    <row r="61912" spans="8:8">
      <c r="H61912" s="680" t="s">
        <v>6153</v>
      </c>
    </row>
    <row r="61913" spans="8:8">
      <c r="H61913" s="680" t="s">
        <v>6153</v>
      </c>
    </row>
    <row r="61914" spans="8:8">
      <c r="H61914" s="680" t="s">
        <v>6153</v>
      </c>
    </row>
    <row r="61915" spans="8:8">
      <c r="H61915" s="680" t="s">
        <v>6153</v>
      </c>
    </row>
    <row r="61916" spans="8:8">
      <c r="H61916" s="680" t="s">
        <v>6153</v>
      </c>
    </row>
    <row r="61917" spans="8:8">
      <c r="H61917" s="680" t="s">
        <v>6153</v>
      </c>
    </row>
    <row r="61918" spans="8:8">
      <c r="H61918" s="680" t="s">
        <v>6153</v>
      </c>
    </row>
    <row r="61919" spans="8:8">
      <c r="H61919" s="680" t="s">
        <v>6153</v>
      </c>
    </row>
    <row r="61920" spans="8:8">
      <c r="H61920" s="680" t="s">
        <v>6153</v>
      </c>
    </row>
    <row r="61921" spans="8:8">
      <c r="H61921" s="680" t="s">
        <v>6153</v>
      </c>
    </row>
    <row r="61922" spans="8:8">
      <c r="H61922" s="680" t="s">
        <v>6153</v>
      </c>
    </row>
    <row r="61923" spans="8:8">
      <c r="H61923" s="680" t="s">
        <v>6153</v>
      </c>
    </row>
    <row r="61924" spans="8:8">
      <c r="H61924" s="680" t="s">
        <v>6153</v>
      </c>
    </row>
    <row r="61925" spans="8:8">
      <c r="H61925" s="680" t="s">
        <v>6153</v>
      </c>
    </row>
    <row r="61926" spans="8:8">
      <c r="H61926" s="680" t="s">
        <v>6153</v>
      </c>
    </row>
    <row r="61927" spans="8:8">
      <c r="H61927" s="680" t="s">
        <v>6153</v>
      </c>
    </row>
    <row r="61928" spans="8:8">
      <c r="H61928" s="680" t="s">
        <v>6153</v>
      </c>
    </row>
    <row r="61929" spans="8:8">
      <c r="H61929" s="680" t="s">
        <v>6153</v>
      </c>
    </row>
    <row r="61930" spans="8:8">
      <c r="H61930" s="680" t="s">
        <v>6153</v>
      </c>
    </row>
    <row r="61931" spans="8:8">
      <c r="H61931" s="680" t="s">
        <v>6153</v>
      </c>
    </row>
    <row r="61932" spans="8:8">
      <c r="H61932" s="680" t="s">
        <v>6153</v>
      </c>
    </row>
    <row r="61933" spans="8:8">
      <c r="H61933" s="680" t="s">
        <v>6153</v>
      </c>
    </row>
    <row r="61934" spans="8:8">
      <c r="H61934" s="680" t="s">
        <v>6153</v>
      </c>
    </row>
    <row r="61935" spans="8:8">
      <c r="H61935" s="680" t="s">
        <v>6153</v>
      </c>
    </row>
    <row r="61936" spans="8:8">
      <c r="H61936" s="680" t="s">
        <v>6153</v>
      </c>
    </row>
    <row r="61937" spans="8:8">
      <c r="H61937" s="680" t="s">
        <v>6153</v>
      </c>
    </row>
    <row r="61938" spans="8:8">
      <c r="H61938" s="680" t="s">
        <v>6153</v>
      </c>
    </row>
    <row r="61939" spans="8:8">
      <c r="H61939" s="680" t="s">
        <v>6153</v>
      </c>
    </row>
    <row r="61940" spans="8:8">
      <c r="H61940" s="680" t="s">
        <v>6153</v>
      </c>
    </row>
    <row r="61941" spans="8:8">
      <c r="H61941" s="680" t="s">
        <v>6153</v>
      </c>
    </row>
    <row r="61942" spans="8:8">
      <c r="H61942" s="680" t="s">
        <v>6153</v>
      </c>
    </row>
    <row r="61943" spans="8:8">
      <c r="H61943" s="680" t="s">
        <v>6153</v>
      </c>
    </row>
    <row r="61944" spans="8:8">
      <c r="H61944" s="680" t="s">
        <v>6153</v>
      </c>
    </row>
    <row r="61945" spans="8:8">
      <c r="H61945" s="680" t="s">
        <v>6153</v>
      </c>
    </row>
    <row r="61946" spans="8:8">
      <c r="H61946" s="680" t="s">
        <v>6153</v>
      </c>
    </row>
    <row r="61947" spans="8:8">
      <c r="H61947" s="680" t="s">
        <v>6153</v>
      </c>
    </row>
    <row r="61948" spans="8:8">
      <c r="H61948" s="680" t="s">
        <v>6153</v>
      </c>
    </row>
    <row r="61949" spans="8:8">
      <c r="H61949" s="680" t="s">
        <v>6153</v>
      </c>
    </row>
    <row r="61950" spans="8:8">
      <c r="H61950" s="680" t="s">
        <v>6153</v>
      </c>
    </row>
    <row r="61951" spans="8:8">
      <c r="H61951" s="680" t="s">
        <v>6153</v>
      </c>
    </row>
    <row r="61952" spans="8:8">
      <c r="H61952" s="680" t="s">
        <v>6153</v>
      </c>
    </row>
    <row r="61953" spans="8:8">
      <c r="H61953" s="680" t="s">
        <v>6153</v>
      </c>
    </row>
    <row r="61954" spans="8:8">
      <c r="H61954" s="680" t="s">
        <v>6153</v>
      </c>
    </row>
    <row r="61955" spans="8:8">
      <c r="H61955" s="680" t="s">
        <v>6153</v>
      </c>
    </row>
    <row r="61956" spans="8:8">
      <c r="H61956" s="680" t="s">
        <v>6153</v>
      </c>
    </row>
    <row r="61957" spans="8:8">
      <c r="H61957" s="680" t="s">
        <v>6153</v>
      </c>
    </row>
    <row r="61958" spans="8:8">
      <c r="H61958" s="680" t="s">
        <v>6153</v>
      </c>
    </row>
    <row r="61959" spans="8:8">
      <c r="H61959" s="680" t="s">
        <v>6153</v>
      </c>
    </row>
    <row r="61960" spans="8:8">
      <c r="H61960" s="680" t="s">
        <v>6153</v>
      </c>
    </row>
    <row r="61961" spans="8:8">
      <c r="H61961" s="680" t="s">
        <v>6153</v>
      </c>
    </row>
    <row r="61962" spans="8:8">
      <c r="H61962" s="680" t="s">
        <v>6153</v>
      </c>
    </row>
    <row r="61963" spans="8:8">
      <c r="H61963" s="680" t="s">
        <v>6153</v>
      </c>
    </row>
    <row r="61964" spans="8:8">
      <c r="H61964" s="680" t="s">
        <v>6153</v>
      </c>
    </row>
    <row r="61965" spans="8:8">
      <c r="H61965" s="680" t="s">
        <v>6153</v>
      </c>
    </row>
    <row r="61966" spans="8:8">
      <c r="H61966" s="680" t="s">
        <v>6153</v>
      </c>
    </row>
    <row r="61967" spans="8:8">
      <c r="H61967" s="680" t="s">
        <v>6153</v>
      </c>
    </row>
    <row r="61968" spans="8:8">
      <c r="H61968" s="680" t="s">
        <v>6153</v>
      </c>
    </row>
    <row r="61969" spans="8:8">
      <c r="H61969" s="680" t="s">
        <v>6153</v>
      </c>
    </row>
    <row r="61970" spans="8:8">
      <c r="H61970" s="680" t="s">
        <v>6153</v>
      </c>
    </row>
    <row r="61971" spans="8:8">
      <c r="H61971" s="680" t="s">
        <v>6153</v>
      </c>
    </row>
    <row r="61972" spans="8:8">
      <c r="H61972" s="680" t="s">
        <v>6153</v>
      </c>
    </row>
    <row r="61973" spans="8:8">
      <c r="H61973" s="680" t="s">
        <v>6153</v>
      </c>
    </row>
    <row r="61974" spans="8:8">
      <c r="H61974" s="680" t="s">
        <v>6153</v>
      </c>
    </row>
    <row r="61975" spans="8:8">
      <c r="H61975" s="680" t="s">
        <v>6153</v>
      </c>
    </row>
    <row r="61976" spans="8:8">
      <c r="H61976" s="680" t="s">
        <v>6153</v>
      </c>
    </row>
    <row r="61977" spans="8:8">
      <c r="H61977" s="680" t="s">
        <v>6153</v>
      </c>
    </row>
    <row r="61978" spans="8:8">
      <c r="H61978" s="680" t="s">
        <v>6153</v>
      </c>
    </row>
    <row r="61979" spans="8:8">
      <c r="H61979" s="680" t="s">
        <v>6153</v>
      </c>
    </row>
    <row r="61980" spans="8:8">
      <c r="H61980" s="680" t="s">
        <v>6153</v>
      </c>
    </row>
    <row r="61981" spans="8:8">
      <c r="H61981" s="680" t="s">
        <v>6153</v>
      </c>
    </row>
    <row r="61982" spans="8:8">
      <c r="H61982" s="680" t="s">
        <v>6153</v>
      </c>
    </row>
    <row r="61983" spans="8:8">
      <c r="H61983" s="680" t="s">
        <v>6153</v>
      </c>
    </row>
    <row r="61984" spans="8:8">
      <c r="H61984" s="680" t="s">
        <v>6153</v>
      </c>
    </row>
    <row r="61985" spans="8:8">
      <c r="H61985" s="680" t="s">
        <v>6153</v>
      </c>
    </row>
    <row r="61986" spans="8:8">
      <c r="H61986" s="680" t="s">
        <v>6153</v>
      </c>
    </row>
    <row r="61987" spans="8:8">
      <c r="H61987" s="680" t="s">
        <v>6153</v>
      </c>
    </row>
    <row r="61988" spans="8:8">
      <c r="H61988" s="680" t="s">
        <v>6153</v>
      </c>
    </row>
    <row r="61989" spans="8:8">
      <c r="H61989" s="680" t="s">
        <v>6153</v>
      </c>
    </row>
    <row r="61990" spans="8:8">
      <c r="H61990" s="680" t="s">
        <v>6153</v>
      </c>
    </row>
    <row r="61991" spans="8:8">
      <c r="H61991" s="680" t="s">
        <v>6153</v>
      </c>
    </row>
    <row r="61992" spans="8:8">
      <c r="H61992" s="680" t="s">
        <v>6153</v>
      </c>
    </row>
    <row r="61993" spans="8:8">
      <c r="H61993" s="680" t="s">
        <v>6153</v>
      </c>
    </row>
    <row r="61994" spans="8:8">
      <c r="H61994" s="680" t="s">
        <v>6153</v>
      </c>
    </row>
    <row r="61995" spans="8:8">
      <c r="H61995" s="680" t="s">
        <v>6153</v>
      </c>
    </row>
    <row r="61996" spans="8:8">
      <c r="H61996" s="680" t="s">
        <v>6153</v>
      </c>
    </row>
    <row r="61997" spans="8:8">
      <c r="H61997" s="680" t="s">
        <v>6153</v>
      </c>
    </row>
    <row r="61998" spans="8:8">
      <c r="H61998" s="680" t="s">
        <v>6153</v>
      </c>
    </row>
    <row r="61999" spans="8:8">
      <c r="H61999" s="680" t="s">
        <v>6153</v>
      </c>
    </row>
    <row r="62000" spans="8:8">
      <c r="H62000" s="680" t="s">
        <v>6153</v>
      </c>
    </row>
    <row r="62001" spans="8:8">
      <c r="H62001" s="680" t="s">
        <v>6153</v>
      </c>
    </row>
    <row r="62002" spans="8:8">
      <c r="H62002" s="680" t="s">
        <v>6153</v>
      </c>
    </row>
    <row r="62003" spans="8:8">
      <c r="H62003" s="680" t="s">
        <v>6153</v>
      </c>
    </row>
    <row r="62004" spans="8:8">
      <c r="H62004" s="680" t="s">
        <v>6153</v>
      </c>
    </row>
    <row r="62005" spans="8:8">
      <c r="H62005" s="680" t="s">
        <v>6153</v>
      </c>
    </row>
    <row r="62006" spans="8:8">
      <c r="H62006" s="680" t="s">
        <v>6153</v>
      </c>
    </row>
    <row r="62007" spans="8:8">
      <c r="H62007" s="680" t="s">
        <v>6153</v>
      </c>
    </row>
    <row r="62008" spans="8:8">
      <c r="H62008" s="680" t="s">
        <v>6153</v>
      </c>
    </row>
    <row r="62009" spans="8:8">
      <c r="H62009" s="680" t="s">
        <v>6153</v>
      </c>
    </row>
    <row r="62010" spans="8:8">
      <c r="H62010" s="680" t="s">
        <v>6153</v>
      </c>
    </row>
    <row r="62011" spans="8:8">
      <c r="H62011" s="680" t="s">
        <v>6153</v>
      </c>
    </row>
    <row r="62012" spans="8:8">
      <c r="H62012" s="680" t="s">
        <v>6153</v>
      </c>
    </row>
    <row r="62013" spans="8:8">
      <c r="H62013" s="680" t="s">
        <v>6153</v>
      </c>
    </row>
    <row r="62014" spans="8:8">
      <c r="H62014" s="680" t="s">
        <v>6153</v>
      </c>
    </row>
    <row r="62015" spans="8:8">
      <c r="H62015" s="680" t="s">
        <v>6153</v>
      </c>
    </row>
    <row r="62016" spans="8:8">
      <c r="H62016" s="680" t="s">
        <v>6153</v>
      </c>
    </row>
    <row r="62017" spans="8:8">
      <c r="H62017" s="680" t="s">
        <v>6153</v>
      </c>
    </row>
    <row r="62018" spans="8:8">
      <c r="H62018" s="680" t="s">
        <v>6153</v>
      </c>
    </row>
    <row r="62019" spans="8:8">
      <c r="H62019" s="680" t="s">
        <v>6153</v>
      </c>
    </row>
    <row r="62020" spans="8:8">
      <c r="H62020" s="680" t="s">
        <v>6153</v>
      </c>
    </row>
    <row r="62021" spans="8:8">
      <c r="H62021" s="680" t="s">
        <v>6153</v>
      </c>
    </row>
    <row r="62022" spans="8:8">
      <c r="H62022" s="680" t="s">
        <v>6153</v>
      </c>
    </row>
    <row r="62023" spans="8:8">
      <c r="H62023" s="680" t="s">
        <v>6153</v>
      </c>
    </row>
    <row r="62024" spans="8:8">
      <c r="H62024" s="680" t="s">
        <v>6153</v>
      </c>
    </row>
    <row r="62025" spans="8:8">
      <c r="H62025" s="680" t="s">
        <v>6153</v>
      </c>
    </row>
    <row r="62026" spans="8:8">
      <c r="H62026" s="680" t="s">
        <v>6153</v>
      </c>
    </row>
    <row r="62027" spans="8:8">
      <c r="H62027" s="680" t="s">
        <v>6153</v>
      </c>
    </row>
    <row r="62028" spans="8:8">
      <c r="H62028" s="680" t="s">
        <v>6153</v>
      </c>
    </row>
    <row r="62029" spans="8:8">
      <c r="H62029" s="680" t="s">
        <v>6153</v>
      </c>
    </row>
    <row r="62030" spans="8:8">
      <c r="H62030" s="680" t="s">
        <v>6153</v>
      </c>
    </row>
    <row r="62031" spans="8:8">
      <c r="H62031" s="680" t="s">
        <v>6153</v>
      </c>
    </row>
    <row r="62032" spans="8:8">
      <c r="H62032" s="680" t="s">
        <v>6153</v>
      </c>
    </row>
    <row r="62033" spans="8:8">
      <c r="H62033" s="680" t="s">
        <v>6153</v>
      </c>
    </row>
    <row r="62034" spans="8:8">
      <c r="H62034" s="680" t="s">
        <v>6153</v>
      </c>
    </row>
    <row r="62035" spans="8:8">
      <c r="H62035" s="680" t="s">
        <v>6153</v>
      </c>
    </row>
    <row r="62036" spans="8:8">
      <c r="H62036" s="680" t="s">
        <v>6153</v>
      </c>
    </row>
    <row r="62037" spans="8:8">
      <c r="H62037" s="680" t="s">
        <v>6153</v>
      </c>
    </row>
    <row r="62038" spans="8:8">
      <c r="H62038" s="680" t="s">
        <v>6153</v>
      </c>
    </row>
    <row r="62039" spans="8:8">
      <c r="H62039" s="680" t="s">
        <v>6153</v>
      </c>
    </row>
    <row r="62040" spans="8:8">
      <c r="H62040" s="680" t="s">
        <v>6153</v>
      </c>
    </row>
    <row r="62041" spans="8:8">
      <c r="H62041" s="680" t="s">
        <v>6153</v>
      </c>
    </row>
    <row r="62042" spans="8:8">
      <c r="H62042" s="680" t="s">
        <v>6153</v>
      </c>
    </row>
    <row r="62043" spans="8:8">
      <c r="H62043" s="680" t="s">
        <v>6153</v>
      </c>
    </row>
    <row r="62044" spans="8:8">
      <c r="H62044" s="680" t="s">
        <v>6153</v>
      </c>
    </row>
    <row r="62045" spans="8:8">
      <c r="H62045" s="680" t="s">
        <v>6153</v>
      </c>
    </row>
    <row r="62046" spans="8:8">
      <c r="H62046" s="680" t="s">
        <v>6153</v>
      </c>
    </row>
    <row r="62047" spans="8:8">
      <c r="H62047" s="680" t="s">
        <v>6153</v>
      </c>
    </row>
    <row r="62048" spans="8:8">
      <c r="H62048" s="680" t="s">
        <v>6153</v>
      </c>
    </row>
    <row r="62049" spans="8:8">
      <c r="H62049" s="680" t="s">
        <v>6153</v>
      </c>
    </row>
    <row r="62050" spans="8:8">
      <c r="H62050" s="680" t="s">
        <v>6153</v>
      </c>
    </row>
    <row r="62051" spans="8:8">
      <c r="H62051" s="680" t="s">
        <v>6153</v>
      </c>
    </row>
    <row r="62052" spans="8:8">
      <c r="H62052" s="680" t="s">
        <v>6153</v>
      </c>
    </row>
    <row r="62053" spans="8:8">
      <c r="H62053" s="680" t="s">
        <v>6153</v>
      </c>
    </row>
    <row r="62054" spans="8:8">
      <c r="H62054" s="680" t="s">
        <v>6153</v>
      </c>
    </row>
    <row r="62055" spans="8:8">
      <c r="H62055" s="680" t="s">
        <v>6153</v>
      </c>
    </row>
    <row r="62056" spans="8:8">
      <c r="H62056" s="680" t="s">
        <v>6153</v>
      </c>
    </row>
    <row r="62057" spans="8:8">
      <c r="H62057" s="680" t="s">
        <v>6153</v>
      </c>
    </row>
    <row r="62058" spans="8:8">
      <c r="H62058" s="680" t="s">
        <v>6153</v>
      </c>
    </row>
    <row r="62059" spans="8:8">
      <c r="H62059" s="680" t="s">
        <v>6153</v>
      </c>
    </row>
    <row r="62060" spans="8:8">
      <c r="H62060" s="680" t="s">
        <v>6153</v>
      </c>
    </row>
    <row r="62061" spans="8:8">
      <c r="H62061" s="680" t="s">
        <v>6153</v>
      </c>
    </row>
    <row r="62062" spans="8:8">
      <c r="H62062" s="680" t="s">
        <v>6153</v>
      </c>
    </row>
    <row r="62063" spans="8:8">
      <c r="H62063" s="680" t="s">
        <v>6153</v>
      </c>
    </row>
    <row r="62064" spans="8:8">
      <c r="H62064" s="680" t="s">
        <v>6153</v>
      </c>
    </row>
    <row r="62065" spans="8:8">
      <c r="H62065" s="680" t="s">
        <v>6153</v>
      </c>
    </row>
    <row r="62066" spans="8:8">
      <c r="H62066" s="680" t="s">
        <v>6153</v>
      </c>
    </row>
    <row r="62067" spans="8:8">
      <c r="H62067" s="680" t="s">
        <v>6153</v>
      </c>
    </row>
    <row r="62068" spans="8:8">
      <c r="H62068" s="680" t="s">
        <v>6153</v>
      </c>
    </row>
    <row r="62069" spans="8:8">
      <c r="H62069" s="680" t="s">
        <v>6153</v>
      </c>
    </row>
    <row r="62070" spans="8:8">
      <c r="H62070" s="680" t="s">
        <v>6153</v>
      </c>
    </row>
    <row r="62071" spans="8:8">
      <c r="H62071" s="680" t="s">
        <v>6153</v>
      </c>
    </row>
    <row r="62072" spans="8:8">
      <c r="H62072" s="680" t="s">
        <v>6153</v>
      </c>
    </row>
    <row r="62073" spans="8:8">
      <c r="H62073" s="680" t="s">
        <v>6153</v>
      </c>
    </row>
    <row r="62074" spans="8:8">
      <c r="H62074" s="680" t="s">
        <v>6153</v>
      </c>
    </row>
    <row r="62075" spans="8:8">
      <c r="H62075" s="680" t="s">
        <v>6153</v>
      </c>
    </row>
    <row r="62076" spans="8:8">
      <c r="H62076" s="680" t="s">
        <v>6153</v>
      </c>
    </row>
    <row r="62077" spans="8:8">
      <c r="H62077" s="680" t="s">
        <v>6153</v>
      </c>
    </row>
    <row r="62078" spans="8:8">
      <c r="H62078" s="680" t="s">
        <v>6153</v>
      </c>
    </row>
    <row r="62079" spans="8:8">
      <c r="H62079" s="680" t="s">
        <v>6153</v>
      </c>
    </row>
    <row r="62080" spans="8:8">
      <c r="H62080" s="680" t="s">
        <v>6153</v>
      </c>
    </row>
    <row r="62081" spans="8:8">
      <c r="H62081" s="680" t="s">
        <v>6153</v>
      </c>
    </row>
    <row r="62082" spans="8:8">
      <c r="H62082" s="680" t="s">
        <v>6153</v>
      </c>
    </row>
    <row r="62083" spans="8:8">
      <c r="H62083" s="680" t="s">
        <v>6153</v>
      </c>
    </row>
    <row r="62084" spans="8:8">
      <c r="H62084" s="680" t="s">
        <v>6153</v>
      </c>
    </row>
    <row r="62085" spans="8:8">
      <c r="H62085" s="680" t="s">
        <v>6153</v>
      </c>
    </row>
    <row r="62086" spans="8:8">
      <c r="H62086" s="680" t="s">
        <v>6153</v>
      </c>
    </row>
    <row r="62087" spans="8:8">
      <c r="H62087" s="680" t="s">
        <v>6153</v>
      </c>
    </row>
    <row r="62088" spans="8:8">
      <c r="H62088" s="680" t="s">
        <v>6153</v>
      </c>
    </row>
    <row r="62089" spans="8:8">
      <c r="H62089" s="680" t="s">
        <v>6153</v>
      </c>
    </row>
    <row r="62090" spans="8:8">
      <c r="H62090" s="680" t="s">
        <v>6153</v>
      </c>
    </row>
    <row r="62091" spans="8:8">
      <c r="H62091" s="680" t="s">
        <v>6153</v>
      </c>
    </row>
    <row r="62092" spans="8:8">
      <c r="H62092" s="680" t="s">
        <v>6153</v>
      </c>
    </row>
    <row r="62093" spans="8:8">
      <c r="H62093" s="680" t="s">
        <v>6153</v>
      </c>
    </row>
    <row r="62094" spans="8:8">
      <c r="H62094" s="680" t="s">
        <v>6153</v>
      </c>
    </row>
    <row r="62095" spans="8:8">
      <c r="H62095" s="680" t="s">
        <v>6153</v>
      </c>
    </row>
    <row r="62096" spans="8:8">
      <c r="H62096" s="680" t="s">
        <v>6153</v>
      </c>
    </row>
    <row r="62097" spans="8:8">
      <c r="H62097" s="680" t="s">
        <v>6153</v>
      </c>
    </row>
    <row r="62098" spans="8:8">
      <c r="H62098" s="680" t="s">
        <v>6153</v>
      </c>
    </row>
    <row r="62099" spans="8:8">
      <c r="H62099" s="680" t="s">
        <v>6153</v>
      </c>
    </row>
    <row r="62100" spans="8:8">
      <c r="H62100" s="680" t="s">
        <v>6153</v>
      </c>
    </row>
    <row r="62101" spans="8:8">
      <c r="H62101" s="680" t="s">
        <v>6153</v>
      </c>
    </row>
    <row r="62102" spans="8:8">
      <c r="H62102" s="680" t="s">
        <v>6153</v>
      </c>
    </row>
    <row r="62103" spans="8:8">
      <c r="H62103" s="680" t="s">
        <v>6153</v>
      </c>
    </row>
    <row r="62104" spans="8:8">
      <c r="H62104" s="680" t="s">
        <v>6153</v>
      </c>
    </row>
    <row r="62105" spans="8:8">
      <c r="H62105" s="680" t="s">
        <v>6153</v>
      </c>
    </row>
    <row r="62106" spans="8:8">
      <c r="H62106" s="680" t="s">
        <v>6153</v>
      </c>
    </row>
    <row r="62107" spans="8:8">
      <c r="H62107" s="680" t="s">
        <v>6153</v>
      </c>
    </row>
    <row r="62108" spans="8:8">
      <c r="H62108" s="680" t="s">
        <v>6153</v>
      </c>
    </row>
    <row r="62109" spans="8:8">
      <c r="H62109" s="680" t="s">
        <v>6153</v>
      </c>
    </row>
    <row r="62110" spans="8:8">
      <c r="H62110" s="680" t="s">
        <v>6153</v>
      </c>
    </row>
    <row r="62111" spans="8:8">
      <c r="H62111" s="680" t="s">
        <v>6153</v>
      </c>
    </row>
    <row r="62112" spans="8:8">
      <c r="H62112" s="680" t="s">
        <v>6153</v>
      </c>
    </row>
    <row r="62113" spans="8:8">
      <c r="H62113" s="680" t="s">
        <v>6153</v>
      </c>
    </row>
    <row r="62114" spans="8:8">
      <c r="H62114" s="680" t="s">
        <v>6153</v>
      </c>
    </row>
    <row r="62115" spans="8:8">
      <c r="H62115" s="680" t="s">
        <v>6153</v>
      </c>
    </row>
    <row r="62116" spans="8:8">
      <c r="H62116" s="680" t="s">
        <v>6153</v>
      </c>
    </row>
    <row r="62117" spans="8:8">
      <c r="H62117" s="680" t="s">
        <v>6153</v>
      </c>
    </row>
    <row r="62118" spans="8:8">
      <c r="H62118" s="680" t="s">
        <v>6153</v>
      </c>
    </row>
    <row r="62119" spans="8:8">
      <c r="H62119" s="680" t="s">
        <v>6153</v>
      </c>
    </row>
    <row r="62120" spans="8:8">
      <c r="H62120" s="680" t="s">
        <v>6153</v>
      </c>
    </row>
    <row r="62121" spans="8:8">
      <c r="H62121" s="680" t="s">
        <v>6153</v>
      </c>
    </row>
    <row r="62122" spans="8:8">
      <c r="H62122" s="680" t="s">
        <v>6153</v>
      </c>
    </row>
    <row r="62123" spans="8:8">
      <c r="H62123" s="680" t="s">
        <v>6153</v>
      </c>
    </row>
    <row r="62124" spans="8:8">
      <c r="H62124" s="680" t="s">
        <v>6153</v>
      </c>
    </row>
    <row r="62125" spans="8:8">
      <c r="H62125" s="680" t="s">
        <v>6153</v>
      </c>
    </row>
    <row r="62126" spans="8:8">
      <c r="H62126" s="680" t="s">
        <v>6153</v>
      </c>
    </row>
    <row r="62127" spans="8:8">
      <c r="H62127" s="680" t="s">
        <v>6153</v>
      </c>
    </row>
    <row r="62128" spans="8:8">
      <c r="H62128" s="680" t="s">
        <v>6153</v>
      </c>
    </row>
    <row r="62129" spans="8:8">
      <c r="H62129" s="680" t="s">
        <v>6153</v>
      </c>
    </row>
    <row r="62130" spans="8:8">
      <c r="H62130" s="680" t="s">
        <v>6153</v>
      </c>
    </row>
    <row r="62131" spans="8:8">
      <c r="H62131" s="680" t="s">
        <v>6153</v>
      </c>
    </row>
    <row r="62132" spans="8:8">
      <c r="H62132" s="680" t="s">
        <v>6153</v>
      </c>
    </row>
    <row r="62133" spans="8:8">
      <c r="H62133" s="680" t="s">
        <v>6153</v>
      </c>
    </row>
    <row r="62134" spans="8:8">
      <c r="H62134" s="680" t="s">
        <v>6153</v>
      </c>
    </row>
    <row r="62135" spans="8:8">
      <c r="H62135" s="680" t="s">
        <v>6153</v>
      </c>
    </row>
    <row r="62136" spans="8:8">
      <c r="H62136" s="680" t="s">
        <v>6153</v>
      </c>
    </row>
    <row r="62137" spans="8:8">
      <c r="H62137" s="680" t="s">
        <v>6153</v>
      </c>
    </row>
    <row r="62138" spans="8:8">
      <c r="H62138" s="680" t="s">
        <v>6153</v>
      </c>
    </row>
    <row r="62139" spans="8:8">
      <c r="H62139" s="680" t="s">
        <v>6153</v>
      </c>
    </row>
    <row r="62140" spans="8:8">
      <c r="H62140" s="680" t="s">
        <v>6153</v>
      </c>
    </row>
    <row r="62141" spans="8:8">
      <c r="H62141" s="680" t="s">
        <v>6153</v>
      </c>
    </row>
    <row r="62142" spans="8:8">
      <c r="H62142" s="680" t="s">
        <v>6153</v>
      </c>
    </row>
    <row r="62143" spans="8:8">
      <c r="H62143" s="680" t="s">
        <v>6153</v>
      </c>
    </row>
    <row r="62144" spans="8:8">
      <c r="H62144" s="680" t="s">
        <v>6153</v>
      </c>
    </row>
    <row r="62145" spans="8:8">
      <c r="H62145" s="680" t="s">
        <v>6153</v>
      </c>
    </row>
    <row r="62146" spans="8:8">
      <c r="H62146" s="680" t="s">
        <v>6153</v>
      </c>
    </row>
    <row r="62147" spans="8:8">
      <c r="H62147" s="680" t="s">
        <v>6153</v>
      </c>
    </row>
    <row r="62148" spans="8:8">
      <c r="H62148" s="680" t="s">
        <v>6153</v>
      </c>
    </row>
    <row r="62149" spans="8:8">
      <c r="H62149" s="680" t="s">
        <v>6153</v>
      </c>
    </row>
    <row r="62150" spans="8:8">
      <c r="H62150" s="680" t="s">
        <v>6153</v>
      </c>
    </row>
    <row r="62151" spans="8:8">
      <c r="H62151" s="680" t="s">
        <v>6153</v>
      </c>
    </row>
    <row r="62152" spans="8:8">
      <c r="H62152" s="680" t="s">
        <v>6153</v>
      </c>
    </row>
    <row r="62153" spans="8:8">
      <c r="H62153" s="680" t="s">
        <v>6153</v>
      </c>
    </row>
    <row r="62154" spans="8:8">
      <c r="H62154" s="680" t="s">
        <v>6153</v>
      </c>
    </row>
    <row r="62155" spans="8:8">
      <c r="H62155" s="680" t="s">
        <v>6153</v>
      </c>
    </row>
    <row r="62156" spans="8:8">
      <c r="H62156" s="680" t="s">
        <v>6153</v>
      </c>
    </row>
    <row r="62157" spans="8:8">
      <c r="H62157" s="680" t="s">
        <v>6153</v>
      </c>
    </row>
    <row r="62158" spans="8:8">
      <c r="H62158" s="680" t="s">
        <v>6153</v>
      </c>
    </row>
    <row r="62159" spans="8:8">
      <c r="H62159" s="680" t="s">
        <v>6153</v>
      </c>
    </row>
    <row r="62160" spans="8:8">
      <c r="H62160" s="680" t="s">
        <v>6153</v>
      </c>
    </row>
    <row r="62161" spans="8:8">
      <c r="H62161" s="680" t="s">
        <v>6153</v>
      </c>
    </row>
    <row r="62162" spans="8:8">
      <c r="H62162" s="680" t="s">
        <v>6153</v>
      </c>
    </row>
    <row r="62163" spans="8:8">
      <c r="H62163" s="680" t="s">
        <v>6153</v>
      </c>
    </row>
    <row r="62164" spans="8:8">
      <c r="H62164" s="680" t="s">
        <v>6153</v>
      </c>
    </row>
    <row r="62165" spans="8:8">
      <c r="H62165" s="680" t="s">
        <v>6153</v>
      </c>
    </row>
    <row r="62166" spans="8:8">
      <c r="H62166" s="680" t="s">
        <v>6153</v>
      </c>
    </row>
    <row r="62167" spans="8:8">
      <c r="H62167" s="680" t="s">
        <v>6153</v>
      </c>
    </row>
    <row r="62168" spans="8:8">
      <c r="H62168" s="680" t="s">
        <v>6153</v>
      </c>
    </row>
    <row r="62169" spans="8:8">
      <c r="H62169" s="680" t="s">
        <v>6153</v>
      </c>
    </row>
    <row r="62170" spans="8:8">
      <c r="H62170" s="680" t="s">
        <v>6153</v>
      </c>
    </row>
    <row r="62171" spans="8:8">
      <c r="H62171" s="680" t="s">
        <v>6153</v>
      </c>
    </row>
    <row r="62172" spans="8:8">
      <c r="H62172" s="680" t="s">
        <v>6153</v>
      </c>
    </row>
    <row r="62173" spans="8:8">
      <c r="H62173" s="680" t="s">
        <v>6153</v>
      </c>
    </row>
    <row r="62174" spans="8:8">
      <c r="H62174" s="680" t="s">
        <v>6153</v>
      </c>
    </row>
    <row r="62175" spans="8:8">
      <c r="H62175" s="680" t="s">
        <v>6153</v>
      </c>
    </row>
    <row r="62176" spans="8:8">
      <c r="H62176" s="680" t="s">
        <v>6153</v>
      </c>
    </row>
    <row r="62177" spans="8:8">
      <c r="H62177" s="680" t="s">
        <v>6153</v>
      </c>
    </row>
    <row r="62178" spans="8:8">
      <c r="H62178" s="680" t="s">
        <v>6153</v>
      </c>
    </row>
    <row r="62179" spans="8:8">
      <c r="H62179" s="680" t="s">
        <v>6153</v>
      </c>
    </row>
    <row r="62180" spans="8:8">
      <c r="H62180" s="680" t="s">
        <v>6153</v>
      </c>
    </row>
    <row r="62181" spans="8:8">
      <c r="H62181" s="680" t="s">
        <v>6153</v>
      </c>
    </row>
    <row r="62182" spans="8:8">
      <c r="H62182" s="680" t="s">
        <v>6153</v>
      </c>
    </row>
    <row r="62183" spans="8:8">
      <c r="H62183" s="680" t="s">
        <v>6153</v>
      </c>
    </row>
    <row r="62184" spans="8:8">
      <c r="H62184" s="680" t="s">
        <v>6153</v>
      </c>
    </row>
    <row r="62185" spans="8:8">
      <c r="H62185" s="680" t="s">
        <v>6153</v>
      </c>
    </row>
    <row r="62186" spans="8:8">
      <c r="H62186" s="680" t="s">
        <v>6153</v>
      </c>
    </row>
    <row r="62187" spans="8:8">
      <c r="H62187" s="680" t="s">
        <v>6153</v>
      </c>
    </row>
    <row r="62188" spans="8:8">
      <c r="H62188" s="680" t="s">
        <v>6153</v>
      </c>
    </row>
    <row r="62189" spans="8:8">
      <c r="H62189" s="680" t="s">
        <v>6153</v>
      </c>
    </row>
    <row r="62190" spans="8:8">
      <c r="H62190" s="680" t="s">
        <v>6153</v>
      </c>
    </row>
    <row r="62191" spans="8:8">
      <c r="H62191" s="680" t="s">
        <v>6153</v>
      </c>
    </row>
    <row r="62192" spans="8:8">
      <c r="H62192" s="680" t="s">
        <v>6153</v>
      </c>
    </row>
    <row r="62193" spans="8:8">
      <c r="H62193" s="680" t="s">
        <v>6153</v>
      </c>
    </row>
    <row r="62194" spans="8:8">
      <c r="H62194" s="680" t="s">
        <v>6153</v>
      </c>
    </row>
    <row r="62195" spans="8:8">
      <c r="H62195" s="680" t="s">
        <v>6153</v>
      </c>
    </row>
    <row r="62196" spans="8:8">
      <c r="H62196" s="680" t="s">
        <v>6153</v>
      </c>
    </row>
    <row r="62197" spans="8:8">
      <c r="H62197" s="680" t="s">
        <v>6153</v>
      </c>
    </row>
    <row r="62198" spans="8:8">
      <c r="H62198" s="680" t="s">
        <v>6153</v>
      </c>
    </row>
    <row r="62199" spans="8:8">
      <c r="H62199" s="680" t="s">
        <v>6153</v>
      </c>
    </row>
    <row r="62200" spans="8:8">
      <c r="H62200" s="680" t="s">
        <v>6153</v>
      </c>
    </row>
    <row r="62201" spans="8:8">
      <c r="H62201" s="680" t="s">
        <v>6153</v>
      </c>
    </row>
    <row r="62202" spans="8:8">
      <c r="H62202" s="680" t="s">
        <v>6153</v>
      </c>
    </row>
    <row r="62203" spans="8:8">
      <c r="H62203" s="680" t="s">
        <v>6153</v>
      </c>
    </row>
    <row r="62204" spans="8:8">
      <c r="H62204" s="680" t="s">
        <v>6153</v>
      </c>
    </row>
    <row r="62205" spans="8:8">
      <c r="H62205" s="680" t="s">
        <v>6153</v>
      </c>
    </row>
    <row r="62206" spans="8:8">
      <c r="H62206" s="680" t="s">
        <v>6153</v>
      </c>
    </row>
    <row r="62207" spans="8:8">
      <c r="H62207" s="680" t="s">
        <v>6153</v>
      </c>
    </row>
    <row r="62208" spans="8:8">
      <c r="H62208" s="680" t="s">
        <v>6153</v>
      </c>
    </row>
    <row r="62209" spans="8:8">
      <c r="H62209" s="680" t="s">
        <v>6153</v>
      </c>
    </row>
    <row r="62210" spans="8:8">
      <c r="H62210" s="680" t="s">
        <v>6153</v>
      </c>
    </row>
    <row r="62211" spans="8:8">
      <c r="H62211" s="680" t="s">
        <v>6153</v>
      </c>
    </row>
    <row r="62212" spans="8:8">
      <c r="H62212" s="680" t="s">
        <v>6153</v>
      </c>
    </row>
    <row r="62213" spans="8:8">
      <c r="H62213" s="680" t="s">
        <v>6153</v>
      </c>
    </row>
    <row r="62214" spans="8:8">
      <c r="H62214" s="680" t="s">
        <v>6153</v>
      </c>
    </row>
    <row r="62215" spans="8:8">
      <c r="H62215" s="680" t="s">
        <v>6153</v>
      </c>
    </row>
    <row r="62216" spans="8:8">
      <c r="H62216" s="680" t="s">
        <v>6153</v>
      </c>
    </row>
    <row r="62217" spans="8:8">
      <c r="H62217" s="680" t="s">
        <v>6153</v>
      </c>
    </row>
    <row r="62218" spans="8:8">
      <c r="H62218" s="680" t="s">
        <v>6153</v>
      </c>
    </row>
    <row r="62219" spans="8:8">
      <c r="H62219" s="680" t="s">
        <v>6153</v>
      </c>
    </row>
    <row r="62220" spans="8:8">
      <c r="H62220" s="680" t="s">
        <v>6153</v>
      </c>
    </row>
    <row r="62221" spans="8:8">
      <c r="H62221" s="680" t="s">
        <v>6153</v>
      </c>
    </row>
    <row r="62222" spans="8:8">
      <c r="H62222" s="680" t="s">
        <v>6153</v>
      </c>
    </row>
    <row r="62223" spans="8:8">
      <c r="H62223" s="680" t="s">
        <v>6153</v>
      </c>
    </row>
    <row r="62224" spans="8:8">
      <c r="H62224" s="680" t="s">
        <v>6153</v>
      </c>
    </row>
    <row r="62225" spans="8:8">
      <c r="H62225" s="680" t="s">
        <v>6153</v>
      </c>
    </row>
    <row r="62226" spans="8:8">
      <c r="H62226" s="680" t="s">
        <v>6153</v>
      </c>
    </row>
    <row r="62227" spans="8:8">
      <c r="H62227" s="680" t="s">
        <v>6153</v>
      </c>
    </row>
    <row r="62228" spans="8:8">
      <c r="H62228" s="680" t="s">
        <v>6153</v>
      </c>
    </row>
    <row r="62229" spans="8:8">
      <c r="H62229" s="680" t="s">
        <v>6153</v>
      </c>
    </row>
    <row r="62230" spans="8:8">
      <c r="H62230" s="680" t="s">
        <v>6153</v>
      </c>
    </row>
    <row r="62231" spans="8:8">
      <c r="H62231" s="680" t="s">
        <v>6153</v>
      </c>
    </row>
    <row r="62232" spans="8:8">
      <c r="H62232" s="680" t="s">
        <v>6153</v>
      </c>
    </row>
    <row r="62233" spans="8:8">
      <c r="H62233" s="680" t="s">
        <v>6153</v>
      </c>
    </row>
    <row r="62234" spans="8:8">
      <c r="H62234" s="680" t="s">
        <v>6153</v>
      </c>
    </row>
    <row r="62235" spans="8:8">
      <c r="H62235" s="680" t="s">
        <v>6153</v>
      </c>
    </row>
    <row r="62236" spans="8:8">
      <c r="H62236" s="680" t="s">
        <v>6153</v>
      </c>
    </row>
    <row r="62237" spans="8:8">
      <c r="H62237" s="680" t="s">
        <v>6153</v>
      </c>
    </row>
    <row r="62238" spans="8:8">
      <c r="H62238" s="680" t="s">
        <v>6153</v>
      </c>
    </row>
    <row r="62239" spans="8:8">
      <c r="H62239" s="680" t="s">
        <v>6153</v>
      </c>
    </row>
    <row r="62240" spans="8:8">
      <c r="H62240" s="680" t="s">
        <v>6153</v>
      </c>
    </row>
    <row r="62241" spans="8:8">
      <c r="H62241" s="680" t="s">
        <v>6153</v>
      </c>
    </row>
    <row r="62242" spans="8:8">
      <c r="H62242" s="680" t="s">
        <v>6153</v>
      </c>
    </row>
    <row r="62243" spans="8:8">
      <c r="H62243" s="680" t="s">
        <v>6153</v>
      </c>
    </row>
    <row r="62244" spans="8:8">
      <c r="H62244" s="680" t="s">
        <v>6153</v>
      </c>
    </row>
    <row r="62245" spans="8:8">
      <c r="H62245" s="680" t="s">
        <v>6153</v>
      </c>
    </row>
    <row r="62246" spans="8:8">
      <c r="H62246" s="680" t="s">
        <v>6153</v>
      </c>
    </row>
    <row r="62247" spans="8:8">
      <c r="H62247" s="680" t="s">
        <v>6153</v>
      </c>
    </row>
    <row r="62248" spans="8:8">
      <c r="H62248" s="680" t="s">
        <v>6153</v>
      </c>
    </row>
    <row r="62249" spans="8:8">
      <c r="H62249" s="680" t="s">
        <v>6153</v>
      </c>
    </row>
    <row r="62250" spans="8:8">
      <c r="H62250" s="680" t="s">
        <v>6153</v>
      </c>
    </row>
    <row r="62251" spans="8:8">
      <c r="H62251" s="680" t="s">
        <v>6153</v>
      </c>
    </row>
    <row r="62252" spans="8:8">
      <c r="H62252" s="680" t="s">
        <v>6153</v>
      </c>
    </row>
    <row r="62253" spans="8:8">
      <c r="H62253" s="680" t="s">
        <v>6153</v>
      </c>
    </row>
    <row r="62254" spans="8:8">
      <c r="H62254" s="680" t="s">
        <v>6153</v>
      </c>
    </row>
    <row r="62255" spans="8:8">
      <c r="H62255" s="680" t="s">
        <v>6153</v>
      </c>
    </row>
    <row r="62256" spans="8:8">
      <c r="H62256" s="680" t="s">
        <v>6153</v>
      </c>
    </row>
    <row r="62257" spans="8:8">
      <c r="H62257" s="680" t="s">
        <v>6153</v>
      </c>
    </row>
    <row r="62258" spans="8:8">
      <c r="H62258" s="680" t="s">
        <v>6153</v>
      </c>
    </row>
    <row r="62259" spans="8:8">
      <c r="H62259" s="680" t="s">
        <v>6153</v>
      </c>
    </row>
    <row r="62260" spans="8:8">
      <c r="H62260" s="680" t="s">
        <v>6153</v>
      </c>
    </row>
    <row r="62261" spans="8:8">
      <c r="H62261" s="680" t="s">
        <v>6153</v>
      </c>
    </row>
    <row r="62262" spans="8:8">
      <c r="H62262" s="680" t="s">
        <v>6153</v>
      </c>
    </row>
    <row r="62263" spans="8:8">
      <c r="H62263" s="680" t="s">
        <v>6153</v>
      </c>
    </row>
    <row r="62264" spans="8:8">
      <c r="H62264" s="680" t="s">
        <v>6153</v>
      </c>
    </row>
    <row r="62265" spans="8:8">
      <c r="H62265" s="680" t="s">
        <v>6153</v>
      </c>
    </row>
    <row r="62266" spans="8:8">
      <c r="H62266" s="680" t="s">
        <v>6153</v>
      </c>
    </row>
    <row r="62267" spans="8:8">
      <c r="H62267" s="680" t="s">
        <v>6153</v>
      </c>
    </row>
    <row r="62268" spans="8:8">
      <c r="H62268" s="680" t="s">
        <v>6153</v>
      </c>
    </row>
    <row r="62269" spans="8:8">
      <c r="H62269" s="680" t="s">
        <v>6153</v>
      </c>
    </row>
    <row r="62270" spans="8:8">
      <c r="H62270" s="680" t="s">
        <v>6153</v>
      </c>
    </row>
    <row r="62271" spans="8:8">
      <c r="H62271" s="680" t="s">
        <v>6153</v>
      </c>
    </row>
    <row r="62272" spans="8:8">
      <c r="H62272" s="680" t="s">
        <v>6153</v>
      </c>
    </row>
    <row r="62273" spans="8:8">
      <c r="H62273" s="680" t="s">
        <v>6153</v>
      </c>
    </row>
    <row r="62274" spans="8:8">
      <c r="H62274" s="680" t="s">
        <v>6153</v>
      </c>
    </row>
    <row r="62275" spans="8:8">
      <c r="H62275" s="680" t="s">
        <v>6153</v>
      </c>
    </row>
    <row r="62276" spans="8:8">
      <c r="H62276" s="680" t="s">
        <v>6153</v>
      </c>
    </row>
    <row r="62277" spans="8:8">
      <c r="H62277" s="680" t="s">
        <v>6153</v>
      </c>
    </row>
    <row r="62278" spans="8:8">
      <c r="H62278" s="680" t="s">
        <v>6153</v>
      </c>
    </row>
    <row r="62279" spans="8:8">
      <c r="H62279" s="680" t="s">
        <v>6153</v>
      </c>
    </row>
    <row r="62280" spans="8:8">
      <c r="H62280" s="680" t="s">
        <v>6153</v>
      </c>
    </row>
    <row r="62281" spans="8:8">
      <c r="H62281" s="680" t="s">
        <v>6153</v>
      </c>
    </row>
    <row r="62282" spans="8:8">
      <c r="H62282" s="680" t="s">
        <v>6153</v>
      </c>
    </row>
    <row r="62283" spans="8:8">
      <c r="H62283" s="680" t="s">
        <v>6153</v>
      </c>
    </row>
    <row r="62284" spans="8:8">
      <c r="H62284" s="680" t="s">
        <v>6153</v>
      </c>
    </row>
    <row r="62285" spans="8:8">
      <c r="H62285" s="680" t="s">
        <v>6153</v>
      </c>
    </row>
    <row r="62286" spans="8:8">
      <c r="H62286" s="680" t="s">
        <v>6153</v>
      </c>
    </row>
    <row r="62287" spans="8:8">
      <c r="H62287" s="680" t="s">
        <v>6153</v>
      </c>
    </row>
    <row r="62288" spans="8:8">
      <c r="H62288" s="680" t="s">
        <v>6153</v>
      </c>
    </row>
    <row r="62289" spans="8:8">
      <c r="H62289" s="680" t="s">
        <v>6153</v>
      </c>
    </row>
    <row r="62290" spans="8:8">
      <c r="H62290" s="680" t="s">
        <v>6153</v>
      </c>
    </row>
    <row r="62291" spans="8:8">
      <c r="H62291" s="680" t="s">
        <v>6153</v>
      </c>
    </row>
    <row r="62292" spans="8:8">
      <c r="H62292" s="680" t="s">
        <v>6153</v>
      </c>
    </row>
    <row r="62293" spans="8:8">
      <c r="H62293" s="680" t="s">
        <v>6153</v>
      </c>
    </row>
    <row r="62294" spans="8:8">
      <c r="H62294" s="680" t="s">
        <v>6153</v>
      </c>
    </row>
    <row r="62295" spans="8:8">
      <c r="H62295" s="680" t="s">
        <v>6153</v>
      </c>
    </row>
    <row r="62296" spans="8:8">
      <c r="H62296" s="680" t="s">
        <v>6153</v>
      </c>
    </row>
    <row r="62297" spans="8:8">
      <c r="H62297" s="680" t="s">
        <v>6153</v>
      </c>
    </row>
    <row r="62298" spans="8:8">
      <c r="H62298" s="680" t="s">
        <v>6153</v>
      </c>
    </row>
    <row r="62299" spans="8:8">
      <c r="H62299" s="680" t="s">
        <v>6153</v>
      </c>
    </row>
    <row r="62300" spans="8:8">
      <c r="H62300" s="680" t="s">
        <v>6153</v>
      </c>
    </row>
    <row r="62301" spans="8:8">
      <c r="H62301" s="680" t="s">
        <v>6153</v>
      </c>
    </row>
    <row r="62302" spans="8:8">
      <c r="H62302" s="680" t="s">
        <v>6153</v>
      </c>
    </row>
    <row r="62303" spans="8:8">
      <c r="H62303" s="680" t="s">
        <v>6153</v>
      </c>
    </row>
    <row r="62304" spans="8:8">
      <c r="H62304" s="680" t="s">
        <v>6153</v>
      </c>
    </row>
    <row r="62305" spans="8:8">
      <c r="H62305" s="680" t="s">
        <v>6153</v>
      </c>
    </row>
    <row r="62306" spans="8:8">
      <c r="H62306" s="680" t="s">
        <v>6153</v>
      </c>
    </row>
    <row r="62307" spans="8:8">
      <c r="H62307" s="680" t="s">
        <v>6153</v>
      </c>
    </row>
    <row r="62308" spans="8:8">
      <c r="H62308" s="680" t="s">
        <v>6153</v>
      </c>
    </row>
    <row r="62309" spans="8:8">
      <c r="H62309" s="680" t="s">
        <v>6153</v>
      </c>
    </row>
    <row r="62310" spans="8:8">
      <c r="H62310" s="680" t="s">
        <v>6153</v>
      </c>
    </row>
    <row r="62311" spans="8:8">
      <c r="H62311" s="680" t="s">
        <v>6153</v>
      </c>
    </row>
    <row r="62312" spans="8:8">
      <c r="H62312" s="680" t="s">
        <v>6153</v>
      </c>
    </row>
    <row r="62313" spans="8:8">
      <c r="H62313" s="680" t="s">
        <v>6153</v>
      </c>
    </row>
    <row r="62314" spans="8:8">
      <c r="H62314" s="680" t="s">
        <v>6153</v>
      </c>
    </row>
    <row r="62315" spans="8:8">
      <c r="H62315" s="680" t="s">
        <v>6153</v>
      </c>
    </row>
    <row r="62316" spans="8:8">
      <c r="H62316" s="680" t="s">
        <v>6153</v>
      </c>
    </row>
    <row r="62317" spans="8:8">
      <c r="H62317" s="680" t="s">
        <v>6153</v>
      </c>
    </row>
    <row r="62318" spans="8:8">
      <c r="H62318" s="680" t="s">
        <v>6153</v>
      </c>
    </row>
    <row r="62319" spans="8:8">
      <c r="H62319" s="680" t="s">
        <v>6153</v>
      </c>
    </row>
    <row r="62320" spans="8:8">
      <c r="H62320" s="680" t="s">
        <v>6153</v>
      </c>
    </row>
    <row r="62321" spans="8:8">
      <c r="H62321" s="680" t="s">
        <v>6153</v>
      </c>
    </row>
    <row r="62322" spans="8:8">
      <c r="H62322" s="680" t="s">
        <v>6153</v>
      </c>
    </row>
    <row r="62323" spans="8:8">
      <c r="H62323" s="680" t="s">
        <v>6153</v>
      </c>
    </row>
    <row r="62324" spans="8:8">
      <c r="H62324" s="680" t="s">
        <v>6153</v>
      </c>
    </row>
    <row r="62325" spans="8:8">
      <c r="H62325" s="680" t="s">
        <v>6153</v>
      </c>
    </row>
    <row r="62326" spans="8:8">
      <c r="H62326" s="680" t="s">
        <v>6153</v>
      </c>
    </row>
    <row r="62327" spans="8:8">
      <c r="H62327" s="680" t="s">
        <v>6153</v>
      </c>
    </row>
    <row r="62328" spans="8:8">
      <c r="H62328" s="680" t="s">
        <v>6153</v>
      </c>
    </row>
    <row r="62329" spans="8:8">
      <c r="H62329" s="680" t="s">
        <v>6153</v>
      </c>
    </row>
    <row r="62330" spans="8:8">
      <c r="H62330" s="680" t="s">
        <v>6153</v>
      </c>
    </row>
    <row r="62331" spans="8:8">
      <c r="H62331" s="680" t="s">
        <v>6153</v>
      </c>
    </row>
    <row r="62332" spans="8:8">
      <c r="H62332" s="680" t="s">
        <v>6153</v>
      </c>
    </row>
    <row r="62333" spans="8:8">
      <c r="H62333" s="680" t="s">
        <v>6153</v>
      </c>
    </row>
    <row r="62334" spans="8:8">
      <c r="H62334" s="680" t="s">
        <v>6153</v>
      </c>
    </row>
    <row r="62335" spans="8:8">
      <c r="H62335" s="680" t="s">
        <v>6153</v>
      </c>
    </row>
    <row r="62336" spans="8:8">
      <c r="H62336" s="680" t="s">
        <v>6153</v>
      </c>
    </row>
    <row r="62337" spans="8:8">
      <c r="H62337" s="680" t="s">
        <v>6153</v>
      </c>
    </row>
    <row r="62338" spans="8:8">
      <c r="H62338" s="680" t="s">
        <v>6153</v>
      </c>
    </row>
    <row r="62339" spans="8:8">
      <c r="H62339" s="680" t="s">
        <v>6153</v>
      </c>
    </row>
    <row r="62340" spans="8:8">
      <c r="H62340" s="680" t="s">
        <v>6153</v>
      </c>
    </row>
    <row r="62341" spans="8:8">
      <c r="H62341" s="680" t="s">
        <v>6153</v>
      </c>
    </row>
    <row r="62342" spans="8:8">
      <c r="H62342" s="680" t="s">
        <v>6153</v>
      </c>
    </row>
    <row r="62343" spans="8:8">
      <c r="H62343" s="680" t="s">
        <v>6153</v>
      </c>
    </row>
    <row r="62344" spans="8:8">
      <c r="H62344" s="680" t="s">
        <v>6153</v>
      </c>
    </row>
    <row r="62345" spans="8:8">
      <c r="H62345" s="680" t="s">
        <v>6153</v>
      </c>
    </row>
    <row r="62346" spans="8:8">
      <c r="H62346" s="680" t="s">
        <v>6153</v>
      </c>
    </row>
    <row r="62347" spans="8:8">
      <c r="H62347" s="680" t="s">
        <v>6153</v>
      </c>
    </row>
    <row r="62348" spans="8:8">
      <c r="H62348" s="680" t="s">
        <v>6153</v>
      </c>
    </row>
    <row r="62349" spans="8:8">
      <c r="H62349" s="680" t="s">
        <v>6153</v>
      </c>
    </row>
    <row r="62350" spans="8:8">
      <c r="H62350" s="680" t="s">
        <v>6153</v>
      </c>
    </row>
    <row r="62351" spans="8:8">
      <c r="H62351" s="680" t="s">
        <v>6153</v>
      </c>
    </row>
    <row r="62352" spans="8:8">
      <c r="H62352" s="680" t="s">
        <v>6153</v>
      </c>
    </row>
    <row r="62353" spans="8:8">
      <c r="H62353" s="680" t="s">
        <v>6153</v>
      </c>
    </row>
    <row r="62354" spans="8:8">
      <c r="H62354" s="680" t="s">
        <v>6153</v>
      </c>
    </row>
    <row r="62355" spans="8:8">
      <c r="H62355" s="680" t="s">
        <v>6153</v>
      </c>
    </row>
    <row r="62356" spans="8:8">
      <c r="H62356" s="680" t="s">
        <v>6153</v>
      </c>
    </row>
    <row r="62357" spans="8:8">
      <c r="H62357" s="680" t="s">
        <v>6153</v>
      </c>
    </row>
    <row r="62358" spans="8:8">
      <c r="H62358" s="680" t="s">
        <v>6153</v>
      </c>
    </row>
    <row r="62359" spans="8:8">
      <c r="H62359" s="680" t="s">
        <v>6153</v>
      </c>
    </row>
    <row r="62360" spans="8:8">
      <c r="H62360" s="680" t="s">
        <v>6153</v>
      </c>
    </row>
    <row r="62361" spans="8:8">
      <c r="H62361" s="680" t="s">
        <v>6153</v>
      </c>
    </row>
    <row r="62362" spans="8:8">
      <c r="H62362" s="680" t="s">
        <v>6153</v>
      </c>
    </row>
    <row r="62363" spans="8:8">
      <c r="H62363" s="680" t="s">
        <v>6153</v>
      </c>
    </row>
    <row r="62364" spans="8:8">
      <c r="H62364" s="680" t="s">
        <v>6153</v>
      </c>
    </row>
    <row r="62365" spans="8:8">
      <c r="H62365" s="680" t="s">
        <v>6153</v>
      </c>
    </row>
    <row r="62366" spans="8:8">
      <c r="H62366" s="680" t="s">
        <v>6153</v>
      </c>
    </row>
    <row r="62367" spans="8:8">
      <c r="H62367" s="680" t="s">
        <v>6153</v>
      </c>
    </row>
    <row r="62368" spans="8:8">
      <c r="H62368" s="680" t="s">
        <v>6153</v>
      </c>
    </row>
    <row r="62369" spans="8:8">
      <c r="H62369" s="680" t="s">
        <v>6153</v>
      </c>
    </row>
    <row r="62370" spans="8:8">
      <c r="H62370" s="680" t="s">
        <v>6153</v>
      </c>
    </row>
    <row r="62371" spans="8:8">
      <c r="H62371" s="680" t="s">
        <v>6153</v>
      </c>
    </row>
    <row r="62372" spans="8:8">
      <c r="H62372" s="680" t="s">
        <v>6153</v>
      </c>
    </row>
    <row r="62373" spans="8:8">
      <c r="H62373" s="680" t="s">
        <v>6153</v>
      </c>
    </row>
    <row r="62374" spans="8:8">
      <c r="H62374" s="680" t="s">
        <v>6153</v>
      </c>
    </row>
    <row r="62375" spans="8:8">
      <c r="H62375" s="680" t="s">
        <v>6153</v>
      </c>
    </row>
    <row r="62376" spans="8:8">
      <c r="H62376" s="680" t="s">
        <v>6153</v>
      </c>
    </row>
    <row r="62377" spans="8:8">
      <c r="H62377" s="680" t="s">
        <v>6153</v>
      </c>
    </row>
    <row r="62378" spans="8:8">
      <c r="H62378" s="680" t="s">
        <v>6153</v>
      </c>
    </row>
    <row r="62379" spans="8:8">
      <c r="H62379" s="680" t="s">
        <v>6153</v>
      </c>
    </row>
    <row r="62380" spans="8:8">
      <c r="H62380" s="680" t="s">
        <v>6153</v>
      </c>
    </row>
    <row r="62381" spans="8:8">
      <c r="H62381" s="680" t="s">
        <v>6153</v>
      </c>
    </row>
    <row r="62382" spans="8:8">
      <c r="H62382" s="680" t="s">
        <v>6153</v>
      </c>
    </row>
    <row r="62383" spans="8:8">
      <c r="H62383" s="680" t="s">
        <v>6153</v>
      </c>
    </row>
    <row r="62384" spans="8:8">
      <c r="H62384" s="680" t="s">
        <v>6153</v>
      </c>
    </row>
    <row r="62385" spans="8:8">
      <c r="H62385" s="680" t="s">
        <v>6153</v>
      </c>
    </row>
    <row r="62386" spans="8:8">
      <c r="H62386" s="680" t="s">
        <v>6153</v>
      </c>
    </row>
    <row r="62387" spans="8:8">
      <c r="H62387" s="680" t="s">
        <v>6153</v>
      </c>
    </row>
    <row r="62388" spans="8:8">
      <c r="H62388" s="680" t="s">
        <v>6153</v>
      </c>
    </row>
    <row r="62389" spans="8:8">
      <c r="H62389" s="680" t="s">
        <v>6153</v>
      </c>
    </row>
    <row r="62390" spans="8:8">
      <c r="H62390" s="680" t="s">
        <v>6153</v>
      </c>
    </row>
    <row r="62391" spans="8:8">
      <c r="H62391" s="680" t="s">
        <v>6153</v>
      </c>
    </row>
    <row r="62392" spans="8:8">
      <c r="H62392" s="680" t="s">
        <v>6153</v>
      </c>
    </row>
    <row r="62393" spans="8:8">
      <c r="H62393" s="680" t="s">
        <v>6153</v>
      </c>
    </row>
    <row r="62394" spans="8:8">
      <c r="H62394" s="680" t="s">
        <v>6153</v>
      </c>
    </row>
    <row r="62395" spans="8:8">
      <c r="H62395" s="680" t="s">
        <v>6153</v>
      </c>
    </row>
    <row r="62396" spans="8:8">
      <c r="H62396" s="680" t="s">
        <v>6153</v>
      </c>
    </row>
    <row r="62397" spans="8:8">
      <c r="H62397" s="680" t="s">
        <v>6153</v>
      </c>
    </row>
    <row r="62398" spans="8:8">
      <c r="H62398" s="680" t="s">
        <v>6153</v>
      </c>
    </row>
    <row r="62399" spans="8:8">
      <c r="H62399" s="680" t="s">
        <v>6153</v>
      </c>
    </row>
    <row r="62400" spans="8:8">
      <c r="H62400" s="680" t="s">
        <v>6153</v>
      </c>
    </row>
    <row r="62401" spans="8:8">
      <c r="H62401" s="680" t="s">
        <v>6153</v>
      </c>
    </row>
    <row r="62402" spans="8:8">
      <c r="H62402" s="680" t="s">
        <v>6153</v>
      </c>
    </row>
    <row r="62403" spans="8:8">
      <c r="H62403" s="680" t="s">
        <v>6153</v>
      </c>
    </row>
    <row r="62404" spans="8:8">
      <c r="H62404" s="680" t="s">
        <v>6153</v>
      </c>
    </row>
    <row r="62405" spans="8:8">
      <c r="H62405" s="680" t="s">
        <v>6153</v>
      </c>
    </row>
    <row r="62406" spans="8:8">
      <c r="H62406" s="680" t="s">
        <v>6153</v>
      </c>
    </row>
    <row r="62407" spans="8:8">
      <c r="H62407" s="680" t="s">
        <v>6153</v>
      </c>
    </row>
    <row r="62408" spans="8:8">
      <c r="H62408" s="680" t="s">
        <v>6153</v>
      </c>
    </row>
    <row r="62409" spans="8:8">
      <c r="H62409" s="680" t="s">
        <v>6153</v>
      </c>
    </row>
    <row r="62410" spans="8:8">
      <c r="H62410" s="680" t="s">
        <v>6153</v>
      </c>
    </row>
    <row r="62411" spans="8:8">
      <c r="H62411" s="680" t="s">
        <v>6153</v>
      </c>
    </row>
    <row r="62412" spans="8:8">
      <c r="H62412" s="680" t="s">
        <v>6153</v>
      </c>
    </row>
    <row r="62413" spans="8:8">
      <c r="H62413" s="680" t="s">
        <v>6153</v>
      </c>
    </row>
    <row r="62414" spans="8:8">
      <c r="H62414" s="680" t="s">
        <v>6153</v>
      </c>
    </row>
    <row r="62415" spans="8:8">
      <c r="H62415" s="680" t="s">
        <v>6153</v>
      </c>
    </row>
    <row r="62416" spans="8:8">
      <c r="H62416" s="680" t="s">
        <v>6153</v>
      </c>
    </row>
    <row r="62417" spans="8:8">
      <c r="H62417" s="680" t="s">
        <v>6153</v>
      </c>
    </row>
    <row r="62418" spans="8:8">
      <c r="H62418" s="680" t="s">
        <v>6153</v>
      </c>
    </row>
    <row r="62419" spans="8:8">
      <c r="H62419" s="680" t="s">
        <v>6153</v>
      </c>
    </row>
    <row r="62420" spans="8:8">
      <c r="H62420" s="680" t="s">
        <v>6153</v>
      </c>
    </row>
    <row r="62421" spans="8:8">
      <c r="H62421" s="680" t="s">
        <v>6153</v>
      </c>
    </row>
    <row r="62422" spans="8:8">
      <c r="H62422" s="680" t="s">
        <v>6153</v>
      </c>
    </row>
    <row r="62423" spans="8:8">
      <c r="H62423" s="680" t="s">
        <v>6153</v>
      </c>
    </row>
    <row r="62424" spans="8:8">
      <c r="H62424" s="680" t="s">
        <v>6153</v>
      </c>
    </row>
    <row r="62425" spans="8:8">
      <c r="H62425" s="680" t="s">
        <v>6153</v>
      </c>
    </row>
    <row r="62426" spans="8:8">
      <c r="H62426" s="680" t="s">
        <v>6153</v>
      </c>
    </row>
    <row r="62427" spans="8:8">
      <c r="H62427" s="680" t="s">
        <v>6153</v>
      </c>
    </row>
    <row r="62428" spans="8:8">
      <c r="H62428" s="680" t="s">
        <v>6153</v>
      </c>
    </row>
    <row r="62429" spans="8:8">
      <c r="H62429" s="680" t="s">
        <v>6153</v>
      </c>
    </row>
    <row r="62430" spans="8:8">
      <c r="H62430" s="680" t="s">
        <v>6153</v>
      </c>
    </row>
    <row r="62431" spans="8:8">
      <c r="H62431" s="680" t="s">
        <v>6153</v>
      </c>
    </row>
    <row r="62432" spans="8:8">
      <c r="H62432" s="680" t="s">
        <v>6153</v>
      </c>
    </row>
    <row r="62433" spans="8:8">
      <c r="H62433" s="680" t="s">
        <v>6153</v>
      </c>
    </row>
    <row r="62434" spans="8:8">
      <c r="H62434" s="680" t="s">
        <v>6153</v>
      </c>
    </row>
    <row r="62435" spans="8:8">
      <c r="H62435" s="680" t="s">
        <v>6153</v>
      </c>
    </row>
    <row r="62436" spans="8:8">
      <c r="H62436" s="680" t="s">
        <v>6153</v>
      </c>
    </row>
    <row r="62437" spans="8:8">
      <c r="H62437" s="680" t="s">
        <v>6153</v>
      </c>
    </row>
    <row r="62438" spans="8:8">
      <c r="H62438" s="680" t="s">
        <v>6153</v>
      </c>
    </row>
    <row r="62439" spans="8:8">
      <c r="H62439" s="680" t="s">
        <v>6153</v>
      </c>
    </row>
    <row r="62440" spans="8:8">
      <c r="H62440" s="680" t="s">
        <v>6153</v>
      </c>
    </row>
    <row r="62441" spans="8:8">
      <c r="H62441" s="680" t="s">
        <v>6153</v>
      </c>
    </row>
    <row r="62442" spans="8:8">
      <c r="H62442" s="680" t="s">
        <v>6153</v>
      </c>
    </row>
    <row r="62443" spans="8:8">
      <c r="H62443" s="680" t="s">
        <v>6153</v>
      </c>
    </row>
    <row r="62444" spans="8:8">
      <c r="H62444" s="680" t="s">
        <v>6153</v>
      </c>
    </row>
    <row r="62445" spans="8:8">
      <c r="H62445" s="680" t="s">
        <v>6153</v>
      </c>
    </row>
    <row r="62446" spans="8:8">
      <c r="H62446" s="680" t="s">
        <v>6153</v>
      </c>
    </row>
    <row r="62447" spans="8:8">
      <c r="H62447" s="680" t="s">
        <v>6153</v>
      </c>
    </row>
    <row r="62448" spans="8:8">
      <c r="H62448" s="680" t="s">
        <v>6153</v>
      </c>
    </row>
    <row r="62449" spans="8:8">
      <c r="H62449" s="680" t="s">
        <v>6153</v>
      </c>
    </row>
    <row r="62450" spans="8:8">
      <c r="H62450" s="680" t="s">
        <v>6153</v>
      </c>
    </row>
    <row r="62451" spans="8:8">
      <c r="H62451" s="680" t="s">
        <v>6153</v>
      </c>
    </row>
    <row r="62452" spans="8:8">
      <c r="H62452" s="680" t="s">
        <v>6153</v>
      </c>
    </row>
    <row r="62453" spans="8:8">
      <c r="H62453" s="680" t="s">
        <v>6153</v>
      </c>
    </row>
    <row r="62454" spans="8:8">
      <c r="H62454" s="680" t="s">
        <v>6153</v>
      </c>
    </row>
    <row r="62455" spans="8:8">
      <c r="H62455" s="680" t="s">
        <v>6153</v>
      </c>
    </row>
    <row r="62456" spans="8:8">
      <c r="H62456" s="680" t="s">
        <v>6153</v>
      </c>
    </row>
    <row r="62457" spans="8:8">
      <c r="H62457" s="680" t="s">
        <v>6153</v>
      </c>
    </row>
    <row r="62458" spans="8:8">
      <c r="H62458" s="680" t="s">
        <v>6153</v>
      </c>
    </row>
    <row r="62459" spans="8:8">
      <c r="H62459" s="680" t="s">
        <v>6153</v>
      </c>
    </row>
    <row r="62460" spans="8:8">
      <c r="H62460" s="680" t="s">
        <v>6153</v>
      </c>
    </row>
    <row r="62461" spans="8:8">
      <c r="H62461" s="680" t="s">
        <v>6153</v>
      </c>
    </row>
    <row r="62462" spans="8:8">
      <c r="H62462" s="680" t="s">
        <v>6153</v>
      </c>
    </row>
    <row r="62463" spans="8:8">
      <c r="H62463" s="680" t="s">
        <v>6153</v>
      </c>
    </row>
    <row r="62464" spans="8:8">
      <c r="H62464" s="680" t="s">
        <v>6153</v>
      </c>
    </row>
    <row r="62465" spans="8:8">
      <c r="H62465" s="680" t="s">
        <v>6153</v>
      </c>
    </row>
    <row r="62466" spans="8:8">
      <c r="H62466" s="680" t="s">
        <v>6153</v>
      </c>
    </row>
    <row r="62467" spans="8:8">
      <c r="H62467" s="680" t="s">
        <v>6153</v>
      </c>
    </row>
    <row r="62468" spans="8:8">
      <c r="H62468" s="680" t="s">
        <v>6153</v>
      </c>
    </row>
    <row r="62469" spans="8:8">
      <c r="H62469" s="680" t="s">
        <v>6153</v>
      </c>
    </row>
    <row r="62470" spans="8:8">
      <c r="H62470" s="680" t="s">
        <v>6153</v>
      </c>
    </row>
    <row r="62471" spans="8:8">
      <c r="H62471" s="680" t="s">
        <v>6153</v>
      </c>
    </row>
    <row r="62472" spans="8:8">
      <c r="H62472" s="680" t="s">
        <v>6153</v>
      </c>
    </row>
    <row r="62473" spans="8:8">
      <c r="H62473" s="680" t="s">
        <v>6153</v>
      </c>
    </row>
    <row r="62474" spans="8:8">
      <c r="H62474" s="680" t="s">
        <v>6153</v>
      </c>
    </row>
    <row r="62475" spans="8:8">
      <c r="H62475" s="680" t="s">
        <v>6153</v>
      </c>
    </row>
    <row r="62476" spans="8:8">
      <c r="H62476" s="680" t="s">
        <v>6153</v>
      </c>
    </row>
    <row r="62477" spans="8:8">
      <c r="H62477" s="680" t="s">
        <v>6153</v>
      </c>
    </row>
    <row r="62478" spans="8:8">
      <c r="H62478" s="680" t="s">
        <v>6153</v>
      </c>
    </row>
    <row r="62479" spans="8:8">
      <c r="H62479" s="680" t="s">
        <v>6153</v>
      </c>
    </row>
    <row r="62480" spans="8:8">
      <c r="H62480" s="680" t="s">
        <v>6153</v>
      </c>
    </row>
    <row r="62481" spans="8:8">
      <c r="H62481" s="680" t="s">
        <v>6153</v>
      </c>
    </row>
    <row r="62482" spans="8:8">
      <c r="H62482" s="680" t="s">
        <v>6153</v>
      </c>
    </row>
    <row r="62483" spans="8:8">
      <c r="H62483" s="680" t="s">
        <v>6153</v>
      </c>
    </row>
    <row r="62484" spans="8:8">
      <c r="H62484" s="680" t="s">
        <v>6153</v>
      </c>
    </row>
    <row r="62485" spans="8:8">
      <c r="H62485" s="680" t="s">
        <v>6153</v>
      </c>
    </row>
    <row r="62486" spans="8:8">
      <c r="H62486" s="680" t="s">
        <v>6153</v>
      </c>
    </row>
    <row r="62487" spans="8:8">
      <c r="H62487" s="680" t="s">
        <v>6153</v>
      </c>
    </row>
    <row r="62488" spans="8:8">
      <c r="H62488" s="680" t="s">
        <v>6153</v>
      </c>
    </row>
    <row r="62489" spans="8:8">
      <c r="H62489" s="680" t="s">
        <v>6153</v>
      </c>
    </row>
    <row r="62490" spans="8:8">
      <c r="H62490" s="680" t="s">
        <v>6153</v>
      </c>
    </row>
    <row r="62491" spans="8:8">
      <c r="H62491" s="680" t="s">
        <v>6153</v>
      </c>
    </row>
    <row r="62492" spans="8:8">
      <c r="H62492" s="680" t="s">
        <v>6153</v>
      </c>
    </row>
    <row r="62493" spans="8:8">
      <c r="H62493" s="680" t="s">
        <v>6153</v>
      </c>
    </row>
    <row r="62494" spans="8:8">
      <c r="H62494" s="680" t="s">
        <v>6153</v>
      </c>
    </row>
    <row r="62495" spans="8:8">
      <c r="H62495" s="680" t="s">
        <v>6153</v>
      </c>
    </row>
    <row r="62496" spans="8:8">
      <c r="H62496" s="680" t="s">
        <v>6153</v>
      </c>
    </row>
    <row r="62497" spans="8:8">
      <c r="H62497" s="680" t="s">
        <v>6153</v>
      </c>
    </row>
    <row r="62498" spans="8:8">
      <c r="H62498" s="680" t="s">
        <v>6153</v>
      </c>
    </row>
    <row r="62499" spans="8:8">
      <c r="H62499" s="680" t="s">
        <v>6153</v>
      </c>
    </row>
    <row r="62500" spans="8:8">
      <c r="H62500" s="680" t="s">
        <v>6153</v>
      </c>
    </row>
    <row r="62501" spans="8:8">
      <c r="H62501" s="680" t="s">
        <v>6153</v>
      </c>
    </row>
    <row r="62502" spans="8:8">
      <c r="H62502" s="680" t="s">
        <v>6153</v>
      </c>
    </row>
    <row r="62503" spans="8:8">
      <c r="H62503" s="680" t="s">
        <v>6153</v>
      </c>
    </row>
    <row r="62504" spans="8:8">
      <c r="H62504" s="680" t="s">
        <v>6153</v>
      </c>
    </row>
    <row r="62505" spans="8:8">
      <c r="H62505" s="680" t="s">
        <v>6153</v>
      </c>
    </row>
    <row r="62506" spans="8:8">
      <c r="H62506" s="680" t="s">
        <v>6153</v>
      </c>
    </row>
    <row r="62507" spans="8:8">
      <c r="H62507" s="680" t="s">
        <v>6153</v>
      </c>
    </row>
    <row r="62508" spans="8:8">
      <c r="H62508" s="680" t="s">
        <v>6153</v>
      </c>
    </row>
    <row r="62509" spans="8:8">
      <c r="H62509" s="680" t="s">
        <v>6153</v>
      </c>
    </row>
    <row r="62510" spans="8:8">
      <c r="H62510" s="680" t="s">
        <v>6153</v>
      </c>
    </row>
    <row r="62511" spans="8:8">
      <c r="H62511" s="680" t="s">
        <v>6153</v>
      </c>
    </row>
    <row r="62512" spans="8:8">
      <c r="H62512" s="680" t="s">
        <v>6153</v>
      </c>
    </row>
    <row r="62513" spans="8:8">
      <c r="H62513" s="680" t="s">
        <v>6153</v>
      </c>
    </row>
    <row r="62514" spans="8:8">
      <c r="H62514" s="680" t="s">
        <v>6153</v>
      </c>
    </row>
    <row r="62515" spans="8:8">
      <c r="H62515" s="680" t="s">
        <v>6153</v>
      </c>
    </row>
    <row r="62516" spans="8:8">
      <c r="H62516" s="680" t="s">
        <v>6153</v>
      </c>
    </row>
    <row r="62517" spans="8:8">
      <c r="H62517" s="680" t="s">
        <v>6153</v>
      </c>
    </row>
    <row r="62518" spans="8:8">
      <c r="H62518" s="680" t="s">
        <v>6153</v>
      </c>
    </row>
    <row r="62519" spans="8:8">
      <c r="H62519" s="680" t="s">
        <v>6153</v>
      </c>
    </row>
    <row r="62520" spans="8:8">
      <c r="H62520" s="680" t="s">
        <v>6153</v>
      </c>
    </row>
    <row r="62521" spans="8:8">
      <c r="H62521" s="680" t="s">
        <v>6153</v>
      </c>
    </row>
    <row r="62522" spans="8:8">
      <c r="H62522" s="680" t="s">
        <v>6153</v>
      </c>
    </row>
    <row r="62523" spans="8:8">
      <c r="H62523" s="680" t="s">
        <v>6153</v>
      </c>
    </row>
    <row r="62524" spans="8:8">
      <c r="H62524" s="680" t="s">
        <v>6153</v>
      </c>
    </row>
    <row r="62525" spans="8:8">
      <c r="H62525" s="680" t="s">
        <v>6153</v>
      </c>
    </row>
    <row r="62526" spans="8:8">
      <c r="H62526" s="680" t="s">
        <v>6153</v>
      </c>
    </row>
    <row r="62527" spans="8:8">
      <c r="H62527" s="680" t="s">
        <v>6153</v>
      </c>
    </row>
    <row r="62528" spans="8:8">
      <c r="H62528" s="680" t="s">
        <v>6153</v>
      </c>
    </row>
    <row r="62529" spans="8:8">
      <c r="H62529" s="680" t="s">
        <v>6153</v>
      </c>
    </row>
    <row r="62530" spans="8:8">
      <c r="H62530" s="680" t="s">
        <v>6153</v>
      </c>
    </row>
    <row r="62531" spans="8:8">
      <c r="H62531" s="680" t="s">
        <v>6153</v>
      </c>
    </row>
    <row r="62532" spans="8:8">
      <c r="H62532" s="680" t="s">
        <v>6153</v>
      </c>
    </row>
    <row r="62533" spans="8:8">
      <c r="H62533" s="680" t="s">
        <v>6153</v>
      </c>
    </row>
    <row r="62534" spans="8:8">
      <c r="H62534" s="680" t="s">
        <v>6153</v>
      </c>
    </row>
    <row r="62535" spans="8:8">
      <c r="H62535" s="680" t="s">
        <v>6153</v>
      </c>
    </row>
    <row r="62536" spans="8:8">
      <c r="H62536" s="680" t="s">
        <v>6153</v>
      </c>
    </row>
    <row r="62537" spans="8:8">
      <c r="H62537" s="680" t="s">
        <v>6153</v>
      </c>
    </row>
    <row r="62538" spans="8:8">
      <c r="H62538" s="680" t="s">
        <v>6153</v>
      </c>
    </row>
    <row r="62539" spans="8:8">
      <c r="H62539" s="680" t="s">
        <v>6153</v>
      </c>
    </row>
    <row r="62540" spans="8:8">
      <c r="H62540" s="680" t="s">
        <v>6153</v>
      </c>
    </row>
    <row r="62541" spans="8:8">
      <c r="H62541" s="680" t="s">
        <v>6153</v>
      </c>
    </row>
    <row r="62542" spans="8:8">
      <c r="H62542" s="680" t="s">
        <v>6153</v>
      </c>
    </row>
    <row r="62543" spans="8:8">
      <c r="H62543" s="680" t="s">
        <v>6153</v>
      </c>
    </row>
    <row r="62544" spans="8:8">
      <c r="H62544" s="680" t="s">
        <v>6153</v>
      </c>
    </row>
    <row r="62545" spans="8:8">
      <c r="H62545" s="680" t="s">
        <v>6153</v>
      </c>
    </row>
    <row r="62546" spans="8:8">
      <c r="H62546" s="680" t="s">
        <v>6153</v>
      </c>
    </row>
    <row r="62547" spans="8:8">
      <c r="H62547" s="680" t="s">
        <v>6153</v>
      </c>
    </row>
    <row r="62548" spans="8:8">
      <c r="H62548" s="680" t="s">
        <v>6153</v>
      </c>
    </row>
    <row r="62549" spans="8:8">
      <c r="H62549" s="680" t="s">
        <v>6153</v>
      </c>
    </row>
    <row r="62550" spans="8:8">
      <c r="H62550" s="680" t="s">
        <v>6153</v>
      </c>
    </row>
    <row r="62551" spans="8:8">
      <c r="H62551" s="680" t="s">
        <v>6153</v>
      </c>
    </row>
    <row r="62552" spans="8:8">
      <c r="H62552" s="680" t="s">
        <v>6153</v>
      </c>
    </row>
    <row r="62553" spans="8:8">
      <c r="H62553" s="680" t="s">
        <v>6153</v>
      </c>
    </row>
    <row r="62554" spans="8:8">
      <c r="H62554" s="680" t="s">
        <v>6153</v>
      </c>
    </row>
    <row r="62555" spans="8:8">
      <c r="H62555" s="680" t="s">
        <v>6153</v>
      </c>
    </row>
    <row r="62556" spans="8:8">
      <c r="H62556" s="680" t="s">
        <v>6153</v>
      </c>
    </row>
    <row r="62557" spans="8:8">
      <c r="H62557" s="680" t="s">
        <v>6153</v>
      </c>
    </row>
    <row r="62558" spans="8:8">
      <c r="H62558" s="680" t="s">
        <v>6153</v>
      </c>
    </row>
    <row r="62559" spans="8:8">
      <c r="H62559" s="680" t="s">
        <v>6153</v>
      </c>
    </row>
    <row r="62560" spans="8:8">
      <c r="H62560" s="680" t="s">
        <v>6153</v>
      </c>
    </row>
    <row r="62561" spans="8:8">
      <c r="H62561" s="680" t="s">
        <v>6153</v>
      </c>
    </row>
    <row r="62562" spans="8:8">
      <c r="H62562" s="680" t="s">
        <v>6153</v>
      </c>
    </row>
    <row r="62563" spans="8:8">
      <c r="H62563" s="680" t="s">
        <v>6153</v>
      </c>
    </row>
    <row r="62564" spans="8:8">
      <c r="H62564" s="680" t="s">
        <v>6153</v>
      </c>
    </row>
    <row r="62565" spans="8:8">
      <c r="H62565" s="680" t="s">
        <v>6153</v>
      </c>
    </row>
    <row r="62566" spans="8:8">
      <c r="H62566" s="680" t="s">
        <v>6153</v>
      </c>
    </row>
    <row r="62567" spans="8:8">
      <c r="H62567" s="680" t="s">
        <v>6153</v>
      </c>
    </row>
    <row r="62568" spans="8:8">
      <c r="H62568" s="680" t="s">
        <v>6153</v>
      </c>
    </row>
    <row r="62569" spans="8:8">
      <c r="H62569" s="680" t="s">
        <v>6153</v>
      </c>
    </row>
    <row r="62570" spans="8:8">
      <c r="H62570" s="680" t="s">
        <v>6153</v>
      </c>
    </row>
    <row r="62571" spans="8:8">
      <c r="H62571" s="680" t="s">
        <v>6153</v>
      </c>
    </row>
    <row r="62572" spans="8:8">
      <c r="H62572" s="680" t="s">
        <v>6153</v>
      </c>
    </row>
    <row r="62573" spans="8:8">
      <c r="H62573" s="680" t="s">
        <v>6153</v>
      </c>
    </row>
    <row r="62574" spans="8:8">
      <c r="H62574" s="680" t="s">
        <v>6153</v>
      </c>
    </row>
    <row r="62575" spans="8:8">
      <c r="H62575" s="680" t="s">
        <v>6153</v>
      </c>
    </row>
    <row r="62576" spans="8:8">
      <c r="H62576" s="680" t="s">
        <v>6153</v>
      </c>
    </row>
    <row r="62577" spans="8:8">
      <c r="H62577" s="680" t="s">
        <v>6153</v>
      </c>
    </row>
    <row r="62578" spans="8:8">
      <c r="H62578" s="680" t="s">
        <v>6153</v>
      </c>
    </row>
    <row r="62579" spans="8:8">
      <c r="H62579" s="680" t="s">
        <v>6153</v>
      </c>
    </row>
    <row r="62580" spans="8:8">
      <c r="H62580" s="680" t="s">
        <v>6153</v>
      </c>
    </row>
    <row r="62581" spans="8:8">
      <c r="H62581" s="680" t="s">
        <v>6153</v>
      </c>
    </row>
    <row r="62582" spans="8:8">
      <c r="H62582" s="680" t="s">
        <v>6153</v>
      </c>
    </row>
    <row r="62583" spans="8:8">
      <c r="H62583" s="680" t="s">
        <v>6153</v>
      </c>
    </row>
    <row r="62584" spans="8:8">
      <c r="H62584" s="680" t="s">
        <v>6153</v>
      </c>
    </row>
    <row r="62585" spans="8:8">
      <c r="H62585" s="680" t="s">
        <v>6153</v>
      </c>
    </row>
    <row r="62586" spans="8:8">
      <c r="H62586" s="680" t="s">
        <v>6153</v>
      </c>
    </row>
    <row r="62587" spans="8:8">
      <c r="H62587" s="680" t="s">
        <v>6153</v>
      </c>
    </row>
    <row r="62588" spans="8:8">
      <c r="H62588" s="680" t="s">
        <v>6153</v>
      </c>
    </row>
    <row r="62589" spans="8:8">
      <c r="H62589" s="680" t="s">
        <v>6153</v>
      </c>
    </row>
    <row r="62590" spans="8:8">
      <c r="H62590" s="680" t="s">
        <v>6153</v>
      </c>
    </row>
    <row r="62591" spans="8:8">
      <c r="H62591" s="680" t="s">
        <v>6153</v>
      </c>
    </row>
    <row r="62592" spans="8:8">
      <c r="H62592" s="680" t="s">
        <v>6153</v>
      </c>
    </row>
    <row r="62593" spans="8:8">
      <c r="H62593" s="680" t="s">
        <v>6153</v>
      </c>
    </row>
    <row r="62594" spans="8:8">
      <c r="H62594" s="680" t="s">
        <v>6153</v>
      </c>
    </row>
    <row r="62595" spans="8:8">
      <c r="H62595" s="680" t="s">
        <v>6153</v>
      </c>
    </row>
    <row r="62596" spans="8:8">
      <c r="H62596" s="680" t="s">
        <v>6153</v>
      </c>
    </row>
    <row r="62597" spans="8:8">
      <c r="H62597" s="680" t="s">
        <v>6153</v>
      </c>
    </row>
    <row r="62598" spans="8:8">
      <c r="H62598" s="680" t="s">
        <v>6153</v>
      </c>
    </row>
    <row r="62599" spans="8:8">
      <c r="H62599" s="680" t="s">
        <v>6153</v>
      </c>
    </row>
    <row r="62600" spans="8:8">
      <c r="H62600" s="680" t="s">
        <v>6153</v>
      </c>
    </row>
    <row r="62601" spans="8:8">
      <c r="H62601" s="680" t="s">
        <v>6153</v>
      </c>
    </row>
    <row r="62602" spans="8:8">
      <c r="H62602" s="680" t="s">
        <v>6153</v>
      </c>
    </row>
    <row r="62603" spans="8:8">
      <c r="H62603" s="680" t="s">
        <v>6153</v>
      </c>
    </row>
    <row r="62604" spans="8:8">
      <c r="H62604" s="680" t="s">
        <v>6153</v>
      </c>
    </row>
    <row r="62605" spans="8:8">
      <c r="H62605" s="680" t="s">
        <v>6153</v>
      </c>
    </row>
    <row r="62606" spans="8:8">
      <c r="H62606" s="680" t="s">
        <v>6153</v>
      </c>
    </row>
    <row r="62607" spans="8:8">
      <c r="H62607" s="680" t="s">
        <v>6153</v>
      </c>
    </row>
    <row r="62608" spans="8:8">
      <c r="H62608" s="680" t="s">
        <v>6153</v>
      </c>
    </row>
    <row r="62609" spans="8:8">
      <c r="H62609" s="680" t="s">
        <v>6153</v>
      </c>
    </row>
    <row r="62610" spans="8:8">
      <c r="H62610" s="680" t="s">
        <v>6153</v>
      </c>
    </row>
    <row r="62611" spans="8:8">
      <c r="H62611" s="680" t="s">
        <v>6153</v>
      </c>
    </row>
    <row r="62612" spans="8:8">
      <c r="H62612" s="680" t="s">
        <v>6153</v>
      </c>
    </row>
    <row r="62613" spans="8:8">
      <c r="H62613" s="680" t="s">
        <v>6153</v>
      </c>
    </row>
    <row r="62614" spans="8:8">
      <c r="H62614" s="680" t="s">
        <v>6153</v>
      </c>
    </row>
    <row r="62615" spans="8:8">
      <c r="H62615" s="680" t="s">
        <v>6153</v>
      </c>
    </row>
    <row r="62616" spans="8:8">
      <c r="H62616" s="680" t="s">
        <v>6153</v>
      </c>
    </row>
    <row r="62617" spans="8:8">
      <c r="H62617" s="680" t="s">
        <v>6153</v>
      </c>
    </row>
    <row r="62618" spans="8:8">
      <c r="H62618" s="680" t="s">
        <v>6153</v>
      </c>
    </row>
    <row r="62619" spans="8:8">
      <c r="H62619" s="680" t="s">
        <v>6153</v>
      </c>
    </row>
    <row r="62620" spans="8:8">
      <c r="H62620" s="680" t="s">
        <v>6153</v>
      </c>
    </row>
    <row r="62621" spans="8:8">
      <c r="H62621" s="680" t="s">
        <v>6153</v>
      </c>
    </row>
    <row r="62622" spans="8:8">
      <c r="H62622" s="680" t="s">
        <v>6153</v>
      </c>
    </row>
    <row r="62623" spans="8:8">
      <c r="H62623" s="680" t="s">
        <v>6153</v>
      </c>
    </row>
    <row r="62624" spans="8:8">
      <c r="H62624" s="680" t="s">
        <v>6153</v>
      </c>
    </row>
    <row r="62625" spans="8:8">
      <c r="H62625" s="680" t="s">
        <v>6153</v>
      </c>
    </row>
    <row r="62626" spans="8:8">
      <c r="H62626" s="680" t="s">
        <v>6153</v>
      </c>
    </row>
    <row r="62627" spans="8:8">
      <c r="H62627" s="680" t="s">
        <v>6153</v>
      </c>
    </row>
    <row r="62628" spans="8:8">
      <c r="H62628" s="680" t="s">
        <v>6153</v>
      </c>
    </row>
    <row r="62629" spans="8:8">
      <c r="H62629" s="680" t="s">
        <v>6153</v>
      </c>
    </row>
    <row r="62630" spans="8:8">
      <c r="H62630" s="680" t="s">
        <v>6153</v>
      </c>
    </row>
    <row r="62631" spans="8:8">
      <c r="H62631" s="680" t="s">
        <v>6153</v>
      </c>
    </row>
    <row r="62632" spans="8:8">
      <c r="H62632" s="680" t="s">
        <v>6153</v>
      </c>
    </row>
    <row r="62633" spans="8:8">
      <c r="H62633" s="680" t="s">
        <v>6153</v>
      </c>
    </row>
    <row r="62634" spans="8:8">
      <c r="H62634" s="680" t="s">
        <v>6153</v>
      </c>
    </row>
    <row r="62635" spans="8:8">
      <c r="H62635" s="680" t="s">
        <v>6153</v>
      </c>
    </row>
    <row r="62636" spans="8:8">
      <c r="H62636" s="680" t="s">
        <v>6153</v>
      </c>
    </row>
    <row r="62637" spans="8:8">
      <c r="H62637" s="680" t="s">
        <v>6153</v>
      </c>
    </row>
    <row r="62638" spans="8:8">
      <c r="H62638" s="680" t="s">
        <v>6153</v>
      </c>
    </row>
    <row r="62639" spans="8:8">
      <c r="H62639" s="680" t="s">
        <v>6153</v>
      </c>
    </row>
    <row r="62640" spans="8:8">
      <c r="H62640" s="680" t="s">
        <v>6153</v>
      </c>
    </row>
    <row r="62641" spans="8:8">
      <c r="H62641" s="680" t="s">
        <v>6153</v>
      </c>
    </row>
    <row r="62642" spans="8:8">
      <c r="H62642" s="680" t="s">
        <v>6153</v>
      </c>
    </row>
    <row r="62643" spans="8:8">
      <c r="H62643" s="680" t="s">
        <v>6153</v>
      </c>
    </row>
    <row r="62644" spans="8:8">
      <c r="H62644" s="680" t="s">
        <v>6153</v>
      </c>
    </row>
    <row r="62645" spans="8:8">
      <c r="H62645" s="680" t="s">
        <v>6153</v>
      </c>
    </row>
    <row r="62646" spans="8:8">
      <c r="H62646" s="680" t="s">
        <v>6153</v>
      </c>
    </row>
    <row r="62647" spans="8:8">
      <c r="H62647" s="680" t="s">
        <v>6153</v>
      </c>
    </row>
    <row r="62648" spans="8:8">
      <c r="H62648" s="680" t="s">
        <v>6153</v>
      </c>
    </row>
    <row r="62649" spans="8:8">
      <c r="H62649" s="680" t="s">
        <v>6153</v>
      </c>
    </row>
    <row r="62650" spans="8:8">
      <c r="H62650" s="680" t="s">
        <v>6153</v>
      </c>
    </row>
    <row r="62651" spans="8:8">
      <c r="H62651" s="680" t="s">
        <v>6153</v>
      </c>
    </row>
    <row r="62652" spans="8:8">
      <c r="H62652" s="680" t="s">
        <v>6153</v>
      </c>
    </row>
    <row r="62653" spans="8:8">
      <c r="H62653" s="680" t="s">
        <v>6153</v>
      </c>
    </row>
    <row r="62654" spans="8:8">
      <c r="H62654" s="680" t="s">
        <v>6153</v>
      </c>
    </row>
    <row r="62655" spans="8:8">
      <c r="H62655" s="680" t="s">
        <v>6153</v>
      </c>
    </row>
    <row r="62656" spans="8:8">
      <c r="H62656" s="680" t="s">
        <v>6153</v>
      </c>
    </row>
    <row r="62657" spans="8:8">
      <c r="H62657" s="680" t="s">
        <v>6153</v>
      </c>
    </row>
    <row r="62658" spans="8:8">
      <c r="H62658" s="680" t="s">
        <v>6153</v>
      </c>
    </row>
    <row r="62659" spans="8:8">
      <c r="H62659" s="680" t="s">
        <v>6153</v>
      </c>
    </row>
    <row r="62660" spans="8:8">
      <c r="H62660" s="680" t="s">
        <v>6153</v>
      </c>
    </row>
    <row r="62661" spans="8:8">
      <c r="H62661" s="680" t="s">
        <v>6153</v>
      </c>
    </row>
    <row r="62662" spans="8:8">
      <c r="H62662" s="680" t="s">
        <v>6153</v>
      </c>
    </row>
    <row r="62663" spans="8:8">
      <c r="H62663" s="680" t="s">
        <v>6153</v>
      </c>
    </row>
    <row r="62664" spans="8:8">
      <c r="H62664" s="680" t="s">
        <v>6153</v>
      </c>
    </row>
    <row r="62665" spans="8:8">
      <c r="H62665" s="680" t="s">
        <v>6153</v>
      </c>
    </row>
    <row r="62666" spans="8:8">
      <c r="H62666" s="680" t="s">
        <v>6153</v>
      </c>
    </row>
    <row r="62667" spans="8:8">
      <c r="H62667" s="680" t="s">
        <v>6153</v>
      </c>
    </row>
    <row r="62668" spans="8:8">
      <c r="H62668" s="680" t="s">
        <v>6153</v>
      </c>
    </row>
    <row r="62669" spans="8:8">
      <c r="H62669" s="680" t="s">
        <v>6153</v>
      </c>
    </row>
    <row r="62670" spans="8:8">
      <c r="H62670" s="680" t="s">
        <v>6153</v>
      </c>
    </row>
    <row r="62671" spans="8:8">
      <c r="H62671" s="680" t="s">
        <v>6153</v>
      </c>
    </row>
    <row r="62672" spans="8:8">
      <c r="H62672" s="680" t="s">
        <v>6153</v>
      </c>
    </row>
    <row r="62673" spans="8:8">
      <c r="H62673" s="680" t="s">
        <v>6153</v>
      </c>
    </row>
    <row r="62674" spans="8:8">
      <c r="H62674" s="680" t="s">
        <v>6153</v>
      </c>
    </row>
    <row r="62675" spans="8:8">
      <c r="H62675" s="680" t="s">
        <v>6153</v>
      </c>
    </row>
    <row r="62676" spans="8:8">
      <c r="H62676" s="680" t="s">
        <v>6153</v>
      </c>
    </row>
    <row r="62677" spans="8:8">
      <c r="H62677" s="680" t="s">
        <v>6153</v>
      </c>
    </row>
    <row r="62678" spans="8:8">
      <c r="H62678" s="680" t="s">
        <v>6153</v>
      </c>
    </row>
    <row r="62679" spans="8:8">
      <c r="H62679" s="680" t="s">
        <v>6153</v>
      </c>
    </row>
    <row r="62680" spans="8:8">
      <c r="H62680" s="680" t="s">
        <v>6153</v>
      </c>
    </row>
    <row r="62681" spans="8:8">
      <c r="H62681" s="680" t="s">
        <v>6153</v>
      </c>
    </row>
    <row r="62682" spans="8:8">
      <c r="H62682" s="680" t="s">
        <v>6153</v>
      </c>
    </row>
    <row r="62683" spans="8:8">
      <c r="H62683" s="680" t="s">
        <v>6153</v>
      </c>
    </row>
    <row r="62684" spans="8:8">
      <c r="H62684" s="680" t="s">
        <v>6153</v>
      </c>
    </row>
    <row r="62685" spans="8:8">
      <c r="H62685" s="680" t="s">
        <v>6153</v>
      </c>
    </row>
    <row r="62686" spans="8:8">
      <c r="H62686" s="680" t="s">
        <v>6153</v>
      </c>
    </row>
    <row r="62687" spans="8:8">
      <c r="H62687" s="680" t="s">
        <v>6153</v>
      </c>
    </row>
    <row r="62688" spans="8:8">
      <c r="H62688" s="680" t="s">
        <v>6153</v>
      </c>
    </row>
    <row r="62689" spans="8:8">
      <c r="H62689" s="680" t="s">
        <v>6153</v>
      </c>
    </row>
    <row r="62690" spans="8:8">
      <c r="H62690" s="680" t="s">
        <v>6153</v>
      </c>
    </row>
    <row r="62691" spans="8:8">
      <c r="H62691" s="680" t="s">
        <v>6153</v>
      </c>
    </row>
    <row r="62692" spans="8:8">
      <c r="H62692" s="680" t="s">
        <v>6153</v>
      </c>
    </row>
    <row r="62693" spans="8:8">
      <c r="H62693" s="680" t="s">
        <v>6153</v>
      </c>
    </row>
    <row r="62694" spans="8:8">
      <c r="H62694" s="680" t="s">
        <v>6153</v>
      </c>
    </row>
    <row r="62695" spans="8:8">
      <c r="H62695" s="680" t="s">
        <v>6153</v>
      </c>
    </row>
    <row r="62696" spans="8:8">
      <c r="H62696" s="680" t="s">
        <v>6153</v>
      </c>
    </row>
    <row r="62697" spans="8:8">
      <c r="H62697" s="680" t="s">
        <v>6153</v>
      </c>
    </row>
    <row r="62698" spans="8:8">
      <c r="H62698" s="680" t="s">
        <v>6153</v>
      </c>
    </row>
    <row r="62699" spans="8:8">
      <c r="H62699" s="680" t="s">
        <v>6153</v>
      </c>
    </row>
    <row r="62700" spans="8:8">
      <c r="H62700" s="680" t="s">
        <v>6153</v>
      </c>
    </row>
    <row r="62701" spans="8:8">
      <c r="H62701" s="680" t="s">
        <v>6153</v>
      </c>
    </row>
    <row r="62702" spans="8:8">
      <c r="H62702" s="680" t="s">
        <v>6153</v>
      </c>
    </row>
    <row r="62703" spans="8:8">
      <c r="H62703" s="680" t="s">
        <v>6153</v>
      </c>
    </row>
    <row r="62704" spans="8:8">
      <c r="H62704" s="680" t="s">
        <v>6153</v>
      </c>
    </row>
    <row r="62705" spans="8:8">
      <c r="H62705" s="680" t="s">
        <v>6153</v>
      </c>
    </row>
    <row r="62706" spans="8:8">
      <c r="H62706" s="680" t="s">
        <v>6153</v>
      </c>
    </row>
    <row r="62707" spans="8:8">
      <c r="H62707" s="680" t="s">
        <v>6153</v>
      </c>
    </row>
    <row r="62708" spans="8:8">
      <c r="H62708" s="680" t="s">
        <v>6153</v>
      </c>
    </row>
    <row r="62709" spans="8:8">
      <c r="H62709" s="680" t="s">
        <v>6153</v>
      </c>
    </row>
    <row r="62710" spans="8:8">
      <c r="H62710" s="680" t="s">
        <v>6153</v>
      </c>
    </row>
    <row r="62711" spans="8:8">
      <c r="H62711" s="680" t="s">
        <v>6153</v>
      </c>
    </row>
    <row r="62712" spans="8:8">
      <c r="H62712" s="680" t="s">
        <v>6153</v>
      </c>
    </row>
    <row r="62713" spans="8:8">
      <c r="H62713" s="680" t="s">
        <v>6153</v>
      </c>
    </row>
    <row r="62714" spans="8:8">
      <c r="H62714" s="680" t="s">
        <v>6153</v>
      </c>
    </row>
    <row r="62715" spans="8:8">
      <c r="H62715" s="680" t="s">
        <v>6153</v>
      </c>
    </row>
    <row r="62716" spans="8:8">
      <c r="H62716" s="680" t="s">
        <v>6153</v>
      </c>
    </row>
    <row r="62717" spans="8:8">
      <c r="H62717" s="680" t="s">
        <v>6153</v>
      </c>
    </row>
    <row r="62718" spans="8:8">
      <c r="H62718" s="680" t="s">
        <v>6153</v>
      </c>
    </row>
    <row r="62719" spans="8:8">
      <c r="H62719" s="680" t="s">
        <v>6153</v>
      </c>
    </row>
    <row r="62720" spans="8:8">
      <c r="H62720" s="680" t="s">
        <v>6153</v>
      </c>
    </row>
    <row r="62721" spans="8:8">
      <c r="H62721" s="680" t="s">
        <v>6153</v>
      </c>
    </row>
    <row r="62722" spans="8:8">
      <c r="H62722" s="680" t="s">
        <v>6153</v>
      </c>
    </row>
    <row r="62723" spans="8:8">
      <c r="H62723" s="680" t="s">
        <v>6153</v>
      </c>
    </row>
    <row r="62724" spans="8:8">
      <c r="H62724" s="680" t="s">
        <v>6153</v>
      </c>
    </row>
    <row r="62725" spans="8:8">
      <c r="H62725" s="680" t="s">
        <v>6153</v>
      </c>
    </row>
    <row r="62726" spans="8:8">
      <c r="H62726" s="680" t="s">
        <v>6153</v>
      </c>
    </row>
    <row r="62727" spans="8:8">
      <c r="H62727" s="680" t="s">
        <v>6153</v>
      </c>
    </row>
    <row r="62728" spans="8:8">
      <c r="H62728" s="680" t="s">
        <v>6153</v>
      </c>
    </row>
    <row r="62729" spans="8:8">
      <c r="H62729" s="680" t="s">
        <v>6153</v>
      </c>
    </row>
    <row r="62730" spans="8:8">
      <c r="H62730" s="680" t="s">
        <v>6153</v>
      </c>
    </row>
    <row r="62731" spans="8:8">
      <c r="H62731" s="680" t="s">
        <v>6153</v>
      </c>
    </row>
    <row r="62732" spans="8:8">
      <c r="H62732" s="680" t="s">
        <v>6153</v>
      </c>
    </row>
    <row r="62733" spans="8:8">
      <c r="H62733" s="680" t="s">
        <v>6153</v>
      </c>
    </row>
    <row r="62734" spans="8:8">
      <c r="H62734" s="680" t="s">
        <v>6153</v>
      </c>
    </row>
    <row r="62735" spans="8:8">
      <c r="H62735" s="680" t="s">
        <v>6153</v>
      </c>
    </row>
    <row r="62736" spans="8:8">
      <c r="H62736" s="680" t="s">
        <v>6153</v>
      </c>
    </row>
    <row r="62737" spans="8:8">
      <c r="H62737" s="680" t="s">
        <v>6153</v>
      </c>
    </row>
    <row r="62738" spans="8:8">
      <c r="H62738" s="680" t="s">
        <v>6153</v>
      </c>
    </row>
    <row r="62739" spans="8:8">
      <c r="H62739" s="680" t="s">
        <v>6153</v>
      </c>
    </row>
    <row r="62740" spans="8:8">
      <c r="H62740" s="680" t="s">
        <v>6153</v>
      </c>
    </row>
    <row r="62741" spans="8:8">
      <c r="H62741" s="680" t="s">
        <v>6153</v>
      </c>
    </row>
    <row r="62742" spans="8:8">
      <c r="H62742" s="680" t="s">
        <v>6153</v>
      </c>
    </row>
    <row r="62743" spans="8:8">
      <c r="H62743" s="680" t="s">
        <v>6153</v>
      </c>
    </row>
    <row r="62744" spans="8:8">
      <c r="H62744" s="680" t="s">
        <v>6153</v>
      </c>
    </row>
    <row r="62745" spans="8:8">
      <c r="H62745" s="680" t="s">
        <v>6153</v>
      </c>
    </row>
    <row r="62746" spans="8:8">
      <c r="H62746" s="680" t="s">
        <v>6153</v>
      </c>
    </row>
    <row r="62747" spans="8:8">
      <c r="H62747" s="680" t="s">
        <v>6153</v>
      </c>
    </row>
    <row r="62748" spans="8:8">
      <c r="H62748" s="680" t="s">
        <v>6153</v>
      </c>
    </row>
    <row r="62749" spans="8:8">
      <c r="H62749" s="680" t="s">
        <v>6153</v>
      </c>
    </row>
    <row r="62750" spans="8:8">
      <c r="H62750" s="680" t="s">
        <v>6153</v>
      </c>
    </row>
    <row r="62751" spans="8:8">
      <c r="H62751" s="680" t="s">
        <v>6153</v>
      </c>
    </row>
    <row r="62752" spans="8:8">
      <c r="H62752" s="680" t="s">
        <v>6153</v>
      </c>
    </row>
    <row r="62753" spans="8:8">
      <c r="H62753" s="680" t="s">
        <v>6153</v>
      </c>
    </row>
    <row r="62754" spans="8:8">
      <c r="H62754" s="680" t="s">
        <v>6153</v>
      </c>
    </row>
    <row r="62755" spans="8:8">
      <c r="H62755" s="680" t="s">
        <v>6153</v>
      </c>
    </row>
    <row r="62756" spans="8:8">
      <c r="H62756" s="680" t="s">
        <v>6153</v>
      </c>
    </row>
    <row r="62757" spans="8:8">
      <c r="H62757" s="680" t="s">
        <v>6153</v>
      </c>
    </row>
    <row r="62758" spans="8:8">
      <c r="H62758" s="680" t="s">
        <v>6153</v>
      </c>
    </row>
    <row r="62759" spans="8:8">
      <c r="H62759" s="680" t="s">
        <v>6153</v>
      </c>
    </row>
    <row r="62760" spans="8:8">
      <c r="H62760" s="680" t="s">
        <v>6153</v>
      </c>
    </row>
    <row r="62761" spans="8:8">
      <c r="H62761" s="680" t="s">
        <v>6153</v>
      </c>
    </row>
    <row r="62762" spans="8:8">
      <c r="H62762" s="680" t="s">
        <v>6153</v>
      </c>
    </row>
    <row r="62763" spans="8:8">
      <c r="H62763" s="680" t="s">
        <v>6153</v>
      </c>
    </row>
    <row r="62764" spans="8:8">
      <c r="H62764" s="680" t="s">
        <v>6153</v>
      </c>
    </row>
    <row r="62765" spans="8:8">
      <c r="H62765" s="680" t="s">
        <v>6153</v>
      </c>
    </row>
    <row r="62766" spans="8:8">
      <c r="H62766" s="680" t="s">
        <v>6153</v>
      </c>
    </row>
    <row r="62767" spans="8:8">
      <c r="H62767" s="680" t="s">
        <v>6153</v>
      </c>
    </row>
    <row r="62768" spans="8:8">
      <c r="H62768" s="680" t="s">
        <v>6153</v>
      </c>
    </row>
    <row r="62769" spans="8:8">
      <c r="H62769" s="680" t="s">
        <v>6153</v>
      </c>
    </row>
    <row r="62770" spans="8:8">
      <c r="H62770" s="680" t="s">
        <v>6153</v>
      </c>
    </row>
    <row r="62771" spans="8:8">
      <c r="H62771" s="680" t="s">
        <v>6153</v>
      </c>
    </row>
    <row r="62772" spans="8:8">
      <c r="H62772" s="680" t="s">
        <v>6153</v>
      </c>
    </row>
    <row r="62773" spans="8:8">
      <c r="H62773" s="680" t="s">
        <v>6153</v>
      </c>
    </row>
    <row r="62774" spans="8:8">
      <c r="H62774" s="680" t="s">
        <v>6153</v>
      </c>
    </row>
    <row r="62775" spans="8:8">
      <c r="H62775" s="680" t="s">
        <v>6153</v>
      </c>
    </row>
    <row r="62776" spans="8:8">
      <c r="H62776" s="680" t="s">
        <v>6153</v>
      </c>
    </row>
    <row r="62777" spans="8:8">
      <c r="H62777" s="680" t="s">
        <v>6153</v>
      </c>
    </row>
    <row r="62778" spans="8:8">
      <c r="H62778" s="680" t="s">
        <v>6153</v>
      </c>
    </row>
    <row r="62779" spans="8:8">
      <c r="H62779" s="680" t="s">
        <v>6153</v>
      </c>
    </row>
    <row r="62780" spans="8:8">
      <c r="H62780" s="680" t="s">
        <v>6153</v>
      </c>
    </row>
    <row r="62781" spans="8:8">
      <c r="H62781" s="680" t="s">
        <v>6153</v>
      </c>
    </row>
    <row r="62782" spans="8:8">
      <c r="H62782" s="680" t="s">
        <v>6153</v>
      </c>
    </row>
    <row r="62783" spans="8:8">
      <c r="H62783" s="680" t="s">
        <v>6153</v>
      </c>
    </row>
    <row r="62784" spans="8:8">
      <c r="H62784" s="680" t="s">
        <v>6153</v>
      </c>
    </row>
    <row r="62785" spans="8:8">
      <c r="H62785" s="680" t="s">
        <v>6153</v>
      </c>
    </row>
    <row r="62786" spans="8:8">
      <c r="H62786" s="680" t="s">
        <v>6153</v>
      </c>
    </row>
    <row r="62787" spans="8:8">
      <c r="H62787" s="680" t="s">
        <v>6153</v>
      </c>
    </row>
    <row r="62788" spans="8:8">
      <c r="H62788" s="680" t="s">
        <v>6153</v>
      </c>
    </row>
    <row r="62789" spans="8:8">
      <c r="H62789" s="680" t="s">
        <v>6153</v>
      </c>
    </row>
    <row r="62790" spans="8:8">
      <c r="H62790" s="680" t="s">
        <v>6153</v>
      </c>
    </row>
    <row r="62791" spans="8:8">
      <c r="H62791" s="680" t="s">
        <v>6153</v>
      </c>
    </row>
    <row r="62792" spans="8:8">
      <c r="H62792" s="680" t="s">
        <v>6153</v>
      </c>
    </row>
    <row r="62793" spans="8:8">
      <c r="H62793" s="680" t="s">
        <v>6153</v>
      </c>
    </row>
    <row r="62794" spans="8:8">
      <c r="H62794" s="680" t="s">
        <v>6153</v>
      </c>
    </row>
    <row r="62795" spans="8:8">
      <c r="H62795" s="680" t="s">
        <v>6153</v>
      </c>
    </row>
    <row r="62796" spans="8:8">
      <c r="H62796" s="680" t="s">
        <v>6153</v>
      </c>
    </row>
    <row r="62797" spans="8:8">
      <c r="H62797" s="680" t="s">
        <v>6153</v>
      </c>
    </row>
    <row r="62798" spans="8:8">
      <c r="H62798" s="680" t="s">
        <v>6153</v>
      </c>
    </row>
    <row r="62799" spans="8:8">
      <c r="H62799" s="680" t="s">
        <v>6153</v>
      </c>
    </row>
    <row r="62800" spans="8:8">
      <c r="H62800" s="680" t="s">
        <v>6153</v>
      </c>
    </row>
    <row r="62801" spans="8:8">
      <c r="H62801" s="680" t="s">
        <v>6153</v>
      </c>
    </row>
    <row r="62802" spans="8:8">
      <c r="H62802" s="680" t="s">
        <v>6153</v>
      </c>
    </row>
    <row r="62803" spans="8:8">
      <c r="H62803" s="680" t="s">
        <v>6153</v>
      </c>
    </row>
    <row r="62804" spans="8:8">
      <c r="H62804" s="680" t="s">
        <v>6153</v>
      </c>
    </row>
    <row r="62805" spans="8:8">
      <c r="H62805" s="680" t="s">
        <v>6153</v>
      </c>
    </row>
    <row r="62806" spans="8:8">
      <c r="H62806" s="680" t="s">
        <v>6153</v>
      </c>
    </row>
    <row r="62807" spans="8:8">
      <c r="H62807" s="680" t="s">
        <v>6153</v>
      </c>
    </row>
    <row r="62808" spans="8:8">
      <c r="H62808" s="680" t="s">
        <v>6153</v>
      </c>
    </row>
    <row r="62809" spans="8:8">
      <c r="H62809" s="680" t="s">
        <v>6153</v>
      </c>
    </row>
    <row r="62810" spans="8:8">
      <c r="H62810" s="680" t="s">
        <v>6153</v>
      </c>
    </row>
    <row r="62811" spans="8:8">
      <c r="H62811" s="680" t="s">
        <v>6153</v>
      </c>
    </row>
    <row r="62812" spans="8:8">
      <c r="H62812" s="680" t="s">
        <v>6153</v>
      </c>
    </row>
    <row r="62813" spans="8:8">
      <c r="H62813" s="680" t="s">
        <v>6153</v>
      </c>
    </row>
    <row r="62814" spans="8:8">
      <c r="H62814" s="680" t="s">
        <v>6153</v>
      </c>
    </row>
    <row r="62815" spans="8:8">
      <c r="H62815" s="680" t="s">
        <v>6153</v>
      </c>
    </row>
    <row r="62816" spans="8:8">
      <c r="H62816" s="680" t="s">
        <v>6153</v>
      </c>
    </row>
    <row r="62817" spans="8:8">
      <c r="H62817" s="680" t="s">
        <v>6153</v>
      </c>
    </row>
    <row r="62818" spans="8:8">
      <c r="H62818" s="680" t="s">
        <v>6153</v>
      </c>
    </row>
    <row r="62819" spans="8:8">
      <c r="H62819" s="680" t="s">
        <v>6153</v>
      </c>
    </row>
    <row r="62820" spans="8:8">
      <c r="H62820" s="680" t="s">
        <v>6153</v>
      </c>
    </row>
    <row r="62821" spans="8:8">
      <c r="H62821" s="680" t="s">
        <v>6153</v>
      </c>
    </row>
    <row r="62822" spans="8:8">
      <c r="H62822" s="680" t="s">
        <v>6153</v>
      </c>
    </row>
    <row r="62823" spans="8:8">
      <c r="H62823" s="680" t="s">
        <v>6153</v>
      </c>
    </row>
    <row r="62824" spans="8:8">
      <c r="H62824" s="680" t="s">
        <v>6153</v>
      </c>
    </row>
    <row r="62825" spans="8:8">
      <c r="H62825" s="680" t="s">
        <v>6153</v>
      </c>
    </row>
    <row r="62826" spans="8:8">
      <c r="H62826" s="680" t="s">
        <v>6153</v>
      </c>
    </row>
    <row r="62827" spans="8:8">
      <c r="H62827" s="680" t="s">
        <v>6153</v>
      </c>
    </row>
    <row r="62828" spans="8:8">
      <c r="H62828" s="680" t="s">
        <v>6153</v>
      </c>
    </row>
    <row r="62829" spans="8:8">
      <c r="H62829" s="680" t="s">
        <v>6153</v>
      </c>
    </row>
    <row r="62830" spans="8:8">
      <c r="H62830" s="680" t="s">
        <v>6153</v>
      </c>
    </row>
    <row r="62831" spans="8:8">
      <c r="H62831" s="680" t="s">
        <v>6153</v>
      </c>
    </row>
    <row r="62832" spans="8:8">
      <c r="H62832" s="680" t="s">
        <v>6153</v>
      </c>
    </row>
    <row r="62833" spans="8:8">
      <c r="H62833" s="680" t="s">
        <v>6153</v>
      </c>
    </row>
    <row r="62834" spans="8:8">
      <c r="H62834" s="680" t="s">
        <v>6153</v>
      </c>
    </row>
    <row r="62835" spans="8:8">
      <c r="H62835" s="680" t="s">
        <v>6153</v>
      </c>
    </row>
    <row r="62836" spans="8:8">
      <c r="H62836" s="680" t="s">
        <v>6153</v>
      </c>
    </row>
    <row r="62837" spans="8:8">
      <c r="H62837" s="680" t="s">
        <v>6153</v>
      </c>
    </row>
    <row r="62838" spans="8:8">
      <c r="H62838" s="680" t="s">
        <v>6153</v>
      </c>
    </row>
    <row r="62839" spans="8:8">
      <c r="H62839" s="680" t="s">
        <v>6153</v>
      </c>
    </row>
    <row r="62840" spans="8:8">
      <c r="H62840" s="680" t="s">
        <v>6153</v>
      </c>
    </row>
    <row r="62841" spans="8:8">
      <c r="H62841" s="680" t="s">
        <v>6153</v>
      </c>
    </row>
    <row r="62842" spans="8:8">
      <c r="H62842" s="680" t="s">
        <v>6153</v>
      </c>
    </row>
    <row r="62843" spans="8:8">
      <c r="H62843" s="680" t="s">
        <v>6153</v>
      </c>
    </row>
    <row r="62844" spans="8:8">
      <c r="H62844" s="680" t="s">
        <v>6153</v>
      </c>
    </row>
    <row r="62845" spans="8:8">
      <c r="H62845" s="680" t="s">
        <v>6153</v>
      </c>
    </row>
    <row r="62846" spans="8:8">
      <c r="H62846" s="680" t="s">
        <v>6153</v>
      </c>
    </row>
    <row r="62847" spans="8:8">
      <c r="H62847" s="680" t="s">
        <v>6153</v>
      </c>
    </row>
    <row r="62848" spans="8:8">
      <c r="H62848" s="680" t="s">
        <v>6153</v>
      </c>
    </row>
    <row r="62849" spans="8:8">
      <c r="H62849" s="680" t="s">
        <v>6153</v>
      </c>
    </row>
    <row r="62850" spans="8:8">
      <c r="H62850" s="680" t="s">
        <v>6153</v>
      </c>
    </row>
    <row r="62851" spans="8:8">
      <c r="H62851" s="680" t="s">
        <v>6153</v>
      </c>
    </row>
    <row r="62852" spans="8:8">
      <c r="H62852" s="680" t="s">
        <v>6153</v>
      </c>
    </row>
    <row r="62853" spans="8:8">
      <c r="H62853" s="680" t="s">
        <v>6153</v>
      </c>
    </row>
    <row r="62854" spans="8:8">
      <c r="H62854" s="680" t="s">
        <v>6153</v>
      </c>
    </row>
    <row r="62855" spans="8:8">
      <c r="H62855" s="680" t="s">
        <v>6153</v>
      </c>
    </row>
    <row r="62856" spans="8:8">
      <c r="H62856" s="680" t="s">
        <v>6153</v>
      </c>
    </row>
    <row r="62857" spans="8:8">
      <c r="H62857" s="680" t="s">
        <v>6153</v>
      </c>
    </row>
    <row r="62858" spans="8:8">
      <c r="H62858" s="680" t="s">
        <v>6153</v>
      </c>
    </row>
    <row r="62859" spans="8:8">
      <c r="H62859" s="680" t="s">
        <v>6153</v>
      </c>
    </row>
    <row r="62860" spans="8:8">
      <c r="H62860" s="680" t="s">
        <v>6153</v>
      </c>
    </row>
    <row r="62861" spans="8:8">
      <c r="H62861" s="680" t="s">
        <v>6153</v>
      </c>
    </row>
    <row r="62862" spans="8:8">
      <c r="H62862" s="680" t="s">
        <v>6153</v>
      </c>
    </row>
    <row r="62863" spans="8:8">
      <c r="H62863" s="680" t="s">
        <v>6153</v>
      </c>
    </row>
    <row r="62864" spans="8:8">
      <c r="H62864" s="680" t="s">
        <v>6153</v>
      </c>
    </row>
    <row r="62865" spans="8:8">
      <c r="H62865" s="680" t="s">
        <v>6153</v>
      </c>
    </row>
    <row r="62866" spans="8:8">
      <c r="H62866" s="680" t="s">
        <v>6153</v>
      </c>
    </row>
    <row r="62867" spans="8:8">
      <c r="H62867" s="680" t="s">
        <v>6153</v>
      </c>
    </row>
    <row r="62868" spans="8:8">
      <c r="H62868" s="680" t="s">
        <v>6153</v>
      </c>
    </row>
    <row r="62869" spans="8:8">
      <c r="H62869" s="680" t="s">
        <v>6153</v>
      </c>
    </row>
    <row r="62870" spans="8:8">
      <c r="H62870" s="680" t="s">
        <v>6153</v>
      </c>
    </row>
    <row r="62871" spans="8:8">
      <c r="H62871" s="680" t="s">
        <v>6153</v>
      </c>
    </row>
    <row r="62872" spans="8:8">
      <c r="H62872" s="680" t="s">
        <v>6153</v>
      </c>
    </row>
    <row r="62873" spans="8:8">
      <c r="H62873" s="680" t="s">
        <v>6153</v>
      </c>
    </row>
    <row r="62874" spans="8:8">
      <c r="H62874" s="680" t="s">
        <v>6153</v>
      </c>
    </row>
    <row r="62875" spans="8:8">
      <c r="H62875" s="680" t="s">
        <v>6153</v>
      </c>
    </row>
    <row r="62876" spans="8:8">
      <c r="H62876" s="680" t="s">
        <v>6153</v>
      </c>
    </row>
    <row r="62877" spans="8:8">
      <c r="H62877" s="680" t="s">
        <v>6153</v>
      </c>
    </row>
    <row r="62878" spans="8:8">
      <c r="H62878" s="680" t="s">
        <v>6153</v>
      </c>
    </row>
    <row r="62879" spans="8:8">
      <c r="H62879" s="680" t="s">
        <v>6153</v>
      </c>
    </row>
    <row r="62880" spans="8:8">
      <c r="H62880" s="680" t="s">
        <v>6153</v>
      </c>
    </row>
    <row r="62881" spans="8:8">
      <c r="H62881" s="680" t="s">
        <v>6153</v>
      </c>
    </row>
    <row r="62882" spans="8:8">
      <c r="H62882" s="680" t="s">
        <v>6153</v>
      </c>
    </row>
    <row r="62883" spans="8:8">
      <c r="H62883" s="680" t="s">
        <v>6153</v>
      </c>
    </row>
    <row r="62884" spans="8:8">
      <c r="H62884" s="680" t="s">
        <v>6153</v>
      </c>
    </row>
    <row r="62885" spans="8:8">
      <c r="H62885" s="680" t="s">
        <v>6153</v>
      </c>
    </row>
    <row r="62886" spans="8:8">
      <c r="H62886" s="680" t="s">
        <v>6153</v>
      </c>
    </row>
    <row r="62887" spans="8:8">
      <c r="H62887" s="680" t="s">
        <v>6153</v>
      </c>
    </row>
    <row r="62888" spans="8:8">
      <c r="H62888" s="680" t="s">
        <v>6153</v>
      </c>
    </row>
    <row r="62889" spans="8:8">
      <c r="H62889" s="680" t="s">
        <v>6153</v>
      </c>
    </row>
    <row r="62890" spans="8:8">
      <c r="H62890" s="680" t="s">
        <v>6153</v>
      </c>
    </row>
    <row r="62891" spans="8:8">
      <c r="H62891" s="680" t="s">
        <v>6153</v>
      </c>
    </row>
    <row r="62892" spans="8:8">
      <c r="H62892" s="680" t="s">
        <v>6153</v>
      </c>
    </row>
    <row r="62893" spans="8:8">
      <c r="H62893" s="680" t="s">
        <v>6153</v>
      </c>
    </row>
    <row r="62894" spans="8:8">
      <c r="H62894" s="680" t="s">
        <v>6153</v>
      </c>
    </row>
    <row r="62895" spans="8:8">
      <c r="H62895" s="680" t="s">
        <v>6153</v>
      </c>
    </row>
    <row r="62896" spans="8:8">
      <c r="H62896" s="680" t="s">
        <v>6153</v>
      </c>
    </row>
    <row r="62897" spans="8:8">
      <c r="H62897" s="680" t="s">
        <v>6153</v>
      </c>
    </row>
    <row r="62898" spans="8:8">
      <c r="H62898" s="680" t="s">
        <v>6153</v>
      </c>
    </row>
    <row r="62899" spans="8:8">
      <c r="H62899" s="680" t="s">
        <v>6153</v>
      </c>
    </row>
    <row r="62900" spans="8:8">
      <c r="H62900" s="680" t="s">
        <v>6153</v>
      </c>
    </row>
    <row r="62901" spans="8:8">
      <c r="H62901" s="680" t="s">
        <v>6153</v>
      </c>
    </row>
    <row r="62902" spans="8:8">
      <c r="H62902" s="680" t="s">
        <v>6153</v>
      </c>
    </row>
    <row r="62903" spans="8:8">
      <c r="H62903" s="680" t="s">
        <v>6153</v>
      </c>
    </row>
    <row r="62904" spans="8:8">
      <c r="H62904" s="680" t="s">
        <v>6153</v>
      </c>
    </row>
    <row r="62905" spans="8:8">
      <c r="H62905" s="680" t="s">
        <v>6153</v>
      </c>
    </row>
    <row r="62906" spans="8:8">
      <c r="H62906" s="680" t="s">
        <v>6153</v>
      </c>
    </row>
    <row r="62907" spans="8:8">
      <c r="H62907" s="680" t="s">
        <v>6153</v>
      </c>
    </row>
    <row r="62908" spans="8:8">
      <c r="H62908" s="680" t="s">
        <v>6153</v>
      </c>
    </row>
    <row r="62909" spans="8:8">
      <c r="H62909" s="680" t="s">
        <v>6153</v>
      </c>
    </row>
    <row r="62910" spans="8:8">
      <c r="H62910" s="680" t="s">
        <v>6153</v>
      </c>
    </row>
    <row r="62911" spans="8:8">
      <c r="H62911" s="680" t="s">
        <v>6153</v>
      </c>
    </row>
    <row r="62912" spans="8:8">
      <c r="H62912" s="680" t="s">
        <v>6153</v>
      </c>
    </row>
    <row r="62913" spans="8:8">
      <c r="H62913" s="680" t="s">
        <v>6153</v>
      </c>
    </row>
    <row r="62914" spans="8:8">
      <c r="H62914" s="680" t="s">
        <v>6153</v>
      </c>
    </row>
    <row r="62915" spans="8:8">
      <c r="H62915" s="680" t="s">
        <v>6153</v>
      </c>
    </row>
    <row r="62916" spans="8:8">
      <c r="H62916" s="680" t="s">
        <v>6153</v>
      </c>
    </row>
    <row r="62917" spans="8:8">
      <c r="H62917" s="680" t="s">
        <v>6153</v>
      </c>
    </row>
    <row r="62918" spans="8:8">
      <c r="H62918" s="680" t="s">
        <v>6153</v>
      </c>
    </row>
    <row r="62919" spans="8:8">
      <c r="H62919" s="680" t="s">
        <v>6153</v>
      </c>
    </row>
    <row r="62920" spans="8:8">
      <c r="H62920" s="680" t="s">
        <v>6153</v>
      </c>
    </row>
    <row r="62921" spans="8:8">
      <c r="H62921" s="680" t="s">
        <v>6153</v>
      </c>
    </row>
    <row r="62922" spans="8:8">
      <c r="H62922" s="680" t="s">
        <v>6153</v>
      </c>
    </row>
    <row r="62923" spans="8:8">
      <c r="H62923" s="680" t="s">
        <v>6153</v>
      </c>
    </row>
    <row r="62924" spans="8:8">
      <c r="H62924" s="680" t="s">
        <v>6153</v>
      </c>
    </row>
    <row r="62925" spans="8:8">
      <c r="H62925" s="680" t="s">
        <v>6153</v>
      </c>
    </row>
    <row r="62926" spans="8:8">
      <c r="H62926" s="680" t="s">
        <v>6153</v>
      </c>
    </row>
    <row r="62927" spans="8:8">
      <c r="H62927" s="680" t="s">
        <v>6153</v>
      </c>
    </row>
    <row r="62928" spans="8:8">
      <c r="H62928" s="680" t="s">
        <v>6153</v>
      </c>
    </row>
    <row r="62929" spans="8:8">
      <c r="H62929" s="680" t="s">
        <v>6153</v>
      </c>
    </row>
    <row r="62930" spans="8:8">
      <c r="H62930" s="680" t="s">
        <v>6153</v>
      </c>
    </row>
    <row r="62931" spans="8:8">
      <c r="H62931" s="680" t="s">
        <v>6153</v>
      </c>
    </row>
    <row r="62932" spans="8:8">
      <c r="H62932" s="680" t="s">
        <v>6153</v>
      </c>
    </row>
    <row r="62933" spans="8:8">
      <c r="H62933" s="680" t="s">
        <v>6153</v>
      </c>
    </row>
    <row r="62934" spans="8:8">
      <c r="H62934" s="680" t="s">
        <v>6153</v>
      </c>
    </row>
    <row r="62935" spans="8:8">
      <c r="H62935" s="680" t="s">
        <v>6153</v>
      </c>
    </row>
    <row r="62936" spans="8:8">
      <c r="H62936" s="680" t="s">
        <v>6153</v>
      </c>
    </row>
    <row r="62937" spans="8:8">
      <c r="H62937" s="680" t="s">
        <v>6153</v>
      </c>
    </row>
    <row r="62938" spans="8:8">
      <c r="H62938" s="680" t="s">
        <v>6153</v>
      </c>
    </row>
    <row r="62939" spans="8:8">
      <c r="H62939" s="680" t="s">
        <v>6153</v>
      </c>
    </row>
    <row r="62940" spans="8:8">
      <c r="H62940" s="680" t="s">
        <v>6153</v>
      </c>
    </row>
    <row r="62941" spans="8:8">
      <c r="H62941" s="680" t="s">
        <v>6153</v>
      </c>
    </row>
    <row r="62942" spans="8:8">
      <c r="H62942" s="680" t="s">
        <v>6153</v>
      </c>
    </row>
    <row r="62943" spans="8:8">
      <c r="H62943" s="680" t="s">
        <v>6153</v>
      </c>
    </row>
    <row r="62944" spans="8:8">
      <c r="H62944" s="680" t="s">
        <v>6153</v>
      </c>
    </row>
    <row r="62945" spans="8:8">
      <c r="H62945" s="680" t="s">
        <v>6153</v>
      </c>
    </row>
    <row r="62946" spans="8:8">
      <c r="H62946" s="680" t="s">
        <v>6153</v>
      </c>
    </row>
    <row r="62947" spans="8:8">
      <c r="H62947" s="680" t="s">
        <v>6153</v>
      </c>
    </row>
    <row r="62948" spans="8:8">
      <c r="H62948" s="680" t="s">
        <v>6153</v>
      </c>
    </row>
    <row r="62949" spans="8:8">
      <c r="H62949" s="680" t="s">
        <v>6153</v>
      </c>
    </row>
    <row r="62950" spans="8:8">
      <c r="H62950" s="680" t="s">
        <v>6153</v>
      </c>
    </row>
    <row r="62951" spans="8:8">
      <c r="H62951" s="680" t="s">
        <v>6153</v>
      </c>
    </row>
    <row r="62952" spans="8:8">
      <c r="H62952" s="680" t="s">
        <v>6153</v>
      </c>
    </row>
    <row r="62953" spans="8:8">
      <c r="H62953" s="680" t="s">
        <v>6153</v>
      </c>
    </row>
    <row r="62954" spans="8:8">
      <c r="H62954" s="680" t="s">
        <v>6153</v>
      </c>
    </row>
    <row r="62955" spans="8:8">
      <c r="H62955" s="680" t="s">
        <v>6153</v>
      </c>
    </row>
    <row r="62956" spans="8:8">
      <c r="H62956" s="680" t="s">
        <v>6153</v>
      </c>
    </row>
    <row r="62957" spans="8:8">
      <c r="H62957" s="680" t="s">
        <v>6153</v>
      </c>
    </row>
    <row r="62958" spans="8:8">
      <c r="H62958" s="680" t="s">
        <v>6153</v>
      </c>
    </row>
    <row r="62959" spans="8:8">
      <c r="H62959" s="680" t="s">
        <v>6153</v>
      </c>
    </row>
    <row r="62960" spans="8:8">
      <c r="H62960" s="680" t="s">
        <v>6153</v>
      </c>
    </row>
    <row r="62961" spans="8:8">
      <c r="H62961" s="680" t="s">
        <v>6153</v>
      </c>
    </row>
    <row r="62962" spans="8:8">
      <c r="H62962" s="680" t="s">
        <v>6153</v>
      </c>
    </row>
    <row r="62963" spans="8:8">
      <c r="H62963" s="680" t="s">
        <v>6153</v>
      </c>
    </row>
    <row r="62964" spans="8:8">
      <c r="H62964" s="680" t="s">
        <v>6153</v>
      </c>
    </row>
    <row r="62965" spans="8:8">
      <c r="H62965" s="680" t="s">
        <v>6153</v>
      </c>
    </row>
    <row r="62966" spans="8:8">
      <c r="H62966" s="680" t="s">
        <v>6153</v>
      </c>
    </row>
    <row r="62967" spans="8:8">
      <c r="H62967" s="680" t="s">
        <v>6153</v>
      </c>
    </row>
    <row r="62968" spans="8:8">
      <c r="H62968" s="680" t="s">
        <v>6153</v>
      </c>
    </row>
    <row r="62969" spans="8:8">
      <c r="H62969" s="680" t="s">
        <v>6153</v>
      </c>
    </row>
    <row r="62970" spans="8:8">
      <c r="H62970" s="680" t="s">
        <v>6153</v>
      </c>
    </row>
    <row r="62971" spans="8:8">
      <c r="H62971" s="680" t="s">
        <v>6153</v>
      </c>
    </row>
    <row r="62972" spans="8:8">
      <c r="H62972" s="680" t="s">
        <v>6153</v>
      </c>
    </row>
    <row r="62973" spans="8:8">
      <c r="H62973" s="680" t="s">
        <v>6153</v>
      </c>
    </row>
    <row r="62974" spans="8:8">
      <c r="H62974" s="680" t="s">
        <v>6153</v>
      </c>
    </row>
    <row r="62975" spans="8:8">
      <c r="H62975" s="680" t="s">
        <v>6153</v>
      </c>
    </row>
    <row r="62976" spans="8:8">
      <c r="H62976" s="680" t="s">
        <v>6153</v>
      </c>
    </row>
    <row r="62977" spans="8:8">
      <c r="H62977" s="680" t="s">
        <v>6153</v>
      </c>
    </row>
    <row r="62978" spans="8:8">
      <c r="H62978" s="680" t="s">
        <v>6153</v>
      </c>
    </row>
    <row r="62979" spans="8:8">
      <c r="H62979" s="680" t="s">
        <v>6153</v>
      </c>
    </row>
    <row r="62980" spans="8:8">
      <c r="H62980" s="680" t="s">
        <v>6153</v>
      </c>
    </row>
    <row r="62981" spans="8:8">
      <c r="H62981" s="680" t="s">
        <v>6153</v>
      </c>
    </row>
    <row r="62982" spans="8:8">
      <c r="H62982" s="680" t="s">
        <v>6153</v>
      </c>
    </row>
    <row r="62983" spans="8:8">
      <c r="H62983" s="680" t="s">
        <v>6153</v>
      </c>
    </row>
    <row r="62984" spans="8:8">
      <c r="H62984" s="680" t="s">
        <v>6153</v>
      </c>
    </row>
    <row r="62985" spans="8:8">
      <c r="H62985" s="680" t="s">
        <v>6153</v>
      </c>
    </row>
    <row r="62986" spans="8:8">
      <c r="H62986" s="680" t="s">
        <v>6153</v>
      </c>
    </row>
    <row r="62987" spans="8:8">
      <c r="H62987" s="680" t="s">
        <v>6153</v>
      </c>
    </row>
    <row r="62988" spans="8:8">
      <c r="H62988" s="680" t="s">
        <v>6153</v>
      </c>
    </row>
    <row r="62989" spans="8:8">
      <c r="H62989" s="680" t="s">
        <v>6153</v>
      </c>
    </row>
    <row r="62990" spans="8:8">
      <c r="H62990" s="680" t="s">
        <v>6153</v>
      </c>
    </row>
    <row r="62991" spans="8:8">
      <c r="H62991" s="680" t="s">
        <v>6153</v>
      </c>
    </row>
    <row r="62992" spans="8:8">
      <c r="H62992" s="680" t="s">
        <v>6153</v>
      </c>
    </row>
    <row r="62993" spans="8:8">
      <c r="H62993" s="680" t="s">
        <v>6153</v>
      </c>
    </row>
    <row r="62994" spans="8:8">
      <c r="H62994" s="680" t="s">
        <v>6153</v>
      </c>
    </row>
    <row r="62995" spans="8:8">
      <c r="H62995" s="680" t="s">
        <v>6153</v>
      </c>
    </row>
    <row r="62996" spans="8:8">
      <c r="H62996" s="680" t="s">
        <v>6153</v>
      </c>
    </row>
    <row r="62997" spans="8:8">
      <c r="H62997" s="680" t="s">
        <v>6153</v>
      </c>
    </row>
    <row r="62998" spans="8:8">
      <c r="H62998" s="680" t="s">
        <v>6153</v>
      </c>
    </row>
    <row r="62999" spans="8:8">
      <c r="H62999" s="680" t="s">
        <v>6153</v>
      </c>
    </row>
    <row r="63000" spans="8:8">
      <c r="H63000" s="680" t="s">
        <v>6153</v>
      </c>
    </row>
    <row r="63001" spans="8:8">
      <c r="H63001" s="680" t="s">
        <v>6153</v>
      </c>
    </row>
    <row r="63002" spans="8:8">
      <c r="H63002" s="680" t="s">
        <v>6153</v>
      </c>
    </row>
    <row r="63003" spans="8:8">
      <c r="H63003" s="680" t="s">
        <v>6153</v>
      </c>
    </row>
    <row r="63004" spans="8:8">
      <c r="H63004" s="680" t="s">
        <v>6153</v>
      </c>
    </row>
    <row r="63005" spans="8:8">
      <c r="H63005" s="680" t="s">
        <v>6153</v>
      </c>
    </row>
    <row r="63006" spans="8:8">
      <c r="H63006" s="680" t="s">
        <v>6153</v>
      </c>
    </row>
    <row r="63007" spans="8:8">
      <c r="H63007" s="680" t="s">
        <v>6153</v>
      </c>
    </row>
    <row r="63008" spans="8:8">
      <c r="H63008" s="680" t="s">
        <v>6153</v>
      </c>
    </row>
    <row r="63009" spans="8:8">
      <c r="H63009" s="680" t="s">
        <v>6153</v>
      </c>
    </row>
    <row r="63010" spans="8:8">
      <c r="H63010" s="680" t="s">
        <v>6153</v>
      </c>
    </row>
    <row r="63011" spans="8:8">
      <c r="H63011" s="680" t="s">
        <v>6153</v>
      </c>
    </row>
    <row r="63012" spans="8:8">
      <c r="H63012" s="680" t="s">
        <v>6153</v>
      </c>
    </row>
    <row r="63013" spans="8:8">
      <c r="H63013" s="680" t="s">
        <v>6153</v>
      </c>
    </row>
    <row r="63014" spans="8:8">
      <c r="H63014" s="680" t="s">
        <v>6153</v>
      </c>
    </row>
    <row r="63015" spans="8:8">
      <c r="H63015" s="680" t="s">
        <v>6153</v>
      </c>
    </row>
    <row r="63016" spans="8:8">
      <c r="H63016" s="680" t="s">
        <v>6153</v>
      </c>
    </row>
    <row r="63017" spans="8:8">
      <c r="H63017" s="680" t="s">
        <v>6153</v>
      </c>
    </row>
    <row r="63018" spans="8:8">
      <c r="H63018" s="680" t="s">
        <v>6153</v>
      </c>
    </row>
    <row r="63019" spans="8:8">
      <c r="H63019" s="680" t="s">
        <v>6153</v>
      </c>
    </row>
    <row r="63020" spans="8:8">
      <c r="H63020" s="680" t="s">
        <v>6153</v>
      </c>
    </row>
    <row r="63021" spans="8:8">
      <c r="H63021" s="680" t="s">
        <v>6153</v>
      </c>
    </row>
    <row r="63022" spans="8:8">
      <c r="H63022" s="680" t="s">
        <v>6153</v>
      </c>
    </row>
    <row r="63023" spans="8:8">
      <c r="H63023" s="680" t="s">
        <v>6153</v>
      </c>
    </row>
    <row r="63024" spans="8:8">
      <c r="H63024" s="680" t="s">
        <v>6153</v>
      </c>
    </row>
    <row r="63025" spans="8:8">
      <c r="H63025" s="680" t="s">
        <v>6153</v>
      </c>
    </row>
    <row r="63026" spans="8:8">
      <c r="H63026" s="680" t="s">
        <v>6153</v>
      </c>
    </row>
    <row r="63027" spans="8:8">
      <c r="H63027" s="680" t="s">
        <v>6153</v>
      </c>
    </row>
    <row r="63028" spans="8:8">
      <c r="H63028" s="680" t="s">
        <v>6153</v>
      </c>
    </row>
    <row r="63029" spans="8:8">
      <c r="H63029" s="680" t="s">
        <v>6153</v>
      </c>
    </row>
    <row r="63030" spans="8:8">
      <c r="H63030" s="680" t="s">
        <v>6153</v>
      </c>
    </row>
    <row r="63031" spans="8:8">
      <c r="H63031" s="680" t="s">
        <v>6153</v>
      </c>
    </row>
    <row r="63032" spans="8:8">
      <c r="H63032" s="680" t="s">
        <v>6153</v>
      </c>
    </row>
    <row r="63033" spans="8:8">
      <c r="H63033" s="680" t="s">
        <v>6153</v>
      </c>
    </row>
    <row r="63034" spans="8:8">
      <c r="H63034" s="680" t="s">
        <v>6153</v>
      </c>
    </row>
    <row r="63035" spans="8:8">
      <c r="H63035" s="680" t="s">
        <v>6153</v>
      </c>
    </row>
    <row r="63036" spans="8:8">
      <c r="H63036" s="680" t="s">
        <v>6153</v>
      </c>
    </row>
    <row r="63037" spans="8:8">
      <c r="H63037" s="680" t="s">
        <v>6153</v>
      </c>
    </row>
    <row r="63038" spans="8:8">
      <c r="H63038" s="680" t="s">
        <v>6153</v>
      </c>
    </row>
    <row r="63039" spans="8:8">
      <c r="H63039" s="680" t="s">
        <v>6153</v>
      </c>
    </row>
    <row r="63040" spans="8:8">
      <c r="H63040" s="680" t="s">
        <v>6153</v>
      </c>
    </row>
    <row r="63041" spans="8:8">
      <c r="H63041" s="680" t="s">
        <v>6153</v>
      </c>
    </row>
    <row r="63042" spans="8:8">
      <c r="H63042" s="680" t="s">
        <v>6153</v>
      </c>
    </row>
    <row r="63043" spans="8:8">
      <c r="H63043" s="680" t="s">
        <v>6153</v>
      </c>
    </row>
    <row r="63044" spans="8:8">
      <c r="H63044" s="680" t="s">
        <v>6153</v>
      </c>
    </row>
    <row r="63045" spans="8:8">
      <c r="H63045" s="680" t="s">
        <v>6153</v>
      </c>
    </row>
    <row r="63046" spans="8:8">
      <c r="H63046" s="680" t="s">
        <v>6153</v>
      </c>
    </row>
    <row r="63047" spans="8:8">
      <c r="H63047" s="680" t="s">
        <v>6153</v>
      </c>
    </row>
    <row r="63048" spans="8:8">
      <c r="H63048" s="680" t="s">
        <v>6153</v>
      </c>
    </row>
    <row r="63049" spans="8:8">
      <c r="H63049" s="680" t="s">
        <v>6153</v>
      </c>
    </row>
    <row r="63050" spans="8:8">
      <c r="H63050" s="680" t="s">
        <v>6153</v>
      </c>
    </row>
    <row r="63051" spans="8:8">
      <c r="H63051" s="680" t="s">
        <v>6153</v>
      </c>
    </row>
    <row r="63052" spans="8:8">
      <c r="H63052" s="680" t="s">
        <v>6153</v>
      </c>
    </row>
    <row r="63053" spans="8:8">
      <c r="H63053" s="680" t="s">
        <v>6153</v>
      </c>
    </row>
    <row r="63054" spans="8:8">
      <c r="H63054" s="680" t="s">
        <v>6153</v>
      </c>
    </row>
    <row r="63055" spans="8:8">
      <c r="H63055" s="680" t="s">
        <v>6153</v>
      </c>
    </row>
    <row r="63056" spans="8:8">
      <c r="H63056" s="680" t="s">
        <v>6153</v>
      </c>
    </row>
    <row r="63057" spans="8:8">
      <c r="H63057" s="680" t="s">
        <v>6153</v>
      </c>
    </row>
    <row r="63058" spans="8:8">
      <c r="H63058" s="680" t="s">
        <v>6153</v>
      </c>
    </row>
    <row r="63059" spans="8:8">
      <c r="H63059" s="680" t="s">
        <v>6153</v>
      </c>
    </row>
    <row r="63060" spans="8:8">
      <c r="H63060" s="680" t="s">
        <v>6153</v>
      </c>
    </row>
    <row r="63061" spans="8:8">
      <c r="H63061" s="680" t="s">
        <v>6153</v>
      </c>
    </row>
    <row r="63062" spans="8:8">
      <c r="H63062" s="680" t="s">
        <v>6153</v>
      </c>
    </row>
    <row r="63063" spans="8:8">
      <c r="H63063" s="680" t="s">
        <v>6153</v>
      </c>
    </row>
    <row r="63064" spans="8:8">
      <c r="H63064" s="680" t="s">
        <v>6153</v>
      </c>
    </row>
    <row r="63065" spans="8:8">
      <c r="H63065" s="680" t="s">
        <v>6153</v>
      </c>
    </row>
    <row r="63066" spans="8:8">
      <c r="H63066" s="680" t="s">
        <v>6153</v>
      </c>
    </row>
    <row r="63067" spans="8:8">
      <c r="H63067" s="680" t="s">
        <v>6153</v>
      </c>
    </row>
    <row r="63068" spans="8:8">
      <c r="H63068" s="680" t="s">
        <v>6153</v>
      </c>
    </row>
    <row r="63069" spans="8:8">
      <c r="H63069" s="680" t="s">
        <v>6153</v>
      </c>
    </row>
    <row r="63070" spans="8:8">
      <c r="H63070" s="680" t="s">
        <v>6153</v>
      </c>
    </row>
    <row r="63071" spans="8:8">
      <c r="H63071" s="680" t="s">
        <v>6153</v>
      </c>
    </row>
    <row r="63072" spans="8:8">
      <c r="H63072" s="680" t="s">
        <v>6153</v>
      </c>
    </row>
    <row r="63073" spans="8:8">
      <c r="H63073" s="680" t="s">
        <v>6153</v>
      </c>
    </row>
    <row r="63074" spans="8:8">
      <c r="H63074" s="680" t="s">
        <v>6153</v>
      </c>
    </row>
    <row r="63075" spans="8:8">
      <c r="H63075" s="680" t="s">
        <v>6153</v>
      </c>
    </row>
    <row r="63076" spans="8:8">
      <c r="H63076" s="680" t="s">
        <v>6153</v>
      </c>
    </row>
    <row r="63077" spans="8:8">
      <c r="H63077" s="680" t="s">
        <v>6153</v>
      </c>
    </row>
    <row r="63078" spans="8:8">
      <c r="H63078" s="680" t="s">
        <v>6153</v>
      </c>
    </row>
    <row r="63079" spans="8:8">
      <c r="H63079" s="680" t="s">
        <v>6153</v>
      </c>
    </row>
    <row r="63080" spans="8:8">
      <c r="H63080" s="680" t="s">
        <v>6153</v>
      </c>
    </row>
    <row r="63081" spans="8:8">
      <c r="H63081" s="680" t="s">
        <v>6153</v>
      </c>
    </row>
    <row r="63082" spans="8:8">
      <c r="H63082" s="680" t="s">
        <v>6153</v>
      </c>
    </row>
    <row r="63083" spans="8:8">
      <c r="H63083" s="680" t="s">
        <v>6153</v>
      </c>
    </row>
    <row r="63084" spans="8:8">
      <c r="H63084" s="680" t="s">
        <v>6153</v>
      </c>
    </row>
    <row r="63085" spans="8:8">
      <c r="H63085" s="680" t="s">
        <v>6153</v>
      </c>
    </row>
    <row r="63086" spans="8:8">
      <c r="H63086" s="680" t="s">
        <v>6153</v>
      </c>
    </row>
    <row r="63087" spans="8:8">
      <c r="H63087" s="680" t="s">
        <v>6153</v>
      </c>
    </row>
    <row r="63088" spans="8:8">
      <c r="H63088" s="680" t="s">
        <v>6153</v>
      </c>
    </row>
    <row r="63089" spans="8:8">
      <c r="H63089" s="680" t="s">
        <v>6153</v>
      </c>
    </row>
    <row r="63090" spans="8:8">
      <c r="H63090" s="680" t="s">
        <v>6153</v>
      </c>
    </row>
    <row r="63091" spans="8:8">
      <c r="H63091" s="680" t="s">
        <v>6153</v>
      </c>
    </row>
    <row r="63092" spans="8:8">
      <c r="H63092" s="680" t="s">
        <v>6153</v>
      </c>
    </row>
    <row r="63093" spans="8:8">
      <c r="H63093" s="680" t="s">
        <v>6153</v>
      </c>
    </row>
    <row r="63094" spans="8:8">
      <c r="H63094" s="680" t="s">
        <v>6153</v>
      </c>
    </row>
    <row r="63095" spans="8:8">
      <c r="H63095" s="680" t="s">
        <v>6153</v>
      </c>
    </row>
    <row r="63096" spans="8:8">
      <c r="H63096" s="680" t="s">
        <v>6153</v>
      </c>
    </row>
    <row r="63097" spans="8:8">
      <c r="H63097" s="680" t="s">
        <v>6153</v>
      </c>
    </row>
    <row r="63098" spans="8:8">
      <c r="H63098" s="680" t="s">
        <v>6153</v>
      </c>
    </row>
    <row r="63099" spans="8:8">
      <c r="H63099" s="680" t="s">
        <v>6153</v>
      </c>
    </row>
    <row r="63100" spans="8:8">
      <c r="H63100" s="680" t="s">
        <v>6153</v>
      </c>
    </row>
    <row r="63101" spans="8:8">
      <c r="H63101" s="680" t="s">
        <v>6153</v>
      </c>
    </row>
    <row r="63102" spans="8:8">
      <c r="H63102" s="680" t="s">
        <v>6153</v>
      </c>
    </row>
    <row r="63103" spans="8:8">
      <c r="H63103" s="680" t="s">
        <v>6153</v>
      </c>
    </row>
    <row r="63104" spans="8:8">
      <c r="H63104" s="680" t="s">
        <v>6153</v>
      </c>
    </row>
    <row r="63105" spans="8:8">
      <c r="H63105" s="680" t="s">
        <v>6153</v>
      </c>
    </row>
    <row r="63106" spans="8:8">
      <c r="H63106" s="680" t="s">
        <v>6153</v>
      </c>
    </row>
    <row r="63107" spans="8:8">
      <c r="H63107" s="680" t="s">
        <v>6153</v>
      </c>
    </row>
    <row r="63108" spans="8:8">
      <c r="H63108" s="680" t="s">
        <v>6153</v>
      </c>
    </row>
    <row r="63109" spans="8:8">
      <c r="H63109" s="680" t="s">
        <v>6153</v>
      </c>
    </row>
    <row r="63110" spans="8:8">
      <c r="H63110" s="680" t="s">
        <v>6153</v>
      </c>
    </row>
    <row r="63111" spans="8:8">
      <c r="H63111" s="680" t="s">
        <v>6153</v>
      </c>
    </row>
    <row r="63112" spans="8:8">
      <c r="H63112" s="680" t="s">
        <v>6153</v>
      </c>
    </row>
    <row r="63113" spans="8:8">
      <c r="H63113" s="680" t="s">
        <v>6153</v>
      </c>
    </row>
    <row r="63114" spans="8:8">
      <c r="H63114" s="680" t="s">
        <v>6153</v>
      </c>
    </row>
    <row r="63115" spans="8:8">
      <c r="H63115" s="680" t="s">
        <v>6153</v>
      </c>
    </row>
    <row r="63116" spans="8:8">
      <c r="H63116" s="680" t="s">
        <v>6153</v>
      </c>
    </row>
    <row r="63117" spans="8:8">
      <c r="H63117" s="680" t="s">
        <v>6153</v>
      </c>
    </row>
    <row r="63118" spans="8:8">
      <c r="H63118" s="680" t="s">
        <v>6153</v>
      </c>
    </row>
    <row r="63119" spans="8:8">
      <c r="H63119" s="680" t="s">
        <v>6153</v>
      </c>
    </row>
    <row r="63120" spans="8:8">
      <c r="H63120" s="680" t="s">
        <v>6153</v>
      </c>
    </row>
    <row r="63121" spans="8:8">
      <c r="H63121" s="680" t="s">
        <v>6153</v>
      </c>
    </row>
    <row r="63122" spans="8:8">
      <c r="H63122" s="680" t="s">
        <v>6153</v>
      </c>
    </row>
    <row r="63123" spans="8:8">
      <c r="H63123" s="680" t="s">
        <v>6153</v>
      </c>
    </row>
    <row r="63124" spans="8:8">
      <c r="H63124" s="680" t="s">
        <v>6153</v>
      </c>
    </row>
    <row r="63125" spans="8:8">
      <c r="H63125" s="680" t="s">
        <v>6153</v>
      </c>
    </row>
    <row r="63126" spans="8:8">
      <c r="H63126" s="680" t="s">
        <v>6153</v>
      </c>
    </row>
    <row r="63127" spans="8:8">
      <c r="H63127" s="680" t="s">
        <v>6153</v>
      </c>
    </row>
    <row r="63128" spans="8:8">
      <c r="H63128" s="680" t="s">
        <v>6153</v>
      </c>
    </row>
    <row r="63129" spans="8:8">
      <c r="H63129" s="680" t="s">
        <v>6153</v>
      </c>
    </row>
    <row r="63130" spans="8:8">
      <c r="H63130" s="680" t="s">
        <v>6153</v>
      </c>
    </row>
    <row r="63131" spans="8:8">
      <c r="H63131" s="680" t="s">
        <v>6153</v>
      </c>
    </row>
    <row r="63132" spans="8:8">
      <c r="H63132" s="680" t="s">
        <v>6153</v>
      </c>
    </row>
    <row r="63133" spans="8:8">
      <c r="H63133" s="680" t="s">
        <v>6153</v>
      </c>
    </row>
    <row r="63134" spans="8:8">
      <c r="H63134" s="680" t="s">
        <v>6153</v>
      </c>
    </row>
    <row r="63135" spans="8:8">
      <c r="H63135" s="680" t="s">
        <v>6153</v>
      </c>
    </row>
    <row r="63136" spans="8:8">
      <c r="H63136" s="680" t="s">
        <v>6153</v>
      </c>
    </row>
    <row r="63137" spans="8:8">
      <c r="H63137" s="680" t="s">
        <v>6153</v>
      </c>
    </row>
    <row r="63138" spans="8:8">
      <c r="H63138" s="680" t="s">
        <v>6153</v>
      </c>
    </row>
    <row r="63139" spans="8:8">
      <c r="H63139" s="680" t="s">
        <v>6153</v>
      </c>
    </row>
    <row r="63140" spans="8:8">
      <c r="H63140" s="680" t="s">
        <v>6153</v>
      </c>
    </row>
    <row r="63141" spans="8:8">
      <c r="H63141" s="680" t="s">
        <v>6153</v>
      </c>
    </row>
    <row r="63142" spans="8:8">
      <c r="H63142" s="680" t="s">
        <v>6153</v>
      </c>
    </row>
    <row r="63143" spans="8:8">
      <c r="H63143" s="680" t="s">
        <v>6153</v>
      </c>
    </row>
    <row r="63144" spans="8:8">
      <c r="H63144" s="680" t="s">
        <v>6153</v>
      </c>
    </row>
    <row r="63145" spans="8:8">
      <c r="H63145" s="680" t="s">
        <v>6153</v>
      </c>
    </row>
    <row r="63146" spans="8:8">
      <c r="H63146" s="680" t="s">
        <v>6153</v>
      </c>
    </row>
    <row r="63147" spans="8:8">
      <c r="H63147" s="680" t="s">
        <v>6153</v>
      </c>
    </row>
    <row r="63148" spans="8:8">
      <c r="H63148" s="680" t="s">
        <v>6153</v>
      </c>
    </row>
    <row r="63149" spans="8:8">
      <c r="H63149" s="680" t="s">
        <v>6153</v>
      </c>
    </row>
    <row r="63150" spans="8:8">
      <c r="H63150" s="680" t="s">
        <v>6153</v>
      </c>
    </row>
    <row r="63151" spans="8:8">
      <c r="H63151" s="680" t="s">
        <v>6153</v>
      </c>
    </row>
    <row r="63152" spans="8:8">
      <c r="H63152" s="680" t="s">
        <v>6153</v>
      </c>
    </row>
    <row r="63153" spans="8:8">
      <c r="H63153" s="680" t="s">
        <v>6153</v>
      </c>
    </row>
    <row r="63154" spans="8:8">
      <c r="H63154" s="680" t="s">
        <v>6153</v>
      </c>
    </row>
    <row r="63155" spans="8:8">
      <c r="H63155" s="680" t="s">
        <v>6153</v>
      </c>
    </row>
    <row r="63156" spans="8:8">
      <c r="H63156" s="680" t="s">
        <v>6153</v>
      </c>
    </row>
    <row r="63157" spans="8:8">
      <c r="H63157" s="680" t="s">
        <v>6153</v>
      </c>
    </row>
    <row r="63158" spans="8:8">
      <c r="H63158" s="680" t="s">
        <v>6153</v>
      </c>
    </row>
    <row r="63159" spans="8:8">
      <c r="H63159" s="680" t="s">
        <v>6153</v>
      </c>
    </row>
    <row r="63160" spans="8:8">
      <c r="H63160" s="680" t="s">
        <v>6153</v>
      </c>
    </row>
    <row r="63161" spans="8:8">
      <c r="H63161" s="680" t="s">
        <v>6153</v>
      </c>
    </row>
    <row r="63162" spans="8:8">
      <c r="H63162" s="680" t="s">
        <v>6153</v>
      </c>
    </row>
    <row r="63163" spans="8:8">
      <c r="H63163" s="680" t="s">
        <v>6153</v>
      </c>
    </row>
    <row r="63164" spans="8:8">
      <c r="H63164" s="680" t="s">
        <v>6153</v>
      </c>
    </row>
    <row r="63165" spans="8:8">
      <c r="H63165" s="680" t="s">
        <v>6153</v>
      </c>
    </row>
    <row r="63166" spans="8:8">
      <c r="H63166" s="680" t="s">
        <v>6153</v>
      </c>
    </row>
    <row r="63167" spans="8:8">
      <c r="H63167" s="680" t="s">
        <v>6153</v>
      </c>
    </row>
    <row r="63168" spans="8:8">
      <c r="H63168" s="680" t="s">
        <v>6153</v>
      </c>
    </row>
    <row r="63169" spans="8:8">
      <c r="H63169" s="680" t="s">
        <v>6153</v>
      </c>
    </row>
    <row r="63170" spans="8:8">
      <c r="H63170" s="680" t="s">
        <v>6153</v>
      </c>
    </row>
    <row r="63171" spans="8:8">
      <c r="H63171" s="680" t="s">
        <v>6153</v>
      </c>
    </row>
    <row r="63172" spans="8:8">
      <c r="H63172" s="680" t="s">
        <v>6153</v>
      </c>
    </row>
    <row r="63173" spans="8:8">
      <c r="H63173" s="680" t="s">
        <v>6153</v>
      </c>
    </row>
    <row r="63174" spans="8:8">
      <c r="H63174" s="680" t="s">
        <v>6153</v>
      </c>
    </row>
    <row r="63175" spans="8:8">
      <c r="H63175" s="680" t="s">
        <v>6153</v>
      </c>
    </row>
    <row r="63176" spans="8:8">
      <c r="H63176" s="680" t="s">
        <v>6153</v>
      </c>
    </row>
    <row r="63177" spans="8:8">
      <c r="H63177" s="680" t="s">
        <v>6153</v>
      </c>
    </row>
    <row r="63178" spans="8:8">
      <c r="H63178" s="680" t="s">
        <v>6153</v>
      </c>
    </row>
    <row r="63179" spans="8:8">
      <c r="H63179" s="680" t="s">
        <v>6153</v>
      </c>
    </row>
    <row r="63180" spans="8:8">
      <c r="H63180" s="680" t="s">
        <v>6153</v>
      </c>
    </row>
    <row r="63181" spans="8:8">
      <c r="H63181" s="680" t="s">
        <v>6153</v>
      </c>
    </row>
    <row r="63182" spans="8:8">
      <c r="H63182" s="680" t="s">
        <v>6153</v>
      </c>
    </row>
    <row r="63183" spans="8:8">
      <c r="H63183" s="680" t="s">
        <v>6153</v>
      </c>
    </row>
    <row r="63184" spans="8:8">
      <c r="H63184" s="680" t="s">
        <v>6153</v>
      </c>
    </row>
    <row r="63185" spans="8:8">
      <c r="H63185" s="680" t="s">
        <v>6153</v>
      </c>
    </row>
    <row r="63186" spans="8:8">
      <c r="H63186" s="680" t="s">
        <v>6153</v>
      </c>
    </row>
    <row r="63187" spans="8:8">
      <c r="H63187" s="680" t="s">
        <v>6153</v>
      </c>
    </row>
    <row r="63188" spans="8:8">
      <c r="H63188" s="680" t="s">
        <v>6153</v>
      </c>
    </row>
    <row r="63189" spans="8:8">
      <c r="H63189" s="680" t="s">
        <v>6153</v>
      </c>
    </row>
    <row r="63190" spans="8:8">
      <c r="H63190" s="680" t="s">
        <v>6153</v>
      </c>
    </row>
    <row r="63191" spans="8:8">
      <c r="H63191" s="680" t="s">
        <v>6153</v>
      </c>
    </row>
    <row r="63192" spans="8:8">
      <c r="H63192" s="680" t="s">
        <v>6153</v>
      </c>
    </row>
    <row r="63193" spans="8:8">
      <c r="H63193" s="680" t="s">
        <v>6153</v>
      </c>
    </row>
    <row r="63194" spans="8:8">
      <c r="H63194" s="680" t="s">
        <v>6153</v>
      </c>
    </row>
    <row r="63195" spans="8:8">
      <c r="H63195" s="680" t="s">
        <v>6153</v>
      </c>
    </row>
    <row r="63196" spans="8:8">
      <c r="H63196" s="680" t="s">
        <v>6153</v>
      </c>
    </row>
    <row r="63197" spans="8:8">
      <c r="H63197" s="680" t="s">
        <v>6153</v>
      </c>
    </row>
    <row r="63198" spans="8:8">
      <c r="H63198" s="680" t="s">
        <v>6153</v>
      </c>
    </row>
    <row r="63199" spans="8:8">
      <c r="H63199" s="680" t="s">
        <v>6153</v>
      </c>
    </row>
    <row r="63200" spans="8:8">
      <c r="H63200" s="680" t="s">
        <v>6153</v>
      </c>
    </row>
    <row r="63201" spans="8:8">
      <c r="H63201" s="680" t="s">
        <v>6153</v>
      </c>
    </row>
    <row r="63202" spans="8:8">
      <c r="H63202" s="680" t="s">
        <v>6153</v>
      </c>
    </row>
    <row r="63203" spans="8:8">
      <c r="H63203" s="680" t="s">
        <v>6153</v>
      </c>
    </row>
    <row r="63204" spans="8:8">
      <c r="H63204" s="680" t="s">
        <v>6153</v>
      </c>
    </row>
    <row r="63205" spans="8:8">
      <c r="H63205" s="680" t="s">
        <v>6153</v>
      </c>
    </row>
    <row r="63206" spans="8:8">
      <c r="H63206" s="680" t="s">
        <v>6153</v>
      </c>
    </row>
    <row r="63207" spans="8:8">
      <c r="H63207" s="680" t="s">
        <v>6153</v>
      </c>
    </row>
    <row r="63208" spans="8:8">
      <c r="H63208" s="680" t="s">
        <v>6153</v>
      </c>
    </row>
    <row r="63209" spans="8:8">
      <c r="H63209" s="680" t="s">
        <v>6153</v>
      </c>
    </row>
    <row r="63210" spans="8:8">
      <c r="H63210" s="680" t="s">
        <v>6153</v>
      </c>
    </row>
    <row r="63211" spans="8:8">
      <c r="H63211" s="680" t="s">
        <v>6153</v>
      </c>
    </row>
    <row r="63212" spans="8:8">
      <c r="H63212" s="680" t="s">
        <v>6153</v>
      </c>
    </row>
    <row r="63213" spans="8:8">
      <c r="H63213" s="680" t="s">
        <v>6153</v>
      </c>
    </row>
    <row r="63214" spans="8:8">
      <c r="H63214" s="680" t="s">
        <v>6153</v>
      </c>
    </row>
    <row r="63215" spans="8:8">
      <c r="H63215" s="680" t="s">
        <v>6153</v>
      </c>
    </row>
    <row r="63216" spans="8:8">
      <c r="H63216" s="680" t="s">
        <v>6153</v>
      </c>
    </row>
    <row r="63217" spans="8:8">
      <c r="H63217" s="680" t="s">
        <v>6153</v>
      </c>
    </row>
    <row r="63218" spans="8:8">
      <c r="H63218" s="680" t="s">
        <v>6153</v>
      </c>
    </row>
    <row r="63219" spans="8:8">
      <c r="H63219" s="680" t="s">
        <v>6153</v>
      </c>
    </row>
    <row r="63220" spans="8:8">
      <c r="H63220" s="680" t="s">
        <v>6153</v>
      </c>
    </row>
    <row r="63221" spans="8:8">
      <c r="H63221" s="680" t="s">
        <v>6153</v>
      </c>
    </row>
    <row r="63222" spans="8:8">
      <c r="H63222" s="680" t="s">
        <v>6153</v>
      </c>
    </row>
    <row r="63223" spans="8:8">
      <c r="H63223" s="680" t="s">
        <v>6153</v>
      </c>
    </row>
    <row r="63224" spans="8:8">
      <c r="H63224" s="680" t="s">
        <v>6153</v>
      </c>
    </row>
    <row r="63225" spans="8:8">
      <c r="H63225" s="680" t="s">
        <v>6153</v>
      </c>
    </row>
    <row r="63226" spans="8:8">
      <c r="H63226" s="680" t="s">
        <v>6153</v>
      </c>
    </row>
    <row r="63227" spans="8:8">
      <c r="H63227" s="680" t="s">
        <v>6153</v>
      </c>
    </row>
    <row r="63228" spans="8:8">
      <c r="H63228" s="680" t="s">
        <v>6153</v>
      </c>
    </row>
    <row r="63229" spans="8:8">
      <c r="H63229" s="680" t="s">
        <v>6153</v>
      </c>
    </row>
    <row r="63230" spans="8:8">
      <c r="H63230" s="680" t="s">
        <v>6153</v>
      </c>
    </row>
    <row r="63231" spans="8:8">
      <c r="H63231" s="680" t="s">
        <v>6153</v>
      </c>
    </row>
    <row r="63232" spans="8:8">
      <c r="H63232" s="680" t="s">
        <v>6153</v>
      </c>
    </row>
    <row r="63233" spans="8:8">
      <c r="H63233" s="680" t="s">
        <v>6153</v>
      </c>
    </row>
    <row r="63234" spans="8:8">
      <c r="H63234" s="680" t="s">
        <v>6153</v>
      </c>
    </row>
    <row r="63235" spans="8:8">
      <c r="H63235" s="680" t="s">
        <v>6153</v>
      </c>
    </row>
    <row r="63236" spans="8:8">
      <c r="H63236" s="680" t="s">
        <v>6153</v>
      </c>
    </row>
    <row r="63237" spans="8:8">
      <c r="H63237" s="680" t="s">
        <v>6153</v>
      </c>
    </row>
    <row r="63238" spans="8:8">
      <c r="H63238" s="680" t="s">
        <v>6153</v>
      </c>
    </row>
    <row r="63239" spans="8:8">
      <c r="H63239" s="680" t="s">
        <v>6153</v>
      </c>
    </row>
    <row r="63240" spans="8:8">
      <c r="H63240" s="680" t="s">
        <v>6153</v>
      </c>
    </row>
    <row r="63241" spans="8:8">
      <c r="H63241" s="680" t="s">
        <v>6153</v>
      </c>
    </row>
    <row r="63242" spans="8:8">
      <c r="H63242" s="680" t="s">
        <v>6153</v>
      </c>
    </row>
    <row r="63243" spans="8:8">
      <c r="H63243" s="680" t="s">
        <v>6153</v>
      </c>
    </row>
    <row r="63244" spans="8:8">
      <c r="H63244" s="680" t="s">
        <v>6153</v>
      </c>
    </row>
    <row r="63245" spans="8:8">
      <c r="H63245" s="680" t="s">
        <v>6153</v>
      </c>
    </row>
    <row r="63246" spans="8:8">
      <c r="H63246" s="680" t="s">
        <v>6153</v>
      </c>
    </row>
    <row r="63247" spans="8:8">
      <c r="H63247" s="680" t="s">
        <v>6153</v>
      </c>
    </row>
    <row r="63248" spans="8:8">
      <c r="H63248" s="680" t="s">
        <v>6153</v>
      </c>
    </row>
    <row r="63249" spans="8:8">
      <c r="H63249" s="680" t="s">
        <v>6153</v>
      </c>
    </row>
    <row r="63250" spans="8:8">
      <c r="H63250" s="680" t="s">
        <v>6153</v>
      </c>
    </row>
    <row r="63251" spans="8:8">
      <c r="H63251" s="680" t="s">
        <v>6153</v>
      </c>
    </row>
    <row r="63252" spans="8:8">
      <c r="H63252" s="680" t="s">
        <v>6153</v>
      </c>
    </row>
    <row r="63253" spans="8:8">
      <c r="H63253" s="680" t="s">
        <v>6153</v>
      </c>
    </row>
    <row r="63254" spans="8:8">
      <c r="H63254" s="680" t="s">
        <v>6153</v>
      </c>
    </row>
    <row r="63255" spans="8:8">
      <c r="H63255" s="680" t="s">
        <v>6153</v>
      </c>
    </row>
    <row r="63256" spans="8:8">
      <c r="H63256" s="680" t="s">
        <v>6153</v>
      </c>
    </row>
    <row r="63257" spans="8:8">
      <c r="H63257" s="680" t="s">
        <v>6153</v>
      </c>
    </row>
    <row r="63258" spans="8:8">
      <c r="H63258" s="680" t="s">
        <v>6153</v>
      </c>
    </row>
    <row r="63259" spans="8:8">
      <c r="H63259" s="680" t="s">
        <v>6153</v>
      </c>
    </row>
    <row r="63260" spans="8:8">
      <c r="H63260" s="680" t="s">
        <v>6153</v>
      </c>
    </row>
    <row r="63261" spans="8:8">
      <c r="H63261" s="680" t="s">
        <v>6153</v>
      </c>
    </row>
    <row r="63262" spans="8:8">
      <c r="H63262" s="680" t="s">
        <v>6153</v>
      </c>
    </row>
    <row r="63263" spans="8:8">
      <c r="H63263" s="680" t="s">
        <v>6153</v>
      </c>
    </row>
    <row r="63264" spans="8:8">
      <c r="H63264" s="680" t="s">
        <v>6153</v>
      </c>
    </row>
    <row r="63265" spans="8:8">
      <c r="H63265" s="680" t="s">
        <v>6153</v>
      </c>
    </row>
    <row r="63266" spans="8:8">
      <c r="H63266" s="680" t="s">
        <v>6153</v>
      </c>
    </row>
    <row r="63267" spans="8:8">
      <c r="H63267" s="680" t="s">
        <v>6153</v>
      </c>
    </row>
    <row r="63268" spans="8:8">
      <c r="H63268" s="680" t="s">
        <v>6153</v>
      </c>
    </row>
    <row r="63269" spans="8:8">
      <c r="H63269" s="680" t="s">
        <v>6153</v>
      </c>
    </row>
    <row r="63270" spans="8:8">
      <c r="H63270" s="680" t="s">
        <v>6153</v>
      </c>
    </row>
    <row r="63271" spans="8:8">
      <c r="H63271" s="680" t="s">
        <v>6153</v>
      </c>
    </row>
    <row r="63272" spans="8:8">
      <c r="H63272" s="680" t="s">
        <v>6153</v>
      </c>
    </row>
    <row r="63273" spans="8:8">
      <c r="H63273" s="680" t="s">
        <v>6153</v>
      </c>
    </row>
    <row r="63274" spans="8:8">
      <c r="H63274" s="680" t="s">
        <v>6153</v>
      </c>
    </row>
    <row r="63275" spans="8:8">
      <c r="H63275" s="680" t="s">
        <v>6153</v>
      </c>
    </row>
    <row r="63276" spans="8:8">
      <c r="H63276" s="680" t="s">
        <v>6153</v>
      </c>
    </row>
    <row r="63277" spans="8:8">
      <c r="H63277" s="680" t="s">
        <v>6153</v>
      </c>
    </row>
    <row r="63278" spans="8:8">
      <c r="H63278" s="680" t="s">
        <v>6153</v>
      </c>
    </row>
    <row r="63279" spans="8:8">
      <c r="H63279" s="680" t="s">
        <v>6153</v>
      </c>
    </row>
    <row r="63280" spans="8:8">
      <c r="H63280" s="680" t="s">
        <v>6153</v>
      </c>
    </row>
    <row r="63281" spans="8:8">
      <c r="H63281" s="680" t="s">
        <v>6153</v>
      </c>
    </row>
    <row r="63282" spans="8:8">
      <c r="H63282" s="680" t="s">
        <v>6153</v>
      </c>
    </row>
    <row r="63283" spans="8:8">
      <c r="H63283" s="680" t="s">
        <v>6153</v>
      </c>
    </row>
    <row r="63284" spans="8:8">
      <c r="H63284" s="680" t="s">
        <v>6153</v>
      </c>
    </row>
    <row r="63285" spans="8:8">
      <c r="H63285" s="680" t="s">
        <v>6153</v>
      </c>
    </row>
    <row r="63286" spans="8:8">
      <c r="H63286" s="680" t="s">
        <v>6153</v>
      </c>
    </row>
    <row r="63287" spans="8:8">
      <c r="H63287" s="680" t="s">
        <v>6153</v>
      </c>
    </row>
    <row r="63288" spans="8:8">
      <c r="H63288" s="680" t="s">
        <v>6153</v>
      </c>
    </row>
    <row r="63289" spans="8:8">
      <c r="H63289" s="680" t="s">
        <v>6153</v>
      </c>
    </row>
    <row r="63290" spans="8:8">
      <c r="H63290" s="680" t="s">
        <v>6153</v>
      </c>
    </row>
    <row r="63291" spans="8:8">
      <c r="H63291" s="680" t="s">
        <v>6153</v>
      </c>
    </row>
    <row r="63292" spans="8:8">
      <c r="H63292" s="680" t="s">
        <v>6153</v>
      </c>
    </row>
    <row r="63293" spans="8:8">
      <c r="H63293" s="680" t="s">
        <v>6153</v>
      </c>
    </row>
    <row r="63294" spans="8:8">
      <c r="H63294" s="680" t="s">
        <v>6153</v>
      </c>
    </row>
    <row r="63295" spans="8:8">
      <c r="H63295" s="680" t="s">
        <v>6153</v>
      </c>
    </row>
    <row r="63296" spans="8:8">
      <c r="H63296" s="680" t="s">
        <v>6153</v>
      </c>
    </row>
    <row r="63297" spans="8:8">
      <c r="H63297" s="680" t="s">
        <v>6153</v>
      </c>
    </row>
    <row r="63298" spans="8:8">
      <c r="H63298" s="680" t="s">
        <v>6153</v>
      </c>
    </row>
    <row r="63299" spans="8:8">
      <c r="H63299" s="680" t="s">
        <v>6153</v>
      </c>
    </row>
    <row r="63300" spans="8:8">
      <c r="H63300" s="680" t="s">
        <v>6153</v>
      </c>
    </row>
    <row r="63301" spans="8:8">
      <c r="H63301" s="680" t="s">
        <v>6153</v>
      </c>
    </row>
    <row r="63302" spans="8:8">
      <c r="H63302" s="680" t="s">
        <v>6153</v>
      </c>
    </row>
    <row r="63303" spans="8:8">
      <c r="H63303" s="680" t="s">
        <v>6153</v>
      </c>
    </row>
    <row r="63304" spans="8:8">
      <c r="H63304" s="680" t="s">
        <v>6153</v>
      </c>
    </row>
    <row r="63305" spans="8:8">
      <c r="H63305" s="680" t="s">
        <v>6153</v>
      </c>
    </row>
    <row r="63306" spans="8:8">
      <c r="H63306" s="680" t="s">
        <v>6153</v>
      </c>
    </row>
    <row r="63307" spans="8:8">
      <c r="H63307" s="680" t="s">
        <v>6153</v>
      </c>
    </row>
    <row r="63308" spans="8:8">
      <c r="H63308" s="680" t="s">
        <v>6153</v>
      </c>
    </row>
    <row r="63309" spans="8:8">
      <c r="H63309" s="680" t="s">
        <v>6153</v>
      </c>
    </row>
    <row r="63310" spans="8:8">
      <c r="H63310" s="680" t="s">
        <v>6153</v>
      </c>
    </row>
    <row r="63311" spans="8:8">
      <c r="H63311" s="680" t="s">
        <v>6153</v>
      </c>
    </row>
    <row r="63312" spans="8:8">
      <c r="H63312" s="680" t="s">
        <v>6153</v>
      </c>
    </row>
    <row r="63313" spans="8:8">
      <c r="H63313" s="680" t="s">
        <v>6153</v>
      </c>
    </row>
    <row r="63314" spans="8:8">
      <c r="H63314" s="680" t="s">
        <v>6153</v>
      </c>
    </row>
    <row r="63315" spans="8:8">
      <c r="H63315" s="680" t="s">
        <v>6153</v>
      </c>
    </row>
    <row r="63316" spans="8:8">
      <c r="H63316" s="680" t="s">
        <v>6153</v>
      </c>
    </row>
    <row r="63317" spans="8:8">
      <c r="H63317" s="680" t="s">
        <v>6153</v>
      </c>
    </row>
    <row r="63318" spans="8:8">
      <c r="H63318" s="680" t="s">
        <v>6153</v>
      </c>
    </row>
    <row r="63319" spans="8:8">
      <c r="H63319" s="680" t="s">
        <v>6153</v>
      </c>
    </row>
    <row r="63320" spans="8:8">
      <c r="H63320" s="680" t="s">
        <v>6153</v>
      </c>
    </row>
    <row r="63321" spans="8:8">
      <c r="H63321" s="680" t="s">
        <v>6153</v>
      </c>
    </row>
    <row r="63322" spans="8:8">
      <c r="H63322" s="680" t="s">
        <v>6153</v>
      </c>
    </row>
    <row r="63323" spans="8:8">
      <c r="H63323" s="680" t="s">
        <v>6153</v>
      </c>
    </row>
    <row r="63324" spans="8:8">
      <c r="H63324" s="680" t="s">
        <v>6153</v>
      </c>
    </row>
    <row r="63325" spans="8:8">
      <c r="H63325" s="680" t="s">
        <v>6153</v>
      </c>
    </row>
    <row r="63326" spans="8:8">
      <c r="H63326" s="680" t="s">
        <v>6153</v>
      </c>
    </row>
    <row r="63327" spans="8:8">
      <c r="H63327" s="680" t="s">
        <v>6153</v>
      </c>
    </row>
    <row r="63328" spans="8:8">
      <c r="H63328" s="680" t="s">
        <v>6153</v>
      </c>
    </row>
    <row r="63329" spans="8:8">
      <c r="H63329" s="680" t="s">
        <v>6153</v>
      </c>
    </row>
    <row r="63330" spans="8:8">
      <c r="H63330" s="680" t="s">
        <v>6153</v>
      </c>
    </row>
    <row r="63331" spans="8:8">
      <c r="H63331" s="680" t="s">
        <v>6153</v>
      </c>
    </row>
    <row r="63332" spans="8:8">
      <c r="H63332" s="680" t="s">
        <v>6153</v>
      </c>
    </row>
    <row r="63333" spans="8:8">
      <c r="H63333" s="680" t="s">
        <v>6153</v>
      </c>
    </row>
    <row r="63334" spans="8:8">
      <c r="H63334" s="680" t="s">
        <v>6153</v>
      </c>
    </row>
    <row r="63335" spans="8:8">
      <c r="H63335" s="680" t="s">
        <v>6153</v>
      </c>
    </row>
    <row r="63336" spans="8:8">
      <c r="H63336" s="680" t="s">
        <v>6153</v>
      </c>
    </row>
    <row r="63337" spans="8:8">
      <c r="H63337" s="680" t="s">
        <v>6153</v>
      </c>
    </row>
    <row r="63338" spans="8:8">
      <c r="H63338" s="680" t="s">
        <v>6153</v>
      </c>
    </row>
    <row r="63339" spans="8:8">
      <c r="H63339" s="680" t="s">
        <v>6153</v>
      </c>
    </row>
    <row r="63340" spans="8:8">
      <c r="H63340" s="680" t="s">
        <v>6153</v>
      </c>
    </row>
    <row r="63341" spans="8:8">
      <c r="H63341" s="680" t="s">
        <v>6153</v>
      </c>
    </row>
    <row r="63342" spans="8:8">
      <c r="H63342" s="680" t="s">
        <v>6153</v>
      </c>
    </row>
    <row r="63343" spans="8:8">
      <c r="H63343" s="680" t="s">
        <v>6153</v>
      </c>
    </row>
    <row r="63344" spans="8:8">
      <c r="H63344" s="680" t="s">
        <v>6153</v>
      </c>
    </row>
    <row r="63345" spans="8:8">
      <c r="H63345" s="680" t="s">
        <v>6153</v>
      </c>
    </row>
    <row r="63346" spans="8:8">
      <c r="H63346" s="680" t="s">
        <v>6153</v>
      </c>
    </row>
    <row r="63347" spans="8:8">
      <c r="H63347" s="680" t="s">
        <v>6153</v>
      </c>
    </row>
    <row r="63348" spans="8:8">
      <c r="H63348" s="680" t="s">
        <v>6153</v>
      </c>
    </row>
    <row r="63349" spans="8:8">
      <c r="H63349" s="680" t="s">
        <v>6153</v>
      </c>
    </row>
    <row r="63350" spans="8:8">
      <c r="H63350" s="680" t="s">
        <v>6153</v>
      </c>
    </row>
    <row r="63351" spans="8:8">
      <c r="H63351" s="680" t="s">
        <v>6153</v>
      </c>
    </row>
    <row r="63352" spans="8:8">
      <c r="H63352" s="680" t="s">
        <v>6153</v>
      </c>
    </row>
    <row r="63353" spans="8:8">
      <c r="H63353" s="680" t="s">
        <v>6153</v>
      </c>
    </row>
    <row r="63354" spans="8:8">
      <c r="H63354" s="680" t="s">
        <v>6153</v>
      </c>
    </row>
    <row r="63355" spans="8:8">
      <c r="H63355" s="680" t="s">
        <v>6153</v>
      </c>
    </row>
    <row r="63356" spans="8:8">
      <c r="H63356" s="680" t="s">
        <v>6153</v>
      </c>
    </row>
    <row r="63357" spans="8:8">
      <c r="H63357" s="680" t="s">
        <v>6153</v>
      </c>
    </row>
    <row r="63358" spans="8:8">
      <c r="H63358" s="680" t="s">
        <v>6153</v>
      </c>
    </row>
    <row r="63359" spans="8:8">
      <c r="H63359" s="680" t="s">
        <v>6153</v>
      </c>
    </row>
    <row r="63360" spans="8:8">
      <c r="H63360" s="680" t="s">
        <v>6153</v>
      </c>
    </row>
    <row r="63361" spans="8:8">
      <c r="H63361" s="680" t="s">
        <v>6153</v>
      </c>
    </row>
    <row r="63362" spans="8:8">
      <c r="H63362" s="680" t="s">
        <v>6153</v>
      </c>
    </row>
    <row r="63363" spans="8:8">
      <c r="H63363" s="680" t="s">
        <v>6153</v>
      </c>
    </row>
    <row r="63364" spans="8:8">
      <c r="H63364" s="680" t="s">
        <v>6153</v>
      </c>
    </row>
    <row r="63365" spans="8:8">
      <c r="H63365" s="680" t="s">
        <v>6153</v>
      </c>
    </row>
    <row r="63366" spans="8:8">
      <c r="H63366" s="680" t="s">
        <v>6153</v>
      </c>
    </row>
    <row r="63367" spans="8:8">
      <c r="H63367" s="680" t="s">
        <v>6153</v>
      </c>
    </row>
    <row r="63368" spans="8:8">
      <c r="H63368" s="680" t="s">
        <v>6153</v>
      </c>
    </row>
    <row r="63369" spans="8:8">
      <c r="H63369" s="680" t="s">
        <v>6153</v>
      </c>
    </row>
    <row r="63370" spans="8:8">
      <c r="H63370" s="680" t="s">
        <v>6153</v>
      </c>
    </row>
    <row r="63371" spans="8:8">
      <c r="H63371" s="680" t="s">
        <v>6153</v>
      </c>
    </row>
    <row r="63372" spans="8:8">
      <c r="H63372" s="680" t="s">
        <v>6153</v>
      </c>
    </row>
    <row r="63373" spans="8:8">
      <c r="H63373" s="680" t="s">
        <v>6153</v>
      </c>
    </row>
    <row r="63374" spans="8:8">
      <c r="H63374" s="680" t="s">
        <v>6153</v>
      </c>
    </row>
    <row r="63375" spans="8:8">
      <c r="H63375" s="680" t="s">
        <v>6153</v>
      </c>
    </row>
    <row r="63376" spans="8:8">
      <c r="H63376" s="680" t="s">
        <v>6153</v>
      </c>
    </row>
    <row r="63377" spans="8:8">
      <c r="H63377" s="680" t="s">
        <v>6153</v>
      </c>
    </row>
    <row r="63378" spans="8:8">
      <c r="H63378" s="680" t="s">
        <v>6153</v>
      </c>
    </row>
    <row r="63379" spans="8:8">
      <c r="H63379" s="680" t="s">
        <v>6153</v>
      </c>
    </row>
    <row r="63380" spans="8:8">
      <c r="H63380" s="680" t="s">
        <v>6153</v>
      </c>
    </row>
    <row r="63381" spans="8:8">
      <c r="H63381" s="680" t="s">
        <v>6153</v>
      </c>
    </row>
    <row r="63382" spans="8:8">
      <c r="H63382" s="680" t="s">
        <v>6153</v>
      </c>
    </row>
    <row r="63383" spans="8:8">
      <c r="H63383" s="680" t="s">
        <v>6153</v>
      </c>
    </row>
    <row r="63384" spans="8:8">
      <c r="H63384" s="680" t="s">
        <v>6153</v>
      </c>
    </row>
    <row r="63385" spans="8:8">
      <c r="H63385" s="680" t="s">
        <v>6153</v>
      </c>
    </row>
    <row r="63386" spans="8:8">
      <c r="H63386" s="680" t="s">
        <v>6153</v>
      </c>
    </row>
    <row r="63387" spans="8:8">
      <c r="H63387" s="680" t="s">
        <v>6153</v>
      </c>
    </row>
    <row r="63388" spans="8:8">
      <c r="H63388" s="680" t="s">
        <v>6153</v>
      </c>
    </row>
    <row r="63389" spans="8:8">
      <c r="H63389" s="680" t="s">
        <v>6153</v>
      </c>
    </row>
    <row r="63390" spans="8:8">
      <c r="H63390" s="680" t="s">
        <v>6153</v>
      </c>
    </row>
    <row r="63391" spans="8:8">
      <c r="H63391" s="680" t="s">
        <v>6153</v>
      </c>
    </row>
    <row r="63392" spans="8:8">
      <c r="H63392" s="680" t="s">
        <v>6153</v>
      </c>
    </row>
    <row r="63393" spans="8:8">
      <c r="H63393" s="680" t="s">
        <v>6153</v>
      </c>
    </row>
    <row r="63394" spans="8:8">
      <c r="H63394" s="680" t="s">
        <v>6153</v>
      </c>
    </row>
    <row r="63395" spans="8:8">
      <c r="H63395" s="680" t="s">
        <v>6153</v>
      </c>
    </row>
    <row r="63396" spans="8:8">
      <c r="H63396" s="680" t="s">
        <v>6153</v>
      </c>
    </row>
    <row r="63397" spans="8:8">
      <c r="H63397" s="680" t="s">
        <v>6153</v>
      </c>
    </row>
    <row r="63398" spans="8:8">
      <c r="H63398" s="680" t="s">
        <v>6153</v>
      </c>
    </row>
    <row r="63399" spans="8:8">
      <c r="H63399" s="680" t="s">
        <v>6153</v>
      </c>
    </row>
    <row r="63400" spans="8:8">
      <c r="H63400" s="680" t="s">
        <v>6153</v>
      </c>
    </row>
    <row r="63401" spans="8:8">
      <c r="H63401" s="680" t="s">
        <v>6153</v>
      </c>
    </row>
    <row r="63402" spans="8:8">
      <c r="H63402" s="680" t="s">
        <v>6153</v>
      </c>
    </row>
    <row r="63403" spans="8:8">
      <c r="H63403" s="680" t="s">
        <v>6153</v>
      </c>
    </row>
    <row r="63404" spans="8:8">
      <c r="H63404" s="680" t="s">
        <v>6153</v>
      </c>
    </row>
    <row r="63405" spans="8:8">
      <c r="H63405" s="680" t="s">
        <v>6153</v>
      </c>
    </row>
    <row r="63406" spans="8:8">
      <c r="H63406" s="680" t="s">
        <v>6153</v>
      </c>
    </row>
    <row r="63407" spans="8:8">
      <c r="H63407" s="680" t="s">
        <v>6153</v>
      </c>
    </row>
    <row r="63408" spans="8:8">
      <c r="H63408" s="680" t="s">
        <v>6153</v>
      </c>
    </row>
    <row r="63409" spans="8:8">
      <c r="H63409" s="680" t="s">
        <v>6153</v>
      </c>
    </row>
    <row r="63410" spans="8:8">
      <c r="H63410" s="680" t="s">
        <v>6153</v>
      </c>
    </row>
    <row r="63411" spans="8:8">
      <c r="H63411" s="680" t="s">
        <v>6153</v>
      </c>
    </row>
    <row r="63412" spans="8:8">
      <c r="H63412" s="680" t="s">
        <v>6153</v>
      </c>
    </row>
    <row r="63413" spans="8:8">
      <c r="H63413" s="680" t="s">
        <v>6153</v>
      </c>
    </row>
    <row r="63414" spans="8:8">
      <c r="H63414" s="680" t="s">
        <v>6153</v>
      </c>
    </row>
    <row r="63415" spans="8:8">
      <c r="H63415" s="680" t="s">
        <v>6153</v>
      </c>
    </row>
    <row r="63416" spans="8:8">
      <c r="H63416" s="680" t="s">
        <v>6153</v>
      </c>
    </row>
    <row r="63417" spans="8:8">
      <c r="H63417" s="680" t="s">
        <v>6153</v>
      </c>
    </row>
    <row r="63418" spans="8:8">
      <c r="H63418" s="680" t="s">
        <v>6153</v>
      </c>
    </row>
    <row r="63419" spans="8:8">
      <c r="H63419" s="680" t="s">
        <v>6153</v>
      </c>
    </row>
    <row r="63420" spans="8:8">
      <c r="H63420" s="680" t="s">
        <v>6153</v>
      </c>
    </row>
    <row r="63421" spans="8:8">
      <c r="H63421" s="680" t="s">
        <v>6153</v>
      </c>
    </row>
    <row r="63422" spans="8:8">
      <c r="H63422" s="680" t="s">
        <v>6153</v>
      </c>
    </row>
    <row r="63423" spans="8:8">
      <c r="H63423" s="680" t="s">
        <v>6153</v>
      </c>
    </row>
    <row r="63424" spans="8:8">
      <c r="H63424" s="680" t="s">
        <v>6153</v>
      </c>
    </row>
    <row r="63425" spans="8:8">
      <c r="H63425" s="680" t="s">
        <v>6153</v>
      </c>
    </row>
    <row r="63426" spans="8:8">
      <c r="H63426" s="680" t="s">
        <v>6153</v>
      </c>
    </row>
    <row r="63427" spans="8:8">
      <c r="H63427" s="680" t="s">
        <v>6153</v>
      </c>
    </row>
    <row r="63428" spans="8:8">
      <c r="H63428" s="680" t="s">
        <v>6153</v>
      </c>
    </row>
    <row r="63429" spans="8:8">
      <c r="H63429" s="680" t="s">
        <v>6153</v>
      </c>
    </row>
    <row r="63430" spans="8:8">
      <c r="H63430" s="680" t="s">
        <v>6153</v>
      </c>
    </row>
    <row r="63431" spans="8:8">
      <c r="H63431" s="680" t="s">
        <v>6153</v>
      </c>
    </row>
    <row r="63432" spans="8:8">
      <c r="H63432" s="680" t="s">
        <v>6153</v>
      </c>
    </row>
    <row r="63433" spans="8:8">
      <c r="H63433" s="680" t="s">
        <v>6153</v>
      </c>
    </row>
    <row r="63434" spans="8:8">
      <c r="H63434" s="680" t="s">
        <v>6153</v>
      </c>
    </row>
    <row r="63435" spans="8:8">
      <c r="H63435" s="680" t="s">
        <v>6153</v>
      </c>
    </row>
    <row r="63436" spans="8:8">
      <c r="H63436" s="680" t="s">
        <v>6153</v>
      </c>
    </row>
    <row r="63437" spans="8:8">
      <c r="H63437" s="680" t="s">
        <v>6153</v>
      </c>
    </row>
    <row r="63438" spans="8:8">
      <c r="H63438" s="680" t="s">
        <v>6153</v>
      </c>
    </row>
    <row r="63439" spans="8:8">
      <c r="H63439" s="680" t="s">
        <v>6153</v>
      </c>
    </row>
    <row r="63440" spans="8:8">
      <c r="H63440" s="680" t="s">
        <v>6153</v>
      </c>
    </row>
    <row r="63441" spans="8:8">
      <c r="H63441" s="680" t="s">
        <v>6153</v>
      </c>
    </row>
    <row r="63442" spans="8:8">
      <c r="H63442" s="680" t="s">
        <v>6153</v>
      </c>
    </row>
    <row r="63443" spans="8:8">
      <c r="H63443" s="680" t="s">
        <v>6153</v>
      </c>
    </row>
    <row r="63444" spans="8:8">
      <c r="H63444" s="680" t="s">
        <v>6153</v>
      </c>
    </row>
    <row r="63445" spans="8:8">
      <c r="H63445" s="680" t="s">
        <v>6153</v>
      </c>
    </row>
    <row r="63446" spans="8:8">
      <c r="H63446" s="680" t="s">
        <v>6153</v>
      </c>
    </row>
    <row r="63447" spans="8:8">
      <c r="H63447" s="680" t="s">
        <v>6153</v>
      </c>
    </row>
    <row r="63448" spans="8:8">
      <c r="H63448" s="680" t="s">
        <v>6153</v>
      </c>
    </row>
    <row r="63449" spans="8:8">
      <c r="H63449" s="680" t="s">
        <v>6153</v>
      </c>
    </row>
    <row r="63450" spans="8:8">
      <c r="H63450" s="680" t="s">
        <v>6153</v>
      </c>
    </row>
    <row r="63451" spans="8:8">
      <c r="H63451" s="680" t="s">
        <v>6153</v>
      </c>
    </row>
    <row r="63452" spans="8:8">
      <c r="H63452" s="680" t="s">
        <v>6153</v>
      </c>
    </row>
    <row r="63453" spans="8:8">
      <c r="H63453" s="680" t="s">
        <v>6153</v>
      </c>
    </row>
    <row r="63454" spans="8:8">
      <c r="H63454" s="680" t="s">
        <v>6153</v>
      </c>
    </row>
    <row r="63455" spans="8:8">
      <c r="H63455" s="680" t="s">
        <v>6153</v>
      </c>
    </row>
    <row r="63456" spans="8:8">
      <c r="H63456" s="680" t="s">
        <v>6153</v>
      </c>
    </row>
    <row r="63457" spans="8:8">
      <c r="H63457" s="680" t="s">
        <v>6153</v>
      </c>
    </row>
    <row r="63458" spans="8:8">
      <c r="H63458" s="680" t="s">
        <v>6153</v>
      </c>
    </row>
    <row r="63459" spans="8:8">
      <c r="H63459" s="680" t="s">
        <v>6153</v>
      </c>
    </row>
    <row r="63460" spans="8:8">
      <c r="H63460" s="680" t="s">
        <v>6153</v>
      </c>
    </row>
    <row r="63461" spans="8:8">
      <c r="H63461" s="680" t="s">
        <v>6153</v>
      </c>
    </row>
    <row r="63462" spans="8:8">
      <c r="H63462" s="680" t="s">
        <v>6153</v>
      </c>
    </row>
    <row r="63463" spans="8:8">
      <c r="H63463" s="680" t="s">
        <v>6153</v>
      </c>
    </row>
    <row r="63464" spans="8:8">
      <c r="H63464" s="680" t="s">
        <v>6153</v>
      </c>
    </row>
    <row r="63465" spans="8:8">
      <c r="H63465" s="680" t="s">
        <v>6153</v>
      </c>
    </row>
    <row r="63466" spans="8:8">
      <c r="H63466" s="680" t="s">
        <v>6153</v>
      </c>
    </row>
    <row r="63467" spans="8:8">
      <c r="H63467" s="680" t="s">
        <v>6153</v>
      </c>
    </row>
    <row r="63468" spans="8:8">
      <c r="H63468" s="680" t="s">
        <v>6153</v>
      </c>
    </row>
    <row r="63469" spans="8:8">
      <c r="H63469" s="680" t="s">
        <v>6153</v>
      </c>
    </row>
    <row r="63470" spans="8:8">
      <c r="H63470" s="680" t="s">
        <v>6153</v>
      </c>
    </row>
    <row r="63471" spans="8:8">
      <c r="H63471" s="680" t="s">
        <v>6153</v>
      </c>
    </row>
    <row r="63472" spans="8:8">
      <c r="H63472" s="680" t="s">
        <v>6153</v>
      </c>
    </row>
    <row r="63473" spans="8:8">
      <c r="H63473" s="680" t="s">
        <v>6153</v>
      </c>
    </row>
    <row r="63474" spans="8:8">
      <c r="H63474" s="680" t="s">
        <v>6153</v>
      </c>
    </row>
    <row r="63475" spans="8:8">
      <c r="H63475" s="680" t="s">
        <v>6153</v>
      </c>
    </row>
    <row r="63476" spans="8:8">
      <c r="H63476" s="680" t="s">
        <v>6153</v>
      </c>
    </row>
    <row r="63477" spans="8:8">
      <c r="H63477" s="680" t="s">
        <v>6153</v>
      </c>
    </row>
    <row r="63478" spans="8:8">
      <c r="H63478" s="680" t="s">
        <v>6153</v>
      </c>
    </row>
    <row r="63479" spans="8:8">
      <c r="H63479" s="680" t="s">
        <v>6153</v>
      </c>
    </row>
    <row r="63480" spans="8:8">
      <c r="H63480" s="680" t="s">
        <v>6153</v>
      </c>
    </row>
    <row r="63481" spans="8:8">
      <c r="H63481" s="680" t="s">
        <v>6153</v>
      </c>
    </row>
    <row r="63482" spans="8:8">
      <c r="H63482" s="680" t="s">
        <v>6153</v>
      </c>
    </row>
    <row r="63483" spans="8:8">
      <c r="H63483" s="680" t="s">
        <v>6153</v>
      </c>
    </row>
    <row r="63484" spans="8:8">
      <c r="H63484" s="680" t="s">
        <v>6153</v>
      </c>
    </row>
    <row r="63485" spans="8:8">
      <c r="H63485" s="680" t="s">
        <v>6153</v>
      </c>
    </row>
    <row r="63486" spans="8:8">
      <c r="H63486" s="680" t="s">
        <v>6153</v>
      </c>
    </row>
    <row r="63487" spans="8:8">
      <c r="H63487" s="680" t="s">
        <v>6153</v>
      </c>
    </row>
    <row r="63488" spans="8:8">
      <c r="H63488" s="680" t="s">
        <v>6153</v>
      </c>
    </row>
    <row r="63489" spans="8:8">
      <c r="H63489" s="680" t="s">
        <v>6153</v>
      </c>
    </row>
    <row r="63490" spans="8:8">
      <c r="H63490" s="680" t="s">
        <v>6153</v>
      </c>
    </row>
    <row r="63491" spans="8:8">
      <c r="H63491" s="680" t="s">
        <v>6153</v>
      </c>
    </row>
    <row r="63492" spans="8:8">
      <c r="H63492" s="680" t="s">
        <v>6153</v>
      </c>
    </row>
    <row r="63493" spans="8:8">
      <c r="H63493" s="680" t="s">
        <v>6153</v>
      </c>
    </row>
    <row r="63494" spans="8:8">
      <c r="H63494" s="680" t="s">
        <v>6153</v>
      </c>
    </row>
    <row r="63495" spans="8:8">
      <c r="H63495" s="680" t="s">
        <v>6153</v>
      </c>
    </row>
    <row r="63496" spans="8:8">
      <c r="H63496" s="680" t="s">
        <v>6153</v>
      </c>
    </row>
    <row r="63497" spans="8:8">
      <c r="H63497" s="680" t="s">
        <v>6153</v>
      </c>
    </row>
    <row r="63498" spans="8:8">
      <c r="H63498" s="680" t="s">
        <v>6153</v>
      </c>
    </row>
    <row r="63499" spans="8:8">
      <c r="H63499" s="680" t="s">
        <v>6153</v>
      </c>
    </row>
    <row r="63500" spans="8:8">
      <c r="H63500" s="680" t="s">
        <v>6153</v>
      </c>
    </row>
    <row r="63501" spans="8:8">
      <c r="H63501" s="680" t="s">
        <v>6153</v>
      </c>
    </row>
    <row r="63502" spans="8:8">
      <c r="H63502" s="680" t="s">
        <v>6153</v>
      </c>
    </row>
    <row r="63503" spans="8:8">
      <c r="H63503" s="680" t="s">
        <v>6153</v>
      </c>
    </row>
    <row r="63504" spans="8:8">
      <c r="H63504" s="680" t="s">
        <v>6153</v>
      </c>
    </row>
    <row r="63505" spans="8:8">
      <c r="H63505" s="680" t="s">
        <v>6153</v>
      </c>
    </row>
    <row r="63506" spans="8:8">
      <c r="H63506" s="680" t="s">
        <v>6153</v>
      </c>
    </row>
    <row r="63507" spans="8:8">
      <c r="H63507" s="680" t="s">
        <v>6153</v>
      </c>
    </row>
    <row r="63508" spans="8:8">
      <c r="H63508" s="680" t="s">
        <v>6153</v>
      </c>
    </row>
    <row r="63509" spans="8:8">
      <c r="H63509" s="680" t="s">
        <v>6153</v>
      </c>
    </row>
    <row r="63510" spans="8:8">
      <c r="H63510" s="680" t="s">
        <v>6153</v>
      </c>
    </row>
    <row r="63511" spans="8:8">
      <c r="H63511" s="680" t="s">
        <v>6153</v>
      </c>
    </row>
    <row r="63512" spans="8:8">
      <c r="H63512" s="680" t="s">
        <v>6153</v>
      </c>
    </row>
    <row r="63513" spans="8:8">
      <c r="H63513" s="680" t="s">
        <v>6153</v>
      </c>
    </row>
    <row r="63514" spans="8:8">
      <c r="H63514" s="680" t="s">
        <v>6153</v>
      </c>
    </row>
    <row r="63515" spans="8:8">
      <c r="H63515" s="680" t="s">
        <v>6153</v>
      </c>
    </row>
    <row r="63516" spans="8:8">
      <c r="H63516" s="680" t="s">
        <v>6153</v>
      </c>
    </row>
    <row r="63517" spans="8:8">
      <c r="H63517" s="680" t="s">
        <v>6153</v>
      </c>
    </row>
    <row r="63518" spans="8:8">
      <c r="H63518" s="680" t="s">
        <v>6153</v>
      </c>
    </row>
    <row r="63519" spans="8:8">
      <c r="H63519" s="680" t="s">
        <v>6153</v>
      </c>
    </row>
    <row r="63520" spans="8:8">
      <c r="H63520" s="680" t="s">
        <v>6153</v>
      </c>
    </row>
    <row r="63521" spans="8:8">
      <c r="H63521" s="680" t="s">
        <v>6153</v>
      </c>
    </row>
    <row r="63522" spans="8:8">
      <c r="H63522" s="680" t="s">
        <v>6153</v>
      </c>
    </row>
    <row r="63523" spans="8:8">
      <c r="H63523" s="680" t="s">
        <v>6153</v>
      </c>
    </row>
    <row r="63524" spans="8:8">
      <c r="H63524" s="680" t="s">
        <v>6153</v>
      </c>
    </row>
    <row r="63525" spans="8:8">
      <c r="H63525" s="680" t="s">
        <v>6153</v>
      </c>
    </row>
    <row r="63526" spans="8:8">
      <c r="H63526" s="680" t="s">
        <v>6153</v>
      </c>
    </row>
    <row r="63527" spans="8:8">
      <c r="H63527" s="680" t="s">
        <v>6153</v>
      </c>
    </row>
    <row r="63528" spans="8:8">
      <c r="H63528" s="680" t="s">
        <v>6153</v>
      </c>
    </row>
    <row r="63529" spans="8:8">
      <c r="H63529" s="680" t="s">
        <v>6153</v>
      </c>
    </row>
    <row r="63530" spans="8:8">
      <c r="H63530" s="680" t="s">
        <v>6153</v>
      </c>
    </row>
    <row r="63531" spans="8:8">
      <c r="H63531" s="680" t="s">
        <v>6153</v>
      </c>
    </row>
    <row r="63532" spans="8:8">
      <c r="H63532" s="680" t="s">
        <v>6153</v>
      </c>
    </row>
    <row r="63533" spans="8:8">
      <c r="H63533" s="680" t="s">
        <v>6153</v>
      </c>
    </row>
    <row r="63534" spans="8:8">
      <c r="H63534" s="680" t="s">
        <v>6153</v>
      </c>
    </row>
    <row r="63535" spans="8:8">
      <c r="H63535" s="680" t="s">
        <v>6153</v>
      </c>
    </row>
    <row r="63536" spans="8:8">
      <c r="H63536" s="680" t="s">
        <v>6153</v>
      </c>
    </row>
    <row r="63537" spans="8:8">
      <c r="H63537" s="680" t="s">
        <v>6153</v>
      </c>
    </row>
    <row r="63538" spans="8:8">
      <c r="H63538" s="680" t="s">
        <v>6153</v>
      </c>
    </row>
    <row r="63539" spans="8:8">
      <c r="H63539" s="680" t="s">
        <v>6153</v>
      </c>
    </row>
    <row r="63540" spans="8:8">
      <c r="H63540" s="680" t="s">
        <v>6153</v>
      </c>
    </row>
    <row r="63541" spans="8:8">
      <c r="H63541" s="680" t="s">
        <v>6153</v>
      </c>
    </row>
    <row r="63542" spans="8:8">
      <c r="H63542" s="680" t="s">
        <v>6153</v>
      </c>
    </row>
    <row r="63543" spans="8:8">
      <c r="H63543" s="680" t="s">
        <v>6153</v>
      </c>
    </row>
    <row r="63544" spans="8:8">
      <c r="H63544" s="680" t="s">
        <v>6153</v>
      </c>
    </row>
    <row r="63545" spans="8:8">
      <c r="H63545" s="680" t="s">
        <v>6153</v>
      </c>
    </row>
    <row r="63546" spans="8:8">
      <c r="H63546" s="680" t="s">
        <v>6153</v>
      </c>
    </row>
    <row r="63547" spans="8:8">
      <c r="H63547" s="680" t="s">
        <v>6153</v>
      </c>
    </row>
    <row r="63548" spans="8:8">
      <c r="H63548" s="680" t="s">
        <v>6153</v>
      </c>
    </row>
    <row r="63549" spans="8:8">
      <c r="H63549" s="680" t="s">
        <v>6153</v>
      </c>
    </row>
    <row r="63550" spans="8:8">
      <c r="H63550" s="680" t="s">
        <v>6153</v>
      </c>
    </row>
    <row r="63551" spans="8:8">
      <c r="H63551" s="680" t="s">
        <v>6153</v>
      </c>
    </row>
    <row r="63552" spans="8:8">
      <c r="H63552" s="680" t="s">
        <v>6153</v>
      </c>
    </row>
    <row r="63553" spans="8:8">
      <c r="H63553" s="680" t="s">
        <v>6153</v>
      </c>
    </row>
    <row r="63554" spans="8:8">
      <c r="H63554" s="680" t="s">
        <v>6153</v>
      </c>
    </row>
    <row r="63555" spans="8:8">
      <c r="H63555" s="680" t="s">
        <v>6153</v>
      </c>
    </row>
    <row r="63556" spans="8:8">
      <c r="H63556" s="680" t="s">
        <v>6153</v>
      </c>
    </row>
    <row r="63557" spans="8:8">
      <c r="H63557" s="680" t="s">
        <v>6153</v>
      </c>
    </row>
    <row r="63558" spans="8:8">
      <c r="H63558" s="680" t="s">
        <v>6153</v>
      </c>
    </row>
    <row r="63559" spans="8:8">
      <c r="H63559" s="680" t="s">
        <v>6153</v>
      </c>
    </row>
    <row r="63560" spans="8:8">
      <c r="H63560" s="680" t="s">
        <v>6153</v>
      </c>
    </row>
    <row r="63561" spans="8:8">
      <c r="H63561" s="680" t="s">
        <v>6153</v>
      </c>
    </row>
    <row r="63562" spans="8:8">
      <c r="H63562" s="680" t="s">
        <v>6153</v>
      </c>
    </row>
    <row r="63563" spans="8:8">
      <c r="H63563" s="680" t="s">
        <v>6153</v>
      </c>
    </row>
    <row r="63564" spans="8:8">
      <c r="H63564" s="680" t="s">
        <v>6153</v>
      </c>
    </row>
    <row r="63565" spans="8:8">
      <c r="H63565" s="680" t="s">
        <v>6153</v>
      </c>
    </row>
    <row r="63566" spans="8:8">
      <c r="H63566" s="680" t="s">
        <v>6153</v>
      </c>
    </row>
    <row r="63567" spans="8:8">
      <c r="H63567" s="680" t="s">
        <v>6153</v>
      </c>
    </row>
    <row r="63568" spans="8:8">
      <c r="H63568" s="680" t="s">
        <v>6153</v>
      </c>
    </row>
    <row r="63569" spans="8:8">
      <c r="H63569" s="680" t="s">
        <v>6153</v>
      </c>
    </row>
    <row r="63570" spans="8:8">
      <c r="H63570" s="680" t="s">
        <v>6153</v>
      </c>
    </row>
    <row r="63571" spans="8:8">
      <c r="H63571" s="680" t="s">
        <v>6153</v>
      </c>
    </row>
    <row r="63572" spans="8:8">
      <c r="H63572" s="680" t="s">
        <v>6153</v>
      </c>
    </row>
    <row r="63573" spans="8:8">
      <c r="H63573" s="680" t="s">
        <v>6153</v>
      </c>
    </row>
    <row r="63574" spans="8:8">
      <c r="H63574" s="680" t="s">
        <v>6153</v>
      </c>
    </row>
    <row r="63575" spans="8:8">
      <c r="H63575" s="680" t="s">
        <v>6153</v>
      </c>
    </row>
    <row r="63576" spans="8:8">
      <c r="H63576" s="680" t="s">
        <v>6153</v>
      </c>
    </row>
    <row r="63577" spans="8:8">
      <c r="H63577" s="680" t="s">
        <v>6153</v>
      </c>
    </row>
    <row r="63578" spans="8:8">
      <c r="H63578" s="680" t="s">
        <v>6153</v>
      </c>
    </row>
    <row r="63579" spans="8:8">
      <c r="H63579" s="680" t="s">
        <v>6153</v>
      </c>
    </row>
    <row r="63580" spans="8:8">
      <c r="H63580" s="680" t="s">
        <v>6153</v>
      </c>
    </row>
    <row r="63581" spans="8:8">
      <c r="H63581" s="680" t="s">
        <v>6153</v>
      </c>
    </row>
    <row r="63582" spans="8:8">
      <c r="H63582" s="680" t="s">
        <v>6153</v>
      </c>
    </row>
    <row r="63583" spans="8:8">
      <c r="H63583" s="680" t="s">
        <v>6153</v>
      </c>
    </row>
    <row r="63584" spans="8:8">
      <c r="H63584" s="680" t="s">
        <v>6153</v>
      </c>
    </row>
    <row r="63585" spans="8:8">
      <c r="H63585" s="680" t="s">
        <v>6153</v>
      </c>
    </row>
    <row r="63586" spans="8:8">
      <c r="H63586" s="680" t="s">
        <v>6153</v>
      </c>
    </row>
    <row r="63587" spans="8:8">
      <c r="H63587" s="680" t="s">
        <v>6153</v>
      </c>
    </row>
    <row r="63588" spans="8:8">
      <c r="H63588" s="680" t="s">
        <v>6153</v>
      </c>
    </row>
    <row r="63589" spans="8:8">
      <c r="H63589" s="680" t="s">
        <v>6153</v>
      </c>
    </row>
    <row r="63590" spans="8:8">
      <c r="H63590" s="680" t="s">
        <v>6153</v>
      </c>
    </row>
    <row r="63591" spans="8:8">
      <c r="H63591" s="680" t="s">
        <v>6153</v>
      </c>
    </row>
    <row r="63592" spans="8:8">
      <c r="H63592" s="680" t="s">
        <v>6153</v>
      </c>
    </row>
    <row r="63593" spans="8:8">
      <c r="H63593" s="680" t="s">
        <v>6153</v>
      </c>
    </row>
    <row r="63594" spans="8:8">
      <c r="H63594" s="680" t="s">
        <v>6153</v>
      </c>
    </row>
    <row r="63595" spans="8:8">
      <c r="H63595" s="680" t="s">
        <v>6153</v>
      </c>
    </row>
    <row r="63596" spans="8:8">
      <c r="H63596" s="680" t="s">
        <v>6153</v>
      </c>
    </row>
    <row r="63597" spans="8:8">
      <c r="H63597" s="680" t="s">
        <v>6153</v>
      </c>
    </row>
    <row r="63598" spans="8:8">
      <c r="H63598" s="680" t="s">
        <v>6153</v>
      </c>
    </row>
    <row r="63599" spans="8:8">
      <c r="H63599" s="680" t="s">
        <v>6153</v>
      </c>
    </row>
    <row r="63600" spans="8:8">
      <c r="H63600" s="680" t="s">
        <v>6153</v>
      </c>
    </row>
    <row r="63601" spans="8:8">
      <c r="H63601" s="680" t="s">
        <v>6153</v>
      </c>
    </row>
    <row r="63602" spans="8:8">
      <c r="H63602" s="680" t="s">
        <v>6153</v>
      </c>
    </row>
    <row r="63603" spans="8:8">
      <c r="H63603" s="680" t="s">
        <v>6153</v>
      </c>
    </row>
    <row r="63604" spans="8:8">
      <c r="H63604" s="680" t="s">
        <v>6153</v>
      </c>
    </row>
    <row r="63605" spans="8:8">
      <c r="H63605" s="680" t="s">
        <v>6153</v>
      </c>
    </row>
    <row r="63606" spans="8:8">
      <c r="H63606" s="680" t="s">
        <v>6153</v>
      </c>
    </row>
    <row r="63607" spans="8:8">
      <c r="H63607" s="680" t="s">
        <v>6153</v>
      </c>
    </row>
    <row r="63608" spans="8:8">
      <c r="H63608" s="680" t="s">
        <v>6153</v>
      </c>
    </row>
    <row r="63609" spans="8:8">
      <c r="H63609" s="680" t="s">
        <v>6153</v>
      </c>
    </row>
    <row r="63610" spans="8:8">
      <c r="H63610" s="680" t="s">
        <v>6153</v>
      </c>
    </row>
    <row r="63611" spans="8:8">
      <c r="H63611" s="680" t="s">
        <v>6153</v>
      </c>
    </row>
    <row r="63612" spans="8:8">
      <c r="H63612" s="680" t="s">
        <v>6153</v>
      </c>
    </row>
    <row r="63613" spans="8:8">
      <c r="H63613" s="680" t="s">
        <v>6153</v>
      </c>
    </row>
    <row r="63614" spans="8:8">
      <c r="H63614" s="680" t="s">
        <v>6153</v>
      </c>
    </row>
    <row r="63615" spans="8:8">
      <c r="H63615" s="680" t="s">
        <v>6153</v>
      </c>
    </row>
    <row r="63616" spans="8:8">
      <c r="H63616" s="680" t="s">
        <v>6153</v>
      </c>
    </row>
    <row r="63617" spans="8:8">
      <c r="H63617" s="680" t="s">
        <v>6153</v>
      </c>
    </row>
    <row r="63618" spans="8:8">
      <c r="H63618" s="680" t="s">
        <v>6153</v>
      </c>
    </row>
    <row r="63619" spans="8:8">
      <c r="H63619" s="680" t="s">
        <v>6153</v>
      </c>
    </row>
    <row r="63620" spans="8:8">
      <c r="H63620" s="680" t="s">
        <v>6153</v>
      </c>
    </row>
    <row r="63621" spans="8:8">
      <c r="H63621" s="680" t="s">
        <v>6153</v>
      </c>
    </row>
    <row r="63622" spans="8:8">
      <c r="H63622" s="680" t="s">
        <v>6153</v>
      </c>
    </row>
    <row r="63623" spans="8:8">
      <c r="H63623" s="680" t="s">
        <v>6153</v>
      </c>
    </row>
    <row r="63624" spans="8:8">
      <c r="H63624" s="680" t="s">
        <v>6153</v>
      </c>
    </row>
    <row r="63625" spans="8:8">
      <c r="H63625" s="680" t="s">
        <v>6153</v>
      </c>
    </row>
    <row r="63626" spans="8:8">
      <c r="H63626" s="680" t="s">
        <v>6153</v>
      </c>
    </row>
    <row r="63627" spans="8:8">
      <c r="H63627" s="680" t="s">
        <v>6153</v>
      </c>
    </row>
    <row r="63628" spans="8:8">
      <c r="H63628" s="680" t="s">
        <v>6153</v>
      </c>
    </row>
    <row r="63629" spans="8:8">
      <c r="H63629" s="680" t="s">
        <v>6153</v>
      </c>
    </row>
    <row r="63630" spans="8:8">
      <c r="H63630" s="680" t="s">
        <v>6153</v>
      </c>
    </row>
    <row r="63631" spans="8:8">
      <c r="H63631" s="680" t="s">
        <v>6153</v>
      </c>
    </row>
    <row r="63632" spans="8:8">
      <c r="H63632" s="680" t="s">
        <v>6153</v>
      </c>
    </row>
    <row r="63633" spans="8:8">
      <c r="H63633" s="680" t="s">
        <v>6153</v>
      </c>
    </row>
    <row r="63634" spans="8:8">
      <c r="H63634" s="680" t="s">
        <v>6153</v>
      </c>
    </row>
    <row r="63635" spans="8:8">
      <c r="H63635" s="680" t="s">
        <v>6153</v>
      </c>
    </row>
    <row r="63636" spans="8:8">
      <c r="H63636" s="680" t="s">
        <v>6153</v>
      </c>
    </row>
    <row r="63637" spans="8:8">
      <c r="H63637" s="680" t="s">
        <v>6153</v>
      </c>
    </row>
    <row r="63638" spans="8:8">
      <c r="H63638" s="680" t="s">
        <v>6153</v>
      </c>
    </row>
    <row r="63639" spans="8:8">
      <c r="H63639" s="680" t="s">
        <v>6153</v>
      </c>
    </row>
    <row r="63640" spans="8:8">
      <c r="H63640" s="680" t="s">
        <v>6153</v>
      </c>
    </row>
    <row r="63641" spans="8:8">
      <c r="H63641" s="680" t="s">
        <v>6153</v>
      </c>
    </row>
    <row r="63642" spans="8:8">
      <c r="H63642" s="680" t="s">
        <v>6153</v>
      </c>
    </row>
    <row r="63643" spans="8:8">
      <c r="H63643" s="680" t="s">
        <v>6153</v>
      </c>
    </row>
    <row r="63644" spans="8:8">
      <c r="H63644" s="680" t="s">
        <v>6153</v>
      </c>
    </row>
    <row r="63645" spans="8:8">
      <c r="H63645" s="680" t="s">
        <v>6153</v>
      </c>
    </row>
    <row r="63646" spans="8:8">
      <c r="H63646" s="680" t="s">
        <v>6153</v>
      </c>
    </row>
    <row r="63647" spans="8:8">
      <c r="H63647" s="680" t="s">
        <v>6153</v>
      </c>
    </row>
    <row r="63648" spans="8:8">
      <c r="H63648" s="680" t="s">
        <v>6153</v>
      </c>
    </row>
    <row r="63649" spans="8:8">
      <c r="H63649" s="680" t="s">
        <v>6153</v>
      </c>
    </row>
    <row r="63650" spans="8:8">
      <c r="H63650" s="680" t="s">
        <v>6153</v>
      </c>
    </row>
    <row r="63651" spans="8:8">
      <c r="H63651" s="680" t="s">
        <v>6153</v>
      </c>
    </row>
    <row r="63652" spans="8:8">
      <c r="H63652" s="680" t="s">
        <v>6153</v>
      </c>
    </row>
    <row r="63653" spans="8:8">
      <c r="H63653" s="680" t="s">
        <v>6153</v>
      </c>
    </row>
    <row r="63654" spans="8:8">
      <c r="H63654" s="680" t="s">
        <v>6153</v>
      </c>
    </row>
    <row r="63655" spans="8:8">
      <c r="H63655" s="680" t="s">
        <v>6153</v>
      </c>
    </row>
    <row r="63656" spans="8:8">
      <c r="H63656" s="680" t="s">
        <v>6153</v>
      </c>
    </row>
    <row r="63657" spans="8:8">
      <c r="H63657" s="680" t="s">
        <v>6153</v>
      </c>
    </row>
    <row r="63658" spans="8:8">
      <c r="H63658" s="680" t="s">
        <v>6153</v>
      </c>
    </row>
    <row r="63659" spans="8:8">
      <c r="H63659" s="680" t="s">
        <v>6153</v>
      </c>
    </row>
    <row r="63660" spans="8:8">
      <c r="H63660" s="680" t="s">
        <v>6153</v>
      </c>
    </row>
    <row r="63661" spans="8:8">
      <c r="H63661" s="680" t="s">
        <v>6153</v>
      </c>
    </row>
    <row r="63662" spans="8:8">
      <c r="H63662" s="680" t="s">
        <v>6153</v>
      </c>
    </row>
    <row r="63663" spans="8:8">
      <c r="H63663" s="680" t="s">
        <v>6153</v>
      </c>
    </row>
    <row r="63664" spans="8:8">
      <c r="H63664" s="680" t="s">
        <v>6153</v>
      </c>
    </row>
    <row r="63665" spans="8:8">
      <c r="H63665" s="680" t="s">
        <v>6153</v>
      </c>
    </row>
    <row r="63666" spans="8:8">
      <c r="H63666" s="680" t="s">
        <v>6153</v>
      </c>
    </row>
    <row r="63667" spans="8:8">
      <c r="H63667" s="680" t="s">
        <v>6153</v>
      </c>
    </row>
    <row r="63668" spans="8:8">
      <c r="H63668" s="680" t="s">
        <v>6153</v>
      </c>
    </row>
    <row r="63669" spans="8:8">
      <c r="H63669" s="680" t="s">
        <v>6153</v>
      </c>
    </row>
    <row r="63670" spans="8:8">
      <c r="H63670" s="680" t="s">
        <v>6153</v>
      </c>
    </row>
    <row r="63671" spans="8:8">
      <c r="H63671" s="680" t="s">
        <v>6153</v>
      </c>
    </row>
    <row r="63672" spans="8:8">
      <c r="H63672" s="680" t="s">
        <v>6153</v>
      </c>
    </row>
    <row r="63673" spans="8:8">
      <c r="H63673" s="680" t="s">
        <v>6153</v>
      </c>
    </row>
    <row r="63674" spans="8:8">
      <c r="H63674" s="680" t="s">
        <v>6153</v>
      </c>
    </row>
    <row r="63675" spans="8:8">
      <c r="H63675" s="680" t="s">
        <v>6153</v>
      </c>
    </row>
    <row r="63676" spans="8:8">
      <c r="H63676" s="680" t="s">
        <v>6153</v>
      </c>
    </row>
    <row r="63677" spans="8:8">
      <c r="H63677" s="680" t="s">
        <v>6153</v>
      </c>
    </row>
    <row r="63678" spans="8:8">
      <c r="H63678" s="680" t="s">
        <v>6153</v>
      </c>
    </row>
    <row r="63679" spans="8:8">
      <c r="H63679" s="680" t="s">
        <v>6153</v>
      </c>
    </row>
    <row r="63680" spans="8:8">
      <c r="H63680" s="680" t="s">
        <v>6153</v>
      </c>
    </row>
    <row r="63681" spans="8:8">
      <c r="H63681" s="680" t="s">
        <v>6153</v>
      </c>
    </row>
    <row r="63682" spans="8:8">
      <c r="H63682" s="680" t="s">
        <v>6153</v>
      </c>
    </row>
    <row r="63683" spans="8:8">
      <c r="H63683" s="680" t="s">
        <v>6153</v>
      </c>
    </row>
    <row r="63684" spans="8:8">
      <c r="H63684" s="680" t="s">
        <v>6153</v>
      </c>
    </row>
    <row r="63685" spans="8:8">
      <c r="H63685" s="680" t="s">
        <v>6153</v>
      </c>
    </row>
    <row r="63686" spans="8:8">
      <c r="H63686" s="680" t="s">
        <v>6153</v>
      </c>
    </row>
    <row r="63687" spans="8:8">
      <c r="H63687" s="680" t="s">
        <v>6153</v>
      </c>
    </row>
    <row r="63688" spans="8:8">
      <c r="H63688" s="680" t="s">
        <v>6153</v>
      </c>
    </row>
    <row r="63689" spans="8:8">
      <c r="H63689" s="680" t="s">
        <v>6153</v>
      </c>
    </row>
    <row r="63690" spans="8:8">
      <c r="H63690" s="680" t="s">
        <v>6153</v>
      </c>
    </row>
    <row r="63691" spans="8:8">
      <c r="H63691" s="680" t="s">
        <v>6153</v>
      </c>
    </row>
    <row r="63692" spans="8:8">
      <c r="H63692" s="680" t="s">
        <v>6153</v>
      </c>
    </row>
    <row r="63693" spans="8:8">
      <c r="H63693" s="680" t="s">
        <v>6153</v>
      </c>
    </row>
    <row r="63694" spans="8:8">
      <c r="H63694" s="680" t="s">
        <v>6153</v>
      </c>
    </row>
    <row r="63695" spans="8:8">
      <c r="H63695" s="680" t="s">
        <v>6153</v>
      </c>
    </row>
    <row r="63696" spans="8:8">
      <c r="H63696" s="680" t="s">
        <v>6153</v>
      </c>
    </row>
    <row r="63697" spans="8:8">
      <c r="H63697" s="680" t="s">
        <v>6153</v>
      </c>
    </row>
    <row r="63698" spans="8:8">
      <c r="H63698" s="680" t="s">
        <v>6153</v>
      </c>
    </row>
    <row r="63699" spans="8:8">
      <c r="H63699" s="680" t="s">
        <v>6153</v>
      </c>
    </row>
    <row r="63700" spans="8:8">
      <c r="H63700" s="680" t="s">
        <v>6153</v>
      </c>
    </row>
    <row r="63701" spans="8:8">
      <c r="H63701" s="680" t="s">
        <v>6153</v>
      </c>
    </row>
    <row r="63702" spans="8:8">
      <c r="H63702" s="680" t="s">
        <v>6153</v>
      </c>
    </row>
    <row r="63703" spans="8:8">
      <c r="H63703" s="680" t="s">
        <v>6153</v>
      </c>
    </row>
    <row r="63704" spans="8:8">
      <c r="H63704" s="680" t="s">
        <v>6153</v>
      </c>
    </row>
    <row r="63705" spans="8:8">
      <c r="H63705" s="680" t="s">
        <v>6153</v>
      </c>
    </row>
    <row r="63706" spans="8:8">
      <c r="H63706" s="680" t="s">
        <v>6153</v>
      </c>
    </row>
    <row r="63707" spans="8:8">
      <c r="H63707" s="680" t="s">
        <v>6153</v>
      </c>
    </row>
    <row r="63708" spans="8:8">
      <c r="H63708" s="680" t="s">
        <v>6153</v>
      </c>
    </row>
    <row r="63709" spans="8:8">
      <c r="H63709" s="680" t="s">
        <v>6153</v>
      </c>
    </row>
    <row r="63710" spans="8:8">
      <c r="H63710" s="680" t="s">
        <v>6153</v>
      </c>
    </row>
    <row r="63711" spans="8:8">
      <c r="H63711" s="680" t="s">
        <v>6153</v>
      </c>
    </row>
    <row r="63712" spans="8:8">
      <c r="H63712" s="680" t="s">
        <v>6153</v>
      </c>
    </row>
    <row r="63713" spans="8:8">
      <c r="H63713" s="680" t="s">
        <v>6153</v>
      </c>
    </row>
    <row r="63714" spans="8:8">
      <c r="H63714" s="680" t="s">
        <v>6153</v>
      </c>
    </row>
    <row r="63715" spans="8:8">
      <c r="H63715" s="680" t="s">
        <v>6153</v>
      </c>
    </row>
    <row r="63716" spans="8:8">
      <c r="H63716" s="680" t="s">
        <v>6153</v>
      </c>
    </row>
    <row r="63717" spans="8:8">
      <c r="H63717" s="680" t="s">
        <v>6153</v>
      </c>
    </row>
    <row r="63718" spans="8:8">
      <c r="H63718" s="680" t="s">
        <v>6153</v>
      </c>
    </row>
    <row r="63719" spans="8:8">
      <c r="H63719" s="680" t="s">
        <v>6153</v>
      </c>
    </row>
    <row r="63720" spans="8:8">
      <c r="H63720" s="680" t="s">
        <v>6153</v>
      </c>
    </row>
    <row r="63721" spans="8:8">
      <c r="H63721" s="680" t="s">
        <v>6153</v>
      </c>
    </row>
    <row r="63722" spans="8:8">
      <c r="H63722" s="680" t="s">
        <v>6153</v>
      </c>
    </row>
    <row r="63723" spans="8:8">
      <c r="H63723" s="680" t="s">
        <v>6153</v>
      </c>
    </row>
    <row r="63724" spans="8:8">
      <c r="H63724" s="680" t="s">
        <v>6153</v>
      </c>
    </row>
    <row r="63725" spans="8:8">
      <c r="H63725" s="680" t="s">
        <v>6153</v>
      </c>
    </row>
    <row r="63726" spans="8:8">
      <c r="H63726" s="680" t="s">
        <v>6153</v>
      </c>
    </row>
    <row r="63727" spans="8:8">
      <c r="H63727" s="680" t="s">
        <v>6153</v>
      </c>
    </row>
    <row r="63728" spans="8:8">
      <c r="H63728" s="680" t="s">
        <v>6153</v>
      </c>
    </row>
    <row r="63729" spans="8:8">
      <c r="H63729" s="680" t="s">
        <v>6153</v>
      </c>
    </row>
    <row r="63730" spans="8:8">
      <c r="H63730" s="680" t="s">
        <v>6153</v>
      </c>
    </row>
    <row r="63731" spans="8:8">
      <c r="H63731" s="680" t="s">
        <v>6153</v>
      </c>
    </row>
    <row r="63732" spans="8:8">
      <c r="H63732" s="680" t="s">
        <v>6153</v>
      </c>
    </row>
    <row r="63733" spans="8:8">
      <c r="H63733" s="680" t="s">
        <v>6153</v>
      </c>
    </row>
    <row r="63734" spans="8:8">
      <c r="H63734" s="680" t="s">
        <v>6153</v>
      </c>
    </row>
    <row r="63735" spans="8:8">
      <c r="H63735" s="680" t="s">
        <v>6153</v>
      </c>
    </row>
    <row r="63736" spans="8:8">
      <c r="H63736" s="680" t="s">
        <v>6153</v>
      </c>
    </row>
    <row r="63737" spans="8:8">
      <c r="H63737" s="680" t="s">
        <v>6153</v>
      </c>
    </row>
    <row r="63738" spans="8:8">
      <c r="H63738" s="680" t="s">
        <v>6153</v>
      </c>
    </row>
    <row r="63739" spans="8:8">
      <c r="H63739" s="680" t="s">
        <v>6153</v>
      </c>
    </row>
    <row r="63740" spans="8:8">
      <c r="H63740" s="680" t="s">
        <v>6153</v>
      </c>
    </row>
    <row r="63741" spans="8:8">
      <c r="H63741" s="680" t="s">
        <v>6153</v>
      </c>
    </row>
    <row r="63742" spans="8:8">
      <c r="H63742" s="680" t="s">
        <v>6153</v>
      </c>
    </row>
    <row r="63743" spans="8:8">
      <c r="H63743" s="680" t="s">
        <v>6153</v>
      </c>
    </row>
    <row r="63744" spans="8:8">
      <c r="H63744" s="680" t="s">
        <v>6153</v>
      </c>
    </row>
    <row r="63745" spans="8:8">
      <c r="H63745" s="680" t="s">
        <v>6153</v>
      </c>
    </row>
    <row r="63746" spans="8:8">
      <c r="H63746" s="680" t="s">
        <v>6153</v>
      </c>
    </row>
    <row r="63747" spans="8:8">
      <c r="H63747" s="680" t="s">
        <v>6153</v>
      </c>
    </row>
    <row r="63748" spans="8:8">
      <c r="H63748" s="680" t="s">
        <v>6153</v>
      </c>
    </row>
    <row r="63749" spans="8:8">
      <c r="H63749" s="680" t="s">
        <v>6153</v>
      </c>
    </row>
    <row r="63750" spans="8:8">
      <c r="H63750" s="680" t="s">
        <v>6153</v>
      </c>
    </row>
    <row r="63751" spans="8:8">
      <c r="H63751" s="680" t="s">
        <v>6153</v>
      </c>
    </row>
    <row r="63752" spans="8:8">
      <c r="H63752" s="680" t="s">
        <v>6153</v>
      </c>
    </row>
    <row r="63753" spans="8:8">
      <c r="H63753" s="680" t="s">
        <v>6153</v>
      </c>
    </row>
    <row r="63754" spans="8:8">
      <c r="H63754" s="680" t="s">
        <v>6153</v>
      </c>
    </row>
    <row r="63755" spans="8:8">
      <c r="H63755" s="680" t="s">
        <v>6153</v>
      </c>
    </row>
    <row r="63756" spans="8:8">
      <c r="H63756" s="680" t="s">
        <v>6153</v>
      </c>
    </row>
    <row r="63757" spans="8:8">
      <c r="H63757" s="680" t="s">
        <v>6153</v>
      </c>
    </row>
    <row r="63758" spans="8:8">
      <c r="H63758" s="680" t="s">
        <v>6153</v>
      </c>
    </row>
    <row r="63759" spans="8:8">
      <c r="H63759" s="680" t="s">
        <v>6153</v>
      </c>
    </row>
    <row r="63760" spans="8:8">
      <c r="H63760" s="680" t="s">
        <v>6153</v>
      </c>
    </row>
    <row r="63761" spans="8:8">
      <c r="H63761" s="680" t="s">
        <v>6153</v>
      </c>
    </row>
    <row r="63762" spans="8:8">
      <c r="H63762" s="680" t="s">
        <v>6153</v>
      </c>
    </row>
    <row r="63763" spans="8:8">
      <c r="H63763" s="680" t="s">
        <v>6153</v>
      </c>
    </row>
    <row r="63764" spans="8:8">
      <c r="H63764" s="680" t="s">
        <v>6153</v>
      </c>
    </row>
    <row r="63765" spans="8:8">
      <c r="H63765" s="680" t="s">
        <v>6153</v>
      </c>
    </row>
    <row r="63766" spans="8:8">
      <c r="H63766" s="680" t="s">
        <v>6153</v>
      </c>
    </row>
    <row r="63767" spans="8:8">
      <c r="H63767" s="680" t="s">
        <v>6153</v>
      </c>
    </row>
    <row r="63768" spans="8:8">
      <c r="H63768" s="680" t="s">
        <v>6153</v>
      </c>
    </row>
    <row r="63769" spans="8:8">
      <c r="H63769" s="680" t="s">
        <v>6153</v>
      </c>
    </row>
    <row r="63770" spans="8:8">
      <c r="H63770" s="680" t="s">
        <v>6153</v>
      </c>
    </row>
    <row r="63771" spans="8:8">
      <c r="H63771" s="680" t="s">
        <v>6153</v>
      </c>
    </row>
    <row r="63772" spans="8:8">
      <c r="H63772" s="680" t="s">
        <v>6153</v>
      </c>
    </row>
    <row r="63773" spans="8:8">
      <c r="H63773" s="680" t="s">
        <v>6153</v>
      </c>
    </row>
    <row r="63774" spans="8:8">
      <c r="H63774" s="680" t="s">
        <v>6153</v>
      </c>
    </row>
    <row r="63775" spans="8:8">
      <c r="H63775" s="680" t="s">
        <v>6153</v>
      </c>
    </row>
    <row r="63776" spans="8:8">
      <c r="H63776" s="680" t="s">
        <v>6153</v>
      </c>
    </row>
    <row r="63777" spans="8:8">
      <c r="H63777" s="680" t="s">
        <v>6153</v>
      </c>
    </row>
    <row r="63778" spans="8:8">
      <c r="H63778" s="680" t="s">
        <v>6153</v>
      </c>
    </row>
    <row r="63779" spans="8:8">
      <c r="H63779" s="680" t="s">
        <v>6153</v>
      </c>
    </row>
    <row r="63780" spans="8:8">
      <c r="H63780" s="680" t="s">
        <v>6153</v>
      </c>
    </row>
    <row r="63781" spans="8:8">
      <c r="H63781" s="680" t="s">
        <v>6153</v>
      </c>
    </row>
    <row r="63782" spans="8:8">
      <c r="H63782" s="680" t="s">
        <v>6153</v>
      </c>
    </row>
    <row r="63783" spans="8:8">
      <c r="H63783" s="680" t="s">
        <v>6153</v>
      </c>
    </row>
    <row r="63784" spans="8:8">
      <c r="H63784" s="680" t="s">
        <v>6153</v>
      </c>
    </row>
    <row r="63785" spans="8:8">
      <c r="H63785" s="680" t="s">
        <v>6153</v>
      </c>
    </row>
    <row r="63786" spans="8:8">
      <c r="H63786" s="680" t="s">
        <v>6153</v>
      </c>
    </row>
    <row r="63787" spans="8:8">
      <c r="H63787" s="680" t="s">
        <v>6153</v>
      </c>
    </row>
    <row r="63788" spans="8:8">
      <c r="H63788" s="680" t="s">
        <v>6153</v>
      </c>
    </row>
    <row r="63789" spans="8:8">
      <c r="H63789" s="680" t="s">
        <v>6153</v>
      </c>
    </row>
    <row r="63790" spans="8:8">
      <c r="H63790" s="680" t="s">
        <v>6153</v>
      </c>
    </row>
    <row r="63791" spans="8:8">
      <c r="H63791" s="680" t="s">
        <v>6153</v>
      </c>
    </row>
    <row r="63792" spans="8:8">
      <c r="H63792" s="680" t="s">
        <v>6153</v>
      </c>
    </row>
    <row r="63793" spans="8:8">
      <c r="H63793" s="680" t="s">
        <v>6153</v>
      </c>
    </row>
    <row r="63794" spans="8:8">
      <c r="H63794" s="680" t="s">
        <v>6153</v>
      </c>
    </row>
    <row r="63795" spans="8:8">
      <c r="H63795" s="680" t="s">
        <v>6153</v>
      </c>
    </row>
    <row r="63796" spans="8:8">
      <c r="H63796" s="680" t="s">
        <v>6153</v>
      </c>
    </row>
    <row r="63797" spans="8:8">
      <c r="H63797" s="680" t="s">
        <v>6153</v>
      </c>
    </row>
    <row r="63798" spans="8:8">
      <c r="H63798" s="680" t="s">
        <v>6153</v>
      </c>
    </row>
    <row r="63799" spans="8:8">
      <c r="H63799" s="680" t="s">
        <v>6153</v>
      </c>
    </row>
    <row r="63800" spans="8:8">
      <c r="H63800" s="680" t="s">
        <v>6153</v>
      </c>
    </row>
    <row r="63801" spans="8:8">
      <c r="H63801" s="680" t="s">
        <v>6153</v>
      </c>
    </row>
    <row r="63802" spans="8:8">
      <c r="H63802" s="680" t="s">
        <v>6153</v>
      </c>
    </row>
    <row r="63803" spans="8:8">
      <c r="H63803" s="680" t="s">
        <v>6153</v>
      </c>
    </row>
    <row r="63804" spans="8:8">
      <c r="H63804" s="680" t="s">
        <v>6153</v>
      </c>
    </row>
    <row r="63805" spans="8:8">
      <c r="H63805" s="680" t="s">
        <v>6153</v>
      </c>
    </row>
    <row r="63806" spans="8:8">
      <c r="H63806" s="680" t="s">
        <v>6153</v>
      </c>
    </row>
    <row r="63807" spans="8:8">
      <c r="H63807" s="680" t="s">
        <v>6153</v>
      </c>
    </row>
    <row r="63808" spans="8:8">
      <c r="H63808" s="680" t="s">
        <v>6153</v>
      </c>
    </row>
    <row r="63809" spans="8:8">
      <c r="H63809" s="680" t="s">
        <v>6153</v>
      </c>
    </row>
    <row r="63810" spans="8:8">
      <c r="H63810" s="680" t="s">
        <v>6153</v>
      </c>
    </row>
    <row r="63811" spans="8:8">
      <c r="H63811" s="680" t="s">
        <v>6153</v>
      </c>
    </row>
    <row r="63812" spans="8:8">
      <c r="H63812" s="680" t="s">
        <v>6153</v>
      </c>
    </row>
    <row r="63813" spans="8:8">
      <c r="H63813" s="680" t="s">
        <v>6153</v>
      </c>
    </row>
    <row r="63814" spans="8:8">
      <c r="H63814" s="680" t="s">
        <v>6153</v>
      </c>
    </row>
    <row r="63815" spans="8:8">
      <c r="H63815" s="680" t="s">
        <v>6153</v>
      </c>
    </row>
    <row r="63816" spans="8:8">
      <c r="H63816" s="680" t="s">
        <v>6153</v>
      </c>
    </row>
    <row r="63817" spans="8:8">
      <c r="H63817" s="680" t="s">
        <v>6153</v>
      </c>
    </row>
    <row r="63818" spans="8:8">
      <c r="H63818" s="680" t="s">
        <v>6153</v>
      </c>
    </row>
    <row r="63819" spans="8:8">
      <c r="H63819" s="680" t="s">
        <v>6153</v>
      </c>
    </row>
    <row r="63820" spans="8:8">
      <c r="H63820" s="680" t="s">
        <v>6153</v>
      </c>
    </row>
    <row r="63821" spans="8:8">
      <c r="H63821" s="680" t="s">
        <v>6153</v>
      </c>
    </row>
    <row r="63822" spans="8:8">
      <c r="H63822" s="680" t="s">
        <v>6153</v>
      </c>
    </row>
    <row r="63823" spans="8:8">
      <c r="H63823" s="680" t="s">
        <v>6153</v>
      </c>
    </row>
    <row r="63824" spans="8:8">
      <c r="H63824" s="680" t="s">
        <v>6153</v>
      </c>
    </row>
    <row r="63825" spans="8:8">
      <c r="H63825" s="680" t="s">
        <v>6153</v>
      </c>
    </row>
    <row r="63826" spans="8:8">
      <c r="H63826" s="680" t="s">
        <v>6153</v>
      </c>
    </row>
    <row r="63827" spans="8:8">
      <c r="H63827" s="680" t="s">
        <v>6153</v>
      </c>
    </row>
    <row r="63828" spans="8:8">
      <c r="H63828" s="680" t="s">
        <v>6153</v>
      </c>
    </row>
    <row r="63829" spans="8:8">
      <c r="H63829" s="680" t="s">
        <v>6153</v>
      </c>
    </row>
    <row r="63830" spans="8:8">
      <c r="H63830" s="680" t="s">
        <v>6153</v>
      </c>
    </row>
    <row r="63831" spans="8:8">
      <c r="H63831" s="680" t="s">
        <v>6153</v>
      </c>
    </row>
    <row r="63832" spans="8:8">
      <c r="H63832" s="680" t="s">
        <v>6153</v>
      </c>
    </row>
    <row r="63833" spans="8:8">
      <c r="H63833" s="680" t="s">
        <v>6153</v>
      </c>
    </row>
    <row r="63834" spans="8:8">
      <c r="H63834" s="680" t="s">
        <v>6153</v>
      </c>
    </row>
    <row r="63835" spans="8:8">
      <c r="H63835" s="680" t="s">
        <v>6153</v>
      </c>
    </row>
    <row r="63836" spans="8:8">
      <c r="H63836" s="680" t="s">
        <v>6153</v>
      </c>
    </row>
    <row r="63837" spans="8:8">
      <c r="H63837" s="680" t="s">
        <v>6153</v>
      </c>
    </row>
    <row r="63838" spans="8:8">
      <c r="H63838" s="680" t="s">
        <v>6153</v>
      </c>
    </row>
    <row r="63839" spans="8:8">
      <c r="H63839" s="680" t="s">
        <v>6153</v>
      </c>
    </row>
    <row r="63840" spans="8:8">
      <c r="H63840" s="680" t="s">
        <v>6153</v>
      </c>
    </row>
    <row r="63841" spans="8:8">
      <c r="H63841" s="680" t="s">
        <v>6153</v>
      </c>
    </row>
    <row r="63842" spans="8:8">
      <c r="H63842" s="680" t="s">
        <v>6153</v>
      </c>
    </row>
    <row r="63843" spans="8:8">
      <c r="H63843" s="680" t="s">
        <v>6153</v>
      </c>
    </row>
    <row r="63844" spans="8:8">
      <c r="H63844" s="680" t="s">
        <v>6153</v>
      </c>
    </row>
    <row r="63845" spans="8:8">
      <c r="H63845" s="680" t="s">
        <v>6153</v>
      </c>
    </row>
    <row r="63846" spans="8:8">
      <c r="H63846" s="680" t="s">
        <v>6153</v>
      </c>
    </row>
    <row r="63847" spans="8:8">
      <c r="H63847" s="680" t="s">
        <v>6153</v>
      </c>
    </row>
    <row r="63848" spans="8:8">
      <c r="H63848" s="680" t="s">
        <v>6153</v>
      </c>
    </row>
    <row r="63849" spans="8:8">
      <c r="H63849" s="680" t="s">
        <v>6153</v>
      </c>
    </row>
    <row r="63850" spans="8:8">
      <c r="H63850" s="680" t="s">
        <v>6153</v>
      </c>
    </row>
    <row r="63851" spans="8:8">
      <c r="H63851" s="680" t="s">
        <v>6153</v>
      </c>
    </row>
    <row r="63852" spans="8:8">
      <c r="H63852" s="680" t="s">
        <v>6153</v>
      </c>
    </row>
    <row r="63853" spans="8:8">
      <c r="H63853" s="680" t="s">
        <v>6153</v>
      </c>
    </row>
    <row r="63854" spans="8:8">
      <c r="H63854" s="680" t="s">
        <v>6153</v>
      </c>
    </row>
    <row r="63855" spans="8:8">
      <c r="H63855" s="680" t="s">
        <v>6153</v>
      </c>
    </row>
    <row r="63856" spans="8:8">
      <c r="H63856" s="680" t="s">
        <v>6153</v>
      </c>
    </row>
    <row r="63857" spans="8:8">
      <c r="H63857" s="680" t="s">
        <v>6153</v>
      </c>
    </row>
    <row r="63858" spans="8:8">
      <c r="H63858" s="680" t="s">
        <v>6153</v>
      </c>
    </row>
    <row r="63859" spans="8:8">
      <c r="H63859" s="680" t="s">
        <v>6153</v>
      </c>
    </row>
    <row r="63860" spans="8:8">
      <c r="H63860" s="680" t="s">
        <v>6153</v>
      </c>
    </row>
    <row r="63861" spans="8:8">
      <c r="H63861" s="680" t="s">
        <v>6153</v>
      </c>
    </row>
    <row r="63862" spans="8:8">
      <c r="H63862" s="680" t="s">
        <v>6153</v>
      </c>
    </row>
    <row r="63863" spans="8:8">
      <c r="H63863" s="680" t="s">
        <v>6153</v>
      </c>
    </row>
    <row r="63864" spans="8:8">
      <c r="H63864" s="680" t="s">
        <v>6153</v>
      </c>
    </row>
    <row r="63865" spans="8:8">
      <c r="H63865" s="680" t="s">
        <v>6153</v>
      </c>
    </row>
    <row r="63866" spans="8:8">
      <c r="H63866" s="680" t="s">
        <v>6153</v>
      </c>
    </row>
    <row r="63867" spans="8:8">
      <c r="H63867" s="680" t="s">
        <v>6153</v>
      </c>
    </row>
    <row r="63868" spans="8:8">
      <c r="H63868" s="680" t="s">
        <v>6153</v>
      </c>
    </row>
    <row r="63869" spans="8:8">
      <c r="H63869" s="680" t="s">
        <v>6153</v>
      </c>
    </row>
    <row r="63870" spans="8:8">
      <c r="H63870" s="680" t="s">
        <v>6153</v>
      </c>
    </row>
    <row r="63871" spans="8:8">
      <c r="H63871" s="680" t="s">
        <v>6153</v>
      </c>
    </row>
    <row r="63872" spans="8:8">
      <c r="H63872" s="680" t="s">
        <v>6153</v>
      </c>
    </row>
    <row r="63873" spans="8:8">
      <c r="H63873" s="680" t="s">
        <v>6153</v>
      </c>
    </row>
    <row r="63874" spans="8:8">
      <c r="H63874" s="680" t="s">
        <v>6153</v>
      </c>
    </row>
    <row r="63875" spans="8:8">
      <c r="H63875" s="680" t="s">
        <v>6153</v>
      </c>
    </row>
    <row r="63876" spans="8:8">
      <c r="H63876" s="680" t="s">
        <v>6153</v>
      </c>
    </row>
    <row r="63877" spans="8:8">
      <c r="H63877" s="680" t="s">
        <v>6153</v>
      </c>
    </row>
    <row r="63878" spans="8:8">
      <c r="H63878" s="680" t="s">
        <v>6153</v>
      </c>
    </row>
    <row r="63879" spans="8:8">
      <c r="H63879" s="680" t="s">
        <v>6153</v>
      </c>
    </row>
    <row r="63880" spans="8:8">
      <c r="H63880" s="680" t="s">
        <v>6153</v>
      </c>
    </row>
    <row r="63881" spans="8:8">
      <c r="H63881" s="680" t="s">
        <v>6153</v>
      </c>
    </row>
    <row r="63882" spans="8:8">
      <c r="H63882" s="680" t="s">
        <v>6153</v>
      </c>
    </row>
    <row r="63883" spans="8:8">
      <c r="H63883" s="680" t="s">
        <v>6153</v>
      </c>
    </row>
    <row r="63884" spans="8:8">
      <c r="H63884" s="680" t="s">
        <v>6153</v>
      </c>
    </row>
    <row r="63885" spans="8:8">
      <c r="H63885" s="680" t="s">
        <v>6153</v>
      </c>
    </row>
    <row r="63886" spans="8:8">
      <c r="H63886" s="680" t="s">
        <v>6153</v>
      </c>
    </row>
    <row r="63887" spans="8:8">
      <c r="H63887" s="680" t="s">
        <v>6153</v>
      </c>
    </row>
    <row r="63888" spans="8:8">
      <c r="H63888" s="680" t="s">
        <v>6153</v>
      </c>
    </row>
    <row r="63889" spans="8:8">
      <c r="H63889" s="680" t="s">
        <v>6153</v>
      </c>
    </row>
    <row r="63890" spans="8:8">
      <c r="H63890" s="680" t="s">
        <v>6153</v>
      </c>
    </row>
    <row r="63891" spans="8:8">
      <c r="H63891" s="680" t="s">
        <v>6153</v>
      </c>
    </row>
    <row r="63892" spans="8:8">
      <c r="H63892" s="680" t="s">
        <v>6153</v>
      </c>
    </row>
    <row r="63893" spans="8:8">
      <c r="H63893" s="680" t="s">
        <v>6153</v>
      </c>
    </row>
    <row r="63894" spans="8:8">
      <c r="H63894" s="680" t="s">
        <v>6153</v>
      </c>
    </row>
    <row r="63895" spans="8:8">
      <c r="H63895" s="680" t="s">
        <v>6153</v>
      </c>
    </row>
    <row r="63896" spans="8:8">
      <c r="H63896" s="680" t="s">
        <v>6153</v>
      </c>
    </row>
    <row r="63897" spans="8:8">
      <c r="H63897" s="680" t="s">
        <v>6153</v>
      </c>
    </row>
    <row r="63898" spans="8:8">
      <c r="H63898" s="680" t="s">
        <v>6153</v>
      </c>
    </row>
    <row r="63899" spans="8:8">
      <c r="H63899" s="680" t="s">
        <v>6153</v>
      </c>
    </row>
    <row r="63900" spans="8:8">
      <c r="H63900" s="680" t="s">
        <v>6153</v>
      </c>
    </row>
    <row r="63901" spans="8:8">
      <c r="H63901" s="680" t="s">
        <v>6153</v>
      </c>
    </row>
    <row r="63902" spans="8:8">
      <c r="H63902" s="680" t="s">
        <v>6153</v>
      </c>
    </row>
    <row r="63903" spans="8:8">
      <c r="H63903" s="680" t="s">
        <v>6153</v>
      </c>
    </row>
    <row r="63904" spans="8:8">
      <c r="H63904" s="680" t="s">
        <v>6153</v>
      </c>
    </row>
    <row r="63905" spans="8:8">
      <c r="H63905" s="680" t="s">
        <v>6153</v>
      </c>
    </row>
    <row r="63906" spans="8:8">
      <c r="H63906" s="680" t="s">
        <v>6153</v>
      </c>
    </row>
    <row r="63907" spans="8:8">
      <c r="H63907" s="680" t="s">
        <v>6153</v>
      </c>
    </row>
    <row r="63908" spans="8:8">
      <c r="H63908" s="680" t="s">
        <v>6153</v>
      </c>
    </row>
    <row r="63909" spans="8:8">
      <c r="H63909" s="680" t="s">
        <v>6153</v>
      </c>
    </row>
    <row r="63910" spans="8:8">
      <c r="H63910" s="680" t="s">
        <v>6153</v>
      </c>
    </row>
    <row r="63911" spans="8:8">
      <c r="H63911" s="680" t="s">
        <v>6153</v>
      </c>
    </row>
    <row r="63912" spans="8:8">
      <c r="H63912" s="680" t="s">
        <v>6153</v>
      </c>
    </row>
    <row r="63913" spans="8:8">
      <c r="H63913" s="680" t="s">
        <v>6153</v>
      </c>
    </row>
    <row r="63914" spans="8:8">
      <c r="H63914" s="680" t="s">
        <v>6153</v>
      </c>
    </row>
    <row r="63915" spans="8:8">
      <c r="H63915" s="680" t="s">
        <v>6153</v>
      </c>
    </row>
    <row r="63916" spans="8:8">
      <c r="H63916" s="680" t="s">
        <v>6153</v>
      </c>
    </row>
    <row r="63917" spans="8:8">
      <c r="H63917" s="680" t="s">
        <v>6153</v>
      </c>
    </row>
    <row r="63918" spans="8:8">
      <c r="H63918" s="680" t="s">
        <v>6153</v>
      </c>
    </row>
    <row r="63919" spans="8:8">
      <c r="H63919" s="680" t="s">
        <v>6153</v>
      </c>
    </row>
    <row r="63920" spans="8:8">
      <c r="H63920" s="680" t="s">
        <v>6153</v>
      </c>
    </row>
    <row r="63921" spans="8:8">
      <c r="H63921" s="680" t="s">
        <v>6153</v>
      </c>
    </row>
    <row r="63922" spans="8:8">
      <c r="H63922" s="680" t="s">
        <v>6153</v>
      </c>
    </row>
    <row r="63923" spans="8:8">
      <c r="H63923" s="680" t="s">
        <v>6153</v>
      </c>
    </row>
    <row r="63924" spans="8:8">
      <c r="H63924" s="680" t="s">
        <v>6153</v>
      </c>
    </row>
    <row r="63925" spans="8:8">
      <c r="H63925" s="680" t="s">
        <v>6153</v>
      </c>
    </row>
    <row r="63926" spans="8:8">
      <c r="H63926" s="680" t="s">
        <v>6153</v>
      </c>
    </row>
    <row r="63927" spans="8:8">
      <c r="H63927" s="680" t="s">
        <v>6153</v>
      </c>
    </row>
    <row r="63928" spans="8:8">
      <c r="H63928" s="680" t="s">
        <v>6153</v>
      </c>
    </row>
    <row r="63929" spans="8:8">
      <c r="H63929" s="680" t="s">
        <v>6153</v>
      </c>
    </row>
    <row r="63930" spans="8:8">
      <c r="H63930" s="680" t="s">
        <v>6153</v>
      </c>
    </row>
    <row r="63931" spans="8:8">
      <c r="H63931" s="680" t="s">
        <v>6153</v>
      </c>
    </row>
    <row r="63932" spans="8:8">
      <c r="H63932" s="680" t="s">
        <v>6153</v>
      </c>
    </row>
    <row r="63933" spans="8:8">
      <c r="H63933" s="680" t="s">
        <v>6153</v>
      </c>
    </row>
    <row r="63934" spans="8:8">
      <c r="H63934" s="680" t="s">
        <v>6153</v>
      </c>
    </row>
    <row r="63935" spans="8:8">
      <c r="H63935" s="680" t="s">
        <v>6153</v>
      </c>
    </row>
    <row r="63936" spans="8:8">
      <c r="H63936" s="680" t="s">
        <v>6153</v>
      </c>
    </row>
    <row r="63937" spans="8:8">
      <c r="H63937" s="680" t="s">
        <v>6153</v>
      </c>
    </row>
    <row r="63938" spans="8:8">
      <c r="H63938" s="680" t="s">
        <v>6153</v>
      </c>
    </row>
    <row r="63939" spans="8:8">
      <c r="H63939" s="680" t="s">
        <v>6153</v>
      </c>
    </row>
    <row r="63940" spans="8:8">
      <c r="H63940" s="680" t="s">
        <v>6153</v>
      </c>
    </row>
    <row r="63941" spans="8:8">
      <c r="H63941" s="680" t="s">
        <v>6153</v>
      </c>
    </row>
    <row r="63942" spans="8:8">
      <c r="H63942" s="680" t="s">
        <v>6153</v>
      </c>
    </row>
    <row r="63943" spans="8:8">
      <c r="H63943" s="680" t="s">
        <v>6153</v>
      </c>
    </row>
    <row r="63944" spans="8:8">
      <c r="H63944" s="680" t="s">
        <v>6153</v>
      </c>
    </row>
    <row r="63945" spans="8:8">
      <c r="H63945" s="680" t="s">
        <v>6153</v>
      </c>
    </row>
    <row r="63946" spans="8:8">
      <c r="H63946" s="680" t="s">
        <v>6153</v>
      </c>
    </row>
    <row r="63947" spans="8:8">
      <c r="H63947" s="680" t="s">
        <v>6153</v>
      </c>
    </row>
    <row r="63948" spans="8:8">
      <c r="H63948" s="680" t="s">
        <v>6153</v>
      </c>
    </row>
    <row r="63949" spans="8:8">
      <c r="H63949" s="680" t="s">
        <v>6153</v>
      </c>
    </row>
    <row r="63950" spans="8:8">
      <c r="H63950" s="680" t="s">
        <v>6153</v>
      </c>
    </row>
    <row r="63951" spans="8:8">
      <c r="H63951" s="680" t="s">
        <v>6153</v>
      </c>
    </row>
    <row r="63952" spans="8:8">
      <c r="H63952" s="680" t="s">
        <v>6153</v>
      </c>
    </row>
    <row r="63953" spans="8:8">
      <c r="H63953" s="680" t="s">
        <v>6153</v>
      </c>
    </row>
    <row r="63954" spans="8:8">
      <c r="H63954" s="680" t="s">
        <v>6153</v>
      </c>
    </row>
    <row r="63955" spans="8:8">
      <c r="H63955" s="680" t="s">
        <v>6153</v>
      </c>
    </row>
    <row r="63956" spans="8:8">
      <c r="H63956" s="680" t="s">
        <v>6153</v>
      </c>
    </row>
    <row r="63957" spans="8:8">
      <c r="H63957" s="680" t="s">
        <v>6153</v>
      </c>
    </row>
    <row r="63958" spans="8:8">
      <c r="H63958" s="680" t="s">
        <v>6153</v>
      </c>
    </row>
    <row r="63959" spans="8:8">
      <c r="H63959" s="680" t="s">
        <v>6153</v>
      </c>
    </row>
    <row r="63960" spans="8:8">
      <c r="H63960" s="680" t="s">
        <v>6153</v>
      </c>
    </row>
    <row r="63961" spans="8:8">
      <c r="H63961" s="680" t="s">
        <v>6153</v>
      </c>
    </row>
    <row r="63962" spans="8:8">
      <c r="H63962" s="680" t="s">
        <v>6153</v>
      </c>
    </row>
    <row r="63963" spans="8:8">
      <c r="H63963" s="680" t="s">
        <v>6153</v>
      </c>
    </row>
    <row r="63964" spans="8:8">
      <c r="H63964" s="680" t="s">
        <v>6153</v>
      </c>
    </row>
    <row r="63965" spans="8:8">
      <c r="H63965" s="680" t="s">
        <v>6153</v>
      </c>
    </row>
    <row r="63966" spans="8:8">
      <c r="H63966" s="680" t="s">
        <v>6153</v>
      </c>
    </row>
    <row r="63967" spans="8:8">
      <c r="H63967" s="680" t="s">
        <v>6153</v>
      </c>
    </row>
    <row r="63968" spans="8:8">
      <c r="H63968" s="680" t="s">
        <v>6153</v>
      </c>
    </row>
    <row r="63969" spans="8:8">
      <c r="H63969" s="680" t="s">
        <v>6153</v>
      </c>
    </row>
    <row r="63970" spans="8:8">
      <c r="H63970" s="680" t="s">
        <v>6153</v>
      </c>
    </row>
    <row r="63971" spans="8:8">
      <c r="H63971" s="680" t="s">
        <v>6153</v>
      </c>
    </row>
    <row r="63972" spans="8:8">
      <c r="H63972" s="680" t="s">
        <v>6153</v>
      </c>
    </row>
    <row r="63973" spans="8:8">
      <c r="H63973" s="680" t="s">
        <v>6153</v>
      </c>
    </row>
    <row r="63974" spans="8:8">
      <c r="H63974" s="680" t="s">
        <v>6153</v>
      </c>
    </row>
    <row r="63975" spans="8:8">
      <c r="H63975" s="680" t="s">
        <v>6153</v>
      </c>
    </row>
    <row r="63976" spans="8:8">
      <c r="H63976" s="680" t="s">
        <v>6153</v>
      </c>
    </row>
    <row r="63977" spans="8:8">
      <c r="H63977" s="680" t="s">
        <v>6153</v>
      </c>
    </row>
    <row r="63978" spans="8:8">
      <c r="H63978" s="680" t="s">
        <v>6153</v>
      </c>
    </row>
    <row r="63979" spans="8:8">
      <c r="H63979" s="680" t="s">
        <v>6153</v>
      </c>
    </row>
    <row r="63980" spans="8:8">
      <c r="H63980" s="680" t="s">
        <v>6153</v>
      </c>
    </row>
    <row r="63981" spans="8:8">
      <c r="H63981" s="680" t="s">
        <v>6153</v>
      </c>
    </row>
    <row r="63982" spans="8:8">
      <c r="H63982" s="680" t="s">
        <v>6153</v>
      </c>
    </row>
    <row r="63983" spans="8:8">
      <c r="H63983" s="680" t="s">
        <v>6153</v>
      </c>
    </row>
    <row r="63984" spans="8:8">
      <c r="H63984" s="680" t="s">
        <v>6153</v>
      </c>
    </row>
    <row r="63985" spans="8:8">
      <c r="H63985" s="680" t="s">
        <v>6153</v>
      </c>
    </row>
    <row r="63986" spans="8:8">
      <c r="H63986" s="680" t="s">
        <v>6153</v>
      </c>
    </row>
    <row r="63987" spans="8:8">
      <c r="H63987" s="680" t="s">
        <v>6153</v>
      </c>
    </row>
    <row r="63988" spans="8:8">
      <c r="H63988" s="680" t="s">
        <v>6153</v>
      </c>
    </row>
    <row r="63989" spans="8:8">
      <c r="H63989" s="680" t="s">
        <v>6153</v>
      </c>
    </row>
    <row r="63990" spans="8:8">
      <c r="H63990" s="680" t="s">
        <v>6153</v>
      </c>
    </row>
    <row r="63991" spans="8:8">
      <c r="H63991" s="680" t="s">
        <v>6153</v>
      </c>
    </row>
    <row r="63992" spans="8:8">
      <c r="H63992" s="680" t="s">
        <v>6153</v>
      </c>
    </row>
    <row r="63993" spans="8:8">
      <c r="H63993" s="680" t="s">
        <v>6153</v>
      </c>
    </row>
    <row r="63994" spans="8:8">
      <c r="H63994" s="680" t="s">
        <v>6153</v>
      </c>
    </row>
    <row r="63995" spans="8:8">
      <c r="H63995" s="680" t="s">
        <v>6153</v>
      </c>
    </row>
    <row r="63996" spans="8:8">
      <c r="H63996" s="680" t="s">
        <v>6153</v>
      </c>
    </row>
    <row r="63997" spans="8:8">
      <c r="H63997" s="680" t="s">
        <v>6153</v>
      </c>
    </row>
    <row r="63998" spans="8:8">
      <c r="H63998" s="680" t="s">
        <v>6153</v>
      </c>
    </row>
    <row r="63999" spans="8:8">
      <c r="H63999" s="680" t="s">
        <v>6153</v>
      </c>
    </row>
    <row r="64000" spans="8:8">
      <c r="H64000" s="680" t="s">
        <v>6153</v>
      </c>
    </row>
    <row r="64001" spans="8:8">
      <c r="H64001" s="680" t="s">
        <v>6153</v>
      </c>
    </row>
    <row r="64002" spans="8:8">
      <c r="H64002" s="680" t="s">
        <v>6153</v>
      </c>
    </row>
    <row r="64003" spans="8:8">
      <c r="H64003" s="680" t="s">
        <v>6153</v>
      </c>
    </row>
    <row r="64004" spans="8:8">
      <c r="H64004" s="680" t="s">
        <v>6153</v>
      </c>
    </row>
    <row r="64005" spans="8:8">
      <c r="H64005" s="680" t="s">
        <v>6153</v>
      </c>
    </row>
    <row r="64006" spans="8:8">
      <c r="H64006" s="680" t="s">
        <v>6153</v>
      </c>
    </row>
    <row r="64007" spans="8:8">
      <c r="H64007" s="680" t="s">
        <v>6153</v>
      </c>
    </row>
    <row r="64008" spans="8:8">
      <c r="H64008" s="680" t="s">
        <v>6153</v>
      </c>
    </row>
    <row r="64009" spans="8:8">
      <c r="H64009" s="680" t="s">
        <v>6153</v>
      </c>
    </row>
    <row r="64010" spans="8:8">
      <c r="H64010" s="680" t="s">
        <v>6153</v>
      </c>
    </row>
    <row r="64011" spans="8:8">
      <c r="H64011" s="680" t="s">
        <v>6153</v>
      </c>
    </row>
    <row r="64012" spans="8:8">
      <c r="H64012" s="680" t="s">
        <v>6153</v>
      </c>
    </row>
    <row r="64013" spans="8:8">
      <c r="H64013" s="680" t="s">
        <v>6153</v>
      </c>
    </row>
    <row r="64014" spans="8:8">
      <c r="H64014" s="680" t="s">
        <v>6153</v>
      </c>
    </row>
    <row r="64015" spans="8:8">
      <c r="H64015" s="680" t="s">
        <v>6153</v>
      </c>
    </row>
    <row r="64016" spans="8:8">
      <c r="H64016" s="680" t="s">
        <v>6153</v>
      </c>
    </row>
    <row r="64017" spans="8:8">
      <c r="H64017" s="680" t="s">
        <v>6153</v>
      </c>
    </row>
    <row r="64018" spans="8:8">
      <c r="H64018" s="680" t="s">
        <v>6153</v>
      </c>
    </row>
    <row r="64019" spans="8:8">
      <c r="H64019" s="680" t="s">
        <v>6153</v>
      </c>
    </row>
    <row r="64020" spans="8:8">
      <c r="H64020" s="680" t="s">
        <v>6153</v>
      </c>
    </row>
    <row r="64021" spans="8:8">
      <c r="H64021" s="680" t="s">
        <v>6153</v>
      </c>
    </row>
    <row r="64022" spans="8:8">
      <c r="H64022" s="680" t="s">
        <v>6153</v>
      </c>
    </row>
    <row r="64023" spans="8:8">
      <c r="H64023" s="680" t="s">
        <v>6153</v>
      </c>
    </row>
    <row r="64024" spans="8:8">
      <c r="H64024" s="680" t="s">
        <v>6153</v>
      </c>
    </row>
    <row r="64025" spans="8:8">
      <c r="H64025" s="680" t="s">
        <v>6153</v>
      </c>
    </row>
    <row r="64026" spans="8:8">
      <c r="H64026" s="680" t="s">
        <v>6153</v>
      </c>
    </row>
    <row r="64027" spans="8:8">
      <c r="H64027" s="680" t="s">
        <v>6153</v>
      </c>
    </row>
    <row r="64028" spans="8:8">
      <c r="H64028" s="680" t="s">
        <v>6153</v>
      </c>
    </row>
    <row r="64029" spans="8:8">
      <c r="H64029" s="680" t="s">
        <v>6153</v>
      </c>
    </row>
    <row r="64030" spans="8:8">
      <c r="H64030" s="680" t="s">
        <v>6153</v>
      </c>
    </row>
    <row r="64031" spans="8:8">
      <c r="H64031" s="680" t="s">
        <v>6153</v>
      </c>
    </row>
    <row r="64032" spans="8:8">
      <c r="H64032" s="680" t="s">
        <v>6153</v>
      </c>
    </row>
    <row r="64033" spans="8:8">
      <c r="H64033" s="680" t="s">
        <v>6153</v>
      </c>
    </row>
    <row r="64034" spans="8:8">
      <c r="H64034" s="680" t="s">
        <v>6153</v>
      </c>
    </row>
    <row r="64035" spans="8:8">
      <c r="H64035" s="680" t="s">
        <v>6153</v>
      </c>
    </row>
    <row r="64036" spans="8:8">
      <c r="H64036" s="680" t="s">
        <v>6153</v>
      </c>
    </row>
    <row r="64037" spans="8:8">
      <c r="H64037" s="680" t="s">
        <v>6153</v>
      </c>
    </row>
    <row r="64038" spans="8:8">
      <c r="H64038" s="680" t="s">
        <v>6153</v>
      </c>
    </row>
    <row r="64039" spans="8:8">
      <c r="H64039" s="680" t="s">
        <v>6153</v>
      </c>
    </row>
    <row r="64040" spans="8:8">
      <c r="H64040" s="680" t="s">
        <v>6153</v>
      </c>
    </row>
    <row r="64041" spans="8:8">
      <c r="H64041" s="680" t="s">
        <v>6153</v>
      </c>
    </row>
    <row r="64042" spans="8:8">
      <c r="H64042" s="680" t="s">
        <v>6153</v>
      </c>
    </row>
    <row r="64043" spans="8:8">
      <c r="H64043" s="680" t="s">
        <v>6153</v>
      </c>
    </row>
    <row r="64044" spans="8:8">
      <c r="H64044" s="680" t="s">
        <v>6153</v>
      </c>
    </row>
    <row r="64045" spans="8:8">
      <c r="H64045" s="680" t="s">
        <v>6153</v>
      </c>
    </row>
    <row r="64046" spans="8:8">
      <c r="H64046" s="680" t="s">
        <v>6153</v>
      </c>
    </row>
    <row r="64047" spans="8:8">
      <c r="H64047" s="680" t="s">
        <v>6153</v>
      </c>
    </row>
    <row r="64048" spans="8:8">
      <c r="H64048" s="680" t="s">
        <v>6153</v>
      </c>
    </row>
    <row r="64049" spans="8:8">
      <c r="H64049" s="680" t="s">
        <v>6153</v>
      </c>
    </row>
    <row r="64050" spans="8:8">
      <c r="H64050" s="680" t="s">
        <v>6153</v>
      </c>
    </row>
    <row r="64051" spans="8:8">
      <c r="H64051" s="680" t="s">
        <v>6153</v>
      </c>
    </row>
    <row r="64052" spans="8:8">
      <c r="H64052" s="680" t="s">
        <v>6153</v>
      </c>
    </row>
    <row r="64053" spans="8:8">
      <c r="H64053" s="680" t="s">
        <v>6153</v>
      </c>
    </row>
    <row r="64054" spans="8:8">
      <c r="H64054" s="680" t="s">
        <v>6153</v>
      </c>
    </row>
    <row r="64055" spans="8:8">
      <c r="H64055" s="680" t="s">
        <v>6153</v>
      </c>
    </row>
    <row r="64056" spans="8:8">
      <c r="H64056" s="680" t="s">
        <v>6153</v>
      </c>
    </row>
    <row r="64057" spans="8:8">
      <c r="H64057" s="680" t="s">
        <v>6153</v>
      </c>
    </row>
    <row r="64058" spans="8:8">
      <c r="H64058" s="680" t="s">
        <v>6153</v>
      </c>
    </row>
    <row r="64059" spans="8:8">
      <c r="H64059" s="680" t="s">
        <v>6153</v>
      </c>
    </row>
    <row r="64060" spans="8:8">
      <c r="H64060" s="680" t="s">
        <v>6153</v>
      </c>
    </row>
    <row r="64061" spans="8:8">
      <c r="H64061" s="680" t="s">
        <v>6153</v>
      </c>
    </row>
    <row r="64062" spans="8:8">
      <c r="H64062" s="680" t="s">
        <v>6153</v>
      </c>
    </row>
    <row r="64063" spans="8:8">
      <c r="H64063" s="680" t="s">
        <v>6153</v>
      </c>
    </row>
    <row r="64064" spans="8:8">
      <c r="H64064" s="680" t="s">
        <v>6153</v>
      </c>
    </row>
    <row r="64065" spans="8:8">
      <c r="H64065" s="680" t="s">
        <v>6153</v>
      </c>
    </row>
    <row r="64066" spans="8:8">
      <c r="H64066" s="680" t="s">
        <v>6153</v>
      </c>
    </row>
    <row r="64067" spans="8:8">
      <c r="H64067" s="680" t="s">
        <v>6153</v>
      </c>
    </row>
    <row r="64068" spans="8:8">
      <c r="H64068" s="680" t="s">
        <v>6153</v>
      </c>
    </row>
    <row r="64069" spans="8:8">
      <c r="H64069" s="680" t="s">
        <v>6153</v>
      </c>
    </row>
    <row r="64070" spans="8:8">
      <c r="H64070" s="680" t="s">
        <v>6153</v>
      </c>
    </row>
    <row r="64071" spans="8:8">
      <c r="H64071" s="680" t="s">
        <v>6153</v>
      </c>
    </row>
    <row r="64072" spans="8:8">
      <c r="H64072" s="680" t="s">
        <v>6153</v>
      </c>
    </row>
    <row r="64073" spans="8:8">
      <c r="H64073" s="680" t="s">
        <v>6153</v>
      </c>
    </row>
    <row r="64074" spans="8:8">
      <c r="H64074" s="680" t="s">
        <v>6153</v>
      </c>
    </row>
    <row r="64075" spans="8:8">
      <c r="H64075" s="680" t="s">
        <v>6153</v>
      </c>
    </row>
    <row r="64076" spans="8:8">
      <c r="H64076" s="680" t="s">
        <v>6153</v>
      </c>
    </row>
    <row r="64077" spans="8:8">
      <c r="H64077" s="680" t="s">
        <v>6153</v>
      </c>
    </row>
    <row r="64078" spans="8:8">
      <c r="H64078" s="680" t="s">
        <v>6153</v>
      </c>
    </row>
    <row r="64079" spans="8:8">
      <c r="H64079" s="680" t="s">
        <v>6153</v>
      </c>
    </row>
    <row r="64080" spans="8:8">
      <c r="H64080" s="680" t="s">
        <v>6153</v>
      </c>
    </row>
    <row r="64081" spans="8:8">
      <c r="H64081" s="680" t="s">
        <v>6153</v>
      </c>
    </row>
    <row r="64082" spans="8:8">
      <c r="H64082" s="680" t="s">
        <v>6153</v>
      </c>
    </row>
    <row r="64083" spans="8:8">
      <c r="H64083" s="680" t="s">
        <v>6153</v>
      </c>
    </row>
    <row r="64084" spans="8:8">
      <c r="H64084" s="680" t="s">
        <v>6153</v>
      </c>
    </row>
    <row r="64085" spans="8:8">
      <c r="H64085" s="680" t="s">
        <v>6153</v>
      </c>
    </row>
    <row r="64086" spans="8:8">
      <c r="H64086" s="680" t="s">
        <v>6153</v>
      </c>
    </row>
    <row r="64087" spans="8:8">
      <c r="H64087" s="680" t="s">
        <v>6153</v>
      </c>
    </row>
    <row r="64088" spans="8:8">
      <c r="H64088" s="680" t="s">
        <v>6153</v>
      </c>
    </row>
    <row r="64089" spans="8:8">
      <c r="H64089" s="680" t="s">
        <v>6153</v>
      </c>
    </row>
    <row r="64090" spans="8:8">
      <c r="H64090" s="680" t="s">
        <v>6153</v>
      </c>
    </row>
    <row r="64091" spans="8:8">
      <c r="H64091" s="680" t="s">
        <v>6153</v>
      </c>
    </row>
    <row r="64092" spans="8:8">
      <c r="H64092" s="680" t="s">
        <v>6153</v>
      </c>
    </row>
    <row r="64093" spans="8:8">
      <c r="H64093" s="680" t="s">
        <v>6153</v>
      </c>
    </row>
    <row r="64094" spans="8:8">
      <c r="H64094" s="680" t="s">
        <v>6153</v>
      </c>
    </row>
    <row r="64095" spans="8:8">
      <c r="H64095" s="680" t="s">
        <v>6153</v>
      </c>
    </row>
    <row r="64096" spans="8:8">
      <c r="H64096" s="680" t="s">
        <v>6153</v>
      </c>
    </row>
    <row r="64097" spans="8:8">
      <c r="H64097" s="680" t="s">
        <v>6153</v>
      </c>
    </row>
    <row r="64098" spans="8:8">
      <c r="H64098" s="680" t="s">
        <v>6153</v>
      </c>
    </row>
    <row r="64099" spans="8:8">
      <c r="H64099" s="680" t="s">
        <v>6153</v>
      </c>
    </row>
    <row r="64100" spans="8:8">
      <c r="H64100" s="680" t="s">
        <v>6153</v>
      </c>
    </row>
    <row r="64101" spans="8:8">
      <c r="H64101" s="680" t="s">
        <v>6153</v>
      </c>
    </row>
    <row r="64102" spans="8:8">
      <c r="H64102" s="680" t="s">
        <v>6153</v>
      </c>
    </row>
    <row r="64103" spans="8:8">
      <c r="H64103" s="680" t="s">
        <v>6153</v>
      </c>
    </row>
    <row r="64104" spans="8:8">
      <c r="H64104" s="680" t="s">
        <v>6153</v>
      </c>
    </row>
    <row r="64105" spans="8:8">
      <c r="H64105" s="680" t="s">
        <v>6153</v>
      </c>
    </row>
    <row r="64106" spans="8:8">
      <c r="H64106" s="680" t="s">
        <v>6153</v>
      </c>
    </row>
    <row r="64107" spans="8:8">
      <c r="H64107" s="680" t="s">
        <v>6153</v>
      </c>
    </row>
    <row r="64108" spans="8:8">
      <c r="H64108" s="680" t="s">
        <v>6153</v>
      </c>
    </row>
    <row r="64109" spans="8:8">
      <c r="H64109" s="680" t="s">
        <v>6153</v>
      </c>
    </row>
    <row r="64110" spans="8:8">
      <c r="H64110" s="680" t="s">
        <v>6153</v>
      </c>
    </row>
    <row r="64111" spans="8:8">
      <c r="H64111" s="680" t="s">
        <v>6153</v>
      </c>
    </row>
    <row r="64112" spans="8:8">
      <c r="H64112" s="680" t="s">
        <v>6153</v>
      </c>
    </row>
    <row r="64113" spans="8:8">
      <c r="H64113" s="680" t="s">
        <v>6153</v>
      </c>
    </row>
    <row r="64114" spans="8:8">
      <c r="H64114" s="680" t="s">
        <v>6153</v>
      </c>
    </row>
    <row r="64115" spans="8:8">
      <c r="H64115" s="680" t="s">
        <v>6153</v>
      </c>
    </row>
    <row r="64116" spans="8:8">
      <c r="H64116" s="680" t="s">
        <v>6153</v>
      </c>
    </row>
    <row r="64117" spans="8:8">
      <c r="H64117" s="680" t="s">
        <v>6153</v>
      </c>
    </row>
    <row r="64118" spans="8:8">
      <c r="H64118" s="680" t="s">
        <v>6153</v>
      </c>
    </row>
    <row r="64119" spans="8:8">
      <c r="H64119" s="680" t="s">
        <v>6153</v>
      </c>
    </row>
    <row r="64120" spans="8:8">
      <c r="H64120" s="680" t="s">
        <v>6153</v>
      </c>
    </row>
    <row r="64121" spans="8:8">
      <c r="H64121" s="680" t="s">
        <v>6153</v>
      </c>
    </row>
    <row r="64122" spans="8:8">
      <c r="H64122" s="680" t="s">
        <v>6153</v>
      </c>
    </row>
    <row r="64123" spans="8:8">
      <c r="H64123" s="680" t="s">
        <v>6153</v>
      </c>
    </row>
    <row r="64124" spans="8:8">
      <c r="H64124" s="680" t="s">
        <v>6153</v>
      </c>
    </row>
    <row r="64125" spans="8:8">
      <c r="H64125" s="680" t="s">
        <v>6153</v>
      </c>
    </row>
    <row r="64126" spans="8:8">
      <c r="H64126" s="680" t="s">
        <v>6153</v>
      </c>
    </row>
    <row r="64127" spans="8:8">
      <c r="H64127" s="680" t="s">
        <v>6153</v>
      </c>
    </row>
    <row r="64128" spans="8:8">
      <c r="H64128" s="680" t="s">
        <v>6153</v>
      </c>
    </row>
    <row r="64129" spans="8:8">
      <c r="H64129" s="680" t="s">
        <v>6153</v>
      </c>
    </row>
    <row r="64130" spans="8:8">
      <c r="H64130" s="680" t="s">
        <v>6153</v>
      </c>
    </row>
    <row r="64131" spans="8:8">
      <c r="H64131" s="680" t="s">
        <v>6153</v>
      </c>
    </row>
    <row r="64132" spans="8:8">
      <c r="H64132" s="680" t="s">
        <v>6153</v>
      </c>
    </row>
    <row r="64133" spans="8:8">
      <c r="H64133" s="680" t="s">
        <v>6153</v>
      </c>
    </row>
    <row r="64134" spans="8:8">
      <c r="H64134" s="680" t="s">
        <v>6153</v>
      </c>
    </row>
    <row r="64135" spans="8:8">
      <c r="H64135" s="680" t="s">
        <v>6153</v>
      </c>
    </row>
    <row r="64136" spans="8:8">
      <c r="H64136" s="680" t="s">
        <v>6153</v>
      </c>
    </row>
    <row r="64137" spans="8:8">
      <c r="H64137" s="680" t="s">
        <v>6153</v>
      </c>
    </row>
    <row r="64138" spans="8:8">
      <c r="H64138" s="680" t="s">
        <v>6153</v>
      </c>
    </row>
    <row r="64139" spans="8:8">
      <c r="H64139" s="680" t="s">
        <v>6153</v>
      </c>
    </row>
    <row r="64140" spans="8:8">
      <c r="H64140" s="680" t="s">
        <v>6153</v>
      </c>
    </row>
    <row r="64141" spans="8:8">
      <c r="H64141" s="680" t="s">
        <v>6153</v>
      </c>
    </row>
    <row r="64142" spans="8:8">
      <c r="H64142" s="680" t="s">
        <v>6153</v>
      </c>
    </row>
    <row r="64143" spans="8:8">
      <c r="H64143" s="680" t="s">
        <v>6153</v>
      </c>
    </row>
    <row r="64144" spans="8:8">
      <c r="H64144" s="680" t="s">
        <v>6153</v>
      </c>
    </row>
    <row r="64145" spans="8:8">
      <c r="H64145" s="680" t="s">
        <v>6153</v>
      </c>
    </row>
    <row r="64146" spans="8:8">
      <c r="H64146" s="680" t="s">
        <v>6153</v>
      </c>
    </row>
    <row r="64147" spans="8:8">
      <c r="H64147" s="680" t="s">
        <v>6153</v>
      </c>
    </row>
    <row r="64148" spans="8:8">
      <c r="H64148" s="680" t="s">
        <v>6153</v>
      </c>
    </row>
    <row r="64149" spans="8:8">
      <c r="H64149" s="680" t="s">
        <v>6153</v>
      </c>
    </row>
    <row r="64150" spans="8:8">
      <c r="H64150" s="680" t="s">
        <v>6153</v>
      </c>
    </row>
    <row r="64151" spans="8:8">
      <c r="H64151" s="680" t="s">
        <v>6153</v>
      </c>
    </row>
    <row r="64152" spans="8:8">
      <c r="H64152" s="680" t="s">
        <v>6153</v>
      </c>
    </row>
    <row r="64153" spans="8:8">
      <c r="H64153" s="680" t="s">
        <v>6153</v>
      </c>
    </row>
    <row r="64154" spans="8:8">
      <c r="H64154" s="680" t="s">
        <v>6153</v>
      </c>
    </row>
    <row r="64155" spans="8:8">
      <c r="H64155" s="680" t="s">
        <v>6153</v>
      </c>
    </row>
    <row r="64156" spans="8:8">
      <c r="H64156" s="680" t="s">
        <v>6153</v>
      </c>
    </row>
    <row r="64157" spans="8:8">
      <c r="H64157" s="680" t="s">
        <v>6153</v>
      </c>
    </row>
    <row r="64158" spans="8:8">
      <c r="H64158" s="680" t="s">
        <v>6153</v>
      </c>
    </row>
    <row r="64159" spans="8:8">
      <c r="H64159" s="680" t="s">
        <v>6153</v>
      </c>
    </row>
    <row r="64160" spans="8:8">
      <c r="H64160" s="680" t="s">
        <v>6153</v>
      </c>
    </row>
    <row r="64161" spans="8:8">
      <c r="H64161" s="680" t="s">
        <v>6153</v>
      </c>
    </row>
    <row r="64162" spans="8:8">
      <c r="H64162" s="680" t="s">
        <v>6153</v>
      </c>
    </row>
    <row r="64163" spans="8:8">
      <c r="H64163" s="680" t="s">
        <v>6153</v>
      </c>
    </row>
    <row r="64164" spans="8:8">
      <c r="H64164" s="680" t="s">
        <v>6153</v>
      </c>
    </row>
    <row r="64165" spans="8:8">
      <c r="H64165" s="680" t="s">
        <v>6153</v>
      </c>
    </row>
    <row r="64166" spans="8:8">
      <c r="H64166" s="680" t="s">
        <v>6153</v>
      </c>
    </row>
    <row r="64167" spans="8:8">
      <c r="H64167" s="680" t="s">
        <v>6153</v>
      </c>
    </row>
    <row r="64168" spans="8:8">
      <c r="H64168" s="680" t="s">
        <v>6153</v>
      </c>
    </row>
    <row r="64169" spans="8:8">
      <c r="H64169" s="680" t="s">
        <v>6153</v>
      </c>
    </row>
    <row r="64170" spans="8:8">
      <c r="H64170" s="680" t="s">
        <v>6153</v>
      </c>
    </row>
    <row r="64171" spans="8:8">
      <c r="H64171" s="680" t="s">
        <v>6153</v>
      </c>
    </row>
    <row r="64172" spans="8:8">
      <c r="H64172" s="680" t="s">
        <v>6153</v>
      </c>
    </row>
    <row r="64173" spans="8:8">
      <c r="H64173" s="680" t="s">
        <v>6153</v>
      </c>
    </row>
    <row r="64174" spans="8:8">
      <c r="H64174" s="680" t="s">
        <v>6153</v>
      </c>
    </row>
    <row r="64175" spans="8:8">
      <c r="H64175" s="680" t="s">
        <v>6153</v>
      </c>
    </row>
    <row r="64176" spans="8:8">
      <c r="H64176" s="680" t="s">
        <v>6153</v>
      </c>
    </row>
    <row r="64177" spans="8:8">
      <c r="H64177" s="680" t="s">
        <v>6153</v>
      </c>
    </row>
    <row r="64178" spans="8:8">
      <c r="H64178" s="680" t="s">
        <v>6153</v>
      </c>
    </row>
    <row r="64179" spans="8:8">
      <c r="H64179" s="680" t="s">
        <v>6153</v>
      </c>
    </row>
    <row r="64180" spans="8:8">
      <c r="H64180" s="680" t="s">
        <v>6153</v>
      </c>
    </row>
    <row r="64181" spans="8:8">
      <c r="H64181" s="680" t="s">
        <v>6153</v>
      </c>
    </row>
    <row r="64182" spans="8:8">
      <c r="H64182" s="680" t="s">
        <v>6153</v>
      </c>
    </row>
    <row r="64183" spans="8:8">
      <c r="H64183" s="680" t="s">
        <v>6153</v>
      </c>
    </row>
    <row r="64184" spans="8:8">
      <c r="H64184" s="680" t="s">
        <v>6153</v>
      </c>
    </row>
    <row r="64185" spans="8:8">
      <c r="H64185" s="680" t="s">
        <v>6153</v>
      </c>
    </row>
    <row r="64186" spans="8:8">
      <c r="H64186" s="680" t="s">
        <v>6153</v>
      </c>
    </row>
    <row r="64187" spans="8:8">
      <c r="H64187" s="680" t="s">
        <v>6153</v>
      </c>
    </row>
    <row r="64188" spans="8:8">
      <c r="H64188" s="680" t="s">
        <v>6153</v>
      </c>
    </row>
    <row r="64189" spans="8:8">
      <c r="H64189" s="680" t="s">
        <v>6153</v>
      </c>
    </row>
    <row r="64190" spans="8:8">
      <c r="H64190" s="680" t="s">
        <v>6153</v>
      </c>
    </row>
    <row r="64191" spans="8:8">
      <c r="H64191" s="680" t="s">
        <v>6153</v>
      </c>
    </row>
    <row r="64192" spans="8:8">
      <c r="H64192" s="680" t="s">
        <v>6153</v>
      </c>
    </row>
    <row r="64193" spans="8:8">
      <c r="H64193" s="680" t="s">
        <v>6153</v>
      </c>
    </row>
    <row r="64194" spans="8:8">
      <c r="H64194" s="680" t="s">
        <v>6153</v>
      </c>
    </row>
    <row r="64195" spans="8:8">
      <c r="H64195" s="680" t="s">
        <v>6153</v>
      </c>
    </row>
    <row r="64196" spans="8:8">
      <c r="H64196" s="680" t="s">
        <v>6153</v>
      </c>
    </row>
    <row r="64197" spans="8:8">
      <c r="H64197" s="680" t="s">
        <v>6153</v>
      </c>
    </row>
    <row r="64198" spans="8:8">
      <c r="H64198" s="680" t="s">
        <v>6153</v>
      </c>
    </row>
    <row r="64199" spans="8:8">
      <c r="H64199" s="680" t="s">
        <v>6153</v>
      </c>
    </row>
    <row r="64200" spans="8:8">
      <c r="H64200" s="680" t="s">
        <v>6153</v>
      </c>
    </row>
    <row r="64201" spans="8:8">
      <c r="H64201" s="680" t="s">
        <v>6153</v>
      </c>
    </row>
    <row r="64202" spans="8:8">
      <c r="H64202" s="680" t="s">
        <v>6153</v>
      </c>
    </row>
    <row r="64203" spans="8:8">
      <c r="H64203" s="680" t="s">
        <v>6153</v>
      </c>
    </row>
    <row r="64204" spans="8:8">
      <c r="H64204" s="680" t="s">
        <v>6153</v>
      </c>
    </row>
    <row r="64205" spans="8:8">
      <c r="H64205" s="680" t="s">
        <v>6153</v>
      </c>
    </row>
    <row r="64206" spans="8:8">
      <c r="H64206" s="680" t="s">
        <v>6153</v>
      </c>
    </row>
    <row r="64207" spans="8:8">
      <c r="H64207" s="680" t="s">
        <v>6153</v>
      </c>
    </row>
    <row r="64208" spans="8:8">
      <c r="H64208" s="680" t="s">
        <v>6153</v>
      </c>
    </row>
    <row r="64209" spans="8:8">
      <c r="H64209" s="680" t="s">
        <v>6153</v>
      </c>
    </row>
    <row r="64210" spans="8:8">
      <c r="H64210" s="680" t="s">
        <v>6153</v>
      </c>
    </row>
    <row r="64211" spans="8:8">
      <c r="H64211" s="680" t="s">
        <v>6153</v>
      </c>
    </row>
    <row r="64212" spans="8:8">
      <c r="H64212" s="680" t="s">
        <v>6153</v>
      </c>
    </row>
    <row r="64213" spans="8:8">
      <c r="H64213" s="680" t="s">
        <v>6153</v>
      </c>
    </row>
    <row r="64214" spans="8:8">
      <c r="H64214" s="680" t="s">
        <v>6153</v>
      </c>
    </row>
    <row r="64215" spans="8:8">
      <c r="H64215" s="680" t="s">
        <v>6153</v>
      </c>
    </row>
    <row r="64216" spans="8:8">
      <c r="H64216" s="680" t="s">
        <v>6153</v>
      </c>
    </row>
    <row r="64217" spans="8:8">
      <c r="H64217" s="680" t="s">
        <v>6153</v>
      </c>
    </row>
    <row r="64218" spans="8:8">
      <c r="H64218" s="680" t="s">
        <v>6153</v>
      </c>
    </row>
    <row r="64219" spans="8:8">
      <c r="H64219" s="680" t="s">
        <v>6153</v>
      </c>
    </row>
    <row r="64220" spans="8:8">
      <c r="H64220" s="680" t="s">
        <v>6153</v>
      </c>
    </row>
    <row r="64221" spans="8:8">
      <c r="H64221" s="680" t="s">
        <v>6153</v>
      </c>
    </row>
    <row r="64222" spans="8:8">
      <c r="H64222" s="680" t="s">
        <v>6153</v>
      </c>
    </row>
    <row r="64223" spans="8:8">
      <c r="H64223" s="680" t="s">
        <v>6153</v>
      </c>
    </row>
    <row r="64224" spans="8:8">
      <c r="H64224" s="680" t="s">
        <v>6153</v>
      </c>
    </row>
    <row r="64225" spans="8:8">
      <c r="H64225" s="680" t="s">
        <v>6153</v>
      </c>
    </row>
    <row r="64226" spans="8:8">
      <c r="H64226" s="680" t="s">
        <v>6153</v>
      </c>
    </row>
    <row r="64227" spans="8:8">
      <c r="H64227" s="680" t="s">
        <v>6153</v>
      </c>
    </row>
    <row r="64228" spans="8:8">
      <c r="H64228" s="680" t="s">
        <v>6153</v>
      </c>
    </row>
    <row r="64229" spans="8:8">
      <c r="H64229" s="680" t="s">
        <v>6153</v>
      </c>
    </row>
    <row r="64230" spans="8:8">
      <c r="H64230" s="680" t="s">
        <v>6153</v>
      </c>
    </row>
    <row r="64231" spans="8:8">
      <c r="H64231" s="680" t="s">
        <v>6153</v>
      </c>
    </row>
    <row r="64232" spans="8:8">
      <c r="H64232" s="680" t="s">
        <v>6153</v>
      </c>
    </row>
    <row r="64233" spans="8:8">
      <c r="H64233" s="680" t="s">
        <v>6153</v>
      </c>
    </row>
    <row r="64234" spans="8:8">
      <c r="H64234" s="680" t="s">
        <v>6153</v>
      </c>
    </row>
    <row r="64235" spans="8:8">
      <c r="H64235" s="680" t="s">
        <v>6153</v>
      </c>
    </row>
    <row r="64236" spans="8:8">
      <c r="H64236" s="680" t="s">
        <v>6153</v>
      </c>
    </row>
    <row r="64237" spans="8:8">
      <c r="H64237" s="680" t="s">
        <v>6153</v>
      </c>
    </row>
    <row r="64238" spans="8:8">
      <c r="H64238" s="680" t="s">
        <v>6153</v>
      </c>
    </row>
    <row r="64239" spans="8:8">
      <c r="H64239" s="680" t="s">
        <v>6153</v>
      </c>
    </row>
    <row r="64240" spans="8:8">
      <c r="H64240" s="680" t="s">
        <v>6153</v>
      </c>
    </row>
    <row r="64241" spans="8:8">
      <c r="H64241" s="680" t="s">
        <v>6153</v>
      </c>
    </row>
    <row r="64242" spans="8:8">
      <c r="H64242" s="680" t="s">
        <v>6153</v>
      </c>
    </row>
    <row r="64243" spans="8:8">
      <c r="H64243" s="680" t="s">
        <v>6153</v>
      </c>
    </row>
    <row r="64244" spans="8:8">
      <c r="H64244" s="680" t="s">
        <v>6153</v>
      </c>
    </row>
    <row r="64245" spans="8:8">
      <c r="H64245" s="680" t="s">
        <v>6153</v>
      </c>
    </row>
    <row r="64246" spans="8:8">
      <c r="H64246" s="680" t="s">
        <v>6153</v>
      </c>
    </row>
    <row r="64247" spans="8:8">
      <c r="H64247" s="680" t="s">
        <v>6153</v>
      </c>
    </row>
    <row r="64248" spans="8:8">
      <c r="H64248" s="680" t="s">
        <v>6153</v>
      </c>
    </row>
    <row r="64249" spans="8:8">
      <c r="H64249" s="680" t="s">
        <v>6153</v>
      </c>
    </row>
    <row r="64250" spans="8:8">
      <c r="H64250" s="680" t="s">
        <v>6153</v>
      </c>
    </row>
    <row r="64251" spans="8:8">
      <c r="H64251" s="680" t="s">
        <v>6153</v>
      </c>
    </row>
    <row r="64252" spans="8:8">
      <c r="H64252" s="680" t="s">
        <v>6153</v>
      </c>
    </row>
    <row r="64253" spans="8:8">
      <c r="H64253" s="680" t="s">
        <v>6153</v>
      </c>
    </row>
    <row r="64254" spans="8:8">
      <c r="H64254" s="680" t="s">
        <v>6153</v>
      </c>
    </row>
    <row r="64255" spans="8:8">
      <c r="H64255" s="680" t="s">
        <v>6153</v>
      </c>
    </row>
    <row r="64256" spans="8:8">
      <c r="H64256" s="680" t="s">
        <v>6153</v>
      </c>
    </row>
    <row r="64257" spans="8:8">
      <c r="H64257" s="680" t="s">
        <v>6153</v>
      </c>
    </row>
    <row r="64258" spans="8:8">
      <c r="H64258" s="680" t="s">
        <v>6153</v>
      </c>
    </row>
    <row r="64259" spans="8:8">
      <c r="H64259" s="680" t="s">
        <v>6153</v>
      </c>
    </row>
    <row r="64260" spans="8:8">
      <c r="H64260" s="680" t="s">
        <v>6153</v>
      </c>
    </row>
    <row r="64261" spans="8:8">
      <c r="H64261" s="680" t="s">
        <v>6153</v>
      </c>
    </row>
    <row r="64262" spans="8:8">
      <c r="H64262" s="680" t="s">
        <v>6153</v>
      </c>
    </row>
    <row r="64263" spans="8:8">
      <c r="H64263" s="680" t="s">
        <v>6153</v>
      </c>
    </row>
    <row r="64264" spans="8:8">
      <c r="H64264" s="680" t="s">
        <v>6153</v>
      </c>
    </row>
    <row r="64265" spans="8:8">
      <c r="H64265" s="680" t="s">
        <v>6153</v>
      </c>
    </row>
    <row r="64266" spans="8:8">
      <c r="H64266" s="680" t="s">
        <v>6153</v>
      </c>
    </row>
    <row r="64267" spans="8:8">
      <c r="H64267" s="680" t="s">
        <v>6153</v>
      </c>
    </row>
    <row r="64268" spans="8:8">
      <c r="H64268" s="680" t="s">
        <v>6153</v>
      </c>
    </row>
    <row r="64269" spans="8:8">
      <c r="H64269" s="680" t="s">
        <v>6153</v>
      </c>
    </row>
    <row r="64270" spans="8:8">
      <c r="H64270" s="680" t="s">
        <v>6153</v>
      </c>
    </row>
    <row r="64271" spans="8:8">
      <c r="H64271" s="680" t="s">
        <v>6153</v>
      </c>
    </row>
    <row r="64272" spans="8:8">
      <c r="H64272" s="680" t="s">
        <v>6153</v>
      </c>
    </row>
    <row r="64273" spans="8:8">
      <c r="H64273" s="680" t="s">
        <v>6153</v>
      </c>
    </row>
    <row r="64274" spans="8:8">
      <c r="H64274" s="680" t="s">
        <v>6153</v>
      </c>
    </row>
    <row r="64275" spans="8:8">
      <c r="H64275" s="680" t="s">
        <v>6153</v>
      </c>
    </row>
    <row r="64276" spans="8:8">
      <c r="H64276" s="680" t="s">
        <v>6153</v>
      </c>
    </row>
    <row r="64277" spans="8:8">
      <c r="H64277" s="680" t="s">
        <v>6153</v>
      </c>
    </row>
    <row r="64278" spans="8:8">
      <c r="H64278" s="680" t="s">
        <v>6153</v>
      </c>
    </row>
    <row r="64279" spans="8:8">
      <c r="H64279" s="680" t="s">
        <v>6153</v>
      </c>
    </row>
    <row r="64280" spans="8:8">
      <c r="H64280" s="680" t="s">
        <v>6153</v>
      </c>
    </row>
    <row r="64281" spans="8:8">
      <c r="H64281" s="680" t="s">
        <v>6153</v>
      </c>
    </row>
    <row r="64282" spans="8:8">
      <c r="H64282" s="680" t="s">
        <v>6153</v>
      </c>
    </row>
    <row r="64283" spans="8:8">
      <c r="H64283" s="680" t="s">
        <v>6153</v>
      </c>
    </row>
    <row r="64284" spans="8:8">
      <c r="H64284" s="680" t="s">
        <v>6153</v>
      </c>
    </row>
    <row r="64285" spans="8:8">
      <c r="H64285" s="680" t="s">
        <v>6153</v>
      </c>
    </row>
    <row r="64286" spans="8:8">
      <c r="H64286" s="680" t="s">
        <v>6153</v>
      </c>
    </row>
    <row r="64287" spans="8:8">
      <c r="H64287" s="680" t="s">
        <v>6153</v>
      </c>
    </row>
    <row r="64288" spans="8:8">
      <c r="H64288" s="680" t="s">
        <v>6153</v>
      </c>
    </row>
    <row r="64289" spans="8:8">
      <c r="H64289" s="680" t="s">
        <v>6153</v>
      </c>
    </row>
    <row r="64290" spans="8:8">
      <c r="H64290" s="680" t="s">
        <v>6153</v>
      </c>
    </row>
    <row r="64291" spans="8:8">
      <c r="H64291" s="680" t="s">
        <v>6153</v>
      </c>
    </row>
    <row r="64292" spans="8:8">
      <c r="H64292" s="680" t="s">
        <v>6153</v>
      </c>
    </row>
    <row r="64293" spans="8:8">
      <c r="H64293" s="680" t="s">
        <v>6153</v>
      </c>
    </row>
    <row r="64294" spans="8:8">
      <c r="H64294" s="680" t="s">
        <v>6153</v>
      </c>
    </row>
    <row r="64295" spans="8:8">
      <c r="H64295" s="680" t="s">
        <v>6153</v>
      </c>
    </row>
    <row r="64296" spans="8:8">
      <c r="H64296" s="680" t="s">
        <v>6153</v>
      </c>
    </row>
    <row r="64297" spans="8:8">
      <c r="H64297" s="680" t="s">
        <v>6153</v>
      </c>
    </row>
    <row r="64298" spans="8:8">
      <c r="H64298" s="680" t="s">
        <v>6153</v>
      </c>
    </row>
    <row r="64299" spans="8:8">
      <c r="H64299" s="680" t="s">
        <v>6153</v>
      </c>
    </row>
    <row r="64300" spans="8:8">
      <c r="H64300" s="680" t="s">
        <v>6153</v>
      </c>
    </row>
    <row r="64301" spans="8:8">
      <c r="H64301" s="680" t="s">
        <v>6153</v>
      </c>
    </row>
    <row r="64302" spans="8:8">
      <c r="H64302" s="680" t="s">
        <v>6153</v>
      </c>
    </row>
    <row r="64303" spans="8:8">
      <c r="H64303" s="680" t="s">
        <v>6153</v>
      </c>
    </row>
    <row r="64304" spans="8:8">
      <c r="H64304" s="680" t="s">
        <v>6153</v>
      </c>
    </row>
    <row r="64305" spans="8:8">
      <c r="H64305" s="680" t="s">
        <v>6153</v>
      </c>
    </row>
    <row r="64306" spans="8:8">
      <c r="H64306" s="680" t="s">
        <v>6153</v>
      </c>
    </row>
    <row r="64307" spans="8:8">
      <c r="H64307" s="680" t="s">
        <v>6153</v>
      </c>
    </row>
    <row r="64308" spans="8:8">
      <c r="H64308" s="680" t="s">
        <v>6153</v>
      </c>
    </row>
    <row r="64309" spans="8:8">
      <c r="H64309" s="680" t="s">
        <v>6153</v>
      </c>
    </row>
    <row r="64310" spans="8:8">
      <c r="H64310" s="680" t="s">
        <v>6153</v>
      </c>
    </row>
    <row r="64311" spans="8:8">
      <c r="H64311" s="680" t="s">
        <v>6153</v>
      </c>
    </row>
    <row r="64312" spans="8:8">
      <c r="H64312" s="680" t="s">
        <v>6153</v>
      </c>
    </row>
    <row r="64313" spans="8:8">
      <c r="H64313" s="680" t="s">
        <v>6153</v>
      </c>
    </row>
    <row r="64314" spans="8:8">
      <c r="H64314" s="680" t="s">
        <v>6153</v>
      </c>
    </row>
    <row r="64315" spans="8:8">
      <c r="H64315" s="680" t="s">
        <v>6153</v>
      </c>
    </row>
    <row r="64316" spans="8:8">
      <c r="H64316" s="680" t="s">
        <v>6153</v>
      </c>
    </row>
    <row r="64317" spans="8:8">
      <c r="H64317" s="680" t="s">
        <v>6153</v>
      </c>
    </row>
    <row r="64318" spans="8:8">
      <c r="H64318" s="680" t="s">
        <v>6153</v>
      </c>
    </row>
    <row r="64319" spans="8:8">
      <c r="H64319" s="680" t="s">
        <v>6153</v>
      </c>
    </row>
    <row r="64320" spans="8:8">
      <c r="H64320" s="680" t="s">
        <v>6153</v>
      </c>
    </row>
    <row r="64321" spans="8:8">
      <c r="H64321" s="680" t="s">
        <v>6153</v>
      </c>
    </row>
    <row r="64322" spans="8:8">
      <c r="H64322" s="680" t="s">
        <v>6153</v>
      </c>
    </row>
    <row r="64323" spans="8:8">
      <c r="H64323" s="680" t="s">
        <v>6153</v>
      </c>
    </row>
    <row r="64324" spans="8:8">
      <c r="H64324" s="680" t="s">
        <v>6153</v>
      </c>
    </row>
    <row r="64325" spans="8:8">
      <c r="H64325" s="680" t="s">
        <v>6153</v>
      </c>
    </row>
    <row r="64326" spans="8:8">
      <c r="H64326" s="680" t="s">
        <v>6153</v>
      </c>
    </row>
    <row r="64327" spans="8:8">
      <c r="H64327" s="680" t="s">
        <v>6153</v>
      </c>
    </row>
    <row r="64328" spans="8:8">
      <c r="H64328" s="680" t="s">
        <v>6153</v>
      </c>
    </row>
    <row r="64329" spans="8:8">
      <c r="H64329" s="680" t="s">
        <v>6153</v>
      </c>
    </row>
    <row r="64330" spans="8:8">
      <c r="H64330" s="680" t="s">
        <v>6153</v>
      </c>
    </row>
    <row r="64331" spans="8:8">
      <c r="H64331" s="680" t="s">
        <v>6153</v>
      </c>
    </row>
    <row r="64332" spans="8:8">
      <c r="H64332" s="680" t="s">
        <v>6153</v>
      </c>
    </row>
    <row r="64333" spans="8:8">
      <c r="H64333" s="680" t="s">
        <v>6153</v>
      </c>
    </row>
    <row r="64334" spans="8:8">
      <c r="H64334" s="680" t="s">
        <v>6153</v>
      </c>
    </row>
    <row r="64335" spans="8:8">
      <c r="H64335" s="680" t="s">
        <v>6153</v>
      </c>
    </row>
    <row r="64336" spans="8:8">
      <c r="H64336" s="680" t="s">
        <v>6153</v>
      </c>
    </row>
    <row r="64337" spans="8:8">
      <c r="H64337" s="680" t="s">
        <v>6153</v>
      </c>
    </row>
    <row r="64338" spans="8:8">
      <c r="H64338" s="680" t="s">
        <v>6153</v>
      </c>
    </row>
    <row r="64339" spans="8:8">
      <c r="H64339" s="680" t="s">
        <v>6153</v>
      </c>
    </row>
    <row r="64340" spans="8:8">
      <c r="H64340" s="680" t="s">
        <v>6153</v>
      </c>
    </row>
    <row r="64341" spans="8:8">
      <c r="H64341" s="680" t="s">
        <v>6153</v>
      </c>
    </row>
    <row r="64342" spans="8:8">
      <c r="H64342" s="680" t="s">
        <v>6153</v>
      </c>
    </row>
    <row r="64343" spans="8:8">
      <c r="H64343" s="680" t="s">
        <v>6153</v>
      </c>
    </row>
    <row r="64344" spans="8:8">
      <c r="H64344" s="680" t="s">
        <v>6153</v>
      </c>
    </row>
    <row r="64345" spans="8:8">
      <c r="H64345" s="680" t="s">
        <v>6153</v>
      </c>
    </row>
    <row r="64346" spans="8:8">
      <c r="H64346" s="680" t="s">
        <v>6153</v>
      </c>
    </row>
    <row r="64347" spans="8:8">
      <c r="H64347" s="680" t="s">
        <v>6153</v>
      </c>
    </row>
    <row r="64348" spans="8:8">
      <c r="H64348" s="680" t="s">
        <v>6153</v>
      </c>
    </row>
    <row r="64349" spans="8:8">
      <c r="H64349" s="680" t="s">
        <v>6153</v>
      </c>
    </row>
    <row r="64350" spans="8:8">
      <c r="H64350" s="680" t="s">
        <v>6153</v>
      </c>
    </row>
    <row r="64351" spans="8:8">
      <c r="H64351" s="680" t="s">
        <v>6153</v>
      </c>
    </row>
    <row r="64352" spans="8:8">
      <c r="H64352" s="680" t="s">
        <v>6153</v>
      </c>
    </row>
    <row r="64353" spans="8:8">
      <c r="H64353" s="680" t="s">
        <v>6153</v>
      </c>
    </row>
    <row r="64354" spans="8:8">
      <c r="H64354" s="680" t="s">
        <v>6153</v>
      </c>
    </row>
    <row r="64355" spans="8:8">
      <c r="H64355" s="680" t="s">
        <v>6153</v>
      </c>
    </row>
    <row r="64356" spans="8:8">
      <c r="H64356" s="680" t="s">
        <v>6153</v>
      </c>
    </row>
    <row r="64357" spans="8:8">
      <c r="H64357" s="680" t="s">
        <v>6153</v>
      </c>
    </row>
    <row r="64358" spans="8:8">
      <c r="H64358" s="680" t="s">
        <v>6153</v>
      </c>
    </row>
    <row r="64359" spans="8:8">
      <c r="H64359" s="680" t="s">
        <v>6153</v>
      </c>
    </row>
    <row r="64360" spans="8:8">
      <c r="H64360" s="680" t="s">
        <v>6153</v>
      </c>
    </row>
    <row r="64361" spans="8:8">
      <c r="H64361" s="680" t="s">
        <v>6153</v>
      </c>
    </row>
    <row r="64362" spans="8:8">
      <c r="H64362" s="680" t="s">
        <v>6153</v>
      </c>
    </row>
    <row r="64363" spans="8:8">
      <c r="H64363" s="680" t="s">
        <v>6153</v>
      </c>
    </row>
    <row r="64364" spans="8:8">
      <c r="H64364" s="680" t="s">
        <v>6153</v>
      </c>
    </row>
    <row r="64365" spans="8:8">
      <c r="H64365" s="680" t="s">
        <v>6153</v>
      </c>
    </row>
    <row r="64366" spans="8:8">
      <c r="H64366" s="680" t="s">
        <v>6153</v>
      </c>
    </row>
    <row r="64367" spans="8:8">
      <c r="H64367" s="680" t="s">
        <v>6153</v>
      </c>
    </row>
    <row r="64368" spans="8:8">
      <c r="H64368" s="680" t="s">
        <v>6153</v>
      </c>
    </row>
    <row r="64369" spans="8:8">
      <c r="H64369" s="680" t="s">
        <v>6153</v>
      </c>
    </row>
    <row r="64370" spans="8:8">
      <c r="H64370" s="680" t="s">
        <v>6153</v>
      </c>
    </row>
    <row r="64371" spans="8:8">
      <c r="H64371" s="680" t="s">
        <v>6153</v>
      </c>
    </row>
    <row r="64372" spans="8:8">
      <c r="H64372" s="680" t="s">
        <v>6153</v>
      </c>
    </row>
    <row r="64373" spans="8:8">
      <c r="H64373" s="680" t="s">
        <v>6153</v>
      </c>
    </row>
    <row r="64374" spans="8:8">
      <c r="H64374" s="680" t="s">
        <v>6153</v>
      </c>
    </row>
    <row r="64375" spans="8:8">
      <c r="H64375" s="680" t="s">
        <v>6153</v>
      </c>
    </row>
    <row r="64376" spans="8:8">
      <c r="H64376" s="680" t="s">
        <v>6153</v>
      </c>
    </row>
    <row r="64377" spans="8:8">
      <c r="H64377" s="680" t="s">
        <v>6153</v>
      </c>
    </row>
    <row r="64378" spans="8:8">
      <c r="H64378" s="680" t="s">
        <v>6153</v>
      </c>
    </row>
    <row r="64379" spans="8:8">
      <c r="H64379" s="680" t="s">
        <v>6153</v>
      </c>
    </row>
    <row r="64380" spans="8:8">
      <c r="H64380" s="680" t="s">
        <v>6153</v>
      </c>
    </row>
    <row r="64381" spans="8:8">
      <c r="H64381" s="680" t="s">
        <v>6153</v>
      </c>
    </row>
    <row r="64382" spans="8:8">
      <c r="H64382" s="680" t="s">
        <v>6153</v>
      </c>
    </row>
    <row r="64383" spans="8:8">
      <c r="H64383" s="680" t="s">
        <v>6153</v>
      </c>
    </row>
    <row r="64384" spans="8:8">
      <c r="H64384" s="680" t="s">
        <v>6153</v>
      </c>
    </row>
    <row r="64385" spans="8:8">
      <c r="H64385" s="680" t="s">
        <v>6153</v>
      </c>
    </row>
    <row r="64386" spans="8:8">
      <c r="H64386" s="680" t="s">
        <v>6153</v>
      </c>
    </row>
    <row r="64387" spans="8:8">
      <c r="H64387" s="680" t="s">
        <v>6153</v>
      </c>
    </row>
    <row r="64388" spans="8:8">
      <c r="H64388" s="680" t="s">
        <v>6153</v>
      </c>
    </row>
    <row r="64389" spans="8:8">
      <c r="H64389" s="680" t="s">
        <v>6153</v>
      </c>
    </row>
    <row r="64390" spans="8:8">
      <c r="H64390" s="680" t="s">
        <v>6153</v>
      </c>
    </row>
    <row r="64391" spans="8:8">
      <c r="H64391" s="680" t="s">
        <v>6153</v>
      </c>
    </row>
    <row r="64392" spans="8:8">
      <c r="H64392" s="680" t="s">
        <v>6153</v>
      </c>
    </row>
    <row r="64393" spans="8:8">
      <c r="H64393" s="680" t="s">
        <v>6153</v>
      </c>
    </row>
    <row r="64394" spans="8:8">
      <c r="H64394" s="680" t="s">
        <v>6153</v>
      </c>
    </row>
    <row r="64395" spans="8:8">
      <c r="H64395" s="680" t="s">
        <v>6153</v>
      </c>
    </row>
    <row r="64396" spans="8:8">
      <c r="H64396" s="680" t="s">
        <v>6153</v>
      </c>
    </row>
    <row r="64397" spans="8:8">
      <c r="H64397" s="680" t="s">
        <v>6153</v>
      </c>
    </row>
    <row r="64398" spans="8:8">
      <c r="H64398" s="680" t="s">
        <v>6153</v>
      </c>
    </row>
    <row r="64399" spans="8:8">
      <c r="H64399" s="680" t="s">
        <v>6153</v>
      </c>
    </row>
    <row r="64400" spans="8:8">
      <c r="H64400" s="680" t="s">
        <v>6153</v>
      </c>
    </row>
    <row r="64401" spans="8:8">
      <c r="H64401" s="680" t="s">
        <v>6153</v>
      </c>
    </row>
    <row r="64402" spans="8:8">
      <c r="H64402" s="680" t="s">
        <v>6153</v>
      </c>
    </row>
    <row r="64403" spans="8:8">
      <c r="H64403" s="680" t="s">
        <v>6153</v>
      </c>
    </row>
    <row r="64404" spans="8:8">
      <c r="H64404" s="680" t="s">
        <v>6153</v>
      </c>
    </row>
    <row r="64405" spans="8:8">
      <c r="H64405" s="680" t="s">
        <v>6153</v>
      </c>
    </row>
    <row r="64406" spans="8:8">
      <c r="H64406" s="680" t="s">
        <v>6153</v>
      </c>
    </row>
    <row r="64407" spans="8:8">
      <c r="H64407" s="680" t="s">
        <v>6153</v>
      </c>
    </row>
    <row r="64408" spans="8:8">
      <c r="H64408" s="680" t="s">
        <v>6153</v>
      </c>
    </row>
    <row r="64409" spans="8:8">
      <c r="H64409" s="680" t="s">
        <v>6153</v>
      </c>
    </row>
    <row r="64410" spans="8:8">
      <c r="H64410" s="680" t="s">
        <v>6153</v>
      </c>
    </row>
    <row r="64411" spans="8:8">
      <c r="H64411" s="680" t="s">
        <v>6153</v>
      </c>
    </row>
    <row r="64412" spans="8:8">
      <c r="H64412" s="680" t="s">
        <v>6153</v>
      </c>
    </row>
    <row r="64413" spans="8:8">
      <c r="H64413" s="680" t="s">
        <v>6153</v>
      </c>
    </row>
    <row r="64414" spans="8:8">
      <c r="H64414" s="680" t="s">
        <v>6153</v>
      </c>
    </row>
    <row r="64415" spans="8:8">
      <c r="H64415" s="680" t="s">
        <v>6153</v>
      </c>
    </row>
    <row r="64416" spans="8:8">
      <c r="H64416" s="680" t="s">
        <v>6153</v>
      </c>
    </row>
    <row r="64417" spans="8:8">
      <c r="H64417" s="680" t="s">
        <v>6153</v>
      </c>
    </row>
    <row r="64418" spans="8:8">
      <c r="H64418" s="680" t="s">
        <v>6153</v>
      </c>
    </row>
    <row r="64419" spans="8:8">
      <c r="H64419" s="680" t="s">
        <v>6153</v>
      </c>
    </row>
    <row r="64420" spans="8:8">
      <c r="H64420" s="680" t="s">
        <v>6153</v>
      </c>
    </row>
    <row r="64421" spans="8:8">
      <c r="H64421" s="680" t="s">
        <v>6153</v>
      </c>
    </row>
    <row r="64422" spans="8:8">
      <c r="H64422" s="680" t="s">
        <v>6153</v>
      </c>
    </row>
    <row r="64423" spans="8:8">
      <c r="H64423" s="680" t="s">
        <v>6153</v>
      </c>
    </row>
    <row r="64424" spans="8:8">
      <c r="H64424" s="680" t="s">
        <v>6153</v>
      </c>
    </row>
    <row r="64425" spans="8:8">
      <c r="H64425" s="680" t="s">
        <v>6153</v>
      </c>
    </row>
    <row r="64426" spans="8:8">
      <c r="H64426" s="680" t="s">
        <v>6153</v>
      </c>
    </row>
    <row r="64427" spans="8:8">
      <c r="H64427" s="680" t="s">
        <v>6153</v>
      </c>
    </row>
    <row r="64428" spans="8:8">
      <c r="H64428" s="680" t="s">
        <v>6153</v>
      </c>
    </row>
    <row r="64429" spans="8:8">
      <c r="H64429" s="680" t="s">
        <v>6153</v>
      </c>
    </row>
    <row r="64430" spans="8:8">
      <c r="H64430" s="680" t="s">
        <v>6153</v>
      </c>
    </row>
    <row r="64431" spans="8:8">
      <c r="H64431" s="680" t="s">
        <v>6153</v>
      </c>
    </row>
    <row r="64432" spans="8:8">
      <c r="H64432" s="680" t="s">
        <v>6153</v>
      </c>
    </row>
    <row r="64433" spans="8:8">
      <c r="H64433" s="680" t="s">
        <v>6153</v>
      </c>
    </row>
    <row r="64434" spans="8:8">
      <c r="H64434" s="680" t="s">
        <v>6153</v>
      </c>
    </row>
    <row r="64435" spans="8:8">
      <c r="H64435" s="680" t="s">
        <v>6153</v>
      </c>
    </row>
    <row r="64436" spans="8:8">
      <c r="H64436" s="680" t="s">
        <v>6153</v>
      </c>
    </row>
    <row r="64437" spans="8:8">
      <c r="H64437" s="680" t="s">
        <v>6153</v>
      </c>
    </row>
    <row r="64438" spans="8:8">
      <c r="H64438" s="680" t="s">
        <v>6153</v>
      </c>
    </row>
    <row r="64439" spans="8:8">
      <c r="H64439" s="680" t="s">
        <v>6153</v>
      </c>
    </row>
    <row r="64440" spans="8:8">
      <c r="H64440" s="680" t="s">
        <v>6153</v>
      </c>
    </row>
    <row r="64441" spans="8:8">
      <c r="H64441" s="680" t="s">
        <v>6153</v>
      </c>
    </row>
    <row r="64442" spans="8:8">
      <c r="H64442" s="680" t="s">
        <v>6153</v>
      </c>
    </row>
    <row r="64443" spans="8:8">
      <c r="H64443" s="680" t="s">
        <v>6153</v>
      </c>
    </row>
    <row r="64444" spans="8:8">
      <c r="H64444" s="680" t="s">
        <v>6153</v>
      </c>
    </row>
    <row r="64445" spans="8:8">
      <c r="H64445" s="680" t="s">
        <v>6153</v>
      </c>
    </row>
    <row r="64446" spans="8:8">
      <c r="H64446" s="680" t="s">
        <v>6153</v>
      </c>
    </row>
    <row r="64447" spans="8:8">
      <c r="H64447" s="680" t="s">
        <v>6153</v>
      </c>
    </row>
    <row r="64448" spans="8:8">
      <c r="H64448" s="680" t="s">
        <v>6153</v>
      </c>
    </row>
    <row r="64449" spans="8:8">
      <c r="H64449" s="680" t="s">
        <v>6153</v>
      </c>
    </row>
    <row r="64450" spans="8:8">
      <c r="H64450" s="680" t="s">
        <v>6153</v>
      </c>
    </row>
    <row r="64451" spans="8:8">
      <c r="H64451" s="680" t="s">
        <v>6153</v>
      </c>
    </row>
    <row r="64452" spans="8:8">
      <c r="H64452" s="680" t="s">
        <v>6153</v>
      </c>
    </row>
    <row r="64453" spans="8:8">
      <c r="H64453" s="680" t="s">
        <v>6153</v>
      </c>
    </row>
    <row r="64454" spans="8:8">
      <c r="H64454" s="680" t="s">
        <v>6153</v>
      </c>
    </row>
    <row r="64455" spans="8:8">
      <c r="H64455" s="680" t="s">
        <v>6153</v>
      </c>
    </row>
    <row r="64456" spans="8:8">
      <c r="H64456" s="680" t="s">
        <v>6153</v>
      </c>
    </row>
    <row r="64457" spans="8:8">
      <c r="H64457" s="680" t="s">
        <v>6153</v>
      </c>
    </row>
    <row r="64458" spans="8:8">
      <c r="H64458" s="680" t="s">
        <v>6153</v>
      </c>
    </row>
    <row r="64459" spans="8:8">
      <c r="H64459" s="680" t="s">
        <v>6153</v>
      </c>
    </row>
    <row r="64460" spans="8:8">
      <c r="H64460" s="680" t="s">
        <v>6153</v>
      </c>
    </row>
    <row r="64461" spans="8:8">
      <c r="H64461" s="680" t="s">
        <v>6153</v>
      </c>
    </row>
    <row r="64462" spans="8:8">
      <c r="H64462" s="680" t="s">
        <v>6153</v>
      </c>
    </row>
    <row r="64463" spans="8:8">
      <c r="H64463" s="680" t="s">
        <v>6153</v>
      </c>
    </row>
    <row r="64464" spans="8:8">
      <c r="H64464" s="680" t="s">
        <v>6153</v>
      </c>
    </row>
    <row r="64465" spans="8:8">
      <c r="H64465" s="680" t="s">
        <v>6153</v>
      </c>
    </row>
    <row r="64466" spans="8:8">
      <c r="H64466" s="680" t="s">
        <v>6153</v>
      </c>
    </row>
    <row r="64467" spans="8:8">
      <c r="H64467" s="680" t="s">
        <v>6153</v>
      </c>
    </row>
    <row r="64468" spans="8:8">
      <c r="H64468" s="680" t="s">
        <v>6153</v>
      </c>
    </row>
    <row r="64469" spans="8:8">
      <c r="H64469" s="680" t="s">
        <v>6153</v>
      </c>
    </row>
    <row r="64470" spans="8:8">
      <c r="H64470" s="680" t="s">
        <v>6153</v>
      </c>
    </row>
    <row r="64471" spans="8:8">
      <c r="H64471" s="680" t="s">
        <v>6153</v>
      </c>
    </row>
    <row r="64472" spans="8:8">
      <c r="H64472" s="680" t="s">
        <v>6153</v>
      </c>
    </row>
    <row r="64473" spans="8:8">
      <c r="H64473" s="680" t="s">
        <v>6153</v>
      </c>
    </row>
    <row r="64474" spans="8:8">
      <c r="H64474" s="680" t="s">
        <v>6153</v>
      </c>
    </row>
    <row r="64475" spans="8:8">
      <c r="H64475" s="680" t="s">
        <v>6153</v>
      </c>
    </row>
    <row r="64476" spans="8:8">
      <c r="H64476" s="680" t="s">
        <v>6153</v>
      </c>
    </row>
    <row r="64477" spans="8:8">
      <c r="H64477" s="680" t="s">
        <v>6153</v>
      </c>
    </row>
    <row r="64478" spans="8:8">
      <c r="H64478" s="680" t="s">
        <v>6153</v>
      </c>
    </row>
    <row r="64479" spans="8:8">
      <c r="H64479" s="680" t="s">
        <v>6153</v>
      </c>
    </row>
    <row r="64480" spans="8:8">
      <c r="H64480" s="680" t="s">
        <v>6153</v>
      </c>
    </row>
    <row r="64481" spans="8:8">
      <c r="H64481" s="680" t="s">
        <v>6153</v>
      </c>
    </row>
    <row r="64482" spans="8:8">
      <c r="H64482" s="680" t="s">
        <v>6153</v>
      </c>
    </row>
    <row r="64483" spans="8:8">
      <c r="H64483" s="680" t="s">
        <v>6153</v>
      </c>
    </row>
    <row r="64484" spans="8:8">
      <c r="H64484" s="680" t="s">
        <v>6153</v>
      </c>
    </row>
    <row r="64485" spans="8:8">
      <c r="H64485" s="680" t="s">
        <v>6153</v>
      </c>
    </row>
    <row r="64486" spans="8:8">
      <c r="H64486" s="680" t="s">
        <v>6153</v>
      </c>
    </row>
    <row r="64487" spans="8:8">
      <c r="H64487" s="680" t="s">
        <v>6153</v>
      </c>
    </row>
    <row r="64488" spans="8:8">
      <c r="H64488" s="680" t="s">
        <v>6153</v>
      </c>
    </row>
    <row r="64489" spans="8:8">
      <c r="H64489" s="680" t="s">
        <v>6153</v>
      </c>
    </row>
    <row r="64490" spans="8:8">
      <c r="H64490" s="680" t="s">
        <v>6153</v>
      </c>
    </row>
    <row r="64491" spans="8:8">
      <c r="H64491" s="680" t="s">
        <v>6153</v>
      </c>
    </row>
    <row r="64492" spans="8:8">
      <c r="H64492" s="680" t="s">
        <v>6153</v>
      </c>
    </row>
    <row r="64493" spans="8:8">
      <c r="H64493" s="680" t="s">
        <v>6153</v>
      </c>
    </row>
    <row r="64494" spans="8:8">
      <c r="H64494" s="680" t="s">
        <v>6153</v>
      </c>
    </row>
    <row r="64495" spans="8:8">
      <c r="H64495" s="680" t="s">
        <v>6153</v>
      </c>
    </row>
    <row r="64496" spans="8:8">
      <c r="H64496" s="680" t="s">
        <v>6153</v>
      </c>
    </row>
    <row r="64497" spans="8:8">
      <c r="H64497" s="680" t="s">
        <v>6153</v>
      </c>
    </row>
    <row r="64498" spans="8:8">
      <c r="H64498" s="680" t="s">
        <v>6153</v>
      </c>
    </row>
    <row r="64499" spans="8:8">
      <c r="H64499" s="680" t="s">
        <v>6153</v>
      </c>
    </row>
    <row r="64500" spans="8:8">
      <c r="H64500" s="680" t="s">
        <v>6153</v>
      </c>
    </row>
    <row r="64501" spans="8:8">
      <c r="H64501" s="680" t="s">
        <v>6153</v>
      </c>
    </row>
    <row r="64502" spans="8:8">
      <c r="H64502" s="680" t="s">
        <v>6153</v>
      </c>
    </row>
    <row r="64503" spans="8:8">
      <c r="H64503" s="680" t="s">
        <v>6153</v>
      </c>
    </row>
    <row r="64504" spans="8:8">
      <c r="H64504" s="680" t="s">
        <v>6153</v>
      </c>
    </row>
    <row r="64505" spans="8:8">
      <c r="H64505" s="680" t="s">
        <v>6153</v>
      </c>
    </row>
    <row r="64506" spans="8:8">
      <c r="H64506" s="680" t="s">
        <v>6153</v>
      </c>
    </row>
    <row r="64507" spans="8:8">
      <c r="H64507" s="680" t="s">
        <v>6153</v>
      </c>
    </row>
    <row r="64508" spans="8:8">
      <c r="H64508" s="680" t="s">
        <v>6153</v>
      </c>
    </row>
    <row r="64509" spans="8:8">
      <c r="H64509" s="680" t="s">
        <v>6153</v>
      </c>
    </row>
    <row r="64510" spans="8:8">
      <c r="H64510" s="680" t="s">
        <v>6153</v>
      </c>
    </row>
    <row r="64511" spans="8:8">
      <c r="H64511" s="680" t="s">
        <v>6153</v>
      </c>
    </row>
    <row r="64512" spans="8:8">
      <c r="H64512" s="680" t="s">
        <v>6153</v>
      </c>
    </row>
    <row r="64513" spans="8:8">
      <c r="H64513" s="680" t="s">
        <v>6153</v>
      </c>
    </row>
    <row r="64514" spans="8:8">
      <c r="H64514" s="680" t="s">
        <v>6153</v>
      </c>
    </row>
    <row r="64515" spans="8:8">
      <c r="H64515" s="680" t="s">
        <v>6153</v>
      </c>
    </row>
    <row r="64516" spans="8:8">
      <c r="H64516" s="680" t="s">
        <v>6153</v>
      </c>
    </row>
    <row r="64517" spans="8:8">
      <c r="H64517" s="680" t="s">
        <v>6153</v>
      </c>
    </row>
    <row r="64518" spans="8:8">
      <c r="H64518" s="680" t="s">
        <v>6153</v>
      </c>
    </row>
    <row r="64519" spans="8:8">
      <c r="H64519" s="680" t="s">
        <v>6153</v>
      </c>
    </row>
    <row r="64520" spans="8:8">
      <c r="H64520" s="680" t="s">
        <v>6153</v>
      </c>
    </row>
    <row r="64521" spans="8:8">
      <c r="H64521" s="680" t="s">
        <v>6153</v>
      </c>
    </row>
    <row r="64522" spans="8:8">
      <c r="H64522" s="680" t="s">
        <v>6153</v>
      </c>
    </row>
    <row r="64523" spans="8:8">
      <c r="H64523" s="680" t="s">
        <v>6153</v>
      </c>
    </row>
    <row r="64524" spans="8:8">
      <c r="H64524" s="680" t="s">
        <v>6153</v>
      </c>
    </row>
    <row r="64525" spans="8:8">
      <c r="H64525" s="680" t="s">
        <v>6153</v>
      </c>
    </row>
    <row r="64526" spans="8:8">
      <c r="H64526" s="680" t="s">
        <v>6153</v>
      </c>
    </row>
    <row r="64527" spans="8:8">
      <c r="H64527" s="680" t="s">
        <v>6153</v>
      </c>
    </row>
    <row r="64528" spans="8:8">
      <c r="H64528" s="680" t="s">
        <v>6153</v>
      </c>
    </row>
    <row r="64529" spans="8:8">
      <c r="H64529" s="680" t="s">
        <v>6153</v>
      </c>
    </row>
    <row r="64530" spans="8:8">
      <c r="H64530" s="680" t="s">
        <v>6153</v>
      </c>
    </row>
    <row r="64531" spans="8:8">
      <c r="H64531" s="680" t="s">
        <v>6153</v>
      </c>
    </row>
    <row r="64532" spans="8:8">
      <c r="H64532" s="680" t="s">
        <v>6153</v>
      </c>
    </row>
    <row r="64533" spans="8:8">
      <c r="H64533" s="680" t="s">
        <v>6153</v>
      </c>
    </row>
    <row r="64534" spans="8:8">
      <c r="H64534" s="680" t="s">
        <v>6153</v>
      </c>
    </row>
    <row r="64535" spans="8:8">
      <c r="H64535" s="680" t="s">
        <v>6153</v>
      </c>
    </row>
    <row r="64536" spans="8:8">
      <c r="H64536" s="680" t="s">
        <v>6153</v>
      </c>
    </row>
    <row r="64537" spans="8:8">
      <c r="H64537" s="680" t="s">
        <v>6153</v>
      </c>
    </row>
    <row r="64538" spans="8:8">
      <c r="H64538" s="680" t="s">
        <v>6153</v>
      </c>
    </row>
    <row r="64539" spans="8:8">
      <c r="H64539" s="680" t="s">
        <v>6153</v>
      </c>
    </row>
    <row r="64540" spans="8:8">
      <c r="H64540" s="680" t="s">
        <v>6153</v>
      </c>
    </row>
    <row r="64541" spans="8:8">
      <c r="H64541" s="680" t="s">
        <v>6153</v>
      </c>
    </row>
    <row r="64542" spans="8:8">
      <c r="H64542" s="680" t="s">
        <v>6153</v>
      </c>
    </row>
    <row r="64543" spans="8:8">
      <c r="H64543" s="680" t="s">
        <v>6153</v>
      </c>
    </row>
    <row r="64544" spans="8:8">
      <c r="H64544" s="680" t="s">
        <v>6153</v>
      </c>
    </row>
    <row r="64545" spans="8:8">
      <c r="H64545" s="680" t="s">
        <v>6153</v>
      </c>
    </row>
    <row r="64546" spans="8:8">
      <c r="H64546" s="680" t="s">
        <v>6153</v>
      </c>
    </row>
    <row r="64547" spans="8:8">
      <c r="H64547" s="680" t="s">
        <v>6153</v>
      </c>
    </row>
    <row r="64548" spans="8:8">
      <c r="H64548" s="680" t="s">
        <v>6153</v>
      </c>
    </row>
    <row r="64549" spans="8:8">
      <c r="H64549" s="680" t="s">
        <v>6153</v>
      </c>
    </row>
    <row r="64550" spans="8:8">
      <c r="H64550" s="680" t="s">
        <v>6153</v>
      </c>
    </row>
    <row r="64551" spans="8:8">
      <c r="H64551" s="680" t="s">
        <v>6153</v>
      </c>
    </row>
    <row r="64552" spans="8:8">
      <c r="H64552" s="680" t="s">
        <v>6153</v>
      </c>
    </row>
    <row r="64553" spans="8:8">
      <c r="H64553" s="680" t="s">
        <v>6153</v>
      </c>
    </row>
    <row r="64554" spans="8:8">
      <c r="H64554" s="680" t="s">
        <v>6153</v>
      </c>
    </row>
    <row r="64555" spans="8:8">
      <c r="H64555" s="680" t="s">
        <v>6153</v>
      </c>
    </row>
    <row r="64556" spans="8:8">
      <c r="H64556" s="680" t="s">
        <v>6153</v>
      </c>
    </row>
    <row r="64557" spans="8:8">
      <c r="H64557" s="680" t="s">
        <v>6153</v>
      </c>
    </row>
    <row r="64558" spans="8:8">
      <c r="H64558" s="680" t="s">
        <v>6153</v>
      </c>
    </row>
    <row r="64559" spans="8:8">
      <c r="H64559" s="680" t="s">
        <v>6153</v>
      </c>
    </row>
    <row r="64560" spans="8:8">
      <c r="H64560" s="680" t="s">
        <v>6153</v>
      </c>
    </row>
    <row r="64561" spans="8:8">
      <c r="H64561" s="680" t="s">
        <v>6153</v>
      </c>
    </row>
    <row r="64562" spans="8:8">
      <c r="H64562" s="680" t="s">
        <v>6153</v>
      </c>
    </row>
    <row r="64563" spans="8:8">
      <c r="H64563" s="680" t="s">
        <v>6153</v>
      </c>
    </row>
    <row r="64564" spans="8:8">
      <c r="H64564" s="680" t="s">
        <v>6153</v>
      </c>
    </row>
    <row r="64565" spans="8:8">
      <c r="H64565" s="680" t="s">
        <v>6153</v>
      </c>
    </row>
    <row r="64566" spans="8:8">
      <c r="H64566" s="680" t="s">
        <v>6153</v>
      </c>
    </row>
    <row r="64567" spans="8:8">
      <c r="H64567" s="680" t="s">
        <v>6153</v>
      </c>
    </row>
    <row r="64568" spans="8:8">
      <c r="H64568" s="680" t="s">
        <v>6153</v>
      </c>
    </row>
    <row r="64569" spans="8:8">
      <c r="H64569" s="680" t="s">
        <v>6153</v>
      </c>
    </row>
    <row r="64570" spans="8:8">
      <c r="H64570" s="680" t="s">
        <v>6153</v>
      </c>
    </row>
    <row r="64571" spans="8:8">
      <c r="H64571" s="680" t="s">
        <v>6153</v>
      </c>
    </row>
    <row r="64572" spans="8:8">
      <c r="H64572" s="680" t="s">
        <v>6153</v>
      </c>
    </row>
    <row r="64573" spans="8:8">
      <c r="H64573" s="680" t="s">
        <v>6153</v>
      </c>
    </row>
    <row r="64574" spans="8:8">
      <c r="H64574" s="680" t="s">
        <v>6153</v>
      </c>
    </row>
    <row r="64575" spans="8:8">
      <c r="H64575" s="680" t="s">
        <v>6153</v>
      </c>
    </row>
    <row r="64576" spans="8:8">
      <c r="H64576" s="680" t="s">
        <v>6153</v>
      </c>
    </row>
    <row r="64577" spans="8:8">
      <c r="H64577" s="680" t="s">
        <v>6153</v>
      </c>
    </row>
    <row r="64578" spans="8:8">
      <c r="H64578" s="680" t="s">
        <v>6153</v>
      </c>
    </row>
    <row r="64579" spans="8:8">
      <c r="H64579" s="680" t="s">
        <v>6153</v>
      </c>
    </row>
    <row r="64580" spans="8:8">
      <c r="H64580" s="680" t="s">
        <v>6153</v>
      </c>
    </row>
    <row r="64581" spans="8:8">
      <c r="H64581" s="680" t="s">
        <v>6153</v>
      </c>
    </row>
    <row r="64582" spans="8:8">
      <c r="H64582" s="680" t="s">
        <v>6153</v>
      </c>
    </row>
    <row r="64583" spans="8:8">
      <c r="H64583" s="680" t="s">
        <v>6153</v>
      </c>
    </row>
    <row r="64584" spans="8:8">
      <c r="H64584" s="680" t="s">
        <v>6153</v>
      </c>
    </row>
    <row r="64585" spans="8:8">
      <c r="H64585" s="680" t="s">
        <v>6153</v>
      </c>
    </row>
    <row r="64586" spans="8:8">
      <c r="H64586" s="680" t="s">
        <v>6153</v>
      </c>
    </row>
    <row r="64587" spans="8:8">
      <c r="H64587" s="680" t="s">
        <v>6153</v>
      </c>
    </row>
    <row r="64588" spans="8:8">
      <c r="H64588" s="680" t="s">
        <v>6153</v>
      </c>
    </row>
    <row r="64589" spans="8:8">
      <c r="H64589" s="680" t="s">
        <v>6153</v>
      </c>
    </row>
    <row r="64590" spans="8:8">
      <c r="H64590" s="680" t="s">
        <v>6153</v>
      </c>
    </row>
    <row r="64591" spans="8:8">
      <c r="H64591" s="680" t="s">
        <v>6153</v>
      </c>
    </row>
    <row r="64592" spans="8:8">
      <c r="H64592" s="680" t="s">
        <v>6153</v>
      </c>
    </row>
    <row r="64593" spans="8:8">
      <c r="H64593" s="680" t="s">
        <v>6153</v>
      </c>
    </row>
    <row r="64594" spans="8:8">
      <c r="H64594" s="680" t="s">
        <v>6153</v>
      </c>
    </row>
    <row r="64595" spans="8:8">
      <c r="H64595" s="680" t="s">
        <v>6153</v>
      </c>
    </row>
    <row r="64596" spans="8:8">
      <c r="H64596" s="680" t="s">
        <v>6153</v>
      </c>
    </row>
    <row r="64597" spans="8:8">
      <c r="H64597" s="680" t="s">
        <v>6153</v>
      </c>
    </row>
    <row r="64598" spans="8:8">
      <c r="H64598" s="680" t="s">
        <v>6153</v>
      </c>
    </row>
    <row r="64599" spans="8:8">
      <c r="H64599" s="680" t="s">
        <v>6153</v>
      </c>
    </row>
    <row r="64600" spans="8:8">
      <c r="H64600" s="680" t="s">
        <v>6153</v>
      </c>
    </row>
    <row r="64601" spans="8:8">
      <c r="H64601" s="680" t="s">
        <v>6153</v>
      </c>
    </row>
    <row r="64602" spans="8:8">
      <c r="H64602" s="680" t="s">
        <v>6153</v>
      </c>
    </row>
    <row r="64603" spans="8:8">
      <c r="H64603" s="680" t="s">
        <v>6153</v>
      </c>
    </row>
    <row r="64604" spans="8:8">
      <c r="H64604" s="680" t="s">
        <v>6153</v>
      </c>
    </row>
    <row r="64605" spans="8:8">
      <c r="H64605" s="680" t="s">
        <v>6153</v>
      </c>
    </row>
    <row r="64606" spans="8:8">
      <c r="H64606" s="680" t="s">
        <v>6153</v>
      </c>
    </row>
    <row r="64607" spans="8:8">
      <c r="H64607" s="680" t="s">
        <v>6153</v>
      </c>
    </row>
    <row r="64608" spans="8:8">
      <c r="H64608" s="680" t="s">
        <v>6153</v>
      </c>
    </row>
    <row r="64609" spans="8:8">
      <c r="H64609" s="680" t="s">
        <v>6153</v>
      </c>
    </row>
    <row r="64610" spans="8:8">
      <c r="H64610" s="680" t="s">
        <v>6153</v>
      </c>
    </row>
    <row r="64611" spans="8:8">
      <c r="H64611" s="680" t="s">
        <v>6153</v>
      </c>
    </row>
    <row r="64612" spans="8:8">
      <c r="H64612" s="680" t="s">
        <v>6153</v>
      </c>
    </row>
    <row r="64613" spans="8:8">
      <c r="H64613" s="680" t="s">
        <v>6153</v>
      </c>
    </row>
    <row r="64614" spans="8:8">
      <c r="H64614" s="680" t="s">
        <v>6153</v>
      </c>
    </row>
    <row r="64615" spans="8:8">
      <c r="H64615" s="680" t="s">
        <v>6153</v>
      </c>
    </row>
    <row r="64616" spans="8:8">
      <c r="H64616" s="680" t="s">
        <v>6153</v>
      </c>
    </row>
    <row r="64617" spans="8:8">
      <c r="H64617" s="680" t="s">
        <v>6153</v>
      </c>
    </row>
    <row r="64618" spans="8:8">
      <c r="H64618" s="680" t="s">
        <v>6153</v>
      </c>
    </row>
    <row r="64619" spans="8:8">
      <c r="H64619" s="680" t="s">
        <v>6153</v>
      </c>
    </row>
    <row r="64620" spans="8:8">
      <c r="H64620" s="680" t="s">
        <v>6153</v>
      </c>
    </row>
    <row r="64621" spans="8:8">
      <c r="H64621" s="680" t="s">
        <v>6153</v>
      </c>
    </row>
    <row r="64622" spans="8:8">
      <c r="H64622" s="680" t="s">
        <v>6153</v>
      </c>
    </row>
    <row r="64623" spans="8:8">
      <c r="H64623" s="680" t="s">
        <v>6153</v>
      </c>
    </row>
    <row r="64624" spans="8:8">
      <c r="H64624" s="680" t="s">
        <v>6153</v>
      </c>
    </row>
    <row r="64625" spans="8:8">
      <c r="H64625" s="680" t="s">
        <v>6153</v>
      </c>
    </row>
    <row r="64626" spans="8:8">
      <c r="H64626" s="680" t="s">
        <v>6153</v>
      </c>
    </row>
    <row r="64627" spans="8:8">
      <c r="H64627" s="680" t="s">
        <v>6153</v>
      </c>
    </row>
    <row r="64628" spans="8:8">
      <c r="H64628" s="680" t="s">
        <v>6153</v>
      </c>
    </row>
    <row r="64629" spans="8:8">
      <c r="H64629" s="680" t="s">
        <v>6153</v>
      </c>
    </row>
    <row r="64630" spans="8:8">
      <c r="H64630" s="680" t="s">
        <v>6153</v>
      </c>
    </row>
    <row r="64631" spans="8:8">
      <c r="H64631" s="680" t="s">
        <v>6153</v>
      </c>
    </row>
    <row r="64632" spans="8:8">
      <c r="H64632" s="680" t="s">
        <v>6153</v>
      </c>
    </row>
    <row r="64633" spans="8:8">
      <c r="H64633" s="680" t="s">
        <v>6153</v>
      </c>
    </row>
    <row r="64634" spans="8:8">
      <c r="H64634" s="680" t="s">
        <v>6153</v>
      </c>
    </row>
    <row r="64635" spans="8:8">
      <c r="H64635" s="680" t="s">
        <v>6153</v>
      </c>
    </row>
    <row r="64636" spans="8:8">
      <c r="H64636" s="680" t="s">
        <v>6153</v>
      </c>
    </row>
    <row r="64637" spans="8:8">
      <c r="H64637" s="680" t="s">
        <v>6153</v>
      </c>
    </row>
    <row r="64638" spans="8:8">
      <c r="H64638" s="680" t="s">
        <v>6153</v>
      </c>
    </row>
    <row r="64639" spans="8:8">
      <c r="H64639" s="680" t="s">
        <v>6153</v>
      </c>
    </row>
    <row r="64640" spans="8:8">
      <c r="H64640" s="680" t="s">
        <v>6153</v>
      </c>
    </row>
    <row r="64641" spans="8:8">
      <c r="H64641" s="680" t="s">
        <v>6153</v>
      </c>
    </row>
    <row r="64642" spans="8:8">
      <c r="H64642" s="680" t="s">
        <v>6153</v>
      </c>
    </row>
    <row r="64643" spans="8:8">
      <c r="H64643" s="680" t="s">
        <v>6153</v>
      </c>
    </row>
    <row r="64644" spans="8:8">
      <c r="H64644" s="680" t="s">
        <v>6153</v>
      </c>
    </row>
    <row r="64645" spans="8:8">
      <c r="H64645" s="680" t="s">
        <v>6153</v>
      </c>
    </row>
    <row r="64646" spans="8:8">
      <c r="H64646" s="680" t="s">
        <v>6153</v>
      </c>
    </row>
    <row r="64647" spans="8:8">
      <c r="H64647" s="680" t="s">
        <v>6153</v>
      </c>
    </row>
    <row r="64648" spans="8:8">
      <c r="H64648" s="680" t="s">
        <v>6153</v>
      </c>
    </row>
    <row r="64649" spans="8:8">
      <c r="H64649" s="680" t="s">
        <v>6153</v>
      </c>
    </row>
    <row r="64650" spans="8:8">
      <c r="H64650" s="680" t="s">
        <v>6153</v>
      </c>
    </row>
    <row r="64651" spans="8:8">
      <c r="H64651" s="680" t="s">
        <v>6153</v>
      </c>
    </row>
    <row r="64652" spans="8:8">
      <c r="H64652" s="680" t="s">
        <v>6153</v>
      </c>
    </row>
    <row r="64653" spans="8:8">
      <c r="H64653" s="680" t="s">
        <v>6153</v>
      </c>
    </row>
    <row r="64654" spans="8:8">
      <c r="H64654" s="680" t="s">
        <v>6153</v>
      </c>
    </row>
    <row r="64655" spans="8:8">
      <c r="H64655" s="680" t="s">
        <v>6153</v>
      </c>
    </row>
    <row r="64656" spans="8:8">
      <c r="H64656" s="680" t="s">
        <v>6153</v>
      </c>
    </row>
    <row r="64657" spans="8:8">
      <c r="H64657" s="680" t="s">
        <v>6153</v>
      </c>
    </row>
    <row r="64658" spans="8:8">
      <c r="H64658" s="680" t="s">
        <v>6153</v>
      </c>
    </row>
    <row r="64659" spans="8:8">
      <c r="H64659" s="680" t="s">
        <v>6153</v>
      </c>
    </row>
    <row r="64660" spans="8:8">
      <c r="H64660" s="680" t="s">
        <v>6153</v>
      </c>
    </row>
    <row r="64661" spans="8:8">
      <c r="H64661" s="680" t="s">
        <v>6153</v>
      </c>
    </row>
    <row r="64662" spans="8:8">
      <c r="H64662" s="680" t="s">
        <v>6153</v>
      </c>
    </row>
    <row r="64663" spans="8:8">
      <c r="H64663" s="680" t="s">
        <v>6153</v>
      </c>
    </row>
    <row r="64664" spans="8:8">
      <c r="H64664" s="680" t="s">
        <v>6153</v>
      </c>
    </row>
    <row r="64665" spans="8:8">
      <c r="H64665" s="680" t="s">
        <v>6153</v>
      </c>
    </row>
    <row r="64666" spans="8:8">
      <c r="H64666" s="680" t="s">
        <v>6153</v>
      </c>
    </row>
    <row r="64667" spans="8:8">
      <c r="H64667" s="680" t="s">
        <v>6153</v>
      </c>
    </row>
    <row r="64668" spans="8:8">
      <c r="H64668" s="680" t="s">
        <v>6153</v>
      </c>
    </row>
    <row r="64669" spans="8:8">
      <c r="H64669" s="680" t="s">
        <v>6153</v>
      </c>
    </row>
    <row r="64670" spans="8:8">
      <c r="H64670" s="680" t="s">
        <v>6153</v>
      </c>
    </row>
    <row r="64671" spans="8:8">
      <c r="H64671" s="680" t="s">
        <v>6153</v>
      </c>
    </row>
    <row r="64672" spans="8:8">
      <c r="H64672" s="680" t="s">
        <v>6153</v>
      </c>
    </row>
    <row r="64673" spans="8:8">
      <c r="H64673" s="680" t="s">
        <v>6153</v>
      </c>
    </row>
    <row r="64674" spans="8:8">
      <c r="H64674" s="680" t="s">
        <v>6153</v>
      </c>
    </row>
    <row r="64675" spans="8:8">
      <c r="H64675" s="680" t="s">
        <v>6153</v>
      </c>
    </row>
    <row r="64676" spans="8:8">
      <c r="H64676" s="680" t="s">
        <v>6153</v>
      </c>
    </row>
    <row r="64677" spans="8:8">
      <c r="H64677" s="680" t="s">
        <v>6153</v>
      </c>
    </row>
    <row r="64678" spans="8:8">
      <c r="H64678" s="680" t="s">
        <v>6153</v>
      </c>
    </row>
    <row r="64679" spans="8:8">
      <c r="H64679" s="680" t="s">
        <v>6153</v>
      </c>
    </row>
    <row r="64680" spans="8:8">
      <c r="H64680" s="680" t="s">
        <v>6153</v>
      </c>
    </row>
    <row r="64681" spans="8:8">
      <c r="H64681" s="680" t="s">
        <v>6153</v>
      </c>
    </row>
    <row r="64682" spans="8:8">
      <c r="H64682" s="680" t="s">
        <v>6153</v>
      </c>
    </row>
    <row r="64683" spans="8:8">
      <c r="H64683" s="680" t="s">
        <v>6153</v>
      </c>
    </row>
    <row r="64684" spans="8:8">
      <c r="H64684" s="680" t="s">
        <v>6153</v>
      </c>
    </row>
    <row r="64685" spans="8:8">
      <c r="H64685" s="680" t="s">
        <v>6153</v>
      </c>
    </row>
    <row r="64686" spans="8:8">
      <c r="H64686" s="680" t="s">
        <v>6153</v>
      </c>
    </row>
    <row r="64687" spans="8:8">
      <c r="H64687" s="680" t="s">
        <v>6153</v>
      </c>
    </row>
    <row r="64688" spans="8:8">
      <c r="H64688" s="680" t="s">
        <v>6153</v>
      </c>
    </row>
    <row r="64689" spans="8:8">
      <c r="H64689" s="680" t="s">
        <v>6153</v>
      </c>
    </row>
    <row r="64690" spans="8:8">
      <c r="H64690" s="680" t="s">
        <v>6153</v>
      </c>
    </row>
    <row r="64691" spans="8:8">
      <c r="H64691" s="680" t="s">
        <v>6153</v>
      </c>
    </row>
    <row r="64692" spans="8:8">
      <c r="H64692" s="680" t="s">
        <v>6153</v>
      </c>
    </row>
    <row r="64693" spans="8:8">
      <c r="H64693" s="680" t="s">
        <v>6153</v>
      </c>
    </row>
    <row r="64694" spans="8:8">
      <c r="H64694" s="680" t="s">
        <v>6153</v>
      </c>
    </row>
    <row r="64695" spans="8:8">
      <c r="H64695" s="680" t="s">
        <v>6153</v>
      </c>
    </row>
    <row r="64696" spans="8:8">
      <c r="H64696" s="680" t="s">
        <v>6153</v>
      </c>
    </row>
    <row r="64697" spans="8:8">
      <c r="H64697" s="680" t="s">
        <v>6153</v>
      </c>
    </row>
    <row r="64698" spans="8:8">
      <c r="H64698" s="680" t="s">
        <v>6153</v>
      </c>
    </row>
    <row r="64699" spans="8:8">
      <c r="H64699" s="680" t="s">
        <v>6153</v>
      </c>
    </row>
    <row r="64700" spans="8:8">
      <c r="H64700" s="680" t="s">
        <v>6153</v>
      </c>
    </row>
    <row r="64701" spans="8:8">
      <c r="H64701" s="680" t="s">
        <v>6153</v>
      </c>
    </row>
    <row r="64702" spans="8:8">
      <c r="H64702" s="680" t="s">
        <v>6153</v>
      </c>
    </row>
    <row r="64703" spans="8:8">
      <c r="H64703" s="680" t="s">
        <v>6153</v>
      </c>
    </row>
    <row r="64704" spans="8:8">
      <c r="H64704" s="680" t="s">
        <v>6153</v>
      </c>
    </row>
    <row r="64705" spans="8:8">
      <c r="H64705" s="680" t="s">
        <v>6153</v>
      </c>
    </row>
    <row r="64706" spans="8:8">
      <c r="H64706" s="680" t="s">
        <v>6153</v>
      </c>
    </row>
    <row r="64707" spans="8:8">
      <c r="H64707" s="680" t="s">
        <v>6153</v>
      </c>
    </row>
    <row r="64708" spans="8:8">
      <c r="H64708" s="680" t="s">
        <v>6153</v>
      </c>
    </row>
    <row r="64709" spans="8:8">
      <c r="H64709" s="680" t="s">
        <v>6153</v>
      </c>
    </row>
    <row r="64710" spans="8:8">
      <c r="H64710" s="680" t="s">
        <v>6153</v>
      </c>
    </row>
    <row r="64711" spans="8:8">
      <c r="H64711" s="680" t="s">
        <v>6153</v>
      </c>
    </row>
    <row r="64712" spans="8:8">
      <c r="H64712" s="680" t="s">
        <v>6153</v>
      </c>
    </row>
    <row r="64713" spans="8:8">
      <c r="H64713" s="680" t="s">
        <v>6153</v>
      </c>
    </row>
    <row r="64714" spans="8:8">
      <c r="H64714" s="680" t="s">
        <v>6153</v>
      </c>
    </row>
    <row r="64715" spans="8:8">
      <c r="H64715" s="680" t="s">
        <v>6153</v>
      </c>
    </row>
    <row r="64716" spans="8:8">
      <c r="H64716" s="680" t="s">
        <v>6153</v>
      </c>
    </row>
    <row r="64717" spans="8:8">
      <c r="H64717" s="680" t="s">
        <v>6153</v>
      </c>
    </row>
    <row r="64718" spans="8:8">
      <c r="H64718" s="680" t="s">
        <v>6153</v>
      </c>
    </row>
    <row r="64719" spans="8:8">
      <c r="H64719" s="680" t="s">
        <v>6153</v>
      </c>
    </row>
    <row r="64720" spans="8:8">
      <c r="H64720" s="680" t="s">
        <v>6153</v>
      </c>
    </row>
    <row r="64721" spans="8:8">
      <c r="H64721" s="680" t="s">
        <v>6153</v>
      </c>
    </row>
    <row r="64722" spans="8:8">
      <c r="H64722" s="680" t="s">
        <v>6153</v>
      </c>
    </row>
    <row r="64723" spans="8:8">
      <c r="H64723" s="680" t="s">
        <v>6153</v>
      </c>
    </row>
    <row r="64724" spans="8:8">
      <c r="H64724" s="680" t="s">
        <v>6153</v>
      </c>
    </row>
    <row r="64725" spans="8:8">
      <c r="H64725" s="680" t="s">
        <v>6153</v>
      </c>
    </row>
    <row r="64726" spans="8:8">
      <c r="H64726" s="680" t="s">
        <v>6153</v>
      </c>
    </row>
    <row r="64727" spans="8:8">
      <c r="H64727" s="680" t="s">
        <v>6153</v>
      </c>
    </row>
    <row r="64728" spans="8:8">
      <c r="H64728" s="680" t="s">
        <v>6153</v>
      </c>
    </row>
    <row r="64729" spans="8:8">
      <c r="H64729" s="680" t="s">
        <v>6153</v>
      </c>
    </row>
    <row r="64730" spans="8:8">
      <c r="H64730" s="680" t="s">
        <v>6153</v>
      </c>
    </row>
    <row r="64731" spans="8:8">
      <c r="H64731" s="680" t="s">
        <v>6153</v>
      </c>
    </row>
    <row r="64732" spans="8:8">
      <c r="H64732" s="680" t="s">
        <v>6153</v>
      </c>
    </row>
    <row r="64733" spans="8:8">
      <c r="H64733" s="680" t="s">
        <v>6153</v>
      </c>
    </row>
    <row r="64734" spans="8:8">
      <c r="H64734" s="680" t="s">
        <v>6153</v>
      </c>
    </row>
    <row r="64735" spans="8:8">
      <c r="H64735" s="680" t="s">
        <v>6153</v>
      </c>
    </row>
    <row r="64736" spans="8:8">
      <c r="H64736" s="680" t="s">
        <v>6153</v>
      </c>
    </row>
    <row r="64737" spans="8:8">
      <c r="H64737" s="680" t="s">
        <v>6153</v>
      </c>
    </row>
    <row r="64738" spans="8:8">
      <c r="H64738" s="680" t="s">
        <v>6153</v>
      </c>
    </row>
    <row r="64739" spans="8:8">
      <c r="H64739" s="680" t="s">
        <v>6153</v>
      </c>
    </row>
    <row r="64740" spans="8:8">
      <c r="H64740" s="680" t="s">
        <v>6153</v>
      </c>
    </row>
    <row r="64741" spans="8:8">
      <c r="H64741" s="680" t="s">
        <v>6153</v>
      </c>
    </row>
    <row r="64742" spans="8:8">
      <c r="H64742" s="680" t="s">
        <v>6153</v>
      </c>
    </row>
    <row r="64743" spans="8:8">
      <c r="H64743" s="680" t="s">
        <v>6153</v>
      </c>
    </row>
    <row r="64744" spans="8:8">
      <c r="H64744" s="680" t="s">
        <v>6153</v>
      </c>
    </row>
    <row r="64745" spans="8:8">
      <c r="H64745" s="680" t="s">
        <v>6153</v>
      </c>
    </row>
    <row r="64746" spans="8:8">
      <c r="H64746" s="680" t="s">
        <v>6153</v>
      </c>
    </row>
    <row r="64747" spans="8:8">
      <c r="H64747" s="680" t="s">
        <v>6153</v>
      </c>
    </row>
    <row r="64748" spans="8:8">
      <c r="H64748" s="680" t="s">
        <v>6153</v>
      </c>
    </row>
    <row r="64749" spans="8:8">
      <c r="H64749" s="680" t="s">
        <v>6153</v>
      </c>
    </row>
    <row r="64750" spans="8:8">
      <c r="H64750" s="680" t="s">
        <v>6153</v>
      </c>
    </row>
    <row r="64751" spans="8:8">
      <c r="H64751" s="680" t="s">
        <v>6153</v>
      </c>
    </row>
    <row r="64752" spans="8:8">
      <c r="H64752" s="680" t="s">
        <v>6153</v>
      </c>
    </row>
    <row r="64753" spans="8:8">
      <c r="H64753" s="680" t="s">
        <v>6153</v>
      </c>
    </row>
    <row r="64754" spans="8:8">
      <c r="H64754" s="680" t="s">
        <v>6153</v>
      </c>
    </row>
    <row r="64755" spans="8:8">
      <c r="H64755" s="680" t="s">
        <v>6153</v>
      </c>
    </row>
    <row r="64756" spans="8:8">
      <c r="H64756" s="680" t="s">
        <v>6153</v>
      </c>
    </row>
    <row r="64757" spans="8:8">
      <c r="H64757" s="680" t="s">
        <v>6153</v>
      </c>
    </row>
    <row r="64758" spans="8:8">
      <c r="H64758" s="680" t="s">
        <v>6153</v>
      </c>
    </row>
    <row r="64759" spans="8:8">
      <c r="H64759" s="680" t="s">
        <v>6153</v>
      </c>
    </row>
    <row r="64760" spans="8:8">
      <c r="H64760" s="680" t="s">
        <v>6153</v>
      </c>
    </row>
    <row r="64761" spans="8:8">
      <c r="H64761" s="680" t="s">
        <v>6153</v>
      </c>
    </row>
    <row r="64762" spans="8:8">
      <c r="H64762" s="680" t="s">
        <v>6153</v>
      </c>
    </row>
    <row r="64763" spans="8:8">
      <c r="H64763" s="680" t="s">
        <v>6153</v>
      </c>
    </row>
    <row r="64764" spans="8:8">
      <c r="H64764" s="680" t="s">
        <v>6153</v>
      </c>
    </row>
    <row r="64765" spans="8:8">
      <c r="H64765" s="680" t="s">
        <v>6153</v>
      </c>
    </row>
    <row r="64766" spans="8:8">
      <c r="H64766" s="680" t="s">
        <v>6153</v>
      </c>
    </row>
    <row r="64767" spans="8:8">
      <c r="H64767" s="680" t="s">
        <v>6153</v>
      </c>
    </row>
    <row r="64768" spans="8:8">
      <c r="H64768" s="680" t="s">
        <v>6153</v>
      </c>
    </row>
    <row r="64769" spans="8:8">
      <c r="H64769" s="680" t="s">
        <v>6153</v>
      </c>
    </row>
    <row r="64770" spans="8:8">
      <c r="H64770" s="680" t="s">
        <v>6153</v>
      </c>
    </row>
    <row r="64771" spans="8:8">
      <c r="H64771" s="680" t="s">
        <v>6153</v>
      </c>
    </row>
    <row r="64772" spans="8:8">
      <c r="H64772" s="680" t="s">
        <v>6153</v>
      </c>
    </row>
    <row r="64773" spans="8:8">
      <c r="H64773" s="680" t="s">
        <v>6153</v>
      </c>
    </row>
    <row r="64774" spans="8:8">
      <c r="H64774" s="680" t="s">
        <v>6153</v>
      </c>
    </row>
    <row r="64775" spans="8:8">
      <c r="H64775" s="680" t="s">
        <v>6153</v>
      </c>
    </row>
    <row r="64776" spans="8:8">
      <c r="H64776" s="680" t="s">
        <v>6153</v>
      </c>
    </row>
    <row r="64777" spans="8:8">
      <c r="H64777" s="680" t="s">
        <v>6153</v>
      </c>
    </row>
    <row r="64778" spans="8:8">
      <c r="H64778" s="680" t="s">
        <v>6153</v>
      </c>
    </row>
    <row r="64779" spans="8:8">
      <c r="H64779" s="680" t="s">
        <v>6153</v>
      </c>
    </row>
    <row r="64780" spans="8:8">
      <c r="H64780" s="680" t="s">
        <v>6153</v>
      </c>
    </row>
    <row r="64781" spans="8:8">
      <c r="H64781" s="680" t="s">
        <v>6153</v>
      </c>
    </row>
    <row r="64782" spans="8:8">
      <c r="H64782" s="680" t="s">
        <v>6153</v>
      </c>
    </row>
    <row r="64783" spans="8:8">
      <c r="H64783" s="680" t="s">
        <v>6153</v>
      </c>
    </row>
    <row r="64784" spans="8:8">
      <c r="H64784" s="680" t="s">
        <v>6153</v>
      </c>
    </row>
    <row r="64785" spans="8:8">
      <c r="H64785" s="680" t="s">
        <v>6153</v>
      </c>
    </row>
    <row r="64786" spans="8:8">
      <c r="H64786" s="680" t="s">
        <v>6153</v>
      </c>
    </row>
    <row r="64787" spans="8:8">
      <c r="H64787" s="680" t="s">
        <v>6153</v>
      </c>
    </row>
    <row r="64788" spans="8:8">
      <c r="H64788" s="680" t="s">
        <v>6153</v>
      </c>
    </row>
    <row r="64789" spans="8:8">
      <c r="H64789" s="680" t="s">
        <v>6153</v>
      </c>
    </row>
    <row r="64790" spans="8:8">
      <c r="H64790" s="680" t="s">
        <v>6153</v>
      </c>
    </row>
    <row r="64791" spans="8:8">
      <c r="H64791" s="680" t="s">
        <v>6153</v>
      </c>
    </row>
    <row r="64792" spans="8:8">
      <c r="H64792" s="680" t="s">
        <v>6153</v>
      </c>
    </row>
    <row r="64793" spans="8:8">
      <c r="H64793" s="680" t="s">
        <v>6153</v>
      </c>
    </row>
    <row r="64794" spans="8:8">
      <c r="H64794" s="680" t="s">
        <v>6153</v>
      </c>
    </row>
    <row r="64795" spans="8:8">
      <c r="H64795" s="680" t="s">
        <v>6153</v>
      </c>
    </row>
    <row r="64796" spans="8:8">
      <c r="H64796" s="680" t="s">
        <v>6153</v>
      </c>
    </row>
    <row r="64797" spans="8:8">
      <c r="H64797" s="680" t="s">
        <v>6153</v>
      </c>
    </row>
    <row r="64798" spans="8:8">
      <c r="H64798" s="680" t="s">
        <v>6153</v>
      </c>
    </row>
    <row r="64799" spans="8:8">
      <c r="H64799" s="680" t="s">
        <v>6153</v>
      </c>
    </row>
    <row r="64800" spans="8:8">
      <c r="H64800" s="680" t="s">
        <v>6153</v>
      </c>
    </row>
    <row r="64801" spans="8:8">
      <c r="H64801" s="680" t="s">
        <v>6153</v>
      </c>
    </row>
    <row r="64802" spans="8:8">
      <c r="H64802" s="680" t="s">
        <v>6153</v>
      </c>
    </row>
    <row r="64803" spans="8:8">
      <c r="H64803" s="680" t="s">
        <v>6153</v>
      </c>
    </row>
    <row r="64804" spans="8:8">
      <c r="H64804" s="680" t="s">
        <v>6153</v>
      </c>
    </row>
    <row r="64805" spans="8:8">
      <c r="H64805" s="680" t="s">
        <v>6153</v>
      </c>
    </row>
    <row r="64806" spans="8:8">
      <c r="H64806" s="680" t="s">
        <v>6153</v>
      </c>
    </row>
    <row r="64807" spans="8:8">
      <c r="H64807" s="680" t="s">
        <v>6153</v>
      </c>
    </row>
    <row r="64808" spans="8:8">
      <c r="H64808" s="680" t="s">
        <v>6153</v>
      </c>
    </row>
    <row r="64809" spans="8:8">
      <c r="H64809" s="680" t="s">
        <v>6153</v>
      </c>
    </row>
    <row r="64810" spans="8:8">
      <c r="H64810" s="680" t="s">
        <v>6153</v>
      </c>
    </row>
    <row r="64811" spans="8:8">
      <c r="H64811" s="680" t="s">
        <v>6153</v>
      </c>
    </row>
    <row r="64812" spans="8:8">
      <c r="H64812" s="680" t="s">
        <v>6153</v>
      </c>
    </row>
    <row r="64813" spans="8:8">
      <c r="H64813" s="680" t="s">
        <v>6153</v>
      </c>
    </row>
    <row r="64814" spans="8:8">
      <c r="H64814" s="680" t="s">
        <v>6153</v>
      </c>
    </row>
    <row r="64815" spans="8:8">
      <c r="H64815" s="680" t="s">
        <v>6153</v>
      </c>
    </row>
    <row r="64816" spans="8:8">
      <c r="H64816" s="680" t="s">
        <v>6153</v>
      </c>
    </row>
    <row r="64817" spans="8:8">
      <c r="H64817" s="680" t="s">
        <v>6153</v>
      </c>
    </row>
    <row r="64818" spans="8:8">
      <c r="H64818" s="680" t="s">
        <v>6153</v>
      </c>
    </row>
    <row r="64819" spans="8:8">
      <c r="H64819" s="680" t="s">
        <v>6153</v>
      </c>
    </row>
    <row r="64820" spans="8:8">
      <c r="H64820" s="680" t="s">
        <v>6153</v>
      </c>
    </row>
    <row r="64821" spans="8:8">
      <c r="H64821" s="680" t="s">
        <v>6153</v>
      </c>
    </row>
    <row r="64822" spans="8:8">
      <c r="H64822" s="680" t="s">
        <v>6153</v>
      </c>
    </row>
    <row r="64823" spans="8:8">
      <c r="H64823" s="680" t="s">
        <v>6153</v>
      </c>
    </row>
    <row r="64824" spans="8:8">
      <c r="H64824" s="680" t="s">
        <v>6153</v>
      </c>
    </row>
    <row r="64825" spans="8:8">
      <c r="H64825" s="680" t="s">
        <v>6153</v>
      </c>
    </row>
    <row r="64826" spans="8:8">
      <c r="H64826" s="680" t="s">
        <v>6153</v>
      </c>
    </row>
    <row r="64827" spans="8:8">
      <c r="H64827" s="680" t="s">
        <v>6153</v>
      </c>
    </row>
    <row r="64828" spans="8:8">
      <c r="H64828" s="680" t="s">
        <v>6153</v>
      </c>
    </row>
    <row r="64829" spans="8:8">
      <c r="H64829" s="680" t="s">
        <v>6153</v>
      </c>
    </row>
    <row r="64830" spans="8:8">
      <c r="H64830" s="680" t="s">
        <v>6153</v>
      </c>
    </row>
    <row r="64831" spans="8:8">
      <c r="H64831" s="680" t="s">
        <v>6153</v>
      </c>
    </row>
    <row r="64832" spans="8:8">
      <c r="H64832" s="680" t="s">
        <v>6153</v>
      </c>
    </row>
    <row r="64833" spans="8:8">
      <c r="H64833" s="680" t="s">
        <v>6153</v>
      </c>
    </row>
    <row r="64834" spans="8:8">
      <c r="H64834" s="680" t="s">
        <v>6153</v>
      </c>
    </row>
    <row r="64835" spans="8:8">
      <c r="H64835" s="680" t="s">
        <v>6153</v>
      </c>
    </row>
    <row r="64836" spans="8:8">
      <c r="H64836" s="680" t="s">
        <v>6153</v>
      </c>
    </row>
    <row r="64837" spans="8:8">
      <c r="H64837" s="680" t="s">
        <v>6153</v>
      </c>
    </row>
    <row r="64838" spans="8:8">
      <c r="H64838" s="680" t="s">
        <v>6153</v>
      </c>
    </row>
    <row r="64839" spans="8:8">
      <c r="H64839" s="680" t="s">
        <v>6153</v>
      </c>
    </row>
    <row r="64840" spans="8:8">
      <c r="H64840" s="680" t="s">
        <v>6153</v>
      </c>
    </row>
    <row r="64841" spans="8:8">
      <c r="H64841" s="680" t="s">
        <v>6153</v>
      </c>
    </row>
    <row r="64842" spans="8:8">
      <c r="H64842" s="680" t="s">
        <v>6153</v>
      </c>
    </row>
    <row r="64843" spans="8:8">
      <c r="H64843" s="680" t="s">
        <v>6153</v>
      </c>
    </row>
    <row r="64844" spans="8:8">
      <c r="H64844" s="680" t="s">
        <v>6153</v>
      </c>
    </row>
    <row r="64845" spans="8:8">
      <c r="H64845" s="680" t="s">
        <v>6153</v>
      </c>
    </row>
    <row r="64846" spans="8:8">
      <c r="H64846" s="680" t="s">
        <v>6153</v>
      </c>
    </row>
    <row r="64847" spans="8:8">
      <c r="H64847" s="680" t="s">
        <v>6153</v>
      </c>
    </row>
    <row r="64848" spans="8:8">
      <c r="H64848" s="680" t="s">
        <v>6153</v>
      </c>
    </row>
    <row r="64849" spans="8:8">
      <c r="H64849" s="680" t="s">
        <v>6153</v>
      </c>
    </row>
    <row r="64850" spans="8:8">
      <c r="H64850" s="680" t="s">
        <v>6153</v>
      </c>
    </row>
    <row r="64851" spans="8:8">
      <c r="H64851" s="680" t="s">
        <v>6153</v>
      </c>
    </row>
    <row r="64852" spans="8:8">
      <c r="H64852" s="680" t="s">
        <v>6153</v>
      </c>
    </row>
    <row r="64853" spans="8:8">
      <c r="H64853" s="680" t="s">
        <v>6153</v>
      </c>
    </row>
    <row r="64854" spans="8:8">
      <c r="H64854" s="680" t="s">
        <v>6153</v>
      </c>
    </row>
    <row r="64855" spans="8:8">
      <c r="H64855" s="680" t="s">
        <v>6153</v>
      </c>
    </row>
    <row r="64856" spans="8:8">
      <c r="H64856" s="680" t="s">
        <v>6153</v>
      </c>
    </row>
    <row r="64857" spans="8:8">
      <c r="H64857" s="680" t="s">
        <v>6153</v>
      </c>
    </row>
    <row r="64858" spans="8:8">
      <c r="H64858" s="680" t="s">
        <v>6153</v>
      </c>
    </row>
    <row r="64859" spans="8:8">
      <c r="H64859" s="680" t="s">
        <v>6153</v>
      </c>
    </row>
    <row r="64860" spans="8:8">
      <c r="H64860" s="680" t="s">
        <v>6153</v>
      </c>
    </row>
    <row r="64861" spans="8:8">
      <c r="H64861" s="680" t="s">
        <v>6153</v>
      </c>
    </row>
    <row r="64862" spans="8:8">
      <c r="H64862" s="680" t="s">
        <v>6153</v>
      </c>
    </row>
    <row r="64863" spans="8:8">
      <c r="H64863" s="680" t="s">
        <v>6153</v>
      </c>
    </row>
    <row r="64864" spans="8:8">
      <c r="H64864" s="680" t="s">
        <v>6153</v>
      </c>
    </row>
    <row r="64865" spans="8:8">
      <c r="H64865" s="680" t="s">
        <v>6153</v>
      </c>
    </row>
    <row r="64866" spans="8:8">
      <c r="H64866" s="680" t="s">
        <v>6153</v>
      </c>
    </row>
    <row r="64867" spans="8:8">
      <c r="H64867" s="680" t="s">
        <v>6153</v>
      </c>
    </row>
    <row r="64868" spans="8:8">
      <c r="H64868" s="680" t="s">
        <v>6153</v>
      </c>
    </row>
    <row r="64869" spans="8:8">
      <c r="H64869" s="680" t="s">
        <v>6153</v>
      </c>
    </row>
    <row r="64870" spans="8:8">
      <c r="H64870" s="680" t="s">
        <v>6153</v>
      </c>
    </row>
    <row r="64871" spans="8:8">
      <c r="H64871" s="680" t="s">
        <v>6153</v>
      </c>
    </row>
    <row r="64872" spans="8:8">
      <c r="H64872" s="680" t="s">
        <v>6153</v>
      </c>
    </row>
    <row r="64873" spans="8:8">
      <c r="H64873" s="680" t="s">
        <v>6153</v>
      </c>
    </row>
    <row r="64874" spans="8:8">
      <c r="H64874" s="680" t="s">
        <v>6153</v>
      </c>
    </row>
    <row r="64875" spans="8:8">
      <c r="H64875" s="680" t="s">
        <v>6153</v>
      </c>
    </row>
    <row r="64876" spans="8:8">
      <c r="H64876" s="680" t="s">
        <v>6153</v>
      </c>
    </row>
    <row r="64877" spans="8:8">
      <c r="H64877" s="680" t="s">
        <v>6153</v>
      </c>
    </row>
    <row r="64878" spans="8:8">
      <c r="H64878" s="680" t="s">
        <v>6153</v>
      </c>
    </row>
    <row r="64879" spans="8:8">
      <c r="H64879" s="680" t="s">
        <v>6153</v>
      </c>
    </row>
    <row r="64880" spans="8:8">
      <c r="H64880" s="680" t="s">
        <v>6153</v>
      </c>
    </row>
    <row r="64881" spans="8:8">
      <c r="H64881" s="680" t="s">
        <v>6153</v>
      </c>
    </row>
    <row r="64882" spans="8:8">
      <c r="H64882" s="680" t="s">
        <v>6153</v>
      </c>
    </row>
    <row r="64883" spans="8:8">
      <c r="H64883" s="680" t="s">
        <v>6153</v>
      </c>
    </row>
    <row r="64884" spans="8:8">
      <c r="H64884" s="680" t="s">
        <v>6153</v>
      </c>
    </row>
    <row r="64885" spans="8:8">
      <c r="H64885" s="680" t="s">
        <v>6153</v>
      </c>
    </row>
    <row r="64886" spans="8:8">
      <c r="H64886" s="680" t="s">
        <v>6153</v>
      </c>
    </row>
    <row r="64887" spans="8:8">
      <c r="H64887" s="680" t="s">
        <v>6153</v>
      </c>
    </row>
    <row r="64888" spans="8:8">
      <c r="H64888" s="680" t="s">
        <v>6153</v>
      </c>
    </row>
    <row r="64889" spans="8:8">
      <c r="H64889" s="680" t="s">
        <v>6153</v>
      </c>
    </row>
    <row r="64890" spans="8:8">
      <c r="H64890" s="680" t="s">
        <v>6153</v>
      </c>
    </row>
    <row r="64891" spans="8:8">
      <c r="H64891" s="680" t="s">
        <v>6153</v>
      </c>
    </row>
    <row r="64892" spans="8:8">
      <c r="H64892" s="680" t="s">
        <v>6153</v>
      </c>
    </row>
    <row r="64893" spans="8:8">
      <c r="H64893" s="680" t="s">
        <v>6153</v>
      </c>
    </row>
    <row r="64894" spans="8:8">
      <c r="H64894" s="680" t="s">
        <v>6153</v>
      </c>
    </row>
    <row r="64895" spans="8:8">
      <c r="H64895" s="680" t="s">
        <v>6153</v>
      </c>
    </row>
    <row r="64896" spans="8:8">
      <c r="H64896" s="680" t="s">
        <v>6153</v>
      </c>
    </row>
    <row r="64897" spans="8:8">
      <c r="H64897" s="680" t="s">
        <v>6153</v>
      </c>
    </row>
    <row r="64898" spans="8:8">
      <c r="H64898" s="680" t="s">
        <v>6153</v>
      </c>
    </row>
    <row r="64899" spans="8:8">
      <c r="H64899" s="680" t="s">
        <v>6153</v>
      </c>
    </row>
    <row r="64900" spans="8:8">
      <c r="H64900" s="680" t="s">
        <v>6153</v>
      </c>
    </row>
    <row r="64901" spans="8:8">
      <c r="H64901" s="680" t="s">
        <v>6153</v>
      </c>
    </row>
    <row r="64902" spans="8:8">
      <c r="H64902" s="680" t="s">
        <v>6153</v>
      </c>
    </row>
    <row r="64903" spans="8:8">
      <c r="H64903" s="680" t="s">
        <v>6153</v>
      </c>
    </row>
    <row r="64904" spans="8:8">
      <c r="H64904" s="680" t="s">
        <v>6153</v>
      </c>
    </row>
    <row r="64905" spans="8:8">
      <c r="H64905" s="680" t="s">
        <v>6153</v>
      </c>
    </row>
    <row r="64906" spans="8:8">
      <c r="H64906" s="680" t="s">
        <v>6153</v>
      </c>
    </row>
    <row r="64907" spans="8:8">
      <c r="H64907" s="680" t="s">
        <v>6153</v>
      </c>
    </row>
    <row r="64908" spans="8:8">
      <c r="H64908" s="680" t="s">
        <v>6153</v>
      </c>
    </row>
    <row r="64909" spans="8:8">
      <c r="H64909" s="680" t="s">
        <v>6153</v>
      </c>
    </row>
    <row r="64910" spans="8:8">
      <c r="H64910" s="680" t="s">
        <v>6153</v>
      </c>
    </row>
    <row r="64911" spans="8:8">
      <c r="H64911" s="680" t="s">
        <v>6153</v>
      </c>
    </row>
    <row r="64912" spans="8:8">
      <c r="H64912" s="680" t="s">
        <v>6153</v>
      </c>
    </row>
    <row r="64913" spans="8:8">
      <c r="H64913" s="680" t="s">
        <v>6153</v>
      </c>
    </row>
    <row r="64914" spans="8:8">
      <c r="H64914" s="680" t="s">
        <v>6153</v>
      </c>
    </row>
    <row r="64915" spans="8:8">
      <c r="H64915" s="680" t="s">
        <v>6153</v>
      </c>
    </row>
    <row r="64916" spans="8:8">
      <c r="H64916" s="680" t="s">
        <v>6153</v>
      </c>
    </row>
    <row r="64917" spans="8:8">
      <c r="H64917" s="680" t="s">
        <v>6153</v>
      </c>
    </row>
    <row r="64918" spans="8:8">
      <c r="H64918" s="680" t="s">
        <v>6153</v>
      </c>
    </row>
    <row r="64919" spans="8:8">
      <c r="H64919" s="680" t="s">
        <v>6153</v>
      </c>
    </row>
    <row r="64920" spans="8:8">
      <c r="H64920" s="680" t="s">
        <v>6153</v>
      </c>
    </row>
    <row r="64921" spans="8:8">
      <c r="H64921" s="680" t="s">
        <v>6153</v>
      </c>
    </row>
    <row r="64922" spans="8:8">
      <c r="H64922" s="680" t="s">
        <v>6153</v>
      </c>
    </row>
    <row r="64923" spans="8:8">
      <c r="H64923" s="680" t="s">
        <v>6153</v>
      </c>
    </row>
    <row r="64924" spans="8:8">
      <c r="H64924" s="680" t="s">
        <v>6153</v>
      </c>
    </row>
    <row r="64925" spans="8:8">
      <c r="H64925" s="680" t="s">
        <v>6153</v>
      </c>
    </row>
    <row r="64926" spans="8:8">
      <c r="H64926" s="680" t="s">
        <v>6153</v>
      </c>
    </row>
    <row r="64927" spans="8:8">
      <c r="H64927" s="680" t="s">
        <v>6153</v>
      </c>
    </row>
    <row r="64928" spans="8:8">
      <c r="H64928" s="680" t="s">
        <v>6153</v>
      </c>
    </row>
    <row r="64929" spans="8:8">
      <c r="H64929" s="680" t="s">
        <v>6153</v>
      </c>
    </row>
    <row r="64930" spans="8:8">
      <c r="H64930" s="680" t="s">
        <v>6153</v>
      </c>
    </row>
    <row r="64931" spans="8:8">
      <c r="H64931" s="680" t="s">
        <v>6153</v>
      </c>
    </row>
    <row r="64932" spans="8:8">
      <c r="H64932" s="680" t="s">
        <v>6153</v>
      </c>
    </row>
    <row r="64933" spans="8:8">
      <c r="H64933" s="680" t="s">
        <v>6153</v>
      </c>
    </row>
    <row r="64934" spans="8:8">
      <c r="H64934" s="680" t="s">
        <v>6153</v>
      </c>
    </row>
    <row r="64935" spans="8:8">
      <c r="H64935" s="680" t="s">
        <v>6153</v>
      </c>
    </row>
    <row r="64936" spans="8:8">
      <c r="H64936" s="680" t="s">
        <v>6153</v>
      </c>
    </row>
    <row r="64937" spans="8:8">
      <c r="H64937" s="680" t="s">
        <v>6153</v>
      </c>
    </row>
    <row r="64938" spans="8:8">
      <c r="H64938" s="680" t="s">
        <v>6153</v>
      </c>
    </row>
    <row r="64939" spans="8:8">
      <c r="H64939" s="680" t="s">
        <v>6153</v>
      </c>
    </row>
    <row r="64940" spans="8:8">
      <c r="H64940" s="680" t="s">
        <v>6153</v>
      </c>
    </row>
    <row r="64941" spans="8:8">
      <c r="H64941" s="680" t="s">
        <v>6153</v>
      </c>
    </row>
    <row r="64942" spans="8:8">
      <c r="H64942" s="680" t="s">
        <v>6153</v>
      </c>
    </row>
    <row r="64943" spans="8:8">
      <c r="H64943" s="680" t="s">
        <v>6153</v>
      </c>
    </row>
    <row r="64944" spans="8:8">
      <c r="H64944" s="680" t="s">
        <v>6153</v>
      </c>
    </row>
    <row r="64945" spans="8:8">
      <c r="H64945" s="680" t="s">
        <v>6153</v>
      </c>
    </row>
    <row r="64946" spans="8:8">
      <c r="H64946" s="680" t="s">
        <v>6153</v>
      </c>
    </row>
    <row r="64947" spans="8:8">
      <c r="H64947" s="680" t="s">
        <v>6153</v>
      </c>
    </row>
    <row r="64948" spans="8:8">
      <c r="H64948" s="680" t="s">
        <v>6153</v>
      </c>
    </row>
    <row r="64949" spans="8:8">
      <c r="H64949" s="680" t="s">
        <v>6153</v>
      </c>
    </row>
    <row r="64950" spans="8:8">
      <c r="H64950" s="680" t="s">
        <v>6153</v>
      </c>
    </row>
    <row r="64951" spans="8:8">
      <c r="H64951" s="680" t="s">
        <v>6153</v>
      </c>
    </row>
    <row r="64952" spans="8:8">
      <c r="H64952" s="680" t="s">
        <v>6153</v>
      </c>
    </row>
    <row r="64953" spans="8:8">
      <c r="H64953" s="680" t="s">
        <v>6153</v>
      </c>
    </row>
    <row r="64954" spans="8:8">
      <c r="H64954" s="680" t="s">
        <v>6153</v>
      </c>
    </row>
    <row r="64955" spans="8:8">
      <c r="H64955" s="680" t="s">
        <v>6153</v>
      </c>
    </row>
    <row r="64956" spans="8:8">
      <c r="H64956" s="680" t="s">
        <v>6153</v>
      </c>
    </row>
    <row r="64957" spans="8:8">
      <c r="H64957" s="680" t="s">
        <v>6153</v>
      </c>
    </row>
    <row r="64958" spans="8:8">
      <c r="H64958" s="680" t="s">
        <v>6153</v>
      </c>
    </row>
    <row r="64959" spans="8:8">
      <c r="H64959" s="680" t="s">
        <v>6153</v>
      </c>
    </row>
    <row r="64960" spans="8:8">
      <c r="H64960" s="680" t="s">
        <v>6153</v>
      </c>
    </row>
    <row r="64961" spans="8:8">
      <c r="H64961" s="680" t="s">
        <v>6153</v>
      </c>
    </row>
    <row r="64962" spans="8:8">
      <c r="H64962" s="680" t="s">
        <v>6153</v>
      </c>
    </row>
    <row r="64963" spans="8:8">
      <c r="H64963" s="680" t="s">
        <v>6153</v>
      </c>
    </row>
    <row r="64964" spans="8:8">
      <c r="H64964" s="680" t="s">
        <v>6153</v>
      </c>
    </row>
    <row r="64965" spans="8:8">
      <c r="H64965" s="680" t="s">
        <v>6153</v>
      </c>
    </row>
    <row r="64966" spans="8:8">
      <c r="H64966" s="680" t="s">
        <v>6153</v>
      </c>
    </row>
    <row r="64967" spans="8:8">
      <c r="H64967" s="680" t="s">
        <v>6153</v>
      </c>
    </row>
    <row r="64968" spans="8:8">
      <c r="H64968" s="680" t="s">
        <v>6153</v>
      </c>
    </row>
    <row r="64969" spans="8:8">
      <c r="H64969" s="680" t="s">
        <v>6153</v>
      </c>
    </row>
    <row r="64970" spans="8:8">
      <c r="H64970" s="680" t="s">
        <v>6153</v>
      </c>
    </row>
    <row r="64971" spans="8:8">
      <c r="H64971" s="680" t="s">
        <v>6153</v>
      </c>
    </row>
    <row r="64972" spans="8:8">
      <c r="H64972" s="680" t="s">
        <v>6153</v>
      </c>
    </row>
    <row r="64973" spans="8:8">
      <c r="H64973" s="680" t="s">
        <v>6153</v>
      </c>
    </row>
    <row r="64974" spans="8:8">
      <c r="H64974" s="680" t="s">
        <v>6153</v>
      </c>
    </row>
    <row r="64975" spans="8:8">
      <c r="H64975" s="680" t="s">
        <v>6153</v>
      </c>
    </row>
    <row r="64976" spans="8:8">
      <c r="H64976" s="680" t="s">
        <v>6153</v>
      </c>
    </row>
    <row r="64977" spans="8:8">
      <c r="H64977" s="680" t="s">
        <v>6153</v>
      </c>
    </row>
    <row r="64978" spans="8:8">
      <c r="H64978" s="680" t="s">
        <v>6153</v>
      </c>
    </row>
    <row r="64979" spans="8:8">
      <c r="H64979" s="680" t="s">
        <v>6153</v>
      </c>
    </row>
    <row r="64980" spans="8:8">
      <c r="H64980" s="680" t="s">
        <v>6153</v>
      </c>
    </row>
    <row r="64981" spans="8:8">
      <c r="H64981" s="680" t="s">
        <v>6153</v>
      </c>
    </row>
    <row r="64982" spans="8:8">
      <c r="H64982" s="680" t="s">
        <v>6153</v>
      </c>
    </row>
    <row r="64983" spans="8:8">
      <c r="H64983" s="680" t="s">
        <v>6153</v>
      </c>
    </row>
    <row r="64984" spans="8:8">
      <c r="H64984" s="680" t="s">
        <v>6153</v>
      </c>
    </row>
    <row r="64985" spans="8:8">
      <c r="H64985" s="680" t="s">
        <v>6153</v>
      </c>
    </row>
    <row r="64986" spans="8:8">
      <c r="H64986" s="680" t="s">
        <v>6153</v>
      </c>
    </row>
    <row r="64987" spans="8:8">
      <c r="H64987" s="680" t="s">
        <v>6153</v>
      </c>
    </row>
    <row r="64988" spans="8:8">
      <c r="H64988" s="680" t="s">
        <v>6153</v>
      </c>
    </row>
    <row r="64989" spans="8:8">
      <c r="H64989" s="680" t="s">
        <v>6153</v>
      </c>
    </row>
    <row r="64990" spans="8:8">
      <c r="H64990" s="680" t="s">
        <v>6153</v>
      </c>
    </row>
    <row r="64991" spans="8:8">
      <c r="H64991" s="680" t="s">
        <v>6153</v>
      </c>
    </row>
    <row r="64992" spans="8:8">
      <c r="H64992" s="680" t="s">
        <v>6153</v>
      </c>
    </row>
    <row r="64993" spans="8:8">
      <c r="H64993" s="680" t="s">
        <v>6153</v>
      </c>
    </row>
    <row r="64994" spans="8:8">
      <c r="H64994" s="680" t="s">
        <v>6153</v>
      </c>
    </row>
    <row r="64995" spans="8:8">
      <c r="H64995" s="680" t="s">
        <v>6153</v>
      </c>
    </row>
    <row r="64996" spans="8:8">
      <c r="H64996" s="680" t="s">
        <v>6153</v>
      </c>
    </row>
    <row r="64997" spans="8:8">
      <c r="H64997" s="680" t="s">
        <v>6153</v>
      </c>
    </row>
    <row r="64998" spans="8:8">
      <c r="H64998" s="680" t="s">
        <v>6153</v>
      </c>
    </row>
    <row r="64999" spans="8:8">
      <c r="H64999" s="680" t="s">
        <v>6153</v>
      </c>
    </row>
    <row r="65000" spans="8:8">
      <c r="H65000" s="680" t="s">
        <v>6153</v>
      </c>
    </row>
    <row r="65001" spans="8:8">
      <c r="H65001" s="680" t="s">
        <v>6153</v>
      </c>
    </row>
    <row r="65002" spans="8:8">
      <c r="H65002" s="680" t="s">
        <v>6153</v>
      </c>
    </row>
    <row r="65003" spans="8:8">
      <c r="H65003" s="680" t="s">
        <v>6153</v>
      </c>
    </row>
    <row r="65004" spans="8:8">
      <c r="H65004" s="680" t="s">
        <v>6153</v>
      </c>
    </row>
    <row r="65005" spans="8:8">
      <c r="H65005" s="680" t="s">
        <v>6153</v>
      </c>
    </row>
    <row r="65006" spans="8:8">
      <c r="H65006" s="680" t="s">
        <v>6153</v>
      </c>
    </row>
    <row r="65007" spans="8:8">
      <c r="H65007" s="680" t="s">
        <v>6153</v>
      </c>
    </row>
    <row r="65008" spans="8:8">
      <c r="H65008" s="680" t="s">
        <v>6153</v>
      </c>
    </row>
    <row r="65009" spans="8:8">
      <c r="H65009" s="680" t="s">
        <v>6153</v>
      </c>
    </row>
    <row r="65010" spans="8:8">
      <c r="H65010" s="680" t="s">
        <v>6153</v>
      </c>
    </row>
    <row r="65011" spans="8:8">
      <c r="H65011" s="680" t="s">
        <v>6153</v>
      </c>
    </row>
    <row r="65012" spans="8:8">
      <c r="H65012" s="680" t="s">
        <v>6153</v>
      </c>
    </row>
    <row r="65013" spans="8:8">
      <c r="H65013" s="680" t="s">
        <v>6153</v>
      </c>
    </row>
    <row r="65014" spans="8:8">
      <c r="H65014" s="680" t="s">
        <v>6153</v>
      </c>
    </row>
    <row r="65015" spans="8:8">
      <c r="H65015" s="680" t="s">
        <v>6153</v>
      </c>
    </row>
    <row r="65016" spans="8:8">
      <c r="H65016" s="680" t="s">
        <v>6153</v>
      </c>
    </row>
    <row r="65017" spans="8:8">
      <c r="H65017" s="680" t="s">
        <v>6153</v>
      </c>
    </row>
    <row r="65018" spans="8:8">
      <c r="H65018" s="680" t="s">
        <v>6153</v>
      </c>
    </row>
    <row r="65019" spans="8:8">
      <c r="H65019" s="680" t="s">
        <v>6153</v>
      </c>
    </row>
    <row r="65020" spans="8:8">
      <c r="H65020" s="680" t="s">
        <v>6153</v>
      </c>
    </row>
    <row r="65021" spans="8:8">
      <c r="H65021" s="680" t="s">
        <v>6153</v>
      </c>
    </row>
    <row r="65022" spans="8:8">
      <c r="H65022" s="680" t="s">
        <v>6153</v>
      </c>
    </row>
    <row r="65023" spans="8:8">
      <c r="H65023" s="680" t="s">
        <v>6153</v>
      </c>
    </row>
    <row r="65024" spans="8:8">
      <c r="H65024" s="680" t="s">
        <v>6153</v>
      </c>
    </row>
    <row r="65025" spans="8:8">
      <c r="H65025" s="680" t="s">
        <v>6153</v>
      </c>
    </row>
    <row r="65026" spans="8:8">
      <c r="H65026" s="680" t="s">
        <v>6153</v>
      </c>
    </row>
    <row r="65027" spans="8:8">
      <c r="H65027" s="680" t="s">
        <v>6153</v>
      </c>
    </row>
    <row r="65028" spans="8:8">
      <c r="H65028" s="680" t="s">
        <v>6153</v>
      </c>
    </row>
    <row r="65029" spans="8:8">
      <c r="H65029" s="680" t="s">
        <v>6153</v>
      </c>
    </row>
    <row r="65030" spans="8:8">
      <c r="H65030" s="680" t="s">
        <v>6153</v>
      </c>
    </row>
    <row r="65031" spans="8:8">
      <c r="H65031" s="680" t="s">
        <v>6153</v>
      </c>
    </row>
    <row r="65032" spans="8:8">
      <c r="H65032" s="680" t="s">
        <v>6153</v>
      </c>
    </row>
    <row r="65033" spans="8:8">
      <c r="H65033" s="680" t="s">
        <v>6153</v>
      </c>
    </row>
    <row r="65034" spans="8:8">
      <c r="H65034" s="680" t="s">
        <v>6153</v>
      </c>
    </row>
    <row r="65035" spans="8:8">
      <c r="H65035" s="680" t="s">
        <v>6153</v>
      </c>
    </row>
    <row r="65036" spans="8:8">
      <c r="H65036" s="680" t="s">
        <v>6153</v>
      </c>
    </row>
    <row r="65037" spans="8:8">
      <c r="H65037" s="680" t="s">
        <v>6153</v>
      </c>
    </row>
    <row r="65038" spans="8:8">
      <c r="H65038" s="680" t="s">
        <v>6153</v>
      </c>
    </row>
    <row r="65039" spans="8:8">
      <c r="H65039" s="680" t="s">
        <v>6153</v>
      </c>
    </row>
    <row r="65040" spans="8:8">
      <c r="H65040" s="680" t="s">
        <v>6153</v>
      </c>
    </row>
    <row r="65041" spans="8:8">
      <c r="H65041" s="680" t="s">
        <v>6153</v>
      </c>
    </row>
    <row r="65042" spans="8:8">
      <c r="H65042" s="680" t="s">
        <v>6153</v>
      </c>
    </row>
    <row r="65043" spans="8:8">
      <c r="H65043" s="680" t="s">
        <v>6153</v>
      </c>
    </row>
    <row r="65044" spans="8:8">
      <c r="H65044" s="680" t="s">
        <v>6153</v>
      </c>
    </row>
    <row r="65045" spans="8:8">
      <c r="H65045" s="680" t="s">
        <v>6153</v>
      </c>
    </row>
    <row r="65046" spans="8:8">
      <c r="H65046" s="680" t="s">
        <v>6153</v>
      </c>
    </row>
    <row r="65047" spans="8:8">
      <c r="H65047" s="680" t="s">
        <v>6153</v>
      </c>
    </row>
    <row r="65048" spans="8:8">
      <c r="H65048" s="680" t="s">
        <v>6153</v>
      </c>
    </row>
    <row r="65049" spans="8:8">
      <c r="H65049" s="680" t="s">
        <v>6153</v>
      </c>
    </row>
    <row r="65050" spans="8:8">
      <c r="H65050" s="680" t="s">
        <v>6153</v>
      </c>
    </row>
    <row r="65051" spans="8:8">
      <c r="H65051" s="680" t="s">
        <v>6153</v>
      </c>
    </row>
    <row r="65052" spans="8:8">
      <c r="H65052" s="680" t="s">
        <v>6153</v>
      </c>
    </row>
    <row r="65053" spans="8:8">
      <c r="H65053" s="680" t="s">
        <v>6153</v>
      </c>
    </row>
    <row r="65054" spans="8:8">
      <c r="H65054" s="680" t="s">
        <v>6153</v>
      </c>
    </row>
    <row r="65055" spans="8:8">
      <c r="H65055" s="680" t="s">
        <v>6153</v>
      </c>
    </row>
    <row r="65056" spans="8:8">
      <c r="H65056" s="680" t="s">
        <v>6153</v>
      </c>
    </row>
    <row r="65057" spans="8:8">
      <c r="H65057" s="680" t="s">
        <v>6153</v>
      </c>
    </row>
    <row r="65058" spans="8:8">
      <c r="H65058" s="680" t="s">
        <v>6153</v>
      </c>
    </row>
    <row r="65059" spans="8:8">
      <c r="H65059" s="680" t="s">
        <v>6153</v>
      </c>
    </row>
    <row r="65060" spans="8:8">
      <c r="H65060" s="680" t="s">
        <v>6153</v>
      </c>
    </row>
    <row r="65061" spans="8:8">
      <c r="H65061" s="680" t="s">
        <v>6153</v>
      </c>
    </row>
    <row r="65062" spans="8:8">
      <c r="H65062" s="680" t="s">
        <v>6153</v>
      </c>
    </row>
    <row r="65063" spans="8:8">
      <c r="H65063" s="680" t="s">
        <v>6153</v>
      </c>
    </row>
    <row r="65064" spans="8:8">
      <c r="H65064" s="680" t="s">
        <v>6153</v>
      </c>
    </row>
    <row r="65065" spans="8:8">
      <c r="H65065" s="680" t="s">
        <v>6153</v>
      </c>
    </row>
    <row r="65066" spans="8:8">
      <c r="H65066" s="680" t="s">
        <v>6153</v>
      </c>
    </row>
    <row r="65067" spans="8:8">
      <c r="H65067" s="680" t="s">
        <v>6153</v>
      </c>
    </row>
    <row r="65068" spans="8:8">
      <c r="H65068" s="680" t="s">
        <v>6153</v>
      </c>
    </row>
    <row r="65069" spans="8:8">
      <c r="H65069" s="680" t="s">
        <v>6153</v>
      </c>
    </row>
    <row r="65070" spans="8:8">
      <c r="H65070" s="680" t="s">
        <v>6153</v>
      </c>
    </row>
    <row r="65071" spans="8:8">
      <c r="H65071" s="680" t="s">
        <v>6153</v>
      </c>
    </row>
    <row r="65072" spans="8:8">
      <c r="H65072" s="680" t="s">
        <v>6153</v>
      </c>
    </row>
    <row r="65073" spans="8:8">
      <c r="H65073" s="680" t="s">
        <v>6153</v>
      </c>
    </row>
    <row r="65074" spans="8:8">
      <c r="H65074" s="680" t="s">
        <v>6153</v>
      </c>
    </row>
    <row r="65075" spans="8:8">
      <c r="H65075" s="680" t="s">
        <v>6153</v>
      </c>
    </row>
    <row r="65076" spans="8:8">
      <c r="H65076" s="680" t="s">
        <v>6153</v>
      </c>
    </row>
    <row r="65077" spans="8:8">
      <c r="H65077" s="680" t="s">
        <v>6153</v>
      </c>
    </row>
    <row r="65078" spans="8:8">
      <c r="H65078" s="680" t="s">
        <v>6153</v>
      </c>
    </row>
    <row r="65079" spans="8:8">
      <c r="H65079" s="680" t="s">
        <v>6153</v>
      </c>
    </row>
    <row r="65080" spans="8:8">
      <c r="H65080" s="680" t="s">
        <v>6153</v>
      </c>
    </row>
    <row r="65081" spans="8:8">
      <c r="H65081" s="680" t="s">
        <v>6153</v>
      </c>
    </row>
    <row r="65082" spans="8:8">
      <c r="H65082" s="680" t="s">
        <v>6153</v>
      </c>
    </row>
    <row r="65083" spans="8:8">
      <c r="H65083" s="680" t="s">
        <v>6153</v>
      </c>
    </row>
    <row r="65084" spans="8:8">
      <c r="H65084" s="680" t="s">
        <v>6153</v>
      </c>
    </row>
    <row r="65085" spans="8:8">
      <c r="H65085" s="680" t="s">
        <v>6153</v>
      </c>
    </row>
    <row r="65086" spans="8:8">
      <c r="H65086" s="680" t="s">
        <v>6153</v>
      </c>
    </row>
    <row r="65087" spans="8:8">
      <c r="H65087" s="680" t="s">
        <v>6153</v>
      </c>
    </row>
    <row r="65088" spans="8:8">
      <c r="H65088" s="680" t="s">
        <v>6153</v>
      </c>
    </row>
    <row r="65089" spans="8:8">
      <c r="H65089" s="680" t="s">
        <v>6153</v>
      </c>
    </row>
    <row r="65090" spans="8:8">
      <c r="H65090" s="680" t="s">
        <v>6153</v>
      </c>
    </row>
    <row r="65091" spans="8:8">
      <c r="H65091" s="680" t="s">
        <v>6153</v>
      </c>
    </row>
    <row r="65092" spans="8:8">
      <c r="H65092" s="680" t="s">
        <v>6153</v>
      </c>
    </row>
    <row r="65093" spans="8:8">
      <c r="H65093" s="680" t="s">
        <v>6153</v>
      </c>
    </row>
    <row r="65094" spans="8:8">
      <c r="H65094" s="680" t="s">
        <v>6153</v>
      </c>
    </row>
    <row r="65095" spans="8:8">
      <c r="H65095" s="680" t="s">
        <v>6153</v>
      </c>
    </row>
    <row r="65096" spans="8:8">
      <c r="H65096" s="680" t="s">
        <v>6153</v>
      </c>
    </row>
    <row r="65097" spans="8:8">
      <c r="H65097" s="680" t="s">
        <v>6153</v>
      </c>
    </row>
    <row r="65098" spans="8:8">
      <c r="H65098" s="680" t="s">
        <v>6153</v>
      </c>
    </row>
    <row r="65099" spans="8:8">
      <c r="H65099" s="680" t="s">
        <v>6153</v>
      </c>
    </row>
    <row r="65100" spans="8:8">
      <c r="H65100" s="680" t="s">
        <v>6153</v>
      </c>
    </row>
    <row r="65101" spans="8:8">
      <c r="H65101" s="680" t="s">
        <v>6153</v>
      </c>
    </row>
    <row r="65102" spans="8:8">
      <c r="H65102" s="680" t="s">
        <v>6153</v>
      </c>
    </row>
    <row r="65103" spans="8:8">
      <c r="H65103" s="680" t="s">
        <v>6153</v>
      </c>
    </row>
    <row r="65104" spans="8:8">
      <c r="H65104" s="680" t="s">
        <v>6153</v>
      </c>
    </row>
    <row r="65105" spans="8:8">
      <c r="H65105" s="680" t="s">
        <v>6153</v>
      </c>
    </row>
    <row r="65106" spans="8:8">
      <c r="H65106" s="680" t="s">
        <v>6153</v>
      </c>
    </row>
    <row r="65107" spans="8:8">
      <c r="H65107" s="680" t="s">
        <v>6153</v>
      </c>
    </row>
    <row r="65108" spans="8:8">
      <c r="H65108" s="680" t="s">
        <v>6153</v>
      </c>
    </row>
    <row r="65109" spans="8:8">
      <c r="H65109" s="680" t="s">
        <v>6153</v>
      </c>
    </row>
    <row r="65110" spans="8:8">
      <c r="H65110" s="680" t="s">
        <v>6153</v>
      </c>
    </row>
    <row r="65111" spans="8:8">
      <c r="H65111" s="680" t="s">
        <v>6153</v>
      </c>
    </row>
    <row r="65112" spans="8:8">
      <c r="H65112" s="680" t="s">
        <v>6153</v>
      </c>
    </row>
    <row r="65113" spans="8:8">
      <c r="H65113" s="680" t="s">
        <v>6153</v>
      </c>
    </row>
    <row r="65114" spans="8:8">
      <c r="H65114" s="680" t="s">
        <v>6153</v>
      </c>
    </row>
    <row r="65115" spans="8:8">
      <c r="H65115" s="680" t="s">
        <v>6153</v>
      </c>
    </row>
    <row r="65116" spans="8:8">
      <c r="H65116" s="680" t="s">
        <v>6153</v>
      </c>
    </row>
    <row r="65117" spans="8:8">
      <c r="H65117" s="680" t="s">
        <v>6153</v>
      </c>
    </row>
    <row r="65118" spans="8:8">
      <c r="H65118" s="680" t="s">
        <v>6153</v>
      </c>
    </row>
    <row r="65119" spans="8:8">
      <c r="H65119" s="680" t="s">
        <v>6153</v>
      </c>
    </row>
    <row r="65120" spans="8:8">
      <c r="H65120" s="680" t="s">
        <v>6153</v>
      </c>
    </row>
    <row r="65121" spans="8:8">
      <c r="H65121" s="680" t="s">
        <v>6153</v>
      </c>
    </row>
    <row r="65122" spans="8:8">
      <c r="H65122" s="680" t="s">
        <v>6153</v>
      </c>
    </row>
    <row r="65123" spans="8:8">
      <c r="H65123" s="680" t="s">
        <v>6153</v>
      </c>
    </row>
    <row r="65124" spans="8:8">
      <c r="H65124" s="680" t="s">
        <v>6153</v>
      </c>
    </row>
    <row r="65125" spans="8:8">
      <c r="H65125" s="680" t="s">
        <v>6153</v>
      </c>
    </row>
    <row r="65126" spans="8:8">
      <c r="H65126" s="680" t="s">
        <v>6153</v>
      </c>
    </row>
    <row r="65127" spans="8:8">
      <c r="H65127" s="680" t="s">
        <v>6153</v>
      </c>
    </row>
    <row r="65128" spans="8:8">
      <c r="H65128" s="680" t="s">
        <v>6153</v>
      </c>
    </row>
    <row r="65129" spans="8:8">
      <c r="H65129" s="680" t="s">
        <v>6153</v>
      </c>
    </row>
    <row r="65130" spans="8:8">
      <c r="H65130" s="680" t="s">
        <v>6153</v>
      </c>
    </row>
    <row r="65131" spans="8:8">
      <c r="H65131" s="680" t="s">
        <v>6153</v>
      </c>
    </row>
    <row r="65132" spans="8:8">
      <c r="H65132" s="680" t="s">
        <v>6153</v>
      </c>
    </row>
    <row r="65133" spans="8:8">
      <c r="H65133" s="680" t="s">
        <v>6153</v>
      </c>
    </row>
    <row r="65134" spans="8:8">
      <c r="H65134" s="680" t="s">
        <v>6153</v>
      </c>
    </row>
    <row r="65135" spans="8:8">
      <c r="H65135" s="680" t="s">
        <v>6153</v>
      </c>
    </row>
    <row r="65136" spans="8:8">
      <c r="H65136" s="680" t="s">
        <v>6153</v>
      </c>
    </row>
    <row r="65137" spans="8:8">
      <c r="H65137" s="680" t="s">
        <v>6153</v>
      </c>
    </row>
    <row r="65138" spans="8:8">
      <c r="H65138" s="680" t="s">
        <v>6153</v>
      </c>
    </row>
    <row r="65139" spans="8:8">
      <c r="H65139" s="680" t="s">
        <v>6153</v>
      </c>
    </row>
    <row r="65140" spans="8:8">
      <c r="H65140" s="680" t="s">
        <v>6153</v>
      </c>
    </row>
    <row r="65141" spans="8:8">
      <c r="H65141" s="680" t="s">
        <v>6153</v>
      </c>
    </row>
    <row r="65142" spans="8:8">
      <c r="H65142" s="680" t="s">
        <v>6153</v>
      </c>
    </row>
    <row r="65143" spans="8:8">
      <c r="H65143" s="680" t="s">
        <v>6153</v>
      </c>
    </row>
    <row r="65144" spans="8:8">
      <c r="H65144" s="680" t="s">
        <v>6153</v>
      </c>
    </row>
    <row r="65145" spans="8:8">
      <c r="H65145" s="680" t="s">
        <v>6153</v>
      </c>
    </row>
    <row r="65146" spans="8:8">
      <c r="H65146" s="680" t="s">
        <v>6153</v>
      </c>
    </row>
    <row r="65147" spans="8:8">
      <c r="H65147" s="680" t="s">
        <v>6153</v>
      </c>
    </row>
    <row r="65148" spans="8:8">
      <c r="H65148" s="680" t="s">
        <v>6153</v>
      </c>
    </row>
    <row r="65149" spans="8:8">
      <c r="H65149" s="680" t="s">
        <v>6153</v>
      </c>
    </row>
    <row r="65150" spans="8:8">
      <c r="H65150" s="680" t="s">
        <v>6153</v>
      </c>
    </row>
    <row r="65151" spans="8:8">
      <c r="H65151" s="680" t="s">
        <v>6153</v>
      </c>
    </row>
    <row r="65152" spans="8:8">
      <c r="H65152" s="680" t="s">
        <v>6153</v>
      </c>
    </row>
    <row r="65153" spans="8:8">
      <c r="H65153" s="680" t="s">
        <v>6153</v>
      </c>
    </row>
    <row r="65154" spans="8:8">
      <c r="H65154" s="680" t="s">
        <v>6153</v>
      </c>
    </row>
    <row r="65155" spans="8:8">
      <c r="H65155" s="680" t="s">
        <v>6153</v>
      </c>
    </row>
    <row r="65156" spans="8:8">
      <c r="H65156" s="680" t="s">
        <v>6153</v>
      </c>
    </row>
    <row r="65157" spans="8:8">
      <c r="H65157" s="680" t="s">
        <v>6153</v>
      </c>
    </row>
    <row r="65158" spans="8:8">
      <c r="H65158" s="680" t="s">
        <v>6153</v>
      </c>
    </row>
    <row r="65159" spans="8:8">
      <c r="H65159" s="680" t="s">
        <v>6153</v>
      </c>
    </row>
    <row r="65160" spans="8:8">
      <c r="H65160" s="680" t="s">
        <v>6153</v>
      </c>
    </row>
    <row r="65161" spans="8:8">
      <c r="H65161" s="680" t="s">
        <v>6153</v>
      </c>
    </row>
    <row r="65162" spans="8:8">
      <c r="H65162" s="680" t="s">
        <v>6153</v>
      </c>
    </row>
    <row r="65163" spans="8:8">
      <c r="H65163" s="680" t="s">
        <v>6153</v>
      </c>
    </row>
    <row r="65164" spans="8:8">
      <c r="H65164" s="680" t="s">
        <v>6153</v>
      </c>
    </row>
    <row r="65165" spans="8:8">
      <c r="H65165" s="680" t="s">
        <v>6153</v>
      </c>
    </row>
    <row r="65166" spans="8:8">
      <c r="H65166" s="680" t="s">
        <v>6153</v>
      </c>
    </row>
    <row r="65167" spans="8:8">
      <c r="H65167" s="680" t="s">
        <v>6153</v>
      </c>
    </row>
    <row r="65168" spans="8:8">
      <c r="H65168" s="680" t="s">
        <v>6153</v>
      </c>
    </row>
    <row r="65169" spans="8:8">
      <c r="H65169" s="680" t="s">
        <v>6153</v>
      </c>
    </row>
    <row r="65170" spans="8:8">
      <c r="H65170" s="680" t="s">
        <v>6153</v>
      </c>
    </row>
    <row r="65171" spans="8:8">
      <c r="H65171" s="680" t="s">
        <v>6153</v>
      </c>
    </row>
    <row r="65172" spans="8:8">
      <c r="H65172" s="680" t="s">
        <v>6153</v>
      </c>
    </row>
    <row r="65173" spans="8:8">
      <c r="H65173" s="680" t="s">
        <v>6153</v>
      </c>
    </row>
    <row r="65174" spans="8:8">
      <c r="H65174" s="680" t="s">
        <v>6153</v>
      </c>
    </row>
    <row r="65175" spans="8:8">
      <c r="H65175" s="680" t="s">
        <v>6153</v>
      </c>
    </row>
    <row r="65176" spans="8:8">
      <c r="H65176" s="680" t="s">
        <v>6153</v>
      </c>
    </row>
    <row r="65177" spans="8:8">
      <c r="H65177" s="680" t="s">
        <v>6153</v>
      </c>
    </row>
    <row r="65178" spans="8:8">
      <c r="H65178" s="680" t="s">
        <v>6153</v>
      </c>
    </row>
    <row r="65179" spans="8:8">
      <c r="H65179" s="680" t="s">
        <v>6153</v>
      </c>
    </row>
    <row r="65180" spans="8:8">
      <c r="H65180" s="680" t="s">
        <v>6153</v>
      </c>
    </row>
    <row r="65181" spans="8:8">
      <c r="H65181" s="680" t="s">
        <v>6153</v>
      </c>
    </row>
    <row r="65182" spans="8:8">
      <c r="H65182" s="680" t="s">
        <v>6153</v>
      </c>
    </row>
    <row r="65183" spans="8:8">
      <c r="H65183" s="680" t="s">
        <v>6153</v>
      </c>
    </row>
    <row r="65184" spans="8:8">
      <c r="H65184" s="680" t="s">
        <v>6153</v>
      </c>
    </row>
    <row r="65185" spans="8:8">
      <c r="H65185" s="680" t="s">
        <v>6153</v>
      </c>
    </row>
    <row r="65186" spans="8:8">
      <c r="H65186" s="680" t="s">
        <v>6153</v>
      </c>
    </row>
    <row r="65187" spans="8:8">
      <c r="H65187" s="680" t="s">
        <v>6153</v>
      </c>
    </row>
    <row r="65188" spans="8:8">
      <c r="H65188" s="680" t="s">
        <v>6153</v>
      </c>
    </row>
    <row r="65189" spans="8:8">
      <c r="H65189" s="680" t="s">
        <v>6153</v>
      </c>
    </row>
    <row r="65190" spans="8:8">
      <c r="H65190" s="680" t="s">
        <v>6153</v>
      </c>
    </row>
    <row r="65191" spans="8:8">
      <c r="H65191" s="680" t="s">
        <v>6153</v>
      </c>
    </row>
    <row r="65192" spans="8:8">
      <c r="H65192" s="680" t="s">
        <v>6153</v>
      </c>
    </row>
    <row r="65193" spans="8:8">
      <c r="H65193" s="680" t="s">
        <v>6153</v>
      </c>
    </row>
    <row r="65194" spans="8:8">
      <c r="H65194" s="680" t="s">
        <v>6153</v>
      </c>
    </row>
    <row r="65195" spans="8:8">
      <c r="H65195" s="680" t="s">
        <v>6153</v>
      </c>
    </row>
    <row r="65196" spans="8:8">
      <c r="H65196" s="680" t="s">
        <v>6153</v>
      </c>
    </row>
    <row r="65197" spans="8:8">
      <c r="H65197" s="680" t="s">
        <v>6153</v>
      </c>
    </row>
    <row r="65198" spans="8:8">
      <c r="H65198" s="680" t="s">
        <v>6153</v>
      </c>
    </row>
    <row r="65199" spans="8:8">
      <c r="H65199" s="680" t="s">
        <v>6153</v>
      </c>
    </row>
    <row r="65200" spans="8:8">
      <c r="H65200" s="680" t="s">
        <v>6153</v>
      </c>
    </row>
    <row r="65201" spans="8:8">
      <c r="H65201" s="680" t="s">
        <v>6153</v>
      </c>
    </row>
    <row r="65202" spans="8:8">
      <c r="H65202" s="680" t="s">
        <v>6153</v>
      </c>
    </row>
    <row r="65203" spans="8:8">
      <c r="H65203" s="680" t="s">
        <v>6153</v>
      </c>
    </row>
    <row r="65204" spans="8:8">
      <c r="H65204" s="680" t="s">
        <v>6153</v>
      </c>
    </row>
    <row r="65205" spans="8:8">
      <c r="H65205" s="680" t="s">
        <v>6153</v>
      </c>
    </row>
    <row r="65206" spans="8:8">
      <c r="H65206" s="680" t="s">
        <v>6153</v>
      </c>
    </row>
    <row r="65207" spans="8:8">
      <c r="H65207" s="680" t="s">
        <v>6153</v>
      </c>
    </row>
    <row r="65208" spans="8:8">
      <c r="H65208" s="680" t="s">
        <v>6153</v>
      </c>
    </row>
    <row r="65209" spans="8:8">
      <c r="H65209" s="680" t="s">
        <v>6153</v>
      </c>
    </row>
    <row r="65210" spans="8:8">
      <c r="H65210" s="680" t="s">
        <v>6153</v>
      </c>
    </row>
    <row r="65211" spans="8:8">
      <c r="H65211" s="680" t="s">
        <v>6153</v>
      </c>
    </row>
    <row r="65212" spans="8:8">
      <c r="H65212" s="680" t="s">
        <v>6153</v>
      </c>
    </row>
    <row r="65213" spans="8:8">
      <c r="H65213" s="680" t="s">
        <v>6153</v>
      </c>
    </row>
    <row r="65214" spans="8:8">
      <c r="H65214" s="680" t="s">
        <v>6153</v>
      </c>
    </row>
    <row r="65215" spans="8:8">
      <c r="H65215" s="680" t="s">
        <v>6153</v>
      </c>
    </row>
    <row r="65216" spans="8:8">
      <c r="H65216" s="680" t="s">
        <v>6153</v>
      </c>
    </row>
    <row r="65217" spans="8:8">
      <c r="H65217" s="680" t="s">
        <v>6153</v>
      </c>
    </row>
    <row r="65218" spans="8:8">
      <c r="H65218" s="680" t="s">
        <v>6153</v>
      </c>
    </row>
    <row r="65219" spans="8:8">
      <c r="H65219" s="680" t="s">
        <v>6153</v>
      </c>
    </row>
    <row r="65220" spans="8:8">
      <c r="H65220" s="680" t="s">
        <v>6153</v>
      </c>
    </row>
    <row r="65221" spans="8:8">
      <c r="H65221" s="680" t="s">
        <v>6153</v>
      </c>
    </row>
    <row r="65222" spans="8:8">
      <c r="H65222" s="680" t="s">
        <v>6153</v>
      </c>
    </row>
    <row r="65223" spans="8:8">
      <c r="H65223" s="680" t="s">
        <v>6153</v>
      </c>
    </row>
    <row r="65224" spans="8:8">
      <c r="H65224" s="680" t="s">
        <v>6153</v>
      </c>
    </row>
    <row r="65225" spans="8:8">
      <c r="H65225" s="680" t="s">
        <v>6153</v>
      </c>
    </row>
    <row r="65226" spans="8:8">
      <c r="H65226" s="680" t="s">
        <v>6153</v>
      </c>
    </row>
    <row r="65227" spans="8:8">
      <c r="H65227" s="680" t="s">
        <v>6153</v>
      </c>
    </row>
    <row r="65228" spans="8:8">
      <c r="H65228" s="680" t="s">
        <v>6153</v>
      </c>
    </row>
    <row r="65229" spans="8:8">
      <c r="H65229" s="680" t="s">
        <v>6153</v>
      </c>
    </row>
    <row r="65230" spans="8:8">
      <c r="H65230" s="680" t="s">
        <v>6153</v>
      </c>
    </row>
    <row r="65231" spans="8:8">
      <c r="H65231" s="680" t="s">
        <v>6153</v>
      </c>
    </row>
    <row r="65232" spans="8:8">
      <c r="H65232" s="680" t="s">
        <v>6153</v>
      </c>
    </row>
    <row r="65233" spans="8:8">
      <c r="H65233" s="680" t="s">
        <v>6153</v>
      </c>
    </row>
    <row r="65234" spans="8:8">
      <c r="H65234" s="680" t="s">
        <v>6153</v>
      </c>
    </row>
    <row r="65235" spans="8:8">
      <c r="H65235" s="680" t="s">
        <v>6153</v>
      </c>
    </row>
    <row r="65236" spans="8:8">
      <c r="H65236" s="680" t="s">
        <v>6153</v>
      </c>
    </row>
    <row r="65237" spans="8:8">
      <c r="H65237" s="680" t="s">
        <v>6153</v>
      </c>
    </row>
    <row r="65238" spans="8:8">
      <c r="H65238" s="680" t="s">
        <v>6153</v>
      </c>
    </row>
    <row r="65239" spans="8:8">
      <c r="H65239" s="680" t="s">
        <v>6153</v>
      </c>
    </row>
    <row r="65240" spans="8:8">
      <c r="H65240" s="680" t="s">
        <v>6153</v>
      </c>
    </row>
    <row r="65241" spans="8:8">
      <c r="H65241" s="680" t="s">
        <v>6153</v>
      </c>
    </row>
    <row r="65242" spans="8:8">
      <c r="H65242" s="680" t="s">
        <v>6153</v>
      </c>
    </row>
    <row r="65243" spans="8:8">
      <c r="H65243" s="680" t="s">
        <v>6153</v>
      </c>
    </row>
    <row r="65244" spans="8:8">
      <c r="H65244" s="680" t="s">
        <v>6153</v>
      </c>
    </row>
    <row r="65245" spans="8:8">
      <c r="H65245" s="680" t="s">
        <v>6153</v>
      </c>
    </row>
    <row r="65246" spans="8:8">
      <c r="H65246" s="680" t="s">
        <v>6153</v>
      </c>
    </row>
    <row r="65247" spans="8:8">
      <c r="H65247" s="680" t="s">
        <v>6153</v>
      </c>
    </row>
    <row r="65248" spans="8:8">
      <c r="H65248" s="680" t="s">
        <v>6153</v>
      </c>
    </row>
    <row r="65249" spans="8:8">
      <c r="H65249" s="680" t="s">
        <v>6153</v>
      </c>
    </row>
    <row r="65250" spans="8:8">
      <c r="H65250" s="680" t="s">
        <v>6153</v>
      </c>
    </row>
    <row r="65251" spans="8:8">
      <c r="H65251" s="680" t="s">
        <v>6153</v>
      </c>
    </row>
    <row r="65252" spans="8:8">
      <c r="H65252" s="680" t="s">
        <v>6153</v>
      </c>
    </row>
    <row r="65253" spans="8:8">
      <c r="H65253" s="680" t="s">
        <v>6153</v>
      </c>
    </row>
    <row r="65254" spans="8:8">
      <c r="H65254" s="680" t="s">
        <v>6153</v>
      </c>
    </row>
    <row r="65255" spans="8:8">
      <c r="H65255" s="680" t="s">
        <v>6153</v>
      </c>
    </row>
    <row r="65256" spans="8:8">
      <c r="H65256" s="680" t="s">
        <v>6153</v>
      </c>
    </row>
    <row r="65257" spans="8:8">
      <c r="H65257" s="680" t="s">
        <v>6153</v>
      </c>
    </row>
    <row r="65258" spans="8:8">
      <c r="H65258" s="680" t="s">
        <v>6153</v>
      </c>
    </row>
    <row r="65259" spans="8:8">
      <c r="H65259" s="680" t="s">
        <v>6153</v>
      </c>
    </row>
    <row r="65260" spans="8:8">
      <c r="H65260" s="680" t="s">
        <v>6153</v>
      </c>
    </row>
    <row r="65261" spans="8:8">
      <c r="H65261" s="680" t="s">
        <v>6153</v>
      </c>
    </row>
    <row r="65262" spans="8:8">
      <c r="H65262" s="680" t="s">
        <v>6153</v>
      </c>
    </row>
    <row r="65263" spans="8:8">
      <c r="H65263" s="680" t="s">
        <v>6153</v>
      </c>
    </row>
    <row r="65264" spans="8:8">
      <c r="H65264" s="680" t="s">
        <v>6153</v>
      </c>
    </row>
    <row r="65265" spans="8:8">
      <c r="H65265" s="680" t="s">
        <v>6153</v>
      </c>
    </row>
    <row r="65266" spans="8:8">
      <c r="H65266" s="680" t="s">
        <v>6153</v>
      </c>
    </row>
    <row r="65267" spans="8:8">
      <c r="H65267" s="680" t="s">
        <v>6153</v>
      </c>
    </row>
    <row r="65268" spans="8:8">
      <c r="H65268" s="680" t="s">
        <v>6153</v>
      </c>
    </row>
    <row r="65269" spans="8:8">
      <c r="H65269" s="680" t="s">
        <v>6153</v>
      </c>
    </row>
    <row r="65270" spans="8:8">
      <c r="H65270" s="680" t="s">
        <v>6153</v>
      </c>
    </row>
    <row r="65271" spans="8:8">
      <c r="H65271" s="680" t="s">
        <v>6153</v>
      </c>
    </row>
    <row r="65272" spans="8:8">
      <c r="H65272" s="680" t="s">
        <v>6153</v>
      </c>
    </row>
    <row r="65273" spans="8:8">
      <c r="H65273" s="680" t="s">
        <v>6153</v>
      </c>
    </row>
    <row r="65274" spans="8:8">
      <c r="H65274" s="680" t="s">
        <v>6153</v>
      </c>
    </row>
    <row r="65275" spans="8:8">
      <c r="H65275" s="680" t="s">
        <v>6153</v>
      </c>
    </row>
    <row r="65276" spans="8:8">
      <c r="H65276" s="680" t="s">
        <v>6153</v>
      </c>
    </row>
    <row r="65277" spans="8:8">
      <c r="H65277" s="680" t="s">
        <v>6153</v>
      </c>
    </row>
    <row r="65278" spans="8:8">
      <c r="H65278" s="680" t="s">
        <v>6153</v>
      </c>
    </row>
    <row r="65279" spans="8:8">
      <c r="H65279" s="680" t="s">
        <v>6153</v>
      </c>
    </row>
    <row r="65280" spans="8:8">
      <c r="H65280" s="680" t="s">
        <v>6153</v>
      </c>
    </row>
    <row r="65281" spans="8:8">
      <c r="H65281" s="680" t="s">
        <v>6153</v>
      </c>
    </row>
    <row r="65282" spans="8:8">
      <c r="H65282" s="680" t="s">
        <v>6153</v>
      </c>
    </row>
    <row r="65283" spans="8:8">
      <c r="H65283" s="680" t="s">
        <v>6153</v>
      </c>
    </row>
    <row r="65284" spans="8:8">
      <c r="H65284" s="680" t="s">
        <v>6153</v>
      </c>
    </row>
    <row r="65285" spans="8:8">
      <c r="H65285" s="680" t="s">
        <v>6153</v>
      </c>
    </row>
    <row r="65286" spans="8:8">
      <c r="H65286" s="680" t="s">
        <v>6153</v>
      </c>
    </row>
    <row r="65287" spans="8:8">
      <c r="H65287" s="680" t="s">
        <v>6153</v>
      </c>
    </row>
    <row r="65288" spans="8:8">
      <c r="H65288" s="680" t="s">
        <v>6153</v>
      </c>
    </row>
    <row r="65289" spans="8:8">
      <c r="H65289" s="680" t="s">
        <v>6153</v>
      </c>
    </row>
    <row r="65290" spans="8:8">
      <c r="H65290" s="680" t="s">
        <v>6153</v>
      </c>
    </row>
    <row r="65291" spans="8:8">
      <c r="H65291" s="680" t="s">
        <v>6153</v>
      </c>
    </row>
    <row r="65292" spans="8:8">
      <c r="H65292" s="680" t="s">
        <v>6153</v>
      </c>
    </row>
    <row r="65293" spans="8:8">
      <c r="H65293" s="680" t="s">
        <v>6153</v>
      </c>
    </row>
    <row r="65294" spans="8:8">
      <c r="H65294" s="680" t="s">
        <v>6153</v>
      </c>
    </row>
    <row r="65295" spans="8:8">
      <c r="H65295" s="680" t="s">
        <v>6153</v>
      </c>
    </row>
    <row r="65296" spans="8:8">
      <c r="H65296" s="680" t="s">
        <v>6153</v>
      </c>
    </row>
    <row r="65297" spans="8:8">
      <c r="H65297" s="680" t="s">
        <v>6153</v>
      </c>
    </row>
    <row r="65298" spans="8:8">
      <c r="H65298" s="680" t="s">
        <v>6153</v>
      </c>
    </row>
    <row r="65299" spans="8:8">
      <c r="H65299" s="680" t="s">
        <v>6153</v>
      </c>
    </row>
    <row r="65300" spans="8:8">
      <c r="H65300" s="680" t="s">
        <v>6153</v>
      </c>
    </row>
    <row r="65301" spans="8:8">
      <c r="H65301" s="680" t="s">
        <v>6153</v>
      </c>
    </row>
    <row r="65302" spans="8:8">
      <c r="H65302" s="680" t="s">
        <v>6153</v>
      </c>
    </row>
    <row r="65303" spans="8:8">
      <c r="H65303" s="680" t="s">
        <v>6153</v>
      </c>
    </row>
    <row r="65304" spans="8:8">
      <c r="H65304" s="680" t="s">
        <v>6153</v>
      </c>
    </row>
    <row r="65305" spans="8:8">
      <c r="H65305" s="680" t="s">
        <v>6153</v>
      </c>
    </row>
    <row r="65306" spans="8:8">
      <c r="H65306" s="680" t="s">
        <v>6153</v>
      </c>
    </row>
    <row r="65307" spans="8:8">
      <c r="H65307" s="680" t="s">
        <v>6153</v>
      </c>
    </row>
    <row r="65308" spans="8:8">
      <c r="H65308" s="680" t="s">
        <v>6153</v>
      </c>
    </row>
    <row r="65309" spans="8:8">
      <c r="H65309" s="680" t="s">
        <v>6153</v>
      </c>
    </row>
    <row r="65310" spans="8:8">
      <c r="H65310" s="680" t="s">
        <v>6153</v>
      </c>
    </row>
    <row r="65311" spans="8:8">
      <c r="H65311" s="680" t="s">
        <v>6153</v>
      </c>
    </row>
    <row r="65312" spans="8:8">
      <c r="H65312" s="680" t="s">
        <v>6153</v>
      </c>
    </row>
    <row r="65313" spans="8:8">
      <c r="H65313" s="680" t="s">
        <v>6153</v>
      </c>
    </row>
    <row r="65314" spans="8:8">
      <c r="H65314" s="680" t="s">
        <v>6153</v>
      </c>
    </row>
    <row r="65315" spans="8:8">
      <c r="H65315" s="680" t="s">
        <v>6153</v>
      </c>
    </row>
    <row r="65316" spans="8:8">
      <c r="H65316" s="680" t="s">
        <v>6153</v>
      </c>
    </row>
    <row r="65317" spans="8:8">
      <c r="H65317" s="680" t="s">
        <v>6153</v>
      </c>
    </row>
    <row r="65318" spans="8:8">
      <c r="H65318" s="680" t="s">
        <v>6153</v>
      </c>
    </row>
    <row r="65319" spans="8:8">
      <c r="H65319" s="680" t="s">
        <v>6153</v>
      </c>
    </row>
    <row r="65320" spans="8:8">
      <c r="H65320" s="680" t="s">
        <v>6153</v>
      </c>
    </row>
    <row r="65321" spans="8:8">
      <c r="H65321" s="680" t="s">
        <v>6153</v>
      </c>
    </row>
    <row r="65322" spans="8:8">
      <c r="H65322" s="680" t="s">
        <v>6153</v>
      </c>
    </row>
    <row r="65323" spans="8:8">
      <c r="H65323" s="680" t="s">
        <v>6153</v>
      </c>
    </row>
    <row r="65324" spans="8:8">
      <c r="H65324" s="680" t="s">
        <v>6153</v>
      </c>
    </row>
    <row r="65325" spans="8:8">
      <c r="H65325" s="680" t="s">
        <v>6153</v>
      </c>
    </row>
    <row r="65326" spans="8:8">
      <c r="H65326" s="680" t="s">
        <v>6153</v>
      </c>
    </row>
    <row r="65327" spans="8:8">
      <c r="H65327" s="680" t="s">
        <v>6153</v>
      </c>
    </row>
    <row r="65328" spans="8:8">
      <c r="H65328" s="680" t="s">
        <v>6153</v>
      </c>
    </row>
    <row r="65329" spans="8:8">
      <c r="H65329" s="680" t="s">
        <v>6153</v>
      </c>
    </row>
    <row r="65330" spans="8:8">
      <c r="H65330" s="680" t="s">
        <v>6153</v>
      </c>
    </row>
    <row r="65331" spans="8:8">
      <c r="H65331" s="680" t="s">
        <v>6153</v>
      </c>
    </row>
    <row r="65332" spans="8:8">
      <c r="H65332" s="680" t="s">
        <v>6153</v>
      </c>
    </row>
    <row r="65333" spans="8:8">
      <c r="H65333" s="680" t="s">
        <v>6153</v>
      </c>
    </row>
    <row r="65334" spans="8:8">
      <c r="H65334" s="680" t="s">
        <v>6153</v>
      </c>
    </row>
    <row r="65335" spans="8:8">
      <c r="H65335" s="680" t="s">
        <v>6153</v>
      </c>
    </row>
    <row r="65336" spans="8:8">
      <c r="H65336" s="680" t="s">
        <v>6153</v>
      </c>
    </row>
    <row r="65337" spans="8:8">
      <c r="H65337" s="680" t="s">
        <v>6153</v>
      </c>
    </row>
    <row r="65338" spans="8:8">
      <c r="H65338" s="680" t="s">
        <v>6153</v>
      </c>
    </row>
    <row r="65339" spans="8:8">
      <c r="H65339" s="680" t="s">
        <v>6153</v>
      </c>
    </row>
    <row r="65340" spans="8:8">
      <c r="H65340" s="680" t="s">
        <v>6153</v>
      </c>
    </row>
    <row r="65341" spans="8:8">
      <c r="H65341" s="680" t="s">
        <v>6153</v>
      </c>
    </row>
    <row r="65342" spans="8:8">
      <c r="H65342" s="680" t="s">
        <v>6153</v>
      </c>
    </row>
    <row r="65343" spans="8:8">
      <c r="H65343" s="680" t="s">
        <v>6153</v>
      </c>
    </row>
    <row r="65344" spans="8:8">
      <c r="H65344" s="680" t="s">
        <v>6153</v>
      </c>
    </row>
    <row r="65345" spans="8:8">
      <c r="H65345" s="680" t="s">
        <v>6153</v>
      </c>
    </row>
    <row r="65346" spans="8:8">
      <c r="H65346" s="680" t="s">
        <v>6153</v>
      </c>
    </row>
    <row r="65347" spans="8:8">
      <c r="H65347" s="680" t="s">
        <v>6153</v>
      </c>
    </row>
    <row r="65348" spans="8:8">
      <c r="H65348" s="680" t="s">
        <v>6153</v>
      </c>
    </row>
    <row r="65349" spans="8:8">
      <c r="H65349" s="680" t="s">
        <v>6153</v>
      </c>
    </row>
    <row r="65350" spans="8:8">
      <c r="H65350" s="680" t="s">
        <v>6153</v>
      </c>
    </row>
    <row r="65351" spans="8:8">
      <c r="H65351" s="680" t="s">
        <v>6153</v>
      </c>
    </row>
    <row r="65352" spans="8:8">
      <c r="H65352" s="680" t="s">
        <v>6153</v>
      </c>
    </row>
    <row r="65353" spans="8:8">
      <c r="H65353" s="680" t="s">
        <v>6153</v>
      </c>
    </row>
    <row r="65354" spans="8:8">
      <c r="H65354" s="680" t="s">
        <v>6153</v>
      </c>
    </row>
    <row r="65355" spans="8:8">
      <c r="H65355" s="680" t="s">
        <v>6153</v>
      </c>
    </row>
    <row r="65356" spans="8:8">
      <c r="H65356" s="680" t="s">
        <v>6153</v>
      </c>
    </row>
    <row r="65357" spans="8:8">
      <c r="H65357" s="680" t="s">
        <v>6153</v>
      </c>
    </row>
    <row r="65358" spans="8:8">
      <c r="H65358" s="680" t="s">
        <v>6153</v>
      </c>
    </row>
    <row r="65359" spans="8:8">
      <c r="H65359" s="680" t="s">
        <v>6153</v>
      </c>
    </row>
    <row r="65360" spans="8:8">
      <c r="H65360" s="680" t="s">
        <v>6153</v>
      </c>
    </row>
    <row r="65361" spans="8:8">
      <c r="H65361" s="680" t="s">
        <v>6153</v>
      </c>
    </row>
    <row r="65362" spans="8:8">
      <c r="H65362" s="680" t="s">
        <v>6153</v>
      </c>
    </row>
    <row r="65363" spans="8:8">
      <c r="H65363" s="680" t="s">
        <v>6153</v>
      </c>
    </row>
    <row r="65364" spans="8:8">
      <c r="H65364" s="680" t="s">
        <v>6153</v>
      </c>
    </row>
    <row r="65365" spans="8:8">
      <c r="H65365" s="680" t="s">
        <v>6153</v>
      </c>
    </row>
    <row r="65366" spans="8:8">
      <c r="H65366" s="680" t="s">
        <v>6153</v>
      </c>
    </row>
    <row r="65367" spans="8:8">
      <c r="H65367" s="680" t="s">
        <v>6153</v>
      </c>
    </row>
    <row r="65368" spans="8:8">
      <c r="H65368" s="680" t="s">
        <v>6153</v>
      </c>
    </row>
    <row r="65369" spans="8:8">
      <c r="H65369" s="680" t="s">
        <v>6153</v>
      </c>
    </row>
    <row r="65370" spans="8:8">
      <c r="H65370" s="680" t="s">
        <v>6153</v>
      </c>
    </row>
    <row r="65371" spans="8:8">
      <c r="H65371" s="680" t="s">
        <v>6153</v>
      </c>
    </row>
    <row r="65372" spans="8:8">
      <c r="H65372" s="680" t="s">
        <v>6153</v>
      </c>
    </row>
    <row r="65373" spans="8:8">
      <c r="H65373" s="680" t="s">
        <v>6153</v>
      </c>
    </row>
    <row r="65374" spans="8:8">
      <c r="H65374" s="680" t="s">
        <v>6153</v>
      </c>
    </row>
    <row r="65375" spans="8:8">
      <c r="H65375" s="680" t="s">
        <v>6153</v>
      </c>
    </row>
    <row r="65376" spans="8:8">
      <c r="H65376" s="680" t="s">
        <v>6153</v>
      </c>
    </row>
    <row r="65377" spans="8:8">
      <c r="H65377" s="680" t="s">
        <v>6153</v>
      </c>
    </row>
    <row r="65378" spans="8:8">
      <c r="H65378" s="680" t="s">
        <v>6153</v>
      </c>
    </row>
    <row r="65379" spans="8:8">
      <c r="H65379" s="680" t="s">
        <v>6153</v>
      </c>
    </row>
    <row r="65380" spans="8:8">
      <c r="H65380" s="680" t="s">
        <v>6153</v>
      </c>
    </row>
    <row r="65381" spans="8:8">
      <c r="H65381" s="680" t="s">
        <v>6153</v>
      </c>
    </row>
    <row r="65382" spans="8:8">
      <c r="H65382" s="680" t="s">
        <v>6153</v>
      </c>
    </row>
    <row r="65383" spans="8:8">
      <c r="H65383" s="680" t="s">
        <v>6153</v>
      </c>
    </row>
    <row r="65384" spans="8:8">
      <c r="H65384" s="680" t="s">
        <v>6153</v>
      </c>
    </row>
    <row r="65385" spans="8:8">
      <c r="H65385" s="680" t="s">
        <v>6153</v>
      </c>
    </row>
    <row r="65386" spans="8:8">
      <c r="H65386" s="680" t="s">
        <v>6153</v>
      </c>
    </row>
    <row r="65387" spans="8:8">
      <c r="H65387" s="680" t="s">
        <v>6153</v>
      </c>
    </row>
    <row r="65388" spans="8:8">
      <c r="H65388" s="680" t="s">
        <v>6153</v>
      </c>
    </row>
    <row r="65389" spans="8:8">
      <c r="H65389" s="680" t="s">
        <v>6153</v>
      </c>
    </row>
    <row r="65390" spans="8:8">
      <c r="H65390" s="680" t="s">
        <v>6153</v>
      </c>
    </row>
    <row r="65391" spans="8:8">
      <c r="H65391" s="680" t="s">
        <v>6153</v>
      </c>
    </row>
    <row r="65392" spans="8:8">
      <c r="H65392" s="680" t="s">
        <v>6153</v>
      </c>
    </row>
    <row r="65393" spans="8:8">
      <c r="H65393" s="680" t="s">
        <v>6153</v>
      </c>
    </row>
    <row r="65394" spans="8:8">
      <c r="H65394" s="680" t="s">
        <v>6153</v>
      </c>
    </row>
    <row r="65395" spans="8:8">
      <c r="H65395" s="680" t="s">
        <v>6153</v>
      </c>
    </row>
    <row r="65396" spans="8:8">
      <c r="H65396" s="680" t="s">
        <v>6153</v>
      </c>
    </row>
    <row r="65397" spans="8:8">
      <c r="H65397" s="680" t="s">
        <v>6153</v>
      </c>
    </row>
    <row r="65398" spans="8:8">
      <c r="H65398" s="680" t="s">
        <v>6153</v>
      </c>
    </row>
    <row r="65399" spans="8:8">
      <c r="H65399" s="680" t="s">
        <v>6153</v>
      </c>
    </row>
    <row r="65400" spans="8:8">
      <c r="H65400" s="680" t="s">
        <v>6153</v>
      </c>
    </row>
    <row r="65401" spans="8:8">
      <c r="H65401" s="680" t="s">
        <v>6153</v>
      </c>
    </row>
    <row r="65402" spans="8:8">
      <c r="H65402" s="680" t="s">
        <v>6153</v>
      </c>
    </row>
    <row r="65403" spans="8:8">
      <c r="H65403" s="680" t="s">
        <v>6153</v>
      </c>
    </row>
    <row r="65404" spans="8:8">
      <c r="H65404" s="680" t="s">
        <v>6153</v>
      </c>
    </row>
    <row r="65405" spans="8:8">
      <c r="H65405" s="680" t="s">
        <v>6153</v>
      </c>
    </row>
    <row r="65406" spans="8:8">
      <c r="H65406" s="680" t="s">
        <v>6153</v>
      </c>
    </row>
    <row r="65407" spans="8:8">
      <c r="H65407" s="680" t="s">
        <v>6153</v>
      </c>
    </row>
    <row r="65408" spans="8:8">
      <c r="H65408" s="680" t="s">
        <v>6153</v>
      </c>
    </row>
    <row r="65409" spans="8:8">
      <c r="H65409" s="680" t="s">
        <v>6153</v>
      </c>
    </row>
    <row r="65410" spans="8:8">
      <c r="H65410" s="680" t="s">
        <v>6153</v>
      </c>
    </row>
    <row r="65411" spans="8:8">
      <c r="H65411" s="680" t="s">
        <v>6153</v>
      </c>
    </row>
    <row r="65412" spans="8:8">
      <c r="H65412" s="680" t="s">
        <v>6153</v>
      </c>
    </row>
    <row r="65413" spans="8:8">
      <c r="H65413" s="680" t="s">
        <v>6153</v>
      </c>
    </row>
    <row r="65414" spans="8:8">
      <c r="H65414" s="680" t="s">
        <v>6153</v>
      </c>
    </row>
    <row r="65415" spans="8:8">
      <c r="H65415" s="680" t="s">
        <v>6153</v>
      </c>
    </row>
    <row r="65416" spans="8:8">
      <c r="H65416" s="680" t="s">
        <v>6153</v>
      </c>
    </row>
    <row r="65417" spans="8:8">
      <c r="H65417" s="680" t="s">
        <v>6153</v>
      </c>
    </row>
    <row r="65418" spans="8:8">
      <c r="H65418" s="680" t="s">
        <v>6153</v>
      </c>
    </row>
    <row r="65419" spans="8:8">
      <c r="H65419" s="680" t="s">
        <v>6153</v>
      </c>
    </row>
    <row r="65420" spans="8:8">
      <c r="H65420" s="680" t="s">
        <v>6153</v>
      </c>
    </row>
    <row r="65421" spans="8:8">
      <c r="H65421" s="680" t="s">
        <v>6153</v>
      </c>
    </row>
    <row r="65422" spans="8:8">
      <c r="H65422" s="680" t="s">
        <v>6153</v>
      </c>
    </row>
    <row r="65423" spans="8:8">
      <c r="H65423" s="680" t="s">
        <v>6153</v>
      </c>
    </row>
    <row r="65424" spans="8:8">
      <c r="H65424" s="680" t="s">
        <v>6153</v>
      </c>
    </row>
    <row r="65425" spans="8:8">
      <c r="H65425" s="680" t="s">
        <v>6153</v>
      </c>
    </row>
    <row r="65426" spans="8:8">
      <c r="H65426" s="680" t="s">
        <v>6153</v>
      </c>
    </row>
    <row r="65427" spans="8:8">
      <c r="H65427" s="680" t="s">
        <v>6153</v>
      </c>
    </row>
    <row r="65428" spans="8:8">
      <c r="H65428" s="680" t="s">
        <v>6153</v>
      </c>
    </row>
    <row r="65429" spans="8:8">
      <c r="H65429" s="680" t="s">
        <v>6153</v>
      </c>
    </row>
    <row r="65430" spans="8:8">
      <c r="H65430" s="680" t="s">
        <v>6153</v>
      </c>
    </row>
    <row r="65431" spans="8:8">
      <c r="H65431" s="680" t="s">
        <v>6153</v>
      </c>
    </row>
    <row r="65432" spans="8:8">
      <c r="H65432" s="680" t="s">
        <v>6153</v>
      </c>
    </row>
    <row r="65433" spans="8:8">
      <c r="H65433" s="680" t="s">
        <v>6153</v>
      </c>
    </row>
    <row r="65434" spans="8:8">
      <c r="H65434" s="680" t="s">
        <v>6153</v>
      </c>
    </row>
    <row r="65435" spans="8:8">
      <c r="H65435" s="680" t="s">
        <v>6153</v>
      </c>
    </row>
    <row r="65436" spans="8:8">
      <c r="H65436" s="680" t="s">
        <v>6153</v>
      </c>
    </row>
    <row r="65437" spans="8:8">
      <c r="H65437" s="680" t="s">
        <v>6153</v>
      </c>
    </row>
    <row r="65438" spans="8:8">
      <c r="H65438" s="680" t="s">
        <v>6153</v>
      </c>
    </row>
    <row r="65439" spans="8:8">
      <c r="H65439" s="680" t="s">
        <v>6153</v>
      </c>
    </row>
    <row r="65440" spans="8:8">
      <c r="H65440" s="680" t="s">
        <v>6153</v>
      </c>
    </row>
    <row r="65441" spans="8:8">
      <c r="H65441" s="680" t="s">
        <v>6153</v>
      </c>
    </row>
    <row r="65442" spans="8:8">
      <c r="H65442" s="680" t="s">
        <v>6153</v>
      </c>
    </row>
    <row r="65443" spans="8:8">
      <c r="H65443" s="680" t="s">
        <v>6153</v>
      </c>
    </row>
    <row r="65444" spans="8:8">
      <c r="H65444" s="680" t="s">
        <v>6153</v>
      </c>
    </row>
    <row r="65445" spans="8:8">
      <c r="H65445" s="680" t="s">
        <v>6153</v>
      </c>
    </row>
    <row r="65446" spans="8:8">
      <c r="H65446" s="680" t="s">
        <v>6153</v>
      </c>
    </row>
    <row r="65447" spans="8:8">
      <c r="H65447" s="680" t="s">
        <v>6153</v>
      </c>
    </row>
    <row r="65448" spans="8:8">
      <c r="H65448" s="680" t="s">
        <v>6153</v>
      </c>
    </row>
    <row r="65449" spans="8:8">
      <c r="H65449" s="680" t="s">
        <v>6153</v>
      </c>
    </row>
    <row r="65450" spans="8:8">
      <c r="H65450" s="680" t="s">
        <v>6153</v>
      </c>
    </row>
    <row r="65451" spans="8:8">
      <c r="H65451" s="680" t="s">
        <v>6153</v>
      </c>
    </row>
    <row r="65452" spans="8:8">
      <c r="H65452" s="680" t="s">
        <v>6153</v>
      </c>
    </row>
    <row r="65453" spans="8:8">
      <c r="H65453" s="680" t="s">
        <v>6153</v>
      </c>
    </row>
    <row r="65454" spans="8:8">
      <c r="H65454" s="680" t="s">
        <v>6153</v>
      </c>
    </row>
    <row r="65455" spans="8:8">
      <c r="H65455" s="680" t="s">
        <v>6153</v>
      </c>
    </row>
    <row r="65456" spans="8:8">
      <c r="H65456" s="680" t="s">
        <v>6153</v>
      </c>
    </row>
    <row r="65457" spans="8:8">
      <c r="H65457" s="680" t="s">
        <v>6153</v>
      </c>
    </row>
    <row r="65458" spans="8:8">
      <c r="H65458" s="680" t="s">
        <v>6153</v>
      </c>
    </row>
    <row r="65459" spans="8:8">
      <c r="H65459" s="680" t="s">
        <v>6153</v>
      </c>
    </row>
    <row r="65460" spans="8:8">
      <c r="H65460" s="680" t="s">
        <v>6153</v>
      </c>
    </row>
    <row r="65461" spans="8:8">
      <c r="H65461" s="680" t="s">
        <v>6153</v>
      </c>
    </row>
    <row r="65462" spans="8:8">
      <c r="H65462" s="680" t="s">
        <v>6153</v>
      </c>
    </row>
    <row r="65463" spans="8:8">
      <c r="H65463" s="680" t="s">
        <v>6153</v>
      </c>
    </row>
    <row r="65464" spans="8:8">
      <c r="H65464" s="680" t="s">
        <v>6153</v>
      </c>
    </row>
    <row r="65465" spans="8:8">
      <c r="H65465" s="680" t="s">
        <v>6153</v>
      </c>
    </row>
    <row r="65466" spans="8:8">
      <c r="H65466" s="680" t="s">
        <v>6153</v>
      </c>
    </row>
    <row r="65467" spans="8:8">
      <c r="H65467" s="680" t="s">
        <v>6153</v>
      </c>
    </row>
    <row r="65468" spans="8:8">
      <c r="H65468" s="680" t="s">
        <v>6153</v>
      </c>
    </row>
    <row r="65469" spans="8:8">
      <c r="H65469" s="680" t="s">
        <v>6153</v>
      </c>
    </row>
    <row r="65470" spans="8:8">
      <c r="H65470" s="680" t="s">
        <v>6153</v>
      </c>
    </row>
    <row r="65471" spans="8:8">
      <c r="H65471" s="680" t="s">
        <v>6153</v>
      </c>
    </row>
    <row r="65472" spans="8:8">
      <c r="H65472" s="680" t="s">
        <v>6153</v>
      </c>
    </row>
    <row r="65473" spans="8:8">
      <c r="H65473" s="680" t="s">
        <v>6153</v>
      </c>
    </row>
    <row r="65474" spans="8:8">
      <c r="H65474" s="680" t="s">
        <v>6153</v>
      </c>
    </row>
    <row r="65475" spans="8:8">
      <c r="H65475" s="680" t="s">
        <v>6153</v>
      </c>
    </row>
    <row r="65476" spans="8:8">
      <c r="H65476" s="680" t="s">
        <v>6153</v>
      </c>
    </row>
    <row r="65477" spans="8:8">
      <c r="H65477" s="680" t="s">
        <v>6153</v>
      </c>
    </row>
    <row r="65478" spans="8:8">
      <c r="H65478" s="680" t="s">
        <v>6153</v>
      </c>
    </row>
    <row r="65479" spans="8:8">
      <c r="H65479" s="680" t="s">
        <v>6153</v>
      </c>
    </row>
    <row r="65480" spans="8:8">
      <c r="H65480" s="680" t="s">
        <v>6153</v>
      </c>
    </row>
    <row r="65481" spans="8:8">
      <c r="H65481" s="680" t="s">
        <v>6153</v>
      </c>
    </row>
    <row r="65482" spans="8:8">
      <c r="H65482" s="680" t="s">
        <v>6153</v>
      </c>
    </row>
    <row r="65483" spans="8:8">
      <c r="H65483" s="680" t="s">
        <v>6153</v>
      </c>
    </row>
    <row r="65484" spans="8:8">
      <c r="H65484" s="680" t="s">
        <v>6153</v>
      </c>
    </row>
    <row r="65485" spans="8:8">
      <c r="H65485" s="680" t="s">
        <v>6153</v>
      </c>
    </row>
    <row r="65486" spans="8:8">
      <c r="H65486" s="680" t="s">
        <v>6153</v>
      </c>
    </row>
    <row r="65487" spans="8:8">
      <c r="H65487" s="680" t="s">
        <v>6153</v>
      </c>
    </row>
    <row r="65488" spans="8:8">
      <c r="H65488" s="680" t="s">
        <v>6153</v>
      </c>
    </row>
    <row r="65489" spans="8:8">
      <c r="H65489" s="680" t="s">
        <v>6153</v>
      </c>
    </row>
    <row r="65490" spans="8:8">
      <c r="H65490" s="680" t="s">
        <v>6153</v>
      </c>
    </row>
    <row r="65491" spans="8:8">
      <c r="H65491" s="680" t="s">
        <v>6153</v>
      </c>
    </row>
    <row r="65492" spans="8:8">
      <c r="H65492" s="680" t="s">
        <v>6153</v>
      </c>
    </row>
    <row r="65493" spans="8:8">
      <c r="H65493" s="680" t="s">
        <v>6153</v>
      </c>
    </row>
    <row r="65494" spans="8:8">
      <c r="H65494" s="680" t="s">
        <v>6153</v>
      </c>
    </row>
    <row r="65495" spans="8:8">
      <c r="H65495" s="680" t="s">
        <v>6153</v>
      </c>
    </row>
    <row r="65496" spans="8:8">
      <c r="H65496" s="680" t="s">
        <v>6153</v>
      </c>
    </row>
    <row r="65497" spans="8:8">
      <c r="H65497" s="680" t="s">
        <v>6153</v>
      </c>
    </row>
    <row r="65498" spans="8:8">
      <c r="H65498" s="680" t="s">
        <v>6153</v>
      </c>
    </row>
    <row r="65499" spans="8:8">
      <c r="H65499" s="680" t="s">
        <v>6153</v>
      </c>
    </row>
    <row r="65500" spans="8:8">
      <c r="H65500" s="680" t="s">
        <v>6153</v>
      </c>
    </row>
    <row r="65501" spans="8:8">
      <c r="H65501" s="680" t="s">
        <v>6153</v>
      </c>
    </row>
    <row r="65502" spans="8:8">
      <c r="H65502" s="680" t="s">
        <v>6153</v>
      </c>
    </row>
    <row r="65503" spans="8:8">
      <c r="H65503" s="680" t="s">
        <v>6153</v>
      </c>
    </row>
    <row r="65504" spans="8:8">
      <c r="H65504" s="680" t="s">
        <v>6153</v>
      </c>
    </row>
    <row r="65505" spans="8:8">
      <c r="H65505" s="680" t="s">
        <v>6153</v>
      </c>
    </row>
    <row r="65506" spans="8:8">
      <c r="H65506" s="680" t="s">
        <v>6153</v>
      </c>
    </row>
    <row r="65507" spans="8:8">
      <c r="H65507" s="680" t="s">
        <v>6153</v>
      </c>
    </row>
    <row r="65508" spans="8:8">
      <c r="H65508" s="680" t="s">
        <v>6153</v>
      </c>
    </row>
    <row r="65509" spans="8:8">
      <c r="H65509" s="680" t="s">
        <v>6153</v>
      </c>
    </row>
    <row r="65510" spans="8:8">
      <c r="H65510" s="680" t="s">
        <v>6153</v>
      </c>
    </row>
    <row r="65511" spans="8:8">
      <c r="H65511" s="680" t="s">
        <v>6153</v>
      </c>
    </row>
    <row r="65512" spans="8:8">
      <c r="H65512" s="680" t="s">
        <v>6153</v>
      </c>
    </row>
    <row r="65513" spans="8:8">
      <c r="H65513" s="680" t="s">
        <v>6153</v>
      </c>
    </row>
    <row r="65514" spans="8:8">
      <c r="H65514" s="680" t="s">
        <v>6153</v>
      </c>
    </row>
    <row r="65515" spans="8:8">
      <c r="H65515" s="680" t="s">
        <v>6153</v>
      </c>
    </row>
    <row r="65516" spans="8:8">
      <c r="H65516" s="680" t="s">
        <v>6153</v>
      </c>
    </row>
    <row r="65517" spans="8:8">
      <c r="H65517" s="680" t="s">
        <v>6153</v>
      </c>
    </row>
    <row r="65518" spans="8:8">
      <c r="H65518" s="680" t="s">
        <v>6153</v>
      </c>
    </row>
    <row r="65519" spans="8:8">
      <c r="H65519" s="680" t="s">
        <v>6153</v>
      </c>
    </row>
    <row r="65520" spans="8:8">
      <c r="H65520" s="680" t="s">
        <v>6153</v>
      </c>
    </row>
    <row r="65521" spans="8:8">
      <c r="H65521" s="680" t="s">
        <v>6153</v>
      </c>
    </row>
    <row r="65522" spans="8:8">
      <c r="H65522" s="680" t="s">
        <v>6153</v>
      </c>
    </row>
    <row r="65523" spans="8:8">
      <c r="H65523" s="680" t="s">
        <v>6153</v>
      </c>
    </row>
    <row r="65524" spans="8:8">
      <c r="H65524" s="680" t="s">
        <v>6153</v>
      </c>
    </row>
    <row r="65525" spans="8:8">
      <c r="H65525" s="680" t="s">
        <v>6153</v>
      </c>
    </row>
    <row r="65526" spans="8:8">
      <c r="H65526" s="680" t="s">
        <v>6153</v>
      </c>
    </row>
    <row r="65527" spans="8:8">
      <c r="H65527" s="680" t="s">
        <v>6153</v>
      </c>
    </row>
    <row r="65528" spans="8:8">
      <c r="H65528" s="680" t="s">
        <v>6153</v>
      </c>
    </row>
    <row r="65529" spans="8:8">
      <c r="H65529" s="680" t="s">
        <v>6153</v>
      </c>
    </row>
    <row r="65530" spans="8:8">
      <c r="H65530" s="680" t="s">
        <v>6153</v>
      </c>
    </row>
    <row r="65531" spans="8:8">
      <c r="H65531" s="680" t="s">
        <v>6153</v>
      </c>
    </row>
    <row r="65532" spans="8:8">
      <c r="H65532" s="680" t="s">
        <v>6153</v>
      </c>
    </row>
    <row r="65533" spans="8:8">
      <c r="H65533" s="680" t="s">
        <v>6153</v>
      </c>
    </row>
    <row r="65534" spans="8:8">
      <c r="H65534" s="680" t="s">
        <v>6153</v>
      </c>
    </row>
    <row r="65535" spans="8:8">
      <c r="H65535" s="680" t="s">
        <v>6153</v>
      </c>
    </row>
    <row r="65536" spans="8:8">
      <c r="H65536" s="680" t="s">
        <v>6153</v>
      </c>
    </row>
  </sheetData>
  <phoneticPr fontId="33" type="noConversion"/>
  <pageMargins left="0.75" right="0.75" top="1" bottom="1" header="0.5" footer="0.5"/>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9"/>
  <dimension ref="A1:B1031"/>
  <sheetViews>
    <sheetView workbookViewId="0"/>
  </sheetViews>
  <sheetFormatPr defaultRowHeight="13.2"/>
  <cols>
    <col min="2" max="2" width="15.21875" customWidth="1"/>
  </cols>
  <sheetData>
    <row r="1" spans="1:2">
      <c r="A1" s="216" t="s">
        <v>3890</v>
      </c>
      <c r="B1" s="187">
        <v>230</v>
      </c>
    </row>
    <row r="2" spans="1:2">
      <c r="A2" s="216" t="s">
        <v>694</v>
      </c>
      <c r="B2" s="187">
        <v>158</v>
      </c>
    </row>
    <row r="3" spans="1:2">
      <c r="A3" s="216" t="s">
        <v>696</v>
      </c>
      <c r="B3" s="187">
        <v>93</v>
      </c>
    </row>
    <row r="4" spans="1:2">
      <c r="A4" s="216" t="s">
        <v>698</v>
      </c>
      <c r="B4" s="187">
        <v>84</v>
      </c>
    </row>
    <row r="5" spans="1:2">
      <c r="A5" s="216" t="s">
        <v>700</v>
      </c>
      <c r="B5" s="187">
        <v>226</v>
      </c>
    </row>
    <row r="6" spans="1:2">
      <c r="A6" s="216" t="s">
        <v>1491</v>
      </c>
      <c r="B6" s="187">
        <v>96</v>
      </c>
    </row>
    <row r="7" spans="1:2">
      <c r="A7" s="216" t="s">
        <v>6212</v>
      </c>
      <c r="B7" s="187">
        <v>145</v>
      </c>
    </row>
    <row r="8" spans="1:2">
      <c r="A8" s="216" t="s">
        <v>2753</v>
      </c>
      <c r="B8" s="246">
        <v>1503</v>
      </c>
    </row>
    <row r="9" spans="1:2">
      <c r="A9" s="216" t="s">
        <v>3080</v>
      </c>
      <c r="B9" s="187">
        <v>76</v>
      </c>
    </row>
    <row r="10" spans="1:2">
      <c r="A10" s="216" t="s">
        <v>2842</v>
      </c>
      <c r="B10" s="187">
        <v>160</v>
      </c>
    </row>
    <row r="11" spans="1:2">
      <c r="A11" s="216" t="s">
        <v>1874</v>
      </c>
      <c r="B11" s="187">
        <v>197</v>
      </c>
    </row>
    <row r="12" spans="1:2">
      <c r="A12" s="216" t="s">
        <v>2844</v>
      </c>
      <c r="B12" s="187">
        <v>116</v>
      </c>
    </row>
    <row r="13" spans="1:2">
      <c r="A13" s="216" t="s">
        <v>2846</v>
      </c>
      <c r="B13" s="187">
        <v>210</v>
      </c>
    </row>
    <row r="14" spans="1:2">
      <c r="A14" s="216" t="s">
        <v>2848</v>
      </c>
      <c r="B14" s="187">
        <v>94</v>
      </c>
    </row>
    <row r="15" spans="1:2">
      <c r="A15" s="216" t="s">
        <v>1225</v>
      </c>
      <c r="B15" s="187">
        <v>443</v>
      </c>
    </row>
    <row r="16" spans="1:2">
      <c r="A16" s="216" t="s">
        <v>1227</v>
      </c>
      <c r="B16" s="187">
        <v>447</v>
      </c>
    </row>
    <row r="17" spans="1:2">
      <c r="A17" s="216" t="s">
        <v>1229</v>
      </c>
      <c r="B17" s="187">
        <v>245</v>
      </c>
    </row>
    <row r="18" spans="1:2">
      <c r="A18" s="216" t="s">
        <v>1231</v>
      </c>
      <c r="B18" s="187">
        <v>170</v>
      </c>
    </row>
    <row r="19" spans="1:2">
      <c r="A19" s="216" t="s">
        <v>2360</v>
      </c>
      <c r="B19" s="187">
        <v>59</v>
      </c>
    </row>
    <row r="20" spans="1:2">
      <c r="A20" s="216" t="s">
        <v>1233</v>
      </c>
      <c r="B20" s="187">
        <v>824</v>
      </c>
    </row>
    <row r="21" spans="1:2">
      <c r="A21" s="216" t="s">
        <v>3081</v>
      </c>
      <c r="B21" s="187">
        <v>249</v>
      </c>
    </row>
    <row r="22" spans="1:2">
      <c r="A22" s="216" t="s">
        <v>1235</v>
      </c>
      <c r="B22" s="187">
        <v>272</v>
      </c>
    </row>
    <row r="23" spans="1:2">
      <c r="A23" s="216" t="s">
        <v>2999</v>
      </c>
      <c r="B23" s="187">
        <v>48</v>
      </c>
    </row>
    <row r="24" spans="1:2">
      <c r="A24" s="216" t="s">
        <v>5127</v>
      </c>
      <c r="B24" s="187">
        <v>444</v>
      </c>
    </row>
    <row r="25" spans="1:2">
      <c r="A25" s="216" t="s">
        <v>2563</v>
      </c>
      <c r="B25" s="187">
        <v>175</v>
      </c>
    </row>
    <row r="26" spans="1:2">
      <c r="A26" s="216" t="s">
        <v>1237</v>
      </c>
      <c r="B26" s="187">
        <v>387</v>
      </c>
    </row>
    <row r="27" spans="1:2">
      <c r="A27" s="216" t="s">
        <v>1239</v>
      </c>
      <c r="B27" s="187">
        <v>207</v>
      </c>
    </row>
    <row r="28" spans="1:2">
      <c r="A28" s="216" t="s">
        <v>1241</v>
      </c>
      <c r="B28" s="187">
        <v>127</v>
      </c>
    </row>
    <row r="29" spans="1:2">
      <c r="A29" s="216" t="s">
        <v>1243</v>
      </c>
      <c r="B29" s="187">
        <v>474</v>
      </c>
    </row>
    <row r="30" spans="1:2">
      <c r="A30" s="216" t="s">
        <v>1245</v>
      </c>
      <c r="B30" s="187">
        <v>306</v>
      </c>
    </row>
    <row r="31" spans="1:2">
      <c r="A31" s="216" t="s">
        <v>2361</v>
      </c>
      <c r="B31" s="187">
        <v>322</v>
      </c>
    </row>
    <row r="32" spans="1:2">
      <c r="A32" s="216" t="s">
        <v>948</v>
      </c>
      <c r="B32" s="187">
        <v>434</v>
      </c>
    </row>
    <row r="33" spans="1:2">
      <c r="A33" s="216" t="s">
        <v>1522</v>
      </c>
      <c r="B33" s="187">
        <v>157</v>
      </c>
    </row>
    <row r="34" spans="1:2">
      <c r="A34" s="216" t="s">
        <v>438</v>
      </c>
      <c r="B34" s="187">
        <v>292</v>
      </c>
    </row>
    <row r="35" spans="1:2">
      <c r="A35" s="216" t="s">
        <v>2565</v>
      </c>
      <c r="B35" s="187">
        <v>64</v>
      </c>
    </row>
    <row r="36" spans="1:2">
      <c r="A36" s="216" t="s">
        <v>1248</v>
      </c>
      <c r="B36" s="187">
        <v>906</v>
      </c>
    </row>
    <row r="37" spans="1:2">
      <c r="A37" s="216" t="s">
        <v>439</v>
      </c>
      <c r="B37" s="187">
        <v>357</v>
      </c>
    </row>
    <row r="38" spans="1:2">
      <c r="A38" s="216" t="s">
        <v>1250</v>
      </c>
      <c r="B38" s="187">
        <v>151</v>
      </c>
    </row>
    <row r="39" spans="1:2">
      <c r="A39" s="216" t="s">
        <v>1252</v>
      </c>
      <c r="B39" s="187">
        <v>179</v>
      </c>
    </row>
    <row r="40" spans="1:2">
      <c r="A40" s="216" t="s">
        <v>2399</v>
      </c>
      <c r="B40" s="187">
        <v>256</v>
      </c>
    </row>
    <row r="41" spans="1:2">
      <c r="A41" s="216" t="s">
        <v>2566</v>
      </c>
      <c r="B41" s="187">
        <v>52</v>
      </c>
    </row>
    <row r="42" spans="1:2">
      <c r="A42" s="216" t="s">
        <v>947</v>
      </c>
      <c r="B42" s="187">
        <v>102</v>
      </c>
    </row>
    <row r="43" spans="1:2">
      <c r="A43" s="216" t="s">
        <v>950</v>
      </c>
      <c r="B43" s="187">
        <v>196</v>
      </c>
    </row>
    <row r="44" spans="1:2">
      <c r="A44" s="216" t="s">
        <v>1869</v>
      </c>
      <c r="B44" s="187">
        <v>83</v>
      </c>
    </row>
    <row r="45" spans="1:2">
      <c r="A45" s="216" t="s">
        <v>6033</v>
      </c>
      <c r="B45" s="187">
        <v>201</v>
      </c>
    </row>
    <row r="46" spans="1:2">
      <c r="A46" s="216" t="s">
        <v>2309</v>
      </c>
      <c r="B46" s="187">
        <v>156</v>
      </c>
    </row>
    <row r="47" spans="1:2">
      <c r="A47" s="216" t="s">
        <v>2384</v>
      </c>
      <c r="B47" s="187">
        <v>130</v>
      </c>
    </row>
    <row r="48" spans="1:2">
      <c r="A48" s="216" t="s">
        <v>2411</v>
      </c>
      <c r="B48" s="187">
        <v>59</v>
      </c>
    </row>
    <row r="49" spans="1:2">
      <c r="A49" s="216" t="s">
        <v>2416</v>
      </c>
      <c r="B49" s="187">
        <v>105</v>
      </c>
    </row>
    <row r="50" spans="1:2">
      <c r="A50" s="216" t="s">
        <v>37</v>
      </c>
      <c r="B50" s="187">
        <v>12</v>
      </c>
    </row>
    <row r="51" spans="1:2">
      <c r="A51" s="216" t="s">
        <v>1860</v>
      </c>
      <c r="B51" s="187">
        <v>22</v>
      </c>
    </row>
    <row r="52" spans="1:2">
      <c r="A52" s="216" t="s">
        <v>1520</v>
      </c>
      <c r="B52" s="187">
        <v>19</v>
      </c>
    </row>
    <row r="53" spans="1:2">
      <c r="A53" s="216" t="s">
        <v>2386</v>
      </c>
      <c r="B53" s="187">
        <v>79</v>
      </c>
    </row>
    <row r="54" spans="1:2">
      <c r="A54" s="216" t="s">
        <v>2403</v>
      </c>
      <c r="B54" s="187">
        <v>21</v>
      </c>
    </row>
    <row r="55" spans="1:2">
      <c r="A55" s="216" t="s">
        <v>2402</v>
      </c>
      <c r="B55" s="187">
        <v>78</v>
      </c>
    </row>
    <row r="56" spans="1:2">
      <c r="A56" s="216" t="s">
        <v>6183</v>
      </c>
      <c r="B56" s="187">
        <v>103</v>
      </c>
    </row>
    <row r="57" spans="1:2">
      <c r="A57" s="216" t="s">
        <v>1517</v>
      </c>
      <c r="B57" s="187">
        <v>196</v>
      </c>
    </row>
    <row r="58" spans="1:2">
      <c r="A58" s="216" t="s">
        <v>3082</v>
      </c>
      <c r="B58" s="187">
        <v>107</v>
      </c>
    </row>
    <row r="59" spans="1:2">
      <c r="A59" s="216" t="s">
        <v>6185</v>
      </c>
      <c r="B59" s="187">
        <v>341</v>
      </c>
    </row>
    <row r="60" spans="1:2">
      <c r="A60" s="216" t="s">
        <v>6026</v>
      </c>
      <c r="B60" s="187">
        <v>75</v>
      </c>
    </row>
    <row r="61" spans="1:2">
      <c r="A61" s="216" t="s">
        <v>2404</v>
      </c>
      <c r="B61" s="187">
        <v>101</v>
      </c>
    </row>
    <row r="62" spans="1:2">
      <c r="A62" s="216" t="s">
        <v>45</v>
      </c>
      <c r="B62" s="187">
        <v>532</v>
      </c>
    </row>
    <row r="63" spans="1:2">
      <c r="A63" s="216" t="s">
        <v>952</v>
      </c>
      <c r="B63" s="187">
        <v>350</v>
      </c>
    </row>
    <row r="64" spans="1:2">
      <c r="A64" s="216" t="s">
        <v>47</v>
      </c>
      <c r="B64" s="187">
        <v>908</v>
      </c>
    </row>
    <row r="65" spans="1:2">
      <c r="A65" s="216" t="s">
        <v>740</v>
      </c>
      <c r="B65" s="187">
        <v>218</v>
      </c>
    </row>
    <row r="66" spans="1:2">
      <c r="A66" s="216" t="s">
        <v>49</v>
      </c>
      <c r="B66" s="187">
        <v>150</v>
      </c>
    </row>
    <row r="67" spans="1:2">
      <c r="A67" s="216" t="s">
        <v>1337</v>
      </c>
      <c r="B67" s="187">
        <v>61</v>
      </c>
    </row>
    <row r="68" spans="1:2">
      <c r="A68" s="216" t="s">
        <v>1339</v>
      </c>
      <c r="B68" s="187">
        <v>174</v>
      </c>
    </row>
    <row r="69" spans="1:2">
      <c r="A69" s="216" t="s">
        <v>2474</v>
      </c>
      <c r="B69" s="187">
        <v>102</v>
      </c>
    </row>
    <row r="70" spans="1:2">
      <c r="A70" s="216" t="s">
        <v>1341</v>
      </c>
      <c r="B70" s="187">
        <v>144</v>
      </c>
    </row>
    <row r="71" spans="1:2">
      <c r="A71" s="216" t="s">
        <v>1343</v>
      </c>
      <c r="B71" s="187">
        <v>108</v>
      </c>
    </row>
    <row r="72" spans="1:2">
      <c r="A72" s="216" t="s">
        <v>1345</v>
      </c>
      <c r="B72" s="187">
        <v>147</v>
      </c>
    </row>
    <row r="73" spans="1:2">
      <c r="A73" s="216" t="s">
        <v>963</v>
      </c>
      <c r="B73" s="187">
        <v>279</v>
      </c>
    </row>
    <row r="74" spans="1:2">
      <c r="A74" s="216" t="s">
        <v>3083</v>
      </c>
      <c r="B74" s="187">
        <v>69</v>
      </c>
    </row>
    <row r="75" spans="1:2">
      <c r="A75" s="216" t="s">
        <v>2568</v>
      </c>
      <c r="B75" s="187">
        <v>38</v>
      </c>
    </row>
    <row r="76" spans="1:2">
      <c r="A76" s="216" t="s">
        <v>1349</v>
      </c>
      <c r="B76" s="187">
        <v>112</v>
      </c>
    </row>
    <row r="77" spans="1:2">
      <c r="A77" s="216" t="s">
        <v>6083</v>
      </c>
      <c r="B77" s="187">
        <v>80</v>
      </c>
    </row>
    <row r="78" spans="1:2">
      <c r="A78" s="216" t="s">
        <v>6085</v>
      </c>
      <c r="B78" s="187">
        <v>22</v>
      </c>
    </row>
    <row r="79" spans="1:2">
      <c r="A79" s="216" t="s">
        <v>1998</v>
      </c>
      <c r="B79" s="187">
        <v>60</v>
      </c>
    </row>
    <row r="80" spans="1:2">
      <c r="A80" s="216" t="s">
        <v>2570</v>
      </c>
      <c r="B80" s="187">
        <v>145</v>
      </c>
    </row>
    <row r="81" spans="1:2">
      <c r="A81" s="216" t="s">
        <v>4076</v>
      </c>
      <c r="B81" s="187">
        <v>17</v>
      </c>
    </row>
    <row r="82" spans="1:2">
      <c r="A82" s="216" t="s">
        <v>1963</v>
      </c>
      <c r="B82" s="187">
        <v>9</v>
      </c>
    </row>
    <row r="83" spans="1:2">
      <c r="A83" s="216" t="s">
        <v>2000</v>
      </c>
      <c r="B83" s="187">
        <v>64</v>
      </c>
    </row>
    <row r="84" spans="1:2">
      <c r="A84" s="216" t="s">
        <v>2002</v>
      </c>
      <c r="B84" s="187">
        <v>19</v>
      </c>
    </row>
    <row r="85" spans="1:2">
      <c r="A85" s="216" t="s">
        <v>1964</v>
      </c>
      <c r="B85" s="187">
        <v>9</v>
      </c>
    </row>
    <row r="86" spans="1:2">
      <c r="A86" s="216" t="s">
        <v>2136</v>
      </c>
      <c r="B86" s="187">
        <v>254</v>
      </c>
    </row>
    <row r="87" spans="1:2">
      <c r="A87" s="216" t="s">
        <v>2966</v>
      </c>
      <c r="B87" s="187">
        <v>437</v>
      </c>
    </row>
    <row r="88" spans="1:2">
      <c r="A88" s="216" t="s">
        <v>3084</v>
      </c>
      <c r="B88" s="187">
        <v>64</v>
      </c>
    </row>
    <row r="89" spans="1:2">
      <c r="A89" s="216" t="s">
        <v>6252</v>
      </c>
      <c r="B89" s="187">
        <v>457</v>
      </c>
    </row>
    <row r="90" spans="1:2">
      <c r="A90" s="216" t="s">
        <v>6254</v>
      </c>
      <c r="B90" s="187">
        <v>213</v>
      </c>
    </row>
    <row r="91" spans="1:2">
      <c r="A91" s="216" t="s">
        <v>233</v>
      </c>
      <c r="B91" s="187">
        <v>244</v>
      </c>
    </row>
    <row r="92" spans="1:2">
      <c r="A92" s="216" t="s">
        <v>6195</v>
      </c>
      <c r="B92" s="187">
        <v>45</v>
      </c>
    </row>
    <row r="93" spans="1:2">
      <c r="A93" s="216" t="s">
        <v>6256</v>
      </c>
      <c r="B93" s="187">
        <v>61</v>
      </c>
    </row>
    <row r="94" spans="1:2">
      <c r="A94" s="216" t="s">
        <v>743</v>
      </c>
      <c r="B94" s="187">
        <v>102</v>
      </c>
    </row>
    <row r="95" spans="1:2">
      <c r="A95" s="216" t="s">
        <v>960</v>
      </c>
      <c r="B95" s="187">
        <v>409</v>
      </c>
    </row>
    <row r="96" spans="1:2">
      <c r="A96" s="216" t="s">
        <v>6260</v>
      </c>
      <c r="B96" s="187">
        <v>701</v>
      </c>
    </row>
    <row r="97" spans="1:2">
      <c r="A97" s="216" t="s">
        <v>6262</v>
      </c>
      <c r="B97" s="246">
        <v>1925</v>
      </c>
    </row>
    <row r="98" spans="1:2">
      <c r="A98" s="216" t="s">
        <v>6264</v>
      </c>
      <c r="B98" s="246">
        <v>1988</v>
      </c>
    </row>
    <row r="99" spans="1:2">
      <c r="A99" s="216" t="s">
        <v>6266</v>
      </c>
      <c r="B99" s="246">
        <v>1579</v>
      </c>
    </row>
    <row r="100" spans="1:2">
      <c r="A100" s="216" t="s">
        <v>6268</v>
      </c>
      <c r="B100" s="187">
        <v>553</v>
      </c>
    </row>
    <row r="101" spans="1:2">
      <c r="A101" s="216" t="s">
        <v>6270</v>
      </c>
      <c r="B101" s="187">
        <v>945</v>
      </c>
    </row>
    <row r="102" spans="1:2">
      <c r="A102" s="216" t="s">
        <v>6272</v>
      </c>
      <c r="B102" s="187">
        <v>199</v>
      </c>
    </row>
    <row r="103" spans="1:2">
      <c r="A103" s="216" t="s">
        <v>2291</v>
      </c>
      <c r="B103" s="187">
        <v>141</v>
      </c>
    </row>
    <row r="104" spans="1:2">
      <c r="A104" s="216" t="s">
        <v>954</v>
      </c>
      <c r="B104" s="187">
        <v>93</v>
      </c>
    </row>
    <row r="105" spans="1:2">
      <c r="A105" s="216" t="s">
        <v>6166</v>
      </c>
      <c r="B105" s="187">
        <v>209</v>
      </c>
    </row>
    <row r="106" spans="1:2">
      <c r="A106" s="216" t="s">
        <v>864</v>
      </c>
      <c r="B106" s="187">
        <v>77</v>
      </c>
    </row>
    <row r="107" spans="1:2">
      <c r="A107" s="216" t="s">
        <v>3085</v>
      </c>
      <c r="B107" s="187">
        <v>160</v>
      </c>
    </row>
    <row r="108" spans="1:2">
      <c r="A108" s="216" t="s">
        <v>1518</v>
      </c>
      <c r="B108" s="187">
        <v>79</v>
      </c>
    </row>
    <row r="109" spans="1:2">
      <c r="A109" s="216" t="s">
        <v>2293</v>
      </c>
      <c r="B109" s="187">
        <v>377</v>
      </c>
    </row>
    <row r="110" spans="1:2">
      <c r="A110" s="216" t="s">
        <v>2295</v>
      </c>
      <c r="B110" s="187">
        <v>113</v>
      </c>
    </row>
    <row r="111" spans="1:2">
      <c r="A111" s="216" t="s">
        <v>2297</v>
      </c>
      <c r="B111" s="187">
        <v>189</v>
      </c>
    </row>
    <row r="112" spans="1:2">
      <c r="A112" s="216" t="s">
        <v>978</v>
      </c>
      <c r="B112" s="187">
        <v>703</v>
      </c>
    </row>
    <row r="113" spans="1:2">
      <c r="A113" s="216" t="s">
        <v>3003</v>
      </c>
      <c r="B113" s="187">
        <v>296</v>
      </c>
    </row>
    <row r="114" spans="1:2">
      <c r="A114" s="216" t="s">
        <v>2993</v>
      </c>
      <c r="B114" s="187">
        <v>325</v>
      </c>
    </row>
    <row r="115" spans="1:2">
      <c r="A115" s="216" t="s">
        <v>518</v>
      </c>
      <c r="B115" s="187">
        <v>118</v>
      </c>
    </row>
    <row r="116" spans="1:2">
      <c r="A116" s="216" t="s">
        <v>2299</v>
      </c>
      <c r="B116" s="187">
        <v>40</v>
      </c>
    </row>
    <row r="117" spans="1:2">
      <c r="A117" s="216" t="s">
        <v>3971</v>
      </c>
      <c r="B117" s="246">
        <v>1286</v>
      </c>
    </row>
    <row r="118" spans="1:2">
      <c r="A118" s="216" t="s">
        <v>2161</v>
      </c>
      <c r="B118" s="187">
        <v>347</v>
      </c>
    </row>
    <row r="119" spans="1:2">
      <c r="A119" s="216" t="s">
        <v>3086</v>
      </c>
      <c r="B119" s="187">
        <v>335</v>
      </c>
    </row>
    <row r="120" spans="1:2">
      <c r="A120" s="216" t="s">
        <v>2605</v>
      </c>
      <c r="B120" s="187">
        <v>377</v>
      </c>
    </row>
    <row r="121" spans="1:2">
      <c r="A121" s="216" t="s">
        <v>4181</v>
      </c>
      <c r="B121" s="187">
        <v>113</v>
      </c>
    </row>
    <row r="122" spans="1:2">
      <c r="A122" s="216" t="s">
        <v>959</v>
      </c>
      <c r="B122" s="187">
        <v>109</v>
      </c>
    </row>
    <row r="123" spans="1:2">
      <c r="A123" s="216" t="s">
        <v>1861</v>
      </c>
      <c r="B123" s="187">
        <v>82</v>
      </c>
    </row>
    <row r="124" spans="1:2">
      <c r="A124" s="216" t="s">
        <v>6037</v>
      </c>
      <c r="B124" s="187">
        <v>34</v>
      </c>
    </row>
    <row r="125" spans="1:2">
      <c r="A125" s="216" t="s">
        <v>2995</v>
      </c>
      <c r="B125" s="187">
        <v>523</v>
      </c>
    </row>
    <row r="126" spans="1:2">
      <c r="A126" s="216" t="s">
        <v>7643</v>
      </c>
      <c r="B126" s="187">
        <v>463</v>
      </c>
    </row>
    <row r="127" spans="1:2">
      <c r="A127" s="216" t="s">
        <v>3087</v>
      </c>
      <c r="B127" s="187">
        <v>89</v>
      </c>
    </row>
    <row r="128" spans="1:2">
      <c r="A128" s="216" t="s">
        <v>2387</v>
      </c>
      <c r="B128" s="187">
        <v>107</v>
      </c>
    </row>
    <row r="129" spans="1:2">
      <c r="A129" s="216" t="s">
        <v>3088</v>
      </c>
      <c r="B129" s="187">
        <v>29</v>
      </c>
    </row>
    <row r="130" spans="1:2">
      <c r="A130" s="216" t="s">
        <v>2393</v>
      </c>
      <c r="B130" s="187">
        <v>26</v>
      </c>
    </row>
    <row r="131" spans="1:2">
      <c r="A131" s="216" t="s">
        <v>7647</v>
      </c>
      <c r="B131" s="187">
        <v>225</v>
      </c>
    </row>
    <row r="132" spans="1:2">
      <c r="A132" s="216" t="s">
        <v>7649</v>
      </c>
      <c r="B132" s="187">
        <v>242</v>
      </c>
    </row>
    <row r="133" spans="1:2">
      <c r="A133" s="216" t="s">
        <v>1786</v>
      </c>
      <c r="B133" s="187">
        <v>557</v>
      </c>
    </row>
    <row r="134" spans="1:2">
      <c r="A134" s="216" t="s">
        <v>1788</v>
      </c>
      <c r="B134" s="187">
        <v>264</v>
      </c>
    </row>
    <row r="135" spans="1:2">
      <c r="A135" s="216" t="s">
        <v>1790</v>
      </c>
      <c r="B135" s="187">
        <v>246</v>
      </c>
    </row>
    <row r="136" spans="1:2">
      <c r="A136" s="216" t="s">
        <v>1792</v>
      </c>
      <c r="B136" s="187">
        <v>66</v>
      </c>
    </row>
    <row r="137" spans="1:2">
      <c r="A137" s="216" t="s">
        <v>2982</v>
      </c>
      <c r="B137" s="187">
        <v>124</v>
      </c>
    </row>
    <row r="138" spans="1:2">
      <c r="A138" s="216" t="s">
        <v>2984</v>
      </c>
      <c r="B138" s="187">
        <v>278</v>
      </c>
    </row>
    <row r="139" spans="1:2">
      <c r="A139" s="216" t="s">
        <v>965</v>
      </c>
      <c r="B139" s="187">
        <v>37</v>
      </c>
    </row>
    <row r="140" spans="1:2">
      <c r="A140" s="216" t="s">
        <v>6704</v>
      </c>
      <c r="B140" s="187">
        <v>112</v>
      </c>
    </row>
    <row r="141" spans="1:2">
      <c r="A141" s="216" t="s">
        <v>6706</v>
      </c>
      <c r="B141" s="187">
        <v>23</v>
      </c>
    </row>
    <row r="142" spans="1:2">
      <c r="A142" s="216" t="s">
        <v>690</v>
      </c>
      <c r="B142" s="187">
        <v>36</v>
      </c>
    </row>
    <row r="143" spans="1:2">
      <c r="A143" s="216" t="s">
        <v>692</v>
      </c>
      <c r="B143" s="187">
        <v>446</v>
      </c>
    </row>
    <row r="144" spans="1:2">
      <c r="A144" s="216" t="s">
        <v>895</v>
      </c>
      <c r="B144" s="187">
        <v>156</v>
      </c>
    </row>
    <row r="145" spans="1:2">
      <c r="A145" s="216" t="s">
        <v>6177</v>
      </c>
      <c r="B145" s="187">
        <v>107</v>
      </c>
    </row>
    <row r="146" spans="1:2">
      <c r="A146" s="216" t="s">
        <v>265</v>
      </c>
      <c r="B146" s="187">
        <v>444</v>
      </c>
    </row>
    <row r="147" spans="1:2">
      <c r="A147" s="216" t="s">
        <v>897</v>
      </c>
      <c r="B147" s="187">
        <v>211</v>
      </c>
    </row>
    <row r="148" spans="1:2">
      <c r="A148" s="216" t="s">
        <v>899</v>
      </c>
      <c r="B148" s="187">
        <v>159</v>
      </c>
    </row>
    <row r="149" spans="1:2">
      <c r="A149" s="216" t="s">
        <v>901</v>
      </c>
      <c r="B149" s="187">
        <v>198</v>
      </c>
    </row>
    <row r="150" spans="1:2">
      <c r="A150" s="216" t="s">
        <v>6023</v>
      </c>
      <c r="B150" s="187">
        <v>265</v>
      </c>
    </row>
    <row r="151" spans="1:2">
      <c r="A151" s="216" t="s">
        <v>2383</v>
      </c>
      <c r="B151" s="187">
        <v>352</v>
      </c>
    </row>
    <row r="152" spans="1:2">
      <c r="A152" s="216" t="s">
        <v>6180</v>
      </c>
      <c r="B152" s="187">
        <v>60</v>
      </c>
    </row>
    <row r="153" spans="1:2">
      <c r="A153" s="216" t="s">
        <v>903</v>
      </c>
      <c r="B153" s="187">
        <v>106</v>
      </c>
    </row>
    <row r="154" spans="1:2">
      <c r="A154" s="216" t="s">
        <v>736</v>
      </c>
      <c r="B154" s="187">
        <v>603</v>
      </c>
    </row>
    <row r="155" spans="1:2">
      <c r="A155" s="216" t="s">
        <v>5336</v>
      </c>
      <c r="B155" s="187">
        <v>66</v>
      </c>
    </row>
    <row r="156" spans="1:2">
      <c r="A156" s="216" t="s">
        <v>2117</v>
      </c>
      <c r="B156" s="187">
        <v>431</v>
      </c>
    </row>
    <row r="157" spans="1:2">
      <c r="A157" s="216" t="s">
        <v>3089</v>
      </c>
      <c r="B157" s="187">
        <v>143</v>
      </c>
    </row>
    <row r="158" spans="1:2">
      <c r="A158" s="216" t="s">
        <v>2119</v>
      </c>
      <c r="B158" s="187">
        <v>154</v>
      </c>
    </row>
    <row r="159" spans="1:2">
      <c r="A159" s="216" t="s">
        <v>2121</v>
      </c>
      <c r="B159" s="187">
        <v>271</v>
      </c>
    </row>
    <row r="160" spans="1:2">
      <c r="A160" s="216" t="s">
        <v>2123</v>
      </c>
      <c r="B160" s="187">
        <v>229</v>
      </c>
    </row>
    <row r="161" spans="1:2">
      <c r="A161" s="216" t="s">
        <v>3130</v>
      </c>
      <c r="B161" s="187">
        <v>610</v>
      </c>
    </row>
    <row r="162" spans="1:2">
      <c r="A162" s="216" t="s">
        <v>3132</v>
      </c>
      <c r="B162" s="187">
        <v>337</v>
      </c>
    </row>
    <row r="163" spans="1:2">
      <c r="A163" s="216" t="s">
        <v>1322</v>
      </c>
      <c r="B163" s="187">
        <v>470</v>
      </c>
    </row>
    <row r="164" spans="1:2">
      <c r="A164" s="216" t="s">
        <v>742</v>
      </c>
      <c r="B164" s="187">
        <v>280</v>
      </c>
    </row>
    <row r="165" spans="1:2">
      <c r="A165" s="216" t="s">
        <v>440</v>
      </c>
      <c r="B165" s="187">
        <v>308</v>
      </c>
    </row>
    <row r="166" spans="1:2">
      <c r="A166" s="216" t="s">
        <v>1324</v>
      </c>
      <c r="B166" s="187">
        <v>544</v>
      </c>
    </row>
    <row r="167" spans="1:2">
      <c r="A167" s="216" t="s">
        <v>1326</v>
      </c>
      <c r="B167" s="187">
        <v>199</v>
      </c>
    </row>
    <row r="168" spans="1:2">
      <c r="A168" s="216" t="s">
        <v>818</v>
      </c>
      <c r="B168" s="187">
        <v>23</v>
      </c>
    </row>
    <row r="169" spans="1:2">
      <c r="A169" s="216" t="s">
        <v>266</v>
      </c>
      <c r="B169" s="187">
        <v>64</v>
      </c>
    </row>
    <row r="170" spans="1:2">
      <c r="A170" s="216" t="s">
        <v>441</v>
      </c>
      <c r="B170" s="187">
        <v>93</v>
      </c>
    </row>
    <row r="171" spans="1:2">
      <c r="A171" s="216" t="s">
        <v>1526</v>
      </c>
      <c r="B171" s="187">
        <v>89</v>
      </c>
    </row>
    <row r="172" spans="1:2">
      <c r="A172" s="216" t="s">
        <v>1312</v>
      </c>
      <c r="B172" s="187">
        <v>73</v>
      </c>
    </row>
    <row r="173" spans="1:2">
      <c r="A173" s="216" t="s">
        <v>6168</v>
      </c>
      <c r="B173" s="187">
        <v>115</v>
      </c>
    </row>
    <row r="174" spans="1:2">
      <c r="A174" s="216" t="s">
        <v>5913</v>
      </c>
      <c r="B174" s="187">
        <v>67</v>
      </c>
    </row>
    <row r="175" spans="1:2">
      <c r="A175" s="216" t="s">
        <v>3546</v>
      </c>
      <c r="B175" s="187">
        <v>100</v>
      </c>
    </row>
    <row r="176" spans="1:2">
      <c r="A176" s="216" t="s">
        <v>5132</v>
      </c>
      <c r="B176" s="187">
        <v>62</v>
      </c>
    </row>
    <row r="177" spans="1:2">
      <c r="A177" s="216" t="s">
        <v>649</v>
      </c>
      <c r="B177" s="187">
        <v>52</v>
      </c>
    </row>
    <row r="178" spans="1:2">
      <c r="A178" s="216" t="s">
        <v>861</v>
      </c>
      <c r="B178" s="187">
        <v>42</v>
      </c>
    </row>
    <row r="179" spans="1:2">
      <c r="A179" s="216" t="s">
        <v>956</v>
      </c>
      <c r="B179" s="187">
        <v>61</v>
      </c>
    </row>
    <row r="180" spans="1:2">
      <c r="A180" s="216" t="s">
        <v>236</v>
      </c>
      <c r="B180" s="187">
        <v>32</v>
      </c>
    </row>
    <row r="181" spans="1:2">
      <c r="A181" s="216" t="s">
        <v>3548</v>
      </c>
      <c r="B181" s="187">
        <v>18</v>
      </c>
    </row>
    <row r="182" spans="1:2">
      <c r="A182" s="216" t="s">
        <v>3550</v>
      </c>
      <c r="B182" s="187">
        <v>525</v>
      </c>
    </row>
    <row r="183" spans="1:2">
      <c r="A183" s="216" t="s">
        <v>206</v>
      </c>
      <c r="B183" s="187">
        <v>369</v>
      </c>
    </row>
    <row r="184" spans="1:2">
      <c r="A184" s="216" t="s">
        <v>234</v>
      </c>
      <c r="B184" s="187">
        <v>407</v>
      </c>
    </row>
    <row r="185" spans="1:2">
      <c r="A185" s="216" t="s">
        <v>208</v>
      </c>
      <c r="B185" s="187">
        <v>417</v>
      </c>
    </row>
    <row r="186" spans="1:2">
      <c r="A186" s="216" t="s">
        <v>210</v>
      </c>
      <c r="B186" s="187">
        <v>172</v>
      </c>
    </row>
    <row r="187" spans="1:2">
      <c r="A187" s="216" t="s">
        <v>212</v>
      </c>
      <c r="B187" s="187">
        <v>77</v>
      </c>
    </row>
    <row r="188" spans="1:2">
      <c r="A188" s="216" t="s">
        <v>214</v>
      </c>
      <c r="B188" s="187">
        <v>588</v>
      </c>
    </row>
    <row r="189" spans="1:2">
      <c r="A189" s="216" t="s">
        <v>2714</v>
      </c>
      <c r="B189" s="187">
        <v>336</v>
      </c>
    </row>
    <row r="190" spans="1:2">
      <c r="A190" s="216" t="s">
        <v>250</v>
      </c>
      <c r="B190" s="187">
        <v>250</v>
      </c>
    </row>
    <row r="191" spans="1:2">
      <c r="A191" s="216" t="s">
        <v>2162</v>
      </c>
      <c r="B191" s="187">
        <v>114</v>
      </c>
    </row>
    <row r="192" spans="1:2">
      <c r="A192" s="216" t="s">
        <v>2716</v>
      </c>
      <c r="B192" s="187">
        <v>92</v>
      </c>
    </row>
    <row r="193" spans="1:2">
      <c r="A193" s="216" t="s">
        <v>2718</v>
      </c>
      <c r="B193" s="187">
        <v>559</v>
      </c>
    </row>
    <row r="194" spans="1:2">
      <c r="A194" s="216" t="s">
        <v>2720</v>
      </c>
      <c r="B194" s="187">
        <v>315</v>
      </c>
    </row>
    <row r="195" spans="1:2">
      <c r="A195" s="216" t="s">
        <v>1314</v>
      </c>
      <c r="B195" s="187">
        <v>78</v>
      </c>
    </row>
    <row r="196" spans="1:2">
      <c r="A196" s="216" t="s">
        <v>2722</v>
      </c>
      <c r="B196" s="187">
        <v>189</v>
      </c>
    </row>
    <row r="197" spans="1:2">
      <c r="A197" s="216" t="s">
        <v>442</v>
      </c>
      <c r="B197" s="187">
        <v>84</v>
      </c>
    </row>
    <row r="198" spans="1:2">
      <c r="A198" s="216" t="s">
        <v>2724</v>
      </c>
      <c r="B198" s="187">
        <v>139</v>
      </c>
    </row>
    <row r="199" spans="1:2">
      <c r="A199" s="216" t="s">
        <v>5321</v>
      </c>
      <c r="B199" s="187">
        <v>154</v>
      </c>
    </row>
    <row r="200" spans="1:2">
      <c r="A200" s="216" t="s">
        <v>5323</v>
      </c>
      <c r="B200" s="187">
        <v>40</v>
      </c>
    </row>
    <row r="201" spans="1:2">
      <c r="A201" s="216" t="s">
        <v>5325</v>
      </c>
      <c r="B201" s="187">
        <v>20</v>
      </c>
    </row>
    <row r="202" spans="1:2">
      <c r="A202" s="216" t="s">
        <v>5327</v>
      </c>
      <c r="B202" s="187">
        <v>74</v>
      </c>
    </row>
    <row r="203" spans="1:2">
      <c r="A203" s="216" t="s">
        <v>5329</v>
      </c>
      <c r="B203" s="187">
        <v>262</v>
      </c>
    </row>
    <row r="204" spans="1:2">
      <c r="A204" s="216" t="s">
        <v>5331</v>
      </c>
      <c r="B204" s="187">
        <v>475</v>
      </c>
    </row>
    <row r="205" spans="1:2">
      <c r="A205" s="216" t="s">
        <v>585</v>
      </c>
      <c r="B205" s="187">
        <v>76</v>
      </c>
    </row>
    <row r="206" spans="1:2">
      <c r="A206" s="216" t="s">
        <v>5333</v>
      </c>
      <c r="B206" s="187">
        <v>181</v>
      </c>
    </row>
    <row r="207" spans="1:2">
      <c r="A207" s="216" t="s">
        <v>239</v>
      </c>
      <c r="B207" s="187">
        <v>57</v>
      </c>
    </row>
    <row r="208" spans="1:2">
      <c r="A208" s="216" t="s">
        <v>5335</v>
      </c>
      <c r="B208" s="187">
        <v>798</v>
      </c>
    </row>
    <row r="209" spans="1:2">
      <c r="A209" s="216" t="s">
        <v>2450</v>
      </c>
      <c r="B209" s="187">
        <v>789</v>
      </c>
    </row>
    <row r="210" spans="1:2">
      <c r="A210" s="216" t="s">
        <v>2452</v>
      </c>
      <c r="B210" s="246">
        <v>2804</v>
      </c>
    </row>
    <row r="211" spans="1:2">
      <c r="A211" s="216" t="s">
        <v>2454</v>
      </c>
      <c r="B211" s="187">
        <v>471</v>
      </c>
    </row>
    <row r="212" spans="1:2">
      <c r="A212" s="216" t="s">
        <v>2456</v>
      </c>
      <c r="B212" s="187">
        <v>223</v>
      </c>
    </row>
    <row r="213" spans="1:2">
      <c r="A213" s="216" t="s">
        <v>2458</v>
      </c>
      <c r="B213" s="187">
        <v>303</v>
      </c>
    </row>
    <row r="214" spans="1:2">
      <c r="A214" s="216" t="s">
        <v>2460</v>
      </c>
      <c r="B214" s="246">
        <v>4866</v>
      </c>
    </row>
    <row r="215" spans="1:2">
      <c r="A215" s="216" t="s">
        <v>2462</v>
      </c>
      <c r="B215" s="187">
        <v>852</v>
      </c>
    </row>
    <row r="216" spans="1:2">
      <c r="A216" s="216" t="s">
        <v>2464</v>
      </c>
      <c r="B216" s="187">
        <v>599</v>
      </c>
    </row>
    <row r="217" spans="1:2">
      <c r="A217" s="216" t="s">
        <v>2104</v>
      </c>
      <c r="B217" s="187">
        <v>49</v>
      </c>
    </row>
    <row r="218" spans="1:2">
      <c r="A218" s="216" t="s">
        <v>2106</v>
      </c>
      <c r="B218" s="187">
        <v>42</v>
      </c>
    </row>
    <row r="219" spans="1:2">
      <c r="A219" s="216" t="s">
        <v>2108</v>
      </c>
      <c r="B219" s="187">
        <v>319</v>
      </c>
    </row>
    <row r="220" spans="1:2">
      <c r="A220" s="216" t="s">
        <v>2110</v>
      </c>
      <c r="B220" s="187">
        <v>22</v>
      </c>
    </row>
    <row r="221" spans="1:2">
      <c r="A221" s="216" t="s">
        <v>2112</v>
      </c>
      <c r="B221" s="187">
        <v>29</v>
      </c>
    </row>
    <row r="222" spans="1:2">
      <c r="A222" s="216" t="s">
        <v>1317</v>
      </c>
      <c r="B222" s="187">
        <v>96</v>
      </c>
    </row>
    <row r="223" spans="1:2">
      <c r="A223" s="216" t="s">
        <v>587</v>
      </c>
      <c r="B223" s="187">
        <v>53</v>
      </c>
    </row>
    <row r="224" spans="1:2">
      <c r="A224" s="216" t="s">
        <v>4569</v>
      </c>
      <c r="B224" s="187">
        <v>7</v>
      </c>
    </row>
    <row r="225" spans="1:2">
      <c r="A225" s="216" t="s">
        <v>6021</v>
      </c>
      <c r="B225" s="187">
        <v>51</v>
      </c>
    </row>
    <row r="226" spans="1:2">
      <c r="A226" s="216" t="s">
        <v>4571</v>
      </c>
      <c r="B226" s="187">
        <v>38</v>
      </c>
    </row>
    <row r="227" spans="1:2">
      <c r="A227" s="216" t="s">
        <v>6171</v>
      </c>
      <c r="B227" s="187">
        <v>55</v>
      </c>
    </row>
    <row r="228" spans="1:2">
      <c r="A228" s="216" t="s">
        <v>4573</v>
      </c>
      <c r="B228" s="187">
        <v>44</v>
      </c>
    </row>
    <row r="229" spans="1:2">
      <c r="A229" s="216" t="s">
        <v>4575</v>
      </c>
      <c r="B229" s="187">
        <v>20</v>
      </c>
    </row>
    <row r="230" spans="1:2">
      <c r="A230" s="216" t="s">
        <v>4577</v>
      </c>
      <c r="B230" s="187">
        <v>70</v>
      </c>
    </row>
    <row r="231" spans="1:2">
      <c r="A231" s="216" t="s">
        <v>4579</v>
      </c>
      <c r="B231" s="187">
        <v>24</v>
      </c>
    </row>
    <row r="232" spans="1:2">
      <c r="A232" s="216" t="s">
        <v>4581</v>
      </c>
      <c r="B232" s="187">
        <v>138</v>
      </c>
    </row>
    <row r="233" spans="1:2">
      <c r="A233" s="216" t="s">
        <v>4582</v>
      </c>
      <c r="B233" s="187">
        <v>571</v>
      </c>
    </row>
    <row r="234" spans="1:2">
      <c r="A234" s="216" t="s">
        <v>4584</v>
      </c>
      <c r="B234" s="187">
        <v>343</v>
      </c>
    </row>
    <row r="235" spans="1:2">
      <c r="A235" s="216" t="s">
        <v>4586</v>
      </c>
      <c r="B235" s="187">
        <v>218</v>
      </c>
    </row>
    <row r="236" spans="1:2">
      <c r="A236" s="216" t="s">
        <v>1865</v>
      </c>
      <c r="B236" s="187">
        <v>702</v>
      </c>
    </row>
    <row r="237" spans="1:2">
      <c r="A237" s="216" t="s">
        <v>5018</v>
      </c>
      <c r="B237" s="187">
        <v>471</v>
      </c>
    </row>
    <row r="238" spans="1:2">
      <c r="A238" s="216" t="s">
        <v>5020</v>
      </c>
      <c r="B238" s="187">
        <v>234</v>
      </c>
    </row>
    <row r="239" spans="1:2">
      <c r="A239" s="216" t="s">
        <v>589</v>
      </c>
      <c r="B239" s="187">
        <v>99</v>
      </c>
    </row>
    <row r="240" spans="1:2">
      <c r="A240" s="216" t="s">
        <v>5022</v>
      </c>
      <c r="B240" s="187">
        <v>162</v>
      </c>
    </row>
    <row r="241" spans="1:2">
      <c r="A241" s="216" t="s">
        <v>2989</v>
      </c>
      <c r="B241" s="187">
        <v>130</v>
      </c>
    </row>
    <row r="242" spans="1:2">
      <c r="A242" s="216" t="s">
        <v>5126</v>
      </c>
      <c r="B242" s="187">
        <v>125</v>
      </c>
    </row>
    <row r="243" spans="1:2">
      <c r="A243" s="216" t="s">
        <v>3090</v>
      </c>
      <c r="B243" s="187">
        <v>73</v>
      </c>
    </row>
    <row r="244" spans="1:2">
      <c r="A244" s="216" t="s">
        <v>5128</v>
      </c>
      <c r="B244" s="187">
        <v>57</v>
      </c>
    </row>
    <row r="245" spans="1:2">
      <c r="A245" s="216" t="s">
        <v>270</v>
      </c>
      <c r="B245" s="187">
        <v>47</v>
      </c>
    </row>
    <row r="246" spans="1:2">
      <c r="A246" s="216" t="s">
        <v>2391</v>
      </c>
      <c r="B246" s="187">
        <v>97</v>
      </c>
    </row>
    <row r="247" spans="1:2">
      <c r="A247" s="216" t="s">
        <v>2746</v>
      </c>
      <c r="B247" s="187">
        <v>48</v>
      </c>
    </row>
    <row r="248" spans="1:2">
      <c r="A248" s="216" t="s">
        <v>6186</v>
      </c>
      <c r="B248" s="187">
        <v>236</v>
      </c>
    </row>
    <row r="249" spans="1:2">
      <c r="A249" s="216" t="s">
        <v>6041</v>
      </c>
      <c r="B249" s="187">
        <v>18</v>
      </c>
    </row>
    <row r="250" spans="1:2">
      <c r="A250" s="216" t="s">
        <v>591</v>
      </c>
      <c r="B250" s="187">
        <v>39</v>
      </c>
    </row>
    <row r="251" spans="1:2">
      <c r="A251" s="216" t="s">
        <v>443</v>
      </c>
      <c r="B251" s="187">
        <v>269</v>
      </c>
    </row>
    <row r="252" spans="1:2">
      <c r="A252" s="216" t="s">
        <v>2748</v>
      </c>
      <c r="B252" s="187">
        <v>109</v>
      </c>
    </row>
    <row r="253" spans="1:2">
      <c r="A253" s="216" t="s">
        <v>862</v>
      </c>
      <c r="B253" s="187">
        <v>261</v>
      </c>
    </row>
    <row r="254" spans="1:2">
      <c r="A254" s="216" t="s">
        <v>2750</v>
      </c>
      <c r="B254" s="187">
        <v>208</v>
      </c>
    </row>
    <row r="255" spans="1:2">
      <c r="A255" s="216" t="s">
        <v>3899</v>
      </c>
      <c r="B255" s="187">
        <v>74</v>
      </c>
    </row>
    <row r="256" spans="1:2">
      <c r="A256" s="216" t="s">
        <v>3604</v>
      </c>
      <c r="B256" s="187">
        <v>98</v>
      </c>
    </row>
    <row r="257" spans="1:2">
      <c r="A257" s="216" t="s">
        <v>3166</v>
      </c>
      <c r="B257" s="187">
        <v>533</v>
      </c>
    </row>
    <row r="258" spans="1:2">
      <c r="A258" s="216" t="s">
        <v>3168</v>
      </c>
      <c r="B258" s="187">
        <v>390</v>
      </c>
    </row>
    <row r="259" spans="1:2">
      <c r="A259" s="216" t="s">
        <v>3091</v>
      </c>
      <c r="B259" s="246">
        <v>1310</v>
      </c>
    </row>
    <row r="260" spans="1:2">
      <c r="A260" s="216" t="s">
        <v>3171</v>
      </c>
      <c r="B260" s="187">
        <v>879</v>
      </c>
    </row>
    <row r="261" spans="1:2">
      <c r="A261" s="216" t="s">
        <v>593</v>
      </c>
      <c r="B261" s="187">
        <v>304</v>
      </c>
    </row>
    <row r="262" spans="1:2">
      <c r="A262" s="216" t="s">
        <v>3173</v>
      </c>
      <c r="B262" s="187">
        <v>130</v>
      </c>
    </row>
    <row r="263" spans="1:2">
      <c r="A263" s="216" t="s">
        <v>3175</v>
      </c>
      <c r="B263" s="187">
        <v>753</v>
      </c>
    </row>
    <row r="264" spans="1:2">
      <c r="A264" s="216" t="s">
        <v>3092</v>
      </c>
      <c r="B264" s="187">
        <v>550</v>
      </c>
    </row>
    <row r="265" spans="1:2">
      <c r="A265" s="216" t="s">
        <v>673</v>
      </c>
      <c r="B265" s="187">
        <v>374</v>
      </c>
    </row>
    <row r="266" spans="1:2">
      <c r="A266" s="216" t="s">
        <v>322</v>
      </c>
      <c r="B266" s="187">
        <v>215</v>
      </c>
    </row>
    <row r="267" spans="1:2">
      <c r="A267" s="216" t="s">
        <v>675</v>
      </c>
      <c r="B267" s="187">
        <v>259</v>
      </c>
    </row>
    <row r="268" spans="1:2">
      <c r="A268" s="216" t="s">
        <v>677</v>
      </c>
      <c r="B268" s="187">
        <v>117</v>
      </c>
    </row>
    <row r="269" spans="1:2">
      <c r="A269" s="216" t="s">
        <v>679</v>
      </c>
      <c r="B269" s="187">
        <v>187</v>
      </c>
    </row>
    <row r="270" spans="1:2">
      <c r="A270" s="216" t="s">
        <v>2960</v>
      </c>
      <c r="B270" s="187">
        <v>132</v>
      </c>
    </row>
    <row r="271" spans="1:2">
      <c r="A271" s="216" t="s">
        <v>1994</v>
      </c>
      <c r="B271" s="187">
        <v>904</v>
      </c>
    </row>
    <row r="272" spans="1:2">
      <c r="A272" s="216" t="s">
        <v>2735</v>
      </c>
      <c r="B272" s="246">
        <v>1628</v>
      </c>
    </row>
    <row r="273" spans="1:2">
      <c r="A273" s="216" t="s">
        <v>2737</v>
      </c>
      <c r="B273" s="187">
        <v>898</v>
      </c>
    </row>
    <row r="274" spans="1:2">
      <c r="A274" s="216" t="s">
        <v>1976</v>
      </c>
      <c r="B274" s="187">
        <v>46</v>
      </c>
    </row>
    <row r="275" spans="1:2">
      <c r="A275" s="216" t="s">
        <v>3648</v>
      </c>
      <c r="B275" s="187">
        <v>266</v>
      </c>
    </row>
    <row r="276" spans="1:2">
      <c r="A276" s="216" t="s">
        <v>3650</v>
      </c>
      <c r="B276" s="187">
        <v>79</v>
      </c>
    </row>
    <row r="277" spans="1:2">
      <c r="A277" s="216" t="s">
        <v>3093</v>
      </c>
      <c r="B277" s="187">
        <v>65</v>
      </c>
    </row>
    <row r="278" spans="1:2">
      <c r="A278" s="216" t="s">
        <v>7734</v>
      </c>
      <c r="B278" s="187">
        <v>110</v>
      </c>
    </row>
    <row r="279" spans="1:2">
      <c r="A279" s="216" t="s">
        <v>915</v>
      </c>
      <c r="B279" s="187">
        <v>61</v>
      </c>
    </row>
    <row r="280" spans="1:2">
      <c r="A280" s="216" t="s">
        <v>1978</v>
      </c>
      <c r="B280" s="187">
        <v>55</v>
      </c>
    </row>
    <row r="281" spans="1:2">
      <c r="A281" s="216" t="s">
        <v>2767</v>
      </c>
      <c r="B281" s="187">
        <v>35</v>
      </c>
    </row>
    <row r="282" spans="1:2">
      <c r="A282" s="216" t="s">
        <v>3555</v>
      </c>
      <c r="B282" s="187">
        <v>193</v>
      </c>
    </row>
    <row r="283" spans="1:2">
      <c r="A283" s="216" t="s">
        <v>3094</v>
      </c>
      <c r="B283" s="187">
        <v>74</v>
      </c>
    </row>
    <row r="284" spans="1:2">
      <c r="A284" s="216" t="s">
        <v>741</v>
      </c>
      <c r="B284" s="187">
        <v>384</v>
      </c>
    </row>
    <row r="285" spans="1:2">
      <c r="A285" s="216" t="s">
        <v>4035</v>
      </c>
      <c r="B285" s="187">
        <v>207</v>
      </c>
    </row>
    <row r="286" spans="1:2">
      <c r="A286" s="216" t="s">
        <v>1524</v>
      </c>
      <c r="B286" s="187">
        <v>61</v>
      </c>
    </row>
    <row r="287" spans="1:2">
      <c r="A287" s="216" t="s">
        <v>2388</v>
      </c>
      <c r="B287" s="187">
        <v>13</v>
      </c>
    </row>
    <row r="288" spans="1:2">
      <c r="A288" s="216" t="s">
        <v>863</v>
      </c>
      <c r="B288" s="187">
        <v>66</v>
      </c>
    </row>
    <row r="289" spans="1:2">
      <c r="A289" s="216" t="s">
        <v>268</v>
      </c>
      <c r="B289" s="187">
        <v>7</v>
      </c>
    </row>
    <row r="290" spans="1:2">
      <c r="A290" s="216" t="s">
        <v>981</v>
      </c>
      <c r="B290" s="187">
        <v>71</v>
      </c>
    </row>
    <row r="291" spans="1:2">
      <c r="A291" s="216" t="s">
        <v>2414</v>
      </c>
      <c r="B291" s="187">
        <v>74</v>
      </c>
    </row>
    <row r="292" spans="1:2">
      <c r="A292" s="216" t="s">
        <v>2401</v>
      </c>
      <c r="B292" s="187">
        <v>133</v>
      </c>
    </row>
    <row r="293" spans="1:2">
      <c r="A293" s="216" t="s">
        <v>4037</v>
      </c>
      <c r="B293" s="187">
        <v>78</v>
      </c>
    </row>
    <row r="294" spans="1:2">
      <c r="A294" s="216" t="s">
        <v>2140</v>
      </c>
      <c r="B294" s="187">
        <v>257</v>
      </c>
    </row>
    <row r="295" spans="1:2">
      <c r="A295" s="216" t="s">
        <v>2408</v>
      </c>
      <c r="B295" s="187">
        <v>239</v>
      </c>
    </row>
    <row r="296" spans="1:2">
      <c r="A296" s="216" t="s">
        <v>2700</v>
      </c>
      <c r="B296" s="187">
        <v>64</v>
      </c>
    </row>
    <row r="297" spans="1:2">
      <c r="A297" s="216" t="s">
        <v>2702</v>
      </c>
      <c r="B297" s="187">
        <v>158</v>
      </c>
    </row>
    <row r="298" spans="1:2">
      <c r="A298" s="216" t="s">
        <v>2828</v>
      </c>
      <c r="B298" s="187">
        <v>138</v>
      </c>
    </row>
    <row r="299" spans="1:2">
      <c r="A299" s="216" t="s">
        <v>2704</v>
      </c>
      <c r="B299" s="187">
        <v>76</v>
      </c>
    </row>
    <row r="300" spans="1:2">
      <c r="A300" s="216" t="s">
        <v>2706</v>
      </c>
      <c r="B300" s="187">
        <v>87</v>
      </c>
    </row>
    <row r="301" spans="1:2">
      <c r="A301" s="216" t="s">
        <v>6162</v>
      </c>
      <c r="B301" s="187">
        <v>319</v>
      </c>
    </row>
    <row r="302" spans="1:2">
      <c r="A302" s="216" t="s">
        <v>967</v>
      </c>
      <c r="B302" s="187">
        <v>20</v>
      </c>
    </row>
    <row r="303" spans="1:2">
      <c r="A303" s="216" t="s">
        <v>2708</v>
      </c>
      <c r="B303" s="187">
        <v>302</v>
      </c>
    </row>
    <row r="304" spans="1:2">
      <c r="A304" s="216" t="s">
        <v>2710</v>
      </c>
      <c r="B304" s="187">
        <v>231</v>
      </c>
    </row>
    <row r="305" spans="1:2">
      <c r="A305" s="216" t="s">
        <v>2830</v>
      </c>
      <c r="B305" s="187">
        <v>47</v>
      </c>
    </row>
    <row r="306" spans="1:2">
      <c r="A306" s="216" t="s">
        <v>3095</v>
      </c>
      <c r="B306" s="187">
        <v>29</v>
      </c>
    </row>
    <row r="307" spans="1:2">
      <c r="A307" s="216" t="s">
        <v>2712</v>
      </c>
      <c r="B307" s="187">
        <v>219</v>
      </c>
    </row>
    <row r="308" spans="1:2">
      <c r="A308" s="216" t="s">
        <v>2424</v>
      </c>
      <c r="B308" s="187">
        <v>68</v>
      </c>
    </row>
    <row r="309" spans="1:2">
      <c r="A309" s="216" t="s">
        <v>2426</v>
      </c>
      <c r="B309" s="187">
        <v>47</v>
      </c>
    </row>
    <row r="310" spans="1:2">
      <c r="A310" s="216" t="s">
        <v>2428</v>
      </c>
      <c r="B310" s="187">
        <v>49</v>
      </c>
    </row>
    <row r="311" spans="1:2">
      <c r="A311" s="216" t="s">
        <v>2832</v>
      </c>
      <c r="B311" s="187">
        <v>136</v>
      </c>
    </row>
    <row r="312" spans="1:2">
      <c r="A312" s="216" t="s">
        <v>4923</v>
      </c>
      <c r="B312" s="187">
        <v>247</v>
      </c>
    </row>
    <row r="313" spans="1:2">
      <c r="A313" s="216" t="s">
        <v>4925</v>
      </c>
      <c r="B313" s="187">
        <v>316</v>
      </c>
    </row>
    <row r="314" spans="1:2">
      <c r="A314" s="216" t="s">
        <v>4927</v>
      </c>
      <c r="B314" s="187">
        <v>145</v>
      </c>
    </row>
    <row r="315" spans="1:2">
      <c r="A315" s="216" t="s">
        <v>4929</v>
      </c>
      <c r="B315" s="187">
        <v>89</v>
      </c>
    </row>
    <row r="316" spans="1:2">
      <c r="A316" s="216" t="s">
        <v>4931</v>
      </c>
      <c r="B316" s="187">
        <v>133</v>
      </c>
    </row>
    <row r="317" spans="1:2">
      <c r="A317" s="216" t="s">
        <v>4933</v>
      </c>
      <c r="B317" s="187">
        <v>340</v>
      </c>
    </row>
    <row r="318" spans="1:2">
      <c r="A318" s="216" t="s">
        <v>444</v>
      </c>
      <c r="B318" s="187">
        <v>352</v>
      </c>
    </row>
    <row r="319" spans="1:2">
      <c r="A319" s="216" t="s">
        <v>3558</v>
      </c>
      <c r="B319" s="187">
        <v>648</v>
      </c>
    </row>
    <row r="320" spans="1:2">
      <c r="A320" s="216" t="s">
        <v>3560</v>
      </c>
      <c r="B320" s="187">
        <v>239</v>
      </c>
    </row>
    <row r="321" spans="1:2">
      <c r="A321" s="216" t="s">
        <v>3562</v>
      </c>
      <c r="B321" s="187">
        <v>889</v>
      </c>
    </row>
    <row r="322" spans="1:2">
      <c r="A322" s="216" t="s">
        <v>3564</v>
      </c>
      <c r="B322" s="187">
        <v>348</v>
      </c>
    </row>
    <row r="323" spans="1:2">
      <c r="A323" s="216" t="s">
        <v>6179</v>
      </c>
      <c r="B323" s="187">
        <v>203</v>
      </c>
    </row>
    <row r="324" spans="1:2">
      <c r="A324" s="216" t="s">
        <v>1309</v>
      </c>
      <c r="B324" s="187">
        <v>171</v>
      </c>
    </row>
    <row r="325" spans="1:2">
      <c r="A325" s="216" t="s">
        <v>3566</v>
      </c>
      <c r="B325" s="187">
        <v>41</v>
      </c>
    </row>
    <row r="326" spans="1:2">
      <c r="A326" s="216" t="s">
        <v>3568</v>
      </c>
      <c r="B326" s="187">
        <v>6</v>
      </c>
    </row>
    <row r="327" spans="1:2">
      <c r="A327" s="216" t="s">
        <v>1607</v>
      </c>
      <c r="B327" s="187">
        <v>254</v>
      </c>
    </row>
    <row r="328" spans="1:2">
      <c r="A328" s="216" t="s">
        <v>2482</v>
      </c>
      <c r="B328" s="187">
        <v>470</v>
      </c>
    </row>
    <row r="329" spans="1:2">
      <c r="A329" s="216" t="s">
        <v>2484</v>
      </c>
      <c r="B329" s="187">
        <v>216</v>
      </c>
    </row>
    <row r="330" spans="1:2">
      <c r="A330" s="216" t="s">
        <v>2486</v>
      </c>
      <c r="B330" s="187">
        <v>109</v>
      </c>
    </row>
    <row r="331" spans="1:2">
      <c r="A331" s="216" t="s">
        <v>2488</v>
      </c>
      <c r="B331" s="187">
        <v>63</v>
      </c>
    </row>
    <row r="332" spans="1:2">
      <c r="A332" s="216" t="s">
        <v>2834</v>
      </c>
      <c r="B332" s="187">
        <v>358</v>
      </c>
    </row>
    <row r="333" spans="1:2">
      <c r="A333" s="216" t="s">
        <v>445</v>
      </c>
      <c r="B333" s="187">
        <v>741</v>
      </c>
    </row>
    <row r="334" spans="1:2">
      <c r="A334" s="216" t="s">
        <v>2490</v>
      </c>
      <c r="B334" s="187">
        <v>194</v>
      </c>
    </row>
    <row r="335" spans="1:2">
      <c r="A335" s="216" t="s">
        <v>2492</v>
      </c>
      <c r="B335" s="187">
        <v>216</v>
      </c>
    </row>
    <row r="336" spans="1:2">
      <c r="A336" s="216" t="s">
        <v>2494</v>
      </c>
      <c r="B336" s="246">
        <v>1163</v>
      </c>
    </row>
    <row r="337" spans="1:2">
      <c r="A337" s="216" t="s">
        <v>2498</v>
      </c>
      <c r="B337" s="187">
        <v>88</v>
      </c>
    </row>
    <row r="338" spans="1:2">
      <c r="A338" s="216" t="s">
        <v>1670</v>
      </c>
      <c r="B338" s="187">
        <v>706</v>
      </c>
    </row>
    <row r="339" spans="1:2">
      <c r="A339" s="216" t="s">
        <v>1867</v>
      </c>
      <c r="B339" s="187">
        <v>157</v>
      </c>
    </row>
    <row r="340" spans="1:2">
      <c r="A340" s="216" t="s">
        <v>1672</v>
      </c>
      <c r="B340" s="187">
        <v>34</v>
      </c>
    </row>
    <row r="341" spans="1:2">
      <c r="A341" s="216" t="s">
        <v>1674</v>
      </c>
      <c r="B341" s="187">
        <v>45</v>
      </c>
    </row>
    <row r="342" spans="1:2">
      <c r="A342" s="216" t="s">
        <v>5048</v>
      </c>
      <c r="B342" s="187">
        <v>86</v>
      </c>
    </row>
    <row r="343" spans="1:2">
      <c r="A343" s="216" t="s">
        <v>2392</v>
      </c>
      <c r="B343" s="187">
        <v>75</v>
      </c>
    </row>
    <row r="344" spans="1:2">
      <c r="A344" s="216" t="s">
        <v>5050</v>
      </c>
      <c r="B344" s="187">
        <v>109</v>
      </c>
    </row>
    <row r="345" spans="1:2">
      <c r="A345" s="216" t="s">
        <v>1311</v>
      </c>
      <c r="B345" s="187">
        <v>14</v>
      </c>
    </row>
    <row r="346" spans="1:2">
      <c r="A346" s="216" t="s">
        <v>3222</v>
      </c>
      <c r="B346" s="187">
        <v>788</v>
      </c>
    </row>
    <row r="347" spans="1:2">
      <c r="A347" s="216" t="s">
        <v>3224</v>
      </c>
      <c r="B347" s="187">
        <v>118</v>
      </c>
    </row>
    <row r="348" spans="1:2">
      <c r="A348" s="216" t="s">
        <v>3226</v>
      </c>
      <c r="B348" s="187">
        <v>130</v>
      </c>
    </row>
    <row r="349" spans="1:2">
      <c r="A349" s="216" t="s">
        <v>3228</v>
      </c>
      <c r="B349" s="187">
        <v>759</v>
      </c>
    </row>
    <row r="350" spans="1:2">
      <c r="A350" s="216" t="s">
        <v>3230</v>
      </c>
      <c r="B350" s="187">
        <v>383</v>
      </c>
    </row>
    <row r="351" spans="1:2">
      <c r="A351" s="216" t="s">
        <v>3232</v>
      </c>
      <c r="B351" s="187">
        <v>902</v>
      </c>
    </row>
    <row r="352" spans="1:2">
      <c r="A352" s="216" t="s">
        <v>1899</v>
      </c>
      <c r="B352" s="187">
        <v>861</v>
      </c>
    </row>
    <row r="353" spans="1:2">
      <c r="A353" s="216" t="s">
        <v>1853</v>
      </c>
      <c r="B353" s="187">
        <v>528</v>
      </c>
    </row>
    <row r="354" spans="1:2">
      <c r="A354" s="216" t="s">
        <v>1901</v>
      </c>
      <c r="B354" s="187">
        <v>373</v>
      </c>
    </row>
    <row r="355" spans="1:2">
      <c r="A355" s="216" t="s">
        <v>1903</v>
      </c>
      <c r="B355" s="187">
        <v>175</v>
      </c>
    </row>
    <row r="356" spans="1:2">
      <c r="A356" s="216" t="s">
        <v>52</v>
      </c>
      <c r="B356" s="187">
        <v>146</v>
      </c>
    </row>
    <row r="357" spans="1:2">
      <c r="A357" s="216" t="s">
        <v>54</v>
      </c>
      <c r="B357" s="187">
        <v>360</v>
      </c>
    </row>
    <row r="358" spans="1:2">
      <c r="A358" s="216" t="s">
        <v>6191</v>
      </c>
      <c r="B358" s="187">
        <v>449</v>
      </c>
    </row>
    <row r="359" spans="1:2">
      <c r="A359" s="216" t="s">
        <v>732</v>
      </c>
      <c r="B359" s="187">
        <v>129</v>
      </c>
    </row>
    <row r="360" spans="1:2">
      <c r="A360" s="216" t="s">
        <v>949</v>
      </c>
      <c r="B360" s="187">
        <v>55</v>
      </c>
    </row>
    <row r="361" spans="1:2">
      <c r="A361" s="216" t="s">
        <v>3980</v>
      </c>
      <c r="B361" s="187">
        <v>52</v>
      </c>
    </row>
    <row r="362" spans="1:2">
      <c r="A362" s="216" t="s">
        <v>3982</v>
      </c>
      <c r="B362" s="187">
        <v>99</v>
      </c>
    </row>
    <row r="363" spans="1:2">
      <c r="A363" s="216" t="s">
        <v>1871</v>
      </c>
      <c r="B363" s="187">
        <v>76</v>
      </c>
    </row>
    <row r="364" spans="1:2">
      <c r="A364" s="216" t="s">
        <v>3116</v>
      </c>
      <c r="B364" s="187">
        <v>77</v>
      </c>
    </row>
    <row r="365" spans="1:2">
      <c r="A365" s="216" t="s">
        <v>3118</v>
      </c>
      <c r="B365" s="187">
        <v>35</v>
      </c>
    </row>
    <row r="366" spans="1:2">
      <c r="A366" s="216" t="s">
        <v>2836</v>
      </c>
      <c r="B366" s="187">
        <v>69</v>
      </c>
    </row>
    <row r="367" spans="1:2">
      <c r="A367" s="216" t="s">
        <v>2838</v>
      </c>
      <c r="B367" s="187">
        <v>156</v>
      </c>
    </row>
    <row r="368" spans="1:2">
      <c r="A368" s="216" t="s">
        <v>5220</v>
      </c>
      <c r="B368" s="187">
        <v>77</v>
      </c>
    </row>
    <row r="369" spans="1:2">
      <c r="A369" s="216" t="s">
        <v>5129</v>
      </c>
      <c r="B369" s="187">
        <v>92</v>
      </c>
    </row>
    <row r="370" spans="1:2">
      <c r="A370" s="216" t="s">
        <v>5222</v>
      </c>
      <c r="B370" s="187">
        <v>122</v>
      </c>
    </row>
    <row r="371" spans="1:2">
      <c r="A371" s="216" t="s">
        <v>1858</v>
      </c>
      <c r="B371" s="187">
        <v>66</v>
      </c>
    </row>
    <row r="372" spans="1:2">
      <c r="A372" s="216" t="s">
        <v>5224</v>
      </c>
      <c r="B372" s="187">
        <v>53</v>
      </c>
    </row>
    <row r="373" spans="1:2">
      <c r="A373" s="216" t="s">
        <v>5228</v>
      </c>
      <c r="B373" s="187">
        <v>108</v>
      </c>
    </row>
    <row r="374" spans="1:2">
      <c r="A374" s="216" t="s">
        <v>5230</v>
      </c>
      <c r="B374" s="187">
        <v>101</v>
      </c>
    </row>
    <row r="375" spans="1:2">
      <c r="A375" s="216" t="s">
        <v>2994</v>
      </c>
      <c r="B375" s="187">
        <v>106</v>
      </c>
    </row>
    <row r="376" spans="1:2">
      <c r="A376" s="216" t="s">
        <v>7723</v>
      </c>
      <c r="B376" s="187">
        <v>29</v>
      </c>
    </row>
    <row r="377" spans="1:2">
      <c r="A377" s="216" t="s">
        <v>221</v>
      </c>
      <c r="B377" s="187">
        <v>42</v>
      </c>
    </row>
    <row r="378" spans="1:2">
      <c r="A378" s="216" t="s">
        <v>2406</v>
      </c>
      <c r="B378" s="187">
        <v>9</v>
      </c>
    </row>
    <row r="379" spans="1:2">
      <c r="A379" s="216" t="s">
        <v>223</v>
      </c>
      <c r="B379" s="187">
        <v>16</v>
      </c>
    </row>
    <row r="380" spans="1:2">
      <c r="A380" s="216" t="s">
        <v>225</v>
      </c>
      <c r="B380" s="187">
        <v>265</v>
      </c>
    </row>
    <row r="381" spans="1:2">
      <c r="A381" s="216" t="s">
        <v>227</v>
      </c>
      <c r="B381" s="187">
        <v>135</v>
      </c>
    </row>
    <row r="382" spans="1:2">
      <c r="A382" s="216" t="s">
        <v>229</v>
      </c>
      <c r="B382" s="187">
        <v>362</v>
      </c>
    </row>
    <row r="383" spans="1:2">
      <c r="A383" s="216" t="s">
        <v>4039</v>
      </c>
      <c r="B383" s="187">
        <v>126</v>
      </c>
    </row>
    <row r="384" spans="1:2">
      <c r="A384" s="216" t="s">
        <v>2396</v>
      </c>
      <c r="B384" s="187">
        <v>376</v>
      </c>
    </row>
    <row r="385" spans="1:2">
      <c r="A385" s="216" t="s">
        <v>2394</v>
      </c>
      <c r="B385" s="187">
        <v>65</v>
      </c>
    </row>
    <row r="386" spans="1:2">
      <c r="A386" s="216" t="s">
        <v>4042</v>
      </c>
      <c r="B386" s="187">
        <v>86</v>
      </c>
    </row>
    <row r="387" spans="1:2">
      <c r="A387" s="216" t="s">
        <v>3004</v>
      </c>
      <c r="B387" s="187">
        <v>84</v>
      </c>
    </row>
    <row r="388" spans="1:2">
      <c r="A388" s="216" t="s">
        <v>4044</v>
      </c>
      <c r="B388" s="187">
        <v>183</v>
      </c>
    </row>
    <row r="389" spans="1:2">
      <c r="A389" s="216" t="s">
        <v>4046</v>
      </c>
      <c r="B389" s="187">
        <v>132</v>
      </c>
    </row>
    <row r="390" spans="1:2">
      <c r="A390" s="216" t="s">
        <v>5402</v>
      </c>
      <c r="B390" s="187">
        <v>159</v>
      </c>
    </row>
    <row r="391" spans="1:2">
      <c r="A391" s="216" t="s">
        <v>5404</v>
      </c>
      <c r="B391" s="187">
        <v>151</v>
      </c>
    </row>
    <row r="392" spans="1:2">
      <c r="A392" s="216" t="s">
        <v>423</v>
      </c>
      <c r="B392" s="187">
        <v>395</v>
      </c>
    </row>
    <row r="393" spans="1:2">
      <c r="A393" s="216" t="s">
        <v>425</v>
      </c>
      <c r="B393" s="187">
        <v>704</v>
      </c>
    </row>
    <row r="394" spans="1:2">
      <c r="A394" s="216" t="s">
        <v>427</v>
      </c>
      <c r="B394" s="187">
        <v>466</v>
      </c>
    </row>
    <row r="395" spans="1:2">
      <c r="A395" s="216" t="s">
        <v>429</v>
      </c>
      <c r="B395" s="187">
        <v>513</v>
      </c>
    </row>
    <row r="396" spans="1:2">
      <c r="A396" s="216" t="s">
        <v>446</v>
      </c>
      <c r="B396" s="187">
        <v>199</v>
      </c>
    </row>
    <row r="397" spans="1:2">
      <c r="A397" s="216" t="s">
        <v>431</v>
      </c>
      <c r="B397" s="187">
        <v>522</v>
      </c>
    </row>
    <row r="398" spans="1:2">
      <c r="A398" s="216" t="s">
        <v>4945</v>
      </c>
      <c r="B398" s="187">
        <v>367</v>
      </c>
    </row>
    <row r="399" spans="1:2">
      <c r="A399" s="216" t="s">
        <v>4947</v>
      </c>
      <c r="B399" s="187">
        <v>479</v>
      </c>
    </row>
    <row r="400" spans="1:2">
      <c r="A400" s="216" t="s">
        <v>4949</v>
      </c>
      <c r="B400" s="187">
        <v>261</v>
      </c>
    </row>
    <row r="401" spans="1:2">
      <c r="A401" s="216" t="s">
        <v>4951</v>
      </c>
      <c r="B401" s="187">
        <v>557</v>
      </c>
    </row>
    <row r="402" spans="1:2">
      <c r="A402" s="216" t="s">
        <v>1560</v>
      </c>
      <c r="B402" s="187">
        <v>254</v>
      </c>
    </row>
    <row r="403" spans="1:2">
      <c r="A403" s="216" t="s">
        <v>2398</v>
      </c>
      <c r="B403" s="187">
        <v>169</v>
      </c>
    </row>
    <row r="404" spans="1:2">
      <c r="A404" s="216" t="s">
        <v>1562</v>
      </c>
      <c r="B404" s="187">
        <v>304</v>
      </c>
    </row>
    <row r="405" spans="1:2">
      <c r="A405" s="216" t="s">
        <v>2997</v>
      </c>
      <c r="B405" s="187">
        <v>59</v>
      </c>
    </row>
    <row r="406" spans="1:2">
      <c r="A406" s="216" t="s">
        <v>856</v>
      </c>
      <c r="B406" s="187">
        <v>249</v>
      </c>
    </row>
    <row r="407" spans="1:2">
      <c r="A407" s="216" t="s">
        <v>819</v>
      </c>
      <c r="B407" s="187">
        <v>110</v>
      </c>
    </row>
    <row r="408" spans="1:2">
      <c r="A408" s="216" t="s">
        <v>3887</v>
      </c>
      <c r="B408" s="187">
        <v>39</v>
      </c>
    </row>
    <row r="409" spans="1:2">
      <c r="A409" s="216" t="s">
        <v>1988</v>
      </c>
      <c r="B409" s="187">
        <v>19</v>
      </c>
    </row>
    <row r="410" spans="1:2">
      <c r="A410" s="216" t="s">
        <v>245</v>
      </c>
      <c r="B410" s="187">
        <v>82</v>
      </c>
    </row>
    <row r="411" spans="1:2">
      <c r="A411" s="216" t="s">
        <v>1990</v>
      </c>
      <c r="B411" s="187">
        <v>193</v>
      </c>
    </row>
    <row r="412" spans="1:2">
      <c r="A412" s="216" t="s">
        <v>2115</v>
      </c>
      <c r="B412" s="187">
        <v>41</v>
      </c>
    </row>
    <row r="413" spans="1:2">
      <c r="A413" s="216" t="s">
        <v>6184</v>
      </c>
      <c r="B413" s="187">
        <v>32</v>
      </c>
    </row>
    <row r="414" spans="1:2">
      <c r="A414" s="216" t="s">
        <v>1315</v>
      </c>
      <c r="B414" s="187">
        <v>33</v>
      </c>
    </row>
    <row r="415" spans="1:2">
      <c r="A415" s="216" t="s">
        <v>5622</v>
      </c>
      <c r="B415" s="187">
        <v>138</v>
      </c>
    </row>
    <row r="416" spans="1:2">
      <c r="A416" s="216" t="s">
        <v>5624</v>
      </c>
      <c r="B416" s="187">
        <v>298</v>
      </c>
    </row>
    <row r="417" spans="1:2">
      <c r="A417" s="216" t="s">
        <v>1873</v>
      </c>
      <c r="B417" s="187">
        <v>94</v>
      </c>
    </row>
    <row r="418" spans="1:2">
      <c r="A418" s="216" t="s">
        <v>6028</v>
      </c>
      <c r="B418" s="187">
        <v>169</v>
      </c>
    </row>
    <row r="419" spans="1:2">
      <c r="A419" s="216" t="s">
        <v>6035</v>
      </c>
      <c r="B419" s="187">
        <v>80</v>
      </c>
    </row>
    <row r="420" spans="1:2">
      <c r="A420" s="216" t="s">
        <v>5626</v>
      </c>
      <c r="B420" s="187">
        <v>56</v>
      </c>
    </row>
    <row r="421" spans="1:2">
      <c r="A421" s="216" t="s">
        <v>6194</v>
      </c>
      <c r="B421" s="187">
        <v>60</v>
      </c>
    </row>
    <row r="422" spans="1:2">
      <c r="A422" s="216" t="s">
        <v>1539</v>
      </c>
      <c r="B422" s="187">
        <v>58</v>
      </c>
    </row>
    <row r="423" spans="1:2">
      <c r="A423" s="216" t="s">
        <v>911</v>
      </c>
      <c r="B423" s="187">
        <v>40</v>
      </c>
    </row>
    <row r="424" spans="1:2">
      <c r="A424" s="216" t="s">
        <v>1428</v>
      </c>
      <c r="B424" s="187">
        <v>86</v>
      </c>
    </row>
    <row r="425" spans="1:2">
      <c r="A425" s="216" t="s">
        <v>1430</v>
      </c>
      <c r="B425" s="187">
        <v>55</v>
      </c>
    </row>
    <row r="426" spans="1:2">
      <c r="A426" s="216" t="s">
        <v>4971</v>
      </c>
      <c r="B426" s="187">
        <v>52</v>
      </c>
    </row>
    <row r="427" spans="1:2">
      <c r="A427" s="216" t="s">
        <v>1432</v>
      </c>
      <c r="B427" s="187">
        <v>137</v>
      </c>
    </row>
    <row r="428" spans="1:2">
      <c r="A428" s="216" t="s">
        <v>1434</v>
      </c>
      <c r="B428" s="187">
        <v>349</v>
      </c>
    </row>
    <row r="429" spans="1:2">
      <c r="A429" s="216" t="s">
        <v>1436</v>
      </c>
      <c r="B429" s="187">
        <v>62</v>
      </c>
    </row>
    <row r="430" spans="1:2">
      <c r="A430" s="216" t="s">
        <v>1438</v>
      </c>
      <c r="B430" s="187">
        <v>181</v>
      </c>
    </row>
    <row r="431" spans="1:2">
      <c r="A431" s="216" t="s">
        <v>2580</v>
      </c>
      <c r="B431" s="187">
        <v>102</v>
      </c>
    </row>
    <row r="432" spans="1:2">
      <c r="A432" s="216" t="s">
        <v>2582</v>
      </c>
      <c r="B432" s="187">
        <v>142</v>
      </c>
    </row>
    <row r="433" spans="1:2">
      <c r="A433" s="216" t="s">
        <v>2584</v>
      </c>
      <c r="B433" s="246">
        <v>1348</v>
      </c>
    </row>
    <row r="434" spans="1:2">
      <c r="A434" s="216" t="s">
        <v>1578</v>
      </c>
      <c r="B434" s="187">
        <v>374</v>
      </c>
    </row>
    <row r="435" spans="1:2">
      <c r="A435" s="216" t="s">
        <v>1580</v>
      </c>
      <c r="B435" s="187">
        <v>360</v>
      </c>
    </row>
    <row r="436" spans="1:2">
      <c r="A436" s="216" t="s">
        <v>447</v>
      </c>
      <c r="B436" s="187">
        <v>85</v>
      </c>
    </row>
    <row r="437" spans="1:2">
      <c r="A437" s="216" t="s">
        <v>1582</v>
      </c>
      <c r="B437" s="187">
        <v>134</v>
      </c>
    </row>
    <row r="438" spans="1:2">
      <c r="A438" s="216" t="s">
        <v>1584</v>
      </c>
      <c r="B438" s="187">
        <v>235</v>
      </c>
    </row>
    <row r="439" spans="1:2">
      <c r="A439" s="216" t="s">
        <v>1588</v>
      </c>
      <c r="B439" s="187">
        <v>190</v>
      </c>
    </row>
    <row r="440" spans="1:2">
      <c r="A440" s="216" t="s">
        <v>1292</v>
      </c>
      <c r="B440" s="187">
        <v>194</v>
      </c>
    </row>
    <row r="441" spans="1:2">
      <c r="A441" s="216" t="s">
        <v>1590</v>
      </c>
      <c r="B441" s="187">
        <v>141</v>
      </c>
    </row>
    <row r="442" spans="1:2">
      <c r="A442" s="216" t="s">
        <v>1864</v>
      </c>
      <c r="B442" s="187">
        <v>212</v>
      </c>
    </row>
    <row r="443" spans="1:2">
      <c r="A443" s="216" t="s">
        <v>1592</v>
      </c>
      <c r="B443" s="187">
        <v>731</v>
      </c>
    </row>
    <row r="444" spans="1:2">
      <c r="A444" s="216" t="s">
        <v>1594</v>
      </c>
      <c r="B444" s="187">
        <v>236</v>
      </c>
    </row>
    <row r="445" spans="1:2">
      <c r="A445" s="216" t="s">
        <v>1596</v>
      </c>
      <c r="B445" s="187">
        <v>199</v>
      </c>
    </row>
    <row r="446" spans="1:2">
      <c r="A446" s="216" t="s">
        <v>1598</v>
      </c>
      <c r="B446" s="187">
        <v>109</v>
      </c>
    </row>
    <row r="447" spans="1:2">
      <c r="A447" s="216" t="s">
        <v>1600</v>
      </c>
      <c r="B447" s="187">
        <v>81</v>
      </c>
    </row>
    <row r="448" spans="1:2">
      <c r="A448" s="216" t="s">
        <v>5260</v>
      </c>
      <c r="B448" s="187">
        <v>118</v>
      </c>
    </row>
    <row r="449" spans="1:2">
      <c r="A449" s="216" t="s">
        <v>2415</v>
      </c>
      <c r="B449" s="187">
        <v>15</v>
      </c>
    </row>
    <row r="450" spans="1:2">
      <c r="A450" s="216" t="s">
        <v>4973</v>
      </c>
      <c r="B450" s="187">
        <v>13</v>
      </c>
    </row>
    <row r="451" spans="1:2">
      <c r="A451" s="216" t="s">
        <v>5262</v>
      </c>
      <c r="B451" s="187">
        <v>146</v>
      </c>
    </row>
    <row r="452" spans="1:2">
      <c r="A452" s="216" t="s">
        <v>2054</v>
      </c>
      <c r="B452" s="187">
        <v>91</v>
      </c>
    </row>
    <row r="453" spans="1:2">
      <c r="A453" s="216" t="s">
        <v>1519</v>
      </c>
      <c r="B453" s="187">
        <v>28</v>
      </c>
    </row>
    <row r="454" spans="1:2">
      <c r="A454" s="216" t="s">
        <v>1521</v>
      </c>
      <c r="B454" s="187">
        <v>848</v>
      </c>
    </row>
    <row r="455" spans="1:2">
      <c r="A455" s="216" t="s">
        <v>1866</v>
      </c>
      <c r="B455" s="187">
        <v>36</v>
      </c>
    </row>
    <row r="456" spans="1:2">
      <c r="A456" s="216" t="s">
        <v>6167</v>
      </c>
      <c r="B456" s="187">
        <v>34</v>
      </c>
    </row>
    <row r="457" spans="1:2">
      <c r="A457" s="216" t="s">
        <v>6170</v>
      </c>
      <c r="B457" s="187">
        <v>38</v>
      </c>
    </row>
    <row r="458" spans="1:2">
      <c r="A458" s="216" t="s">
        <v>6176</v>
      </c>
      <c r="B458" s="187">
        <v>43</v>
      </c>
    </row>
    <row r="459" spans="1:2">
      <c r="A459" s="216" t="s">
        <v>5125</v>
      </c>
      <c r="B459" s="187">
        <v>57</v>
      </c>
    </row>
    <row r="460" spans="1:2">
      <c r="A460" s="216" t="s">
        <v>648</v>
      </c>
      <c r="B460" s="187">
        <v>24</v>
      </c>
    </row>
    <row r="461" spans="1:2">
      <c r="A461" s="216" t="s">
        <v>780</v>
      </c>
      <c r="B461" s="187">
        <v>27</v>
      </c>
    </row>
    <row r="462" spans="1:2">
      <c r="A462" s="216" t="s">
        <v>6038</v>
      </c>
      <c r="B462" s="187">
        <v>209</v>
      </c>
    </row>
    <row r="463" spans="1:2">
      <c r="A463" s="216" t="s">
        <v>3096</v>
      </c>
      <c r="B463" s="187">
        <v>55</v>
      </c>
    </row>
    <row r="464" spans="1:2">
      <c r="A464" s="216" t="s">
        <v>6040</v>
      </c>
      <c r="B464" s="187">
        <v>29</v>
      </c>
    </row>
    <row r="465" spans="1:2">
      <c r="A465" s="216" t="s">
        <v>3097</v>
      </c>
      <c r="B465" s="187">
        <v>47</v>
      </c>
    </row>
    <row r="466" spans="1:2">
      <c r="A466" s="216" t="s">
        <v>2419</v>
      </c>
      <c r="B466" s="187">
        <v>10</v>
      </c>
    </row>
    <row r="467" spans="1:2">
      <c r="A467" s="216" t="s">
        <v>2608</v>
      </c>
      <c r="B467" s="187">
        <v>75</v>
      </c>
    </row>
    <row r="468" spans="1:2">
      <c r="A468" s="216" t="s">
        <v>448</v>
      </c>
      <c r="B468" s="187">
        <v>81</v>
      </c>
    </row>
    <row r="469" spans="1:2">
      <c r="A469" s="216" t="s">
        <v>243</v>
      </c>
      <c r="B469" s="187">
        <v>43</v>
      </c>
    </row>
    <row r="470" spans="1:2">
      <c r="A470" s="216" t="s">
        <v>1868</v>
      </c>
      <c r="B470" s="187">
        <v>128</v>
      </c>
    </row>
    <row r="471" spans="1:2">
      <c r="A471" s="216" t="s">
        <v>3098</v>
      </c>
      <c r="B471" s="187">
        <v>64</v>
      </c>
    </row>
    <row r="472" spans="1:2">
      <c r="A472" s="216" t="s">
        <v>6022</v>
      </c>
      <c r="B472" s="187">
        <v>137</v>
      </c>
    </row>
    <row r="473" spans="1:2">
      <c r="A473" s="216" t="s">
        <v>2610</v>
      </c>
      <c r="B473" s="187">
        <v>46</v>
      </c>
    </row>
    <row r="474" spans="1:2">
      <c r="A474" s="216" t="s">
        <v>2612</v>
      </c>
      <c r="B474" s="187">
        <v>48</v>
      </c>
    </row>
    <row r="475" spans="1:2">
      <c r="A475" s="216" t="s">
        <v>782</v>
      </c>
      <c r="B475" s="187">
        <v>118</v>
      </c>
    </row>
    <row r="476" spans="1:2">
      <c r="A476" s="216" t="s">
        <v>2614</v>
      </c>
      <c r="B476" s="187">
        <v>73</v>
      </c>
    </row>
    <row r="477" spans="1:2">
      <c r="A477" s="216" t="s">
        <v>2468</v>
      </c>
      <c r="B477" s="187">
        <v>106</v>
      </c>
    </row>
    <row r="478" spans="1:2">
      <c r="A478" s="216" t="s">
        <v>2616</v>
      </c>
      <c r="B478" s="187">
        <v>50</v>
      </c>
    </row>
    <row r="479" spans="1:2">
      <c r="A479" s="216" t="s">
        <v>784</v>
      </c>
      <c r="B479" s="187">
        <v>82</v>
      </c>
    </row>
    <row r="480" spans="1:2">
      <c r="A480" s="216" t="s">
        <v>786</v>
      </c>
      <c r="B480" s="187">
        <v>315</v>
      </c>
    </row>
    <row r="481" spans="1:2">
      <c r="A481" s="216" t="s">
        <v>788</v>
      </c>
      <c r="B481" s="187">
        <v>162</v>
      </c>
    </row>
    <row r="482" spans="1:2">
      <c r="A482" s="216" t="s">
        <v>969</v>
      </c>
      <c r="B482" s="187">
        <v>106</v>
      </c>
    </row>
    <row r="483" spans="1:2">
      <c r="A483" s="216" t="s">
        <v>790</v>
      </c>
      <c r="B483" s="187">
        <v>89</v>
      </c>
    </row>
    <row r="484" spans="1:2">
      <c r="A484" s="216" t="s">
        <v>792</v>
      </c>
      <c r="B484" s="187">
        <v>118</v>
      </c>
    </row>
    <row r="485" spans="1:2">
      <c r="A485" s="216" t="s">
        <v>794</v>
      </c>
      <c r="B485" s="187">
        <v>259</v>
      </c>
    </row>
    <row r="486" spans="1:2">
      <c r="A486" s="216" t="s">
        <v>2991</v>
      </c>
      <c r="B486" s="187">
        <v>115</v>
      </c>
    </row>
    <row r="487" spans="1:2">
      <c r="A487" s="216" t="s">
        <v>2413</v>
      </c>
      <c r="B487" s="187">
        <v>111</v>
      </c>
    </row>
    <row r="488" spans="1:2">
      <c r="A488" s="216" t="s">
        <v>796</v>
      </c>
      <c r="B488" s="187">
        <v>255</v>
      </c>
    </row>
    <row r="489" spans="1:2">
      <c r="A489" s="216" t="s">
        <v>2044</v>
      </c>
      <c r="B489" s="187">
        <v>70</v>
      </c>
    </row>
    <row r="490" spans="1:2">
      <c r="A490" s="216" t="s">
        <v>798</v>
      </c>
      <c r="B490" s="187">
        <v>103</v>
      </c>
    </row>
    <row r="491" spans="1:2">
      <c r="A491" s="216" t="s">
        <v>2358</v>
      </c>
      <c r="B491" s="187">
        <v>68</v>
      </c>
    </row>
    <row r="492" spans="1:2">
      <c r="A492" s="216" t="s">
        <v>800</v>
      </c>
      <c r="B492" s="187">
        <v>123</v>
      </c>
    </row>
    <row r="493" spans="1:2">
      <c r="A493" s="216" t="s">
        <v>802</v>
      </c>
      <c r="B493" s="187">
        <v>61</v>
      </c>
    </row>
    <row r="494" spans="1:2">
      <c r="A494" s="216" t="s">
        <v>2046</v>
      </c>
      <c r="B494" s="187">
        <v>120</v>
      </c>
    </row>
    <row r="495" spans="1:2">
      <c r="A495" s="216" t="s">
        <v>804</v>
      </c>
      <c r="B495" s="187">
        <v>200</v>
      </c>
    </row>
    <row r="496" spans="1:2">
      <c r="A496" s="216" t="s">
        <v>806</v>
      </c>
      <c r="B496" s="187">
        <v>222</v>
      </c>
    </row>
    <row r="497" spans="1:2">
      <c r="A497" s="216" t="s">
        <v>808</v>
      </c>
      <c r="B497" s="187">
        <v>333</v>
      </c>
    </row>
    <row r="498" spans="1:2">
      <c r="A498" s="216" t="s">
        <v>810</v>
      </c>
      <c r="B498" s="187">
        <v>103</v>
      </c>
    </row>
    <row r="499" spans="1:2">
      <c r="A499" s="216" t="s">
        <v>667</v>
      </c>
      <c r="B499" s="187">
        <v>354</v>
      </c>
    </row>
    <row r="500" spans="1:2">
      <c r="A500" s="216" t="s">
        <v>1707</v>
      </c>
      <c r="B500" s="187">
        <v>244</v>
      </c>
    </row>
    <row r="501" spans="1:2">
      <c r="A501" s="216" t="s">
        <v>1709</v>
      </c>
      <c r="B501" s="187">
        <v>304</v>
      </c>
    </row>
    <row r="502" spans="1:2">
      <c r="A502" s="216" t="s">
        <v>1711</v>
      </c>
      <c r="B502" s="187">
        <v>211</v>
      </c>
    </row>
    <row r="503" spans="1:2">
      <c r="A503" s="216" t="s">
        <v>1713</v>
      </c>
      <c r="B503" s="246">
        <v>1733</v>
      </c>
    </row>
    <row r="504" spans="1:2">
      <c r="A504" s="216" t="s">
        <v>1330</v>
      </c>
      <c r="B504" s="246">
        <v>1179</v>
      </c>
    </row>
    <row r="505" spans="1:2">
      <c r="A505" s="216" t="s">
        <v>1332</v>
      </c>
      <c r="B505" s="187">
        <v>621</v>
      </c>
    </row>
    <row r="506" spans="1:2">
      <c r="A506" s="216" t="s">
        <v>979</v>
      </c>
      <c r="B506" s="187">
        <v>71</v>
      </c>
    </row>
    <row r="507" spans="1:2">
      <c r="A507" s="216" t="s">
        <v>1334</v>
      </c>
      <c r="B507" s="187">
        <v>70</v>
      </c>
    </row>
    <row r="508" spans="1:2">
      <c r="A508" s="216" t="s">
        <v>235</v>
      </c>
      <c r="B508" s="187">
        <v>116</v>
      </c>
    </row>
    <row r="509" spans="1:2">
      <c r="A509" s="216" t="s">
        <v>3961</v>
      </c>
      <c r="B509" s="187">
        <v>139</v>
      </c>
    </row>
    <row r="510" spans="1:2">
      <c r="A510" s="216" t="s">
        <v>2359</v>
      </c>
      <c r="B510" s="187">
        <v>97</v>
      </c>
    </row>
    <row r="511" spans="1:2">
      <c r="A511" s="216" t="s">
        <v>650</v>
      </c>
      <c r="B511" s="187">
        <v>152</v>
      </c>
    </row>
    <row r="512" spans="1:2">
      <c r="A512" s="216" t="s">
        <v>2127</v>
      </c>
      <c r="B512" s="187">
        <v>86</v>
      </c>
    </row>
    <row r="513" spans="1:2">
      <c r="A513" s="216" t="s">
        <v>3963</v>
      </c>
      <c r="B513" s="187">
        <v>46</v>
      </c>
    </row>
    <row r="514" spans="1:2">
      <c r="A514" s="216" t="s">
        <v>953</v>
      </c>
      <c r="B514" s="187">
        <v>61</v>
      </c>
    </row>
    <row r="515" spans="1:2">
      <c r="A515" s="216" t="s">
        <v>971</v>
      </c>
      <c r="B515" s="187">
        <v>8</v>
      </c>
    </row>
    <row r="516" spans="1:2">
      <c r="A516" s="216" t="s">
        <v>3965</v>
      </c>
      <c r="B516" s="187">
        <v>52</v>
      </c>
    </row>
    <row r="517" spans="1:2">
      <c r="A517" s="216" t="s">
        <v>3967</v>
      </c>
      <c r="B517" s="187">
        <v>33</v>
      </c>
    </row>
    <row r="518" spans="1:2">
      <c r="A518" s="216" t="s">
        <v>3969</v>
      </c>
      <c r="B518" s="187">
        <v>346</v>
      </c>
    </row>
    <row r="519" spans="1:2">
      <c r="A519" s="216" t="s">
        <v>757</v>
      </c>
      <c r="B519" s="187">
        <v>166</v>
      </c>
    </row>
    <row r="520" spans="1:2">
      <c r="A520" s="216" t="s">
        <v>759</v>
      </c>
      <c r="B520" s="246">
        <v>1052</v>
      </c>
    </row>
    <row r="521" spans="1:2">
      <c r="A521" s="216" t="s">
        <v>69</v>
      </c>
      <c r="B521" s="187">
        <v>185</v>
      </c>
    </row>
    <row r="522" spans="1:2">
      <c r="A522" s="216" t="s">
        <v>71</v>
      </c>
      <c r="B522" s="187">
        <v>588</v>
      </c>
    </row>
    <row r="523" spans="1:2">
      <c r="A523" s="216" t="s">
        <v>73</v>
      </c>
      <c r="B523" s="187">
        <v>170</v>
      </c>
    </row>
    <row r="524" spans="1:2">
      <c r="A524" s="216" t="s">
        <v>75</v>
      </c>
      <c r="B524" s="187">
        <v>381</v>
      </c>
    </row>
    <row r="525" spans="1:2">
      <c r="A525" s="216" t="s">
        <v>1316</v>
      </c>
      <c r="B525" s="187">
        <v>154</v>
      </c>
    </row>
    <row r="526" spans="1:2">
      <c r="A526" s="216" t="s">
        <v>2600</v>
      </c>
      <c r="B526" s="187">
        <v>300</v>
      </c>
    </row>
    <row r="527" spans="1:2">
      <c r="A527" s="216" t="s">
        <v>7133</v>
      </c>
      <c r="B527" s="187">
        <v>156</v>
      </c>
    </row>
    <row r="528" spans="1:2">
      <c r="A528" s="216" t="s">
        <v>961</v>
      </c>
      <c r="B528" s="187">
        <v>251</v>
      </c>
    </row>
    <row r="529" spans="1:2">
      <c r="A529" s="216" t="s">
        <v>6024</v>
      </c>
      <c r="B529" s="187">
        <v>400</v>
      </c>
    </row>
    <row r="530" spans="1:2">
      <c r="A530" s="216" t="s">
        <v>6034</v>
      </c>
      <c r="B530" s="187">
        <v>239</v>
      </c>
    </row>
    <row r="531" spans="1:2">
      <c r="A531" s="216" t="s">
        <v>7135</v>
      </c>
      <c r="B531" s="187">
        <v>26</v>
      </c>
    </row>
    <row r="532" spans="1:2">
      <c r="A532" s="216" t="s">
        <v>7137</v>
      </c>
      <c r="B532" s="246">
        <v>1439</v>
      </c>
    </row>
    <row r="533" spans="1:2">
      <c r="A533" s="216" t="s">
        <v>7139</v>
      </c>
      <c r="B533" s="187">
        <v>819</v>
      </c>
    </row>
    <row r="534" spans="1:2">
      <c r="A534" s="216" t="s">
        <v>6178</v>
      </c>
      <c r="B534" s="187">
        <v>18</v>
      </c>
    </row>
    <row r="535" spans="1:2">
      <c r="A535" s="216" t="s">
        <v>7145</v>
      </c>
      <c r="B535" s="187">
        <v>71</v>
      </c>
    </row>
    <row r="536" spans="1:2">
      <c r="A536" s="216" t="s">
        <v>7147</v>
      </c>
      <c r="B536" s="187">
        <v>21</v>
      </c>
    </row>
    <row r="537" spans="1:2">
      <c r="A537" s="216" t="s">
        <v>2808</v>
      </c>
      <c r="B537" s="187">
        <v>183</v>
      </c>
    </row>
    <row r="538" spans="1:2">
      <c r="A538" s="216" t="s">
        <v>2810</v>
      </c>
      <c r="B538" s="187">
        <v>611</v>
      </c>
    </row>
    <row r="539" spans="1:2">
      <c r="A539" s="216" t="s">
        <v>1859</v>
      </c>
      <c r="B539" s="187">
        <v>273</v>
      </c>
    </row>
    <row r="540" spans="1:2">
      <c r="A540" s="216" t="s">
        <v>2812</v>
      </c>
      <c r="B540" s="246">
        <v>1137</v>
      </c>
    </row>
    <row r="541" spans="1:2">
      <c r="A541" s="216" t="s">
        <v>820</v>
      </c>
      <c r="B541" s="187">
        <v>306</v>
      </c>
    </row>
    <row r="542" spans="1:2">
      <c r="A542" s="216" t="s">
        <v>127</v>
      </c>
      <c r="B542" s="187">
        <v>139</v>
      </c>
    </row>
    <row r="543" spans="1:2">
      <c r="A543" s="216" t="s">
        <v>6189</v>
      </c>
      <c r="B543" s="187">
        <v>180</v>
      </c>
    </row>
    <row r="544" spans="1:2">
      <c r="A544" s="216" t="s">
        <v>5130</v>
      </c>
      <c r="B544" s="187">
        <v>157</v>
      </c>
    </row>
    <row r="545" spans="1:2">
      <c r="A545" s="216" t="s">
        <v>2815</v>
      </c>
      <c r="B545" s="187">
        <v>47</v>
      </c>
    </row>
    <row r="546" spans="1:2">
      <c r="A546" s="216" t="s">
        <v>3888</v>
      </c>
      <c r="B546" s="187">
        <v>98</v>
      </c>
    </row>
    <row r="547" spans="1:2">
      <c r="A547" s="216" t="s">
        <v>977</v>
      </c>
      <c r="B547" s="187">
        <v>50</v>
      </c>
    </row>
    <row r="548" spans="1:2">
      <c r="A548" s="216" t="s">
        <v>739</v>
      </c>
      <c r="B548" s="187">
        <v>195</v>
      </c>
    </row>
    <row r="549" spans="1:2">
      <c r="A549" s="216" t="s">
        <v>1855</v>
      </c>
      <c r="B549" s="187">
        <v>79</v>
      </c>
    </row>
    <row r="550" spans="1:2">
      <c r="A550" s="216" t="s">
        <v>6025</v>
      </c>
      <c r="B550" s="187">
        <v>77</v>
      </c>
    </row>
    <row r="551" spans="1:2">
      <c r="A551" s="216" t="s">
        <v>2817</v>
      </c>
      <c r="B551" s="187">
        <v>5</v>
      </c>
    </row>
    <row r="552" spans="1:2">
      <c r="A552" s="216" t="s">
        <v>128</v>
      </c>
      <c r="B552" s="187">
        <v>76</v>
      </c>
    </row>
    <row r="553" spans="1:2">
      <c r="A553" s="216" t="s">
        <v>3551</v>
      </c>
      <c r="B553" s="187">
        <v>34</v>
      </c>
    </row>
    <row r="554" spans="1:2">
      <c r="A554" s="216" t="s">
        <v>1851</v>
      </c>
      <c r="B554" s="187">
        <v>126</v>
      </c>
    </row>
    <row r="555" spans="1:2">
      <c r="A555" s="216" t="s">
        <v>267</v>
      </c>
      <c r="B555" s="187">
        <v>260</v>
      </c>
    </row>
    <row r="556" spans="1:2">
      <c r="A556" s="216" t="s">
        <v>2819</v>
      </c>
      <c r="B556" s="187">
        <v>259</v>
      </c>
    </row>
    <row r="557" spans="1:2">
      <c r="A557" s="216" t="s">
        <v>1863</v>
      </c>
      <c r="B557" s="187">
        <v>121</v>
      </c>
    </row>
    <row r="558" spans="1:2">
      <c r="A558" s="216" t="s">
        <v>449</v>
      </c>
      <c r="B558" s="187">
        <v>236</v>
      </c>
    </row>
    <row r="559" spans="1:2">
      <c r="A559" s="216" t="s">
        <v>5138</v>
      </c>
      <c r="B559" s="187">
        <v>144</v>
      </c>
    </row>
    <row r="560" spans="1:2">
      <c r="A560" s="216" t="s">
        <v>6027</v>
      </c>
      <c r="B560" s="187">
        <v>362</v>
      </c>
    </row>
    <row r="561" spans="1:2">
      <c r="A561" s="216" t="s">
        <v>450</v>
      </c>
      <c r="B561" s="187">
        <v>139</v>
      </c>
    </row>
    <row r="562" spans="1:2">
      <c r="A562" s="216" t="s">
        <v>516</v>
      </c>
      <c r="B562" s="187">
        <v>91</v>
      </c>
    </row>
    <row r="563" spans="1:2">
      <c r="A563" s="216" t="s">
        <v>1525</v>
      </c>
      <c r="B563" s="187">
        <v>132</v>
      </c>
    </row>
    <row r="564" spans="1:2">
      <c r="A564" s="216" t="s">
        <v>244</v>
      </c>
      <c r="B564" s="187">
        <v>84</v>
      </c>
    </row>
    <row r="565" spans="1:2">
      <c r="A565" s="216" t="s">
        <v>1308</v>
      </c>
      <c r="B565" s="187">
        <v>80</v>
      </c>
    </row>
    <row r="566" spans="1:2">
      <c r="A566" s="216" t="s">
        <v>6029</v>
      </c>
      <c r="B566" s="187">
        <v>167</v>
      </c>
    </row>
    <row r="567" spans="1:2">
      <c r="A567" s="216" t="s">
        <v>6031</v>
      </c>
      <c r="B567" s="187">
        <v>171</v>
      </c>
    </row>
    <row r="568" spans="1:2">
      <c r="A568" s="216" t="s">
        <v>5628</v>
      </c>
      <c r="B568" s="187">
        <v>87</v>
      </c>
    </row>
    <row r="569" spans="1:2">
      <c r="A569" s="216" t="s">
        <v>5630</v>
      </c>
      <c r="B569" s="187">
        <v>175</v>
      </c>
    </row>
    <row r="570" spans="1:2">
      <c r="A570" s="216" t="s">
        <v>2395</v>
      </c>
      <c r="B570" s="187">
        <v>86</v>
      </c>
    </row>
    <row r="571" spans="1:2">
      <c r="A571" s="216" t="s">
        <v>5632</v>
      </c>
      <c r="B571" s="187">
        <v>308</v>
      </c>
    </row>
    <row r="572" spans="1:2">
      <c r="A572" s="216" t="s">
        <v>6147</v>
      </c>
      <c r="B572" s="187">
        <v>349</v>
      </c>
    </row>
    <row r="573" spans="1:2">
      <c r="A573" s="216" t="s">
        <v>1417</v>
      </c>
      <c r="B573" s="246">
        <v>2267</v>
      </c>
    </row>
    <row r="574" spans="1:2">
      <c r="A574" s="216" t="s">
        <v>1419</v>
      </c>
      <c r="B574" s="187">
        <v>784</v>
      </c>
    </row>
    <row r="575" spans="1:2">
      <c r="A575" s="216" t="s">
        <v>2469</v>
      </c>
      <c r="B575" s="187">
        <v>85</v>
      </c>
    </row>
    <row r="576" spans="1:2">
      <c r="A576" s="216" t="s">
        <v>1421</v>
      </c>
      <c r="B576" s="187">
        <v>201</v>
      </c>
    </row>
    <row r="577" spans="1:2">
      <c r="A577" s="216" t="s">
        <v>1423</v>
      </c>
      <c r="B577" s="187">
        <v>162</v>
      </c>
    </row>
    <row r="578" spans="1:2">
      <c r="A578" s="216" t="s">
        <v>1425</v>
      </c>
      <c r="B578" s="187">
        <v>228</v>
      </c>
    </row>
    <row r="579" spans="1:2">
      <c r="A579" s="216" t="s">
        <v>7151</v>
      </c>
      <c r="B579" s="187">
        <v>300</v>
      </c>
    </row>
    <row r="580" spans="1:2">
      <c r="A580" s="216" t="s">
        <v>7153</v>
      </c>
      <c r="B580" s="246">
        <v>1105</v>
      </c>
    </row>
    <row r="581" spans="1:2">
      <c r="A581" s="216" t="s">
        <v>1833</v>
      </c>
      <c r="B581" s="187">
        <v>871</v>
      </c>
    </row>
    <row r="582" spans="1:2">
      <c r="A582" s="216" t="s">
        <v>1835</v>
      </c>
      <c r="B582" s="246">
        <v>1363</v>
      </c>
    </row>
    <row r="583" spans="1:2">
      <c r="A583" s="216" t="s">
        <v>510</v>
      </c>
      <c r="B583" s="187">
        <v>105</v>
      </c>
    </row>
    <row r="584" spans="1:2">
      <c r="A584" s="216" t="s">
        <v>3530</v>
      </c>
      <c r="B584" s="187">
        <v>83</v>
      </c>
    </row>
    <row r="585" spans="1:2">
      <c r="A585" s="216" t="s">
        <v>3532</v>
      </c>
      <c r="B585" s="187">
        <v>856</v>
      </c>
    </row>
    <row r="586" spans="1:2">
      <c r="A586" s="216" t="s">
        <v>3534</v>
      </c>
      <c r="B586" s="187">
        <v>197</v>
      </c>
    </row>
    <row r="587" spans="1:2">
      <c r="A587" s="216" t="s">
        <v>511</v>
      </c>
      <c r="B587" s="187">
        <v>144</v>
      </c>
    </row>
    <row r="588" spans="1:2">
      <c r="A588" s="216" t="s">
        <v>3539</v>
      </c>
      <c r="B588" s="187">
        <v>195</v>
      </c>
    </row>
    <row r="589" spans="1:2">
      <c r="A589" s="216" t="s">
        <v>3541</v>
      </c>
      <c r="B589" s="187">
        <v>407</v>
      </c>
    </row>
    <row r="590" spans="1:2">
      <c r="A590" s="216" t="s">
        <v>3543</v>
      </c>
      <c r="B590" s="187">
        <v>211</v>
      </c>
    </row>
    <row r="591" spans="1:2">
      <c r="A591" s="216" t="s">
        <v>129</v>
      </c>
      <c r="B591" s="187">
        <v>94</v>
      </c>
    </row>
    <row r="592" spans="1:2">
      <c r="A592" s="216" t="s">
        <v>6193</v>
      </c>
      <c r="B592" s="187">
        <v>22</v>
      </c>
    </row>
    <row r="593" spans="1:2">
      <c r="A593" s="216" t="s">
        <v>2674</v>
      </c>
      <c r="B593" s="187">
        <v>405</v>
      </c>
    </row>
    <row r="594" spans="1:2">
      <c r="A594" s="216" t="s">
        <v>512</v>
      </c>
      <c r="B594" s="187">
        <v>236</v>
      </c>
    </row>
    <row r="595" spans="1:2">
      <c r="A595" s="216" t="s">
        <v>600</v>
      </c>
      <c r="B595" s="187">
        <v>109</v>
      </c>
    </row>
    <row r="596" spans="1:2">
      <c r="A596" s="216" t="s">
        <v>602</v>
      </c>
      <c r="B596" s="187">
        <v>216</v>
      </c>
    </row>
    <row r="597" spans="1:2">
      <c r="A597" s="216" t="s">
        <v>6188</v>
      </c>
      <c r="B597" s="187">
        <v>273</v>
      </c>
    </row>
    <row r="598" spans="1:2">
      <c r="A598" s="216" t="s">
        <v>2016</v>
      </c>
      <c r="B598" s="187">
        <v>79</v>
      </c>
    </row>
    <row r="599" spans="1:2">
      <c r="A599" s="216" t="s">
        <v>2018</v>
      </c>
      <c r="B599" s="187">
        <v>197</v>
      </c>
    </row>
    <row r="600" spans="1:2">
      <c r="A600" s="216" t="s">
        <v>2020</v>
      </c>
      <c r="B600" s="187">
        <v>580</v>
      </c>
    </row>
    <row r="601" spans="1:2">
      <c r="A601" s="216" t="s">
        <v>2024</v>
      </c>
      <c r="B601" s="187">
        <v>597</v>
      </c>
    </row>
    <row r="602" spans="1:2">
      <c r="A602" s="216" t="s">
        <v>2026</v>
      </c>
      <c r="B602" s="187">
        <v>242</v>
      </c>
    </row>
    <row r="603" spans="1:2">
      <c r="A603" s="216" t="s">
        <v>242</v>
      </c>
      <c r="B603" s="246">
        <v>1404</v>
      </c>
    </row>
    <row r="604" spans="1:2">
      <c r="A604" s="216" t="s">
        <v>2028</v>
      </c>
      <c r="B604" s="187">
        <v>502</v>
      </c>
    </row>
    <row r="605" spans="1:2">
      <c r="A605" s="216" t="s">
        <v>2030</v>
      </c>
      <c r="B605" s="187">
        <v>113</v>
      </c>
    </row>
    <row r="606" spans="1:2">
      <c r="A606" s="216" t="s">
        <v>2032</v>
      </c>
      <c r="B606" s="187">
        <v>112</v>
      </c>
    </row>
    <row r="607" spans="1:2">
      <c r="A607" s="216" t="s">
        <v>2034</v>
      </c>
      <c r="B607" s="187">
        <v>32</v>
      </c>
    </row>
    <row r="608" spans="1:2">
      <c r="A608" s="216" t="s">
        <v>2036</v>
      </c>
      <c r="B608" s="187">
        <v>62</v>
      </c>
    </row>
    <row r="609" spans="1:2">
      <c r="A609" s="216" t="s">
        <v>308</v>
      </c>
      <c r="B609" s="187">
        <v>168</v>
      </c>
    </row>
    <row r="610" spans="1:2">
      <c r="A610" s="216" t="s">
        <v>310</v>
      </c>
      <c r="B610" s="187">
        <v>255</v>
      </c>
    </row>
    <row r="611" spans="1:2">
      <c r="A611" s="216" t="s">
        <v>312</v>
      </c>
      <c r="B611" s="187">
        <v>291</v>
      </c>
    </row>
    <row r="612" spans="1:2">
      <c r="A612" s="216" t="s">
        <v>314</v>
      </c>
      <c r="B612" s="187">
        <v>98</v>
      </c>
    </row>
    <row r="613" spans="1:2">
      <c r="A613" s="216" t="s">
        <v>316</v>
      </c>
      <c r="B613" s="187">
        <v>164</v>
      </c>
    </row>
    <row r="614" spans="1:2">
      <c r="A614" s="216" t="s">
        <v>318</v>
      </c>
      <c r="B614" s="187">
        <v>360</v>
      </c>
    </row>
    <row r="615" spans="1:2">
      <c r="A615" s="216" t="s">
        <v>320</v>
      </c>
      <c r="B615" s="187">
        <v>177</v>
      </c>
    </row>
    <row r="616" spans="1:2">
      <c r="A616" s="216" t="s">
        <v>2319</v>
      </c>
      <c r="B616" s="187">
        <v>257</v>
      </c>
    </row>
    <row r="617" spans="1:2">
      <c r="A617" s="216" t="s">
        <v>2321</v>
      </c>
      <c r="B617" s="187">
        <v>308</v>
      </c>
    </row>
    <row r="618" spans="1:2">
      <c r="A618" s="216" t="s">
        <v>3178</v>
      </c>
      <c r="B618" s="187">
        <v>147</v>
      </c>
    </row>
    <row r="619" spans="1:2">
      <c r="A619" s="216" t="s">
        <v>249</v>
      </c>
      <c r="B619" s="187">
        <v>266</v>
      </c>
    </row>
    <row r="620" spans="1:2">
      <c r="A620" s="216" t="s">
        <v>2323</v>
      </c>
      <c r="B620" s="187">
        <v>158</v>
      </c>
    </row>
    <row r="621" spans="1:2">
      <c r="A621" s="216" t="s">
        <v>513</v>
      </c>
      <c r="B621" s="187">
        <v>209</v>
      </c>
    </row>
    <row r="622" spans="1:2">
      <c r="A622" s="216" t="s">
        <v>1872</v>
      </c>
      <c r="B622" s="187">
        <v>90</v>
      </c>
    </row>
    <row r="623" spans="1:2">
      <c r="A623" s="216" t="s">
        <v>2325</v>
      </c>
      <c r="B623" s="187">
        <v>129</v>
      </c>
    </row>
    <row r="624" spans="1:2">
      <c r="A624" s="216" t="s">
        <v>2327</v>
      </c>
      <c r="B624" s="187">
        <v>224</v>
      </c>
    </row>
    <row r="625" spans="1:2">
      <c r="A625" s="216" t="s">
        <v>5236</v>
      </c>
      <c r="B625" s="187">
        <v>146</v>
      </c>
    </row>
    <row r="626" spans="1:2">
      <c r="A626" s="216" t="s">
        <v>7700</v>
      </c>
      <c r="B626" s="187">
        <v>497</v>
      </c>
    </row>
    <row r="627" spans="1:2">
      <c r="A627" s="216" t="s">
        <v>7702</v>
      </c>
      <c r="B627" s="187">
        <v>182</v>
      </c>
    </row>
    <row r="628" spans="1:2">
      <c r="A628" s="216" t="s">
        <v>7704</v>
      </c>
      <c r="B628" s="187">
        <v>302</v>
      </c>
    </row>
    <row r="629" spans="1:2">
      <c r="A629" s="216" t="s">
        <v>5634</v>
      </c>
      <c r="B629" s="187">
        <v>258</v>
      </c>
    </row>
    <row r="630" spans="1:2">
      <c r="A630" s="216" t="s">
        <v>5636</v>
      </c>
      <c r="B630" s="187">
        <v>233</v>
      </c>
    </row>
    <row r="631" spans="1:2">
      <c r="A631" s="216" t="s">
        <v>4016</v>
      </c>
      <c r="B631" s="187">
        <v>189</v>
      </c>
    </row>
    <row r="632" spans="1:2">
      <c r="A632" s="216" t="s">
        <v>4018</v>
      </c>
      <c r="B632" s="187">
        <v>611</v>
      </c>
    </row>
    <row r="633" spans="1:2">
      <c r="A633" s="216" t="s">
        <v>4020</v>
      </c>
      <c r="B633" s="187">
        <v>405</v>
      </c>
    </row>
    <row r="634" spans="1:2">
      <c r="A634" s="216" t="s">
        <v>4022</v>
      </c>
      <c r="B634" s="187">
        <v>908</v>
      </c>
    </row>
    <row r="635" spans="1:2">
      <c r="A635" s="216" t="s">
        <v>2996</v>
      </c>
      <c r="B635" s="187">
        <v>87</v>
      </c>
    </row>
    <row r="636" spans="1:2">
      <c r="A636" s="216" t="s">
        <v>4028</v>
      </c>
      <c r="B636" s="187">
        <v>120</v>
      </c>
    </row>
    <row r="637" spans="1:2">
      <c r="A637" s="216" t="s">
        <v>4030</v>
      </c>
      <c r="B637" s="187">
        <v>89</v>
      </c>
    </row>
    <row r="638" spans="1:2">
      <c r="A638" s="216" t="s">
        <v>2903</v>
      </c>
      <c r="B638" s="187">
        <v>118</v>
      </c>
    </row>
    <row r="639" spans="1:2">
      <c r="A639" s="216" t="s">
        <v>1310</v>
      </c>
      <c r="B639" s="187">
        <v>122</v>
      </c>
    </row>
    <row r="640" spans="1:2">
      <c r="A640" s="216" t="s">
        <v>4032</v>
      </c>
      <c r="B640" s="187">
        <v>108</v>
      </c>
    </row>
    <row r="641" spans="1:2">
      <c r="A641" s="216" t="s">
        <v>2397</v>
      </c>
      <c r="B641" s="187">
        <v>75</v>
      </c>
    </row>
    <row r="642" spans="1:2">
      <c r="A642" s="216" t="s">
        <v>669</v>
      </c>
      <c r="B642" s="187">
        <v>122</v>
      </c>
    </row>
    <row r="643" spans="1:2">
      <c r="A643" s="216" t="s">
        <v>4151</v>
      </c>
      <c r="B643" s="187">
        <v>325</v>
      </c>
    </row>
    <row r="644" spans="1:2">
      <c r="A644" s="216" t="s">
        <v>4153</v>
      </c>
      <c r="B644" s="187">
        <v>365</v>
      </c>
    </row>
    <row r="645" spans="1:2">
      <c r="A645" s="216" t="s">
        <v>4155</v>
      </c>
      <c r="B645" s="187">
        <v>134</v>
      </c>
    </row>
    <row r="646" spans="1:2">
      <c r="A646" s="216" t="s">
        <v>4157</v>
      </c>
      <c r="B646" s="187">
        <v>138</v>
      </c>
    </row>
    <row r="647" spans="1:2">
      <c r="A647" s="216" t="s">
        <v>3000</v>
      </c>
      <c r="B647" s="187">
        <v>417</v>
      </c>
    </row>
    <row r="648" spans="1:2">
      <c r="A648" s="216" t="s">
        <v>4159</v>
      </c>
      <c r="B648" s="187">
        <v>88</v>
      </c>
    </row>
    <row r="649" spans="1:2">
      <c r="A649" s="216" t="s">
        <v>4161</v>
      </c>
      <c r="B649" s="187">
        <v>405</v>
      </c>
    </row>
    <row r="650" spans="1:2">
      <c r="A650" s="216" t="s">
        <v>4163</v>
      </c>
      <c r="B650" s="187">
        <v>350</v>
      </c>
    </row>
    <row r="651" spans="1:2">
      <c r="A651" s="216" t="s">
        <v>4165</v>
      </c>
      <c r="B651" s="187">
        <v>294</v>
      </c>
    </row>
    <row r="652" spans="1:2">
      <c r="A652" s="216" t="s">
        <v>4167</v>
      </c>
      <c r="B652" s="246">
        <v>1003</v>
      </c>
    </row>
    <row r="653" spans="1:2">
      <c r="A653" s="216" t="s">
        <v>4169</v>
      </c>
      <c r="B653" s="187">
        <v>154</v>
      </c>
    </row>
    <row r="654" spans="1:2">
      <c r="A654" s="216" t="s">
        <v>4171</v>
      </c>
      <c r="B654" s="187">
        <v>302</v>
      </c>
    </row>
    <row r="655" spans="1:2">
      <c r="A655" s="216" t="s">
        <v>2055</v>
      </c>
      <c r="B655" s="187">
        <v>198</v>
      </c>
    </row>
    <row r="656" spans="1:2">
      <c r="A656" s="216" t="s">
        <v>2057</v>
      </c>
      <c r="B656" s="187">
        <v>762</v>
      </c>
    </row>
    <row r="657" spans="1:2">
      <c r="A657" s="216" t="s">
        <v>2059</v>
      </c>
      <c r="B657" s="187">
        <v>657</v>
      </c>
    </row>
    <row r="658" spans="1:2">
      <c r="A658" s="216" t="s">
        <v>1814</v>
      </c>
      <c r="B658" s="246">
        <v>1297</v>
      </c>
    </row>
    <row r="659" spans="1:2">
      <c r="A659" s="216" t="s">
        <v>958</v>
      </c>
      <c r="B659" s="187">
        <v>691</v>
      </c>
    </row>
    <row r="660" spans="1:2">
      <c r="A660" s="216" t="s">
        <v>2061</v>
      </c>
      <c r="B660" s="187">
        <v>326</v>
      </c>
    </row>
    <row r="661" spans="1:2">
      <c r="A661" s="216" t="s">
        <v>1845</v>
      </c>
      <c r="B661" s="187">
        <v>172</v>
      </c>
    </row>
    <row r="662" spans="1:2">
      <c r="A662" s="216" t="s">
        <v>5237</v>
      </c>
      <c r="B662" s="187">
        <v>115</v>
      </c>
    </row>
    <row r="663" spans="1:2">
      <c r="A663" s="216" t="s">
        <v>2065</v>
      </c>
      <c r="B663" s="187">
        <v>90</v>
      </c>
    </row>
    <row r="664" spans="1:2">
      <c r="A664" s="216" t="s">
        <v>2905</v>
      </c>
      <c r="B664" s="187">
        <v>31</v>
      </c>
    </row>
    <row r="665" spans="1:2">
      <c r="A665" s="216" t="s">
        <v>5238</v>
      </c>
      <c r="B665" s="187">
        <v>60</v>
      </c>
    </row>
    <row r="666" spans="1:2">
      <c r="A666" s="216" t="s">
        <v>6163</v>
      </c>
      <c r="B666" s="187">
        <v>148</v>
      </c>
    </row>
    <row r="667" spans="1:2">
      <c r="A667" s="216" t="s">
        <v>2470</v>
      </c>
      <c r="B667" s="187">
        <v>81</v>
      </c>
    </row>
    <row r="668" spans="1:2">
      <c r="A668" s="216" t="s">
        <v>973</v>
      </c>
      <c r="B668" s="187">
        <v>98</v>
      </c>
    </row>
    <row r="669" spans="1:2">
      <c r="A669" s="216" t="s">
        <v>2769</v>
      </c>
      <c r="B669" s="187">
        <v>54</v>
      </c>
    </row>
    <row r="670" spans="1:2">
      <c r="A670" s="216" t="s">
        <v>3553</v>
      </c>
      <c r="B670" s="187">
        <v>60</v>
      </c>
    </row>
    <row r="671" spans="1:2">
      <c r="A671" s="216" t="s">
        <v>3556</v>
      </c>
      <c r="B671" s="187">
        <v>130</v>
      </c>
    </row>
    <row r="672" spans="1:2">
      <c r="A672" s="216" t="s">
        <v>5052</v>
      </c>
      <c r="B672" s="187">
        <v>83</v>
      </c>
    </row>
    <row r="673" spans="1:2">
      <c r="A673" s="216" t="s">
        <v>5054</v>
      </c>
      <c r="B673" s="187">
        <v>69</v>
      </c>
    </row>
    <row r="674" spans="1:2">
      <c r="A674" s="216" t="s">
        <v>737</v>
      </c>
      <c r="B674" s="187">
        <v>76</v>
      </c>
    </row>
    <row r="675" spans="1:2">
      <c r="A675" s="216" t="s">
        <v>237</v>
      </c>
      <c r="B675" s="187">
        <v>33</v>
      </c>
    </row>
    <row r="676" spans="1:2">
      <c r="A676" s="216" t="s">
        <v>2307</v>
      </c>
      <c r="B676" s="187">
        <v>71</v>
      </c>
    </row>
    <row r="677" spans="1:2">
      <c r="A677" s="216" t="s">
        <v>957</v>
      </c>
      <c r="B677" s="187">
        <v>22</v>
      </c>
    </row>
    <row r="678" spans="1:2">
      <c r="A678" s="216" t="s">
        <v>5056</v>
      </c>
      <c r="B678" s="187">
        <v>33</v>
      </c>
    </row>
    <row r="679" spans="1:2">
      <c r="A679" s="216" t="s">
        <v>5137</v>
      </c>
      <c r="B679" s="187">
        <v>20</v>
      </c>
    </row>
    <row r="680" spans="1:2">
      <c r="A680" s="216" t="s">
        <v>4568</v>
      </c>
      <c r="B680" s="246">
        <v>1205</v>
      </c>
    </row>
    <row r="681" spans="1:2">
      <c r="A681" s="216" t="s">
        <v>2053</v>
      </c>
      <c r="B681" s="187">
        <v>198</v>
      </c>
    </row>
    <row r="682" spans="1:2">
      <c r="A682" s="216" t="s">
        <v>1846</v>
      </c>
      <c r="B682" s="187">
        <v>390</v>
      </c>
    </row>
    <row r="683" spans="1:2">
      <c r="A683" s="216" t="s">
        <v>5239</v>
      </c>
      <c r="B683" s="187">
        <v>43</v>
      </c>
    </row>
    <row r="684" spans="1:2">
      <c r="A684" s="216" t="s">
        <v>1870</v>
      </c>
      <c r="B684" s="187">
        <v>529</v>
      </c>
    </row>
    <row r="685" spans="1:2">
      <c r="A685" s="216" t="s">
        <v>6169</v>
      </c>
      <c r="B685" s="187">
        <v>294</v>
      </c>
    </row>
    <row r="686" spans="1:2">
      <c r="A686" s="216" t="s">
        <v>574</v>
      </c>
      <c r="B686" s="187">
        <v>870</v>
      </c>
    </row>
    <row r="687" spans="1:2">
      <c r="A687" s="216" t="s">
        <v>6172</v>
      </c>
      <c r="B687" s="187">
        <v>751</v>
      </c>
    </row>
    <row r="688" spans="1:2">
      <c r="A688" s="216" t="s">
        <v>578</v>
      </c>
      <c r="B688" s="187">
        <v>151</v>
      </c>
    </row>
    <row r="689" spans="1:2">
      <c r="A689" s="216" t="s">
        <v>980</v>
      </c>
      <c r="B689" s="187">
        <v>320</v>
      </c>
    </row>
    <row r="690" spans="1:2">
      <c r="A690" s="216" t="s">
        <v>3972</v>
      </c>
      <c r="B690" s="187">
        <v>76</v>
      </c>
    </row>
    <row r="691" spans="1:2">
      <c r="A691" s="216" t="s">
        <v>6173</v>
      </c>
      <c r="B691" s="187">
        <v>139</v>
      </c>
    </row>
    <row r="692" spans="1:2">
      <c r="A692" s="216" t="s">
        <v>3974</v>
      </c>
      <c r="B692" s="187">
        <v>215</v>
      </c>
    </row>
    <row r="693" spans="1:2">
      <c r="A693" s="216" t="s">
        <v>814</v>
      </c>
      <c r="B693" s="187">
        <v>130</v>
      </c>
    </row>
    <row r="694" spans="1:2">
      <c r="A694" s="216" t="s">
        <v>4587</v>
      </c>
      <c r="B694" s="187">
        <v>50</v>
      </c>
    </row>
    <row r="695" spans="1:2">
      <c r="A695" s="216" t="s">
        <v>1852</v>
      </c>
      <c r="B695" s="187">
        <v>282</v>
      </c>
    </row>
    <row r="696" spans="1:2">
      <c r="A696" s="216" t="s">
        <v>141</v>
      </c>
      <c r="B696" s="187">
        <v>257</v>
      </c>
    </row>
    <row r="697" spans="1:2">
      <c r="A697" s="216" t="s">
        <v>143</v>
      </c>
      <c r="B697" s="187">
        <v>144</v>
      </c>
    </row>
    <row r="698" spans="1:2">
      <c r="A698" s="216" t="s">
        <v>1847</v>
      </c>
      <c r="B698" s="187">
        <v>97</v>
      </c>
    </row>
    <row r="699" spans="1:2">
      <c r="A699" s="216" t="s">
        <v>145</v>
      </c>
      <c r="B699" s="187">
        <v>435</v>
      </c>
    </row>
    <row r="700" spans="1:2">
      <c r="A700" s="216" t="s">
        <v>147</v>
      </c>
      <c r="B700" s="187">
        <v>165</v>
      </c>
    </row>
    <row r="701" spans="1:2">
      <c r="A701" s="216" t="s">
        <v>149</v>
      </c>
      <c r="B701" s="187">
        <v>281</v>
      </c>
    </row>
    <row r="702" spans="1:2">
      <c r="A702" s="216" t="s">
        <v>1956</v>
      </c>
      <c r="B702" s="187">
        <v>285</v>
      </c>
    </row>
    <row r="703" spans="1:2">
      <c r="A703" s="216" t="s">
        <v>1958</v>
      </c>
      <c r="B703" s="187">
        <v>160</v>
      </c>
    </row>
    <row r="704" spans="1:2">
      <c r="A704" s="216" t="s">
        <v>1960</v>
      </c>
      <c r="B704" s="187">
        <v>158</v>
      </c>
    </row>
    <row r="705" spans="1:2">
      <c r="A705" s="216" t="s">
        <v>2039</v>
      </c>
      <c r="B705" s="187">
        <v>25</v>
      </c>
    </row>
    <row r="706" spans="1:2">
      <c r="A706" s="216" t="s">
        <v>2041</v>
      </c>
      <c r="B706" s="187">
        <v>107</v>
      </c>
    </row>
    <row r="707" spans="1:2">
      <c r="A707" s="216" t="s">
        <v>1825</v>
      </c>
      <c r="B707" s="187">
        <v>125</v>
      </c>
    </row>
    <row r="708" spans="1:2">
      <c r="A708" s="216" t="s">
        <v>1827</v>
      </c>
      <c r="B708" s="187">
        <v>158</v>
      </c>
    </row>
    <row r="709" spans="1:2">
      <c r="A709" s="216" t="s">
        <v>238</v>
      </c>
      <c r="B709" s="187">
        <v>333</v>
      </c>
    </row>
    <row r="710" spans="1:2">
      <c r="A710" s="216" t="s">
        <v>1829</v>
      </c>
      <c r="B710" s="187">
        <v>234</v>
      </c>
    </row>
    <row r="711" spans="1:2">
      <c r="A711" s="216" t="s">
        <v>859</v>
      </c>
      <c r="B711" s="187">
        <v>158</v>
      </c>
    </row>
    <row r="712" spans="1:2">
      <c r="A712" s="216" t="s">
        <v>3001</v>
      </c>
      <c r="B712" s="187">
        <v>160</v>
      </c>
    </row>
    <row r="713" spans="1:2">
      <c r="A713" s="216" t="s">
        <v>2405</v>
      </c>
      <c r="B713" s="187">
        <v>79</v>
      </c>
    </row>
    <row r="714" spans="1:2">
      <c r="A714" s="216" t="s">
        <v>2907</v>
      </c>
      <c r="B714" s="187">
        <v>91</v>
      </c>
    </row>
    <row r="715" spans="1:2">
      <c r="A715" s="216" t="s">
        <v>1222</v>
      </c>
      <c r="B715" s="187">
        <v>761</v>
      </c>
    </row>
    <row r="716" spans="1:2">
      <c r="A716" s="216" t="s">
        <v>1224</v>
      </c>
      <c r="B716" s="187">
        <v>233</v>
      </c>
    </row>
    <row r="717" spans="1:2">
      <c r="A717" s="216" t="s">
        <v>5375</v>
      </c>
      <c r="B717" s="187">
        <v>134</v>
      </c>
    </row>
    <row r="718" spans="1:2">
      <c r="A718" s="216" t="s">
        <v>5377</v>
      </c>
      <c r="B718" s="187">
        <v>194</v>
      </c>
    </row>
    <row r="719" spans="1:2">
      <c r="A719" s="216" t="s">
        <v>5379</v>
      </c>
      <c r="B719" s="246">
        <v>1024</v>
      </c>
    </row>
    <row r="720" spans="1:2">
      <c r="A720" s="216" t="s">
        <v>642</v>
      </c>
      <c r="B720" s="187">
        <v>77</v>
      </c>
    </row>
    <row r="721" spans="1:2">
      <c r="A721" s="216" t="s">
        <v>2618</v>
      </c>
      <c r="B721" s="187">
        <v>175</v>
      </c>
    </row>
    <row r="722" spans="1:2">
      <c r="A722" s="216" t="s">
        <v>644</v>
      </c>
      <c r="B722" s="187">
        <v>117</v>
      </c>
    </row>
    <row r="723" spans="1:2">
      <c r="A723" s="216" t="s">
        <v>2620</v>
      </c>
      <c r="B723" s="187">
        <v>218</v>
      </c>
    </row>
    <row r="724" spans="1:2">
      <c r="A724" s="216" t="s">
        <v>4588</v>
      </c>
      <c r="B724" s="187">
        <v>138</v>
      </c>
    </row>
    <row r="725" spans="1:2">
      <c r="A725" s="216" t="s">
        <v>2622</v>
      </c>
      <c r="B725" s="187">
        <v>73</v>
      </c>
    </row>
    <row r="726" spans="1:2">
      <c r="A726" s="216" t="s">
        <v>2624</v>
      </c>
      <c r="B726" s="187">
        <v>62</v>
      </c>
    </row>
    <row r="727" spans="1:2">
      <c r="A727" s="216" t="s">
        <v>1523</v>
      </c>
      <c r="B727" s="187">
        <v>76</v>
      </c>
    </row>
    <row r="728" spans="1:2">
      <c r="A728" s="216" t="s">
        <v>2626</v>
      </c>
      <c r="B728" s="187">
        <v>87</v>
      </c>
    </row>
    <row r="729" spans="1:2">
      <c r="A729" s="216" t="s">
        <v>2628</v>
      </c>
      <c r="B729" s="187">
        <v>167</v>
      </c>
    </row>
    <row r="730" spans="1:2">
      <c r="A730" s="216" t="s">
        <v>241</v>
      </c>
      <c r="B730" s="187">
        <v>226</v>
      </c>
    </row>
    <row r="731" spans="1:2">
      <c r="A731" s="216" t="s">
        <v>248</v>
      </c>
      <c r="B731" s="187">
        <v>171</v>
      </c>
    </row>
    <row r="732" spans="1:2">
      <c r="A732" s="216" t="s">
        <v>5084</v>
      </c>
      <c r="B732" s="187">
        <v>90</v>
      </c>
    </row>
    <row r="733" spans="1:2">
      <c r="A733" s="216" t="s">
        <v>2534</v>
      </c>
      <c r="B733" s="187">
        <v>213</v>
      </c>
    </row>
    <row r="734" spans="1:2">
      <c r="A734" s="216" t="s">
        <v>5086</v>
      </c>
      <c r="B734" s="187">
        <v>89</v>
      </c>
    </row>
    <row r="735" spans="1:2">
      <c r="A735" s="216" t="s">
        <v>2768</v>
      </c>
      <c r="B735" s="187">
        <v>63</v>
      </c>
    </row>
    <row r="736" spans="1:2">
      <c r="A736" s="216" t="s">
        <v>5088</v>
      </c>
      <c r="B736" s="187">
        <v>330</v>
      </c>
    </row>
    <row r="737" spans="1:2">
      <c r="A737" s="216" t="s">
        <v>6181</v>
      </c>
      <c r="B737" s="187">
        <v>390</v>
      </c>
    </row>
    <row r="738" spans="1:2">
      <c r="A738" s="216" t="s">
        <v>1848</v>
      </c>
      <c r="B738" s="187">
        <v>172</v>
      </c>
    </row>
    <row r="739" spans="1:2">
      <c r="A739" s="216" t="s">
        <v>2471</v>
      </c>
      <c r="B739" s="187">
        <v>142</v>
      </c>
    </row>
    <row r="740" spans="1:2">
      <c r="A740" s="216" t="s">
        <v>6044</v>
      </c>
      <c r="B740" s="187">
        <v>289</v>
      </c>
    </row>
    <row r="741" spans="1:2">
      <c r="A741" s="216" t="s">
        <v>6046</v>
      </c>
      <c r="B741" s="187">
        <v>467</v>
      </c>
    </row>
    <row r="742" spans="1:2">
      <c r="A742" s="216" t="s">
        <v>4185</v>
      </c>
      <c r="B742" s="187">
        <v>257</v>
      </c>
    </row>
    <row r="743" spans="1:2">
      <c r="A743" s="216" t="s">
        <v>6689</v>
      </c>
      <c r="B743" s="187">
        <v>92</v>
      </c>
    </row>
    <row r="744" spans="1:2">
      <c r="A744" s="216" t="s">
        <v>6691</v>
      </c>
      <c r="B744" s="187">
        <v>176</v>
      </c>
    </row>
    <row r="745" spans="1:2">
      <c r="A745" s="216" t="s">
        <v>6693</v>
      </c>
      <c r="B745" s="187">
        <v>31</v>
      </c>
    </row>
    <row r="746" spans="1:2">
      <c r="A746" s="216" t="s">
        <v>240</v>
      </c>
      <c r="B746" s="187">
        <v>192</v>
      </c>
    </row>
    <row r="747" spans="1:2">
      <c r="A747" s="216" t="s">
        <v>6695</v>
      </c>
      <c r="B747" s="187">
        <v>46</v>
      </c>
    </row>
    <row r="748" spans="1:2">
      <c r="A748" s="216" t="s">
        <v>745</v>
      </c>
      <c r="B748" s="187">
        <v>83</v>
      </c>
    </row>
    <row r="749" spans="1:2">
      <c r="A749" s="216" t="s">
        <v>747</v>
      </c>
      <c r="B749" s="187">
        <v>205</v>
      </c>
    </row>
    <row r="750" spans="1:2">
      <c r="A750" s="216" t="s">
        <v>2308</v>
      </c>
      <c r="B750" s="187">
        <v>82</v>
      </c>
    </row>
    <row r="751" spans="1:2">
      <c r="A751" s="216" t="s">
        <v>749</v>
      </c>
      <c r="B751" s="187">
        <v>50</v>
      </c>
    </row>
    <row r="752" spans="1:2">
      <c r="A752" s="216" t="s">
        <v>2953</v>
      </c>
      <c r="B752" s="187">
        <v>124</v>
      </c>
    </row>
    <row r="753" spans="1:2">
      <c r="A753" s="216" t="s">
        <v>2955</v>
      </c>
      <c r="B753" s="187">
        <v>216</v>
      </c>
    </row>
    <row r="754" spans="1:2">
      <c r="A754" s="216" t="s">
        <v>2957</v>
      </c>
      <c r="B754" s="187">
        <v>45</v>
      </c>
    </row>
    <row r="755" spans="1:2">
      <c r="A755" s="216" t="s">
        <v>5123</v>
      </c>
      <c r="B755" s="187">
        <v>792</v>
      </c>
    </row>
    <row r="756" spans="1:2">
      <c r="A756" s="216" t="s">
        <v>4119</v>
      </c>
      <c r="B756" s="187">
        <v>546</v>
      </c>
    </row>
    <row r="757" spans="1:2">
      <c r="A757" s="216" t="s">
        <v>4121</v>
      </c>
      <c r="B757" s="187">
        <v>661</v>
      </c>
    </row>
    <row r="758" spans="1:2">
      <c r="A758" s="216" t="s">
        <v>4123</v>
      </c>
      <c r="B758" s="187">
        <v>179</v>
      </c>
    </row>
    <row r="759" spans="1:2">
      <c r="A759" s="216" t="s">
        <v>5032</v>
      </c>
      <c r="B759" s="187">
        <v>68</v>
      </c>
    </row>
    <row r="760" spans="1:2">
      <c r="A760" s="216" t="s">
        <v>4125</v>
      </c>
      <c r="B760" s="187">
        <v>70</v>
      </c>
    </row>
    <row r="761" spans="1:2">
      <c r="A761" s="216" t="s">
        <v>4127</v>
      </c>
      <c r="B761" s="187">
        <v>35</v>
      </c>
    </row>
    <row r="762" spans="1:2">
      <c r="A762" s="216" t="s">
        <v>5033</v>
      </c>
      <c r="B762" s="187">
        <v>120</v>
      </c>
    </row>
    <row r="763" spans="1:2">
      <c r="A763" s="216" t="s">
        <v>4129</v>
      </c>
      <c r="B763" s="187">
        <v>102</v>
      </c>
    </row>
    <row r="764" spans="1:2">
      <c r="A764" s="216" t="s">
        <v>4131</v>
      </c>
      <c r="B764" s="187">
        <v>153</v>
      </c>
    </row>
    <row r="765" spans="1:2">
      <c r="A765" s="216" t="s">
        <v>4133</v>
      </c>
      <c r="B765" s="187">
        <v>238</v>
      </c>
    </row>
    <row r="766" spans="1:2">
      <c r="A766" s="216" t="s">
        <v>6175</v>
      </c>
      <c r="B766" s="187">
        <v>125</v>
      </c>
    </row>
    <row r="767" spans="1:2">
      <c r="A767" s="216" t="s">
        <v>4135</v>
      </c>
      <c r="B767" s="187">
        <v>212</v>
      </c>
    </row>
    <row r="768" spans="1:2">
      <c r="A768" s="216" t="s">
        <v>4137</v>
      </c>
      <c r="B768" s="187">
        <v>116</v>
      </c>
    </row>
    <row r="769" spans="1:2">
      <c r="A769" s="216" t="s">
        <v>4139</v>
      </c>
      <c r="B769" s="187">
        <v>177</v>
      </c>
    </row>
    <row r="770" spans="1:2">
      <c r="A770" s="216" t="s">
        <v>4141</v>
      </c>
      <c r="B770" s="187">
        <v>118</v>
      </c>
    </row>
    <row r="771" spans="1:2">
      <c r="A771" s="216" t="s">
        <v>4143</v>
      </c>
      <c r="B771" s="187">
        <v>544</v>
      </c>
    </row>
    <row r="772" spans="1:2">
      <c r="A772" s="216" t="s">
        <v>1318</v>
      </c>
      <c r="B772" s="187">
        <v>66</v>
      </c>
    </row>
    <row r="773" spans="1:2">
      <c r="A773" s="216" t="s">
        <v>2536</v>
      </c>
      <c r="B773" s="187">
        <v>74</v>
      </c>
    </row>
    <row r="774" spans="1:2">
      <c r="A774" s="216" t="s">
        <v>2407</v>
      </c>
      <c r="B774" s="187">
        <v>103</v>
      </c>
    </row>
    <row r="775" spans="1:2">
      <c r="A775" s="216" t="s">
        <v>5034</v>
      </c>
      <c r="B775" s="187">
        <v>254</v>
      </c>
    </row>
    <row r="776" spans="1:2">
      <c r="A776" s="216" t="s">
        <v>6174</v>
      </c>
      <c r="B776" s="187">
        <v>99</v>
      </c>
    </row>
    <row r="777" spans="1:2">
      <c r="A777" s="216" t="s">
        <v>4145</v>
      </c>
      <c r="B777" s="187">
        <v>129</v>
      </c>
    </row>
    <row r="778" spans="1:2">
      <c r="A778" s="216" t="s">
        <v>6196</v>
      </c>
      <c r="B778" s="187">
        <v>53</v>
      </c>
    </row>
    <row r="779" spans="1:2">
      <c r="A779" s="216" t="s">
        <v>6131</v>
      </c>
      <c r="B779" s="187">
        <v>88</v>
      </c>
    </row>
    <row r="780" spans="1:2">
      <c r="A780" s="216" t="s">
        <v>254</v>
      </c>
      <c r="B780" s="187">
        <v>51</v>
      </c>
    </row>
    <row r="781" spans="1:2">
      <c r="A781" s="216" t="s">
        <v>256</v>
      </c>
      <c r="B781" s="187">
        <v>217</v>
      </c>
    </row>
    <row r="782" spans="1:2">
      <c r="A782" s="216" t="s">
        <v>258</v>
      </c>
      <c r="B782" s="187">
        <v>169</v>
      </c>
    </row>
    <row r="783" spans="1:2">
      <c r="A783" s="216" t="s">
        <v>260</v>
      </c>
      <c r="B783" s="187">
        <v>339</v>
      </c>
    </row>
    <row r="784" spans="1:2">
      <c r="A784" s="216" t="s">
        <v>262</v>
      </c>
      <c r="B784" s="187">
        <v>200</v>
      </c>
    </row>
    <row r="785" spans="1:2">
      <c r="A785" s="216" t="s">
        <v>872</v>
      </c>
      <c r="B785" s="187">
        <v>913</v>
      </c>
    </row>
    <row r="786" spans="1:2">
      <c r="A786" s="216" t="s">
        <v>874</v>
      </c>
      <c r="B786" s="246">
        <v>2995</v>
      </c>
    </row>
    <row r="787" spans="1:2">
      <c r="A787" s="216" t="s">
        <v>876</v>
      </c>
      <c r="B787" s="187">
        <v>871</v>
      </c>
    </row>
    <row r="788" spans="1:2">
      <c r="A788" s="216" t="s">
        <v>3040</v>
      </c>
      <c r="B788" s="187">
        <v>205</v>
      </c>
    </row>
    <row r="789" spans="1:2">
      <c r="A789" s="216" t="s">
        <v>3042</v>
      </c>
      <c r="B789" s="187">
        <v>38</v>
      </c>
    </row>
    <row r="790" spans="1:2">
      <c r="A790" s="216" t="s">
        <v>709</v>
      </c>
      <c r="B790" s="187">
        <v>291</v>
      </c>
    </row>
    <row r="791" spans="1:2">
      <c r="A791" s="216" t="s">
        <v>3044</v>
      </c>
      <c r="B791" s="187">
        <v>91</v>
      </c>
    </row>
    <row r="792" spans="1:2">
      <c r="A792" s="216" t="s">
        <v>2992</v>
      </c>
      <c r="B792" s="187">
        <v>328</v>
      </c>
    </row>
    <row r="793" spans="1:2">
      <c r="A793" s="216" t="s">
        <v>3046</v>
      </c>
      <c r="B793" s="187">
        <v>64</v>
      </c>
    </row>
    <row r="794" spans="1:2">
      <c r="A794" s="216" t="s">
        <v>264</v>
      </c>
      <c r="B794" s="187">
        <v>74</v>
      </c>
    </row>
    <row r="795" spans="1:2">
      <c r="A795" s="216" t="s">
        <v>2306</v>
      </c>
      <c r="B795" s="187">
        <v>157</v>
      </c>
    </row>
    <row r="796" spans="1:2">
      <c r="A796" s="216" t="s">
        <v>3048</v>
      </c>
      <c r="B796" s="187">
        <v>189</v>
      </c>
    </row>
    <row r="797" spans="1:2">
      <c r="A797" s="216" t="s">
        <v>3049</v>
      </c>
      <c r="B797" s="187">
        <v>558</v>
      </c>
    </row>
    <row r="798" spans="1:2">
      <c r="A798" s="216" t="s">
        <v>5035</v>
      </c>
      <c r="B798" s="246">
        <v>2962</v>
      </c>
    </row>
    <row r="799" spans="1:2">
      <c r="A799" s="216" t="s">
        <v>5131</v>
      </c>
      <c r="B799" s="187">
        <v>899</v>
      </c>
    </row>
    <row r="800" spans="1:2">
      <c r="A800" s="216" t="s">
        <v>5231</v>
      </c>
      <c r="B800" s="187">
        <v>235</v>
      </c>
    </row>
    <row r="801" spans="1:2">
      <c r="A801" s="216" t="s">
        <v>3109</v>
      </c>
      <c r="B801" s="187">
        <v>732</v>
      </c>
    </row>
    <row r="802" spans="1:2">
      <c r="A802" s="216" t="s">
        <v>3111</v>
      </c>
      <c r="B802" s="246">
        <v>1177</v>
      </c>
    </row>
    <row r="803" spans="1:2">
      <c r="A803" s="216" t="s">
        <v>3113</v>
      </c>
      <c r="B803" s="187">
        <v>430</v>
      </c>
    </row>
    <row r="804" spans="1:2">
      <c r="A804" s="216" t="s">
        <v>975</v>
      </c>
      <c r="B804" s="187">
        <v>175</v>
      </c>
    </row>
    <row r="805" spans="1:2">
      <c r="A805" s="216" t="s">
        <v>2771</v>
      </c>
      <c r="B805" s="187">
        <v>260</v>
      </c>
    </row>
    <row r="806" spans="1:2">
      <c r="A806" s="216" t="s">
        <v>2821</v>
      </c>
      <c r="B806" s="187">
        <v>473</v>
      </c>
    </row>
    <row r="807" spans="1:2">
      <c r="A807" s="216" t="s">
        <v>4589</v>
      </c>
      <c r="B807" s="187">
        <v>201</v>
      </c>
    </row>
    <row r="808" spans="1:2">
      <c r="A808" s="216" t="s">
        <v>2572</v>
      </c>
      <c r="B808" s="246">
        <v>2269</v>
      </c>
    </row>
    <row r="809" spans="1:2">
      <c r="A809" s="216" t="s">
        <v>1507</v>
      </c>
      <c r="B809" s="187">
        <v>529</v>
      </c>
    </row>
    <row r="810" spans="1:2">
      <c r="A810" s="216" t="s">
        <v>2574</v>
      </c>
      <c r="B810" s="187">
        <v>253</v>
      </c>
    </row>
    <row r="811" spans="1:2">
      <c r="A811" s="216" t="s">
        <v>2576</v>
      </c>
      <c r="B811" s="187">
        <v>217</v>
      </c>
    </row>
    <row r="812" spans="1:2">
      <c r="A812" s="216" t="s">
        <v>2578</v>
      </c>
      <c r="B812" s="187">
        <v>394</v>
      </c>
    </row>
    <row r="813" spans="1:2">
      <c r="A813" s="216" t="s">
        <v>158</v>
      </c>
      <c r="B813" s="187">
        <v>782</v>
      </c>
    </row>
    <row r="814" spans="1:2">
      <c r="A814" s="216" t="s">
        <v>5211</v>
      </c>
      <c r="B814" s="187">
        <v>181</v>
      </c>
    </row>
    <row r="815" spans="1:2">
      <c r="A815" s="216" t="s">
        <v>5213</v>
      </c>
      <c r="B815" s="187">
        <v>117</v>
      </c>
    </row>
    <row r="816" spans="1:2">
      <c r="A816" s="216" t="s">
        <v>5215</v>
      </c>
      <c r="B816" s="187">
        <v>401</v>
      </c>
    </row>
    <row r="817" spans="1:2">
      <c r="A817" s="216" t="s">
        <v>5217</v>
      </c>
      <c r="B817" s="187">
        <v>106</v>
      </c>
    </row>
    <row r="818" spans="1:2">
      <c r="A818" s="216" t="s">
        <v>5219</v>
      </c>
      <c r="B818" s="187">
        <v>44</v>
      </c>
    </row>
    <row r="819" spans="1:2">
      <c r="A819" s="216" t="s">
        <v>2125</v>
      </c>
      <c r="B819" s="187">
        <v>108</v>
      </c>
    </row>
    <row r="820" spans="1:2">
      <c r="A820" s="216" t="s">
        <v>870</v>
      </c>
      <c r="B820" s="187">
        <v>77</v>
      </c>
    </row>
    <row r="821" spans="1:2">
      <c r="A821" s="216" t="s">
        <v>5615</v>
      </c>
      <c r="B821" s="187">
        <v>428</v>
      </c>
    </row>
    <row r="822" spans="1:2">
      <c r="A822" s="216" t="s">
        <v>4590</v>
      </c>
      <c r="B822" s="187">
        <v>141</v>
      </c>
    </row>
    <row r="823" spans="1:2">
      <c r="A823" s="216" t="s">
        <v>860</v>
      </c>
      <c r="B823" s="187">
        <v>351</v>
      </c>
    </row>
    <row r="824" spans="1:2">
      <c r="A824" s="216" t="s">
        <v>4591</v>
      </c>
      <c r="B824" s="187">
        <v>21</v>
      </c>
    </row>
    <row r="825" spans="1:2">
      <c r="A825" s="216" t="s">
        <v>5617</v>
      </c>
      <c r="B825" s="187">
        <v>365</v>
      </c>
    </row>
    <row r="826" spans="1:2">
      <c r="A826" s="216" t="s">
        <v>3150</v>
      </c>
      <c r="B826" s="187">
        <v>117</v>
      </c>
    </row>
    <row r="827" spans="1:2">
      <c r="A827" s="216" t="s">
        <v>3152</v>
      </c>
      <c r="B827" s="187">
        <v>12</v>
      </c>
    </row>
    <row r="828" spans="1:2">
      <c r="A828" s="216" t="s">
        <v>1949</v>
      </c>
      <c r="B828" s="187">
        <v>78</v>
      </c>
    </row>
    <row r="829" spans="1:2">
      <c r="A829" s="216" t="s">
        <v>1951</v>
      </c>
      <c r="B829" s="187">
        <v>22</v>
      </c>
    </row>
    <row r="830" spans="1:2">
      <c r="A830" s="216" t="s">
        <v>3154</v>
      </c>
      <c r="B830" s="187">
        <v>105</v>
      </c>
    </row>
    <row r="831" spans="1:2">
      <c r="A831" s="216" t="s">
        <v>3883</v>
      </c>
      <c r="B831" s="187">
        <v>78</v>
      </c>
    </row>
    <row r="832" spans="1:2">
      <c r="A832" s="216" t="s">
        <v>3156</v>
      </c>
      <c r="B832" s="187">
        <v>101</v>
      </c>
    </row>
    <row r="833" spans="1:2">
      <c r="A833" s="216" t="s">
        <v>3158</v>
      </c>
      <c r="B833" s="187">
        <v>404</v>
      </c>
    </row>
    <row r="834" spans="1:2">
      <c r="A834" s="216" t="s">
        <v>3160</v>
      </c>
      <c r="B834" s="187">
        <v>111</v>
      </c>
    </row>
    <row r="835" spans="1:2">
      <c r="A835" s="216" t="s">
        <v>3162</v>
      </c>
      <c r="B835" s="187">
        <v>285</v>
      </c>
    </row>
    <row r="836" spans="1:2">
      <c r="A836" s="216" t="s">
        <v>569</v>
      </c>
      <c r="B836" s="187">
        <v>272</v>
      </c>
    </row>
    <row r="837" spans="1:2">
      <c r="A837" s="216" t="s">
        <v>571</v>
      </c>
      <c r="B837" s="187">
        <v>416</v>
      </c>
    </row>
    <row r="838" spans="1:2">
      <c r="A838" s="216" t="s">
        <v>3181</v>
      </c>
      <c r="B838" s="187">
        <v>143</v>
      </c>
    </row>
    <row r="839" spans="1:2">
      <c r="A839" s="216" t="s">
        <v>2071</v>
      </c>
      <c r="B839" s="187">
        <v>29</v>
      </c>
    </row>
    <row r="840" spans="1:2">
      <c r="A840" s="216" t="s">
        <v>3183</v>
      </c>
      <c r="B840" s="187">
        <v>99</v>
      </c>
    </row>
    <row r="841" spans="1:2">
      <c r="A841" s="216" t="s">
        <v>924</v>
      </c>
      <c r="B841" s="187">
        <v>27</v>
      </c>
    </row>
    <row r="842" spans="1:2">
      <c r="A842" s="216" t="s">
        <v>6165</v>
      </c>
      <c r="B842" s="187">
        <v>172</v>
      </c>
    </row>
    <row r="843" spans="1:2">
      <c r="A843" s="216" t="s">
        <v>6187</v>
      </c>
      <c r="B843" s="187">
        <v>122</v>
      </c>
    </row>
    <row r="844" spans="1:2">
      <c r="A844" s="216" t="s">
        <v>1837</v>
      </c>
      <c r="B844" s="187">
        <v>217</v>
      </c>
    </row>
    <row r="845" spans="1:2">
      <c r="A845" s="216" t="s">
        <v>3884</v>
      </c>
      <c r="B845" s="187">
        <v>97</v>
      </c>
    </row>
    <row r="846" spans="1:2">
      <c r="A846" s="216" t="s">
        <v>2390</v>
      </c>
      <c r="B846" s="187">
        <v>516</v>
      </c>
    </row>
    <row r="847" spans="1:2">
      <c r="A847" s="216" t="s">
        <v>926</v>
      </c>
      <c r="B847" s="187">
        <v>348</v>
      </c>
    </row>
    <row r="848" spans="1:2">
      <c r="A848" s="216" t="s">
        <v>928</v>
      </c>
      <c r="B848" s="187">
        <v>243</v>
      </c>
    </row>
    <row r="849" spans="1:2">
      <c r="A849" s="216" t="s">
        <v>930</v>
      </c>
      <c r="B849" s="246">
        <v>1309</v>
      </c>
    </row>
    <row r="850" spans="1:2">
      <c r="A850" s="216" t="s">
        <v>932</v>
      </c>
      <c r="B850" s="187">
        <v>155</v>
      </c>
    </row>
    <row r="851" spans="1:2">
      <c r="A851" s="216" t="s">
        <v>934</v>
      </c>
      <c r="B851" s="187">
        <v>711</v>
      </c>
    </row>
    <row r="852" spans="1:2">
      <c r="A852" s="216" t="s">
        <v>936</v>
      </c>
      <c r="B852" s="187">
        <v>121</v>
      </c>
    </row>
    <row r="853" spans="1:2">
      <c r="A853" s="216" t="s">
        <v>5145</v>
      </c>
      <c r="B853" s="187">
        <v>595</v>
      </c>
    </row>
    <row r="854" spans="1:2">
      <c r="A854" s="216" t="s">
        <v>2950</v>
      </c>
      <c r="B854" s="187">
        <v>210</v>
      </c>
    </row>
    <row r="855" spans="1:2">
      <c r="A855" s="216" t="s">
        <v>2952</v>
      </c>
      <c r="B855" s="187">
        <v>207</v>
      </c>
    </row>
    <row r="856" spans="1:2">
      <c r="A856" s="216" t="s">
        <v>2526</v>
      </c>
      <c r="B856" s="187">
        <v>136</v>
      </c>
    </row>
    <row r="857" spans="1:2">
      <c r="A857" s="216" t="s">
        <v>3885</v>
      </c>
      <c r="B857" s="187">
        <v>266</v>
      </c>
    </row>
    <row r="858" spans="1:2">
      <c r="A858" s="216" t="s">
        <v>2528</v>
      </c>
      <c r="B858" s="187">
        <v>62</v>
      </c>
    </row>
    <row r="859" spans="1:2">
      <c r="A859" s="216" t="s">
        <v>2530</v>
      </c>
      <c r="B859" s="187">
        <v>157</v>
      </c>
    </row>
    <row r="860" spans="1:2">
      <c r="A860" s="216" t="s">
        <v>2532</v>
      </c>
      <c r="B860" s="187">
        <v>28</v>
      </c>
    </row>
    <row r="861" spans="1:2">
      <c r="A861" s="216" t="s">
        <v>2316</v>
      </c>
      <c r="B861" s="187">
        <v>237</v>
      </c>
    </row>
    <row r="862" spans="1:2">
      <c r="A862" s="216" t="s">
        <v>5105</v>
      </c>
      <c r="B862" s="187">
        <v>856</v>
      </c>
    </row>
    <row r="863" spans="1:2">
      <c r="A863" s="216" t="s">
        <v>5036</v>
      </c>
      <c r="B863" s="187">
        <v>85</v>
      </c>
    </row>
    <row r="864" spans="1:2">
      <c r="A864" s="216" t="s">
        <v>2430</v>
      </c>
      <c r="B864" s="187">
        <v>82</v>
      </c>
    </row>
    <row r="865" spans="1:2">
      <c r="A865" s="216" t="s">
        <v>2432</v>
      </c>
      <c r="B865" s="187">
        <v>201</v>
      </c>
    </row>
    <row r="866" spans="1:2">
      <c r="A866" s="216" t="s">
        <v>5339</v>
      </c>
      <c r="B866" s="187">
        <v>107</v>
      </c>
    </row>
    <row r="867" spans="1:2">
      <c r="A867" s="216" t="s">
        <v>5341</v>
      </c>
      <c r="B867" s="187">
        <v>207</v>
      </c>
    </row>
    <row r="868" spans="1:2">
      <c r="A868" s="216" t="s">
        <v>858</v>
      </c>
      <c r="B868" s="187">
        <v>79</v>
      </c>
    </row>
    <row r="869" spans="1:2">
      <c r="A869" s="216" t="s">
        <v>5343</v>
      </c>
      <c r="B869" s="187">
        <v>132</v>
      </c>
    </row>
    <row r="870" spans="1:2">
      <c r="A870" s="216" t="s">
        <v>5344</v>
      </c>
      <c r="B870" s="187">
        <v>116</v>
      </c>
    </row>
    <row r="871" spans="1:2">
      <c r="A871" s="216" t="s">
        <v>5346</v>
      </c>
      <c r="B871" s="187">
        <v>208</v>
      </c>
    </row>
    <row r="872" spans="1:2">
      <c r="A872" s="216" t="s">
        <v>2770</v>
      </c>
      <c r="B872" s="187">
        <v>470</v>
      </c>
    </row>
    <row r="873" spans="1:2">
      <c r="A873" s="216" t="s">
        <v>5348</v>
      </c>
      <c r="B873" s="187">
        <v>270</v>
      </c>
    </row>
    <row r="874" spans="1:2">
      <c r="A874" s="216" t="s">
        <v>3886</v>
      </c>
      <c r="B874" s="187">
        <v>490</v>
      </c>
    </row>
    <row r="875" spans="1:2">
      <c r="A875" s="216" t="s">
        <v>5350</v>
      </c>
      <c r="B875" s="187">
        <v>807</v>
      </c>
    </row>
    <row r="876" spans="1:2">
      <c r="A876" s="216" t="s">
        <v>3139</v>
      </c>
      <c r="B876" s="187">
        <v>923</v>
      </c>
    </row>
    <row r="877" spans="1:2">
      <c r="A877" s="216" t="s">
        <v>1530</v>
      </c>
      <c r="B877" s="187">
        <v>833</v>
      </c>
    </row>
    <row r="878" spans="1:2">
      <c r="A878" s="216" t="s">
        <v>1532</v>
      </c>
      <c r="B878" s="246">
        <v>1458</v>
      </c>
    </row>
    <row r="879" spans="1:2">
      <c r="A879" s="216" t="s">
        <v>624</v>
      </c>
      <c r="B879" s="187">
        <v>385</v>
      </c>
    </row>
    <row r="880" spans="1:2">
      <c r="A880" s="216" t="s">
        <v>626</v>
      </c>
      <c r="B880" s="187">
        <v>431</v>
      </c>
    </row>
    <row r="881" spans="1:2">
      <c r="A881" s="216" t="s">
        <v>628</v>
      </c>
      <c r="B881" s="187">
        <v>264</v>
      </c>
    </row>
    <row r="882" spans="1:2">
      <c r="A882" s="216" t="s">
        <v>269</v>
      </c>
      <c r="B882" s="187">
        <v>88</v>
      </c>
    </row>
    <row r="883" spans="1:2">
      <c r="A883" s="216" t="s">
        <v>951</v>
      </c>
      <c r="B883" s="187">
        <v>41</v>
      </c>
    </row>
    <row r="884" spans="1:2">
      <c r="A884" s="216" t="s">
        <v>409</v>
      </c>
      <c r="B884" s="187">
        <v>18</v>
      </c>
    </row>
    <row r="885" spans="1:2">
      <c r="A885" s="216" t="s">
        <v>3996</v>
      </c>
      <c r="B885" s="187">
        <v>209</v>
      </c>
    </row>
    <row r="886" spans="1:2">
      <c r="A886" s="216" t="s">
        <v>3998</v>
      </c>
      <c r="B886" s="187">
        <v>53</v>
      </c>
    </row>
    <row r="887" spans="1:2">
      <c r="A887" s="216" t="s">
        <v>6030</v>
      </c>
      <c r="B887" s="187">
        <v>49</v>
      </c>
    </row>
    <row r="888" spans="1:2">
      <c r="A888" s="216" t="s">
        <v>3002</v>
      </c>
      <c r="B888" s="187">
        <v>95</v>
      </c>
    </row>
    <row r="889" spans="1:2">
      <c r="A889" s="216" t="s">
        <v>2986</v>
      </c>
      <c r="B889" s="187">
        <v>8</v>
      </c>
    </row>
    <row r="890" spans="1:2">
      <c r="A890" s="216" t="s">
        <v>246</v>
      </c>
      <c r="B890" s="187">
        <v>58</v>
      </c>
    </row>
    <row r="891" spans="1:2">
      <c r="A891" s="216" t="s">
        <v>6032</v>
      </c>
      <c r="B891" s="187">
        <v>10</v>
      </c>
    </row>
    <row r="892" spans="1:2">
      <c r="A892" s="216" t="s">
        <v>946</v>
      </c>
      <c r="B892" s="187">
        <v>93</v>
      </c>
    </row>
    <row r="893" spans="1:2">
      <c r="A893" s="216" t="s">
        <v>1875</v>
      </c>
      <c r="B893" s="187">
        <v>46</v>
      </c>
    </row>
    <row r="894" spans="1:2">
      <c r="A894" s="216" t="s">
        <v>6682</v>
      </c>
      <c r="B894" s="187">
        <v>6</v>
      </c>
    </row>
    <row r="895" spans="1:2">
      <c r="A895" s="216" t="s">
        <v>4002</v>
      </c>
      <c r="B895" s="187">
        <v>72</v>
      </c>
    </row>
    <row r="896" spans="1:2">
      <c r="A896" s="216" t="s">
        <v>6681</v>
      </c>
      <c r="B896" s="187">
        <v>21</v>
      </c>
    </row>
    <row r="897" spans="1:2">
      <c r="A897" s="216" t="s">
        <v>857</v>
      </c>
      <c r="B897" s="187">
        <v>24</v>
      </c>
    </row>
    <row r="898" spans="1:2">
      <c r="A898" s="216" t="s">
        <v>4006</v>
      </c>
      <c r="B898" s="187">
        <v>108</v>
      </c>
    </row>
    <row r="899" spans="1:2">
      <c r="A899" s="216" t="s">
        <v>4008</v>
      </c>
      <c r="B899" s="187">
        <v>300</v>
      </c>
    </row>
    <row r="900" spans="1:2">
      <c r="A900" s="216" t="s">
        <v>4010</v>
      </c>
      <c r="B900" s="187">
        <v>144</v>
      </c>
    </row>
    <row r="901" spans="1:2">
      <c r="A901" s="216" t="s">
        <v>4012</v>
      </c>
      <c r="B901" s="187">
        <v>366</v>
      </c>
    </row>
    <row r="902" spans="1:2">
      <c r="A902" s="216" t="s">
        <v>4014</v>
      </c>
      <c r="B902" s="187">
        <v>137</v>
      </c>
    </row>
    <row r="903" spans="1:2">
      <c r="A903" s="216" t="s">
        <v>4015</v>
      </c>
      <c r="B903" s="246">
        <v>2362</v>
      </c>
    </row>
    <row r="904" spans="1:2">
      <c r="A904" s="216" t="s">
        <v>6120</v>
      </c>
      <c r="B904" s="187">
        <v>383</v>
      </c>
    </row>
    <row r="905" spans="1:2">
      <c r="A905" s="216" t="s">
        <v>6679</v>
      </c>
      <c r="B905" s="187">
        <v>157</v>
      </c>
    </row>
    <row r="906" spans="1:2">
      <c r="A906" s="216" t="s">
        <v>6122</v>
      </c>
      <c r="B906" s="187">
        <v>265</v>
      </c>
    </row>
    <row r="907" spans="1:2">
      <c r="A907" s="216" t="s">
        <v>1801</v>
      </c>
      <c r="B907" s="187">
        <v>769</v>
      </c>
    </row>
    <row r="908" spans="1:2">
      <c r="A908" s="216" t="s">
        <v>1803</v>
      </c>
      <c r="B908" s="187">
        <v>174</v>
      </c>
    </row>
    <row r="909" spans="1:2">
      <c r="A909" s="216" t="s">
        <v>1805</v>
      </c>
      <c r="B909" s="187">
        <v>232</v>
      </c>
    </row>
    <row r="910" spans="1:2">
      <c r="A910" s="216" t="s">
        <v>1807</v>
      </c>
      <c r="B910" s="187">
        <v>37</v>
      </c>
    </row>
    <row r="911" spans="1:2">
      <c r="A911" s="216" t="s">
        <v>5037</v>
      </c>
      <c r="B911" s="187">
        <v>48</v>
      </c>
    </row>
    <row r="912" spans="1:2">
      <c r="A912" s="216" t="s">
        <v>1809</v>
      </c>
      <c r="B912" s="187">
        <v>32</v>
      </c>
    </row>
    <row r="913" spans="1:2">
      <c r="A913" s="216" t="s">
        <v>1697</v>
      </c>
      <c r="B913" s="187">
        <v>312</v>
      </c>
    </row>
    <row r="914" spans="1:2">
      <c r="A914" s="216" t="s">
        <v>2385</v>
      </c>
      <c r="B914" s="187">
        <v>207</v>
      </c>
    </row>
    <row r="915" spans="1:2">
      <c r="A915" s="216" t="s">
        <v>1699</v>
      </c>
      <c r="B915" s="187">
        <v>439</v>
      </c>
    </row>
    <row r="916" spans="1:2">
      <c r="A916" s="216" t="s">
        <v>3554</v>
      </c>
      <c r="B916" s="187">
        <v>405</v>
      </c>
    </row>
    <row r="917" spans="1:2">
      <c r="A917" s="216" t="s">
        <v>1857</v>
      </c>
      <c r="B917" s="187">
        <v>168</v>
      </c>
    </row>
    <row r="918" spans="1:2">
      <c r="A918" s="216" t="s">
        <v>7288</v>
      </c>
      <c r="B918" s="187">
        <v>122</v>
      </c>
    </row>
    <row r="919" spans="1:2">
      <c r="A919" s="216" t="s">
        <v>2791</v>
      </c>
      <c r="B919" s="187">
        <v>223</v>
      </c>
    </row>
    <row r="920" spans="1:2">
      <c r="A920" s="216" t="s">
        <v>5124</v>
      </c>
      <c r="B920" s="187">
        <v>90</v>
      </c>
    </row>
    <row r="921" spans="1:2">
      <c r="A921" s="216" t="s">
        <v>2793</v>
      </c>
      <c r="B921" s="187">
        <v>99</v>
      </c>
    </row>
    <row r="922" spans="1:2">
      <c r="A922" s="216" t="s">
        <v>2795</v>
      </c>
      <c r="B922" s="187">
        <v>28</v>
      </c>
    </row>
    <row r="923" spans="1:2">
      <c r="A923" s="216" t="s">
        <v>2052</v>
      </c>
      <c r="B923" s="187">
        <v>162</v>
      </c>
    </row>
    <row r="924" spans="1:2">
      <c r="A924" s="216" t="s">
        <v>2797</v>
      </c>
      <c r="B924" s="187">
        <v>33</v>
      </c>
    </row>
    <row r="925" spans="1:2">
      <c r="A925" s="216" t="s">
        <v>2799</v>
      </c>
      <c r="B925" s="187">
        <v>110</v>
      </c>
    </row>
    <row r="926" spans="1:2">
      <c r="A926" s="216" t="s">
        <v>2801</v>
      </c>
      <c r="B926" s="187">
        <v>386</v>
      </c>
    </row>
    <row r="927" spans="1:2">
      <c r="A927" s="216" t="s">
        <v>2803</v>
      </c>
      <c r="B927" s="187">
        <v>155</v>
      </c>
    </row>
    <row r="928" spans="1:2">
      <c r="A928" s="216" t="s">
        <v>2805</v>
      </c>
      <c r="B928" s="187">
        <v>124</v>
      </c>
    </row>
    <row r="929" spans="1:2">
      <c r="A929" s="216" t="s">
        <v>2806</v>
      </c>
      <c r="B929" s="187">
        <v>116</v>
      </c>
    </row>
    <row r="930" spans="1:2">
      <c r="A930" s="216" t="s">
        <v>232</v>
      </c>
      <c r="B930" s="187">
        <v>200</v>
      </c>
    </row>
    <row r="931" spans="1:2">
      <c r="A931" s="216" t="s">
        <v>3572</v>
      </c>
      <c r="B931" s="187">
        <v>344</v>
      </c>
    </row>
    <row r="932" spans="1:2">
      <c r="A932" s="216" t="s">
        <v>3574</v>
      </c>
      <c r="B932" s="187">
        <v>260</v>
      </c>
    </row>
    <row r="933" spans="1:2">
      <c r="A933" s="216" t="s">
        <v>4072</v>
      </c>
      <c r="B933" s="187">
        <v>110</v>
      </c>
    </row>
    <row r="934" spans="1:2">
      <c r="A934" s="216" t="s">
        <v>735</v>
      </c>
      <c r="B934" s="187">
        <v>166</v>
      </c>
    </row>
    <row r="935" spans="1:2">
      <c r="A935" s="216" t="s">
        <v>3576</v>
      </c>
      <c r="B935" s="187">
        <v>87</v>
      </c>
    </row>
    <row r="936" spans="1:2">
      <c r="A936" s="216" t="s">
        <v>3577</v>
      </c>
      <c r="B936" s="187">
        <v>190</v>
      </c>
    </row>
    <row r="937" spans="1:2">
      <c r="A937" s="216" t="s">
        <v>6190</v>
      </c>
      <c r="B937" s="187">
        <v>78</v>
      </c>
    </row>
    <row r="938" spans="1:2">
      <c r="A938" s="216" t="s">
        <v>3580</v>
      </c>
      <c r="B938" s="187">
        <v>65</v>
      </c>
    </row>
    <row r="939" spans="1:2">
      <c r="A939" s="216" t="s">
        <v>1862</v>
      </c>
      <c r="B939" s="187">
        <v>116</v>
      </c>
    </row>
    <row r="940" spans="1:2">
      <c r="A940" s="216" t="s">
        <v>3582</v>
      </c>
      <c r="B940" s="187">
        <v>55</v>
      </c>
    </row>
    <row r="941" spans="1:2">
      <c r="A941" s="216" t="s">
        <v>3584</v>
      </c>
      <c r="B941" s="187">
        <v>40</v>
      </c>
    </row>
    <row r="942" spans="1:2">
      <c r="A942" s="216" t="s">
        <v>3586</v>
      </c>
      <c r="B942" s="187">
        <v>401</v>
      </c>
    </row>
    <row r="943" spans="1:2">
      <c r="A943" s="216" t="s">
        <v>3588</v>
      </c>
      <c r="B943" s="187">
        <v>838</v>
      </c>
    </row>
    <row r="944" spans="1:2">
      <c r="A944" s="216" t="s">
        <v>6036</v>
      </c>
      <c r="B944" s="187">
        <v>108</v>
      </c>
    </row>
    <row r="945" spans="1:2">
      <c r="A945" s="216" t="s">
        <v>2472</v>
      </c>
      <c r="B945" s="187">
        <v>366</v>
      </c>
    </row>
    <row r="946" spans="1:2">
      <c r="A946" s="216" t="s">
        <v>2418</v>
      </c>
      <c r="B946" s="246">
        <v>1146</v>
      </c>
    </row>
    <row r="947" spans="1:2">
      <c r="A947" s="216" t="s">
        <v>3590</v>
      </c>
      <c r="B947" s="187">
        <v>362</v>
      </c>
    </row>
    <row r="948" spans="1:2">
      <c r="A948" s="216" t="s">
        <v>2389</v>
      </c>
      <c r="B948" s="187">
        <v>926</v>
      </c>
    </row>
    <row r="949" spans="1:2">
      <c r="A949" s="216" t="s">
        <v>3594</v>
      </c>
      <c r="B949" s="246">
        <v>2306</v>
      </c>
    </row>
    <row r="950" spans="1:2">
      <c r="A950" s="216" t="s">
        <v>6241</v>
      </c>
      <c r="B950" s="187">
        <v>161</v>
      </c>
    </row>
    <row r="951" spans="1:2">
      <c r="A951" s="216" t="s">
        <v>6243</v>
      </c>
      <c r="B951" s="187">
        <v>74</v>
      </c>
    </row>
    <row r="952" spans="1:2">
      <c r="A952" s="216" t="s">
        <v>1832</v>
      </c>
      <c r="B952" s="187">
        <v>104</v>
      </c>
    </row>
    <row r="953" spans="1:2">
      <c r="A953" s="216" t="s">
        <v>6164</v>
      </c>
      <c r="B953" s="187">
        <v>69</v>
      </c>
    </row>
    <row r="954" spans="1:2">
      <c r="A954" s="216" t="s">
        <v>6244</v>
      </c>
      <c r="B954" s="187">
        <v>225</v>
      </c>
    </row>
    <row r="955" spans="1:2">
      <c r="A955" s="216" t="s">
        <v>6246</v>
      </c>
      <c r="B955" s="187">
        <v>225</v>
      </c>
    </row>
    <row r="956" spans="1:2">
      <c r="A956" s="216" t="s">
        <v>1313</v>
      </c>
      <c r="B956" s="187">
        <v>29</v>
      </c>
    </row>
    <row r="957" spans="1:2">
      <c r="A957" s="216" t="s">
        <v>955</v>
      </c>
      <c r="B957" s="187">
        <v>107</v>
      </c>
    </row>
    <row r="958" spans="1:2">
      <c r="A958" s="216" t="s">
        <v>3552</v>
      </c>
      <c r="B958" s="187">
        <v>607</v>
      </c>
    </row>
    <row r="959" spans="1:2">
      <c r="A959" s="216" t="s">
        <v>6248</v>
      </c>
      <c r="B959" s="187">
        <v>51</v>
      </c>
    </row>
    <row r="960" spans="1:2">
      <c r="A960" s="216" t="s">
        <v>6182</v>
      </c>
      <c r="B960" s="187">
        <v>102</v>
      </c>
    </row>
    <row r="961" spans="1:2">
      <c r="A961" s="216" t="s">
        <v>6250</v>
      </c>
      <c r="B961" s="187">
        <v>598</v>
      </c>
    </row>
    <row r="962" spans="1:2">
      <c r="A962" s="216" t="s">
        <v>5038</v>
      </c>
      <c r="B962" s="187">
        <v>139</v>
      </c>
    </row>
    <row r="963" spans="1:2">
      <c r="A963" s="216" t="s">
        <v>5039</v>
      </c>
      <c r="B963" s="187">
        <v>321</v>
      </c>
    </row>
    <row r="964" spans="1:2">
      <c r="A964" s="216" t="s">
        <v>2082</v>
      </c>
      <c r="B964" s="187">
        <v>157</v>
      </c>
    </row>
    <row r="965" spans="1:2">
      <c r="A965" s="216" t="s">
        <v>2084</v>
      </c>
      <c r="B965" s="187">
        <v>502</v>
      </c>
    </row>
    <row r="966" spans="1:2">
      <c r="A966" s="216" t="s">
        <v>2086</v>
      </c>
      <c r="B966" s="187">
        <v>186</v>
      </c>
    </row>
    <row r="967" spans="1:2">
      <c r="A967" s="216" t="s">
        <v>2088</v>
      </c>
      <c r="B967" s="187">
        <v>462</v>
      </c>
    </row>
    <row r="968" spans="1:2">
      <c r="A968" s="216" t="s">
        <v>2090</v>
      </c>
      <c r="B968" s="187">
        <v>162</v>
      </c>
    </row>
    <row r="969" spans="1:2">
      <c r="A969" s="216" t="s">
        <v>2987</v>
      </c>
      <c r="B969" s="187">
        <v>17</v>
      </c>
    </row>
    <row r="970" spans="1:2">
      <c r="A970" s="216" t="s">
        <v>2094</v>
      </c>
      <c r="B970" s="187">
        <v>106</v>
      </c>
    </row>
    <row r="971" spans="1:2">
      <c r="A971" s="216" t="s">
        <v>2417</v>
      </c>
      <c r="B971" s="246">
        <v>2455</v>
      </c>
    </row>
    <row r="972" spans="1:2">
      <c r="A972" s="216" t="s">
        <v>78</v>
      </c>
      <c r="B972" s="187">
        <v>797</v>
      </c>
    </row>
    <row r="973" spans="1:2">
      <c r="A973" s="216" t="s">
        <v>80</v>
      </c>
      <c r="B973" s="187">
        <v>147</v>
      </c>
    </row>
    <row r="974" spans="1:2">
      <c r="A974" s="216" t="s">
        <v>82</v>
      </c>
      <c r="B974" s="187">
        <v>178</v>
      </c>
    </row>
    <row r="975" spans="1:2">
      <c r="A975" s="216" t="s">
        <v>84</v>
      </c>
      <c r="B975" s="187">
        <v>442</v>
      </c>
    </row>
    <row r="976" spans="1:2">
      <c r="A976" s="216" t="s">
        <v>86</v>
      </c>
      <c r="B976" s="187">
        <v>186</v>
      </c>
    </row>
    <row r="977" spans="1:2">
      <c r="A977" s="216" t="s">
        <v>88</v>
      </c>
      <c r="B977" s="187">
        <v>173</v>
      </c>
    </row>
    <row r="978" spans="1:2">
      <c r="A978" s="216" t="s">
        <v>90</v>
      </c>
      <c r="B978" s="187">
        <v>313</v>
      </c>
    </row>
    <row r="979" spans="1:2">
      <c r="A979" s="216" t="s">
        <v>92</v>
      </c>
      <c r="B979" s="187">
        <v>182</v>
      </c>
    </row>
    <row r="980" spans="1:2">
      <c r="A980" s="216" t="s">
        <v>2332</v>
      </c>
      <c r="B980" s="187">
        <v>134</v>
      </c>
    </row>
    <row r="981" spans="1:2">
      <c r="A981" s="216" t="s">
        <v>2334</v>
      </c>
      <c r="B981" s="187">
        <v>503</v>
      </c>
    </row>
    <row r="982" spans="1:2">
      <c r="A982" s="216" t="s">
        <v>962</v>
      </c>
      <c r="B982" s="187">
        <v>167</v>
      </c>
    </row>
    <row r="983" spans="1:2">
      <c r="A983" s="216" t="s">
        <v>2336</v>
      </c>
      <c r="B983" s="187">
        <v>201</v>
      </c>
    </row>
    <row r="984" spans="1:2">
      <c r="A984" s="216" t="s">
        <v>2338</v>
      </c>
      <c r="B984" s="187">
        <v>172</v>
      </c>
    </row>
    <row r="985" spans="1:2">
      <c r="A985" s="216" t="s">
        <v>2340</v>
      </c>
      <c r="B985" s="187">
        <v>83</v>
      </c>
    </row>
    <row r="986" spans="1:2">
      <c r="A986" s="216" t="s">
        <v>738</v>
      </c>
      <c r="B986" s="187">
        <v>15</v>
      </c>
    </row>
    <row r="987" spans="1:2">
      <c r="A987" s="216" t="s">
        <v>3219</v>
      </c>
      <c r="B987" s="187">
        <v>202</v>
      </c>
    </row>
    <row r="988" spans="1:2">
      <c r="A988" s="216" t="s">
        <v>608</v>
      </c>
      <c r="B988" s="187">
        <v>555</v>
      </c>
    </row>
    <row r="989" spans="1:2">
      <c r="A989" s="216" t="s">
        <v>610</v>
      </c>
      <c r="B989" s="187">
        <v>87</v>
      </c>
    </row>
    <row r="990" spans="1:2">
      <c r="A990" s="216" t="s">
        <v>6145</v>
      </c>
      <c r="B990" s="187">
        <v>66</v>
      </c>
    </row>
    <row r="991" spans="1:2">
      <c r="A991" s="216" t="s">
        <v>2998</v>
      </c>
      <c r="B991" s="187">
        <v>391</v>
      </c>
    </row>
    <row r="992" spans="1:2">
      <c r="A992" s="216" t="s">
        <v>2766</v>
      </c>
      <c r="B992" s="187">
        <v>127</v>
      </c>
    </row>
    <row r="993" spans="1:2">
      <c r="A993" s="216" t="s">
        <v>5040</v>
      </c>
      <c r="B993" s="187">
        <v>329</v>
      </c>
    </row>
    <row r="994" spans="1:2">
      <c r="A994" s="216" t="s">
        <v>1307</v>
      </c>
      <c r="B994" s="187">
        <v>141</v>
      </c>
    </row>
    <row r="995" spans="1:2">
      <c r="A995" s="216" t="s">
        <v>1319</v>
      </c>
      <c r="B995" s="187">
        <v>184</v>
      </c>
    </row>
    <row r="996" spans="1:2">
      <c r="A996" s="216" t="s">
        <v>1856</v>
      </c>
      <c r="B996" s="187">
        <v>104</v>
      </c>
    </row>
    <row r="997" spans="1:2">
      <c r="A997" s="216" t="s">
        <v>6020</v>
      </c>
      <c r="B997" s="187">
        <v>70</v>
      </c>
    </row>
    <row r="998" spans="1:2">
      <c r="A998" s="216" t="s">
        <v>611</v>
      </c>
      <c r="B998" s="187">
        <v>85</v>
      </c>
    </row>
    <row r="999" spans="1:2">
      <c r="A999" s="216" t="s">
        <v>2990</v>
      </c>
      <c r="B999" s="187">
        <v>110</v>
      </c>
    </row>
    <row r="1000" spans="1:2">
      <c r="A1000" s="216" t="s">
        <v>2382</v>
      </c>
      <c r="B1000" s="187">
        <v>110</v>
      </c>
    </row>
    <row r="1001" spans="1:2">
      <c r="A1001" s="216" t="s">
        <v>2473</v>
      </c>
      <c r="B1001" s="187">
        <v>77</v>
      </c>
    </row>
    <row r="1002" spans="1:2">
      <c r="A1002" s="216" t="s">
        <v>2412</v>
      </c>
      <c r="B1002" s="187">
        <v>149</v>
      </c>
    </row>
    <row r="1003" spans="1:2">
      <c r="A1003" s="216" t="s">
        <v>2988</v>
      </c>
      <c r="B1003" s="187">
        <v>198</v>
      </c>
    </row>
    <row r="1004" spans="1:2">
      <c r="A1004" s="216" t="s">
        <v>613</v>
      </c>
      <c r="B1004" s="187">
        <v>50</v>
      </c>
    </row>
    <row r="1005" spans="1:2">
      <c r="A1005" s="216" t="s">
        <v>5041</v>
      </c>
      <c r="B1005" s="187">
        <v>289</v>
      </c>
    </row>
    <row r="1006" spans="1:2">
      <c r="A1006" s="216" t="s">
        <v>6039</v>
      </c>
      <c r="B1006" s="187">
        <v>99</v>
      </c>
    </row>
    <row r="1007" spans="1:2">
      <c r="A1007" s="216" t="s">
        <v>5043</v>
      </c>
      <c r="B1007" s="187">
        <v>215</v>
      </c>
    </row>
    <row r="1008" spans="1:2">
      <c r="A1008" s="216" t="s">
        <v>2409</v>
      </c>
      <c r="B1008" s="187">
        <v>184</v>
      </c>
    </row>
    <row r="1009" spans="1:2">
      <c r="A1009" s="216" t="s">
        <v>615</v>
      </c>
      <c r="B1009" s="187">
        <v>400</v>
      </c>
    </row>
    <row r="1010" spans="1:2">
      <c r="A1010" s="216" t="s">
        <v>617</v>
      </c>
      <c r="B1010" s="246">
        <v>1118</v>
      </c>
    </row>
    <row r="1011" spans="1:2">
      <c r="A1011" s="216" t="s">
        <v>3889</v>
      </c>
      <c r="B1011" s="187">
        <v>111</v>
      </c>
    </row>
    <row r="1012" spans="1:2">
      <c r="A1012" s="216" t="s">
        <v>619</v>
      </c>
      <c r="B1012" s="187">
        <v>65</v>
      </c>
    </row>
    <row r="1013" spans="1:2">
      <c r="A1013" s="216" t="s">
        <v>1328</v>
      </c>
      <c r="B1013" s="187">
        <v>141</v>
      </c>
    </row>
    <row r="1014" spans="1:2">
      <c r="A1014" s="216" t="s">
        <v>6708</v>
      </c>
      <c r="B1014" s="187">
        <v>115</v>
      </c>
    </row>
    <row r="1015" spans="1:2">
      <c r="A1015" s="216" t="s">
        <v>6710</v>
      </c>
      <c r="B1015" s="187">
        <v>218</v>
      </c>
    </row>
    <row r="1016" spans="1:2">
      <c r="A1016" s="216" t="s">
        <v>6192</v>
      </c>
      <c r="B1016" s="187">
        <v>72</v>
      </c>
    </row>
    <row r="1017" spans="1:2">
      <c r="A1017" s="216" t="s">
        <v>2400</v>
      </c>
      <c r="B1017" s="187">
        <v>122</v>
      </c>
    </row>
    <row r="1018" spans="1:2">
      <c r="A1018" s="216" t="s">
        <v>6712</v>
      </c>
      <c r="B1018" s="187">
        <v>98</v>
      </c>
    </row>
    <row r="1019" spans="1:2">
      <c r="A1019" s="216" t="s">
        <v>6714</v>
      </c>
      <c r="B1019" s="187">
        <v>90</v>
      </c>
    </row>
    <row r="1020" spans="1:2">
      <c r="A1020" s="216" t="s">
        <v>6716</v>
      </c>
      <c r="B1020" s="187">
        <v>149</v>
      </c>
    </row>
    <row r="1021" spans="1:2">
      <c r="A1021" s="216" t="s">
        <v>6718</v>
      </c>
      <c r="B1021" s="187">
        <v>74</v>
      </c>
    </row>
    <row r="1022" spans="1:2">
      <c r="A1022" s="216" t="s">
        <v>2443</v>
      </c>
      <c r="B1022" s="187">
        <v>93</v>
      </c>
    </row>
    <row r="1023" spans="1:2">
      <c r="A1023" s="216" t="s">
        <v>2445</v>
      </c>
      <c r="B1023" s="187">
        <v>173</v>
      </c>
    </row>
    <row r="1024" spans="1:2">
      <c r="A1024" s="216" t="s">
        <v>2447</v>
      </c>
      <c r="B1024" s="187">
        <v>157</v>
      </c>
    </row>
    <row r="1025" spans="1:2">
      <c r="A1025" s="216" t="s">
        <v>905</v>
      </c>
      <c r="B1025" s="187">
        <v>598</v>
      </c>
    </row>
    <row r="1026" spans="1:2">
      <c r="A1026" s="216" t="s">
        <v>1854</v>
      </c>
      <c r="B1026" s="187">
        <v>544</v>
      </c>
    </row>
    <row r="1027" spans="1:2">
      <c r="A1027" s="216" t="s">
        <v>907</v>
      </c>
      <c r="B1027" s="187">
        <v>219</v>
      </c>
    </row>
    <row r="1028" spans="1:2">
      <c r="A1028" s="216" t="s">
        <v>6146</v>
      </c>
      <c r="B1028" s="187">
        <v>201</v>
      </c>
    </row>
    <row r="1029" spans="1:2">
      <c r="A1029" s="216" t="s">
        <v>909</v>
      </c>
      <c r="B1029" s="246">
        <v>1061</v>
      </c>
    </row>
    <row r="1030" spans="1:2">
      <c r="A1030" s="216" t="s">
        <v>247</v>
      </c>
      <c r="B1030" s="187">
        <v>656</v>
      </c>
    </row>
    <row r="1031" spans="1:2">
      <c r="A1031" s="216" t="s">
        <v>1527</v>
      </c>
      <c r="B1031" s="187">
        <v>307</v>
      </c>
    </row>
  </sheetData>
  <phoneticPr fontId="33" type="noConversion"/>
  <pageMargins left="0.75" right="0.75" top="1" bottom="1" header="0.5" footer="0.5"/>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1"/>
  <dimension ref="A1:G37"/>
  <sheetViews>
    <sheetView workbookViewId="0">
      <selection activeCell="D24" sqref="D24"/>
    </sheetView>
  </sheetViews>
  <sheetFormatPr defaultRowHeight="13.2"/>
  <cols>
    <col min="1" max="1" width="3.77734375" customWidth="1"/>
    <col min="2" max="2" width="18" customWidth="1"/>
    <col min="3" max="3" width="16.21875" customWidth="1"/>
    <col min="4" max="4" width="17.21875" customWidth="1"/>
    <col min="5" max="5" width="3.5546875" customWidth="1"/>
    <col min="6" max="6" width="29.77734375" customWidth="1"/>
    <col min="7" max="7" width="15.44140625" customWidth="1"/>
  </cols>
  <sheetData>
    <row r="1" spans="1:7">
      <c r="A1" s="27" t="s">
        <v>6151</v>
      </c>
      <c r="C1" s="18"/>
      <c r="D1" s="18"/>
      <c r="G1" s="107" t="s">
        <v>1194</v>
      </c>
    </row>
    <row r="2" spans="1:7">
      <c r="A2" s="27" t="s">
        <v>6152</v>
      </c>
      <c r="C2" s="18" t="str">
        <f>'Data Entry - SOF'!B2</f>
        <v>000-000</v>
      </c>
      <c r="D2" s="131" t="s">
        <v>1364</v>
      </c>
      <c r="G2" s="107" t="str">
        <f>'Data Entry - SOF'!H2</f>
        <v>Release 09-10; Revised 10/18/11</v>
      </c>
    </row>
    <row r="3" spans="1:7">
      <c r="A3" s="27" t="s">
        <v>6154</v>
      </c>
      <c r="C3" s="95">
        <f ca="1">NOW()</f>
        <v>45352.58606238426</v>
      </c>
      <c r="G3" s="106">
        <f>'Data Entry - SOF'!H3</f>
        <v>0</v>
      </c>
    </row>
    <row r="4" spans="1:7">
      <c r="D4" s="87" t="s">
        <v>4080</v>
      </c>
    </row>
    <row r="5" spans="1:7">
      <c r="D5" s="87" t="s">
        <v>1694</v>
      </c>
    </row>
    <row r="6" spans="1:7">
      <c r="A6" t="s">
        <v>2362</v>
      </c>
    </row>
    <row r="7" spans="1:7">
      <c r="A7" t="s">
        <v>7125</v>
      </c>
    </row>
    <row r="8" spans="1:7">
      <c r="A8" s="184" t="s">
        <v>1196</v>
      </c>
      <c r="B8" s="67"/>
      <c r="C8" s="185"/>
      <c r="D8" s="67"/>
      <c r="E8" s="67"/>
      <c r="F8" s="67"/>
      <c r="G8" s="68"/>
    </row>
    <row r="9" spans="1:7">
      <c r="A9" t="s">
        <v>1992</v>
      </c>
    </row>
    <row r="10" spans="1:7" ht="13.8" thickBot="1">
      <c r="A10" s="17" t="s">
        <v>2553</v>
      </c>
      <c r="B10" s="17"/>
      <c r="C10" s="17"/>
      <c r="D10" s="17"/>
      <c r="E10" s="17"/>
      <c r="F10" s="17"/>
      <c r="G10" s="17"/>
    </row>
    <row r="11" spans="1:7" ht="13.8" thickTop="1">
      <c r="A11" s="27" t="s">
        <v>6153</v>
      </c>
      <c r="C11" s="27"/>
      <c r="D11" s="27"/>
      <c r="E11" s="27"/>
      <c r="F11" s="27"/>
      <c r="G11" s="27"/>
    </row>
    <row r="12" spans="1:7">
      <c r="A12" s="28" t="s">
        <v>5014</v>
      </c>
      <c r="B12" s="16"/>
      <c r="C12" s="27" t="s">
        <v>4592</v>
      </c>
    </row>
    <row r="13" spans="1:7">
      <c r="C13" s="20"/>
    </row>
    <row r="14" spans="1:7">
      <c r="B14" s="66"/>
      <c r="C14" s="89" t="s">
        <v>470</v>
      </c>
      <c r="D14" s="67"/>
      <c r="E14" s="67"/>
      <c r="F14" s="88"/>
    </row>
    <row r="15" spans="1:7">
      <c r="B15" t="s">
        <v>1494</v>
      </c>
      <c r="C15" s="21"/>
      <c r="D15" s="425" t="e">
        <f>VLOOKUP(C2,'0405Data'!A5:F1038,4,FALSE)</f>
        <v>#N/A</v>
      </c>
      <c r="E15" s="42"/>
      <c r="F15" s="41"/>
    </row>
    <row r="16" spans="1:7">
      <c r="B16" t="s">
        <v>2079</v>
      </c>
      <c r="C16" s="21"/>
      <c r="D16" s="425" t="e">
        <f>VLOOKUP(C2,'0405Data'!A5:F1038,5,FALSE)</f>
        <v>#N/A</v>
      </c>
      <c r="F16" s="42" t="s">
        <v>483</v>
      </c>
      <c r="G16" s="104" t="e">
        <f>VLOOKUP(C2,Healthdata!A1:D1095,3,FALSE)</f>
        <v>#N/A</v>
      </c>
    </row>
    <row r="17" spans="2:7">
      <c r="B17" t="s">
        <v>1495</v>
      </c>
      <c r="D17" s="255" t="e">
        <f>VLOOKUP(C2,'staff-ada'!A1:W1039,23,FALSE)</f>
        <v>#N/A</v>
      </c>
      <c r="F17" s="42" t="s">
        <v>3526</v>
      </c>
      <c r="G17" s="104" t="e">
        <f>VLOOKUP(C2,Healthdata!A1:D1095,4,FALSE)</f>
        <v>#N/A</v>
      </c>
    </row>
    <row r="18" spans="2:7">
      <c r="B18" t="s">
        <v>1496</v>
      </c>
      <c r="D18" s="255" t="e">
        <f>VLOOKUP(C2,'staff-ada'!A1:W1039,19,FALSE)</f>
        <v>#N/A</v>
      </c>
      <c r="F18" s="42" t="s">
        <v>2975</v>
      </c>
      <c r="G18" s="140">
        <v>0</v>
      </c>
    </row>
    <row r="19" spans="2:7">
      <c r="B19" t="s">
        <v>1499</v>
      </c>
      <c r="D19" s="424" t="e">
        <f>VLOOKUP(C2,'0405Data'!A5:F1038,3,FALSE)</f>
        <v>#N/A</v>
      </c>
      <c r="F19" t="s">
        <v>1534</v>
      </c>
    </row>
    <row r="20" spans="2:7">
      <c r="B20" s="212" t="s">
        <v>2420</v>
      </c>
      <c r="C20" s="212"/>
      <c r="D20" s="104" t="e">
        <f>VLOOKUP(C2,'staff-ada'!A1:M1039,11,FALSE)</f>
        <v>#N/A</v>
      </c>
    </row>
    <row r="21" spans="2:7">
      <c r="B21" t="s">
        <v>76</v>
      </c>
      <c r="D21" s="104" t="e">
        <f>VLOOKUP(C2,'staff-ada'!A1:M1039,12,FALSE)</f>
        <v>#N/A</v>
      </c>
    </row>
    <row r="22" spans="2:7">
      <c r="B22" t="s">
        <v>1497</v>
      </c>
      <c r="D22" s="424" t="e">
        <f>VLOOKUP(C2,'0405Data'!A5:F1038,6,FALSE)</f>
        <v>#N/A</v>
      </c>
      <c r="G22" s="40"/>
    </row>
    <row r="24" spans="2:7">
      <c r="B24" t="s">
        <v>1498</v>
      </c>
      <c r="D24" s="424" t="e">
        <f>VLOOKUP(C2,'0405Data'!A5:G1038,7,FALSE)</f>
        <v>#N/A</v>
      </c>
    </row>
    <row r="35" spans="6:7">
      <c r="F35" t="s">
        <v>1703</v>
      </c>
      <c r="G35" s="424" t="e">
        <f>VLOOKUP(C2,SqMiles!A1:B1031,2,FALSE)</f>
        <v>#N/A</v>
      </c>
    </row>
    <row r="37" spans="6:7">
      <c r="F37" t="s">
        <v>5015</v>
      </c>
      <c r="G37" s="255" t="e">
        <f>VLOOKUP(C2,'staff-ada'!A1:R1039,18,FALSE)</f>
        <v>#N/A</v>
      </c>
    </row>
  </sheetData>
  <sheetProtection sheet="1" objects="1" scenarios="1"/>
  <phoneticPr fontId="0" type="noConversion"/>
  <pageMargins left="0.75" right="0.75" top="1" bottom="1" header="0.5" footer="0.5"/>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2"/>
  <dimension ref="A2:D5"/>
  <sheetViews>
    <sheetView workbookViewId="0">
      <selection activeCell="D5" sqref="D5"/>
    </sheetView>
  </sheetViews>
  <sheetFormatPr defaultRowHeight="13.2"/>
  <sheetData>
    <row r="2" spans="1:4">
      <c r="A2" t="s">
        <v>1967</v>
      </c>
      <c r="B2" s="211" t="str">
        <f>'Data Entry - SOF'!B2</f>
        <v>000-000</v>
      </c>
    </row>
    <row r="5" spans="1:4">
      <c r="A5" t="s">
        <v>1968</v>
      </c>
      <c r="D5" s="10" t="e">
        <f>VLOOKUP(B2,'new CEI'!A1:E1039,5,FALSE)</f>
        <v>#N/A</v>
      </c>
    </row>
  </sheetData>
  <sheetProtection sheet="1" objects="1" scenarios="1"/>
  <phoneticPr fontId="33" type="noConversion"/>
  <pageMargins left="0.75" right="0.75" top="1" bottom="1" header="0.5" footer="0.5"/>
  <headerFooter alignWithMargins="0"/>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9"/>
  <dimension ref="A1:AE207"/>
  <sheetViews>
    <sheetView workbookViewId="0">
      <selection activeCell="E23" sqref="E23"/>
    </sheetView>
  </sheetViews>
  <sheetFormatPr defaultRowHeight="13.2"/>
  <cols>
    <col min="1" max="1" width="10.77734375" bestFit="1" customWidth="1"/>
    <col min="3" max="3" width="13.5546875" customWidth="1"/>
    <col min="4" max="4" width="44.5546875" customWidth="1"/>
    <col min="5" max="5" width="13.77734375" customWidth="1"/>
    <col min="6" max="6" width="15.5546875" customWidth="1"/>
    <col min="7" max="18" width="13.5546875" hidden="1" customWidth="1"/>
    <col min="19" max="19" width="5" customWidth="1"/>
    <col min="20" max="20" width="19.77734375" customWidth="1"/>
    <col min="21" max="21" width="16.21875" customWidth="1"/>
    <col min="22" max="23" width="13.5546875" customWidth="1"/>
    <col min="24" max="31" width="13.5546875" hidden="1" customWidth="1"/>
    <col min="32" max="33" width="0" hidden="1" customWidth="1"/>
  </cols>
  <sheetData>
    <row r="1" spans="1:28">
      <c r="A1" s="27" t="s">
        <v>6151</v>
      </c>
      <c r="C1" s="19" t="e">
        <f>'Data Entry - SOF'!B1</f>
        <v>#N/A</v>
      </c>
      <c r="D1" s="42"/>
      <c r="F1" s="107" t="s">
        <v>1371</v>
      </c>
      <c r="G1" s="107"/>
    </row>
    <row r="2" spans="1:28">
      <c r="A2" s="27" t="s">
        <v>6152</v>
      </c>
      <c r="C2" s="19" t="str">
        <f>'Data Entry - SOF'!B2</f>
        <v>000-000</v>
      </c>
      <c r="F2" s="107" t="str">
        <f>'Data Entry - SOF'!H2</f>
        <v>Release 09-10; Revised 10/18/11</v>
      </c>
      <c r="G2" s="107"/>
    </row>
    <row r="3" spans="1:28">
      <c r="A3" s="27" t="s">
        <v>6154</v>
      </c>
      <c r="C3" s="115">
        <f ca="1">'Data Entry - SOF'!B3</f>
        <v>45352.58606238426</v>
      </c>
      <c r="F3" s="106">
        <f>'Data Entry - SOF'!H3</f>
        <v>0</v>
      </c>
    </row>
    <row r="4" spans="1:28">
      <c r="D4" s="317" t="s">
        <v>633</v>
      </c>
    </row>
    <row r="5" spans="1:28">
      <c r="D5" s="317" t="s">
        <v>5062</v>
      </c>
    </row>
    <row r="7" spans="1:28">
      <c r="D7" s="27" t="s">
        <v>634</v>
      </c>
    </row>
    <row r="8" spans="1:28">
      <c r="B8" s="4"/>
      <c r="D8" s="27" t="s">
        <v>3608</v>
      </c>
      <c r="F8" s="25" t="e">
        <f>'Calc Data'!E10</f>
        <v>#DIV/0!</v>
      </c>
      <c r="G8" s="25"/>
      <c r="J8" s="1"/>
    </row>
    <row r="9" spans="1:28">
      <c r="D9" s="27" t="s">
        <v>635</v>
      </c>
      <c r="F9" s="25">
        <f>'Calc Data'!E11</f>
        <v>0</v>
      </c>
      <c r="G9" s="25"/>
      <c r="J9" s="1"/>
    </row>
    <row r="10" spans="1:28">
      <c r="D10" s="27" t="s">
        <v>636</v>
      </c>
      <c r="F10" s="25" t="e">
        <f>'Data Entry - SOF'!H51</f>
        <v>#DIV/0!</v>
      </c>
      <c r="G10" s="25"/>
    </row>
    <row r="11" spans="1:28">
      <c r="B11" s="27"/>
      <c r="D11" s="27" t="s">
        <v>637</v>
      </c>
      <c r="F11" s="25" t="e">
        <f>'Calc Data'!E14</f>
        <v>#DIV/0!</v>
      </c>
      <c r="G11" s="25"/>
    </row>
    <row r="12" spans="1:28">
      <c r="D12" s="27" t="s">
        <v>638</v>
      </c>
      <c r="F12" s="23" t="e">
        <f>'Data Entry - SOF'!H60</f>
        <v>#N/A</v>
      </c>
      <c r="G12" s="23"/>
    </row>
    <row r="13" spans="1:28">
      <c r="D13" s="27" t="s">
        <v>639</v>
      </c>
      <c r="F13" s="23" t="e">
        <f>'Data Entry - SOF'!H62</f>
        <v>#N/A</v>
      </c>
      <c r="G13" s="23"/>
    </row>
    <row r="14" spans="1:28">
      <c r="D14" s="27" t="s">
        <v>2602</v>
      </c>
      <c r="F14" s="24">
        <f>'Data Entry - SOF'!H80</f>
        <v>0</v>
      </c>
      <c r="G14" s="23"/>
    </row>
    <row r="15" spans="1:28">
      <c r="D15" s="27" t="s">
        <v>521</v>
      </c>
      <c r="F15" s="24" t="e">
        <f>'Calc Data'!E64</f>
        <v>#DIV/0!</v>
      </c>
      <c r="G15" s="24"/>
    </row>
    <row r="16" spans="1:28">
      <c r="D16" s="27" t="s">
        <v>3137</v>
      </c>
      <c r="F16" s="23">
        <f>'Data Entry - SOF'!H70</f>
        <v>0</v>
      </c>
      <c r="G16" s="23"/>
      <c r="T16" s="194" t="s">
        <v>5249</v>
      </c>
      <c r="U16" s="194" t="s">
        <v>5250</v>
      </c>
      <c r="AA16" s="71" t="s">
        <v>1681</v>
      </c>
      <c r="AB16" s="71" t="s">
        <v>1682</v>
      </c>
    </row>
    <row r="17" spans="2:28" ht="13.8" thickBot="1">
      <c r="D17" s="37"/>
      <c r="E17" s="17"/>
      <c r="F17" s="36"/>
      <c r="G17" s="38"/>
      <c r="H17" s="133" t="s">
        <v>5250</v>
      </c>
      <c r="L17" s="133" t="s">
        <v>5249</v>
      </c>
      <c r="T17" t="s">
        <v>668</v>
      </c>
      <c r="U17" t="s">
        <v>2739</v>
      </c>
      <c r="AA17" t="s">
        <v>4558</v>
      </c>
      <c r="AB17" t="s">
        <v>4558</v>
      </c>
    </row>
    <row r="18" spans="2:28" ht="13.8" thickTop="1">
      <c r="B18" s="33" t="s">
        <v>640</v>
      </c>
      <c r="D18" s="27"/>
      <c r="F18" s="27"/>
      <c r="G18" s="27"/>
      <c r="H18" s="135" t="s">
        <v>865</v>
      </c>
      <c r="L18" s="135" t="s">
        <v>865</v>
      </c>
    </row>
    <row r="19" spans="2:28">
      <c r="B19" s="33">
        <v>11</v>
      </c>
      <c r="D19" s="27" t="s">
        <v>641</v>
      </c>
      <c r="E19" s="192" t="e">
        <f>F19</f>
        <v>#N/A</v>
      </c>
      <c r="F19" s="23" t="e">
        <f>ROUND(ROUND('Calc Data'!F29,0)*IF('Calc Data'!F15&gt;'Calc Data'!F14,'Calc Data'!F15,'Calc Data'!F14),0)</f>
        <v>#N/A</v>
      </c>
      <c r="G19" s="23"/>
      <c r="H19" s="79" t="e">
        <f>ROUND(ROUND('Calc Data'!J29,0)*IF('Calc Data'!J15&gt;'Calc Data'!J14,'Calc Data'!J15,'Calc Data'!J14),0)</f>
        <v>#DIV/0!</v>
      </c>
      <c r="L19" s="79" t="e">
        <f>ROUND(ROUND('Calc Data'!J29,0)*IF('Calc Data'!J15&gt;'Calc Data'!J14,'Calc Data'!J15,'Calc Data'!J14),0)</f>
        <v>#DIV/0!</v>
      </c>
      <c r="T19" s="23" t="e">
        <f>ROUND(ROUND('Calc Data'!F29,0)*IF('Calc Data'!F15&gt;'Calc Data'!F14,'Calc Data'!F15,'Calc Data'!F14),0)</f>
        <v>#N/A</v>
      </c>
      <c r="U19" s="23" t="e">
        <f>ROUND(ROUND('Calc Data'!F29,0)*IF('Calc Data'!F15&gt;'Calc Data'!F14,'Calc Data'!F15,'Calc Data'!F14),0)</f>
        <v>#N/A</v>
      </c>
    </row>
    <row r="20" spans="2:28">
      <c r="B20" s="33">
        <v>23</v>
      </c>
      <c r="D20" s="27" t="s">
        <v>4081</v>
      </c>
      <c r="E20" s="192" t="e">
        <f>SUM(F20:F26)</f>
        <v>#N/A</v>
      </c>
      <c r="F20" s="23" t="e">
        <f>ROUND('Calc Data'!F12*ROUND('Calc Data'!F29,0),0)</f>
        <v>#N/A</v>
      </c>
      <c r="G20" s="23"/>
      <c r="H20" s="79" t="e">
        <f>ROUND('Calc Data'!J12*ROUND('Calc Data'!J29,0),0)</f>
        <v>#DIV/0!</v>
      </c>
      <c r="L20" s="79" t="e">
        <f>ROUND('Calc Data'!J12*ROUND('Calc Data'!J29,0),0)</f>
        <v>#DIV/0!</v>
      </c>
      <c r="T20" s="23" t="e">
        <f>ROUND('Calc Data'!F12*ROUND('Calc Data'!F29,0),0)</f>
        <v>#N/A</v>
      </c>
      <c r="U20" s="23" t="e">
        <f>ROUND('Calc Data'!F12*ROUND('Calc Data'!F29,0),0)</f>
        <v>#N/A</v>
      </c>
    </row>
    <row r="21" spans="2:28">
      <c r="B21" s="33"/>
      <c r="D21" s="27" t="s">
        <v>4082</v>
      </c>
      <c r="H21" s="78"/>
      <c r="L21" s="78"/>
    </row>
    <row r="22" spans="2:28">
      <c r="B22" s="33">
        <v>23</v>
      </c>
      <c r="D22" s="27" t="s">
        <v>4083</v>
      </c>
      <c r="F22" s="35" t="e">
        <f>ROUND('Data Entry - SOF'!H50*1.1*ROUND('Calc Data'!F29,0),0)</f>
        <v>#DIV/0!</v>
      </c>
      <c r="G22" s="35"/>
      <c r="H22" s="80" t="e">
        <f>ROUND('Data Entry - SOF'!H50*1.1*ROUND('Calc Data'!J29,0),0)</f>
        <v>#DIV/0!</v>
      </c>
      <c r="L22" s="80" t="e">
        <f>ROUND('Data Entry - SOF'!H50*1.1*ROUND('Calc Data'!J29,0),0)</f>
        <v>#DIV/0!</v>
      </c>
      <c r="T22" s="35" t="e">
        <f>ROUND('Data Entry - SOF'!H50*1.1*ROUND('Calc Data'!F29,0),0)</f>
        <v>#DIV/0!</v>
      </c>
      <c r="U22" s="35" t="e">
        <f>ROUND('Data Entry - SOF'!H50*1.1*ROUND('Calc Data'!F29,0),0)</f>
        <v>#DIV/0!</v>
      </c>
    </row>
    <row r="23" spans="2:28">
      <c r="B23" s="33">
        <v>23</v>
      </c>
      <c r="D23" s="27" t="s">
        <v>4084</v>
      </c>
      <c r="F23" s="23" t="e">
        <f>ROUND((+'Data Entry - SOF'!H48*4)*ROUND('Calc Data'!F29,0),0)</f>
        <v>#N/A</v>
      </c>
      <c r="G23" s="23"/>
      <c r="H23" s="79" t="e">
        <f>ROUND(('Data Entry - SOF'!H48*4)*ROUND('Calc Data'!J29,0),0)</f>
        <v>#DIV/0!</v>
      </c>
      <c r="L23" s="79" t="e">
        <f>ROUND(('Data Entry - SOF'!H48*4)*ROUND('Calc Data'!J29,0),0)</f>
        <v>#DIV/0!</v>
      </c>
      <c r="T23" s="23" t="e">
        <f>ROUND((+'Data Entry - SOF'!H48*4)*ROUND('Calc Data'!F29,0),0)</f>
        <v>#N/A</v>
      </c>
      <c r="U23" s="23" t="e">
        <f>ROUND((+'Data Entry - SOF'!H48*4)*ROUND('Calc Data'!F29,0),0)</f>
        <v>#N/A</v>
      </c>
    </row>
    <row r="24" spans="2:28">
      <c r="B24" s="33">
        <v>23</v>
      </c>
      <c r="D24" s="30" t="s">
        <v>4085</v>
      </c>
      <c r="F24" s="23" t="e">
        <f>ROUND((+'Data Entry - SOF'!H46*2.8)*ROUND('Calc Data'!F29,0),0)</f>
        <v>#N/A</v>
      </c>
      <c r="G24" s="23"/>
      <c r="H24" s="79" t="e">
        <f>ROUND(('Data Entry - SOF'!H46*2.8)*ROUND('Calc Data'!J29,0),0)</f>
        <v>#DIV/0!</v>
      </c>
      <c r="L24" s="79" t="e">
        <f>ROUND(('Data Entry - SOF'!H46*2.8)*ROUND('Calc Data'!J29,0),0)</f>
        <v>#DIV/0!</v>
      </c>
      <c r="T24" s="23" t="e">
        <f>ROUND((+'Data Entry - SOF'!H46*2.8)*ROUND('Calc Data'!F29,0),0)</f>
        <v>#N/A</v>
      </c>
      <c r="U24" s="23" t="e">
        <f>ROUND((+'Data Entry - SOF'!H46*2.8)*ROUND('Calc Data'!F29,0),0)</f>
        <v>#N/A</v>
      </c>
    </row>
    <row r="25" spans="2:28">
      <c r="B25" s="33">
        <v>23</v>
      </c>
      <c r="D25" s="30" t="s">
        <v>1480</v>
      </c>
      <c r="F25" s="23" t="e">
        <f>ROUND(('Data Entry - SOF'!H47*1.7)*ROUND('Calc Data'!F29,0),0)</f>
        <v>#N/A</v>
      </c>
      <c r="G25" s="23"/>
      <c r="H25" s="79" t="e">
        <f>ROUND(('Data Entry - SOF'!H47*1.7)*ROUND('Calc Data'!J29,0),0)</f>
        <v>#DIV/0!</v>
      </c>
      <c r="L25" s="79" t="e">
        <f>ROUND(('Data Entry - SOF'!H47*1.7)*ROUND('Calc Data'!J29,0),0)</f>
        <v>#DIV/0!</v>
      </c>
      <c r="T25" s="23" t="e">
        <f>ROUND(('Data Entry - SOF'!H47*1.7)*ROUND('Calc Data'!F29,0),0)</f>
        <v>#N/A</v>
      </c>
      <c r="U25" s="23" t="e">
        <f>ROUND(('Data Entry - SOF'!H47*1.7)*ROUND('Calc Data'!F29,0),0)</f>
        <v>#N/A</v>
      </c>
    </row>
    <row r="26" spans="2:28">
      <c r="B26" s="33"/>
      <c r="D26" s="27" t="s">
        <v>6148</v>
      </c>
      <c r="F26" s="23" t="e">
        <f>IF('Data Entry - SOF'!H88&lt;0,'Data Entry - SOF'!H88,'Data Entry - SOF'!H88*-1)</f>
        <v>#N/A</v>
      </c>
      <c r="G26" s="23"/>
      <c r="H26" s="79" t="e">
        <f>F26</f>
        <v>#N/A</v>
      </c>
      <c r="L26" s="79" t="e">
        <f>F26</f>
        <v>#N/A</v>
      </c>
      <c r="T26" s="23" t="e">
        <f>IF('Data Entry - SOF'!H88&lt;0,'Data Entry - SOF'!H88,'Data Entry - SOF'!H88*-1)</f>
        <v>#N/A</v>
      </c>
      <c r="U26" s="23" t="e">
        <f>IF('Data Entry - SOF'!H88&lt;0,'Data Entry - SOF'!H88,'Data Entry - SOF'!H88*-1)</f>
        <v>#N/A</v>
      </c>
    </row>
    <row r="27" spans="2:28">
      <c r="B27" s="33">
        <v>22</v>
      </c>
      <c r="C27" s="21"/>
      <c r="D27" s="27" t="s">
        <v>1649</v>
      </c>
      <c r="E27" s="192" t="e">
        <f>F27</f>
        <v>#N/A</v>
      </c>
      <c r="F27" s="23" t="e">
        <f>ROUND(ROUND('Calc Data'!F29,0)*'Data Entry - SOF'!H51*1.35,0)</f>
        <v>#N/A</v>
      </c>
      <c r="G27" s="23"/>
      <c r="H27" s="79" t="e">
        <f>ROUND(ROUND('Calc Data'!J29,0)*'Data Entry - SOF'!H51*1.35,0)</f>
        <v>#DIV/0!</v>
      </c>
      <c r="L27" s="79" t="e">
        <f>ROUND(ROUND('Calc Data'!J29,0)*'Data Entry - SOF'!H51*1.35,0)</f>
        <v>#DIV/0!</v>
      </c>
      <c r="T27" s="23" t="e">
        <f>ROUND(ROUND('Calc Data'!F29,0)*'Data Entry - SOF'!H51*1.35,0)</f>
        <v>#N/A</v>
      </c>
      <c r="U27" s="23" t="e">
        <f>ROUND(ROUND('Calc Data'!F29,0)*'Data Entry - SOF'!H51*1.35,0)</f>
        <v>#N/A</v>
      </c>
    </row>
    <row r="28" spans="2:28">
      <c r="B28" s="33">
        <v>21</v>
      </c>
      <c r="D28" s="27" t="s">
        <v>3988</v>
      </c>
      <c r="E28" s="192" t="e">
        <f>F28+F29</f>
        <v>#N/A</v>
      </c>
      <c r="F28" s="23" t="e">
        <f>ROUND(ROUND('Calc Data'!F29,0)*'Data Entry - SOF'!F267*0.12,0)</f>
        <v>#N/A</v>
      </c>
      <c r="G28" s="23"/>
      <c r="H28" s="79" t="e">
        <f>ROUND(ROUND('Calc Data'!J29,0)*'Data Entry - SOF'!D268*0.12,0)</f>
        <v>#DIV/0!</v>
      </c>
      <c r="L28" s="79" t="e">
        <f>ROUND(ROUND('Calc Data'!J29,0)*'Data Entry - SOF'!D268*0.12,0)</f>
        <v>#DIV/0!</v>
      </c>
      <c r="T28" s="23" t="e">
        <f>ROUND(ROUND('Calc Data'!F29,0)*'Data Entry - SOF'!F267*0.12,0)</f>
        <v>#N/A</v>
      </c>
      <c r="U28" s="23" t="e">
        <f>ROUND(ROUND('Calc Data'!F29,0)*'Data Entry - SOF'!F267*0.12,0)</f>
        <v>#N/A</v>
      </c>
    </row>
    <row r="29" spans="2:28">
      <c r="B29" s="33"/>
      <c r="D29" s="27" t="s">
        <v>4978</v>
      </c>
      <c r="E29" s="136"/>
      <c r="F29" s="23" t="e">
        <f>IF('Data Entry - SOF'!H86&lt;0,'Data Entry - SOF'!H86,'Data Entry - SOF'!H86*-1)</f>
        <v>#N/A</v>
      </c>
      <c r="G29" s="23"/>
      <c r="H29" s="79" t="e">
        <f>F29</f>
        <v>#N/A</v>
      </c>
      <c r="L29" s="79" t="e">
        <f>H29</f>
        <v>#N/A</v>
      </c>
      <c r="T29" s="23" t="e">
        <f>IF('Data Entry - SOF'!H86&lt;0,'Data Entry - SOF'!H86,'Data Entry - SOF'!H86*-1)</f>
        <v>#N/A</v>
      </c>
      <c r="U29" s="23" t="e">
        <f>IF('Data Entry - SOF'!H86&lt;0,'Data Entry - SOF'!H86,'Data Entry - SOF'!H86*-1)</f>
        <v>#N/A</v>
      </c>
    </row>
    <row r="30" spans="2:28">
      <c r="B30" s="33" t="s">
        <v>2363</v>
      </c>
      <c r="D30" s="27" t="s">
        <v>4979</v>
      </c>
      <c r="E30" s="192" t="e">
        <f>F30+F31+F32</f>
        <v>#N/A</v>
      </c>
      <c r="F30" s="23" t="e">
        <f>ROUND(ROUND('Calc Data'!F29,0)*'Data Entry - SOF'!H52*0.2,0)</f>
        <v>#N/A</v>
      </c>
      <c r="G30" s="23"/>
      <c r="H30" s="79" t="e">
        <f>ROUND(ROUND('Calc Data'!J29,0)*'Data Entry - SOF'!H52*0.2,0)</f>
        <v>#DIV/0!</v>
      </c>
      <c r="L30" s="79" t="e">
        <f>ROUND(ROUND('Calc Data'!J29,0)*'Data Entry - SOF'!H52*0.2,0)</f>
        <v>#DIV/0!</v>
      </c>
      <c r="T30" s="23" t="e">
        <f>ROUND(ROUND('Calc Data'!F29,0)*'Data Entry - SOF'!H52*0.2,0)</f>
        <v>#N/A</v>
      </c>
      <c r="U30" s="23" t="e">
        <f>ROUND(ROUND('Calc Data'!F29,0)*'Data Entry - SOF'!H52*0.2,0)</f>
        <v>#N/A</v>
      </c>
    </row>
    <row r="31" spans="2:28">
      <c r="B31" s="33" t="s">
        <v>2363</v>
      </c>
      <c r="D31" s="27" t="s">
        <v>4980</v>
      </c>
      <c r="E31" s="136"/>
      <c r="F31" s="23" t="e">
        <f>ROUND(ROUND('Calc Data'!F29,0)*'Data Entry - SOF'!H53*2.41,0)</f>
        <v>#N/A</v>
      </c>
      <c r="G31" s="23"/>
      <c r="H31" s="79" t="e">
        <f>ROUND(ROUND('Calc Data'!J29,0)*'Data Entry - SOF'!H53*2.41,0)</f>
        <v>#DIV/0!</v>
      </c>
      <c r="L31" s="79" t="e">
        <f>ROUND(ROUND('Calc Data'!J29,0)*'Data Entry - SOF'!H53*2.41,0)</f>
        <v>#DIV/0!</v>
      </c>
      <c r="T31" s="23" t="e">
        <f>ROUND(ROUND('Calc Data'!F29,0)*'Data Entry - SOF'!H53*2.41,0)</f>
        <v>#N/A</v>
      </c>
      <c r="U31" s="23" t="e">
        <f>ROUND(ROUND('Calc Data'!F29,0)*'Data Entry - SOF'!H53*2.41,0)</f>
        <v>#N/A</v>
      </c>
    </row>
    <row r="32" spans="2:28">
      <c r="B32" s="33"/>
      <c r="D32" s="27" t="s">
        <v>7718</v>
      </c>
      <c r="E32" s="136"/>
      <c r="F32" s="23" t="e">
        <f>IF('Data Entry - SOF'!H87&lt;0,'Data Entry - SOF'!H87,'Data Entry - SOF'!H87*-1)</f>
        <v>#N/A</v>
      </c>
      <c r="G32" s="23"/>
      <c r="H32" s="79" t="e">
        <f>F32</f>
        <v>#N/A</v>
      </c>
      <c r="L32" s="79" t="e">
        <f>H32</f>
        <v>#N/A</v>
      </c>
      <c r="T32" s="23" t="e">
        <f>IF('Data Entry - SOF'!H87&lt;0,'Data Entry - SOF'!H87,'Data Entry - SOF'!H87*-1)</f>
        <v>#N/A</v>
      </c>
      <c r="U32" s="23" t="e">
        <f>IF('Data Entry - SOF'!H87&lt;0,'Data Entry - SOF'!H87,'Data Entry - SOF'!H87*-1)</f>
        <v>#N/A</v>
      </c>
    </row>
    <row r="33" spans="2:28">
      <c r="B33" s="33">
        <v>25</v>
      </c>
      <c r="D33" s="27" t="s">
        <v>4981</v>
      </c>
      <c r="E33" s="192" t="e">
        <f>F33</f>
        <v>#N/A</v>
      </c>
      <c r="F33" s="23" t="e">
        <f>ROUND(ROUND('Calc Data'!F29,0)*('Data Entry - SOF'!H54*0.1),0)</f>
        <v>#N/A</v>
      </c>
      <c r="G33" s="23"/>
      <c r="H33" s="23" t="e">
        <f>ROUND(ROUND('Calc Data'!J29,0)*('Data Entry - SOF'!H54*0.1),0)</f>
        <v>#DIV/0!</v>
      </c>
      <c r="L33" s="23" t="e">
        <f>ROUND(ROUND('Calc Data'!J29,0)*('Data Entry - SOF'!H54*0.1),0)</f>
        <v>#DIV/0!</v>
      </c>
      <c r="T33" s="23" t="e">
        <f>ROUND(ROUND('Calc Data'!F29,0)*('Data Entry - SOF'!H54*0.1),0)</f>
        <v>#N/A</v>
      </c>
      <c r="U33" s="23" t="e">
        <f>ROUND(ROUND('Calc Data'!F29,0)*('Data Entry - SOF'!H54*0.1),0)</f>
        <v>#N/A</v>
      </c>
    </row>
    <row r="34" spans="2:28">
      <c r="B34" s="33"/>
      <c r="D34" s="27" t="s">
        <v>4982</v>
      </c>
      <c r="E34" s="192" t="e">
        <f>F34</f>
        <v>#N/A</v>
      </c>
      <c r="F34" s="23" t="e">
        <f>ROUND(ROUND('Calc Data'!F29,0)*'Data Entry - SOF'!H56*0.1,0)</f>
        <v>#N/A</v>
      </c>
      <c r="G34" s="23"/>
      <c r="H34" s="79" t="e">
        <f>ROUND(ROUND('Calc Data'!J29,0)*'Data Entry - SOF'!H56*0.1,0)</f>
        <v>#DIV/0!</v>
      </c>
      <c r="L34" s="79" t="e">
        <f>ROUND(ROUND('Calc Data'!J29,0)*'Data Entry - SOF'!H56*0.1,0)</f>
        <v>#DIV/0!</v>
      </c>
      <c r="T34" s="23" t="e">
        <f>ROUND(ROUND('Calc Data'!F29,0)*'Data Entry - SOF'!H56*0.1,0)</f>
        <v>#N/A</v>
      </c>
      <c r="U34" s="23" t="e">
        <f>ROUND(ROUND('Calc Data'!F29,0)*'Data Entry - SOF'!H56*0.1,0)</f>
        <v>#N/A</v>
      </c>
    </row>
    <row r="35" spans="2:28">
      <c r="B35" s="33"/>
      <c r="D35" s="27" t="s">
        <v>1705</v>
      </c>
      <c r="E35" s="192">
        <f>F35</f>
        <v>0</v>
      </c>
      <c r="F35" s="23">
        <f>'Data Entry - SOF'!H57*250</f>
        <v>0</v>
      </c>
      <c r="G35" s="23"/>
      <c r="H35" s="23">
        <f>'Data Entry - SOF'!H57*250</f>
        <v>0</v>
      </c>
      <c r="L35" s="23">
        <f>'Data Entry - SOF'!H57*250</f>
        <v>0</v>
      </c>
      <c r="T35" s="23">
        <f>'Data Entry - SOF'!H57*250</f>
        <v>0</v>
      </c>
      <c r="U35" s="23">
        <f>'Data Entry - SOF'!H57*250</f>
        <v>0</v>
      </c>
    </row>
    <row r="36" spans="2:28">
      <c r="B36" s="33">
        <v>99</v>
      </c>
      <c r="D36" s="27" t="s">
        <v>4983</v>
      </c>
      <c r="E36" s="192">
        <f>F36</f>
        <v>0</v>
      </c>
      <c r="F36" s="34">
        <f>'Data Entry - SOF'!H81</f>
        <v>0</v>
      </c>
      <c r="G36" s="34"/>
      <c r="H36" s="81">
        <f>'Data Entry - SOF'!H81</f>
        <v>0</v>
      </c>
      <c r="L36" s="81">
        <f>'Data Entry - SOF'!H81</f>
        <v>0</v>
      </c>
      <c r="T36" s="34">
        <f>'Data Entry - SOF'!H81</f>
        <v>0</v>
      </c>
      <c r="U36" s="34">
        <f>'Data Entry - SOF'!H81</f>
        <v>0</v>
      </c>
      <c r="AA36" s="211"/>
      <c r="AB36" s="211"/>
    </row>
    <row r="37" spans="2:28">
      <c r="D37" s="27"/>
      <c r="F37" s="27"/>
      <c r="G37" s="27"/>
      <c r="H37" s="82"/>
      <c r="L37" s="82"/>
    </row>
    <row r="38" spans="2:28">
      <c r="D38" s="27" t="s">
        <v>2629</v>
      </c>
      <c r="F38" s="23" t="e">
        <f>SUM(F19:F36)</f>
        <v>#N/A</v>
      </c>
      <c r="G38" s="23"/>
      <c r="H38" s="79" t="e">
        <f>SUM(H19:H36)</f>
        <v>#DIV/0!</v>
      </c>
      <c r="L38" s="79" t="e">
        <f>SUM(L19:L36)</f>
        <v>#DIV/0!</v>
      </c>
      <c r="T38" s="23" t="e">
        <f>SUM(T19:T36)</f>
        <v>#N/A</v>
      </c>
      <c r="U38" s="23" t="e">
        <f>SUM(U19:U36)</f>
        <v>#N/A</v>
      </c>
      <c r="AA38" s="23" t="e">
        <f>T38</f>
        <v>#N/A</v>
      </c>
      <c r="AB38" s="118" t="e">
        <f>AA38</f>
        <v>#N/A</v>
      </c>
    </row>
    <row r="39" spans="2:28">
      <c r="D39" s="27" t="s">
        <v>2630</v>
      </c>
      <c r="F39" s="43" t="e">
        <f>IF(AND('Data Entry - SOF'!A243&lt;='Data Entry - SOF'!A242,'Data Entry - SOF'!A243&lt;='Data Entry - SOF'!A241),'Data Entry - SOF'!A243,IF(AND('Data Entry - SOF'!A242&lt;='Data Entry - SOF'!A241,'Data Entry - SOF'!A242&lt;='Data Entry - SOF'!A243),'Data Entry - SOF'!A242,'Data Entry - SOF'!A241))</f>
        <v>#N/A</v>
      </c>
      <c r="G39" s="43"/>
      <c r="H39" s="599" t="e">
        <f>IF(AND('Data Entry - SOF'!J241&lt;='Data Entry - SOF'!J240,'Data Entry - SOF'!J241&lt;='Data Entry - SOF'!J239),'Data Entry - SOF'!J241,IF(AND('Data Entry - SOF'!J240&lt;='Data Entry - SOF'!J239,'Data Entry - SOF'!J240&lt;='Data Entry - SOF'!J241),'Data Entry - SOF'!J240,'Data Entry - SOF'!J239))</f>
        <v>#N/A</v>
      </c>
      <c r="L39" s="599" t="e">
        <f>IF(AND('Data Entry - SOF'!H242&lt;='Data Entry - SOF'!H241,'Data Entry - SOF'!H242&lt;='Data Entry - SOF'!H240),'Data Entry - SOF'!H242,IF(AND('Data Entry - SOF'!H241&lt;='Data Entry - SOF'!H240,'Data Entry - SOF'!H241&lt;='Data Entry - SOF'!H242),'Data Entry - SOF'!H241,'Data Entry - SOF'!H240))</f>
        <v>#N/A</v>
      </c>
      <c r="T39" s="43" t="e">
        <f>IF(AND('Data Entry - SOF'!A243&lt;='Data Entry - SOF'!A242,'Data Entry - SOF'!A243&lt;='Data Entry - SOF'!A241),'Data Entry - SOF'!A243,IF(AND('Data Entry - SOF'!A242&lt;='Data Entry - SOF'!A241,'Data Entry - SOF'!A242&lt;='Data Entry - SOF'!A243),'Data Entry - SOF'!A242,'Data Entry - SOF'!A241))</f>
        <v>#N/A</v>
      </c>
      <c r="U39" s="43" t="e">
        <f>IF(AND('Data Entry - SOF'!L246&lt;='Data Entry - SOF'!L245,'Data Entry - SOF'!L246&lt;='Data Entry - SOF'!L244),'Data Entry - SOF'!L246,IF(AND('Data Entry - SOF'!L245&lt;='Data Entry - SOF'!L244,'Data Entry - SOF'!L245&lt;='Data Entry - SOF'!L246),'Data Entry - SOF'!L245,'Data Entry - SOF'!L244))</f>
        <v>#N/A</v>
      </c>
      <c r="AA39" s="43" t="e">
        <f>IF(AND('Data Entry - SOF'!A247&lt;='Data Entry - SOF'!A246,'Data Entry - SOF'!A247&lt;='Data Entry - SOF'!A245),'Data Entry - SOF'!A247,IF(AND('Data Entry - SOF'!A246&lt;='Data Entry - SOF'!A245,'Data Entry - SOF'!A246&lt;='Data Entry - SOF'!A247),'Data Entry - SOF'!A246,'Data Entry - SOF'!A245))</f>
        <v>#N/A</v>
      </c>
      <c r="AB39" s="43" t="e">
        <f>IF(AND('Data Entry - SOF'!C247&lt;='Data Entry - SOF'!C246,'Data Entry - SOF'!C247&lt;='Data Entry - SOF'!C245),'Data Entry - SOF'!C247,IF(AND('Data Entry - SOF'!C246&lt;='Data Entry - SOF'!C245,'Data Entry - SOF'!C246&lt;='Data Entry - SOF'!C247),'Data Entry - SOF'!C246,'Data Entry - SOF'!C245))</f>
        <v>#N/A</v>
      </c>
    </row>
    <row r="40" spans="2:28">
      <c r="D40" s="27" t="s">
        <v>1948</v>
      </c>
      <c r="F40" s="44" t="e">
        <f>F38-F39</f>
        <v>#N/A</v>
      </c>
      <c r="G40" s="44"/>
      <c r="H40" s="84" t="e">
        <f>H38-H39</f>
        <v>#DIV/0!</v>
      </c>
      <c r="I40" s="90"/>
      <c r="L40" s="84" t="e">
        <f>L38-L39</f>
        <v>#DIV/0!</v>
      </c>
      <c r="T40" s="44" t="e">
        <f>T38-T39</f>
        <v>#N/A</v>
      </c>
      <c r="U40" s="44" t="e">
        <f>U38-U39</f>
        <v>#N/A</v>
      </c>
      <c r="V40" s="5"/>
      <c r="AA40" s="44" t="e">
        <f>AA38-AA39</f>
        <v>#N/A</v>
      </c>
      <c r="AB40" s="44" t="e">
        <f>AB38-AB39</f>
        <v>#N/A</v>
      </c>
    </row>
    <row r="41" spans="2:28">
      <c r="D41" s="27"/>
      <c r="F41" s="44"/>
      <c r="G41" s="44"/>
      <c r="H41" s="84"/>
      <c r="I41" s="90"/>
      <c r="L41" s="84"/>
    </row>
    <row r="42" spans="2:28">
      <c r="D42" s="27" t="s">
        <v>3636</v>
      </c>
      <c r="F42" s="44" t="e">
        <f>ROUND(IF((31.95*'Calc Data'!F31*'Calc Data'!F45*100)&lt;'Calc Data'!F54,0,(31.95*'Calc Data'!F31*'Calc Data'!F45*100)-'Calc Data'!F54),0)</f>
        <v>#N/A</v>
      </c>
      <c r="G42" s="44" t="e">
        <f>ROUND(IF((24.7*'Calc Data'!D31*IF('Calc Data'!D35&gt;=0.64,0.64,'Calc Data'!D35)*100)&lt;'Calc Data'!D36,0,(24.7*'Calc Data'!D31*IF('Calc Data'!D35&gt;=0.64,0.64,'Calc Data'!D35)*100)-'Calc Data'!D36),0)</f>
        <v>#N/A</v>
      </c>
      <c r="H42" s="84" t="e">
        <f>ROUND(IF((23.1*'Calc Data'!F31*'Calc Data'!F34*100)&lt;'Calc Data'!F34*('Data Entry - SOF'!H62/100),0,(23.1*'Calc Data'!F31*'Calc Data'!F34*100)-'Calc Data'!F34*('Data Entry - SOF'!H62/100)),0)</f>
        <v>#N/A</v>
      </c>
      <c r="I42" s="44" t="e">
        <f>ROUND(IF((24.7*'Calc Data'!E31*IF('Calc Data'!I38&gt;=0.64,0.64,'Calc Data'!I38)*100)&lt;'Calc Data'!I39,0,(24.7*'Calc Data'!E31*IF('Calc Data'!I38&gt;=0.64,0.64,'Calc Data'!I38)*100)-'Calc Data'!I39),0)</f>
        <v>#DIV/0!</v>
      </c>
      <c r="K42" s="44"/>
      <c r="L42" s="84" t="e">
        <f>ROUND(IF((23.1*'Calc Data'!F31*'Calc Data'!F34*100)&lt;'Calc Data'!F34*('Data Entry - SOF'!H62/100),0,(23.1*'Calc Data'!F31*'Calc Data'!F34*100)-'Calc Data'!F34*('Data Entry - SOF'!H62/100)),0)</f>
        <v>#N/A</v>
      </c>
      <c r="M42" s="84" t="e">
        <f>ROUND(IF((24.7*'Calc Data'!F31*'Calc Data'!F34*100)&lt;'Calc Data'!F34*('Data Entry - SOF'!H62/100),0,(24.7*'Calc Data'!F31*'Calc Data'!F34*100)-'Calc Data'!F34*('Data Entry - SOF'!H62/100)),0)</f>
        <v>#N/A</v>
      </c>
      <c r="R42" s="44" t="e">
        <f>F42</f>
        <v>#N/A</v>
      </c>
      <c r="T42" s="44" t="e">
        <f>ROUND(IF((31.95*'Calc Data'!F31*'Calc Data'!F45*100)&lt;'Calc Data'!F54,0,(31.95*'Calc Data'!F31*'Calc Data'!F45*100)-'Calc Data'!F54),0)</f>
        <v>#N/A</v>
      </c>
      <c r="U42" s="44" t="e">
        <f>ROUND(IF((31.95*'Calc Data'!F31*'Calc Data'!F45*100)&lt;'Calc Data'!F54,0,(31.95*'Calc Data'!F31*'Calc Data'!F45*100)-'Calc Data'!F54),0)</f>
        <v>#N/A</v>
      </c>
      <c r="Y42" s="215" t="e">
        <f>'Calc Data'!F43/('Data Entry - SOF'!H68/100)</f>
        <v>#N/A</v>
      </c>
      <c r="AA42" s="44" t="e">
        <f>ROUND(IF((31.95*'Calc Data'!F31*Y47*100)&lt;Y48,0,(31.95*'Calc Data'!F31*Y47*100)-Y48),0)</f>
        <v>#N/A</v>
      </c>
      <c r="AB42" s="44" t="e">
        <f>ROUND(IF((31.95*'Calc Data'!F31*Y47*100)&lt;Y48,0,(31.95*'Calc Data'!F31*Y47*100)-Y48),0)</f>
        <v>#N/A</v>
      </c>
    </row>
    <row r="43" spans="2:28">
      <c r="D43" s="27" t="s">
        <v>3637</v>
      </c>
      <c r="F43" s="44" t="e">
        <f>ROUND(IF((41.21*'Calc Data'!F31*'Calc Data'!F48*100)&lt;'Calc Data'!F55,0,(41.21*'Calc Data'!F31*'Calc Data'!F48*100)-'Calc Data'!F55),0)</f>
        <v>#N/A</v>
      </c>
      <c r="G43" s="44"/>
      <c r="H43" s="84"/>
      <c r="I43" s="44"/>
      <c r="J43" s="84"/>
      <c r="K43" s="44"/>
      <c r="L43" s="84"/>
      <c r="R43" s="44"/>
      <c r="T43" s="44" t="e">
        <f>ROUND(IF((41.21*'Calc Data'!F31*'Calc Data'!F48*100)&lt;'Calc Data'!F55,0,(41.21*'Calc Data'!F31*'Calc Data'!F48*100)-'Calc Data'!F55),0)</f>
        <v>#N/A</v>
      </c>
      <c r="U43" s="44" t="e">
        <f>ROUND(IF((41.21*'Calc Data'!F31*'Calc Data'!F48*100)&lt;'Calc Data'!F55,0,(41.21*'Calc Data'!F31*'Calc Data'!F48*100)-'Calc Data'!F55),0)</f>
        <v>#N/A</v>
      </c>
      <c r="X43" t="s">
        <v>1640</v>
      </c>
      <c r="Y43" s="215" t="e">
        <f>'Data Entry - SOF'!H63-'Data Entry - SOF'!H62</f>
        <v>#N/A</v>
      </c>
      <c r="AA43" s="44" t="e">
        <f>ROUND(IF((41.21*'Calc Data'!F31*'Calc Data'!I48*100)&lt;Y49,0,(41.21*'Calc Data'!F31*'Calc Data'!I48*100)-Y49),0)</f>
        <v>#N/A</v>
      </c>
      <c r="AB43" s="44" t="e">
        <f>ROUND(IF((41.21*'Calc Data'!F31*'Calc Data'!I48*100)&lt;Y49,0,(41.21*'Calc Data'!F31*'Calc Data'!I48*100)-Y49),0)</f>
        <v>#N/A</v>
      </c>
    </row>
    <row r="44" spans="2:28">
      <c r="D44" s="27" t="s">
        <v>3638</v>
      </c>
      <c r="F44" s="86" t="e">
        <f>ROUND(IF((31.95*'Calc Data'!F31*'Calc Data'!F51*100)&lt;'Calc Data'!F56,0,(31.95*'Calc Data'!F31*'Calc Data'!F51*100)-'Calc Data'!F56),0)</f>
        <v>#N/A</v>
      </c>
      <c r="G44" s="44"/>
      <c r="H44" s="84"/>
      <c r="I44" s="44"/>
      <c r="J44" s="84"/>
      <c r="K44" s="44"/>
      <c r="L44" s="84"/>
      <c r="R44" s="44"/>
      <c r="T44" s="86" t="e">
        <f>ROUND(IF((31.95*'Calc Data'!F31*'Calc Data'!F51*100)&lt;'Calc Data'!F56,0,(31.95*'Calc Data'!F31*'Calc Data'!F51*100)-'Calc Data'!F56),0)</f>
        <v>#N/A</v>
      </c>
      <c r="U44" s="86" t="e">
        <f>ROUND(IF((31.95*'Calc Data'!F31*'Calc Data'!F51*100)&lt;'Calc Data'!F56,0,(31.95*'Calc Data'!F31*'Calc Data'!F51*100)-'Calc Data'!F56),0)</f>
        <v>#N/A</v>
      </c>
      <c r="X44" t="s">
        <v>1641</v>
      </c>
      <c r="Y44" s="215" t="e">
        <f>Y42+Y43</f>
        <v>#N/A</v>
      </c>
      <c r="AA44" s="44" t="e">
        <f>ROUND(IF((31.95*'Calc Data'!F31*'Calc Data'!I52*100)&lt;Y50,0,(31.95*'Calc Data'!F31*'Calc Data'!I52*100)-Y50),0)</f>
        <v>#N/A</v>
      </c>
      <c r="AB44" s="44" t="e">
        <f>ROUND(IF((31.95*'Calc Data'!F31*'Calc Data'!I52*100)&lt;Y50,0,(31.95*'Calc Data'!F31*'Calc Data'!I52*100)-Y50),0)</f>
        <v>#N/A</v>
      </c>
    </row>
    <row r="45" spans="2:28">
      <c r="D45" s="27" t="s">
        <v>3642</v>
      </c>
      <c r="F45" s="44" t="e">
        <f>SUM(F42:F44)</f>
        <v>#N/A</v>
      </c>
      <c r="G45" s="44"/>
      <c r="H45" s="84"/>
      <c r="I45" s="44"/>
      <c r="J45" s="84"/>
      <c r="K45" s="44"/>
      <c r="L45" s="84"/>
      <c r="R45" s="44"/>
      <c r="T45" s="44" t="e">
        <f>SUM(T42:T44)</f>
        <v>#N/A</v>
      </c>
      <c r="U45" s="44" t="e">
        <f>SUM(U42:U44)</f>
        <v>#N/A</v>
      </c>
      <c r="X45" t="s">
        <v>1642</v>
      </c>
      <c r="Y45" s="215" t="e">
        <f>Y44*('Data Entry - SOF'!H68/100)</f>
        <v>#N/A</v>
      </c>
      <c r="AA45" s="44"/>
      <c r="AB45" s="44"/>
    </row>
    <row r="46" spans="2:28">
      <c r="D46" s="27"/>
      <c r="F46" s="44"/>
      <c r="G46" s="44"/>
      <c r="H46" s="84"/>
      <c r="I46" s="44"/>
      <c r="J46" s="84"/>
      <c r="K46" s="44"/>
      <c r="Y46" s="435" t="e">
        <f>(Y45/'Data Entry - SOF'!H63)*100</f>
        <v>#N/A</v>
      </c>
    </row>
    <row r="47" spans="2:28">
      <c r="D47" s="136" t="s">
        <v>6013</v>
      </c>
      <c r="F47" s="180" t="e">
        <f>110*'Calc Data'!F31</f>
        <v>#N/A</v>
      </c>
      <c r="G47" s="44"/>
      <c r="H47" s="84"/>
      <c r="I47" s="44"/>
      <c r="J47" s="84"/>
      <c r="K47" s="44"/>
      <c r="T47" s="180" t="e">
        <f>110*'Calc Data'!F31</f>
        <v>#N/A</v>
      </c>
      <c r="U47" s="180" t="e">
        <f>110*'Calc Data'!F31</f>
        <v>#N/A</v>
      </c>
      <c r="X47" t="s">
        <v>1639</v>
      </c>
      <c r="Y47" s="435" t="e">
        <f>IF(Y46-0.86&gt;0.64,0.64,Y46-0.86)</f>
        <v>#N/A</v>
      </c>
    </row>
    <row r="48" spans="2:28">
      <c r="D48" s="191" t="s">
        <v>5414</v>
      </c>
      <c r="E48" s="181"/>
      <c r="F48" s="180"/>
      <c r="G48" s="44"/>
      <c r="H48" s="84"/>
      <c r="J48" s="84"/>
      <c r="T48" s="180"/>
      <c r="U48" s="180"/>
      <c r="X48" t="s">
        <v>1638</v>
      </c>
      <c r="Y48" s="215" t="e">
        <f>Y47*('Data Entry - SOF'!H63/100)</f>
        <v>#N/A</v>
      </c>
    </row>
    <row r="49" spans="1:25">
      <c r="D49" s="136" t="s">
        <v>2598</v>
      </c>
      <c r="E49" s="181"/>
      <c r="F49" s="180"/>
      <c r="G49" s="44"/>
      <c r="H49" s="84"/>
      <c r="J49" s="84"/>
      <c r="T49" s="180"/>
      <c r="U49" s="180"/>
      <c r="X49" t="s">
        <v>1637</v>
      </c>
      <c r="Y49" s="215" t="e">
        <f>'Calc Data'!I48*('Data Entry - SOF'!H63/100)</f>
        <v>#N/A</v>
      </c>
    </row>
    <row r="50" spans="1:25">
      <c r="D50" s="136" t="s">
        <v>2478</v>
      </c>
      <c r="F50" s="186" t="e">
        <f>IF(W114&lt;0,0,W114*-1)</f>
        <v>#N/A</v>
      </c>
      <c r="G50" s="179" t="s">
        <v>1534</v>
      </c>
      <c r="H50" s="84"/>
      <c r="J50" s="84"/>
      <c r="T50" s="186"/>
      <c r="U50" s="186"/>
      <c r="V50" s="5"/>
      <c r="X50" t="s">
        <v>1646</v>
      </c>
      <c r="Y50" s="215" t="e">
        <f>'Calc Data'!I52*('Data Entry - SOF'!H63/100)</f>
        <v>#N/A</v>
      </c>
    </row>
    <row r="51" spans="1:25">
      <c r="D51" s="190" t="s">
        <v>6012</v>
      </c>
      <c r="F51" s="192" t="e">
        <f>F47+F50</f>
        <v>#N/A</v>
      </c>
      <c r="G51" s="44"/>
      <c r="H51" s="84"/>
      <c r="J51" s="84"/>
      <c r="T51" s="192" t="e">
        <f>T47+T50</f>
        <v>#N/A</v>
      </c>
      <c r="U51" s="192" t="e">
        <f>U47+U50</f>
        <v>#N/A</v>
      </c>
      <c r="V51" s="193"/>
      <c r="X51" t="s">
        <v>1647</v>
      </c>
    </row>
    <row r="52" spans="1:25">
      <c r="D52" s="190"/>
      <c r="F52" s="192"/>
      <c r="G52" s="44"/>
      <c r="H52" s="84"/>
      <c r="J52" s="84"/>
      <c r="T52" s="180"/>
      <c r="U52" s="180"/>
      <c r="V52" s="193"/>
    </row>
    <row r="53" spans="1:25">
      <c r="D53" s="190"/>
      <c r="F53" s="192"/>
      <c r="G53" s="44"/>
      <c r="H53" s="84"/>
      <c r="J53" s="84"/>
      <c r="T53" s="180"/>
      <c r="U53" s="180"/>
      <c r="V53" s="193"/>
    </row>
    <row r="54" spans="1:25" hidden="1">
      <c r="B54" s="294" t="s">
        <v>734</v>
      </c>
      <c r="C54" s="293" t="s">
        <v>1775</v>
      </c>
      <c r="D54" s="295" t="s">
        <v>410</v>
      </c>
      <c r="F54" s="192"/>
      <c r="G54" s="44"/>
      <c r="H54" s="84"/>
      <c r="J54" s="84"/>
      <c r="T54" s="180"/>
      <c r="U54" s="180"/>
      <c r="V54" s="193"/>
    </row>
    <row r="55" spans="1:25" hidden="1">
      <c r="D55" s="296" t="s">
        <v>1635</v>
      </c>
      <c r="F55" s="192"/>
      <c r="G55" s="44"/>
      <c r="H55" s="84"/>
      <c r="J55" s="84"/>
      <c r="T55" s="180"/>
      <c r="U55" s="180"/>
      <c r="V55" s="193"/>
    </row>
    <row r="56" spans="1:25" hidden="1">
      <c r="D56" s="297" t="s">
        <v>1636</v>
      </c>
      <c r="G56" s="44"/>
      <c r="H56" s="84"/>
      <c r="J56" s="84"/>
    </row>
    <row r="57" spans="1:25" hidden="1">
      <c r="D57" s="297" t="s">
        <v>411</v>
      </c>
      <c r="G57" s="44"/>
      <c r="H57" s="84"/>
      <c r="J57" s="84"/>
    </row>
    <row r="58" spans="1:25" hidden="1">
      <c r="D58" s="298" t="s">
        <v>412</v>
      </c>
      <c r="G58" s="44"/>
      <c r="H58" s="84"/>
      <c r="J58" s="84"/>
    </row>
    <row r="59" spans="1:25" hidden="1">
      <c r="D59" s="136"/>
      <c r="G59" s="44"/>
      <c r="H59" s="84"/>
      <c r="J59" s="84"/>
    </row>
    <row r="60" spans="1:25">
      <c r="A60" s="27" t="s">
        <v>6151</v>
      </c>
      <c r="C60" s="19" t="e">
        <f>C1</f>
        <v>#N/A</v>
      </c>
      <c r="D60" s="42"/>
      <c r="F60" s="107" t="str">
        <f>F1</f>
        <v>HB 1</v>
      </c>
      <c r="G60" s="44"/>
      <c r="H60" s="84"/>
      <c r="J60" s="84"/>
    </row>
    <row r="61" spans="1:25">
      <c r="A61" s="27" t="s">
        <v>6152</v>
      </c>
      <c r="C61" s="19" t="str">
        <f>C2</f>
        <v>000-000</v>
      </c>
      <c r="F61" s="107" t="str">
        <f>F2</f>
        <v>Release 09-10; Revised 10/18/11</v>
      </c>
      <c r="G61" s="44"/>
      <c r="H61" s="84"/>
      <c r="J61" s="84"/>
    </row>
    <row r="62" spans="1:25">
      <c r="A62" s="27" t="s">
        <v>6154</v>
      </c>
      <c r="C62" s="39">
        <f ca="1">NOW()</f>
        <v>45352.58606238426</v>
      </c>
      <c r="F62" s="106">
        <f>F3</f>
        <v>0</v>
      </c>
      <c r="G62" s="44"/>
      <c r="H62" s="84"/>
      <c r="J62" s="84"/>
    </row>
    <row r="63" spans="1:25">
      <c r="D63" s="33" t="s">
        <v>138</v>
      </c>
      <c r="F63" s="44"/>
      <c r="G63" s="44"/>
      <c r="H63" s="84"/>
      <c r="J63" s="84"/>
    </row>
    <row r="64" spans="1:25">
      <c r="D64" s="33" t="s">
        <v>5062</v>
      </c>
      <c r="F64" s="44"/>
      <c r="G64" s="44"/>
      <c r="H64" s="84"/>
      <c r="J64" s="84"/>
    </row>
    <row r="65" spans="4:22">
      <c r="F65" s="44"/>
      <c r="G65" s="44"/>
      <c r="H65" s="84"/>
      <c r="J65" s="84"/>
    </row>
    <row r="66" spans="4:22">
      <c r="D66" s="27" t="s">
        <v>2588</v>
      </c>
      <c r="F66" s="44" t="e">
        <f>'Existing Debt'!H72</f>
        <v>#N/A</v>
      </c>
      <c r="G66" s="44"/>
      <c r="H66" s="84"/>
      <c r="J66" s="8"/>
      <c r="T66" s="44" t="e">
        <f>'Existing Debt'!G72</f>
        <v>#N/A</v>
      </c>
      <c r="U66" s="44" t="e">
        <f>'Existing Debt'!G72</f>
        <v>#N/A</v>
      </c>
    </row>
    <row r="67" spans="4:22">
      <c r="D67" s="27" t="s">
        <v>494</v>
      </c>
      <c r="F67" s="38" t="e">
        <f>IFA!J79+IFA!L68</f>
        <v>#N/A</v>
      </c>
      <c r="G67" s="38"/>
      <c r="H67" s="84"/>
      <c r="J67" s="8"/>
      <c r="T67" s="38">
        <f>IFA!F87+IFA!H76</f>
        <v>0</v>
      </c>
      <c r="U67" s="38">
        <f>IFA!F87+IFA!H76</f>
        <v>0</v>
      </c>
    </row>
    <row r="68" spans="4:22">
      <c r="D68" s="27"/>
      <c r="F68" s="44"/>
      <c r="G68" s="44"/>
      <c r="J68" s="8"/>
      <c r="T68" s="44"/>
      <c r="U68" s="44"/>
    </row>
    <row r="69" spans="4:22">
      <c r="D69" s="27" t="s">
        <v>2631</v>
      </c>
      <c r="F69" s="23" t="e">
        <f>'Data Entry - SOF'!H36*26.76</f>
        <v>#DIV/0!</v>
      </c>
      <c r="G69" s="23"/>
      <c r="J69" s="3"/>
      <c r="T69" s="23" t="e">
        <f>F69</f>
        <v>#DIV/0!</v>
      </c>
      <c r="U69" s="23" t="e">
        <f>F69</f>
        <v>#DIV/0!</v>
      </c>
    </row>
    <row r="70" spans="4:22">
      <c r="D70" s="27"/>
      <c r="F70" s="23"/>
      <c r="G70" s="23"/>
      <c r="J70" s="3"/>
      <c r="T70" s="23"/>
      <c r="U70" s="23"/>
    </row>
    <row r="71" spans="4:22">
      <c r="D71" s="447" t="s">
        <v>3773</v>
      </c>
      <c r="E71" s="149"/>
      <c r="F71" s="250" t="e">
        <f>'Calc Data'!E110</f>
        <v>#N/A</v>
      </c>
      <c r="G71" s="44"/>
      <c r="H71" s="84"/>
      <c r="J71" s="84"/>
      <c r="T71" s="180"/>
      <c r="U71" s="180"/>
      <c r="V71" s="193"/>
    </row>
    <row r="72" spans="4:22">
      <c r="D72" s="27"/>
      <c r="F72" s="23"/>
      <c r="G72" s="23"/>
      <c r="J72" s="3"/>
      <c r="T72" s="23"/>
      <c r="U72" s="23"/>
    </row>
    <row r="73" spans="4:22">
      <c r="D73" s="132" t="s">
        <v>3774</v>
      </c>
      <c r="E73" s="181"/>
      <c r="F73" s="334">
        <f>2500*'Data Entry - SOF'!H96</f>
        <v>0</v>
      </c>
      <c r="G73" s="23"/>
      <c r="J73" s="3"/>
      <c r="T73" s="23"/>
      <c r="U73" s="23"/>
    </row>
    <row r="74" spans="4:22">
      <c r="D74" s="132"/>
      <c r="E74" s="181"/>
      <c r="F74" s="192"/>
      <c r="G74" s="23"/>
      <c r="J74" s="3"/>
      <c r="T74" s="23"/>
      <c r="U74" s="23"/>
    </row>
    <row r="75" spans="4:22" s="132" customFormat="1">
      <c r="D75" s="132" t="s">
        <v>5101</v>
      </c>
      <c r="F75" s="334" t="e">
        <f>275*'Data Entry - SOF'!H37</f>
        <v>#REF!</v>
      </c>
      <c r="G75" s="334"/>
      <c r="J75" s="492"/>
      <c r="T75" s="334"/>
      <c r="U75" s="334"/>
    </row>
    <row r="76" spans="4:22">
      <c r="D76" s="136"/>
      <c r="E76" s="181"/>
      <c r="F76" s="192"/>
      <c r="G76" s="23"/>
      <c r="J76" s="3"/>
      <c r="T76" s="23"/>
      <c r="U76" s="23"/>
    </row>
    <row r="77" spans="4:22">
      <c r="D77" s="447" t="s">
        <v>2329</v>
      </c>
      <c r="E77" s="149"/>
      <c r="F77" s="250" t="e">
        <f>'Calc Data'!E113</f>
        <v>#N/A</v>
      </c>
      <c r="G77" s="23"/>
      <c r="J77" s="3"/>
      <c r="T77" s="23"/>
      <c r="U77" s="23"/>
    </row>
    <row r="78" spans="4:22">
      <c r="D78" s="447"/>
      <c r="E78" s="149"/>
      <c r="F78" s="250"/>
      <c r="G78" s="23"/>
      <c r="J78" s="3"/>
      <c r="T78" s="23"/>
      <c r="U78" s="23"/>
    </row>
    <row r="79" spans="4:22">
      <c r="D79" s="375" t="s">
        <v>2330</v>
      </c>
      <c r="F79" s="334" t="e">
        <f>'Calc Data'!E114</f>
        <v>#N/A</v>
      </c>
      <c r="G79" s="23"/>
      <c r="J79" s="3"/>
      <c r="T79" s="23"/>
      <c r="U79" s="23"/>
    </row>
    <row r="80" spans="4:22">
      <c r="D80" s="136"/>
      <c r="E80" s="181"/>
      <c r="F80" s="192"/>
      <c r="G80" s="23"/>
      <c r="J80" s="3"/>
      <c r="T80" s="23"/>
      <c r="U80" s="23"/>
    </row>
    <row r="81" spans="2:23">
      <c r="D81" s="136" t="s">
        <v>2149</v>
      </c>
      <c r="E81" s="123"/>
      <c r="F81" s="192">
        <f>(500*'Data Entry - SOF'!H98)+(250*'Data Entry - SOF'!H99)</f>
        <v>0</v>
      </c>
      <c r="G81" s="23"/>
      <c r="J81" s="3"/>
      <c r="T81" s="23"/>
      <c r="U81" s="23"/>
    </row>
    <row r="82" spans="2:23">
      <c r="D82" s="27"/>
      <c r="F82" s="23"/>
      <c r="G82" s="23"/>
      <c r="J82" s="3"/>
      <c r="T82" s="23"/>
      <c r="U82" s="23"/>
    </row>
    <row r="83" spans="2:23">
      <c r="D83" s="27" t="s">
        <v>2632</v>
      </c>
      <c r="F83" s="23"/>
      <c r="G83" s="23"/>
      <c r="J83" s="3"/>
      <c r="T83" s="23"/>
      <c r="U83" s="23"/>
    </row>
    <row r="84" spans="2:23">
      <c r="D84" s="27" t="s">
        <v>2554</v>
      </c>
      <c r="F84" s="44" t="e">
        <f>'Salary Transition'!L30</f>
        <v>#DIV/0!</v>
      </c>
      <c r="G84" s="23"/>
      <c r="J84" s="3"/>
      <c r="T84" s="69" t="e">
        <f t="shared" ref="T84:T89" si="0">F84</f>
        <v>#DIV/0!</v>
      </c>
      <c r="U84" s="69" t="e">
        <f>T84</f>
        <v>#DIV/0!</v>
      </c>
      <c r="W84" s="5"/>
    </row>
    <row r="85" spans="2:23">
      <c r="D85" s="27" t="s">
        <v>2633</v>
      </c>
      <c r="F85" s="44" t="e">
        <f>HoldHarmless!E56</f>
        <v>#N/A</v>
      </c>
      <c r="G85" s="23"/>
      <c r="J85" s="3"/>
      <c r="T85" s="44" t="e">
        <f t="shared" si="0"/>
        <v>#N/A</v>
      </c>
      <c r="U85" s="44" t="e">
        <f>HoldHarmless!I56</f>
        <v>#N/A</v>
      </c>
    </row>
    <row r="86" spans="2:23">
      <c r="D86" s="27" t="s">
        <v>433</v>
      </c>
      <c r="F86" s="44" t="e">
        <f>'Health Ins'!N23</f>
        <v>#N/A</v>
      </c>
      <c r="G86" s="23"/>
      <c r="J86" s="3"/>
      <c r="T86" s="23" t="e">
        <f t="shared" si="0"/>
        <v>#N/A</v>
      </c>
      <c r="U86" s="23" t="e">
        <f>T86</f>
        <v>#N/A</v>
      </c>
    </row>
    <row r="87" spans="2:23">
      <c r="D87" s="27" t="s">
        <v>2634</v>
      </c>
      <c r="F87" s="44" t="e">
        <f>-ROUND(('Data Entry - SOF'!H84/'Data Entry - SOF'!F36)*'Data Entry - SOF'!H82,0)</f>
        <v>#N/A</v>
      </c>
      <c r="G87" s="44"/>
      <c r="J87" s="3"/>
      <c r="T87" s="23" t="e">
        <f t="shared" si="0"/>
        <v>#N/A</v>
      </c>
      <c r="U87" s="23" t="e">
        <f>T87</f>
        <v>#N/A</v>
      </c>
    </row>
    <row r="88" spans="2:23">
      <c r="D88" s="27" t="s">
        <v>2635</v>
      </c>
      <c r="F88" s="44" t="e">
        <f>-ROUND(('Data Entry - SOF'!H84/'Data Entry - SOF'!F36)*'Data Entry - SOF'!H83,0)</f>
        <v>#N/A</v>
      </c>
      <c r="G88" s="44"/>
      <c r="J88" s="3"/>
      <c r="T88" s="23" t="e">
        <f t="shared" si="0"/>
        <v>#N/A</v>
      </c>
      <c r="U88" s="23" t="e">
        <f>T88</f>
        <v>#N/A</v>
      </c>
    </row>
    <row r="89" spans="2:23">
      <c r="D89" s="27" t="s">
        <v>867</v>
      </c>
      <c r="F89" s="70">
        <f>IF('Data Entry - SOF'!H85&lt;0,'Data Entry - SOF'!H85,'Data Entry - SOF'!H85*-1)</f>
        <v>0</v>
      </c>
      <c r="G89" s="38"/>
      <c r="J89" s="3"/>
      <c r="T89" s="70">
        <f t="shared" si="0"/>
        <v>0</v>
      </c>
      <c r="U89" s="70">
        <f>T89</f>
        <v>0</v>
      </c>
    </row>
    <row r="90" spans="2:23">
      <c r="D90" s="27" t="s">
        <v>868</v>
      </c>
      <c r="F90" s="69" t="e">
        <f>SUM(F84:F89)</f>
        <v>#DIV/0!</v>
      </c>
      <c r="G90" s="69"/>
      <c r="J90" s="8"/>
      <c r="T90" s="69" t="e">
        <f>SUM(T84:T89)</f>
        <v>#DIV/0!</v>
      </c>
      <c r="U90" s="69" t="e">
        <f>SUM(U84:U89)</f>
        <v>#DIV/0!</v>
      </c>
    </row>
    <row r="91" spans="2:23">
      <c r="D91" s="27"/>
      <c r="F91" s="23"/>
      <c r="G91" s="23"/>
      <c r="J91" s="8"/>
      <c r="T91" s="23"/>
      <c r="U91" s="23"/>
    </row>
    <row r="92" spans="2:23" ht="13.8" thickBot="1">
      <c r="B92" s="27"/>
      <c r="D92" s="132" t="s">
        <v>1553</v>
      </c>
      <c r="F92" s="45" t="e">
        <f>F40+F45+F51+F71+F77+F79+F66+F67+F69+F73+F81+F75+F90</f>
        <v>#N/A</v>
      </c>
      <c r="G92" s="69"/>
      <c r="J92" s="8"/>
      <c r="T92" s="45" t="e">
        <f>T40+T42+T51+T66+T67+T69+T90</f>
        <v>#N/A</v>
      </c>
      <c r="U92" s="45" t="e">
        <f>U40+U42+U51+U66+U67+U69+U90</f>
        <v>#N/A</v>
      </c>
    </row>
    <row r="93" spans="2:23" ht="13.8" thickTop="1">
      <c r="B93" s="27"/>
      <c r="D93" s="27"/>
      <c r="F93" s="38"/>
      <c r="G93" s="38"/>
      <c r="J93" s="8"/>
    </row>
    <row r="94" spans="2:23">
      <c r="B94" s="33" t="s">
        <v>869</v>
      </c>
      <c r="D94" s="27" t="s">
        <v>1293</v>
      </c>
      <c r="F94" s="23"/>
      <c r="G94" s="23"/>
      <c r="J94" s="8"/>
    </row>
    <row r="95" spans="2:23">
      <c r="B95" s="33" t="s">
        <v>1294</v>
      </c>
      <c r="D95" s="27" t="s">
        <v>1295</v>
      </c>
      <c r="F95" s="44" t="e">
        <f>ROUND('Calc Data'!D10*385,0)</f>
        <v>#N/A</v>
      </c>
      <c r="G95" s="23"/>
      <c r="J95" s="8"/>
      <c r="T95" s="203" t="e">
        <f>ROUND('Calc Data'!D10*385,0)</f>
        <v>#N/A</v>
      </c>
      <c r="U95" s="204" t="e">
        <f>ROUND('Calc Data'!D10*343,0)</f>
        <v>#N/A</v>
      </c>
      <c r="V95" s="205" t="s">
        <v>2596</v>
      </c>
      <c r="W95" s="195" t="e">
        <f>T95-U95</f>
        <v>#N/A</v>
      </c>
    </row>
    <row r="96" spans="2:23">
      <c r="B96" s="190" t="s">
        <v>1297</v>
      </c>
      <c r="D96" s="57" t="s">
        <v>6051</v>
      </c>
      <c r="E96" s="181"/>
      <c r="F96" s="535" t="e">
        <f>F51</f>
        <v>#N/A</v>
      </c>
      <c r="G96" s="179" t="s">
        <v>6707</v>
      </c>
      <c r="J96" s="8"/>
      <c r="T96" s="207" t="e">
        <f>T51</f>
        <v>#N/A</v>
      </c>
      <c r="U96" s="208" t="e">
        <f>U51</f>
        <v>#N/A</v>
      </c>
      <c r="V96" s="199"/>
      <c r="W96" s="196"/>
    </row>
    <row r="97" spans="1:23">
      <c r="B97" s="33" t="s">
        <v>1297</v>
      </c>
      <c r="D97" s="27" t="s">
        <v>1350</v>
      </c>
      <c r="F97" s="69" t="e">
        <f>ROUND(F92-F95-F101-F96-F66-F67-F75,0)</f>
        <v>#N/A</v>
      </c>
      <c r="G97" s="69"/>
      <c r="J97" s="8"/>
      <c r="T97" s="206" t="e">
        <f>ROUND(T92-T95-T101-T96-T66-T67,0)</f>
        <v>#N/A</v>
      </c>
      <c r="U97" s="69" t="e">
        <f>ROUND(U92-U95-U101-U96-U66-U67,0)</f>
        <v>#N/A</v>
      </c>
      <c r="V97" s="201" t="s">
        <v>2597</v>
      </c>
      <c r="W97" s="197" t="e">
        <f>T97-U97</f>
        <v>#N/A</v>
      </c>
    </row>
    <row r="98" spans="1:23">
      <c r="B98" s="33"/>
      <c r="D98" s="132" t="s">
        <v>1554</v>
      </c>
      <c r="F98" s="220" t="e">
        <f>SUM(F95:F97)</f>
        <v>#N/A</v>
      </c>
      <c r="G98" s="69"/>
      <c r="J98" s="8"/>
      <c r="T98" s="206"/>
      <c r="U98" s="69"/>
      <c r="V98" s="201"/>
      <c r="W98" s="197"/>
    </row>
    <row r="99" spans="1:23">
      <c r="B99" s="33"/>
      <c r="D99" s="132"/>
      <c r="F99" s="69"/>
      <c r="G99" s="69"/>
      <c r="J99" s="8"/>
      <c r="T99" s="206"/>
      <c r="U99" s="69"/>
      <c r="V99" s="201"/>
      <c r="W99" s="197"/>
    </row>
    <row r="100" spans="1:23">
      <c r="B100" s="33" t="s">
        <v>1296</v>
      </c>
      <c r="D100" s="27" t="s">
        <v>1831</v>
      </c>
      <c r="F100" s="44" t="e">
        <f>F69</f>
        <v>#DIV/0!</v>
      </c>
      <c r="G100" s="23"/>
      <c r="J100" s="8"/>
      <c r="T100" s="206" t="e">
        <f>T69</f>
        <v>#DIV/0!</v>
      </c>
      <c r="U100" s="69" t="e">
        <f>U69</f>
        <v>#DIV/0!</v>
      </c>
      <c r="V100" s="200"/>
      <c r="W100" s="197" t="e">
        <f>T100-U100</f>
        <v>#DIV/0!</v>
      </c>
    </row>
    <row r="101" spans="1:23">
      <c r="D101" s="132" t="s">
        <v>1555</v>
      </c>
      <c r="F101" s="175" t="e">
        <f>F100</f>
        <v>#DIV/0!</v>
      </c>
      <c r="T101" s="222"/>
      <c r="U101" s="42"/>
      <c r="V101" s="42"/>
      <c r="W101" s="196"/>
    </row>
    <row r="102" spans="1:23">
      <c r="D102" s="132"/>
      <c r="F102" s="250"/>
      <c r="T102" s="222"/>
      <c r="U102" s="42"/>
      <c r="V102" s="42"/>
      <c r="W102" s="196"/>
    </row>
    <row r="103" spans="1:23">
      <c r="B103" s="534">
        <v>429</v>
      </c>
      <c r="D103" s="132" t="s">
        <v>6050</v>
      </c>
      <c r="F103" s="175" t="e">
        <f>F75</f>
        <v>#REF!</v>
      </c>
      <c r="T103" s="222"/>
      <c r="U103" s="42"/>
      <c r="V103" s="42"/>
      <c r="W103" s="196"/>
    </row>
    <row r="104" spans="1:23">
      <c r="D104" s="132" t="s">
        <v>2285</v>
      </c>
      <c r="F104" s="250"/>
      <c r="T104" s="222"/>
      <c r="U104" s="42"/>
      <c r="V104" s="42"/>
      <c r="W104" s="196"/>
    </row>
    <row r="105" spans="1:23">
      <c r="B105" s="33">
        <v>599</v>
      </c>
      <c r="D105" s="27" t="s">
        <v>1619</v>
      </c>
      <c r="F105" s="69" t="e">
        <f>F66</f>
        <v>#N/A</v>
      </c>
      <c r="G105" s="69"/>
      <c r="J105" s="8"/>
      <c r="T105" s="206" t="e">
        <f>T66</f>
        <v>#N/A</v>
      </c>
      <c r="U105" s="69" t="e">
        <f>U66</f>
        <v>#N/A</v>
      </c>
      <c r="V105" s="200"/>
      <c r="W105" s="197" t="e">
        <f>T105-U105</f>
        <v>#N/A</v>
      </c>
    </row>
    <row r="106" spans="1:23">
      <c r="B106" s="33">
        <v>599</v>
      </c>
      <c r="D106" s="27" t="s">
        <v>1991</v>
      </c>
      <c r="F106" s="86" t="e">
        <f>F67</f>
        <v>#N/A</v>
      </c>
      <c r="G106" s="69"/>
      <c r="J106" s="8"/>
      <c r="T106" s="206">
        <f>T67</f>
        <v>0</v>
      </c>
      <c r="U106" s="69">
        <f>U67</f>
        <v>0</v>
      </c>
      <c r="V106" s="202"/>
      <c r="W106" s="197">
        <f>T106-U106</f>
        <v>0</v>
      </c>
    </row>
    <row r="107" spans="1:23">
      <c r="B107" s="33"/>
      <c r="D107" s="132" t="s">
        <v>1556</v>
      </c>
      <c r="F107" s="220" t="e">
        <f>SUM(F105:F106)</f>
        <v>#N/A</v>
      </c>
      <c r="G107" s="69"/>
      <c r="J107" s="8"/>
      <c r="T107" s="206"/>
      <c r="U107" s="69"/>
      <c r="V107" s="202"/>
      <c r="W107" s="196"/>
    </row>
    <row r="108" spans="1:23">
      <c r="B108" s="33"/>
      <c r="D108" s="27"/>
      <c r="F108" s="69"/>
      <c r="G108" s="69"/>
      <c r="J108" s="8"/>
      <c r="T108" s="206"/>
      <c r="U108" s="69"/>
      <c r="V108" s="202"/>
      <c r="W108" s="196"/>
    </row>
    <row r="109" spans="1:23" ht="13.8" thickBot="1">
      <c r="B109" s="30"/>
      <c r="D109" s="132" t="s">
        <v>1553</v>
      </c>
      <c r="F109" s="221" t="e">
        <f>F98+F101+F107+F103</f>
        <v>#N/A</v>
      </c>
      <c r="G109" s="69"/>
      <c r="J109" s="8"/>
      <c r="T109" s="206" t="e">
        <f>SUM(T95:T106)</f>
        <v>#N/A</v>
      </c>
      <c r="U109" s="69" t="e">
        <f>SUM(U95:U106)</f>
        <v>#N/A</v>
      </c>
      <c r="V109" s="42"/>
      <c r="W109" s="196"/>
    </row>
    <row r="110" spans="1:23" ht="13.8" thickTop="1">
      <c r="B110" s="30"/>
      <c r="D110" s="132"/>
      <c r="F110" s="351"/>
      <c r="G110" s="69"/>
      <c r="J110" s="8"/>
      <c r="T110" s="206"/>
      <c r="U110" s="69"/>
      <c r="V110" s="42"/>
      <c r="W110" s="196"/>
    </row>
    <row r="111" spans="1:23">
      <c r="A111" s="27"/>
      <c r="C111" s="233"/>
      <c r="D111" s="383" t="s">
        <v>1940</v>
      </c>
      <c r="E111" s="232"/>
      <c r="F111" s="233"/>
      <c r="J111" s="3"/>
      <c r="T111" s="222"/>
      <c r="U111" s="42"/>
      <c r="V111" s="42"/>
      <c r="W111" s="196"/>
    </row>
    <row r="112" spans="1:23">
      <c r="D112" s="407" t="s">
        <v>1351</v>
      </c>
      <c r="E112" s="42"/>
      <c r="F112" s="406" t="e">
        <f>F40</f>
        <v>#N/A</v>
      </c>
      <c r="T112" s="222"/>
      <c r="U112" s="42"/>
      <c r="V112" s="200" t="s">
        <v>1612</v>
      </c>
      <c r="W112" s="244" t="e">
        <f>GrossRecap!M42</f>
        <v>#N/A</v>
      </c>
    </row>
    <row r="113" spans="4:23">
      <c r="D113" s="407" t="s">
        <v>1352</v>
      </c>
      <c r="E113" s="42"/>
      <c r="F113" s="406" t="e">
        <f>F45</f>
        <v>#N/A</v>
      </c>
      <c r="T113" s="222"/>
      <c r="U113" s="42"/>
      <c r="V113" s="42"/>
      <c r="W113" s="196"/>
    </row>
    <row r="114" spans="4:23">
      <c r="D114" s="553" t="s">
        <v>1353</v>
      </c>
      <c r="E114" s="42"/>
      <c r="F114" s="406" t="e">
        <f>F71</f>
        <v>#N/A</v>
      </c>
      <c r="T114" s="243"/>
      <c r="U114" s="211"/>
      <c r="V114" s="209" t="s">
        <v>1613</v>
      </c>
      <c r="W114" s="198" t="e">
        <f>IF(W95+W97+W112&lt;0,0,W95+W97+W112)</f>
        <v>#N/A</v>
      </c>
    </row>
    <row r="115" spans="4:23">
      <c r="D115" s="252" t="s">
        <v>1354</v>
      </c>
      <c r="E115" s="42"/>
      <c r="F115" s="406">
        <f>F73</f>
        <v>0</v>
      </c>
      <c r="T115" s="42"/>
      <c r="U115" s="42"/>
      <c r="V115" s="42"/>
      <c r="W115" s="42"/>
    </row>
    <row r="116" spans="4:23">
      <c r="D116" s="252" t="s">
        <v>1355</v>
      </c>
      <c r="E116" s="42"/>
      <c r="F116" s="406">
        <f>F81</f>
        <v>0</v>
      </c>
    </row>
    <row r="117" spans="4:23">
      <c r="D117" s="407" t="s">
        <v>1356</v>
      </c>
      <c r="E117" s="42"/>
      <c r="F117" s="406" t="e">
        <f>F90</f>
        <v>#DIV/0!</v>
      </c>
    </row>
    <row r="118" spans="4:23">
      <c r="D118" s="553" t="s">
        <v>1357</v>
      </c>
      <c r="E118" s="42"/>
      <c r="F118" s="405" t="e">
        <f>F77</f>
        <v>#N/A</v>
      </c>
    </row>
    <row r="119" spans="4:23">
      <c r="D119" s="553" t="s">
        <v>1358</v>
      </c>
      <c r="E119" s="42"/>
      <c r="F119" s="405" t="e">
        <f>F79</f>
        <v>#N/A</v>
      </c>
    </row>
    <row r="120" spans="4:23" hidden="1">
      <c r="D120" s="222"/>
      <c r="E120" s="42"/>
      <c r="F120" s="554"/>
    </row>
    <row r="121" spans="4:23" hidden="1">
      <c r="D121" s="222"/>
      <c r="E121" s="42"/>
      <c r="F121" s="554"/>
    </row>
    <row r="122" spans="4:23" hidden="1">
      <c r="D122" s="222"/>
      <c r="E122" s="42"/>
      <c r="F122" s="554"/>
    </row>
    <row r="123" spans="4:23" hidden="1">
      <c r="D123" s="222"/>
      <c r="E123" s="42"/>
      <c r="F123" s="554"/>
    </row>
    <row r="124" spans="4:23" hidden="1">
      <c r="D124" s="222"/>
      <c r="E124" s="42"/>
      <c r="F124" s="554"/>
    </row>
    <row r="125" spans="4:23" hidden="1">
      <c r="D125" s="222"/>
      <c r="E125" s="42"/>
      <c r="F125" s="554"/>
    </row>
    <row r="126" spans="4:23" hidden="1">
      <c r="D126" s="222"/>
      <c r="E126" s="42"/>
      <c r="F126" s="554"/>
    </row>
    <row r="127" spans="4:23" hidden="1">
      <c r="D127" s="222"/>
      <c r="E127" s="42"/>
      <c r="F127" s="554"/>
    </row>
    <row r="128" spans="4:23" hidden="1">
      <c r="D128" s="222"/>
      <c r="E128" s="42"/>
      <c r="F128" s="554"/>
    </row>
    <row r="129" spans="1:10" hidden="1">
      <c r="D129" s="222"/>
      <c r="E129" s="42"/>
      <c r="F129" s="554"/>
    </row>
    <row r="130" spans="1:10" hidden="1">
      <c r="D130" s="222"/>
      <c r="E130" s="42"/>
      <c r="F130" s="554"/>
    </row>
    <row r="131" spans="1:10" hidden="1">
      <c r="D131" s="222"/>
      <c r="E131" s="42"/>
      <c r="F131" s="554"/>
    </row>
    <row r="132" spans="1:10" hidden="1">
      <c r="D132" s="222"/>
      <c r="E132" s="42"/>
      <c r="F132" s="554"/>
    </row>
    <row r="133" spans="1:10" hidden="1">
      <c r="D133" s="222"/>
      <c r="E133" s="42"/>
      <c r="F133" s="554"/>
    </row>
    <row r="134" spans="1:10" hidden="1">
      <c r="D134" s="222"/>
      <c r="E134" s="42"/>
      <c r="F134" s="554"/>
    </row>
    <row r="135" spans="1:10" hidden="1">
      <c r="D135" s="222"/>
      <c r="E135" s="42"/>
      <c r="F135" s="554"/>
    </row>
    <row r="136" spans="1:10" hidden="1">
      <c r="D136" s="222"/>
      <c r="E136" s="42"/>
      <c r="F136" s="554"/>
    </row>
    <row r="137" spans="1:10" hidden="1">
      <c r="D137" s="222"/>
      <c r="E137" s="42"/>
      <c r="F137" s="554"/>
    </row>
    <row r="138" spans="1:10" hidden="1">
      <c r="D138" s="222"/>
      <c r="E138" s="42"/>
      <c r="F138" s="554"/>
    </row>
    <row r="139" spans="1:10">
      <c r="D139" s="407" t="s">
        <v>1359</v>
      </c>
      <c r="E139" s="42"/>
      <c r="F139" s="555" t="e">
        <f>F95*-1</f>
        <v>#N/A</v>
      </c>
    </row>
    <row r="140" spans="1:10">
      <c r="D140" s="243"/>
      <c r="E140" s="211"/>
      <c r="F140" s="555" t="e">
        <f>SUM(F112:F139)</f>
        <v>#N/A</v>
      </c>
    </row>
    <row r="143" spans="1:10" ht="13.8" thickBot="1"/>
    <row r="144" spans="1:10" ht="13.8" thickTop="1">
      <c r="A144" s="506"/>
      <c r="B144" s="119"/>
      <c r="C144" s="119"/>
      <c r="D144" s="119"/>
      <c r="E144" s="119"/>
      <c r="F144" s="502"/>
      <c r="G144" s="42"/>
      <c r="J144" s="3"/>
    </row>
    <row r="145" spans="1:10">
      <c r="A145" s="507" t="s">
        <v>5046</v>
      </c>
      <c r="B145" s="42"/>
      <c r="C145" s="42"/>
      <c r="D145" s="42"/>
      <c r="E145" s="41"/>
      <c r="F145" s="503"/>
      <c r="G145" s="27"/>
      <c r="J145" s="3"/>
    </row>
    <row r="146" spans="1:10">
      <c r="A146" s="508"/>
      <c r="B146" s="42"/>
      <c r="C146" s="42"/>
      <c r="D146" s="42"/>
      <c r="E146" s="42"/>
      <c r="F146" s="504"/>
      <c r="J146" s="3"/>
    </row>
    <row r="147" spans="1:10">
      <c r="A147" s="507" t="s">
        <v>5897</v>
      </c>
      <c r="B147" s="42"/>
      <c r="C147" s="42"/>
      <c r="D147" s="42"/>
      <c r="E147" s="42"/>
      <c r="F147" s="505" t="e">
        <f>IF('Data Entry - SOF'!H89="y",'SOF0607-HB1'!F35+F98+F101+F103,F98+F101+F103)</f>
        <v>#N/A</v>
      </c>
      <c r="J147" s="3"/>
    </row>
    <row r="148" spans="1:10">
      <c r="A148" s="507" t="s">
        <v>2442</v>
      </c>
      <c r="B148" s="42"/>
      <c r="C148" s="42"/>
      <c r="D148" s="42"/>
      <c r="E148" s="42"/>
      <c r="F148" s="547">
        <f>'Data Entry - SOF'!H70-IF('Data Entry - SOF'!H89="N",0,MIN('Option Costs'!G47,'Option Costs'!I47))</f>
        <v>0</v>
      </c>
      <c r="J148" s="3"/>
    </row>
    <row r="149" spans="1:10">
      <c r="A149" s="507" t="s">
        <v>5063</v>
      </c>
      <c r="B149" s="42"/>
      <c r="C149" s="42"/>
      <c r="D149" s="42"/>
      <c r="E149" s="42"/>
      <c r="F149" s="505" t="e">
        <f>SUM(F147:F148)</f>
        <v>#N/A</v>
      </c>
      <c r="J149" s="3"/>
    </row>
    <row r="150" spans="1:10" ht="13.8" thickBot="1">
      <c r="A150" s="509"/>
      <c r="B150" s="60"/>
      <c r="C150" s="60"/>
      <c r="D150" s="60"/>
      <c r="E150" s="60"/>
      <c r="F150" s="510"/>
    </row>
    <row r="151" spans="1:10" ht="13.8" thickTop="1">
      <c r="A151" s="42"/>
      <c r="B151" s="42"/>
      <c r="C151" s="42"/>
      <c r="D151" s="42"/>
      <c r="E151" s="42"/>
      <c r="F151" s="42"/>
    </row>
    <row r="152" spans="1:10" ht="13.8" thickBot="1">
      <c r="A152" s="42"/>
      <c r="B152" s="42"/>
      <c r="C152" s="42"/>
      <c r="D152" s="42"/>
      <c r="E152" s="42"/>
      <c r="F152" s="42"/>
      <c r="G152" s="42"/>
    </row>
    <row r="153" spans="1:10" hidden="1">
      <c r="A153" s="41" t="s">
        <v>4937</v>
      </c>
      <c r="B153" s="42"/>
      <c r="C153" s="42"/>
      <c r="D153" s="42"/>
      <c r="E153" s="42"/>
      <c r="F153" s="42"/>
    </row>
    <row r="154" spans="1:10" hidden="1">
      <c r="A154" s="414" t="s">
        <v>139</v>
      </c>
      <c r="B154" s="42"/>
      <c r="C154" s="42"/>
      <c r="D154" s="42"/>
      <c r="E154" s="42"/>
      <c r="F154" s="42"/>
    </row>
    <row r="155" spans="1:10" hidden="1">
      <c r="A155" s="93" t="s">
        <v>1441</v>
      </c>
      <c r="B155" s="42"/>
      <c r="C155" s="42"/>
      <c r="D155" s="42"/>
      <c r="E155" s="42"/>
      <c r="F155" s="130">
        <f>'Existing Debt'!G33-'Existing Debt'!G35</f>
        <v>0</v>
      </c>
      <c r="G155" s="118"/>
      <c r="J155" s="3"/>
    </row>
    <row r="156" spans="1:10" hidden="1">
      <c r="A156" s="93" t="s">
        <v>4943</v>
      </c>
      <c r="B156" s="42"/>
      <c r="C156" s="42"/>
      <c r="D156" s="42"/>
      <c r="E156" s="42"/>
      <c r="F156" s="130" t="e">
        <f>'Existing Debt'!G55*35*100*'Existing Debt'!G37</f>
        <v>#N/A</v>
      </c>
      <c r="G156" s="130"/>
      <c r="J156" s="3"/>
    </row>
    <row r="157" spans="1:10" hidden="1">
      <c r="A157" s="93" t="s">
        <v>4944</v>
      </c>
      <c r="B157" s="42"/>
      <c r="C157" s="42"/>
      <c r="D157" s="42"/>
      <c r="E157" s="42"/>
      <c r="F157" s="130" t="e">
        <f>F155-F156</f>
        <v>#N/A</v>
      </c>
      <c r="G157" s="118"/>
      <c r="J157" s="3"/>
    </row>
    <row r="158" spans="1:10" hidden="1">
      <c r="A158" s="93" t="s">
        <v>3977</v>
      </c>
      <c r="B158" s="42"/>
      <c r="C158" s="42"/>
      <c r="D158" s="42"/>
      <c r="E158" s="42"/>
      <c r="F158" s="130" t="e">
        <f>'Existing Debt'!G61</f>
        <v>#N/A</v>
      </c>
      <c r="G158" s="118"/>
      <c r="J158" s="3"/>
    </row>
    <row r="159" spans="1:10" hidden="1">
      <c r="A159" s="93" t="s">
        <v>3978</v>
      </c>
      <c r="B159" s="42"/>
      <c r="C159" s="42"/>
      <c r="D159" s="42"/>
      <c r="E159" s="42"/>
      <c r="F159" s="130" t="e">
        <f>'Existing Debt'!G70</f>
        <v>#N/A</v>
      </c>
      <c r="G159" s="118"/>
      <c r="J159" s="3"/>
    </row>
    <row r="160" spans="1:10" hidden="1">
      <c r="A160" s="93"/>
      <c r="B160" s="42"/>
      <c r="C160" s="42"/>
      <c r="D160" s="42"/>
      <c r="E160" s="42"/>
      <c r="F160" s="42"/>
      <c r="J160" s="3"/>
    </row>
    <row r="161" spans="1:10" hidden="1">
      <c r="A161" s="93" t="s">
        <v>7129</v>
      </c>
      <c r="B161" s="42"/>
      <c r="C161" s="42"/>
      <c r="D161" s="42"/>
      <c r="E161" s="42"/>
      <c r="F161" s="130">
        <f>IFA!F26+IFA!F30+IFA!F34+IFA!F38+IFA!F42+IFA!F46+IFA!F50</f>
        <v>0</v>
      </c>
      <c r="G161" s="118"/>
      <c r="J161" s="3"/>
    </row>
    <row r="162" spans="1:10" hidden="1">
      <c r="A162" s="93" t="s">
        <v>2475</v>
      </c>
      <c r="B162" s="42"/>
      <c r="C162" s="42"/>
      <c r="D162" s="42"/>
      <c r="E162" s="42"/>
      <c r="F162" s="130" t="e">
        <f>IFA!F66</f>
        <v>#N/A</v>
      </c>
      <c r="G162" s="130"/>
      <c r="J162" s="3"/>
    </row>
    <row r="163" spans="1:10" hidden="1">
      <c r="A163" s="93" t="s">
        <v>2476</v>
      </c>
      <c r="B163" s="42"/>
      <c r="C163" s="42"/>
      <c r="D163" s="42"/>
      <c r="E163" s="42"/>
      <c r="F163" s="130" t="e">
        <f>F161-F162</f>
        <v>#N/A</v>
      </c>
      <c r="G163" s="118"/>
      <c r="J163" s="3"/>
    </row>
    <row r="164" spans="1:10" hidden="1">
      <c r="A164" s="93" t="s">
        <v>665</v>
      </c>
      <c r="B164" s="42"/>
      <c r="C164" s="42"/>
      <c r="D164" s="42"/>
      <c r="E164" s="42"/>
      <c r="F164" s="130">
        <f>IFA!F80</f>
        <v>0</v>
      </c>
      <c r="G164" s="118"/>
      <c r="J164" s="3"/>
    </row>
    <row r="165" spans="1:10" hidden="1">
      <c r="A165" s="93" t="s">
        <v>7676</v>
      </c>
      <c r="B165" s="42"/>
      <c r="C165" s="93"/>
      <c r="D165" s="42"/>
      <c r="E165" s="42"/>
      <c r="F165" s="130">
        <f>IFA!F76</f>
        <v>0</v>
      </c>
      <c r="G165" s="118"/>
      <c r="J165" s="3"/>
    </row>
    <row r="166" spans="1:10" hidden="1">
      <c r="A166" s="42"/>
      <c r="B166" s="42"/>
      <c r="C166" s="93"/>
      <c r="D166" s="42"/>
      <c r="E166" s="42"/>
      <c r="F166" s="38"/>
      <c r="G166" s="23"/>
      <c r="J166" s="3"/>
    </row>
    <row r="167" spans="1:10" hidden="1">
      <c r="A167" s="93" t="s">
        <v>2441</v>
      </c>
      <c r="B167" s="93"/>
      <c r="C167" s="93"/>
      <c r="D167" s="93"/>
      <c r="E167" s="93"/>
      <c r="F167" s="38" t="e">
        <f>F156+F162</f>
        <v>#N/A</v>
      </c>
      <c r="G167" s="23"/>
      <c r="J167" s="3"/>
    </row>
    <row r="168" spans="1:10" hidden="1">
      <c r="A168" s="93" t="s">
        <v>2942</v>
      </c>
      <c r="B168" s="93"/>
      <c r="C168" s="93"/>
      <c r="D168" s="93"/>
      <c r="E168" s="93"/>
      <c r="F168" s="38" t="e">
        <f>F157+F163</f>
        <v>#N/A</v>
      </c>
      <c r="G168" s="23"/>
      <c r="J168" s="3"/>
    </row>
    <row r="169" spans="1:10" hidden="1">
      <c r="A169" s="93" t="s">
        <v>2943</v>
      </c>
      <c r="B169" s="93"/>
      <c r="C169" s="93"/>
      <c r="D169" s="93"/>
      <c r="E169" s="93"/>
      <c r="F169" s="38" t="e">
        <f>F159+F165</f>
        <v>#N/A</v>
      </c>
      <c r="G169" s="23"/>
      <c r="J169" s="3"/>
    </row>
    <row r="170" spans="1:10" ht="13.8" hidden="1" thickBot="1">
      <c r="A170" s="93" t="s">
        <v>2944</v>
      </c>
      <c r="B170" s="42"/>
      <c r="C170" s="93"/>
      <c r="D170" s="42"/>
      <c r="E170" s="42"/>
      <c r="F170" s="38" t="e">
        <f>F158+F164</f>
        <v>#N/A</v>
      </c>
      <c r="G170" s="38"/>
      <c r="J170" s="3"/>
    </row>
    <row r="171" spans="1:10" ht="13.8" thickTop="1">
      <c r="A171" s="511"/>
      <c r="B171" s="512"/>
      <c r="C171" s="512"/>
      <c r="D171" s="512"/>
      <c r="E171" s="512"/>
      <c r="F171" s="513"/>
      <c r="G171" s="23"/>
      <c r="J171" s="3"/>
    </row>
    <row r="172" spans="1:10">
      <c r="A172" s="514" t="s">
        <v>5902</v>
      </c>
      <c r="B172" s="149"/>
      <c r="C172" s="149"/>
      <c r="D172" s="149"/>
      <c r="E172" s="149"/>
      <c r="F172" s="515"/>
      <c r="G172" s="23"/>
      <c r="J172" s="3"/>
    </row>
    <row r="173" spans="1:10">
      <c r="A173" s="514"/>
      <c r="B173" s="149"/>
      <c r="C173" s="149"/>
      <c r="D173" s="149"/>
      <c r="E173" s="149"/>
      <c r="F173" s="515"/>
      <c r="G173" s="23"/>
      <c r="J173" s="3"/>
    </row>
    <row r="174" spans="1:10">
      <c r="A174" s="514" t="s">
        <v>5898</v>
      </c>
      <c r="B174" s="149"/>
      <c r="C174" s="149"/>
      <c r="D174" s="149"/>
      <c r="E174" s="149"/>
      <c r="F174" s="515" t="e">
        <f>'Calc Data'!E96</f>
        <v>#N/A</v>
      </c>
      <c r="G174" s="23"/>
      <c r="J174" s="3"/>
    </row>
    <row r="175" spans="1:10">
      <c r="A175" s="514" t="s">
        <v>1941</v>
      </c>
      <c r="B175" s="149"/>
      <c r="C175" s="149"/>
      <c r="D175" s="149"/>
      <c r="E175" s="149"/>
      <c r="F175" s="515" t="e">
        <f>'Calc Data'!E148*-1</f>
        <v>#N/A</v>
      </c>
      <c r="G175" s="23"/>
      <c r="J175" s="3"/>
    </row>
    <row r="176" spans="1:10">
      <c r="A176" s="514" t="s">
        <v>5899</v>
      </c>
      <c r="B176" s="149"/>
      <c r="C176" s="149"/>
      <c r="D176" s="149"/>
      <c r="E176" s="149"/>
      <c r="F176" s="515">
        <f>F73</f>
        <v>0</v>
      </c>
      <c r="G176" s="23"/>
      <c r="J176" s="3"/>
    </row>
    <row r="177" spans="1:19">
      <c r="A177" s="514" t="s">
        <v>1888</v>
      </c>
      <c r="B177" s="149"/>
      <c r="C177" s="149"/>
      <c r="D177" s="149"/>
      <c r="E177" s="149"/>
      <c r="F177" s="520" t="e">
        <f>F75</f>
        <v>#REF!</v>
      </c>
      <c r="G177" s="23"/>
      <c r="J177" s="3"/>
    </row>
    <row r="178" spans="1:19">
      <c r="A178" s="514" t="s">
        <v>5900</v>
      </c>
      <c r="B178" s="149"/>
      <c r="C178" s="149"/>
      <c r="D178" s="149"/>
      <c r="E178" s="149"/>
      <c r="F178" s="515" t="e">
        <f>SUM(F174:F177)</f>
        <v>#N/A</v>
      </c>
      <c r="G178" s="23"/>
      <c r="J178" s="3"/>
    </row>
    <row r="179" spans="1:19">
      <c r="A179" s="514" t="s">
        <v>1897</v>
      </c>
      <c r="B179" s="149"/>
      <c r="C179" s="149"/>
      <c r="D179" s="149"/>
      <c r="E179" s="149"/>
      <c r="F179" s="520">
        <f>F81</f>
        <v>0</v>
      </c>
      <c r="G179" s="23"/>
      <c r="J179" s="3"/>
    </row>
    <row r="180" spans="1:19" ht="13.8" thickBot="1">
      <c r="A180" s="514" t="s">
        <v>5901</v>
      </c>
      <c r="B180" s="149"/>
      <c r="C180" s="149"/>
      <c r="D180" s="149"/>
      <c r="E180" s="149"/>
      <c r="F180" s="521" t="e">
        <f>F178+F179</f>
        <v>#N/A</v>
      </c>
      <c r="G180" s="23"/>
      <c r="J180" s="3"/>
    </row>
    <row r="181" spans="1:19" ht="13.8" thickTop="1">
      <c r="A181" s="514"/>
      <c r="B181" s="149"/>
      <c r="C181" s="149"/>
      <c r="D181" s="149"/>
      <c r="E181" s="149"/>
      <c r="F181" s="515"/>
      <c r="G181" s="23"/>
      <c r="J181" s="3"/>
    </row>
    <row r="182" spans="1:19">
      <c r="A182" s="514" t="s">
        <v>1966</v>
      </c>
      <c r="B182" s="149"/>
      <c r="C182" s="149"/>
      <c r="D182" s="149"/>
      <c r="E182" s="149"/>
      <c r="F182" s="516" t="e">
        <f>F147</f>
        <v>#N/A</v>
      </c>
      <c r="G182" s="23"/>
      <c r="J182" s="3"/>
      <c r="S182" s="42"/>
    </row>
    <row r="183" spans="1:19">
      <c r="A183" s="514" t="s">
        <v>6052</v>
      </c>
      <c r="B183" s="149"/>
      <c r="C183" s="149"/>
      <c r="D183" s="149"/>
      <c r="E183" s="149"/>
      <c r="F183" s="516">
        <f>F35*-1</f>
        <v>0</v>
      </c>
      <c r="G183" s="23"/>
      <c r="J183" s="3"/>
      <c r="S183" s="42"/>
    </row>
    <row r="184" spans="1:19">
      <c r="A184" s="514" t="s">
        <v>3631</v>
      </c>
      <c r="B184" s="149"/>
      <c r="C184" s="149"/>
      <c r="D184" s="149"/>
      <c r="E184" s="149"/>
      <c r="F184" s="516" t="e">
        <f>F101*-1</f>
        <v>#DIV/0!</v>
      </c>
      <c r="G184" s="23"/>
      <c r="J184" s="3"/>
      <c r="S184" s="42"/>
    </row>
    <row r="185" spans="1:19">
      <c r="A185" s="514" t="s">
        <v>3633</v>
      </c>
      <c r="B185" s="149"/>
      <c r="C185" s="149"/>
      <c r="D185" s="149"/>
      <c r="E185" s="149"/>
      <c r="F185" s="516" t="e">
        <f>(F43+F44)*-1</f>
        <v>#N/A</v>
      </c>
      <c r="G185" s="23"/>
      <c r="J185" s="3"/>
      <c r="S185" s="42"/>
    </row>
    <row r="186" spans="1:19">
      <c r="A186" s="514" t="s">
        <v>2786</v>
      </c>
      <c r="B186" s="149"/>
      <c r="C186" s="149"/>
      <c r="D186" s="149"/>
      <c r="E186" s="149"/>
      <c r="F186" s="516" t="e">
        <f>(F87+F88)*-1</f>
        <v>#N/A</v>
      </c>
      <c r="G186" s="23"/>
      <c r="J186" s="3"/>
      <c r="S186" s="42"/>
    </row>
    <row r="187" spans="1:19">
      <c r="A187" s="514" t="s">
        <v>5241</v>
      </c>
      <c r="B187" s="149"/>
      <c r="C187" s="149"/>
      <c r="D187" s="149"/>
      <c r="E187" s="149"/>
      <c r="F187" s="516" t="e">
        <f>'Calc Data'!E113*-1</f>
        <v>#N/A</v>
      </c>
      <c r="G187" s="23"/>
      <c r="J187" s="3"/>
      <c r="S187" s="42"/>
    </row>
    <row r="188" spans="1:19">
      <c r="A188" s="514" t="s">
        <v>3522</v>
      </c>
      <c r="B188" s="149"/>
      <c r="C188" s="149"/>
      <c r="D188" s="149"/>
      <c r="E188" s="149"/>
      <c r="F188" s="520" t="e">
        <f>'Calc Data'!F43-'Calc Data'!E107</f>
        <v>#N/A</v>
      </c>
      <c r="G188" s="23"/>
      <c r="J188" s="3"/>
    </row>
    <row r="189" spans="1:19" ht="13.8" thickBot="1">
      <c r="A189" s="514" t="s">
        <v>3632</v>
      </c>
      <c r="B189" s="149"/>
      <c r="C189" s="149"/>
      <c r="D189" s="149"/>
      <c r="E189" s="149"/>
      <c r="F189" s="521" t="e">
        <f>SUM(F182:F188)</f>
        <v>#N/A</v>
      </c>
      <c r="G189" s="23"/>
      <c r="J189" s="3"/>
    </row>
    <row r="190" spans="1:19" ht="14.4" thickTop="1" thickBot="1">
      <c r="A190" s="517"/>
      <c r="B190" s="518"/>
      <c r="C190" s="518"/>
      <c r="D190" s="518"/>
      <c r="E190" s="518"/>
      <c r="F190" s="519"/>
      <c r="G190" s="23"/>
      <c r="J190" s="3"/>
    </row>
    <row r="191" spans="1:19" ht="13.8" thickTop="1">
      <c r="A191" s="57"/>
      <c r="C191" s="57"/>
      <c r="F191" s="38"/>
      <c r="G191" s="23"/>
      <c r="J191" s="3"/>
    </row>
    <row r="192" spans="1:19" ht="13.8" thickBot="1">
      <c r="A192" s="57"/>
      <c r="C192" s="57"/>
      <c r="F192" s="38"/>
      <c r="G192" s="23"/>
      <c r="J192" s="3"/>
    </row>
    <row r="193" spans="1:13" ht="13.8" thickTop="1">
      <c r="A193" s="119"/>
      <c r="B193" s="119"/>
      <c r="C193" s="119"/>
      <c r="D193" s="119"/>
      <c r="E193" s="119"/>
      <c r="F193" s="120"/>
      <c r="G193" s="38"/>
      <c r="I193" s="4"/>
      <c r="J193" s="3"/>
    </row>
    <row r="194" spans="1:13">
      <c r="A194" s="27" t="s">
        <v>3220</v>
      </c>
      <c r="F194" s="23"/>
      <c r="G194" s="23"/>
      <c r="J194" s="3"/>
    </row>
    <row r="195" spans="1:13">
      <c r="F195" s="23"/>
      <c r="G195" s="23"/>
      <c r="J195" s="8"/>
      <c r="M195" s="4"/>
    </row>
    <row r="196" spans="1:13">
      <c r="A196" s="27" t="s">
        <v>1298</v>
      </c>
      <c r="F196" s="23"/>
      <c r="G196" s="23"/>
      <c r="J196" s="8"/>
      <c r="M196" s="4"/>
    </row>
    <row r="197" spans="1:13">
      <c r="A197" s="27" t="s">
        <v>1299</v>
      </c>
      <c r="F197" s="44" t="e">
        <f>IF('Data Entry - SOF'!H89="Y","N/A",F40)</f>
        <v>#N/A</v>
      </c>
      <c r="J197" s="8"/>
      <c r="M197" s="4"/>
    </row>
    <row r="198" spans="1:13">
      <c r="A198" s="27" t="s">
        <v>6197</v>
      </c>
      <c r="F198" s="44" t="e">
        <f>IF('Data Entry - SOF'!H89="Y","N/A",F42+F44)</f>
        <v>#N/A</v>
      </c>
      <c r="J198" s="8"/>
      <c r="M198" s="4"/>
    </row>
    <row r="199" spans="1:13">
      <c r="A199" s="27" t="s">
        <v>6198</v>
      </c>
      <c r="F199" s="43" t="e">
        <f>IF('Data Entry - SOF'!H89="Y","N/A",'Calc Data'!F43+'Calc Data'!F50)</f>
        <v>#N/A</v>
      </c>
      <c r="J199" s="8"/>
      <c r="M199" s="4"/>
    </row>
    <row r="200" spans="1:13" ht="17.399999999999999">
      <c r="A200" s="27" t="s">
        <v>5255</v>
      </c>
      <c r="F200" s="44" t="e">
        <f>IF('Data Entry - SOF'!H89="Y","N/A",F197+F198+F199)</f>
        <v>#N/A</v>
      </c>
      <c r="H200" s="29"/>
      <c r="J200" s="8"/>
      <c r="M200" s="4"/>
    </row>
    <row r="201" spans="1:13">
      <c r="A201" s="27" t="s">
        <v>5256</v>
      </c>
      <c r="F201" s="44" t="e">
        <f>IF('Data Entry - SOF'!H89="Y","N/A",'Calc Data'!F31)</f>
        <v>#N/A</v>
      </c>
      <c r="J201" s="8"/>
      <c r="M201" s="4"/>
    </row>
    <row r="202" spans="1:13">
      <c r="A202" s="27" t="s">
        <v>5257</v>
      </c>
      <c r="F202" s="46" t="e">
        <f>IF('Data Entry - SOF'!H89="Y","N/A",F200/F201)</f>
        <v>#N/A</v>
      </c>
      <c r="J202" s="8"/>
      <c r="M202" s="4"/>
    </row>
    <row r="203" spans="1:13">
      <c r="F203" s="44"/>
      <c r="J203" s="8"/>
      <c r="M203" s="4"/>
    </row>
    <row r="204" spans="1:13">
      <c r="A204" s="27" t="s">
        <v>5258</v>
      </c>
      <c r="F204" s="44"/>
      <c r="J204" s="8"/>
      <c r="M204" s="4"/>
    </row>
    <row r="205" spans="1:13">
      <c r="A205" s="27" t="s">
        <v>5642</v>
      </c>
      <c r="F205" s="44" t="e">
        <f>IF('Data Entry - SOF'!H89="Y","N/A",F97)</f>
        <v>#N/A</v>
      </c>
      <c r="J205" s="8"/>
    </row>
    <row r="206" spans="1:13">
      <c r="A206" s="27" t="s">
        <v>5643</v>
      </c>
      <c r="F206" s="44" t="e">
        <f>IF('Data Entry - SOF'!H89="Y","N/A",F202)</f>
        <v>#N/A</v>
      </c>
      <c r="J206" s="8"/>
    </row>
    <row r="207" spans="1:13">
      <c r="A207" s="27" t="s">
        <v>5644</v>
      </c>
      <c r="F207" s="47" t="e">
        <f>IF(F205="N/A","N/A",F205/F206)</f>
        <v>#N/A</v>
      </c>
      <c r="J207" s="8"/>
    </row>
  </sheetData>
  <phoneticPr fontId="33" type="noConversion"/>
  <pageMargins left="0.25" right="0.25" top="0.5" bottom="0.5" header="0.5" footer="0.5"/>
  <pageSetup scale="85" orientation="portrait" horizontalDpi="300" verticalDpi="300" r:id="rId1"/>
  <headerFooter alignWithMargins="0">
    <oddFooter>&amp;L&amp;G</oddFooter>
  </headerFooter>
  <rowBreaks count="2" manualBreakCount="2">
    <brk id="59" max="16383" man="1"/>
    <brk id="141" max="5" man="1"/>
  </rowBreaks>
  <drawing r:id="rId2"/>
  <legacyDrawing r:id="rId3"/>
  <legacyDrawingHF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C1032"/>
  <sheetViews>
    <sheetView workbookViewId="0">
      <selection activeCell="C1" sqref="C1"/>
    </sheetView>
  </sheetViews>
  <sheetFormatPr defaultRowHeight="13.2"/>
  <sheetData>
    <row r="1" spans="1:3">
      <c r="A1" s="927" t="str">
        <f>'Data Entry - SOF'!B2</f>
        <v>000-000</v>
      </c>
      <c r="B1" s="927" t="e">
        <f>VLOOKUP(A1,A2:PB1032,2,FALSE)</f>
        <v>#N/A</v>
      </c>
      <c r="C1" s="927" t="e">
        <f>IF(B1&lt;300,0.00025,0.0004)</f>
        <v>#N/A</v>
      </c>
    </row>
    <row r="2" spans="1:3">
      <c r="A2" s="216" t="s">
        <v>3890</v>
      </c>
      <c r="B2" s="187">
        <v>230</v>
      </c>
    </row>
    <row r="3" spans="1:3">
      <c r="A3" s="216" t="s">
        <v>694</v>
      </c>
      <c r="B3" s="187">
        <v>158</v>
      </c>
    </row>
    <row r="4" spans="1:3">
      <c r="A4" s="216" t="s">
        <v>696</v>
      </c>
      <c r="B4" s="187">
        <v>93</v>
      </c>
    </row>
    <row r="5" spans="1:3">
      <c r="A5" s="216" t="s">
        <v>698</v>
      </c>
      <c r="B5" s="187">
        <v>84</v>
      </c>
    </row>
    <row r="6" spans="1:3">
      <c r="A6" s="216" t="s">
        <v>700</v>
      </c>
      <c r="B6" s="187">
        <v>226</v>
      </c>
    </row>
    <row r="7" spans="1:3">
      <c r="A7" s="216" t="s">
        <v>1491</v>
      </c>
      <c r="B7" s="187">
        <v>96</v>
      </c>
    </row>
    <row r="8" spans="1:3">
      <c r="A8" s="216" t="s">
        <v>6212</v>
      </c>
      <c r="B8" s="187">
        <v>145</v>
      </c>
    </row>
    <row r="9" spans="1:3">
      <c r="A9" s="216" t="s">
        <v>2753</v>
      </c>
      <c r="B9" s="246">
        <v>1503</v>
      </c>
    </row>
    <row r="10" spans="1:3">
      <c r="A10" s="216" t="s">
        <v>3080</v>
      </c>
      <c r="B10" s="187">
        <v>76</v>
      </c>
    </row>
    <row r="11" spans="1:3">
      <c r="A11" s="216" t="s">
        <v>2842</v>
      </c>
      <c r="B11" s="187">
        <v>160</v>
      </c>
    </row>
    <row r="12" spans="1:3">
      <c r="A12" s="216" t="s">
        <v>1874</v>
      </c>
      <c r="B12" s="187">
        <v>197</v>
      </c>
    </row>
    <row r="13" spans="1:3">
      <c r="A13" s="216" t="s">
        <v>2844</v>
      </c>
      <c r="B13" s="187">
        <v>116</v>
      </c>
    </row>
    <row r="14" spans="1:3">
      <c r="A14" s="216" t="s">
        <v>2846</v>
      </c>
      <c r="B14" s="187">
        <v>210</v>
      </c>
    </row>
    <row r="15" spans="1:3">
      <c r="A15" s="216" t="s">
        <v>2848</v>
      </c>
      <c r="B15" s="187">
        <v>94</v>
      </c>
    </row>
    <row r="16" spans="1:3">
      <c r="A16" s="216" t="s">
        <v>1225</v>
      </c>
      <c r="B16" s="187">
        <v>443</v>
      </c>
    </row>
    <row r="17" spans="1:2">
      <c r="A17" s="216" t="s">
        <v>1227</v>
      </c>
      <c r="B17" s="187">
        <v>447</v>
      </c>
    </row>
    <row r="18" spans="1:2">
      <c r="A18" s="216" t="s">
        <v>1229</v>
      </c>
      <c r="B18" s="187">
        <v>245</v>
      </c>
    </row>
    <row r="19" spans="1:2">
      <c r="A19" s="216" t="s">
        <v>1231</v>
      </c>
      <c r="B19" s="187">
        <v>170</v>
      </c>
    </row>
    <row r="20" spans="1:2">
      <c r="A20" s="216" t="s">
        <v>2360</v>
      </c>
      <c r="B20" s="187">
        <v>59</v>
      </c>
    </row>
    <row r="21" spans="1:2">
      <c r="A21" s="216" t="s">
        <v>1233</v>
      </c>
      <c r="B21" s="187">
        <v>824</v>
      </c>
    </row>
    <row r="22" spans="1:2">
      <c r="A22" s="216" t="s">
        <v>3081</v>
      </c>
      <c r="B22" s="187">
        <v>249</v>
      </c>
    </row>
    <row r="23" spans="1:2">
      <c r="A23" s="216" t="s">
        <v>1235</v>
      </c>
      <c r="B23" s="187">
        <v>272</v>
      </c>
    </row>
    <row r="24" spans="1:2">
      <c r="A24" s="216" t="s">
        <v>2999</v>
      </c>
      <c r="B24" s="187">
        <v>48</v>
      </c>
    </row>
    <row r="25" spans="1:2">
      <c r="A25" s="216" t="s">
        <v>5127</v>
      </c>
      <c r="B25" s="187">
        <v>444</v>
      </c>
    </row>
    <row r="26" spans="1:2">
      <c r="A26" s="216" t="s">
        <v>2563</v>
      </c>
      <c r="B26" s="187">
        <v>175</v>
      </c>
    </row>
    <row r="27" spans="1:2">
      <c r="A27" s="216" t="s">
        <v>1237</v>
      </c>
      <c r="B27" s="187">
        <v>387</v>
      </c>
    </row>
    <row r="28" spans="1:2">
      <c r="A28" s="216" t="s">
        <v>1239</v>
      </c>
      <c r="B28" s="187">
        <v>207</v>
      </c>
    </row>
    <row r="29" spans="1:2">
      <c r="A29" s="216" t="s">
        <v>1241</v>
      </c>
      <c r="B29" s="187">
        <v>127</v>
      </c>
    </row>
    <row r="30" spans="1:2">
      <c r="A30" s="216" t="s">
        <v>1243</v>
      </c>
      <c r="B30" s="187">
        <v>474</v>
      </c>
    </row>
    <row r="31" spans="1:2">
      <c r="A31" s="216" t="s">
        <v>1245</v>
      </c>
      <c r="B31" s="187">
        <v>306</v>
      </c>
    </row>
    <row r="32" spans="1:2">
      <c r="A32" s="216" t="s">
        <v>2361</v>
      </c>
      <c r="B32" s="187">
        <v>322</v>
      </c>
    </row>
    <row r="33" spans="1:2">
      <c r="A33" s="216" t="s">
        <v>948</v>
      </c>
      <c r="B33" s="187">
        <v>434</v>
      </c>
    </row>
    <row r="34" spans="1:2">
      <c r="A34" s="216" t="s">
        <v>1522</v>
      </c>
      <c r="B34" s="187">
        <v>157</v>
      </c>
    </row>
    <row r="35" spans="1:2">
      <c r="A35" s="216" t="s">
        <v>438</v>
      </c>
      <c r="B35" s="187">
        <v>292</v>
      </c>
    </row>
    <row r="36" spans="1:2">
      <c r="A36" s="216" t="s">
        <v>2565</v>
      </c>
      <c r="B36" s="187">
        <v>64</v>
      </c>
    </row>
    <row r="37" spans="1:2">
      <c r="A37" s="216" t="s">
        <v>1248</v>
      </c>
      <c r="B37" s="187">
        <v>906</v>
      </c>
    </row>
    <row r="38" spans="1:2">
      <c r="A38" s="216" t="s">
        <v>439</v>
      </c>
      <c r="B38" s="187">
        <v>357</v>
      </c>
    </row>
    <row r="39" spans="1:2">
      <c r="A39" s="216" t="s">
        <v>1250</v>
      </c>
      <c r="B39" s="187">
        <v>151</v>
      </c>
    </row>
    <row r="40" spans="1:2">
      <c r="A40" s="216" t="s">
        <v>1252</v>
      </c>
      <c r="B40" s="187">
        <v>179</v>
      </c>
    </row>
    <row r="41" spans="1:2">
      <c r="A41" s="216" t="s">
        <v>2399</v>
      </c>
      <c r="B41" s="187">
        <v>256</v>
      </c>
    </row>
    <row r="42" spans="1:2">
      <c r="A42" s="216" t="s">
        <v>2566</v>
      </c>
      <c r="B42" s="187">
        <v>52</v>
      </c>
    </row>
    <row r="43" spans="1:2">
      <c r="A43" s="216" t="s">
        <v>947</v>
      </c>
      <c r="B43" s="187">
        <v>102</v>
      </c>
    </row>
    <row r="44" spans="1:2">
      <c r="A44" s="216" t="s">
        <v>950</v>
      </c>
      <c r="B44" s="187">
        <v>196</v>
      </c>
    </row>
    <row r="45" spans="1:2">
      <c r="A45" s="216" t="s">
        <v>1869</v>
      </c>
      <c r="B45" s="187">
        <v>83</v>
      </c>
    </row>
    <row r="46" spans="1:2">
      <c r="A46" s="216" t="s">
        <v>6033</v>
      </c>
      <c r="B46" s="187">
        <v>201</v>
      </c>
    </row>
    <row r="47" spans="1:2">
      <c r="A47" s="216" t="s">
        <v>2309</v>
      </c>
      <c r="B47" s="187">
        <v>156</v>
      </c>
    </row>
    <row r="48" spans="1:2">
      <c r="A48" s="216" t="s">
        <v>2384</v>
      </c>
      <c r="B48" s="187">
        <v>130</v>
      </c>
    </row>
    <row r="49" spans="1:2">
      <c r="A49" s="216" t="s">
        <v>2411</v>
      </c>
      <c r="B49" s="187">
        <v>59</v>
      </c>
    </row>
    <row r="50" spans="1:2">
      <c r="A50" s="216" t="s">
        <v>2416</v>
      </c>
      <c r="B50" s="187">
        <v>105</v>
      </c>
    </row>
    <row r="51" spans="1:2">
      <c r="A51" s="216" t="s">
        <v>37</v>
      </c>
      <c r="B51" s="187">
        <v>12</v>
      </c>
    </row>
    <row r="52" spans="1:2">
      <c r="A52" s="216" t="s">
        <v>1860</v>
      </c>
      <c r="B52" s="187">
        <v>22</v>
      </c>
    </row>
    <row r="53" spans="1:2">
      <c r="A53" s="216" t="s">
        <v>1520</v>
      </c>
      <c r="B53" s="187">
        <v>19</v>
      </c>
    </row>
    <row r="54" spans="1:2">
      <c r="A54" s="216" t="s">
        <v>2386</v>
      </c>
      <c r="B54" s="187">
        <v>79</v>
      </c>
    </row>
    <row r="55" spans="1:2">
      <c r="A55" s="216" t="s">
        <v>2403</v>
      </c>
      <c r="B55" s="187">
        <v>21</v>
      </c>
    </row>
    <row r="56" spans="1:2">
      <c r="A56" s="216" t="s">
        <v>2402</v>
      </c>
      <c r="B56" s="187">
        <v>78</v>
      </c>
    </row>
    <row r="57" spans="1:2">
      <c r="A57" s="216" t="s">
        <v>6183</v>
      </c>
      <c r="B57" s="187">
        <v>103</v>
      </c>
    </row>
    <row r="58" spans="1:2">
      <c r="A58" s="216" t="s">
        <v>1517</v>
      </c>
      <c r="B58" s="187">
        <v>196</v>
      </c>
    </row>
    <row r="59" spans="1:2">
      <c r="A59" s="216" t="s">
        <v>3082</v>
      </c>
      <c r="B59" s="187">
        <v>107</v>
      </c>
    </row>
    <row r="60" spans="1:2">
      <c r="A60" s="216" t="s">
        <v>6185</v>
      </c>
      <c r="B60" s="187">
        <v>341</v>
      </c>
    </row>
    <row r="61" spans="1:2">
      <c r="A61" s="216" t="s">
        <v>6026</v>
      </c>
      <c r="B61" s="187">
        <v>75</v>
      </c>
    </row>
    <row r="62" spans="1:2">
      <c r="A62" s="216" t="s">
        <v>2404</v>
      </c>
      <c r="B62" s="187">
        <v>101</v>
      </c>
    </row>
    <row r="63" spans="1:2">
      <c r="A63" s="216" t="s">
        <v>45</v>
      </c>
      <c r="B63" s="187">
        <v>532</v>
      </c>
    </row>
    <row r="64" spans="1:2">
      <c r="A64" s="216" t="s">
        <v>952</v>
      </c>
      <c r="B64" s="187">
        <v>350</v>
      </c>
    </row>
    <row r="65" spans="1:2">
      <c r="A65" s="216" t="s">
        <v>47</v>
      </c>
      <c r="B65" s="187">
        <v>908</v>
      </c>
    </row>
    <row r="66" spans="1:2">
      <c r="A66" s="216" t="s">
        <v>740</v>
      </c>
      <c r="B66" s="187">
        <v>218</v>
      </c>
    </row>
    <row r="67" spans="1:2">
      <c r="A67" s="216" t="s">
        <v>49</v>
      </c>
      <c r="B67" s="187">
        <v>150</v>
      </c>
    </row>
    <row r="68" spans="1:2">
      <c r="A68" s="216" t="s">
        <v>1337</v>
      </c>
      <c r="B68" s="187">
        <v>61</v>
      </c>
    </row>
    <row r="69" spans="1:2">
      <c r="A69" s="216" t="s">
        <v>1339</v>
      </c>
      <c r="B69" s="187">
        <v>174</v>
      </c>
    </row>
    <row r="70" spans="1:2">
      <c r="A70" s="216" t="s">
        <v>2474</v>
      </c>
      <c r="B70" s="187">
        <v>102</v>
      </c>
    </row>
    <row r="71" spans="1:2">
      <c r="A71" s="216" t="s">
        <v>1341</v>
      </c>
      <c r="B71" s="187">
        <v>144</v>
      </c>
    </row>
    <row r="72" spans="1:2">
      <c r="A72" s="216" t="s">
        <v>1343</v>
      </c>
      <c r="B72" s="187">
        <v>108</v>
      </c>
    </row>
    <row r="73" spans="1:2">
      <c r="A73" s="216" t="s">
        <v>1345</v>
      </c>
      <c r="B73" s="187">
        <v>147</v>
      </c>
    </row>
    <row r="74" spans="1:2">
      <c r="A74" s="216" t="s">
        <v>963</v>
      </c>
      <c r="B74" s="187">
        <v>279</v>
      </c>
    </row>
    <row r="75" spans="1:2">
      <c r="A75" s="216" t="s">
        <v>3083</v>
      </c>
      <c r="B75" s="187">
        <v>69</v>
      </c>
    </row>
    <row r="76" spans="1:2">
      <c r="A76" s="216" t="s">
        <v>2568</v>
      </c>
      <c r="B76" s="187">
        <v>38</v>
      </c>
    </row>
    <row r="77" spans="1:2">
      <c r="A77" s="216" t="s">
        <v>1349</v>
      </c>
      <c r="B77" s="187">
        <v>112</v>
      </c>
    </row>
    <row r="78" spans="1:2">
      <c r="A78" s="216" t="s">
        <v>6083</v>
      </c>
      <c r="B78" s="187">
        <v>80</v>
      </c>
    </row>
    <row r="79" spans="1:2">
      <c r="A79" s="216" t="s">
        <v>6085</v>
      </c>
      <c r="B79" s="187">
        <v>22</v>
      </c>
    </row>
    <row r="80" spans="1:2">
      <c r="A80" s="216" t="s">
        <v>1998</v>
      </c>
      <c r="B80" s="187">
        <v>60</v>
      </c>
    </row>
    <row r="81" spans="1:2">
      <c r="A81" s="216" t="s">
        <v>2570</v>
      </c>
      <c r="B81" s="187">
        <v>145</v>
      </c>
    </row>
    <row r="82" spans="1:2">
      <c r="A82" s="216" t="s">
        <v>4076</v>
      </c>
      <c r="B82" s="187">
        <v>17</v>
      </c>
    </row>
    <row r="83" spans="1:2">
      <c r="A83" s="216" t="s">
        <v>1963</v>
      </c>
      <c r="B83" s="187">
        <v>9</v>
      </c>
    </row>
    <row r="84" spans="1:2">
      <c r="A84" s="216" t="s">
        <v>2000</v>
      </c>
      <c r="B84" s="187">
        <v>64</v>
      </c>
    </row>
    <row r="85" spans="1:2">
      <c r="A85" s="216" t="s">
        <v>2002</v>
      </c>
      <c r="B85" s="187">
        <v>19</v>
      </c>
    </row>
    <row r="86" spans="1:2">
      <c r="A86" s="216" t="s">
        <v>1964</v>
      </c>
      <c r="B86" s="187">
        <v>9</v>
      </c>
    </row>
    <row r="87" spans="1:2">
      <c r="A87" s="216" t="s">
        <v>2136</v>
      </c>
      <c r="B87" s="187">
        <v>254</v>
      </c>
    </row>
    <row r="88" spans="1:2">
      <c r="A88" s="216" t="s">
        <v>2966</v>
      </c>
      <c r="B88" s="187">
        <v>437</v>
      </c>
    </row>
    <row r="89" spans="1:2">
      <c r="A89" s="216" t="s">
        <v>3084</v>
      </c>
      <c r="B89" s="187">
        <v>64</v>
      </c>
    </row>
    <row r="90" spans="1:2">
      <c r="A90" s="216" t="s">
        <v>6252</v>
      </c>
      <c r="B90" s="187">
        <v>457</v>
      </c>
    </row>
    <row r="91" spans="1:2">
      <c r="A91" s="216" t="s">
        <v>6254</v>
      </c>
      <c r="B91" s="187">
        <v>213</v>
      </c>
    </row>
    <row r="92" spans="1:2">
      <c r="A92" s="216" t="s">
        <v>233</v>
      </c>
      <c r="B92" s="187">
        <v>244</v>
      </c>
    </row>
    <row r="93" spans="1:2">
      <c r="A93" s="216" t="s">
        <v>6195</v>
      </c>
      <c r="B93" s="187">
        <v>45</v>
      </c>
    </row>
    <row r="94" spans="1:2">
      <c r="A94" s="216" t="s">
        <v>6256</v>
      </c>
      <c r="B94" s="187">
        <v>61</v>
      </c>
    </row>
    <row r="95" spans="1:2">
      <c r="A95" s="216" t="s">
        <v>743</v>
      </c>
      <c r="B95" s="187">
        <v>102</v>
      </c>
    </row>
    <row r="96" spans="1:2">
      <c r="A96" s="216" t="s">
        <v>960</v>
      </c>
      <c r="B96" s="187">
        <v>409</v>
      </c>
    </row>
    <row r="97" spans="1:2">
      <c r="A97" s="216" t="s">
        <v>6260</v>
      </c>
      <c r="B97" s="187">
        <v>701</v>
      </c>
    </row>
    <row r="98" spans="1:2">
      <c r="A98" s="216" t="s">
        <v>6262</v>
      </c>
      <c r="B98" s="246">
        <v>1925</v>
      </c>
    </row>
    <row r="99" spans="1:2">
      <c r="A99" s="216" t="s">
        <v>6264</v>
      </c>
      <c r="B99" s="246">
        <v>1988</v>
      </c>
    </row>
    <row r="100" spans="1:2">
      <c r="A100" s="216" t="s">
        <v>6266</v>
      </c>
      <c r="B100" s="246">
        <v>1579</v>
      </c>
    </row>
    <row r="101" spans="1:2">
      <c r="A101" s="216" t="s">
        <v>6268</v>
      </c>
      <c r="B101" s="187">
        <v>553</v>
      </c>
    </row>
    <row r="102" spans="1:2">
      <c r="A102" s="216" t="s">
        <v>6270</v>
      </c>
      <c r="B102" s="187">
        <v>945</v>
      </c>
    </row>
    <row r="103" spans="1:2">
      <c r="A103" s="216" t="s">
        <v>6272</v>
      </c>
      <c r="B103" s="187">
        <v>199</v>
      </c>
    </row>
    <row r="104" spans="1:2">
      <c r="A104" s="216" t="s">
        <v>2291</v>
      </c>
      <c r="B104" s="187">
        <v>141</v>
      </c>
    </row>
    <row r="105" spans="1:2">
      <c r="A105" s="216" t="s">
        <v>954</v>
      </c>
      <c r="B105" s="187">
        <v>93</v>
      </c>
    </row>
    <row r="106" spans="1:2">
      <c r="A106" s="216" t="s">
        <v>6166</v>
      </c>
      <c r="B106" s="187">
        <v>209</v>
      </c>
    </row>
    <row r="107" spans="1:2">
      <c r="A107" s="216" t="s">
        <v>864</v>
      </c>
      <c r="B107" s="187">
        <v>77</v>
      </c>
    </row>
    <row r="108" spans="1:2">
      <c r="A108" s="216" t="s">
        <v>3085</v>
      </c>
      <c r="B108" s="187">
        <v>160</v>
      </c>
    </row>
    <row r="109" spans="1:2">
      <c r="A109" s="216" t="s">
        <v>1518</v>
      </c>
      <c r="B109" s="187">
        <v>79</v>
      </c>
    </row>
    <row r="110" spans="1:2">
      <c r="A110" s="216" t="s">
        <v>2293</v>
      </c>
      <c r="B110" s="187">
        <v>377</v>
      </c>
    </row>
    <row r="111" spans="1:2">
      <c r="A111" s="216" t="s">
        <v>2295</v>
      </c>
      <c r="B111" s="187">
        <v>113</v>
      </c>
    </row>
    <row r="112" spans="1:2">
      <c r="A112" s="216" t="s">
        <v>2297</v>
      </c>
      <c r="B112" s="187">
        <v>189</v>
      </c>
    </row>
    <row r="113" spans="1:2">
      <c r="A113" s="216" t="s">
        <v>978</v>
      </c>
      <c r="B113" s="187">
        <v>703</v>
      </c>
    </row>
    <row r="114" spans="1:2">
      <c r="A114" s="216" t="s">
        <v>3003</v>
      </c>
      <c r="B114" s="187">
        <v>296</v>
      </c>
    </row>
    <row r="115" spans="1:2">
      <c r="A115" s="216" t="s">
        <v>2993</v>
      </c>
      <c r="B115" s="187">
        <v>325</v>
      </c>
    </row>
    <row r="116" spans="1:2">
      <c r="A116" s="216" t="s">
        <v>518</v>
      </c>
      <c r="B116" s="187">
        <v>118</v>
      </c>
    </row>
    <row r="117" spans="1:2">
      <c r="A117" s="216" t="s">
        <v>2299</v>
      </c>
      <c r="B117" s="187">
        <v>40</v>
      </c>
    </row>
    <row r="118" spans="1:2">
      <c r="A118" s="216" t="s">
        <v>3971</v>
      </c>
      <c r="B118" s="246">
        <v>1286</v>
      </c>
    </row>
    <row r="119" spans="1:2">
      <c r="A119" s="216" t="s">
        <v>2161</v>
      </c>
      <c r="B119" s="187">
        <v>347</v>
      </c>
    </row>
    <row r="120" spans="1:2">
      <c r="A120" s="216" t="s">
        <v>3086</v>
      </c>
      <c r="B120" s="187">
        <v>335</v>
      </c>
    </row>
    <row r="121" spans="1:2">
      <c r="A121" s="216" t="s">
        <v>2605</v>
      </c>
      <c r="B121" s="187">
        <v>377</v>
      </c>
    </row>
    <row r="122" spans="1:2">
      <c r="A122" s="216" t="s">
        <v>4181</v>
      </c>
      <c r="B122" s="187">
        <v>113</v>
      </c>
    </row>
    <row r="123" spans="1:2">
      <c r="A123" s="216" t="s">
        <v>959</v>
      </c>
      <c r="B123" s="187">
        <v>109</v>
      </c>
    </row>
    <row r="124" spans="1:2">
      <c r="A124" s="216" t="s">
        <v>1861</v>
      </c>
      <c r="B124" s="187">
        <v>82</v>
      </c>
    </row>
    <row r="125" spans="1:2">
      <c r="A125" s="216" t="s">
        <v>6037</v>
      </c>
      <c r="B125" s="187">
        <v>34</v>
      </c>
    </row>
    <row r="126" spans="1:2">
      <c r="A126" s="216" t="s">
        <v>2995</v>
      </c>
      <c r="B126" s="187">
        <v>523</v>
      </c>
    </row>
    <row r="127" spans="1:2">
      <c r="A127" s="216" t="s">
        <v>7643</v>
      </c>
      <c r="B127" s="187">
        <v>463</v>
      </c>
    </row>
    <row r="128" spans="1:2">
      <c r="A128" s="216" t="s">
        <v>3087</v>
      </c>
      <c r="B128" s="187">
        <v>89</v>
      </c>
    </row>
    <row r="129" spans="1:2">
      <c r="A129" s="216" t="s">
        <v>2387</v>
      </c>
      <c r="B129" s="187">
        <v>107</v>
      </c>
    </row>
    <row r="130" spans="1:2">
      <c r="A130" s="216" t="s">
        <v>3088</v>
      </c>
      <c r="B130" s="187">
        <v>29</v>
      </c>
    </row>
    <row r="131" spans="1:2">
      <c r="A131" s="216" t="s">
        <v>2393</v>
      </c>
      <c r="B131" s="187">
        <v>26</v>
      </c>
    </row>
    <row r="132" spans="1:2">
      <c r="A132" s="216" t="s">
        <v>7647</v>
      </c>
      <c r="B132" s="187">
        <v>225</v>
      </c>
    </row>
    <row r="133" spans="1:2">
      <c r="A133" s="216" t="s">
        <v>7649</v>
      </c>
      <c r="B133" s="187">
        <v>242</v>
      </c>
    </row>
    <row r="134" spans="1:2">
      <c r="A134" s="216" t="s">
        <v>1786</v>
      </c>
      <c r="B134" s="187">
        <v>557</v>
      </c>
    </row>
    <row r="135" spans="1:2">
      <c r="A135" s="216" t="s">
        <v>1788</v>
      </c>
      <c r="B135" s="187">
        <v>264</v>
      </c>
    </row>
    <row r="136" spans="1:2">
      <c r="A136" s="216" t="s">
        <v>1790</v>
      </c>
      <c r="B136" s="187">
        <v>246</v>
      </c>
    </row>
    <row r="137" spans="1:2">
      <c r="A137" s="216" t="s">
        <v>1792</v>
      </c>
      <c r="B137" s="187">
        <v>66</v>
      </c>
    </row>
    <row r="138" spans="1:2">
      <c r="A138" s="216" t="s">
        <v>2982</v>
      </c>
      <c r="B138" s="187">
        <v>124</v>
      </c>
    </row>
    <row r="139" spans="1:2">
      <c r="A139" s="216" t="s">
        <v>2984</v>
      </c>
      <c r="B139" s="187">
        <v>278</v>
      </c>
    </row>
    <row r="140" spans="1:2">
      <c r="A140" s="216" t="s">
        <v>965</v>
      </c>
      <c r="B140" s="187">
        <v>37</v>
      </c>
    </row>
    <row r="141" spans="1:2">
      <c r="A141" s="216" t="s">
        <v>6704</v>
      </c>
      <c r="B141" s="187">
        <v>112</v>
      </c>
    </row>
    <row r="142" spans="1:2">
      <c r="A142" s="216" t="s">
        <v>6706</v>
      </c>
      <c r="B142" s="187">
        <v>23</v>
      </c>
    </row>
    <row r="143" spans="1:2">
      <c r="A143" s="216" t="s">
        <v>690</v>
      </c>
      <c r="B143" s="187">
        <v>36</v>
      </c>
    </row>
    <row r="144" spans="1:2">
      <c r="A144" s="216" t="s">
        <v>692</v>
      </c>
      <c r="B144" s="187">
        <v>446</v>
      </c>
    </row>
    <row r="145" spans="1:2">
      <c r="A145" s="216" t="s">
        <v>895</v>
      </c>
      <c r="B145" s="187">
        <v>156</v>
      </c>
    </row>
    <row r="146" spans="1:2">
      <c r="A146" s="216" t="s">
        <v>6177</v>
      </c>
      <c r="B146" s="187">
        <v>107</v>
      </c>
    </row>
    <row r="147" spans="1:2">
      <c r="A147" s="216" t="s">
        <v>265</v>
      </c>
      <c r="B147" s="187">
        <v>444</v>
      </c>
    </row>
    <row r="148" spans="1:2">
      <c r="A148" s="216" t="s">
        <v>897</v>
      </c>
      <c r="B148" s="187">
        <v>211</v>
      </c>
    </row>
    <row r="149" spans="1:2">
      <c r="A149" s="216" t="s">
        <v>899</v>
      </c>
      <c r="B149" s="187">
        <v>159</v>
      </c>
    </row>
    <row r="150" spans="1:2">
      <c r="A150" s="216" t="s">
        <v>901</v>
      </c>
      <c r="B150" s="187">
        <v>198</v>
      </c>
    </row>
    <row r="151" spans="1:2">
      <c r="A151" s="216" t="s">
        <v>6023</v>
      </c>
      <c r="B151" s="187">
        <v>265</v>
      </c>
    </row>
    <row r="152" spans="1:2">
      <c r="A152" s="216" t="s">
        <v>2383</v>
      </c>
      <c r="B152" s="187">
        <v>352</v>
      </c>
    </row>
    <row r="153" spans="1:2">
      <c r="A153" s="216" t="s">
        <v>6180</v>
      </c>
      <c r="B153" s="187">
        <v>60</v>
      </c>
    </row>
    <row r="154" spans="1:2">
      <c r="A154" s="216" t="s">
        <v>903</v>
      </c>
      <c r="B154" s="187">
        <v>106</v>
      </c>
    </row>
    <row r="155" spans="1:2">
      <c r="A155" s="216" t="s">
        <v>736</v>
      </c>
      <c r="B155" s="187">
        <v>603</v>
      </c>
    </row>
    <row r="156" spans="1:2">
      <c r="A156" s="216" t="s">
        <v>5336</v>
      </c>
      <c r="B156" s="187">
        <v>66</v>
      </c>
    </row>
    <row r="157" spans="1:2">
      <c r="A157" s="216" t="s">
        <v>2117</v>
      </c>
      <c r="B157" s="187">
        <v>431</v>
      </c>
    </row>
    <row r="158" spans="1:2">
      <c r="A158" s="216" t="s">
        <v>3089</v>
      </c>
      <c r="B158" s="187">
        <v>143</v>
      </c>
    </row>
    <row r="159" spans="1:2">
      <c r="A159" s="216" t="s">
        <v>2119</v>
      </c>
      <c r="B159" s="187">
        <v>154</v>
      </c>
    </row>
    <row r="160" spans="1:2">
      <c r="A160" s="216" t="s">
        <v>2121</v>
      </c>
      <c r="B160" s="187">
        <v>271</v>
      </c>
    </row>
    <row r="161" spans="1:2">
      <c r="A161" s="216" t="s">
        <v>2123</v>
      </c>
      <c r="B161" s="187">
        <v>229</v>
      </c>
    </row>
    <row r="162" spans="1:2">
      <c r="A162" s="216" t="s">
        <v>3130</v>
      </c>
      <c r="B162" s="187">
        <v>610</v>
      </c>
    </row>
    <row r="163" spans="1:2">
      <c r="A163" s="216" t="s">
        <v>3132</v>
      </c>
      <c r="B163" s="187">
        <v>337</v>
      </c>
    </row>
    <row r="164" spans="1:2">
      <c r="A164" s="216" t="s">
        <v>1322</v>
      </c>
      <c r="B164" s="187">
        <v>470</v>
      </c>
    </row>
    <row r="165" spans="1:2">
      <c r="A165" s="216" t="s">
        <v>742</v>
      </c>
      <c r="B165" s="187">
        <v>280</v>
      </c>
    </row>
    <row r="166" spans="1:2">
      <c r="A166" s="216" t="s">
        <v>440</v>
      </c>
      <c r="B166" s="187">
        <v>308</v>
      </c>
    </row>
    <row r="167" spans="1:2">
      <c r="A167" s="216" t="s">
        <v>1324</v>
      </c>
      <c r="B167" s="187">
        <v>544</v>
      </c>
    </row>
    <row r="168" spans="1:2">
      <c r="A168" s="216" t="s">
        <v>1326</v>
      </c>
      <c r="B168" s="187">
        <v>199</v>
      </c>
    </row>
    <row r="169" spans="1:2">
      <c r="A169" s="216" t="s">
        <v>818</v>
      </c>
      <c r="B169" s="187">
        <v>23</v>
      </c>
    </row>
    <row r="170" spans="1:2">
      <c r="A170" s="216" t="s">
        <v>266</v>
      </c>
      <c r="B170" s="187">
        <v>64</v>
      </c>
    </row>
    <row r="171" spans="1:2">
      <c r="A171" s="216" t="s">
        <v>441</v>
      </c>
      <c r="B171" s="187">
        <v>93</v>
      </c>
    </row>
    <row r="172" spans="1:2">
      <c r="A172" s="216" t="s">
        <v>1526</v>
      </c>
      <c r="B172" s="187">
        <v>89</v>
      </c>
    </row>
    <row r="173" spans="1:2">
      <c r="A173" s="216" t="s">
        <v>1312</v>
      </c>
      <c r="B173" s="187">
        <v>73</v>
      </c>
    </row>
    <row r="174" spans="1:2">
      <c r="A174" s="216" t="s">
        <v>6168</v>
      </c>
      <c r="B174" s="187">
        <v>115</v>
      </c>
    </row>
    <row r="175" spans="1:2">
      <c r="A175" s="216" t="s">
        <v>5913</v>
      </c>
      <c r="B175" s="187">
        <v>67</v>
      </c>
    </row>
    <row r="176" spans="1:2">
      <c r="A176" s="216" t="s">
        <v>3546</v>
      </c>
      <c r="B176" s="187">
        <v>100</v>
      </c>
    </row>
    <row r="177" spans="1:2">
      <c r="A177" s="216" t="s">
        <v>5132</v>
      </c>
      <c r="B177" s="187">
        <v>62</v>
      </c>
    </row>
    <row r="178" spans="1:2">
      <c r="A178" s="216" t="s">
        <v>649</v>
      </c>
      <c r="B178" s="187">
        <v>52</v>
      </c>
    </row>
    <row r="179" spans="1:2">
      <c r="A179" s="216" t="s">
        <v>861</v>
      </c>
      <c r="B179" s="187">
        <v>42</v>
      </c>
    </row>
    <row r="180" spans="1:2">
      <c r="A180" s="216" t="s">
        <v>956</v>
      </c>
      <c r="B180" s="187">
        <v>61</v>
      </c>
    </row>
    <row r="181" spans="1:2">
      <c r="A181" s="216" t="s">
        <v>236</v>
      </c>
      <c r="B181" s="187">
        <v>32</v>
      </c>
    </row>
    <row r="182" spans="1:2">
      <c r="A182" s="216" t="s">
        <v>3548</v>
      </c>
      <c r="B182" s="187">
        <v>18</v>
      </c>
    </row>
    <row r="183" spans="1:2">
      <c r="A183" s="216" t="s">
        <v>3550</v>
      </c>
      <c r="B183" s="187">
        <v>525</v>
      </c>
    </row>
    <row r="184" spans="1:2">
      <c r="A184" s="216" t="s">
        <v>206</v>
      </c>
      <c r="B184" s="187">
        <v>369</v>
      </c>
    </row>
    <row r="185" spans="1:2">
      <c r="A185" s="216" t="s">
        <v>234</v>
      </c>
      <c r="B185" s="187">
        <v>407</v>
      </c>
    </row>
    <row r="186" spans="1:2">
      <c r="A186" s="216" t="s">
        <v>208</v>
      </c>
      <c r="B186" s="187">
        <v>417</v>
      </c>
    </row>
    <row r="187" spans="1:2">
      <c r="A187" s="216" t="s">
        <v>210</v>
      </c>
      <c r="B187" s="187">
        <v>172</v>
      </c>
    </row>
    <row r="188" spans="1:2">
      <c r="A188" s="216" t="s">
        <v>212</v>
      </c>
      <c r="B188" s="187">
        <v>77</v>
      </c>
    </row>
    <row r="189" spans="1:2">
      <c r="A189" s="216" t="s">
        <v>214</v>
      </c>
      <c r="B189" s="187">
        <v>588</v>
      </c>
    </row>
    <row r="190" spans="1:2">
      <c r="A190" s="216" t="s">
        <v>2714</v>
      </c>
      <c r="B190" s="187">
        <v>336</v>
      </c>
    </row>
    <row r="191" spans="1:2">
      <c r="A191" s="216" t="s">
        <v>250</v>
      </c>
      <c r="B191" s="187">
        <v>250</v>
      </c>
    </row>
    <row r="192" spans="1:2">
      <c r="A192" s="216" t="s">
        <v>2162</v>
      </c>
      <c r="B192" s="187">
        <v>114</v>
      </c>
    </row>
    <row r="193" spans="1:2">
      <c r="A193" s="216" t="s">
        <v>2716</v>
      </c>
      <c r="B193" s="187">
        <v>92</v>
      </c>
    </row>
    <row r="194" spans="1:2">
      <c r="A194" s="216" t="s">
        <v>2718</v>
      </c>
      <c r="B194" s="187">
        <v>559</v>
      </c>
    </row>
    <row r="195" spans="1:2">
      <c r="A195" s="216" t="s">
        <v>2720</v>
      </c>
      <c r="B195" s="187">
        <v>315</v>
      </c>
    </row>
    <row r="196" spans="1:2">
      <c r="A196" s="216" t="s">
        <v>1314</v>
      </c>
      <c r="B196" s="187">
        <v>78</v>
      </c>
    </row>
    <row r="197" spans="1:2">
      <c r="A197" s="216" t="s">
        <v>2722</v>
      </c>
      <c r="B197" s="187">
        <v>189</v>
      </c>
    </row>
    <row r="198" spans="1:2">
      <c r="A198" s="216" t="s">
        <v>442</v>
      </c>
      <c r="B198" s="187">
        <v>84</v>
      </c>
    </row>
    <row r="199" spans="1:2">
      <c r="A199" s="216" t="s">
        <v>2724</v>
      </c>
      <c r="B199" s="187">
        <v>139</v>
      </c>
    </row>
    <row r="200" spans="1:2">
      <c r="A200" s="216" t="s">
        <v>5321</v>
      </c>
      <c r="B200" s="187">
        <v>154</v>
      </c>
    </row>
    <row r="201" spans="1:2">
      <c r="A201" s="216" t="s">
        <v>5323</v>
      </c>
      <c r="B201" s="187">
        <v>40</v>
      </c>
    </row>
    <row r="202" spans="1:2">
      <c r="A202" s="216" t="s">
        <v>5325</v>
      </c>
      <c r="B202" s="187">
        <v>20</v>
      </c>
    </row>
    <row r="203" spans="1:2">
      <c r="A203" s="216" t="s">
        <v>5327</v>
      </c>
      <c r="B203" s="187">
        <v>74</v>
      </c>
    </row>
    <row r="204" spans="1:2">
      <c r="A204" s="216" t="s">
        <v>5329</v>
      </c>
      <c r="B204" s="187">
        <v>262</v>
      </c>
    </row>
    <row r="205" spans="1:2">
      <c r="A205" s="216" t="s">
        <v>5331</v>
      </c>
      <c r="B205" s="187">
        <v>475</v>
      </c>
    </row>
    <row r="206" spans="1:2">
      <c r="A206" s="216" t="s">
        <v>585</v>
      </c>
      <c r="B206" s="187">
        <v>76</v>
      </c>
    </row>
    <row r="207" spans="1:2">
      <c r="A207" s="216" t="s">
        <v>5333</v>
      </c>
      <c r="B207" s="187">
        <v>181</v>
      </c>
    </row>
    <row r="208" spans="1:2">
      <c r="A208" s="216" t="s">
        <v>239</v>
      </c>
      <c r="B208" s="187">
        <v>57</v>
      </c>
    </row>
    <row r="209" spans="1:2">
      <c r="A209" s="216" t="s">
        <v>5335</v>
      </c>
      <c r="B209" s="187">
        <v>798</v>
      </c>
    </row>
    <row r="210" spans="1:2">
      <c r="A210" s="216" t="s">
        <v>2450</v>
      </c>
      <c r="B210" s="187">
        <v>789</v>
      </c>
    </row>
    <row r="211" spans="1:2">
      <c r="A211" s="216" t="s">
        <v>2452</v>
      </c>
      <c r="B211" s="246">
        <v>2804</v>
      </c>
    </row>
    <row r="212" spans="1:2">
      <c r="A212" s="216" t="s">
        <v>2454</v>
      </c>
      <c r="B212" s="187">
        <v>471</v>
      </c>
    </row>
    <row r="213" spans="1:2">
      <c r="A213" s="216" t="s">
        <v>2456</v>
      </c>
      <c r="B213" s="187">
        <v>223</v>
      </c>
    </row>
    <row r="214" spans="1:2">
      <c r="A214" s="216" t="s">
        <v>2458</v>
      </c>
      <c r="B214" s="187">
        <v>303</v>
      </c>
    </row>
    <row r="215" spans="1:2">
      <c r="A215" s="216" t="s">
        <v>2460</v>
      </c>
      <c r="B215" s="246">
        <v>4866</v>
      </c>
    </row>
    <row r="216" spans="1:2">
      <c r="A216" s="216" t="s">
        <v>2462</v>
      </c>
      <c r="B216" s="187">
        <v>852</v>
      </c>
    </row>
    <row r="217" spans="1:2">
      <c r="A217" s="216" t="s">
        <v>2464</v>
      </c>
      <c r="B217" s="187">
        <v>599</v>
      </c>
    </row>
    <row r="218" spans="1:2">
      <c r="A218" s="216" t="s">
        <v>2104</v>
      </c>
      <c r="B218" s="187">
        <v>49</v>
      </c>
    </row>
    <row r="219" spans="1:2">
      <c r="A219" s="216" t="s">
        <v>2106</v>
      </c>
      <c r="B219" s="187">
        <v>42</v>
      </c>
    </row>
    <row r="220" spans="1:2">
      <c r="A220" s="216" t="s">
        <v>2108</v>
      </c>
      <c r="B220" s="187">
        <v>319</v>
      </c>
    </row>
    <row r="221" spans="1:2">
      <c r="A221" s="216" t="s">
        <v>2110</v>
      </c>
      <c r="B221" s="187">
        <v>22</v>
      </c>
    </row>
    <row r="222" spans="1:2">
      <c r="A222" s="216" t="s">
        <v>2112</v>
      </c>
      <c r="B222" s="187">
        <v>29</v>
      </c>
    </row>
    <row r="223" spans="1:2">
      <c r="A223" s="216" t="s">
        <v>1317</v>
      </c>
      <c r="B223" s="187">
        <v>96</v>
      </c>
    </row>
    <row r="224" spans="1:2">
      <c r="A224" s="216" t="s">
        <v>587</v>
      </c>
      <c r="B224" s="187">
        <v>53</v>
      </c>
    </row>
    <row r="225" spans="1:2">
      <c r="A225" s="216" t="s">
        <v>4569</v>
      </c>
      <c r="B225" s="187">
        <v>7</v>
      </c>
    </row>
    <row r="226" spans="1:2">
      <c r="A226" s="216" t="s">
        <v>6021</v>
      </c>
      <c r="B226" s="187">
        <v>51</v>
      </c>
    </row>
    <row r="227" spans="1:2">
      <c r="A227" s="216" t="s">
        <v>4571</v>
      </c>
      <c r="B227" s="187">
        <v>38</v>
      </c>
    </row>
    <row r="228" spans="1:2">
      <c r="A228" s="216" t="s">
        <v>6171</v>
      </c>
      <c r="B228" s="187">
        <v>55</v>
      </c>
    </row>
    <row r="229" spans="1:2">
      <c r="A229" s="216" t="s">
        <v>4573</v>
      </c>
      <c r="B229" s="187">
        <v>44</v>
      </c>
    </row>
    <row r="230" spans="1:2">
      <c r="A230" s="216" t="s">
        <v>4575</v>
      </c>
      <c r="B230" s="187">
        <v>20</v>
      </c>
    </row>
    <row r="231" spans="1:2">
      <c r="A231" s="216" t="s">
        <v>4577</v>
      </c>
      <c r="B231" s="187">
        <v>70</v>
      </c>
    </row>
    <row r="232" spans="1:2">
      <c r="A232" s="216" t="s">
        <v>4579</v>
      </c>
      <c r="B232" s="187">
        <v>24</v>
      </c>
    </row>
    <row r="233" spans="1:2">
      <c r="A233" s="216" t="s">
        <v>4581</v>
      </c>
      <c r="B233" s="187">
        <v>138</v>
      </c>
    </row>
    <row r="234" spans="1:2">
      <c r="A234" s="216" t="s">
        <v>4582</v>
      </c>
      <c r="B234" s="187">
        <v>571</v>
      </c>
    </row>
    <row r="235" spans="1:2">
      <c r="A235" s="216" t="s">
        <v>4584</v>
      </c>
      <c r="B235" s="187">
        <v>343</v>
      </c>
    </row>
    <row r="236" spans="1:2">
      <c r="A236" s="216" t="s">
        <v>4586</v>
      </c>
      <c r="B236" s="187">
        <v>218</v>
      </c>
    </row>
    <row r="237" spans="1:2">
      <c r="A237" s="216" t="s">
        <v>1865</v>
      </c>
      <c r="B237" s="187">
        <v>702</v>
      </c>
    </row>
    <row r="238" spans="1:2">
      <c r="A238" s="216" t="s">
        <v>5018</v>
      </c>
      <c r="B238" s="187">
        <v>471</v>
      </c>
    </row>
    <row r="239" spans="1:2">
      <c r="A239" s="216" t="s">
        <v>5020</v>
      </c>
      <c r="B239" s="187">
        <v>234</v>
      </c>
    </row>
    <row r="240" spans="1:2">
      <c r="A240" s="216" t="s">
        <v>589</v>
      </c>
      <c r="B240" s="187">
        <v>99</v>
      </c>
    </row>
    <row r="241" spans="1:2">
      <c r="A241" s="216" t="s">
        <v>5022</v>
      </c>
      <c r="B241" s="187">
        <v>162</v>
      </c>
    </row>
    <row r="242" spans="1:2">
      <c r="A242" s="216" t="s">
        <v>2989</v>
      </c>
      <c r="B242" s="187">
        <v>130</v>
      </c>
    </row>
    <row r="243" spans="1:2">
      <c r="A243" s="216" t="s">
        <v>5126</v>
      </c>
      <c r="B243" s="187">
        <v>125</v>
      </c>
    </row>
    <row r="244" spans="1:2">
      <c r="A244" s="216" t="s">
        <v>3090</v>
      </c>
      <c r="B244" s="187">
        <v>73</v>
      </c>
    </row>
    <row r="245" spans="1:2">
      <c r="A245" s="216" t="s">
        <v>5128</v>
      </c>
      <c r="B245" s="187">
        <v>57</v>
      </c>
    </row>
    <row r="246" spans="1:2">
      <c r="A246" s="216" t="s">
        <v>270</v>
      </c>
      <c r="B246" s="187">
        <v>47</v>
      </c>
    </row>
    <row r="247" spans="1:2">
      <c r="A247" s="216" t="s">
        <v>2391</v>
      </c>
      <c r="B247" s="187">
        <v>97</v>
      </c>
    </row>
    <row r="248" spans="1:2">
      <c r="A248" s="216" t="s">
        <v>2746</v>
      </c>
      <c r="B248" s="187">
        <v>48</v>
      </c>
    </row>
    <row r="249" spans="1:2">
      <c r="A249" s="216" t="s">
        <v>6186</v>
      </c>
      <c r="B249" s="187">
        <v>236</v>
      </c>
    </row>
    <row r="250" spans="1:2">
      <c r="A250" s="216" t="s">
        <v>6041</v>
      </c>
      <c r="B250" s="187">
        <v>18</v>
      </c>
    </row>
    <row r="251" spans="1:2">
      <c r="A251" s="216" t="s">
        <v>591</v>
      </c>
      <c r="B251" s="187">
        <v>39</v>
      </c>
    </row>
    <row r="252" spans="1:2">
      <c r="A252" s="216" t="s">
        <v>443</v>
      </c>
      <c r="B252" s="187">
        <v>269</v>
      </c>
    </row>
    <row r="253" spans="1:2">
      <c r="A253" s="216" t="s">
        <v>2748</v>
      </c>
      <c r="B253" s="187">
        <v>109</v>
      </c>
    </row>
    <row r="254" spans="1:2">
      <c r="A254" s="216" t="s">
        <v>862</v>
      </c>
      <c r="B254" s="187">
        <v>261</v>
      </c>
    </row>
    <row r="255" spans="1:2">
      <c r="A255" s="216" t="s">
        <v>2750</v>
      </c>
      <c r="B255" s="187">
        <v>208</v>
      </c>
    </row>
    <row r="256" spans="1:2">
      <c r="A256" s="216" t="s">
        <v>3899</v>
      </c>
      <c r="B256" s="187">
        <v>74</v>
      </c>
    </row>
    <row r="257" spans="1:2">
      <c r="A257" s="216" t="s">
        <v>3604</v>
      </c>
      <c r="B257" s="187">
        <v>98</v>
      </c>
    </row>
    <row r="258" spans="1:2">
      <c r="A258" s="216" t="s">
        <v>3166</v>
      </c>
      <c r="B258" s="187">
        <v>533</v>
      </c>
    </row>
    <row r="259" spans="1:2">
      <c r="A259" s="216" t="s">
        <v>3168</v>
      </c>
      <c r="B259" s="187">
        <v>390</v>
      </c>
    </row>
    <row r="260" spans="1:2">
      <c r="A260" s="216" t="s">
        <v>3091</v>
      </c>
      <c r="B260" s="246">
        <v>1310</v>
      </c>
    </row>
    <row r="261" spans="1:2">
      <c r="A261" s="216" t="s">
        <v>3171</v>
      </c>
      <c r="B261" s="187">
        <v>879</v>
      </c>
    </row>
    <row r="262" spans="1:2">
      <c r="A262" s="216" t="s">
        <v>593</v>
      </c>
      <c r="B262" s="187">
        <v>304</v>
      </c>
    </row>
    <row r="263" spans="1:2">
      <c r="A263" s="216" t="s">
        <v>3173</v>
      </c>
      <c r="B263" s="187">
        <v>130</v>
      </c>
    </row>
    <row r="264" spans="1:2">
      <c r="A264" s="216" t="s">
        <v>3175</v>
      </c>
      <c r="B264" s="187">
        <v>753</v>
      </c>
    </row>
    <row r="265" spans="1:2">
      <c r="A265" s="216" t="s">
        <v>3092</v>
      </c>
      <c r="B265" s="187">
        <v>550</v>
      </c>
    </row>
    <row r="266" spans="1:2">
      <c r="A266" s="216" t="s">
        <v>673</v>
      </c>
      <c r="B266" s="187">
        <v>374</v>
      </c>
    </row>
    <row r="267" spans="1:2">
      <c r="A267" s="216" t="s">
        <v>322</v>
      </c>
      <c r="B267" s="187">
        <v>215</v>
      </c>
    </row>
    <row r="268" spans="1:2">
      <c r="A268" s="216" t="s">
        <v>675</v>
      </c>
      <c r="B268" s="187">
        <v>259</v>
      </c>
    </row>
    <row r="269" spans="1:2">
      <c r="A269" s="216" t="s">
        <v>677</v>
      </c>
      <c r="B269" s="187">
        <v>117</v>
      </c>
    </row>
    <row r="270" spans="1:2">
      <c r="A270" s="216" t="s">
        <v>679</v>
      </c>
      <c r="B270" s="187">
        <v>187</v>
      </c>
    </row>
    <row r="271" spans="1:2">
      <c r="A271" s="216" t="s">
        <v>2960</v>
      </c>
      <c r="B271" s="187">
        <v>132</v>
      </c>
    </row>
    <row r="272" spans="1:2">
      <c r="A272" s="216" t="s">
        <v>1994</v>
      </c>
      <c r="B272" s="187">
        <v>904</v>
      </c>
    </row>
    <row r="273" spans="1:2">
      <c r="A273" s="216" t="s">
        <v>2735</v>
      </c>
      <c r="B273" s="246">
        <v>1628</v>
      </c>
    </row>
    <row r="274" spans="1:2">
      <c r="A274" s="216" t="s">
        <v>2737</v>
      </c>
      <c r="B274" s="187">
        <v>898</v>
      </c>
    </row>
    <row r="275" spans="1:2">
      <c r="A275" s="216" t="s">
        <v>1976</v>
      </c>
      <c r="B275" s="187">
        <v>46</v>
      </c>
    </row>
    <row r="276" spans="1:2">
      <c r="A276" s="216" t="s">
        <v>3648</v>
      </c>
      <c r="B276" s="187">
        <v>266</v>
      </c>
    </row>
    <row r="277" spans="1:2">
      <c r="A277" s="216" t="s">
        <v>3650</v>
      </c>
      <c r="B277" s="187">
        <v>79</v>
      </c>
    </row>
    <row r="278" spans="1:2">
      <c r="A278" s="216" t="s">
        <v>3093</v>
      </c>
      <c r="B278" s="187">
        <v>65</v>
      </c>
    </row>
    <row r="279" spans="1:2">
      <c r="A279" s="216" t="s">
        <v>7734</v>
      </c>
      <c r="B279" s="187">
        <v>110</v>
      </c>
    </row>
    <row r="280" spans="1:2">
      <c r="A280" s="216" t="s">
        <v>915</v>
      </c>
      <c r="B280" s="187">
        <v>61</v>
      </c>
    </row>
    <row r="281" spans="1:2">
      <c r="A281" s="216" t="s">
        <v>1978</v>
      </c>
      <c r="B281" s="187">
        <v>55</v>
      </c>
    </row>
    <row r="282" spans="1:2">
      <c r="A282" s="216" t="s">
        <v>2767</v>
      </c>
      <c r="B282" s="187">
        <v>35</v>
      </c>
    </row>
    <row r="283" spans="1:2">
      <c r="A283" s="216" t="s">
        <v>3555</v>
      </c>
      <c r="B283" s="187">
        <v>193</v>
      </c>
    </row>
    <row r="284" spans="1:2">
      <c r="A284" s="216" t="s">
        <v>3094</v>
      </c>
      <c r="B284" s="187">
        <v>74</v>
      </c>
    </row>
    <row r="285" spans="1:2">
      <c r="A285" s="216" t="s">
        <v>741</v>
      </c>
      <c r="B285" s="187">
        <v>384</v>
      </c>
    </row>
    <row r="286" spans="1:2">
      <c r="A286" s="216" t="s">
        <v>4035</v>
      </c>
      <c r="B286" s="187">
        <v>207</v>
      </c>
    </row>
    <row r="287" spans="1:2">
      <c r="A287" s="216" t="s">
        <v>1524</v>
      </c>
      <c r="B287" s="187">
        <v>61</v>
      </c>
    </row>
    <row r="288" spans="1:2">
      <c r="A288" s="216" t="s">
        <v>2388</v>
      </c>
      <c r="B288" s="187">
        <v>13</v>
      </c>
    </row>
    <row r="289" spans="1:2">
      <c r="A289" s="216" t="s">
        <v>863</v>
      </c>
      <c r="B289" s="187">
        <v>66</v>
      </c>
    </row>
    <row r="290" spans="1:2">
      <c r="A290" s="216" t="s">
        <v>268</v>
      </c>
      <c r="B290" s="187">
        <v>7</v>
      </c>
    </row>
    <row r="291" spans="1:2">
      <c r="A291" s="216" t="s">
        <v>981</v>
      </c>
      <c r="B291" s="187">
        <v>71</v>
      </c>
    </row>
    <row r="292" spans="1:2">
      <c r="A292" s="216" t="s">
        <v>2414</v>
      </c>
      <c r="B292" s="187">
        <v>74</v>
      </c>
    </row>
    <row r="293" spans="1:2">
      <c r="A293" s="216" t="s">
        <v>2401</v>
      </c>
      <c r="B293" s="187">
        <v>133</v>
      </c>
    </row>
    <row r="294" spans="1:2">
      <c r="A294" s="216" t="s">
        <v>4037</v>
      </c>
      <c r="B294" s="187">
        <v>78</v>
      </c>
    </row>
    <row r="295" spans="1:2">
      <c r="A295" s="216" t="s">
        <v>2140</v>
      </c>
      <c r="B295" s="187">
        <v>257</v>
      </c>
    </row>
    <row r="296" spans="1:2">
      <c r="A296" s="216" t="s">
        <v>2408</v>
      </c>
      <c r="B296" s="187">
        <v>239</v>
      </c>
    </row>
    <row r="297" spans="1:2">
      <c r="A297" s="216" t="s">
        <v>2700</v>
      </c>
      <c r="B297" s="187">
        <v>64</v>
      </c>
    </row>
    <row r="298" spans="1:2">
      <c r="A298" s="216" t="s">
        <v>2702</v>
      </c>
      <c r="B298" s="187">
        <v>158</v>
      </c>
    </row>
    <row r="299" spans="1:2">
      <c r="A299" s="216" t="s">
        <v>2828</v>
      </c>
      <c r="B299" s="187">
        <v>138</v>
      </c>
    </row>
    <row r="300" spans="1:2">
      <c r="A300" s="216" t="s">
        <v>2704</v>
      </c>
      <c r="B300" s="187">
        <v>76</v>
      </c>
    </row>
    <row r="301" spans="1:2">
      <c r="A301" s="216" t="s">
        <v>2706</v>
      </c>
      <c r="B301" s="187">
        <v>87</v>
      </c>
    </row>
    <row r="302" spans="1:2">
      <c r="A302" s="216" t="s">
        <v>6162</v>
      </c>
      <c r="B302" s="187">
        <v>319</v>
      </c>
    </row>
    <row r="303" spans="1:2">
      <c r="A303" s="216" t="s">
        <v>967</v>
      </c>
      <c r="B303" s="187">
        <v>20</v>
      </c>
    </row>
    <row r="304" spans="1:2">
      <c r="A304" s="216" t="s">
        <v>2708</v>
      </c>
      <c r="B304" s="187">
        <v>302</v>
      </c>
    </row>
    <row r="305" spans="1:2">
      <c r="A305" s="216" t="s">
        <v>2710</v>
      </c>
      <c r="B305" s="187">
        <v>231</v>
      </c>
    </row>
    <row r="306" spans="1:2">
      <c r="A306" s="216" t="s">
        <v>2830</v>
      </c>
      <c r="B306" s="187">
        <v>47</v>
      </c>
    </row>
    <row r="307" spans="1:2">
      <c r="A307" s="216" t="s">
        <v>3095</v>
      </c>
      <c r="B307" s="187">
        <v>29</v>
      </c>
    </row>
    <row r="308" spans="1:2">
      <c r="A308" s="216" t="s">
        <v>2712</v>
      </c>
      <c r="B308" s="187">
        <v>219</v>
      </c>
    </row>
    <row r="309" spans="1:2">
      <c r="A309" s="216" t="s">
        <v>2424</v>
      </c>
      <c r="B309" s="187">
        <v>68</v>
      </c>
    </row>
    <row r="310" spans="1:2">
      <c r="A310" s="216" t="s">
        <v>2426</v>
      </c>
      <c r="B310" s="187">
        <v>47</v>
      </c>
    </row>
    <row r="311" spans="1:2">
      <c r="A311" s="216" t="s">
        <v>2428</v>
      </c>
      <c r="B311" s="187">
        <v>49</v>
      </c>
    </row>
    <row r="312" spans="1:2">
      <c r="A312" s="216" t="s">
        <v>2832</v>
      </c>
      <c r="B312" s="187">
        <v>136</v>
      </c>
    </row>
    <row r="313" spans="1:2">
      <c r="A313" s="216" t="s">
        <v>4923</v>
      </c>
      <c r="B313" s="187">
        <v>247</v>
      </c>
    </row>
    <row r="314" spans="1:2">
      <c r="A314" s="216" t="s">
        <v>4925</v>
      </c>
      <c r="B314" s="187">
        <v>316</v>
      </c>
    </row>
    <row r="315" spans="1:2">
      <c r="A315" s="216" t="s">
        <v>4927</v>
      </c>
      <c r="B315" s="187">
        <v>145</v>
      </c>
    </row>
    <row r="316" spans="1:2">
      <c r="A316" s="216" t="s">
        <v>4929</v>
      </c>
      <c r="B316" s="187">
        <v>89</v>
      </c>
    </row>
    <row r="317" spans="1:2">
      <c r="A317" s="216" t="s">
        <v>4931</v>
      </c>
      <c r="B317" s="187">
        <v>133</v>
      </c>
    </row>
    <row r="318" spans="1:2">
      <c r="A318" s="216" t="s">
        <v>4933</v>
      </c>
      <c r="B318" s="187">
        <v>340</v>
      </c>
    </row>
    <row r="319" spans="1:2">
      <c r="A319" s="216" t="s">
        <v>444</v>
      </c>
      <c r="B319" s="187">
        <v>352</v>
      </c>
    </row>
    <row r="320" spans="1:2">
      <c r="A320" s="216" t="s">
        <v>3558</v>
      </c>
      <c r="B320" s="187">
        <v>648</v>
      </c>
    </row>
    <row r="321" spans="1:2">
      <c r="A321" s="216" t="s">
        <v>3560</v>
      </c>
      <c r="B321" s="187">
        <v>239</v>
      </c>
    </row>
    <row r="322" spans="1:2">
      <c r="A322" s="216" t="s">
        <v>3562</v>
      </c>
      <c r="B322" s="187">
        <v>889</v>
      </c>
    </row>
    <row r="323" spans="1:2">
      <c r="A323" s="216" t="s">
        <v>3564</v>
      </c>
      <c r="B323" s="187">
        <v>348</v>
      </c>
    </row>
    <row r="324" spans="1:2">
      <c r="A324" s="216" t="s">
        <v>6179</v>
      </c>
      <c r="B324" s="187">
        <v>203</v>
      </c>
    </row>
    <row r="325" spans="1:2">
      <c r="A325" s="216" t="s">
        <v>1309</v>
      </c>
      <c r="B325" s="187">
        <v>171</v>
      </c>
    </row>
    <row r="326" spans="1:2">
      <c r="A326" s="216" t="s">
        <v>3566</v>
      </c>
      <c r="B326" s="187">
        <v>41</v>
      </c>
    </row>
    <row r="327" spans="1:2">
      <c r="A327" s="216" t="s">
        <v>3568</v>
      </c>
      <c r="B327" s="187">
        <v>6</v>
      </c>
    </row>
    <row r="328" spans="1:2">
      <c r="A328" s="216" t="s">
        <v>1607</v>
      </c>
      <c r="B328" s="187">
        <v>254</v>
      </c>
    </row>
    <row r="329" spans="1:2">
      <c r="A329" s="216" t="s">
        <v>2482</v>
      </c>
      <c r="B329" s="187">
        <v>470</v>
      </c>
    </row>
    <row r="330" spans="1:2">
      <c r="A330" s="216" t="s">
        <v>2484</v>
      </c>
      <c r="B330" s="187">
        <v>216</v>
      </c>
    </row>
    <row r="331" spans="1:2">
      <c r="A331" s="216" t="s">
        <v>2486</v>
      </c>
      <c r="B331" s="187">
        <v>109</v>
      </c>
    </row>
    <row r="332" spans="1:2">
      <c r="A332" s="216" t="s">
        <v>2488</v>
      </c>
      <c r="B332" s="187">
        <v>63</v>
      </c>
    </row>
    <row r="333" spans="1:2">
      <c r="A333" s="216" t="s">
        <v>2834</v>
      </c>
      <c r="B333" s="187">
        <v>358</v>
      </c>
    </row>
    <row r="334" spans="1:2">
      <c r="A334" s="216" t="s">
        <v>445</v>
      </c>
      <c r="B334" s="187">
        <v>741</v>
      </c>
    </row>
    <row r="335" spans="1:2">
      <c r="A335" s="216" t="s">
        <v>2490</v>
      </c>
      <c r="B335" s="187">
        <v>194</v>
      </c>
    </row>
    <row r="336" spans="1:2">
      <c r="A336" s="216" t="s">
        <v>2492</v>
      </c>
      <c r="B336" s="187">
        <v>216</v>
      </c>
    </row>
    <row r="337" spans="1:2">
      <c r="A337" s="216" t="s">
        <v>2494</v>
      </c>
      <c r="B337" s="246">
        <v>1163</v>
      </c>
    </row>
    <row r="338" spans="1:2">
      <c r="A338" s="216" t="s">
        <v>2498</v>
      </c>
      <c r="B338" s="187">
        <v>88</v>
      </c>
    </row>
    <row r="339" spans="1:2">
      <c r="A339" s="216" t="s">
        <v>1670</v>
      </c>
      <c r="B339" s="187">
        <v>706</v>
      </c>
    </row>
    <row r="340" spans="1:2">
      <c r="A340" s="216" t="s">
        <v>1867</v>
      </c>
      <c r="B340" s="187">
        <v>157</v>
      </c>
    </row>
    <row r="341" spans="1:2">
      <c r="A341" s="216" t="s">
        <v>1672</v>
      </c>
      <c r="B341" s="187">
        <v>34</v>
      </c>
    </row>
    <row r="342" spans="1:2">
      <c r="A342" s="216" t="s">
        <v>1674</v>
      </c>
      <c r="B342" s="187">
        <v>45</v>
      </c>
    </row>
    <row r="343" spans="1:2">
      <c r="A343" s="216" t="s">
        <v>5048</v>
      </c>
      <c r="B343" s="187">
        <v>86</v>
      </c>
    </row>
    <row r="344" spans="1:2">
      <c r="A344" s="216" t="s">
        <v>2392</v>
      </c>
      <c r="B344" s="187">
        <v>75</v>
      </c>
    </row>
    <row r="345" spans="1:2">
      <c r="A345" s="216" t="s">
        <v>5050</v>
      </c>
      <c r="B345" s="187">
        <v>109</v>
      </c>
    </row>
    <row r="346" spans="1:2">
      <c r="A346" s="216" t="s">
        <v>1311</v>
      </c>
      <c r="B346" s="187">
        <v>14</v>
      </c>
    </row>
    <row r="347" spans="1:2">
      <c r="A347" s="216" t="s">
        <v>3222</v>
      </c>
      <c r="B347" s="187">
        <v>788</v>
      </c>
    </row>
    <row r="348" spans="1:2">
      <c r="A348" s="216" t="s">
        <v>3224</v>
      </c>
      <c r="B348" s="187">
        <v>118</v>
      </c>
    </row>
    <row r="349" spans="1:2">
      <c r="A349" s="216" t="s">
        <v>3226</v>
      </c>
      <c r="B349" s="187">
        <v>130</v>
      </c>
    </row>
    <row r="350" spans="1:2">
      <c r="A350" s="216" t="s">
        <v>3228</v>
      </c>
      <c r="B350" s="187">
        <v>759</v>
      </c>
    </row>
    <row r="351" spans="1:2">
      <c r="A351" s="216" t="s">
        <v>3230</v>
      </c>
      <c r="B351" s="187">
        <v>383</v>
      </c>
    </row>
    <row r="352" spans="1:2">
      <c r="A352" s="216" t="s">
        <v>3232</v>
      </c>
      <c r="B352" s="187">
        <v>902</v>
      </c>
    </row>
    <row r="353" spans="1:2">
      <c r="A353" s="216" t="s">
        <v>1899</v>
      </c>
      <c r="B353" s="187">
        <v>861</v>
      </c>
    </row>
    <row r="354" spans="1:2">
      <c r="A354" s="216" t="s">
        <v>1853</v>
      </c>
      <c r="B354" s="187">
        <v>528</v>
      </c>
    </row>
    <row r="355" spans="1:2">
      <c r="A355" s="216" t="s">
        <v>1901</v>
      </c>
      <c r="B355" s="187">
        <v>373</v>
      </c>
    </row>
    <row r="356" spans="1:2">
      <c r="A356" s="216" t="s">
        <v>1903</v>
      </c>
      <c r="B356" s="187">
        <v>175</v>
      </c>
    </row>
    <row r="357" spans="1:2">
      <c r="A357" s="216" t="s">
        <v>52</v>
      </c>
      <c r="B357" s="187">
        <v>146</v>
      </c>
    </row>
    <row r="358" spans="1:2">
      <c r="A358" s="216" t="s">
        <v>54</v>
      </c>
      <c r="B358" s="187">
        <v>360</v>
      </c>
    </row>
    <row r="359" spans="1:2">
      <c r="A359" s="216" t="s">
        <v>6191</v>
      </c>
      <c r="B359" s="187">
        <v>449</v>
      </c>
    </row>
    <row r="360" spans="1:2">
      <c r="A360" s="216" t="s">
        <v>732</v>
      </c>
      <c r="B360" s="187">
        <v>129</v>
      </c>
    </row>
    <row r="361" spans="1:2">
      <c r="A361" s="216" t="s">
        <v>949</v>
      </c>
      <c r="B361" s="187">
        <v>55</v>
      </c>
    </row>
    <row r="362" spans="1:2">
      <c r="A362" s="216" t="s">
        <v>3980</v>
      </c>
      <c r="B362" s="187">
        <v>52</v>
      </c>
    </row>
    <row r="363" spans="1:2">
      <c r="A363" s="216" t="s">
        <v>3982</v>
      </c>
      <c r="B363" s="187">
        <v>99</v>
      </c>
    </row>
    <row r="364" spans="1:2">
      <c r="A364" s="216" t="s">
        <v>1871</v>
      </c>
      <c r="B364" s="187">
        <v>76</v>
      </c>
    </row>
    <row r="365" spans="1:2">
      <c r="A365" s="216" t="s">
        <v>3116</v>
      </c>
      <c r="B365" s="187">
        <v>77</v>
      </c>
    </row>
    <row r="366" spans="1:2">
      <c r="A366" s="216" t="s">
        <v>3118</v>
      </c>
      <c r="B366" s="187">
        <v>35</v>
      </c>
    </row>
    <row r="367" spans="1:2">
      <c r="A367" s="216" t="s">
        <v>2836</v>
      </c>
      <c r="B367" s="187">
        <v>69</v>
      </c>
    </row>
    <row r="368" spans="1:2">
      <c r="A368" s="216" t="s">
        <v>2838</v>
      </c>
      <c r="B368" s="187">
        <v>156</v>
      </c>
    </row>
    <row r="369" spans="1:2">
      <c r="A369" s="216" t="s">
        <v>5220</v>
      </c>
      <c r="B369" s="187">
        <v>77</v>
      </c>
    </row>
    <row r="370" spans="1:2">
      <c r="A370" s="216" t="s">
        <v>5129</v>
      </c>
      <c r="B370" s="187">
        <v>92</v>
      </c>
    </row>
    <row r="371" spans="1:2">
      <c r="A371" s="216" t="s">
        <v>5222</v>
      </c>
      <c r="B371" s="187">
        <v>122</v>
      </c>
    </row>
    <row r="372" spans="1:2">
      <c r="A372" s="216" t="s">
        <v>1858</v>
      </c>
      <c r="B372" s="187">
        <v>66</v>
      </c>
    </row>
    <row r="373" spans="1:2">
      <c r="A373" s="216" t="s">
        <v>5224</v>
      </c>
      <c r="B373" s="187">
        <v>53</v>
      </c>
    </row>
    <row r="374" spans="1:2">
      <c r="A374" s="216" t="s">
        <v>5228</v>
      </c>
      <c r="B374" s="187">
        <v>108</v>
      </c>
    </row>
    <row r="375" spans="1:2">
      <c r="A375" s="216" t="s">
        <v>5230</v>
      </c>
      <c r="B375" s="187">
        <v>101</v>
      </c>
    </row>
    <row r="376" spans="1:2">
      <c r="A376" s="216" t="s">
        <v>2994</v>
      </c>
      <c r="B376" s="187">
        <v>106</v>
      </c>
    </row>
    <row r="377" spans="1:2">
      <c r="A377" s="216" t="s">
        <v>7723</v>
      </c>
      <c r="B377" s="187">
        <v>29</v>
      </c>
    </row>
    <row r="378" spans="1:2">
      <c r="A378" s="216" t="s">
        <v>221</v>
      </c>
      <c r="B378" s="187">
        <v>42</v>
      </c>
    </row>
    <row r="379" spans="1:2">
      <c r="A379" s="216" t="s">
        <v>2406</v>
      </c>
      <c r="B379" s="187">
        <v>9</v>
      </c>
    </row>
    <row r="380" spans="1:2">
      <c r="A380" s="216" t="s">
        <v>223</v>
      </c>
      <c r="B380" s="187">
        <v>16</v>
      </c>
    </row>
    <row r="381" spans="1:2">
      <c r="A381" s="216" t="s">
        <v>225</v>
      </c>
      <c r="B381" s="187">
        <v>265</v>
      </c>
    </row>
    <row r="382" spans="1:2">
      <c r="A382" s="216" t="s">
        <v>227</v>
      </c>
      <c r="B382" s="187">
        <v>135</v>
      </c>
    </row>
    <row r="383" spans="1:2">
      <c r="A383" s="216" t="s">
        <v>229</v>
      </c>
      <c r="B383" s="187">
        <v>362</v>
      </c>
    </row>
    <row r="384" spans="1:2">
      <c r="A384" s="216" t="s">
        <v>4039</v>
      </c>
      <c r="B384" s="187">
        <v>126</v>
      </c>
    </row>
    <row r="385" spans="1:2">
      <c r="A385" s="216" t="s">
        <v>2396</v>
      </c>
      <c r="B385" s="187">
        <v>376</v>
      </c>
    </row>
    <row r="386" spans="1:2">
      <c r="A386" s="216" t="s">
        <v>2394</v>
      </c>
      <c r="B386" s="187">
        <v>65</v>
      </c>
    </row>
    <row r="387" spans="1:2">
      <c r="A387" s="216" t="s">
        <v>4042</v>
      </c>
      <c r="B387" s="187">
        <v>86</v>
      </c>
    </row>
    <row r="388" spans="1:2">
      <c r="A388" s="216" t="s">
        <v>3004</v>
      </c>
      <c r="B388" s="187">
        <v>84</v>
      </c>
    </row>
    <row r="389" spans="1:2">
      <c r="A389" s="216" t="s">
        <v>4044</v>
      </c>
      <c r="B389" s="187">
        <v>183</v>
      </c>
    </row>
    <row r="390" spans="1:2">
      <c r="A390" s="216" t="s">
        <v>4046</v>
      </c>
      <c r="B390" s="187">
        <v>132</v>
      </c>
    </row>
    <row r="391" spans="1:2">
      <c r="A391" s="216" t="s">
        <v>5402</v>
      </c>
      <c r="B391" s="187">
        <v>159</v>
      </c>
    </row>
    <row r="392" spans="1:2">
      <c r="A392" s="216" t="s">
        <v>5404</v>
      </c>
      <c r="B392" s="187">
        <v>151</v>
      </c>
    </row>
    <row r="393" spans="1:2">
      <c r="A393" s="216" t="s">
        <v>423</v>
      </c>
      <c r="B393" s="187">
        <v>395</v>
      </c>
    </row>
    <row r="394" spans="1:2">
      <c r="A394" s="216" t="s">
        <v>425</v>
      </c>
      <c r="B394" s="187">
        <v>704</v>
      </c>
    </row>
    <row r="395" spans="1:2">
      <c r="A395" s="216" t="s">
        <v>427</v>
      </c>
      <c r="B395" s="187">
        <v>466</v>
      </c>
    </row>
    <row r="396" spans="1:2">
      <c r="A396" s="216" t="s">
        <v>429</v>
      </c>
      <c r="B396" s="187">
        <v>513</v>
      </c>
    </row>
    <row r="397" spans="1:2">
      <c r="A397" s="216" t="s">
        <v>446</v>
      </c>
      <c r="B397" s="187">
        <v>199</v>
      </c>
    </row>
    <row r="398" spans="1:2">
      <c r="A398" s="216" t="s">
        <v>431</v>
      </c>
      <c r="B398" s="187">
        <v>522</v>
      </c>
    </row>
    <row r="399" spans="1:2">
      <c r="A399" s="216" t="s">
        <v>4945</v>
      </c>
      <c r="B399" s="187">
        <v>367</v>
      </c>
    </row>
    <row r="400" spans="1:2">
      <c r="A400" s="216" t="s">
        <v>4947</v>
      </c>
      <c r="B400" s="187">
        <v>479</v>
      </c>
    </row>
    <row r="401" spans="1:2">
      <c r="A401" s="216" t="s">
        <v>4949</v>
      </c>
      <c r="B401" s="187">
        <v>261</v>
      </c>
    </row>
    <row r="402" spans="1:2">
      <c r="A402" s="216" t="s">
        <v>4951</v>
      </c>
      <c r="B402" s="187">
        <v>557</v>
      </c>
    </row>
    <row r="403" spans="1:2">
      <c r="A403" s="216" t="s">
        <v>1560</v>
      </c>
      <c r="B403" s="187">
        <v>254</v>
      </c>
    </row>
    <row r="404" spans="1:2">
      <c r="A404" s="216" t="s">
        <v>2398</v>
      </c>
      <c r="B404" s="187">
        <v>169</v>
      </c>
    </row>
    <row r="405" spans="1:2">
      <c r="A405" s="216" t="s">
        <v>1562</v>
      </c>
      <c r="B405" s="187">
        <v>304</v>
      </c>
    </row>
    <row r="406" spans="1:2">
      <c r="A406" s="216" t="s">
        <v>2997</v>
      </c>
      <c r="B406" s="187">
        <v>59</v>
      </c>
    </row>
    <row r="407" spans="1:2">
      <c r="A407" s="216" t="s">
        <v>856</v>
      </c>
      <c r="B407" s="187">
        <v>249</v>
      </c>
    </row>
    <row r="408" spans="1:2">
      <c r="A408" s="216" t="s">
        <v>819</v>
      </c>
      <c r="B408" s="187">
        <v>110</v>
      </c>
    </row>
    <row r="409" spans="1:2">
      <c r="A409" s="216" t="s">
        <v>3887</v>
      </c>
      <c r="B409" s="187">
        <v>39</v>
      </c>
    </row>
    <row r="410" spans="1:2">
      <c r="A410" s="216" t="s">
        <v>1988</v>
      </c>
      <c r="B410" s="187">
        <v>19</v>
      </c>
    </row>
    <row r="411" spans="1:2">
      <c r="A411" s="216" t="s">
        <v>245</v>
      </c>
      <c r="B411" s="187">
        <v>82</v>
      </c>
    </row>
    <row r="412" spans="1:2">
      <c r="A412" s="216" t="s">
        <v>1990</v>
      </c>
      <c r="B412" s="187">
        <v>193</v>
      </c>
    </row>
    <row r="413" spans="1:2">
      <c r="A413" s="216" t="s">
        <v>2115</v>
      </c>
      <c r="B413" s="187">
        <v>41</v>
      </c>
    </row>
    <row r="414" spans="1:2">
      <c r="A414" s="216" t="s">
        <v>6184</v>
      </c>
      <c r="B414" s="187">
        <v>32</v>
      </c>
    </row>
    <row r="415" spans="1:2">
      <c r="A415" s="216" t="s">
        <v>1315</v>
      </c>
      <c r="B415" s="187">
        <v>33</v>
      </c>
    </row>
    <row r="416" spans="1:2">
      <c r="A416" s="216" t="s">
        <v>5622</v>
      </c>
      <c r="B416" s="187">
        <v>138</v>
      </c>
    </row>
    <row r="417" spans="1:2">
      <c r="A417" s="216" t="s">
        <v>5624</v>
      </c>
      <c r="B417" s="187">
        <v>298</v>
      </c>
    </row>
    <row r="418" spans="1:2">
      <c r="A418" s="216" t="s">
        <v>1873</v>
      </c>
      <c r="B418" s="187">
        <v>94</v>
      </c>
    </row>
    <row r="419" spans="1:2">
      <c r="A419" s="216" t="s">
        <v>6028</v>
      </c>
      <c r="B419" s="187">
        <v>169</v>
      </c>
    </row>
    <row r="420" spans="1:2">
      <c r="A420" s="216" t="s">
        <v>6035</v>
      </c>
      <c r="B420" s="187">
        <v>80</v>
      </c>
    </row>
    <row r="421" spans="1:2">
      <c r="A421" s="216" t="s">
        <v>5626</v>
      </c>
      <c r="B421" s="187">
        <v>56</v>
      </c>
    </row>
    <row r="422" spans="1:2">
      <c r="A422" s="216" t="s">
        <v>6194</v>
      </c>
      <c r="B422" s="187">
        <v>60</v>
      </c>
    </row>
    <row r="423" spans="1:2">
      <c r="A423" s="216" t="s">
        <v>1539</v>
      </c>
      <c r="B423" s="187">
        <v>58</v>
      </c>
    </row>
    <row r="424" spans="1:2">
      <c r="A424" s="216" t="s">
        <v>911</v>
      </c>
      <c r="B424" s="187">
        <v>40</v>
      </c>
    </row>
    <row r="425" spans="1:2">
      <c r="A425" s="216" t="s">
        <v>1428</v>
      </c>
      <c r="B425" s="187">
        <v>86</v>
      </c>
    </row>
    <row r="426" spans="1:2">
      <c r="A426" s="216" t="s">
        <v>1430</v>
      </c>
      <c r="B426" s="187">
        <v>55</v>
      </c>
    </row>
    <row r="427" spans="1:2">
      <c r="A427" s="216" t="s">
        <v>4971</v>
      </c>
      <c r="B427" s="187">
        <v>52</v>
      </c>
    </row>
    <row r="428" spans="1:2">
      <c r="A428" s="216" t="s">
        <v>1432</v>
      </c>
      <c r="B428" s="187">
        <v>137</v>
      </c>
    </row>
    <row r="429" spans="1:2">
      <c r="A429" s="216" t="s">
        <v>1434</v>
      </c>
      <c r="B429" s="187">
        <v>349</v>
      </c>
    </row>
    <row r="430" spans="1:2">
      <c r="A430" s="216" t="s">
        <v>1436</v>
      </c>
      <c r="B430" s="187">
        <v>62</v>
      </c>
    </row>
    <row r="431" spans="1:2">
      <c r="A431" s="216" t="s">
        <v>1438</v>
      </c>
      <c r="B431" s="187">
        <v>181</v>
      </c>
    </row>
    <row r="432" spans="1:2">
      <c r="A432" s="216" t="s">
        <v>2580</v>
      </c>
      <c r="B432" s="187">
        <v>102</v>
      </c>
    </row>
    <row r="433" spans="1:2">
      <c r="A433" s="216" t="s">
        <v>2582</v>
      </c>
      <c r="B433" s="187">
        <v>142</v>
      </c>
    </row>
    <row r="434" spans="1:2">
      <c r="A434" s="216" t="s">
        <v>2584</v>
      </c>
      <c r="B434" s="246">
        <v>1348</v>
      </c>
    </row>
    <row r="435" spans="1:2">
      <c r="A435" s="216" t="s">
        <v>1578</v>
      </c>
      <c r="B435" s="187">
        <v>374</v>
      </c>
    </row>
    <row r="436" spans="1:2">
      <c r="A436" s="216" t="s">
        <v>1580</v>
      </c>
      <c r="B436" s="187">
        <v>360</v>
      </c>
    </row>
    <row r="437" spans="1:2">
      <c r="A437" s="216" t="s">
        <v>447</v>
      </c>
      <c r="B437" s="187">
        <v>85</v>
      </c>
    </row>
    <row r="438" spans="1:2">
      <c r="A438" s="216" t="s">
        <v>1582</v>
      </c>
      <c r="B438" s="187">
        <v>134</v>
      </c>
    </row>
    <row r="439" spans="1:2">
      <c r="A439" s="216" t="s">
        <v>1584</v>
      </c>
      <c r="B439" s="187">
        <v>235</v>
      </c>
    </row>
    <row r="440" spans="1:2">
      <c r="A440" s="216" t="s">
        <v>1588</v>
      </c>
      <c r="B440" s="187">
        <v>190</v>
      </c>
    </row>
    <row r="441" spans="1:2">
      <c r="A441" s="216" t="s">
        <v>1292</v>
      </c>
      <c r="B441" s="187">
        <v>194</v>
      </c>
    </row>
    <row r="442" spans="1:2">
      <c r="A442" s="216" t="s">
        <v>1590</v>
      </c>
      <c r="B442" s="187">
        <v>141</v>
      </c>
    </row>
    <row r="443" spans="1:2">
      <c r="A443" s="216" t="s">
        <v>1864</v>
      </c>
      <c r="B443" s="187">
        <v>212</v>
      </c>
    </row>
    <row r="444" spans="1:2">
      <c r="A444" s="216" t="s">
        <v>1592</v>
      </c>
      <c r="B444" s="187">
        <v>731</v>
      </c>
    </row>
    <row r="445" spans="1:2">
      <c r="A445" s="216" t="s">
        <v>1594</v>
      </c>
      <c r="B445" s="187">
        <v>236</v>
      </c>
    </row>
    <row r="446" spans="1:2">
      <c r="A446" s="216" t="s">
        <v>1596</v>
      </c>
      <c r="B446" s="187">
        <v>199</v>
      </c>
    </row>
    <row r="447" spans="1:2">
      <c r="A447" s="216" t="s">
        <v>1598</v>
      </c>
      <c r="B447" s="187">
        <v>109</v>
      </c>
    </row>
    <row r="448" spans="1:2">
      <c r="A448" s="216" t="s">
        <v>1600</v>
      </c>
      <c r="B448" s="187">
        <v>81</v>
      </c>
    </row>
    <row r="449" spans="1:2">
      <c r="A449" s="216" t="s">
        <v>5260</v>
      </c>
      <c r="B449" s="187">
        <v>118</v>
      </c>
    </row>
    <row r="450" spans="1:2">
      <c r="A450" s="216" t="s">
        <v>2415</v>
      </c>
      <c r="B450" s="187">
        <v>15</v>
      </c>
    </row>
    <row r="451" spans="1:2">
      <c r="A451" s="216" t="s">
        <v>4973</v>
      </c>
      <c r="B451" s="187">
        <v>13</v>
      </c>
    </row>
    <row r="452" spans="1:2">
      <c r="A452" s="216" t="s">
        <v>5262</v>
      </c>
      <c r="B452" s="187">
        <v>146</v>
      </c>
    </row>
    <row r="453" spans="1:2">
      <c r="A453" s="216" t="s">
        <v>2054</v>
      </c>
      <c r="B453" s="187">
        <v>91</v>
      </c>
    </row>
    <row r="454" spans="1:2">
      <c r="A454" s="216" t="s">
        <v>1519</v>
      </c>
      <c r="B454" s="187">
        <v>28</v>
      </c>
    </row>
    <row r="455" spans="1:2">
      <c r="A455" s="216" t="s">
        <v>1521</v>
      </c>
      <c r="B455" s="187">
        <v>848</v>
      </c>
    </row>
    <row r="456" spans="1:2">
      <c r="A456" s="216" t="s">
        <v>1866</v>
      </c>
      <c r="B456" s="187">
        <v>36</v>
      </c>
    </row>
    <row r="457" spans="1:2">
      <c r="A457" s="216" t="s">
        <v>6167</v>
      </c>
      <c r="B457" s="187">
        <v>34</v>
      </c>
    </row>
    <row r="458" spans="1:2">
      <c r="A458" s="216" t="s">
        <v>6170</v>
      </c>
      <c r="B458" s="187">
        <v>38</v>
      </c>
    </row>
    <row r="459" spans="1:2">
      <c r="A459" s="216" t="s">
        <v>6176</v>
      </c>
      <c r="B459" s="187">
        <v>43</v>
      </c>
    </row>
    <row r="460" spans="1:2">
      <c r="A460" s="216" t="s">
        <v>5125</v>
      </c>
      <c r="B460" s="187">
        <v>57</v>
      </c>
    </row>
    <row r="461" spans="1:2">
      <c r="A461" s="216" t="s">
        <v>648</v>
      </c>
      <c r="B461" s="187">
        <v>24</v>
      </c>
    </row>
    <row r="462" spans="1:2">
      <c r="A462" s="216" t="s">
        <v>780</v>
      </c>
      <c r="B462" s="187">
        <v>27</v>
      </c>
    </row>
    <row r="463" spans="1:2">
      <c r="A463" s="216" t="s">
        <v>6038</v>
      </c>
      <c r="B463" s="187">
        <v>209</v>
      </c>
    </row>
    <row r="464" spans="1:2">
      <c r="A464" s="216" t="s">
        <v>3096</v>
      </c>
      <c r="B464" s="187">
        <v>55</v>
      </c>
    </row>
    <row r="465" spans="1:2">
      <c r="A465" s="216" t="s">
        <v>6040</v>
      </c>
      <c r="B465" s="187">
        <v>29</v>
      </c>
    </row>
    <row r="466" spans="1:2">
      <c r="A466" s="216" t="s">
        <v>3097</v>
      </c>
      <c r="B466" s="187">
        <v>47</v>
      </c>
    </row>
    <row r="467" spans="1:2">
      <c r="A467" s="216" t="s">
        <v>2419</v>
      </c>
      <c r="B467" s="187">
        <v>10</v>
      </c>
    </row>
    <row r="468" spans="1:2">
      <c r="A468" s="216" t="s">
        <v>2608</v>
      </c>
      <c r="B468" s="187">
        <v>75</v>
      </c>
    </row>
    <row r="469" spans="1:2">
      <c r="A469" s="216" t="s">
        <v>448</v>
      </c>
      <c r="B469" s="187">
        <v>81</v>
      </c>
    </row>
    <row r="470" spans="1:2">
      <c r="A470" s="216" t="s">
        <v>243</v>
      </c>
      <c r="B470" s="187">
        <v>43</v>
      </c>
    </row>
    <row r="471" spans="1:2">
      <c r="A471" s="216" t="s">
        <v>1868</v>
      </c>
      <c r="B471" s="187">
        <v>128</v>
      </c>
    </row>
    <row r="472" spans="1:2">
      <c r="A472" s="216" t="s">
        <v>3098</v>
      </c>
      <c r="B472" s="187">
        <v>64</v>
      </c>
    </row>
    <row r="473" spans="1:2">
      <c r="A473" s="216" t="s">
        <v>6022</v>
      </c>
      <c r="B473" s="187">
        <v>137</v>
      </c>
    </row>
    <row r="474" spans="1:2">
      <c r="A474" s="216" t="s">
        <v>2610</v>
      </c>
      <c r="B474" s="187">
        <v>46</v>
      </c>
    </row>
    <row r="475" spans="1:2">
      <c r="A475" s="216" t="s">
        <v>2612</v>
      </c>
      <c r="B475" s="187">
        <v>48</v>
      </c>
    </row>
    <row r="476" spans="1:2">
      <c r="A476" s="216" t="s">
        <v>782</v>
      </c>
      <c r="B476" s="187">
        <v>118</v>
      </c>
    </row>
    <row r="477" spans="1:2">
      <c r="A477" s="216" t="s">
        <v>2614</v>
      </c>
      <c r="B477" s="187">
        <v>73</v>
      </c>
    </row>
    <row r="478" spans="1:2">
      <c r="A478" s="216" t="s">
        <v>2468</v>
      </c>
      <c r="B478" s="187">
        <v>106</v>
      </c>
    </row>
    <row r="479" spans="1:2">
      <c r="A479" s="216" t="s">
        <v>2616</v>
      </c>
      <c r="B479" s="187">
        <v>50</v>
      </c>
    </row>
    <row r="480" spans="1:2">
      <c r="A480" s="216" t="s">
        <v>784</v>
      </c>
      <c r="B480" s="187">
        <v>82</v>
      </c>
    </row>
    <row r="481" spans="1:2">
      <c r="A481" s="216" t="s">
        <v>786</v>
      </c>
      <c r="B481" s="187">
        <v>315</v>
      </c>
    </row>
    <row r="482" spans="1:2">
      <c r="A482" s="216" t="s">
        <v>788</v>
      </c>
      <c r="B482" s="187">
        <v>162</v>
      </c>
    </row>
    <row r="483" spans="1:2">
      <c r="A483" s="216" t="s">
        <v>969</v>
      </c>
      <c r="B483" s="187">
        <v>106</v>
      </c>
    </row>
    <row r="484" spans="1:2">
      <c r="A484" s="216" t="s">
        <v>790</v>
      </c>
      <c r="B484" s="187">
        <v>89</v>
      </c>
    </row>
    <row r="485" spans="1:2">
      <c r="A485" s="216" t="s">
        <v>792</v>
      </c>
      <c r="B485" s="187">
        <v>118</v>
      </c>
    </row>
    <row r="486" spans="1:2">
      <c r="A486" s="216" t="s">
        <v>794</v>
      </c>
      <c r="B486" s="187">
        <v>259</v>
      </c>
    </row>
    <row r="487" spans="1:2">
      <c r="A487" s="216" t="s">
        <v>2991</v>
      </c>
      <c r="B487" s="187">
        <v>115</v>
      </c>
    </row>
    <row r="488" spans="1:2">
      <c r="A488" s="216" t="s">
        <v>2413</v>
      </c>
      <c r="B488" s="187">
        <v>111</v>
      </c>
    </row>
    <row r="489" spans="1:2">
      <c r="A489" s="216" t="s">
        <v>796</v>
      </c>
      <c r="B489" s="187">
        <v>255</v>
      </c>
    </row>
    <row r="490" spans="1:2">
      <c r="A490" s="216" t="s">
        <v>2044</v>
      </c>
      <c r="B490" s="187">
        <v>70</v>
      </c>
    </row>
    <row r="491" spans="1:2">
      <c r="A491" s="216" t="s">
        <v>798</v>
      </c>
      <c r="B491" s="187">
        <v>103</v>
      </c>
    </row>
    <row r="492" spans="1:2">
      <c r="A492" s="216" t="s">
        <v>2358</v>
      </c>
      <c r="B492" s="187">
        <v>68</v>
      </c>
    </row>
    <row r="493" spans="1:2">
      <c r="A493" s="216" t="s">
        <v>800</v>
      </c>
      <c r="B493" s="187">
        <v>123</v>
      </c>
    </row>
    <row r="494" spans="1:2">
      <c r="A494" s="216" t="s">
        <v>802</v>
      </c>
      <c r="B494" s="187">
        <v>61</v>
      </c>
    </row>
    <row r="495" spans="1:2">
      <c r="A495" s="216" t="s">
        <v>2046</v>
      </c>
      <c r="B495" s="187">
        <v>120</v>
      </c>
    </row>
    <row r="496" spans="1:2">
      <c r="A496" s="216" t="s">
        <v>804</v>
      </c>
      <c r="B496" s="187">
        <v>200</v>
      </c>
    </row>
    <row r="497" spans="1:2">
      <c r="A497" s="216" t="s">
        <v>806</v>
      </c>
      <c r="B497" s="187">
        <v>222</v>
      </c>
    </row>
    <row r="498" spans="1:2">
      <c r="A498" s="216" t="s">
        <v>808</v>
      </c>
      <c r="B498" s="187">
        <v>333</v>
      </c>
    </row>
    <row r="499" spans="1:2">
      <c r="A499" s="216" t="s">
        <v>810</v>
      </c>
      <c r="B499" s="187">
        <v>103</v>
      </c>
    </row>
    <row r="500" spans="1:2">
      <c r="A500" s="216" t="s">
        <v>667</v>
      </c>
      <c r="B500" s="187">
        <v>354</v>
      </c>
    </row>
    <row r="501" spans="1:2">
      <c r="A501" s="216" t="s">
        <v>1707</v>
      </c>
      <c r="B501" s="187">
        <v>244</v>
      </c>
    </row>
    <row r="502" spans="1:2">
      <c r="A502" s="216" t="s">
        <v>1709</v>
      </c>
      <c r="B502" s="187">
        <v>304</v>
      </c>
    </row>
    <row r="503" spans="1:2">
      <c r="A503" s="216" t="s">
        <v>1711</v>
      </c>
      <c r="B503" s="187">
        <v>211</v>
      </c>
    </row>
    <row r="504" spans="1:2">
      <c r="A504" s="216" t="s">
        <v>1713</v>
      </c>
      <c r="B504" s="246">
        <v>1733</v>
      </c>
    </row>
    <row r="505" spans="1:2">
      <c r="A505" s="216" t="s">
        <v>1330</v>
      </c>
      <c r="B505" s="246">
        <v>1179</v>
      </c>
    </row>
    <row r="506" spans="1:2">
      <c r="A506" s="216" t="s">
        <v>1332</v>
      </c>
      <c r="B506" s="187">
        <v>621</v>
      </c>
    </row>
    <row r="507" spans="1:2">
      <c r="A507" s="216" t="s">
        <v>979</v>
      </c>
      <c r="B507" s="187">
        <v>71</v>
      </c>
    </row>
    <row r="508" spans="1:2">
      <c r="A508" s="216" t="s">
        <v>1334</v>
      </c>
      <c r="B508" s="187">
        <v>70</v>
      </c>
    </row>
    <row r="509" spans="1:2">
      <c r="A509" s="216" t="s">
        <v>235</v>
      </c>
      <c r="B509" s="187">
        <v>116</v>
      </c>
    </row>
    <row r="510" spans="1:2">
      <c r="A510" s="216" t="s">
        <v>3961</v>
      </c>
      <c r="B510" s="187">
        <v>139</v>
      </c>
    </row>
    <row r="511" spans="1:2">
      <c r="A511" s="216" t="s">
        <v>2359</v>
      </c>
      <c r="B511" s="187">
        <v>97</v>
      </c>
    </row>
    <row r="512" spans="1:2">
      <c r="A512" s="216" t="s">
        <v>650</v>
      </c>
      <c r="B512" s="187">
        <v>152</v>
      </c>
    </row>
    <row r="513" spans="1:2">
      <c r="A513" s="216" t="s">
        <v>2127</v>
      </c>
      <c r="B513" s="187">
        <v>86</v>
      </c>
    </row>
    <row r="514" spans="1:2">
      <c r="A514" s="216" t="s">
        <v>3963</v>
      </c>
      <c r="B514" s="187">
        <v>46</v>
      </c>
    </row>
    <row r="515" spans="1:2">
      <c r="A515" s="216" t="s">
        <v>953</v>
      </c>
      <c r="B515" s="187">
        <v>61</v>
      </c>
    </row>
    <row r="516" spans="1:2">
      <c r="A516" s="216" t="s">
        <v>971</v>
      </c>
      <c r="B516" s="187">
        <v>8</v>
      </c>
    </row>
    <row r="517" spans="1:2">
      <c r="A517" s="216" t="s">
        <v>3965</v>
      </c>
      <c r="B517" s="187">
        <v>52</v>
      </c>
    </row>
    <row r="518" spans="1:2">
      <c r="A518" s="216" t="s">
        <v>3967</v>
      </c>
      <c r="B518" s="187">
        <v>33</v>
      </c>
    </row>
    <row r="519" spans="1:2">
      <c r="A519" s="216" t="s">
        <v>3969</v>
      </c>
      <c r="B519" s="187">
        <v>346</v>
      </c>
    </row>
    <row r="520" spans="1:2">
      <c r="A520" s="216" t="s">
        <v>757</v>
      </c>
      <c r="B520" s="187">
        <v>166</v>
      </c>
    </row>
    <row r="521" spans="1:2">
      <c r="A521" s="216" t="s">
        <v>759</v>
      </c>
      <c r="B521" s="246">
        <v>1052</v>
      </c>
    </row>
    <row r="522" spans="1:2">
      <c r="A522" s="216" t="s">
        <v>69</v>
      </c>
      <c r="B522" s="187">
        <v>185</v>
      </c>
    </row>
    <row r="523" spans="1:2">
      <c r="A523" s="216" t="s">
        <v>71</v>
      </c>
      <c r="B523" s="187">
        <v>588</v>
      </c>
    </row>
    <row r="524" spans="1:2">
      <c r="A524" s="216" t="s">
        <v>73</v>
      </c>
      <c r="B524" s="187">
        <v>170</v>
      </c>
    </row>
    <row r="525" spans="1:2">
      <c r="A525" s="216" t="s">
        <v>75</v>
      </c>
      <c r="B525" s="187">
        <v>381</v>
      </c>
    </row>
    <row r="526" spans="1:2">
      <c r="A526" s="216" t="s">
        <v>1316</v>
      </c>
      <c r="B526" s="187">
        <v>154</v>
      </c>
    </row>
    <row r="527" spans="1:2">
      <c r="A527" s="216" t="s">
        <v>2600</v>
      </c>
      <c r="B527" s="187">
        <v>300</v>
      </c>
    </row>
    <row r="528" spans="1:2">
      <c r="A528" s="216" t="s">
        <v>7133</v>
      </c>
      <c r="B528" s="187">
        <v>156</v>
      </c>
    </row>
    <row r="529" spans="1:2">
      <c r="A529" s="216" t="s">
        <v>961</v>
      </c>
      <c r="B529" s="187">
        <v>251</v>
      </c>
    </row>
    <row r="530" spans="1:2">
      <c r="A530" s="216" t="s">
        <v>6024</v>
      </c>
      <c r="B530" s="187">
        <v>400</v>
      </c>
    </row>
    <row r="531" spans="1:2">
      <c r="A531" s="216" t="s">
        <v>6034</v>
      </c>
      <c r="B531" s="187">
        <v>239</v>
      </c>
    </row>
    <row r="532" spans="1:2">
      <c r="A532" s="216" t="s">
        <v>7135</v>
      </c>
      <c r="B532" s="187">
        <v>26</v>
      </c>
    </row>
    <row r="533" spans="1:2">
      <c r="A533" s="216" t="s">
        <v>7137</v>
      </c>
      <c r="B533" s="246">
        <v>1439</v>
      </c>
    </row>
    <row r="534" spans="1:2">
      <c r="A534" s="216" t="s">
        <v>7139</v>
      </c>
      <c r="B534" s="187">
        <v>819</v>
      </c>
    </row>
    <row r="535" spans="1:2">
      <c r="A535" s="216" t="s">
        <v>6178</v>
      </c>
      <c r="B535" s="187">
        <v>18</v>
      </c>
    </row>
    <row r="536" spans="1:2">
      <c r="A536" s="216" t="s">
        <v>7145</v>
      </c>
      <c r="B536" s="187">
        <v>71</v>
      </c>
    </row>
    <row r="537" spans="1:2">
      <c r="A537" s="216" t="s">
        <v>7147</v>
      </c>
      <c r="B537" s="187">
        <v>21</v>
      </c>
    </row>
    <row r="538" spans="1:2">
      <c r="A538" s="216" t="s">
        <v>2808</v>
      </c>
      <c r="B538" s="187">
        <v>183</v>
      </c>
    </row>
    <row r="539" spans="1:2">
      <c r="A539" s="216" t="s">
        <v>2810</v>
      </c>
      <c r="B539" s="187">
        <v>611</v>
      </c>
    </row>
    <row r="540" spans="1:2">
      <c r="A540" s="216" t="s">
        <v>1859</v>
      </c>
      <c r="B540" s="187">
        <v>273</v>
      </c>
    </row>
    <row r="541" spans="1:2">
      <c r="A541" s="216" t="s">
        <v>2812</v>
      </c>
      <c r="B541" s="246">
        <v>1137</v>
      </c>
    </row>
    <row r="542" spans="1:2">
      <c r="A542" s="216" t="s">
        <v>820</v>
      </c>
      <c r="B542" s="187">
        <v>306</v>
      </c>
    </row>
    <row r="543" spans="1:2">
      <c r="A543" s="216" t="s">
        <v>127</v>
      </c>
      <c r="B543" s="187">
        <v>139</v>
      </c>
    </row>
    <row r="544" spans="1:2">
      <c r="A544" s="216" t="s">
        <v>6189</v>
      </c>
      <c r="B544" s="187">
        <v>180</v>
      </c>
    </row>
    <row r="545" spans="1:2">
      <c r="A545" s="216" t="s">
        <v>5130</v>
      </c>
      <c r="B545" s="187">
        <v>157</v>
      </c>
    </row>
    <row r="546" spans="1:2">
      <c r="A546" s="216" t="s">
        <v>2815</v>
      </c>
      <c r="B546" s="187">
        <v>47</v>
      </c>
    </row>
    <row r="547" spans="1:2">
      <c r="A547" s="216" t="s">
        <v>3888</v>
      </c>
      <c r="B547" s="187">
        <v>98</v>
      </c>
    </row>
    <row r="548" spans="1:2">
      <c r="A548" s="216" t="s">
        <v>977</v>
      </c>
      <c r="B548" s="187">
        <v>50</v>
      </c>
    </row>
    <row r="549" spans="1:2">
      <c r="A549" s="216" t="s">
        <v>739</v>
      </c>
      <c r="B549" s="187">
        <v>195</v>
      </c>
    </row>
    <row r="550" spans="1:2">
      <c r="A550" s="216" t="s">
        <v>1855</v>
      </c>
      <c r="B550" s="187">
        <v>79</v>
      </c>
    </row>
    <row r="551" spans="1:2">
      <c r="A551" s="216" t="s">
        <v>6025</v>
      </c>
      <c r="B551" s="187">
        <v>77</v>
      </c>
    </row>
    <row r="552" spans="1:2">
      <c r="A552" s="216" t="s">
        <v>2817</v>
      </c>
      <c r="B552" s="187">
        <v>5</v>
      </c>
    </row>
    <row r="553" spans="1:2">
      <c r="A553" s="216" t="s">
        <v>128</v>
      </c>
      <c r="B553" s="187">
        <v>76</v>
      </c>
    </row>
    <row r="554" spans="1:2">
      <c r="A554" s="216" t="s">
        <v>3551</v>
      </c>
      <c r="B554" s="187">
        <v>34</v>
      </c>
    </row>
    <row r="555" spans="1:2">
      <c r="A555" s="216" t="s">
        <v>1851</v>
      </c>
      <c r="B555" s="187">
        <v>126</v>
      </c>
    </row>
    <row r="556" spans="1:2">
      <c r="A556" s="216" t="s">
        <v>267</v>
      </c>
      <c r="B556" s="187">
        <v>260</v>
      </c>
    </row>
    <row r="557" spans="1:2">
      <c r="A557" s="216" t="s">
        <v>2819</v>
      </c>
      <c r="B557" s="187">
        <v>259</v>
      </c>
    </row>
    <row r="558" spans="1:2">
      <c r="A558" s="216" t="s">
        <v>1863</v>
      </c>
      <c r="B558" s="187">
        <v>121</v>
      </c>
    </row>
    <row r="559" spans="1:2">
      <c r="A559" s="216" t="s">
        <v>449</v>
      </c>
      <c r="B559" s="187">
        <v>236</v>
      </c>
    </row>
    <row r="560" spans="1:2">
      <c r="A560" s="216" t="s">
        <v>5138</v>
      </c>
      <c r="B560" s="187">
        <v>144</v>
      </c>
    </row>
    <row r="561" spans="1:2">
      <c r="A561" s="216" t="s">
        <v>6027</v>
      </c>
      <c r="B561" s="187">
        <v>362</v>
      </c>
    </row>
    <row r="562" spans="1:2">
      <c r="A562" s="216" t="s">
        <v>450</v>
      </c>
      <c r="B562" s="187">
        <v>139</v>
      </c>
    </row>
    <row r="563" spans="1:2">
      <c r="A563" s="216" t="s">
        <v>516</v>
      </c>
      <c r="B563" s="187">
        <v>91</v>
      </c>
    </row>
    <row r="564" spans="1:2">
      <c r="A564" s="216" t="s">
        <v>1525</v>
      </c>
      <c r="B564" s="187">
        <v>132</v>
      </c>
    </row>
    <row r="565" spans="1:2">
      <c r="A565" s="216" t="s">
        <v>244</v>
      </c>
      <c r="B565" s="187">
        <v>84</v>
      </c>
    </row>
    <row r="566" spans="1:2">
      <c r="A566" s="216" t="s">
        <v>1308</v>
      </c>
      <c r="B566" s="187">
        <v>80</v>
      </c>
    </row>
    <row r="567" spans="1:2">
      <c r="A567" s="216" t="s">
        <v>6029</v>
      </c>
      <c r="B567" s="187">
        <v>167</v>
      </c>
    </row>
    <row r="568" spans="1:2">
      <c r="A568" s="216" t="s">
        <v>6031</v>
      </c>
      <c r="B568" s="187">
        <v>171</v>
      </c>
    </row>
    <row r="569" spans="1:2">
      <c r="A569" s="216" t="s">
        <v>5628</v>
      </c>
      <c r="B569" s="187">
        <v>87</v>
      </c>
    </row>
    <row r="570" spans="1:2">
      <c r="A570" s="216" t="s">
        <v>5630</v>
      </c>
      <c r="B570" s="187">
        <v>175</v>
      </c>
    </row>
    <row r="571" spans="1:2">
      <c r="A571" s="216" t="s">
        <v>2395</v>
      </c>
      <c r="B571" s="187">
        <v>86</v>
      </c>
    </row>
    <row r="572" spans="1:2">
      <c r="A572" s="216" t="s">
        <v>5632</v>
      </c>
      <c r="B572" s="187">
        <v>308</v>
      </c>
    </row>
    <row r="573" spans="1:2">
      <c r="A573" s="216" t="s">
        <v>6147</v>
      </c>
      <c r="B573" s="187">
        <v>349</v>
      </c>
    </row>
    <row r="574" spans="1:2">
      <c r="A574" s="216" t="s">
        <v>1417</v>
      </c>
      <c r="B574" s="246">
        <v>2267</v>
      </c>
    </row>
    <row r="575" spans="1:2">
      <c r="A575" s="216" t="s">
        <v>1419</v>
      </c>
      <c r="B575" s="187">
        <v>784</v>
      </c>
    </row>
    <row r="576" spans="1:2">
      <c r="A576" s="216" t="s">
        <v>2469</v>
      </c>
      <c r="B576" s="187">
        <v>85</v>
      </c>
    </row>
    <row r="577" spans="1:2">
      <c r="A577" s="216" t="s">
        <v>1421</v>
      </c>
      <c r="B577" s="187">
        <v>201</v>
      </c>
    </row>
    <row r="578" spans="1:2">
      <c r="A578" s="216" t="s">
        <v>1423</v>
      </c>
      <c r="B578" s="187">
        <v>162</v>
      </c>
    </row>
    <row r="579" spans="1:2">
      <c r="A579" s="216" t="s">
        <v>1425</v>
      </c>
      <c r="B579" s="187">
        <v>228</v>
      </c>
    </row>
    <row r="580" spans="1:2">
      <c r="A580" s="216" t="s">
        <v>7151</v>
      </c>
      <c r="B580" s="187">
        <v>300</v>
      </c>
    </row>
    <row r="581" spans="1:2">
      <c r="A581" s="216" t="s">
        <v>7153</v>
      </c>
      <c r="B581" s="246">
        <v>1105</v>
      </c>
    </row>
    <row r="582" spans="1:2">
      <c r="A582" s="216" t="s">
        <v>1833</v>
      </c>
      <c r="B582" s="187">
        <v>871</v>
      </c>
    </row>
    <row r="583" spans="1:2">
      <c r="A583" s="216" t="s">
        <v>1835</v>
      </c>
      <c r="B583" s="246">
        <v>1363</v>
      </c>
    </row>
    <row r="584" spans="1:2">
      <c r="A584" s="216" t="s">
        <v>510</v>
      </c>
      <c r="B584" s="187">
        <v>105</v>
      </c>
    </row>
    <row r="585" spans="1:2">
      <c r="A585" s="216" t="s">
        <v>3530</v>
      </c>
      <c r="B585" s="187">
        <v>83</v>
      </c>
    </row>
    <row r="586" spans="1:2">
      <c r="A586" s="216" t="s">
        <v>3532</v>
      </c>
      <c r="B586" s="187">
        <v>856</v>
      </c>
    </row>
    <row r="587" spans="1:2">
      <c r="A587" s="216" t="s">
        <v>3534</v>
      </c>
      <c r="B587" s="187">
        <v>197</v>
      </c>
    </row>
    <row r="588" spans="1:2">
      <c r="A588" s="216" t="s">
        <v>511</v>
      </c>
      <c r="B588" s="187">
        <v>144</v>
      </c>
    </row>
    <row r="589" spans="1:2">
      <c r="A589" s="216" t="s">
        <v>3539</v>
      </c>
      <c r="B589" s="187">
        <v>195</v>
      </c>
    </row>
    <row r="590" spans="1:2">
      <c r="A590" s="216" t="s">
        <v>3541</v>
      </c>
      <c r="B590" s="187">
        <v>407</v>
      </c>
    </row>
    <row r="591" spans="1:2">
      <c r="A591" s="216" t="s">
        <v>3543</v>
      </c>
      <c r="B591" s="187">
        <v>211</v>
      </c>
    </row>
    <row r="592" spans="1:2">
      <c r="A592" s="216" t="s">
        <v>129</v>
      </c>
      <c r="B592" s="187">
        <v>94</v>
      </c>
    </row>
    <row r="593" spans="1:2">
      <c r="A593" s="216" t="s">
        <v>6193</v>
      </c>
      <c r="B593" s="187">
        <v>22</v>
      </c>
    </row>
    <row r="594" spans="1:2">
      <c r="A594" s="216" t="s">
        <v>2674</v>
      </c>
      <c r="B594" s="187">
        <v>405</v>
      </c>
    </row>
    <row r="595" spans="1:2">
      <c r="A595" s="216" t="s">
        <v>512</v>
      </c>
      <c r="B595" s="187">
        <v>236</v>
      </c>
    </row>
    <row r="596" spans="1:2">
      <c r="A596" s="216" t="s">
        <v>600</v>
      </c>
      <c r="B596" s="187">
        <v>109</v>
      </c>
    </row>
    <row r="597" spans="1:2">
      <c r="A597" s="216" t="s">
        <v>602</v>
      </c>
      <c r="B597" s="187">
        <v>216</v>
      </c>
    </row>
    <row r="598" spans="1:2">
      <c r="A598" s="216" t="s">
        <v>6188</v>
      </c>
      <c r="B598" s="187">
        <v>273</v>
      </c>
    </row>
    <row r="599" spans="1:2">
      <c r="A599" s="216" t="s">
        <v>2016</v>
      </c>
      <c r="B599" s="187">
        <v>79</v>
      </c>
    </row>
    <row r="600" spans="1:2">
      <c r="A600" s="216" t="s">
        <v>2018</v>
      </c>
      <c r="B600" s="187">
        <v>197</v>
      </c>
    </row>
    <row r="601" spans="1:2">
      <c r="A601" s="216" t="s">
        <v>2020</v>
      </c>
      <c r="B601" s="187">
        <v>580</v>
      </c>
    </row>
    <row r="602" spans="1:2">
      <c r="A602" s="216" t="s">
        <v>2024</v>
      </c>
      <c r="B602" s="187">
        <v>597</v>
      </c>
    </row>
    <row r="603" spans="1:2">
      <c r="A603" s="216" t="s">
        <v>2026</v>
      </c>
      <c r="B603" s="187">
        <v>242</v>
      </c>
    </row>
    <row r="604" spans="1:2">
      <c r="A604" s="216" t="s">
        <v>242</v>
      </c>
      <c r="B604" s="246">
        <v>1404</v>
      </c>
    </row>
    <row r="605" spans="1:2">
      <c r="A605" s="216" t="s">
        <v>2028</v>
      </c>
      <c r="B605" s="187">
        <v>502</v>
      </c>
    </row>
    <row r="606" spans="1:2">
      <c r="A606" s="216" t="s">
        <v>2030</v>
      </c>
      <c r="B606" s="187">
        <v>113</v>
      </c>
    </row>
    <row r="607" spans="1:2">
      <c r="A607" s="216" t="s">
        <v>2032</v>
      </c>
      <c r="B607" s="187">
        <v>112</v>
      </c>
    </row>
    <row r="608" spans="1:2">
      <c r="A608" s="216" t="s">
        <v>2034</v>
      </c>
      <c r="B608" s="187">
        <v>32</v>
      </c>
    </row>
    <row r="609" spans="1:2">
      <c r="A609" s="216" t="s">
        <v>2036</v>
      </c>
      <c r="B609" s="187">
        <v>62</v>
      </c>
    </row>
    <row r="610" spans="1:2">
      <c r="A610" s="216" t="s">
        <v>308</v>
      </c>
      <c r="B610" s="187">
        <v>168</v>
      </c>
    </row>
    <row r="611" spans="1:2">
      <c r="A611" s="216" t="s">
        <v>310</v>
      </c>
      <c r="B611" s="187">
        <v>255</v>
      </c>
    </row>
    <row r="612" spans="1:2">
      <c r="A612" s="216" t="s">
        <v>312</v>
      </c>
      <c r="B612" s="187">
        <v>291</v>
      </c>
    </row>
    <row r="613" spans="1:2">
      <c r="A613" s="216" t="s">
        <v>314</v>
      </c>
      <c r="B613" s="187">
        <v>98</v>
      </c>
    </row>
    <row r="614" spans="1:2">
      <c r="A614" s="216" t="s">
        <v>316</v>
      </c>
      <c r="B614" s="187">
        <v>164</v>
      </c>
    </row>
    <row r="615" spans="1:2">
      <c r="A615" s="216" t="s">
        <v>318</v>
      </c>
      <c r="B615" s="187">
        <v>360</v>
      </c>
    </row>
    <row r="616" spans="1:2">
      <c r="A616" s="216" t="s">
        <v>320</v>
      </c>
      <c r="B616" s="187">
        <v>177</v>
      </c>
    </row>
    <row r="617" spans="1:2">
      <c r="A617" s="216" t="s">
        <v>2319</v>
      </c>
      <c r="B617" s="187">
        <v>257</v>
      </c>
    </row>
    <row r="618" spans="1:2">
      <c r="A618" s="216" t="s">
        <v>2321</v>
      </c>
      <c r="B618" s="187">
        <v>308</v>
      </c>
    </row>
    <row r="619" spans="1:2">
      <c r="A619" s="216" t="s">
        <v>3178</v>
      </c>
      <c r="B619" s="187">
        <v>147</v>
      </c>
    </row>
    <row r="620" spans="1:2">
      <c r="A620" s="216" t="s">
        <v>249</v>
      </c>
      <c r="B620" s="187">
        <v>266</v>
      </c>
    </row>
    <row r="621" spans="1:2">
      <c r="A621" s="216" t="s">
        <v>2323</v>
      </c>
      <c r="B621" s="187">
        <v>158</v>
      </c>
    </row>
    <row r="622" spans="1:2">
      <c r="A622" s="216" t="s">
        <v>513</v>
      </c>
      <c r="B622" s="187">
        <v>209</v>
      </c>
    </row>
    <row r="623" spans="1:2">
      <c r="A623" s="216" t="s">
        <v>1872</v>
      </c>
      <c r="B623" s="187">
        <v>90</v>
      </c>
    </row>
    <row r="624" spans="1:2">
      <c r="A624" s="216" t="s">
        <v>2325</v>
      </c>
      <c r="B624" s="187">
        <v>129</v>
      </c>
    </row>
    <row r="625" spans="1:2">
      <c r="A625" s="216" t="s">
        <v>2327</v>
      </c>
      <c r="B625" s="187">
        <v>224</v>
      </c>
    </row>
    <row r="626" spans="1:2">
      <c r="A626" s="216" t="s">
        <v>5236</v>
      </c>
      <c r="B626" s="187">
        <v>146</v>
      </c>
    </row>
    <row r="627" spans="1:2">
      <c r="A627" s="216" t="s">
        <v>7700</v>
      </c>
      <c r="B627" s="187">
        <v>497</v>
      </c>
    </row>
    <row r="628" spans="1:2">
      <c r="A628" s="216" t="s">
        <v>7702</v>
      </c>
      <c r="B628" s="187">
        <v>182</v>
      </c>
    </row>
    <row r="629" spans="1:2">
      <c r="A629" s="216" t="s">
        <v>7704</v>
      </c>
      <c r="B629" s="187">
        <v>302</v>
      </c>
    </row>
    <row r="630" spans="1:2">
      <c r="A630" s="216" t="s">
        <v>5634</v>
      </c>
      <c r="B630" s="187">
        <v>258</v>
      </c>
    </row>
    <row r="631" spans="1:2">
      <c r="A631" s="216" t="s">
        <v>5636</v>
      </c>
      <c r="B631" s="187">
        <v>233</v>
      </c>
    </row>
    <row r="632" spans="1:2">
      <c r="A632" s="216" t="s">
        <v>4016</v>
      </c>
      <c r="B632" s="187">
        <v>189</v>
      </c>
    </row>
    <row r="633" spans="1:2">
      <c r="A633" s="216" t="s">
        <v>4018</v>
      </c>
      <c r="B633" s="187">
        <v>611</v>
      </c>
    </row>
    <row r="634" spans="1:2">
      <c r="A634" s="216" t="s">
        <v>4020</v>
      </c>
      <c r="B634" s="187">
        <v>405</v>
      </c>
    </row>
    <row r="635" spans="1:2">
      <c r="A635" s="216" t="s">
        <v>4022</v>
      </c>
      <c r="B635" s="187">
        <v>908</v>
      </c>
    </row>
    <row r="636" spans="1:2">
      <c r="A636" s="216" t="s">
        <v>2996</v>
      </c>
      <c r="B636" s="187">
        <v>87</v>
      </c>
    </row>
    <row r="637" spans="1:2">
      <c r="A637" s="216" t="s">
        <v>4028</v>
      </c>
      <c r="B637" s="187">
        <v>120</v>
      </c>
    </row>
    <row r="638" spans="1:2">
      <c r="A638" s="216" t="s">
        <v>4030</v>
      </c>
      <c r="B638" s="187">
        <v>89</v>
      </c>
    </row>
    <row r="639" spans="1:2">
      <c r="A639" s="216" t="s">
        <v>2903</v>
      </c>
      <c r="B639" s="187">
        <v>118</v>
      </c>
    </row>
    <row r="640" spans="1:2">
      <c r="A640" s="216" t="s">
        <v>1310</v>
      </c>
      <c r="B640" s="187">
        <v>122</v>
      </c>
    </row>
    <row r="641" spans="1:2">
      <c r="A641" s="216" t="s">
        <v>4032</v>
      </c>
      <c r="B641" s="187">
        <v>108</v>
      </c>
    </row>
    <row r="642" spans="1:2">
      <c r="A642" s="216" t="s">
        <v>2397</v>
      </c>
      <c r="B642" s="187">
        <v>75</v>
      </c>
    </row>
    <row r="643" spans="1:2">
      <c r="A643" s="216" t="s">
        <v>669</v>
      </c>
      <c r="B643" s="187">
        <v>122</v>
      </c>
    </row>
    <row r="644" spans="1:2">
      <c r="A644" s="216" t="s">
        <v>4151</v>
      </c>
      <c r="B644" s="187">
        <v>325</v>
      </c>
    </row>
    <row r="645" spans="1:2">
      <c r="A645" s="216" t="s">
        <v>4153</v>
      </c>
      <c r="B645" s="187">
        <v>365</v>
      </c>
    </row>
    <row r="646" spans="1:2">
      <c r="A646" s="216" t="s">
        <v>4155</v>
      </c>
      <c r="B646" s="187">
        <v>134</v>
      </c>
    </row>
    <row r="647" spans="1:2">
      <c r="A647" s="216" t="s">
        <v>4157</v>
      </c>
      <c r="B647" s="187">
        <v>138</v>
      </c>
    </row>
    <row r="648" spans="1:2">
      <c r="A648" s="216" t="s">
        <v>3000</v>
      </c>
      <c r="B648" s="187">
        <v>417</v>
      </c>
    </row>
    <row r="649" spans="1:2">
      <c r="A649" s="216" t="s">
        <v>4159</v>
      </c>
      <c r="B649" s="187">
        <v>88</v>
      </c>
    </row>
    <row r="650" spans="1:2">
      <c r="A650" s="216" t="s">
        <v>4161</v>
      </c>
      <c r="B650" s="187">
        <v>405</v>
      </c>
    </row>
    <row r="651" spans="1:2">
      <c r="A651" s="216" t="s">
        <v>4163</v>
      </c>
      <c r="B651" s="187">
        <v>350</v>
      </c>
    </row>
    <row r="652" spans="1:2">
      <c r="A652" s="216" t="s">
        <v>4165</v>
      </c>
      <c r="B652" s="187">
        <v>294</v>
      </c>
    </row>
    <row r="653" spans="1:2">
      <c r="A653" s="216" t="s">
        <v>4167</v>
      </c>
      <c r="B653" s="246">
        <v>1003</v>
      </c>
    </row>
    <row r="654" spans="1:2">
      <c r="A654" s="216" t="s">
        <v>4169</v>
      </c>
      <c r="B654" s="187">
        <v>154</v>
      </c>
    </row>
    <row r="655" spans="1:2">
      <c r="A655" s="216" t="s">
        <v>4171</v>
      </c>
      <c r="B655" s="187">
        <v>302</v>
      </c>
    </row>
    <row r="656" spans="1:2">
      <c r="A656" s="216" t="s">
        <v>2055</v>
      </c>
      <c r="B656" s="187">
        <v>198</v>
      </c>
    </row>
    <row r="657" spans="1:2">
      <c r="A657" s="216" t="s">
        <v>2057</v>
      </c>
      <c r="B657" s="187">
        <v>762</v>
      </c>
    </row>
    <row r="658" spans="1:2">
      <c r="A658" s="216" t="s">
        <v>2059</v>
      </c>
      <c r="B658" s="187">
        <v>657</v>
      </c>
    </row>
    <row r="659" spans="1:2">
      <c r="A659" s="216" t="s">
        <v>1814</v>
      </c>
      <c r="B659" s="246">
        <v>1297</v>
      </c>
    </row>
    <row r="660" spans="1:2">
      <c r="A660" s="216" t="s">
        <v>958</v>
      </c>
      <c r="B660" s="187">
        <v>691</v>
      </c>
    </row>
    <row r="661" spans="1:2">
      <c r="A661" s="216" t="s">
        <v>2061</v>
      </c>
      <c r="B661" s="187">
        <v>326</v>
      </c>
    </row>
    <row r="662" spans="1:2">
      <c r="A662" s="216" t="s">
        <v>1845</v>
      </c>
      <c r="B662" s="187">
        <v>172</v>
      </c>
    </row>
    <row r="663" spans="1:2">
      <c r="A663" s="216" t="s">
        <v>5237</v>
      </c>
      <c r="B663" s="187">
        <v>115</v>
      </c>
    </row>
    <row r="664" spans="1:2">
      <c r="A664" s="216" t="s">
        <v>2065</v>
      </c>
      <c r="B664" s="187">
        <v>90</v>
      </c>
    </row>
    <row r="665" spans="1:2">
      <c r="A665" s="216" t="s">
        <v>2905</v>
      </c>
      <c r="B665" s="187">
        <v>31</v>
      </c>
    </row>
    <row r="666" spans="1:2">
      <c r="A666" s="216" t="s">
        <v>5238</v>
      </c>
      <c r="B666" s="187">
        <v>60</v>
      </c>
    </row>
    <row r="667" spans="1:2">
      <c r="A667" s="216" t="s">
        <v>6163</v>
      </c>
      <c r="B667" s="187">
        <v>148</v>
      </c>
    </row>
    <row r="668" spans="1:2">
      <c r="A668" s="216" t="s">
        <v>2470</v>
      </c>
      <c r="B668" s="187">
        <v>81</v>
      </c>
    </row>
    <row r="669" spans="1:2">
      <c r="A669" s="216" t="s">
        <v>973</v>
      </c>
      <c r="B669" s="187">
        <v>98</v>
      </c>
    </row>
    <row r="670" spans="1:2">
      <c r="A670" s="216" t="s">
        <v>2769</v>
      </c>
      <c r="B670" s="187">
        <v>54</v>
      </c>
    </row>
    <row r="671" spans="1:2">
      <c r="A671" s="216" t="s">
        <v>3553</v>
      </c>
      <c r="B671" s="187">
        <v>60</v>
      </c>
    </row>
    <row r="672" spans="1:2">
      <c r="A672" s="216" t="s">
        <v>3556</v>
      </c>
      <c r="B672" s="187">
        <v>130</v>
      </c>
    </row>
    <row r="673" spans="1:2">
      <c r="A673" s="216" t="s">
        <v>5052</v>
      </c>
      <c r="B673" s="187">
        <v>83</v>
      </c>
    </row>
    <row r="674" spans="1:2">
      <c r="A674" s="216" t="s">
        <v>5054</v>
      </c>
      <c r="B674" s="187">
        <v>69</v>
      </c>
    </row>
    <row r="675" spans="1:2">
      <c r="A675" s="216" t="s">
        <v>737</v>
      </c>
      <c r="B675" s="187">
        <v>76</v>
      </c>
    </row>
    <row r="676" spans="1:2">
      <c r="A676" s="216" t="s">
        <v>237</v>
      </c>
      <c r="B676" s="187">
        <v>33</v>
      </c>
    </row>
    <row r="677" spans="1:2">
      <c r="A677" s="216" t="s">
        <v>2307</v>
      </c>
      <c r="B677" s="187">
        <v>71</v>
      </c>
    </row>
    <row r="678" spans="1:2">
      <c r="A678" s="216" t="s">
        <v>957</v>
      </c>
      <c r="B678" s="187">
        <v>22</v>
      </c>
    </row>
    <row r="679" spans="1:2">
      <c r="A679" s="216" t="s">
        <v>5056</v>
      </c>
      <c r="B679" s="187">
        <v>33</v>
      </c>
    </row>
    <row r="680" spans="1:2">
      <c r="A680" s="216" t="s">
        <v>5137</v>
      </c>
      <c r="B680" s="187">
        <v>20</v>
      </c>
    </row>
    <row r="681" spans="1:2">
      <c r="A681" s="216" t="s">
        <v>4568</v>
      </c>
      <c r="B681" s="246">
        <v>1205</v>
      </c>
    </row>
    <row r="682" spans="1:2">
      <c r="A682" s="216" t="s">
        <v>2053</v>
      </c>
      <c r="B682" s="187">
        <v>198</v>
      </c>
    </row>
    <row r="683" spans="1:2">
      <c r="A683" s="216" t="s">
        <v>1846</v>
      </c>
      <c r="B683" s="187">
        <v>390</v>
      </c>
    </row>
    <row r="684" spans="1:2">
      <c r="A684" s="216" t="s">
        <v>5239</v>
      </c>
      <c r="B684" s="187">
        <v>43</v>
      </c>
    </row>
    <row r="685" spans="1:2">
      <c r="A685" s="216" t="s">
        <v>1870</v>
      </c>
      <c r="B685" s="187">
        <v>529</v>
      </c>
    </row>
    <row r="686" spans="1:2">
      <c r="A686" s="216" t="s">
        <v>6169</v>
      </c>
      <c r="B686" s="187">
        <v>294</v>
      </c>
    </row>
    <row r="687" spans="1:2">
      <c r="A687" s="216" t="s">
        <v>574</v>
      </c>
      <c r="B687" s="187">
        <v>870</v>
      </c>
    </row>
    <row r="688" spans="1:2">
      <c r="A688" s="216" t="s">
        <v>6172</v>
      </c>
      <c r="B688" s="187">
        <v>751</v>
      </c>
    </row>
    <row r="689" spans="1:2">
      <c r="A689" s="216" t="s">
        <v>578</v>
      </c>
      <c r="B689" s="187">
        <v>151</v>
      </c>
    </row>
    <row r="690" spans="1:2">
      <c r="A690" s="216" t="s">
        <v>980</v>
      </c>
      <c r="B690" s="187">
        <v>320</v>
      </c>
    </row>
    <row r="691" spans="1:2">
      <c r="A691" s="216" t="s">
        <v>3972</v>
      </c>
      <c r="B691" s="187">
        <v>76</v>
      </c>
    </row>
    <row r="692" spans="1:2">
      <c r="A692" s="216" t="s">
        <v>6173</v>
      </c>
      <c r="B692" s="187">
        <v>139</v>
      </c>
    </row>
    <row r="693" spans="1:2">
      <c r="A693" s="216" t="s">
        <v>3974</v>
      </c>
      <c r="B693" s="187">
        <v>215</v>
      </c>
    </row>
    <row r="694" spans="1:2">
      <c r="A694" s="216" t="s">
        <v>814</v>
      </c>
      <c r="B694" s="187">
        <v>130</v>
      </c>
    </row>
    <row r="695" spans="1:2">
      <c r="A695" s="216" t="s">
        <v>4587</v>
      </c>
      <c r="B695" s="187">
        <v>50</v>
      </c>
    </row>
    <row r="696" spans="1:2">
      <c r="A696" s="216" t="s">
        <v>1852</v>
      </c>
      <c r="B696" s="187">
        <v>282</v>
      </c>
    </row>
    <row r="697" spans="1:2">
      <c r="A697" s="216" t="s">
        <v>141</v>
      </c>
      <c r="B697" s="187">
        <v>257</v>
      </c>
    </row>
    <row r="698" spans="1:2">
      <c r="A698" s="216" t="s">
        <v>143</v>
      </c>
      <c r="B698" s="187">
        <v>144</v>
      </c>
    </row>
    <row r="699" spans="1:2">
      <c r="A699" s="216" t="s">
        <v>1847</v>
      </c>
      <c r="B699" s="187">
        <v>97</v>
      </c>
    </row>
    <row r="700" spans="1:2">
      <c r="A700" s="216" t="s">
        <v>145</v>
      </c>
      <c r="B700" s="187">
        <v>435</v>
      </c>
    </row>
    <row r="701" spans="1:2">
      <c r="A701" s="216" t="s">
        <v>147</v>
      </c>
      <c r="B701" s="187">
        <v>165</v>
      </c>
    </row>
    <row r="702" spans="1:2">
      <c r="A702" s="216" t="s">
        <v>149</v>
      </c>
      <c r="B702" s="187">
        <v>281</v>
      </c>
    </row>
    <row r="703" spans="1:2">
      <c r="A703" s="216" t="s">
        <v>1956</v>
      </c>
      <c r="B703" s="187">
        <v>285</v>
      </c>
    </row>
    <row r="704" spans="1:2">
      <c r="A704" s="216" t="s">
        <v>1958</v>
      </c>
      <c r="B704" s="187">
        <v>160</v>
      </c>
    </row>
    <row r="705" spans="1:2">
      <c r="A705" s="216" t="s">
        <v>1960</v>
      </c>
      <c r="B705" s="187">
        <v>158</v>
      </c>
    </row>
    <row r="706" spans="1:2">
      <c r="A706" s="216" t="s">
        <v>2039</v>
      </c>
      <c r="B706" s="187">
        <v>25</v>
      </c>
    </row>
    <row r="707" spans="1:2">
      <c r="A707" s="216" t="s">
        <v>2041</v>
      </c>
      <c r="B707" s="187">
        <v>107</v>
      </c>
    </row>
    <row r="708" spans="1:2">
      <c r="A708" s="216" t="s">
        <v>1825</v>
      </c>
      <c r="B708" s="187">
        <v>125</v>
      </c>
    </row>
    <row r="709" spans="1:2">
      <c r="A709" s="216" t="s">
        <v>1827</v>
      </c>
      <c r="B709" s="187">
        <v>158</v>
      </c>
    </row>
    <row r="710" spans="1:2">
      <c r="A710" s="216" t="s">
        <v>238</v>
      </c>
      <c r="B710" s="187">
        <v>333</v>
      </c>
    </row>
    <row r="711" spans="1:2">
      <c r="A711" s="216" t="s">
        <v>1829</v>
      </c>
      <c r="B711" s="187">
        <v>234</v>
      </c>
    </row>
    <row r="712" spans="1:2">
      <c r="A712" s="216" t="s">
        <v>859</v>
      </c>
      <c r="B712" s="187">
        <v>158</v>
      </c>
    </row>
    <row r="713" spans="1:2">
      <c r="A713" s="216" t="s">
        <v>3001</v>
      </c>
      <c r="B713" s="187">
        <v>160</v>
      </c>
    </row>
    <row r="714" spans="1:2">
      <c r="A714" s="216" t="s">
        <v>2405</v>
      </c>
      <c r="B714" s="187">
        <v>79</v>
      </c>
    </row>
    <row r="715" spans="1:2">
      <c r="A715" s="216" t="s">
        <v>2907</v>
      </c>
      <c r="B715" s="187">
        <v>91</v>
      </c>
    </row>
    <row r="716" spans="1:2">
      <c r="A716" s="216" t="s">
        <v>1222</v>
      </c>
      <c r="B716" s="187">
        <v>761</v>
      </c>
    </row>
    <row r="717" spans="1:2">
      <c r="A717" s="216" t="s">
        <v>1224</v>
      </c>
      <c r="B717" s="187">
        <v>233</v>
      </c>
    </row>
    <row r="718" spans="1:2">
      <c r="A718" s="216" t="s">
        <v>5375</v>
      </c>
      <c r="B718" s="187">
        <v>134</v>
      </c>
    </row>
    <row r="719" spans="1:2">
      <c r="A719" s="216" t="s">
        <v>5377</v>
      </c>
      <c r="B719" s="187">
        <v>194</v>
      </c>
    </row>
    <row r="720" spans="1:2">
      <c r="A720" s="216" t="s">
        <v>5379</v>
      </c>
      <c r="B720" s="246">
        <v>1024</v>
      </c>
    </row>
    <row r="721" spans="1:2">
      <c r="A721" s="216" t="s">
        <v>642</v>
      </c>
      <c r="B721" s="187">
        <v>77</v>
      </c>
    </row>
    <row r="722" spans="1:2">
      <c r="A722" s="216" t="s">
        <v>2618</v>
      </c>
      <c r="B722" s="187">
        <v>175</v>
      </c>
    </row>
    <row r="723" spans="1:2">
      <c r="A723" s="216" t="s">
        <v>644</v>
      </c>
      <c r="B723" s="187">
        <v>117</v>
      </c>
    </row>
    <row r="724" spans="1:2">
      <c r="A724" s="216" t="s">
        <v>2620</v>
      </c>
      <c r="B724" s="187">
        <v>218</v>
      </c>
    </row>
    <row r="725" spans="1:2">
      <c r="A725" s="216" t="s">
        <v>4588</v>
      </c>
      <c r="B725" s="187">
        <v>138</v>
      </c>
    </row>
    <row r="726" spans="1:2">
      <c r="A726" s="216" t="s">
        <v>2622</v>
      </c>
      <c r="B726" s="187">
        <v>73</v>
      </c>
    </row>
    <row r="727" spans="1:2">
      <c r="A727" s="216" t="s">
        <v>2624</v>
      </c>
      <c r="B727" s="187">
        <v>62</v>
      </c>
    </row>
    <row r="728" spans="1:2">
      <c r="A728" s="216" t="s">
        <v>1523</v>
      </c>
      <c r="B728" s="187">
        <v>76</v>
      </c>
    </row>
    <row r="729" spans="1:2">
      <c r="A729" s="216" t="s">
        <v>2626</v>
      </c>
      <c r="B729" s="187">
        <v>87</v>
      </c>
    </row>
    <row r="730" spans="1:2">
      <c r="A730" s="216" t="s">
        <v>2628</v>
      </c>
      <c r="B730" s="187">
        <v>167</v>
      </c>
    </row>
    <row r="731" spans="1:2">
      <c r="A731" s="216" t="s">
        <v>241</v>
      </c>
      <c r="B731" s="187">
        <v>226</v>
      </c>
    </row>
    <row r="732" spans="1:2">
      <c r="A732" s="216" t="s">
        <v>248</v>
      </c>
      <c r="B732" s="187">
        <v>171</v>
      </c>
    </row>
    <row r="733" spans="1:2">
      <c r="A733" s="216" t="s">
        <v>5084</v>
      </c>
      <c r="B733" s="187">
        <v>90</v>
      </c>
    </row>
    <row r="734" spans="1:2">
      <c r="A734" s="216" t="s">
        <v>2534</v>
      </c>
      <c r="B734" s="187">
        <v>213</v>
      </c>
    </row>
    <row r="735" spans="1:2">
      <c r="A735" s="216" t="s">
        <v>5086</v>
      </c>
      <c r="B735" s="187">
        <v>89</v>
      </c>
    </row>
    <row r="736" spans="1:2">
      <c r="A736" s="216" t="s">
        <v>2768</v>
      </c>
      <c r="B736" s="187">
        <v>63</v>
      </c>
    </row>
    <row r="737" spans="1:2">
      <c r="A737" s="216" t="s">
        <v>5088</v>
      </c>
      <c r="B737" s="187">
        <v>330</v>
      </c>
    </row>
    <row r="738" spans="1:2">
      <c r="A738" s="216" t="s">
        <v>6181</v>
      </c>
      <c r="B738" s="187">
        <v>390</v>
      </c>
    </row>
    <row r="739" spans="1:2">
      <c r="A739" s="216" t="s">
        <v>1848</v>
      </c>
      <c r="B739" s="187">
        <v>172</v>
      </c>
    </row>
    <row r="740" spans="1:2">
      <c r="A740" s="216" t="s">
        <v>2471</v>
      </c>
      <c r="B740" s="187">
        <v>142</v>
      </c>
    </row>
    <row r="741" spans="1:2">
      <c r="A741" s="216" t="s">
        <v>6044</v>
      </c>
      <c r="B741" s="187">
        <v>289</v>
      </c>
    </row>
    <row r="742" spans="1:2">
      <c r="A742" s="216" t="s">
        <v>6046</v>
      </c>
      <c r="B742" s="187">
        <v>467</v>
      </c>
    </row>
    <row r="743" spans="1:2">
      <c r="A743" s="216" t="s">
        <v>4185</v>
      </c>
      <c r="B743" s="187">
        <v>257</v>
      </c>
    </row>
    <row r="744" spans="1:2">
      <c r="A744" s="216" t="s">
        <v>6689</v>
      </c>
      <c r="B744" s="187">
        <v>92</v>
      </c>
    </row>
    <row r="745" spans="1:2">
      <c r="A745" s="216" t="s">
        <v>6691</v>
      </c>
      <c r="B745" s="187">
        <v>176</v>
      </c>
    </row>
    <row r="746" spans="1:2">
      <c r="A746" s="216" t="s">
        <v>6693</v>
      </c>
      <c r="B746" s="187">
        <v>31</v>
      </c>
    </row>
    <row r="747" spans="1:2">
      <c r="A747" s="216" t="s">
        <v>240</v>
      </c>
      <c r="B747" s="187">
        <v>192</v>
      </c>
    </row>
    <row r="748" spans="1:2">
      <c r="A748" s="216" t="s">
        <v>6695</v>
      </c>
      <c r="B748" s="187">
        <v>46</v>
      </c>
    </row>
    <row r="749" spans="1:2">
      <c r="A749" s="216" t="s">
        <v>745</v>
      </c>
      <c r="B749" s="187">
        <v>83</v>
      </c>
    </row>
    <row r="750" spans="1:2">
      <c r="A750" s="216" t="s">
        <v>747</v>
      </c>
      <c r="B750" s="187">
        <v>205</v>
      </c>
    </row>
    <row r="751" spans="1:2">
      <c r="A751" s="216" t="s">
        <v>2308</v>
      </c>
      <c r="B751" s="187">
        <v>82</v>
      </c>
    </row>
    <row r="752" spans="1:2">
      <c r="A752" s="216" t="s">
        <v>749</v>
      </c>
      <c r="B752" s="187">
        <v>50</v>
      </c>
    </row>
    <row r="753" spans="1:2">
      <c r="A753" s="216" t="s">
        <v>2953</v>
      </c>
      <c r="B753" s="187">
        <v>124</v>
      </c>
    </row>
    <row r="754" spans="1:2">
      <c r="A754" s="216" t="s">
        <v>2955</v>
      </c>
      <c r="B754" s="187">
        <v>216</v>
      </c>
    </row>
    <row r="755" spans="1:2">
      <c r="A755" s="216" t="s">
        <v>2957</v>
      </c>
      <c r="B755" s="187">
        <v>45</v>
      </c>
    </row>
    <row r="756" spans="1:2">
      <c r="A756" s="216" t="s">
        <v>5123</v>
      </c>
      <c r="B756" s="187">
        <v>792</v>
      </c>
    </row>
    <row r="757" spans="1:2">
      <c r="A757" s="216" t="s">
        <v>4119</v>
      </c>
      <c r="B757" s="187">
        <v>546</v>
      </c>
    </row>
    <row r="758" spans="1:2">
      <c r="A758" s="216" t="s">
        <v>4121</v>
      </c>
      <c r="B758" s="187">
        <v>661</v>
      </c>
    </row>
    <row r="759" spans="1:2">
      <c r="A759" s="216" t="s">
        <v>4123</v>
      </c>
      <c r="B759" s="187">
        <v>179</v>
      </c>
    </row>
    <row r="760" spans="1:2">
      <c r="A760" s="216" t="s">
        <v>5032</v>
      </c>
      <c r="B760" s="187">
        <v>68</v>
      </c>
    </row>
    <row r="761" spans="1:2">
      <c r="A761" s="216" t="s">
        <v>4125</v>
      </c>
      <c r="B761" s="187">
        <v>70</v>
      </c>
    </row>
    <row r="762" spans="1:2">
      <c r="A762" s="216" t="s">
        <v>4127</v>
      </c>
      <c r="B762" s="187">
        <v>35</v>
      </c>
    </row>
    <row r="763" spans="1:2">
      <c r="A763" s="216" t="s">
        <v>5033</v>
      </c>
      <c r="B763" s="187">
        <v>120</v>
      </c>
    </row>
    <row r="764" spans="1:2">
      <c r="A764" s="216" t="s">
        <v>4129</v>
      </c>
      <c r="B764" s="187">
        <v>102</v>
      </c>
    </row>
    <row r="765" spans="1:2">
      <c r="A765" s="216" t="s">
        <v>4131</v>
      </c>
      <c r="B765" s="187">
        <v>153</v>
      </c>
    </row>
    <row r="766" spans="1:2">
      <c r="A766" s="216" t="s">
        <v>4133</v>
      </c>
      <c r="B766" s="187">
        <v>238</v>
      </c>
    </row>
    <row r="767" spans="1:2">
      <c r="A767" s="216" t="s">
        <v>6175</v>
      </c>
      <c r="B767" s="187">
        <v>125</v>
      </c>
    </row>
    <row r="768" spans="1:2">
      <c r="A768" s="216" t="s">
        <v>4135</v>
      </c>
      <c r="B768" s="187">
        <v>212</v>
      </c>
    </row>
    <row r="769" spans="1:2">
      <c r="A769" s="216" t="s">
        <v>4137</v>
      </c>
      <c r="B769" s="187">
        <v>116</v>
      </c>
    </row>
    <row r="770" spans="1:2">
      <c r="A770" s="216" t="s">
        <v>4139</v>
      </c>
      <c r="B770" s="187">
        <v>177</v>
      </c>
    </row>
    <row r="771" spans="1:2">
      <c r="A771" s="216" t="s">
        <v>4141</v>
      </c>
      <c r="B771" s="187">
        <v>118</v>
      </c>
    </row>
    <row r="772" spans="1:2">
      <c r="A772" s="216" t="s">
        <v>4143</v>
      </c>
      <c r="B772" s="187">
        <v>544</v>
      </c>
    </row>
    <row r="773" spans="1:2">
      <c r="A773" s="216" t="s">
        <v>1318</v>
      </c>
      <c r="B773" s="187">
        <v>66</v>
      </c>
    </row>
    <row r="774" spans="1:2">
      <c r="A774" s="216" t="s">
        <v>2536</v>
      </c>
      <c r="B774" s="187">
        <v>74</v>
      </c>
    </row>
    <row r="775" spans="1:2">
      <c r="A775" s="216" t="s">
        <v>2407</v>
      </c>
      <c r="B775" s="187">
        <v>103</v>
      </c>
    </row>
    <row r="776" spans="1:2">
      <c r="A776" s="216" t="s">
        <v>5034</v>
      </c>
      <c r="B776" s="187">
        <v>254</v>
      </c>
    </row>
    <row r="777" spans="1:2">
      <c r="A777" s="216" t="s">
        <v>6174</v>
      </c>
      <c r="B777" s="187">
        <v>99</v>
      </c>
    </row>
    <row r="778" spans="1:2">
      <c r="A778" s="216" t="s">
        <v>4145</v>
      </c>
      <c r="B778" s="187">
        <v>129</v>
      </c>
    </row>
    <row r="779" spans="1:2">
      <c r="A779" s="216" t="s">
        <v>6196</v>
      </c>
      <c r="B779" s="187">
        <v>53</v>
      </c>
    </row>
    <row r="780" spans="1:2">
      <c r="A780" s="216" t="s">
        <v>6131</v>
      </c>
      <c r="B780" s="187">
        <v>88</v>
      </c>
    </row>
    <row r="781" spans="1:2">
      <c r="A781" s="216" t="s">
        <v>254</v>
      </c>
      <c r="B781" s="187">
        <v>51</v>
      </c>
    </row>
    <row r="782" spans="1:2">
      <c r="A782" s="216" t="s">
        <v>256</v>
      </c>
      <c r="B782" s="187">
        <v>217</v>
      </c>
    </row>
    <row r="783" spans="1:2">
      <c r="A783" s="216" t="s">
        <v>258</v>
      </c>
      <c r="B783" s="187">
        <v>169</v>
      </c>
    </row>
    <row r="784" spans="1:2">
      <c r="A784" s="216" t="s">
        <v>260</v>
      </c>
      <c r="B784" s="187">
        <v>339</v>
      </c>
    </row>
    <row r="785" spans="1:2">
      <c r="A785" s="216" t="s">
        <v>262</v>
      </c>
      <c r="B785" s="187">
        <v>200</v>
      </c>
    </row>
    <row r="786" spans="1:2">
      <c r="A786" s="216" t="s">
        <v>872</v>
      </c>
      <c r="B786" s="187">
        <v>913</v>
      </c>
    </row>
    <row r="787" spans="1:2">
      <c r="A787" s="216" t="s">
        <v>874</v>
      </c>
      <c r="B787" s="246">
        <v>2995</v>
      </c>
    </row>
    <row r="788" spans="1:2">
      <c r="A788" s="216" t="s">
        <v>876</v>
      </c>
      <c r="B788" s="187">
        <v>871</v>
      </c>
    </row>
    <row r="789" spans="1:2">
      <c r="A789" s="216" t="s">
        <v>3040</v>
      </c>
      <c r="B789" s="187">
        <v>205</v>
      </c>
    </row>
    <row r="790" spans="1:2">
      <c r="A790" s="216" t="s">
        <v>3042</v>
      </c>
      <c r="B790" s="187">
        <v>38</v>
      </c>
    </row>
    <row r="791" spans="1:2">
      <c r="A791" s="216" t="s">
        <v>709</v>
      </c>
      <c r="B791" s="187">
        <v>291</v>
      </c>
    </row>
    <row r="792" spans="1:2">
      <c r="A792" s="216" t="s">
        <v>3044</v>
      </c>
      <c r="B792" s="187">
        <v>91</v>
      </c>
    </row>
    <row r="793" spans="1:2">
      <c r="A793" s="216" t="s">
        <v>2992</v>
      </c>
      <c r="B793" s="187">
        <v>328</v>
      </c>
    </row>
    <row r="794" spans="1:2">
      <c r="A794" s="216" t="s">
        <v>3046</v>
      </c>
      <c r="B794" s="187">
        <v>64</v>
      </c>
    </row>
    <row r="795" spans="1:2">
      <c r="A795" s="216" t="s">
        <v>264</v>
      </c>
      <c r="B795" s="187">
        <v>74</v>
      </c>
    </row>
    <row r="796" spans="1:2">
      <c r="A796" s="216" t="s">
        <v>2306</v>
      </c>
      <c r="B796" s="187">
        <v>157</v>
      </c>
    </row>
    <row r="797" spans="1:2">
      <c r="A797" s="216" t="s">
        <v>3048</v>
      </c>
      <c r="B797" s="187">
        <v>189</v>
      </c>
    </row>
    <row r="798" spans="1:2">
      <c r="A798" s="216" t="s">
        <v>3049</v>
      </c>
      <c r="B798" s="187">
        <v>558</v>
      </c>
    </row>
    <row r="799" spans="1:2">
      <c r="A799" s="216" t="s">
        <v>5035</v>
      </c>
      <c r="B799" s="246">
        <v>2962</v>
      </c>
    </row>
    <row r="800" spans="1:2">
      <c r="A800" s="216" t="s">
        <v>5131</v>
      </c>
      <c r="B800" s="187">
        <v>899</v>
      </c>
    </row>
    <row r="801" spans="1:2">
      <c r="A801" s="216" t="s">
        <v>5231</v>
      </c>
      <c r="B801" s="187">
        <v>235</v>
      </c>
    </row>
    <row r="802" spans="1:2">
      <c r="A802" s="216" t="s">
        <v>3109</v>
      </c>
      <c r="B802" s="187">
        <v>732</v>
      </c>
    </row>
    <row r="803" spans="1:2">
      <c r="A803" s="216" t="s">
        <v>3111</v>
      </c>
      <c r="B803" s="246">
        <v>1177</v>
      </c>
    </row>
    <row r="804" spans="1:2">
      <c r="A804" s="216" t="s">
        <v>3113</v>
      </c>
      <c r="B804" s="187">
        <v>430</v>
      </c>
    </row>
    <row r="805" spans="1:2">
      <c r="A805" s="216" t="s">
        <v>975</v>
      </c>
      <c r="B805" s="187">
        <v>175</v>
      </c>
    </row>
    <row r="806" spans="1:2">
      <c r="A806" s="216" t="s">
        <v>2771</v>
      </c>
      <c r="B806" s="187">
        <v>260</v>
      </c>
    </row>
    <row r="807" spans="1:2">
      <c r="A807" s="216" t="s">
        <v>2821</v>
      </c>
      <c r="B807" s="187">
        <v>473</v>
      </c>
    </row>
    <row r="808" spans="1:2">
      <c r="A808" s="216" t="s">
        <v>4589</v>
      </c>
      <c r="B808" s="187">
        <v>201</v>
      </c>
    </row>
    <row r="809" spans="1:2">
      <c r="A809" s="216" t="s">
        <v>2572</v>
      </c>
      <c r="B809" s="246">
        <v>2269</v>
      </c>
    </row>
    <row r="810" spans="1:2">
      <c r="A810" s="216" t="s">
        <v>1507</v>
      </c>
      <c r="B810" s="187">
        <v>529</v>
      </c>
    </row>
    <row r="811" spans="1:2">
      <c r="A811" s="216" t="s">
        <v>2574</v>
      </c>
      <c r="B811" s="187">
        <v>253</v>
      </c>
    </row>
    <row r="812" spans="1:2">
      <c r="A812" s="216" t="s">
        <v>2576</v>
      </c>
      <c r="B812" s="187">
        <v>217</v>
      </c>
    </row>
    <row r="813" spans="1:2">
      <c r="A813" s="216" t="s">
        <v>2578</v>
      </c>
      <c r="B813" s="187">
        <v>394</v>
      </c>
    </row>
    <row r="814" spans="1:2">
      <c r="A814" s="216" t="s">
        <v>158</v>
      </c>
      <c r="B814" s="187">
        <v>782</v>
      </c>
    </row>
    <row r="815" spans="1:2">
      <c r="A815" s="216" t="s">
        <v>5211</v>
      </c>
      <c r="B815" s="187">
        <v>181</v>
      </c>
    </row>
    <row r="816" spans="1:2">
      <c r="A816" s="216" t="s">
        <v>5213</v>
      </c>
      <c r="B816" s="187">
        <v>117</v>
      </c>
    </row>
    <row r="817" spans="1:2">
      <c r="A817" s="216" t="s">
        <v>5215</v>
      </c>
      <c r="B817" s="187">
        <v>401</v>
      </c>
    </row>
    <row r="818" spans="1:2">
      <c r="A818" s="216" t="s">
        <v>5217</v>
      </c>
      <c r="B818" s="187">
        <v>106</v>
      </c>
    </row>
    <row r="819" spans="1:2">
      <c r="A819" s="216" t="s">
        <v>5219</v>
      </c>
      <c r="B819" s="187">
        <v>44</v>
      </c>
    </row>
    <row r="820" spans="1:2">
      <c r="A820" s="216" t="s">
        <v>2125</v>
      </c>
      <c r="B820" s="187">
        <v>108</v>
      </c>
    </row>
    <row r="821" spans="1:2">
      <c r="A821" s="216" t="s">
        <v>870</v>
      </c>
      <c r="B821" s="187">
        <v>77</v>
      </c>
    </row>
    <row r="822" spans="1:2">
      <c r="A822" s="216" t="s">
        <v>5615</v>
      </c>
      <c r="B822" s="187">
        <v>428</v>
      </c>
    </row>
    <row r="823" spans="1:2">
      <c r="A823" s="216" t="s">
        <v>4590</v>
      </c>
      <c r="B823" s="187">
        <v>141</v>
      </c>
    </row>
    <row r="824" spans="1:2">
      <c r="A824" s="216" t="s">
        <v>860</v>
      </c>
      <c r="B824" s="187">
        <v>351</v>
      </c>
    </row>
    <row r="825" spans="1:2">
      <c r="A825" s="216" t="s">
        <v>4591</v>
      </c>
      <c r="B825" s="187">
        <v>21</v>
      </c>
    </row>
    <row r="826" spans="1:2">
      <c r="A826" s="216" t="s">
        <v>5617</v>
      </c>
      <c r="B826" s="187">
        <v>365</v>
      </c>
    </row>
    <row r="827" spans="1:2">
      <c r="A827" s="216" t="s">
        <v>3150</v>
      </c>
      <c r="B827" s="187">
        <v>117</v>
      </c>
    </row>
    <row r="828" spans="1:2">
      <c r="A828" s="216" t="s">
        <v>3152</v>
      </c>
      <c r="B828" s="187">
        <v>12</v>
      </c>
    </row>
    <row r="829" spans="1:2">
      <c r="A829" s="216" t="s">
        <v>1949</v>
      </c>
      <c r="B829" s="187">
        <v>78</v>
      </c>
    </row>
    <row r="830" spans="1:2">
      <c r="A830" s="216" t="s">
        <v>1951</v>
      </c>
      <c r="B830" s="187">
        <v>22</v>
      </c>
    </row>
    <row r="831" spans="1:2">
      <c r="A831" s="216" t="s">
        <v>3154</v>
      </c>
      <c r="B831" s="187">
        <v>105</v>
      </c>
    </row>
    <row r="832" spans="1:2">
      <c r="A832" s="216" t="s">
        <v>3883</v>
      </c>
      <c r="B832" s="187">
        <v>78</v>
      </c>
    </row>
    <row r="833" spans="1:2">
      <c r="A833" s="216" t="s">
        <v>3156</v>
      </c>
      <c r="B833" s="187">
        <v>101</v>
      </c>
    </row>
    <row r="834" spans="1:2">
      <c r="A834" s="216" t="s">
        <v>3158</v>
      </c>
      <c r="B834" s="187">
        <v>404</v>
      </c>
    </row>
    <row r="835" spans="1:2">
      <c r="A835" s="216" t="s">
        <v>3160</v>
      </c>
      <c r="B835" s="187">
        <v>111</v>
      </c>
    </row>
    <row r="836" spans="1:2">
      <c r="A836" s="216" t="s">
        <v>3162</v>
      </c>
      <c r="B836" s="187">
        <v>285</v>
      </c>
    </row>
    <row r="837" spans="1:2">
      <c r="A837" s="216" t="s">
        <v>569</v>
      </c>
      <c r="B837" s="187">
        <v>272</v>
      </c>
    </row>
    <row r="838" spans="1:2">
      <c r="A838" s="216" t="s">
        <v>571</v>
      </c>
      <c r="B838" s="187">
        <v>416</v>
      </c>
    </row>
    <row r="839" spans="1:2">
      <c r="A839" s="216" t="s">
        <v>3181</v>
      </c>
      <c r="B839" s="187">
        <v>143</v>
      </c>
    </row>
    <row r="840" spans="1:2">
      <c r="A840" s="216" t="s">
        <v>2071</v>
      </c>
      <c r="B840" s="187">
        <v>29</v>
      </c>
    </row>
    <row r="841" spans="1:2">
      <c r="A841" s="216" t="s">
        <v>3183</v>
      </c>
      <c r="B841" s="187">
        <v>99</v>
      </c>
    </row>
    <row r="842" spans="1:2">
      <c r="A842" s="216" t="s">
        <v>924</v>
      </c>
      <c r="B842" s="187">
        <v>27</v>
      </c>
    </row>
    <row r="843" spans="1:2">
      <c r="A843" s="216" t="s">
        <v>6165</v>
      </c>
      <c r="B843" s="187">
        <v>172</v>
      </c>
    </row>
    <row r="844" spans="1:2">
      <c r="A844" s="216" t="s">
        <v>6187</v>
      </c>
      <c r="B844" s="187">
        <v>122</v>
      </c>
    </row>
    <row r="845" spans="1:2">
      <c r="A845" s="216" t="s">
        <v>1837</v>
      </c>
      <c r="B845" s="187">
        <v>217</v>
      </c>
    </row>
    <row r="846" spans="1:2">
      <c r="A846" s="216" t="s">
        <v>3884</v>
      </c>
      <c r="B846" s="187">
        <v>97</v>
      </c>
    </row>
    <row r="847" spans="1:2">
      <c r="A847" s="216" t="s">
        <v>2390</v>
      </c>
      <c r="B847" s="187">
        <v>516</v>
      </c>
    </row>
    <row r="848" spans="1:2">
      <c r="A848" s="216" t="s">
        <v>926</v>
      </c>
      <c r="B848" s="187">
        <v>348</v>
      </c>
    </row>
    <row r="849" spans="1:2">
      <c r="A849" s="216" t="s">
        <v>928</v>
      </c>
      <c r="B849" s="187">
        <v>243</v>
      </c>
    </row>
    <row r="850" spans="1:2">
      <c r="A850" s="216" t="s">
        <v>930</v>
      </c>
      <c r="B850" s="246">
        <v>1309</v>
      </c>
    </row>
    <row r="851" spans="1:2">
      <c r="A851" s="216" t="s">
        <v>932</v>
      </c>
      <c r="B851" s="187">
        <v>155</v>
      </c>
    </row>
    <row r="852" spans="1:2">
      <c r="A852" s="216" t="s">
        <v>934</v>
      </c>
      <c r="B852" s="187">
        <v>711</v>
      </c>
    </row>
    <row r="853" spans="1:2">
      <c r="A853" s="216" t="s">
        <v>936</v>
      </c>
      <c r="B853" s="187">
        <v>121</v>
      </c>
    </row>
    <row r="854" spans="1:2">
      <c r="A854" s="216" t="s">
        <v>5145</v>
      </c>
      <c r="B854" s="187">
        <v>595</v>
      </c>
    </row>
    <row r="855" spans="1:2">
      <c r="A855" s="216" t="s">
        <v>2950</v>
      </c>
      <c r="B855" s="187">
        <v>210</v>
      </c>
    </row>
    <row r="856" spans="1:2">
      <c r="A856" s="216" t="s">
        <v>2952</v>
      </c>
      <c r="B856" s="187">
        <v>207</v>
      </c>
    </row>
    <row r="857" spans="1:2">
      <c r="A857" s="216" t="s">
        <v>2526</v>
      </c>
      <c r="B857" s="187">
        <v>136</v>
      </c>
    </row>
    <row r="858" spans="1:2">
      <c r="A858" s="216" t="s">
        <v>3885</v>
      </c>
      <c r="B858" s="187">
        <v>266</v>
      </c>
    </row>
    <row r="859" spans="1:2">
      <c r="A859" s="216" t="s">
        <v>2528</v>
      </c>
      <c r="B859" s="187">
        <v>62</v>
      </c>
    </row>
    <row r="860" spans="1:2">
      <c r="A860" s="216" t="s">
        <v>2530</v>
      </c>
      <c r="B860" s="187">
        <v>157</v>
      </c>
    </row>
    <row r="861" spans="1:2">
      <c r="A861" s="216" t="s">
        <v>2532</v>
      </c>
      <c r="B861" s="187">
        <v>28</v>
      </c>
    </row>
    <row r="862" spans="1:2">
      <c r="A862" s="216" t="s">
        <v>2316</v>
      </c>
      <c r="B862" s="187">
        <v>237</v>
      </c>
    </row>
    <row r="863" spans="1:2">
      <c r="A863" s="216" t="s">
        <v>5105</v>
      </c>
      <c r="B863" s="187">
        <v>856</v>
      </c>
    </row>
    <row r="864" spans="1:2">
      <c r="A864" s="216" t="s">
        <v>5036</v>
      </c>
      <c r="B864" s="187">
        <v>85</v>
      </c>
    </row>
    <row r="865" spans="1:2">
      <c r="A865" s="216" t="s">
        <v>2430</v>
      </c>
      <c r="B865" s="187">
        <v>82</v>
      </c>
    </row>
    <row r="866" spans="1:2">
      <c r="A866" s="216" t="s">
        <v>2432</v>
      </c>
      <c r="B866" s="187">
        <v>201</v>
      </c>
    </row>
    <row r="867" spans="1:2">
      <c r="A867" s="216" t="s">
        <v>5339</v>
      </c>
      <c r="B867" s="187">
        <v>107</v>
      </c>
    </row>
    <row r="868" spans="1:2">
      <c r="A868" s="216" t="s">
        <v>5341</v>
      </c>
      <c r="B868" s="187">
        <v>207</v>
      </c>
    </row>
    <row r="869" spans="1:2">
      <c r="A869" s="216" t="s">
        <v>858</v>
      </c>
      <c r="B869" s="187">
        <v>79</v>
      </c>
    </row>
    <row r="870" spans="1:2">
      <c r="A870" s="216" t="s">
        <v>5343</v>
      </c>
      <c r="B870" s="187">
        <v>132</v>
      </c>
    </row>
    <row r="871" spans="1:2">
      <c r="A871" s="216" t="s">
        <v>5344</v>
      </c>
      <c r="B871" s="187">
        <v>116</v>
      </c>
    </row>
    <row r="872" spans="1:2">
      <c r="A872" s="216" t="s">
        <v>5346</v>
      </c>
      <c r="B872" s="187">
        <v>208</v>
      </c>
    </row>
    <row r="873" spans="1:2">
      <c r="A873" s="216" t="s">
        <v>2770</v>
      </c>
      <c r="B873" s="187">
        <v>470</v>
      </c>
    </row>
    <row r="874" spans="1:2">
      <c r="A874" s="216" t="s">
        <v>5348</v>
      </c>
      <c r="B874" s="187">
        <v>270</v>
      </c>
    </row>
    <row r="875" spans="1:2">
      <c r="A875" s="216" t="s">
        <v>3886</v>
      </c>
      <c r="B875" s="187">
        <v>490</v>
      </c>
    </row>
    <row r="876" spans="1:2">
      <c r="A876" s="216" t="s">
        <v>5350</v>
      </c>
      <c r="B876" s="187">
        <v>807</v>
      </c>
    </row>
    <row r="877" spans="1:2">
      <c r="A877" s="216" t="s">
        <v>3139</v>
      </c>
      <c r="B877" s="187">
        <v>923</v>
      </c>
    </row>
    <row r="878" spans="1:2">
      <c r="A878" s="216" t="s">
        <v>1530</v>
      </c>
      <c r="B878" s="187">
        <v>833</v>
      </c>
    </row>
    <row r="879" spans="1:2">
      <c r="A879" s="216" t="s">
        <v>1532</v>
      </c>
      <c r="B879" s="246">
        <v>1458</v>
      </c>
    </row>
    <row r="880" spans="1:2">
      <c r="A880" s="216" t="s">
        <v>624</v>
      </c>
      <c r="B880" s="187">
        <v>385</v>
      </c>
    </row>
    <row r="881" spans="1:2">
      <c r="A881" s="216" t="s">
        <v>626</v>
      </c>
      <c r="B881" s="187">
        <v>431</v>
      </c>
    </row>
    <row r="882" spans="1:2">
      <c r="A882" s="216" t="s">
        <v>628</v>
      </c>
      <c r="B882" s="187">
        <v>264</v>
      </c>
    </row>
    <row r="883" spans="1:2">
      <c r="A883" s="216" t="s">
        <v>269</v>
      </c>
      <c r="B883" s="187">
        <v>88</v>
      </c>
    </row>
    <row r="884" spans="1:2">
      <c r="A884" s="216" t="s">
        <v>951</v>
      </c>
      <c r="B884" s="187">
        <v>41</v>
      </c>
    </row>
    <row r="885" spans="1:2">
      <c r="A885" s="216" t="s">
        <v>409</v>
      </c>
      <c r="B885" s="187">
        <v>18</v>
      </c>
    </row>
    <row r="886" spans="1:2">
      <c r="A886" s="216" t="s">
        <v>3996</v>
      </c>
      <c r="B886" s="187">
        <v>209</v>
      </c>
    </row>
    <row r="887" spans="1:2">
      <c r="A887" s="216" t="s">
        <v>3998</v>
      </c>
      <c r="B887" s="187">
        <v>53</v>
      </c>
    </row>
    <row r="888" spans="1:2">
      <c r="A888" s="216" t="s">
        <v>6030</v>
      </c>
      <c r="B888" s="187">
        <v>49</v>
      </c>
    </row>
    <row r="889" spans="1:2">
      <c r="A889" s="216" t="s">
        <v>3002</v>
      </c>
      <c r="B889" s="187">
        <v>95</v>
      </c>
    </row>
    <row r="890" spans="1:2">
      <c r="A890" s="216" t="s">
        <v>2986</v>
      </c>
      <c r="B890" s="187">
        <v>8</v>
      </c>
    </row>
    <row r="891" spans="1:2">
      <c r="A891" s="216" t="s">
        <v>246</v>
      </c>
      <c r="B891" s="187">
        <v>58</v>
      </c>
    </row>
    <row r="892" spans="1:2">
      <c r="A892" s="216" t="s">
        <v>6032</v>
      </c>
      <c r="B892" s="187">
        <v>10</v>
      </c>
    </row>
    <row r="893" spans="1:2">
      <c r="A893" s="216" t="s">
        <v>946</v>
      </c>
      <c r="B893" s="187">
        <v>93</v>
      </c>
    </row>
    <row r="894" spans="1:2">
      <c r="A894" s="216" t="s">
        <v>1875</v>
      </c>
      <c r="B894" s="187">
        <v>46</v>
      </c>
    </row>
    <row r="895" spans="1:2">
      <c r="A895" s="216" t="s">
        <v>6682</v>
      </c>
      <c r="B895" s="187">
        <v>6</v>
      </c>
    </row>
    <row r="896" spans="1:2">
      <c r="A896" s="216" t="s">
        <v>4002</v>
      </c>
      <c r="B896" s="187">
        <v>72</v>
      </c>
    </row>
    <row r="897" spans="1:2">
      <c r="A897" s="216" t="s">
        <v>6681</v>
      </c>
      <c r="B897" s="187">
        <v>21</v>
      </c>
    </row>
    <row r="898" spans="1:2">
      <c r="A898" s="216" t="s">
        <v>857</v>
      </c>
      <c r="B898" s="187">
        <v>24</v>
      </c>
    </row>
    <row r="899" spans="1:2">
      <c r="A899" s="216" t="s">
        <v>4006</v>
      </c>
      <c r="B899" s="187">
        <v>108</v>
      </c>
    </row>
    <row r="900" spans="1:2">
      <c r="A900" s="216" t="s">
        <v>4008</v>
      </c>
      <c r="B900" s="187">
        <v>300</v>
      </c>
    </row>
    <row r="901" spans="1:2">
      <c r="A901" s="216" t="s">
        <v>4010</v>
      </c>
      <c r="B901" s="187">
        <v>144</v>
      </c>
    </row>
    <row r="902" spans="1:2">
      <c r="A902" s="216" t="s">
        <v>4012</v>
      </c>
      <c r="B902" s="187">
        <v>366</v>
      </c>
    </row>
    <row r="903" spans="1:2">
      <c r="A903" s="216" t="s">
        <v>4014</v>
      </c>
      <c r="B903" s="187">
        <v>137</v>
      </c>
    </row>
    <row r="904" spans="1:2">
      <c r="A904" s="216" t="s">
        <v>4015</v>
      </c>
      <c r="B904" s="246">
        <v>2362</v>
      </c>
    </row>
    <row r="905" spans="1:2">
      <c r="A905" s="216" t="s">
        <v>6120</v>
      </c>
      <c r="B905" s="187">
        <v>383</v>
      </c>
    </row>
    <row r="906" spans="1:2">
      <c r="A906" s="216" t="s">
        <v>6679</v>
      </c>
      <c r="B906" s="187">
        <v>157</v>
      </c>
    </row>
    <row r="907" spans="1:2">
      <c r="A907" s="216" t="s">
        <v>6122</v>
      </c>
      <c r="B907" s="187">
        <v>265</v>
      </c>
    </row>
    <row r="908" spans="1:2">
      <c r="A908" s="216" t="s">
        <v>1801</v>
      </c>
      <c r="B908" s="187">
        <v>769</v>
      </c>
    </row>
    <row r="909" spans="1:2">
      <c r="A909" s="216" t="s">
        <v>1803</v>
      </c>
      <c r="B909" s="187">
        <v>174</v>
      </c>
    </row>
    <row r="910" spans="1:2">
      <c r="A910" s="216" t="s">
        <v>1805</v>
      </c>
      <c r="B910" s="187">
        <v>232</v>
      </c>
    </row>
    <row r="911" spans="1:2">
      <c r="A911" s="216" t="s">
        <v>1807</v>
      </c>
      <c r="B911" s="187">
        <v>37</v>
      </c>
    </row>
    <row r="912" spans="1:2">
      <c r="A912" s="216" t="s">
        <v>5037</v>
      </c>
      <c r="B912" s="187">
        <v>48</v>
      </c>
    </row>
    <row r="913" spans="1:2">
      <c r="A913" s="216" t="s">
        <v>1809</v>
      </c>
      <c r="B913" s="187">
        <v>32</v>
      </c>
    </row>
    <row r="914" spans="1:2">
      <c r="A914" s="216" t="s">
        <v>1697</v>
      </c>
      <c r="B914" s="187">
        <v>312</v>
      </c>
    </row>
    <row r="915" spans="1:2">
      <c r="A915" s="216" t="s">
        <v>2385</v>
      </c>
      <c r="B915" s="187">
        <v>207</v>
      </c>
    </row>
    <row r="916" spans="1:2">
      <c r="A916" s="216" t="s">
        <v>1699</v>
      </c>
      <c r="B916" s="187">
        <v>439</v>
      </c>
    </row>
    <row r="917" spans="1:2">
      <c r="A917" s="216" t="s">
        <v>3554</v>
      </c>
      <c r="B917" s="187">
        <v>405</v>
      </c>
    </row>
    <row r="918" spans="1:2">
      <c r="A918" s="216" t="s">
        <v>1857</v>
      </c>
      <c r="B918" s="187">
        <v>168</v>
      </c>
    </row>
    <row r="919" spans="1:2">
      <c r="A919" s="216" t="s">
        <v>7288</v>
      </c>
      <c r="B919" s="187">
        <v>122</v>
      </c>
    </row>
    <row r="920" spans="1:2">
      <c r="A920" s="216" t="s">
        <v>2791</v>
      </c>
      <c r="B920" s="187">
        <v>223</v>
      </c>
    </row>
    <row r="921" spans="1:2">
      <c r="A921" s="216" t="s">
        <v>5124</v>
      </c>
      <c r="B921" s="187">
        <v>90</v>
      </c>
    </row>
    <row r="922" spans="1:2">
      <c r="A922" s="216" t="s">
        <v>2793</v>
      </c>
      <c r="B922" s="187">
        <v>99</v>
      </c>
    </row>
    <row r="923" spans="1:2">
      <c r="A923" s="216" t="s">
        <v>2795</v>
      </c>
      <c r="B923" s="187">
        <v>28</v>
      </c>
    </row>
    <row r="924" spans="1:2">
      <c r="A924" s="216" t="s">
        <v>2052</v>
      </c>
      <c r="B924" s="187">
        <v>162</v>
      </c>
    </row>
    <row r="925" spans="1:2">
      <c r="A925" s="216" t="s">
        <v>2797</v>
      </c>
      <c r="B925" s="187">
        <v>33</v>
      </c>
    </row>
    <row r="926" spans="1:2">
      <c r="A926" s="216" t="s">
        <v>2799</v>
      </c>
      <c r="B926" s="187">
        <v>110</v>
      </c>
    </row>
    <row r="927" spans="1:2">
      <c r="A927" s="216" t="s">
        <v>2801</v>
      </c>
      <c r="B927" s="187">
        <v>386</v>
      </c>
    </row>
    <row r="928" spans="1:2">
      <c r="A928" s="216" t="s">
        <v>2803</v>
      </c>
      <c r="B928" s="187">
        <v>155</v>
      </c>
    </row>
    <row r="929" spans="1:2">
      <c r="A929" s="216" t="s">
        <v>2805</v>
      </c>
      <c r="B929" s="187">
        <v>124</v>
      </c>
    </row>
    <row r="930" spans="1:2">
      <c r="A930" s="216" t="s">
        <v>2806</v>
      </c>
      <c r="B930" s="187">
        <v>116</v>
      </c>
    </row>
    <row r="931" spans="1:2">
      <c r="A931" s="216" t="s">
        <v>232</v>
      </c>
      <c r="B931" s="187">
        <v>200</v>
      </c>
    </row>
    <row r="932" spans="1:2">
      <c r="A932" s="216" t="s">
        <v>3572</v>
      </c>
      <c r="B932" s="187">
        <v>344</v>
      </c>
    </row>
    <row r="933" spans="1:2">
      <c r="A933" s="216" t="s">
        <v>3574</v>
      </c>
      <c r="B933" s="187">
        <v>260</v>
      </c>
    </row>
    <row r="934" spans="1:2">
      <c r="A934" s="216" t="s">
        <v>4072</v>
      </c>
      <c r="B934" s="187">
        <v>110</v>
      </c>
    </row>
    <row r="935" spans="1:2">
      <c r="A935" s="216" t="s">
        <v>735</v>
      </c>
      <c r="B935" s="187">
        <v>166</v>
      </c>
    </row>
    <row r="936" spans="1:2">
      <c r="A936" s="216" t="s">
        <v>3576</v>
      </c>
      <c r="B936" s="187">
        <v>87</v>
      </c>
    </row>
    <row r="937" spans="1:2">
      <c r="A937" s="216" t="s">
        <v>3577</v>
      </c>
      <c r="B937" s="187">
        <v>190</v>
      </c>
    </row>
    <row r="938" spans="1:2">
      <c r="A938" s="216" t="s">
        <v>6190</v>
      </c>
      <c r="B938" s="187">
        <v>78</v>
      </c>
    </row>
    <row r="939" spans="1:2">
      <c r="A939" s="216" t="s">
        <v>3580</v>
      </c>
      <c r="B939" s="187">
        <v>65</v>
      </c>
    </row>
    <row r="940" spans="1:2">
      <c r="A940" s="216" t="s">
        <v>1862</v>
      </c>
      <c r="B940" s="187">
        <v>116</v>
      </c>
    </row>
    <row r="941" spans="1:2">
      <c r="A941" s="216" t="s">
        <v>3582</v>
      </c>
      <c r="B941" s="187">
        <v>55</v>
      </c>
    </row>
    <row r="942" spans="1:2">
      <c r="A942" s="216" t="s">
        <v>3584</v>
      </c>
      <c r="B942" s="187">
        <v>40</v>
      </c>
    </row>
    <row r="943" spans="1:2">
      <c r="A943" s="216" t="s">
        <v>3586</v>
      </c>
      <c r="B943" s="187">
        <v>401</v>
      </c>
    </row>
    <row r="944" spans="1:2">
      <c r="A944" s="216" t="s">
        <v>3588</v>
      </c>
      <c r="B944" s="187">
        <v>838</v>
      </c>
    </row>
    <row r="945" spans="1:2">
      <c r="A945" s="216" t="s">
        <v>6036</v>
      </c>
      <c r="B945" s="187">
        <v>108</v>
      </c>
    </row>
    <row r="946" spans="1:2">
      <c r="A946" s="216" t="s">
        <v>2472</v>
      </c>
      <c r="B946" s="187">
        <v>366</v>
      </c>
    </row>
    <row r="947" spans="1:2">
      <c r="A947" s="216" t="s">
        <v>2418</v>
      </c>
      <c r="B947" s="246">
        <v>1146</v>
      </c>
    </row>
    <row r="948" spans="1:2">
      <c r="A948" s="216" t="s">
        <v>3590</v>
      </c>
      <c r="B948" s="187">
        <v>362</v>
      </c>
    </row>
    <row r="949" spans="1:2">
      <c r="A949" s="216" t="s">
        <v>2389</v>
      </c>
      <c r="B949" s="187">
        <v>926</v>
      </c>
    </row>
    <row r="950" spans="1:2">
      <c r="A950" s="216" t="s">
        <v>3594</v>
      </c>
      <c r="B950" s="246">
        <v>2306</v>
      </c>
    </row>
    <row r="951" spans="1:2">
      <c r="A951" s="216" t="s">
        <v>6241</v>
      </c>
      <c r="B951" s="187">
        <v>161</v>
      </c>
    </row>
    <row r="952" spans="1:2">
      <c r="A952" s="216" t="s">
        <v>6243</v>
      </c>
      <c r="B952" s="187">
        <v>74</v>
      </c>
    </row>
    <row r="953" spans="1:2">
      <c r="A953" s="216" t="s">
        <v>1832</v>
      </c>
      <c r="B953" s="187">
        <v>104</v>
      </c>
    </row>
    <row r="954" spans="1:2">
      <c r="A954" s="216" t="s">
        <v>6164</v>
      </c>
      <c r="B954" s="187">
        <v>69</v>
      </c>
    </row>
    <row r="955" spans="1:2">
      <c r="A955" s="216" t="s">
        <v>6244</v>
      </c>
      <c r="B955" s="187">
        <v>225</v>
      </c>
    </row>
    <row r="956" spans="1:2">
      <c r="A956" s="216" t="s">
        <v>6246</v>
      </c>
      <c r="B956" s="187">
        <v>225</v>
      </c>
    </row>
    <row r="957" spans="1:2">
      <c r="A957" s="216" t="s">
        <v>1313</v>
      </c>
      <c r="B957" s="187">
        <v>29</v>
      </c>
    </row>
    <row r="958" spans="1:2">
      <c r="A958" s="216" t="s">
        <v>955</v>
      </c>
      <c r="B958" s="187">
        <v>107</v>
      </c>
    </row>
    <row r="959" spans="1:2">
      <c r="A959" s="216" t="s">
        <v>3552</v>
      </c>
      <c r="B959" s="187">
        <v>607</v>
      </c>
    </row>
    <row r="960" spans="1:2">
      <c r="A960" s="216" t="s">
        <v>6248</v>
      </c>
      <c r="B960" s="187">
        <v>51</v>
      </c>
    </row>
    <row r="961" spans="1:2">
      <c r="A961" s="216" t="s">
        <v>6182</v>
      </c>
      <c r="B961" s="187">
        <v>102</v>
      </c>
    </row>
    <row r="962" spans="1:2">
      <c r="A962" s="216" t="s">
        <v>6250</v>
      </c>
      <c r="B962" s="187">
        <v>598</v>
      </c>
    </row>
    <row r="963" spans="1:2">
      <c r="A963" s="216" t="s">
        <v>5038</v>
      </c>
      <c r="B963" s="187">
        <v>139</v>
      </c>
    </row>
    <row r="964" spans="1:2">
      <c r="A964" s="216" t="s">
        <v>5039</v>
      </c>
      <c r="B964" s="187">
        <v>321</v>
      </c>
    </row>
    <row r="965" spans="1:2">
      <c r="A965" s="216" t="s">
        <v>2082</v>
      </c>
      <c r="B965" s="187">
        <v>157</v>
      </c>
    </row>
    <row r="966" spans="1:2">
      <c r="A966" s="216" t="s">
        <v>2084</v>
      </c>
      <c r="B966" s="187">
        <v>502</v>
      </c>
    </row>
    <row r="967" spans="1:2">
      <c r="A967" s="216" t="s">
        <v>2086</v>
      </c>
      <c r="B967" s="187">
        <v>186</v>
      </c>
    </row>
    <row r="968" spans="1:2">
      <c r="A968" s="216" t="s">
        <v>2088</v>
      </c>
      <c r="B968" s="187">
        <v>462</v>
      </c>
    </row>
    <row r="969" spans="1:2">
      <c r="A969" s="216" t="s">
        <v>2090</v>
      </c>
      <c r="B969" s="187">
        <v>162</v>
      </c>
    </row>
    <row r="970" spans="1:2">
      <c r="A970" s="216" t="s">
        <v>2987</v>
      </c>
      <c r="B970" s="187">
        <v>17</v>
      </c>
    </row>
    <row r="971" spans="1:2">
      <c r="A971" s="216" t="s">
        <v>2094</v>
      </c>
      <c r="B971" s="187">
        <v>106</v>
      </c>
    </row>
    <row r="972" spans="1:2">
      <c r="A972" s="216" t="s">
        <v>2417</v>
      </c>
      <c r="B972" s="246">
        <v>2455</v>
      </c>
    </row>
    <row r="973" spans="1:2">
      <c r="A973" s="216" t="s">
        <v>78</v>
      </c>
      <c r="B973" s="187">
        <v>797</v>
      </c>
    </row>
    <row r="974" spans="1:2">
      <c r="A974" s="216" t="s">
        <v>80</v>
      </c>
      <c r="B974" s="187">
        <v>147</v>
      </c>
    </row>
    <row r="975" spans="1:2">
      <c r="A975" s="216" t="s">
        <v>82</v>
      </c>
      <c r="B975" s="187">
        <v>178</v>
      </c>
    </row>
    <row r="976" spans="1:2">
      <c r="A976" s="216" t="s">
        <v>84</v>
      </c>
      <c r="B976" s="187">
        <v>442</v>
      </c>
    </row>
    <row r="977" spans="1:2">
      <c r="A977" s="216" t="s">
        <v>86</v>
      </c>
      <c r="B977" s="187">
        <v>186</v>
      </c>
    </row>
    <row r="978" spans="1:2">
      <c r="A978" s="216" t="s">
        <v>88</v>
      </c>
      <c r="B978" s="187">
        <v>173</v>
      </c>
    </row>
    <row r="979" spans="1:2">
      <c r="A979" s="216" t="s">
        <v>90</v>
      </c>
      <c r="B979" s="187">
        <v>313</v>
      </c>
    </row>
    <row r="980" spans="1:2">
      <c r="A980" s="216" t="s">
        <v>92</v>
      </c>
      <c r="B980" s="187">
        <v>182</v>
      </c>
    </row>
    <row r="981" spans="1:2">
      <c r="A981" s="216" t="s">
        <v>2332</v>
      </c>
      <c r="B981" s="187">
        <v>134</v>
      </c>
    </row>
    <row r="982" spans="1:2">
      <c r="A982" s="216" t="s">
        <v>2334</v>
      </c>
      <c r="B982" s="187">
        <v>503</v>
      </c>
    </row>
    <row r="983" spans="1:2">
      <c r="A983" s="216" t="s">
        <v>962</v>
      </c>
      <c r="B983" s="187">
        <v>167</v>
      </c>
    </row>
    <row r="984" spans="1:2">
      <c r="A984" s="216" t="s">
        <v>2336</v>
      </c>
      <c r="B984" s="187">
        <v>201</v>
      </c>
    </row>
    <row r="985" spans="1:2">
      <c r="A985" s="216" t="s">
        <v>2338</v>
      </c>
      <c r="B985" s="187">
        <v>172</v>
      </c>
    </row>
    <row r="986" spans="1:2">
      <c r="A986" s="216" t="s">
        <v>2340</v>
      </c>
      <c r="B986" s="187">
        <v>83</v>
      </c>
    </row>
    <row r="987" spans="1:2">
      <c r="A987" s="216" t="s">
        <v>738</v>
      </c>
      <c r="B987" s="187">
        <v>15</v>
      </c>
    </row>
    <row r="988" spans="1:2">
      <c r="A988" s="216" t="s">
        <v>3219</v>
      </c>
      <c r="B988" s="187">
        <v>202</v>
      </c>
    </row>
    <row r="989" spans="1:2">
      <c r="A989" s="216" t="s">
        <v>608</v>
      </c>
      <c r="B989" s="187">
        <v>555</v>
      </c>
    </row>
    <row r="990" spans="1:2">
      <c r="A990" s="216" t="s">
        <v>610</v>
      </c>
      <c r="B990" s="187">
        <v>87</v>
      </c>
    </row>
    <row r="991" spans="1:2">
      <c r="A991" s="216" t="s">
        <v>6145</v>
      </c>
      <c r="B991" s="187">
        <v>66</v>
      </c>
    </row>
    <row r="992" spans="1:2">
      <c r="A992" s="216" t="s">
        <v>2998</v>
      </c>
      <c r="B992" s="187">
        <v>391</v>
      </c>
    </row>
    <row r="993" spans="1:2">
      <c r="A993" s="216" t="s">
        <v>2766</v>
      </c>
      <c r="B993" s="187">
        <v>127</v>
      </c>
    </row>
    <row r="994" spans="1:2">
      <c r="A994" s="216" t="s">
        <v>5040</v>
      </c>
      <c r="B994" s="187">
        <v>329</v>
      </c>
    </row>
    <row r="995" spans="1:2">
      <c r="A995" s="216" t="s">
        <v>1307</v>
      </c>
      <c r="B995" s="187">
        <v>141</v>
      </c>
    </row>
    <row r="996" spans="1:2">
      <c r="A996" s="216" t="s">
        <v>1319</v>
      </c>
      <c r="B996" s="187">
        <v>184</v>
      </c>
    </row>
    <row r="997" spans="1:2">
      <c r="A997" s="216" t="s">
        <v>1856</v>
      </c>
      <c r="B997" s="187">
        <v>104</v>
      </c>
    </row>
    <row r="998" spans="1:2">
      <c r="A998" s="216" t="s">
        <v>6020</v>
      </c>
      <c r="B998" s="187">
        <v>70</v>
      </c>
    </row>
    <row r="999" spans="1:2">
      <c r="A999" s="216" t="s">
        <v>611</v>
      </c>
      <c r="B999" s="187">
        <v>85</v>
      </c>
    </row>
    <row r="1000" spans="1:2">
      <c r="A1000" s="216" t="s">
        <v>2990</v>
      </c>
      <c r="B1000" s="187">
        <v>110</v>
      </c>
    </row>
    <row r="1001" spans="1:2">
      <c r="A1001" s="216" t="s">
        <v>2382</v>
      </c>
      <c r="B1001" s="187">
        <v>110</v>
      </c>
    </row>
    <row r="1002" spans="1:2">
      <c r="A1002" s="216" t="s">
        <v>2473</v>
      </c>
      <c r="B1002" s="187">
        <v>77</v>
      </c>
    </row>
    <row r="1003" spans="1:2">
      <c r="A1003" s="216" t="s">
        <v>2412</v>
      </c>
      <c r="B1003" s="187">
        <v>149</v>
      </c>
    </row>
    <row r="1004" spans="1:2">
      <c r="A1004" s="216" t="s">
        <v>2988</v>
      </c>
      <c r="B1004" s="187">
        <v>198</v>
      </c>
    </row>
    <row r="1005" spans="1:2">
      <c r="A1005" s="216" t="s">
        <v>613</v>
      </c>
      <c r="B1005" s="187">
        <v>50</v>
      </c>
    </row>
    <row r="1006" spans="1:2">
      <c r="A1006" s="216" t="s">
        <v>5041</v>
      </c>
      <c r="B1006" s="187">
        <v>289</v>
      </c>
    </row>
    <row r="1007" spans="1:2">
      <c r="A1007" s="216" t="s">
        <v>6039</v>
      </c>
      <c r="B1007" s="187">
        <v>99</v>
      </c>
    </row>
    <row r="1008" spans="1:2">
      <c r="A1008" s="216" t="s">
        <v>5043</v>
      </c>
      <c r="B1008" s="187">
        <v>215</v>
      </c>
    </row>
    <row r="1009" spans="1:2">
      <c r="A1009" s="216" t="s">
        <v>2409</v>
      </c>
      <c r="B1009" s="187">
        <v>184</v>
      </c>
    </row>
    <row r="1010" spans="1:2">
      <c r="A1010" s="216" t="s">
        <v>615</v>
      </c>
      <c r="B1010" s="187">
        <v>400</v>
      </c>
    </row>
    <row r="1011" spans="1:2">
      <c r="A1011" s="216" t="s">
        <v>617</v>
      </c>
      <c r="B1011" s="246">
        <v>1118</v>
      </c>
    </row>
    <row r="1012" spans="1:2">
      <c r="A1012" s="216" t="s">
        <v>3889</v>
      </c>
      <c r="B1012" s="187">
        <v>111</v>
      </c>
    </row>
    <row r="1013" spans="1:2">
      <c r="A1013" s="216" t="s">
        <v>619</v>
      </c>
      <c r="B1013" s="187">
        <v>65</v>
      </c>
    </row>
    <row r="1014" spans="1:2">
      <c r="A1014" s="216" t="s">
        <v>1328</v>
      </c>
      <c r="B1014" s="187">
        <v>141</v>
      </c>
    </row>
    <row r="1015" spans="1:2">
      <c r="A1015" s="216" t="s">
        <v>6708</v>
      </c>
      <c r="B1015" s="187">
        <v>115</v>
      </c>
    </row>
    <row r="1016" spans="1:2">
      <c r="A1016" s="216" t="s">
        <v>6710</v>
      </c>
      <c r="B1016" s="187">
        <v>218</v>
      </c>
    </row>
    <row r="1017" spans="1:2">
      <c r="A1017" s="216" t="s">
        <v>6192</v>
      </c>
      <c r="B1017" s="187">
        <v>72</v>
      </c>
    </row>
    <row r="1018" spans="1:2">
      <c r="A1018" s="216" t="s">
        <v>2400</v>
      </c>
      <c r="B1018" s="187">
        <v>122</v>
      </c>
    </row>
    <row r="1019" spans="1:2">
      <c r="A1019" s="216" t="s">
        <v>6712</v>
      </c>
      <c r="B1019" s="187">
        <v>98</v>
      </c>
    </row>
    <row r="1020" spans="1:2">
      <c r="A1020" s="216" t="s">
        <v>6714</v>
      </c>
      <c r="B1020" s="187">
        <v>90</v>
      </c>
    </row>
    <row r="1021" spans="1:2">
      <c r="A1021" s="216" t="s">
        <v>6716</v>
      </c>
      <c r="B1021" s="187">
        <v>149</v>
      </c>
    </row>
    <row r="1022" spans="1:2">
      <c r="A1022" s="216" t="s">
        <v>6718</v>
      </c>
      <c r="B1022" s="187">
        <v>74</v>
      </c>
    </row>
    <row r="1023" spans="1:2">
      <c r="A1023" s="216" t="s">
        <v>2443</v>
      </c>
      <c r="B1023" s="187">
        <v>93</v>
      </c>
    </row>
    <row r="1024" spans="1:2">
      <c r="A1024" s="216" t="s">
        <v>2445</v>
      </c>
      <c r="B1024" s="187">
        <v>173</v>
      </c>
    </row>
    <row r="1025" spans="1:2">
      <c r="A1025" s="216" t="s">
        <v>2447</v>
      </c>
      <c r="B1025" s="187">
        <v>157</v>
      </c>
    </row>
    <row r="1026" spans="1:2">
      <c r="A1026" s="216" t="s">
        <v>905</v>
      </c>
      <c r="B1026" s="187">
        <v>598</v>
      </c>
    </row>
    <row r="1027" spans="1:2">
      <c r="A1027" s="216" t="s">
        <v>1854</v>
      </c>
      <c r="B1027" s="187">
        <v>544</v>
      </c>
    </row>
    <row r="1028" spans="1:2">
      <c r="A1028" s="216" t="s">
        <v>907</v>
      </c>
      <c r="B1028" s="187">
        <v>219</v>
      </c>
    </row>
    <row r="1029" spans="1:2">
      <c r="A1029" s="216" t="s">
        <v>6146</v>
      </c>
      <c r="B1029" s="187">
        <v>201</v>
      </c>
    </row>
    <row r="1030" spans="1:2">
      <c r="A1030" s="216" t="s">
        <v>909</v>
      </c>
      <c r="B1030" s="246">
        <v>1061</v>
      </c>
    </row>
    <row r="1031" spans="1:2">
      <c r="A1031" s="216" t="s">
        <v>247</v>
      </c>
      <c r="B1031" s="187">
        <v>656</v>
      </c>
    </row>
    <row r="1032" spans="1:2">
      <c r="A1032" s="216" t="s">
        <v>1527</v>
      </c>
      <c r="B1032" s="187">
        <v>307</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H1029"/>
  <sheetViews>
    <sheetView workbookViewId="0">
      <selection activeCell="H2" sqref="H2"/>
    </sheetView>
  </sheetViews>
  <sheetFormatPr defaultColWidth="17.77734375" defaultRowHeight="13.2"/>
  <sheetData>
    <row r="1" spans="1:8">
      <c r="E1" s="134" t="s">
        <v>7823</v>
      </c>
      <c r="G1" s="134" t="s">
        <v>7824</v>
      </c>
      <c r="H1" s="134" t="s">
        <v>7825</v>
      </c>
    </row>
    <row r="2" spans="1:8">
      <c r="A2" s="927" t="str">
        <f>'Data Entry - SOF'!B2</f>
        <v>000-000</v>
      </c>
      <c r="B2" s="927" t="e">
        <f>VLOOKUP($A$2,$A$3:B1031,2,FALSE)</f>
        <v>#N/A</v>
      </c>
      <c r="C2" s="927"/>
      <c r="D2" s="927"/>
      <c r="E2" s="927" t="e">
        <f>VLOOKUP($A$2,$A$3:E1031,5,FALSE)</f>
        <v>#N/A</v>
      </c>
      <c r="F2" s="933">
        <v>1.5</v>
      </c>
      <c r="G2" s="934" t="e">
        <f>E2/F2</f>
        <v>#N/A</v>
      </c>
      <c r="H2" s="935" t="e">
        <f>4765*G2</f>
        <v>#N/A</v>
      </c>
    </row>
    <row r="3" spans="1:8">
      <c r="A3" s="926" t="s">
        <v>3890</v>
      </c>
      <c r="B3" s="423" t="s">
        <v>1763</v>
      </c>
      <c r="C3" s="435">
        <v>1.37</v>
      </c>
      <c r="D3" s="435">
        <v>545.14499999999998</v>
      </c>
      <c r="E3" s="435">
        <v>1.5</v>
      </c>
      <c r="F3" s="215">
        <v>0</v>
      </c>
      <c r="G3" s="215">
        <v>96472</v>
      </c>
    </row>
    <row r="4" spans="1:8">
      <c r="A4" s="926" t="s">
        <v>694</v>
      </c>
      <c r="B4" s="423" t="s">
        <v>1764</v>
      </c>
      <c r="C4" s="435">
        <v>1.37</v>
      </c>
      <c r="D4" s="435">
        <v>1177.646</v>
      </c>
      <c r="E4" s="435">
        <v>1.5</v>
      </c>
      <c r="F4" s="215">
        <v>0</v>
      </c>
      <c r="G4" s="215">
        <v>95414</v>
      </c>
    </row>
    <row r="5" spans="1:8">
      <c r="A5" s="926" t="s">
        <v>696</v>
      </c>
      <c r="B5" s="423" t="s">
        <v>1765</v>
      </c>
      <c r="C5" s="435">
        <v>1.331</v>
      </c>
      <c r="D5" s="435">
        <v>756.27099999999996</v>
      </c>
      <c r="E5" s="435">
        <v>1.4556</v>
      </c>
      <c r="F5" s="215">
        <v>0</v>
      </c>
      <c r="G5" s="215">
        <v>85023</v>
      </c>
    </row>
    <row r="6" spans="1:8">
      <c r="A6" s="926" t="s">
        <v>698</v>
      </c>
      <c r="B6" s="423" t="s">
        <v>1766</v>
      </c>
      <c r="C6" s="435">
        <v>1.37</v>
      </c>
      <c r="D6" s="435">
        <v>315.90199999999999</v>
      </c>
      <c r="E6" s="435">
        <v>1.5</v>
      </c>
      <c r="F6" s="215">
        <v>0</v>
      </c>
      <c r="G6" s="215">
        <v>35410</v>
      </c>
    </row>
    <row r="7" spans="1:8">
      <c r="A7" s="926" t="s">
        <v>700</v>
      </c>
      <c r="B7" s="423" t="s">
        <v>1767</v>
      </c>
      <c r="C7" s="435">
        <v>1.37</v>
      </c>
      <c r="D7" s="435">
        <v>3175.69</v>
      </c>
      <c r="E7" s="435">
        <v>1.5</v>
      </c>
      <c r="F7" s="215">
        <v>0</v>
      </c>
      <c r="G7" s="215">
        <v>323261</v>
      </c>
    </row>
    <row r="8" spans="1:8">
      <c r="A8" s="926" t="s">
        <v>1491</v>
      </c>
      <c r="B8" s="423" t="s">
        <v>1768</v>
      </c>
      <c r="C8" s="435">
        <v>1.2250000000000001</v>
      </c>
      <c r="D8" s="435">
        <v>1695.1959999999999</v>
      </c>
      <c r="E8" s="435">
        <v>1.337</v>
      </c>
      <c r="F8" s="215">
        <v>0</v>
      </c>
      <c r="G8" s="215">
        <v>120801</v>
      </c>
    </row>
    <row r="9" spans="1:8">
      <c r="A9" s="926" t="s">
        <v>6212</v>
      </c>
      <c r="B9" s="423" t="s">
        <v>1769</v>
      </c>
      <c r="C9" s="435">
        <v>1.18</v>
      </c>
      <c r="D9" s="435">
        <v>365.23</v>
      </c>
      <c r="E9" s="435">
        <v>1.2871999999999999</v>
      </c>
      <c r="F9" s="215">
        <v>0</v>
      </c>
      <c r="G9" s="215">
        <v>60748</v>
      </c>
    </row>
    <row r="10" spans="1:8">
      <c r="A10" s="926" t="s">
        <v>2753</v>
      </c>
      <c r="B10" s="423" t="s">
        <v>5003</v>
      </c>
      <c r="C10" s="435">
        <v>1.37</v>
      </c>
      <c r="D10" s="435">
        <v>2698.61</v>
      </c>
      <c r="E10" s="435">
        <v>1.5</v>
      </c>
      <c r="F10" s="215">
        <v>0</v>
      </c>
      <c r="G10" s="215">
        <v>107028</v>
      </c>
    </row>
    <row r="11" spans="1:8">
      <c r="A11" s="926" t="s">
        <v>3080</v>
      </c>
      <c r="B11" s="423" t="s">
        <v>3853</v>
      </c>
      <c r="C11" s="435">
        <v>1.3124</v>
      </c>
      <c r="D11" s="435">
        <v>2284.5430000000001</v>
      </c>
      <c r="E11" s="435">
        <v>1.4350000000000001</v>
      </c>
      <c r="F11" s="215">
        <v>0</v>
      </c>
      <c r="G11" s="215">
        <v>216188</v>
      </c>
    </row>
    <row r="12" spans="1:8">
      <c r="A12" s="926" t="s">
        <v>2842</v>
      </c>
      <c r="B12" s="423" t="s">
        <v>5004</v>
      </c>
      <c r="C12" s="435">
        <v>1.37</v>
      </c>
      <c r="D12" s="435">
        <v>7859.2759999999998</v>
      </c>
      <c r="E12" s="435">
        <v>1.5</v>
      </c>
      <c r="F12" s="215">
        <v>0</v>
      </c>
      <c r="G12" s="215">
        <v>835880</v>
      </c>
    </row>
    <row r="13" spans="1:8">
      <c r="A13" s="926" t="s">
        <v>1874</v>
      </c>
      <c r="B13" s="423" t="s">
        <v>3857</v>
      </c>
      <c r="C13" s="435">
        <v>1.37</v>
      </c>
      <c r="D13" s="435">
        <v>1563.4739999999999</v>
      </c>
      <c r="E13" s="435">
        <v>1.5</v>
      </c>
      <c r="F13" s="215">
        <v>0</v>
      </c>
      <c r="G13" s="215">
        <v>129730</v>
      </c>
    </row>
    <row r="14" spans="1:8">
      <c r="A14" s="926" t="s">
        <v>2844</v>
      </c>
      <c r="B14" s="423" t="s">
        <v>5005</v>
      </c>
      <c r="C14" s="435">
        <v>1.37</v>
      </c>
      <c r="D14" s="435">
        <v>1724.21</v>
      </c>
      <c r="E14" s="435">
        <v>1.5</v>
      </c>
      <c r="F14" s="215">
        <v>0</v>
      </c>
      <c r="G14" s="215">
        <v>108579</v>
      </c>
    </row>
    <row r="15" spans="1:8">
      <c r="A15" s="926" t="s">
        <v>2846</v>
      </c>
      <c r="B15" s="423" t="s">
        <v>5006</v>
      </c>
      <c r="C15" s="435">
        <v>1.3181</v>
      </c>
      <c r="D15" s="435">
        <v>435.733</v>
      </c>
      <c r="E15" s="435">
        <v>1.4415</v>
      </c>
      <c r="F15" s="215">
        <v>0</v>
      </c>
      <c r="G15" s="215">
        <v>72906</v>
      </c>
    </row>
    <row r="16" spans="1:8">
      <c r="A16" s="926" t="s">
        <v>2848</v>
      </c>
      <c r="B16" s="423" t="s">
        <v>5007</v>
      </c>
      <c r="C16" s="435">
        <v>1.37</v>
      </c>
      <c r="D16" s="435">
        <v>1560.318</v>
      </c>
      <c r="E16" s="435">
        <v>1.5</v>
      </c>
      <c r="F16" s="215">
        <v>0</v>
      </c>
      <c r="G16" s="215">
        <v>139300</v>
      </c>
    </row>
    <row r="17" spans="1:7">
      <c r="A17" s="926" t="s">
        <v>1225</v>
      </c>
      <c r="B17" s="423" t="s">
        <v>5008</v>
      </c>
      <c r="C17" s="435">
        <v>1.3364</v>
      </c>
      <c r="D17" s="435">
        <v>3079.0079999999998</v>
      </c>
      <c r="E17" s="435">
        <v>1.462</v>
      </c>
      <c r="F17" s="215">
        <v>0</v>
      </c>
      <c r="G17" s="215">
        <v>400552</v>
      </c>
    </row>
    <row r="18" spans="1:7">
      <c r="A18" s="926" t="s">
        <v>1227</v>
      </c>
      <c r="B18" s="423" t="s">
        <v>4094</v>
      </c>
      <c r="C18" s="435">
        <v>1.23</v>
      </c>
      <c r="D18" s="435">
        <v>494.988</v>
      </c>
      <c r="E18" s="435">
        <v>1.35</v>
      </c>
      <c r="F18" s="215">
        <v>0</v>
      </c>
      <c r="G18" s="215">
        <v>45961</v>
      </c>
    </row>
    <row r="19" spans="1:7">
      <c r="A19" s="926" t="s">
        <v>1229</v>
      </c>
      <c r="B19" s="423" t="s">
        <v>4095</v>
      </c>
      <c r="C19" s="435">
        <v>1.37</v>
      </c>
      <c r="D19" s="435">
        <v>801.47799999999995</v>
      </c>
      <c r="E19" s="435">
        <v>1.5</v>
      </c>
      <c r="F19" s="215">
        <v>0</v>
      </c>
      <c r="G19" s="215">
        <v>78460</v>
      </c>
    </row>
    <row r="20" spans="1:7">
      <c r="A20" s="926" t="s">
        <v>2360</v>
      </c>
      <c r="B20" s="423" t="s">
        <v>2004</v>
      </c>
      <c r="C20" s="435">
        <v>1.37</v>
      </c>
      <c r="D20" s="435">
        <v>496.23500000000001</v>
      </c>
      <c r="E20" s="435">
        <v>1.5</v>
      </c>
      <c r="F20" s="215">
        <v>0</v>
      </c>
      <c r="G20" s="215">
        <v>57404</v>
      </c>
    </row>
    <row r="21" spans="1:7">
      <c r="A21" s="926" t="s">
        <v>1233</v>
      </c>
      <c r="B21" s="423" t="s">
        <v>4097</v>
      </c>
      <c r="C21" s="435">
        <v>1.2450000000000001</v>
      </c>
      <c r="D21" s="435">
        <v>353.32</v>
      </c>
      <c r="E21" s="435">
        <v>1.36</v>
      </c>
      <c r="F21" s="215">
        <v>0</v>
      </c>
      <c r="G21" s="215">
        <v>74057</v>
      </c>
    </row>
    <row r="22" spans="1:7">
      <c r="A22" s="926" t="s">
        <v>3081</v>
      </c>
      <c r="B22" s="423" t="s">
        <v>6107</v>
      </c>
      <c r="C22" s="435">
        <v>1.27</v>
      </c>
      <c r="D22" s="435">
        <v>482.49400000000003</v>
      </c>
      <c r="E22" s="435">
        <v>1.39</v>
      </c>
      <c r="F22" s="215">
        <v>0</v>
      </c>
      <c r="G22" s="215">
        <v>38676</v>
      </c>
    </row>
    <row r="23" spans="1:7">
      <c r="A23" s="926" t="s">
        <v>1235</v>
      </c>
      <c r="B23" s="423" t="s">
        <v>4098</v>
      </c>
      <c r="C23" s="435">
        <v>1.37</v>
      </c>
      <c r="D23" s="435">
        <v>1205.809</v>
      </c>
      <c r="E23" s="435">
        <v>1.5</v>
      </c>
      <c r="F23" s="215">
        <v>0</v>
      </c>
      <c r="G23" s="215">
        <v>138461</v>
      </c>
    </row>
    <row r="24" spans="1:7">
      <c r="A24" s="926" t="s">
        <v>2999</v>
      </c>
      <c r="B24" s="423" t="s">
        <v>4099</v>
      </c>
      <c r="C24" s="435">
        <v>1.37</v>
      </c>
      <c r="D24" s="435">
        <v>1443.463</v>
      </c>
      <c r="E24" s="435">
        <v>1.5</v>
      </c>
      <c r="F24" s="215">
        <v>0</v>
      </c>
      <c r="G24" s="215">
        <v>148260</v>
      </c>
    </row>
    <row r="25" spans="1:7">
      <c r="A25" s="926" t="s">
        <v>5127</v>
      </c>
      <c r="B25" s="423" t="s">
        <v>342</v>
      </c>
      <c r="C25" s="435">
        <v>1.37</v>
      </c>
      <c r="D25" s="435">
        <v>3235.0450000000001</v>
      </c>
      <c r="E25" s="435">
        <v>1.5</v>
      </c>
      <c r="F25" s="215">
        <v>0</v>
      </c>
      <c r="G25" s="215">
        <v>312170</v>
      </c>
    </row>
    <row r="26" spans="1:7">
      <c r="A26" s="926" t="s">
        <v>2563</v>
      </c>
      <c r="B26" s="423" t="s">
        <v>345</v>
      </c>
      <c r="C26" s="435">
        <v>1.37</v>
      </c>
      <c r="D26" s="435">
        <v>1577.9770000000001</v>
      </c>
      <c r="E26" s="435">
        <v>1.5</v>
      </c>
      <c r="F26" s="215">
        <v>0</v>
      </c>
      <c r="G26" s="215">
        <v>129726</v>
      </c>
    </row>
    <row r="27" spans="1:7">
      <c r="A27" s="926" t="s">
        <v>1237</v>
      </c>
      <c r="B27" s="423" t="s">
        <v>4100</v>
      </c>
      <c r="C27" s="435">
        <v>1.37</v>
      </c>
      <c r="D27" s="435">
        <v>2068.5100000000002</v>
      </c>
      <c r="E27" s="435">
        <v>1.5</v>
      </c>
      <c r="F27" s="215">
        <v>0</v>
      </c>
      <c r="G27" s="215">
        <v>265472</v>
      </c>
    </row>
    <row r="28" spans="1:7">
      <c r="A28" s="926" t="s">
        <v>1239</v>
      </c>
      <c r="B28" s="423" t="s">
        <v>4101</v>
      </c>
      <c r="C28" s="435">
        <v>1.2636000000000001</v>
      </c>
      <c r="D28" s="435">
        <v>2433.6320000000001</v>
      </c>
      <c r="E28" s="435">
        <v>1.38</v>
      </c>
      <c r="F28" s="215">
        <v>172063</v>
      </c>
      <c r="G28" s="215">
        <v>236606</v>
      </c>
    </row>
    <row r="29" spans="1:7">
      <c r="A29" s="926" t="s">
        <v>1241</v>
      </c>
      <c r="B29" s="423" t="s">
        <v>4102</v>
      </c>
      <c r="C29" s="435">
        <v>1.37</v>
      </c>
      <c r="D29" s="435">
        <v>804.745</v>
      </c>
      <c r="E29" s="435">
        <v>1.5</v>
      </c>
      <c r="F29" s="215">
        <v>135333</v>
      </c>
      <c r="G29" s="215">
        <v>130758</v>
      </c>
    </row>
    <row r="30" spans="1:7">
      <c r="A30" s="926" t="s">
        <v>1243</v>
      </c>
      <c r="B30" s="423" t="s">
        <v>4103</v>
      </c>
      <c r="C30" s="435">
        <v>1.37</v>
      </c>
      <c r="D30" s="435">
        <v>1389.3140000000001</v>
      </c>
      <c r="E30" s="435">
        <v>1.5</v>
      </c>
      <c r="F30" s="215">
        <v>0</v>
      </c>
      <c r="G30" s="215">
        <v>95358</v>
      </c>
    </row>
    <row r="31" spans="1:7">
      <c r="A31" s="926" t="s">
        <v>1245</v>
      </c>
      <c r="B31" s="423" t="s">
        <v>4104</v>
      </c>
      <c r="C31" s="435">
        <v>1.26</v>
      </c>
      <c r="D31" s="435">
        <v>329.48700000000002</v>
      </c>
      <c r="E31" s="435">
        <v>1.38</v>
      </c>
      <c r="F31" s="215">
        <v>0</v>
      </c>
      <c r="G31" s="215">
        <v>52479</v>
      </c>
    </row>
    <row r="32" spans="1:7">
      <c r="A32" s="926" t="s">
        <v>2361</v>
      </c>
      <c r="B32" s="423" t="s">
        <v>7695</v>
      </c>
      <c r="C32" s="435">
        <v>1.32</v>
      </c>
      <c r="D32" s="435">
        <v>2372.5160000000001</v>
      </c>
      <c r="E32" s="435">
        <v>1.44</v>
      </c>
      <c r="F32" s="215">
        <v>0</v>
      </c>
      <c r="G32" s="215">
        <v>330338</v>
      </c>
    </row>
    <row r="33" spans="1:7">
      <c r="A33" s="926" t="s">
        <v>948</v>
      </c>
      <c r="B33" s="423" t="s">
        <v>7697</v>
      </c>
      <c r="C33" s="435">
        <v>1.37</v>
      </c>
      <c r="D33" s="435">
        <v>7381.1880000000001</v>
      </c>
      <c r="E33" s="435">
        <v>1.5</v>
      </c>
      <c r="F33" s="215">
        <v>16259</v>
      </c>
      <c r="G33" s="215">
        <v>1303977</v>
      </c>
    </row>
    <row r="34" spans="1:7">
      <c r="A34" s="926" t="s">
        <v>1522</v>
      </c>
      <c r="B34" s="423" t="s">
        <v>1928</v>
      </c>
      <c r="C34" s="435">
        <v>1.37</v>
      </c>
      <c r="D34" s="435">
        <v>3088.4369999999999</v>
      </c>
      <c r="E34" s="435">
        <v>1.5</v>
      </c>
      <c r="F34" s="215">
        <v>127971</v>
      </c>
      <c r="G34" s="215">
        <v>425679</v>
      </c>
    </row>
    <row r="35" spans="1:7">
      <c r="A35" s="926" t="s">
        <v>438</v>
      </c>
      <c r="B35" s="423" t="s">
        <v>2343</v>
      </c>
      <c r="C35" s="435">
        <v>1.37</v>
      </c>
      <c r="D35" s="435">
        <v>1709.9059999999999</v>
      </c>
      <c r="E35" s="435">
        <v>1.5</v>
      </c>
      <c r="F35" s="215">
        <v>0</v>
      </c>
      <c r="G35" s="215">
        <v>323568</v>
      </c>
    </row>
    <row r="36" spans="1:7">
      <c r="A36" s="926" t="s">
        <v>2565</v>
      </c>
      <c r="B36" s="423" t="s">
        <v>6074</v>
      </c>
      <c r="C36" s="435">
        <v>1.37</v>
      </c>
      <c r="D36" s="435">
        <v>218.50399999999999</v>
      </c>
      <c r="E36" s="435">
        <v>1.5</v>
      </c>
      <c r="F36" s="215">
        <v>0</v>
      </c>
      <c r="G36" s="215">
        <v>25502</v>
      </c>
    </row>
    <row r="37" spans="1:7">
      <c r="A37" s="926" t="s">
        <v>1248</v>
      </c>
      <c r="B37" s="423" t="s">
        <v>4105</v>
      </c>
      <c r="C37" s="435">
        <v>1.37</v>
      </c>
      <c r="D37" s="435">
        <v>579.64400000000001</v>
      </c>
      <c r="E37" s="435">
        <v>1.5</v>
      </c>
      <c r="F37" s="215">
        <v>0</v>
      </c>
      <c r="G37" s="215">
        <v>51960</v>
      </c>
    </row>
    <row r="38" spans="1:7">
      <c r="A38" s="926" t="s">
        <v>439</v>
      </c>
      <c r="B38" s="423" t="s">
        <v>7698</v>
      </c>
      <c r="C38" s="435">
        <v>1.37</v>
      </c>
      <c r="D38" s="435">
        <v>3365.328</v>
      </c>
      <c r="E38" s="435">
        <v>1.5</v>
      </c>
      <c r="F38" s="215">
        <v>0</v>
      </c>
      <c r="G38" s="215">
        <v>173829</v>
      </c>
    </row>
    <row r="39" spans="1:7">
      <c r="A39" s="926" t="s">
        <v>1250</v>
      </c>
      <c r="B39" s="423" t="s">
        <v>4106</v>
      </c>
      <c r="C39" s="435">
        <v>1.1958</v>
      </c>
      <c r="D39" s="435">
        <v>130.09800000000001</v>
      </c>
      <c r="E39" s="435">
        <v>1.3035000000000001</v>
      </c>
      <c r="F39" s="215">
        <v>0</v>
      </c>
      <c r="G39" s="215">
        <v>38693</v>
      </c>
    </row>
    <row r="40" spans="1:7">
      <c r="A40" s="926" t="s">
        <v>1252</v>
      </c>
      <c r="B40" s="423" t="s">
        <v>4107</v>
      </c>
      <c r="C40" s="435">
        <v>1.37</v>
      </c>
      <c r="D40" s="435">
        <v>350.029</v>
      </c>
      <c r="E40" s="435">
        <v>1.5</v>
      </c>
      <c r="F40" s="215">
        <v>0</v>
      </c>
      <c r="G40" s="215">
        <v>54269</v>
      </c>
    </row>
    <row r="41" spans="1:7">
      <c r="A41" s="926" t="s">
        <v>2399</v>
      </c>
      <c r="B41" s="423" t="s">
        <v>2341</v>
      </c>
      <c r="C41" s="435">
        <v>1.37</v>
      </c>
      <c r="D41" s="435">
        <v>711.02700000000004</v>
      </c>
      <c r="E41" s="435">
        <v>1.5</v>
      </c>
      <c r="F41" s="215">
        <v>0</v>
      </c>
      <c r="G41" s="215">
        <v>70784</v>
      </c>
    </row>
    <row r="42" spans="1:7">
      <c r="A42" s="926" t="s">
        <v>2566</v>
      </c>
      <c r="B42" s="423" t="s">
        <v>4108</v>
      </c>
      <c r="C42" s="435">
        <v>1.369</v>
      </c>
      <c r="D42" s="435">
        <v>903.82799999999997</v>
      </c>
      <c r="E42" s="435">
        <v>1.4993000000000001</v>
      </c>
      <c r="F42" s="215">
        <v>0</v>
      </c>
      <c r="G42" s="215">
        <v>62534</v>
      </c>
    </row>
    <row r="43" spans="1:7">
      <c r="A43" s="926" t="s">
        <v>947</v>
      </c>
      <c r="B43" s="423" t="s">
        <v>7696</v>
      </c>
      <c r="C43" s="435">
        <v>1.37</v>
      </c>
      <c r="D43" s="435">
        <v>393.70600000000002</v>
      </c>
      <c r="E43" s="435">
        <v>1.5</v>
      </c>
      <c r="F43" s="215">
        <v>0</v>
      </c>
      <c r="G43" s="215">
        <v>49766</v>
      </c>
    </row>
    <row r="44" spans="1:7">
      <c r="A44" s="926" t="s">
        <v>950</v>
      </c>
      <c r="B44" s="423" t="s">
        <v>7654</v>
      </c>
      <c r="C44" s="435">
        <v>1.37</v>
      </c>
      <c r="D44" s="435">
        <v>7053.4679999999998</v>
      </c>
      <c r="E44" s="435">
        <v>1.5</v>
      </c>
      <c r="F44" s="215">
        <v>0</v>
      </c>
      <c r="G44" s="215">
        <v>639490</v>
      </c>
    </row>
    <row r="45" spans="1:7">
      <c r="A45" s="926" t="s">
        <v>1869</v>
      </c>
      <c r="B45" s="423" t="s">
        <v>3848</v>
      </c>
      <c r="C45" s="435">
        <v>1.2989999999999999</v>
      </c>
      <c r="D45" s="435">
        <v>497.80200000000002</v>
      </c>
      <c r="E45" s="435">
        <v>1.42</v>
      </c>
      <c r="F45" s="215">
        <v>0</v>
      </c>
      <c r="G45" s="215">
        <v>39294</v>
      </c>
    </row>
    <row r="46" spans="1:7">
      <c r="A46" s="926" t="s">
        <v>6033</v>
      </c>
      <c r="B46" s="423" t="s">
        <v>1920</v>
      </c>
      <c r="C46" s="435">
        <v>1.2990999999999999</v>
      </c>
      <c r="D46" s="435">
        <v>31832.368999999999</v>
      </c>
      <c r="E46" s="435">
        <v>1.42</v>
      </c>
      <c r="F46" s="215">
        <v>160734</v>
      </c>
      <c r="G46" s="215">
        <v>1982614</v>
      </c>
    </row>
    <row r="47" spans="1:7">
      <c r="A47" s="926" t="s">
        <v>2309</v>
      </c>
      <c r="B47" s="423" t="s">
        <v>367</v>
      </c>
      <c r="C47" s="435">
        <v>1.347</v>
      </c>
      <c r="D47" s="435">
        <v>791</v>
      </c>
      <c r="E47" s="435">
        <v>1.4750000000000001</v>
      </c>
      <c r="F47" s="215">
        <v>0</v>
      </c>
      <c r="G47" s="215">
        <v>97974</v>
      </c>
    </row>
    <row r="48" spans="1:7">
      <c r="A48" s="926" t="s">
        <v>2384</v>
      </c>
      <c r="B48" s="423" t="s">
        <v>376</v>
      </c>
      <c r="C48" s="435">
        <v>1.3</v>
      </c>
      <c r="D48" s="435">
        <v>1163.6849999999999</v>
      </c>
      <c r="E48" s="435">
        <v>1.4219999999999999</v>
      </c>
      <c r="F48" s="215">
        <v>0</v>
      </c>
      <c r="G48" s="215">
        <v>157977</v>
      </c>
    </row>
    <row r="49" spans="1:7">
      <c r="A49" s="926" t="s">
        <v>2411</v>
      </c>
      <c r="B49" s="423" t="s">
        <v>5364</v>
      </c>
      <c r="C49" s="435">
        <v>1.37</v>
      </c>
      <c r="D49" s="435">
        <v>7586.1880000000001</v>
      </c>
      <c r="E49" s="435">
        <v>1.5</v>
      </c>
      <c r="F49" s="215">
        <v>0</v>
      </c>
      <c r="G49" s="215">
        <v>574544</v>
      </c>
    </row>
    <row r="50" spans="1:7">
      <c r="A50" s="926" t="s">
        <v>2416</v>
      </c>
      <c r="B50" s="423" t="s">
        <v>5369</v>
      </c>
      <c r="C50" s="435">
        <v>1.361</v>
      </c>
      <c r="D50" s="435">
        <v>1166.7080000000001</v>
      </c>
      <c r="E50" s="435">
        <v>1.49</v>
      </c>
      <c r="F50" s="215">
        <v>0</v>
      </c>
      <c r="G50" s="215">
        <v>100187</v>
      </c>
    </row>
    <row r="51" spans="1:7">
      <c r="A51" s="926" t="s">
        <v>37</v>
      </c>
      <c r="B51" s="423" t="s">
        <v>4109</v>
      </c>
      <c r="C51" s="435">
        <v>1.34</v>
      </c>
      <c r="D51" s="435">
        <v>4284.0550000000003</v>
      </c>
      <c r="E51" s="435">
        <v>1.5</v>
      </c>
      <c r="F51" s="215">
        <v>0</v>
      </c>
      <c r="G51" s="215">
        <v>100875</v>
      </c>
    </row>
    <row r="52" spans="1:7">
      <c r="A52" s="926" t="s">
        <v>1860</v>
      </c>
      <c r="B52" s="423" t="s">
        <v>3918</v>
      </c>
      <c r="C52" s="435">
        <v>1.37</v>
      </c>
      <c r="D52" s="435">
        <v>13135.353999999999</v>
      </c>
      <c r="E52" s="435">
        <v>1.5</v>
      </c>
      <c r="F52" s="215">
        <v>119525</v>
      </c>
      <c r="G52" s="215">
        <v>401238</v>
      </c>
    </row>
    <row r="53" spans="1:7">
      <c r="A53" s="926" t="s">
        <v>1520</v>
      </c>
      <c r="B53" s="423" t="s">
        <v>1926</v>
      </c>
      <c r="C53" s="435">
        <v>1.37</v>
      </c>
      <c r="D53" s="435">
        <v>10946.233</v>
      </c>
      <c r="E53" s="435">
        <v>1.5</v>
      </c>
      <c r="F53" s="215">
        <v>234980</v>
      </c>
      <c r="G53" s="215">
        <v>225071</v>
      </c>
    </row>
    <row r="54" spans="1:7">
      <c r="A54" s="926" t="s">
        <v>2386</v>
      </c>
      <c r="B54" s="423" t="s">
        <v>379</v>
      </c>
      <c r="C54" s="435">
        <v>1.37</v>
      </c>
      <c r="D54" s="435">
        <v>50958.124000000003</v>
      </c>
      <c r="E54" s="435">
        <v>1.5</v>
      </c>
      <c r="F54" s="215">
        <v>0</v>
      </c>
      <c r="G54" s="215">
        <v>1529641</v>
      </c>
    </row>
    <row r="55" spans="1:7">
      <c r="A55" s="926" t="s">
        <v>2403</v>
      </c>
      <c r="B55" s="423" t="s">
        <v>2347</v>
      </c>
      <c r="C55" s="435">
        <v>1.37</v>
      </c>
      <c r="D55" s="435">
        <v>8813.884</v>
      </c>
      <c r="E55" s="435">
        <v>1.5</v>
      </c>
      <c r="F55" s="215">
        <v>0</v>
      </c>
      <c r="G55" s="215">
        <v>223573</v>
      </c>
    </row>
    <row r="56" spans="1:7">
      <c r="A56" s="926" t="s">
        <v>2402</v>
      </c>
      <c r="B56" s="423" t="s">
        <v>2346</v>
      </c>
      <c r="C56" s="435">
        <v>1.37</v>
      </c>
      <c r="D56" s="435">
        <v>3131.9470000000001</v>
      </c>
      <c r="E56" s="435">
        <v>1.5</v>
      </c>
      <c r="F56" s="215">
        <v>0</v>
      </c>
      <c r="G56" s="215">
        <v>477925</v>
      </c>
    </row>
    <row r="57" spans="1:7">
      <c r="A57" s="926" t="s">
        <v>6183</v>
      </c>
      <c r="B57" s="423" t="s">
        <v>1937</v>
      </c>
      <c r="C57" s="435">
        <v>1.36</v>
      </c>
      <c r="D57" s="435">
        <v>55865.985999999997</v>
      </c>
      <c r="E57" s="435">
        <v>1.5</v>
      </c>
      <c r="F57" s="215">
        <v>867725</v>
      </c>
      <c r="G57" s="215">
        <v>3032287</v>
      </c>
    </row>
    <row r="58" spans="1:7">
      <c r="A58" s="926" t="s">
        <v>1517</v>
      </c>
      <c r="B58" s="423" t="s">
        <v>3013</v>
      </c>
      <c r="C58" s="435">
        <v>1.37</v>
      </c>
      <c r="D58" s="435">
        <v>7599.9870000000001</v>
      </c>
      <c r="E58" s="435">
        <v>1.5</v>
      </c>
      <c r="F58" s="215">
        <v>139955</v>
      </c>
      <c r="G58" s="215">
        <v>970979</v>
      </c>
    </row>
    <row r="59" spans="1:7">
      <c r="A59" s="926" t="s">
        <v>3082</v>
      </c>
      <c r="B59" s="423" t="s">
        <v>2349</v>
      </c>
      <c r="C59" s="435">
        <v>1.37</v>
      </c>
      <c r="D59" s="435">
        <v>9362.0380000000005</v>
      </c>
      <c r="E59" s="435">
        <v>1.5</v>
      </c>
      <c r="F59" s="215">
        <v>123933</v>
      </c>
      <c r="G59" s="215">
        <v>1183388</v>
      </c>
    </row>
    <row r="60" spans="1:7">
      <c r="A60" s="926" t="s">
        <v>6185</v>
      </c>
      <c r="B60" s="423" t="s">
        <v>1939</v>
      </c>
      <c r="C60" s="435">
        <v>1.33</v>
      </c>
      <c r="D60" s="435">
        <v>73363.899000000005</v>
      </c>
      <c r="E60" s="435">
        <v>1.5</v>
      </c>
      <c r="F60" s="215">
        <v>897813</v>
      </c>
      <c r="G60" s="215">
        <v>5657567</v>
      </c>
    </row>
    <row r="61" spans="1:7">
      <c r="A61" s="926" t="s">
        <v>6026</v>
      </c>
      <c r="B61" s="423" t="s">
        <v>1911</v>
      </c>
      <c r="C61" s="435">
        <v>1.37</v>
      </c>
      <c r="D61" s="435">
        <v>18035.715</v>
      </c>
      <c r="E61" s="435">
        <v>1.5</v>
      </c>
      <c r="F61" s="215">
        <v>405959</v>
      </c>
      <c r="G61" s="215">
        <v>1666040</v>
      </c>
    </row>
    <row r="62" spans="1:7">
      <c r="A62" s="926" t="s">
        <v>2404</v>
      </c>
      <c r="B62" s="423" t="s">
        <v>2348</v>
      </c>
      <c r="C62" s="435">
        <v>1.37</v>
      </c>
      <c r="D62" s="435">
        <v>4507.3130000000001</v>
      </c>
      <c r="E62" s="435">
        <v>1.5</v>
      </c>
      <c r="F62" s="215">
        <v>54675</v>
      </c>
      <c r="G62" s="215">
        <v>579404</v>
      </c>
    </row>
    <row r="63" spans="1:7">
      <c r="A63" s="926" t="s">
        <v>45</v>
      </c>
      <c r="B63" s="423" t="s">
        <v>4113</v>
      </c>
      <c r="C63" s="435">
        <v>1.2547999999999999</v>
      </c>
      <c r="D63" s="435">
        <v>651.00099999999998</v>
      </c>
      <c r="E63" s="435">
        <v>1.3701000000000001</v>
      </c>
      <c r="F63" s="215">
        <v>0</v>
      </c>
      <c r="G63" s="215">
        <v>90042</v>
      </c>
    </row>
    <row r="64" spans="1:7">
      <c r="A64" s="926" t="s">
        <v>952</v>
      </c>
      <c r="B64" s="423" t="s">
        <v>7657</v>
      </c>
      <c r="C64" s="435">
        <v>1.282</v>
      </c>
      <c r="D64" s="435">
        <v>937.98299999999995</v>
      </c>
      <c r="E64" s="435">
        <v>1.2542</v>
      </c>
      <c r="F64" s="215">
        <v>0</v>
      </c>
      <c r="G64" s="215">
        <v>92700</v>
      </c>
    </row>
    <row r="65" spans="1:7">
      <c r="A65" s="926" t="s">
        <v>47</v>
      </c>
      <c r="B65" s="423" t="s">
        <v>4114</v>
      </c>
      <c r="C65" s="435">
        <v>1.3168</v>
      </c>
      <c r="D65" s="435">
        <v>156.572</v>
      </c>
      <c r="E65" s="435">
        <v>1.44</v>
      </c>
      <c r="F65" s="215">
        <v>0</v>
      </c>
      <c r="G65" s="215">
        <v>58592</v>
      </c>
    </row>
    <row r="66" spans="1:7">
      <c r="A66" s="926" t="s">
        <v>740</v>
      </c>
      <c r="B66" s="423" t="s">
        <v>6115</v>
      </c>
      <c r="C66" s="435">
        <v>1.3046</v>
      </c>
      <c r="D66" s="435">
        <v>1125.451</v>
      </c>
      <c r="E66" s="435">
        <v>1.4261999999999999</v>
      </c>
      <c r="F66" s="215">
        <v>0</v>
      </c>
      <c r="G66" s="215">
        <v>113287</v>
      </c>
    </row>
    <row r="67" spans="1:7">
      <c r="A67" s="926" t="s">
        <v>49</v>
      </c>
      <c r="B67" s="423" t="s">
        <v>4115</v>
      </c>
      <c r="C67" s="435">
        <v>1.2291000000000001</v>
      </c>
      <c r="D67" s="435">
        <v>504.36700000000002</v>
      </c>
      <c r="E67" s="435">
        <v>1.2291000000000001</v>
      </c>
      <c r="F67" s="215">
        <v>0</v>
      </c>
      <c r="G67" s="215">
        <v>32793</v>
      </c>
    </row>
    <row r="68" spans="1:7">
      <c r="A68" s="926" t="s">
        <v>1337</v>
      </c>
      <c r="B68" s="423" t="s">
        <v>4116</v>
      </c>
      <c r="C68" s="435">
        <v>1.3433999999999999</v>
      </c>
      <c r="D68" s="435">
        <v>152.696</v>
      </c>
      <c r="E68" s="435">
        <v>1.47</v>
      </c>
      <c r="F68" s="215">
        <v>0</v>
      </c>
      <c r="G68" s="215">
        <v>16110</v>
      </c>
    </row>
    <row r="69" spans="1:7">
      <c r="A69" s="926" t="s">
        <v>1339</v>
      </c>
      <c r="B69" s="423" t="s">
        <v>4117</v>
      </c>
      <c r="C69" s="435">
        <v>1.35</v>
      </c>
      <c r="D69" s="435">
        <v>587.41200000000003</v>
      </c>
      <c r="E69" s="435">
        <v>1.5</v>
      </c>
      <c r="F69" s="215">
        <v>0</v>
      </c>
      <c r="G69" s="215">
        <v>92348</v>
      </c>
    </row>
    <row r="70" spans="1:7">
      <c r="A70" s="926" t="s">
        <v>2474</v>
      </c>
      <c r="B70" s="423" t="s">
        <v>329</v>
      </c>
      <c r="C70" s="435">
        <v>1.0597000000000001</v>
      </c>
      <c r="D70" s="435">
        <v>225.476</v>
      </c>
      <c r="E70" s="435">
        <v>1.1499999999999999</v>
      </c>
      <c r="F70" s="215">
        <v>0</v>
      </c>
      <c r="G70" s="215">
        <v>0</v>
      </c>
    </row>
    <row r="71" spans="1:7">
      <c r="A71" s="926" t="s">
        <v>1341</v>
      </c>
      <c r="B71" s="423" t="s">
        <v>1663</v>
      </c>
      <c r="C71" s="435">
        <v>1.3069999999999999</v>
      </c>
      <c r="D71" s="435">
        <v>135.31800000000001</v>
      </c>
      <c r="E71" s="435">
        <v>1.4291</v>
      </c>
      <c r="F71" s="215">
        <v>0</v>
      </c>
      <c r="G71" s="215">
        <v>41668</v>
      </c>
    </row>
    <row r="72" spans="1:7">
      <c r="A72" s="926" t="s">
        <v>1343</v>
      </c>
      <c r="B72" s="423" t="s">
        <v>1664</v>
      </c>
      <c r="C72" s="435">
        <v>1.35</v>
      </c>
      <c r="D72" s="435">
        <v>266.93799999999999</v>
      </c>
      <c r="E72" s="435">
        <v>1.48</v>
      </c>
      <c r="F72" s="215">
        <v>0</v>
      </c>
      <c r="G72" s="215">
        <v>58744</v>
      </c>
    </row>
    <row r="73" spans="1:7">
      <c r="A73" s="926" t="s">
        <v>1345</v>
      </c>
      <c r="B73" s="423" t="s">
        <v>885</v>
      </c>
      <c r="C73" s="435">
        <v>1.33</v>
      </c>
      <c r="D73" s="435">
        <v>93.591999999999999</v>
      </c>
      <c r="E73" s="435">
        <v>1.46</v>
      </c>
      <c r="F73" s="215">
        <v>0</v>
      </c>
      <c r="G73" s="215">
        <v>20891</v>
      </c>
    </row>
    <row r="74" spans="1:7">
      <c r="A74" s="926" t="s">
        <v>963</v>
      </c>
      <c r="B74" s="423" t="s">
        <v>996</v>
      </c>
      <c r="C74" s="435">
        <v>1.37</v>
      </c>
      <c r="D74" s="435">
        <v>812.20699999999999</v>
      </c>
      <c r="E74" s="435">
        <v>1.5</v>
      </c>
      <c r="F74" s="215">
        <v>0</v>
      </c>
      <c r="G74" s="215">
        <v>0</v>
      </c>
    </row>
    <row r="75" spans="1:7">
      <c r="A75" s="926" t="s">
        <v>3083</v>
      </c>
      <c r="B75" s="423" t="s">
        <v>3850</v>
      </c>
      <c r="C75" s="435">
        <v>1.29</v>
      </c>
      <c r="D75" s="435">
        <v>981.18600000000004</v>
      </c>
      <c r="E75" s="435">
        <v>1.41</v>
      </c>
      <c r="F75" s="215">
        <v>0</v>
      </c>
      <c r="G75" s="215">
        <v>0</v>
      </c>
    </row>
    <row r="76" spans="1:7">
      <c r="A76" s="926" t="s">
        <v>2568</v>
      </c>
      <c r="B76" s="423" t="s">
        <v>6070</v>
      </c>
      <c r="C76" s="435">
        <v>1.242</v>
      </c>
      <c r="D76" s="435">
        <v>442.66199999999998</v>
      </c>
      <c r="E76" s="435">
        <v>1.3545</v>
      </c>
      <c r="F76" s="215">
        <v>0</v>
      </c>
      <c r="G76" s="215">
        <v>22118</v>
      </c>
    </row>
    <row r="77" spans="1:7">
      <c r="A77" s="926" t="s">
        <v>1349</v>
      </c>
      <c r="B77" s="423" t="s">
        <v>886</v>
      </c>
      <c r="C77" s="435">
        <v>1.3317000000000001</v>
      </c>
      <c r="D77" s="435">
        <v>1304.884</v>
      </c>
      <c r="E77" s="435">
        <v>1.4567000000000001</v>
      </c>
      <c r="F77" s="215">
        <v>0</v>
      </c>
      <c r="G77" s="215">
        <v>114388</v>
      </c>
    </row>
    <row r="78" spans="1:7">
      <c r="A78" s="926" t="s">
        <v>6083</v>
      </c>
      <c r="B78" s="423" t="s">
        <v>887</v>
      </c>
      <c r="C78" s="435">
        <v>1.2561</v>
      </c>
      <c r="D78" s="435">
        <v>1066.759</v>
      </c>
      <c r="E78" s="435">
        <v>1.3714999999999999</v>
      </c>
      <c r="F78" s="215">
        <v>0</v>
      </c>
      <c r="G78" s="215">
        <v>8090</v>
      </c>
    </row>
    <row r="79" spans="1:7">
      <c r="A79" s="926" t="s">
        <v>6085</v>
      </c>
      <c r="B79" s="423" t="s">
        <v>888</v>
      </c>
      <c r="C79" s="435">
        <v>1.46</v>
      </c>
      <c r="D79" s="435">
        <v>5432.09</v>
      </c>
      <c r="E79" s="435">
        <v>1.5</v>
      </c>
      <c r="F79" s="215">
        <v>0</v>
      </c>
      <c r="G79" s="215">
        <v>47530</v>
      </c>
    </row>
    <row r="80" spans="1:7">
      <c r="A80" s="926" t="s">
        <v>1998</v>
      </c>
      <c r="B80" s="423" t="s">
        <v>889</v>
      </c>
      <c r="C80" s="435">
        <v>1.3385</v>
      </c>
      <c r="D80" s="435">
        <v>2584.0819999999999</v>
      </c>
      <c r="E80" s="435">
        <v>1.4644999999999999</v>
      </c>
      <c r="F80" s="215">
        <v>0</v>
      </c>
      <c r="G80" s="215">
        <v>22289</v>
      </c>
    </row>
    <row r="81" spans="1:7">
      <c r="A81" s="926" t="s">
        <v>2570</v>
      </c>
      <c r="B81" s="423" t="s">
        <v>1467</v>
      </c>
      <c r="C81" s="435">
        <v>1.2130000000000001</v>
      </c>
      <c r="D81" s="435">
        <v>551.06399999999996</v>
      </c>
      <c r="E81" s="435">
        <v>1.3229</v>
      </c>
      <c r="F81" s="215">
        <v>0</v>
      </c>
      <c r="G81" s="215">
        <v>0</v>
      </c>
    </row>
    <row r="82" spans="1:7">
      <c r="A82" s="926" t="s">
        <v>4076</v>
      </c>
      <c r="B82" s="423" t="s">
        <v>6061</v>
      </c>
      <c r="C82" s="435">
        <v>1.3069999999999999</v>
      </c>
      <c r="D82" s="435">
        <v>116.235</v>
      </c>
      <c r="E82" s="435">
        <v>1.43</v>
      </c>
      <c r="F82" s="215">
        <v>0</v>
      </c>
      <c r="G82" s="215">
        <v>0</v>
      </c>
    </row>
    <row r="83" spans="1:7">
      <c r="A83" s="926" t="s">
        <v>1963</v>
      </c>
      <c r="B83" s="423" t="s">
        <v>890</v>
      </c>
      <c r="C83" s="435">
        <v>0.89700000000000002</v>
      </c>
      <c r="D83" s="435">
        <v>382.59199999999998</v>
      </c>
      <c r="E83" s="435">
        <v>0.96640000000000004</v>
      </c>
      <c r="F83" s="215">
        <v>0</v>
      </c>
      <c r="G83" s="215">
        <v>0</v>
      </c>
    </row>
    <row r="84" spans="1:7">
      <c r="A84" s="926" t="s">
        <v>2000</v>
      </c>
      <c r="B84" s="423" t="s">
        <v>891</v>
      </c>
      <c r="C84" s="435">
        <v>1.3419000000000001</v>
      </c>
      <c r="D84" s="435">
        <v>1912.0319999999999</v>
      </c>
      <c r="E84" s="435">
        <v>1.4694</v>
      </c>
      <c r="F84" s="215">
        <v>0</v>
      </c>
      <c r="G84" s="215">
        <v>25081</v>
      </c>
    </row>
    <row r="85" spans="1:7">
      <c r="A85" s="926" t="s">
        <v>2002</v>
      </c>
      <c r="B85" s="423" t="s">
        <v>3852</v>
      </c>
      <c r="C85" s="435">
        <v>1.3340000000000001</v>
      </c>
      <c r="D85" s="435">
        <v>82.659000000000006</v>
      </c>
      <c r="E85" s="435">
        <v>1.46</v>
      </c>
      <c r="F85" s="215">
        <v>0</v>
      </c>
      <c r="G85" s="215">
        <v>0</v>
      </c>
    </row>
    <row r="86" spans="1:7">
      <c r="A86" s="926" t="s">
        <v>1964</v>
      </c>
      <c r="B86" s="423" t="s">
        <v>892</v>
      </c>
      <c r="C86" s="435">
        <v>1.2902</v>
      </c>
      <c r="D86" s="435">
        <v>103.56100000000001</v>
      </c>
      <c r="E86" s="435">
        <v>1.41</v>
      </c>
      <c r="F86" s="215">
        <v>0</v>
      </c>
      <c r="G86" s="215">
        <v>0</v>
      </c>
    </row>
    <row r="87" spans="1:7">
      <c r="A87" s="926" t="s">
        <v>2136</v>
      </c>
      <c r="B87" s="423" t="s">
        <v>7679</v>
      </c>
      <c r="C87" s="435">
        <v>1.3177000000000001</v>
      </c>
      <c r="D87" s="435">
        <v>12294.741</v>
      </c>
      <c r="E87" s="435">
        <v>1.4410000000000001</v>
      </c>
      <c r="F87" s="215">
        <v>0</v>
      </c>
      <c r="G87" s="215">
        <v>1320159</v>
      </c>
    </row>
    <row r="88" spans="1:7">
      <c r="A88" s="926" t="s">
        <v>2966</v>
      </c>
      <c r="B88" s="423" t="s">
        <v>893</v>
      </c>
      <c r="C88" s="435">
        <v>1.2947</v>
      </c>
      <c r="D88" s="435">
        <v>5932.7849999999999</v>
      </c>
      <c r="E88" s="435">
        <v>1.4151</v>
      </c>
      <c r="F88" s="215">
        <v>0</v>
      </c>
      <c r="G88" s="215">
        <v>523941</v>
      </c>
    </row>
    <row r="89" spans="1:7">
      <c r="A89" s="926" t="s">
        <v>3084</v>
      </c>
      <c r="B89" s="423" t="s">
        <v>992</v>
      </c>
      <c r="C89" s="435">
        <v>1.333</v>
      </c>
      <c r="D89" s="435">
        <v>717.17</v>
      </c>
      <c r="E89" s="435">
        <v>1.4582999999999999</v>
      </c>
      <c r="F89" s="215">
        <v>0</v>
      </c>
      <c r="G89" s="215">
        <v>36201</v>
      </c>
    </row>
    <row r="90" spans="1:7">
      <c r="A90" s="926" t="s">
        <v>6252</v>
      </c>
      <c r="B90" s="423" t="s">
        <v>1571</v>
      </c>
      <c r="C90" s="435">
        <v>1.2282</v>
      </c>
      <c r="D90" s="435">
        <v>12226.07</v>
      </c>
      <c r="E90" s="435">
        <v>1.3626</v>
      </c>
      <c r="F90" s="215">
        <v>0</v>
      </c>
      <c r="G90" s="215">
        <v>474052</v>
      </c>
    </row>
    <row r="91" spans="1:7">
      <c r="A91" s="926" t="s">
        <v>6254</v>
      </c>
      <c r="B91" s="423" t="s">
        <v>1572</v>
      </c>
      <c r="C91" s="435">
        <v>1.37</v>
      </c>
      <c r="D91" s="435">
        <v>1959.51</v>
      </c>
      <c r="E91" s="435">
        <v>1.5</v>
      </c>
      <c r="F91" s="215">
        <v>0</v>
      </c>
      <c r="G91" s="215">
        <v>217450</v>
      </c>
    </row>
    <row r="92" spans="1:7">
      <c r="A92" s="926" t="s">
        <v>233</v>
      </c>
      <c r="B92" s="423" t="s">
        <v>2640</v>
      </c>
      <c r="C92" s="435">
        <v>1.37</v>
      </c>
      <c r="D92" s="435">
        <v>2873.1550000000002</v>
      </c>
      <c r="E92" s="435">
        <v>1.5</v>
      </c>
      <c r="F92" s="215">
        <v>178679</v>
      </c>
      <c r="G92" s="215">
        <v>302526</v>
      </c>
    </row>
    <row r="93" spans="1:7">
      <c r="A93" s="926" t="s">
        <v>6195</v>
      </c>
      <c r="B93" s="423" t="s">
        <v>5293</v>
      </c>
      <c r="C93" s="435">
        <v>1.37</v>
      </c>
      <c r="D93" s="435">
        <v>14626.93</v>
      </c>
      <c r="E93" s="435">
        <v>1.5</v>
      </c>
      <c r="F93" s="215">
        <v>0</v>
      </c>
      <c r="G93" s="215">
        <v>1566037</v>
      </c>
    </row>
    <row r="94" spans="1:7">
      <c r="A94" s="926" t="s">
        <v>6256</v>
      </c>
      <c r="B94" s="423" t="s">
        <v>1573</v>
      </c>
      <c r="C94" s="435">
        <v>1.2990999999999999</v>
      </c>
      <c r="D94" s="435">
        <v>148.18</v>
      </c>
      <c r="E94" s="435">
        <v>1.42</v>
      </c>
      <c r="F94" s="215">
        <v>0</v>
      </c>
      <c r="G94" s="215">
        <v>32405</v>
      </c>
    </row>
    <row r="95" spans="1:7">
      <c r="A95" s="926" t="s">
        <v>743</v>
      </c>
      <c r="B95" s="423" t="s">
        <v>6119</v>
      </c>
      <c r="C95" s="435">
        <v>1.33</v>
      </c>
      <c r="D95" s="435">
        <v>8205.3719999999994</v>
      </c>
      <c r="E95" s="435">
        <v>1.5</v>
      </c>
      <c r="F95" s="215">
        <v>144358</v>
      </c>
      <c r="G95" s="215">
        <v>417980</v>
      </c>
    </row>
    <row r="96" spans="1:7">
      <c r="A96" s="926" t="s">
        <v>960</v>
      </c>
      <c r="B96" s="423" t="s">
        <v>2143</v>
      </c>
      <c r="C96" s="435">
        <v>1.37</v>
      </c>
      <c r="D96" s="435">
        <v>13486.073</v>
      </c>
      <c r="E96" s="435">
        <v>1.5</v>
      </c>
      <c r="F96" s="215">
        <v>0</v>
      </c>
      <c r="G96" s="215">
        <v>1124495</v>
      </c>
    </row>
    <row r="97" spans="1:7">
      <c r="A97" s="926" t="s">
        <v>6260</v>
      </c>
      <c r="B97" s="423" t="s">
        <v>107</v>
      </c>
      <c r="C97" s="435">
        <v>1.19</v>
      </c>
      <c r="D97" s="435">
        <v>174.68700000000001</v>
      </c>
      <c r="E97" s="435">
        <v>1.3</v>
      </c>
      <c r="F97" s="215">
        <v>0</v>
      </c>
      <c r="G97" s="215">
        <v>132789</v>
      </c>
    </row>
    <row r="98" spans="1:7">
      <c r="A98" s="926" t="s">
        <v>6262</v>
      </c>
      <c r="B98" s="423" t="s">
        <v>108</v>
      </c>
      <c r="C98" s="435">
        <v>1.37</v>
      </c>
      <c r="D98" s="435">
        <v>939.49400000000003</v>
      </c>
      <c r="E98" s="435">
        <v>1.5</v>
      </c>
      <c r="F98" s="215">
        <v>0</v>
      </c>
      <c r="G98" s="215">
        <v>50831</v>
      </c>
    </row>
    <row r="99" spans="1:7">
      <c r="A99" s="926" t="s">
        <v>6264</v>
      </c>
      <c r="B99" s="423" t="s">
        <v>3792</v>
      </c>
      <c r="C99" s="435">
        <v>1.37</v>
      </c>
      <c r="D99" s="435">
        <v>57.533999999999999</v>
      </c>
      <c r="E99" s="435">
        <v>1.5</v>
      </c>
      <c r="F99" s="215">
        <v>0</v>
      </c>
      <c r="G99" s="215">
        <v>0</v>
      </c>
    </row>
    <row r="100" spans="1:7">
      <c r="A100" s="926" t="s">
        <v>6266</v>
      </c>
      <c r="B100" s="423" t="s">
        <v>3793</v>
      </c>
      <c r="C100" s="435">
        <v>1.1306</v>
      </c>
      <c r="D100" s="435">
        <v>17.55</v>
      </c>
      <c r="E100" s="435">
        <v>1.23</v>
      </c>
      <c r="F100" s="215">
        <v>0</v>
      </c>
      <c r="G100" s="215">
        <v>2448</v>
      </c>
    </row>
    <row r="101" spans="1:7">
      <c r="A101" s="926" t="s">
        <v>6268</v>
      </c>
      <c r="B101" s="423" t="s">
        <v>3794</v>
      </c>
      <c r="C101" s="435">
        <v>1.2459</v>
      </c>
      <c r="D101" s="435">
        <v>201.93100000000001</v>
      </c>
      <c r="E101" s="435">
        <v>1.36</v>
      </c>
      <c r="F101" s="215">
        <v>0</v>
      </c>
      <c r="G101" s="215">
        <v>36891</v>
      </c>
    </row>
    <row r="102" spans="1:7">
      <c r="A102" s="926" t="s">
        <v>6270</v>
      </c>
      <c r="B102" s="423" t="s">
        <v>3795</v>
      </c>
      <c r="C102" s="435">
        <v>1.2761</v>
      </c>
      <c r="D102" s="435">
        <v>1485.432</v>
      </c>
      <c r="E102" s="435">
        <v>1.3937999999999999</v>
      </c>
      <c r="F102" s="215">
        <v>0</v>
      </c>
      <c r="G102" s="215">
        <v>110964</v>
      </c>
    </row>
    <row r="103" spans="1:7">
      <c r="A103" s="926" t="s">
        <v>6272</v>
      </c>
      <c r="B103" s="423" t="s">
        <v>3796</v>
      </c>
      <c r="C103" s="435">
        <v>1.3048</v>
      </c>
      <c r="D103" s="435">
        <v>1076.7829999999999</v>
      </c>
      <c r="E103" s="435">
        <v>1.4265000000000001</v>
      </c>
      <c r="F103" s="215">
        <v>0</v>
      </c>
      <c r="G103" s="215">
        <v>134090</v>
      </c>
    </row>
    <row r="104" spans="1:7">
      <c r="A104" s="926" t="s">
        <v>2291</v>
      </c>
      <c r="B104" s="423" t="s">
        <v>3797</v>
      </c>
      <c r="C104" s="435">
        <v>1.3345</v>
      </c>
      <c r="D104" s="435">
        <v>3259.875</v>
      </c>
      <c r="E104" s="435">
        <v>1.46</v>
      </c>
      <c r="F104" s="215">
        <v>0</v>
      </c>
      <c r="G104" s="215">
        <v>139880</v>
      </c>
    </row>
    <row r="105" spans="1:7">
      <c r="A105" s="926" t="s">
        <v>954</v>
      </c>
      <c r="B105" s="423" t="s">
        <v>7659</v>
      </c>
      <c r="C105" s="435">
        <v>1.37</v>
      </c>
      <c r="D105" s="435">
        <v>227.637</v>
      </c>
      <c r="E105" s="435">
        <v>1.5</v>
      </c>
      <c r="F105" s="215">
        <v>0</v>
      </c>
      <c r="G105" s="215">
        <v>37875</v>
      </c>
    </row>
    <row r="106" spans="1:7">
      <c r="A106" s="926" t="s">
        <v>6166</v>
      </c>
      <c r="B106" s="423" t="s">
        <v>6071</v>
      </c>
      <c r="C106" s="435">
        <v>1.2148000000000001</v>
      </c>
      <c r="D106" s="435">
        <v>253.77099999999999</v>
      </c>
      <c r="E106" s="435">
        <v>1.325</v>
      </c>
      <c r="F106" s="215">
        <v>0</v>
      </c>
      <c r="G106" s="215">
        <v>43513</v>
      </c>
    </row>
    <row r="107" spans="1:7">
      <c r="A107" s="926" t="s">
        <v>864</v>
      </c>
      <c r="B107" s="423" t="s">
        <v>2011</v>
      </c>
      <c r="C107" s="435">
        <v>1.2592000000000001</v>
      </c>
      <c r="D107" s="435">
        <v>181.179</v>
      </c>
      <c r="E107" s="435">
        <v>1.375</v>
      </c>
      <c r="F107" s="215">
        <v>0</v>
      </c>
      <c r="G107" s="215">
        <v>19275</v>
      </c>
    </row>
    <row r="108" spans="1:7">
      <c r="A108" s="926" t="s">
        <v>3085</v>
      </c>
      <c r="B108" s="423" t="s">
        <v>2141</v>
      </c>
      <c r="C108" s="435">
        <v>1.37</v>
      </c>
      <c r="D108" s="435">
        <v>206.68899999999999</v>
      </c>
      <c r="E108" s="435">
        <v>1.5</v>
      </c>
      <c r="F108" s="215">
        <v>0</v>
      </c>
      <c r="G108" s="215">
        <v>23085</v>
      </c>
    </row>
    <row r="109" spans="1:7">
      <c r="A109" s="926" t="s">
        <v>1518</v>
      </c>
      <c r="B109" s="423" t="s">
        <v>3012</v>
      </c>
      <c r="C109" s="435">
        <v>1.3280000000000001</v>
      </c>
      <c r="D109" s="435">
        <v>1264.2819999999999</v>
      </c>
      <c r="E109" s="435">
        <v>1.4530000000000001</v>
      </c>
      <c r="F109" s="215">
        <v>0</v>
      </c>
      <c r="G109" s="215">
        <v>66845</v>
      </c>
    </row>
    <row r="110" spans="1:7">
      <c r="A110" s="926" t="s">
        <v>2293</v>
      </c>
      <c r="B110" s="423" t="s">
        <v>3798</v>
      </c>
      <c r="C110" s="435">
        <v>1.37</v>
      </c>
      <c r="D110" s="435">
        <v>1790.16</v>
      </c>
      <c r="E110" s="435">
        <v>1.5</v>
      </c>
      <c r="F110" s="215">
        <v>0</v>
      </c>
      <c r="G110" s="215">
        <v>221189</v>
      </c>
    </row>
    <row r="111" spans="1:7">
      <c r="A111" s="926" t="s">
        <v>2295</v>
      </c>
      <c r="B111" s="423" t="s">
        <v>3799</v>
      </c>
      <c r="C111" s="435">
        <v>1.36</v>
      </c>
      <c r="D111" s="435">
        <v>582.31100000000004</v>
      </c>
      <c r="E111" s="435">
        <v>1.5</v>
      </c>
      <c r="F111" s="215">
        <v>0</v>
      </c>
      <c r="G111" s="215">
        <v>61160</v>
      </c>
    </row>
    <row r="112" spans="1:7">
      <c r="A112" s="926" t="s">
        <v>2297</v>
      </c>
      <c r="B112" s="423" t="s">
        <v>3800</v>
      </c>
      <c r="C112" s="435">
        <v>1.37</v>
      </c>
      <c r="D112" s="435">
        <v>465.99400000000003</v>
      </c>
      <c r="E112" s="435">
        <v>1.5</v>
      </c>
      <c r="F112" s="215">
        <v>0</v>
      </c>
      <c r="G112" s="215">
        <v>69259</v>
      </c>
    </row>
    <row r="113" spans="1:7">
      <c r="A113" s="926" t="s">
        <v>978</v>
      </c>
      <c r="B113" s="423" t="s">
        <v>2148</v>
      </c>
      <c r="C113" s="435">
        <v>1.3478000000000001</v>
      </c>
      <c r="D113" s="435">
        <v>3026.0189999999998</v>
      </c>
      <c r="E113" s="435">
        <v>1.4750000000000001</v>
      </c>
      <c r="F113" s="215">
        <v>220208</v>
      </c>
      <c r="G113" s="215">
        <v>731604</v>
      </c>
    </row>
    <row r="114" spans="1:7">
      <c r="A114" s="926" t="s">
        <v>3003</v>
      </c>
      <c r="B114" s="423" t="s">
        <v>6063</v>
      </c>
      <c r="C114" s="435">
        <v>1.341</v>
      </c>
      <c r="D114" s="435">
        <v>3614.9839999999999</v>
      </c>
      <c r="E114" s="435">
        <v>1.49</v>
      </c>
      <c r="F114" s="215">
        <v>0</v>
      </c>
      <c r="G114" s="215">
        <v>431068</v>
      </c>
    </row>
    <row r="115" spans="1:7">
      <c r="A115" s="926" t="s">
        <v>2993</v>
      </c>
      <c r="B115" s="423" t="s">
        <v>196</v>
      </c>
      <c r="C115" s="435">
        <v>1.37</v>
      </c>
      <c r="D115" s="435">
        <v>4198.2359999999999</v>
      </c>
      <c r="E115" s="435">
        <v>1.5</v>
      </c>
      <c r="F115" s="215">
        <v>111613</v>
      </c>
      <c r="G115" s="215">
        <v>625263</v>
      </c>
    </row>
    <row r="116" spans="1:7">
      <c r="A116" s="926" t="s">
        <v>518</v>
      </c>
      <c r="B116" s="423" t="s">
        <v>6056</v>
      </c>
      <c r="C116" s="435">
        <v>1.179</v>
      </c>
      <c r="D116" s="435">
        <v>1465.5530000000001</v>
      </c>
      <c r="E116" s="435">
        <v>1.2849999999999999</v>
      </c>
      <c r="F116" s="215">
        <v>0</v>
      </c>
      <c r="G116" s="215">
        <v>81093</v>
      </c>
    </row>
    <row r="117" spans="1:7">
      <c r="A117" s="926" t="s">
        <v>2299</v>
      </c>
      <c r="B117" s="423" t="s">
        <v>3801</v>
      </c>
      <c r="C117" s="435">
        <v>1.1000000000000001</v>
      </c>
      <c r="D117" s="435">
        <v>192.2</v>
      </c>
      <c r="E117" s="435">
        <v>1.2</v>
      </c>
      <c r="F117" s="215">
        <v>0</v>
      </c>
      <c r="G117" s="215">
        <v>12393</v>
      </c>
    </row>
    <row r="118" spans="1:7">
      <c r="A118" s="926" t="s">
        <v>3971</v>
      </c>
      <c r="B118" s="423" t="s">
        <v>3802</v>
      </c>
      <c r="C118" s="435">
        <v>1.2968999999999999</v>
      </c>
      <c r="D118" s="435">
        <v>3969.694</v>
      </c>
      <c r="E118" s="435">
        <v>1.4176</v>
      </c>
      <c r="F118" s="215">
        <v>0</v>
      </c>
      <c r="G118" s="215">
        <v>339223</v>
      </c>
    </row>
    <row r="119" spans="1:7">
      <c r="A119" s="926" t="s">
        <v>2161</v>
      </c>
      <c r="B119" s="423" t="s">
        <v>3803</v>
      </c>
      <c r="C119" s="435">
        <v>1.1282000000000001</v>
      </c>
      <c r="D119" s="435">
        <v>344.55399999999997</v>
      </c>
      <c r="E119" s="435">
        <v>1.2273000000000001</v>
      </c>
      <c r="F119" s="215">
        <v>0</v>
      </c>
      <c r="G119" s="215">
        <v>66144</v>
      </c>
    </row>
    <row r="120" spans="1:7">
      <c r="A120" s="926" t="s">
        <v>3086</v>
      </c>
      <c r="B120" s="423" t="s">
        <v>6117</v>
      </c>
      <c r="C120" s="435">
        <v>1.37</v>
      </c>
      <c r="D120" s="435">
        <v>1396.32</v>
      </c>
      <c r="E120" s="435">
        <v>1.5</v>
      </c>
      <c r="F120" s="215">
        <v>0</v>
      </c>
      <c r="G120" s="215">
        <v>141936</v>
      </c>
    </row>
    <row r="121" spans="1:7">
      <c r="A121" s="926" t="s">
        <v>2605</v>
      </c>
      <c r="B121" s="423" t="s">
        <v>3804</v>
      </c>
      <c r="C121" s="435">
        <v>1.2477</v>
      </c>
      <c r="D121" s="435">
        <v>315.02999999999997</v>
      </c>
      <c r="E121" s="435">
        <v>1.3620000000000001</v>
      </c>
      <c r="F121" s="215">
        <v>0</v>
      </c>
      <c r="G121" s="215">
        <v>23959</v>
      </c>
    </row>
    <row r="122" spans="1:7">
      <c r="A122" s="926" t="s">
        <v>4181</v>
      </c>
      <c r="B122" s="423" t="s">
        <v>3805</v>
      </c>
      <c r="C122" s="435">
        <v>1.37</v>
      </c>
      <c r="D122" s="435">
        <v>457.048</v>
      </c>
      <c r="E122" s="435">
        <v>1.5</v>
      </c>
      <c r="F122" s="215">
        <v>0</v>
      </c>
      <c r="G122" s="215">
        <v>66523</v>
      </c>
    </row>
    <row r="123" spans="1:7">
      <c r="A123" s="926" t="s">
        <v>959</v>
      </c>
      <c r="B123" s="423" t="s">
        <v>2142</v>
      </c>
      <c r="C123" s="435">
        <v>1.3156000000000001</v>
      </c>
      <c r="D123" s="435">
        <v>44515.707000000002</v>
      </c>
      <c r="E123" s="435">
        <v>1.4387000000000001</v>
      </c>
      <c r="F123" s="215">
        <v>0</v>
      </c>
      <c r="G123" s="215">
        <v>2120105</v>
      </c>
    </row>
    <row r="124" spans="1:7">
      <c r="A124" s="926" t="s">
        <v>1861</v>
      </c>
      <c r="B124" s="423" t="s">
        <v>3919</v>
      </c>
      <c r="C124" s="435">
        <v>1.339</v>
      </c>
      <c r="D124" s="435">
        <v>15602.634</v>
      </c>
      <c r="E124" s="435">
        <v>1.4650000000000001</v>
      </c>
      <c r="F124" s="215">
        <v>178950</v>
      </c>
      <c r="G124" s="215">
        <v>981707</v>
      </c>
    </row>
    <row r="125" spans="1:7">
      <c r="A125" s="926" t="s">
        <v>6037</v>
      </c>
      <c r="B125" s="423" t="s">
        <v>2152</v>
      </c>
      <c r="C125" s="435">
        <v>1.2490000000000001</v>
      </c>
      <c r="D125" s="435">
        <v>2894.3919999999998</v>
      </c>
      <c r="E125" s="435">
        <v>1.3640000000000001</v>
      </c>
      <c r="F125" s="215">
        <v>0</v>
      </c>
      <c r="G125" s="215">
        <v>168101</v>
      </c>
    </row>
    <row r="126" spans="1:7">
      <c r="A126" s="926" t="s">
        <v>2995</v>
      </c>
      <c r="B126" s="423" t="s">
        <v>201</v>
      </c>
      <c r="C126" s="435">
        <v>1.3280000000000001</v>
      </c>
      <c r="D126" s="435">
        <v>7837.71</v>
      </c>
      <c r="E126" s="435">
        <v>1.454</v>
      </c>
      <c r="F126" s="215">
        <v>44863</v>
      </c>
      <c r="G126" s="215">
        <v>1052041</v>
      </c>
    </row>
    <row r="127" spans="1:7">
      <c r="A127" s="926" t="s">
        <v>7643</v>
      </c>
      <c r="B127" s="423" t="s">
        <v>3806</v>
      </c>
      <c r="C127" s="435">
        <v>1.1816</v>
      </c>
      <c r="D127" s="435">
        <v>2361.9899999999998</v>
      </c>
      <c r="E127" s="435">
        <v>1.2875000000000001</v>
      </c>
      <c r="F127" s="215">
        <v>0</v>
      </c>
      <c r="G127" s="215">
        <v>160994</v>
      </c>
    </row>
    <row r="128" spans="1:7">
      <c r="A128" s="926" t="s">
        <v>3087</v>
      </c>
      <c r="B128" s="423" t="s">
        <v>361</v>
      </c>
      <c r="C128" s="435">
        <v>1.34</v>
      </c>
      <c r="D128" s="435">
        <v>2114.8159999999998</v>
      </c>
      <c r="E128" s="435">
        <v>1.47</v>
      </c>
      <c r="F128" s="215">
        <v>0</v>
      </c>
      <c r="G128" s="215">
        <v>228415</v>
      </c>
    </row>
    <row r="129" spans="1:7">
      <c r="A129" s="926" t="s">
        <v>2387</v>
      </c>
      <c r="B129" s="423" t="s">
        <v>380</v>
      </c>
      <c r="C129" s="435">
        <v>1.32</v>
      </c>
      <c r="D129" s="435">
        <v>9631.0329999999994</v>
      </c>
      <c r="E129" s="435">
        <v>1.4450000000000001</v>
      </c>
      <c r="F129" s="215">
        <v>9613</v>
      </c>
      <c r="G129" s="215">
        <v>846472</v>
      </c>
    </row>
    <row r="130" spans="1:7">
      <c r="A130" s="926" t="s">
        <v>3088</v>
      </c>
      <c r="B130" s="423" t="s">
        <v>1459</v>
      </c>
      <c r="C130" s="435">
        <v>1.3701000000000001</v>
      </c>
      <c r="D130" s="435">
        <v>559.76599999999996</v>
      </c>
      <c r="E130" s="435">
        <v>1.5</v>
      </c>
      <c r="F130" s="215">
        <v>0</v>
      </c>
      <c r="G130" s="215">
        <v>66562</v>
      </c>
    </row>
    <row r="131" spans="1:7">
      <c r="A131" s="926" t="s">
        <v>2393</v>
      </c>
      <c r="B131" s="423" t="s">
        <v>1460</v>
      </c>
      <c r="C131" s="435">
        <v>1.33</v>
      </c>
      <c r="D131" s="435">
        <v>1116.127</v>
      </c>
      <c r="E131" s="435">
        <v>1.46</v>
      </c>
      <c r="F131" s="215">
        <v>0</v>
      </c>
      <c r="G131" s="215">
        <v>80732</v>
      </c>
    </row>
    <row r="132" spans="1:7">
      <c r="A132" s="926" t="s">
        <v>7647</v>
      </c>
      <c r="B132" s="423" t="s">
        <v>3807</v>
      </c>
      <c r="C132" s="435">
        <v>1.262</v>
      </c>
      <c r="D132" s="435">
        <v>2266.2849999999999</v>
      </c>
      <c r="E132" s="435">
        <v>1.379</v>
      </c>
      <c r="F132" s="215">
        <v>0</v>
      </c>
      <c r="G132" s="215">
        <v>285727</v>
      </c>
    </row>
    <row r="133" spans="1:7">
      <c r="A133" s="926" t="s">
        <v>7649</v>
      </c>
      <c r="B133" s="423" t="s">
        <v>3808</v>
      </c>
      <c r="C133" s="435">
        <v>1.37</v>
      </c>
      <c r="D133" s="435">
        <v>130.98699999999999</v>
      </c>
      <c r="E133" s="435">
        <v>1.5</v>
      </c>
      <c r="F133" s="215">
        <v>0</v>
      </c>
      <c r="G133" s="215">
        <v>15569</v>
      </c>
    </row>
    <row r="134" spans="1:7">
      <c r="A134" s="926" t="s">
        <v>1786</v>
      </c>
      <c r="B134" s="423" t="s">
        <v>3809</v>
      </c>
      <c r="C134" s="435">
        <v>1.363</v>
      </c>
      <c r="D134" s="435">
        <v>665.78099999999995</v>
      </c>
      <c r="E134" s="435">
        <v>1.5</v>
      </c>
      <c r="F134" s="215">
        <v>0</v>
      </c>
      <c r="G134" s="215">
        <v>73229</v>
      </c>
    </row>
    <row r="135" spans="1:7">
      <c r="A135" s="926" t="s">
        <v>1788</v>
      </c>
      <c r="B135" s="423" t="s">
        <v>6208</v>
      </c>
      <c r="C135" s="435">
        <v>1.36</v>
      </c>
      <c r="D135" s="435">
        <v>387.39</v>
      </c>
      <c r="E135" s="435">
        <v>1.49</v>
      </c>
      <c r="F135" s="215">
        <v>0</v>
      </c>
      <c r="G135" s="215">
        <v>23856</v>
      </c>
    </row>
    <row r="136" spans="1:7">
      <c r="A136" s="926" t="s">
        <v>1790</v>
      </c>
      <c r="B136" s="423" t="s">
        <v>6209</v>
      </c>
      <c r="C136" s="435">
        <v>1.3488</v>
      </c>
      <c r="D136" s="435">
        <v>1815.82</v>
      </c>
      <c r="E136" s="435">
        <v>1.476</v>
      </c>
      <c r="F136" s="215">
        <v>0</v>
      </c>
      <c r="G136" s="215">
        <v>252137</v>
      </c>
    </row>
    <row r="137" spans="1:7">
      <c r="A137" s="926" t="s">
        <v>1792</v>
      </c>
      <c r="B137" s="423" t="s">
        <v>6210</v>
      </c>
      <c r="C137" s="435">
        <v>1.37</v>
      </c>
      <c r="D137" s="435">
        <v>147.71</v>
      </c>
      <c r="E137" s="435">
        <v>1.5</v>
      </c>
      <c r="F137" s="215">
        <v>0</v>
      </c>
      <c r="G137" s="215">
        <v>14576</v>
      </c>
    </row>
    <row r="138" spans="1:7">
      <c r="A138" s="926" t="s">
        <v>2982</v>
      </c>
      <c r="B138" s="423" t="s">
        <v>6211</v>
      </c>
      <c r="C138" s="435">
        <v>1.34</v>
      </c>
      <c r="D138" s="435">
        <v>893.51700000000005</v>
      </c>
      <c r="E138" s="435">
        <v>1.47</v>
      </c>
      <c r="F138" s="215">
        <v>0</v>
      </c>
      <c r="G138" s="215">
        <v>63064</v>
      </c>
    </row>
    <row r="139" spans="1:7">
      <c r="A139" s="926" t="s">
        <v>2984</v>
      </c>
      <c r="B139" s="423" t="s">
        <v>3813</v>
      </c>
      <c r="C139" s="435">
        <v>1.35</v>
      </c>
      <c r="D139" s="435">
        <v>807.68</v>
      </c>
      <c r="E139" s="435">
        <v>1.48</v>
      </c>
      <c r="F139" s="215">
        <v>0</v>
      </c>
      <c r="G139" s="215">
        <v>139651</v>
      </c>
    </row>
    <row r="140" spans="1:7">
      <c r="A140" s="926" t="s">
        <v>965</v>
      </c>
      <c r="B140" s="423" t="s">
        <v>6077</v>
      </c>
      <c r="C140" s="435">
        <v>1.2774000000000001</v>
      </c>
      <c r="D140" s="435">
        <v>405.68400000000003</v>
      </c>
      <c r="E140" s="435">
        <v>1.3955</v>
      </c>
      <c r="F140" s="215">
        <v>0</v>
      </c>
      <c r="G140" s="215">
        <v>23187</v>
      </c>
    </row>
    <row r="141" spans="1:7">
      <c r="A141" s="926" t="s">
        <v>6704</v>
      </c>
      <c r="B141" s="423" t="s">
        <v>3814</v>
      </c>
      <c r="C141" s="435">
        <v>1.33</v>
      </c>
      <c r="D141" s="435">
        <v>1024.83</v>
      </c>
      <c r="E141" s="435">
        <v>1.5</v>
      </c>
      <c r="F141" s="215">
        <v>0</v>
      </c>
      <c r="G141" s="215">
        <v>119028</v>
      </c>
    </row>
    <row r="142" spans="1:7">
      <c r="A142" s="926" t="s">
        <v>6706</v>
      </c>
      <c r="B142" s="423" t="s">
        <v>3815</v>
      </c>
      <c r="C142" s="435">
        <v>1.2690999999999999</v>
      </c>
      <c r="D142" s="435">
        <v>40.523000000000003</v>
      </c>
      <c r="E142" s="435">
        <v>1.3862000000000001</v>
      </c>
      <c r="F142" s="215">
        <v>0</v>
      </c>
      <c r="G142" s="215">
        <v>36057</v>
      </c>
    </row>
    <row r="143" spans="1:7">
      <c r="A143" s="926" t="s">
        <v>690</v>
      </c>
      <c r="B143" s="423" t="s">
        <v>3816</v>
      </c>
      <c r="C143" s="435">
        <v>1.5</v>
      </c>
      <c r="D143" s="435">
        <v>235.38399999999999</v>
      </c>
      <c r="E143" s="435">
        <v>1.5</v>
      </c>
      <c r="F143" s="215">
        <v>0</v>
      </c>
      <c r="G143" s="215">
        <v>15364</v>
      </c>
    </row>
    <row r="144" spans="1:7">
      <c r="A144" s="926" t="s">
        <v>692</v>
      </c>
      <c r="B144" s="423" t="s">
        <v>3817</v>
      </c>
      <c r="C144" s="435">
        <v>1.37</v>
      </c>
      <c r="D144" s="435">
        <v>1047.4770000000001</v>
      </c>
      <c r="E144" s="435">
        <v>1.5</v>
      </c>
      <c r="F144" s="215">
        <v>0</v>
      </c>
      <c r="G144" s="215">
        <v>75132</v>
      </c>
    </row>
    <row r="145" spans="1:7">
      <c r="A145" s="926" t="s">
        <v>895</v>
      </c>
      <c r="B145" s="423" t="s">
        <v>3818</v>
      </c>
      <c r="C145" s="435">
        <v>1.325</v>
      </c>
      <c r="D145" s="435">
        <v>321.25200000000001</v>
      </c>
      <c r="E145" s="435">
        <v>1.45</v>
      </c>
      <c r="F145" s="215">
        <v>0</v>
      </c>
      <c r="G145" s="215">
        <v>13814</v>
      </c>
    </row>
    <row r="146" spans="1:7">
      <c r="A146" s="926" t="s">
        <v>6177</v>
      </c>
      <c r="B146" s="423" t="s">
        <v>506</v>
      </c>
      <c r="C146" s="435">
        <v>1.3520000000000001</v>
      </c>
      <c r="D146" s="435">
        <v>222.29900000000001</v>
      </c>
      <c r="E146" s="435">
        <v>1.48</v>
      </c>
      <c r="F146" s="215">
        <v>0</v>
      </c>
      <c r="G146" s="215">
        <v>8629</v>
      </c>
    </row>
    <row r="147" spans="1:7">
      <c r="A147" s="926" t="s">
        <v>265</v>
      </c>
      <c r="B147" s="423" t="s">
        <v>7682</v>
      </c>
      <c r="C147" s="435">
        <v>1.37</v>
      </c>
      <c r="D147" s="435">
        <v>1362.1769999999999</v>
      </c>
      <c r="E147" s="435">
        <v>1.5</v>
      </c>
      <c r="F147" s="215">
        <v>0</v>
      </c>
      <c r="G147" s="215">
        <v>147763</v>
      </c>
    </row>
    <row r="148" spans="1:7">
      <c r="A148" s="926" t="s">
        <v>897</v>
      </c>
      <c r="B148" s="423" t="s">
        <v>3819</v>
      </c>
      <c r="C148" s="435">
        <v>1.37</v>
      </c>
      <c r="D148" s="435">
        <v>3308.8690000000001</v>
      </c>
      <c r="E148" s="435">
        <v>1.5</v>
      </c>
      <c r="F148" s="215">
        <v>0</v>
      </c>
      <c r="G148" s="215">
        <v>353360</v>
      </c>
    </row>
    <row r="149" spans="1:7">
      <c r="A149" s="926" t="s">
        <v>899</v>
      </c>
      <c r="B149" s="423" t="s">
        <v>3820</v>
      </c>
      <c r="C149" s="435">
        <v>1.2902</v>
      </c>
      <c r="D149" s="435">
        <v>1136.3340000000001</v>
      </c>
      <c r="E149" s="435">
        <v>1.41</v>
      </c>
      <c r="F149" s="215">
        <v>0</v>
      </c>
      <c r="G149" s="215">
        <v>68088</v>
      </c>
    </row>
    <row r="150" spans="1:7">
      <c r="A150" s="926" t="s">
        <v>901</v>
      </c>
      <c r="B150" s="423" t="s">
        <v>3821</v>
      </c>
      <c r="C150" s="435">
        <v>1.3380000000000001</v>
      </c>
      <c r="D150" s="435">
        <v>603.59900000000005</v>
      </c>
      <c r="E150" s="435">
        <v>1.464</v>
      </c>
      <c r="F150" s="215">
        <v>0</v>
      </c>
      <c r="G150" s="215">
        <v>72612</v>
      </c>
    </row>
    <row r="151" spans="1:7">
      <c r="A151" s="926" t="s">
        <v>6023</v>
      </c>
      <c r="B151" s="423" t="s">
        <v>1908</v>
      </c>
      <c r="C151" s="435">
        <v>1.33</v>
      </c>
      <c r="D151" s="435">
        <v>4482.7380000000003</v>
      </c>
      <c r="E151" s="435">
        <v>1.4550000000000001</v>
      </c>
      <c r="F151" s="215">
        <v>0</v>
      </c>
      <c r="G151" s="215">
        <v>517397</v>
      </c>
    </row>
    <row r="152" spans="1:7">
      <c r="A152" s="926" t="s">
        <v>2383</v>
      </c>
      <c r="B152" s="423" t="s">
        <v>374</v>
      </c>
      <c r="C152" s="435">
        <v>1.37</v>
      </c>
      <c r="D152" s="435">
        <v>1780.7429999999999</v>
      </c>
      <c r="E152" s="435">
        <v>1.5</v>
      </c>
      <c r="F152" s="215">
        <v>0</v>
      </c>
      <c r="G152" s="215">
        <v>249069</v>
      </c>
    </row>
    <row r="153" spans="1:7">
      <c r="A153" s="926" t="s">
        <v>6180</v>
      </c>
      <c r="B153" s="423" t="s">
        <v>1934</v>
      </c>
      <c r="C153" s="435">
        <v>1.343</v>
      </c>
      <c r="D153" s="435">
        <v>407.27199999999999</v>
      </c>
      <c r="E153" s="435">
        <v>1.5</v>
      </c>
      <c r="F153" s="215">
        <v>0</v>
      </c>
      <c r="G153" s="215">
        <v>66375</v>
      </c>
    </row>
    <row r="154" spans="1:7">
      <c r="A154" s="926" t="s">
        <v>903</v>
      </c>
      <c r="B154" s="423" t="s">
        <v>3822</v>
      </c>
      <c r="C154" s="435">
        <v>1.37</v>
      </c>
      <c r="D154" s="435">
        <v>310.27600000000001</v>
      </c>
      <c r="E154" s="435">
        <v>1.5</v>
      </c>
      <c r="F154" s="215">
        <v>0</v>
      </c>
      <c r="G154" s="215">
        <v>18514</v>
      </c>
    </row>
    <row r="155" spans="1:7">
      <c r="A155" s="926" t="s">
        <v>736</v>
      </c>
      <c r="B155" s="423" t="s">
        <v>6109</v>
      </c>
      <c r="C155" s="435">
        <v>1.37</v>
      </c>
      <c r="D155" s="435">
        <v>1114.0940000000001</v>
      </c>
      <c r="E155" s="435">
        <v>1.5</v>
      </c>
      <c r="F155" s="215">
        <v>0</v>
      </c>
      <c r="G155" s="215">
        <v>39513</v>
      </c>
    </row>
    <row r="156" spans="1:7">
      <c r="A156" s="926" t="s">
        <v>5336</v>
      </c>
      <c r="B156" s="423" t="s">
        <v>3823</v>
      </c>
      <c r="C156" s="435">
        <v>1.37</v>
      </c>
      <c r="D156" s="435">
        <v>107.22499999999999</v>
      </c>
      <c r="E156" s="435">
        <v>1.5</v>
      </c>
      <c r="F156" s="215">
        <v>0</v>
      </c>
      <c r="G156" s="215">
        <v>4964</v>
      </c>
    </row>
    <row r="157" spans="1:7">
      <c r="A157" s="926" t="s">
        <v>2117</v>
      </c>
      <c r="B157" s="423" t="s">
        <v>3824</v>
      </c>
      <c r="C157" s="435">
        <v>1.34</v>
      </c>
      <c r="D157" s="435">
        <v>956.31299999999999</v>
      </c>
      <c r="E157" s="435">
        <v>1.47</v>
      </c>
      <c r="F157" s="215">
        <v>0</v>
      </c>
      <c r="G157" s="215">
        <v>116654</v>
      </c>
    </row>
    <row r="158" spans="1:7">
      <c r="A158" s="926" t="s">
        <v>3089</v>
      </c>
      <c r="B158" s="423" t="s">
        <v>338</v>
      </c>
      <c r="C158" s="435">
        <v>1.37</v>
      </c>
      <c r="D158" s="435">
        <v>456.50799999999998</v>
      </c>
      <c r="E158" s="435">
        <v>1.5</v>
      </c>
      <c r="F158" s="215">
        <v>0</v>
      </c>
      <c r="G158" s="215">
        <v>55227</v>
      </c>
    </row>
    <row r="159" spans="1:7">
      <c r="A159" s="926" t="s">
        <v>2119</v>
      </c>
      <c r="B159" s="423" t="s">
        <v>3825</v>
      </c>
      <c r="C159" s="435">
        <v>1.37</v>
      </c>
      <c r="D159" s="435">
        <v>172.44200000000001</v>
      </c>
      <c r="E159" s="435">
        <v>1.5</v>
      </c>
      <c r="F159" s="215">
        <v>0</v>
      </c>
      <c r="G159" s="215">
        <v>17878</v>
      </c>
    </row>
    <row r="160" spans="1:7">
      <c r="A160" s="926" t="s">
        <v>2121</v>
      </c>
      <c r="B160" s="423" t="s">
        <v>2855</v>
      </c>
      <c r="C160" s="435">
        <v>1.37</v>
      </c>
      <c r="D160" s="435">
        <v>136.34700000000001</v>
      </c>
      <c r="E160" s="435">
        <v>1.5</v>
      </c>
      <c r="F160" s="215">
        <v>0</v>
      </c>
      <c r="G160" s="215">
        <v>41222</v>
      </c>
    </row>
    <row r="161" spans="1:7">
      <c r="A161" s="926" t="s">
        <v>2123</v>
      </c>
      <c r="B161" s="423" t="s">
        <v>2856</v>
      </c>
      <c r="C161" s="435">
        <v>1.37</v>
      </c>
      <c r="D161" s="435">
        <v>488.661</v>
      </c>
      <c r="E161" s="435">
        <v>1.5</v>
      </c>
      <c r="F161" s="215">
        <v>0</v>
      </c>
      <c r="G161" s="215">
        <v>26202</v>
      </c>
    </row>
    <row r="162" spans="1:7">
      <c r="A162" s="926" t="s">
        <v>3130</v>
      </c>
      <c r="B162" s="423" t="s">
        <v>2857</v>
      </c>
      <c r="C162" s="435">
        <v>1.37</v>
      </c>
      <c r="D162" s="435">
        <v>315.88400000000001</v>
      </c>
      <c r="E162" s="435">
        <v>1.5</v>
      </c>
      <c r="F162" s="215">
        <v>0</v>
      </c>
      <c r="G162" s="215">
        <v>55632</v>
      </c>
    </row>
    <row r="163" spans="1:7">
      <c r="A163" s="926" t="s">
        <v>3132</v>
      </c>
      <c r="B163" s="423" t="s">
        <v>2858</v>
      </c>
      <c r="C163" s="435">
        <v>1.3257000000000001</v>
      </c>
      <c r="D163" s="435">
        <v>512.22199999999998</v>
      </c>
      <c r="E163" s="435">
        <v>1.45</v>
      </c>
      <c r="F163" s="215">
        <v>0</v>
      </c>
      <c r="G163" s="215">
        <v>49399</v>
      </c>
    </row>
    <row r="164" spans="1:7">
      <c r="A164" s="926" t="s">
        <v>1322</v>
      </c>
      <c r="B164" s="423" t="s">
        <v>2859</v>
      </c>
      <c r="C164" s="435">
        <v>1.37</v>
      </c>
      <c r="D164" s="435">
        <v>262.83300000000003</v>
      </c>
      <c r="E164" s="435">
        <v>1.5</v>
      </c>
      <c r="F164" s="215">
        <v>0</v>
      </c>
      <c r="G164" s="215">
        <v>33167</v>
      </c>
    </row>
    <row r="165" spans="1:7">
      <c r="A165" s="926" t="s">
        <v>742</v>
      </c>
      <c r="B165" s="423" t="s">
        <v>6118</v>
      </c>
      <c r="C165" s="435">
        <v>1.3346</v>
      </c>
      <c r="D165" s="435">
        <v>952.31200000000001</v>
      </c>
      <c r="E165" s="435">
        <v>1.46</v>
      </c>
      <c r="F165" s="215">
        <v>0</v>
      </c>
      <c r="G165" s="215">
        <v>40994</v>
      </c>
    </row>
    <row r="166" spans="1:7">
      <c r="A166" s="926" t="s">
        <v>440</v>
      </c>
      <c r="B166" s="423" t="s">
        <v>1457</v>
      </c>
      <c r="C166" s="435">
        <v>1.37</v>
      </c>
      <c r="D166" s="435">
        <v>261.95400000000001</v>
      </c>
      <c r="E166" s="435">
        <v>1.5</v>
      </c>
      <c r="F166" s="215">
        <v>0</v>
      </c>
      <c r="G166" s="215">
        <v>48694</v>
      </c>
    </row>
    <row r="167" spans="1:7">
      <c r="A167" s="926" t="s">
        <v>1324</v>
      </c>
      <c r="B167" s="423" t="s">
        <v>2860</v>
      </c>
      <c r="C167" s="435">
        <v>1.37</v>
      </c>
      <c r="D167" s="435">
        <v>171.94399999999999</v>
      </c>
      <c r="E167" s="435">
        <v>1.5</v>
      </c>
      <c r="F167" s="215">
        <v>0</v>
      </c>
      <c r="G167" s="215">
        <v>68942</v>
      </c>
    </row>
    <row r="168" spans="1:7">
      <c r="A168" s="926" t="s">
        <v>1326</v>
      </c>
      <c r="B168" s="423" t="s">
        <v>2861</v>
      </c>
      <c r="C168" s="435">
        <v>1.3701000000000001</v>
      </c>
      <c r="D168" s="435">
        <v>91.811999999999998</v>
      </c>
      <c r="E168" s="435">
        <v>1.5</v>
      </c>
      <c r="F168" s="215">
        <v>0</v>
      </c>
      <c r="G168" s="215">
        <v>114974</v>
      </c>
    </row>
    <row r="169" spans="1:7">
      <c r="A169" s="926" t="s">
        <v>818</v>
      </c>
      <c r="B169" s="423" t="s">
        <v>7677</v>
      </c>
      <c r="C169" s="435">
        <v>1.37</v>
      </c>
      <c r="D169" s="435">
        <v>15291.954</v>
      </c>
      <c r="E169" s="435">
        <v>1.5</v>
      </c>
      <c r="F169" s="215">
        <v>192321</v>
      </c>
      <c r="G169" s="215">
        <v>501954</v>
      </c>
    </row>
    <row r="170" spans="1:7">
      <c r="A170" s="926" t="s">
        <v>266</v>
      </c>
      <c r="B170" s="423" t="s">
        <v>7683</v>
      </c>
      <c r="C170" s="435">
        <v>1.3304</v>
      </c>
      <c r="D170" s="435">
        <v>1465.502</v>
      </c>
      <c r="E170" s="435">
        <v>1.4552</v>
      </c>
      <c r="F170" s="215">
        <v>156121</v>
      </c>
      <c r="G170" s="215">
        <v>105951</v>
      </c>
    </row>
    <row r="171" spans="1:7">
      <c r="A171" s="926" t="s">
        <v>441</v>
      </c>
      <c r="B171" s="423" t="s">
        <v>6104</v>
      </c>
      <c r="C171" s="435">
        <v>1.37</v>
      </c>
      <c r="D171" s="435">
        <v>1426.7339999999999</v>
      </c>
      <c r="E171" s="435">
        <v>1.5</v>
      </c>
      <c r="F171" s="215">
        <v>0</v>
      </c>
      <c r="G171" s="215">
        <v>88423</v>
      </c>
    </row>
    <row r="172" spans="1:7">
      <c r="A172" s="926" t="s">
        <v>1526</v>
      </c>
      <c r="B172" s="423" t="s">
        <v>110</v>
      </c>
      <c r="C172" s="435">
        <v>1.3168</v>
      </c>
      <c r="D172" s="435">
        <v>1367.8779999999999</v>
      </c>
      <c r="E172" s="435">
        <v>1.44</v>
      </c>
      <c r="F172" s="215">
        <v>0</v>
      </c>
      <c r="G172" s="215">
        <v>101020</v>
      </c>
    </row>
    <row r="173" spans="1:7">
      <c r="A173" s="926" t="s">
        <v>1312</v>
      </c>
      <c r="B173" s="423" t="s">
        <v>117</v>
      </c>
      <c r="C173" s="435">
        <v>1.21</v>
      </c>
      <c r="D173" s="435">
        <v>18973.589</v>
      </c>
      <c r="E173" s="435">
        <v>1.32</v>
      </c>
      <c r="F173" s="215">
        <v>697687</v>
      </c>
      <c r="G173" s="215">
        <v>733249</v>
      </c>
    </row>
    <row r="174" spans="1:7">
      <c r="A174" s="926" t="s">
        <v>6168</v>
      </c>
      <c r="B174" s="423" t="s">
        <v>6076</v>
      </c>
      <c r="C174" s="435">
        <v>1.37</v>
      </c>
      <c r="D174" s="435">
        <v>18530.576000000001</v>
      </c>
      <c r="E174" s="435">
        <v>1.5</v>
      </c>
      <c r="F174" s="215">
        <v>189208</v>
      </c>
      <c r="G174" s="215">
        <v>1182362</v>
      </c>
    </row>
    <row r="175" spans="1:7">
      <c r="A175" s="926" t="s">
        <v>5913</v>
      </c>
      <c r="B175" s="423" t="s">
        <v>2862</v>
      </c>
      <c r="C175" s="435">
        <v>1.37</v>
      </c>
      <c r="D175" s="435">
        <v>767.39499999999998</v>
      </c>
      <c r="E175" s="435">
        <v>1.5</v>
      </c>
      <c r="F175" s="215">
        <v>9342</v>
      </c>
      <c r="G175" s="215">
        <v>48391</v>
      </c>
    </row>
    <row r="176" spans="1:7">
      <c r="A176" s="926" t="s">
        <v>3546</v>
      </c>
      <c r="B176" s="423" t="s">
        <v>2863</v>
      </c>
      <c r="C176" s="435">
        <v>1.33</v>
      </c>
      <c r="D176" s="435">
        <v>50159.752999999997</v>
      </c>
      <c r="E176" s="435">
        <v>1.5</v>
      </c>
      <c r="F176" s="215">
        <v>247608</v>
      </c>
      <c r="G176" s="215">
        <v>1645467</v>
      </c>
    </row>
    <row r="177" spans="1:7">
      <c r="A177" s="926" t="s">
        <v>5132</v>
      </c>
      <c r="B177" s="423" t="s">
        <v>352</v>
      </c>
      <c r="C177" s="435">
        <v>1.2989999999999999</v>
      </c>
      <c r="D177" s="435">
        <v>2326.973</v>
      </c>
      <c r="E177" s="435">
        <v>1.42</v>
      </c>
      <c r="F177" s="215">
        <v>177254</v>
      </c>
      <c r="G177" s="215">
        <v>176322</v>
      </c>
    </row>
    <row r="178" spans="1:7">
      <c r="A178" s="926" t="s">
        <v>649</v>
      </c>
      <c r="B178" s="423" t="s">
        <v>354</v>
      </c>
      <c r="C178" s="435">
        <v>1.37</v>
      </c>
      <c r="D178" s="435">
        <v>1745.4369999999999</v>
      </c>
      <c r="E178" s="435">
        <v>1.5</v>
      </c>
      <c r="F178" s="215">
        <v>144521</v>
      </c>
      <c r="G178" s="215">
        <v>154872</v>
      </c>
    </row>
    <row r="179" spans="1:7">
      <c r="A179" s="926" t="s">
        <v>861</v>
      </c>
      <c r="B179" s="423" t="s">
        <v>2008</v>
      </c>
      <c r="C179" s="435">
        <v>1.37</v>
      </c>
      <c r="D179" s="435">
        <v>8540.4599999999991</v>
      </c>
      <c r="E179" s="435">
        <v>1.5</v>
      </c>
      <c r="F179" s="215">
        <v>150000</v>
      </c>
      <c r="G179" s="215">
        <v>486638</v>
      </c>
    </row>
    <row r="180" spans="1:7">
      <c r="A180" s="926" t="s">
        <v>956</v>
      </c>
      <c r="B180" s="423" t="s">
        <v>7661</v>
      </c>
      <c r="C180" s="435">
        <v>1.37</v>
      </c>
      <c r="D180" s="435">
        <v>603.70699999999999</v>
      </c>
      <c r="E180" s="435">
        <v>1.5</v>
      </c>
      <c r="F180" s="215">
        <v>0</v>
      </c>
      <c r="G180" s="215">
        <v>33472</v>
      </c>
    </row>
    <row r="181" spans="1:7">
      <c r="A181" s="926" t="s">
        <v>236</v>
      </c>
      <c r="B181" s="423" t="s">
        <v>2643</v>
      </c>
      <c r="C181" s="435">
        <v>1.37</v>
      </c>
      <c r="D181" s="435">
        <v>1353.739</v>
      </c>
      <c r="E181" s="435">
        <v>1.5</v>
      </c>
      <c r="F181" s="215">
        <v>0</v>
      </c>
      <c r="G181" s="215">
        <v>135033</v>
      </c>
    </row>
    <row r="182" spans="1:7">
      <c r="A182" s="926" t="s">
        <v>3548</v>
      </c>
      <c r="B182" s="423" t="s">
        <v>2864</v>
      </c>
      <c r="C182" s="435">
        <v>1.37</v>
      </c>
      <c r="D182" s="435">
        <v>1267.346</v>
      </c>
      <c r="E182" s="435">
        <v>1.5</v>
      </c>
      <c r="F182" s="215">
        <v>0</v>
      </c>
      <c r="G182" s="215">
        <v>75024</v>
      </c>
    </row>
    <row r="183" spans="1:7">
      <c r="A183" s="926" t="s">
        <v>3550</v>
      </c>
      <c r="B183" s="423" t="s">
        <v>2865</v>
      </c>
      <c r="C183" s="435">
        <v>1.24</v>
      </c>
      <c r="D183" s="435">
        <v>491.303</v>
      </c>
      <c r="E183" s="435">
        <v>1.36</v>
      </c>
      <c r="F183" s="215">
        <v>0</v>
      </c>
      <c r="G183" s="215">
        <v>10672</v>
      </c>
    </row>
    <row r="184" spans="1:7">
      <c r="A184" s="926" t="s">
        <v>206</v>
      </c>
      <c r="B184" s="423" t="s">
        <v>2866</v>
      </c>
      <c r="C184" s="435">
        <v>1.2230000000000001</v>
      </c>
      <c r="D184" s="435">
        <v>116.501</v>
      </c>
      <c r="E184" s="435">
        <v>1.335</v>
      </c>
      <c r="F184" s="215">
        <v>0</v>
      </c>
      <c r="G184" s="215">
        <v>0</v>
      </c>
    </row>
    <row r="185" spans="1:7">
      <c r="A185" s="926" t="s">
        <v>234</v>
      </c>
      <c r="B185" s="423" t="s">
        <v>2641</v>
      </c>
      <c r="C185" s="435">
        <v>1.2725</v>
      </c>
      <c r="D185" s="435">
        <v>1449.6579999999999</v>
      </c>
      <c r="E185" s="435">
        <v>1.39</v>
      </c>
      <c r="F185" s="215">
        <v>0</v>
      </c>
      <c r="G185" s="215">
        <v>146275</v>
      </c>
    </row>
    <row r="186" spans="1:7">
      <c r="A186" s="926" t="s">
        <v>208</v>
      </c>
      <c r="B186" s="423" t="s">
        <v>2867</v>
      </c>
      <c r="C186" s="435">
        <v>1.3003</v>
      </c>
      <c r="D186" s="435">
        <v>1265.8979999999999</v>
      </c>
      <c r="E186" s="435">
        <v>1.4214</v>
      </c>
      <c r="F186" s="215">
        <v>0</v>
      </c>
      <c r="G186" s="215">
        <v>127276</v>
      </c>
    </row>
    <row r="187" spans="1:7">
      <c r="A187" s="926" t="s">
        <v>210</v>
      </c>
      <c r="B187" s="423" t="s">
        <v>2868</v>
      </c>
      <c r="C187" s="435">
        <v>1.2343999999999999</v>
      </c>
      <c r="D187" s="435">
        <v>567.19899999999996</v>
      </c>
      <c r="E187" s="435">
        <v>1.3471</v>
      </c>
      <c r="F187" s="215">
        <v>0</v>
      </c>
      <c r="G187" s="215">
        <v>60057</v>
      </c>
    </row>
    <row r="188" spans="1:7">
      <c r="A188" s="926" t="s">
        <v>212</v>
      </c>
      <c r="B188" s="423" t="s">
        <v>2869</v>
      </c>
      <c r="C188" s="435">
        <v>1.3425</v>
      </c>
      <c r="D188" s="435">
        <v>6443.27</v>
      </c>
      <c r="E188" s="435">
        <v>1.46</v>
      </c>
      <c r="F188" s="215">
        <v>0</v>
      </c>
      <c r="G188" s="215">
        <v>520881</v>
      </c>
    </row>
    <row r="189" spans="1:7">
      <c r="A189" s="926" t="s">
        <v>214</v>
      </c>
      <c r="B189" s="423" t="s">
        <v>2870</v>
      </c>
      <c r="C189" s="435">
        <v>1.37</v>
      </c>
      <c r="D189" s="435">
        <v>12654.566000000001</v>
      </c>
      <c r="E189" s="435">
        <v>1.5</v>
      </c>
      <c r="F189" s="215">
        <v>0</v>
      </c>
      <c r="G189" s="215">
        <v>1754986</v>
      </c>
    </row>
    <row r="190" spans="1:7">
      <c r="A190" s="926" t="s">
        <v>2714</v>
      </c>
      <c r="B190" s="423" t="s">
        <v>2871</v>
      </c>
      <c r="C190" s="435">
        <v>1.1299999999999999</v>
      </c>
      <c r="D190" s="435">
        <v>1284.8109999999999</v>
      </c>
      <c r="E190" s="435">
        <v>1.23</v>
      </c>
      <c r="F190" s="215">
        <v>0</v>
      </c>
      <c r="G190" s="215">
        <v>107963</v>
      </c>
    </row>
    <row r="191" spans="1:7">
      <c r="A191" s="926" t="s">
        <v>250</v>
      </c>
      <c r="B191" s="423" t="s">
        <v>995</v>
      </c>
      <c r="C191" s="435">
        <v>1.22</v>
      </c>
      <c r="D191" s="435">
        <v>613.52200000000005</v>
      </c>
      <c r="E191" s="435">
        <v>1.3308</v>
      </c>
      <c r="F191" s="215">
        <v>0</v>
      </c>
      <c r="G191" s="215">
        <v>38323</v>
      </c>
    </row>
    <row r="192" spans="1:7">
      <c r="A192" s="926" t="s">
        <v>2162</v>
      </c>
      <c r="B192" s="423" t="s">
        <v>3915</v>
      </c>
      <c r="C192" s="435">
        <v>1.3337000000000001</v>
      </c>
      <c r="D192" s="435">
        <v>198.83099999999999</v>
      </c>
      <c r="E192" s="435">
        <v>1.4592000000000001</v>
      </c>
      <c r="F192" s="215">
        <v>0</v>
      </c>
      <c r="G192" s="215">
        <v>33311</v>
      </c>
    </row>
    <row r="193" spans="1:7">
      <c r="A193" s="926" t="s">
        <v>2716</v>
      </c>
      <c r="B193" s="423" t="s">
        <v>2872</v>
      </c>
      <c r="C193" s="435">
        <v>1.21</v>
      </c>
      <c r="D193" s="435">
        <v>128.596</v>
      </c>
      <c r="E193" s="435">
        <v>1.32</v>
      </c>
      <c r="F193" s="215">
        <v>0</v>
      </c>
      <c r="G193" s="215">
        <v>10857</v>
      </c>
    </row>
    <row r="194" spans="1:7">
      <c r="A194" s="926" t="s">
        <v>2718</v>
      </c>
      <c r="B194" s="423" t="s">
        <v>2873</v>
      </c>
      <c r="C194" s="435">
        <v>1.3628</v>
      </c>
      <c r="D194" s="435">
        <v>283.291</v>
      </c>
      <c r="E194" s="435">
        <v>1.4918</v>
      </c>
      <c r="F194" s="215">
        <v>0</v>
      </c>
      <c r="G194" s="215">
        <v>47425</v>
      </c>
    </row>
    <row r="195" spans="1:7">
      <c r="A195" s="926" t="s">
        <v>2720</v>
      </c>
      <c r="B195" s="423" t="s">
        <v>2874</v>
      </c>
      <c r="C195" s="435">
        <v>1.3701000000000001</v>
      </c>
      <c r="D195" s="435">
        <v>133.18700000000001</v>
      </c>
      <c r="E195" s="435">
        <v>1.5</v>
      </c>
      <c r="F195" s="215">
        <v>0</v>
      </c>
      <c r="G195" s="215">
        <v>25655</v>
      </c>
    </row>
    <row r="196" spans="1:7">
      <c r="A196" s="926" t="s">
        <v>1314</v>
      </c>
      <c r="B196" s="423" t="s">
        <v>119</v>
      </c>
      <c r="C196" s="435">
        <v>1.37</v>
      </c>
      <c r="D196" s="435">
        <v>2764.0079999999998</v>
      </c>
      <c r="E196" s="435">
        <v>1.5</v>
      </c>
      <c r="F196" s="215">
        <v>0</v>
      </c>
      <c r="G196" s="215">
        <v>180090</v>
      </c>
    </row>
    <row r="197" spans="1:7">
      <c r="A197" s="926" t="s">
        <v>2722</v>
      </c>
      <c r="B197" s="423" t="s">
        <v>2875</v>
      </c>
      <c r="C197" s="435">
        <v>1.29</v>
      </c>
      <c r="D197" s="435">
        <v>514.476</v>
      </c>
      <c r="E197" s="435">
        <v>1.41</v>
      </c>
      <c r="F197" s="215">
        <v>0</v>
      </c>
      <c r="G197" s="215">
        <v>0</v>
      </c>
    </row>
    <row r="198" spans="1:7">
      <c r="A198" s="926" t="s">
        <v>442</v>
      </c>
      <c r="B198" s="423" t="s">
        <v>5372</v>
      </c>
      <c r="C198" s="435">
        <v>1.37</v>
      </c>
      <c r="D198" s="435">
        <v>620.70000000000005</v>
      </c>
      <c r="E198" s="435">
        <v>1.5</v>
      </c>
      <c r="F198" s="215">
        <v>0</v>
      </c>
      <c r="G198" s="215">
        <v>84322</v>
      </c>
    </row>
    <row r="199" spans="1:7">
      <c r="A199" s="926" t="s">
        <v>2724</v>
      </c>
      <c r="B199" s="423" t="s">
        <v>2876</v>
      </c>
      <c r="C199" s="435">
        <v>1.3346</v>
      </c>
      <c r="D199" s="435">
        <v>1002.077</v>
      </c>
      <c r="E199" s="435">
        <v>1.46</v>
      </c>
      <c r="F199" s="215">
        <v>0</v>
      </c>
      <c r="G199" s="215">
        <v>187978</v>
      </c>
    </row>
    <row r="200" spans="1:7">
      <c r="A200" s="926" t="s">
        <v>5321</v>
      </c>
      <c r="B200" s="423" t="s">
        <v>2877</v>
      </c>
      <c r="C200" s="435">
        <v>1.343</v>
      </c>
      <c r="D200" s="435">
        <v>366.58300000000003</v>
      </c>
      <c r="E200" s="435">
        <v>1.47</v>
      </c>
      <c r="F200" s="215">
        <v>0</v>
      </c>
      <c r="G200" s="215">
        <v>51646</v>
      </c>
    </row>
    <row r="201" spans="1:7">
      <c r="A201" s="926" t="s">
        <v>5323</v>
      </c>
      <c r="B201" s="423" t="s">
        <v>2878</v>
      </c>
      <c r="C201" s="435">
        <v>1.2589999999999999</v>
      </c>
      <c r="D201" s="435">
        <v>491.64100000000002</v>
      </c>
      <c r="E201" s="435">
        <v>1.375</v>
      </c>
      <c r="F201" s="215">
        <v>0</v>
      </c>
      <c r="G201" s="215">
        <v>13992</v>
      </c>
    </row>
    <row r="202" spans="1:7">
      <c r="A202" s="926" t="s">
        <v>5325</v>
      </c>
      <c r="B202" s="423" t="s">
        <v>2879</v>
      </c>
      <c r="C202" s="435">
        <v>1.37</v>
      </c>
      <c r="D202" s="435">
        <v>70.078999999999994</v>
      </c>
      <c r="E202" s="435">
        <v>1.5</v>
      </c>
      <c r="F202" s="215">
        <v>0</v>
      </c>
      <c r="G202" s="215">
        <v>12925</v>
      </c>
    </row>
    <row r="203" spans="1:7">
      <c r="A203" s="926" t="s">
        <v>5327</v>
      </c>
      <c r="B203" s="423" t="s">
        <v>2880</v>
      </c>
      <c r="C203" s="435">
        <v>1.1660999999999999</v>
      </c>
      <c r="D203" s="435">
        <v>53.462000000000003</v>
      </c>
      <c r="E203" s="435">
        <v>1.27</v>
      </c>
      <c r="F203" s="215">
        <v>0</v>
      </c>
      <c r="G203" s="215">
        <v>26564</v>
      </c>
    </row>
    <row r="204" spans="1:7">
      <c r="A204" s="926" t="s">
        <v>5329</v>
      </c>
      <c r="B204" s="423" t="s">
        <v>2881</v>
      </c>
      <c r="C204" s="435">
        <v>1.28</v>
      </c>
      <c r="D204" s="435">
        <v>289.262</v>
      </c>
      <c r="E204" s="435">
        <v>1.4</v>
      </c>
      <c r="F204" s="215">
        <v>0</v>
      </c>
      <c r="G204" s="215">
        <v>48128</v>
      </c>
    </row>
    <row r="205" spans="1:7">
      <c r="A205" s="926" t="s">
        <v>5331</v>
      </c>
      <c r="B205" s="423" t="s">
        <v>2882</v>
      </c>
      <c r="C205" s="435">
        <v>1.298</v>
      </c>
      <c r="D205" s="435">
        <v>2588.895</v>
      </c>
      <c r="E205" s="435">
        <v>1.419</v>
      </c>
      <c r="F205" s="215">
        <v>0</v>
      </c>
      <c r="G205" s="215">
        <v>274049</v>
      </c>
    </row>
    <row r="206" spans="1:7">
      <c r="A206" s="926" t="s">
        <v>585</v>
      </c>
      <c r="B206" s="423" t="s">
        <v>3833</v>
      </c>
      <c r="C206" s="435">
        <v>1.2371000000000001</v>
      </c>
      <c r="D206" s="435">
        <v>169.083</v>
      </c>
      <c r="E206" s="435">
        <v>1.35</v>
      </c>
      <c r="F206" s="215">
        <v>0</v>
      </c>
      <c r="G206" s="215">
        <v>15457</v>
      </c>
    </row>
    <row r="207" spans="1:7">
      <c r="A207" s="926" t="s">
        <v>5333</v>
      </c>
      <c r="B207" s="423" t="s">
        <v>2883</v>
      </c>
      <c r="C207" s="435">
        <v>1.27</v>
      </c>
      <c r="D207" s="435">
        <v>197.53100000000001</v>
      </c>
      <c r="E207" s="435">
        <v>1.39</v>
      </c>
      <c r="F207" s="215">
        <v>0</v>
      </c>
      <c r="G207" s="215">
        <v>41090</v>
      </c>
    </row>
    <row r="208" spans="1:7">
      <c r="A208" s="926" t="s">
        <v>239</v>
      </c>
      <c r="B208" s="423" t="s">
        <v>2647</v>
      </c>
      <c r="C208" s="435">
        <v>1.337</v>
      </c>
      <c r="D208" s="435">
        <v>6555.5360000000001</v>
      </c>
      <c r="E208" s="435">
        <v>1.4630000000000001</v>
      </c>
      <c r="F208" s="215">
        <v>0</v>
      </c>
      <c r="G208" s="215">
        <v>479438</v>
      </c>
    </row>
    <row r="209" spans="1:7">
      <c r="A209" s="926" t="s">
        <v>5335</v>
      </c>
      <c r="B209" s="423" t="s">
        <v>2884</v>
      </c>
      <c r="C209" s="435">
        <v>1.3079000000000001</v>
      </c>
      <c r="D209" s="435">
        <v>227.244</v>
      </c>
      <c r="E209" s="435">
        <v>1.43</v>
      </c>
      <c r="F209" s="215">
        <v>0</v>
      </c>
      <c r="G209" s="215">
        <v>41537</v>
      </c>
    </row>
    <row r="210" spans="1:7">
      <c r="A210" s="926" t="s">
        <v>2450</v>
      </c>
      <c r="B210" s="423" t="s">
        <v>2885</v>
      </c>
      <c r="C210" s="435">
        <v>1.37</v>
      </c>
      <c r="D210" s="435">
        <v>839.72299999999996</v>
      </c>
      <c r="E210" s="435">
        <v>1.5</v>
      </c>
      <c r="F210" s="215">
        <v>0</v>
      </c>
      <c r="G210" s="215">
        <v>49375</v>
      </c>
    </row>
    <row r="211" spans="1:7">
      <c r="A211" s="926" t="s">
        <v>2452</v>
      </c>
      <c r="B211" s="423" t="s">
        <v>2886</v>
      </c>
      <c r="C211" s="435">
        <v>1.3701000000000001</v>
      </c>
      <c r="D211" s="435">
        <v>744.20100000000002</v>
      </c>
      <c r="E211" s="435">
        <v>1.5</v>
      </c>
      <c r="F211" s="215">
        <v>0</v>
      </c>
      <c r="G211" s="215">
        <v>53120</v>
      </c>
    </row>
    <row r="212" spans="1:7">
      <c r="A212" s="926" t="s">
        <v>2454</v>
      </c>
      <c r="B212" s="423" t="s">
        <v>2887</v>
      </c>
      <c r="C212" s="435">
        <v>1.37</v>
      </c>
      <c r="D212" s="435">
        <v>423.49900000000002</v>
      </c>
      <c r="E212" s="435">
        <v>1.5</v>
      </c>
      <c r="F212" s="215">
        <v>0</v>
      </c>
      <c r="G212" s="215">
        <v>20894</v>
      </c>
    </row>
    <row r="213" spans="1:7">
      <c r="A213" s="926" t="s">
        <v>2456</v>
      </c>
      <c r="B213" s="423" t="s">
        <v>2888</v>
      </c>
      <c r="C213" s="435">
        <v>1.2909999999999999</v>
      </c>
      <c r="D213" s="435">
        <v>330.42500000000001</v>
      </c>
      <c r="E213" s="435">
        <v>1.4505999999999999</v>
      </c>
      <c r="F213" s="215">
        <v>0</v>
      </c>
      <c r="G213" s="215">
        <v>69614</v>
      </c>
    </row>
    <row r="214" spans="1:7">
      <c r="A214" s="926" t="s">
        <v>2458</v>
      </c>
      <c r="B214" s="423" t="s">
        <v>2889</v>
      </c>
      <c r="C214" s="435">
        <v>1.27</v>
      </c>
      <c r="D214" s="435">
        <v>548.779</v>
      </c>
      <c r="E214" s="435">
        <v>1.39</v>
      </c>
      <c r="F214" s="215">
        <v>1318</v>
      </c>
      <c r="G214" s="215">
        <v>18238</v>
      </c>
    </row>
    <row r="215" spans="1:7">
      <c r="A215" s="926" t="s">
        <v>2460</v>
      </c>
      <c r="B215" s="423" t="s">
        <v>2890</v>
      </c>
      <c r="C215" s="435">
        <v>1.37</v>
      </c>
      <c r="D215" s="435">
        <v>555.25800000000004</v>
      </c>
      <c r="E215" s="435">
        <v>1.5</v>
      </c>
      <c r="F215" s="215">
        <v>0</v>
      </c>
      <c r="G215" s="215">
        <v>15429</v>
      </c>
    </row>
    <row r="216" spans="1:7">
      <c r="A216" s="926" t="s">
        <v>2462</v>
      </c>
      <c r="B216" s="423" t="s">
        <v>2891</v>
      </c>
      <c r="C216" s="435">
        <v>1.2989999999999999</v>
      </c>
      <c r="D216" s="435">
        <v>1457.223</v>
      </c>
      <c r="E216" s="435">
        <v>1.42</v>
      </c>
      <c r="F216" s="215">
        <v>0</v>
      </c>
      <c r="G216" s="215">
        <v>44366</v>
      </c>
    </row>
    <row r="217" spans="1:7">
      <c r="A217" s="926" t="s">
        <v>2464</v>
      </c>
      <c r="B217" s="423" t="s">
        <v>2892</v>
      </c>
      <c r="C217" s="435">
        <v>1.35</v>
      </c>
      <c r="D217" s="435">
        <v>140.256</v>
      </c>
      <c r="E217" s="435">
        <v>1.48</v>
      </c>
      <c r="F217" s="215">
        <v>0</v>
      </c>
      <c r="G217" s="215">
        <v>55993</v>
      </c>
    </row>
    <row r="218" spans="1:7">
      <c r="A218" s="926" t="s">
        <v>2104</v>
      </c>
      <c r="B218" s="423" t="s">
        <v>2893</v>
      </c>
      <c r="C218" s="435">
        <v>1.3501000000000001</v>
      </c>
      <c r="D218" s="435">
        <v>24445.350999999999</v>
      </c>
      <c r="E218" s="435">
        <v>1.5</v>
      </c>
      <c r="F218" s="215">
        <v>69446</v>
      </c>
      <c r="G218" s="215">
        <v>0</v>
      </c>
    </row>
    <row r="219" spans="1:7">
      <c r="A219" s="926" t="s">
        <v>2106</v>
      </c>
      <c r="B219" s="423" t="s">
        <v>2894</v>
      </c>
      <c r="C219" s="435">
        <v>1.37</v>
      </c>
      <c r="D219" s="435">
        <v>7535.3280000000004</v>
      </c>
      <c r="E219" s="435">
        <v>1.5</v>
      </c>
      <c r="F219" s="215">
        <v>280867</v>
      </c>
      <c r="G219" s="215">
        <v>0</v>
      </c>
    </row>
    <row r="220" spans="1:7">
      <c r="A220" s="926" t="s">
        <v>2108</v>
      </c>
      <c r="B220" s="423" t="s">
        <v>2895</v>
      </c>
      <c r="C220" s="435">
        <v>1.3301000000000001</v>
      </c>
      <c r="D220" s="435">
        <v>147774.29999999999</v>
      </c>
      <c r="E220" s="435">
        <v>1.5</v>
      </c>
      <c r="F220" s="215">
        <v>212175</v>
      </c>
      <c r="G220" s="215">
        <v>0</v>
      </c>
    </row>
    <row r="221" spans="1:7">
      <c r="A221" s="926" t="s">
        <v>2110</v>
      </c>
      <c r="B221" s="423" t="s">
        <v>2896</v>
      </c>
      <c r="C221" s="435">
        <v>1.37</v>
      </c>
      <c r="D221" s="435">
        <v>7897.5959999999995</v>
      </c>
      <c r="E221" s="435">
        <v>1.5</v>
      </c>
      <c r="F221" s="215">
        <v>0</v>
      </c>
      <c r="G221" s="215">
        <v>0</v>
      </c>
    </row>
    <row r="222" spans="1:7">
      <c r="A222" s="926" t="s">
        <v>2112</v>
      </c>
      <c r="B222" s="423" t="s">
        <v>2897</v>
      </c>
      <c r="C222" s="435">
        <v>1.37</v>
      </c>
      <c r="D222" s="435">
        <v>11432.147000000001</v>
      </c>
      <c r="E222" s="435">
        <v>1.5</v>
      </c>
      <c r="F222" s="215">
        <v>0</v>
      </c>
      <c r="G222" s="215">
        <v>353647</v>
      </c>
    </row>
    <row r="223" spans="1:7">
      <c r="A223" s="926" t="s">
        <v>1317</v>
      </c>
      <c r="B223" s="423" t="s">
        <v>122</v>
      </c>
      <c r="C223" s="435">
        <v>1.3315999999999999</v>
      </c>
      <c r="D223" s="435">
        <v>52838.504000000001</v>
      </c>
      <c r="E223" s="435">
        <v>1.4568000000000001</v>
      </c>
      <c r="F223" s="215">
        <v>356963</v>
      </c>
      <c r="G223" s="215">
        <v>3176588</v>
      </c>
    </row>
    <row r="224" spans="1:7">
      <c r="A224" s="926" t="s">
        <v>587</v>
      </c>
      <c r="B224" s="423" t="s">
        <v>4966</v>
      </c>
      <c r="C224" s="435">
        <v>1.3611</v>
      </c>
      <c r="D224" s="435">
        <v>22149.814999999999</v>
      </c>
      <c r="E224" s="435">
        <v>1.49</v>
      </c>
      <c r="F224" s="215">
        <v>41500</v>
      </c>
      <c r="G224" s="215">
        <v>528724</v>
      </c>
    </row>
    <row r="225" spans="1:7">
      <c r="A225" s="926" t="s">
        <v>4569</v>
      </c>
      <c r="B225" s="423" t="s">
        <v>2898</v>
      </c>
      <c r="C225" s="435">
        <v>1.2857000000000001</v>
      </c>
      <c r="D225" s="435">
        <v>6013.8670000000002</v>
      </c>
      <c r="E225" s="435">
        <v>1.45</v>
      </c>
      <c r="F225" s="215">
        <v>0</v>
      </c>
      <c r="G225" s="215">
        <v>0</v>
      </c>
    </row>
    <row r="226" spans="1:7">
      <c r="A226" s="926" t="s">
        <v>6021</v>
      </c>
      <c r="B226" s="423" t="s">
        <v>3860</v>
      </c>
      <c r="C226" s="435">
        <v>1.33</v>
      </c>
      <c r="D226" s="435">
        <v>29846.629000000001</v>
      </c>
      <c r="E226" s="435">
        <v>1.5</v>
      </c>
      <c r="F226" s="215">
        <v>0</v>
      </c>
      <c r="G226" s="215">
        <v>0</v>
      </c>
    </row>
    <row r="227" spans="1:7">
      <c r="A227" s="926" t="s">
        <v>4571</v>
      </c>
      <c r="B227" s="423" t="s">
        <v>2899</v>
      </c>
      <c r="C227" s="435">
        <v>1.3360000000000001</v>
      </c>
      <c r="D227" s="435">
        <v>5345.8819999999996</v>
      </c>
      <c r="E227" s="435">
        <v>1.4616</v>
      </c>
      <c r="F227" s="215">
        <v>0</v>
      </c>
      <c r="G227" s="215">
        <v>0</v>
      </c>
    </row>
    <row r="228" spans="1:7">
      <c r="A228" s="926" t="s">
        <v>6171</v>
      </c>
      <c r="B228" s="423" t="s">
        <v>496</v>
      </c>
      <c r="C228" s="435">
        <v>1.3257000000000001</v>
      </c>
      <c r="D228" s="435">
        <v>33560.495999999999</v>
      </c>
      <c r="E228" s="435">
        <v>1.45</v>
      </c>
      <c r="F228" s="215">
        <v>26538</v>
      </c>
      <c r="G228" s="215">
        <v>1025324</v>
      </c>
    </row>
    <row r="229" spans="1:7">
      <c r="A229" s="926" t="s">
        <v>4573</v>
      </c>
      <c r="B229" s="423" t="s">
        <v>2900</v>
      </c>
      <c r="C229" s="435">
        <v>1.3301000000000001</v>
      </c>
      <c r="D229" s="435">
        <v>32323.042000000001</v>
      </c>
      <c r="E229" s="435">
        <v>1.5</v>
      </c>
      <c r="F229" s="215">
        <v>119009</v>
      </c>
      <c r="G229" s="215">
        <v>0</v>
      </c>
    </row>
    <row r="230" spans="1:7">
      <c r="A230" s="926" t="s">
        <v>4575</v>
      </c>
      <c r="B230" s="423" t="s">
        <v>2901</v>
      </c>
      <c r="C230" s="435">
        <v>1.3220000000000001</v>
      </c>
      <c r="D230" s="435">
        <v>514.07100000000003</v>
      </c>
      <c r="E230" s="435">
        <v>1.446</v>
      </c>
      <c r="F230" s="215">
        <v>0</v>
      </c>
      <c r="G230" s="215">
        <v>36951</v>
      </c>
    </row>
    <row r="231" spans="1:7">
      <c r="A231" s="926" t="s">
        <v>4579</v>
      </c>
      <c r="B231" s="423" t="s">
        <v>2676</v>
      </c>
      <c r="C231" s="435">
        <v>1.37</v>
      </c>
      <c r="D231" s="435">
        <v>9761.6980000000003</v>
      </c>
      <c r="E231" s="435">
        <v>1.5</v>
      </c>
      <c r="F231" s="215">
        <v>0</v>
      </c>
      <c r="G231" s="215">
        <v>0</v>
      </c>
    </row>
    <row r="232" spans="1:7">
      <c r="A232" s="926" t="s">
        <v>4581</v>
      </c>
      <c r="B232" s="423" t="s">
        <v>993</v>
      </c>
      <c r="C232" s="435">
        <v>1.3168</v>
      </c>
      <c r="D232" s="435">
        <v>163.30099999999999</v>
      </c>
      <c r="E232" s="435">
        <v>1.44</v>
      </c>
      <c r="F232" s="215">
        <v>0</v>
      </c>
      <c r="G232" s="215">
        <v>10269</v>
      </c>
    </row>
    <row r="233" spans="1:7">
      <c r="A233" s="926" t="s">
        <v>4582</v>
      </c>
      <c r="B233" s="423" t="s">
        <v>2677</v>
      </c>
      <c r="C233" s="435">
        <v>1.37</v>
      </c>
      <c r="D233" s="435">
        <v>179.596</v>
      </c>
      <c r="E233" s="435">
        <v>1.5</v>
      </c>
      <c r="F233" s="215">
        <v>0</v>
      </c>
      <c r="G233" s="215">
        <v>49437</v>
      </c>
    </row>
    <row r="234" spans="1:7">
      <c r="A234" s="926" t="s">
        <v>4584</v>
      </c>
      <c r="B234" s="423" t="s">
        <v>2678</v>
      </c>
      <c r="C234" s="435">
        <v>1.37</v>
      </c>
      <c r="D234" s="435">
        <v>1909.4949999999999</v>
      </c>
      <c r="E234" s="435">
        <v>1.5</v>
      </c>
      <c r="F234" s="215">
        <v>0</v>
      </c>
      <c r="G234" s="215">
        <v>51511</v>
      </c>
    </row>
    <row r="235" spans="1:7">
      <c r="A235" s="926" t="s">
        <v>4586</v>
      </c>
      <c r="B235" s="423" t="s">
        <v>2679</v>
      </c>
      <c r="C235" s="435">
        <v>1.37</v>
      </c>
      <c r="D235" s="435">
        <v>197.62100000000001</v>
      </c>
      <c r="E235" s="435">
        <v>1.5</v>
      </c>
      <c r="F235" s="215">
        <v>0</v>
      </c>
      <c r="G235" s="215">
        <v>47731</v>
      </c>
    </row>
    <row r="236" spans="1:7">
      <c r="A236" s="926" t="s">
        <v>1865</v>
      </c>
      <c r="B236" s="423" t="s">
        <v>3843</v>
      </c>
      <c r="C236" s="435">
        <v>1.37</v>
      </c>
      <c r="D236" s="435">
        <v>3728.5610000000001</v>
      </c>
      <c r="E236" s="435">
        <v>1.5</v>
      </c>
      <c r="F236" s="215">
        <v>0</v>
      </c>
      <c r="G236" s="215">
        <v>233886</v>
      </c>
    </row>
    <row r="237" spans="1:7">
      <c r="A237" s="926" t="s">
        <v>5018</v>
      </c>
      <c r="B237" s="423" t="s">
        <v>2680</v>
      </c>
      <c r="C237" s="435">
        <v>0.90510000000000002</v>
      </c>
      <c r="D237" s="435">
        <v>154.23099999999999</v>
      </c>
      <c r="E237" s="435">
        <v>0.97570000000000001</v>
      </c>
      <c r="F237" s="215">
        <v>0</v>
      </c>
      <c r="G237" s="215">
        <v>158007</v>
      </c>
    </row>
    <row r="238" spans="1:7">
      <c r="A238" s="926" t="s">
        <v>5020</v>
      </c>
      <c r="B238" s="423" t="s">
        <v>2681</v>
      </c>
      <c r="C238" s="435">
        <v>1.36</v>
      </c>
      <c r="D238" s="435">
        <v>833.18</v>
      </c>
      <c r="E238" s="435">
        <v>1.49</v>
      </c>
      <c r="F238" s="215">
        <v>0</v>
      </c>
      <c r="G238" s="215">
        <v>113071</v>
      </c>
    </row>
    <row r="239" spans="1:7">
      <c r="A239" s="926" t="s">
        <v>589</v>
      </c>
      <c r="B239" s="423" t="s">
        <v>109</v>
      </c>
      <c r="C239" s="435">
        <v>1.37</v>
      </c>
      <c r="D239" s="435">
        <v>168.923</v>
      </c>
      <c r="E239" s="435">
        <v>1.5</v>
      </c>
      <c r="F239" s="215">
        <v>0</v>
      </c>
      <c r="G239" s="215">
        <v>47728</v>
      </c>
    </row>
    <row r="240" spans="1:7">
      <c r="A240" s="926" t="s">
        <v>5022</v>
      </c>
      <c r="B240" s="423" t="s">
        <v>2682</v>
      </c>
      <c r="C240" s="435">
        <v>1.37</v>
      </c>
      <c r="D240" s="435">
        <v>17112.937999999998</v>
      </c>
      <c r="E240" s="435">
        <v>1.5</v>
      </c>
      <c r="F240" s="215">
        <v>523921</v>
      </c>
      <c r="G240" s="215">
        <v>1481429</v>
      </c>
    </row>
    <row r="241" spans="1:7">
      <c r="A241" s="926" t="s">
        <v>2989</v>
      </c>
      <c r="B241" s="423" t="s">
        <v>190</v>
      </c>
      <c r="C241" s="435">
        <v>1.33</v>
      </c>
      <c r="D241" s="435">
        <v>45170.712</v>
      </c>
      <c r="E241" s="435">
        <v>1.5</v>
      </c>
      <c r="F241" s="215">
        <v>556696</v>
      </c>
      <c r="G241" s="215">
        <v>2013434</v>
      </c>
    </row>
    <row r="242" spans="1:7">
      <c r="A242" s="926" t="s">
        <v>5126</v>
      </c>
      <c r="B242" s="423" t="s">
        <v>341</v>
      </c>
      <c r="C242" s="435">
        <v>1.37</v>
      </c>
      <c r="D242" s="435">
        <v>1447.269</v>
      </c>
      <c r="E242" s="435">
        <v>1.5</v>
      </c>
      <c r="F242" s="215">
        <v>105292</v>
      </c>
      <c r="G242" s="215">
        <v>182805</v>
      </c>
    </row>
    <row r="243" spans="1:7">
      <c r="A243" s="926" t="s">
        <v>3090</v>
      </c>
      <c r="B243" s="423" t="s">
        <v>5640</v>
      </c>
      <c r="C243" s="435">
        <v>1.37</v>
      </c>
      <c r="D243" s="435">
        <v>1288.424</v>
      </c>
      <c r="E243" s="435">
        <v>1.5</v>
      </c>
      <c r="F243" s="215">
        <v>0</v>
      </c>
      <c r="G243" s="215">
        <v>66117</v>
      </c>
    </row>
    <row r="244" spans="1:7">
      <c r="A244" s="926" t="s">
        <v>5128</v>
      </c>
      <c r="B244" s="423" t="s">
        <v>343</v>
      </c>
      <c r="C244" s="435">
        <v>1.37</v>
      </c>
      <c r="D244" s="435">
        <v>941.31200000000001</v>
      </c>
      <c r="E244" s="435">
        <v>1.5</v>
      </c>
      <c r="F244" s="215">
        <v>0</v>
      </c>
      <c r="G244" s="215">
        <v>58241</v>
      </c>
    </row>
    <row r="245" spans="1:7">
      <c r="A245" s="926" t="s">
        <v>270</v>
      </c>
      <c r="B245" s="423" t="s">
        <v>7690</v>
      </c>
      <c r="C245" s="435">
        <v>1.37</v>
      </c>
      <c r="D245" s="435">
        <v>1272.2929999999999</v>
      </c>
      <c r="E245" s="435">
        <v>1.5</v>
      </c>
      <c r="F245" s="215">
        <v>0</v>
      </c>
      <c r="G245" s="215">
        <v>108604</v>
      </c>
    </row>
    <row r="246" spans="1:7">
      <c r="A246" s="926" t="s">
        <v>2391</v>
      </c>
      <c r="B246" s="423" t="s">
        <v>1456</v>
      </c>
      <c r="C246" s="435">
        <v>1.37</v>
      </c>
      <c r="D246" s="435">
        <v>2255.145</v>
      </c>
      <c r="E246" s="435">
        <v>1.5</v>
      </c>
      <c r="F246" s="215">
        <v>0</v>
      </c>
      <c r="G246" s="215">
        <v>145673</v>
      </c>
    </row>
    <row r="247" spans="1:7">
      <c r="A247" s="926" t="s">
        <v>2746</v>
      </c>
      <c r="B247" s="423" t="s">
        <v>2683</v>
      </c>
      <c r="C247" s="435">
        <v>1.3701000000000001</v>
      </c>
      <c r="D247" s="435">
        <v>1554.069</v>
      </c>
      <c r="E247" s="435">
        <v>1.5</v>
      </c>
      <c r="F247" s="215">
        <v>162883</v>
      </c>
      <c r="G247" s="215">
        <v>55635</v>
      </c>
    </row>
    <row r="248" spans="1:7">
      <c r="A248" s="926" t="s">
        <v>6186</v>
      </c>
      <c r="B248" s="423" t="s">
        <v>3831</v>
      </c>
      <c r="C248" s="435">
        <v>1.33</v>
      </c>
      <c r="D248" s="435">
        <v>8345.9699999999993</v>
      </c>
      <c r="E248" s="435">
        <v>1.5</v>
      </c>
      <c r="F248" s="215">
        <v>222292</v>
      </c>
      <c r="G248" s="215">
        <v>1157274</v>
      </c>
    </row>
    <row r="249" spans="1:7">
      <c r="A249" s="926" t="s">
        <v>6041</v>
      </c>
      <c r="B249" s="423" t="s">
        <v>185</v>
      </c>
      <c r="C249" s="435">
        <v>1.37</v>
      </c>
      <c r="D249" s="435">
        <v>3714.0439999999999</v>
      </c>
      <c r="E249" s="435">
        <v>1.5</v>
      </c>
      <c r="F249" s="215">
        <v>0</v>
      </c>
      <c r="G249" s="215">
        <v>150170</v>
      </c>
    </row>
    <row r="250" spans="1:7">
      <c r="A250" s="926" t="s">
        <v>591</v>
      </c>
      <c r="B250" s="423" t="s">
        <v>194</v>
      </c>
      <c r="C250" s="435">
        <v>1.361</v>
      </c>
      <c r="D250" s="435">
        <v>4308.9840000000004</v>
      </c>
      <c r="E250" s="435">
        <v>1.49</v>
      </c>
      <c r="F250" s="215">
        <v>147921</v>
      </c>
      <c r="G250" s="215">
        <v>273423</v>
      </c>
    </row>
    <row r="251" spans="1:7">
      <c r="A251" s="926" t="s">
        <v>443</v>
      </c>
      <c r="B251" s="423" t="s">
        <v>990</v>
      </c>
      <c r="C251" s="435">
        <v>1.33</v>
      </c>
      <c r="D251" s="435">
        <v>1801.9169999999999</v>
      </c>
      <c r="E251" s="435">
        <v>1.35</v>
      </c>
      <c r="F251" s="215">
        <v>0</v>
      </c>
      <c r="G251" s="215">
        <v>159340</v>
      </c>
    </row>
    <row r="252" spans="1:7">
      <c r="A252" s="926" t="s">
        <v>2748</v>
      </c>
      <c r="B252" s="423" t="s">
        <v>2684</v>
      </c>
      <c r="C252" s="435">
        <v>1.5</v>
      </c>
      <c r="D252" s="435">
        <v>71.486000000000004</v>
      </c>
      <c r="E252" s="435">
        <v>1.282</v>
      </c>
      <c r="F252" s="215">
        <v>0</v>
      </c>
      <c r="G252" s="215">
        <v>16406</v>
      </c>
    </row>
    <row r="253" spans="1:7">
      <c r="A253" s="926" t="s">
        <v>862</v>
      </c>
      <c r="B253" s="423" t="s">
        <v>2009</v>
      </c>
      <c r="C253" s="435">
        <v>1.37</v>
      </c>
      <c r="D253" s="435">
        <v>1466.1469999999999</v>
      </c>
      <c r="E253" s="435">
        <v>1.5</v>
      </c>
      <c r="F253" s="215">
        <v>0</v>
      </c>
      <c r="G253" s="215">
        <v>111988</v>
      </c>
    </row>
    <row r="254" spans="1:7">
      <c r="A254" s="926" t="s">
        <v>2750</v>
      </c>
      <c r="B254" s="423" t="s">
        <v>2685</v>
      </c>
      <c r="C254" s="435">
        <v>1.2636000000000001</v>
      </c>
      <c r="D254" s="435">
        <v>635.96199999999999</v>
      </c>
      <c r="E254" s="435">
        <v>1.38</v>
      </c>
      <c r="F254" s="215">
        <v>0</v>
      </c>
      <c r="G254" s="215">
        <v>42211</v>
      </c>
    </row>
    <row r="255" spans="1:7">
      <c r="A255" s="926" t="s">
        <v>3899</v>
      </c>
      <c r="B255" s="423" t="s">
        <v>2686</v>
      </c>
      <c r="C255" s="435">
        <v>1.2544</v>
      </c>
      <c r="D255" s="435">
        <v>49.253999999999998</v>
      </c>
      <c r="E255" s="435">
        <v>1.3695999999999999</v>
      </c>
      <c r="F255" s="215">
        <v>0</v>
      </c>
      <c r="G255" s="215">
        <v>9725</v>
      </c>
    </row>
    <row r="256" spans="1:7">
      <c r="A256" s="926" t="s">
        <v>3604</v>
      </c>
      <c r="B256" s="423" t="s">
        <v>2687</v>
      </c>
      <c r="C256" s="435">
        <v>1.3701000000000001</v>
      </c>
      <c r="D256" s="435">
        <v>144.09399999999999</v>
      </c>
      <c r="E256" s="435">
        <v>1.5</v>
      </c>
      <c r="F256" s="215">
        <v>0</v>
      </c>
      <c r="G256" s="215">
        <v>29501</v>
      </c>
    </row>
    <row r="257" spans="1:7">
      <c r="A257" s="926" t="s">
        <v>3166</v>
      </c>
      <c r="B257" s="423" t="s">
        <v>2688</v>
      </c>
      <c r="C257" s="435">
        <v>1.37</v>
      </c>
      <c r="D257" s="435">
        <v>242.58699999999999</v>
      </c>
      <c r="E257" s="435">
        <v>1.5</v>
      </c>
      <c r="F257" s="215">
        <v>0</v>
      </c>
      <c r="G257" s="215">
        <v>36902</v>
      </c>
    </row>
    <row r="258" spans="1:7">
      <c r="A258" s="926" t="s">
        <v>3168</v>
      </c>
      <c r="B258" s="423" t="s">
        <v>2689</v>
      </c>
      <c r="C258" s="435">
        <v>1.37</v>
      </c>
      <c r="D258" s="435">
        <v>123.771</v>
      </c>
      <c r="E258" s="435">
        <v>1.5</v>
      </c>
      <c r="F258" s="215">
        <v>0</v>
      </c>
      <c r="G258" s="215">
        <v>39655</v>
      </c>
    </row>
    <row r="259" spans="1:7">
      <c r="A259" s="926" t="s">
        <v>3091</v>
      </c>
      <c r="B259" s="423" t="s">
        <v>6101</v>
      </c>
      <c r="C259" s="435">
        <v>1.5</v>
      </c>
      <c r="D259" s="435">
        <v>2224.7280000000001</v>
      </c>
      <c r="E259" s="435">
        <v>1.5</v>
      </c>
      <c r="F259" s="215">
        <v>0</v>
      </c>
      <c r="G259" s="215">
        <v>259158</v>
      </c>
    </row>
    <row r="260" spans="1:7">
      <c r="A260" s="926" t="s">
        <v>3171</v>
      </c>
      <c r="B260" s="423" t="s">
        <v>2690</v>
      </c>
      <c r="C260" s="435">
        <v>1.2583</v>
      </c>
      <c r="D260" s="435">
        <v>478.19600000000003</v>
      </c>
      <c r="E260" s="435">
        <v>1.3740000000000001</v>
      </c>
      <c r="F260" s="215">
        <v>0</v>
      </c>
      <c r="G260" s="215">
        <v>49259</v>
      </c>
    </row>
    <row r="261" spans="1:7">
      <c r="A261" s="926" t="s">
        <v>593</v>
      </c>
      <c r="B261" s="423" t="s">
        <v>3841</v>
      </c>
      <c r="C261" s="435">
        <v>1.246</v>
      </c>
      <c r="D261" s="435">
        <v>179.82499999999999</v>
      </c>
      <c r="E261" s="435">
        <v>1.36</v>
      </c>
      <c r="F261" s="215">
        <v>0</v>
      </c>
      <c r="G261" s="215">
        <v>53383</v>
      </c>
    </row>
    <row r="262" spans="1:7">
      <c r="A262" s="926" t="s">
        <v>3173</v>
      </c>
      <c r="B262" s="423" t="s">
        <v>2691</v>
      </c>
      <c r="C262" s="435">
        <v>1.37</v>
      </c>
      <c r="D262" s="435">
        <v>47.94</v>
      </c>
      <c r="E262" s="435">
        <v>1.5</v>
      </c>
      <c r="F262" s="215">
        <v>0</v>
      </c>
      <c r="G262" s="215">
        <v>21481</v>
      </c>
    </row>
    <row r="263" spans="1:7">
      <c r="A263" s="926" t="s">
        <v>3175</v>
      </c>
      <c r="B263" s="423" t="s">
        <v>2692</v>
      </c>
      <c r="C263" s="435">
        <v>1.37</v>
      </c>
      <c r="D263" s="435">
        <v>411.09800000000001</v>
      </c>
      <c r="E263" s="435">
        <v>1.5</v>
      </c>
      <c r="F263" s="215">
        <v>0</v>
      </c>
      <c r="G263" s="215">
        <v>34462</v>
      </c>
    </row>
    <row r="264" spans="1:7">
      <c r="A264" s="926" t="s">
        <v>3092</v>
      </c>
      <c r="B264" s="423" t="s">
        <v>381</v>
      </c>
      <c r="C264" s="435">
        <v>1.37</v>
      </c>
      <c r="D264" s="435">
        <v>1333.296</v>
      </c>
      <c r="E264" s="435">
        <v>1.5</v>
      </c>
      <c r="F264" s="215">
        <v>0</v>
      </c>
      <c r="G264" s="215">
        <v>72546</v>
      </c>
    </row>
    <row r="265" spans="1:7">
      <c r="A265" s="926" t="s">
        <v>673</v>
      </c>
      <c r="B265" s="423" t="s">
        <v>2693</v>
      </c>
      <c r="C265" s="435">
        <v>1.37</v>
      </c>
      <c r="D265" s="435">
        <v>798.24300000000005</v>
      </c>
      <c r="E265" s="435">
        <v>1.5</v>
      </c>
      <c r="F265" s="215">
        <v>0</v>
      </c>
      <c r="G265" s="215">
        <v>76466</v>
      </c>
    </row>
    <row r="266" spans="1:7">
      <c r="A266" s="926" t="s">
        <v>322</v>
      </c>
      <c r="B266" s="423" t="s">
        <v>325</v>
      </c>
      <c r="C266" s="435">
        <v>1.3168</v>
      </c>
      <c r="D266" s="435">
        <v>793.08900000000006</v>
      </c>
      <c r="E266" s="435">
        <v>1.44</v>
      </c>
      <c r="F266" s="215">
        <v>0</v>
      </c>
      <c r="G266" s="215">
        <v>48386</v>
      </c>
    </row>
    <row r="267" spans="1:7">
      <c r="A267" s="926" t="s">
        <v>675</v>
      </c>
      <c r="B267" s="423" t="s">
        <v>7652</v>
      </c>
      <c r="C267" s="435">
        <v>1.339</v>
      </c>
      <c r="D267" s="435">
        <v>1079.567</v>
      </c>
      <c r="E267" s="435">
        <v>1.4650000000000001</v>
      </c>
      <c r="F267" s="215">
        <v>0</v>
      </c>
      <c r="G267" s="215">
        <v>73731</v>
      </c>
    </row>
    <row r="268" spans="1:7">
      <c r="A268" s="926" t="s">
        <v>677</v>
      </c>
      <c r="B268" s="423" t="s">
        <v>1259</v>
      </c>
      <c r="C268" s="435">
        <v>1.3257000000000001</v>
      </c>
      <c r="D268" s="435">
        <v>359.88600000000002</v>
      </c>
      <c r="E268" s="435">
        <v>1.45</v>
      </c>
      <c r="F268" s="215">
        <v>0</v>
      </c>
      <c r="G268" s="215">
        <v>17788</v>
      </c>
    </row>
    <row r="269" spans="1:7">
      <c r="A269" s="926" t="s">
        <v>679</v>
      </c>
      <c r="B269" s="423" t="s">
        <v>1260</v>
      </c>
      <c r="C269" s="435">
        <v>1.37</v>
      </c>
      <c r="D269" s="435">
        <v>424.73899999999998</v>
      </c>
      <c r="E269" s="435">
        <v>1.5</v>
      </c>
      <c r="F269" s="215">
        <v>0</v>
      </c>
      <c r="G269" s="215">
        <v>38868</v>
      </c>
    </row>
    <row r="270" spans="1:7">
      <c r="A270" s="926" t="s">
        <v>2960</v>
      </c>
      <c r="B270" s="423" t="s">
        <v>1261</v>
      </c>
      <c r="C270" s="435">
        <v>1.3149999999999999</v>
      </c>
      <c r="D270" s="435">
        <v>235.119</v>
      </c>
      <c r="E270" s="435">
        <v>1.4390000000000001</v>
      </c>
      <c r="F270" s="215">
        <v>0</v>
      </c>
      <c r="G270" s="215">
        <v>20018</v>
      </c>
    </row>
    <row r="271" spans="1:7">
      <c r="A271" s="926" t="s">
        <v>1994</v>
      </c>
      <c r="B271" s="423" t="s">
        <v>1262</v>
      </c>
      <c r="C271" s="435">
        <v>1.28</v>
      </c>
      <c r="D271" s="435">
        <v>23944.376</v>
      </c>
      <c r="E271" s="435">
        <v>1.4</v>
      </c>
      <c r="F271" s="215">
        <v>0</v>
      </c>
      <c r="G271" s="215">
        <v>1929514</v>
      </c>
    </row>
    <row r="272" spans="1:7">
      <c r="A272" s="926" t="s">
        <v>2735</v>
      </c>
      <c r="B272" s="423" t="s">
        <v>1263</v>
      </c>
      <c r="C272" s="435">
        <v>1.37</v>
      </c>
      <c r="D272" s="435">
        <v>330.15300000000002</v>
      </c>
      <c r="E272" s="435">
        <v>1.5</v>
      </c>
      <c r="F272" s="215">
        <v>0</v>
      </c>
      <c r="G272" s="215">
        <v>60298</v>
      </c>
    </row>
    <row r="273" spans="1:7">
      <c r="A273" s="926" t="s">
        <v>2737</v>
      </c>
      <c r="B273" s="423" t="s">
        <v>1264</v>
      </c>
      <c r="C273" s="435">
        <v>1.37</v>
      </c>
      <c r="D273" s="435">
        <v>304.26100000000002</v>
      </c>
      <c r="E273" s="435">
        <v>1.5</v>
      </c>
      <c r="F273" s="215">
        <v>0</v>
      </c>
      <c r="G273" s="215">
        <v>45741</v>
      </c>
    </row>
    <row r="274" spans="1:7">
      <c r="A274" s="926" t="s">
        <v>1976</v>
      </c>
      <c r="B274" s="423" t="s">
        <v>7691</v>
      </c>
      <c r="C274" s="435">
        <v>1.3080000000000001</v>
      </c>
      <c r="D274" s="435">
        <v>210.976</v>
      </c>
      <c r="E274" s="435">
        <v>1.43</v>
      </c>
      <c r="F274" s="215">
        <v>0</v>
      </c>
      <c r="G274" s="215">
        <v>16431</v>
      </c>
    </row>
    <row r="275" spans="1:7">
      <c r="A275" s="926" t="s">
        <v>3648</v>
      </c>
      <c r="B275" s="423" t="s">
        <v>1265</v>
      </c>
      <c r="C275" s="435">
        <v>1.3442000000000001</v>
      </c>
      <c r="D275" s="435">
        <v>5223.92</v>
      </c>
      <c r="E275" s="435">
        <v>1.4709000000000001</v>
      </c>
      <c r="F275" s="215">
        <v>0</v>
      </c>
      <c r="G275" s="215">
        <v>444511</v>
      </c>
    </row>
    <row r="276" spans="1:7">
      <c r="A276" s="926" t="s">
        <v>3650</v>
      </c>
      <c r="B276" s="423" t="s">
        <v>1266</v>
      </c>
      <c r="C276" s="435">
        <v>1.3479000000000001</v>
      </c>
      <c r="D276" s="435">
        <v>2034.404</v>
      </c>
      <c r="E276" s="435">
        <v>1.4750000000000001</v>
      </c>
      <c r="F276" s="215">
        <v>0</v>
      </c>
      <c r="G276" s="215">
        <v>408267</v>
      </c>
    </row>
    <row r="277" spans="1:7">
      <c r="A277" s="926" t="s">
        <v>3093</v>
      </c>
      <c r="B277" s="423" t="s">
        <v>1906</v>
      </c>
      <c r="C277" s="435">
        <v>1.37</v>
      </c>
      <c r="D277" s="435">
        <v>621.68100000000004</v>
      </c>
      <c r="E277" s="435">
        <v>1.5</v>
      </c>
      <c r="F277" s="215">
        <v>0</v>
      </c>
      <c r="G277" s="215">
        <v>24248</v>
      </c>
    </row>
    <row r="278" spans="1:7">
      <c r="A278" s="926" t="s">
        <v>7734</v>
      </c>
      <c r="B278" s="423" t="s">
        <v>1267</v>
      </c>
      <c r="C278" s="435">
        <v>1.37</v>
      </c>
      <c r="D278" s="435">
        <v>5851.8239999999996</v>
      </c>
      <c r="E278" s="435">
        <v>1.5</v>
      </c>
      <c r="F278" s="215">
        <v>197808</v>
      </c>
      <c r="G278" s="215">
        <v>537619</v>
      </c>
    </row>
    <row r="279" spans="1:7">
      <c r="A279" s="926" t="s">
        <v>915</v>
      </c>
      <c r="B279" s="423" t="s">
        <v>1268</v>
      </c>
      <c r="C279" s="435">
        <v>1.37</v>
      </c>
      <c r="D279" s="435">
        <v>200.58799999999999</v>
      </c>
      <c r="E279" s="435">
        <v>1.5</v>
      </c>
      <c r="F279" s="215">
        <v>0</v>
      </c>
      <c r="G279" s="215">
        <v>13182</v>
      </c>
    </row>
    <row r="280" spans="1:7">
      <c r="A280" s="926" t="s">
        <v>1978</v>
      </c>
      <c r="B280" s="423" t="s">
        <v>3628</v>
      </c>
      <c r="C280" s="435">
        <v>1.37</v>
      </c>
      <c r="D280" s="435">
        <v>1049.7650000000001</v>
      </c>
      <c r="E280" s="435">
        <v>1.5</v>
      </c>
      <c r="F280" s="215">
        <v>0</v>
      </c>
      <c r="G280" s="215">
        <v>62153</v>
      </c>
    </row>
    <row r="281" spans="1:7">
      <c r="A281" s="926" t="s">
        <v>2767</v>
      </c>
      <c r="B281" s="423" t="s">
        <v>357</v>
      </c>
      <c r="C281" s="435">
        <v>1.37</v>
      </c>
      <c r="D281" s="435">
        <v>4798.3119999999999</v>
      </c>
      <c r="E281" s="435">
        <v>1.5</v>
      </c>
      <c r="F281" s="215">
        <v>0</v>
      </c>
      <c r="G281" s="215">
        <v>331755</v>
      </c>
    </row>
    <row r="282" spans="1:7">
      <c r="A282" s="926" t="s">
        <v>3555</v>
      </c>
      <c r="B282" s="423" t="s">
        <v>4063</v>
      </c>
      <c r="C282" s="435">
        <v>1.3573</v>
      </c>
      <c r="D282" s="435">
        <v>5871.7629999999999</v>
      </c>
      <c r="E282" s="435">
        <v>1.4858</v>
      </c>
      <c r="F282" s="215">
        <v>0</v>
      </c>
      <c r="G282" s="215">
        <v>513615</v>
      </c>
    </row>
    <row r="283" spans="1:7">
      <c r="A283" s="926" t="s">
        <v>3094</v>
      </c>
      <c r="B283" s="423" t="s">
        <v>6072</v>
      </c>
      <c r="C283" s="435">
        <v>1.3480000000000001</v>
      </c>
      <c r="D283" s="435">
        <v>919.85</v>
      </c>
      <c r="E283" s="435">
        <v>1.4570000000000001</v>
      </c>
      <c r="F283" s="215">
        <v>0</v>
      </c>
      <c r="G283" s="215">
        <v>71518</v>
      </c>
    </row>
    <row r="284" spans="1:7">
      <c r="A284" s="926" t="s">
        <v>741</v>
      </c>
      <c r="B284" s="423" t="s">
        <v>6116</v>
      </c>
      <c r="C284" s="435">
        <v>1.3701000000000001</v>
      </c>
      <c r="D284" s="435">
        <v>8758.3870000000006</v>
      </c>
      <c r="E284" s="435">
        <v>1.5</v>
      </c>
      <c r="F284" s="215">
        <v>0</v>
      </c>
      <c r="G284" s="215">
        <v>814131</v>
      </c>
    </row>
    <row r="285" spans="1:7">
      <c r="A285" s="926" t="s">
        <v>4035</v>
      </c>
      <c r="B285" s="423" t="s">
        <v>1269</v>
      </c>
      <c r="C285" s="435">
        <v>1.37</v>
      </c>
      <c r="D285" s="435">
        <v>58781.669000000002</v>
      </c>
      <c r="E285" s="435">
        <v>1.5</v>
      </c>
      <c r="F285" s="215">
        <v>112321</v>
      </c>
      <c r="G285" s="215">
        <v>2603085</v>
      </c>
    </row>
    <row r="286" spans="1:7">
      <c r="A286" s="926" t="s">
        <v>1524</v>
      </c>
      <c r="B286" s="423" t="s">
        <v>1930</v>
      </c>
      <c r="C286" s="435">
        <v>1.3701000000000001</v>
      </c>
      <c r="D286" s="435">
        <v>2469.17</v>
      </c>
      <c r="E286" s="435">
        <v>1.5</v>
      </c>
      <c r="F286" s="215">
        <v>0</v>
      </c>
      <c r="G286" s="215">
        <v>54616</v>
      </c>
    </row>
    <row r="287" spans="1:7">
      <c r="A287" s="926" t="s">
        <v>2388</v>
      </c>
      <c r="B287" s="423" t="s">
        <v>382</v>
      </c>
      <c r="C287" s="435">
        <v>1.37</v>
      </c>
      <c r="D287" s="435">
        <v>3523.7869999999998</v>
      </c>
      <c r="E287" s="435">
        <v>1.5</v>
      </c>
      <c r="F287" s="215">
        <v>0</v>
      </c>
      <c r="G287" s="215">
        <v>245219</v>
      </c>
    </row>
    <row r="288" spans="1:7">
      <c r="A288" s="926" t="s">
        <v>863</v>
      </c>
      <c r="B288" s="423" t="s">
        <v>2010</v>
      </c>
      <c r="C288" s="435">
        <v>1.33</v>
      </c>
      <c r="D288" s="435">
        <v>42818.27</v>
      </c>
      <c r="E288" s="435">
        <v>1.5</v>
      </c>
      <c r="F288" s="215">
        <v>0</v>
      </c>
      <c r="G288" s="215">
        <v>1603780</v>
      </c>
    </row>
    <row r="289" spans="1:7">
      <c r="A289" s="926" t="s">
        <v>268</v>
      </c>
      <c r="B289" s="423" t="s">
        <v>7685</v>
      </c>
      <c r="C289" s="435">
        <v>1.3701000000000001</v>
      </c>
      <c r="D289" s="435">
        <v>724.86400000000003</v>
      </c>
      <c r="E289" s="435">
        <v>1.5</v>
      </c>
      <c r="F289" s="215">
        <v>0</v>
      </c>
      <c r="G289" s="215">
        <v>46454</v>
      </c>
    </row>
    <row r="290" spans="1:7">
      <c r="A290" s="926" t="s">
        <v>981</v>
      </c>
      <c r="B290" s="423" t="s">
        <v>6099</v>
      </c>
      <c r="C290" s="435">
        <v>1.3701000000000001</v>
      </c>
      <c r="D290" s="435">
        <v>4821.4549999999999</v>
      </c>
      <c r="E290" s="435">
        <v>1.5</v>
      </c>
      <c r="F290" s="215">
        <v>155375</v>
      </c>
      <c r="G290" s="215">
        <v>281988</v>
      </c>
    </row>
    <row r="291" spans="1:7">
      <c r="A291" s="926" t="s">
        <v>2414</v>
      </c>
      <c r="B291" s="423" t="s">
        <v>5367</v>
      </c>
      <c r="C291" s="435">
        <v>1.3701000000000001</v>
      </c>
      <c r="D291" s="435">
        <v>1148.7819999999999</v>
      </c>
      <c r="E291" s="435">
        <v>1.5</v>
      </c>
      <c r="F291" s="215">
        <v>0</v>
      </c>
      <c r="G291" s="215">
        <v>59372</v>
      </c>
    </row>
    <row r="292" spans="1:7">
      <c r="A292" s="926" t="s">
        <v>2401</v>
      </c>
      <c r="B292" s="423" t="s">
        <v>2345</v>
      </c>
      <c r="C292" s="435">
        <v>1.2444</v>
      </c>
      <c r="D292" s="435">
        <v>34335.074000000001</v>
      </c>
      <c r="E292" s="435">
        <v>1.3583000000000001</v>
      </c>
      <c r="F292" s="215">
        <v>257867</v>
      </c>
      <c r="G292" s="215">
        <v>1481895</v>
      </c>
    </row>
    <row r="293" spans="1:7">
      <c r="A293" s="926" t="s">
        <v>4037</v>
      </c>
      <c r="B293" s="423" t="s">
        <v>1270</v>
      </c>
      <c r="C293" s="435">
        <v>1.157</v>
      </c>
      <c r="D293" s="435">
        <v>59.091999999999999</v>
      </c>
      <c r="E293" s="435">
        <v>1.26</v>
      </c>
      <c r="F293" s="215">
        <v>0</v>
      </c>
      <c r="G293" s="215">
        <v>11988</v>
      </c>
    </row>
    <row r="294" spans="1:7">
      <c r="A294" s="926" t="s">
        <v>2140</v>
      </c>
      <c r="B294" s="423" t="s">
        <v>1271</v>
      </c>
      <c r="C294" s="435">
        <v>1.2290000000000001</v>
      </c>
      <c r="D294" s="435">
        <v>1243.806</v>
      </c>
      <c r="E294" s="435">
        <v>1.3420000000000001</v>
      </c>
      <c r="F294" s="215">
        <v>0</v>
      </c>
      <c r="G294" s="215">
        <v>96701</v>
      </c>
    </row>
    <row r="295" spans="1:7">
      <c r="A295" s="926" t="s">
        <v>2408</v>
      </c>
      <c r="B295" s="423" t="s">
        <v>2355</v>
      </c>
      <c r="C295" s="435">
        <v>1.37</v>
      </c>
      <c r="D295" s="435">
        <v>3281.377</v>
      </c>
      <c r="E295" s="435">
        <v>1.5</v>
      </c>
      <c r="F295" s="215">
        <v>0</v>
      </c>
      <c r="G295" s="215">
        <v>194212</v>
      </c>
    </row>
    <row r="296" spans="1:7">
      <c r="A296" s="926" t="s">
        <v>2700</v>
      </c>
      <c r="B296" s="423" t="s">
        <v>1272</v>
      </c>
      <c r="C296" s="435">
        <v>1.3089999999999999</v>
      </c>
      <c r="D296" s="435">
        <v>74.260000000000005</v>
      </c>
      <c r="E296" s="435">
        <v>1.4307000000000001</v>
      </c>
      <c r="F296" s="215">
        <v>0</v>
      </c>
      <c r="G296" s="215">
        <v>6902</v>
      </c>
    </row>
    <row r="297" spans="1:7">
      <c r="A297" s="926" t="s">
        <v>2702</v>
      </c>
      <c r="B297" s="423" t="s">
        <v>1273</v>
      </c>
      <c r="C297" s="435">
        <v>1.37</v>
      </c>
      <c r="D297" s="435">
        <v>189.09399999999999</v>
      </c>
      <c r="E297" s="435">
        <v>1.5</v>
      </c>
      <c r="F297" s="215">
        <v>0</v>
      </c>
      <c r="G297" s="215">
        <v>21505</v>
      </c>
    </row>
    <row r="298" spans="1:7">
      <c r="A298" s="926" t="s">
        <v>2828</v>
      </c>
      <c r="B298" s="423" t="s">
        <v>192</v>
      </c>
      <c r="C298" s="435">
        <v>1.3079000000000001</v>
      </c>
      <c r="D298" s="435">
        <v>234.81</v>
      </c>
      <c r="E298" s="435">
        <v>1.42</v>
      </c>
      <c r="F298" s="215">
        <v>0</v>
      </c>
      <c r="G298" s="215">
        <v>44233</v>
      </c>
    </row>
    <row r="299" spans="1:7">
      <c r="A299" s="926" t="s">
        <v>2704</v>
      </c>
      <c r="B299" s="423" t="s">
        <v>1274</v>
      </c>
      <c r="C299" s="435">
        <v>1.2547999999999999</v>
      </c>
      <c r="D299" s="435">
        <v>93.918999999999997</v>
      </c>
      <c r="E299" s="435">
        <v>1.37</v>
      </c>
      <c r="F299" s="215">
        <v>0</v>
      </c>
      <c r="G299" s="215">
        <v>13114</v>
      </c>
    </row>
    <row r="300" spans="1:7">
      <c r="A300" s="926" t="s">
        <v>2706</v>
      </c>
      <c r="B300" s="423" t="s">
        <v>1275</v>
      </c>
      <c r="C300" s="435">
        <v>1.3612</v>
      </c>
      <c r="D300" s="435">
        <v>408.75799999999998</v>
      </c>
      <c r="E300" s="435">
        <v>1.49</v>
      </c>
      <c r="F300" s="215">
        <v>0</v>
      </c>
      <c r="G300" s="215">
        <v>24473</v>
      </c>
    </row>
    <row r="301" spans="1:7">
      <c r="A301" s="926" t="s">
        <v>6162</v>
      </c>
      <c r="B301" s="423" t="s">
        <v>6066</v>
      </c>
      <c r="C301" s="435">
        <v>1.2881</v>
      </c>
      <c r="D301" s="435">
        <v>1218.4059999999999</v>
      </c>
      <c r="E301" s="435">
        <v>1.4076</v>
      </c>
      <c r="F301" s="215">
        <v>0</v>
      </c>
      <c r="G301" s="215">
        <v>222496</v>
      </c>
    </row>
    <row r="302" spans="1:7">
      <c r="A302" s="926" t="s">
        <v>967</v>
      </c>
      <c r="B302" s="423" t="s">
        <v>4068</v>
      </c>
      <c r="C302" s="435">
        <v>1.1299999999999999</v>
      </c>
      <c r="D302" s="435">
        <v>136.01499999999999</v>
      </c>
      <c r="E302" s="435">
        <v>1.23</v>
      </c>
      <c r="F302" s="215">
        <v>0</v>
      </c>
      <c r="G302" s="215">
        <v>0</v>
      </c>
    </row>
    <row r="303" spans="1:7">
      <c r="A303" s="926" t="s">
        <v>2708</v>
      </c>
      <c r="B303" s="423" t="s">
        <v>1276</v>
      </c>
      <c r="C303" s="435">
        <v>0.93189999999999995</v>
      </c>
      <c r="D303" s="435">
        <v>840.66399999999999</v>
      </c>
      <c r="E303" s="435">
        <v>1.0054000000000001</v>
      </c>
      <c r="F303" s="215">
        <v>0</v>
      </c>
      <c r="G303" s="215">
        <v>114272</v>
      </c>
    </row>
    <row r="304" spans="1:7">
      <c r="A304" s="926" t="s">
        <v>2710</v>
      </c>
      <c r="B304" s="423" t="s">
        <v>1277</v>
      </c>
      <c r="C304" s="435">
        <v>1.3701000000000001</v>
      </c>
      <c r="D304" s="435">
        <v>1872.828</v>
      </c>
      <c r="E304" s="435">
        <v>1.5</v>
      </c>
      <c r="F304" s="215">
        <v>0</v>
      </c>
      <c r="G304" s="215">
        <v>165258</v>
      </c>
    </row>
    <row r="305" spans="1:7">
      <c r="A305" s="926" t="s">
        <v>2830</v>
      </c>
      <c r="B305" s="423" t="s">
        <v>2282</v>
      </c>
      <c r="C305" s="435">
        <v>1.37</v>
      </c>
      <c r="D305" s="435">
        <v>270.99900000000002</v>
      </c>
      <c r="E305" s="435">
        <v>1.5</v>
      </c>
      <c r="F305" s="215">
        <v>0</v>
      </c>
      <c r="G305" s="215">
        <v>15046</v>
      </c>
    </row>
    <row r="306" spans="1:7">
      <c r="A306" s="926" t="s">
        <v>3095</v>
      </c>
      <c r="B306" s="423" t="s">
        <v>3014</v>
      </c>
      <c r="C306" s="435">
        <v>1.3701000000000001</v>
      </c>
      <c r="D306" s="435">
        <v>258.95</v>
      </c>
      <c r="E306" s="435">
        <v>1.5</v>
      </c>
      <c r="F306" s="215">
        <v>0</v>
      </c>
      <c r="G306" s="215">
        <v>6328</v>
      </c>
    </row>
    <row r="307" spans="1:7">
      <c r="A307" s="926" t="s">
        <v>2712</v>
      </c>
      <c r="B307" s="423" t="s">
        <v>1278</v>
      </c>
      <c r="C307" s="435">
        <v>1.3</v>
      </c>
      <c r="D307" s="435">
        <v>611.52099999999996</v>
      </c>
      <c r="E307" s="435">
        <v>1.421</v>
      </c>
      <c r="F307" s="215">
        <v>0</v>
      </c>
      <c r="G307" s="215">
        <v>78904</v>
      </c>
    </row>
    <row r="308" spans="1:7">
      <c r="A308" s="926" t="s">
        <v>2424</v>
      </c>
      <c r="B308" s="423" t="s">
        <v>1279</v>
      </c>
      <c r="C308" s="435">
        <v>1.294</v>
      </c>
      <c r="D308" s="435">
        <v>783.50599999999997</v>
      </c>
      <c r="E308" s="435">
        <v>1.4141999999999999</v>
      </c>
      <c r="F308" s="215">
        <v>0</v>
      </c>
      <c r="G308" s="215">
        <v>40649</v>
      </c>
    </row>
    <row r="309" spans="1:7">
      <c r="A309" s="926" t="s">
        <v>2426</v>
      </c>
      <c r="B309" s="423" t="s">
        <v>1280</v>
      </c>
      <c r="C309" s="435">
        <v>1.37</v>
      </c>
      <c r="D309" s="435">
        <v>299.11399999999998</v>
      </c>
      <c r="E309" s="435">
        <v>1.5</v>
      </c>
      <c r="F309" s="215">
        <v>0</v>
      </c>
      <c r="G309" s="215">
        <v>22069</v>
      </c>
    </row>
    <row r="310" spans="1:7">
      <c r="A310" s="926" t="s">
        <v>2428</v>
      </c>
      <c r="B310" s="423" t="s">
        <v>1281</v>
      </c>
      <c r="C310" s="435">
        <v>1.27</v>
      </c>
      <c r="D310" s="435">
        <v>518.59299999999996</v>
      </c>
      <c r="E310" s="435">
        <v>1.39</v>
      </c>
      <c r="F310" s="215">
        <v>0</v>
      </c>
      <c r="G310" s="215">
        <v>34808</v>
      </c>
    </row>
    <row r="311" spans="1:7">
      <c r="A311" s="926" t="s">
        <v>2832</v>
      </c>
      <c r="B311" s="423" t="s">
        <v>377</v>
      </c>
      <c r="C311" s="435">
        <v>1.2969999999999999</v>
      </c>
      <c r="D311" s="435">
        <v>416.39100000000002</v>
      </c>
      <c r="E311" s="435">
        <v>1.4179999999999999</v>
      </c>
      <c r="F311" s="215">
        <v>0</v>
      </c>
      <c r="G311" s="215">
        <v>72920</v>
      </c>
    </row>
    <row r="312" spans="1:7">
      <c r="A312" s="926" t="s">
        <v>4923</v>
      </c>
      <c r="B312" s="423" t="s">
        <v>1282</v>
      </c>
      <c r="C312" s="435">
        <v>1.3011999999999999</v>
      </c>
      <c r="D312" s="435">
        <v>555.39800000000002</v>
      </c>
      <c r="E312" s="435">
        <v>1.4224000000000001</v>
      </c>
      <c r="F312" s="215">
        <v>0</v>
      </c>
      <c r="G312" s="215">
        <v>77802</v>
      </c>
    </row>
    <row r="313" spans="1:7">
      <c r="A313" s="926" t="s">
        <v>4925</v>
      </c>
      <c r="B313" s="423" t="s">
        <v>1283</v>
      </c>
      <c r="C313" s="435">
        <v>1.37</v>
      </c>
      <c r="D313" s="435">
        <v>1750.4949999999999</v>
      </c>
      <c r="E313" s="435">
        <v>1.5</v>
      </c>
      <c r="F313" s="215">
        <v>0</v>
      </c>
      <c r="G313" s="215">
        <v>176306</v>
      </c>
    </row>
    <row r="314" spans="1:7">
      <c r="A314" s="926" t="s">
        <v>4927</v>
      </c>
      <c r="B314" s="423" t="s">
        <v>1284</v>
      </c>
      <c r="C314" s="435">
        <v>1.2946</v>
      </c>
      <c r="D314" s="435">
        <v>700.01099999999997</v>
      </c>
      <c r="E314" s="435">
        <v>1.415</v>
      </c>
      <c r="F314" s="215">
        <v>0</v>
      </c>
      <c r="G314" s="215">
        <v>70825</v>
      </c>
    </row>
    <row r="315" spans="1:7">
      <c r="A315" s="926" t="s">
        <v>4929</v>
      </c>
      <c r="B315" s="423" t="s">
        <v>1285</v>
      </c>
      <c r="C315" s="435">
        <v>1.37</v>
      </c>
      <c r="D315" s="435">
        <v>195.10300000000001</v>
      </c>
      <c r="E315" s="435">
        <v>1.5</v>
      </c>
      <c r="F315" s="215">
        <v>0</v>
      </c>
      <c r="G315" s="215">
        <v>0</v>
      </c>
    </row>
    <row r="316" spans="1:7">
      <c r="A316" s="926" t="s">
        <v>4931</v>
      </c>
      <c r="B316" s="423" t="s">
        <v>1286</v>
      </c>
      <c r="C316" s="435">
        <v>1.37</v>
      </c>
      <c r="D316" s="435">
        <v>226.24600000000001</v>
      </c>
      <c r="E316" s="435">
        <v>1.5</v>
      </c>
      <c r="F316" s="215">
        <v>0</v>
      </c>
      <c r="G316" s="215">
        <v>37313</v>
      </c>
    </row>
    <row r="317" spans="1:7">
      <c r="A317" s="926" t="s">
        <v>4933</v>
      </c>
      <c r="B317" s="423" t="s">
        <v>1287</v>
      </c>
      <c r="C317" s="435">
        <v>1.37</v>
      </c>
      <c r="D317" s="435">
        <v>284.75900000000001</v>
      </c>
      <c r="E317" s="435">
        <v>1.5</v>
      </c>
      <c r="F317" s="215">
        <v>0</v>
      </c>
      <c r="G317" s="215">
        <v>48846</v>
      </c>
    </row>
    <row r="318" spans="1:7">
      <c r="A318" s="926" t="s">
        <v>444</v>
      </c>
      <c r="B318" s="423" t="s">
        <v>370</v>
      </c>
      <c r="C318" s="435">
        <v>1.37</v>
      </c>
      <c r="D318" s="435">
        <v>359.05200000000002</v>
      </c>
      <c r="E318" s="435">
        <v>1.5</v>
      </c>
      <c r="F318" s="215">
        <v>0</v>
      </c>
      <c r="G318" s="215">
        <v>25429</v>
      </c>
    </row>
    <row r="319" spans="1:7">
      <c r="A319" s="926" t="s">
        <v>3558</v>
      </c>
      <c r="B319" s="423" t="s">
        <v>1288</v>
      </c>
      <c r="C319" s="435">
        <v>1.37</v>
      </c>
      <c r="D319" s="435">
        <v>937.76199999999994</v>
      </c>
      <c r="E319" s="435">
        <v>1.5</v>
      </c>
      <c r="F319" s="215">
        <v>0</v>
      </c>
      <c r="G319" s="215">
        <v>135190</v>
      </c>
    </row>
    <row r="320" spans="1:7">
      <c r="A320" s="926" t="s">
        <v>3560</v>
      </c>
      <c r="B320" s="423" t="s">
        <v>2909</v>
      </c>
      <c r="C320" s="435">
        <v>1.37</v>
      </c>
      <c r="D320" s="435">
        <v>586.20399999999995</v>
      </c>
      <c r="E320" s="435">
        <v>1.5</v>
      </c>
      <c r="F320" s="215">
        <v>0</v>
      </c>
      <c r="G320" s="215">
        <v>37356</v>
      </c>
    </row>
    <row r="321" spans="1:7">
      <c r="A321" s="926" t="s">
        <v>3562</v>
      </c>
      <c r="B321" s="423" t="s">
        <v>2910</v>
      </c>
      <c r="C321" s="435">
        <v>1.246</v>
      </c>
      <c r="D321" s="435">
        <v>263.41000000000003</v>
      </c>
      <c r="E321" s="435">
        <v>1.36</v>
      </c>
      <c r="F321" s="215">
        <v>0</v>
      </c>
      <c r="G321" s="215">
        <v>27443</v>
      </c>
    </row>
    <row r="322" spans="1:7">
      <c r="A322" s="926" t="s">
        <v>3564</v>
      </c>
      <c r="B322" s="423" t="s">
        <v>2911</v>
      </c>
      <c r="C322" s="435">
        <v>1.3301000000000001</v>
      </c>
      <c r="D322" s="435">
        <v>18405.253000000001</v>
      </c>
      <c r="E322" s="435">
        <v>1.5</v>
      </c>
      <c r="F322" s="215">
        <v>124629</v>
      </c>
      <c r="G322" s="215">
        <v>1543125</v>
      </c>
    </row>
    <row r="323" spans="1:7">
      <c r="A323" s="926" t="s">
        <v>6179</v>
      </c>
      <c r="B323" s="423" t="s">
        <v>1932</v>
      </c>
      <c r="C323" s="435">
        <v>1.37</v>
      </c>
      <c r="D323" s="435">
        <v>2450.9989999999998</v>
      </c>
      <c r="E323" s="435">
        <v>1.5</v>
      </c>
      <c r="F323" s="215">
        <v>0</v>
      </c>
      <c r="G323" s="215">
        <v>261100</v>
      </c>
    </row>
    <row r="324" spans="1:7">
      <c r="A324" s="926" t="s">
        <v>1309</v>
      </c>
      <c r="B324" s="423" t="s">
        <v>114</v>
      </c>
      <c r="C324" s="435">
        <v>1.33</v>
      </c>
      <c r="D324" s="435">
        <v>62857.959000000003</v>
      </c>
      <c r="E324" s="435">
        <v>1.5</v>
      </c>
      <c r="F324" s="215">
        <v>78972</v>
      </c>
      <c r="G324" s="215">
        <v>3990529</v>
      </c>
    </row>
    <row r="325" spans="1:7">
      <c r="A325" s="926" t="s">
        <v>3566</v>
      </c>
      <c r="B325" s="423" t="s">
        <v>2912</v>
      </c>
      <c r="C325" s="435">
        <v>1.37</v>
      </c>
      <c r="D325" s="435">
        <v>97.64</v>
      </c>
      <c r="E325" s="435">
        <v>1.5</v>
      </c>
      <c r="F325" s="215">
        <v>0</v>
      </c>
      <c r="G325" s="215">
        <v>40196</v>
      </c>
    </row>
    <row r="326" spans="1:7">
      <c r="A326" s="926" t="s">
        <v>3568</v>
      </c>
      <c r="B326" s="423" t="s">
        <v>7818</v>
      </c>
      <c r="C326" s="435">
        <v>1.3612</v>
      </c>
      <c r="D326" s="435">
        <v>2884.194</v>
      </c>
      <c r="E326" s="435">
        <v>1.49</v>
      </c>
      <c r="F326" s="215">
        <v>0</v>
      </c>
      <c r="G326" s="215">
        <v>0</v>
      </c>
    </row>
    <row r="327" spans="1:7">
      <c r="A327" s="926" t="s">
        <v>1607</v>
      </c>
      <c r="B327" s="423" t="s">
        <v>2914</v>
      </c>
      <c r="C327" s="435">
        <v>1.2459</v>
      </c>
      <c r="D327" s="435">
        <v>1455.5650000000001</v>
      </c>
      <c r="E327" s="435">
        <v>1.36</v>
      </c>
      <c r="F327" s="215">
        <v>0</v>
      </c>
      <c r="G327" s="215">
        <v>159820</v>
      </c>
    </row>
    <row r="328" spans="1:7">
      <c r="A328" s="926" t="s">
        <v>2482</v>
      </c>
      <c r="B328" s="423" t="s">
        <v>2915</v>
      </c>
      <c r="C328" s="435">
        <v>1.3257000000000001</v>
      </c>
      <c r="D328" s="435">
        <v>1660.902</v>
      </c>
      <c r="E328" s="435">
        <v>1.45</v>
      </c>
      <c r="F328" s="215">
        <v>0</v>
      </c>
      <c r="G328" s="215">
        <v>190887</v>
      </c>
    </row>
    <row r="329" spans="1:7">
      <c r="A329" s="926" t="s">
        <v>2484</v>
      </c>
      <c r="B329" s="423" t="s">
        <v>2916</v>
      </c>
      <c r="C329" s="435">
        <v>1.37</v>
      </c>
      <c r="D329" s="435">
        <v>1089.818</v>
      </c>
      <c r="E329" s="435">
        <v>1.5</v>
      </c>
      <c r="F329" s="215">
        <v>0</v>
      </c>
      <c r="G329" s="215">
        <v>73000</v>
      </c>
    </row>
    <row r="330" spans="1:7">
      <c r="A330" s="926" t="s">
        <v>2486</v>
      </c>
      <c r="B330" s="423" t="s">
        <v>2917</v>
      </c>
      <c r="C330" s="435">
        <v>1.3701000000000001</v>
      </c>
      <c r="D330" s="435">
        <v>426.96499999999997</v>
      </c>
      <c r="E330" s="435">
        <v>1.5</v>
      </c>
      <c r="F330" s="215">
        <v>0</v>
      </c>
      <c r="G330" s="215">
        <v>47359</v>
      </c>
    </row>
    <row r="331" spans="1:7">
      <c r="A331" s="926" t="s">
        <v>2488</v>
      </c>
      <c r="B331" s="423" t="s">
        <v>2918</v>
      </c>
      <c r="C331" s="435">
        <v>1.19</v>
      </c>
      <c r="D331" s="435">
        <v>148.119</v>
      </c>
      <c r="E331" s="435">
        <v>1.3</v>
      </c>
      <c r="F331" s="215">
        <v>0</v>
      </c>
      <c r="G331" s="215">
        <v>19908</v>
      </c>
    </row>
    <row r="332" spans="1:7">
      <c r="A332" s="926" t="s">
        <v>2834</v>
      </c>
      <c r="B332" s="423" t="s">
        <v>1002</v>
      </c>
      <c r="C332" s="435">
        <v>1.5</v>
      </c>
      <c r="D332" s="435">
        <v>766.61800000000005</v>
      </c>
      <c r="E332" s="435">
        <v>1.5</v>
      </c>
      <c r="F332" s="215">
        <v>0</v>
      </c>
      <c r="G332" s="215">
        <v>47231</v>
      </c>
    </row>
    <row r="333" spans="1:7">
      <c r="A333" s="926" t="s">
        <v>445</v>
      </c>
      <c r="B333" s="423" t="s">
        <v>5294</v>
      </c>
      <c r="C333" s="435">
        <v>1.4335</v>
      </c>
      <c r="D333" s="435">
        <v>2153.279</v>
      </c>
      <c r="E333" s="435">
        <v>1.425</v>
      </c>
      <c r="F333" s="215">
        <v>0</v>
      </c>
      <c r="G333" s="215">
        <v>163886</v>
      </c>
    </row>
    <row r="334" spans="1:7">
      <c r="A334" s="926" t="s">
        <v>2490</v>
      </c>
      <c r="B334" s="423" t="s">
        <v>2919</v>
      </c>
      <c r="C334" s="435">
        <v>1.1950000000000001</v>
      </c>
      <c r="D334" s="435">
        <v>540.80200000000002</v>
      </c>
      <c r="E334" s="435">
        <v>1.28</v>
      </c>
      <c r="F334" s="215">
        <v>0</v>
      </c>
      <c r="G334" s="215">
        <v>21695</v>
      </c>
    </row>
    <row r="335" spans="1:7">
      <c r="A335" s="926" t="s">
        <v>2492</v>
      </c>
      <c r="B335" s="423" t="s">
        <v>2920</v>
      </c>
      <c r="C335" s="435">
        <v>1.0863</v>
      </c>
      <c r="D335" s="435">
        <v>137.358</v>
      </c>
      <c r="E335" s="435">
        <v>1.18</v>
      </c>
      <c r="F335" s="215">
        <v>0</v>
      </c>
      <c r="G335" s="215">
        <v>11390</v>
      </c>
    </row>
    <row r="336" spans="1:7">
      <c r="A336" s="926" t="s">
        <v>2494</v>
      </c>
      <c r="B336" s="423" t="s">
        <v>2921</v>
      </c>
      <c r="C336" s="435">
        <v>0.94</v>
      </c>
      <c r="D336" s="435">
        <v>2060.7339999999999</v>
      </c>
      <c r="E336" s="435">
        <v>1.01</v>
      </c>
      <c r="F336" s="215">
        <v>0</v>
      </c>
      <c r="G336" s="215">
        <v>181614</v>
      </c>
    </row>
    <row r="337" spans="1:7">
      <c r="A337" s="926" t="s">
        <v>2498</v>
      </c>
      <c r="B337" s="423" t="s">
        <v>2922</v>
      </c>
      <c r="C337" s="435">
        <v>1.37</v>
      </c>
      <c r="D337" s="435">
        <v>6686.4409999999998</v>
      </c>
      <c r="E337" s="435">
        <v>1.5</v>
      </c>
      <c r="F337" s="215">
        <v>0</v>
      </c>
      <c r="G337" s="215">
        <v>678917</v>
      </c>
    </row>
    <row r="338" spans="1:7">
      <c r="A338" s="926" t="s">
        <v>1670</v>
      </c>
      <c r="B338" s="423" t="s">
        <v>2923</v>
      </c>
      <c r="C338" s="435">
        <v>1.37</v>
      </c>
      <c r="D338" s="435">
        <v>7990.56</v>
      </c>
      <c r="E338" s="435">
        <v>1.5</v>
      </c>
      <c r="F338" s="215">
        <v>0</v>
      </c>
      <c r="G338" s="215">
        <v>443334</v>
      </c>
    </row>
    <row r="339" spans="1:7">
      <c r="A339" s="926" t="s">
        <v>1867</v>
      </c>
      <c r="B339" s="423" t="s">
        <v>3846</v>
      </c>
      <c r="C339" s="435">
        <v>1.5</v>
      </c>
      <c r="D339" s="435">
        <v>227.76400000000001</v>
      </c>
      <c r="E339" s="435">
        <v>1.5</v>
      </c>
      <c r="F339" s="215">
        <v>0</v>
      </c>
      <c r="G339" s="215">
        <v>16825</v>
      </c>
    </row>
    <row r="340" spans="1:7">
      <c r="A340" s="926" t="s">
        <v>1672</v>
      </c>
      <c r="B340" s="423" t="s">
        <v>2924</v>
      </c>
      <c r="C340" s="435">
        <v>1.37</v>
      </c>
      <c r="D340" s="435">
        <v>3518.3090000000002</v>
      </c>
      <c r="E340" s="435">
        <v>1.5</v>
      </c>
      <c r="F340" s="215">
        <v>0</v>
      </c>
      <c r="G340" s="215">
        <v>212303</v>
      </c>
    </row>
    <row r="341" spans="1:7">
      <c r="A341" s="926" t="s">
        <v>1674</v>
      </c>
      <c r="B341" s="423" t="s">
        <v>2925</v>
      </c>
      <c r="C341" s="435">
        <v>1.3701000000000001</v>
      </c>
      <c r="D341" s="435">
        <v>5394.0749999999998</v>
      </c>
      <c r="E341" s="435">
        <v>1.5</v>
      </c>
      <c r="F341" s="215">
        <v>0</v>
      </c>
      <c r="G341" s="215">
        <v>181940</v>
      </c>
    </row>
    <row r="342" spans="1:7">
      <c r="A342" s="926" t="s">
        <v>5048</v>
      </c>
      <c r="B342" s="423" t="s">
        <v>2926</v>
      </c>
      <c r="C342" s="435">
        <v>1.3701000000000001</v>
      </c>
      <c r="D342" s="435">
        <v>1108.6569999999999</v>
      </c>
      <c r="E342" s="435">
        <v>1.5</v>
      </c>
      <c r="F342" s="215">
        <v>0</v>
      </c>
      <c r="G342" s="215">
        <v>89446</v>
      </c>
    </row>
    <row r="343" spans="1:7">
      <c r="A343" s="926" t="s">
        <v>2392</v>
      </c>
      <c r="B343" s="423" t="s">
        <v>1458</v>
      </c>
      <c r="C343" s="435">
        <v>1.325</v>
      </c>
      <c r="D343" s="435">
        <v>4235.6670000000004</v>
      </c>
      <c r="E343" s="435">
        <v>1.45</v>
      </c>
      <c r="F343" s="215">
        <v>0</v>
      </c>
      <c r="G343" s="215">
        <v>410941</v>
      </c>
    </row>
    <row r="344" spans="1:7">
      <c r="A344" s="926" t="s">
        <v>5050</v>
      </c>
      <c r="B344" s="423" t="s">
        <v>2927</v>
      </c>
      <c r="C344" s="435">
        <v>1.33</v>
      </c>
      <c r="D344" s="435">
        <v>32824.894999999997</v>
      </c>
      <c r="E344" s="435">
        <v>1.5</v>
      </c>
      <c r="F344" s="215">
        <v>464129</v>
      </c>
      <c r="G344" s="215">
        <v>1794753</v>
      </c>
    </row>
    <row r="345" spans="1:7">
      <c r="A345" s="926" t="s">
        <v>1311</v>
      </c>
      <c r="B345" s="423" t="s">
        <v>116</v>
      </c>
      <c r="C345" s="435">
        <v>1.37</v>
      </c>
      <c r="D345" s="435">
        <v>5493.7179999999998</v>
      </c>
      <c r="E345" s="435">
        <v>1.5</v>
      </c>
      <c r="F345" s="215">
        <v>0</v>
      </c>
      <c r="G345" s="215">
        <v>327646</v>
      </c>
    </row>
    <row r="346" spans="1:7">
      <c r="A346" s="926" t="s">
        <v>3222</v>
      </c>
      <c r="B346" s="423" t="s">
        <v>2928</v>
      </c>
      <c r="C346" s="435">
        <v>1.2473000000000001</v>
      </c>
      <c r="D346" s="435">
        <v>885.88099999999997</v>
      </c>
      <c r="E346" s="435">
        <v>1.3615999999999999</v>
      </c>
      <c r="F346" s="215">
        <v>0</v>
      </c>
      <c r="G346" s="215">
        <v>65525</v>
      </c>
    </row>
    <row r="347" spans="1:7">
      <c r="A347" s="926" t="s">
        <v>3224</v>
      </c>
      <c r="B347" s="423" t="s">
        <v>2929</v>
      </c>
      <c r="C347" s="435">
        <v>1.37</v>
      </c>
      <c r="D347" s="435">
        <v>147.13399999999999</v>
      </c>
      <c r="E347" s="435">
        <v>1.5</v>
      </c>
      <c r="F347" s="215">
        <v>0</v>
      </c>
      <c r="G347" s="215">
        <v>15191</v>
      </c>
    </row>
    <row r="348" spans="1:7">
      <c r="A348" s="926" t="s">
        <v>3226</v>
      </c>
      <c r="B348" s="423" t="s">
        <v>2930</v>
      </c>
      <c r="C348" s="435">
        <v>1.2324999999999999</v>
      </c>
      <c r="D348" s="435">
        <v>27.606000000000002</v>
      </c>
      <c r="E348" s="435">
        <v>1.39</v>
      </c>
      <c r="F348" s="215">
        <v>0</v>
      </c>
      <c r="G348" s="215">
        <v>0</v>
      </c>
    </row>
    <row r="349" spans="1:7">
      <c r="A349" s="926" t="s">
        <v>3228</v>
      </c>
      <c r="B349" s="423" t="s">
        <v>2931</v>
      </c>
      <c r="C349" s="435">
        <v>1.3174999999999999</v>
      </c>
      <c r="D349" s="435">
        <v>2675.9760000000001</v>
      </c>
      <c r="E349" s="435">
        <v>1.4517</v>
      </c>
      <c r="F349" s="215">
        <v>0</v>
      </c>
      <c r="G349" s="215">
        <v>269554</v>
      </c>
    </row>
    <row r="350" spans="1:7">
      <c r="A350" s="926" t="s">
        <v>3230</v>
      </c>
      <c r="B350" s="423" t="s">
        <v>2932</v>
      </c>
      <c r="C350" s="435">
        <v>1.2598</v>
      </c>
      <c r="D350" s="435">
        <v>538.07299999999998</v>
      </c>
      <c r="E350" s="435">
        <v>1.3756999999999999</v>
      </c>
      <c r="F350" s="215">
        <v>0</v>
      </c>
      <c r="G350" s="215">
        <v>116463</v>
      </c>
    </row>
    <row r="351" spans="1:7">
      <c r="A351" s="926" t="s">
        <v>3232</v>
      </c>
      <c r="B351" s="423" t="s">
        <v>3788</v>
      </c>
      <c r="C351" s="435">
        <v>1.3395999999999999</v>
      </c>
      <c r="D351" s="435">
        <v>278.10199999999998</v>
      </c>
      <c r="E351" s="435">
        <v>1.4657</v>
      </c>
      <c r="F351" s="215">
        <v>0</v>
      </c>
      <c r="G351" s="215">
        <v>78282</v>
      </c>
    </row>
    <row r="352" spans="1:7">
      <c r="A352" s="926" t="s">
        <v>1899</v>
      </c>
      <c r="B352" s="423" t="s">
        <v>3789</v>
      </c>
      <c r="C352" s="435">
        <v>1.2725</v>
      </c>
      <c r="D352" s="435">
        <v>1220.4010000000001</v>
      </c>
      <c r="E352" s="435">
        <v>1.39</v>
      </c>
      <c r="F352" s="215">
        <v>0</v>
      </c>
      <c r="G352" s="215">
        <v>180475</v>
      </c>
    </row>
    <row r="353" spans="1:7">
      <c r="A353" s="926" t="s">
        <v>1853</v>
      </c>
      <c r="B353" s="423" t="s">
        <v>4964</v>
      </c>
      <c r="C353" s="435">
        <v>1.2313000000000001</v>
      </c>
      <c r="D353" s="435">
        <v>2308.6460000000002</v>
      </c>
      <c r="E353" s="435">
        <v>1.3434999999999999</v>
      </c>
      <c r="F353" s="215">
        <v>0</v>
      </c>
      <c r="G353" s="215">
        <v>247199</v>
      </c>
    </row>
    <row r="354" spans="1:7">
      <c r="A354" s="926" t="s">
        <v>1901</v>
      </c>
      <c r="B354" s="423" t="s">
        <v>3790</v>
      </c>
      <c r="C354" s="435">
        <v>1.222</v>
      </c>
      <c r="D354" s="435">
        <v>938.82100000000003</v>
      </c>
      <c r="E354" s="435">
        <v>1.3331999999999999</v>
      </c>
      <c r="F354" s="215">
        <v>0</v>
      </c>
      <c r="G354" s="215">
        <v>154638</v>
      </c>
    </row>
    <row r="355" spans="1:7">
      <c r="A355" s="926" t="s">
        <v>1903</v>
      </c>
      <c r="B355" s="423" t="s">
        <v>3791</v>
      </c>
      <c r="C355" s="435">
        <v>1.3345</v>
      </c>
      <c r="D355" s="435">
        <v>212.52199999999999</v>
      </c>
      <c r="E355" s="435">
        <v>1.46</v>
      </c>
      <c r="F355" s="215">
        <v>0</v>
      </c>
      <c r="G355" s="215">
        <v>35821</v>
      </c>
    </row>
    <row r="356" spans="1:7">
      <c r="A356" s="926" t="s">
        <v>52</v>
      </c>
      <c r="B356" s="423" t="s">
        <v>5666</v>
      </c>
      <c r="C356" s="435">
        <v>1.37</v>
      </c>
      <c r="D356" s="435">
        <v>152.31399999999999</v>
      </c>
      <c r="E356" s="435">
        <v>1.5</v>
      </c>
      <c r="F356" s="215">
        <v>0</v>
      </c>
      <c r="G356" s="215">
        <v>15461</v>
      </c>
    </row>
    <row r="357" spans="1:7">
      <c r="A357" s="926" t="s">
        <v>54</v>
      </c>
      <c r="B357" s="423" t="s">
        <v>5667</v>
      </c>
      <c r="C357" s="435">
        <v>1.37</v>
      </c>
      <c r="D357" s="435">
        <v>201.32300000000001</v>
      </c>
      <c r="E357" s="435">
        <v>1.5</v>
      </c>
      <c r="F357" s="215">
        <v>0</v>
      </c>
      <c r="G357" s="215">
        <v>23148</v>
      </c>
    </row>
    <row r="358" spans="1:7">
      <c r="A358" s="926" t="s">
        <v>6191</v>
      </c>
      <c r="B358" s="423" t="s">
        <v>3629</v>
      </c>
      <c r="C358" s="435">
        <v>1.37</v>
      </c>
      <c r="D358" s="435">
        <v>3062.5619999999999</v>
      </c>
      <c r="E358" s="435">
        <v>1.5</v>
      </c>
      <c r="F358" s="215">
        <v>0</v>
      </c>
      <c r="G358" s="215">
        <v>127358</v>
      </c>
    </row>
    <row r="359" spans="1:7">
      <c r="A359" s="926" t="s">
        <v>732</v>
      </c>
      <c r="B359" s="423" t="s">
        <v>5668</v>
      </c>
      <c r="C359" s="435">
        <v>1.21</v>
      </c>
      <c r="D359" s="435">
        <v>33.866</v>
      </c>
      <c r="E359" s="435">
        <v>1.32</v>
      </c>
      <c r="F359" s="215">
        <v>0</v>
      </c>
      <c r="G359" s="215">
        <v>10482</v>
      </c>
    </row>
    <row r="360" spans="1:7">
      <c r="A360" s="926" t="s">
        <v>949</v>
      </c>
      <c r="B360" s="423" t="s">
        <v>7653</v>
      </c>
      <c r="C360" s="435">
        <v>1.43</v>
      </c>
      <c r="D360" s="435">
        <v>730.59400000000005</v>
      </c>
      <c r="E360" s="435">
        <v>1.43</v>
      </c>
      <c r="F360" s="215">
        <v>0</v>
      </c>
      <c r="G360" s="215">
        <v>53724</v>
      </c>
    </row>
    <row r="361" spans="1:7">
      <c r="A361" s="926" t="s">
        <v>3980</v>
      </c>
      <c r="B361" s="423" t="s">
        <v>5669</v>
      </c>
      <c r="C361" s="435">
        <v>1.3280000000000001</v>
      </c>
      <c r="D361" s="435">
        <v>545.98099999999999</v>
      </c>
      <c r="E361" s="435">
        <v>1.4523999999999999</v>
      </c>
      <c r="F361" s="215">
        <v>52438</v>
      </c>
      <c r="G361" s="215">
        <v>17722</v>
      </c>
    </row>
    <row r="362" spans="1:7">
      <c r="A362" s="926" t="s">
        <v>3982</v>
      </c>
      <c r="B362" s="423" t="s">
        <v>5670</v>
      </c>
      <c r="C362" s="435">
        <v>1.36</v>
      </c>
      <c r="D362" s="435">
        <v>4148.1750000000002</v>
      </c>
      <c r="E362" s="435">
        <v>1.49</v>
      </c>
      <c r="F362" s="215">
        <v>0</v>
      </c>
      <c r="G362" s="215">
        <v>229954</v>
      </c>
    </row>
    <row r="363" spans="1:7">
      <c r="A363" s="926" t="s">
        <v>1871</v>
      </c>
      <c r="B363" s="423" t="s">
        <v>3851</v>
      </c>
      <c r="C363" s="435">
        <v>1.3701000000000001</v>
      </c>
      <c r="D363" s="435">
        <v>958.47699999999998</v>
      </c>
      <c r="E363" s="435">
        <v>1.5</v>
      </c>
      <c r="F363" s="215">
        <v>0</v>
      </c>
      <c r="G363" s="215">
        <v>55879</v>
      </c>
    </row>
    <row r="364" spans="1:7">
      <c r="A364" s="926" t="s">
        <v>3116</v>
      </c>
      <c r="B364" s="423" t="s">
        <v>5242</v>
      </c>
      <c r="C364" s="435">
        <v>1.37</v>
      </c>
      <c r="D364" s="435">
        <v>5893.9989999999998</v>
      </c>
      <c r="E364" s="435">
        <v>1.5</v>
      </c>
      <c r="F364" s="215">
        <v>0</v>
      </c>
      <c r="G364" s="215">
        <v>278305</v>
      </c>
    </row>
    <row r="365" spans="1:7">
      <c r="A365" s="926" t="s">
        <v>3118</v>
      </c>
      <c r="B365" s="423" t="s">
        <v>5243</v>
      </c>
      <c r="C365" s="435">
        <v>1.3226</v>
      </c>
      <c r="D365" s="435">
        <v>162.26400000000001</v>
      </c>
      <c r="E365" s="435">
        <v>1.45</v>
      </c>
      <c r="F365" s="215">
        <v>0</v>
      </c>
      <c r="G365" s="215">
        <v>19120</v>
      </c>
    </row>
    <row r="366" spans="1:7">
      <c r="A366" s="926" t="s">
        <v>2836</v>
      </c>
      <c r="B366" s="423" t="s">
        <v>5373</v>
      </c>
      <c r="C366" s="435">
        <v>1.37</v>
      </c>
      <c r="D366" s="435">
        <v>1320.846</v>
      </c>
      <c r="E366" s="435">
        <v>1.5</v>
      </c>
      <c r="F366" s="215">
        <v>0</v>
      </c>
      <c r="G366" s="215">
        <v>64404</v>
      </c>
    </row>
    <row r="367" spans="1:7">
      <c r="A367" s="926" t="s">
        <v>2838</v>
      </c>
      <c r="B367" s="423" t="s">
        <v>4071</v>
      </c>
      <c r="C367" s="435">
        <v>1.37</v>
      </c>
      <c r="D367" s="435">
        <v>1553.502</v>
      </c>
      <c r="E367" s="435">
        <v>1.5</v>
      </c>
      <c r="F367" s="215">
        <v>0</v>
      </c>
      <c r="G367" s="215">
        <v>132978</v>
      </c>
    </row>
    <row r="368" spans="1:7">
      <c r="A368" s="926" t="s">
        <v>5220</v>
      </c>
      <c r="B368" s="423" t="s">
        <v>5244</v>
      </c>
      <c r="C368" s="435">
        <v>1.46</v>
      </c>
      <c r="D368" s="435">
        <v>752.02300000000002</v>
      </c>
      <c r="E368" s="435">
        <v>1.46</v>
      </c>
      <c r="F368" s="215">
        <v>0</v>
      </c>
      <c r="G368" s="215">
        <v>65354</v>
      </c>
    </row>
    <row r="369" spans="1:7">
      <c r="A369" s="926" t="s">
        <v>5129</v>
      </c>
      <c r="B369" s="423" t="s">
        <v>347</v>
      </c>
      <c r="C369" s="435">
        <v>1.276</v>
      </c>
      <c r="D369" s="435">
        <v>1241.2950000000001</v>
      </c>
      <c r="E369" s="435">
        <v>1.44</v>
      </c>
      <c r="F369" s="215">
        <v>0</v>
      </c>
      <c r="G369" s="215">
        <v>85021</v>
      </c>
    </row>
    <row r="370" spans="1:7">
      <c r="A370" s="926" t="s">
        <v>5222</v>
      </c>
      <c r="B370" s="423" t="s">
        <v>3192</v>
      </c>
      <c r="C370" s="435">
        <v>1.363</v>
      </c>
      <c r="D370" s="435">
        <v>818.95</v>
      </c>
      <c r="E370" s="435">
        <v>1.4954000000000001</v>
      </c>
      <c r="F370" s="215">
        <v>0</v>
      </c>
      <c r="G370" s="215">
        <v>117841</v>
      </c>
    </row>
    <row r="371" spans="1:7">
      <c r="A371" s="926" t="s">
        <v>1858</v>
      </c>
      <c r="B371" s="423" t="s">
        <v>3914</v>
      </c>
      <c r="C371" s="435">
        <v>1.3168</v>
      </c>
      <c r="D371" s="435">
        <v>810.76400000000001</v>
      </c>
      <c r="E371" s="435">
        <v>1.44</v>
      </c>
      <c r="F371" s="215">
        <v>0</v>
      </c>
      <c r="G371" s="215">
        <v>231691</v>
      </c>
    </row>
    <row r="372" spans="1:7">
      <c r="A372" s="926" t="s">
        <v>5224</v>
      </c>
      <c r="B372" s="423" t="s">
        <v>7160</v>
      </c>
      <c r="C372" s="435">
        <v>1.2898000000000001</v>
      </c>
      <c r="D372" s="435">
        <v>820.27</v>
      </c>
      <c r="E372" s="435">
        <v>1.4095</v>
      </c>
      <c r="F372" s="215">
        <v>0</v>
      </c>
      <c r="G372" s="215">
        <v>73572</v>
      </c>
    </row>
    <row r="373" spans="1:7">
      <c r="A373" s="926" t="s">
        <v>5228</v>
      </c>
      <c r="B373" s="423" t="s">
        <v>7161</v>
      </c>
      <c r="C373" s="435">
        <v>1.3043</v>
      </c>
      <c r="D373" s="435">
        <v>2021.85</v>
      </c>
      <c r="E373" s="435">
        <v>1.4258</v>
      </c>
      <c r="F373" s="215">
        <v>0</v>
      </c>
      <c r="G373" s="215">
        <v>282167</v>
      </c>
    </row>
    <row r="374" spans="1:7">
      <c r="A374" s="926" t="s">
        <v>5230</v>
      </c>
      <c r="B374" s="423" t="s">
        <v>7162</v>
      </c>
      <c r="C374" s="435">
        <v>1.37</v>
      </c>
      <c r="D374" s="435">
        <v>3409.23</v>
      </c>
      <c r="E374" s="435">
        <v>1.5</v>
      </c>
      <c r="F374" s="215">
        <v>0</v>
      </c>
      <c r="G374" s="215">
        <v>234121</v>
      </c>
    </row>
    <row r="375" spans="1:7">
      <c r="A375" s="926" t="s">
        <v>2994</v>
      </c>
      <c r="B375" s="423" t="s">
        <v>199</v>
      </c>
      <c r="C375" s="435">
        <v>1.37</v>
      </c>
      <c r="D375" s="435">
        <v>7642.83</v>
      </c>
      <c r="E375" s="435">
        <v>1.5</v>
      </c>
      <c r="F375" s="215">
        <v>0</v>
      </c>
      <c r="G375" s="215">
        <v>596344</v>
      </c>
    </row>
    <row r="376" spans="1:7">
      <c r="A376" s="926" t="s">
        <v>7723</v>
      </c>
      <c r="B376" s="423" t="s">
        <v>7163</v>
      </c>
      <c r="C376" s="435">
        <v>1.37</v>
      </c>
      <c r="D376" s="435">
        <v>4338.4629999999997</v>
      </c>
      <c r="E376" s="435">
        <v>1.5</v>
      </c>
      <c r="F376" s="215">
        <v>0</v>
      </c>
      <c r="G376" s="215">
        <v>206822</v>
      </c>
    </row>
    <row r="377" spans="1:7">
      <c r="A377" s="926" t="s">
        <v>221</v>
      </c>
      <c r="B377" s="423" t="s">
        <v>7164</v>
      </c>
      <c r="C377" s="435">
        <v>1.37</v>
      </c>
      <c r="D377" s="435">
        <v>1197.9179999999999</v>
      </c>
      <c r="E377" s="435">
        <v>1.5</v>
      </c>
      <c r="F377" s="215">
        <v>0</v>
      </c>
      <c r="G377" s="215">
        <v>115766</v>
      </c>
    </row>
    <row r="378" spans="1:7">
      <c r="A378" s="926" t="s">
        <v>2406</v>
      </c>
      <c r="B378" s="423" t="s">
        <v>2351</v>
      </c>
      <c r="C378" s="435">
        <v>1.37</v>
      </c>
      <c r="D378" s="435">
        <v>1686.152</v>
      </c>
      <c r="E378" s="435">
        <v>1.5</v>
      </c>
      <c r="F378" s="215">
        <v>0</v>
      </c>
      <c r="G378" s="215">
        <v>37145</v>
      </c>
    </row>
    <row r="379" spans="1:7">
      <c r="A379" s="926" t="s">
        <v>223</v>
      </c>
      <c r="B379" s="423" t="s">
        <v>7165</v>
      </c>
      <c r="C379" s="435">
        <v>1.37</v>
      </c>
      <c r="D379" s="435">
        <v>1287.538</v>
      </c>
      <c r="E379" s="435">
        <v>1.5</v>
      </c>
      <c r="F379" s="215">
        <v>0</v>
      </c>
      <c r="G379" s="215">
        <v>48230</v>
      </c>
    </row>
    <row r="380" spans="1:7">
      <c r="A380" s="926" t="s">
        <v>225</v>
      </c>
      <c r="B380" s="423" t="s">
        <v>7166</v>
      </c>
      <c r="C380" s="435">
        <v>1.37</v>
      </c>
      <c r="D380" s="435">
        <v>556.28200000000004</v>
      </c>
      <c r="E380" s="435">
        <v>1.5</v>
      </c>
      <c r="F380" s="215">
        <v>0</v>
      </c>
      <c r="G380" s="215">
        <v>88281</v>
      </c>
    </row>
    <row r="381" spans="1:7">
      <c r="A381" s="926" t="s">
        <v>227</v>
      </c>
      <c r="B381" s="423" t="s">
        <v>7167</v>
      </c>
      <c r="C381" s="435">
        <v>1.2989999999999999</v>
      </c>
      <c r="D381" s="435">
        <v>465.66699999999997</v>
      </c>
      <c r="E381" s="435">
        <v>1.42</v>
      </c>
      <c r="F381" s="215">
        <v>0</v>
      </c>
      <c r="G381" s="215">
        <v>73129</v>
      </c>
    </row>
    <row r="382" spans="1:7">
      <c r="A382" s="926" t="s">
        <v>229</v>
      </c>
      <c r="B382" s="423" t="s">
        <v>7168</v>
      </c>
      <c r="C382" s="435">
        <v>1.37</v>
      </c>
      <c r="D382" s="435">
        <v>2701.373</v>
      </c>
      <c r="E382" s="435">
        <v>1.5</v>
      </c>
      <c r="F382" s="215">
        <v>0</v>
      </c>
      <c r="G382" s="215">
        <v>330697</v>
      </c>
    </row>
    <row r="383" spans="1:7">
      <c r="A383" s="926" t="s">
        <v>4039</v>
      </c>
      <c r="B383" s="423" t="s">
        <v>7169</v>
      </c>
      <c r="C383" s="435">
        <v>1.37</v>
      </c>
      <c r="D383" s="435">
        <v>148.41</v>
      </c>
      <c r="E383" s="435">
        <v>1.5</v>
      </c>
      <c r="F383" s="215">
        <v>0</v>
      </c>
      <c r="G383" s="215">
        <v>0</v>
      </c>
    </row>
    <row r="384" spans="1:7">
      <c r="A384" s="926" t="s">
        <v>2396</v>
      </c>
      <c r="B384" s="423" t="s">
        <v>1463</v>
      </c>
      <c r="C384" s="435">
        <v>1.37</v>
      </c>
      <c r="D384" s="435">
        <v>6962.6369999999997</v>
      </c>
      <c r="E384" s="435">
        <v>1.5</v>
      </c>
      <c r="F384" s="215">
        <v>0</v>
      </c>
      <c r="G384" s="215">
        <v>693880</v>
      </c>
    </row>
    <row r="385" spans="1:7">
      <c r="A385" s="926" t="s">
        <v>2394</v>
      </c>
      <c r="B385" s="423" t="s">
        <v>1461</v>
      </c>
      <c r="C385" s="435">
        <v>1.37</v>
      </c>
      <c r="D385" s="435">
        <v>8111.134</v>
      </c>
      <c r="E385" s="435">
        <v>1.5</v>
      </c>
      <c r="F385" s="215">
        <v>226796</v>
      </c>
      <c r="G385" s="215">
        <v>549798</v>
      </c>
    </row>
    <row r="386" spans="1:7">
      <c r="A386" s="926" t="s">
        <v>4042</v>
      </c>
      <c r="B386" s="423" t="s">
        <v>7170</v>
      </c>
      <c r="C386" s="435">
        <v>1.5</v>
      </c>
      <c r="D386" s="435">
        <v>1382.4349999999999</v>
      </c>
      <c r="E386" s="435">
        <v>1.5</v>
      </c>
      <c r="F386" s="215">
        <v>0</v>
      </c>
      <c r="G386" s="215">
        <v>163782</v>
      </c>
    </row>
    <row r="387" spans="1:7">
      <c r="A387" s="926" t="s">
        <v>3004</v>
      </c>
      <c r="B387" s="423" t="s">
        <v>6065</v>
      </c>
      <c r="C387" s="435">
        <v>1.37</v>
      </c>
      <c r="D387" s="435">
        <v>1348.3620000000001</v>
      </c>
      <c r="E387" s="435">
        <v>1.5</v>
      </c>
      <c r="F387" s="215">
        <v>0</v>
      </c>
      <c r="G387" s="215">
        <v>183681</v>
      </c>
    </row>
    <row r="388" spans="1:7">
      <c r="A388" s="926" t="s">
        <v>4044</v>
      </c>
      <c r="B388" s="423" t="s">
        <v>5272</v>
      </c>
      <c r="C388" s="435">
        <v>1.37</v>
      </c>
      <c r="D388" s="435">
        <v>746.30100000000004</v>
      </c>
      <c r="E388" s="435">
        <v>1.5</v>
      </c>
      <c r="F388" s="215">
        <v>0</v>
      </c>
      <c r="G388" s="215">
        <v>23386</v>
      </c>
    </row>
    <row r="389" spans="1:7">
      <c r="A389" s="926" t="s">
        <v>4046</v>
      </c>
      <c r="B389" s="423" t="s">
        <v>5273</v>
      </c>
      <c r="C389" s="435">
        <v>1.37</v>
      </c>
      <c r="D389" s="435">
        <v>136.61600000000001</v>
      </c>
      <c r="E389" s="435">
        <v>1.5</v>
      </c>
      <c r="F389" s="215">
        <v>0</v>
      </c>
      <c r="G389" s="215">
        <v>26293</v>
      </c>
    </row>
    <row r="390" spans="1:7">
      <c r="A390" s="926" t="s">
        <v>5402</v>
      </c>
      <c r="B390" s="423" t="s">
        <v>5274</v>
      </c>
      <c r="C390" s="435">
        <v>1.37</v>
      </c>
      <c r="D390" s="435">
        <v>571.81299999999999</v>
      </c>
      <c r="E390" s="435">
        <v>1.5</v>
      </c>
      <c r="F390" s="215">
        <v>0</v>
      </c>
      <c r="G390" s="215">
        <v>19215</v>
      </c>
    </row>
    <row r="391" spans="1:7">
      <c r="A391" s="926" t="s">
        <v>5404</v>
      </c>
      <c r="B391" s="423" t="s">
        <v>5275</v>
      </c>
      <c r="C391" s="435">
        <v>1.37</v>
      </c>
      <c r="D391" s="435">
        <v>312.77999999999997</v>
      </c>
      <c r="E391" s="435">
        <v>1.5</v>
      </c>
      <c r="F391" s="215">
        <v>0</v>
      </c>
      <c r="G391" s="215">
        <v>25896</v>
      </c>
    </row>
    <row r="392" spans="1:7">
      <c r="A392" s="926" t="s">
        <v>423</v>
      </c>
      <c r="B392" s="423" t="s">
        <v>5276</v>
      </c>
      <c r="C392" s="435">
        <v>1.37</v>
      </c>
      <c r="D392" s="435">
        <v>5596.8159999999998</v>
      </c>
      <c r="E392" s="435">
        <v>1.5</v>
      </c>
      <c r="F392" s="215">
        <v>0</v>
      </c>
      <c r="G392" s="215">
        <v>420792</v>
      </c>
    </row>
    <row r="393" spans="1:7">
      <c r="A393" s="926" t="s">
        <v>425</v>
      </c>
      <c r="B393" s="423" t="s">
        <v>5277</v>
      </c>
      <c r="C393" s="435">
        <v>1.37</v>
      </c>
      <c r="D393" s="435">
        <v>499.952</v>
      </c>
      <c r="E393" s="435">
        <v>1.5</v>
      </c>
      <c r="F393" s="215">
        <v>0</v>
      </c>
      <c r="G393" s="215">
        <v>32603</v>
      </c>
    </row>
    <row r="394" spans="1:7">
      <c r="A394" s="926" t="s">
        <v>427</v>
      </c>
      <c r="B394" s="423" t="s">
        <v>5278</v>
      </c>
      <c r="C394" s="435">
        <v>1.26</v>
      </c>
      <c r="D394" s="435">
        <v>242.01</v>
      </c>
      <c r="E394" s="435">
        <v>1.4</v>
      </c>
      <c r="F394" s="215">
        <v>0</v>
      </c>
      <c r="G394" s="215">
        <v>41067</v>
      </c>
    </row>
    <row r="395" spans="1:7">
      <c r="A395" s="926" t="s">
        <v>429</v>
      </c>
      <c r="B395" s="423" t="s">
        <v>7819</v>
      </c>
      <c r="C395" s="435">
        <v>1.3080000000000001</v>
      </c>
      <c r="D395" s="435">
        <v>830.048</v>
      </c>
      <c r="E395" s="435">
        <v>1.43</v>
      </c>
      <c r="F395" s="215">
        <v>0</v>
      </c>
      <c r="G395" s="215">
        <v>69594</v>
      </c>
    </row>
    <row r="396" spans="1:7">
      <c r="A396" s="926" t="s">
        <v>446</v>
      </c>
      <c r="B396" s="423" t="s">
        <v>3844</v>
      </c>
      <c r="C396" s="435">
        <v>1.29</v>
      </c>
      <c r="D396" s="435">
        <v>658.73400000000004</v>
      </c>
      <c r="E396" s="435">
        <v>1.41</v>
      </c>
      <c r="F396" s="215">
        <v>0</v>
      </c>
      <c r="G396" s="215">
        <v>54974</v>
      </c>
    </row>
    <row r="397" spans="1:7">
      <c r="A397" s="926" t="s">
        <v>431</v>
      </c>
      <c r="B397" s="423" t="s">
        <v>5280</v>
      </c>
      <c r="C397" s="435">
        <v>1.33</v>
      </c>
      <c r="D397" s="435">
        <v>387.45</v>
      </c>
      <c r="E397" s="435">
        <v>1.5</v>
      </c>
      <c r="F397" s="215">
        <v>0</v>
      </c>
      <c r="G397" s="215">
        <v>63917</v>
      </c>
    </row>
    <row r="398" spans="1:7">
      <c r="A398" s="926" t="s">
        <v>4945</v>
      </c>
      <c r="B398" s="423" t="s">
        <v>5281</v>
      </c>
      <c r="C398" s="435">
        <v>1.3035000000000001</v>
      </c>
      <c r="D398" s="435">
        <v>91.992999999999995</v>
      </c>
      <c r="E398" s="435">
        <v>1.425</v>
      </c>
      <c r="F398" s="215">
        <v>0</v>
      </c>
      <c r="G398" s="215">
        <v>0</v>
      </c>
    </row>
    <row r="399" spans="1:7">
      <c r="A399" s="926" t="s">
        <v>4947</v>
      </c>
      <c r="B399" s="423" t="s">
        <v>5282</v>
      </c>
      <c r="C399" s="435">
        <v>1.37</v>
      </c>
      <c r="D399" s="435">
        <v>697.053</v>
      </c>
      <c r="E399" s="435">
        <v>1.5</v>
      </c>
      <c r="F399" s="215">
        <v>0</v>
      </c>
      <c r="G399" s="215">
        <v>27050</v>
      </c>
    </row>
    <row r="400" spans="1:7">
      <c r="A400" s="926" t="s">
        <v>4949</v>
      </c>
      <c r="B400" s="423" t="s">
        <v>5283</v>
      </c>
      <c r="C400" s="435">
        <v>1.33</v>
      </c>
      <c r="D400" s="435">
        <v>203.76300000000001</v>
      </c>
      <c r="E400" s="435">
        <v>1.45</v>
      </c>
      <c r="F400" s="215">
        <v>0</v>
      </c>
      <c r="G400" s="215">
        <v>29904</v>
      </c>
    </row>
    <row r="401" spans="1:7">
      <c r="A401" s="926" t="s">
        <v>4951</v>
      </c>
      <c r="B401" s="423" t="s">
        <v>5284</v>
      </c>
      <c r="C401" s="435">
        <v>1.26</v>
      </c>
      <c r="D401" s="435">
        <v>561.48500000000001</v>
      </c>
      <c r="E401" s="435">
        <v>1.44</v>
      </c>
      <c r="F401" s="215">
        <v>0</v>
      </c>
      <c r="G401" s="215">
        <v>31216</v>
      </c>
    </row>
    <row r="402" spans="1:7">
      <c r="A402" s="926" t="s">
        <v>1560</v>
      </c>
      <c r="B402" s="423" t="s">
        <v>5285</v>
      </c>
      <c r="C402" s="435">
        <v>1.339</v>
      </c>
      <c r="D402" s="435">
        <v>1308.894</v>
      </c>
      <c r="E402" s="435">
        <v>1.4650000000000001</v>
      </c>
      <c r="F402" s="215">
        <v>0</v>
      </c>
      <c r="G402" s="215">
        <v>114953</v>
      </c>
    </row>
    <row r="403" spans="1:7">
      <c r="A403" s="926" t="s">
        <v>2398</v>
      </c>
      <c r="B403" s="423" t="s">
        <v>1466</v>
      </c>
      <c r="C403" s="435">
        <v>1.48</v>
      </c>
      <c r="D403" s="435">
        <v>2762.4870000000001</v>
      </c>
      <c r="E403" s="435">
        <v>1.5</v>
      </c>
      <c r="F403" s="215">
        <v>0</v>
      </c>
      <c r="G403" s="215">
        <v>302181</v>
      </c>
    </row>
    <row r="404" spans="1:7">
      <c r="A404" s="926" t="s">
        <v>1562</v>
      </c>
      <c r="B404" s="423" t="s">
        <v>5286</v>
      </c>
      <c r="C404" s="435">
        <v>1.37</v>
      </c>
      <c r="D404" s="435">
        <v>1961.17</v>
      </c>
      <c r="E404" s="435">
        <v>1.5</v>
      </c>
      <c r="F404" s="215">
        <v>0</v>
      </c>
      <c r="G404" s="215">
        <v>275370</v>
      </c>
    </row>
    <row r="405" spans="1:7">
      <c r="A405" s="926" t="s">
        <v>2997</v>
      </c>
      <c r="B405" s="423" t="s">
        <v>6057</v>
      </c>
      <c r="C405" s="435">
        <v>1.3080000000000001</v>
      </c>
      <c r="D405" s="435">
        <v>3370.056</v>
      </c>
      <c r="E405" s="435">
        <v>1.43</v>
      </c>
      <c r="F405" s="215">
        <v>0</v>
      </c>
      <c r="G405" s="215">
        <v>352008</v>
      </c>
    </row>
    <row r="406" spans="1:7">
      <c r="A406" s="926" t="s">
        <v>856</v>
      </c>
      <c r="B406" s="423" t="s">
        <v>4066</v>
      </c>
      <c r="C406" s="435">
        <v>1.5</v>
      </c>
      <c r="D406" s="435">
        <v>566.30200000000002</v>
      </c>
      <c r="E406" s="435">
        <v>1.5</v>
      </c>
      <c r="F406" s="215">
        <v>0</v>
      </c>
      <c r="G406" s="215">
        <v>104428</v>
      </c>
    </row>
    <row r="407" spans="1:7">
      <c r="A407" s="926" t="s">
        <v>819</v>
      </c>
      <c r="B407" s="423" t="s">
        <v>3901</v>
      </c>
      <c r="C407" s="435">
        <v>1.494</v>
      </c>
      <c r="D407" s="435">
        <v>53493.006999999998</v>
      </c>
      <c r="E407" s="435">
        <v>1.64</v>
      </c>
      <c r="F407" s="215">
        <v>434067</v>
      </c>
      <c r="G407" s="215">
        <v>7305887</v>
      </c>
    </row>
    <row r="408" spans="1:7">
      <c r="A408" s="926" t="s">
        <v>3887</v>
      </c>
      <c r="B408" s="423" t="s">
        <v>1844</v>
      </c>
      <c r="C408" s="435">
        <v>1.37</v>
      </c>
      <c r="D408" s="435">
        <v>43237.752999999997</v>
      </c>
      <c r="E408" s="435">
        <v>1.5</v>
      </c>
      <c r="F408" s="215">
        <v>215579</v>
      </c>
      <c r="G408" s="215">
        <v>2391712</v>
      </c>
    </row>
    <row r="409" spans="1:7">
      <c r="A409" s="926" t="s">
        <v>1988</v>
      </c>
      <c r="B409" s="423" t="s">
        <v>303</v>
      </c>
      <c r="C409" s="435">
        <v>1.349</v>
      </c>
      <c r="D409" s="435">
        <v>7448.3919999999998</v>
      </c>
      <c r="E409" s="435">
        <v>1.4729000000000001</v>
      </c>
      <c r="F409" s="215">
        <v>203908</v>
      </c>
      <c r="G409" s="215">
        <v>431666</v>
      </c>
    </row>
    <row r="410" spans="1:7">
      <c r="A410" s="926" t="s">
        <v>245</v>
      </c>
      <c r="B410" s="423" t="s">
        <v>1667</v>
      </c>
      <c r="C410" s="435">
        <v>1.37</v>
      </c>
      <c r="D410" s="435">
        <v>4283.3890000000001</v>
      </c>
      <c r="E410" s="435">
        <v>1.5</v>
      </c>
      <c r="F410" s="215">
        <v>0</v>
      </c>
      <c r="G410" s="215">
        <v>702857</v>
      </c>
    </row>
    <row r="411" spans="1:7">
      <c r="A411" s="926" t="s">
        <v>1990</v>
      </c>
      <c r="B411" s="423" t="s">
        <v>304</v>
      </c>
      <c r="C411" s="435">
        <v>1.3540000000000001</v>
      </c>
      <c r="D411" s="435">
        <v>81493.862999999998</v>
      </c>
      <c r="E411" s="435">
        <v>1.5</v>
      </c>
      <c r="F411" s="215">
        <v>1309034</v>
      </c>
      <c r="G411" s="215">
        <v>5353348</v>
      </c>
    </row>
    <row r="412" spans="1:7">
      <c r="A412" s="926" t="s">
        <v>2115</v>
      </c>
      <c r="B412" s="423" t="s">
        <v>305</v>
      </c>
      <c r="C412" s="435">
        <v>1.4587000000000001</v>
      </c>
      <c r="D412" s="435">
        <v>11545.356</v>
      </c>
      <c r="E412" s="435">
        <v>1.6</v>
      </c>
      <c r="F412" s="215">
        <v>0</v>
      </c>
      <c r="G412" s="215">
        <v>497164</v>
      </c>
    </row>
    <row r="413" spans="1:7">
      <c r="A413" s="926" t="s">
        <v>6184</v>
      </c>
      <c r="B413" s="423" t="s">
        <v>1938</v>
      </c>
      <c r="C413" s="435">
        <v>1.3562000000000001</v>
      </c>
      <c r="D413" s="435">
        <v>8532.8629999999994</v>
      </c>
      <c r="E413" s="435">
        <v>1.4843999999999999</v>
      </c>
      <c r="F413" s="215">
        <v>0</v>
      </c>
      <c r="G413" s="215">
        <v>434059</v>
      </c>
    </row>
    <row r="414" spans="1:7">
      <c r="A414" s="926" t="s">
        <v>1315</v>
      </c>
      <c r="B414" s="423" t="s">
        <v>120</v>
      </c>
      <c r="C414" s="435">
        <v>1.4675</v>
      </c>
      <c r="D414" s="435">
        <v>19609.225999999999</v>
      </c>
      <c r="E414" s="435">
        <v>1.61</v>
      </c>
      <c r="F414" s="215">
        <v>112863</v>
      </c>
      <c r="G414" s="215">
        <v>826548</v>
      </c>
    </row>
    <row r="415" spans="1:7">
      <c r="A415" s="926" t="s">
        <v>5622</v>
      </c>
      <c r="B415" s="423" t="s">
        <v>306</v>
      </c>
      <c r="C415" s="435">
        <v>1.33</v>
      </c>
      <c r="D415" s="435">
        <v>18533.112000000001</v>
      </c>
      <c r="E415" s="435">
        <v>1.5</v>
      </c>
      <c r="F415" s="215">
        <v>0</v>
      </c>
      <c r="G415" s="215">
        <v>1771091</v>
      </c>
    </row>
    <row r="416" spans="1:7">
      <c r="A416" s="926" t="s">
        <v>5624</v>
      </c>
      <c r="B416" s="423" t="s">
        <v>95</v>
      </c>
      <c r="C416" s="435">
        <v>1.3257000000000001</v>
      </c>
      <c r="D416" s="435">
        <v>188257.77</v>
      </c>
      <c r="E416" s="435">
        <v>1.45</v>
      </c>
      <c r="F416" s="215">
        <v>663251</v>
      </c>
      <c r="G416" s="215">
        <v>14659409</v>
      </c>
    </row>
    <row r="417" spans="1:7">
      <c r="A417" s="926" t="s">
        <v>1873</v>
      </c>
      <c r="B417" s="423" t="s">
        <v>3856</v>
      </c>
      <c r="C417" s="435">
        <v>1.37</v>
      </c>
      <c r="D417" s="435">
        <v>27767.81</v>
      </c>
      <c r="E417" s="435">
        <v>1.5</v>
      </c>
      <c r="F417" s="215">
        <v>60488</v>
      </c>
      <c r="G417" s="215">
        <v>2099629</v>
      </c>
    </row>
    <row r="418" spans="1:7">
      <c r="A418" s="926" t="s">
        <v>6028</v>
      </c>
      <c r="B418" s="423" t="s">
        <v>1913</v>
      </c>
      <c r="C418" s="435">
        <v>1.4850000000000001</v>
      </c>
      <c r="D418" s="435">
        <v>45596.262000000002</v>
      </c>
      <c r="E418" s="435">
        <v>1.63</v>
      </c>
      <c r="F418" s="215">
        <v>616750</v>
      </c>
      <c r="G418" s="215">
        <v>2100058</v>
      </c>
    </row>
    <row r="419" spans="1:7">
      <c r="A419" s="926" t="s">
        <v>6035</v>
      </c>
      <c r="B419" s="423" t="s">
        <v>1923</v>
      </c>
      <c r="C419" s="435">
        <v>1.37</v>
      </c>
      <c r="D419" s="435">
        <v>37118.629000000001</v>
      </c>
      <c r="E419" s="435">
        <v>1.5</v>
      </c>
      <c r="F419" s="215">
        <v>190483</v>
      </c>
      <c r="G419" s="215">
        <v>1910206</v>
      </c>
    </row>
    <row r="420" spans="1:7">
      <c r="A420" s="926" t="s">
        <v>5626</v>
      </c>
      <c r="B420" s="423" t="s">
        <v>96</v>
      </c>
      <c r="C420" s="435">
        <v>1.37</v>
      </c>
      <c r="D420" s="435">
        <v>7315.1980000000003</v>
      </c>
      <c r="E420" s="435">
        <v>1.5</v>
      </c>
      <c r="F420" s="215">
        <v>0</v>
      </c>
      <c r="G420" s="215">
        <v>495406</v>
      </c>
    </row>
    <row r="421" spans="1:7">
      <c r="A421" s="926" t="s">
        <v>6194</v>
      </c>
      <c r="B421" s="423" t="s">
        <v>5292</v>
      </c>
      <c r="C421" s="435">
        <v>1.41</v>
      </c>
      <c r="D421" s="435">
        <v>45530.508999999998</v>
      </c>
      <c r="E421" s="435">
        <v>1.5449999999999999</v>
      </c>
      <c r="F421" s="215">
        <v>0</v>
      </c>
      <c r="G421" s="215">
        <v>1486548</v>
      </c>
    </row>
    <row r="422" spans="1:7">
      <c r="A422" s="926" t="s">
        <v>1539</v>
      </c>
      <c r="B422" s="423" t="s">
        <v>97</v>
      </c>
      <c r="C422" s="435">
        <v>1.31</v>
      </c>
      <c r="D422" s="435">
        <v>28988.733</v>
      </c>
      <c r="E422" s="435">
        <v>1.5</v>
      </c>
      <c r="F422" s="215">
        <v>373267</v>
      </c>
      <c r="G422" s="215">
        <v>1817959</v>
      </c>
    </row>
    <row r="423" spans="1:7">
      <c r="A423" s="926" t="s">
        <v>911</v>
      </c>
      <c r="B423" s="423" t="s">
        <v>98</v>
      </c>
      <c r="C423" s="435">
        <v>1.4365000000000001</v>
      </c>
      <c r="D423" s="435">
        <v>29808.186000000002</v>
      </c>
      <c r="E423" s="435">
        <v>1.575</v>
      </c>
      <c r="F423" s="215">
        <v>0</v>
      </c>
      <c r="G423" s="215">
        <v>1186418</v>
      </c>
    </row>
    <row r="424" spans="1:7">
      <c r="A424" s="926" t="s">
        <v>1428</v>
      </c>
      <c r="B424" s="423" t="s">
        <v>99</v>
      </c>
      <c r="C424" s="435">
        <v>1.29</v>
      </c>
      <c r="D424" s="435">
        <v>8512.2530000000006</v>
      </c>
      <c r="E424" s="435">
        <v>1.44</v>
      </c>
      <c r="F424" s="215">
        <v>0</v>
      </c>
      <c r="G424" s="215">
        <v>790004</v>
      </c>
    </row>
    <row r="425" spans="1:7">
      <c r="A425" s="926" t="s">
        <v>1430</v>
      </c>
      <c r="B425" s="423" t="s">
        <v>100</v>
      </c>
      <c r="C425" s="435">
        <v>1.37</v>
      </c>
      <c r="D425" s="435">
        <v>4869.4290000000001</v>
      </c>
      <c r="E425" s="435">
        <v>1.5</v>
      </c>
      <c r="F425" s="215">
        <v>16921</v>
      </c>
      <c r="G425" s="215">
        <v>560734</v>
      </c>
    </row>
    <row r="426" spans="1:7">
      <c r="A426" s="926" t="s">
        <v>4971</v>
      </c>
      <c r="B426" s="423" t="s">
        <v>3854</v>
      </c>
      <c r="C426" s="435">
        <v>1.37</v>
      </c>
      <c r="D426" s="435">
        <v>2824.6610000000001</v>
      </c>
      <c r="E426" s="435">
        <v>1.5</v>
      </c>
      <c r="F426" s="215">
        <v>228742</v>
      </c>
      <c r="G426" s="215">
        <v>311168</v>
      </c>
    </row>
    <row r="427" spans="1:7">
      <c r="A427" s="926" t="s">
        <v>1432</v>
      </c>
      <c r="B427" s="423" t="s">
        <v>101</v>
      </c>
      <c r="C427" s="435">
        <v>1.37</v>
      </c>
      <c r="D427" s="435">
        <v>220.66</v>
      </c>
      <c r="E427" s="435">
        <v>1.5</v>
      </c>
      <c r="F427" s="215">
        <v>0</v>
      </c>
      <c r="G427" s="215">
        <v>57500</v>
      </c>
    </row>
    <row r="428" spans="1:7">
      <c r="A428" s="926" t="s">
        <v>1434</v>
      </c>
      <c r="B428" s="423" t="s">
        <v>877</v>
      </c>
      <c r="C428" s="435">
        <v>1.37</v>
      </c>
      <c r="D428" s="435">
        <v>5427.9709999999995</v>
      </c>
      <c r="E428" s="435">
        <v>1.5</v>
      </c>
      <c r="F428" s="215">
        <v>0</v>
      </c>
      <c r="G428" s="215">
        <v>666444</v>
      </c>
    </row>
    <row r="429" spans="1:7">
      <c r="A429" s="926" t="s">
        <v>1436</v>
      </c>
      <c r="B429" s="423" t="s">
        <v>878</v>
      </c>
      <c r="C429" s="435">
        <v>1.37</v>
      </c>
      <c r="D429" s="435">
        <v>713.59299999999996</v>
      </c>
      <c r="E429" s="435">
        <v>1.5</v>
      </c>
      <c r="F429" s="215">
        <v>0</v>
      </c>
      <c r="G429" s="215">
        <v>43406</v>
      </c>
    </row>
    <row r="430" spans="1:7">
      <c r="A430" s="926" t="s">
        <v>1438</v>
      </c>
      <c r="B430" s="423" t="s">
        <v>879</v>
      </c>
      <c r="C430" s="435">
        <v>1.3460000000000001</v>
      </c>
      <c r="D430" s="435">
        <v>3554.6669999999999</v>
      </c>
      <c r="E430" s="435">
        <v>1.4730000000000001</v>
      </c>
      <c r="F430" s="215">
        <v>0</v>
      </c>
      <c r="G430" s="215">
        <v>481185</v>
      </c>
    </row>
    <row r="431" spans="1:7">
      <c r="A431" s="926" t="s">
        <v>2580</v>
      </c>
      <c r="B431" s="423" t="s">
        <v>880</v>
      </c>
      <c r="C431" s="435">
        <v>1.3168</v>
      </c>
      <c r="D431" s="435">
        <v>640.62900000000002</v>
      </c>
      <c r="E431" s="435">
        <v>1.44</v>
      </c>
      <c r="F431" s="215">
        <v>0</v>
      </c>
      <c r="G431" s="215">
        <v>66861</v>
      </c>
    </row>
    <row r="432" spans="1:7">
      <c r="A432" s="926" t="s">
        <v>2582</v>
      </c>
      <c r="B432" s="423" t="s">
        <v>881</v>
      </c>
      <c r="C432" s="435">
        <v>1.3129999999999999</v>
      </c>
      <c r="D432" s="435">
        <v>926.798</v>
      </c>
      <c r="E432" s="435">
        <v>1.4359999999999999</v>
      </c>
      <c r="F432" s="215">
        <v>0</v>
      </c>
      <c r="G432" s="215">
        <v>127617</v>
      </c>
    </row>
    <row r="433" spans="1:7">
      <c r="A433" s="926" t="s">
        <v>2584</v>
      </c>
      <c r="B433" s="423" t="s">
        <v>834</v>
      </c>
      <c r="C433" s="435">
        <v>1.35</v>
      </c>
      <c r="D433" s="435">
        <v>126.47</v>
      </c>
      <c r="E433" s="435">
        <v>1.4815</v>
      </c>
      <c r="F433" s="215">
        <v>0</v>
      </c>
      <c r="G433" s="215">
        <v>38832</v>
      </c>
    </row>
    <row r="434" spans="1:7">
      <c r="A434" s="926" t="s">
        <v>1578</v>
      </c>
      <c r="B434" s="423" t="s">
        <v>835</v>
      </c>
      <c r="C434" s="435">
        <v>1.353</v>
      </c>
      <c r="D434" s="435">
        <v>149.12899999999999</v>
      </c>
      <c r="E434" s="435">
        <v>1.4810000000000001</v>
      </c>
      <c r="F434" s="215">
        <v>0</v>
      </c>
      <c r="G434" s="215">
        <v>27635</v>
      </c>
    </row>
    <row r="435" spans="1:7">
      <c r="A435" s="926" t="s">
        <v>1580</v>
      </c>
      <c r="B435" s="423" t="s">
        <v>3838</v>
      </c>
      <c r="C435" s="435">
        <v>1.37</v>
      </c>
      <c r="D435" s="435">
        <v>591.91700000000003</v>
      </c>
      <c r="E435" s="435">
        <v>1.5</v>
      </c>
      <c r="F435" s="215">
        <v>0</v>
      </c>
      <c r="G435" s="215">
        <v>41747</v>
      </c>
    </row>
    <row r="436" spans="1:7">
      <c r="A436" s="926" t="s">
        <v>1582</v>
      </c>
      <c r="B436" s="423" t="s">
        <v>837</v>
      </c>
      <c r="C436" s="435">
        <v>1.37</v>
      </c>
      <c r="D436" s="435">
        <v>164.61500000000001</v>
      </c>
      <c r="E436" s="435">
        <v>1.5</v>
      </c>
      <c r="F436" s="215">
        <v>0</v>
      </c>
      <c r="G436" s="215">
        <v>21689</v>
      </c>
    </row>
    <row r="437" spans="1:7">
      <c r="A437" s="926" t="s">
        <v>1584</v>
      </c>
      <c r="B437" s="423" t="s">
        <v>838</v>
      </c>
      <c r="C437" s="435">
        <v>1.37</v>
      </c>
      <c r="D437" s="435">
        <v>95.058999999999997</v>
      </c>
      <c r="E437" s="435">
        <v>1.5</v>
      </c>
      <c r="F437" s="215">
        <v>0</v>
      </c>
      <c r="G437" s="215">
        <v>23431</v>
      </c>
    </row>
    <row r="438" spans="1:7">
      <c r="A438" s="926" t="s">
        <v>1588</v>
      </c>
      <c r="B438" s="423" t="s">
        <v>839</v>
      </c>
      <c r="C438" s="435">
        <v>1.37</v>
      </c>
      <c r="D438" s="435">
        <v>6553.259</v>
      </c>
      <c r="E438" s="435">
        <v>1.5</v>
      </c>
      <c r="F438" s="215">
        <v>0</v>
      </c>
      <c r="G438" s="215">
        <v>858081</v>
      </c>
    </row>
    <row r="439" spans="1:7">
      <c r="A439" s="926" t="s">
        <v>1292</v>
      </c>
      <c r="B439" s="423" t="s">
        <v>3010</v>
      </c>
      <c r="C439" s="435">
        <v>1.3698999999999999</v>
      </c>
      <c r="D439" s="435">
        <v>3403.4630000000002</v>
      </c>
      <c r="E439" s="435">
        <v>1.5</v>
      </c>
      <c r="F439" s="215">
        <v>0</v>
      </c>
      <c r="G439" s="215">
        <v>342811</v>
      </c>
    </row>
    <row r="440" spans="1:7">
      <c r="A440" s="926" t="s">
        <v>1590</v>
      </c>
      <c r="B440" s="423" t="s">
        <v>840</v>
      </c>
      <c r="C440" s="435">
        <v>1.37</v>
      </c>
      <c r="D440" s="435">
        <v>1847.3910000000001</v>
      </c>
      <c r="E440" s="435">
        <v>1.5</v>
      </c>
      <c r="F440" s="215">
        <v>0</v>
      </c>
      <c r="G440" s="215">
        <v>149150</v>
      </c>
    </row>
    <row r="441" spans="1:7">
      <c r="A441" s="926" t="s">
        <v>1864</v>
      </c>
      <c r="B441" s="423" t="s">
        <v>3840</v>
      </c>
      <c r="C441" s="435">
        <v>1.3567</v>
      </c>
      <c r="D441" s="435">
        <v>10020.038</v>
      </c>
      <c r="E441" s="435">
        <v>1.4850000000000001</v>
      </c>
      <c r="F441" s="215">
        <v>90417</v>
      </c>
      <c r="G441" s="215">
        <v>1854128</v>
      </c>
    </row>
    <row r="442" spans="1:7">
      <c r="A442" s="926" t="s">
        <v>1592</v>
      </c>
      <c r="B442" s="423" t="s">
        <v>841</v>
      </c>
      <c r="C442" s="435">
        <v>1.21</v>
      </c>
      <c r="D442" s="435">
        <v>632.47</v>
      </c>
      <c r="E442" s="435">
        <v>1.3197000000000001</v>
      </c>
      <c r="F442" s="215">
        <v>0</v>
      </c>
      <c r="G442" s="215">
        <v>82796</v>
      </c>
    </row>
    <row r="443" spans="1:7">
      <c r="A443" s="926" t="s">
        <v>1594</v>
      </c>
      <c r="B443" s="423" t="s">
        <v>842</v>
      </c>
      <c r="C443" s="435">
        <v>1.3292999999999999</v>
      </c>
      <c r="D443" s="435">
        <v>3270.0230000000001</v>
      </c>
      <c r="E443" s="435">
        <v>1.454</v>
      </c>
      <c r="F443" s="215">
        <v>0</v>
      </c>
      <c r="G443" s="215">
        <v>0</v>
      </c>
    </row>
    <row r="444" spans="1:7">
      <c r="A444" s="926" t="s">
        <v>1596</v>
      </c>
      <c r="B444" s="423" t="s">
        <v>843</v>
      </c>
      <c r="C444" s="435">
        <v>1.37</v>
      </c>
      <c r="D444" s="435">
        <v>2586.12</v>
      </c>
      <c r="E444" s="435">
        <v>1.5</v>
      </c>
      <c r="F444" s="215">
        <v>0</v>
      </c>
      <c r="G444" s="215">
        <v>312413</v>
      </c>
    </row>
    <row r="445" spans="1:7">
      <c r="A445" s="926" t="s">
        <v>1598</v>
      </c>
      <c r="B445" s="423" t="s">
        <v>844</v>
      </c>
      <c r="C445" s="435">
        <v>1.3</v>
      </c>
      <c r="D445" s="435">
        <v>551.67999999999995</v>
      </c>
      <c r="E445" s="435">
        <v>1.421</v>
      </c>
      <c r="F445" s="215">
        <v>0</v>
      </c>
      <c r="G445" s="215">
        <v>54266</v>
      </c>
    </row>
    <row r="446" spans="1:7">
      <c r="A446" s="926" t="s">
        <v>1600</v>
      </c>
      <c r="B446" s="423" t="s">
        <v>845</v>
      </c>
      <c r="C446" s="435">
        <v>1.3257000000000001</v>
      </c>
      <c r="D446" s="435">
        <v>1495.1659999999999</v>
      </c>
      <c r="E446" s="435">
        <v>1.45</v>
      </c>
      <c r="F446" s="215">
        <v>0</v>
      </c>
      <c r="G446" s="215">
        <v>153393</v>
      </c>
    </row>
    <row r="447" spans="1:7">
      <c r="A447" s="926" t="s">
        <v>5260</v>
      </c>
      <c r="B447" s="423" t="s">
        <v>846</v>
      </c>
      <c r="C447" s="435">
        <v>1.2370000000000001</v>
      </c>
      <c r="D447" s="435">
        <v>1080.5229999999999</v>
      </c>
      <c r="E447" s="435">
        <v>1.2370000000000001</v>
      </c>
      <c r="F447" s="215">
        <v>0</v>
      </c>
      <c r="G447" s="215">
        <v>174584</v>
      </c>
    </row>
    <row r="448" spans="1:7">
      <c r="A448" s="926" t="s">
        <v>2415</v>
      </c>
      <c r="B448" s="423" t="s">
        <v>5368</v>
      </c>
      <c r="C448" s="435">
        <v>1.37</v>
      </c>
      <c r="D448" s="435">
        <v>242.16900000000001</v>
      </c>
      <c r="E448" s="435">
        <v>1.5</v>
      </c>
      <c r="F448" s="215">
        <v>0</v>
      </c>
      <c r="G448" s="215">
        <v>0</v>
      </c>
    </row>
    <row r="449" spans="1:7">
      <c r="A449" s="926" t="s">
        <v>4973</v>
      </c>
      <c r="B449" s="423" t="s">
        <v>328</v>
      </c>
      <c r="C449" s="435">
        <v>1.331</v>
      </c>
      <c r="D449" s="435">
        <v>141.251</v>
      </c>
      <c r="E449" s="435">
        <v>1.456</v>
      </c>
      <c r="F449" s="215">
        <v>0</v>
      </c>
      <c r="G449" s="215">
        <v>6728</v>
      </c>
    </row>
    <row r="450" spans="1:7">
      <c r="A450" s="926" t="s">
        <v>5262</v>
      </c>
      <c r="B450" s="423" t="s">
        <v>847</v>
      </c>
      <c r="C450" s="435">
        <v>1.37</v>
      </c>
      <c r="D450" s="435">
        <v>461.86399999999998</v>
      </c>
      <c r="E450" s="435">
        <v>1.5</v>
      </c>
      <c r="F450" s="215">
        <v>0</v>
      </c>
      <c r="G450" s="215">
        <v>61409</v>
      </c>
    </row>
    <row r="451" spans="1:7">
      <c r="A451" s="926" t="s">
        <v>2054</v>
      </c>
      <c r="B451" s="423" t="s">
        <v>7820</v>
      </c>
      <c r="C451" s="435">
        <v>1.37</v>
      </c>
      <c r="D451" s="435">
        <v>11977.564</v>
      </c>
      <c r="E451" s="435">
        <v>1.5</v>
      </c>
      <c r="F451" s="215">
        <v>47138</v>
      </c>
      <c r="G451" s="215">
        <v>826138</v>
      </c>
    </row>
    <row r="452" spans="1:7">
      <c r="A452" s="926" t="s">
        <v>1519</v>
      </c>
      <c r="B452" s="423" t="s">
        <v>3015</v>
      </c>
      <c r="C452" s="435">
        <v>1.3453999999999999</v>
      </c>
      <c r="D452" s="435">
        <v>5183.933</v>
      </c>
      <c r="E452" s="435">
        <v>1.4722999999999999</v>
      </c>
      <c r="F452" s="215">
        <v>0</v>
      </c>
      <c r="G452" s="215">
        <v>253960</v>
      </c>
    </row>
    <row r="453" spans="1:7">
      <c r="A453" s="926" t="s">
        <v>1521</v>
      </c>
      <c r="B453" s="423" t="s">
        <v>1927</v>
      </c>
      <c r="C453" s="435">
        <v>1.37</v>
      </c>
      <c r="D453" s="435">
        <v>25739.859</v>
      </c>
      <c r="E453" s="435">
        <v>1.5</v>
      </c>
      <c r="F453" s="215">
        <v>0</v>
      </c>
      <c r="G453" s="215">
        <v>2056696</v>
      </c>
    </row>
    <row r="454" spans="1:7">
      <c r="A454" s="926" t="s">
        <v>1866</v>
      </c>
      <c r="B454" s="423" t="s">
        <v>3845</v>
      </c>
      <c r="C454" s="435">
        <v>1.33</v>
      </c>
      <c r="D454" s="435">
        <v>2883.3910000000001</v>
      </c>
      <c r="E454" s="435">
        <v>1.46</v>
      </c>
      <c r="F454" s="215">
        <v>0</v>
      </c>
      <c r="G454" s="215">
        <v>148476</v>
      </c>
    </row>
    <row r="455" spans="1:7">
      <c r="A455" s="926" t="s">
        <v>6167</v>
      </c>
      <c r="B455" s="423" t="s">
        <v>6073</v>
      </c>
      <c r="C455" s="435">
        <v>1.37</v>
      </c>
      <c r="D455" s="435">
        <v>22560.1</v>
      </c>
      <c r="E455" s="435">
        <v>1.5</v>
      </c>
      <c r="F455" s="215">
        <v>0</v>
      </c>
      <c r="G455" s="215">
        <v>449787</v>
      </c>
    </row>
    <row r="456" spans="1:7">
      <c r="A456" s="926" t="s">
        <v>6170</v>
      </c>
      <c r="B456" s="423" t="s">
        <v>495</v>
      </c>
      <c r="C456" s="435">
        <v>1.37</v>
      </c>
      <c r="D456" s="435">
        <v>4890.1379999999999</v>
      </c>
      <c r="E456" s="435">
        <v>1.5</v>
      </c>
      <c r="F456" s="215">
        <v>0</v>
      </c>
      <c r="G456" s="215">
        <v>436144</v>
      </c>
    </row>
    <row r="457" spans="1:7">
      <c r="A457" s="926" t="s">
        <v>6176</v>
      </c>
      <c r="B457" s="423" t="s">
        <v>502</v>
      </c>
      <c r="C457" s="435">
        <v>1.3373999999999999</v>
      </c>
      <c r="D457" s="435">
        <v>13773.305</v>
      </c>
      <c r="E457" s="435">
        <v>1.46</v>
      </c>
      <c r="F457" s="215">
        <v>0</v>
      </c>
      <c r="G457" s="215">
        <v>540335</v>
      </c>
    </row>
    <row r="458" spans="1:7">
      <c r="A458" s="926" t="s">
        <v>5125</v>
      </c>
      <c r="B458" s="423" t="s">
        <v>340</v>
      </c>
      <c r="C458" s="435">
        <v>1.37</v>
      </c>
      <c r="D458" s="435">
        <v>25797.05</v>
      </c>
      <c r="E458" s="435">
        <v>1.5</v>
      </c>
      <c r="F458" s="215">
        <v>0</v>
      </c>
      <c r="G458" s="215">
        <v>1143731</v>
      </c>
    </row>
    <row r="459" spans="1:7">
      <c r="A459" s="926" t="s">
        <v>648</v>
      </c>
      <c r="B459" s="423" t="s">
        <v>353</v>
      </c>
      <c r="C459" s="435">
        <v>1.37</v>
      </c>
      <c r="D459" s="435">
        <v>1801.8340000000001</v>
      </c>
      <c r="E459" s="435">
        <v>1.5</v>
      </c>
      <c r="F459" s="215">
        <v>48413</v>
      </c>
      <c r="G459" s="215">
        <v>37500</v>
      </c>
    </row>
    <row r="460" spans="1:7">
      <c r="A460" s="926" t="s">
        <v>780</v>
      </c>
      <c r="B460" s="423" t="s">
        <v>848</v>
      </c>
      <c r="C460" s="435">
        <v>1.3478000000000001</v>
      </c>
      <c r="D460" s="435">
        <v>7266.5569999999998</v>
      </c>
      <c r="E460" s="435">
        <v>1.4750000000000001</v>
      </c>
      <c r="F460" s="215">
        <v>291559</v>
      </c>
      <c r="G460" s="215">
        <v>399531</v>
      </c>
    </row>
    <row r="461" spans="1:7">
      <c r="A461" s="926" t="s">
        <v>6038</v>
      </c>
      <c r="B461" s="423" t="s">
        <v>2153</v>
      </c>
      <c r="C461" s="435">
        <v>1.37</v>
      </c>
      <c r="D461" s="435">
        <v>22259.673999999999</v>
      </c>
      <c r="E461" s="435">
        <v>1.5</v>
      </c>
      <c r="F461" s="215">
        <v>83112</v>
      </c>
      <c r="G461" s="215">
        <v>2551716</v>
      </c>
    </row>
    <row r="462" spans="1:7">
      <c r="A462" s="926" t="s">
        <v>3096</v>
      </c>
      <c r="B462" s="423" t="s">
        <v>4065</v>
      </c>
      <c r="C462" s="435">
        <v>1.2778</v>
      </c>
      <c r="D462" s="435">
        <v>14709.602000000001</v>
      </c>
      <c r="E462" s="435">
        <v>1.3959999999999999</v>
      </c>
      <c r="F462" s="215">
        <v>0</v>
      </c>
      <c r="G462" s="215">
        <v>623901</v>
      </c>
    </row>
    <row r="463" spans="1:7">
      <c r="A463" s="926" t="s">
        <v>6040</v>
      </c>
      <c r="B463" s="423" t="s">
        <v>184</v>
      </c>
      <c r="C463" s="435">
        <v>1.3616999999999999</v>
      </c>
      <c r="D463" s="435">
        <v>609.64700000000005</v>
      </c>
      <c r="E463" s="435">
        <v>1.4705999999999999</v>
      </c>
      <c r="F463" s="215">
        <v>0</v>
      </c>
      <c r="G463" s="215">
        <v>39508</v>
      </c>
    </row>
    <row r="464" spans="1:7">
      <c r="A464" s="926" t="s">
        <v>3097</v>
      </c>
      <c r="B464" s="423" t="s">
        <v>503</v>
      </c>
      <c r="C464" s="435">
        <v>1.2813000000000001</v>
      </c>
      <c r="D464" s="435">
        <v>524.70699999999999</v>
      </c>
      <c r="E464" s="435">
        <v>1.4</v>
      </c>
      <c r="F464" s="215">
        <v>0</v>
      </c>
      <c r="G464" s="215">
        <v>39737</v>
      </c>
    </row>
    <row r="465" spans="1:7">
      <c r="A465" s="926" t="s">
        <v>2419</v>
      </c>
      <c r="B465" s="423" t="s">
        <v>5372</v>
      </c>
      <c r="C465" s="435">
        <v>1.3036000000000001</v>
      </c>
      <c r="D465" s="435">
        <v>3582.1579999999999</v>
      </c>
      <c r="E465" s="435">
        <v>1.4251</v>
      </c>
      <c r="F465" s="215">
        <v>0</v>
      </c>
      <c r="G465" s="215">
        <v>241475</v>
      </c>
    </row>
    <row r="466" spans="1:7">
      <c r="A466" s="926" t="s">
        <v>2608</v>
      </c>
      <c r="B466" s="423" t="s">
        <v>324</v>
      </c>
      <c r="C466" s="435">
        <v>1.37</v>
      </c>
      <c r="D466" s="435">
        <v>281.14299999999997</v>
      </c>
      <c r="E466" s="435">
        <v>1.5</v>
      </c>
      <c r="F466" s="215">
        <v>0</v>
      </c>
      <c r="G466" s="215">
        <v>39204</v>
      </c>
    </row>
    <row r="467" spans="1:7">
      <c r="A467" s="926" t="s">
        <v>448</v>
      </c>
      <c r="B467" s="423" t="s">
        <v>6096</v>
      </c>
      <c r="C467" s="435">
        <v>1.37</v>
      </c>
      <c r="D467" s="435">
        <v>217.52500000000001</v>
      </c>
      <c r="E467" s="435">
        <v>1.5</v>
      </c>
      <c r="F467" s="215">
        <v>0</v>
      </c>
      <c r="G467" s="215">
        <v>22845</v>
      </c>
    </row>
    <row r="468" spans="1:7">
      <c r="A468" s="926" t="s">
        <v>243</v>
      </c>
      <c r="B468" s="423" t="s">
        <v>5246</v>
      </c>
      <c r="C468" s="435">
        <v>1.33</v>
      </c>
      <c r="D468" s="435">
        <v>276.21300000000002</v>
      </c>
      <c r="E468" s="435">
        <v>1.46</v>
      </c>
      <c r="F468" s="215">
        <v>0</v>
      </c>
      <c r="G468" s="215">
        <v>48262</v>
      </c>
    </row>
    <row r="469" spans="1:7">
      <c r="A469" s="926" t="s">
        <v>1868</v>
      </c>
      <c r="B469" s="423" t="s">
        <v>3847</v>
      </c>
      <c r="C469" s="435">
        <v>1.37</v>
      </c>
      <c r="D469" s="435">
        <v>1633.366</v>
      </c>
      <c r="E469" s="435">
        <v>1.5</v>
      </c>
      <c r="F469" s="215">
        <v>0</v>
      </c>
      <c r="G469" s="215">
        <v>150029</v>
      </c>
    </row>
    <row r="470" spans="1:7">
      <c r="A470" s="926" t="s">
        <v>3098</v>
      </c>
      <c r="B470" s="423" t="s">
        <v>3852</v>
      </c>
      <c r="C470" s="435">
        <v>1.37</v>
      </c>
      <c r="D470" s="435">
        <v>427.29399999999998</v>
      </c>
      <c r="E470" s="435">
        <v>1.5</v>
      </c>
      <c r="F470" s="215">
        <v>0</v>
      </c>
      <c r="G470" s="215">
        <v>38227</v>
      </c>
    </row>
    <row r="471" spans="1:7">
      <c r="A471" s="926" t="s">
        <v>6022</v>
      </c>
      <c r="B471" s="423" t="s">
        <v>1907</v>
      </c>
      <c r="C471" s="435">
        <v>1.5</v>
      </c>
      <c r="D471" s="435">
        <v>638.03300000000002</v>
      </c>
      <c r="E471" s="435">
        <v>1.5</v>
      </c>
      <c r="F471" s="215">
        <v>0</v>
      </c>
      <c r="G471" s="215">
        <v>50606</v>
      </c>
    </row>
    <row r="472" spans="1:7">
      <c r="A472" s="926" t="s">
        <v>2610</v>
      </c>
      <c r="B472" s="423" t="s">
        <v>326</v>
      </c>
      <c r="C472" s="435">
        <v>1.3257000000000001</v>
      </c>
      <c r="D472" s="435">
        <v>67.37</v>
      </c>
      <c r="E472" s="435">
        <v>1.45</v>
      </c>
      <c r="F472" s="215">
        <v>0</v>
      </c>
      <c r="G472" s="215">
        <v>13527</v>
      </c>
    </row>
    <row r="473" spans="1:7">
      <c r="A473" s="926" t="s">
        <v>2612</v>
      </c>
      <c r="B473" s="423" t="s">
        <v>504</v>
      </c>
      <c r="C473" s="435">
        <v>1.37</v>
      </c>
      <c r="D473" s="435">
        <v>111.322</v>
      </c>
      <c r="E473" s="435">
        <v>1.5</v>
      </c>
      <c r="F473" s="215">
        <v>0</v>
      </c>
      <c r="G473" s="215">
        <v>34493</v>
      </c>
    </row>
    <row r="474" spans="1:7">
      <c r="A474" s="926" t="s">
        <v>782</v>
      </c>
      <c r="B474" s="423" t="s">
        <v>849</v>
      </c>
      <c r="C474" s="435">
        <v>1.3701000000000001</v>
      </c>
      <c r="D474" s="435">
        <v>1470.2449999999999</v>
      </c>
      <c r="E474" s="435">
        <v>1.5</v>
      </c>
      <c r="F474" s="215">
        <v>0</v>
      </c>
      <c r="G474" s="215">
        <v>124713</v>
      </c>
    </row>
    <row r="475" spans="1:7">
      <c r="A475" s="926" t="s">
        <v>2614</v>
      </c>
      <c r="B475" s="423" t="s">
        <v>7686</v>
      </c>
      <c r="C475" s="435">
        <v>1.37</v>
      </c>
      <c r="D475" s="435">
        <v>203.661</v>
      </c>
      <c r="E475" s="435">
        <v>1.5</v>
      </c>
      <c r="F475" s="215">
        <v>0</v>
      </c>
      <c r="G475" s="215">
        <v>45031</v>
      </c>
    </row>
    <row r="476" spans="1:7">
      <c r="A476" s="926" t="s">
        <v>2468</v>
      </c>
      <c r="B476" s="423" t="s">
        <v>7662</v>
      </c>
      <c r="C476" s="435">
        <v>1.37</v>
      </c>
      <c r="D476" s="435">
        <v>305.67200000000003</v>
      </c>
      <c r="E476" s="435">
        <v>1.5</v>
      </c>
      <c r="F476" s="215">
        <v>0</v>
      </c>
      <c r="G476" s="215">
        <v>60941</v>
      </c>
    </row>
    <row r="477" spans="1:7">
      <c r="A477" s="926" t="s">
        <v>2616</v>
      </c>
      <c r="B477" s="423" t="s">
        <v>336</v>
      </c>
      <c r="C477" s="435">
        <v>1.37</v>
      </c>
      <c r="D477" s="435">
        <v>182.548</v>
      </c>
      <c r="E477" s="435">
        <v>1.5</v>
      </c>
      <c r="F477" s="215">
        <v>0</v>
      </c>
      <c r="G477" s="215">
        <v>42839</v>
      </c>
    </row>
    <row r="478" spans="1:7">
      <c r="A478" s="926" t="s">
        <v>784</v>
      </c>
      <c r="B478" s="423" t="s">
        <v>850</v>
      </c>
      <c r="C478" s="435">
        <v>1.2989999999999999</v>
      </c>
      <c r="D478" s="435">
        <v>353.22800000000001</v>
      </c>
      <c r="E478" s="435">
        <v>1.42</v>
      </c>
      <c r="F478" s="215">
        <v>0</v>
      </c>
      <c r="G478" s="215">
        <v>31411</v>
      </c>
    </row>
    <row r="479" spans="1:7">
      <c r="A479" s="926" t="s">
        <v>786</v>
      </c>
      <c r="B479" s="423" t="s">
        <v>7109</v>
      </c>
      <c r="C479" s="435">
        <v>1.3523000000000001</v>
      </c>
      <c r="D479" s="435">
        <v>2670.7689999999998</v>
      </c>
      <c r="E479" s="435">
        <v>1.48</v>
      </c>
      <c r="F479" s="215">
        <v>0</v>
      </c>
      <c r="G479" s="215">
        <v>244301</v>
      </c>
    </row>
    <row r="480" spans="1:7">
      <c r="A480" s="926" t="s">
        <v>788</v>
      </c>
      <c r="B480" s="423" t="s">
        <v>7110</v>
      </c>
      <c r="C480" s="435">
        <v>1.37</v>
      </c>
      <c r="D480" s="435">
        <v>326.226</v>
      </c>
      <c r="E480" s="435">
        <v>1.5</v>
      </c>
      <c r="F480" s="215">
        <v>0</v>
      </c>
      <c r="G480" s="215">
        <v>32223</v>
      </c>
    </row>
    <row r="481" spans="1:7">
      <c r="A481" s="926" t="s">
        <v>969</v>
      </c>
      <c r="B481" s="423" t="s">
        <v>2344</v>
      </c>
      <c r="C481" s="435">
        <v>1.37</v>
      </c>
      <c r="D481" s="435">
        <v>370.68599999999998</v>
      </c>
      <c r="E481" s="435">
        <v>1.5</v>
      </c>
      <c r="F481" s="215">
        <v>0</v>
      </c>
      <c r="G481" s="215">
        <v>38979</v>
      </c>
    </row>
    <row r="482" spans="1:7">
      <c r="A482" s="926" t="s">
        <v>790</v>
      </c>
      <c r="B482" s="423" t="s">
        <v>7111</v>
      </c>
      <c r="C482" s="435">
        <v>1.1100000000000001</v>
      </c>
      <c r="D482" s="435">
        <v>500.34399999999999</v>
      </c>
      <c r="E482" s="435">
        <v>1.5</v>
      </c>
      <c r="F482" s="215">
        <v>0</v>
      </c>
      <c r="G482" s="215">
        <v>19232</v>
      </c>
    </row>
    <row r="483" spans="1:7">
      <c r="A483" s="926" t="s">
        <v>792</v>
      </c>
      <c r="B483" s="423" t="s">
        <v>7112</v>
      </c>
      <c r="C483" s="435">
        <v>1.37</v>
      </c>
      <c r="D483" s="435">
        <v>170.87200000000001</v>
      </c>
      <c r="E483" s="435">
        <v>1.5</v>
      </c>
      <c r="F483" s="215">
        <v>0</v>
      </c>
      <c r="G483" s="215">
        <v>5727</v>
      </c>
    </row>
    <row r="484" spans="1:7">
      <c r="A484" s="926" t="s">
        <v>794</v>
      </c>
      <c r="B484" s="423" t="s">
        <v>7113</v>
      </c>
      <c r="C484" s="435">
        <v>1.286</v>
      </c>
      <c r="D484" s="435">
        <v>6330.8689999999997</v>
      </c>
      <c r="E484" s="435">
        <v>1.45</v>
      </c>
      <c r="F484" s="215">
        <v>0</v>
      </c>
      <c r="G484" s="215">
        <v>789310</v>
      </c>
    </row>
    <row r="485" spans="1:7">
      <c r="A485" s="926" t="s">
        <v>2991</v>
      </c>
      <c r="B485" s="423" t="s">
        <v>193</v>
      </c>
      <c r="C485" s="435">
        <v>1.37</v>
      </c>
      <c r="D485" s="435">
        <v>261.98200000000003</v>
      </c>
      <c r="E485" s="435">
        <v>1.5</v>
      </c>
      <c r="F485" s="215">
        <v>0</v>
      </c>
      <c r="G485" s="215">
        <v>36297</v>
      </c>
    </row>
    <row r="486" spans="1:7">
      <c r="A486" s="926" t="s">
        <v>2413</v>
      </c>
      <c r="B486" s="423" t="s">
        <v>5366</v>
      </c>
      <c r="C486" s="435">
        <v>1.37</v>
      </c>
      <c r="D486" s="435">
        <v>576.05399999999997</v>
      </c>
      <c r="E486" s="435">
        <v>1.5</v>
      </c>
      <c r="F486" s="215">
        <v>0</v>
      </c>
      <c r="G486" s="215">
        <v>61399</v>
      </c>
    </row>
    <row r="487" spans="1:7">
      <c r="A487" s="926" t="s">
        <v>796</v>
      </c>
      <c r="B487" s="423" t="s">
        <v>7114</v>
      </c>
      <c r="C487" s="435">
        <v>1.304</v>
      </c>
      <c r="D487" s="435">
        <v>3883.4810000000002</v>
      </c>
      <c r="E487" s="435">
        <v>1.4256</v>
      </c>
      <c r="F487" s="215">
        <v>0</v>
      </c>
      <c r="G487" s="215">
        <v>338058</v>
      </c>
    </row>
    <row r="488" spans="1:7">
      <c r="A488" s="926" t="s">
        <v>2044</v>
      </c>
      <c r="B488" s="423" t="s">
        <v>991</v>
      </c>
      <c r="C488" s="435">
        <v>1.2910999999999999</v>
      </c>
      <c r="D488" s="435">
        <v>381.19799999999998</v>
      </c>
      <c r="E488" s="435">
        <v>1.4112</v>
      </c>
      <c r="F488" s="215">
        <v>3271</v>
      </c>
      <c r="G488" s="215">
        <v>0</v>
      </c>
    </row>
    <row r="489" spans="1:7">
      <c r="A489" s="926" t="s">
        <v>798</v>
      </c>
      <c r="B489" s="423" t="s">
        <v>7115</v>
      </c>
      <c r="C489" s="435">
        <v>1.2824</v>
      </c>
      <c r="D489" s="435">
        <v>399.43299999999999</v>
      </c>
      <c r="E489" s="435">
        <v>1.4011</v>
      </c>
      <c r="F489" s="215">
        <v>0</v>
      </c>
      <c r="G489" s="215">
        <v>0</v>
      </c>
    </row>
    <row r="490" spans="1:7">
      <c r="A490" s="926" t="s">
        <v>2358</v>
      </c>
      <c r="B490" s="423" t="s">
        <v>499</v>
      </c>
      <c r="C490" s="435">
        <v>1.29</v>
      </c>
      <c r="D490" s="435">
        <v>214.06899999999999</v>
      </c>
      <c r="E490" s="435">
        <v>1.41</v>
      </c>
      <c r="F490" s="215">
        <v>0</v>
      </c>
      <c r="G490" s="215">
        <v>24103</v>
      </c>
    </row>
    <row r="491" spans="1:7">
      <c r="A491" s="926" t="s">
        <v>800</v>
      </c>
      <c r="B491" s="423" t="s">
        <v>7116</v>
      </c>
      <c r="C491" s="435">
        <v>1.1173</v>
      </c>
      <c r="D491" s="435">
        <v>767.66499999999996</v>
      </c>
      <c r="E491" s="435">
        <v>1.2150000000000001</v>
      </c>
      <c r="F491" s="215">
        <v>0</v>
      </c>
      <c r="G491" s="215">
        <v>101361</v>
      </c>
    </row>
    <row r="492" spans="1:7">
      <c r="A492" s="926" t="s">
        <v>802</v>
      </c>
      <c r="B492" s="423" t="s">
        <v>7117</v>
      </c>
      <c r="C492" s="435">
        <v>1.18</v>
      </c>
      <c r="D492" s="435">
        <v>244.93299999999999</v>
      </c>
      <c r="E492" s="435">
        <v>1.29</v>
      </c>
      <c r="F492" s="215">
        <v>0</v>
      </c>
      <c r="G492" s="215">
        <v>44737</v>
      </c>
    </row>
    <row r="493" spans="1:7">
      <c r="A493" s="926" t="s">
        <v>2046</v>
      </c>
      <c r="B493" s="423" t="s">
        <v>2357</v>
      </c>
      <c r="C493" s="435">
        <v>1.2424999999999999</v>
      </c>
      <c r="D493" s="435">
        <v>216.601</v>
      </c>
      <c r="E493" s="435">
        <v>1.3562000000000001</v>
      </c>
      <c r="F493" s="215">
        <v>0</v>
      </c>
      <c r="G493" s="215">
        <v>41892</v>
      </c>
    </row>
    <row r="494" spans="1:7">
      <c r="A494" s="926" t="s">
        <v>804</v>
      </c>
      <c r="B494" s="423" t="s">
        <v>7118</v>
      </c>
      <c r="C494" s="435">
        <v>1.3433999999999999</v>
      </c>
      <c r="D494" s="435">
        <v>1444.78</v>
      </c>
      <c r="E494" s="435">
        <v>1.47</v>
      </c>
      <c r="F494" s="215">
        <v>0</v>
      </c>
      <c r="G494" s="215">
        <v>160380</v>
      </c>
    </row>
    <row r="495" spans="1:7">
      <c r="A495" s="926" t="s">
        <v>806</v>
      </c>
      <c r="B495" s="423" t="s">
        <v>7119</v>
      </c>
      <c r="C495" s="435">
        <v>1.28</v>
      </c>
      <c r="D495" s="435">
        <v>507.19200000000001</v>
      </c>
      <c r="E495" s="435">
        <v>1.4</v>
      </c>
      <c r="F495" s="215">
        <v>0</v>
      </c>
      <c r="G495" s="215">
        <v>58345</v>
      </c>
    </row>
    <row r="496" spans="1:7">
      <c r="A496" s="926" t="s">
        <v>808</v>
      </c>
      <c r="B496" s="423" t="s">
        <v>7120</v>
      </c>
      <c r="C496" s="435">
        <v>1.2947</v>
      </c>
      <c r="D496" s="435">
        <v>510.04500000000002</v>
      </c>
      <c r="E496" s="435">
        <v>1.415</v>
      </c>
      <c r="F496" s="215">
        <v>0</v>
      </c>
      <c r="G496" s="215">
        <v>102768</v>
      </c>
    </row>
    <row r="497" spans="1:7">
      <c r="A497" s="926" t="s">
        <v>810</v>
      </c>
      <c r="B497" s="423" t="s">
        <v>7121</v>
      </c>
      <c r="C497" s="435">
        <v>1.3438000000000001</v>
      </c>
      <c r="D497" s="435">
        <v>414.51299999999998</v>
      </c>
      <c r="E497" s="435">
        <v>1.4703999999999999</v>
      </c>
      <c r="F497" s="215">
        <v>0</v>
      </c>
      <c r="G497" s="215">
        <v>42650</v>
      </c>
    </row>
    <row r="498" spans="1:7">
      <c r="A498" s="926" t="s">
        <v>667</v>
      </c>
      <c r="B498" s="423" t="s">
        <v>7122</v>
      </c>
      <c r="C498" s="435">
        <v>1.2370000000000001</v>
      </c>
      <c r="D498" s="435">
        <v>330.28699999999998</v>
      </c>
      <c r="E498" s="435">
        <v>1.35</v>
      </c>
      <c r="F498" s="215">
        <v>0</v>
      </c>
      <c r="G498" s="215">
        <v>61371</v>
      </c>
    </row>
    <row r="499" spans="1:7">
      <c r="A499" s="926" t="s">
        <v>1707</v>
      </c>
      <c r="B499" s="423" t="s">
        <v>3864</v>
      </c>
      <c r="C499" s="435">
        <v>1.3701000000000001</v>
      </c>
      <c r="D499" s="435">
        <v>3538.1729999999998</v>
      </c>
      <c r="E499" s="435">
        <v>1.5</v>
      </c>
      <c r="F499" s="215">
        <v>0</v>
      </c>
      <c r="G499" s="215">
        <v>185621</v>
      </c>
    </row>
    <row r="500" spans="1:7">
      <c r="A500" s="926" t="s">
        <v>1709</v>
      </c>
      <c r="B500" s="423" t="s">
        <v>3865</v>
      </c>
      <c r="C500" s="435">
        <v>1.37</v>
      </c>
      <c r="D500" s="435">
        <v>730.13199999999995</v>
      </c>
      <c r="E500" s="435">
        <v>1.5</v>
      </c>
      <c r="F500" s="215">
        <v>0</v>
      </c>
      <c r="G500" s="215">
        <v>94631</v>
      </c>
    </row>
    <row r="501" spans="1:7">
      <c r="A501" s="926" t="s">
        <v>1711</v>
      </c>
      <c r="B501" s="423" t="s">
        <v>3866</v>
      </c>
      <c r="C501" s="435">
        <v>1.37</v>
      </c>
      <c r="D501" s="435">
        <v>662.03800000000001</v>
      </c>
      <c r="E501" s="435">
        <v>1.5</v>
      </c>
      <c r="F501" s="215">
        <v>0</v>
      </c>
      <c r="G501" s="215">
        <v>74247</v>
      </c>
    </row>
    <row r="502" spans="1:7">
      <c r="A502" s="926" t="s">
        <v>1713</v>
      </c>
      <c r="B502" s="423" t="s">
        <v>3867</v>
      </c>
      <c r="C502" s="435">
        <v>1.1040000000000001</v>
      </c>
      <c r="D502" s="435">
        <v>535.42200000000003</v>
      </c>
      <c r="E502" s="435">
        <v>1.2</v>
      </c>
      <c r="F502" s="215">
        <v>0</v>
      </c>
      <c r="G502" s="215">
        <v>109131</v>
      </c>
    </row>
    <row r="503" spans="1:7">
      <c r="A503" s="926" t="s">
        <v>1330</v>
      </c>
      <c r="B503" s="423" t="s">
        <v>3868</v>
      </c>
      <c r="C503" s="435">
        <v>1.37</v>
      </c>
      <c r="D503" s="435">
        <v>148.80699999999999</v>
      </c>
      <c r="E503" s="435">
        <v>1.5</v>
      </c>
      <c r="F503" s="215">
        <v>0</v>
      </c>
      <c r="G503" s="215">
        <v>0</v>
      </c>
    </row>
    <row r="504" spans="1:7">
      <c r="A504" s="926" t="s">
        <v>1332</v>
      </c>
      <c r="B504" s="423" t="s">
        <v>3869</v>
      </c>
      <c r="C504" s="435">
        <v>1.3520000000000001</v>
      </c>
      <c r="D504" s="435">
        <v>104.53</v>
      </c>
      <c r="E504" s="435">
        <v>1.48</v>
      </c>
      <c r="F504" s="215">
        <v>0</v>
      </c>
      <c r="G504" s="215">
        <v>40387</v>
      </c>
    </row>
    <row r="505" spans="1:7">
      <c r="A505" s="926" t="s">
        <v>979</v>
      </c>
      <c r="B505" s="423" t="s">
        <v>6097</v>
      </c>
      <c r="C505" s="435">
        <v>1.3443000000000001</v>
      </c>
      <c r="D505" s="435">
        <v>1181.4000000000001</v>
      </c>
      <c r="E505" s="435">
        <v>1.4710000000000001</v>
      </c>
      <c r="F505" s="215">
        <v>0</v>
      </c>
      <c r="G505" s="215">
        <v>97873</v>
      </c>
    </row>
    <row r="506" spans="1:7">
      <c r="A506" s="926" t="s">
        <v>1334</v>
      </c>
      <c r="B506" s="423" t="s">
        <v>3870</v>
      </c>
      <c r="C506" s="435">
        <v>1.3701000000000001</v>
      </c>
      <c r="D506" s="435">
        <v>474.88</v>
      </c>
      <c r="E506" s="435">
        <v>1.5</v>
      </c>
      <c r="F506" s="215">
        <v>0</v>
      </c>
      <c r="G506" s="215">
        <v>57321</v>
      </c>
    </row>
    <row r="507" spans="1:7">
      <c r="A507" s="926" t="s">
        <v>235</v>
      </c>
      <c r="B507" s="423" t="s">
        <v>2642</v>
      </c>
      <c r="C507" s="435">
        <v>1.37</v>
      </c>
      <c r="D507" s="435">
        <v>1638.579</v>
      </c>
      <c r="E507" s="435">
        <v>1.5</v>
      </c>
      <c r="F507" s="215">
        <v>0</v>
      </c>
      <c r="G507" s="215">
        <v>144427</v>
      </c>
    </row>
    <row r="508" spans="1:7">
      <c r="A508" s="926" t="s">
        <v>3961</v>
      </c>
      <c r="B508" s="423" t="s">
        <v>3871</v>
      </c>
      <c r="C508" s="435">
        <v>1.37</v>
      </c>
      <c r="D508" s="435">
        <v>4723</v>
      </c>
      <c r="E508" s="435">
        <v>1.5</v>
      </c>
      <c r="F508" s="215">
        <v>0</v>
      </c>
      <c r="G508" s="215">
        <v>285186</v>
      </c>
    </row>
    <row r="509" spans="1:7">
      <c r="A509" s="926" t="s">
        <v>2359</v>
      </c>
      <c r="B509" s="423" t="s">
        <v>198</v>
      </c>
      <c r="C509" s="435">
        <v>1.3080000000000001</v>
      </c>
      <c r="D509" s="435">
        <v>814.49900000000002</v>
      </c>
      <c r="E509" s="435">
        <v>1.43</v>
      </c>
      <c r="F509" s="215">
        <v>0</v>
      </c>
      <c r="G509" s="215">
        <v>65270</v>
      </c>
    </row>
    <row r="510" spans="1:7">
      <c r="A510" s="926" t="s">
        <v>650</v>
      </c>
      <c r="B510" s="423" t="s">
        <v>355</v>
      </c>
      <c r="C510" s="435">
        <v>1.3016000000000001</v>
      </c>
      <c r="D510" s="435">
        <v>2469.076</v>
      </c>
      <c r="E510" s="435">
        <v>1.4219999999999999</v>
      </c>
      <c r="F510" s="215">
        <v>0</v>
      </c>
      <c r="G510" s="215">
        <v>293567</v>
      </c>
    </row>
    <row r="511" spans="1:7">
      <c r="A511" s="926" t="s">
        <v>2127</v>
      </c>
      <c r="B511" s="423" t="s">
        <v>2007</v>
      </c>
      <c r="C511" s="435">
        <v>1.3119000000000001</v>
      </c>
      <c r="D511" s="435">
        <v>583.20100000000002</v>
      </c>
      <c r="E511" s="435">
        <v>1.4343999999999999</v>
      </c>
      <c r="F511" s="215">
        <v>0</v>
      </c>
      <c r="G511" s="215">
        <v>50428</v>
      </c>
    </row>
    <row r="512" spans="1:7">
      <c r="A512" s="926" t="s">
        <v>3963</v>
      </c>
      <c r="B512" s="423" t="s">
        <v>3872</v>
      </c>
      <c r="C512" s="435">
        <v>1.3041</v>
      </c>
      <c r="D512" s="435">
        <v>321.86900000000003</v>
      </c>
      <c r="E512" s="435">
        <v>1.4257</v>
      </c>
      <c r="F512" s="215">
        <v>0</v>
      </c>
      <c r="G512" s="215">
        <v>32664</v>
      </c>
    </row>
    <row r="513" spans="1:7">
      <c r="A513" s="926" t="s">
        <v>953</v>
      </c>
      <c r="B513" s="423" t="s">
        <v>7658</v>
      </c>
      <c r="C513" s="435">
        <v>1.3351999999999999</v>
      </c>
      <c r="D513" s="435">
        <v>549.05899999999997</v>
      </c>
      <c r="E513" s="435">
        <v>1.4607000000000001</v>
      </c>
      <c r="F513" s="215">
        <v>0</v>
      </c>
      <c r="G513" s="215">
        <v>54607</v>
      </c>
    </row>
    <row r="514" spans="1:7">
      <c r="A514" s="926" t="s">
        <v>971</v>
      </c>
      <c r="B514" s="423" t="s">
        <v>7663</v>
      </c>
      <c r="C514" s="435">
        <v>1.37</v>
      </c>
      <c r="D514" s="435">
        <v>475.21699999999998</v>
      </c>
      <c r="E514" s="435">
        <v>1.5</v>
      </c>
      <c r="F514" s="215">
        <v>0</v>
      </c>
      <c r="G514" s="215">
        <v>12115</v>
      </c>
    </row>
    <row r="515" spans="1:7">
      <c r="A515" s="926" t="s">
        <v>3965</v>
      </c>
      <c r="B515" s="423" t="s">
        <v>3873</v>
      </c>
      <c r="C515" s="435">
        <v>1.37</v>
      </c>
      <c r="D515" s="435">
        <v>2615.9299999999998</v>
      </c>
      <c r="E515" s="435">
        <v>1.5</v>
      </c>
      <c r="F515" s="215">
        <v>0</v>
      </c>
      <c r="G515" s="215">
        <v>129571</v>
      </c>
    </row>
    <row r="516" spans="1:7">
      <c r="A516" s="926" t="s">
        <v>3967</v>
      </c>
      <c r="B516" s="423" t="s">
        <v>3874</v>
      </c>
      <c r="C516" s="435">
        <v>1.2725</v>
      </c>
      <c r="D516" s="435">
        <v>790.03800000000001</v>
      </c>
      <c r="E516" s="435">
        <v>1.39</v>
      </c>
      <c r="F516" s="215">
        <v>0</v>
      </c>
      <c r="G516" s="215">
        <v>73295</v>
      </c>
    </row>
    <row r="517" spans="1:7">
      <c r="A517" s="926" t="s">
        <v>3969</v>
      </c>
      <c r="B517" s="423" t="s">
        <v>7821</v>
      </c>
      <c r="C517" s="435">
        <v>1.2846</v>
      </c>
      <c r="D517" s="435">
        <v>563.99400000000003</v>
      </c>
      <c r="E517" s="435">
        <v>1.4036</v>
      </c>
      <c r="F517" s="215">
        <v>0</v>
      </c>
      <c r="G517" s="215">
        <v>72801</v>
      </c>
    </row>
    <row r="518" spans="1:7">
      <c r="A518" s="926" t="s">
        <v>757</v>
      </c>
      <c r="B518" s="423" t="s">
        <v>3057</v>
      </c>
      <c r="C518" s="435">
        <v>1.0915999999999999</v>
      </c>
      <c r="D518" s="435">
        <v>92.369</v>
      </c>
      <c r="E518" s="435">
        <v>1.1859999999999999</v>
      </c>
      <c r="F518" s="215">
        <v>0</v>
      </c>
      <c r="G518" s="215">
        <v>9268</v>
      </c>
    </row>
    <row r="519" spans="1:7">
      <c r="A519" s="926" t="s">
        <v>759</v>
      </c>
      <c r="B519" s="423" t="s">
        <v>3058</v>
      </c>
      <c r="C519" s="435">
        <v>1.37</v>
      </c>
      <c r="D519" s="435">
        <v>346.31599999999997</v>
      </c>
      <c r="E519" s="435">
        <v>1.5</v>
      </c>
      <c r="F519" s="215">
        <v>0</v>
      </c>
      <c r="G519" s="215">
        <v>29728</v>
      </c>
    </row>
    <row r="520" spans="1:7">
      <c r="A520" s="926" t="s">
        <v>69</v>
      </c>
      <c r="B520" s="423" t="s">
        <v>3059</v>
      </c>
      <c r="C520" s="435">
        <v>1.37</v>
      </c>
      <c r="D520" s="435">
        <v>256.92899999999997</v>
      </c>
      <c r="E520" s="435">
        <v>1.5</v>
      </c>
      <c r="F520" s="215">
        <v>0</v>
      </c>
      <c r="G520" s="215">
        <v>21370</v>
      </c>
    </row>
    <row r="521" spans="1:7">
      <c r="A521" s="926" t="s">
        <v>71</v>
      </c>
      <c r="B521" s="423" t="s">
        <v>3060</v>
      </c>
      <c r="C521" s="435">
        <v>1.37</v>
      </c>
      <c r="D521" s="435">
        <v>905.50800000000004</v>
      </c>
      <c r="E521" s="435">
        <v>1.5</v>
      </c>
      <c r="F521" s="215">
        <v>0</v>
      </c>
      <c r="G521" s="215">
        <v>81286</v>
      </c>
    </row>
    <row r="522" spans="1:7">
      <c r="A522" s="926" t="s">
        <v>73</v>
      </c>
      <c r="B522" s="423" t="s">
        <v>3061</v>
      </c>
      <c r="C522" s="435">
        <v>1.37</v>
      </c>
      <c r="D522" s="435">
        <v>370.63799999999998</v>
      </c>
      <c r="E522" s="435">
        <v>1.5</v>
      </c>
      <c r="F522" s="215">
        <v>0</v>
      </c>
      <c r="G522" s="215">
        <v>63568</v>
      </c>
    </row>
    <row r="523" spans="1:7">
      <c r="A523" s="926" t="s">
        <v>75</v>
      </c>
      <c r="B523" s="423" t="s">
        <v>3062</v>
      </c>
      <c r="C523" s="435">
        <v>1.37</v>
      </c>
      <c r="D523" s="435">
        <v>1367.9110000000001</v>
      </c>
      <c r="E523" s="435">
        <v>1.5</v>
      </c>
      <c r="F523" s="215">
        <v>0</v>
      </c>
      <c r="G523" s="215">
        <v>107038</v>
      </c>
    </row>
    <row r="524" spans="1:7">
      <c r="A524" s="926" t="s">
        <v>1316</v>
      </c>
      <c r="B524" s="423" t="s">
        <v>121</v>
      </c>
      <c r="C524" s="435">
        <v>1.37</v>
      </c>
      <c r="D524" s="435">
        <v>618.66399999999999</v>
      </c>
      <c r="E524" s="435">
        <v>1.5</v>
      </c>
      <c r="F524" s="215">
        <v>0</v>
      </c>
      <c r="G524" s="215">
        <v>62823</v>
      </c>
    </row>
    <row r="525" spans="1:7">
      <c r="A525" s="926" t="s">
        <v>2600</v>
      </c>
      <c r="B525" s="423" t="s">
        <v>3063</v>
      </c>
      <c r="C525" s="435">
        <v>1.3665</v>
      </c>
      <c r="D525" s="435">
        <v>945.077</v>
      </c>
      <c r="E525" s="435">
        <v>1.4961</v>
      </c>
      <c r="F525" s="215">
        <v>0</v>
      </c>
      <c r="G525" s="215">
        <v>141960</v>
      </c>
    </row>
    <row r="526" spans="1:7">
      <c r="A526" s="926" t="s">
        <v>7133</v>
      </c>
      <c r="B526" s="423" t="s">
        <v>3064</v>
      </c>
      <c r="C526" s="435">
        <v>1.37</v>
      </c>
      <c r="D526" s="435">
        <v>287.37</v>
      </c>
      <c r="E526" s="435">
        <v>1.5</v>
      </c>
      <c r="F526" s="215">
        <v>0</v>
      </c>
      <c r="G526" s="215">
        <v>36748</v>
      </c>
    </row>
    <row r="527" spans="1:7">
      <c r="A527" s="926" t="s">
        <v>961</v>
      </c>
      <c r="B527" s="423" t="s">
        <v>2145</v>
      </c>
      <c r="C527" s="435">
        <v>1.37</v>
      </c>
      <c r="D527" s="435">
        <v>1418.4490000000001</v>
      </c>
      <c r="E527" s="435">
        <v>1.5</v>
      </c>
      <c r="F527" s="215">
        <v>0</v>
      </c>
      <c r="G527" s="215">
        <v>183604</v>
      </c>
    </row>
    <row r="528" spans="1:7">
      <c r="A528" s="926" t="s">
        <v>6024</v>
      </c>
      <c r="B528" s="423" t="s">
        <v>1909</v>
      </c>
      <c r="C528" s="435">
        <v>1.44</v>
      </c>
      <c r="D528" s="435">
        <v>2746.86</v>
      </c>
      <c r="E528" s="435">
        <v>1.5</v>
      </c>
      <c r="F528" s="215">
        <v>0</v>
      </c>
      <c r="G528" s="215">
        <v>312485</v>
      </c>
    </row>
    <row r="529" spans="1:7">
      <c r="A529" s="926" t="s">
        <v>6034</v>
      </c>
      <c r="B529" s="423" t="s">
        <v>1922</v>
      </c>
      <c r="C529" s="435">
        <v>1.37</v>
      </c>
      <c r="D529" s="435">
        <v>1447.528</v>
      </c>
      <c r="E529" s="435">
        <v>1.5</v>
      </c>
      <c r="F529" s="215">
        <v>0</v>
      </c>
      <c r="G529" s="215">
        <v>146175</v>
      </c>
    </row>
    <row r="530" spans="1:7">
      <c r="A530" s="926" t="s">
        <v>7135</v>
      </c>
      <c r="B530" s="423" t="s">
        <v>3065</v>
      </c>
      <c r="C530" s="435">
        <v>1.37</v>
      </c>
      <c r="D530" s="435">
        <v>405.03899999999999</v>
      </c>
      <c r="E530" s="435">
        <v>1.5</v>
      </c>
      <c r="F530" s="215">
        <v>0</v>
      </c>
      <c r="G530" s="215">
        <v>13599</v>
      </c>
    </row>
    <row r="531" spans="1:7">
      <c r="A531" s="926" t="s">
        <v>7137</v>
      </c>
      <c r="B531" s="423" t="s">
        <v>3066</v>
      </c>
      <c r="C531" s="435">
        <v>1.34</v>
      </c>
      <c r="D531" s="435">
        <v>337.04199999999997</v>
      </c>
      <c r="E531" s="435">
        <v>1.47</v>
      </c>
      <c r="F531" s="215">
        <v>0</v>
      </c>
      <c r="G531" s="215">
        <v>22143</v>
      </c>
    </row>
    <row r="532" spans="1:7">
      <c r="A532" s="926" t="s">
        <v>7139</v>
      </c>
      <c r="B532" s="423" t="s">
        <v>3067</v>
      </c>
      <c r="C532" s="435">
        <v>1.1936</v>
      </c>
      <c r="D532" s="435">
        <v>45.436</v>
      </c>
      <c r="E532" s="435">
        <v>1.31</v>
      </c>
      <c r="F532" s="215">
        <v>0</v>
      </c>
      <c r="G532" s="215">
        <v>27010</v>
      </c>
    </row>
    <row r="533" spans="1:7">
      <c r="A533" s="926" t="s">
        <v>6178</v>
      </c>
      <c r="B533" s="423" t="s">
        <v>3519</v>
      </c>
      <c r="C533" s="435">
        <v>1.3</v>
      </c>
      <c r="D533" s="435">
        <v>4723.1899999999996</v>
      </c>
      <c r="E533" s="435">
        <v>1.47</v>
      </c>
      <c r="F533" s="215">
        <v>0</v>
      </c>
      <c r="G533" s="215">
        <v>106666</v>
      </c>
    </row>
    <row r="534" spans="1:7">
      <c r="A534" s="926" t="s">
        <v>7145</v>
      </c>
      <c r="B534" s="423" t="s">
        <v>3068</v>
      </c>
      <c r="C534" s="435">
        <v>1.37</v>
      </c>
      <c r="D534" s="435">
        <v>8701.143</v>
      </c>
      <c r="E534" s="435">
        <v>1.5</v>
      </c>
      <c r="F534" s="215">
        <v>0</v>
      </c>
      <c r="G534" s="215">
        <v>412744</v>
      </c>
    </row>
    <row r="535" spans="1:7">
      <c r="A535" s="926" t="s">
        <v>7147</v>
      </c>
      <c r="B535" s="423" t="s">
        <v>3069</v>
      </c>
      <c r="C535" s="435">
        <v>1.37</v>
      </c>
      <c r="D535" s="435">
        <v>4399.3339999999998</v>
      </c>
      <c r="E535" s="435">
        <v>1.5</v>
      </c>
      <c r="F535" s="215">
        <v>0</v>
      </c>
      <c r="G535" s="215">
        <v>168414</v>
      </c>
    </row>
    <row r="536" spans="1:7">
      <c r="A536" s="926" t="s">
        <v>2808</v>
      </c>
      <c r="B536" s="423" t="s">
        <v>3054</v>
      </c>
      <c r="C536" s="435">
        <v>1.3079000000000001</v>
      </c>
      <c r="D536" s="435">
        <v>18138.273000000001</v>
      </c>
      <c r="E536" s="435">
        <v>1.4750000000000001</v>
      </c>
      <c r="F536" s="215">
        <v>0</v>
      </c>
      <c r="G536" s="215">
        <v>1794132</v>
      </c>
    </row>
    <row r="537" spans="1:7">
      <c r="A537" s="926" t="s">
        <v>2810</v>
      </c>
      <c r="B537" s="423" t="s">
        <v>6648</v>
      </c>
      <c r="C537" s="435">
        <v>1.37</v>
      </c>
      <c r="D537" s="435">
        <v>238.392</v>
      </c>
      <c r="E537" s="435">
        <v>1.5</v>
      </c>
      <c r="F537" s="215">
        <v>0</v>
      </c>
      <c r="G537" s="215">
        <v>19547</v>
      </c>
    </row>
    <row r="538" spans="1:7">
      <c r="A538" s="926" t="s">
        <v>1859</v>
      </c>
      <c r="B538" s="423" t="s">
        <v>3916</v>
      </c>
      <c r="C538" s="435">
        <v>1.42</v>
      </c>
      <c r="D538" s="435">
        <v>1711.7929999999999</v>
      </c>
      <c r="E538" s="435">
        <v>1.5</v>
      </c>
      <c r="F538" s="215">
        <v>0</v>
      </c>
      <c r="G538" s="215">
        <v>191178</v>
      </c>
    </row>
    <row r="539" spans="1:7">
      <c r="A539" s="926" t="s">
        <v>2812</v>
      </c>
      <c r="B539" s="423" t="s">
        <v>6649</v>
      </c>
      <c r="C539" s="435">
        <v>1.3701000000000001</v>
      </c>
      <c r="D539" s="435">
        <v>1004.332</v>
      </c>
      <c r="E539" s="435">
        <v>1.5</v>
      </c>
      <c r="F539" s="215">
        <v>0</v>
      </c>
      <c r="G539" s="215">
        <v>68750</v>
      </c>
    </row>
    <row r="540" spans="1:7">
      <c r="A540" s="926" t="s">
        <v>820</v>
      </c>
      <c r="B540" s="423" t="s">
        <v>1843</v>
      </c>
      <c r="C540" s="435">
        <v>1.3464</v>
      </c>
      <c r="D540" s="435">
        <v>5072.0680000000002</v>
      </c>
      <c r="E540" s="435">
        <v>1.4734</v>
      </c>
      <c r="F540" s="215">
        <v>0</v>
      </c>
      <c r="G540" s="215">
        <v>222319</v>
      </c>
    </row>
    <row r="541" spans="1:7">
      <c r="A541" s="926" t="s">
        <v>127</v>
      </c>
      <c r="B541" s="423" t="s">
        <v>7655</v>
      </c>
      <c r="C541" s="435">
        <v>1.2614000000000001</v>
      </c>
      <c r="D541" s="435">
        <v>566.255</v>
      </c>
      <c r="E541" s="435">
        <v>1.3774999999999999</v>
      </c>
      <c r="F541" s="215">
        <v>0</v>
      </c>
      <c r="G541" s="215">
        <v>78416</v>
      </c>
    </row>
    <row r="542" spans="1:7">
      <c r="A542" s="926" t="s">
        <v>6189</v>
      </c>
      <c r="B542" s="423" t="s">
        <v>3625</v>
      </c>
      <c r="C542" s="435">
        <v>1.3193999999999999</v>
      </c>
      <c r="D542" s="435">
        <v>1563.2090000000001</v>
      </c>
      <c r="E542" s="435">
        <v>1.4429000000000001</v>
      </c>
      <c r="F542" s="215">
        <v>0</v>
      </c>
      <c r="G542" s="215">
        <v>132505</v>
      </c>
    </row>
    <row r="543" spans="1:7">
      <c r="A543" s="926" t="s">
        <v>5130</v>
      </c>
      <c r="B543" s="423" t="s">
        <v>349</v>
      </c>
      <c r="C543" s="435">
        <v>1.37</v>
      </c>
      <c r="D543" s="435">
        <v>787.7</v>
      </c>
      <c r="E543" s="435">
        <v>1.5</v>
      </c>
      <c r="F543" s="215">
        <v>0</v>
      </c>
      <c r="G543" s="215">
        <v>41615</v>
      </c>
    </row>
    <row r="544" spans="1:7">
      <c r="A544" s="926" t="s">
        <v>2815</v>
      </c>
      <c r="B544" s="423" t="s">
        <v>6650</v>
      </c>
      <c r="C544" s="435">
        <v>1.37</v>
      </c>
      <c r="D544" s="435">
        <v>76.644000000000005</v>
      </c>
      <c r="E544" s="435">
        <v>1.5</v>
      </c>
      <c r="F544" s="215">
        <v>0</v>
      </c>
      <c r="G544" s="215">
        <v>8893</v>
      </c>
    </row>
    <row r="545" spans="1:7">
      <c r="A545" s="926" t="s">
        <v>3888</v>
      </c>
      <c r="B545" s="423" t="s">
        <v>7678</v>
      </c>
      <c r="C545" s="435">
        <v>1.3479000000000001</v>
      </c>
      <c r="D545" s="435">
        <v>3103.2559999999999</v>
      </c>
      <c r="E545" s="435">
        <v>1.4750000000000001</v>
      </c>
      <c r="F545" s="215">
        <v>0</v>
      </c>
      <c r="G545" s="215">
        <v>377734</v>
      </c>
    </row>
    <row r="546" spans="1:7">
      <c r="A546" s="926" t="s">
        <v>977</v>
      </c>
      <c r="B546" s="423" t="s">
        <v>2147</v>
      </c>
      <c r="C546" s="435">
        <v>1.37</v>
      </c>
      <c r="D546" s="435">
        <v>7575.87</v>
      </c>
      <c r="E546" s="435">
        <v>1.5</v>
      </c>
      <c r="F546" s="215">
        <v>0</v>
      </c>
      <c r="G546" s="215">
        <v>344893</v>
      </c>
    </row>
    <row r="547" spans="1:7">
      <c r="A547" s="926" t="s">
        <v>739</v>
      </c>
      <c r="B547" s="423" t="s">
        <v>6113</v>
      </c>
      <c r="C547" s="435">
        <v>1.37</v>
      </c>
      <c r="D547" s="435">
        <v>6001.86</v>
      </c>
      <c r="E547" s="435">
        <v>1.5</v>
      </c>
      <c r="F547" s="215">
        <v>0</v>
      </c>
      <c r="G547" s="215">
        <v>374668</v>
      </c>
    </row>
    <row r="548" spans="1:7">
      <c r="A548" s="926" t="s">
        <v>1855</v>
      </c>
      <c r="B548" s="423" t="s">
        <v>4968</v>
      </c>
      <c r="C548" s="435">
        <v>1.37</v>
      </c>
      <c r="D548" s="435">
        <v>1062.654</v>
      </c>
      <c r="E548" s="435">
        <v>1.5</v>
      </c>
      <c r="F548" s="215">
        <v>0</v>
      </c>
      <c r="G548" s="215">
        <v>254385</v>
      </c>
    </row>
    <row r="549" spans="1:7">
      <c r="A549" s="926" t="s">
        <v>6025</v>
      </c>
      <c r="B549" s="423" t="s">
        <v>1910</v>
      </c>
      <c r="C549" s="435">
        <v>1.37</v>
      </c>
      <c r="D549" s="435">
        <v>4226.8729999999996</v>
      </c>
      <c r="E549" s="435">
        <v>1.5</v>
      </c>
      <c r="F549" s="215">
        <v>129821</v>
      </c>
      <c r="G549" s="215">
        <v>381009</v>
      </c>
    </row>
    <row r="550" spans="1:7">
      <c r="A550" s="926" t="s">
        <v>2817</v>
      </c>
      <c r="B550" s="423" t="s">
        <v>6651</v>
      </c>
      <c r="C550" s="435">
        <v>1.37</v>
      </c>
      <c r="D550" s="435">
        <v>762.47</v>
      </c>
      <c r="E550" s="435">
        <v>1.5</v>
      </c>
      <c r="F550" s="215">
        <v>0</v>
      </c>
      <c r="G550" s="215">
        <v>0</v>
      </c>
    </row>
    <row r="551" spans="1:7">
      <c r="A551" s="926" t="s">
        <v>128</v>
      </c>
      <c r="B551" s="423" t="s">
        <v>362</v>
      </c>
      <c r="C551" s="435">
        <v>1.37</v>
      </c>
      <c r="D551" s="435">
        <v>850.59100000000001</v>
      </c>
      <c r="E551" s="435">
        <v>1.5</v>
      </c>
      <c r="F551" s="215">
        <v>0</v>
      </c>
      <c r="G551" s="215">
        <v>55293</v>
      </c>
    </row>
    <row r="552" spans="1:7">
      <c r="A552" s="926" t="s">
        <v>3551</v>
      </c>
      <c r="B552" s="423" t="s">
        <v>7131</v>
      </c>
      <c r="C552" s="435">
        <v>1.37</v>
      </c>
      <c r="D552" s="435">
        <v>1588.1659999999999</v>
      </c>
      <c r="E552" s="435">
        <v>1.5</v>
      </c>
      <c r="F552" s="215">
        <v>0</v>
      </c>
      <c r="G552" s="215">
        <v>330374</v>
      </c>
    </row>
    <row r="553" spans="1:7">
      <c r="A553" s="926" t="s">
        <v>1851</v>
      </c>
      <c r="B553" s="423" t="s">
        <v>126</v>
      </c>
      <c r="C553" s="435">
        <v>1.212</v>
      </c>
      <c r="D553" s="435">
        <v>1319</v>
      </c>
      <c r="E553" s="435">
        <v>1.3223</v>
      </c>
      <c r="F553" s="215">
        <v>0</v>
      </c>
      <c r="G553" s="215">
        <v>106040</v>
      </c>
    </row>
    <row r="554" spans="1:7">
      <c r="A554" s="926" t="s">
        <v>267</v>
      </c>
      <c r="B554" s="423" t="s">
        <v>7684</v>
      </c>
      <c r="C554" s="435">
        <v>1.37</v>
      </c>
      <c r="D554" s="435">
        <v>683.61199999999997</v>
      </c>
      <c r="E554" s="435">
        <v>1.5</v>
      </c>
      <c r="F554" s="215">
        <v>0</v>
      </c>
      <c r="G554" s="215">
        <v>45117</v>
      </c>
    </row>
    <row r="555" spans="1:7">
      <c r="A555" s="926" t="s">
        <v>2819</v>
      </c>
      <c r="B555" s="423" t="s">
        <v>6652</v>
      </c>
      <c r="C555" s="435">
        <v>1.37</v>
      </c>
      <c r="D555" s="435">
        <v>461.40600000000001</v>
      </c>
      <c r="E555" s="435">
        <v>1.5</v>
      </c>
      <c r="F555" s="215">
        <v>0</v>
      </c>
      <c r="G555" s="215">
        <v>13748</v>
      </c>
    </row>
    <row r="556" spans="1:7">
      <c r="A556" s="926" t="s">
        <v>1863</v>
      </c>
      <c r="B556" s="423" t="s">
        <v>3839</v>
      </c>
      <c r="C556" s="435">
        <v>1.37</v>
      </c>
      <c r="D556" s="435">
        <v>691.58900000000006</v>
      </c>
      <c r="E556" s="435">
        <v>1.5</v>
      </c>
      <c r="F556" s="215">
        <v>0</v>
      </c>
      <c r="G556" s="215">
        <v>45504</v>
      </c>
    </row>
    <row r="557" spans="1:7">
      <c r="A557" s="926" t="s">
        <v>449</v>
      </c>
      <c r="B557" s="423" t="s">
        <v>6155</v>
      </c>
      <c r="C557" s="435">
        <v>1.37</v>
      </c>
      <c r="D557" s="435">
        <v>117.765</v>
      </c>
      <c r="E557" s="435">
        <v>1.5</v>
      </c>
      <c r="F557" s="215">
        <v>0</v>
      </c>
      <c r="G557" s="215">
        <v>22820</v>
      </c>
    </row>
    <row r="558" spans="1:7">
      <c r="A558" s="926" t="s">
        <v>5138</v>
      </c>
      <c r="B558" s="423" t="s">
        <v>2354</v>
      </c>
      <c r="C558" s="435">
        <v>1.37</v>
      </c>
      <c r="D558" s="435">
        <v>625.28499999999997</v>
      </c>
      <c r="E558" s="435">
        <v>1.5</v>
      </c>
      <c r="F558" s="215">
        <v>0</v>
      </c>
      <c r="G558" s="215">
        <v>50301</v>
      </c>
    </row>
    <row r="559" spans="1:7">
      <c r="A559" s="926" t="s">
        <v>6027</v>
      </c>
      <c r="B559" s="423" t="s">
        <v>1912</v>
      </c>
      <c r="C559" s="435">
        <v>1.2897000000000001</v>
      </c>
      <c r="D559" s="435">
        <v>922.28200000000004</v>
      </c>
      <c r="E559" s="435">
        <v>1.4094</v>
      </c>
      <c r="F559" s="215">
        <v>0</v>
      </c>
      <c r="G559" s="215">
        <v>90239</v>
      </c>
    </row>
    <row r="560" spans="1:7">
      <c r="A560" s="926" t="s">
        <v>450</v>
      </c>
      <c r="B560" s="423" t="s">
        <v>1917</v>
      </c>
      <c r="C560" s="435">
        <v>1.37</v>
      </c>
      <c r="D560" s="435">
        <v>722.90599999999995</v>
      </c>
      <c r="E560" s="435">
        <v>1.5</v>
      </c>
      <c r="F560" s="215">
        <v>0</v>
      </c>
      <c r="G560" s="215">
        <v>41367</v>
      </c>
    </row>
    <row r="561" spans="1:7">
      <c r="A561" s="926" t="s">
        <v>516</v>
      </c>
      <c r="B561" s="423" t="s">
        <v>6653</v>
      </c>
      <c r="C561" s="435">
        <v>1.37</v>
      </c>
      <c r="D561" s="435">
        <v>276.31400000000002</v>
      </c>
      <c r="E561" s="435">
        <v>1.5</v>
      </c>
      <c r="F561" s="215">
        <v>0</v>
      </c>
      <c r="G561" s="215">
        <v>8630</v>
      </c>
    </row>
    <row r="562" spans="1:7">
      <c r="A562" s="926" t="s">
        <v>1525</v>
      </c>
      <c r="B562" s="423" t="s">
        <v>1931</v>
      </c>
      <c r="C562" s="435">
        <v>1.37</v>
      </c>
      <c r="D562" s="435">
        <v>321.60399999999998</v>
      </c>
      <c r="E562" s="435">
        <v>1.5</v>
      </c>
      <c r="F562" s="215">
        <v>0</v>
      </c>
      <c r="G562" s="215">
        <v>38722</v>
      </c>
    </row>
    <row r="563" spans="1:7">
      <c r="A563" s="926" t="s">
        <v>244</v>
      </c>
      <c r="B563" s="423" t="s">
        <v>1665</v>
      </c>
      <c r="C563" s="435">
        <v>1.37</v>
      </c>
      <c r="D563" s="435">
        <v>1962.057</v>
      </c>
      <c r="E563" s="435">
        <v>1.5</v>
      </c>
      <c r="F563" s="215">
        <v>0</v>
      </c>
      <c r="G563" s="215">
        <v>126115</v>
      </c>
    </row>
    <row r="564" spans="1:7">
      <c r="A564" s="926" t="s">
        <v>1308</v>
      </c>
      <c r="B564" s="423" t="s">
        <v>113</v>
      </c>
      <c r="C564" s="435">
        <v>1.3346</v>
      </c>
      <c r="D564" s="435">
        <v>5039.3670000000002</v>
      </c>
      <c r="E564" s="435">
        <v>1.46</v>
      </c>
      <c r="F564" s="215">
        <v>41079</v>
      </c>
      <c r="G564" s="215">
        <v>319123</v>
      </c>
    </row>
    <row r="565" spans="1:7">
      <c r="A565" s="926" t="s">
        <v>6029</v>
      </c>
      <c r="B565" s="423" t="s">
        <v>1914</v>
      </c>
      <c r="C565" s="435">
        <v>1.37</v>
      </c>
      <c r="D565" s="435">
        <v>3261.2159999999999</v>
      </c>
      <c r="E565" s="435">
        <v>1.5</v>
      </c>
      <c r="F565" s="215">
        <v>0</v>
      </c>
      <c r="G565" s="215">
        <v>348029</v>
      </c>
    </row>
    <row r="566" spans="1:7">
      <c r="A566" s="926" t="s">
        <v>6031</v>
      </c>
      <c r="B566" s="423" t="s">
        <v>1916</v>
      </c>
      <c r="C566" s="435">
        <v>1.3701000000000001</v>
      </c>
      <c r="D566" s="435">
        <v>1571.6949999999999</v>
      </c>
      <c r="E566" s="435">
        <v>1.5</v>
      </c>
      <c r="F566" s="215">
        <v>0</v>
      </c>
      <c r="G566" s="215">
        <v>233135</v>
      </c>
    </row>
    <row r="567" spans="1:7">
      <c r="A567" s="926" t="s">
        <v>5628</v>
      </c>
      <c r="B567" s="423" t="s">
        <v>6654</v>
      </c>
      <c r="C567" s="435">
        <v>1.3340000000000001</v>
      </c>
      <c r="D567" s="435">
        <v>3014.232</v>
      </c>
      <c r="E567" s="435">
        <v>1.46</v>
      </c>
      <c r="F567" s="215">
        <v>5150</v>
      </c>
      <c r="G567" s="215">
        <v>339792</v>
      </c>
    </row>
    <row r="568" spans="1:7">
      <c r="A568" s="926" t="s">
        <v>5630</v>
      </c>
      <c r="B568" s="423" t="s">
        <v>6655</v>
      </c>
      <c r="C568" s="435">
        <v>1.37</v>
      </c>
      <c r="D568" s="435">
        <v>4056.5970000000002</v>
      </c>
      <c r="E568" s="435">
        <v>1.5</v>
      </c>
      <c r="F568" s="215">
        <v>0</v>
      </c>
      <c r="G568" s="215">
        <v>504984</v>
      </c>
    </row>
    <row r="569" spans="1:7">
      <c r="A569" s="926" t="s">
        <v>2395</v>
      </c>
      <c r="B569" s="423" t="s">
        <v>1462</v>
      </c>
      <c r="C569" s="435">
        <v>1.37</v>
      </c>
      <c r="D569" s="435">
        <v>844.57899999999995</v>
      </c>
      <c r="E569" s="435">
        <v>1.5</v>
      </c>
      <c r="F569" s="215">
        <v>30940</v>
      </c>
      <c r="G569" s="215">
        <v>93650</v>
      </c>
    </row>
    <row r="570" spans="1:7">
      <c r="A570" s="926" t="s">
        <v>5632</v>
      </c>
      <c r="B570" s="423" t="s">
        <v>6656</v>
      </c>
      <c r="C570" s="435">
        <v>1.33</v>
      </c>
      <c r="D570" s="435">
        <v>5727.8059999999996</v>
      </c>
      <c r="E570" s="435">
        <v>1.46</v>
      </c>
      <c r="F570" s="215">
        <v>0</v>
      </c>
      <c r="G570" s="215">
        <v>564269</v>
      </c>
    </row>
    <row r="571" spans="1:7">
      <c r="A571" s="926" t="s">
        <v>6147</v>
      </c>
      <c r="B571" s="423" t="s">
        <v>6657</v>
      </c>
      <c r="C571" s="435">
        <v>1.2450000000000001</v>
      </c>
      <c r="D571" s="435">
        <v>1147.9000000000001</v>
      </c>
      <c r="E571" s="435">
        <v>1.36</v>
      </c>
      <c r="F571" s="215">
        <v>0</v>
      </c>
      <c r="G571" s="215">
        <v>129043</v>
      </c>
    </row>
    <row r="572" spans="1:7">
      <c r="A572" s="926" t="s">
        <v>1417</v>
      </c>
      <c r="B572" s="423" t="s">
        <v>6658</v>
      </c>
      <c r="C572" s="435">
        <v>1.37</v>
      </c>
      <c r="D572" s="435">
        <v>67.159000000000006</v>
      </c>
      <c r="E572" s="435">
        <v>1.5</v>
      </c>
      <c r="F572" s="215">
        <v>0</v>
      </c>
      <c r="G572" s="215">
        <v>0</v>
      </c>
    </row>
    <row r="573" spans="1:7">
      <c r="A573" s="926" t="s">
        <v>1419</v>
      </c>
      <c r="B573" s="423" t="s">
        <v>6659</v>
      </c>
      <c r="C573" s="435">
        <v>1.3257000000000001</v>
      </c>
      <c r="D573" s="435">
        <v>117.30500000000001</v>
      </c>
      <c r="E573" s="435">
        <v>1.45</v>
      </c>
      <c r="F573" s="215">
        <v>0</v>
      </c>
      <c r="G573" s="215">
        <v>26515</v>
      </c>
    </row>
    <row r="574" spans="1:7">
      <c r="A574" s="926" t="s">
        <v>2469</v>
      </c>
      <c r="B574" s="423" t="s">
        <v>6105</v>
      </c>
      <c r="C574" s="435">
        <v>1.325</v>
      </c>
      <c r="D574" s="435">
        <v>529.47199999999998</v>
      </c>
      <c r="E574" s="435">
        <v>1.45</v>
      </c>
      <c r="F574" s="215">
        <v>0</v>
      </c>
      <c r="G574" s="215">
        <v>62114</v>
      </c>
    </row>
    <row r="575" spans="1:7">
      <c r="A575" s="926" t="s">
        <v>1421</v>
      </c>
      <c r="B575" s="423" t="s">
        <v>6660</v>
      </c>
      <c r="C575" s="435">
        <v>1.35</v>
      </c>
      <c r="D575" s="435">
        <v>193.172</v>
      </c>
      <c r="E575" s="435">
        <v>1.48</v>
      </c>
      <c r="F575" s="215">
        <v>0</v>
      </c>
      <c r="G575" s="215">
        <v>25566</v>
      </c>
    </row>
    <row r="576" spans="1:7">
      <c r="A576" s="926" t="s">
        <v>1423</v>
      </c>
      <c r="B576" s="423" t="s">
        <v>6661</v>
      </c>
      <c r="C576" s="435">
        <v>1.32</v>
      </c>
      <c r="D576" s="435">
        <v>4459.4539999999997</v>
      </c>
      <c r="E576" s="435">
        <v>1.49</v>
      </c>
      <c r="F576" s="215">
        <v>0</v>
      </c>
      <c r="G576" s="215">
        <v>262889</v>
      </c>
    </row>
    <row r="577" spans="1:7">
      <c r="A577" s="926" t="s">
        <v>1425</v>
      </c>
      <c r="B577" s="423" t="s">
        <v>6662</v>
      </c>
      <c r="C577" s="435">
        <v>1.37</v>
      </c>
      <c r="D577" s="435">
        <v>1359.4570000000001</v>
      </c>
      <c r="E577" s="435">
        <v>1.5</v>
      </c>
      <c r="F577" s="215">
        <v>0</v>
      </c>
      <c r="G577" s="215">
        <v>87768</v>
      </c>
    </row>
    <row r="578" spans="1:7">
      <c r="A578" s="926" t="s">
        <v>7151</v>
      </c>
      <c r="B578" s="423" t="s">
        <v>6663</v>
      </c>
      <c r="C578" s="435">
        <v>0.90800000000000003</v>
      </c>
      <c r="D578" s="435">
        <v>17.425999999999998</v>
      </c>
      <c r="E578" s="435">
        <v>0.90800000000000003</v>
      </c>
      <c r="F578" s="215">
        <v>0</v>
      </c>
      <c r="G578" s="215">
        <v>0</v>
      </c>
    </row>
    <row r="579" spans="1:7">
      <c r="A579" s="926" t="s">
        <v>7153</v>
      </c>
      <c r="B579" s="423" t="s">
        <v>6664</v>
      </c>
      <c r="C579" s="435">
        <v>1.21</v>
      </c>
      <c r="D579" s="435">
        <v>666.28499999999997</v>
      </c>
      <c r="E579" s="435">
        <v>1.43</v>
      </c>
      <c r="F579" s="215">
        <v>0</v>
      </c>
      <c r="G579" s="215">
        <v>81204</v>
      </c>
    </row>
    <row r="580" spans="1:7">
      <c r="A580" s="926" t="s">
        <v>1833</v>
      </c>
      <c r="B580" s="423" t="s">
        <v>6665</v>
      </c>
      <c r="C580" s="435">
        <v>1.29</v>
      </c>
      <c r="D580" s="435">
        <v>92.926000000000002</v>
      </c>
      <c r="E580" s="435">
        <v>1.41</v>
      </c>
      <c r="F580" s="215">
        <v>0</v>
      </c>
      <c r="G580" s="215">
        <v>0</v>
      </c>
    </row>
    <row r="581" spans="1:7">
      <c r="A581" s="926" t="s">
        <v>1835</v>
      </c>
      <c r="B581" s="423" t="s">
        <v>6666</v>
      </c>
      <c r="C581" s="435">
        <v>1.19</v>
      </c>
      <c r="D581" s="435">
        <v>594.72799999999995</v>
      </c>
      <c r="E581" s="435">
        <v>1.2975000000000001</v>
      </c>
      <c r="F581" s="215">
        <v>0</v>
      </c>
      <c r="G581" s="215">
        <v>66458</v>
      </c>
    </row>
    <row r="582" spans="1:7">
      <c r="A582" s="926" t="s">
        <v>510</v>
      </c>
      <c r="B582" s="423" t="s">
        <v>1921</v>
      </c>
      <c r="C582" s="435">
        <v>1.37</v>
      </c>
      <c r="D582" s="435">
        <v>3821.7759999999998</v>
      </c>
      <c r="E582" s="435">
        <v>1.5</v>
      </c>
      <c r="F582" s="215">
        <v>129775</v>
      </c>
      <c r="G582" s="215">
        <v>132625</v>
      </c>
    </row>
    <row r="583" spans="1:7">
      <c r="A583" s="926" t="s">
        <v>3530</v>
      </c>
      <c r="B583" s="423" t="s">
        <v>6667</v>
      </c>
      <c r="C583" s="435">
        <v>1.2809999999999999</v>
      </c>
      <c r="D583" s="435">
        <v>532.80499999999995</v>
      </c>
      <c r="E583" s="435">
        <v>1.4</v>
      </c>
      <c r="F583" s="215">
        <v>0</v>
      </c>
      <c r="G583" s="215">
        <v>82323</v>
      </c>
    </row>
    <row r="584" spans="1:7">
      <c r="A584" s="926" t="s">
        <v>3532</v>
      </c>
      <c r="B584" s="423" t="s">
        <v>6668</v>
      </c>
      <c r="C584" s="435">
        <v>1.37</v>
      </c>
      <c r="D584" s="435">
        <v>466.17500000000001</v>
      </c>
      <c r="E584" s="435">
        <v>1.5</v>
      </c>
      <c r="F584" s="215">
        <v>0</v>
      </c>
      <c r="G584" s="215">
        <v>18192</v>
      </c>
    </row>
    <row r="585" spans="1:7">
      <c r="A585" s="926" t="s">
        <v>3534</v>
      </c>
      <c r="B585" s="423" t="s">
        <v>6669</v>
      </c>
      <c r="C585" s="435">
        <v>1.37</v>
      </c>
      <c r="D585" s="435">
        <v>300.12900000000002</v>
      </c>
      <c r="E585" s="435">
        <v>1.5</v>
      </c>
      <c r="F585" s="215">
        <v>0</v>
      </c>
      <c r="G585" s="215">
        <v>0</v>
      </c>
    </row>
    <row r="586" spans="1:7">
      <c r="A586" s="926" t="s">
        <v>511</v>
      </c>
      <c r="B586" s="423" t="s">
        <v>5639</v>
      </c>
      <c r="C586" s="435">
        <v>1.37</v>
      </c>
      <c r="D586" s="435">
        <v>270.31599999999997</v>
      </c>
      <c r="E586" s="435">
        <v>1.5</v>
      </c>
      <c r="F586" s="215">
        <v>0</v>
      </c>
      <c r="G586" s="215">
        <v>11960</v>
      </c>
    </row>
    <row r="587" spans="1:7">
      <c r="A587" s="926" t="s">
        <v>3539</v>
      </c>
      <c r="B587" s="423" t="s">
        <v>6670</v>
      </c>
      <c r="C587" s="435">
        <v>1.37</v>
      </c>
      <c r="D587" s="435">
        <v>414.52699999999999</v>
      </c>
      <c r="E587" s="435">
        <v>1.5</v>
      </c>
      <c r="F587" s="215">
        <v>0</v>
      </c>
      <c r="G587" s="215">
        <v>37682</v>
      </c>
    </row>
    <row r="588" spans="1:7">
      <c r="A588" s="926" t="s">
        <v>3541</v>
      </c>
      <c r="B588" s="423" t="s">
        <v>6671</v>
      </c>
      <c r="C588" s="435">
        <v>1.37</v>
      </c>
      <c r="D588" s="435">
        <v>76.313999999999993</v>
      </c>
      <c r="E588" s="435">
        <v>1.5</v>
      </c>
      <c r="F588" s="215">
        <v>0</v>
      </c>
      <c r="G588" s="215">
        <v>12852</v>
      </c>
    </row>
    <row r="589" spans="1:7">
      <c r="A589" s="926" t="s">
        <v>3543</v>
      </c>
      <c r="B589" s="423" t="s">
        <v>278</v>
      </c>
      <c r="C589" s="435">
        <v>1.37</v>
      </c>
      <c r="D589" s="435">
        <v>829.82100000000003</v>
      </c>
      <c r="E589" s="435">
        <v>1.5</v>
      </c>
      <c r="F589" s="215">
        <v>0</v>
      </c>
      <c r="G589" s="215">
        <v>95546</v>
      </c>
    </row>
    <row r="590" spans="1:7">
      <c r="A590" s="926" t="s">
        <v>129</v>
      </c>
      <c r="B590" s="423" t="s">
        <v>372</v>
      </c>
      <c r="C590" s="435">
        <v>1.37</v>
      </c>
      <c r="D590" s="435">
        <v>215.87799999999999</v>
      </c>
      <c r="E590" s="435">
        <v>1.5</v>
      </c>
      <c r="F590" s="215">
        <v>0</v>
      </c>
      <c r="G590" s="215">
        <v>20123</v>
      </c>
    </row>
    <row r="591" spans="1:7">
      <c r="A591" s="926" t="s">
        <v>6193</v>
      </c>
      <c r="B591" s="423" t="s">
        <v>3891</v>
      </c>
      <c r="C591" s="435">
        <v>1.37</v>
      </c>
      <c r="D591" s="435">
        <v>3590.058</v>
      </c>
      <c r="E591" s="435">
        <v>1.5</v>
      </c>
      <c r="F591" s="215">
        <v>0</v>
      </c>
      <c r="G591" s="215">
        <v>218564</v>
      </c>
    </row>
    <row r="592" spans="1:7">
      <c r="A592" s="926" t="s">
        <v>2674</v>
      </c>
      <c r="B592" s="423" t="s">
        <v>279</v>
      </c>
      <c r="C592" s="435">
        <v>1.3337000000000001</v>
      </c>
      <c r="D592" s="435">
        <v>3019.9879999999998</v>
      </c>
      <c r="E592" s="435">
        <v>1.4591000000000001</v>
      </c>
      <c r="F592" s="215">
        <v>0</v>
      </c>
      <c r="G592" s="215">
        <v>459109</v>
      </c>
    </row>
    <row r="593" spans="1:7">
      <c r="A593" s="926" t="s">
        <v>512</v>
      </c>
      <c r="B593" s="423" t="s">
        <v>348</v>
      </c>
      <c r="C593" s="435">
        <v>1.3433999999999999</v>
      </c>
      <c r="D593" s="435">
        <v>1021.172</v>
      </c>
      <c r="E593" s="435">
        <v>1.47</v>
      </c>
      <c r="F593" s="215">
        <v>40756</v>
      </c>
      <c r="G593" s="215">
        <v>137180</v>
      </c>
    </row>
    <row r="594" spans="1:7">
      <c r="A594" s="926" t="s">
        <v>600</v>
      </c>
      <c r="B594" s="423" t="s">
        <v>280</v>
      </c>
      <c r="C594" s="435">
        <v>1.37</v>
      </c>
      <c r="D594" s="435">
        <v>186.21100000000001</v>
      </c>
      <c r="E594" s="435">
        <v>1.5</v>
      </c>
      <c r="F594" s="215">
        <v>0</v>
      </c>
      <c r="G594" s="215">
        <v>23961</v>
      </c>
    </row>
    <row r="595" spans="1:7">
      <c r="A595" s="926" t="s">
        <v>602</v>
      </c>
      <c r="B595" s="423" t="s">
        <v>281</v>
      </c>
      <c r="C595" s="435">
        <v>1.2589999999999999</v>
      </c>
      <c r="D595" s="435">
        <v>1374.1289999999999</v>
      </c>
      <c r="E595" s="435">
        <v>1.375</v>
      </c>
      <c r="F595" s="215">
        <v>0</v>
      </c>
      <c r="G595" s="215">
        <v>74389</v>
      </c>
    </row>
    <row r="596" spans="1:7">
      <c r="A596" s="926" t="s">
        <v>6188</v>
      </c>
      <c r="B596" s="423" t="s">
        <v>3836</v>
      </c>
      <c r="C596" s="435">
        <v>1.37</v>
      </c>
      <c r="D596" s="435">
        <v>658.72500000000002</v>
      </c>
      <c r="E596" s="435">
        <v>1.5</v>
      </c>
      <c r="F596" s="215">
        <v>0</v>
      </c>
      <c r="G596" s="215">
        <v>39585</v>
      </c>
    </row>
    <row r="597" spans="1:7">
      <c r="A597" s="926" t="s">
        <v>2016</v>
      </c>
      <c r="B597" s="423" t="s">
        <v>282</v>
      </c>
      <c r="C597" s="435" t="s">
        <v>5999</v>
      </c>
      <c r="D597" s="435">
        <v>105.417</v>
      </c>
      <c r="E597" s="435">
        <v>1.5</v>
      </c>
      <c r="F597" s="215">
        <v>0</v>
      </c>
      <c r="G597" s="215">
        <v>2558</v>
      </c>
    </row>
    <row r="598" spans="1:7">
      <c r="A598" s="926" t="s">
        <v>2018</v>
      </c>
      <c r="B598" s="423" t="s">
        <v>283</v>
      </c>
      <c r="C598" s="435">
        <v>1.3523000000000001</v>
      </c>
      <c r="D598" s="435">
        <v>362.392</v>
      </c>
      <c r="E598" s="435">
        <v>1.48</v>
      </c>
      <c r="F598" s="215">
        <v>0</v>
      </c>
      <c r="G598" s="215">
        <v>98688</v>
      </c>
    </row>
    <row r="599" spans="1:7">
      <c r="A599" s="926" t="s">
        <v>2020</v>
      </c>
      <c r="B599" s="423" t="s">
        <v>284</v>
      </c>
      <c r="C599" s="435">
        <v>1.1634</v>
      </c>
      <c r="D599" s="435">
        <v>350.74599999999998</v>
      </c>
      <c r="E599" s="435">
        <v>1.2669999999999999</v>
      </c>
      <c r="F599" s="215">
        <v>0</v>
      </c>
      <c r="G599" s="215">
        <v>58298</v>
      </c>
    </row>
    <row r="600" spans="1:7">
      <c r="A600" s="926" t="s">
        <v>2024</v>
      </c>
      <c r="B600" s="423" t="s">
        <v>285</v>
      </c>
      <c r="C600" s="435">
        <v>1.3218000000000001</v>
      </c>
      <c r="D600" s="435">
        <v>3127.962</v>
      </c>
      <c r="E600" s="435">
        <v>1.45</v>
      </c>
      <c r="F600" s="215">
        <v>0</v>
      </c>
      <c r="G600" s="215">
        <v>432443</v>
      </c>
    </row>
    <row r="601" spans="1:7">
      <c r="A601" s="926" t="s">
        <v>2026</v>
      </c>
      <c r="B601" s="423" t="s">
        <v>286</v>
      </c>
      <c r="C601" s="435">
        <v>1.3257000000000001</v>
      </c>
      <c r="D601" s="435">
        <v>293.90499999999997</v>
      </c>
      <c r="E601" s="435">
        <v>1.45</v>
      </c>
      <c r="F601" s="215">
        <v>0</v>
      </c>
      <c r="G601" s="215">
        <v>13625</v>
      </c>
    </row>
    <row r="602" spans="1:7">
      <c r="A602" s="926" t="s">
        <v>242</v>
      </c>
      <c r="B602" s="423" t="s">
        <v>2650</v>
      </c>
      <c r="C602" s="435">
        <v>1.5</v>
      </c>
      <c r="D602" s="435">
        <v>1123.723</v>
      </c>
      <c r="E602" s="435">
        <v>1.5</v>
      </c>
      <c r="F602" s="215">
        <v>0</v>
      </c>
      <c r="G602" s="215">
        <v>0</v>
      </c>
    </row>
    <row r="603" spans="1:7">
      <c r="A603" s="926" t="s">
        <v>2028</v>
      </c>
      <c r="B603" s="423" t="s">
        <v>287</v>
      </c>
      <c r="C603" s="435">
        <v>1.2370000000000001</v>
      </c>
      <c r="D603" s="435">
        <v>910.10599999999999</v>
      </c>
      <c r="E603" s="435">
        <v>1.35</v>
      </c>
      <c r="F603" s="215">
        <v>0</v>
      </c>
      <c r="G603" s="215">
        <v>167893</v>
      </c>
    </row>
    <row r="604" spans="1:7">
      <c r="A604" s="926" t="s">
        <v>2030</v>
      </c>
      <c r="B604" s="423" t="s">
        <v>288</v>
      </c>
      <c r="C604" s="435">
        <v>1.2989999999999999</v>
      </c>
      <c r="D604" s="435">
        <v>298.36200000000002</v>
      </c>
      <c r="E604" s="435">
        <v>1.42</v>
      </c>
      <c r="F604" s="215">
        <v>0</v>
      </c>
      <c r="G604" s="215">
        <v>0</v>
      </c>
    </row>
    <row r="605" spans="1:7">
      <c r="A605" s="926" t="s">
        <v>2032</v>
      </c>
      <c r="B605" s="423" t="s">
        <v>289</v>
      </c>
      <c r="C605" s="435">
        <v>1.37</v>
      </c>
      <c r="D605" s="435">
        <v>509.762</v>
      </c>
      <c r="E605" s="435">
        <v>1.5</v>
      </c>
      <c r="F605" s="215">
        <v>0</v>
      </c>
      <c r="G605" s="215">
        <v>47741</v>
      </c>
    </row>
    <row r="606" spans="1:7">
      <c r="A606" s="926" t="s">
        <v>2034</v>
      </c>
      <c r="B606" s="423" t="s">
        <v>290</v>
      </c>
      <c r="C606" s="435">
        <v>1.17</v>
      </c>
      <c r="D606" s="435">
        <v>92.866</v>
      </c>
      <c r="E606" s="435">
        <v>1.28</v>
      </c>
      <c r="F606" s="215">
        <v>0</v>
      </c>
      <c r="G606" s="215">
        <v>13225</v>
      </c>
    </row>
    <row r="607" spans="1:7">
      <c r="A607" s="926" t="s">
        <v>2036</v>
      </c>
      <c r="B607" s="423" t="s">
        <v>291</v>
      </c>
      <c r="C607" s="435">
        <v>1.3523000000000001</v>
      </c>
      <c r="D607" s="435">
        <v>92.344999999999999</v>
      </c>
      <c r="E607" s="435">
        <v>1.48</v>
      </c>
      <c r="F607" s="215">
        <v>0</v>
      </c>
      <c r="G607" s="215">
        <v>12634</v>
      </c>
    </row>
    <row r="608" spans="1:7">
      <c r="A608" s="926" t="s">
        <v>308</v>
      </c>
      <c r="B608" s="423" t="s">
        <v>292</v>
      </c>
      <c r="C608" s="435">
        <v>1.2370000000000001</v>
      </c>
      <c r="D608" s="435">
        <v>72.417000000000002</v>
      </c>
      <c r="E608" s="435">
        <v>1.35</v>
      </c>
      <c r="F608" s="215">
        <v>0</v>
      </c>
      <c r="G608" s="215">
        <v>31359</v>
      </c>
    </row>
    <row r="609" spans="1:7">
      <c r="A609" s="926" t="s">
        <v>310</v>
      </c>
      <c r="B609" s="423" t="s">
        <v>293</v>
      </c>
      <c r="C609" s="435">
        <v>1.37</v>
      </c>
      <c r="D609" s="435">
        <v>1699.028</v>
      </c>
      <c r="E609" s="435">
        <v>1.5</v>
      </c>
      <c r="F609" s="215">
        <v>0</v>
      </c>
      <c r="G609" s="215">
        <v>142221</v>
      </c>
    </row>
    <row r="610" spans="1:7">
      <c r="A610" s="926" t="s">
        <v>312</v>
      </c>
      <c r="B610" s="423" t="s">
        <v>294</v>
      </c>
      <c r="C610" s="435">
        <v>1.3426</v>
      </c>
      <c r="D610" s="435">
        <v>912.73</v>
      </c>
      <c r="E610" s="435">
        <v>1.4691000000000001</v>
      </c>
      <c r="F610" s="215">
        <v>0</v>
      </c>
      <c r="G610" s="215">
        <v>137150</v>
      </c>
    </row>
    <row r="611" spans="1:7">
      <c r="A611" s="926" t="s">
        <v>314</v>
      </c>
      <c r="B611" s="423" t="s">
        <v>295</v>
      </c>
      <c r="C611" s="435">
        <v>1.3560000000000001</v>
      </c>
      <c r="D611" s="435">
        <v>183.63800000000001</v>
      </c>
      <c r="E611" s="435">
        <v>1.4842</v>
      </c>
      <c r="F611" s="215">
        <v>0</v>
      </c>
      <c r="G611" s="215">
        <v>23011</v>
      </c>
    </row>
    <row r="612" spans="1:7">
      <c r="A612" s="926" t="s">
        <v>316</v>
      </c>
      <c r="B612" s="423" t="s">
        <v>296</v>
      </c>
      <c r="C612" s="435">
        <v>1.3479000000000001</v>
      </c>
      <c r="D612" s="435">
        <v>735.31299999999999</v>
      </c>
      <c r="E612" s="435">
        <v>1.4750000000000001</v>
      </c>
      <c r="F612" s="215">
        <v>0</v>
      </c>
      <c r="G612" s="215">
        <v>76201</v>
      </c>
    </row>
    <row r="613" spans="1:7">
      <c r="A613" s="926" t="s">
        <v>318</v>
      </c>
      <c r="B613" s="423" t="s">
        <v>297</v>
      </c>
      <c r="C613" s="435">
        <v>1.37</v>
      </c>
      <c r="D613" s="435">
        <v>669.40599999999995</v>
      </c>
      <c r="E613" s="435">
        <v>1.5</v>
      </c>
      <c r="F613" s="215">
        <v>0</v>
      </c>
      <c r="G613" s="215">
        <v>130267</v>
      </c>
    </row>
    <row r="614" spans="1:7">
      <c r="A614" s="926" t="s">
        <v>320</v>
      </c>
      <c r="B614" s="423" t="s">
        <v>298</v>
      </c>
      <c r="C614" s="435">
        <v>1.37</v>
      </c>
      <c r="D614" s="435">
        <v>506.04599999999999</v>
      </c>
      <c r="E614" s="435">
        <v>1.5</v>
      </c>
      <c r="F614" s="215">
        <v>0</v>
      </c>
      <c r="G614" s="215">
        <v>46690</v>
      </c>
    </row>
    <row r="615" spans="1:7">
      <c r="A615" s="926" t="s">
        <v>2319</v>
      </c>
      <c r="B615" s="423" t="s">
        <v>299</v>
      </c>
      <c r="C615" s="435">
        <v>1.3701000000000001</v>
      </c>
      <c r="D615" s="435">
        <v>223.78200000000001</v>
      </c>
      <c r="E615" s="435">
        <v>1.5</v>
      </c>
      <c r="F615" s="215">
        <v>0</v>
      </c>
      <c r="G615" s="215">
        <v>64456</v>
      </c>
    </row>
    <row r="616" spans="1:7">
      <c r="A616" s="926" t="s">
        <v>2321</v>
      </c>
      <c r="B616" s="423" t="s">
        <v>300</v>
      </c>
      <c r="C616" s="435">
        <v>1.1297999999999999</v>
      </c>
      <c r="D616" s="435">
        <v>662.98099999999999</v>
      </c>
      <c r="E616" s="435">
        <v>1.2291000000000001</v>
      </c>
      <c r="F616" s="215">
        <v>0</v>
      </c>
      <c r="G616" s="215">
        <v>135994</v>
      </c>
    </row>
    <row r="617" spans="1:7">
      <c r="A617" s="926" t="s">
        <v>3178</v>
      </c>
      <c r="B617" s="423" t="s">
        <v>6114</v>
      </c>
      <c r="C617" s="435">
        <v>1.31</v>
      </c>
      <c r="D617" s="435">
        <v>3189.9479999999999</v>
      </c>
      <c r="E617" s="435">
        <v>1.44</v>
      </c>
      <c r="F617" s="215">
        <v>0</v>
      </c>
      <c r="G617" s="215">
        <v>401728</v>
      </c>
    </row>
    <row r="618" spans="1:7">
      <c r="A618" s="926" t="s">
        <v>249</v>
      </c>
      <c r="B618" s="423" t="s">
        <v>994</v>
      </c>
      <c r="C618" s="435">
        <v>1.37</v>
      </c>
      <c r="D618" s="435">
        <v>4577.9740000000002</v>
      </c>
      <c r="E618" s="435">
        <v>1.5</v>
      </c>
      <c r="F618" s="215">
        <v>0</v>
      </c>
      <c r="G618" s="215">
        <v>661758</v>
      </c>
    </row>
    <row r="619" spans="1:7">
      <c r="A619" s="926" t="s">
        <v>2323</v>
      </c>
      <c r="B619" s="423" t="s">
        <v>301</v>
      </c>
      <c r="C619" s="435">
        <v>1.264</v>
      </c>
      <c r="D619" s="435">
        <v>136.85900000000001</v>
      </c>
      <c r="E619" s="435">
        <v>1.38</v>
      </c>
      <c r="F619" s="215">
        <v>0</v>
      </c>
      <c r="G619" s="215">
        <v>28543</v>
      </c>
    </row>
    <row r="620" spans="1:7">
      <c r="A620" s="926" t="s">
        <v>513</v>
      </c>
      <c r="B620" s="423" t="s">
        <v>3917</v>
      </c>
      <c r="C620" s="435">
        <v>1.3327</v>
      </c>
      <c r="D620" s="435">
        <v>1174.6769999999999</v>
      </c>
      <c r="E620" s="435">
        <v>1.4579</v>
      </c>
      <c r="F620" s="215">
        <v>0</v>
      </c>
      <c r="G620" s="215">
        <v>182360</v>
      </c>
    </row>
    <row r="621" spans="1:7">
      <c r="A621" s="926" t="s">
        <v>1872</v>
      </c>
      <c r="B621" s="423" t="s">
        <v>3855</v>
      </c>
      <c r="C621" s="435">
        <v>1.37</v>
      </c>
      <c r="D621" s="435">
        <v>566.12</v>
      </c>
      <c r="E621" s="435">
        <v>1.5</v>
      </c>
      <c r="F621" s="215">
        <v>0</v>
      </c>
      <c r="G621" s="215">
        <v>86259</v>
      </c>
    </row>
    <row r="622" spans="1:7">
      <c r="A622" s="926" t="s">
        <v>2325</v>
      </c>
      <c r="B622" s="423" t="s">
        <v>302</v>
      </c>
      <c r="C622" s="435">
        <v>1.37</v>
      </c>
      <c r="D622" s="435">
        <v>2097.5970000000002</v>
      </c>
      <c r="E622" s="435">
        <v>1.5</v>
      </c>
      <c r="F622" s="215">
        <v>105171</v>
      </c>
      <c r="G622" s="215">
        <v>163972</v>
      </c>
    </row>
    <row r="623" spans="1:7">
      <c r="A623" s="926" t="s">
        <v>2327</v>
      </c>
      <c r="B623" s="423" t="s">
        <v>2163</v>
      </c>
      <c r="C623" s="435">
        <v>1.37</v>
      </c>
      <c r="D623" s="435">
        <v>1832.5730000000001</v>
      </c>
      <c r="E623" s="435">
        <v>1.5</v>
      </c>
      <c r="F623" s="215">
        <v>0</v>
      </c>
      <c r="G623" s="215">
        <v>207801</v>
      </c>
    </row>
    <row r="624" spans="1:7">
      <c r="A624" s="926" t="s">
        <v>5236</v>
      </c>
      <c r="B624" s="423" t="s">
        <v>2646</v>
      </c>
      <c r="C624" s="435">
        <v>1.37</v>
      </c>
      <c r="D624" s="435">
        <v>266.98500000000001</v>
      </c>
      <c r="E624" s="435">
        <v>1.5</v>
      </c>
      <c r="F624" s="215">
        <v>0</v>
      </c>
      <c r="G624" s="215">
        <v>17449</v>
      </c>
    </row>
    <row r="625" spans="1:7">
      <c r="A625" s="926" t="s">
        <v>7700</v>
      </c>
      <c r="B625" s="423" t="s">
        <v>2164</v>
      </c>
      <c r="C625" s="435">
        <v>1.2592000000000001</v>
      </c>
      <c r="D625" s="435">
        <v>1474.008</v>
      </c>
      <c r="E625" s="435">
        <v>1.375</v>
      </c>
      <c r="F625" s="215">
        <v>0</v>
      </c>
      <c r="G625" s="215">
        <v>182112</v>
      </c>
    </row>
    <row r="626" spans="1:7">
      <c r="A626" s="926" t="s">
        <v>7702</v>
      </c>
      <c r="B626" s="423" t="s">
        <v>2165</v>
      </c>
      <c r="C626" s="435">
        <v>1.37</v>
      </c>
      <c r="D626" s="435">
        <v>2092.6759999999999</v>
      </c>
      <c r="E626" s="435">
        <v>1.5</v>
      </c>
      <c r="F626" s="215">
        <v>0</v>
      </c>
      <c r="G626" s="215">
        <v>169857</v>
      </c>
    </row>
    <row r="627" spans="1:7">
      <c r="A627" s="926" t="s">
        <v>7704</v>
      </c>
      <c r="B627" s="423" t="s">
        <v>2166</v>
      </c>
      <c r="C627" s="435">
        <v>1.3257000000000001</v>
      </c>
      <c r="D627" s="435">
        <v>343.20499999999998</v>
      </c>
      <c r="E627" s="435">
        <v>1.45</v>
      </c>
      <c r="F627" s="215">
        <v>0</v>
      </c>
      <c r="G627" s="215">
        <v>15568</v>
      </c>
    </row>
    <row r="628" spans="1:7">
      <c r="A628" s="926" t="s">
        <v>5634</v>
      </c>
      <c r="B628" s="423" t="s">
        <v>2167</v>
      </c>
      <c r="C628" s="435">
        <v>1.37</v>
      </c>
      <c r="D628" s="435">
        <v>148.65299999999999</v>
      </c>
      <c r="E628" s="435">
        <v>1.5</v>
      </c>
      <c r="F628" s="215">
        <v>0</v>
      </c>
      <c r="G628" s="215">
        <v>19752</v>
      </c>
    </row>
    <row r="629" spans="1:7">
      <c r="A629" s="926" t="s">
        <v>5636</v>
      </c>
      <c r="B629" s="423" t="s">
        <v>2168</v>
      </c>
      <c r="C629" s="435">
        <v>1.37</v>
      </c>
      <c r="D629" s="435">
        <v>102.925</v>
      </c>
      <c r="E629" s="435">
        <v>1.5</v>
      </c>
      <c r="F629" s="215">
        <v>0</v>
      </c>
      <c r="G629" s="215">
        <v>18534</v>
      </c>
    </row>
    <row r="630" spans="1:7">
      <c r="A630" s="926" t="s">
        <v>4016</v>
      </c>
      <c r="B630" s="423" t="s">
        <v>2169</v>
      </c>
      <c r="C630" s="435">
        <v>1.2835000000000001</v>
      </c>
      <c r="D630" s="435">
        <v>62.314999999999998</v>
      </c>
      <c r="E630" s="435">
        <v>1.4024000000000001</v>
      </c>
      <c r="F630" s="215">
        <v>0</v>
      </c>
      <c r="G630" s="215">
        <v>22657</v>
      </c>
    </row>
    <row r="631" spans="1:7">
      <c r="A631" s="926" t="s">
        <v>4018</v>
      </c>
      <c r="B631" s="423" t="s">
        <v>2170</v>
      </c>
      <c r="C631" s="435">
        <v>1.3523000000000001</v>
      </c>
      <c r="D631" s="435">
        <v>1092.43</v>
      </c>
      <c r="E631" s="435">
        <v>1.48</v>
      </c>
      <c r="F631" s="215">
        <v>0</v>
      </c>
      <c r="G631" s="215">
        <v>181135</v>
      </c>
    </row>
    <row r="632" spans="1:7">
      <c r="A632" s="926" t="s">
        <v>4020</v>
      </c>
      <c r="B632" s="423" t="s">
        <v>5648</v>
      </c>
      <c r="C632" s="435">
        <v>1.3211999999999999</v>
      </c>
      <c r="D632" s="435">
        <v>623.79300000000001</v>
      </c>
      <c r="E632" s="435">
        <v>1.4449000000000001</v>
      </c>
      <c r="F632" s="215">
        <v>0</v>
      </c>
      <c r="G632" s="215">
        <v>75309</v>
      </c>
    </row>
    <row r="633" spans="1:7">
      <c r="A633" s="926" t="s">
        <v>4022</v>
      </c>
      <c r="B633" s="423" t="s">
        <v>5649</v>
      </c>
      <c r="C633" s="435">
        <v>1.3</v>
      </c>
      <c r="D633" s="435">
        <v>1733.5340000000001</v>
      </c>
      <c r="E633" s="435">
        <v>1.4219999999999999</v>
      </c>
      <c r="F633" s="215">
        <v>0</v>
      </c>
      <c r="G633" s="215">
        <v>296130</v>
      </c>
    </row>
    <row r="634" spans="1:7">
      <c r="A634" s="926" t="s">
        <v>2996</v>
      </c>
      <c r="B634" s="423" t="s">
        <v>202</v>
      </c>
      <c r="C634" s="435">
        <v>1.37</v>
      </c>
      <c r="D634" s="435">
        <v>26254.969000000001</v>
      </c>
      <c r="E634" s="435">
        <v>1.5</v>
      </c>
      <c r="F634" s="215">
        <v>0</v>
      </c>
      <c r="G634" s="215">
        <v>1038061</v>
      </c>
    </row>
    <row r="635" spans="1:7">
      <c r="A635" s="926" t="s">
        <v>4028</v>
      </c>
      <c r="B635" s="423" t="s">
        <v>5650</v>
      </c>
      <c r="C635" s="435">
        <v>1.37</v>
      </c>
      <c r="D635" s="435">
        <v>699.94399999999996</v>
      </c>
      <c r="E635" s="435">
        <v>1.5</v>
      </c>
      <c r="F635" s="215">
        <v>0</v>
      </c>
      <c r="G635" s="215">
        <v>76975</v>
      </c>
    </row>
    <row r="636" spans="1:7">
      <c r="A636" s="926" t="s">
        <v>4030</v>
      </c>
      <c r="B636" s="423" t="s">
        <v>5651</v>
      </c>
      <c r="C636" s="435">
        <v>1.37</v>
      </c>
      <c r="D636" s="435">
        <v>1266.3579999999999</v>
      </c>
      <c r="E636" s="435">
        <v>1.5</v>
      </c>
      <c r="F636" s="215">
        <v>0</v>
      </c>
      <c r="G636" s="215">
        <v>119002</v>
      </c>
    </row>
    <row r="637" spans="1:7">
      <c r="A637" s="926" t="s">
        <v>2903</v>
      </c>
      <c r="B637" s="423" t="s">
        <v>203</v>
      </c>
      <c r="C637" s="435">
        <v>1.2786999999999999</v>
      </c>
      <c r="D637" s="435">
        <v>2575.7139999999999</v>
      </c>
      <c r="E637" s="435">
        <v>1.397</v>
      </c>
      <c r="F637" s="215">
        <v>0</v>
      </c>
      <c r="G637" s="215">
        <v>265950</v>
      </c>
    </row>
    <row r="638" spans="1:7">
      <c r="A638" s="926" t="s">
        <v>1310</v>
      </c>
      <c r="B638" s="423" t="s">
        <v>115</v>
      </c>
      <c r="C638" s="435">
        <v>1.2911999999999999</v>
      </c>
      <c r="D638" s="435">
        <v>5621.6440000000002</v>
      </c>
      <c r="E638" s="435">
        <v>1.4111</v>
      </c>
      <c r="F638" s="215">
        <v>0</v>
      </c>
      <c r="G638" s="215">
        <v>384953</v>
      </c>
    </row>
    <row r="639" spans="1:7">
      <c r="A639" s="926" t="s">
        <v>4032</v>
      </c>
      <c r="B639" s="423" t="s">
        <v>5652</v>
      </c>
      <c r="C639" s="435">
        <v>1.37</v>
      </c>
      <c r="D639" s="435">
        <v>1079.127</v>
      </c>
      <c r="E639" s="435">
        <v>1.5</v>
      </c>
      <c r="F639" s="215">
        <v>0</v>
      </c>
      <c r="G639" s="215">
        <v>171799</v>
      </c>
    </row>
    <row r="640" spans="1:7">
      <c r="A640" s="926" t="s">
        <v>2397</v>
      </c>
      <c r="B640" s="423" t="s">
        <v>1464</v>
      </c>
      <c r="C640" s="435">
        <v>1.37</v>
      </c>
      <c r="D640" s="435">
        <v>1244.3150000000001</v>
      </c>
      <c r="E640" s="435">
        <v>1.5</v>
      </c>
      <c r="F640" s="215">
        <v>0</v>
      </c>
      <c r="G640" s="215">
        <v>179350</v>
      </c>
    </row>
    <row r="641" spans="1:7">
      <c r="A641" s="926" t="s">
        <v>669</v>
      </c>
      <c r="B641" s="423" t="s">
        <v>5653</v>
      </c>
      <c r="C641" s="435">
        <v>1.3167</v>
      </c>
      <c r="D641" s="435">
        <v>793.46799999999996</v>
      </c>
      <c r="E641" s="435">
        <v>1.44</v>
      </c>
      <c r="F641" s="215">
        <v>0</v>
      </c>
      <c r="G641" s="215">
        <v>41281</v>
      </c>
    </row>
    <row r="642" spans="1:7">
      <c r="A642" s="926" t="s">
        <v>4151</v>
      </c>
      <c r="B642" s="423" t="s">
        <v>5654</v>
      </c>
      <c r="C642" s="435">
        <v>1.2813000000000001</v>
      </c>
      <c r="D642" s="435">
        <v>348.49799999999999</v>
      </c>
      <c r="E642" s="435">
        <v>1.4</v>
      </c>
      <c r="F642" s="215">
        <v>0</v>
      </c>
      <c r="G642" s="215">
        <v>33109</v>
      </c>
    </row>
    <row r="643" spans="1:7">
      <c r="A643" s="926" t="s">
        <v>4153</v>
      </c>
      <c r="B643" s="423" t="s">
        <v>3100</v>
      </c>
      <c r="C643" s="435">
        <v>1.37</v>
      </c>
      <c r="D643" s="435">
        <v>630.63499999999999</v>
      </c>
      <c r="E643" s="435">
        <v>1.5</v>
      </c>
      <c r="F643" s="215">
        <v>0</v>
      </c>
      <c r="G643" s="215">
        <v>22962</v>
      </c>
    </row>
    <row r="644" spans="1:7">
      <c r="A644" s="926" t="s">
        <v>4155</v>
      </c>
      <c r="B644" s="423" t="s">
        <v>3101</v>
      </c>
      <c r="C644" s="435">
        <v>1.37</v>
      </c>
      <c r="D644" s="435">
        <v>187.517</v>
      </c>
      <c r="E644" s="435">
        <v>1.5</v>
      </c>
      <c r="F644" s="215">
        <v>0</v>
      </c>
      <c r="G644" s="215">
        <v>40245</v>
      </c>
    </row>
    <row r="645" spans="1:7">
      <c r="A645" s="926" t="s">
        <v>4157</v>
      </c>
      <c r="B645" s="423" t="s">
        <v>3102</v>
      </c>
      <c r="C645" s="435">
        <v>1.37</v>
      </c>
      <c r="D645" s="435">
        <v>161.685</v>
      </c>
      <c r="E645" s="435">
        <v>1.5</v>
      </c>
      <c r="F645" s="215">
        <v>0</v>
      </c>
      <c r="G645" s="215">
        <v>15470</v>
      </c>
    </row>
    <row r="646" spans="1:7">
      <c r="A646" s="926" t="s">
        <v>3000</v>
      </c>
      <c r="B646" s="423" t="s">
        <v>6059</v>
      </c>
      <c r="C646" s="435">
        <v>1.37</v>
      </c>
      <c r="D646" s="435">
        <v>2036.126</v>
      </c>
      <c r="E646" s="435">
        <v>1.5</v>
      </c>
      <c r="F646" s="215">
        <v>0</v>
      </c>
      <c r="G646" s="215">
        <v>196059</v>
      </c>
    </row>
    <row r="647" spans="1:7">
      <c r="A647" s="926" t="s">
        <v>4159</v>
      </c>
      <c r="B647" s="423" t="s">
        <v>3103</v>
      </c>
      <c r="C647" s="435">
        <v>1.3260000000000001</v>
      </c>
      <c r="D647" s="435">
        <v>320.77999999999997</v>
      </c>
      <c r="E647" s="435">
        <v>1.45</v>
      </c>
      <c r="F647" s="215">
        <v>0</v>
      </c>
      <c r="G647" s="215">
        <v>27229</v>
      </c>
    </row>
    <row r="648" spans="1:7">
      <c r="A648" s="926" t="s">
        <v>4161</v>
      </c>
      <c r="B648" s="423" t="s">
        <v>3104</v>
      </c>
      <c r="C648" s="435">
        <v>1.2293000000000001</v>
      </c>
      <c r="D648" s="435">
        <v>1267.4649999999999</v>
      </c>
      <c r="E648" s="435">
        <v>1.3411999999999999</v>
      </c>
      <c r="F648" s="215">
        <v>0</v>
      </c>
      <c r="G648" s="215">
        <v>226552</v>
      </c>
    </row>
    <row r="649" spans="1:7">
      <c r="A649" s="926" t="s">
        <v>4163</v>
      </c>
      <c r="B649" s="423" t="s">
        <v>3105</v>
      </c>
      <c r="C649" s="435">
        <v>1.25</v>
      </c>
      <c r="D649" s="435">
        <v>712.68700000000001</v>
      </c>
      <c r="E649" s="435">
        <v>1.37</v>
      </c>
      <c r="F649" s="215">
        <v>0</v>
      </c>
      <c r="G649" s="215">
        <v>65632</v>
      </c>
    </row>
    <row r="650" spans="1:7">
      <c r="A650" s="926" t="s">
        <v>4165</v>
      </c>
      <c r="B650" s="423" t="s">
        <v>3106</v>
      </c>
      <c r="C650" s="435">
        <v>1.1499999999999999</v>
      </c>
      <c r="D650" s="435">
        <v>224.47900000000001</v>
      </c>
      <c r="E650" s="435">
        <v>1.26</v>
      </c>
      <c r="F650" s="215">
        <v>0</v>
      </c>
      <c r="G650" s="215">
        <v>41181</v>
      </c>
    </row>
    <row r="651" spans="1:7">
      <c r="A651" s="926" t="s">
        <v>4167</v>
      </c>
      <c r="B651" s="423" t="s">
        <v>3107</v>
      </c>
      <c r="C651" s="435">
        <v>1.37</v>
      </c>
      <c r="D651" s="435">
        <v>572.40499999999997</v>
      </c>
      <c r="E651" s="435">
        <v>1.5</v>
      </c>
      <c r="F651" s="215">
        <v>0</v>
      </c>
      <c r="G651" s="215">
        <v>109648</v>
      </c>
    </row>
    <row r="652" spans="1:7">
      <c r="A652" s="926" t="s">
        <v>4169</v>
      </c>
      <c r="B652" s="423" t="s">
        <v>3108</v>
      </c>
      <c r="C652" s="435">
        <v>1.37</v>
      </c>
      <c r="D652" s="435">
        <v>3825.5650000000001</v>
      </c>
      <c r="E652" s="435">
        <v>1.5</v>
      </c>
      <c r="F652" s="215">
        <v>0</v>
      </c>
      <c r="G652" s="215">
        <v>198247</v>
      </c>
    </row>
    <row r="653" spans="1:7">
      <c r="A653" s="926" t="s">
        <v>4171</v>
      </c>
      <c r="B653" s="423" t="s">
        <v>713</v>
      </c>
      <c r="C653" s="435">
        <v>1.1787000000000001</v>
      </c>
      <c r="D653" s="435">
        <v>837.05</v>
      </c>
      <c r="E653" s="435">
        <v>1.3249</v>
      </c>
      <c r="F653" s="215">
        <v>0</v>
      </c>
      <c r="G653" s="215">
        <v>133097</v>
      </c>
    </row>
    <row r="654" spans="1:7">
      <c r="A654" s="926" t="s">
        <v>2055</v>
      </c>
      <c r="B654" s="423" t="s">
        <v>714</v>
      </c>
      <c r="C654" s="435">
        <v>1.28</v>
      </c>
      <c r="D654" s="435">
        <v>52.076999999999998</v>
      </c>
      <c r="E654" s="435">
        <v>1.4</v>
      </c>
      <c r="F654" s="215">
        <v>0</v>
      </c>
      <c r="G654" s="215">
        <v>8784</v>
      </c>
    </row>
    <row r="655" spans="1:7">
      <c r="A655" s="926" t="s">
        <v>2057</v>
      </c>
      <c r="B655" s="423" t="s">
        <v>715</v>
      </c>
      <c r="C655" s="435">
        <v>1.29</v>
      </c>
      <c r="D655" s="435">
        <v>1524.029</v>
      </c>
      <c r="E655" s="435">
        <v>1.41</v>
      </c>
      <c r="F655" s="215">
        <v>0</v>
      </c>
      <c r="G655" s="215">
        <v>97979</v>
      </c>
    </row>
    <row r="656" spans="1:7">
      <c r="A656" s="926" t="s">
        <v>2059</v>
      </c>
      <c r="B656" s="423" t="s">
        <v>716</v>
      </c>
      <c r="C656" s="435">
        <v>1.28</v>
      </c>
      <c r="D656" s="435">
        <v>916.02300000000002</v>
      </c>
      <c r="E656" s="435">
        <v>1.4076</v>
      </c>
      <c r="F656" s="215">
        <v>0</v>
      </c>
      <c r="G656" s="215">
        <v>157707</v>
      </c>
    </row>
    <row r="657" spans="1:7">
      <c r="A657" s="926" t="s">
        <v>1814</v>
      </c>
      <c r="B657" s="423" t="s">
        <v>3011</v>
      </c>
      <c r="C657" s="435">
        <v>1.2386999999999999</v>
      </c>
      <c r="D657" s="435">
        <v>12839.931</v>
      </c>
      <c r="E657" s="435">
        <v>1.3519000000000001</v>
      </c>
      <c r="F657" s="215">
        <v>0</v>
      </c>
      <c r="G657" s="215">
        <v>1147898</v>
      </c>
    </row>
    <row r="658" spans="1:7">
      <c r="A658" s="926" t="s">
        <v>958</v>
      </c>
      <c r="B658" s="423" t="s">
        <v>7665</v>
      </c>
      <c r="C658" s="435">
        <v>1.37</v>
      </c>
      <c r="D658" s="435">
        <v>1242.425</v>
      </c>
      <c r="E658" s="435">
        <v>1.5</v>
      </c>
      <c r="F658" s="215">
        <v>0</v>
      </c>
      <c r="G658" s="215">
        <v>137607</v>
      </c>
    </row>
    <row r="659" spans="1:7">
      <c r="A659" s="926" t="s">
        <v>2061</v>
      </c>
      <c r="B659" s="423" t="s">
        <v>717</v>
      </c>
      <c r="C659" s="435">
        <v>1.37</v>
      </c>
      <c r="D659" s="435">
        <v>177.83799999999999</v>
      </c>
      <c r="E659" s="435">
        <v>1.5</v>
      </c>
      <c r="F659" s="215">
        <v>0</v>
      </c>
      <c r="G659" s="215">
        <v>27322</v>
      </c>
    </row>
    <row r="660" spans="1:7">
      <c r="A660" s="926" t="s">
        <v>1845</v>
      </c>
      <c r="B660" s="423" t="s">
        <v>197</v>
      </c>
      <c r="C660" s="435">
        <v>1.3612</v>
      </c>
      <c r="D660" s="435">
        <v>107.17100000000001</v>
      </c>
      <c r="E660" s="435">
        <v>1.49</v>
      </c>
      <c r="F660" s="215">
        <v>0</v>
      </c>
      <c r="G660" s="215">
        <v>10600</v>
      </c>
    </row>
    <row r="661" spans="1:7">
      <c r="A661" s="926" t="s">
        <v>5237</v>
      </c>
      <c r="B661" s="423" t="s">
        <v>1666</v>
      </c>
      <c r="C661" s="435">
        <v>1.37</v>
      </c>
      <c r="D661" s="435">
        <v>600.30700000000002</v>
      </c>
      <c r="E661" s="435">
        <v>1.5</v>
      </c>
      <c r="F661" s="215">
        <v>0</v>
      </c>
      <c r="G661" s="215">
        <v>55092</v>
      </c>
    </row>
    <row r="662" spans="1:7">
      <c r="A662" s="926" t="s">
        <v>2065</v>
      </c>
      <c r="B662" s="423" t="s">
        <v>2855</v>
      </c>
      <c r="C662" s="435">
        <v>1.2565</v>
      </c>
      <c r="D662" s="435">
        <v>5804.3440000000001</v>
      </c>
      <c r="E662" s="435">
        <v>1.3720000000000001</v>
      </c>
      <c r="F662" s="215">
        <v>0</v>
      </c>
      <c r="G662" s="215">
        <v>389644</v>
      </c>
    </row>
    <row r="663" spans="1:7">
      <c r="A663" s="926" t="s">
        <v>2905</v>
      </c>
      <c r="B663" s="423" t="s">
        <v>2155</v>
      </c>
      <c r="C663" s="435">
        <v>1.37</v>
      </c>
      <c r="D663" s="435">
        <v>2376.529</v>
      </c>
      <c r="E663" s="435">
        <v>1.5</v>
      </c>
      <c r="F663" s="215">
        <v>0</v>
      </c>
      <c r="G663" s="215">
        <v>165953</v>
      </c>
    </row>
    <row r="664" spans="1:7">
      <c r="A664" s="926" t="s">
        <v>5238</v>
      </c>
      <c r="B664" s="423" t="s">
        <v>200</v>
      </c>
      <c r="C664" s="435">
        <v>1.37</v>
      </c>
      <c r="D664" s="435">
        <v>1536.569</v>
      </c>
      <c r="E664" s="435">
        <v>1.5</v>
      </c>
      <c r="F664" s="215">
        <v>2563</v>
      </c>
      <c r="G664" s="215">
        <v>0</v>
      </c>
    </row>
    <row r="665" spans="1:7">
      <c r="A665" s="926" t="s">
        <v>6163</v>
      </c>
      <c r="B665" s="423" t="s">
        <v>6067</v>
      </c>
      <c r="C665" s="435">
        <v>1.2708999999999999</v>
      </c>
      <c r="D665" s="435">
        <v>599.94100000000003</v>
      </c>
      <c r="E665" s="435">
        <v>1.3882000000000001</v>
      </c>
      <c r="F665" s="215">
        <v>0</v>
      </c>
      <c r="G665" s="215">
        <v>31445</v>
      </c>
    </row>
    <row r="666" spans="1:7">
      <c r="A666" s="926" t="s">
        <v>2470</v>
      </c>
      <c r="B666" s="423" t="s">
        <v>6075</v>
      </c>
      <c r="C666" s="435">
        <v>1.3611</v>
      </c>
      <c r="D666" s="435">
        <v>1125.796</v>
      </c>
      <c r="E666" s="435">
        <v>1.49</v>
      </c>
      <c r="F666" s="215">
        <v>0</v>
      </c>
      <c r="G666" s="215">
        <v>75056</v>
      </c>
    </row>
    <row r="667" spans="1:7">
      <c r="A667" s="926" t="s">
        <v>973</v>
      </c>
      <c r="B667" s="423" t="s">
        <v>718</v>
      </c>
      <c r="C667" s="435">
        <v>1.2591000000000001</v>
      </c>
      <c r="D667" s="435">
        <v>733.72400000000005</v>
      </c>
      <c r="E667" s="435">
        <v>1.42</v>
      </c>
      <c r="F667" s="215">
        <v>0</v>
      </c>
      <c r="G667" s="215">
        <v>51179</v>
      </c>
    </row>
    <row r="668" spans="1:7">
      <c r="A668" s="926" t="s">
        <v>2769</v>
      </c>
      <c r="B668" s="423" t="s">
        <v>359</v>
      </c>
      <c r="C668" s="435">
        <v>1.3701000000000001</v>
      </c>
      <c r="D668" s="435">
        <v>542.96699999999998</v>
      </c>
      <c r="E668" s="435">
        <v>1.5</v>
      </c>
      <c r="F668" s="215">
        <v>0</v>
      </c>
      <c r="G668" s="215">
        <v>30144</v>
      </c>
    </row>
    <row r="669" spans="1:7">
      <c r="A669" s="926" t="s">
        <v>3553</v>
      </c>
      <c r="B669" s="423" t="s">
        <v>4060</v>
      </c>
      <c r="C669" s="435">
        <v>1.3218000000000001</v>
      </c>
      <c r="D669" s="435">
        <v>14187.09</v>
      </c>
      <c r="E669" s="435">
        <v>1.4456</v>
      </c>
      <c r="F669" s="215">
        <v>0</v>
      </c>
      <c r="G669" s="215">
        <v>509964</v>
      </c>
    </row>
    <row r="670" spans="1:7">
      <c r="A670" s="926" t="s">
        <v>3556</v>
      </c>
      <c r="B670" s="423" t="s">
        <v>4067</v>
      </c>
      <c r="C670" s="435">
        <v>1.37</v>
      </c>
      <c r="D670" s="435">
        <v>1438.925</v>
      </c>
      <c r="E670" s="435">
        <v>1.5</v>
      </c>
      <c r="F670" s="215">
        <v>0</v>
      </c>
      <c r="G670" s="215">
        <v>0</v>
      </c>
    </row>
    <row r="671" spans="1:7">
      <c r="A671" s="926" t="s">
        <v>5052</v>
      </c>
      <c r="B671" s="423" t="s">
        <v>719</v>
      </c>
      <c r="C671" s="435">
        <v>1.37</v>
      </c>
      <c r="D671" s="435">
        <v>724.43200000000002</v>
      </c>
      <c r="E671" s="435">
        <v>1.5</v>
      </c>
      <c r="F671" s="215">
        <v>0</v>
      </c>
      <c r="G671" s="215">
        <v>0</v>
      </c>
    </row>
    <row r="672" spans="1:7">
      <c r="A672" s="926" t="s">
        <v>5054</v>
      </c>
      <c r="B672" s="423" t="s">
        <v>720</v>
      </c>
      <c r="C672" s="435">
        <v>1.3257000000000001</v>
      </c>
      <c r="D672" s="435">
        <v>842.45699999999999</v>
      </c>
      <c r="E672" s="435">
        <v>1.45</v>
      </c>
      <c r="F672" s="215">
        <v>0</v>
      </c>
      <c r="G672" s="215">
        <v>1246360</v>
      </c>
    </row>
    <row r="673" spans="1:7">
      <c r="A673" s="926" t="s">
        <v>737</v>
      </c>
      <c r="B673" s="423" t="s">
        <v>6110</v>
      </c>
      <c r="C673" s="435">
        <v>1.2887999999999999</v>
      </c>
      <c r="D673" s="435">
        <v>1873.58</v>
      </c>
      <c r="E673" s="435">
        <v>1.4084000000000001</v>
      </c>
      <c r="F673" s="215">
        <v>5171</v>
      </c>
      <c r="G673" s="215">
        <v>0</v>
      </c>
    </row>
    <row r="674" spans="1:7">
      <c r="A674" s="926" t="s">
        <v>237</v>
      </c>
      <c r="B674" s="423" t="s">
        <v>2644</v>
      </c>
      <c r="C674" s="435">
        <v>1.37</v>
      </c>
      <c r="D674" s="435">
        <v>2508.1970000000001</v>
      </c>
      <c r="E674" s="435">
        <v>1.5</v>
      </c>
      <c r="F674" s="215">
        <v>0</v>
      </c>
      <c r="G674" s="215">
        <v>304577</v>
      </c>
    </row>
    <row r="675" spans="1:7">
      <c r="A675" s="926" t="s">
        <v>2307</v>
      </c>
      <c r="B675" s="423" t="s">
        <v>365</v>
      </c>
      <c r="C675" s="435">
        <v>1.37</v>
      </c>
      <c r="D675" s="435">
        <v>2043.931</v>
      </c>
      <c r="E675" s="435">
        <v>1.5</v>
      </c>
      <c r="F675" s="215">
        <v>0</v>
      </c>
      <c r="G675" s="215">
        <v>106147</v>
      </c>
    </row>
    <row r="676" spans="1:7">
      <c r="A676" s="926" t="s">
        <v>957</v>
      </c>
      <c r="B676" s="423" t="s">
        <v>7664</v>
      </c>
      <c r="C676" s="435">
        <v>1.3346</v>
      </c>
      <c r="D676" s="435">
        <v>434.37900000000002</v>
      </c>
      <c r="E676" s="435">
        <v>1.46</v>
      </c>
      <c r="F676" s="215">
        <v>0</v>
      </c>
      <c r="G676" s="215">
        <v>16032</v>
      </c>
    </row>
    <row r="677" spans="1:7">
      <c r="A677" s="926" t="s">
        <v>5056</v>
      </c>
      <c r="B677" s="423" t="s">
        <v>721</v>
      </c>
      <c r="C677" s="435">
        <v>1.37</v>
      </c>
      <c r="D677" s="435">
        <v>108.566</v>
      </c>
      <c r="E677" s="435">
        <v>1.5</v>
      </c>
      <c r="F677" s="215">
        <v>0</v>
      </c>
      <c r="G677" s="215">
        <v>0</v>
      </c>
    </row>
    <row r="678" spans="1:7">
      <c r="A678" s="926" t="s">
        <v>5137</v>
      </c>
      <c r="B678" s="423" t="s">
        <v>722</v>
      </c>
      <c r="C678" s="435">
        <v>1.3278000000000001</v>
      </c>
      <c r="D678" s="435">
        <v>138.94900000000001</v>
      </c>
      <c r="E678" s="435">
        <v>1.4523999999999999</v>
      </c>
      <c r="F678" s="215">
        <v>0</v>
      </c>
      <c r="G678" s="215">
        <v>45237</v>
      </c>
    </row>
    <row r="679" spans="1:7">
      <c r="A679" s="926" t="s">
        <v>4568</v>
      </c>
      <c r="B679" s="423" t="s">
        <v>723</v>
      </c>
      <c r="C679" s="435">
        <v>1.28</v>
      </c>
      <c r="D679" s="435">
        <v>162.55600000000001</v>
      </c>
      <c r="E679" s="435">
        <v>1.4</v>
      </c>
      <c r="F679" s="215">
        <v>0</v>
      </c>
      <c r="G679" s="215">
        <v>82498</v>
      </c>
    </row>
    <row r="680" spans="1:7">
      <c r="A680" s="926" t="s">
        <v>2053</v>
      </c>
      <c r="B680" s="423" t="s">
        <v>999</v>
      </c>
      <c r="C680" s="435">
        <v>1.3520000000000001</v>
      </c>
      <c r="D680" s="435">
        <v>1785.1869999999999</v>
      </c>
      <c r="E680" s="435">
        <v>1.48</v>
      </c>
      <c r="F680" s="215">
        <v>0</v>
      </c>
      <c r="G680" s="215">
        <v>142332</v>
      </c>
    </row>
    <row r="681" spans="1:7">
      <c r="A681" s="926" t="s">
        <v>1846</v>
      </c>
      <c r="B681" s="423" t="s">
        <v>1001</v>
      </c>
      <c r="C681" s="435">
        <v>1.2990999999999999</v>
      </c>
      <c r="D681" s="435">
        <v>298.21499999999997</v>
      </c>
      <c r="E681" s="435">
        <v>1.42</v>
      </c>
      <c r="F681" s="215">
        <v>0</v>
      </c>
      <c r="G681" s="215">
        <v>24831</v>
      </c>
    </row>
    <row r="682" spans="1:7">
      <c r="A682" s="926" t="s">
        <v>5239</v>
      </c>
      <c r="B682" s="423" t="s">
        <v>505</v>
      </c>
      <c r="C682" s="435">
        <v>1.34</v>
      </c>
      <c r="D682" s="435">
        <v>1109.0309999999999</v>
      </c>
      <c r="E682" s="435">
        <v>1.4693000000000001</v>
      </c>
      <c r="F682" s="215">
        <v>0</v>
      </c>
      <c r="G682" s="215">
        <v>138280</v>
      </c>
    </row>
    <row r="683" spans="1:7">
      <c r="A683" s="926" t="s">
        <v>1870</v>
      </c>
      <c r="B683" s="423" t="s">
        <v>3849</v>
      </c>
      <c r="C683" s="435">
        <v>1.37</v>
      </c>
      <c r="D683" s="435">
        <v>2023.001</v>
      </c>
      <c r="E683" s="435">
        <v>1.5</v>
      </c>
      <c r="F683" s="215">
        <v>0</v>
      </c>
      <c r="G683" s="215">
        <v>198229</v>
      </c>
    </row>
    <row r="684" spans="1:7">
      <c r="A684" s="926" t="s">
        <v>6169</v>
      </c>
      <c r="B684" s="423" t="s">
        <v>6079</v>
      </c>
      <c r="C684" s="435">
        <v>1.35</v>
      </c>
      <c r="D684" s="435">
        <v>2783.6849999999999</v>
      </c>
      <c r="E684" s="435">
        <v>1.4775</v>
      </c>
      <c r="F684" s="215">
        <v>107092</v>
      </c>
      <c r="G684" s="215">
        <v>406267</v>
      </c>
    </row>
    <row r="685" spans="1:7">
      <c r="A685" s="926" t="s">
        <v>574</v>
      </c>
      <c r="B685" s="423" t="s">
        <v>724</v>
      </c>
      <c r="C685" s="435">
        <v>1.37</v>
      </c>
      <c r="D685" s="435">
        <v>333.541</v>
      </c>
      <c r="E685" s="435">
        <v>1.5</v>
      </c>
      <c r="F685" s="215">
        <v>0</v>
      </c>
      <c r="G685" s="215">
        <v>36533</v>
      </c>
    </row>
    <row r="686" spans="1:7">
      <c r="A686" s="926" t="s">
        <v>6172</v>
      </c>
      <c r="B686" s="423" t="s">
        <v>497</v>
      </c>
      <c r="C686" s="435">
        <v>1.33</v>
      </c>
      <c r="D686" s="435">
        <v>19037.539000000001</v>
      </c>
      <c r="E686" s="435">
        <v>1.5</v>
      </c>
      <c r="F686" s="215">
        <v>0</v>
      </c>
      <c r="G686" s="215">
        <v>1958650</v>
      </c>
    </row>
    <row r="687" spans="1:7">
      <c r="A687" s="926" t="s">
        <v>578</v>
      </c>
      <c r="B687" s="423" t="s">
        <v>725</v>
      </c>
      <c r="C687" s="435">
        <v>1.3696999999999999</v>
      </c>
      <c r="D687" s="435">
        <v>1452.502</v>
      </c>
      <c r="E687" s="435">
        <v>1.4997</v>
      </c>
      <c r="F687" s="215">
        <v>0</v>
      </c>
      <c r="G687" s="215">
        <v>130719</v>
      </c>
    </row>
    <row r="688" spans="1:7">
      <c r="A688" s="926" t="s">
        <v>980</v>
      </c>
      <c r="B688" s="423" t="s">
        <v>6098</v>
      </c>
      <c r="C688" s="435">
        <v>1.29</v>
      </c>
      <c r="D688" s="435">
        <v>1498.877</v>
      </c>
      <c r="E688" s="435">
        <v>1.41</v>
      </c>
      <c r="F688" s="215">
        <v>0</v>
      </c>
      <c r="G688" s="215">
        <v>108564</v>
      </c>
    </row>
    <row r="689" spans="1:7">
      <c r="A689" s="926" t="s">
        <v>3972</v>
      </c>
      <c r="B689" s="423" t="s">
        <v>726</v>
      </c>
      <c r="C689" s="435">
        <v>1.35</v>
      </c>
      <c r="D689" s="435">
        <v>152.48400000000001</v>
      </c>
      <c r="E689" s="435">
        <v>1.48</v>
      </c>
      <c r="F689" s="215">
        <v>0</v>
      </c>
      <c r="G689" s="215">
        <v>26380</v>
      </c>
    </row>
    <row r="690" spans="1:7">
      <c r="A690" s="926" t="s">
        <v>6173</v>
      </c>
      <c r="B690" s="423" t="s">
        <v>727</v>
      </c>
      <c r="C690" s="435">
        <v>1.37</v>
      </c>
      <c r="D690" s="435">
        <v>386.74</v>
      </c>
      <c r="E690" s="435">
        <v>1.5</v>
      </c>
      <c r="F690" s="215">
        <v>0</v>
      </c>
      <c r="G690" s="215">
        <v>53406</v>
      </c>
    </row>
    <row r="691" spans="1:7">
      <c r="A691" s="926" t="s">
        <v>3974</v>
      </c>
      <c r="B691" s="423" t="s">
        <v>728</v>
      </c>
      <c r="C691" s="435">
        <v>1.37</v>
      </c>
      <c r="D691" s="435">
        <v>1798.499</v>
      </c>
      <c r="E691" s="435">
        <v>1.5</v>
      </c>
      <c r="F691" s="215">
        <v>0</v>
      </c>
      <c r="G691" s="215">
        <v>113855</v>
      </c>
    </row>
    <row r="692" spans="1:7">
      <c r="A692" s="926" t="s">
        <v>814</v>
      </c>
      <c r="B692" s="423" t="s">
        <v>729</v>
      </c>
      <c r="C692" s="435">
        <v>1.3169999999999999</v>
      </c>
      <c r="D692" s="435">
        <v>499.86599999999999</v>
      </c>
      <c r="E692" s="435">
        <v>1.44</v>
      </c>
      <c r="F692" s="215">
        <v>0</v>
      </c>
      <c r="G692" s="215">
        <v>39933</v>
      </c>
    </row>
    <row r="693" spans="1:7">
      <c r="A693" s="926" t="s">
        <v>4587</v>
      </c>
      <c r="B693" s="423" t="s">
        <v>2144</v>
      </c>
      <c r="C693" s="435">
        <v>1.3567</v>
      </c>
      <c r="D693" s="435">
        <v>203.28399999999999</v>
      </c>
      <c r="E693" s="435">
        <v>1.4850000000000001</v>
      </c>
      <c r="F693" s="215">
        <v>0</v>
      </c>
      <c r="G693" s="215">
        <v>9877</v>
      </c>
    </row>
    <row r="694" spans="1:7">
      <c r="A694" s="926" t="s">
        <v>1852</v>
      </c>
      <c r="B694" s="423" t="s">
        <v>4963</v>
      </c>
      <c r="C694" s="435">
        <v>1.196</v>
      </c>
      <c r="D694" s="435">
        <v>600.74699999999996</v>
      </c>
      <c r="E694" s="435">
        <v>1.3032999999999999</v>
      </c>
      <c r="F694" s="215">
        <v>0</v>
      </c>
      <c r="G694" s="215">
        <v>60614</v>
      </c>
    </row>
    <row r="695" spans="1:7">
      <c r="A695" s="926" t="s">
        <v>141</v>
      </c>
      <c r="B695" s="423" t="s">
        <v>730</v>
      </c>
      <c r="C695" s="435">
        <v>1.2725</v>
      </c>
      <c r="D695" s="435">
        <v>110.77</v>
      </c>
      <c r="E695" s="435">
        <v>1.39</v>
      </c>
      <c r="F695" s="215">
        <v>0</v>
      </c>
      <c r="G695" s="215">
        <v>31711</v>
      </c>
    </row>
    <row r="696" spans="1:7">
      <c r="A696" s="926" t="s">
        <v>143</v>
      </c>
      <c r="B696" s="423" t="s">
        <v>524</v>
      </c>
      <c r="C696" s="435">
        <v>1.07</v>
      </c>
      <c r="D696" s="435">
        <v>93.566999999999993</v>
      </c>
      <c r="E696" s="435">
        <v>1.165</v>
      </c>
      <c r="F696" s="215">
        <v>0</v>
      </c>
      <c r="G696" s="215">
        <v>13726</v>
      </c>
    </row>
    <row r="697" spans="1:7">
      <c r="A697" s="926" t="s">
        <v>1847</v>
      </c>
      <c r="B697" s="423" t="s">
        <v>351</v>
      </c>
      <c r="C697" s="435">
        <v>1.17</v>
      </c>
      <c r="D697" s="435">
        <v>100.703</v>
      </c>
      <c r="E697" s="435">
        <v>1.2749999999999999</v>
      </c>
      <c r="F697" s="215">
        <v>0</v>
      </c>
      <c r="G697" s="215">
        <v>7503</v>
      </c>
    </row>
    <row r="698" spans="1:7">
      <c r="A698" s="926" t="s">
        <v>145</v>
      </c>
      <c r="B698" s="423" t="s">
        <v>525</v>
      </c>
      <c r="C698" s="435">
        <v>1.37</v>
      </c>
      <c r="D698" s="435">
        <v>945.15599999999995</v>
      </c>
      <c r="E698" s="435">
        <v>1.5</v>
      </c>
      <c r="F698" s="215">
        <v>0</v>
      </c>
      <c r="G698" s="215">
        <v>67642</v>
      </c>
    </row>
    <row r="699" spans="1:7">
      <c r="A699" s="926" t="s">
        <v>147</v>
      </c>
      <c r="B699" s="423" t="s">
        <v>526</v>
      </c>
      <c r="C699" s="435">
        <v>1.37</v>
      </c>
      <c r="D699" s="435">
        <v>155.19900000000001</v>
      </c>
      <c r="E699" s="435">
        <v>1.5</v>
      </c>
      <c r="F699" s="215">
        <v>0</v>
      </c>
      <c r="G699" s="215">
        <v>19494</v>
      </c>
    </row>
    <row r="700" spans="1:7">
      <c r="A700" s="926" t="s">
        <v>149</v>
      </c>
      <c r="B700" s="423" t="s">
        <v>527</v>
      </c>
      <c r="C700" s="435">
        <v>1.28</v>
      </c>
      <c r="D700" s="435">
        <v>186.096</v>
      </c>
      <c r="E700" s="435">
        <v>1.4</v>
      </c>
      <c r="F700" s="215">
        <v>0</v>
      </c>
      <c r="G700" s="215">
        <v>12252</v>
      </c>
    </row>
    <row r="701" spans="1:7">
      <c r="A701" s="926" t="s">
        <v>1956</v>
      </c>
      <c r="B701" s="423" t="s">
        <v>528</v>
      </c>
      <c r="C701" s="435">
        <v>1.3520000000000001</v>
      </c>
      <c r="D701" s="435">
        <v>1483.3109999999999</v>
      </c>
      <c r="E701" s="435">
        <v>1.48</v>
      </c>
      <c r="F701" s="215">
        <v>0</v>
      </c>
      <c r="G701" s="215">
        <v>154045</v>
      </c>
    </row>
    <row r="702" spans="1:7">
      <c r="A702" s="926" t="s">
        <v>1958</v>
      </c>
      <c r="B702" s="423" t="s">
        <v>529</v>
      </c>
      <c r="C702" s="435">
        <v>1.37</v>
      </c>
      <c r="D702" s="435">
        <v>819.07799999999997</v>
      </c>
      <c r="E702" s="435">
        <v>1.5</v>
      </c>
      <c r="F702" s="215">
        <v>0</v>
      </c>
      <c r="G702" s="215">
        <v>49929</v>
      </c>
    </row>
    <row r="703" spans="1:7">
      <c r="A703" s="926" t="s">
        <v>1960</v>
      </c>
      <c r="B703" s="423" t="s">
        <v>530</v>
      </c>
      <c r="C703" s="435">
        <v>1.37</v>
      </c>
      <c r="D703" s="435">
        <v>137.75200000000001</v>
      </c>
      <c r="E703" s="435">
        <v>1.5</v>
      </c>
      <c r="F703" s="215">
        <v>0</v>
      </c>
      <c r="G703" s="215">
        <v>25252</v>
      </c>
    </row>
    <row r="704" spans="1:7">
      <c r="A704" s="926" t="s">
        <v>2039</v>
      </c>
      <c r="B704" s="423" t="s">
        <v>531</v>
      </c>
      <c r="C704" s="435">
        <v>1.19</v>
      </c>
      <c r="D704" s="435">
        <v>75.307000000000002</v>
      </c>
      <c r="E704" s="435">
        <v>1.3</v>
      </c>
      <c r="F704" s="215">
        <v>0</v>
      </c>
      <c r="G704" s="215">
        <v>3226</v>
      </c>
    </row>
    <row r="705" spans="1:7">
      <c r="A705" s="926" t="s">
        <v>2041</v>
      </c>
      <c r="B705" s="423" t="s">
        <v>532</v>
      </c>
      <c r="C705" s="435">
        <v>1.37</v>
      </c>
      <c r="D705" s="435">
        <v>122.46599999999999</v>
      </c>
      <c r="E705" s="435">
        <v>1.5</v>
      </c>
      <c r="F705" s="215">
        <v>0</v>
      </c>
      <c r="G705" s="215">
        <v>25122</v>
      </c>
    </row>
    <row r="706" spans="1:7">
      <c r="A706" s="926" t="s">
        <v>1825</v>
      </c>
      <c r="B706" s="423" t="s">
        <v>533</v>
      </c>
      <c r="C706" s="435">
        <v>1.37</v>
      </c>
      <c r="D706" s="435">
        <v>168.88300000000001</v>
      </c>
      <c r="E706" s="435">
        <v>1.5</v>
      </c>
      <c r="F706" s="215">
        <v>0</v>
      </c>
      <c r="G706" s="215">
        <v>39743</v>
      </c>
    </row>
    <row r="707" spans="1:7">
      <c r="A707" s="926" t="s">
        <v>1827</v>
      </c>
      <c r="B707" s="423" t="s">
        <v>534</v>
      </c>
      <c r="C707" s="435">
        <v>1.37</v>
      </c>
      <c r="D707" s="435">
        <v>277.30500000000001</v>
      </c>
      <c r="E707" s="435">
        <v>1.5</v>
      </c>
      <c r="F707" s="215">
        <v>0</v>
      </c>
      <c r="G707" s="215">
        <v>0</v>
      </c>
    </row>
    <row r="708" spans="1:7">
      <c r="A708" s="926" t="s">
        <v>238</v>
      </c>
      <c r="B708" s="423" t="s">
        <v>2645</v>
      </c>
      <c r="C708" s="435">
        <v>1.31</v>
      </c>
      <c r="D708" s="435">
        <v>38484.425000000003</v>
      </c>
      <c r="E708" s="435">
        <v>1.49</v>
      </c>
      <c r="F708" s="215">
        <v>549442</v>
      </c>
      <c r="G708" s="215">
        <v>4659792</v>
      </c>
    </row>
    <row r="709" spans="1:7">
      <c r="A709" s="926" t="s">
        <v>1829</v>
      </c>
      <c r="B709" s="423" t="s">
        <v>535</v>
      </c>
      <c r="C709" s="435">
        <v>1.3319000000000001</v>
      </c>
      <c r="D709" s="435">
        <v>5047.2610000000004</v>
      </c>
      <c r="E709" s="435">
        <v>1.4570000000000001</v>
      </c>
      <c r="F709" s="215">
        <v>0</v>
      </c>
      <c r="G709" s="215">
        <v>866669</v>
      </c>
    </row>
    <row r="710" spans="1:7">
      <c r="A710" s="926" t="s">
        <v>859</v>
      </c>
      <c r="B710" s="423" t="s">
        <v>2003</v>
      </c>
      <c r="C710" s="435">
        <v>1.3520000000000001</v>
      </c>
      <c r="D710" s="435">
        <v>4947.7939999999999</v>
      </c>
      <c r="E710" s="435">
        <v>1.48</v>
      </c>
      <c r="F710" s="215">
        <v>1892</v>
      </c>
      <c r="G710" s="215">
        <v>596819</v>
      </c>
    </row>
    <row r="711" spans="1:7">
      <c r="A711" s="926" t="s">
        <v>3001</v>
      </c>
      <c r="B711" s="423" t="s">
        <v>6060</v>
      </c>
      <c r="C711" s="435">
        <v>1.33</v>
      </c>
      <c r="D711" s="435">
        <v>9405.1479999999992</v>
      </c>
      <c r="E711" s="435">
        <v>1.46</v>
      </c>
      <c r="F711" s="215">
        <v>0</v>
      </c>
      <c r="G711" s="215">
        <v>1365629</v>
      </c>
    </row>
    <row r="712" spans="1:7">
      <c r="A712" s="926" t="s">
        <v>2405</v>
      </c>
      <c r="B712" s="423" t="s">
        <v>2350</v>
      </c>
      <c r="C712" s="435">
        <v>1.37</v>
      </c>
      <c r="D712" s="435">
        <v>2972.739</v>
      </c>
      <c r="E712" s="435">
        <v>1.5</v>
      </c>
      <c r="F712" s="215">
        <v>16921</v>
      </c>
      <c r="G712" s="215">
        <v>357350</v>
      </c>
    </row>
    <row r="713" spans="1:7">
      <c r="A713" s="926" t="s">
        <v>2907</v>
      </c>
      <c r="B713" s="423" t="s">
        <v>1933</v>
      </c>
      <c r="C713" s="435">
        <v>1.37</v>
      </c>
      <c r="D713" s="435">
        <v>7364.6009999999997</v>
      </c>
      <c r="E713" s="435">
        <v>1.5</v>
      </c>
      <c r="F713" s="215">
        <v>15771</v>
      </c>
      <c r="G713" s="215">
        <v>902491</v>
      </c>
    </row>
    <row r="714" spans="1:7">
      <c r="A714" s="926" t="s">
        <v>1222</v>
      </c>
      <c r="B714" s="423" t="s">
        <v>536</v>
      </c>
      <c r="C714" s="435">
        <v>1.3560000000000001</v>
      </c>
      <c r="D714" s="435">
        <v>3801.5239999999999</v>
      </c>
      <c r="E714" s="435">
        <v>1.4841</v>
      </c>
      <c r="F714" s="215">
        <v>0</v>
      </c>
      <c r="G714" s="215">
        <v>147261</v>
      </c>
    </row>
    <row r="715" spans="1:7">
      <c r="A715" s="926" t="s">
        <v>1224</v>
      </c>
      <c r="B715" s="423" t="s">
        <v>537</v>
      </c>
      <c r="C715" s="435">
        <v>1.3398000000000001</v>
      </c>
      <c r="D715" s="435">
        <v>504.12700000000001</v>
      </c>
      <c r="E715" s="435">
        <v>1.4659</v>
      </c>
      <c r="F715" s="215">
        <v>0</v>
      </c>
      <c r="G715" s="215">
        <v>23367</v>
      </c>
    </row>
    <row r="716" spans="1:7">
      <c r="A716" s="926" t="s">
        <v>5375</v>
      </c>
      <c r="B716" s="423" t="s">
        <v>538</v>
      </c>
      <c r="C716" s="435">
        <v>1.37</v>
      </c>
      <c r="D716" s="435">
        <v>1369.106</v>
      </c>
      <c r="E716" s="435">
        <v>1.5</v>
      </c>
      <c r="F716" s="215">
        <v>0</v>
      </c>
      <c r="G716" s="215">
        <v>170106</v>
      </c>
    </row>
    <row r="717" spans="1:7">
      <c r="A717" s="926" t="s">
        <v>5377</v>
      </c>
      <c r="B717" s="423" t="s">
        <v>539</v>
      </c>
      <c r="C717" s="435">
        <v>1.2814000000000001</v>
      </c>
      <c r="D717" s="435">
        <v>906.30799999999999</v>
      </c>
      <c r="E717" s="435">
        <v>1.4</v>
      </c>
      <c r="F717" s="215">
        <v>0</v>
      </c>
      <c r="G717" s="215">
        <v>118493</v>
      </c>
    </row>
    <row r="718" spans="1:7">
      <c r="A718" s="926" t="s">
        <v>5379</v>
      </c>
      <c r="B718" s="423" t="s">
        <v>540</v>
      </c>
      <c r="C718" s="435">
        <v>1.37</v>
      </c>
      <c r="D718" s="435">
        <v>153.03100000000001</v>
      </c>
      <c r="E718" s="435">
        <v>1.5</v>
      </c>
      <c r="F718" s="215">
        <v>0</v>
      </c>
      <c r="G718" s="215">
        <v>43604</v>
      </c>
    </row>
    <row r="719" spans="1:7">
      <c r="A719" s="926" t="s">
        <v>642</v>
      </c>
      <c r="B719" s="423" t="s">
        <v>6111</v>
      </c>
      <c r="C719" s="435">
        <v>1.37</v>
      </c>
      <c r="D719" s="435">
        <v>318.37299999999999</v>
      </c>
      <c r="E719" s="435">
        <v>1.5</v>
      </c>
      <c r="F719" s="215">
        <v>0</v>
      </c>
      <c r="G719" s="215">
        <v>28423</v>
      </c>
    </row>
    <row r="720" spans="1:7">
      <c r="A720" s="926" t="s">
        <v>2618</v>
      </c>
      <c r="B720" s="423" t="s">
        <v>541</v>
      </c>
      <c r="C720" s="435">
        <v>1.37</v>
      </c>
      <c r="D720" s="435">
        <v>461.36900000000003</v>
      </c>
      <c r="E720" s="435">
        <v>1.5</v>
      </c>
      <c r="F720" s="215">
        <v>0</v>
      </c>
      <c r="G720" s="215">
        <v>59623</v>
      </c>
    </row>
    <row r="721" spans="1:7">
      <c r="A721" s="926" t="s">
        <v>644</v>
      </c>
      <c r="B721" s="423" t="s">
        <v>123</v>
      </c>
      <c r="C721" s="435">
        <v>1.2547999999999999</v>
      </c>
      <c r="D721" s="435">
        <v>638.60500000000002</v>
      </c>
      <c r="E721" s="435">
        <v>1.37</v>
      </c>
      <c r="F721" s="215">
        <v>0</v>
      </c>
      <c r="G721" s="215">
        <v>70186</v>
      </c>
    </row>
    <row r="722" spans="1:7">
      <c r="A722" s="926" t="s">
        <v>2620</v>
      </c>
      <c r="B722" s="423" t="s">
        <v>542</v>
      </c>
      <c r="C722" s="435">
        <v>1.37</v>
      </c>
      <c r="D722" s="435">
        <v>6049.4920000000002</v>
      </c>
      <c r="E722" s="435">
        <v>1.5</v>
      </c>
      <c r="F722" s="215">
        <v>0</v>
      </c>
      <c r="G722" s="215">
        <v>634130</v>
      </c>
    </row>
    <row r="723" spans="1:7">
      <c r="A723" s="926" t="s">
        <v>4588</v>
      </c>
      <c r="B723" s="423" t="s">
        <v>2006</v>
      </c>
      <c r="C723" s="435">
        <v>1.3585</v>
      </c>
      <c r="D723" s="435">
        <v>794.26300000000003</v>
      </c>
      <c r="E723" s="435">
        <v>1.4870000000000001</v>
      </c>
      <c r="F723" s="215">
        <v>0</v>
      </c>
      <c r="G723" s="215">
        <v>184087</v>
      </c>
    </row>
    <row r="724" spans="1:7">
      <c r="A724" s="926" t="s">
        <v>2622</v>
      </c>
      <c r="B724" s="423" t="s">
        <v>543</v>
      </c>
      <c r="C724" s="435">
        <v>1.37</v>
      </c>
      <c r="D724" s="435">
        <v>686.32100000000003</v>
      </c>
      <c r="E724" s="435">
        <v>1.5</v>
      </c>
      <c r="F724" s="215">
        <v>0</v>
      </c>
      <c r="G724" s="215">
        <v>44589</v>
      </c>
    </row>
    <row r="725" spans="1:7">
      <c r="A725" s="926" t="s">
        <v>2624</v>
      </c>
      <c r="B725" s="423" t="s">
        <v>544</v>
      </c>
      <c r="C725" s="435">
        <v>1.37</v>
      </c>
      <c r="D725" s="435">
        <v>308.20100000000002</v>
      </c>
      <c r="E725" s="435">
        <v>1.5</v>
      </c>
      <c r="F725" s="215">
        <v>0</v>
      </c>
      <c r="G725" s="215">
        <v>25692</v>
      </c>
    </row>
    <row r="726" spans="1:7">
      <c r="A726" s="926" t="s">
        <v>1523</v>
      </c>
      <c r="B726" s="423" t="s">
        <v>1929</v>
      </c>
      <c r="C726" s="435">
        <v>1.325</v>
      </c>
      <c r="D726" s="435">
        <v>139.815</v>
      </c>
      <c r="E726" s="435">
        <v>1.45</v>
      </c>
      <c r="F726" s="215">
        <v>0</v>
      </c>
      <c r="G726" s="215">
        <v>36245</v>
      </c>
    </row>
    <row r="727" spans="1:7">
      <c r="A727" s="926" t="s">
        <v>2626</v>
      </c>
      <c r="B727" s="423" t="s">
        <v>545</v>
      </c>
      <c r="C727" s="435">
        <v>1.37</v>
      </c>
      <c r="D727" s="435">
        <v>333.35700000000003</v>
      </c>
      <c r="E727" s="435">
        <v>1.5</v>
      </c>
      <c r="F727" s="215">
        <v>0</v>
      </c>
      <c r="G727" s="215">
        <v>34023</v>
      </c>
    </row>
    <row r="728" spans="1:7">
      <c r="A728" s="926" t="s">
        <v>2628</v>
      </c>
      <c r="B728" s="423" t="s">
        <v>546</v>
      </c>
      <c r="C728" s="435">
        <v>1.37</v>
      </c>
      <c r="D728" s="435">
        <v>832.71799999999996</v>
      </c>
      <c r="E728" s="435">
        <v>1.5</v>
      </c>
      <c r="F728" s="215">
        <v>0</v>
      </c>
      <c r="G728" s="215">
        <v>87055</v>
      </c>
    </row>
    <row r="729" spans="1:7">
      <c r="A729" s="926" t="s">
        <v>241</v>
      </c>
      <c r="B729" s="423" t="s">
        <v>2649</v>
      </c>
      <c r="C729" s="435">
        <v>1.2906</v>
      </c>
      <c r="D729" s="435">
        <v>5174.4840000000004</v>
      </c>
      <c r="E729" s="435">
        <v>1.4108000000000001</v>
      </c>
      <c r="F729" s="215">
        <v>0</v>
      </c>
      <c r="G729" s="215">
        <v>342981</v>
      </c>
    </row>
    <row r="730" spans="1:7">
      <c r="A730" s="926" t="s">
        <v>248</v>
      </c>
      <c r="B730" s="423" t="s">
        <v>993</v>
      </c>
      <c r="C730" s="435">
        <v>1.37</v>
      </c>
      <c r="D730" s="435">
        <v>429.52600000000001</v>
      </c>
      <c r="E730" s="435">
        <v>1.5</v>
      </c>
      <c r="F730" s="215">
        <v>0</v>
      </c>
      <c r="G730" s="215">
        <v>61021</v>
      </c>
    </row>
    <row r="731" spans="1:7">
      <c r="A731" s="926" t="s">
        <v>5084</v>
      </c>
      <c r="B731" s="423" t="s">
        <v>547</v>
      </c>
      <c r="C731" s="435">
        <v>1.37</v>
      </c>
      <c r="D731" s="435">
        <v>344.83300000000003</v>
      </c>
      <c r="E731" s="435">
        <v>1.5</v>
      </c>
      <c r="F731" s="215">
        <v>0</v>
      </c>
      <c r="G731" s="215">
        <v>32503</v>
      </c>
    </row>
    <row r="732" spans="1:7">
      <c r="A732" s="926" t="s">
        <v>2534</v>
      </c>
      <c r="B732" s="423" t="s">
        <v>1919</v>
      </c>
      <c r="C732" s="435">
        <v>1.246</v>
      </c>
      <c r="D732" s="435">
        <v>648.971</v>
      </c>
      <c r="E732" s="435">
        <v>1.36</v>
      </c>
      <c r="F732" s="215">
        <v>0</v>
      </c>
      <c r="G732" s="215">
        <v>62954</v>
      </c>
    </row>
    <row r="733" spans="1:7">
      <c r="A733" s="926" t="s">
        <v>5086</v>
      </c>
      <c r="B733" s="423" t="s">
        <v>548</v>
      </c>
      <c r="C733" s="435">
        <v>1.2166999999999999</v>
      </c>
      <c r="D733" s="435">
        <v>668.11199999999997</v>
      </c>
      <c r="E733" s="435">
        <v>1.327</v>
      </c>
      <c r="F733" s="215">
        <v>0</v>
      </c>
      <c r="G733" s="215">
        <v>66589</v>
      </c>
    </row>
    <row r="734" spans="1:7">
      <c r="A734" s="926" t="s">
        <v>2768</v>
      </c>
      <c r="B734" s="423" t="s">
        <v>358</v>
      </c>
      <c r="C734" s="435">
        <v>1.3186</v>
      </c>
      <c r="D734" s="435">
        <v>639.86599999999999</v>
      </c>
      <c r="E734" s="435">
        <v>1.4419999999999999</v>
      </c>
      <c r="F734" s="215">
        <v>0</v>
      </c>
      <c r="G734" s="215">
        <v>39211</v>
      </c>
    </row>
    <row r="735" spans="1:7">
      <c r="A735" s="926" t="s">
        <v>5088</v>
      </c>
      <c r="B735" s="423" t="s">
        <v>549</v>
      </c>
      <c r="C735" s="435">
        <v>1.29</v>
      </c>
      <c r="D735" s="435">
        <v>359.303</v>
      </c>
      <c r="E735" s="435">
        <v>1.41</v>
      </c>
      <c r="F735" s="215">
        <v>0</v>
      </c>
      <c r="G735" s="215">
        <v>109825</v>
      </c>
    </row>
    <row r="736" spans="1:7">
      <c r="A736" s="926" t="s">
        <v>6181</v>
      </c>
      <c r="B736" s="423" t="s">
        <v>1936</v>
      </c>
      <c r="C736" s="435">
        <v>1.3049999999999999</v>
      </c>
      <c r="D736" s="435">
        <v>1143.0999999999999</v>
      </c>
      <c r="E736" s="435">
        <v>1.4265000000000001</v>
      </c>
      <c r="F736" s="215">
        <v>0</v>
      </c>
      <c r="G736" s="215">
        <v>311562</v>
      </c>
    </row>
    <row r="737" spans="1:7">
      <c r="A737" s="926" t="s">
        <v>1848</v>
      </c>
      <c r="B737" s="423" t="s">
        <v>1000</v>
      </c>
      <c r="C737" s="435">
        <v>1.48</v>
      </c>
      <c r="D737" s="435">
        <v>704.19799999999998</v>
      </c>
      <c r="E737" s="435">
        <v>1.48</v>
      </c>
      <c r="F737" s="215">
        <v>0</v>
      </c>
      <c r="G737" s="215">
        <v>61559</v>
      </c>
    </row>
    <row r="738" spans="1:7">
      <c r="A738" s="926" t="s">
        <v>2471</v>
      </c>
      <c r="B738" s="423" t="s">
        <v>369</v>
      </c>
      <c r="C738" s="435">
        <v>1.37</v>
      </c>
      <c r="D738" s="435">
        <v>303.95699999999999</v>
      </c>
      <c r="E738" s="435">
        <v>1.5</v>
      </c>
      <c r="F738" s="215">
        <v>0</v>
      </c>
      <c r="G738" s="215">
        <v>15688</v>
      </c>
    </row>
    <row r="739" spans="1:7">
      <c r="A739" s="926" t="s">
        <v>6044</v>
      </c>
      <c r="B739" s="423" t="s">
        <v>550</v>
      </c>
      <c r="C739" s="435">
        <v>1.37</v>
      </c>
      <c r="D739" s="435">
        <v>2081.0259999999998</v>
      </c>
      <c r="E739" s="435">
        <v>1.5</v>
      </c>
      <c r="F739" s="215">
        <v>0</v>
      </c>
      <c r="G739" s="215">
        <v>87898</v>
      </c>
    </row>
    <row r="740" spans="1:7">
      <c r="A740" s="926" t="s">
        <v>6046</v>
      </c>
      <c r="B740" s="423" t="s">
        <v>551</v>
      </c>
      <c r="C740" s="435">
        <v>1.37</v>
      </c>
      <c r="D740" s="435">
        <v>126.916</v>
      </c>
      <c r="E740" s="435">
        <v>1.5</v>
      </c>
      <c r="F740" s="215">
        <v>0</v>
      </c>
      <c r="G740" s="215">
        <v>47369</v>
      </c>
    </row>
    <row r="741" spans="1:7">
      <c r="A741" s="926" t="s">
        <v>4185</v>
      </c>
      <c r="B741" s="423" t="s">
        <v>552</v>
      </c>
      <c r="C741" s="435">
        <v>1.4313</v>
      </c>
      <c r="D741" s="435">
        <v>193.09399999999999</v>
      </c>
      <c r="E741" s="435">
        <v>1.4313</v>
      </c>
      <c r="F741" s="215">
        <v>0</v>
      </c>
      <c r="G741" s="215">
        <v>15166</v>
      </c>
    </row>
    <row r="742" spans="1:7">
      <c r="A742" s="926" t="s">
        <v>6689</v>
      </c>
      <c r="B742" s="423" t="s">
        <v>553</v>
      </c>
      <c r="C742" s="435">
        <v>1.3701000000000001</v>
      </c>
      <c r="D742" s="435">
        <v>325.50299999999999</v>
      </c>
      <c r="E742" s="435">
        <v>1.5</v>
      </c>
      <c r="F742" s="215">
        <v>0</v>
      </c>
      <c r="G742" s="215">
        <v>19462</v>
      </c>
    </row>
    <row r="743" spans="1:7">
      <c r="A743" s="926" t="s">
        <v>6691</v>
      </c>
      <c r="B743" s="423" t="s">
        <v>554</v>
      </c>
      <c r="C743" s="435">
        <v>1.3523000000000001</v>
      </c>
      <c r="D743" s="435">
        <v>1127.6469999999999</v>
      </c>
      <c r="E743" s="435">
        <v>1.48</v>
      </c>
      <c r="F743" s="215">
        <v>0</v>
      </c>
      <c r="G743" s="215">
        <v>101489</v>
      </c>
    </row>
    <row r="744" spans="1:7">
      <c r="A744" s="926" t="s">
        <v>6693</v>
      </c>
      <c r="B744" s="423" t="s">
        <v>555</v>
      </c>
      <c r="C744" s="435">
        <v>1.37</v>
      </c>
      <c r="D744" s="435">
        <v>3673.2730000000001</v>
      </c>
      <c r="E744" s="435">
        <v>1.5</v>
      </c>
      <c r="F744" s="215">
        <v>0</v>
      </c>
      <c r="G744" s="215">
        <v>236886</v>
      </c>
    </row>
    <row r="745" spans="1:7">
      <c r="A745" s="926" t="s">
        <v>240</v>
      </c>
      <c r="B745" s="423" t="s">
        <v>2648</v>
      </c>
      <c r="C745" s="435">
        <v>1.37</v>
      </c>
      <c r="D745" s="435">
        <v>36167.709000000003</v>
      </c>
      <c r="E745" s="435">
        <v>1.5</v>
      </c>
      <c r="F745" s="215">
        <v>320684</v>
      </c>
      <c r="G745" s="215">
        <v>1700654</v>
      </c>
    </row>
    <row r="746" spans="1:7">
      <c r="A746" s="926" t="s">
        <v>6695</v>
      </c>
      <c r="B746" s="423" t="s">
        <v>556</v>
      </c>
      <c r="C746" s="435">
        <v>1.37</v>
      </c>
      <c r="D746" s="435">
        <v>262.387</v>
      </c>
      <c r="E746" s="435">
        <v>1.5</v>
      </c>
      <c r="F746" s="215">
        <v>0</v>
      </c>
      <c r="G746" s="215">
        <v>50986</v>
      </c>
    </row>
    <row r="747" spans="1:7">
      <c r="A747" s="926" t="s">
        <v>745</v>
      </c>
      <c r="B747" s="423" t="s">
        <v>557</v>
      </c>
      <c r="C747" s="435">
        <v>1.1395</v>
      </c>
      <c r="D747" s="435">
        <v>223.80699999999999</v>
      </c>
      <c r="E747" s="435">
        <v>1.24</v>
      </c>
      <c r="F747" s="215">
        <v>0</v>
      </c>
      <c r="G747" s="215">
        <v>35830</v>
      </c>
    </row>
    <row r="748" spans="1:7">
      <c r="A748" s="926" t="s">
        <v>747</v>
      </c>
      <c r="B748" s="423" t="s">
        <v>558</v>
      </c>
      <c r="C748" s="435">
        <v>1.3346</v>
      </c>
      <c r="D748" s="435">
        <v>526.16200000000003</v>
      </c>
      <c r="E748" s="435">
        <v>1.46</v>
      </c>
      <c r="F748" s="215">
        <v>0</v>
      </c>
      <c r="G748" s="215">
        <v>7145</v>
      </c>
    </row>
    <row r="749" spans="1:7">
      <c r="A749" s="926" t="s">
        <v>2308</v>
      </c>
      <c r="B749" s="423" t="s">
        <v>366</v>
      </c>
      <c r="C749" s="435">
        <v>1.37</v>
      </c>
      <c r="D749" s="435">
        <v>3435.9209999999998</v>
      </c>
      <c r="E749" s="435">
        <v>1.5</v>
      </c>
      <c r="F749" s="215">
        <v>0</v>
      </c>
      <c r="G749" s="215">
        <v>76440</v>
      </c>
    </row>
    <row r="750" spans="1:7">
      <c r="A750" s="926" t="s">
        <v>749</v>
      </c>
      <c r="B750" s="423" t="s">
        <v>559</v>
      </c>
      <c r="C750" s="435">
        <v>1.37</v>
      </c>
      <c r="D750" s="435">
        <v>3148.5720000000001</v>
      </c>
      <c r="E750" s="435">
        <v>1.5</v>
      </c>
      <c r="F750" s="215">
        <v>0</v>
      </c>
      <c r="G750" s="215">
        <v>169620</v>
      </c>
    </row>
    <row r="751" spans="1:7">
      <c r="A751" s="926" t="s">
        <v>2953</v>
      </c>
      <c r="B751" s="423" t="s">
        <v>560</v>
      </c>
      <c r="C751" s="435">
        <v>1.37</v>
      </c>
      <c r="D751" s="435">
        <v>814.53200000000004</v>
      </c>
      <c r="E751" s="435">
        <v>1.5</v>
      </c>
      <c r="F751" s="215">
        <v>0</v>
      </c>
      <c r="G751" s="215">
        <v>82278</v>
      </c>
    </row>
    <row r="752" spans="1:7">
      <c r="A752" s="926" t="s">
        <v>2955</v>
      </c>
      <c r="B752" s="423" t="s">
        <v>561</v>
      </c>
      <c r="C752" s="435">
        <v>1.3560000000000001</v>
      </c>
      <c r="D752" s="435">
        <v>4937.7049999999999</v>
      </c>
      <c r="E752" s="435">
        <v>1.4841</v>
      </c>
      <c r="F752" s="215">
        <v>0</v>
      </c>
      <c r="G752" s="215">
        <v>374182</v>
      </c>
    </row>
    <row r="753" spans="1:7">
      <c r="A753" s="926" t="s">
        <v>2957</v>
      </c>
      <c r="B753" s="423" t="s">
        <v>562</v>
      </c>
      <c r="C753" s="435">
        <v>1.37</v>
      </c>
      <c r="D753" s="435">
        <v>1781.4259999999999</v>
      </c>
      <c r="E753" s="435">
        <v>1.5</v>
      </c>
      <c r="F753" s="215">
        <v>0</v>
      </c>
      <c r="G753" s="215">
        <v>49098</v>
      </c>
    </row>
    <row r="754" spans="1:7">
      <c r="A754" s="926" t="s">
        <v>5123</v>
      </c>
      <c r="B754" s="423" t="s">
        <v>337</v>
      </c>
      <c r="C754" s="435">
        <v>1.37</v>
      </c>
      <c r="D754" s="435">
        <v>1938.09</v>
      </c>
      <c r="E754" s="435">
        <v>1.5</v>
      </c>
      <c r="F754" s="215">
        <v>0</v>
      </c>
      <c r="G754" s="215">
        <v>97896</v>
      </c>
    </row>
    <row r="755" spans="1:7">
      <c r="A755" s="926" t="s">
        <v>4119</v>
      </c>
      <c r="B755" s="423" t="s">
        <v>563</v>
      </c>
      <c r="C755" s="435">
        <v>1.28</v>
      </c>
      <c r="D755" s="435">
        <v>275.11</v>
      </c>
      <c r="E755" s="435">
        <v>1.4</v>
      </c>
      <c r="F755" s="215">
        <v>0</v>
      </c>
      <c r="G755" s="215">
        <v>31488</v>
      </c>
    </row>
    <row r="756" spans="1:7">
      <c r="A756" s="926" t="s">
        <v>4121</v>
      </c>
      <c r="B756" s="423" t="s">
        <v>564</v>
      </c>
      <c r="C756" s="435">
        <v>1.325</v>
      </c>
      <c r="D756" s="435">
        <v>124.55800000000001</v>
      </c>
      <c r="E756" s="435">
        <v>1.45</v>
      </c>
      <c r="F756" s="215">
        <v>0</v>
      </c>
      <c r="G756" s="215">
        <v>65631</v>
      </c>
    </row>
    <row r="757" spans="1:7">
      <c r="A757" s="926" t="s">
        <v>4123</v>
      </c>
      <c r="B757" s="423" t="s">
        <v>565</v>
      </c>
      <c r="C757" s="435">
        <v>1.37</v>
      </c>
      <c r="D757" s="435">
        <v>82.820999999999998</v>
      </c>
      <c r="E757" s="435">
        <v>1.5</v>
      </c>
      <c r="F757" s="215">
        <v>0</v>
      </c>
      <c r="G757" s="215">
        <v>16505</v>
      </c>
    </row>
    <row r="758" spans="1:7">
      <c r="A758" s="926" t="s">
        <v>5032</v>
      </c>
      <c r="B758" s="423" t="s">
        <v>7666</v>
      </c>
      <c r="C758" s="435">
        <v>1.37</v>
      </c>
      <c r="D758" s="435">
        <v>2376.87</v>
      </c>
      <c r="E758" s="435">
        <v>1.4985999999999999</v>
      </c>
      <c r="F758" s="215">
        <v>3534</v>
      </c>
      <c r="G758" s="215">
        <v>128477</v>
      </c>
    </row>
    <row r="759" spans="1:7">
      <c r="A759" s="926" t="s">
        <v>4125</v>
      </c>
      <c r="B759" s="423" t="s">
        <v>566</v>
      </c>
      <c r="C759" s="435">
        <v>1.37</v>
      </c>
      <c r="D759" s="435">
        <v>1541.5920000000001</v>
      </c>
      <c r="E759" s="435">
        <v>1.5</v>
      </c>
      <c r="F759" s="215">
        <v>0</v>
      </c>
      <c r="G759" s="215">
        <v>132361</v>
      </c>
    </row>
    <row r="760" spans="1:7">
      <c r="A760" s="926" t="s">
        <v>4127</v>
      </c>
      <c r="B760" s="423" t="s">
        <v>567</v>
      </c>
      <c r="C760" s="435">
        <v>1.3660000000000001</v>
      </c>
      <c r="D760" s="435">
        <v>2508.779</v>
      </c>
      <c r="E760" s="435">
        <v>1.4957</v>
      </c>
      <c r="F760" s="215">
        <v>0</v>
      </c>
      <c r="G760" s="215">
        <v>205756</v>
      </c>
    </row>
    <row r="761" spans="1:7">
      <c r="A761" s="926" t="s">
        <v>5033</v>
      </c>
      <c r="B761" s="423" t="s">
        <v>4059</v>
      </c>
      <c r="C761" s="435">
        <v>1.4850000000000001</v>
      </c>
      <c r="D761" s="435">
        <v>4558.6440000000002</v>
      </c>
      <c r="E761" s="435">
        <v>1.5</v>
      </c>
      <c r="F761" s="215">
        <v>0</v>
      </c>
      <c r="G761" s="215">
        <v>410669</v>
      </c>
    </row>
    <row r="762" spans="1:7">
      <c r="A762" s="926" t="s">
        <v>4129</v>
      </c>
      <c r="B762" s="423" t="s">
        <v>4232</v>
      </c>
      <c r="C762" s="435">
        <v>1.37</v>
      </c>
      <c r="D762" s="435">
        <v>3451.7190000000001</v>
      </c>
      <c r="E762" s="435">
        <v>1.5</v>
      </c>
      <c r="F762" s="215">
        <v>0</v>
      </c>
      <c r="G762" s="215">
        <v>415345</v>
      </c>
    </row>
    <row r="763" spans="1:7">
      <c r="A763" s="926" t="s">
        <v>4131</v>
      </c>
      <c r="B763" s="423" t="s">
        <v>1622</v>
      </c>
      <c r="C763" s="435">
        <v>1.3585</v>
      </c>
      <c r="D763" s="435">
        <v>180.83799999999999</v>
      </c>
      <c r="E763" s="435">
        <v>1.4870000000000001</v>
      </c>
      <c r="F763" s="215">
        <v>0</v>
      </c>
      <c r="G763" s="215">
        <v>21658</v>
      </c>
    </row>
    <row r="764" spans="1:7">
      <c r="A764" s="926" t="s">
        <v>4133</v>
      </c>
      <c r="B764" s="423" t="s">
        <v>1623</v>
      </c>
      <c r="C764" s="435">
        <v>1.3089</v>
      </c>
      <c r="D764" s="435">
        <v>308.947</v>
      </c>
      <c r="E764" s="435">
        <v>1.431</v>
      </c>
      <c r="F764" s="215">
        <v>0</v>
      </c>
      <c r="G764" s="215">
        <v>38897</v>
      </c>
    </row>
    <row r="765" spans="1:7">
      <c r="A765" s="926" t="s">
        <v>6175</v>
      </c>
      <c r="B765" s="423" t="s">
        <v>501</v>
      </c>
      <c r="C765" s="435">
        <v>1.37</v>
      </c>
      <c r="D765" s="435">
        <v>3420.2289999999998</v>
      </c>
      <c r="E765" s="435">
        <v>1.5</v>
      </c>
      <c r="F765" s="215">
        <v>0</v>
      </c>
      <c r="G765" s="215">
        <v>293389</v>
      </c>
    </row>
    <row r="766" spans="1:7">
      <c r="A766" s="926" t="s">
        <v>4135</v>
      </c>
      <c r="B766" s="423" t="s">
        <v>1624</v>
      </c>
      <c r="C766" s="435">
        <v>1.37</v>
      </c>
      <c r="D766" s="435">
        <v>463.08800000000002</v>
      </c>
      <c r="E766" s="435">
        <v>1.5</v>
      </c>
      <c r="F766" s="215">
        <v>0</v>
      </c>
      <c r="G766" s="215">
        <v>73631</v>
      </c>
    </row>
    <row r="767" spans="1:7">
      <c r="A767" s="926" t="s">
        <v>4137</v>
      </c>
      <c r="B767" s="423" t="s">
        <v>1625</v>
      </c>
      <c r="C767" s="435">
        <v>1.3156000000000001</v>
      </c>
      <c r="D767" s="435">
        <v>171.50700000000001</v>
      </c>
      <c r="E767" s="435">
        <v>1.4386000000000001</v>
      </c>
      <c r="F767" s="215">
        <v>0</v>
      </c>
      <c r="G767" s="215">
        <v>10372</v>
      </c>
    </row>
    <row r="768" spans="1:7">
      <c r="A768" s="926" t="s">
        <v>4139</v>
      </c>
      <c r="B768" s="423" t="s">
        <v>1626</v>
      </c>
      <c r="C768" s="435">
        <v>1.3701000000000001</v>
      </c>
      <c r="D768" s="435">
        <v>88.484999999999999</v>
      </c>
      <c r="E768" s="435">
        <v>1.5</v>
      </c>
      <c r="F768" s="215">
        <v>0</v>
      </c>
      <c r="G768" s="215">
        <v>19927</v>
      </c>
    </row>
    <row r="769" spans="1:7">
      <c r="A769" s="926" t="s">
        <v>4141</v>
      </c>
      <c r="B769" s="423" t="s">
        <v>1627</v>
      </c>
      <c r="C769" s="435">
        <v>1.29</v>
      </c>
      <c r="D769" s="435">
        <v>486.82</v>
      </c>
      <c r="E769" s="435">
        <v>1.4097</v>
      </c>
      <c r="F769" s="215">
        <v>0</v>
      </c>
      <c r="G769" s="215">
        <v>46817</v>
      </c>
    </row>
    <row r="770" spans="1:7">
      <c r="A770" s="926" t="s">
        <v>4143</v>
      </c>
      <c r="B770" s="423" t="s">
        <v>1628</v>
      </c>
      <c r="C770" s="435">
        <v>1.37</v>
      </c>
      <c r="D770" s="435">
        <v>2600.7629999999999</v>
      </c>
      <c r="E770" s="435">
        <v>1.5</v>
      </c>
      <c r="F770" s="215">
        <v>0</v>
      </c>
      <c r="G770" s="215">
        <v>330940</v>
      </c>
    </row>
    <row r="771" spans="1:7">
      <c r="A771" s="926" t="s">
        <v>1318</v>
      </c>
      <c r="B771" s="423" t="s">
        <v>124</v>
      </c>
      <c r="C771" s="435">
        <v>1.1679999999999999</v>
      </c>
      <c r="D771" s="435">
        <v>292.63</v>
      </c>
      <c r="E771" s="435">
        <v>1.1274999999999999</v>
      </c>
      <c r="F771" s="215">
        <v>0</v>
      </c>
      <c r="G771" s="215">
        <v>28138</v>
      </c>
    </row>
    <row r="772" spans="1:7">
      <c r="A772" s="926" t="s">
        <v>2536</v>
      </c>
      <c r="B772" s="423" t="s">
        <v>344</v>
      </c>
      <c r="C772" s="435">
        <v>1.3106</v>
      </c>
      <c r="D772" s="435">
        <v>472.73099999999999</v>
      </c>
      <c r="E772" s="435">
        <v>1.4330000000000001</v>
      </c>
      <c r="F772" s="215">
        <v>0</v>
      </c>
      <c r="G772" s="215">
        <v>50836</v>
      </c>
    </row>
    <row r="773" spans="1:7">
      <c r="A773" s="926" t="s">
        <v>2407</v>
      </c>
      <c r="B773" s="423" t="s">
        <v>2352</v>
      </c>
      <c r="C773" s="435">
        <v>1.37</v>
      </c>
      <c r="D773" s="435">
        <v>3243.0720000000001</v>
      </c>
      <c r="E773" s="435">
        <v>1.5</v>
      </c>
      <c r="F773" s="215">
        <v>0</v>
      </c>
      <c r="G773" s="215">
        <v>338045</v>
      </c>
    </row>
    <row r="774" spans="1:7">
      <c r="A774" s="926" t="s">
        <v>5034</v>
      </c>
      <c r="B774" s="423" t="s">
        <v>4064</v>
      </c>
      <c r="C774" s="435">
        <v>1.37</v>
      </c>
      <c r="D774" s="435">
        <v>6688.116</v>
      </c>
      <c r="E774" s="435">
        <v>1.5</v>
      </c>
      <c r="F774" s="215">
        <v>0</v>
      </c>
      <c r="G774" s="215">
        <v>545275</v>
      </c>
    </row>
    <row r="775" spans="1:7">
      <c r="A775" s="926" t="s">
        <v>6174</v>
      </c>
      <c r="B775" s="423" t="s">
        <v>500</v>
      </c>
      <c r="C775" s="435">
        <v>1.37</v>
      </c>
      <c r="D775" s="435">
        <v>732.87599999999998</v>
      </c>
      <c r="E775" s="435">
        <v>1.5</v>
      </c>
      <c r="F775" s="215">
        <v>0</v>
      </c>
      <c r="G775" s="215">
        <v>60303</v>
      </c>
    </row>
    <row r="776" spans="1:7">
      <c r="A776" s="926" t="s">
        <v>4145</v>
      </c>
      <c r="B776" s="423" t="s">
        <v>1629</v>
      </c>
      <c r="C776" s="435">
        <v>1.37</v>
      </c>
      <c r="D776" s="435">
        <v>3801.6610000000001</v>
      </c>
      <c r="E776" s="435">
        <v>1.5</v>
      </c>
      <c r="F776" s="215">
        <v>0</v>
      </c>
      <c r="G776" s="215">
        <v>433878</v>
      </c>
    </row>
    <row r="777" spans="1:7">
      <c r="A777" s="926" t="s">
        <v>6196</v>
      </c>
      <c r="B777" s="423" t="s">
        <v>5295</v>
      </c>
      <c r="C777" s="435">
        <v>1.37</v>
      </c>
      <c r="D777" s="435">
        <v>961.64700000000005</v>
      </c>
      <c r="E777" s="435">
        <v>1.5</v>
      </c>
      <c r="F777" s="215">
        <v>0</v>
      </c>
      <c r="G777" s="215">
        <v>63118</v>
      </c>
    </row>
    <row r="778" spans="1:7">
      <c r="A778" s="926" t="s">
        <v>6131</v>
      </c>
      <c r="B778" s="423" t="s">
        <v>7667</v>
      </c>
      <c r="C778" s="435">
        <v>1.37</v>
      </c>
      <c r="D778" s="435">
        <v>681.89300000000003</v>
      </c>
      <c r="E778" s="435">
        <v>1.5</v>
      </c>
      <c r="F778" s="215">
        <v>0</v>
      </c>
      <c r="G778" s="215">
        <v>51111</v>
      </c>
    </row>
    <row r="779" spans="1:7">
      <c r="A779" s="926" t="s">
        <v>254</v>
      </c>
      <c r="B779" s="423" t="s">
        <v>1630</v>
      </c>
      <c r="C779" s="435">
        <v>1.37</v>
      </c>
      <c r="D779" s="435">
        <v>176.11199999999999</v>
      </c>
      <c r="E779" s="435">
        <v>1.5</v>
      </c>
      <c r="F779" s="215">
        <v>0</v>
      </c>
      <c r="G779" s="215">
        <v>22098</v>
      </c>
    </row>
    <row r="780" spans="1:7">
      <c r="A780" s="926" t="s">
        <v>256</v>
      </c>
      <c r="B780" s="423" t="s">
        <v>1631</v>
      </c>
      <c r="C780" s="435">
        <v>1.1927000000000001</v>
      </c>
      <c r="D780" s="435">
        <v>467.51</v>
      </c>
      <c r="E780" s="435">
        <v>1.3</v>
      </c>
      <c r="F780" s="215">
        <v>0</v>
      </c>
      <c r="G780" s="215">
        <v>24872</v>
      </c>
    </row>
    <row r="781" spans="1:7">
      <c r="A781" s="926" t="s">
        <v>258</v>
      </c>
      <c r="B781" s="423" t="s">
        <v>1632</v>
      </c>
      <c r="C781" s="435">
        <v>1.2259</v>
      </c>
      <c r="D781" s="435">
        <v>479.55799999999999</v>
      </c>
      <c r="E781" s="435">
        <v>1.3373999999999999</v>
      </c>
      <c r="F781" s="215">
        <v>0</v>
      </c>
      <c r="G781" s="215">
        <v>38703</v>
      </c>
    </row>
    <row r="782" spans="1:7">
      <c r="A782" s="926" t="s">
        <v>260</v>
      </c>
      <c r="B782" s="423" t="s">
        <v>1633</v>
      </c>
      <c r="C782" s="435">
        <v>1.077</v>
      </c>
      <c r="D782" s="435">
        <v>1157.8630000000001</v>
      </c>
      <c r="E782" s="435">
        <v>1.17</v>
      </c>
      <c r="F782" s="215">
        <v>0</v>
      </c>
      <c r="G782" s="215">
        <v>56892</v>
      </c>
    </row>
    <row r="783" spans="1:7">
      <c r="A783" s="926" t="s">
        <v>262</v>
      </c>
      <c r="B783" s="423" t="s">
        <v>1634</v>
      </c>
      <c r="C783" s="435">
        <v>1.37</v>
      </c>
      <c r="D783" s="435">
        <v>122.309</v>
      </c>
      <c r="E783" s="435">
        <v>1.5</v>
      </c>
      <c r="F783" s="215">
        <v>0</v>
      </c>
      <c r="G783" s="215">
        <v>34881</v>
      </c>
    </row>
    <row r="784" spans="1:7">
      <c r="A784" s="926" t="s">
        <v>872</v>
      </c>
      <c r="B784" s="423" t="s">
        <v>397</v>
      </c>
      <c r="C784" s="435">
        <v>1.37</v>
      </c>
      <c r="D784" s="435">
        <v>114.98099999999999</v>
      </c>
      <c r="E784" s="435">
        <v>1.5</v>
      </c>
      <c r="F784" s="215">
        <v>0</v>
      </c>
      <c r="G784" s="215">
        <v>15819</v>
      </c>
    </row>
    <row r="785" spans="1:7">
      <c r="A785" s="926" t="s">
        <v>874</v>
      </c>
      <c r="B785" s="423" t="s">
        <v>398</v>
      </c>
      <c r="C785" s="435">
        <v>1.37</v>
      </c>
      <c r="D785" s="435">
        <v>2047.162</v>
      </c>
      <c r="E785" s="435">
        <v>1.5</v>
      </c>
      <c r="F785" s="215">
        <v>0</v>
      </c>
      <c r="G785" s="215">
        <v>187208</v>
      </c>
    </row>
    <row r="786" spans="1:7">
      <c r="A786" s="926" t="s">
        <v>876</v>
      </c>
      <c r="B786" s="423" t="s">
        <v>399</v>
      </c>
      <c r="C786" s="435">
        <v>1.37</v>
      </c>
      <c r="D786" s="435">
        <v>524.42999999999995</v>
      </c>
      <c r="E786" s="435">
        <v>1.5</v>
      </c>
      <c r="F786" s="215">
        <v>0</v>
      </c>
      <c r="G786" s="215">
        <v>53760</v>
      </c>
    </row>
    <row r="787" spans="1:7">
      <c r="A787" s="926" t="s">
        <v>3040</v>
      </c>
      <c r="B787" s="423" t="s">
        <v>400</v>
      </c>
      <c r="C787" s="435">
        <v>1.37</v>
      </c>
      <c r="D787" s="435">
        <v>432.36200000000002</v>
      </c>
      <c r="E787" s="435">
        <v>1.5</v>
      </c>
      <c r="F787" s="215">
        <v>0</v>
      </c>
      <c r="G787" s="215">
        <v>89163</v>
      </c>
    </row>
    <row r="788" spans="1:7">
      <c r="A788" s="926" t="s">
        <v>3042</v>
      </c>
      <c r="B788" s="423" t="s">
        <v>401</v>
      </c>
      <c r="C788" s="435">
        <v>1.37</v>
      </c>
      <c r="D788" s="435">
        <v>288.41500000000002</v>
      </c>
      <c r="E788" s="435">
        <v>1.5</v>
      </c>
      <c r="F788" s="215">
        <v>0</v>
      </c>
      <c r="G788" s="215">
        <v>19243</v>
      </c>
    </row>
    <row r="789" spans="1:7">
      <c r="A789" s="926" t="s">
        <v>709</v>
      </c>
      <c r="B789" s="423" t="s">
        <v>402</v>
      </c>
      <c r="C789" s="435">
        <v>1.3478000000000001</v>
      </c>
      <c r="D789" s="435">
        <v>1027.5229999999999</v>
      </c>
      <c r="E789" s="435">
        <v>1.4750000000000001</v>
      </c>
      <c r="F789" s="215">
        <v>0</v>
      </c>
      <c r="G789" s="215">
        <v>179831</v>
      </c>
    </row>
    <row r="790" spans="1:7">
      <c r="A790" s="926" t="s">
        <v>3044</v>
      </c>
      <c r="B790" s="423" t="s">
        <v>403</v>
      </c>
      <c r="C790" s="435">
        <v>1.37</v>
      </c>
      <c r="D790" s="435">
        <v>220.60400000000001</v>
      </c>
      <c r="E790" s="435">
        <v>1.5</v>
      </c>
      <c r="F790" s="215">
        <v>0</v>
      </c>
      <c r="G790" s="215">
        <v>23943</v>
      </c>
    </row>
    <row r="791" spans="1:7">
      <c r="A791" s="926" t="s">
        <v>2992</v>
      </c>
      <c r="B791" s="423" t="s">
        <v>195</v>
      </c>
      <c r="C791" s="435">
        <v>1.3545</v>
      </c>
      <c r="D791" s="435">
        <v>3741.77</v>
      </c>
      <c r="E791" s="435">
        <v>1.4824999999999999</v>
      </c>
      <c r="F791" s="215">
        <v>0</v>
      </c>
      <c r="G791" s="215">
        <v>573769</v>
      </c>
    </row>
    <row r="792" spans="1:7">
      <c r="A792" s="926" t="s">
        <v>3046</v>
      </c>
      <c r="B792" s="423" t="s">
        <v>404</v>
      </c>
      <c r="C792" s="435">
        <v>1.3552</v>
      </c>
      <c r="D792" s="435">
        <v>825.45100000000002</v>
      </c>
      <c r="E792" s="435">
        <v>1.4833000000000001</v>
      </c>
      <c r="F792" s="215">
        <v>0</v>
      </c>
      <c r="G792" s="215">
        <v>96559</v>
      </c>
    </row>
    <row r="793" spans="1:7">
      <c r="A793" s="926" t="s">
        <v>264</v>
      </c>
      <c r="B793" s="423" t="s">
        <v>7681</v>
      </c>
      <c r="C793" s="435">
        <v>1.33</v>
      </c>
      <c r="D793" s="435">
        <v>27263.460999999999</v>
      </c>
      <c r="E793" s="435">
        <v>1.5</v>
      </c>
      <c r="F793" s="215">
        <v>166104</v>
      </c>
      <c r="G793" s="215">
        <v>1011666</v>
      </c>
    </row>
    <row r="794" spans="1:7">
      <c r="A794" s="926" t="s">
        <v>2306</v>
      </c>
      <c r="B794" s="423" t="s">
        <v>363</v>
      </c>
      <c r="C794" s="435">
        <v>1.37</v>
      </c>
      <c r="D794" s="435">
        <v>1281.174</v>
      </c>
      <c r="E794" s="435">
        <v>1.5</v>
      </c>
      <c r="F794" s="215">
        <v>0</v>
      </c>
      <c r="G794" s="215">
        <v>110472</v>
      </c>
    </row>
    <row r="795" spans="1:7">
      <c r="A795" s="926" t="s">
        <v>3048</v>
      </c>
      <c r="B795" s="423" t="s">
        <v>2898</v>
      </c>
      <c r="C795" s="435">
        <v>1.3257000000000001</v>
      </c>
      <c r="D795" s="435">
        <v>797.15800000000002</v>
      </c>
      <c r="E795" s="435">
        <v>1.45</v>
      </c>
      <c r="F795" s="215">
        <v>0</v>
      </c>
      <c r="G795" s="215">
        <v>100885</v>
      </c>
    </row>
    <row r="796" spans="1:7">
      <c r="A796" s="926" t="s">
        <v>3049</v>
      </c>
      <c r="B796" s="423" t="s">
        <v>405</v>
      </c>
      <c r="C796" s="435">
        <v>1.345</v>
      </c>
      <c r="D796" s="435">
        <v>849.77599999999995</v>
      </c>
      <c r="E796" s="435">
        <v>1.4717</v>
      </c>
      <c r="F796" s="215">
        <v>38017</v>
      </c>
      <c r="G796" s="215">
        <v>134378</v>
      </c>
    </row>
    <row r="797" spans="1:7">
      <c r="A797" s="926" t="s">
        <v>5035</v>
      </c>
      <c r="B797" s="423" t="s">
        <v>6064</v>
      </c>
      <c r="C797" s="435">
        <v>1.37</v>
      </c>
      <c r="D797" s="435">
        <v>407.75700000000001</v>
      </c>
      <c r="E797" s="435">
        <v>1.5</v>
      </c>
      <c r="F797" s="215">
        <v>0</v>
      </c>
      <c r="G797" s="215">
        <v>19442</v>
      </c>
    </row>
    <row r="798" spans="1:7">
      <c r="A798" s="926" t="s">
        <v>5131</v>
      </c>
      <c r="B798" s="423" t="s">
        <v>350</v>
      </c>
      <c r="C798" s="435">
        <v>1.37</v>
      </c>
      <c r="D798" s="435">
        <v>1411.62</v>
      </c>
      <c r="E798" s="435">
        <v>1.5</v>
      </c>
      <c r="F798" s="215">
        <v>0</v>
      </c>
      <c r="G798" s="215">
        <v>48770</v>
      </c>
    </row>
    <row r="799" spans="1:7">
      <c r="A799" s="926" t="s">
        <v>5231</v>
      </c>
      <c r="B799" s="423" t="s">
        <v>406</v>
      </c>
      <c r="C799" s="435">
        <v>1.3079000000000001</v>
      </c>
      <c r="D799" s="435">
        <v>1515.9590000000001</v>
      </c>
      <c r="E799" s="435">
        <v>1.43</v>
      </c>
      <c r="F799" s="215">
        <v>0</v>
      </c>
      <c r="G799" s="215">
        <v>199327</v>
      </c>
    </row>
    <row r="800" spans="1:7">
      <c r="A800" s="926" t="s">
        <v>3109</v>
      </c>
      <c r="B800" s="423" t="s">
        <v>7822</v>
      </c>
      <c r="C800" s="435">
        <v>1.3278000000000001</v>
      </c>
      <c r="D800" s="435">
        <v>7663.4110000000001</v>
      </c>
      <c r="E800" s="435">
        <v>1.4975000000000001</v>
      </c>
      <c r="F800" s="215">
        <v>2896</v>
      </c>
      <c r="G800" s="215">
        <v>595807</v>
      </c>
    </row>
    <row r="801" spans="1:7">
      <c r="A801" s="926" t="s">
        <v>3111</v>
      </c>
      <c r="B801" s="423" t="s">
        <v>3193</v>
      </c>
      <c r="C801" s="435">
        <v>1.21</v>
      </c>
      <c r="D801" s="435">
        <v>692.40200000000004</v>
      </c>
      <c r="E801" s="435">
        <v>1.33</v>
      </c>
      <c r="F801" s="215">
        <v>0</v>
      </c>
      <c r="G801" s="215">
        <v>66754</v>
      </c>
    </row>
    <row r="802" spans="1:7">
      <c r="A802" s="926" t="s">
        <v>3113</v>
      </c>
      <c r="B802" s="423" t="s">
        <v>3194</v>
      </c>
      <c r="C802" s="435">
        <v>1.27</v>
      </c>
      <c r="D802" s="435">
        <v>235.81399999999999</v>
      </c>
      <c r="E802" s="435">
        <v>1.27</v>
      </c>
      <c r="F802" s="215">
        <v>0</v>
      </c>
      <c r="G802" s="215">
        <v>31215</v>
      </c>
    </row>
    <row r="803" spans="1:7">
      <c r="A803" s="926" t="s">
        <v>975</v>
      </c>
      <c r="B803" s="423" t="s">
        <v>7692</v>
      </c>
      <c r="C803" s="435">
        <v>1.32</v>
      </c>
      <c r="D803" s="435">
        <v>405.12</v>
      </c>
      <c r="E803" s="435">
        <v>1.44</v>
      </c>
      <c r="F803" s="215">
        <v>0</v>
      </c>
      <c r="G803" s="215">
        <v>47235</v>
      </c>
    </row>
    <row r="804" spans="1:7">
      <c r="A804" s="926" t="s">
        <v>2771</v>
      </c>
      <c r="B804" s="423" t="s">
        <v>364</v>
      </c>
      <c r="C804" s="435">
        <v>1.173</v>
      </c>
      <c r="D804" s="435">
        <v>685.17899999999997</v>
      </c>
      <c r="E804" s="435">
        <v>1.2778</v>
      </c>
      <c r="F804" s="215">
        <v>0</v>
      </c>
      <c r="G804" s="215">
        <v>103657</v>
      </c>
    </row>
    <row r="805" spans="1:7">
      <c r="A805" s="926" t="s">
        <v>2821</v>
      </c>
      <c r="B805" s="423" t="s">
        <v>3195</v>
      </c>
      <c r="C805" s="435">
        <v>1.1927000000000001</v>
      </c>
      <c r="D805" s="435">
        <v>877.18100000000004</v>
      </c>
      <c r="E805" s="435">
        <v>1.3</v>
      </c>
      <c r="F805" s="215">
        <v>0</v>
      </c>
      <c r="G805" s="215">
        <v>181254</v>
      </c>
    </row>
    <row r="806" spans="1:7">
      <c r="A806" s="926" t="s">
        <v>4589</v>
      </c>
      <c r="B806" s="423" t="s">
        <v>998</v>
      </c>
      <c r="C806" s="435">
        <v>1.2990999999999999</v>
      </c>
      <c r="D806" s="435">
        <v>465.81599999999997</v>
      </c>
      <c r="E806" s="435">
        <v>1.42</v>
      </c>
      <c r="F806" s="215">
        <v>0</v>
      </c>
      <c r="G806" s="215">
        <v>72522</v>
      </c>
    </row>
    <row r="807" spans="1:7">
      <c r="A807" s="926" t="s">
        <v>2572</v>
      </c>
      <c r="B807" s="423" t="s">
        <v>3196</v>
      </c>
      <c r="C807" s="435">
        <v>1.37</v>
      </c>
      <c r="D807" s="435">
        <v>2072.7260000000001</v>
      </c>
      <c r="E807" s="435">
        <v>1.5</v>
      </c>
      <c r="F807" s="215">
        <v>0</v>
      </c>
      <c r="G807" s="215">
        <v>113432</v>
      </c>
    </row>
    <row r="808" spans="1:7">
      <c r="A808" s="926" t="s">
        <v>1507</v>
      </c>
      <c r="B808" s="423" t="s">
        <v>7694</v>
      </c>
      <c r="C808" s="435">
        <v>1.37</v>
      </c>
      <c r="D808" s="435">
        <v>175.47900000000001</v>
      </c>
      <c r="E808" s="435">
        <v>1.5</v>
      </c>
      <c r="F808" s="215">
        <v>0</v>
      </c>
      <c r="G808" s="215">
        <v>8097</v>
      </c>
    </row>
    <row r="809" spans="1:7">
      <c r="A809" s="926" t="s">
        <v>2574</v>
      </c>
      <c r="B809" s="423" t="s">
        <v>3197</v>
      </c>
      <c r="C809" s="435">
        <v>1.244</v>
      </c>
      <c r="D809" s="435">
        <v>173.142</v>
      </c>
      <c r="E809" s="435">
        <v>1.3583000000000001</v>
      </c>
      <c r="F809" s="215">
        <v>0</v>
      </c>
      <c r="G809" s="215">
        <v>23751</v>
      </c>
    </row>
    <row r="810" spans="1:7">
      <c r="A810" s="926" t="s">
        <v>2576</v>
      </c>
      <c r="B810" s="423" t="s">
        <v>3198</v>
      </c>
      <c r="C810" s="435">
        <v>1.37</v>
      </c>
      <c r="D810" s="435">
        <v>513.654</v>
      </c>
      <c r="E810" s="435">
        <v>1.5</v>
      </c>
      <c r="F810" s="215">
        <v>0</v>
      </c>
      <c r="G810" s="215">
        <v>45717</v>
      </c>
    </row>
    <row r="811" spans="1:7">
      <c r="A811" s="926" t="s">
        <v>2578</v>
      </c>
      <c r="B811" s="423" t="s">
        <v>3199</v>
      </c>
      <c r="C811" s="435">
        <v>1.3346</v>
      </c>
      <c r="D811" s="435">
        <v>720.84900000000005</v>
      </c>
      <c r="E811" s="435">
        <v>1.46</v>
      </c>
      <c r="F811" s="215">
        <v>0</v>
      </c>
      <c r="G811" s="215">
        <v>20747</v>
      </c>
    </row>
    <row r="812" spans="1:7">
      <c r="A812" s="926" t="s">
        <v>158</v>
      </c>
      <c r="B812" s="423" t="s">
        <v>3200</v>
      </c>
      <c r="C812" s="435">
        <v>1.37</v>
      </c>
      <c r="D812" s="435">
        <v>154.80799999999999</v>
      </c>
      <c r="E812" s="435">
        <v>1.5</v>
      </c>
      <c r="F812" s="215">
        <v>0</v>
      </c>
      <c r="G812" s="215">
        <v>61227</v>
      </c>
    </row>
    <row r="813" spans="1:7">
      <c r="A813" s="926" t="s">
        <v>5211</v>
      </c>
      <c r="B813" s="423" t="s">
        <v>3201</v>
      </c>
      <c r="C813" s="435">
        <v>1.37</v>
      </c>
      <c r="D813" s="435">
        <v>432.29700000000003</v>
      </c>
      <c r="E813" s="435">
        <v>1.5</v>
      </c>
      <c r="F813" s="215">
        <v>0</v>
      </c>
      <c r="G813" s="215">
        <v>46069</v>
      </c>
    </row>
    <row r="814" spans="1:7">
      <c r="A814" s="926" t="s">
        <v>5213</v>
      </c>
      <c r="B814" s="423" t="s">
        <v>3202</v>
      </c>
      <c r="C814" s="435">
        <v>1.36</v>
      </c>
      <c r="D814" s="435">
        <v>213.21199999999999</v>
      </c>
      <c r="E814" s="435">
        <v>1.4893000000000001</v>
      </c>
      <c r="F814" s="215">
        <v>0</v>
      </c>
      <c r="G814" s="215">
        <v>15506</v>
      </c>
    </row>
    <row r="815" spans="1:7">
      <c r="A815" s="926" t="s">
        <v>5215</v>
      </c>
      <c r="B815" s="423" t="s">
        <v>3203</v>
      </c>
      <c r="C815" s="435">
        <v>1.198</v>
      </c>
      <c r="D815" s="435">
        <v>949.8</v>
      </c>
      <c r="E815" s="435">
        <v>1.3080000000000001</v>
      </c>
      <c r="F815" s="215">
        <v>0</v>
      </c>
      <c r="G815" s="215">
        <v>165711</v>
      </c>
    </row>
    <row r="816" spans="1:7">
      <c r="A816" s="926" t="s">
        <v>5217</v>
      </c>
      <c r="B816" s="423" t="s">
        <v>3204</v>
      </c>
      <c r="C816" s="435">
        <v>1.37</v>
      </c>
      <c r="D816" s="435">
        <v>1079.991</v>
      </c>
      <c r="E816" s="435">
        <v>1.5</v>
      </c>
      <c r="F816" s="215">
        <v>0</v>
      </c>
      <c r="G816" s="215">
        <v>40644</v>
      </c>
    </row>
    <row r="817" spans="1:7">
      <c r="A817" s="926" t="s">
        <v>5219</v>
      </c>
      <c r="B817" s="423" t="s">
        <v>3205</v>
      </c>
      <c r="C817" s="435">
        <v>1.26</v>
      </c>
      <c r="D817" s="435">
        <v>396.30399999999997</v>
      </c>
      <c r="E817" s="435">
        <v>1.38</v>
      </c>
      <c r="F817" s="215">
        <v>0</v>
      </c>
      <c r="G817" s="215">
        <v>11200</v>
      </c>
    </row>
    <row r="818" spans="1:7">
      <c r="A818" s="926" t="s">
        <v>2125</v>
      </c>
      <c r="B818" s="423" t="s">
        <v>3206</v>
      </c>
      <c r="C818" s="435">
        <v>1.33</v>
      </c>
      <c r="D818" s="435">
        <v>10725.244000000001</v>
      </c>
      <c r="E818" s="435">
        <v>1.5</v>
      </c>
      <c r="F818" s="215">
        <v>244809</v>
      </c>
      <c r="G818" s="215">
        <v>789812</v>
      </c>
    </row>
    <row r="819" spans="1:7">
      <c r="A819" s="926" t="s">
        <v>870</v>
      </c>
      <c r="B819" s="423" t="s">
        <v>373</v>
      </c>
      <c r="C819" s="435">
        <v>1.2768999999999999</v>
      </c>
      <c r="D819" s="435">
        <v>3106.5</v>
      </c>
      <c r="E819" s="435">
        <v>1.395</v>
      </c>
      <c r="F819" s="215">
        <v>10575</v>
      </c>
      <c r="G819" s="215">
        <v>251492</v>
      </c>
    </row>
    <row r="820" spans="1:7">
      <c r="A820" s="926" t="s">
        <v>5615</v>
      </c>
      <c r="B820" s="423" t="s">
        <v>3207</v>
      </c>
      <c r="C820" s="435">
        <v>1.37</v>
      </c>
      <c r="D820" s="435">
        <v>964.11</v>
      </c>
      <c r="E820" s="435">
        <v>1.5</v>
      </c>
      <c r="F820" s="215">
        <v>0</v>
      </c>
      <c r="G820" s="215">
        <v>69044</v>
      </c>
    </row>
    <row r="821" spans="1:7">
      <c r="A821" s="926" t="s">
        <v>4590</v>
      </c>
      <c r="B821" s="423" t="s">
        <v>498</v>
      </c>
      <c r="C821" s="435">
        <v>1.37</v>
      </c>
      <c r="D821" s="435">
        <v>411.56200000000001</v>
      </c>
      <c r="E821" s="435">
        <v>1.5</v>
      </c>
      <c r="F821" s="215">
        <v>0</v>
      </c>
      <c r="G821" s="215">
        <v>48161</v>
      </c>
    </row>
    <row r="822" spans="1:7">
      <c r="A822" s="926" t="s">
        <v>860</v>
      </c>
      <c r="B822" s="423" t="s">
        <v>2005</v>
      </c>
      <c r="C822" s="435">
        <v>1.3257000000000001</v>
      </c>
      <c r="D822" s="435">
        <v>620.92999999999995</v>
      </c>
      <c r="E822" s="435">
        <v>1.45</v>
      </c>
      <c r="F822" s="215">
        <v>0</v>
      </c>
      <c r="G822" s="215">
        <v>43197</v>
      </c>
    </row>
    <row r="823" spans="1:7">
      <c r="A823" s="926" t="s">
        <v>4591</v>
      </c>
      <c r="B823" s="423" t="s">
        <v>3834</v>
      </c>
      <c r="C823" s="435">
        <v>1.3701000000000001</v>
      </c>
      <c r="D823" s="435">
        <v>72.882999999999996</v>
      </c>
      <c r="E823" s="435">
        <v>1.5</v>
      </c>
      <c r="F823" s="215">
        <v>0</v>
      </c>
      <c r="G823" s="215">
        <v>9618</v>
      </c>
    </row>
    <row r="824" spans="1:7">
      <c r="A824" s="926" t="s">
        <v>5617</v>
      </c>
      <c r="B824" s="423" t="s">
        <v>3208</v>
      </c>
      <c r="C824" s="435">
        <v>1.37</v>
      </c>
      <c r="D824" s="435">
        <v>3327.9929999999999</v>
      </c>
      <c r="E824" s="435">
        <v>1.5</v>
      </c>
      <c r="F824" s="215">
        <v>0</v>
      </c>
      <c r="G824" s="215">
        <v>327094</v>
      </c>
    </row>
    <row r="825" spans="1:7">
      <c r="A825" s="926" t="s">
        <v>3150</v>
      </c>
      <c r="B825" s="423" t="s">
        <v>3209</v>
      </c>
      <c r="C825" s="435">
        <v>1.37</v>
      </c>
      <c r="D825" s="435">
        <v>151.608</v>
      </c>
      <c r="E825" s="435">
        <v>1.5</v>
      </c>
      <c r="F825" s="215">
        <v>0</v>
      </c>
      <c r="G825" s="215">
        <v>37276</v>
      </c>
    </row>
    <row r="826" spans="1:7">
      <c r="A826" s="926" t="s">
        <v>3152</v>
      </c>
      <c r="B826" s="423" t="s">
        <v>3210</v>
      </c>
      <c r="C826" s="435">
        <v>1.4787999999999999</v>
      </c>
      <c r="D826" s="435">
        <v>227.57900000000001</v>
      </c>
      <c r="E826" s="435">
        <v>1.6227</v>
      </c>
      <c r="F826" s="215">
        <v>0</v>
      </c>
      <c r="G826" s="215">
        <v>25413</v>
      </c>
    </row>
    <row r="827" spans="1:7">
      <c r="A827" s="926" t="s">
        <v>1949</v>
      </c>
      <c r="B827" s="423" t="s">
        <v>327</v>
      </c>
      <c r="C827" s="435">
        <v>1.37</v>
      </c>
      <c r="D827" s="435">
        <v>386.17</v>
      </c>
      <c r="E827" s="435">
        <v>1.5</v>
      </c>
      <c r="F827" s="215">
        <v>0</v>
      </c>
      <c r="G827" s="215">
        <v>24794</v>
      </c>
    </row>
    <row r="828" spans="1:7">
      <c r="A828" s="926" t="s">
        <v>1951</v>
      </c>
      <c r="B828" s="423" t="s">
        <v>3627</v>
      </c>
      <c r="C828" s="435">
        <v>1.37</v>
      </c>
      <c r="D828" s="435">
        <v>497.70800000000003</v>
      </c>
      <c r="E828" s="435">
        <v>1.5</v>
      </c>
      <c r="F828" s="215">
        <v>0</v>
      </c>
      <c r="G828" s="215">
        <v>29700</v>
      </c>
    </row>
    <row r="829" spans="1:7">
      <c r="A829" s="926" t="s">
        <v>3154</v>
      </c>
      <c r="B829" s="423" t="s">
        <v>3211</v>
      </c>
      <c r="C829" s="435">
        <v>1.3701000000000001</v>
      </c>
      <c r="D829" s="435">
        <v>1154.259</v>
      </c>
      <c r="E829" s="435">
        <v>1.33</v>
      </c>
      <c r="F829" s="215">
        <v>0</v>
      </c>
      <c r="G829" s="215">
        <v>142069</v>
      </c>
    </row>
    <row r="830" spans="1:7">
      <c r="A830" s="926" t="s">
        <v>3883</v>
      </c>
      <c r="B830" s="423" t="s">
        <v>6100</v>
      </c>
      <c r="C830" s="435">
        <v>1.37</v>
      </c>
      <c r="D830" s="435">
        <v>524.37800000000004</v>
      </c>
      <c r="E830" s="435">
        <v>1.5</v>
      </c>
      <c r="F830" s="215">
        <v>0</v>
      </c>
      <c r="G830" s="215">
        <v>61359</v>
      </c>
    </row>
    <row r="831" spans="1:7">
      <c r="A831" s="926" t="s">
        <v>3156</v>
      </c>
      <c r="B831" s="423" t="s">
        <v>3212</v>
      </c>
      <c r="C831" s="435">
        <v>1.3701000000000001</v>
      </c>
      <c r="D831" s="435">
        <v>704.10699999999997</v>
      </c>
      <c r="E831" s="435">
        <v>1.5</v>
      </c>
      <c r="F831" s="215">
        <v>0</v>
      </c>
      <c r="G831" s="215">
        <v>127179</v>
      </c>
    </row>
    <row r="832" spans="1:7">
      <c r="A832" s="926" t="s">
        <v>3158</v>
      </c>
      <c r="B832" s="423" t="s">
        <v>3213</v>
      </c>
      <c r="C832" s="435">
        <v>1.266</v>
      </c>
      <c r="D832" s="435">
        <v>892.61300000000006</v>
      </c>
      <c r="E832" s="435">
        <v>1.3827</v>
      </c>
      <c r="F832" s="215">
        <v>0</v>
      </c>
      <c r="G832" s="215">
        <v>119744</v>
      </c>
    </row>
    <row r="833" spans="1:7">
      <c r="A833" s="926" t="s">
        <v>3160</v>
      </c>
      <c r="B833" s="423" t="s">
        <v>3214</v>
      </c>
      <c r="C833" s="435">
        <v>1.2370000000000001</v>
      </c>
      <c r="D833" s="435">
        <v>569.91600000000005</v>
      </c>
      <c r="E833" s="435">
        <v>1.35</v>
      </c>
      <c r="F833" s="215">
        <v>0</v>
      </c>
      <c r="G833" s="215">
        <v>52791</v>
      </c>
    </row>
    <row r="834" spans="1:7">
      <c r="A834" s="926" t="s">
        <v>3162</v>
      </c>
      <c r="B834" s="423" t="s">
        <v>3215</v>
      </c>
      <c r="C834" s="435">
        <v>1.37</v>
      </c>
      <c r="D834" s="435">
        <v>887.80799999999999</v>
      </c>
      <c r="E834" s="435">
        <v>1.5</v>
      </c>
      <c r="F834" s="215">
        <v>0</v>
      </c>
      <c r="G834" s="215">
        <v>147153</v>
      </c>
    </row>
    <row r="835" spans="1:7">
      <c r="A835" s="926" t="s">
        <v>569</v>
      </c>
      <c r="B835" s="423" t="s">
        <v>3216</v>
      </c>
      <c r="C835" s="435">
        <v>1.37</v>
      </c>
      <c r="D835" s="435">
        <v>420.62599999999998</v>
      </c>
      <c r="E835" s="435">
        <v>1.5</v>
      </c>
      <c r="F835" s="215">
        <v>0</v>
      </c>
      <c r="G835" s="215">
        <v>86544</v>
      </c>
    </row>
    <row r="836" spans="1:7">
      <c r="A836" s="926" t="s">
        <v>571</v>
      </c>
      <c r="B836" s="423" t="s">
        <v>3217</v>
      </c>
      <c r="C836" s="435">
        <v>1.37</v>
      </c>
      <c r="D836" s="435">
        <v>1641.232</v>
      </c>
      <c r="E836" s="435">
        <v>1.47</v>
      </c>
      <c r="F836" s="215">
        <v>0</v>
      </c>
      <c r="G836" s="215">
        <v>505725</v>
      </c>
    </row>
    <row r="837" spans="1:7">
      <c r="A837" s="926" t="s">
        <v>3181</v>
      </c>
      <c r="B837" s="423" t="s">
        <v>3596</v>
      </c>
      <c r="C837" s="435">
        <v>1.2989999999999999</v>
      </c>
      <c r="D837" s="435">
        <v>1713.0509999999999</v>
      </c>
      <c r="E837" s="435">
        <v>1.42</v>
      </c>
      <c r="F837" s="215">
        <v>0</v>
      </c>
      <c r="G837" s="215">
        <v>203679</v>
      </c>
    </row>
    <row r="838" spans="1:7">
      <c r="A838" s="926" t="s">
        <v>2071</v>
      </c>
      <c r="B838" s="423" t="s">
        <v>7687</v>
      </c>
      <c r="C838" s="435">
        <v>1.3582000000000001</v>
      </c>
      <c r="D838" s="435">
        <v>1977.3240000000001</v>
      </c>
      <c r="E838" s="435">
        <v>1.4864999999999999</v>
      </c>
      <c r="F838" s="215">
        <v>0</v>
      </c>
      <c r="G838" s="215">
        <v>122394</v>
      </c>
    </row>
    <row r="839" spans="1:7">
      <c r="A839" s="926" t="s">
        <v>3183</v>
      </c>
      <c r="B839" s="423" t="s">
        <v>3597</v>
      </c>
      <c r="C839" s="435">
        <v>1.37</v>
      </c>
      <c r="D839" s="435">
        <v>4055.1849999999999</v>
      </c>
      <c r="E839" s="435">
        <v>1.5</v>
      </c>
      <c r="F839" s="215">
        <v>0</v>
      </c>
      <c r="G839" s="215">
        <v>190307</v>
      </c>
    </row>
    <row r="840" spans="1:7">
      <c r="A840" s="926" t="s">
        <v>924</v>
      </c>
      <c r="B840" s="423" t="s">
        <v>3598</v>
      </c>
      <c r="C840" s="435">
        <v>1.37</v>
      </c>
      <c r="D840" s="435">
        <v>2066.94</v>
      </c>
      <c r="E840" s="435">
        <v>1.5</v>
      </c>
      <c r="F840" s="215">
        <v>0</v>
      </c>
      <c r="G840" s="215">
        <v>34078</v>
      </c>
    </row>
    <row r="841" spans="1:7">
      <c r="A841" s="926" t="s">
        <v>6165</v>
      </c>
      <c r="B841" s="423" t="s">
        <v>6069</v>
      </c>
      <c r="C841" s="435">
        <v>1.37</v>
      </c>
      <c r="D841" s="435">
        <v>1790.769</v>
      </c>
      <c r="E841" s="435">
        <v>1.5</v>
      </c>
      <c r="F841" s="215">
        <v>0</v>
      </c>
      <c r="G841" s="215">
        <v>141334</v>
      </c>
    </row>
    <row r="842" spans="1:7">
      <c r="A842" s="926" t="s">
        <v>6187</v>
      </c>
      <c r="B842" s="423" t="s">
        <v>3832</v>
      </c>
      <c r="C842" s="435">
        <v>1.37</v>
      </c>
      <c r="D842" s="435">
        <v>1088.1479999999999</v>
      </c>
      <c r="E842" s="435">
        <v>1.5</v>
      </c>
      <c r="F842" s="215">
        <v>0</v>
      </c>
      <c r="G842" s="215">
        <v>103327</v>
      </c>
    </row>
    <row r="843" spans="1:7">
      <c r="A843" s="926" t="s">
        <v>1837</v>
      </c>
      <c r="B843" s="423" t="s">
        <v>1468</v>
      </c>
      <c r="C843" s="435">
        <v>1.37</v>
      </c>
      <c r="D843" s="435">
        <v>2005.6030000000001</v>
      </c>
      <c r="E843" s="435">
        <v>1.5</v>
      </c>
      <c r="F843" s="215">
        <v>0</v>
      </c>
      <c r="G843" s="215">
        <v>138004</v>
      </c>
    </row>
    <row r="844" spans="1:7">
      <c r="A844" s="926" t="s">
        <v>3884</v>
      </c>
      <c r="B844" s="423" t="s">
        <v>5362</v>
      </c>
      <c r="C844" s="435">
        <v>1.37</v>
      </c>
      <c r="D844" s="435">
        <v>1312.076</v>
      </c>
      <c r="E844" s="435">
        <v>1.5</v>
      </c>
      <c r="F844" s="215">
        <v>0</v>
      </c>
      <c r="G844" s="215">
        <v>33874</v>
      </c>
    </row>
    <row r="845" spans="1:7">
      <c r="A845" s="926" t="s">
        <v>2390</v>
      </c>
      <c r="B845" s="423" t="s">
        <v>1455</v>
      </c>
      <c r="C845" s="435">
        <v>1.33</v>
      </c>
      <c r="D845" s="435">
        <v>706.89400000000001</v>
      </c>
      <c r="E845" s="435">
        <v>1.46</v>
      </c>
      <c r="F845" s="215">
        <v>0</v>
      </c>
      <c r="G845" s="215">
        <v>60884</v>
      </c>
    </row>
    <row r="846" spans="1:7">
      <c r="A846" s="926" t="s">
        <v>926</v>
      </c>
      <c r="B846" s="423" t="s">
        <v>3599</v>
      </c>
      <c r="C846" s="435">
        <v>1.37</v>
      </c>
      <c r="D846" s="435">
        <v>177.09399999999999</v>
      </c>
      <c r="E846" s="435">
        <v>1.5</v>
      </c>
      <c r="F846" s="215">
        <v>0</v>
      </c>
      <c r="G846" s="215">
        <v>52418</v>
      </c>
    </row>
    <row r="847" spans="1:7">
      <c r="A847" s="926" t="s">
        <v>928</v>
      </c>
      <c r="B847" s="423" t="s">
        <v>1840</v>
      </c>
      <c r="C847" s="435">
        <v>1.37</v>
      </c>
      <c r="D847" s="435">
        <v>127.789</v>
      </c>
      <c r="E847" s="435">
        <v>1.5</v>
      </c>
      <c r="F847" s="215">
        <v>0</v>
      </c>
      <c r="G847" s="215">
        <v>23789</v>
      </c>
    </row>
    <row r="848" spans="1:7">
      <c r="A848" s="926" t="s">
        <v>930</v>
      </c>
      <c r="B848" s="423" t="s">
        <v>1841</v>
      </c>
      <c r="C848" s="435">
        <v>1.37</v>
      </c>
      <c r="D848" s="435">
        <v>552.35599999999999</v>
      </c>
      <c r="E848" s="435">
        <v>1.5</v>
      </c>
      <c r="F848" s="215">
        <v>0</v>
      </c>
      <c r="G848" s="215">
        <v>86174</v>
      </c>
    </row>
    <row r="849" spans="1:7">
      <c r="A849" s="926" t="s">
        <v>932</v>
      </c>
      <c r="B849" s="423" t="s">
        <v>1842</v>
      </c>
      <c r="C849" s="435">
        <v>1.37</v>
      </c>
      <c r="D849" s="435">
        <v>163.714</v>
      </c>
      <c r="E849" s="435">
        <v>1.5</v>
      </c>
      <c r="F849" s="215">
        <v>0</v>
      </c>
      <c r="G849" s="215">
        <v>20611</v>
      </c>
    </row>
    <row r="850" spans="1:7">
      <c r="A850" s="926" t="s">
        <v>934</v>
      </c>
      <c r="B850" s="423" t="s">
        <v>0</v>
      </c>
      <c r="C850" s="435">
        <v>1.37</v>
      </c>
      <c r="D850" s="435">
        <v>2368.4929999999999</v>
      </c>
      <c r="E850" s="435">
        <v>1.5</v>
      </c>
      <c r="F850" s="215">
        <v>0</v>
      </c>
      <c r="G850" s="215">
        <v>168918</v>
      </c>
    </row>
    <row r="851" spans="1:7">
      <c r="A851" s="926" t="s">
        <v>936</v>
      </c>
      <c r="B851" s="423" t="s">
        <v>1</v>
      </c>
      <c r="C851" s="435">
        <v>1.37</v>
      </c>
      <c r="D851" s="435">
        <v>238.15799999999999</v>
      </c>
      <c r="E851" s="435">
        <v>1.5</v>
      </c>
      <c r="F851" s="215">
        <v>0</v>
      </c>
      <c r="G851" s="215">
        <v>19988</v>
      </c>
    </row>
    <row r="852" spans="1:7">
      <c r="A852" s="926" t="s">
        <v>5145</v>
      </c>
      <c r="B852" s="423" t="s">
        <v>2</v>
      </c>
      <c r="C852" s="435">
        <v>1.1765000000000001</v>
      </c>
      <c r="D852" s="435">
        <v>541.93499999999995</v>
      </c>
      <c r="E852" s="435">
        <v>1.2817000000000001</v>
      </c>
      <c r="F852" s="215">
        <v>0</v>
      </c>
      <c r="G852" s="215">
        <v>26270</v>
      </c>
    </row>
    <row r="853" spans="1:7">
      <c r="A853" s="926" t="s">
        <v>2950</v>
      </c>
      <c r="B853" s="423" t="s">
        <v>3</v>
      </c>
      <c r="C853" s="435">
        <v>1.3070999999999999</v>
      </c>
      <c r="D853" s="435">
        <v>71.691999999999993</v>
      </c>
      <c r="E853" s="435">
        <v>1.4291</v>
      </c>
      <c r="F853" s="215">
        <v>0</v>
      </c>
      <c r="G853" s="215">
        <v>9148</v>
      </c>
    </row>
    <row r="854" spans="1:7">
      <c r="A854" s="926" t="s">
        <v>2952</v>
      </c>
      <c r="B854" s="423" t="s">
        <v>4</v>
      </c>
      <c r="C854" s="435">
        <v>1.37</v>
      </c>
      <c r="D854" s="435">
        <v>2259.3969999999999</v>
      </c>
      <c r="E854" s="435">
        <v>1.5</v>
      </c>
      <c r="F854" s="215">
        <v>0</v>
      </c>
      <c r="G854" s="215">
        <v>272837</v>
      </c>
    </row>
    <row r="855" spans="1:7">
      <c r="A855" s="926" t="s">
        <v>2526</v>
      </c>
      <c r="B855" s="423" t="s">
        <v>5</v>
      </c>
      <c r="C855" s="435">
        <v>1.2813000000000001</v>
      </c>
      <c r="D855" s="435">
        <v>624.81100000000004</v>
      </c>
      <c r="E855" s="435">
        <v>1.4</v>
      </c>
      <c r="F855" s="215">
        <v>0</v>
      </c>
      <c r="G855" s="215">
        <v>108454</v>
      </c>
    </row>
    <row r="856" spans="1:7">
      <c r="A856" s="926" t="s">
        <v>3885</v>
      </c>
      <c r="B856" s="423" t="s">
        <v>1465</v>
      </c>
      <c r="C856" s="435">
        <v>1.2172000000000001</v>
      </c>
      <c r="D856" s="435">
        <v>705.93600000000004</v>
      </c>
      <c r="E856" s="435">
        <v>1.3277000000000001</v>
      </c>
      <c r="F856" s="215">
        <v>0</v>
      </c>
      <c r="G856" s="215">
        <v>118425</v>
      </c>
    </row>
    <row r="857" spans="1:7">
      <c r="A857" s="926" t="s">
        <v>2528</v>
      </c>
      <c r="B857" s="423" t="s">
        <v>6</v>
      </c>
      <c r="C857" s="435">
        <v>1.37</v>
      </c>
      <c r="D857" s="435">
        <v>386.404</v>
      </c>
      <c r="E857" s="435">
        <v>1.5</v>
      </c>
      <c r="F857" s="215">
        <v>0</v>
      </c>
      <c r="G857" s="215">
        <v>41632</v>
      </c>
    </row>
    <row r="858" spans="1:7">
      <c r="A858" s="926" t="s">
        <v>2530</v>
      </c>
      <c r="B858" s="423" t="s">
        <v>7</v>
      </c>
      <c r="C858" s="435">
        <v>1.37</v>
      </c>
      <c r="D858" s="435">
        <v>543.85500000000002</v>
      </c>
      <c r="E858" s="435">
        <v>1.5</v>
      </c>
      <c r="F858" s="215">
        <v>0</v>
      </c>
      <c r="G858" s="215">
        <v>71630</v>
      </c>
    </row>
    <row r="859" spans="1:7">
      <c r="A859" s="926" t="s">
        <v>2532</v>
      </c>
      <c r="B859" s="423" t="s">
        <v>8</v>
      </c>
      <c r="C859" s="435">
        <v>1.37</v>
      </c>
      <c r="D859" s="435">
        <v>60.725000000000001</v>
      </c>
      <c r="E859" s="435">
        <v>1.5</v>
      </c>
      <c r="F859" s="215">
        <v>0</v>
      </c>
      <c r="G859" s="215">
        <v>11305</v>
      </c>
    </row>
    <row r="860" spans="1:7">
      <c r="A860" s="926" t="s">
        <v>2316</v>
      </c>
      <c r="B860" s="423" t="s">
        <v>9</v>
      </c>
      <c r="C860" s="435">
        <v>1.2915000000000001</v>
      </c>
      <c r="D860" s="435">
        <v>121.715</v>
      </c>
      <c r="E860" s="435">
        <v>1.4114</v>
      </c>
      <c r="F860" s="215">
        <v>0</v>
      </c>
      <c r="G860" s="215">
        <v>23422</v>
      </c>
    </row>
    <row r="861" spans="1:7">
      <c r="A861" s="926" t="s">
        <v>5105</v>
      </c>
      <c r="B861" s="423" t="s">
        <v>10</v>
      </c>
      <c r="C861" s="435">
        <v>1.2990999999999999</v>
      </c>
      <c r="D861" s="435">
        <v>581.36599999999999</v>
      </c>
      <c r="E861" s="435">
        <v>1.42</v>
      </c>
      <c r="F861" s="215">
        <v>0</v>
      </c>
      <c r="G861" s="215">
        <v>66795</v>
      </c>
    </row>
    <row r="862" spans="1:7">
      <c r="A862" s="926" t="s">
        <v>5036</v>
      </c>
      <c r="B862" s="423" t="s">
        <v>7689</v>
      </c>
      <c r="C862" s="435">
        <v>1.37</v>
      </c>
      <c r="D862" s="435">
        <v>839.77200000000005</v>
      </c>
      <c r="E862" s="435">
        <v>1.5</v>
      </c>
      <c r="F862" s="215">
        <v>0</v>
      </c>
      <c r="G862" s="215">
        <v>109064</v>
      </c>
    </row>
    <row r="863" spans="1:7">
      <c r="A863" s="926" t="s">
        <v>2430</v>
      </c>
      <c r="B863" s="423" t="s">
        <v>11</v>
      </c>
      <c r="C863" s="435">
        <v>1.3069999999999999</v>
      </c>
      <c r="D863" s="435">
        <v>1555.577</v>
      </c>
      <c r="E863" s="435">
        <v>1.43</v>
      </c>
      <c r="F863" s="215">
        <v>0</v>
      </c>
      <c r="G863" s="215">
        <v>155521</v>
      </c>
    </row>
    <row r="864" spans="1:7">
      <c r="A864" s="926" t="s">
        <v>2432</v>
      </c>
      <c r="B864" s="423" t="s">
        <v>12</v>
      </c>
      <c r="C864" s="435">
        <v>1.37</v>
      </c>
      <c r="D864" s="435">
        <v>3171.61</v>
      </c>
      <c r="E864" s="435">
        <v>1.5</v>
      </c>
      <c r="F864" s="215">
        <v>0</v>
      </c>
      <c r="G864" s="215">
        <v>223542</v>
      </c>
    </row>
    <row r="865" spans="1:7">
      <c r="A865" s="926" t="s">
        <v>5339</v>
      </c>
      <c r="B865" s="423" t="s">
        <v>13</v>
      </c>
      <c r="C865" s="435">
        <v>1.1879999999999999</v>
      </c>
      <c r="D865" s="435">
        <v>961.33600000000001</v>
      </c>
      <c r="E865" s="435">
        <v>1.2949999999999999</v>
      </c>
      <c r="F865" s="215">
        <v>0</v>
      </c>
      <c r="G865" s="215">
        <v>84868</v>
      </c>
    </row>
    <row r="866" spans="1:7">
      <c r="A866" s="926" t="s">
        <v>5341</v>
      </c>
      <c r="B866" s="423" t="s">
        <v>14</v>
      </c>
      <c r="C866" s="435">
        <v>1.3029999999999999</v>
      </c>
      <c r="D866" s="435">
        <v>16639.325000000001</v>
      </c>
      <c r="E866" s="435">
        <v>1.4245000000000001</v>
      </c>
      <c r="F866" s="215">
        <v>0</v>
      </c>
      <c r="G866" s="215">
        <v>989219</v>
      </c>
    </row>
    <row r="867" spans="1:7">
      <c r="A867" s="926" t="s">
        <v>858</v>
      </c>
      <c r="B867" s="423" t="s">
        <v>4070</v>
      </c>
      <c r="C867" s="435">
        <v>1.37</v>
      </c>
      <c r="D867" s="435">
        <v>4068.518</v>
      </c>
      <c r="E867" s="435">
        <v>1.5</v>
      </c>
      <c r="F867" s="215">
        <v>0</v>
      </c>
      <c r="G867" s="215">
        <v>245341</v>
      </c>
    </row>
    <row r="868" spans="1:7">
      <c r="A868" s="926" t="s">
        <v>5343</v>
      </c>
      <c r="B868" s="423" t="s">
        <v>6106</v>
      </c>
      <c r="C868" s="435">
        <v>1.37</v>
      </c>
      <c r="D868" s="435">
        <v>2866.681</v>
      </c>
      <c r="E868" s="435">
        <v>1.5</v>
      </c>
      <c r="F868" s="215">
        <v>0</v>
      </c>
      <c r="G868" s="215">
        <v>425248</v>
      </c>
    </row>
    <row r="869" spans="1:7">
      <c r="A869" s="926" t="s">
        <v>5344</v>
      </c>
      <c r="B869" s="423" t="s">
        <v>15</v>
      </c>
      <c r="C869" s="435">
        <v>1.37</v>
      </c>
      <c r="D869" s="435">
        <v>900.37300000000005</v>
      </c>
      <c r="E869" s="435">
        <v>1.5</v>
      </c>
      <c r="F869" s="215">
        <v>0</v>
      </c>
      <c r="G869" s="215">
        <v>113303</v>
      </c>
    </row>
    <row r="870" spans="1:7">
      <c r="A870" s="926" t="s">
        <v>5346</v>
      </c>
      <c r="B870" s="423" t="s">
        <v>16</v>
      </c>
      <c r="C870" s="435">
        <v>1.0578000000000001</v>
      </c>
      <c r="D870" s="435">
        <v>1593.2329999999999</v>
      </c>
      <c r="E870" s="435">
        <v>1.1477999999999999</v>
      </c>
      <c r="F870" s="215">
        <v>0</v>
      </c>
      <c r="G870" s="215">
        <v>150719</v>
      </c>
    </row>
    <row r="871" spans="1:7">
      <c r="A871" s="926" t="s">
        <v>2770</v>
      </c>
      <c r="B871" s="423" t="s">
        <v>360</v>
      </c>
      <c r="C871" s="435">
        <v>1.37</v>
      </c>
      <c r="D871" s="435">
        <v>9127.4269999999997</v>
      </c>
      <c r="E871" s="435">
        <v>1.5</v>
      </c>
      <c r="F871" s="215">
        <v>238628</v>
      </c>
      <c r="G871" s="215">
        <v>906652</v>
      </c>
    </row>
    <row r="872" spans="1:7">
      <c r="A872" s="926" t="s">
        <v>5348</v>
      </c>
      <c r="B872" s="423" t="s">
        <v>1718</v>
      </c>
      <c r="C872" s="435">
        <v>1.37</v>
      </c>
      <c r="D872" s="435">
        <v>237.386</v>
      </c>
      <c r="E872" s="435">
        <v>1.5</v>
      </c>
      <c r="F872" s="215">
        <v>0</v>
      </c>
      <c r="G872" s="215">
        <v>0</v>
      </c>
    </row>
    <row r="873" spans="1:7">
      <c r="A873" s="926" t="s">
        <v>3886</v>
      </c>
      <c r="B873" s="423" t="s">
        <v>368</v>
      </c>
      <c r="C873" s="435">
        <v>1.37</v>
      </c>
      <c r="D873" s="435">
        <v>5911.1009999999997</v>
      </c>
      <c r="E873" s="435">
        <v>1.5</v>
      </c>
      <c r="F873" s="215">
        <v>0</v>
      </c>
      <c r="G873" s="215">
        <v>438790</v>
      </c>
    </row>
    <row r="874" spans="1:7">
      <c r="A874" s="926" t="s">
        <v>5350</v>
      </c>
      <c r="B874" s="423" t="s">
        <v>1719</v>
      </c>
      <c r="C874" s="435">
        <v>1.37</v>
      </c>
      <c r="D874" s="435">
        <v>1510.5809999999999</v>
      </c>
      <c r="E874" s="435">
        <v>1.5</v>
      </c>
      <c r="F874" s="215">
        <v>0</v>
      </c>
      <c r="G874" s="215">
        <v>126786</v>
      </c>
    </row>
    <row r="875" spans="1:7">
      <c r="A875" s="926" t="s">
        <v>3139</v>
      </c>
      <c r="B875" s="423" t="s">
        <v>1720</v>
      </c>
      <c r="C875" s="435">
        <v>1.37</v>
      </c>
      <c r="D875" s="435">
        <v>240.673</v>
      </c>
      <c r="E875" s="435">
        <v>1.5</v>
      </c>
      <c r="F875" s="215">
        <v>0</v>
      </c>
      <c r="G875" s="215">
        <v>0</v>
      </c>
    </row>
    <row r="876" spans="1:7">
      <c r="A876" s="926" t="s">
        <v>1530</v>
      </c>
      <c r="B876" s="423" t="s">
        <v>1721</v>
      </c>
      <c r="C876" s="435">
        <v>1.3167</v>
      </c>
      <c r="D876" s="435">
        <v>216.55799999999999</v>
      </c>
      <c r="E876" s="435">
        <v>1.4398</v>
      </c>
      <c r="F876" s="215">
        <v>0</v>
      </c>
      <c r="G876" s="215">
        <v>41202</v>
      </c>
    </row>
    <row r="877" spans="1:7">
      <c r="A877" s="926" t="s">
        <v>1532</v>
      </c>
      <c r="B877" s="423" t="s">
        <v>1722</v>
      </c>
      <c r="C877" s="435">
        <v>1.37</v>
      </c>
      <c r="D877" s="435">
        <v>934.66800000000001</v>
      </c>
      <c r="E877" s="435">
        <v>1.5</v>
      </c>
      <c r="F877" s="215">
        <v>0</v>
      </c>
      <c r="G877" s="215">
        <v>77463</v>
      </c>
    </row>
    <row r="878" spans="1:7">
      <c r="A878" s="926" t="s">
        <v>624</v>
      </c>
      <c r="B878" s="423" t="s">
        <v>1723</v>
      </c>
      <c r="C878" s="435">
        <v>1.2589999999999999</v>
      </c>
      <c r="D878" s="435">
        <v>215.12700000000001</v>
      </c>
      <c r="E878" s="435">
        <v>1.3754999999999999</v>
      </c>
      <c r="F878" s="215">
        <v>0</v>
      </c>
      <c r="G878" s="215">
        <v>44832</v>
      </c>
    </row>
    <row r="879" spans="1:7">
      <c r="A879" s="926" t="s">
        <v>626</v>
      </c>
      <c r="B879" s="423" t="s">
        <v>1724</v>
      </c>
      <c r="C879" s="435">
        <v>1.325</v>
      </c>
      <c r="D879" s="435">
        <v>1024.5820000000001</v>
      </c>
      <c r="E879" s="435">
        <v>1.45</v>
      </c>
      <c r="F879" s="215">
        <v>0</v>
      </c>
      <c r="G879" s="215">
        <v>47388</v>
      </c>
    </row>
    <row r="880" spans="1:7">
      <c r="A880" s="926" t="s">
        <v>628</v>
      </c>
      <c r="B880" s="423" t="s">
        <v>1725</v>
      </c>
      <c r="C880" s="435">
        <v>1.37</v>
      </c>
      <c r="D880" s="435">
        <v>225.779</v>
      </c>
      <c r="E880" s="435">
        <v>1.5</v>
      </c>
      <c r="F880" s="215">
        <v>0</v>
      </c>
      <c r="G880" s="215">
        <v>26655</v>
      </c>
    </row>
    <row r="881" spans="1:7">
      <c r="A881" s="926" t="s">
        <v>269</v>
      </c>
      <c r="B881" s="423" t="s">
        <v>7688</v>
      </c>
      <c r="C881" s="435">
        <v>1.37</v>
      </c>
      <c r="D881" s="435">
        <v>58160.618000000002</v>
      </c>
      <c r="E881" s="435">
        <v>1.5</v>
      </c>
      <c r="F881" s="215">
        <v>14733</v>
      </c>
      <c r="G881" s="215">
        <v>2396766</v>
      </c>
    </row>
    <row r="882" spans="1:7">
      <c r="A882" s="926" t="s">
        <v>951</v>
      </c>
      <c r="B882" s="423" t="s">
        <v>7656</v>
      </c>
      <c r="C882" s="435">
        <v>1.339</v>
      </c>
      <c r="D882" s="435">
        <v>20878.427</v>
      </c>
      <c r="E882" s="435">
        <v>1.4650000000000001</v>
      </c>
      <c r="F882" s="215">
        <v>119900</v>
      </c>
      <c r="G882" s="215">
        <v>624757</v>
      </c>
    </row>
    <row r="883" spans="1:7">
      <c r="A883" s="926" t="s">
        <v>409</v>
      </c>
      <c r="B883" s="423" t="s">
        <v>1726</v>
      </c>
      <c r="C883" s="435">
        <v>1.37</v>
      </c>
      <c r="D883" s="435">
        <v>3967.3919999999998</v>
      </c>
      <c r="E883" s="435">
        <v>1.5</v>
      </c>
      <c r="F883" s="215">
        <v>160183</v>
      </c>
      <c r="G883" s="215">
        <v>192455</v>
      </c>
    </row>
    <row r="884" spans="1:7">
      <c r="A884" s="926" t="s">
        <v>3996</v>
      </c>
      <c r="B884" s="423" t="s">
        <v>1727</v>
      </c>
      <c r="C884" s="435">
        <v>1.37</v>
      </c>
      <c r="D884" s="435">
        <v>73377.686000000002</v>
      </c>
      <c r="E884" s="435">
        <v>1.5</v>
      </c>
      <c r="F884" s="215">
        <v>0</v>
      </c>
      <c r="G884" s="215">
        <v>5072434</v>
      </c>
    </row>
    <row r="885" spans="1:7">
      <c r="A885" s="926" t="s">
        <v>3998</v>
      </c>
      <c r="B885" s="423" t="s">
        <v>1728</v>
      </c>
      <c r="C885" s="435">
        <v>1.3243</v>
      </c>
      <c r="D885" s="435">
        <v>13272.945</v>
      </c>
      <c r="E885" s="435">
        <v>1.4710000000000001</v>
      </c>
      <c r="F885" s="215">
        <v>0</v>
      </c>
      <c r="G885" s="215">
        <v>361221</v>
      </c>
    </row>
    <row r="886" spans="1:7">
      <c r="A886" s="926" t="s">
        <v>6030</v>
      </c>
      <c r="B886" s="423" t="s">
        <v>1915</v>
      </c>
      <c r="C886" s="435">
        <v>1.3110999999999999</v>
      </c>
      <c r="D886" s="435">
        <v>23790.281999999999</v>
      </c>
      <c r="E886" s="435">
        <v>1.4336</v>
      </c>
      <c r="F886" s="215">
        <v>182721</v>
      </c>
      <c r="G886" s="215">
        <v>854322</v>
      </c>
    </row>
    <row r="887" spans="1:7">
      <c r="A887" s="926" t="s">
        <v>3002</v>
      </c>
      <c r="B887" s="423" t="s">
        <v>6062</v>
      </c>
      <c r="C887" s="435">
        <v>1.2875000000000001</v>
      </c>
      <c r="D887" s="435">
        <v>24356.260999999999</v>
      </c>
      <c r="E887" s="435">
        <v>1.407</v>
      </c>
      <c r="F887" s="215">
        <v>658975</v>
      </c>
      <c r="G887" s="215">
        <v>1854709</v>
      </c>
    </row>
    <row r="888" spans="1:7">
      <c r="A888" s="926" t="s">
        <v>2986</v>
      </c>
      <c r="B888" s="423" t="s">
        <v>186</v>
      </c>
      <c r="C888" s="435">
        <v>1.37</v>
      </c>
      <c r="D888" s="435">
        <v>2406.4079999999999</v>
      </c>
      <c r="E888" s="435">
        <v>1.5</v>
      </c>
      <c r="F888" s="215">
        <v>0</v>
      </c>
      <c r="G888" s="215">
        <v>140230</v>
      </c>
    </row>
    <row r="889" spans="1:7">
      <c r="A889" s="926" t="s">
        <v>246</v>
      </c>
      <c r="B889" s="423" t="s">
        <v>1668</v>
      </c>
      <c r="C889" s="435">
        <v>1.37</v>
      </c>
      <c r="D889" s="435">
        <v>12765.285</v>
      </c>
      <c r="E889" s="435">
        <v>1.5</v>
      </c>
      <c r="F889" s="215">
        <v>0</v>
      </c>
      <c r="G889" s="215">
        <v>682134</v>
      </c>
    </row>
    <row r="890" spans="1:7">
      <c r="A890" s="926" t="s">
        <v>6032</v>
      </c>
      <c r="B890" s="423" t="s">
        <v>1918</v>
      </c>
      <c r="C890" s="435">
        <v>1.3701000000000001</v>
      </c>
      <c r="D890" s="435">
        <v>2700.7089999999998</v>
      </c>
      <c r="E890" s="435">
        <v>1.5</v>
      </c>
      <c r="F890" s="215">
        <v>0</v>
      </c>
      <c r="G890" s="215">
        <v>166866</v>
      </c>
    </row>
    <row r="891" spans="1:7">
      <c r="A891" s="926" t="s">
        <v>946</v>
      </c>
      <c r="B891" s="423" t="s">
        <v>7693</v>
      </c>
      <c r="C891" s="435">
        <v>1.37</v>
      </c>
      <c r="D891" s="435">
        <v>5468.95</v>
      </c>
      <c r="E891" s="435">
        <v>1.5</v>
      </c>
      <c r="F891" s="215">
        <v>0</v>
      </c>
      <c r="G891" s="215">
        <v>397161</v>
      </c>
    </row>
    <row r="892" spans="1:7">
      <c r="A892" s="926" t="s">
        <v>1875</v>
      </c>
      <c r="B892" s="423" t="s">
        <v>3858</v>
      </c>
      <c r="C892" s="435">
        <v>1.3441000000000001</v>
      </c>
      <c r="D892" s="435">
        <v>18731.464</v>
      </c>
      <c r="E892" s="435">
        <v>1.4706999999999999</v>
      </c>
      <c r="F892" s="215">
        <v>0</v>
      </c>
      <c r="G892" s="215">
        <v>516657</v>
      </c>
    </row>
    <row r="893" spans="1:7">
      <c r="A893" s="926" t="s">
        <v>6682</v>
      </c>
      <c r="B893" s="423" t="s">
        <v>6103</v>
      </c>
      <c r="C893" s="435">
        <v>1.37</v>
      </c>
      <c r="D893" s="435">
        <v>3007.239</v>
      </c>
      <c r="E893" s="435">
        <v>1.5</v>
      </c>
      <c r="F893" s="215">
        <v>0</v>
      </c>
      <c r="G893" s="215">
        <v>44434</v>
      </c>
    </row>
    <row r="894" spans="1:7">
      <c r="A894" s="926" t="s">
        <v>4002</v>
      </c>
      <c r="B894" s="423" t="s">
        <v>1729</v>
      </c>
      <c r="C894" s="435">
        <v>1.1850000000000001</v>
      </c>
      <c r="D894" s="435">
        <v>10280.324000000001</v>
      </c>
      <c r="E894" s="435">
        <v>1.292</v>
      </c>
      <c r="F894" s="215">
        <v>370446</v>
      </c>
      <c r="G894" s="215">
        <v>685820</v>
      </c>
    </row>
    <row r="895" spans="1:7">
      <c r="A895" s="926" t="s">
        <v>6681</v>
      </c>
      <c r="B895" s="423" t="s">
        <v>6102</v>
      </c>
      <c r="C895" s="435">
        <v>1.37</v>
      </c>
      <c r="D895" s="435">
        <v>7243.652</v>
      </c>
      <c r="E895" s="435">
        <v>1.5</v>
      </c>
      <c r="F895" s="215">
        <v>0</v>
      </c>
      <c r="G895" s="215">
        <v>0</v>
      </c>
    </row>
    <row r="896" spans="1:7">
      <c r="A896" s="926" t="s">
        <v>857</v>
      </c>
      <c r="B896" s="423" t="s">
        <v>4069</v>
      </c>
      <c r="C896" s="435">
        <v>1.37</v>
      </c>
      <c r="D896" s="435">
        <v>4758.9080000000004</v>
      </c>
      <c r="E896" s="435">
        <v>1.5</v>
      </c>
      <c r="F896" s="215">
        <v>11488</v>
      </c>
      <c r="G896" s="215">
        <v>211690</v>
      </c>
    </row>
    <row r="897" spans="1:7">
      <c r="A897" s="926" t="s">
        <v>4006</v>
      </c>
      <c r="B897" s="423" t="s">
        <v>1730</v>
      </c>
      <c r="C897" s="435">
        <v>1.37</v>
      </c>
      <c r="D897" s="435">
        <v>15327.460999999999</v>
      </c>
      <c r="E897" s="435">
        <v>1.5</v>
      </c>
      <c r="F897" s="215">
        <v>0</v>
      </c>
      <c r="G897" s="215">
        <v>593636</v>
      </c>
    </row>
    <row r="898" spans="1:7">
      <c r="A898" s="926" t="s">
        <v>4008</v>
      </c>
      <c r="B898" s="423" t="s">
        <v>1731</v>
      </c>
      <c r="C898" s="435">
        <v>1.3204</v>
      </c>
      <c r="D898" s="435">
        <v>1215.9570000000001</v>
      </c>
      <c r="E898" s="435">
        <v>1.4490000000000001</v>
      </c>
      <c r="F898" s="215">
        <v>0</v>
      </c>
      <c r="G898" s="215">
        <v>121211</v>
      </c>
    </row>
    <row r="899" spans="1:7">
      <c r="A899" s="926" t="s">
        <v>4010</v>
      </c>
      <c r="B899" s="423" t="s">
        <v>1732</v>
      </c>
      <c r="C899" s="435">
        <v>1.37</v>
      </c>
      <c r="D899" s="435">
        <v>146.09100000000001</v>
      </c>
      <c r="E899" s="435">
        <v>1.5</v>
      </c>
      <c r="F899" s="215">
        <v>19775</v>
      </c>
      <c r="G899" s="215">
        <v>0</v>
      </c>
    </row>
    <row r="900" spans="1:7">
      <c r="A900" s="926" t="s">
        <v>4012</v>
      </c>
      <c r="B900" s="423" t="s">
        <v>1733</v>
      </c>
      <c r="C900" s="435">
        <v>1.3168</v>
      </c>
      <c r="D900" s="435">
        <v>943.71400000000006</v>
      </c>
      <c r="E900" s="435">
        <v>1.44</v>
      </c>
      <c r="F900" s="215">
        <v>0</v>
      </c>
      <c r="G900" s="215">
        <v>126036</v>
      </c>
    </row>
    <row r="901" spans="1:7">
      <c r="A901" s="926" t="s">
        <v>4014</v>
      </c>
      <c r="B901" s="423" t="s">
        <v>2008</v>
      </c>
      <c r="C901" s="435">
        <v>1.1349</v>
      </c>
      <c r="D901" s="435">
        <v>2851.58</v>
      </c>
      <c r="E901" s="435">
        <v>1.2349000000000001</v>
      </c>
      <c r="F901" s="215">
        <v>0</v>
      </c>
      <c r="G901" s="215">
        <v>233150</v>
      </c>
    </row>
    <row r="902" spans="1:7">
      <c r="A902" s="926" t="s">
        <v>4015</v>
      </c>
      <c r="B902" s="423" t="s">
        <v>1734</v>
      </c>
      <c r="C902" s="435">
        <v>1.2990999999999999</v>
      </c>
      <c r="D902" s="435">
        <v>134.34100000000001</v>
      </c>
      <c r="E902" s="435">
        <v>1.42</v>
      </c>
      <c r="F902" s="215">
        <v>0</v>
      </c>
      <c r="G902" s="215">
        <v>38914</v>
      </c>
    </row>
    <row r="903" spans="1:7">
      <c r="A903" s="926" t="s">
        <v>6120</v>
      </c>
      <c r="B903" s="423" t="s">
        <v>1735</v>
      </c>
      <c r="C903" s="435">
        <v>1.37</v>
      </c>
      <c r="D903" s="435">
        <v>1713.972</v>
      </c>
      <c r="E903" s="435">
        <v>1.5</v>
      </c>
      <c r="F903" s="215">
        <v>0</v>
      </c>
      <c r="G903" s="215">
        <v>104447</v>
      </c>
    </row>
    <row r="904" spans="1:7">
      <c r="A904" s="926" t="s">
        <v>6679</v>
      </c>
      <c r="B904" s="423" t="s">
        <v>6078</v>
      </c>
      <c r="C904" s="435">
        <v>1.37</v>
      </c>
      <c r="D904" s="435">
        <v>294.947</v>
      </c>
      <c r="E904" s="435">
        <v>1.5</v>
      </c>
      <c r="F904" s="215">
        <v>0</v>
      </c>
      <c r="G904" s="215">
        <v>21175</v>
      </c>
    </row>
    <row r="905" spans="1:7">
      <c r="A905" s="926" t="s">
        <v>6122</v>
      </c>
      <c r="B905" s="423" t="s">
        <v>1736</v>
      </c>
      <c r="C905" s="435">
        <v>1.37</v>
      </c>
      <c r="D905" s="435">
        <v>224.43899999999999</v>
      </c>
      <c r="E905" s="435">
        <v>1.5</v>
      </c>
      <c r="F905" s="215">
        <v>0</v>
      </c>
      <c r="G905" s="215">
        <v>27815</v>
      </c>
    </row>
    <row r="906" spans="1:7">
      <c r="A906" s="926" t="s">
        <v>1801</v>
      </c>
      <c r="B906" s="423" t="s">
        <v>1737</v>
      </c>
      <c r="C906" s="435">
        <v>1.37</v>
      </c>
      <c r="D906" s="435">
        <v>201.91200000000001</v>
      </c>
      <c r="E906" s="435">
        <v>1.5</v>
      </c>
      <c r="F906" s="215">
        <v>0</v>
      </c>
      <c r="G906" s="215">
        <v>39461</v>
      </c>
    </row>
    <row r="907" spans="1:7">
      <c r="A907" s="926" t="s">
        <v>1803</v>
      </c>
      <c r="B907" s="423" t="s">
        <v>1738</v>
      </c>
      <c r="C907" s="435">
        <v>1.37</v>
      </c>
      <c r="D907" s="435">
        <v>104.304</v>
      </c>
      <c r="E907" s="435">
        <v>1.5</v>
      </c>
      <c r="F907" s="215">
        <v>0</v>
      </c>
      <c r="G907" s="215">
        <v>15447</v>
      </c>
    </row>
    <row r="908" spans="1:7">
      <c r="A908" s="926" t="s">
        <v>1805</v>
      </c>
      <c r="B908" s="423" t="s">
        <v>1739</v>
      </c>
      <c r="C908" s="435">
        <v>1.37</v>
      </c>
      <c r="D908" s="435">
        <v>4750.585</v>
      </c>
      <c r="E908" s="435">
        <v>1.5</v>
      </c>
      <c r="F908" s="215">
        <v>0</v>
      </c>
      <c r="G908" s="215">
        <v>508087</v>
      </c>
    </row>
    <row r="909" spans="1:7">
      <c r="A909" s="926" t="s">
        <v>1807</v>
      </c>
      <c r="B909" s="423" t="s">
        <v>1740</v>
      </c>
      <c r="C909" s="435">
        <v>1.37</v>
      </c>
      <c r="D909" s="435">
        <v>131.875</v>
      </c>
      <c r="E909" s="435">
        <v>1.5</v>
      </c>
      <c r="F909" s="215">
        <v>0</v>
      </c>
      <c r="G909" s="215">
        <v>9841</v>
      </c>
    </row>
    <row r="910" spans="1:7">
      <c r="A910" s="926" t="s">
        <v>5037</v>
      </c>
      <c r="B910" s="423" t="s">
        <v>6106</v>
      </c>
      <c r="C910" s="435">
        <v>1.3049999999999999</v>
      </c>
      <c r="D910" s="435">
        <v>810.05799999999999</v>
      </c>
      <c r="E910" s="435">
        <v>1.427</v>
      </c>
      <c r="F910" s="215">
        <v>0</v>
      </c>
      <c r="G910" s="215">
        <v>50223</v>
      </c>
    </row>
    <row r="911" spans="1:7">
      <c r="A911" s="926" t="s">
        <v>1809</v>
      </c>
      <c r="B911" s="423" t="s">
        <v>1741</v>
      </c>
      <c r="C911" s="435">
        <v>1.28</v>
      </c>
      <c r="D911" s="435">
        <v>417.37</v>
      </c>
      <c r="E911" s="435">
        <v>1.4</v>
      </c>
      <c r="F911" s="215">
        <v>0</v>
      </c>
      <c r="G911" s="215">
        <v>23012</v>
      </c>
    </row>
    <row r="912" spans="1:7">
      <c r="A912" s="926" t="s">
        <v>1697</v>
      </c>
      <c r="B912" s="423" t="s">
        <v>1742</v>
      </c>
      <c r="C912" s="435">
        <v>1.37</v>
      </c>
      <c r="D912" s="435">
        <v>370.084</v>
      </c>
      <c r="E912" s="435">
        <v>1.5</v>
      </c>
      <c r="F912" s="215">
        <v>0</v>
      </c>
      <c r="G912" s="215">
        <v>35783</v>
      </c>
    </row>
    <row r="913" spans="1:7">
      <c r="A913" s="926" t="s">
        <v>2385</v>
      </c>
      <c r="B913" s="423" t="s">
        <v>378</v>
      </c>
      <c r="C913" s="435">
        <v>1.37</v>
      </c>
      <c r="D913" s="435">
        <v>13602.25</v>
      </c>
      <c r="E913" s="435">
        <v>1.5</v>
      </c>
      <c r="F913" s="215">
        <v>2108</v>
      </c>
      <c r="G913" s="215">
        <v>711950</v>
      </c>
    </row>
    <row r="914" spans="1:7">
      <c r="A914" s="926" t="s">
        <v>1699</v>
      </c>
      <c r="B914" s="423" t="s">
        <v>1743</v>
      </c>
      <c r="C914" s="435">
        <v>1.37</v>
      </c>
      <c r="D914" s="435">
        <v>312.79399999999998</v>
      </c>
      <c r="E914" s="435">
        <v>1.5</v>
      </c>
      <c r="F914" s="215">
        <v>0</v>
      </c>
      <c r="G914" s="215">
        <v>34533</v>
      </c>
    </row>
    <row r="915" spans="1:7">
      <c r="A915" s="926" t="s">
        <v>3554</v>
      </c>
      <c r="B915" s="423" t="s">
        <v>4061</v>
      </c>
      <c r="C915" s="435">
        <v>1.37</v>
      </c>
      <c r="D915" s="435">
        <v>926.48299999999995</v>
      </c>
      <c r="E915" s="435">
        <v>1.5</v>
      </c>
      <c r="F915" s="215">
        <v>0</v>
      </c>
      <c r="G915" s="215">
        <v>417182</v>
      </c>
    </row>
    <row r="916" spans="1:7">
      <c r="A916" s="926" t="s">
        <v>1857</v>
      </c>
      <c r="B916" s="423" t="s">
        <v>3913</v>
      </c>
      <c r="C916" s="435">
        <v>1.37</v>
      </c>
      <c r="D916" s="435">
        <v>1136.3720000000001</v>
      </c>
      <c r="E916" s="435">
        <v>1.5</v>
      </c>
      <c r="F916" s="215">
        <v>0</v>
      </c>
      <c r="G916" s="215">
        <v>141789</v>
      </c>
    </row>
    <row r="917" spans="1:7">
      <c r="A917" s="926" t="s">
        <v>7288</v>
      </c>
      <c r="B917" s="423" t="s">
        <v>7132</v>
      </c>
      <c r="C917" s="435">
        <v>1.37</v>
      </c>
      <c r="D917" s="435">
        <v>274.322</v>
      </c>
      <c r="E917" s="435">
        <v>1.5</v>
      </c>
      <c r="F917" s="215">
        <v>0</v>
      </c>
      <c r="G917" s="215">
        <v>34785</v>
      </c>
    </row>
    <row r="918" spans="1:7">
      <c r="A918" s="926" t="s">
        <v>2791</v>
      </c>
      <c r="B918" s="423" t="s">
        <v>1744</v>
      </c>
      <c r="C918" s="435">
        <v>1.37</v>
      </c>
      <c r="D918" s="435">
        <v>73507.316999999995</v>
      </c>
      <c r="E918" s="435">
        <v>1.5</v>
      </c>
      <c r="F918" s="215">
        <v>0</v>
      </c>
      <c r="G918" s="215">
        <v>4087159</v>
      </c>
    </row>
    <row r="919" spans="1:7">
      <c r="A919" s="926" t="s">
        <v>5124</v>
      </c>
      <c r="B919" s="423" t="s">
        <v>339</v>
      </c>
      <c r="C919" s="435">
        <v>1.36</v>
      </c>
      <c r="D919" s="435">
        <v>17617.584999999999</v>
      </c>
      <c r="E919" s="435">
        <v>1.5</v>
      </c>
      <c r="F919" s="215">
        <v>116171</v>
      </c>
      <c r="G919" s="215">
        <v>884701</v>
      </c>
    </row>
    <row r="920" spans="1:7">
      <c r="A920" s="926" t="s">
        <v>2793</v>
      </c>
      <c r="B920" s="423" t="s">
        <v>1745</v>
      </c>
      <c r="C920" s="435">
        <v>1.343</v>
      </c>
      <c r="D920" s="435">
        <v>4060.3939999999998</v>
      </c>
      <c r="E920" s="435">
        <v>1.47</v>
      </c>
      <c r="F920" s="215">
        <v>0</v>
      </c>
      <c r="G920" s="215">
        <v>576771</v>
      </c>
    </row>
    <row r="921" spans="1:7">
      <c r="A921" s="926" t="s">
        <v>2795</v>
      </c>
      <c r="B921" s="423" t="s">
        <v>1746</v>
      </c>
      <c r="C921" s="435">
        <v>1.37</v>
      </c>
      <c r="D921" s="435">
        <v>6907.2619999999997</v>
      </c>
      <c r="E921" s="435">
        <v>1.5</v>
      </c>
      <c r="F921" s="215">
        <v>0</v>
      </c>
      <c r="G921" s="215">
        <v>304661</v>
      </c>
    </row>
    <row r="922" spans="1:7">
      <c r="A922" s="926" t="s">
        <v>2052</v>
      </c>
      <c r="B922" s="423" t="s">
        <v>997</v>
      </c>
      <c r="C922" s="435">
        <v>1.37</v>
      </c>
      <c r="D922" s="435">
        <v>7574.5929999999998</v>
      </c>
      <c r="E922" s="435">
        <v>1.5</v>
      </c>
      <c r="F922" s="215">
        <v>0</v>
      </c>
      <c r="G922" s="215">
        <v>965392</v>
      </c>
    </row>
    <row r="923" spans="1:7">
      <c r="A923" s="926" t="s">
        <v>2797</v>
      </c>
      <c r="B923" s="423" t="s">
        <v>1747</v>
      </c>
      <c r="C923" s="435">
        <v>1.37</v>
      </c>
      <c r="D923" s="435">
        <v>1128.317</v>
      </c>
      <c r="E923" s="435">
        <v>1.5</v>
      </c>
      <c r="F923" s="215">
        <v>0</v>
      </c>
      <c r="G923" s="215">
        <v>58382</v>
      </c>
    </row>
    <row r="924" spans="1:7">
      <c r="A924" s="926" t="s">
        <v>2799</v>
      </c>
      <c r="B924" s="423" t="s">
        <v>1748</v>
      </c>
      <c r="C924" s="435">
        <v>1.37</v>
      </c>
      <c r="D924" s="435">
        <v>5064.3190000000004</v>
      </c>
      <c r="E924" s="435">
        <v>1.5</v>
      </c>
      <c r="F924" s="215">
        <v>158779</v>
      </c>
      <c r="G924" s="215">
        <v>396073</v>
      </c>
    </row>
    <row r="925" spans="1:7">
      <c r="A925" s="926" t="s">
        <v>2801</v>
      </c>
      <c r="B925" s="423" t="s">
        <v>1749</v>
      </c>
      <c r="C925" s="435">
        <v>1.3346</v>
      </c>
      <c r="D925" s="435">
        <v>635.16600000000005</v>
      </c>
      <c r="E925" s="435">
        <v>1.46</v>
      </c>
      <c r="F925" s="215">
        <v>0</v>
      </c>
      <c r="G925" s="215">
        <v>101045</v>
      </c>
    </row>
    <row r="926" spans="1:7">
      <c r="A926" s="926" t="s">
        <v>2803</v>
      </c>
      <c r="B926" s="423" t="s">
        <v>1750</v>
      </c>
      <c r="C926" s="435">
        <v>1.37</v>
      </c>
      <c r="D926" s="435">
        <v>1087.183</v>
      </c>
      <c r="E926" s="435">
        <v>1.5</v>
      </c>
      <c r="F926" s="215">
        <v>0</v>
      </c>
      <c r="G926" s="215">
        <v>85135</v>
      </c>
    </row>
    <row r="927" spans="1:7">
      <c r="A927" s="926" t="s">
        <v>2805</v>
      </c>
      <c r="B927" s="423" t="s">
        <v>297</v>
      </c>
      <c r="C927" s="435">
        <v>1.3523000000000001</v>
      </c>
      <c r="D927" s="435">
        <v>150.55500000000001</v>
      </c>
      <c r="E927" s="435">
        <v>1.48</v>
      </c>
      <c r="F927" s="215">
        <v>0</v>
      </c>
      <c r="G927" s="215">
        <v>39998</v>
      </c>
    </row>
    <row r="928" spans="1:7">
      <c r="A928" s="926" t="s">
        <v>2806</v>
      </c>
      <c r="B928" s="423" t="s">
        <v>1751</v>
      </c>
      <c r="C928" s="435">
        <v>1.3346</v>
      </c>
      <c r="D928" s="435">
        <v>185.38800000000001</v>
      </c>
      <c r="E928" s="435">
        <v>1.46</v>
      </c>
      <c r="F928" s="215">
        <v>0</v>
      </c>
      <c r="G928" s="215">
        <v>23276</v>
      </c>
    </row>
    <row r="929" spans="1:7">
      <c r="A929" s="926" t="s">
        <v>232</v>
      </c>
      <c r="B929" s="423" t="s">
        <v>2639</v>
      </c>
      <c r="C929" s="435">
        <v>1.37</v>
      </c>
      <c r="D929" s="435">
        <v>519.80499999999995</v>
      </c>
      <c r="E929" s="435">
        <v>1.5</v>
      </c>
      <c r="F929" s="215">
        <v>0</v>
      </c>
      <c r="G929" s="215">
        <v>79387</v>
      </c>
    </row>
    <row r="930" spans="1:7">
      <c r="A930" s="926" t="s">
        <v>3572</v>
      </c>
      <c r="B930" s="423" t="s">
        <v>1752</v>
      </c>
      <c r="C930" s="435">
        <v>1.37</v>
      </c>
      <c r="D930" s="435">
        <v>1269.393</v>
      </c>
      <c r="E930" s="435">
        <v>1.5</v>
      </c>
      <c r="F930" s="215">
        <v>0</v>
      </c>
      <c r="G930" s="215">
        <v>200517</v>
      </c>
    </row>
    <row r="931" spans="1:7">
      <c r="A931" s="926" t="s">
        <v>3574</v>
      </c>
      <c r="B931" s="423" t="s">
        <v>7623</v>
      </c>
      <c r="C931" s="435">
        <v>1.37</v>
      </c>
      <c r="D931" s="435">
        <v>1054.6880000000001</v>
      </c>
      <c r="E931" s="435">
        <v>1.5</v>
      </c>
      <c r="F931" s="215">
        <v>0</v>
      </c>
      <c r="G931" s="215">
        <v>126494</v>
      </c>
    </row>
    <row r="932" spans="1:7">
      <c r="A932" s="926" t="s">
        <v>4072</v>
      </c>
      <c r="B932" s="423" t="s">
        <v>2353</v>
      </c>
      <c r="C932" s="435">
        <v>1.37</v>
      </c>
      <c r="D932" s="435">
        <v>410.52100000000002</v>
      </c>
      <c r="E932" s="435">
        <v>1.5</v>
      </c>
      <c r="F932" s="215">
        <v>0</v>
      </c>
      <c r="G932" s="215">
        <v>55499</v>
      </c>
    </row>
    <row r="933" spans="1:7">
      <c r="A933" s="926" t="s">
        <v>735</v>
      </c>
      <c r="B933" s="423" t="s">
        <v>6108</v>
      </c>
      <c r="C933" s="435">
        <v>1.37</v>
      </c>
      <c r="D933" s="435">
        <v>169.96299999999999</v>
      </c>
      <c r="E933" s="435">
        <v>1.5</v>
      </c>
      <c r="F933" s="215">
        <v>0</v>
      </c>
      <c r="G933" s="215">
        <v>23865</v>
      </c>
    </row>
    <row r="934" spans="1:7">
      <c r="A934" s="926" t="s">
        <v>3576</v>
      </c>
      <c r="B934" s="423" t="s">
        <v>400</v>
      </c>
      <c r="C934" s="435">
        <v>1.37</v>
      </c>
      <c r="D934" s="435">
        <v>667.48800000000006</v>
      </c>
      <c r="E934" s="435">
        <v>1.5</v>
      </c>
      <c r="F934" s="215">
        <v>0</v>
      </c>
      <c r="G934" s="215">
        <v>89350</v>
      </c>
    </row>
    <row r="935" spans="1:7">
      <c r="A935" s="926" t="s">
        <v>3577</v>
      </c>
      <c r="B935" s="423" t="s">
        <v>7624</v>
      </c>
      <c r="C935" s="435">
        <v>1.32</v>
      </c>
      <c r="D935" s="435">
        <v>2105.08</v>
      </c>
      <c r="E935" s="435">
        <v>1.4444999999999999</v>
      </c>
      <c r="F935" s="215">
        <v>0</v>
      </c>
      <c r="G935" s="215">
        <v>282499</v>
      </c>
    </row>
    <row r="936" spans="1:7">
      <c r="A936" s="926" t="s">
        <v>6190</v>
      </c>
      <c r="B936" s="423" t="s">
        <v>3626</v>
      </c>
      <c r="C936" s="435">
        <v>1.37</v>
      </c>
      <c r="D936" s="435">
        <v>789.31600000000003</v>
      </c>
      <c r="E936" s="435">
        <v>1.5</v>
      </c>
      <c r="F936" s="215">
        <v>0</v>
      </c>
      <c r="G936" s="215">
        <v>65221</v>
      </c>
    </row>
    <row r="937" spans="1:7">
      <c r="A937" s="926" t="s">
        <v>3580</v>
      </c>
      <c r="B937" s="423" t="s">
        <v>7625</v>
      </c>
      <c r="C937" s="435">
        <v>1.37</v>
      </c>
      <c r="D937" s="435">
        <v>291.863</v>
      </c>
      <c r="E937" s="435">
        <v>1.5</v>
      </c>
      <c r="F937" s="215">
        <v>0</v>
      </c>
      <c r="G937" s="215">
        <v>33815</v>
      </c>
    </row>
    <row r="938" spans="1:7">
      <c r="A938" s="926" t="s">
        <v>1862</v>
      </c>
      <c r="B938" s="423" t="s">
        <v>3837</v>
      </c>
      <c r="C938" s="435">
        <v>1.3433999999999999</v>
      </c>
      <c r="D938" s="435">
        <v>932.01199999999994</v>
      </c>
      <c r="E938" s="435">
        <v>1.47</v>
      </c>
      <c r="F938" s="215">
        <v>0</v>
      </c>
      <c r="G938" s="215">
        <v>132118</v>
      </c>
    </row>
    <row r="939" spans="1:7">
      <c r="A939" s="926" t="s">
        <v>3582</v>
      </c>
      <c r="B939" s="423" t="s">
        <v>7626</v>
      </c>
      <c r="C939" s="435">
        <v>1.3340000000000001</v>
      </c>
      <c r="D939" s="435">
        <v>888.26499999999999</v>
      </c>
      <c r="E939" s="435">
        <v>1.46</v>
      </c>
      <c r="F939" s="215">
        <v>0</v>
      </c>
      <c r="G939" s="215">
        <v>61228</v>
      </c>
    </row>
    <row r="940" spans="1:7">
      <c r="A940" s="926" t="s">
        <v>3584</v>
      </c>
      <c r="B940" s="423" t="s">
        <v>7627</v>
      </c>
      <c r="C940" s="435">
        <v>1.3211999999999999</v>
      </c>
      <c r="D940" s="435">
        <v>715.91800000000001</v>
      </c>
      <c r="E940" s="435">
        <v>1.4450000000000001</v>
      </c>
      <c r="F940" s="215">
        <v>0</v>
      </c>
      <c r="G940" s="215">
        <v>49947</v>
      </c>
    </row>
    <row r="941" spans="1:7">
      <c r="A941" s="926" t="s">
        <v>3586</v>
      </c>
      <c r="B941" s="423" t="s">
        <v>7628</v>
      </c>
      <c r="C941" s="435">
        <v>1.37</v>
      </c>
      <c r="D941" s="435">
        <v>433.35899999999998</v>
      </c>
      <c r="E941" s="435">
        <v>1.5</v>
      </c>
      <c r="F941" s="215">
        <v>0</v>
      </c>
      <c r="G941" s="215">
        <v>5819</v>
      </c>
    </row>
    <row r="942" spans="1:7">
      <c r="A942" s="926" t="s">
        <v>3588</v>
      </c>
      <c r="B942" s="423" t="s">
        <v>7629</v>
      </c>
      <c r="C942" s="435">
        <v>1.3384</v>
      </c>
      <c r="D942" s="435">
        <v>204.85599999999999</v>
      </c>
      <c r="E942" s="435">
        <v>1.4643999999999999</v>
      </c>
      <c r="F942" s="215">
        <v>0</v>
      </c>
      <c r="G942" s="215">
        <v>33244</v>
      </c>
    </row>
    <row r="943" spans="1:7">
      <c r="A943" s="926" t="s">
        <v>6036</v>
      </c>
      <c r="B943" s="423" t="s">
        <v>5638</v>
      </c>
      <c r="C943" s="435">
        <v>1.21</v>
      </c>
      <c r="D943" s="435">
        <v>256.71199999999999</v>
      </c>
      <c r="E943" s="435">
        <v>1.32</v>
      </c>
      <c r="F943" s="215">
        <v>0</v>
      </c>
      <c r="G943" s="215">
        <v>24647</v>
      </c>
    </row>
    <row r="944" spans="1:7">
      <c r="A944" s="926" t="s">
        <v>2472</v>
      </c>
      <c r="B944" s="423" t="s">
        <v>375</v>
      </c>
      <c r="C944" s="435">
        <v>1.03</v>
      </c>
      <c r="D944" s="435">
        <v>511.19</v>
      </c>
      <c r="E944" s="435">
        <v>1.1218999999999999</v>
      </c>
      <c r="F944" s="215">
        <v>0</v>
      </c>
      <c r="G944" s="215">
        <v>36564</v>
      </c>
    </row>
    <row r="945" spans="1:7">
      <c r="A945" s="926" t="s">
        <v>2418</v>
      </c>
      <c r="B945" s="423" t="s">
        <v>5371</v>
      </c>
      <c r="C945" s="435">
        <v>1.2689999999999999</v>
      </c>
      <c r="D945" s="435">
        <v>4669.18</v>
      </c>
      <c r="E945" s="435">
        <v>1.3872</v>
      </c>
      <c r="F945" s="215">
        <v>0</v>
      </c>
      <c r="G945" s="215">
        <v>0</v>
      </c>
    </row>
    <row r="946" spans="1:7">
      <c r="A946" s="926" t="s">
        <v>3590</v>
      </c>
      <c r="B946" s="423" t="s">
        <v>7630</v>
      </c>
      <c r="C946" s="435">
        <v>1.2814000000000001</v>
      </c>
      <c r="D946" s="435">
        <v>180.21199999999999</v>
      </c>
      <c r="E946" s="435">
        <v>1.335</v>
      </c>
      <c r="F946" s="215">
        <v>0</v>
      </c>
      <c r="G946" s="215">
        <v>39476</v>
      </c>
    </row>
    <row r="947" spans="1:7">
      <c r="A947" s="926" t="s">
        <v>2389</v>
      </c>
      <c r="B947" s="423" t="s">
        <v>383</v>
      </c>
      <c r="C947" s="435">
        <v>1.3168</v>
      </c>
      <c r="D947" s="435">
        <v>9651.759</v>
      </c>
      <c r="E947" s="435">
        <v>1.44</v>
      </c>
      <c r="F947" s="215">
        <v>0</v>
      </c>
      <c r="G947" s="215">
        <v>582286</v>
      </c>
    </row>
    <row r="948" spans="1:7">
      <c r="A948" s="926" t="s">
        <v>3594</v>
      </c>
      <c r="B948" s="423" t="s">
        <v>7631</v>
      </c>
      <c r="C948" s="435">
        <v>1.37</v>
      </c>
      <c r="D948" s="435">
        <v>186.15299999999999</v>
      </c>
      <c r="E948" s="435">
        <v>1.37</v>
      </c>
      <c r="F948" s="215">
        <v>0</v>
      </c>
      <c r="G948" s="215">
        <v>82253</v>
      </c>
    </row>
    <row r="949" spans="1:7">
      <c r="A949" s="926" t="s">
        <v>6241</v>
      </c>
      <c r="B949" s="423" t="s">
        <v>7632</v>
      </c>
      <c r="C949" s="435">
        <v>1.3340000000000001</v>
      </c>
      <c r="D949" s="435">
        <v>1799.0239999999999</v>
      </c>
      <c r="E949" s="435">
        <v>1.46</v>
      </c>
      <c r="F949" s="215">
        <v>102929</v>
      </c>
      <c r="G949" s="215">
        <v>246017</v>
      </c>
    </row>
    <row r="950" spans="1:7">
      <c r="A950" s="926" t="s">
        <v>6243</v>
      </c>
      <c r="B950" s="423" t="s">
        <v>1926</v>
      </c>
      <c r="C950" s="435">
        <v>1.228</v>
      </c>
      <c r="D950" s="435">
        <v>864.69299999999998</v>
      </c>
      <c r="E950" s="435">
        <v>1.3399000000000001</v>
      </c>
      <c r="F950" s="215">
        <v>0</v>
      </c>
      <c r="G950" s="215">
        <v>71269</v>
      </c>
    </row>
    <row r="951" spans="1:7">
      <c r="A951" s="926" t="s">
        <v>1832</v>
      </c>
      <c r="B951" s="423" t="s">
        <v>4967</v>
      </c>
      <c r="C951" s="435">
        <v>1.1715</v>
      </c>
      <c r="D951" s="435">
        <v>1104.671</v>
      </c>
      <c r="E951" s="435">
        <v>1.31</v>
      </c>
      <c r="F951" s="215">
        <v>74058</v>
      </c>
      <c r="G951" s="215">
        <v>101392</v>
      </c>
    </row>
    <row r="952" spans="1:7">
      <c r="A952" s="926" t="s">
        <v>6164</v>
      </c>
      <c r="B952" s="423" t="s">
        <v>6068</v>
      </c>
      <c r="C952" s="435">
        <v>1.3257000000000001</v>
      </c>
      <c r="D952" s="435">
        <v>449.93099999999998</v>
      </c>
      <c r="E952" s="435">
        <v>1.45</v>
      </c>
      <c r="F952" s="215">
        <v>0</v>
      </c>
      <c r="G952" s="215">
        <v>42784</v>
      </c>
    </row>
    <row r="953" spans="1:7">
      <c r="A953" s="926" t="s">
        <v>6244</v>
      </c>
      <c r="B953" s="423" t="s">
        <v>7633</v>
      </c>
      <c r="C953" s="435">
        <v>1.37</v>
      </c>
      <c r="D953" s="435">
        <v>2036.365</v>
      </c>
      <c r="E953" s="435">
        <v>1.5</v>
      </c>
      <c r="F953" s="215">
        <v>0</v>
      </c>
      <c r="G953" s="215">
        <v>252867</v>
      </c>
    </row>
    <row r="954" spans="1:7">
      <c r="A954" s="926" t="s">
        <v>6246</v>
      </c>
      <c r="B954" s="423" t="s">
        <v>7634</v>
      </c>
      <c r="C954" s="435">
        <v>1.37</v>
      </c>
      <c r="D954" s="435">
        <v>2506.2759999999998</v>
      </c>
      <c r="E954" s="435">
        <v>1.5</v>
      </c>
      <c r="F954" s="215">
        <v>0</v>
      </c>
      <c r="G954" s="215">
        <v>284304</v>
      </c>
    </row>
    <row r="955" spans="1:7">
      <c r="A955" s="926" t="s">
        <v>1313</v>
      </c>
      <c r="B955" s="423" t="s">
        <v>118</v>
      </c>
      <c r="C955" s="435">
        <v>1.37</v>
      </c>
      <c r="D955" s="435">
        <v>436.77100000000002</v>
      </c>
      <c r="E955" s="435">
        <v>1.5</v>
      </c>
      <c r="F955" s="215">
        <v>0</v>
      </c>
      <c r="G955" s="215">
        <v>24881</v>
      </c>
    </row>
    <row r="956" spans="1:7">
      <c r="A956" s="926" t="s">
        <v>955</v>
      </c>
      <c r="B956" s="423" t="s">
        <v>7660</v>
      </c>
      <c r="C956" s="435">
        <v>1.37</v>
      </c>
      <c r="D956" s="435">
        <v>881.06500000000005</v>
      </c>
      <c r="E956" s="435">
        <v>1.5</v>
      </c>
      <c r="F956" s="215">
        <v>0</v>
      </c>
      <c r="G956" s="215">
        <v>102890</v>
      </c>
    </row>
    <row r="957" spans="1:7">
      <c r="A957" s="926" t="s">
        <v>3552</v>
      </c>
      <c r="B957" s="423" t="s">
        <v>4058</v>
      </c>
      <c r="C957" s="435">
        <v>1.331</v>
      </c>
      <c r="D957" s="435">
        <v>12722.867</v>
      </c>
      <c r="E957" s="435">
        <v>1.456</v>
      </c>
      <c r="F957" s="215">
        <v>0</v>
      </c>
      <c r="G957" s="215">
        <v>778514</v>
      </c>
    </row>
    <row r="958" spans="1:7">
      <c r="A958" s="926" t="s">
        <v>6248</v>
      </c>
      <c r="B958" s="423" t="s">
        <v>7635</v>
      </c>
      <c r="C958" s="435">
        <v>1.254</v>
      </c>
      <c r="D958" s="435">
        <v>88.370999999999995</v>
      </c>
      <c r="E958" s="435">
        <v>1.37</v>
      </c>
      <c r="F958" s="215">
        <v>0</v>
      </c>
      <c r="G958" s="215">
        <v>0</v>
      </c>
    </row>
    <row r="959" spans="1:7">
      <c r="A959" s="926" t="s">
        <v>6182</v>
      </c>
      <c r="B959" s="423" t="s">
        <v>1935</v>
      </c>
      <c r="C959" s="435">
        <v>1.2414000000000001</v>
      </c>
      <c r="D959" s="435">
        <v>809.06100000000004</v>
      </c>
      <c r="E959" s="435">
        <v>1.4</v>
      </c>
      <c r="F959" s="215">
        <v>0</v>
      </c>
      <c r="G959" s="215">
        <v>77626</v>
      </c>
    </row>
    <row r="960" spans="1:7">
      <c r="A960" s="926" t="s">
        <v>6250</v>
      </c>
      <c r="B960" s="423" t="s">
        <v>7636</v>
      </c>
      <c r="C960" s="435">
        <v>1.3567</v>
      </c>
      <c r="D960" s="435">
        <v>6080.9070000000002</v>
      </c>
      <c r="E960" s="435">
        <v>1.4850000000000001</v>
      </c>
      <c r="F960" s="215">
        <v>0</v>
      </c>
      <c r="G960" s="215">
        <v>801707</v>
      </c>
    </row>
    <row r="961" spans="1:7">
      <c r="A961" s="926" t="s">
        <v>5038</v>
      </c>
      <c r="B961" s="423" t="s">
        <v>3842</v>
      </c>
      <c r="C961" s="435">
        <v>1.37</v>
      </c>
      <c r="D961" s="435">
        <v>1254.663</v>
      </c>
      <c r="E961" s="435">
        <v>1.5</v>
      </c>
      <c r="F961" s="215">
        <v>0</v>
      </c>
      <c r="G961" s="215">
        <v>97195</v>
      </c>
    </row>
    <row r="962" spans="1:7">
      <c r="A962" s="926" t="s">
        <v>5039</v>
      </c>
      <c r="B962" s="423" t="s">
        <v>4062</v>
      </c>
      <c r="C962" s="435">
        <v>1.37</v>
      </c>
      <c r="D962" s="435">
        <v>4660.6360000000004</v>
      </c>
      <c r="E962" s="435">
        <v>1.5</v>
      </c>
      <c r="F962" s="215">
        <v>0</v>
      </c>
      <c r="G962" s="215">
        <v>830346</v>
      </c>
    </row>
    <row r="963" spans="1:7">
      <c r="A963" s="926" t="s">
        <v>2082</v>
      </c>
      <c r="B963" s="423" t="s">
        <v>7637</v>
      </c>
      <c r="C963" s="435">
        <v>1.37</v>
      </c>
      <c r="D963" s="435">
        <v>1648.316</v>
      </c>
      <c r="E963" s="435">
        <v>1.5</v>
      </c>
      <c r="F963" s="215">
        <v>0</v>
      </c>
      <c r="G963" s="215">
        <v>233876</v>
      </c>
    </row>
    <row r="964" spans="1:7">
      <c r="A964" s="926" t="s">
        <v>2084</v>
      </c>
      <c r="B964" s="423" t="s">
        <v>7638</v>
      </c>
      <c r="C964" s="435">
        <v>1.2809999999999999</v>
      </c>
      <c r="D964" s="435">
        <v>1858.7159999999999</v>
      </c>
      <c r="E964" s="435">
        <v>1.4</v>
      </c>
      <c r="F964" s="215">
        <v>0</v>
      </c>
      <c r="G964" s="215">
        <v>80664</v>
      </c>
    </row>
    <row r="965" spans="1:7">
      <c r="A965" s="926" t="s">
        <v>2086</v>
      </c>
      <c r="B965" s="423" t="s">
        <v>2936</v>
      </c>
      <c r="C965" s="435">
        <v>1.3701000000000001</v>
      </c>
      <c r="D965" s="435">
        <v>107.934</v>
      </c>
      <c r="E965" s="435">
        <v>1.5</v>
      </c>
      <c r="F965" s="215">
        <v>0</v>
      </c>
      <c r="G965" s="215">
        <v>10355</v>
      </c>
    </row>
    <row r="966" spans="1:7">
      <c r="A966" s="926" t="s">
        <v>2088</v>
      </c>
      <c r="B966" s="423" t="s">
        <v>2937</v>
      </c>
      <c r="C966" s="435">
        <v>1.3045</v>
      </c>
      <c r="D966" s="435">
        <v>4620.5990000000002</v>
      </c>
      <c r="E966" s="435">
        <v>1.46</v>
      </c>
      <c r="F966" s="215">
        <v>0</v>
      </c>
      <c r="G966" s="215">
        <v>464770</v>
      </c>
    </row>
    <row r="967" spans="1:7">
      <c r="A967" s="926" t="s">
        <v>2090</v>
      </c>
      <c r="B967" s="423" t="s">
        <v>2938</v>
      </c>
      <c r="C967" s="435">
        <v>1.37</v>
      </c>
      <c r="D967" s="435">
        <v>298.75900000000001</v>
      </c>
      <c r="E967" s="435">
        <v>1.5</v>
      </c>
      <c r="F967" s="215">
        <v>0</v>
      </c>
      <c r="G967" s="215">
        <v>49745</v>
      </c>
    </row>
    <row r="968" spans="1:7">
      <c r="A968" s="926" t="s">
        <v>2987</v>
      </c>
      <c r="B968" s="423" t="s">
        <v>187</v>
      </c>
      <c r="C968" s="435">
        <v>1.2663</v>
      </c>
      <c r="D968" s="435">
        <v>22554.064999999999</v>
      </c>
      <c r="E968" s="435">
        <v>1.3829</v>
      </c>
      <c r="F968" s="215">
        <v>0</v>
      </c>
      <c r="G968" s="215">
        <v>402043</v>
      </c>
    </row>
    <row r="969" spans="1:7">
      <c r="A969" s="926" t="s">
        <v>2417</v>
      </c>
      <c r="B969" s="423" t="s">
        <v>5370</v>
      </c>
      <c r="C969" s="435">
        <v>1.2636000000000001</v>
      </c>
      <c r="D969" s="435">
        <v>33167.021999999997</v>
      </c>
      <c r="E969" s="435">
        <v>1.3798999999999999</v>
      </c>
      <c r="F969" s="215">
        <v>598654</v>
      </c>
      <c r="G969" s="215">
        <v>2364525</v>
      </c>
    </row>
    <row r="970" spans="1:7">
      <c r="A970" s="926" t="s">
        <v>78</v>
      </c>
      <c r="B970" s="423" t="s">
        <v>2940</v>
      </c>
      <c r="C970" s="435">
        <v>1.0597000000000001</v>
      </c>
      <c r="D970" s="435">
        <v>352.25799999999998</v>
      </c>
      <c r="E970" s="435">
        <v>1.115</v>
      </c>
      <c r="F970" s="215">
        <v>0</v>
      </c>
      <c r="G970" s="215">
        <v>60465</v>
      </c>
    </row>
    <row r="971" spans="1:7">
      <c r="A971" s="926" t="s">
        <v>80</v>
      </c>
      <c r="B971" s="423" t="s">
        <v>2941</v>
      </c>
      <c r="C971" s="435">
        <v>1.37</v>
      </c>
      <c r="D971" s="435">
        <v>896.02099999999996</v>
      </c>
      <c r="E971" s="435">
        <v>1.5</v>
      </c>
      <c r="F971" s="215">
        <v>0</v>
      </c>
      <c r="G971" s="215">
        <v>145368</v>
      </c>
    </row>
    <row r="972" spans="1:7">
      <c r="A972" s="926" t="s">
        <v>82</v>
      </c>
      <c r="B972" s="423" t="s">
        <v>6720</v>
      </c>
      <c r="C972" s="435">
        <v>1.36</v>
      </c>
      <c r="D972" s="435">
        <v>863.97500000000002</v>
      </c>
      <c r="E972" s="435">
        <v>1.4886999999999999</v>
      </c>
      <c r="F972" s="215">
        <v>0</v>
      </c>
      <c r="G972" s="215">
        <v>104270</v>
      </c>
    </row>
    <row r="973" spans="1:7">
      <c r="A973" s="926" t="s">
        <v>84</v>
      </c>
      <c r="B973" s="423" t="s">
        <v>6721</v>
      </c>
      <c r="C973" s="435">
        <v>1.2775000000000001</v>
      </c>
      <c r="D973" s="435">
        <v>3232.9360000000001</v>
      </c>
      <c r="E973" s="435">
        <v>1.3956</v>
      </c>
      <c r="F973" s="215">
        <v>0</v>
      </c>
      <c r="G973" s="215">
        <v>325956</v>
      </c>
    </row>
    <row r="974" spans="1:7">
      <c r="A974" s="926" t="s">
        <v>86</v>
      </c>
      <c r="B974" s="423" t="s">
        <v>6722</v>
      </c>
      <c r="C974" s="435">
        <v>1.3567</v>
      </c>
      <c r="D974" s="435">
        <v>2215.462</v>
      </c>
      <c r="E974" s="435">
        <v>1.4850000000000001</v>
      </c>
      <c r="F974" s="215">
        <v>0</v>
      </c>
      <c r="G974" s="215">
        <v>182177</v>
      </c>
    </row>
    <row r="975" spans="1:7">
      <c r="A975" s="926" t="s">
        <v>88</v>
      </c>
      <c r="B975" s="423" t="s">
        <v>6723</v>
      </c>
      <c r="C975" s="435">
        <v>1.32</v>
      </c>
      <c r="D975" s="435">
        <v>464.13799999999998</v>
      </c>
      <c r="E975" s="435">
        <v>1.4450000000000001</v>
      </c>
      <c r="F975" s="215">
        <v>0</v>
      </c>
      <c r="G975" s="215">
        <v>60959</v>
      </c>
    </row>
    <row r="976" spans="1:7">
      <c r="A976" s="926" t="s">
        <v>90</v>
      </c>
      <c r="B976" s="423" t="s">
        <v>6724</v>
      </c>
      <c r="C976" s="435">
        <v>1.35</v>
      </c>
      <c r="D976" s="435">
        <v>309.63099999999997</v>
      </c>
      <c r="E976" s="435">
        <v>1.48</v>
      </c>
      <c r="F976" s="215">
        <v>0</v>
      </c>
      <c r="G976" s="215">
        <v>26230</v>
      </c>
    </row>
    <row r="977" spans="1:7">
      <c r="A977" s="926" t="s">
        <v>92</v>
      </c>
      <c r="B977" s="423" t="s">
        <v>1546</v>
      </c>
      <c r="C977" s="435">
        <v>1.37</v>
      </c>
      <c r="D977" s="435">
        <v>351.34899999999999</v>
      </c>
      <c r="E977" s="435">
        <v>1.5</v>
      </c>
      <c r="F977" s="215">
        <v>0</v>
      </c>
      <c r="G977" s="215">
        <v>33370</v>
      </c>
    </row>
    <row r="978" spans="1:7">
      <c r="A978" s="926" t="s">
        <v>2332</v>
      </c>
      <c r="B978" s="423" t="s">
        <v>1547</v>
      </c>
      <c r="C978" s="435">
        <v>0.9</v>
      </c>
      <c r="D978" s="435">
        <v>64.739000000000004</v>
      </c>
      <c r="E978" s="435">
        <v>0.97</v>
      </c>
      <c r="F978" s="215">
        <v>0</v>
      </c>
      <c r="G978" s="215">
        <v>21720</v>
      </c>
    </row>
    <row r="979" spans="1:7">
      <c r="A979" s="926" t="s">
        <v>2334</v>
      </c>
      <c r="B979" s="423" t="s">
        <v>1548</v>
      </c>
      <c r="C979" s="435">
        <v>1.0330999999999999</v>
      </c>
      <c r="D979" s="435">
        <v>141.334</v>
      </c>
      <c r="E979" s="435">
        <v>1.1200000000000001</v>
      </c>
      <c r="F979" s="215">
        <v>0</v>
      </c>
      <c r="G979" s="215">
        <v>48593</v>
      </c>
    </row>
    <row r="980" spans="1:7">
      <c r="A980" s="926" t="s">
        <v>962</v>
      </c>
      <c r="B980" s="423" t="s">
        <v>2146</v>
      </c>
      <c r="C980" s="435">
        <v>1.37</v>
      </c>
      <c r="D980" s="435">
        <v>3273.433</v>
      </c>
      <c r="E980" s="435">
        <v>1.5</v>
      </c>
      <c r="F980" s="215">
        <v>0</v>
      </c>
      <c r="G980" s="215">
        <v>199350</v>
      </c>
    </row>
    <row r="981" spans="1:7">
      <c r="A981" s="926" t="s">
        <v>2336</v>
      </c>
      <c r="B981" s="423" t="s">
        <v>1549</v>
      </c>
      <c r="C981" s="435">
        <v>1.37</v>
      </c>
      <c r="D981" s="435">
        <v>562.47299999999996</v>
      </c>
      <c r="E981" s="435">
        <v>1.5</v>
      </c>
      <c r="F981" s="215">
        <v>0</v>
      </c>
      <c r="G981" s="215">
        <v>24719</v>
      </c>
    </row>
    <row r="982" spans="1:7">
      <c r="A982" s="926" t="s">
        <v>2338</v>
      </c>
      <c r="B982" s="423" t="s">
        <v>1550</v>
      </c>
      <c r="C982" s="435">
        <v>1.36</v>
      </c>
      <c r="D982" s="435">
        <v>1780.4480000000001</v>
      </c>
      <c r="E982" s="435">
        <v>1.49</v>
      </c>
      <c r="F982" s="215">
        <v>0</v>
      </c>
      <c r="G982" s="215">
        <v>108095</v>
      </c>
    </row>
    <row r="983" spans="1:7">
      <c r="A983" s="926" t="s">
        <v>2340</v>
      </c>
      <c r="B983" s="423" t="s">
        <v>1551</v>
      </c>
      <c r="C983" s="435">
        <v>1.33</v>
      </c>
      <c r="D983" s="435">
        <v>13742.698</v>
      </c>
      <c r="E983" s="435">
        <v>1.5</v>
      </c>
      <c r="F983" s="215">
        <v>0</v>
      </c>
      <c r="G983" s="215">
        <v>676782</v>
      </c>
    </row>
    <row r="984" spans="1:7">
      <c r="A984" s="926" t="s">
        <v>738</v>
      </c>
      <c r="B984" s="423" t="s">
        <v>6112</v>
      </c>
      <c r="C984" s="435">
        <v>1.37</v>
      </c>
      <c r="D984" s="435">
        <v>995.31</v>
      </c>
      <c r="E984" s="435">
        <v>1.5</v>
      </c>
      <c r="F984" s="215">
        <v>0</v>
      </c>
      <c r="G984" s="215">
        <v>16111</v>
      </c>
    </row>
    <row r="985" spans="1:7">
      <c r="A985" s="926" t="s">
        <v>3219</v>
      </c>
      <c r="B985" s="423" t="s">
        <v>1485</v>
      </c>
      <c r="C985" s="435">
        <v>1.37</v>
      </c>
      <c r="D985" s="435">
        <v>110.898</v>
      </c>
      <c r="E985" s="435">
        <v>1.5</v>
      </c>
      <c r="F985" s="215">
        <v>0</v>
      </c>
      <c r="G985" s="215">
        <v>5359</v>
      </c>
    </row>
    <row r="986" spans="1:7">
      <c r="A986" s="926" t="s">
        <v>608</v>
      </c>
      <c r="B986" s="423" t="s">
        <v>1486</v>
      </c>
      <c r="C986" s="435">
        <v>1.37</v>
      </c>
      <c r="D986" s="435">
        <v>2054.4679999999998</v>
      </c>
      <c r="E986" s="435">
        <v>1.5</v>
      </c>
      <c r="F986" s="215">
        <v>0</v>
      </c>
      <c r="G986" s="215">
        <v>106446</v>
      </c>
    </row>
    <row r="987" spans="1:7">
      <c r="A987" s="926" t="s">
        <v>610</v>
      </c>
      <c r="B987" s="423" t="s">
        <v>1939</v>
      </c>
      <c r="C987" s="435">
        <v>1.37</v>
      </c>
      <c r="D987" s="435">
        <v>178.727</v>
      </c>
      <c r="E987" s="435">
        <v>1.5</v>
      </c>
      <c r="F987" s="215">
        <v>0</v>
      </c>
      <c r="G987" s="215">
        <v>18315</v>
      </c>
    </row>
    <row r="988" spans="1:7">
      <c r="A988" s="926" t="s">
        <v>6145</v>
      </c>
      <c r="B988" s="423" t="s">
        <v>188</v>
      </c>
      <c r="C988" s="435">
        <v>1.37</v>
      </c>
      <c r="D988" s="435">
        <v>296.33199999999999</v>
      </c>
      <c r="E988" s="435">
        <v>1.5</v>
      </c>
      <c r="F988" s="215">
        <v>0</v>
      </c>
      <c r="G988" s="215">
        <v>29716</v>
      </c>
    </row>
    <row r="989" spans="1:7">
      <c r="A989" s="926" t="s">
        <v>2998</v>
      </c>
      <c r="B989" s="423" t="s">
        <v>6058</v>
      </c>
      <c r="C989" s="435">
        <v>1.37</v>
      </c>
      <c r="D989" s="435">
        <v>1431.277</v>
      </c>
      <c r="E989" s="435">
        <v>1.5</v>
      </c>
      <c r="F989" s="215">
        <v>0</v>
      </c>
      <c r="G989" s="215">
        <v>152900</v>
      </c>
    </row>
    <row r="990" spans="1:7">
      <c r="A990" s="926" t="s">
        <v>2766</v>
      </c>
      <c r="B990" s="423" t="s">
        <v>356</v>
      </c>
      <c r="C990" s="435">
        <v>1.2636000000000001</v>
      </c>
      <c r="D990" s="435">
        <v>2264.607</v>
      </c>
      <c r="E990" s="435">
        <v>1.38</v>
      </c>
      <c r="F990" s="215">
        <v>0</v>
      </c>
      <c r="G990" s="215">
        <v>90828</v>
      </c>
    </row>
    <row r="991" spans="1:7">
      <c r="A991" s="926" t="s">
        <v>5040</v>
      </c>
      <c r="B991" s="423" t="s">
        <v>384</v>
      </c>
      <c r="C991" s="435">
        <v>1.37</v>
      </c>
      <c r="D991" s="435">
        <v>266.79199999999997</v>
      </c>
      <c r="E991" s="435">
        <v>1.5</v>
      </c>
      <c r="F991" s="215">
        <v>0</v>
      </c>
      <c r="G991" s="215">
        <v>28228</v>
      </c>
    </row>
    <row r="992" spans="1:7">
      <c r="A992" s="926" t="s">
        <v>1307</v>
      </c>
      <c r="B992" s="423" t="s">
        <v>111</v>
      </c>
      <c r="C992" s="435">
        <v>1.37</v>
      </c>
      <c r="D992" s="435">
        <v>947.85199999999998</v>
      </c>
      <c r="E992" s="435">
        <v>1.5</v>
      </c>
      <c r="F992" s="215">
        <v>0</v>
      </c>
      <c r="G992" s="215">
        <v>109574</v>
      </c>
    </row>
    <row r="993" spans="1:7">
      <c r="A993" s="926" t="s">
        <v>1319</v>
      </c>
      <c r="B993" s="423" t="s">
        <v>125</v>
      </c>
      <c r="C993" s="435">
        <v>1.37</v>
      </c>
      <c r="D993" s="435">
        <v>8588.8580000000002</v>
      </c>
      <c r="E993" s="435">
        <v>1.5</v>
      </c>
      <c r="F993" s="215">
        <v>0</v>
      </c>
      <c r="G993" s="215">
        <v>908622</v>
      </c>
    </row>
    <row r="994" spans="1:7">
      <c r="A994" s="926" t="s">
        <v>1856</v>
      </c>
      <c r="B994" s="423" t="s">
        <v>3912</v>
      </c>
      <c r="C994" s="435">
        <v>1.3523000000000001</v>
      </c>
      <c r="D994" s="435">
        <v>454.40499999999997</v>
      </c>
      <c r="E994" s="435">
        <v>1.48</v>
      </c>
      <c r="F994" s="215">
        <v>0</v>
      </c>
      <c r="G994" s="215">
        <v>47901</v>
      </c>
    </row>
    <row r="995" spans="1:7">
      <c r="A995" s="926" t="s">
        <v>6020</v>
      </c>
      <c r="B995" s="423" t="s">
        <v>3859</v>
      </c>
      <c r="C995" s="435">
        <v>1.36</v>
      </c>
      <c r="D995" s="435">
        <v>2867.5030000000002</v>
      </c>
      <c r="E995" s="435">
        <v>1.49</v>
      </c>
      <c r="F995" s="215">
        <v>0</v>
      </c>
      <c r="G995" s="215">
        <v>198223</v>
      </c>
    </row>
    <row r="996" spans="1:7">
      <c r="A996" s="926" t="s">
        <v>611</v>
      </c>
      <c r="B996" s="423" t="s">
        <v>1487</v>
      </c>
      <c r="C996" s="435">
        <v>1.37</v>
      </c>
      <c r="D996" s="435">
        <v>624.98299999999995</v>
      </c>
      <c r="E996" s="435">
        <v>1.5</v>
      </c>
      <c r="F996" s="215">
        <v>0</v>
      </c>
      <c r="G996" s="215">
        <v>45903</v>
      </c>
    </row>
    <row r="997" spans="1:7">
      <c r="A997" s="926" t="s">
        <v>2990</v>
      </c>
      <c r="B997" s="423" t="s">
        <v>191</v>
      </c>
      <c r="C997" s="435">
        <v>1.37</v>
      </c>
      <c r="D997" s="435">
        <v>1961.7449999999999</v>
      </c>
      <c r="E997" s="435">
        <v>1.5</v>
      </c>
      <c r="F997" s="215">
        <v>0</v>
      </c>
      <c r="G997" s="215">
        <v>201698</v>
      </c>
    </row>
    <row r="998" spans="1:7">
      <c r="A998" s="926" t="s">
        <v>2382</v>
      </c>
      <c r="B998" s="423" t="s">
        <v>371</v>
      </c>
      <c r="C998" s="435">
        <v>1.337</v>
      </c>
      <c r="D998" s="435">
        <v>35749.97</v>
      </c>
      <c r="E998" s="435">
        <v>1.4967999999999999</v>
      </c>
      <c r="F998" s="215">
        <v>0</v>
      </c>
      <c r="G998" s="215">
        <v>2121770</v>
      </c>
    </row>
    <row r="999" spans="1:7">
      <c r="A999" s="926" t="s">
        <v>2473</v>
      </c>
      <c r="B999" s="423" t="s">
        <v>5363</v>
      </c>
      <c r="C999" s="435">
        <v>1.37</v>
      </c>
      <c r="D999" s="435">
        <v>2813.0450000000001</v>
      </c>
      <c r="E999" s="435">
        <v>1.5</v>
      </c>
      <c r="F999" s="215">
        <v>0</v>
      </c>
      <c r="G999" s="215">
        <v>246831</v>
      </c>
    </row>
    <row r="1000" spans="1:7">
      <c r="A1000" s="926" t="s">
        <v>2412</v>
      </c>
      <c r="B1000" s="423" t="s">
        <v>5365</v>
      </c>
      <c r="C1000" s="435">
        <v>1.37</v>
      </c>
      <c r="D1000" s="435">
        <v>529.19500000000005</v>
      </c>
      <c r="E1000" s="435">
        <v>1.5</v>
      </c>
      <c r="F1000" s="215">
        <v>0</v>
      </c>
      <c r="G1000" s="215">
        <v>67025</v>
      </c>
    </row>
    <row r="1001" spans="1:7">
      <c r="A1001" s="926" t="s">
        <v>2988</v>
      </c>
      <c r="B1001" s="423" t="s">
        <v>189</v>
      </c>
      <c r="C1001" s="435">
        <v>1.3248</v>
      </c>
      <c r="D1001" s="435">
        <v>20900.86</v>
      </c>
      <c r="E1001" s="435">
        <v>1.4490000000000001</v>
      </c>
      <c r="F1001" s="215">
        <v>216929</v>
      </c>
      <c r="G1001" s="215">
        <v>1459136</v>
      </c>
    </row>
    <row r="1002" spans="1:7">
      <c r="A1002" s="926" t="s">
        <v>613</v>
      </c>
      <c r="B1002" s="423" t="s">
        <v>1003</v>
      </c>
      <c r="C1002" s="435">
        <v>1.37</v>
      </c>
      <c r="D1002" s="435">
        <v>110.209</v>
      </c>
      <c r="E1002" s="435">
        <v>1.5</v>
      </c>
      <c r="F1002" s="215">
        <v>0</v>
      </c>
      <c r="G1002" s="215">
        <v>0</v>
      </c>
    </row>
    <row r="1003" spans="1:7">
      <c r="A1003" s="926" t="s">
        <v>5041</v>
      </c>
      <c r="B1003" s="423" t="s">
        <v>112</v>
      </c>
      <c r="C1003" s="435">
        <v>1.37</v>
      </c>
      <c r="D1003" s="435">
        <v>3402.7939999999999</v>
      </c>
      <c r="E1003" s="435">
        <v>1.5</v>
      </c>
      <c r="F1003" s="215">
        <v>0</v>
      </c>
      <c r="G1003" s="215">
        <v>679556</v>
      </c>
    </row>
    <row r="1004" spans="1:7">
      <c r="A1004" s="926" t="s">
        <v>6039</v>
      </c>
      <c r="B1004" s="423" t="s">
        <v>183</v>
      </c>
      <c r="C1004" s="435">
        <v>1.37</v>
      </c>
      <c r="D1004" s="435">
        <v>2459.8780000000002</v>
      </c>
      <c r="E1004" s="435">
        <v>1.5</v>
      </c>
      <c r="F1004" s="215">
        <v>0</v>
      </c>
      <c r="G1004" s="215">
        <v>305126</v>
      </c>
    </row>
    <row r="1005" spans="1:7">
      <c r="A1005" s="926" t="s">
        <v>5043</v>
      </c>
      <c r="B1005" s="423" t="s">
        <v>346</v>
      </c>
      <c r="C1005" s="435">
        <v>1.361</v>
      </c>
      <c r="D1005" s="435">
        <v>727.97900000000004</v>
      </c>
      <c r="E1005" s="435">
        <v>1.49</v>
      </c>
      <c r="F1005" s="215">
        <v>0</v>
      </c>
      <c r="G1005" s="215">
        <v>52946</v>
      </c>
    </row>
    <row r="1006" spans="1:7">
      <c r="A1006" s="926" t="s">
        <v>2409</v>
      </c>
      <c r="B1006" s="423" t="s">
        <v>2356</v>
      </c>
      <c r="C1006" s="435">
        <v>1.3520000000000001</v>
      </c>
      <c r="D1006" s="435">
        <v>698.05899999999997</v>
      </c>
      <c r="E1006" s="435">
        <v>1.48</v>
      </c>
      <c r="F1006" s="215">
        <v>0</v>
      </c>
      <c r="G1006" s="215">
        <v>78315</v>
      </c>
    </row>
    <row r="1007" spans="1:7">
      <c r="A1007" s="926" t="s">
        <v>615</v>
      </c>
      <c r="B1007" s="423" t="s">
        <v>1004</v>
      </c>
      <c r="C1007" s="435">
        <v>1.37</v>
      </c>
      <c r="D1007" s="435">
        <v>1111.423</v>
      </c>
      <c r="E1007" s="435">
        <v>1.5</v>
      </c>
      <c r="F1007" s="215">
        <v>0</v>
      </c>
      <c r="G1007" s="215">
        <v>42491</v>
      </c>
    </row>
    <row r="1008" spans="1:7">
      <c r="A1008" s="926" t="s">
        <v>617</v>
      </c>
      <c r="B1008" s="423" t="s">
        <v>1005</v>
      </c>
      <c r="C1008" s="435">
        <v>1.37</v>
      </c>
      <c r="D1008" s="435">
        <v>314.12400000000002</v>
      </c>
      <c r="E1008" s="435">
        <v>1.5</v>
      </c>
      <c r="F1008" s="215">
        <v>0</v>
      </c>
      <c r="G1008" s="215">
        <v>29786</v>
      </c>
    </row>
    <row r="1009" spans="1:7">
      <c r="A1009" s="926" t="s">
        <v>3889</v>
      </c>
      <c r="B1009" s="423" t="s">
        <v>7680</v>
      </c>
      <c r="C1009" s="435">
        <v>1.3132999999999999</v>
      </c>
      <c r="D1009" s="435">
        <v>686.80499999999995</v>
      </c>
      <c r="E1009" s="435">
        <v>1.4359999999999999</v>
      </c>
      <c r="F1009" s="215">
        <v>0</v>
      </c>
      <c r="G1009" s="215">
        <v>55819</v>
      </c>
    </row>
    <row r="1010" spans="1:7">
      <c r="A1010" s="926" t="s">
        <v>619</v>
      </c>
      <c r="B1010" s="423" t="s">
        <v>1006</v>
      </c>
      <c r="C1010" s="435">
        <v>1.3368</v>
      </c>
      <c r="D1010" s="435">
        <v>969.399</v>
      </c>
      <c r="E1010" s="435">
        <v>1.4625999999999999</v>
      </c>
      <c r="F1010" s="215">
        <v>0</v>
      </c>
      <c r="G1010" s="215">
        <v>117439</v>
      </c>
    </row>
    <row r="1011" spans="1:7">
      <c r="A1011" s="926" t="s">
        <v>1328</v>
      </c>
      <c r="B1011" s="423" t="s">
        <v>1007</v>
      </c>
      <c r="C1011" s="435">
        <v>1.2599</v>
      </c>
      <c r="D1011" s="435">
        <v>2121.335</v>
      </c>
      <c r="E1011" s="435">
        <v>1.37</v>
      </c>
      <c r="F1011" s="215">
        <v>0</v>
      </c>
      <c r="G1011" s="215">
        <v>177162</v>
      </c>
    </row>
    <row r="1012" spans="1:7">
      <c r="A1012" s="926" t="s">
        <v>6708</v>
      </c>
      <c r="B1012" s="423" t="s">
        <v>1008</v>
      </c>
      <c r="C1012" s="435">
        <v>1.3340000000000001</v>
      </c>
      <c r="D1012" s="435">
        <v>630.95100000000002</v>
      </c>
      <c r="E1012" s="435">
        <v>1.46</v>
      </c>
      <c r="F1012" s="215">
        <v>0</v>
      </c>
      <c r="G1012" s="215">
        <v>68135</v>
      </c>
    </row>
    <row r="1013" spans="1:7">
      <c r="A1013" s="926" t="s">
        <v>6710</v>
      </c>
      <c r="B1013" s="423" t="s">
        <v>1009</v>
      </c>
      <c r="C1013" s="435">
        <v>1.3157000000000001</v>
      </c>
      <c r="D1013" s="435">
        <v>2693.03</v>
      </c>
      <c r="E1013" s="435">
        <v>1.45</v>
      </c>
      <c r="F1013" s="215">
        <v>0</v>
      </c>
      <c r="G1013" s="215">
        <v>285299</v>
      </c>
    </row>
    <row r="1014" spans="1:7">
      <c r="A1014" s="926" t="s">
        <v>6192</v>
      </c>
      <c r="B1014" s="423" t="s">
        <v>3630</v>
      </c>
      <c r="C1014" s="435">
        <v>1.37</v>
      </c>
      <c r="D1014" s="435">
        <v>937.37699999999995</v>
      </c>
      <c r="E1014" s="435">
        <v>1.5</v>
      </c>
      <c r="F1014" s="215">
        <v>0</v>
      </c>
      <c r="G1014" s="215">
        <v>91347</v>
      </c>
    </row>
    <row r="1015" spans="1:7">
      <c r="A1015" s="926" t="s">
        <v>2400</v>
      </c>
      <c r="B1015" s="423" t="s">
        <v>2342</v>
      </c>
      <c r="C1015" s="435">
        <v>1.2205999999999999</v>
      </c>
      <c r="D1015" s="435">
        <v>245.554</v>
      </c>
      <c r="E1015" s="435">
        <v>1.3314999999999999</v>
      </c>
      <c r="F1015" s="215">
        <v>0</v>
      </c>
      <c r="G1015" s="215">
        <v>77860</v>
      </c>
    </row>
    <row r="1016" spans="1:7">
      <c r="A1016" s="926" t="s">
        <v>6712</v>
      </c>
      <c r="B1016" s="423" t="s">
        <v>1010</v>
      </c>
      <c r="C1016" s="435">
        <v>1.1893</v>
      </c>
      <c r="D1016" s="435">
        <v>684.75</v>
      </c>
      <c r="E1016" s="435">
        <v>1.2961</v>
      </c>
      <c r="F1016" s="215">
        <v>0</v>
      </c>
      <c r="G1016" s="215">
        <v>74474</v>
      </c>
    </row>
    <row r="1017" spans="1:7">
      <c r="A1017" s="926" t="s">
        <v>6714</v>
      </c>
      <c r="B1017" s="423" t="s">
        <v>1011</v>
      </c>
      <c r="C1017" s="435">
        <v>1.37</v>
      </c>
      <c r="D1017" s="435">
        <v>1501.193</v>
      </c>
      <c r="E1017" s="435">
        <v>1.5</v>
      </c>
      <c r="F1017" s="215">
        <v>0</v>
      </c>
      <c r="G1017" s="215">
        <v>85095</v>
      </c>
    </row>
    <row r="1018" spans="1:7">
      <c r="A1018" s="926" t="s">
        <v>6716</v>
      </c>
      <c r="B1018" s="423" t="s">
        <v>1012</v>
      </c>
      <c r="C1018" s="435">
        <v>1.37</v>
      </c>
      <c r="D1018" s="435">
        <v>1065.33</v>
      </c>
      <c r="E1018" s="435">
        <v>1.5</v>
      </c>
      <c r="F1018" s="215">
        <v>0</v>
      </c>
      <c r="G1018" s="215">
        <v>393028</v>
      </c>
    </row>
    <row r="1019" spans="1:7">
      <c r="A1019" s="926" t="s">
        <v>6718</v>
      </c>
      <c r="B1019" s="423" t="s">
        <v>1013</v>
      </c>
      <c r="C1019" s="435">
        <v>1.3088</v>
      </c>
      <c r="D1019" s="435">
        <v>372.709</v>
      </c>
      <c r="E1019" s="435">
        <v>1.431</v>
      </c>
      <c r="F1019" s="215">
        <v>0</v>
      </c>
      <c r="G1019" s="215">
        <v>43458</v>
      </c>
    </row>
    <row r="1020" spans="1:7">
      <c r="A1020" s="926" t="s">
        <v>2443</v>
      </c>
      <c r="B1020" s="423" t="s">
        <v>1014</v>
      </c>
      <c r="C1020" s="435">
        <v>1.37</v>
      </c>
      <c r="D1020" s="435">
        <v>769.077</v>
      </c>
      <c r="E1020" s="435">
        <v>1.5</v>
      </c>
      <c r="F1020" s="215">
        <v>0</v>
      </c>
      <c r="G1020" s="215">
        <v>74415</v>
      </c>
    </row>
    <row r="1021" spans="1:7">
      <c r="A1021" s="926" t="s">
        <v>2445</v>
      </c>
      <c r="B1021" s="423" t="s">
        <v>1015</v>
      </c>
      <c r="C1021" s="435">
        <v>1.37</v>
      </c>
      <c r="D1021" s="435">
        <v>1290.6289999999999</v>
      </c>
      <c r="E1021" s="435">
        <v>1.5</v>
      </c>
      <c r="F1021" s="215">
        <v>0</v>
      </c>
      <c r="G1021" s="215">
        <v>94818</v>
      </c>
    </row>
    <row r="1022" spans="1:7">
      <c r="A1022" s="926" t="s">
        <v>2447</v>
      </c>
      <c r="B1022" s="423" t="s">
        <v>1016</v>
      </c>
      <c r="C1022" s="435">
        <v>1.37</v>
      </c>
      <c r="D1022" s="435">
        <v>1250.5429999999999</v>
      </c>
      <c r="E1022" s="435">
        <v>1.5</v>
      </c>
      <c r="F1022" s="215">
        <v>0</v>
      </c>
      <c r="G1022" s="215">
        <v>72494</v>
      </c>
    </row>
    <row r="1023" spans="1:7">
      <c r="A1023" s="926" t="s">
        <v>905</v>
      </c>
      <c r="B1023" s="423" t="s">
        <v>1017</v>
      </c>
      <c r="C1023" s="435">
        <v>1.26</v>
      </c>
      <c r="D1023" s="435">
        <v>442.58699999999999</v>
      </c>
      <c r="E1023" s="435">
        <v>1.3785000000000001</v>
      </c>
      <c r="F1023" s="215">
        <v>0</v>
      </c>
      <c r="G1023" s="215">
        <v>44181</v>
      </c>
    </row>
    <row r="1024" spans="1:7">
      <c r="A1024" s="926" t="s">
        <v>1854</v>
      </c>
      <c r="B1024" s="423" t="s">
        <v>4965</v>
      </c>
      <c r="C1024" s="435">
        <v>1.3080000000000001</v>
      </c>
      <c r="D1024" s="435">
        <v>2257.634</v>
      </c>
      <c r="E1024" s="435">
        <v>1.43</v>
      </c>
      <c r="F1024" s="215">
        <v>5438</v>
      </c>
      <c r="G1024" s="215">
        <v>153492</v>
      </c>
    </row>
    <row r="1025" spans="1:7">
      <c r="A1025" s="926" t="s">
        <v>907</v>
      </c>
      <c r="B1025" s="423" t="s">
        <v>1018</v>
      </c>
      <c r="C1025" s="435">
        <v>1.37</v>
      </c>
      <c r="D1025" s="435">
        <v>169.154</v>
      </c>
      <c r="E1025" s="435">
        <v>1.5</v>
      </c>
      <c r="F1025" s="215">
        <v>0</v>
      </c>
      <c r="G1025" s="215">
        <v>12387</v>
      </c>
    </row>
    <row r="1026" spans="1:7">
      <c r="A1026" s="926" t="s">
        <v>6146</v>
      </c>
      <c r="B1026" s="423" t="s">
        <v>3835</v>
      </c>
      <c r="C1026" s="435">
        <v>1.37</v>
      </c>
      <c r="D1026" s="435">
        <v>735.327</v>
      </c>
      <c r="E1026" s="435">
        <v>1.5</v>
      </c>
      <c r="F1026" s="215">
        <v>0</v>
      </c>
      <c r="G1026" s="215">
        <v>24230</v>
      </c>
    </row>
    <row r="1027" spans="1:7">
      <c r="A1027" s="926" t="s">
        <v>909</v>
      </c>
      <c r="B1027" s="423" t="s">
        <v>1019</v>
      </c>
      <c r="C1027" s="435">
        <v>1.37</v>
      </c>
      <c r="D1027" s="435">
        <v>2932.5010000000002</v>
      </c>
      <c r="E1027" s="435">
        <v>1.5</v>
      </c>
      <c r="F1027" s="215">
        <v>156702</v>
      </c>
      <c r="G1027" s="215">
        <v>301664</v>
      </c>
    </row>
    <row r="1028" spans="1:7">
      <c r="A1028" s="926" t="s">
        <v>247</v>
      </c>
      <c r="B1028" s="423" t="s">
        <v>989</v>
      </c>
      <c r="C1028" s="435">
        <v>1.48</v>
      </c>
      <c r="D1028" s="435">
        <v>1867.7940000000001</v>
      </c>
      <c r="E1028" s="435">
        <v>1.48</v>
      </c>
      <c r="F1028" s="215">
        <v>0</v>
      </c>
      <c r="G1028" s="215">
        <v>65504</v>
      </c>
    </row>
    <row r="1029" spans="1:7">
      <c r="A1029" s="926" t="s">
        <v>1527</v>
      </c>
      <c r="B1029" s="423" t="s">
        <v>2154</v>
      </c>
      <c r="C1029" s="435">
        <v>1.37</v>
      </c>
      <c r="D1029" s="435">
        <v>459.84899999999999</v>
      </c>
      <c r="E1029" s="435">
        <v>1.5</v>
      </c>
      <c r="F1029" s="215">
        <v>0</v>
      </c>
      <c r="G1029" s="215">
        <v>22366</v>
      </c>
    </row>
  </sheetData>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dimension ref="A1:AA173"/>
  <sheetViews>
    <sheetView topLeftCell="A7" workbookViewId="0">
      <selection activeCell="C177" sqref="C175:C177"/>
    </sheetView>
  </sheetViews>
  <sheetFormatPr defaultRowHeight="13.2"/>
  <cols>
    <col min="1" max="1" width="2.21875" customWidth="1"/>
    <col min="3" max="3" width="63.77734375" customWidth="1"/>
    <col min="4" max="5" width="14.5546875" hidden="1" customWidth="1"/>
    <col min="6" max="6" width="21.21875" customWidth="1"/>
    <col min="7" max="7" width="40.21875" hidden="1" customWidth="1"/>
    <col min="8" max="8" width="13.77734375" hidden="1" customWidth="1"/>
    <col min="9" max="9" width="14.21875" hidden="1" customWidth="1"/>
    <col min="10" max="10" width="76.21875" hidden="1" customWidth="1"/>
    <col min="11" max="12" width="13.44140625" hidden="1" customWidth="1"/>
    <col min="13" max="13" width="11.77734375" hidden="1" customWidth="1"/>
    <col min="14" max="18" width="0" hidden="1" customWidth="1"/>
    <col min="19" max="20" width="10.77734375" hidden="1" customWidth="1"/>
    <col min="21" max="22" width="0" hidden="1" customWidth="1"/>
    <col min="23" max="23" width="9.77734375" hidden="1" customWidth="1"/>
    <col min="24" max="25" width="12.77734375" hidden="1" customWidth="1"/>
    <col min="26" max="26" width="0" hidden="1" customWidth="1"/>
  </cols>
  <sheetData>
    <row r="1" spans="1:27">
      <c r="A1" s="57" t="s">
        <v>7284</v>
      </c>
      <c r="F1" s="134">
        <f>'Data Entry - SOF'!H1</f>
        <v>0</v>
      </c>
    </row>
    <row r="2" spans="1:27">
      <c r="F2" s="134" t="str">
        <f>'Data Entry - SOF'!H2</f>
        <v>Release 09-10; Revised 10/18/11</v>
      </c>
    </row>
    <row r="3" spans="1:27">
      <c r="F3" s="106">
        <f>'Data Entry - SOF'!H3</f>
        <v>0</v>
      </c>
    </row>
    <row r="6" spans="1:27">
      <c r="A6" s="22" t="s">
        <v>6153</v>
      </c>
    </row>
    <row r="7" spans="1:27">
      <c r="A7" s="28" t="s">
        <v>2945</v>
      </c>
      <c r="B7" s="31"/>
      <c r="C7" s="32"/>
      <c r="D7" s="27"/>
      <c r="E7" s="33"/>
      <c r="F7" s="33"/>
      <c r="G7" s="27"/>
      <c r="H7" t="s">
        <v>3810</v>
      </c>
      <c r="J7" s="59" t="s">
        <v>1219</v>
      </c>
    </row>
    <row r="8" spans="1:27">
      <c r="A8" s="41"/>
      <c r="B8" s="42"/>
      <c r="C8" s="41"/>
      <c r="D8" s="318" t="s">
        <v>2760</v>
      </c>
      <c r="E8" s="319" t="s">
        <v>2761</v>
      </c>
      <c r="F8" s="925" t="s">
        <v>7814</v>
      </c>
      <c r="G8" s="27"/>
      <c r="H8" t="s">
        <v>3811</v>
      </c>
    </row>
    <row r="9" spans="1:27">
      <c r="A9" s="41"/>
      <c r="B9" t="s">
        <v>1601</v>
      </c>
      <c r="D9" s="12" t="e">
        <f>'Data Entry - SOF'!F36</f>
        <v>#N/A</v>
      </c>
      <c r="E9" s="12" t="e">
        <f>'Data Entry - SOF'!H36</f>
        <v>#DIV/0!</v>
      </c>
      <c r="F9" s="12" t="e">
        <f>'Data Entry - SOF'!H36</f>
        <v>#DIV/0!</v>
      </c>
      <c r="G9" s="27"/>
    </row>
    <row r="10" spans="1:27">
      <c r="B10" s="136" t="s">
        <v>6683</v>
      </c>
      <c r="D10" s="12" t="e">
        <f>IF(D9&gt;0.9681*'Data Entry - SOF'!F16,D9,0.9681*'Data Entry - SOF'!F16)</f>
        <v>#N/A</v>
      </c>
      <c r="E10" s="12" t="e">
        <f>IF(E9&gt;0.9681*D9,E9,0.9681*D9)</f>
        <v>#DIV/0!</v>
      </c>
      <c r="F10" s="12" t="e">
        <f>F9</f>
        <v>#DIV/0!</v>
      </c>
      <c r="H10" s="575" t="s">
        <v>1849</v>
      </c>
      <c r="I10" s="575" t="s">
        <v>1849</v>
      </c>
      <c r="J10" s="589" t="s">
        <v>1850</v>
      </c>
      <c r="K10" s="589" t="s">
        <v>1850</v>
      </c>
      <c r="AA10" s="73" t="s">
        <v>7815</v>
      </c>
    </row>
    <row r="11" spans="1:27">
      <c r="B11" t="s">
        <v>1602</v>
      </c>
      <c r="D11" s="12" t="e">
        <f>SUM('Data Entry - SOF'!F39:F46)+SUM('Data Entry - SOF'!F48:F49)</f>
        <v>#N/A</v>
      </c>
      <c r="E11" s="12">
        <f>SUM('Data Entry - SOF'!H39:H46)+SUM('Data Entry - SOF'!H48:H49)</f>
        <v>0</v>
      </c>
      <c r="F11" s="12">
        <f>SUM('Data Entry - SOF'!H39:H46)+SUM('Data Entry - SOF'!H48:H49)</f>
        <v>0</v>
      </c>
      <c r="H11" s="576" t="e">
        <f>SUM('Data Entry - SOF'!F39:F46)+SUM('Data Entry - SOF'!F48:F49)</f>
        <v>#N/A</v>
      </c>
      <c r="I11" s="579" t="e">
        <f>MaxTax!F17</f>
        <v>#N/A</v>
      </c>
      <c r="J11" s="590">
        <f>SUM('Data Entry - SOF'!H39:H46)+'Data Entry - SOF'!H48</f>
        <v>0</v>
      </c>
      <c r="K11" s="588" t="e">
        <f>ROUND(IF((('Data Entry - SOF'!F18)/'Data Entry - SOF'!F20)&lt;0.015,(('Data Entry - SOF'!F18)/'Data Entry - SOF'!F20)*'Data Entry - SOF'!H61,(0.015*'Data Entry - SOF'!H60)),0)</f>
        <v>#N/A</v>
      </c>
    </row>
    <row r="12" spans="1:27">
      <c r="B12" t="s">
        <v>1603</v>
      </c>
      <c r="D12" s="12" t="e">
        <f>('Data Entry - SOF'!F39*5)+('Data Entry - SOF'!F40*3)+('Data Entry - SOF'!F41*5)+('Data Entry - SOF'!F42*3)+('Data Entry - SOF'!F43*3)+('Data Entry - SOF'!F44*2.7)+('Data Entry - SOF'!F45*2.3)+('Data Entry - SOF'!F49*3)</f>
        <v>#N/A</v>
      </c>
      <c r="E12" s="12">
        <f>('Data Entry - SOF'!H39*5)+('Data Entry - SOF'!H40*3)+('Data Entry - SOF'!H41*5)+('Data Entry - SOF'!H42*3)+('Data Entry - SOF'!H43*3)+('Data Entry - SOF'!H44*2.7)+('Data Entry - SOF'!H45*2.3)+('Data Entry - SOF'!H49*3)</f>
        <v>0</v>
      </c>
      <c r="F12" s="12">
        <f>('Data Entry - SOF'!H39*5)+('Data Entry - SOF'!H40*3)+('Data Entry - SOF'!H41*5)+('Data Entry - SOF'!H42*3)+('Data Entry - SOF'!H43*3)+('Data Entry - SOF'!H44*2.7)+('Data Entry - SOF'!H45*2.3)+('Data Entry - SOF'!H49*3)</f>
        <v>0</v>
      </c>
      <c r="H12" s="576" t="e">
        <f>('Data Entry - SOF'!F39*5)+('Data Entry - SOF'!F40*3)+('Data Entry - SOF'!F41*5)+('Data Entry - SOF'!F42*3)+('Data Entry - SOF'!F43*3)+('Data Entry - SOF'!F44*2.7)+('Data Entry - SOF'!F45*2.3)+('Data Entry - SOF'!F49*3)</f>
        <v>#N/A</v>
      </c>
      <c r="I12" s="580" t="e">
        <f>ROUND((('SOF0506-CL'!H38-'SOF0506-CL'!H36-'SOF0506-CL'!H35-'SOF0506-CL'!H32-'SOF0506-CL'!H26)-(((H25-2396)*0.5)/H25)*('SOF0506-CL'!H38-'SOF0506-CL'!H36-'SOF0506-CL'!H35-'SOF0506-CL'!H32-'SOF0506-CL'!H26))/2396,4)</f>
        <v>#N/A</v>
      </c>
      <c r="J12" s="590">
        <f>('Data Entry - SOF'!H39*5)+('Data Entry - SOF'!H40*3)+('Data Entry - SOF'!H41*5)+('Data Entry - SOF'!H42*3)+('Data Entry - SOF'!H43*3)+('Data Entry - SOF'!H49*3)+('Data Entry - SOF'!H44*2.7)+('Data Entry - SOF'!H45*2.3)</f>
        <v>0</v>
      </c>
      <c r="K12" s="585" t="e">
        <f>ROUND((('SOF0607-CL'!H38-'SOF0607-CL'!H36-'SOF0607-CL'!H35)-(((J25-2396)*0.5)/J25)*('SOF0607-CL'!H38-'SOF0607-CL'!H36-'SOF0607-CL'!H35))/2396,4)</f>
        <v>#N/A</v>
      </c>
    </row>
    <row r="13" spans="1:27">
      <c r="B13" t="s">
        <v>7816</v>
      </c>
      <c r="D13" s="12"/>
      <c r="E13" s="12"/>
      <c r="F13" s="12" t="e">
        <f>'Enter Attendance.Funding Sheet'!I43</f>
        <v>#DIV/0!</v>
      </c>
      <c r="H13" s="576"/>
      <c r="I13" s="580"/>
      <c r="J13" s="590"/>
      <c r="K13" s="585"/>
    </row>
    <row r="14" spans="1:27">
      <c r="B14" t="s">
        <v>1604</v>
      </c>
      <c r="D14" s="12" t="e">
        <f>D10-D11-'Data Entry - SOF'!F51</f>
        <v>#N/A</v>
      </c>
      <c r="E14" s="12" t="e">
        <f>E10-E11-'Data Entry - SOF'!H51</f>
        <v>#DIV/0!</v>
      </c>
      <c r="F14" s="12" t="e">
        <f>F10-F11-'Data Entry - SOF'!H51</f>
        <v>#DIV/0!</v>
      </c>
      <c r="H14" s="576" t="e">
        <f>D14</f>
        <v>#N/A</v>
      </c>
      <c r="I14" s="581" t="e">
        <f>'Data Entry - SOF'!F70/('Data Entry - SOF'!F62/100)</f>
        <v>#N/A</v>
      </c>
      <c r="J14" s="590" t="e">
        <f>E14</f>
        <v>#DIV/0!</v>
      </c>
      <c r="K14" s="586" t="e">
        <f>'Data Entry - SOF'!H70/('Data Entry - SOF'!H61/100)</f>
        <v>#N/A</v>
      </c>
    </row>
    <row r="15" spans="1:27">
      <c r="B15" t="s">
        <v>1605</v>
      </c>
      <c r="D15" s="15" t="e">
        <f>IF(D14&gt;129.999,0,IF(OR('Data Entry - SOF'!D273&gt;'Data Entry - SOF'!D274,'Data Entry - SOF'!D273&gt;'Data Entry - SOF'!D275),'Data Entry - SOF'!D273,IF('Data Entry - SOF'!D274&gt;'Data Entry - SOF'!D275,'Data Entry - SOF'!D274,'Data Entry - SOF'!D275)))</f>
        <v>#N/A</v>
      </c>
      <c r="E15" s="15" t="e">
        <f>IF(E14&gt;129.999,0,IF(OR('Data Entry - SOF'!F273&gt;'Data Entry - SOF'!F274,'Data Entry - SOF'!F273&gt;'Data Entry - SOF'!F275),'Data Entry - SOF'!F273,IF('Data Entry - SOF'!F274&gt;'Data Entry - SOF'!F275,'Data Entry - SOF'!F274,'Data Entry - SOF'!F275)))</f>
        <v>#DIV/0!</v>
      </c>
      <c r="F15" s="15" t="e">
        <f>IF(F14&gt;129.999,0,IF(OR('Data Entry - SOF'!F273&gt;'Data Entry - SOF'!F274,'Data Entry - SOF'!F273&gt;'Data Entry - SOF'!F275),'Data Entry - SOF'!F273,IF('Data Entry - SOF'!F274&gt;'Data Entry - SOF'!F275,'Data Entry - SOF'!F274,'Data Entry - SOF'!F275)))</f>
        <v>#DIV/0!</v>
      </c>
      <c r="H15" s="577" t="e">
        <f>IF(H14&gt;129.999,0,IF(OR('Data Entry - SOF'!D273&gt;'Data Entry - SOF'!D274,'Data Entry - SOF'!D273&gt;'Data Entry - SOF'!D275),'Data Entry - SOF'!D273,IF('Data Entry - SOF'!D274&gt;'Data Entry - SOF'!D275,'Data Entry - SOF'!D274,'Data Entry - SOF'!D275)))</f>
        <v>#N/A</v>
      </c>
      <c r="I15" s="581" t="e">
        <f>('Data Entry - SOF'!F70/('Data Entry - SOF'!F62/100))-0.86</f>
        <v>#N/A</v>
      </c>
      <c r="J15" s="591" t="e">
        <f>IF(H14&gt;129.999,0,IF(OR('Data Entry - SOF'!D273&gt;'Data Entry - SOF'!D274,'Data Entry - SOF'!D273&gt;'Data Entry - SOF'!D275),'Data Entry - SOF'!D273,IF('Data Entry - SOF'!D274&gt;'Data Entry - SOF'!D275,'Data Entry - SOF'!D274,'Data Entry - SOF'!D275)))</f>
        <v>#N/A</v>
      </c>
      <c r="K15" s="586" t="e">
        <f>(K11/('Data Entry - SOF'!H61/100))-0.86</f>
        <v>#N/A</v>
      </c>
    </row>
    <row r="16" spans="1:27">
      <c r="D16" s="42"/>
      <c r="E16" s="42"/>
      <c r="F16" s="42"/>
      <c r="H16" s="448"/>
      <c r="I16" s="449"/>
      <c r="J16" s="450"/>
      <c r="K16" s="449"/>
    </row>
    <row r="17" spans="2:11">
      <c r="B17" s="136" t="s">
        <v>6684</v>
      </c>
    </row>
    <row r="18" spans="2:11">
      <c r="B18" s="136" t="s">
        <v>5397</v>
      </c>
    </row>
    <row r="19" spans="2:11">
      <c r="B19" s="136" t="s">
        <v>622</v>
      </c>
      <c r="G19" s="94"/>
      <c r="H19" s="94"/>
    </row>
    <row r="20" spans="2:11">
      <c r="B20" s="136"/>
      <c r="G20" s="94"/>
      <c r="H20" s="575" t="s">
        <v>1849</v>
      </c>
      <c r="I20" s="575" t="s">
        <v>1849</v>
      </c>
    </row>
    <row r="21" spans="2:11">
      <c r="B21" s="57"/>
      <c r="D21" s="318" t="s">
        <v>2760</v>
      </c>
      <c r="E21" s="319" t="s">
        <v>2761</v>
      </c>
      <c r="F21" s="925" t="s">
        <v>7814</v>
      </c>
      <c r="H21" s="577"/>
      <c r="I21" s="581"/>
      <c r="J21" s="591"/>
      <c r="K21" s="77"/>
    </row>
    <row r="22" spans="2:11">
      <c r="B22" t="s">
        <v>1969</v>
      </c>
      <c r="D22" s="15">
        <f>IF('Data Entry - SOF'!F78&gt;300,0.0004,0.00025)</f>
        <v>2.5000000000000001E-4</v>
      </c>
      <c r="E22" s="15">
        <f>IF('Data Entry - SOF'!H78&gt;300,0.0004,0.00025)</f>
        <v>2.5000000000000001E-4</v>
      </c>
      <c r="F22" s="15">
        <f>IF('Data Entry - SOF'!H78&gt;300,0.0004,0.00025)</f>
        <v>2.5000000000000001E-4</v>
      </c>
      <c r="H22" s="577">
        <f>IF('Data Entry - SOF'!F78&gt;300,0.0004,0.00025)</f>
        <v>2.5000000000000001E-4</v>
      </c>
      <c r="I22" s="581" t="e">
        <f>MaxTax!F15</f>
        <v>#N/A</v>
      </c>
      <c r="J22" s="591">
        <f>IF('Data Entry - SOF'!H78&gt;300,0.0004,0.00025)</f>
        <v>2.5000000000000001E-4</v>
      </c>
      <c r="K22" s="77"/>
    </row>
    <row r="23" spans="2:11">
      <c r="B23" t="s">
        <v>7336</v>
      </c>
      <c r="D23" s="15"/>
      <c r="E23" s="15"/>
      <c r="F23" s="936" t="e">
        <f>'0506Data'!H2</f>
        <v>#N/A</v>
      </c>
      <c r="H23" s="577"/>
      <c r="I23" s="581"/>
      <c r="J23" s="591"/>
      <c r="K23" s="77"/>
    </row>
    <row r="24" spans="2:11">
      <c r="B24" t="s">
        <v>7817</v>
      </c>
      <c r="D24" s="15"/>
      <c r="E24" s="15"/>
      <c r="F24" s="940" t="e">
        <f>'COE Index'!C2</f>
        <v>#N/A</v>
      </c>
      <c r="H24" s="577"/>
      <c r="I24" s="581"/>
      <c r="J24" s="591"/>
      <c r="K24" s="77"/>
    </row>
    <row r="25" spans="2:11">
      <c r="B25" t="s">
        <v>35</v>
      </c>
      <c r="D25" s="11" t="e">
        <f>ROUND(2537*(((D64-1)*0.71)+1),0)</f>
        <v>#N/A</v>
      </c>
      <c r="E25" s="930">
        <v>3246</v>
      </c>
      <c r="F25" s="64" t="e">
        <f>F23*(1+(F24*0.71))</f>
        <v>#N/A</v>
      </c>
      <c r="H25" s="578">
        <f>ROUND(2396*((('Data Entry - SOF'!F80-1)*0.71)+1),0)</f>
        <v>695</v>
      </c>
      <c r="I25" s="578" t="e">
        <f>ROUND(IF(I22&gt;0.64,0.64*('Data Entry - SOF'!F62/100),I22*('Data Entry - SOF'!F62/100)),0)</f>
        <v>#N/A</v>
      </c>
      <c r="J25" s="592">
        <f>ROUND(2396*((('Data Entry - SOF'!H80-1)*0.71)+1),0)</f>
        <v>695</v>
      </c>
      <c r="K25" s="76"/>
    </row>
    <row r="26" spans="2:11">
      <c r="B26" t="s">
        <v>7826</v>
      </c>
      <c r="D26" s="11"/>
      <c r="E26" s="930"/>
      <c r="F26" s="941" t="e">
        <f>SqMile!C1</f>
        <v>#N/A</v>
      </c>
      <c r="H26" s="578"/>
      <c r="I26" s="905"/>
      <c r="J26" s="592"/>
      <c r="K26" s="312"/>
    </row>
    <row r="27" spans="2:11">
      <c r="B27" t="s">
        <v>7337</v>
      </c>
      <c r="D27" s="11"/>
      <c r="E27" s="930"/>
      <c r="F27" s="932" t="e">
        <f>F25*(1+(1600-IF(F14&gt;F15,F14,F15))*F26)</f>
        <v>#N/A</v>
      </c>
      <c r="H27" s="578"/>
      <c r="I27" s="905"/>
      <c r="J27" s="592"/>
      <c r="K27" s="312"/>
    </row>
    <row r="28" spans="2:11">
      <c r="B28" t="s">
        <v>1970</v>
      </c>
      <c r="D28" s="11" t="e">
        <f>ROUND(IF('Data Entry - SOF'!F89="Y",0,IF(OR(D14&gt;4999.999,'Data Entry - SOF'!F77&lt;12),0,(1+((5000-D14)*0.000025))*D25)),0)</f>
        <v>#N/A</v>
      </c>
      <c r="E28" s="11" t="e">
        <f>ROUND(IF('Data Entry - SOF'!H89="Y",0,IF(OR(E14&gt;4999.999,'Data Entry - SOF'!H77&lt;12),0,(1+((5000-E14)*0.000025))*E25)),0)</f>
        <v>#DIV/0!</v>
      </c>
      <c r="F28" s="931" t="e">
        <f>F25*(1+((5000-F14)*0.000025))</f>
        <v>#N/A</v>
      </c>
      <c r="H28" s="578" t="e">
        <f>ROUND(IF('Data Entry - SOF'!F89="Y",0,IF(OR(H14&gt;4999.999,'Data Entry - SOF'!F77&lt;12),0,(1+((5000-H14)*0.000025))*H25)),0)</f>
        <v>#N/A</v>
      </c>
      <c r="I28" s="78"/>
      <c r="J28" s="592" t="e">
        <f>ROUND(IF('Data Entry - SOF'!H89="Y",0,IF(OR(J14&gt;4999.999,'Data Entry - SOF'!H77&lt;12),0,(1+((5000-J14)*0.000025))*J25)),0)</f>
        <v>#DIV/0!</v>
      </c>
    </row>
    <row r="29" spans="2:11">
      <c r="B29" t="s">
        <v>36</v>
      </c>
      <c r="D29" s="11" t="e">
        <f>IF(AND(D28&gt;#REF!,D28&gt;D25),D28,IF(AND(#REF!&gt;D25,#REF!&gt;D28),#REF!,D25))</f>
        <v>#N/A</v>
      </c>
      <c r="E29" s="11" t="e">
        <f>IF(AND(E28&gt;#REF!,E28&gt;E25),E28,IF(AND(#REF!&gt;E25,#REF!&gt;E28),#REF!,E25))</f>
        <v>#DIV/0!</v>
      </c>
      <c r="F29" s="11" t="e">
        <f>MAX(F25,F27,F28)</f>
        <v>#N/A</v>
      </c>
      <c r="H29" s="578" t="e">
        <f>IF(AND(H28&gt;#REF!,H28&gt;H25),H28,IF(AND(#REF!&gt;H25,#REF!&gt;H28),#REF!,H25))</f>
        <v>#N/A</v>
      </c>
      <c r="I29" s="78"/>
      <c r="J29" s="592" t="e">
        <f>IF(AND(J28&gt;#REF!,J28&gt;J25),J28,IF(AND(#REF!&gt;J25,#REF!&gt;J28),#REF!,J25))</f>
        <v>#DIV/0!</v>
      </c>
    </row>
    <row r="30" spans="2:11" hidden="1">
      <c r="B30" t="s">
        <v>7650</v>
      </c>
      <c r="D30" s="11" t="e">
        <f>MaxTax!F17</f>
        <v>#N/A</v>
      </c>
      <c r="E30" s="11" t="e">
        <f>MaxTax!G17</f>
        <v>#N/A</v>
      </c>
      <c r="F30" s="440"/>
      <c r="H30" s="312"/>
      <c r="I30" s="78"/>
      <c r="J30" s="313"/>
    </row>
    <row r="31" spans="2:11" hidden="1">
      <c r="B31" t="s">
        <v>7651</v>
      </c>
      <c r="D31" s="13" t="e">
        <f>ROUND((('SOF0506-CL'!F38-'SOF0506-CL'!F36-'SOF0506-CL'!F35-'SOF0506-CL'!F32-'SOF0506-CL'!F26)-(((D25-2537)*0.5)/D25)*('SOF0506-CL'!F38-'SOF0506-CL'!F36-'SOF0506-CL'!F35-'SOF0506-CL'!F32-'SOF0506-CL'!F26))/2537,4)</f>
        <v>#N/A</v>
      </c>
      <c r="E31" s="13" t="e">
        <f>ROUND((('SOF0607-CL'!F38-'SOF0607-CL'!F36-'SOF0607-CL'!F35-'SOF0607-CL'!F32-'SOF0607-CL'!F26)-(((E25-2537)*0.5)/E25)*('SOF0607-CL'!F38-'SOF0607-CL'!F36-'SOF0607-CL'!F35-'SOF0607-CL'!F32-'SOF0607-CL'!F26))/2537,4)</f>
        <v>#DIV/0!</v>
      </c>
      <c r="F31" s="13" t="e">
        <f>ROUND((('SOF0607-HB1'!F38-'SOF0607-HB1'!F36-'SOF0607-HB1'!F35-'SOF0607-HB1'!F32-'SOF0607-HB1'!F26)-(((F25-2748)*0.5)/F25)*('SOF0607-HB1'!F38-'SOF0607-HB1'!F36-'SOF0607-HB1'!F35-'SOF0607-HB1'!F32-'SOF0607-HB1'!F26))/2748,4)</f>
        <v>#N/A</v>
      </c>
      <c r="H31" s="582" t="s">
        <v>1850</v>
      </c>
      <c r="I31" s="582" t="s">
        <v>1850</v>
      </c>
      <c r="J31" s="313"/>
    </row>
    <row r="32" spans="2:11" hidden="1">
      <c r="B32" t="s">
        <v>1374</v>
      </c>
      <c r="D32" s="14" t="e">
        <f>('Data Entry - SOF'!F70-IFA!H72)/('Data Entry - SOF'!F64/100)</f>
        <v>#N/A</v>
      </c>
      <c r="E32" s="14" t="e">
        <f>('Data Entry - SOF'!H72-IFA!L72)/('Data Entry - SOF'!H64/100)</f>
        <v>#N/A</v>
      </c>
      <c r="F32" s="14" t="e">
        <f>('Data Entry - SOF'!H70-IFA!L72)/('Data Entry - SOF'!H62/100)</f>
        <v>#N/A</v>
      </c>
      <c r="G32" s="94" t="e">
        <f>'Data Entry - SOF'!H70/('Data Entry - SOF'!H69*100)</f>
        <v>#N/A</v>
      </c>
      <c r="H32" s="583">
        <f>SUM('Data Entry - SOF'!H39:H46)+SUM('Data Entry - SOF'!H48:H49)</f>
        <v>0</v>
      </c>
      <c r="I32" s="584" t="e">
        <f>MaxTax!G17</f>
        <v>#N/A</v>
      </c>
      <c r="J32" s="590">
        <f>SUM('Data Entry - SOF'!H39:H46)+'Data Entry - SOF'!H48</f>
        <v>0</v>
      </c>
      <c r="K32" s="588" t="e">
        <f>ROUND(IF((('Data Entry - SOF'!F18)/'Data Entry - SOF'!F20)&lt;0.015,(('Data Entry - SOF'!F18)/'Data Entry - SOF'!F20)*'Data Entry - SOF'!H61,(0.015*'Data Entry - SOF'!H60)),0)</f>
        <v>#N/A</v>
      </c>
    </row>
    <row r="33" spans="2:24" hidden="1">
      <c r="B33" t="s">
        <v>2756</v>
      </c>
      <c r="D33" s="14" t="e">
        <f>(('Data Entry - SOF'!F70-IFA!H72)/('Data Entry - SOF'!F64/100))-0.86</f>
        <v>#N/A</v>
      </c>
      <c r="E33" s="14" t="e">
        <f>(('Data Entry - SOF'!H72-IFA!L72)/('Data Entry - SOF'!H64/100))-0.86</f>
        <v>#N/A</v>
      </c>
      <c r="F33" s="441"/>
      <c r="G33" s="94" t="e">
        <f>G32*(('Data Entry - SOF'!H69-0.04)*100)</f>
        <v>#N/A</v>
      </c>
      <c r="H33" s="583">
        <f>('Data Entry - SOF'!H39*5)+('Data Entry - SOF'!H40*3)+('Data Entry - SOF'!H41*5)+('Data Entry - SOF'!H42*3)+('Data Entry - SOF'!H43*3)+('Data Entry - SOF'!H44*2.7)+('Data Entry - SOF'!H45*2.3)+('Data Entry - SOF'!H49*3)</f>
        <v>0</v>
      </c>
      <c r="I33" s="585" t="e">
        <f>E31</f>
        <v>#DIV/0!</v>
      </c>
      <c r="J33" s="590">
        <f>('Data Entry - SOF'!H39*5)+('Data Entry - SOF'!H40*3)+('Data Entry - SOF'!H41*5)+('Data Entry - SOF'!H42*3)+('Data Entry - SOF'!H43*3)+('Data Entry - SOF'!H49*3)+('Data Entry - SOF'!H44*2.7)+('Data Entry - SOF'!H45*2.3)</f>
        <v>0</v>
      </c>
      <c r="K33" s="585" t="e">
        <f>ROUND((('SOF0607-CL'!F38-'SOF0607-CL'!F36-'SOF0607-CL'!F35)-(((H39-2396)*0.5)/H39)*('SOF0607-CL'!F38-'SOF0607-CL'!F36-'SOF0607-CL'!F35))/2396,4)</f>
        <v>#DIV/0!</v>
      </c>
    </row>
    <row r="34" spans="2:24" hidden="1">
      <c r="B34" t="s">
        <v>3008</v>
      </c>
      <c r="D34" s="14" t="e">
        <f>MaxTax!F15</f>
        <v>#N/A</v>
      </c>
      <c r="E34" s="14" t="e">
        <f>MaxTax!G15</f>
        <v>#N/A</v>
      </c>
      <c r="F34" s="442" t="e">
        <f>IF(F32-0.86&gt;0.64,0.64,F32-0.86)</f>
        <v>#N/A</v>
      </c>
      <c r="H34" s="583"/>
      <c r="I34" s="585"/>
      <c r="J34" s="590"/>
      <c r="K34" s="585"/>
    </row>
    <row r="35" spans="2:24" hidden="1">
      <c r="B35" t="s">
        <v>6048</v>
      </c>
      <c r="D35" s="14" t="e">
        <f>ROUND(IF((IF('Data Entry - SOF'!F70-IFA!H72&gt;D30,D30-'SOF0506-CL'!F39,'Data Entry - SOF'!F70-IFA!H72-'SOF0506-CL'!F39))/('Data Entry - SOF'!F64/100)&lt;0,0,(IF('Data Entry - SOF'!F70-IFA!H72&gt;D30,D30-'SOF0506-CL'!F39,'Data Entry - SOF'!F70-IFA!H72-'SOF0506-CL'!F39))/('Data Entry - SOF'!F64/100)),6)</f>
        <v>#N/A</v>
      </c>
      <c r="E35" s="14" t="e">
        <f>ROUND(IF((IF('Data Entry - SOF'!H72-IFA!L72&gt;E30,E30-'SOF0607-CL'!F39,'Data Entry - SOF'!H72-IFA!L72-'SOF0607-CL'!F39))/('Data Entry - SOF'!H64/100)&lt;0,0,(IF('Data Entry - SOF'!H72-IFA!L72&gt;E30,E30-'SOF0607-CL'!F39,'Data Entry - SOF'!H72-IFA!L72-'SOF0607-CL'!F39))/('Data Entry - SOF'!H64/100)),6)</f>
        <v>#N/A</v>
      </c>
      <c r="F35" s="441"/>
      <c r="H35" s="583" t="e">
        <f>E14</f>
        <v>#DIV/0!</v>
      </c>
      <c r="I35" s="586" t="e">
        <f>'Data Entry - SOF'!H70/('Data Entry - SOF'!H62/100)</f>
        <v>#N/A</v>
      </c>
      <c r="J35" s="590" t="e">
        <f>'Data Entry - SOF'!H36-D32-'Data Entry - SOF'!H51</f>
        <v>#DIV/0!</v>
      </c>
      <c r="K35" s="586" t="e">
        <f>'Data Entry - SOF'!H70/('Data Entry - SOF'!H61/100)</f>
        <v>#N/A</v>
      </c>
    </row>
    <row r="36" spans="2:24" hidden="1">
      <c r="B36" t="s">
        <v>632</v>
      </c>
      <c r="D36" s="11" t="e">
        <f>ROUND(IF(D35&gt;0.64,0.64*('Data Entry - SOF'!F64/100),D35*('Data Entry - SOF'!F64/100)),0)</f>
        <v>#N/A</v>
      </c>
      <c r="E36" s="11" t="e">
        <f>ROUND(IF(E35&gt;0.64,0.64*('Data Entry - SOF'!H64/100),E35*('Data Entry - SOF'!H64/100)),0)</f>
        <v>#N/A</v>
      </c>
      <c r="F36" s="441"/>
      <c r="H36" s="587" t="e">
        <f>IF(H35&gt;129.999,0,IF(OR('Data Entry - SOF'!F273&gt;'Data Entry - SOF'!F274,'Data Entry - SOF'!F273&gt;'Data Entry - SOF'!F275),'Data Entry - SOF'!F273,IF('Data Entry - SOF'!F274&gt;'Data Entry - SOF'!F275,'Data Entry - SOF'!F274,'Data Entry - SOF'!F275)))</f>
        <v>#DIV/0!</v>
      </c>
      <c r="I36" s="586" t="e">
        <f>('Data Entry - SOF'!H70/('Data Entry - SOF'!H62/100))-0.86</f>
        <v>#N/A</v>
      </c>
      <c r="J36" s="591" t="e">
        <f>IF(H35&gt;129.999,0,IF(OR('Data Entry - SOF'!F273&gt;'Data Entry - SOF'!F274,'Data Entry - SOF'!F273&gt;'Data Entry - SOF'!F275),'Data Entry - SOF'!F273,IF('Data Entry - SOF'!F274&gt;'Data Entry - SOF'!F275,'Data Entry - SOF'!F274,'Data Entry - SOF'!F275)))</f>
        <v>#DIV/0!</v>
      </c>
      <c r="K36" s="586" t="e">
        <f>(K32/('Data Entry - SOF'!H61/100))-0.86</f>
        <v>#N/A</v>
      </c>
    </row>
    <row r="37" spans="2:24" hidden="1">
      <c r="D37" s="318"/>
      <c r="E37" s="319"/>
      <c r="F37" s="441"/>
      <c r="H37" s="587"/>
      <c r="I37" s="586"/>
      <c r="J37" s="591"/>
      <c r="K37" s="586"/>
    </row>
    <row r="38" spans="2:24" hidden="1">
      <c r="B38" t="s">
        <v>1559</v>
      </c>
      <c r="D38" s="11" t="e">
        <f>'Data Entry - SOF'!F70-IFA!H72</f>
        <v>#N/A</v>
      </c>
      <c r="E38" s="11" t="e">
        <f>'Data Entry - SOF'!H72-IFA!L72</f>
        <v>#N/A</v>
      </c>
      <c r="F38" s="441"/>
      <c r="H38" s="587" t="e">
        <f>IF('Data Entry - SOF'!H87&gt;300,0.0004,0.00025)</f>
        <v>#N/A</v>
      </c>
      <c r="I38" s="586" t="e">
        <f>MaxTax!G15</f>
        <v>#N/A</v>
      </c>
      <c r="J38" s="591">
        <f>IF('Data Entry - SOF'!H78&gt;300,0.0004,0.00025)</f>
        <v>2.5000000000000001E-4</v>
      </c>
      <c r="K38" s="586" t="e">
        <f>ROUND(IF((IF(K32-'Data Entry - SOF'!H45&gt;K32,K32-'SOF0607-CL'!F39,K32-'Data Entry - SOF'!H45-'SOF0607-CL'!G39))/('Data Entry - SOF'!H61/100)&lt;0,0,(IF(K32-'Data Entry - SOF'!H45&gt;K32,K32-'SOF0607-CL'!F39,K32-'Data Entry - SOF'!H45-'SOF0607-CL'!F39))/('Data Entry - SOF'!H61/100)),6)</f>
        <v>#N/A</v>
      </c>
    </row>
    <row r="39" spans="2:24" hidden="1">
      <c r="B39" t="s">
        <v>1650</v>
      </c>
      <c r="D39" s="318"/>
      <c r="E39" s="319"/>
      <c r="F39" s="439"/>
      <c r="H39" s="588" t="e">
        <f>ROUND(2396*(((E64-1)*0.71)+1),0)</f>
        <v>#DIV/0!</v>
      </c>
      <c r="I39" s="588" t="e">
        <f>ROUND(IF(I38&gt;0.64,0.64*('Data Entry - SOF'!H62/100),I38*('Data Entry - SOF'!H62/100)),0)</f>
        <v>#N/A</v>
      </c>
      <c r="J39" s="592">
        <f>ROUND(2396*((('Data Entry - SOF'!H80-1)*0.71)+1),0)</f>
        <v>695</v>
      </c>
      <c r="K39" s="588" t="e">
        <f>ROUND(IF(K38&gt;0.64,0.64*('Data Entry - SOF'!H61/100),K38*('Data Entry - SOF'!H61/100)),0)</f>
        <v>#N/A</v>
      </c>
    </row>
    <row r="40" spans="2:24" hidden="1">
      <c r="D40" s="318"/>
      <c r="E40" s="319"/>
      <c r="F40" s="319"/>
      <c r="H40" s="588" t="e">
        <f>ROUND(IF(H35&gt;1600,H39,(1+(1600-IF(H35&gt;H36,H35,H36))*H38)*H39),0)</f>
        <v>#DIV/0!</v>
      </c>
      <c r="I40" s="78"/>
      <c r="J40" s="592" t="e">
        <f>ROUND(IF(J35&gt;1600,J39,(1+(1600-IF(J35&gt;J36,J35,J36))*J38)*J39),0)</f>
        <v>#DIV/0!</v>
      </c>
      <c r="W40" t="e">
        <f>('Data Entry - SOF'!H70-IFA!L72)/('Data Entry - SOF'!H69*100)</f>
        <v>#N/A</v>
      </c>
    </row>
    <row r="41" spans="2:24" hidden="1">
      <c r="B41" t="s">
        <v>3007</v>
      </c>
      <c r="D41" s="316"/>
      <c r="F41" s="439"/>
      <c r="W41" t="e">
        <f>W40*IF('Data Entry - SOF'!H69&lt;'Data Entry - SOF'!H68,('Data Entry - SOF'!H69*100),('Data Entry - SOF'!H68*100))</f>
        <v>#N/A</v>
      </c>
    </row>
    <row r="42" spans="2:24" hidden="1">
      <c r="B42" t="s">
        <v>683</v>
      </c>
      <c r="D42" s="316"/>
      <c r="F42" s="568" t="e">
        <f>W40</f>
        <v>#N/A</v>
      </c>
      <c r="W42" s="443" t="e">
        <f>(W41/'Data Entry - SOF'!H62)*100</f>
        <v>#N/A</v>
      </c>
    </row>
    <row r="43" spans="2:24" hidden="1">
      <c r="B43" t="s">
        <v>3922</v>
      </c>
      <c r="D43" s="316"/>
      <c r="F43" s="568" t="e">
        <f>W41</f>
        <v>#N/A</v>
      </c>
      <c r="X43" s="444" t="e">
        <f>IF(W42-0.86&gt;0.64,0.64,W42-0.86)</f>
        <v>#N/A</v>
      </c>
    </row>
    <row r="44" spans="2:24" hidden="1">
      <c r="B44" t="s">
        <v>982</v>
      </c>
      <c r="D44" s="316"/>
      <c r="F44" s="14" t="e">
        <f>W42</f>
        <v>#N/A</v>
      </c>
      <c r="W44" t="e">
        <f>IF('Data Entry - SOF'!H69&lt;'Data Entry - SOF'!H68,0,IF('Data Entry - SOF'!H69&gt;'Data Entry - SOF'!H68+0.04,0.04*100,('Data Entry - SOF'!H69-'Data Entry - SOF'!H68)*100))</f>
        <v>#N/A</v>
      </c>
      <c r="X44" s="444" t="e">
        <f>((W44*W40)/'Data Entry - SOF'!H62)*100</f>
        <v>#N/A</v>
      </c>
    </row>
    <row r="45" spans="2:24" hidden="1">
      <c r="B45" s="573" t="s">
        <v>1375</v>
      </c>
      <c r="C45" s="470"/>
      <c r="D45" s="574"/>
      <c r="E45" s="212"/>
      <c r="F45" s="571" t="e">
        <f>X43</f>
        <v>#N/A</v>
      </c>
      <c r="H45" s="443" t="e">
        <f>F34</f>
        <v>#N/A</v>
      </c>
      <c r="W45" t="e">
        <f>IF('Data Entry - SOF'!H69-'Data Entry - SOF'!H68&gt;0.04,('Data Entry - SOF'!H69-('Data Entry - SOF'!H68+0.04))*100,0)</f>
        <v>#N/A</v>
      </c>
      <c r="X45" s="444" t="e">
        <f>((W45*W40)/'Data Entry - SOF'!H63)*100</f>
        <v>#N/A</v>
      </c>
    </row>
    <row r="46" spans="2:24" hidden="1">
      <c r="B46" t="s">
        <v>1965</v>
      </c>
      <c r="D46" s="316"/>
      <c r="F46" s="522" t="e">
        <f>W44</f>
        <v>#N/A</v>
      </c>
      <c r="H46" s="443"/>
      <c r="X46" s="569"/>
    </row>
    <row r="47" spans="2:24" hidden="1">
      <c r="B47" t="s">
        <v>1905</v>
      </c>
      <c r="D47" s="316"/>
      <c r="F47" s="570" t="e">
        <f>F46*F42</f>
        <v>#N/A</v>
      </c>
      <c r="H47" s="443"/>
      <c r="X47" s="569"/>
    </row>
    <row r="48" spans="2:24" hidden="1">
      <c r="B48" s="57" t="s">
        <v>3634</v>
      </c>
      <c r="D48" s="316"/>
      <c r="F48" s="572" t="e">
        <f>X44</f>
        <v>#N/A</v>
      </c>
      <c r="G48" s="443"/>
      <c r="H48" s="443"/>
      <c r="I48" s="443" t="e">
        <f>IF('Data Entry - SOF'!H69&lt;='Data Entry - SOF'!H68,0,(F47/('Data Entry - SOF'!H63/100)))</f>
        <v>#N/A</v>
      </c>
      <c r="J48" s="50" t="s">
        <v>1643</v>
      </c>
    </row>
    <row r="49" spans="2:10" hidden="1">
      <c r="B49" t="s">
        <v>6645</v>
      </c>
      <c r="D49" s="316"/>
      <c r="F49" s="444" t="e">
        <f>W45</f>
        <v>#N/A</v>
      </c>
      <c r="G49" s="443"/>
      <c r="H49" s="443"/>
      <c r="I49" s="443"/>
      <c r="J49" s="50"/>
    </row>
    <row r="50" spans="2:10" hidden="1">
      <c r="B50" t="s">
        <v>3651</v>
      </c>
      <c r="D50" s="316"/>
      <c r="F50" s="308" t="e">
        <f>F49*F42</f>
        <v>#N/A</v>
      </c>
      <c r="G50" s="443"/>
      <c r="H50" s="443"/>
      <c r="I50" s="443"/>
      <c r="J50" s="50"/>
    </row>
    <row r="51" spans="2:10" hidden="1">
      <c r="B51" s="57" t="s">
        <v>3635</v>
      </c>
      <c r="D51" s="316"/>
      <c r="F51" s="572" t="e">
        <f>IF(F45=0.64,0,IF(F45+X45&gt;0.64,0.64-F45,X45))</f>
        <v>#N/A</v>
      </c>
      <c r="G51" s="443"/>
      <c r="H51" s="443"/>
      <c r="I51" s="443" t="e">
        <f>IF('Data Entry - SOF'!H69&lt;'Data Entry - SOF'!H68+0.04,0,F50/('Data Entry - SOF'!H63/100))</f>
        <v>#N/A</v>
      </c>
      <c r="J51" s="50" t="s">
        <v>1644</v>
      </c>
    </row>
    <row r="52" spans="2:10" hidden="1">
      <c r="D52" s="316"/>
      <c r="F52" s="439"/>
      <c r="H52" s="443"/>
      <c r="I52" s="444" t="e">
        <f>IF('SOF0607-HB1'!Y47=0.64,0,IF('SOF0607-HB1'!Y47+I51&gt;0.64,0.64-'SOF0607-HB1'!Y47,I51))</f>
        <v>#N/A</v>
      </c>
      <c r="J52" s="50" t="s">
        <v>1645</v>
      </c>
    </row>
    <row r="53" spans="2:10" hidden="1">
      <c r="D53" s="316"/>
      <c r="F53" s="439"/>
      <c r="I53" t="e">
        <f>IF(F45+H51&lt;0.64,0,(F45+H51)-0.64)</f>
        <v>#N/A</v>
      </c>
    </row>
    <row r="54" spans="2:10" hidden="1">
      <c r="B54" t="s">
        <v>3639</v>
      </c>
      <c r="D54" s="316"/>
      <c r="F54" s="308" t="e">
        <f>F45*('Data Entry - SOF'!H62/100)</f>
        <v>#N/A</v>
      </c>
    </row>
    <row r="55" spans="2:10" hidden="1">
      <c r="B55" t="s">
        <v>3640</v>
      </c>
      <c r="D55" s="316"/>
      <c r="F55" s="308" t="e">
        <f>F48*('Data Entry - SOF'!H62/100)</f>
        <v>#N/A</v>
      </c>
    </row>
    <row r="56" spans="2:10" hidden="1">
      <c r="B56" t="s">
        <v>3641</v>
      </c>
      <c r="D56" s="316"/>
      <c r="F56" s="308" t="e">
        <f>F51*('Data Entry - SOF'!H62/100)</f>
        <v>#N/A</v>
      </c>
    </row>
    <row r="57" spans="2:10" hidden="1"/>
    <row r="58" spans="2:10" hidden="1"/>
    <row r="59" spans="2:10" hidden="1"/>
    <row r="60" spans="2:10" hidden="1"/>
    <row r="61" spans="2:10" hidden="1"/>
    <row r="62" spans="2:10" hidden="1">
      <c r="B62" s="136" t="s">
        <v>883</v>
      </c>
      <c r="D62" s="55" t="e">
        <f>IF(AND(D9&lt;2000,D14&gt;1599.999),'Data Entry - SOF'!F80*(1+((2000-'Calc Data'!D10)*0.00014)),0)</f>
        <v>#N/A</v>
      </c>
      <c r="E62" s="55" t="e">
        <f>IF(AND(E9&lt;2000,E14&gt;1599.999),'Data Entry - SOF'!H80*(1+((2000-'Calc Data'!E10)*0.00014)),0)</f>
        <v>#DIV/0!</v>
      </c>
      <c r="F62" s="55"/>
    </row>
    <row r="63" spans="2:10" hidden="1">
      <c r="B63" s="136" t="s">
        <v>3985</v>
      </c>
      <c r="D63" s="177">
        <f>'Data Entry - SOF'!F80</f>
        <v>0</v>
      </c>
      <c r="E63" s="177">
        <f>'Data Entry - SOF'!H80</f>
        <v>0</v>
      </c>
      <c r="F63" s="177"/>
    </row>
    <row r="64" spans="2:10" hidden="1">
      <c r="B64" s="136" t="s">
        <v>3986</v>
      </c>
      <c r="D64" t="e">
        <f>IF(D62&gt;D63,D62,D63)</f>
        <v>#N/A</v>
      </c>
      <c r="E64" t="e">
        <f>IF(E62&gt;E63,E62,E63)</f>
        <v>#DIV/0!</v>
      </c>
      <c r="G64" s="94" t="s">
        <v>1849</v>
      </c>
      <c r="H64" s="94" t="s">
        <v>1850</v>
      </c>
    </row>
    <row r="65" spans="1:13" hidden="1">
      <c r="B65" s="136"/>
      <c r="G65" s="94"/>
      <c r="H65" s="94"/>
    </row>
    <row r="66" spans="1:13" hidden="1">
      <c r="B66" s="136"/>
      <c r="G66" s="90" t="s">
        <v>4559</v>
      </c>
      <c r="H66" s="90" t="s">
        <v>4559</v>
      </c>
    </row>
    <row r="67" spans="1:13" hidden="1">
      <c r="A67" s="432"/>
      <c r="B67" s="146" t="s">
        <v>5091</v>
      </c>
      <c r="C67" s="232"/>
      <c r="D67" s="232"/>
      <c r="E67" s="233"/>
      <c r="F67" s="42"/>
      <c r="G67" s="224" t="e">
        <f>MaxTax!H19</f>
        <v>#N/A</v>
      </c>
      <c r="H67" s="11" t="e">
        <f>MaxTax!I19</f>
        <v>#N/A</v>
      </c>
    </row>
    <row r="68" spans="1:13" hidden="1">
      <c r="A68" s="222"/>
      <c r="B68" s="217" t="s">
        <v>2758</v>
      </c>
      <c r="C68" s="42"/>
      <c r="D68" s="42"/>
      <c r="E68" s="236"/>
      <c r="F68" s="42"/>
      <c r="G68" s="224"/>
      <c r="H68" s="11"/>
    </row>
    <row r="69" spans="1:13" hidden="1">
      <c r="A69" s="222"/>
      <c r="B69" s="426" t="s">
        <v>5092</v>
      </c>
      <c r="C69" s="42"/>
      <c r="D69" s="42"/>
      <c r="E69" s="64" t="e">
        <f>'SOF0506-CL'!F40</f>
        <v>#N/A</v>
      </c>
      <c r="F69" s="53"/>
      <c r="G69" s="427" t="e">
        <f>ROUND((('SOF0506-CL'!F38-'SOF0506-CL'!F36-'SOF0506-CL'!F35-'SOF0506-CL'!F32-'SOF0506-CL'!F26)-(((D25-2537)*0.5)/D25)*('SOF0506-CL'!F38-'SOF0506-CL'!F36-'SOF0506-CL'!F35-'SOF0506-CL'!F32-'SOF0506-CL'!F26))/2537,4)</f>
        <v>#N/A</v>
      </c>
      <c r="H69" s="13" t="e">
        <f>ROUND((('SOF0607-CL'!F38-'SOF0607-CL'!F36-'SOF0607-CL'!F35-'SOF0607-CL'!F32-'SOF0607-CL'!F26)-(((E25-2537)*0.5)/E25)*('SOF0607-CL'!F38-'SOF0607-CL'!F36-'SOF0607-CL'!F35-'SOF0607-CL'!F32-'SOF0607-CL'!F26))/2537,4)</f>
        <v>#DIV/0!</v>
      </c>
    </row>
    <row r="70" spans="1:13" hidden="1">
      <c r="A70" s="222"/>
      <c r="B70" s="426" t="s">
        <v>5097</v>
      </c>
      <c r="C70" s="42"/>
      <c r="D70" s="42"/>
      <c r="E70" s="308" t="e">
        <f>M70</f>
        <v>#N/A</v>
      </c>
      <c r="F70" s="316"/>
      <c r="G70" s="428" t="e">
        <f>G67/('Data Entry - SOF'!F63/100)</f>
        <v>#N/A</v>
      </c>
      <c r="H70" s="14" t="e">
        <f>H67/('Data Entry - SOF'!H63/100)</f>
        <v>#N/A</v>
      </c>
      <c r="M70" t="e">
        <f>IF((27.14*D34*D31*100)-(D34*('Data Entry - SOF'!F62/100))&lt;0,0,(27.14*D34*D31*100)-(D34*('Data Entry - SOF'!F62/100)))</f>
        <v>#N/A</v>
      </c>
    </row>
    <row r="71" spans="1:13" hidden="1">
      <c r="A71" s="222"/>
      <c r="B71" s="426" t="s">
        <v>2502</v>
      </c>
      <c r="C71" s="42"/>
      <c r="D71" s="42"/>
      <c r="E71" s="64" t="e">
        <f>'SOF0506-CL'!F48</f>
        <v>#N/A</v>
      </c>
      <c r="F71" s="53"/>
      <c r="G71" s="428"/>
      <c r="H71" s="14"/>
    </row>
    <row r="72" spans="1:13" hidden="1">
      <c r="A72" s="222"/>
      <c r="B72" s="426" t="s">
        <v>5093</v>
      </c>
      <c r="C72" s="42"/>
      <c r="D72" s="42"/>
      <c r="E72" s="64" t="e">
        <f>'SOF0506-CL'!F67</f>
        <v>#N/A</v>
      </c>
      <c r="F72" s="53"/>
      <c r="G72" s="428" t="e">
        <f>(G67/('Data Entry - SOF'!F63/100))-0.86</f>
        <v>#N/A</v>
      </c>
      <c r="H72" s="14" t="e">
        <f>(H67/('Data Entry - SOF'!H63/100))-0.86</f>
        <v>#N/A</v>
      </c>
    </row>
    <row r="73" spans="1:13" hidden="1">
      <c r="A73" s="222"/>
      <c r="B73" s="426" t="s">
        <v>5094</v>
      </c>
      <c r="C73" s="42"/>
      <c r="D73" s="42"/>
      <c r="E73" s="64" t="e">
        <f>'SOF0506-CL'!F68</f>
        <v>#N/A</v>
      </c>
      <c r="F73" s="53"/>
      <c r="G73" s="428" t="e">
        <f>ROUND((G67-'SOF0506-CL'!AA39)/('Data Entry - SOF'!F63/100),6)</f>
        <v>#N/A</v>
      </c>
      <c r="H73" s="14" t="e">
        <f>ROUND((H67-'SOF0607-CL'!AA39)/('Data Entry - SOF'!H63/100),6)</f>
        <v>#N/A</v>
      </c>
    </row>
    <row r="74" spans="1:13" hidden="1">
      <c r="A74" s="222"/>
      <c r="B74" s="426" t="s">
        <v>4186</v>
      </c>
      <c r="C74" s="42"/>
      <c r="D74" s="42"/>
      <c r="E74" s="64" t="e">
        <f>'SOF0506-CL'!F69</f>
        <v>#N/A</v>
      </c>
      <c r="F74" s="53"/>
      <c r="G74" s="428" t="e">
        <f>ROUND((G69-'SOF0506-CL'!AA40)/('Data Entry - SOF'!F64/100),6)</f>
        <v>#N/A</v>
      </c>
      <c r="H74" s="14" t="e">
        <f>ROUND((H69-'SOF0607-CL'!AA40)/('Data Entry - SOF'!H64/100),6)</f>
        <v>#DIV/0!</v>
      </c>
    </row>
    <row r="75" spans="1:13" hidden="1">
      <c r="A75" s="222"/>
      <c r="B75" s="426" t="s">
        <v>2695</v>
      </c>
      <c r="C75" s="42"/>
      <c r="D75" s="42"/>
      <c r="E75" s="64">
        <f>'Data Entry - SOF'!F92</f>
        <v>0</v>
      </c>
      <c r="F75" s="53"/>
      <c r="G75" s="428"/>
      <c r="H75" s="14"/>
    </row>
    <row r="76" spans="1:13" hidden="1">
      <c r="A76" s="222"/>
      <c r="B76" s="426" t="s">
        <v>5095</v>
      </c>
      <c r="C76" s="42"/>
      <c r="D76" s="42"/>
      <c r="E76" s="308">
        <f>'Data Entry - SOF'!F70</f>
        <v>0</v>
      </c>
      <c r="F76" s="316"/>
      <c r="G76" s="224" t="e">
        <f>ROUND(IF(G73&gt;0.64,0.64*('Data Entry - SOF'!F63/100),G73*('Data Entry - SOF'!F63/100)),0)</f>
        <v>#N/A</v>
      </c>
      <c r="H76" s="11" t="e">
        <f>ROUND(IF(H73&gt;0.64,0.64*('Data Entry - SOF'!H63/100),H73*('Data Entry - SOF'!H63/100)),0)</f>
        <v>#N/A</v>
      </c>
    </row>
    <row r="77" spans="1:13" hidden="1">
      <c r="A77" s="222"/>
      <c r="B77" s="426" t="s">
        <v>5096</v>
      </c>
      <c r="C77" s="42"/>
      <c r="D77" s="42"/>
      <c r="E77" s="308" t="e">
        <f>MIN('Option Costs'!C47,'Option Costs'!E47)</f>
        <v>#N/A</v>
      </c>
      <c r="F77" s="316"/>
    </row>
    <row r="78" spans="1:13" hidden="1">
      <c r="A78" s="222"/>
      <c r="B78" s="426" t="s">
        <v>7618</v>
      </c>
      <c r="C78" s="42"/>
      <c r="D78" s="42"/>
      <c r="E78" s="64" t="e">
        <f>SUM(E69:E76)-E77</f>
        <v>#N/A</v>
      </c>
      <c r="F78" s="53"/>
      <c r="G78" s="224">
        <f>'Data Entry - SOF'!F70-IFA!H80</f>
        <v>0</v>
      </c>
      <c r="H78" s="11">
        <f>'Data Entry - SOF'!H70-IFA!H80</f>
        <v>0</v>
      </c>
    </row>
    <row r="79" spans="1:13" hidden="1">
      <c r="A79" s="222"/>
      <c r="B79" s="426" t="s">
        <v>7619</v>
      </c>
      <c r="C79" s="42"/>
      <c r="D79" s="42"/>
      <c r="E79" s="124" t="e">
        <f>D31</f>
        <v>#N/A</v>
      </c>
      <c r="F79" s="436"/>
    </row>
    <row r="80" spans="1:13" hidden="1">
      <c r="A80" s="222"/>
      <c r="B80" s="426" t="s">
        <v>7620</v>
      </c>
      <c r="C80" s="42"/>
      <c r="D80" s="42"/>
      <c r="E80" s="309" t="e">
        <f>E78/E79</f>
        <v>#N/A</v>
      </c>
      <c r="F80" s="437"/>
    </row>
    <row r="81" spans="1:13" hidden="1">
      <c r="A81" s="222"/>
      <c r="B81" s="426" t="s">
        <v>6725</v>
      </c>
      <c r="C81" s="42"/>
      <c r="D81" s="42"/>
      <c r="E81" s="124" t="e">
        <f>E31</f>
        <v>#DIV/0!</v>
      </c>
      <c r="F81" s="436"/>
      <c r="G81" s="94" t="s">
        <v>1849</v>
      </c>
      <c r="H81" s="94" t="s">
        <v>1850</v>
      </c>
    </row>
    <row r="82" spans="1:13" hidden="1">
      <c r="A82" s="222"/>
      <c r="B82" s="426" t="s">
        <v>2501</v>
      </c>
      <c r="C82" s="42"/>
      <c r="D82" s="42"/>
      <c r="E82" s="308" t="e">
        <f>E80*E81</f>
        <v>#N/A</v>
      </c>
      <c r="F82" s="316"/>
      <c r="G82" s="90" t="s">
        <v>2066</v>
      </c>
      <c r="H82" s="90" t="s">
        <v>2066</v>
      </c>
    </row>
    <row r="83" spans="1:13" hidden="1">
      <c r="A83" s="222"/>
      <c r="B83" s="217" t="s">
        <v>2759</v>
      </c>
      <c r="E83" s="233"/>
    </row>
    <row r="84" spans="1:13" hidden="1">
      <c r="A84" s="222"/>
      <c r="B84" s="93" t="s">
        <v>1574</v>
      </c>
      <c r="C84" s="42"/>
      <c r="D84" s="42"/>
      <c r="E84" s="236"/>
      <c r="F84" s="42"/>
      <c r="G84" s="427" t="e">
        <f>ROUND((('SOF0506-CL'!F38-'SOF0506-CL'!F36-'SOF0506-CL'!F35-'SOF0506-CL'!F32-'SOF0506-CL'!F26)-(((D25-2537)*0.5)/D25)*('SOF0506-CL'!F38-'SOF0506-CL'!F36-'SOF0506-CL'!F35-'SOF0506-CL'!F32-'SOF0506-CL'!F26))/2537,4)</f>
        <v>#N/A</v>
      </c>
      <c r="H84" s="13" t="e">
        <f>ROUND((('SOF0607-CL'!F38-'SOF0607-CL'!F36-'SOF0607-CL'!F35-'SOF0607-CL'!F32-'SOF0607-CL'!F26)-(((E25-2537)*0.5)/E25)*('SOF0607-CL'!F38-'SOF0607-CL'!F36-'SOF0607-CL'!F35-'SOF0607-CL'!F32-'SOF0607-CL'!F26))/2537,4)</f>
        <v>#DIV/0!</v>
      </c>
    </row>
    <row r="85" spans="1:13" hidden="1">
      <c r="A85" s="222"/>
      <c r="B85" s="426" t="s">
        <v>2503</v>
      </c>
      <c r="C85" s="42"/>
      <c r="D85" s="42"/>
      <c r="E85" s="64" t="e">
        <f>'SOF0607-CL'!F40</f>
        <v>#DIV/0!</v>
      </c>
      <c r="F85" s="53"/>
      <c r="G85" s="428" t="e">
        <f>('Data Entry - SOF'!F70-IFA!H80)/('Data Entry - SOF'!F62/100)</f>
        <v>#N/A</v>
      </c>
      <c r="H85" s="14" t="e">
        <f>('Data Entry - SOF'!H70-IFA!H80)/('Data Entry - SOF'!H62/100)</f>
        <v>#N/A</v>
      </c>
    </row>
    <row r="86" spans="1:13" hidden="1">
      <c r="A86" s="222"/>
      <c r="B86" s="426" t="s">
        <v>1370</v>
      </c>
      <c r="C86" s="42"/>
      <c r="D86" s="42"/>
      <c r="E86" s="308" t="e">
        <f>'SOF0607-CL'!F42</f>
        <v>#DIV/0!</v>
      </c>
      <c r="F86" s="316"/>
      <c r="G86" s="428" t="e">
        <f>(('Data Entry - SOF'!F70-IFA!H80)/('Data Entry - SOF'!F62/100))-0.86</f>
        <v>#N/A</v>
      </c>
      <c r="H86" s="14" t="e">
        <f>(('Data Entry - SOF'!H70-IFA!H80)/('Data Entry - SOF'!H62/100))-0.86</f>
        <v>#N/A</v>
      </c>
      <c r="M86" t="e">
        <f>(27.14*IF(N33&gt;0.64,0.64,N33)*E31*100)-(IF(N33&gt;0.64,0.64,N33)*('Data Entry - SOF'!H62/100))</f>
        <v>#DIV/0!</v>
      </c>
    </row>
    <row r="87" spans="1:13" hidden="1">
      <c r="A87" s="222"/>
      <c r="B87" s="426" t="s">
        <v>2504</v>
      </c>
      <c r="C87" s="42"/>
      <c r="D87" s="42"/>
      <c r="E87" s="64" t="e">
        <f>'SOF0607-CL'!F48</f>
        <v>#DIV/0!</v>
      </c>
      <c r="F87" s="53"/>
      <c r="G87" s="428" t="e">
        <f>ROUND((D30-'SOF0506-CL'!F39)/('Data Entry - SOF'!F62/100),6)</f>
        <v>#N/A</v>
      </c>
      <c r="H87" s="14" t="e">
        <f>ROUND((E30-'SOF0607-CL'!F39)/('Data Entry - SOF'!H62/100),6)</f>
        <v>#N/A</v>
      </c>
    </row>
    <row r="88" spans="1:13" hidden="1">
      <c r="A88" s="222"/>
      <c r="B88" s="426" t="s">
        <v>1365</v>
      </c>
      <c r="C88" s="42"/>
      <c r="D88" s="42"/>
      <c r="E88" s="64" t="e">
        <f>'SOF0607-CL'!F68</f>
        <v>#DIV/0!</v>
      </c>
      <c r="F88" s="53"/>
      <c r="G88" s="224" t="e">
        <f>ROUND(IF(G87&gt;0.64,0.64*('Data Entry - SOF'!F62/100),G87*('Data Entry - SOF'!F62/100)),0)</f>
        <v>#N/A</v>
      </c>
      <c r="H88" s="11" t="e">
        <f>ROUND(IF(H87&gt;0.64,0.64*('Data Entry - SOF'!H62/100),H87*('Data Entry - SOF'!H62/100)),0)</f>
        <v>#N/A</v>
      </c>
    </row>
    <row r="89" spans="1:13" hidden="1">
      <c r="A89" s="222"/>
      <c r="B89" s="426" t="s">
        <v>1366</v>
      </c>
      <c r="C89" s="42"/>
      <c r="D89" s="42"/>
      <c r="E89" s="64" t="e">
        <f>'SOF0607-CL'!F69</f>
        <v>#DIV/0!</v>
      </c>
      <c r="F89" s="53"/>
    </row>
    <row r="90" spans="1:13" hidden="1">
      <c r="A90" s="222"/>
      <c r="B90" s="426" t="s">
        <v>2757</v>
      </c>
      <c r="C90" s="42"/>
      <c r="D90" s="42"/>
      <c r="E90" s="64" t="e">
        <f>'SOF0607-CL'!F70</f>
        <v>#DIV/0!</v>
      </c>
      <c r="F90" s="53"/>
      <c r="G90" s="224" t="e">
        <f>MaxTax!F17</f>
        <v>#N/A</v>
      </c>
      <c r="H90" s="11" t="e">
        <f>MaxTax!G17</f>
        <v>#N/A</v>
      </c>
    </row>
    <row r="91" spans="1:13" hidden="1">
      <c r="A91" s="222"/>
      <c r="B91" s="426" t="s">
        <v>3975</v>
      </c>
      <c r="C91" s="42"/>
      <c r="D91" s="42"/>
      <c r="E91" s="64" t="e">
        <f>E135</f>
        <v>#DIV/0!</v>
      </c>
      <c r="F91" s="53"/>
    </row>
    <row r="92" spans="1:13" hidden="1">
      <c r="A92" s="222"/>
      <c r="B92" s="426" t="s">
        <v>1367</v>
      </c>
      <c r="C92" s="42"/>
      <c r="D92" s="42"/>
      <c r="E92" s="308">
        <f>'Data Entry - SOF'!H72</f>
        <v>0</v>
      </c>
      <c r="F92" s="316"/>
      <c r="G92" s="224">
        <f>'Data Entry - SOF'!F70-IFA!H80</f>
        <v>0</v>
      </c>
      <c r="H92" s="11">
        <f>'Data Entry - SOF'!H70-IFA!H80</f>
        <v>0</v>
      </c>
    </row>
    <row r="93" spans="1:13" hidden="1">
      <c r="A93" s="222"/>
      <c r="B93" s="426" t="s">
        <v>1368</v>
      </c>
      <c r="C93" s="42"/>
      <c r="D93" s="42"/>
      <c r="E93" s="308">
        <f>IF('Data Entry - SOF'!G89="N",0,MIN('Option Costs'!N47,'Option Costs'!P47))</f>
        <v>0</v>
      </c>
      <c r="F93" s="316"/>
    </row>
    <row r="94" spans="1:13" hidden="1">
      <c r="A94" s="222"/>
      <c r="B94" s="426" t="s">
        <v>1369</v>
      </c>
      <c r="C94" s="42"/>
      <c r="D94" s="42"/>
      <c r="E94" s="64" t="e">
        <f>SUM(E85:E92)-E93</f>
        <v>#DIV/0!</v>
      </c>
      <c r="F94" s="53"/>
    </row>
    <row r="95" spans="1:13" hidden="1">
      <c r="A95" s="222"/>
      <c r="B95" s="426"/>
      <c r="C95" s="42"/>
      <c r="D95" s="42"/>
      <c r="E95" s="196"/>
      <c r="F95" s="42"/>
    </row>
    <row r="96" spans="1:13" hidden="1">
      <c r="A96" s="222"/>
      <c r="B96" s="149" t="s">
        <v>2204</v>
      </c>
      <c r="C96" s="149"/>
      <c r="D96" s="149"/>
      <c r="E96" s="175" t="e">
        <f>MAX(E82,E94)</f>
        <v>#N/A</v>
      </c>
      <c r="F96" s="53"/>
      <c r="G96" s="5" t="e">
        <f>E96+'SOF0607-HB1'!F73+'SOF0607-HB1'!F75</f>
        <v>#N/A</v>
      </c>
    </row>
    <row r="97" spans="1:21" hidden="1">
      <c r="A97" s="222"/>
      <c r="B97" s="149"/>
      <c r="C97" s="149"/>
      <c r="D97" s="149"/>
      <c r="E97" s="411"/>
      <c r="F97" s="53"/>
    </row>
    <row r="98" spans="1:21" hidden="1">
      <c r="A98" s="222"/>
      <c r="B98" s="217" t="s">
        <v>1373</v>
      </c>
      <c r="C98" s="42"/>
      <c r="D98" s="42"/>
      <c r="E98" s="196"/>
      <c r="F98" s="42"/>
    </row>
    <row r="99" spans="1:21" hidden="1">
      <c r="A99" s="222"/>
      <c r="B99" s="426" t="s">
        <v>6049</v>
      </c>
      <c r="C99" s="42"/>
      <c r="D99" s="42"/>
      <c r="E99" s="64" t="e">
        <f>IF('SOF0607-HB1'!F40-'SOF0607-HB1'!F35&lt;'SOF0607-HB1'!F95,'SOF0607-HB1'!F95,'SOF0607-HB1'!F40-'SOF0607-HB1'!F35)</f>
        <v>#N/A</v>
      </c>
      <c r="F99" s="53"/>
    </row>
    <row r="100" spans="1:21" hidden="1">
      <c r="A100" s="222"/>
      <c r="B100" s="426" t="s">
        <v>4093</v>
      </c>
      <c r="C100" s="42"/>
      <c r="D100" s="42"/>
      <c r="E100" s="64" t="e">
        <f>'SOF0607-HB1'!F42</f>
        <v>#N/A</v>
      </c>
      <c r="F100" s="53"/>
    </row>
    <row r="101" spans="1:21" hidden="1">
      <c r="A101" s="222"/>
      <c r="B101" s="426" t="s">
        <v>2504</v>
      </c>
      <c r="C101" s="42"/>
      <c r="D101" s="42"/>
      <c r="E101" s="64" t="e">
        <f>'SOF0607-HB1'!F51</f>
        <v>#N/A</v>
      </c>
      <c r="F101" s="53"/>
    </row>
    <row r="102" spans="1:21" hidden="1">
      <c r="A102" s="222"/>
      <c r="B102" s="426" t="s">
        <v>1365</v>
      </c>
      <c r="C102" s="42"/>
      <c r="D102" s="42"/>
      <c r="E102" s="64" t="e">
        <f>'Salary Transition'!L30</f>
        <v>#DIV/0!</v>
      </c>
      <c r="F102" s="53"/>
    </row>
    <row r="103" spans="1:21" hidden="1">
      <c r="A103" s="222"/>
      <c r="B103" s="426" t="s">
        <v>1366</v>
      </c>
      <c r="C103" s="42"/>
      <c r="D103" s="42"/>
      <c r="E103" s="64" t="e">
        <f>'SOF0607-HB1'!F85</f>
        <v>#N/A</v>
      </c>
      <c r="F103" s="53"/>
    </row>
    <row r="104" spans="1:21" hidden="1">
      <c r="A104" s="222"/>
      <c r="B104" s="426" t="s">
        <v>2757</v>
      </c>
      <c r="C104" s="42"/>
      <c r="D104" s="42"/>
      <c r="E104" s="64" t="e">
        <f>'SOF0607-HB1'!F86</f>
        <v>#N/A</v>
      </c>
      <c r="F104" s="53"/>
    </row>
    <row r="105" spans="1:21" hidden="1">
      <c r="A105" s="222"/>
      <c r="B105" s="426" t="s">
        <v>7669</v>
      </c>
      <c r="C105" s="42"/>
      <c r="D105" s="42"/>
      <c r="E105" s="64" t="e">
        <f>E148</f>
        <v>#N/A</v>
      </c>
      <c r="F105" s="438" t="s">
        <v>3892</v>
      </c>
    </row>
    <row r="106" spans="1:21" hidden="1">
      <c r="A106" s="222"/>
      <c r="B106" s="426" t="s">
        <v>6727</v>
      </c>
      <c r="C106" s="42"/>
      <c r="D106" s="42"/>
      <c r="E106" s="308" t="e">
        <f>F43</f>
        <v>#N/A</v>
      </c>
      <c r="F106" s="53"/>
    </row>
    <row r="107" spans="1:21" hidden="1">
      <c r="A107" s="222"/>
      <c r="B107" s="426" t="s">
        <v>5620</v>
      </c>
      <c r="C107" s="42"/>
      <c r="D107" s="42"/>
      <c r="E107" s="308">
        <f>IF('Data Entry - SOF'!H89="N",0,MIN('Option Costs'!V47,'Option Costs'!X47))</f>
        <v>0</v>
      </c>
      <c r="F107" s="53"/>
    </row>
    <row r="108" spans="1:21" hidden="1">
      <c r="A108" s="222"/>
      <c r="B108" s="426" t="s">
        <v>1369</v>
      </c>
      <c r="C108" s="42"/>
      <c r="D108" s="42"/>
      <c r="E108" s="64" t="e">
        <f>SUM(E99:E106)-E107</f>
        <v>#N/A</v>
      </c>
      <c r="F108" s="438" t="s">
        <v>5122</v>
      </c>
    </row>
    <row r="109" spans="1:21" hidden="1">
      <c r="A109" s="222"/>
      <c r="B109" s="426"/>
      <c r="C109" s="42"/>
      <c r="D109" s="42"/>
      <c r="E109" s="196"/>
      <c r="F109" s="42"/>
    </row>
    <row r="110" spans="1:21" hidden="1">
      <c r="A110" s="222"/>
      <c r="B110" s="149" t="s">
        <v>3772</v>
      </c>
      <c r="C110" s="42"/>
      <c r="D110" s="42"/>
      <c r="E110" s="431" t="e">
        <f>IF(E108&gt;E96,0,E96-E108)</f>
        <v>#N/A</v>
      </c>
      <c r="F110" s="491" t="s">
        <v>6019</v>
      </c>
      <c r="S110" s="626" t="s">
        <v>4086</v>
      </c>
      <c r="U110" t="s">
        <v>4088</v>
      </c>
    </row>
    <row r="111" spans="1:21" hidden="1">
      <c r="A111" s="222"/>
      <c r="B111" s="149" t="s">
        <v>3976</v>
      </c>
      <c r="C111" s="42"/>
      <c r="D111" s="42"/>
      <c r="E111" s="175" t="e">
        <f>E108+E110</f>
        <v>#N/A</v>
      </c>
      <c r="F111" s="42"/>
      <c r="P111" s="435" t="e">
        <f>0.886666666667*'Data Entry - SOF'!F67</f>
        <v>#N/A</v>
      </c>
      <c r="S111" s="627"/>
    </row>
    <row r="112" spans="1:21" hidden="1">
      <c r="A112" s="222"/>
      <c r="B112" s="93"/>
      <c r="C112" s="42"/>
      <c r="D112" s="42"/>
      <c r="E112" s="451"/>
      <c r="F112" s="130"/>
      <c r="H112" t="s">
        <v>3120</v>
      </c>
      <c r="I112" s="5" t="e">
        <f>'SOF0607-HB1'!F40-'SOF0607-CL'!F40</f>
        <v>#N/A</v>
      </c>
      <c r="S112" s="626" t="s">
        <v>5360</v>
      </c>
      <c r="T112" s="94" t="s">
        <v>4087</v>
      </c>
      <c r="U112" t="s">
        <v>5361</v>
      </c>
    </row>
    <row r="113" spans="1:21" hidden="1">
      <c r="A113" s="222"/>
      <c r="B113" s="93" t="s">
        <v>3643</v>
      </c>
      <c r="C113" s="42"/>
      <c r="D113" s="42"/>
      <c r="E113" s="431" t="e">
        <f>IF('Data Entry - SOF'!H69&gt;=P111,0,(H129*(1-('Data Entry - SOF'!H69/P111))*-1))</f>
        <v>#N/A</v>
      </c>
      <c r="F113" s="130"/>
      <c r="H113" t="s">
        <v>3121</v>
      </c>
      <c r="I113" s="5" t="e">
        <f>'SOF0607-HB1'!F42-'SOF0607-CL'!F42</f>
        <v>#N/A</v>
      </c>
      <c r="L113" s="71"/>
      <c r="Q113" t="s">
        <v>5355</v>
      </c>
      <c r="S113" s="215" t="e">
        <f>IF(E96=E94,E92,E76)</f>
        <v>#N/A</v>
      </c>
      <c r="T113" s="215" t="e">
        <f>E106</f>
        <v>#N/A</v>
      </c>
      <c r="U113" s="215" t="e">
        <f>T113-S113</f>
        <v>#N/A</v>
      </c>
    </row>
    <row r="114" spans="1:21" hidden="1">
      <c r="A114" s="222"/>
      <c r="B114" s="93" t="s">
        <v>3148</v>
      </c>
      <c r="C114" s="42"/>
      <c r="D114" s="42"/>
      <c r="E114" s="431" t="e">
        <f>IF(H128&lt;H127,0,H127-H128)</f>
        <v>#N/A</v>
      </c>
      <c r="F114" s="130"/>
      <c r="H114" t="s">
        <v>3122</v>
      </c>
      <c r="I114" s="5" t="e">
        <f>'Option Costs'!R39</f>
        <v>#N/A</v>
      </c>
      <c r="L114" s="71"/>
      <c r="Q114" t="s">
        <v>5357</v>
      </c>
      <c r="S114" s="215" t="e">
        <f>IF(E96=E94,E85,E69)</f>
        <v>#N/A</v>
      </c>
      <c r="T114" s="5" t="e">
        <f>E99</f>
        <v>#N/A</v>
      </c>
      <c r="U114" s="215" t="e">
        <f>T114-S114</f>
        <v>#N/A</v>
      </c>
    </row>
    <row r="115" spans="1:21" hidden="1">
      <c r="A115" s="243"/>
      <c r="B115" s="533"/>
      <c r="C115" s="211"/>
      <c r="D115" s="211"/>
      <c r="E115" s="68"/>
      <c r="F115" s="42"/>
      <c r="H115" t="s">
        <v>3128</v>
      </c>
      <c r="I115" s="5" t="e">
        <f>I112+I113+I114</f>
        <v>#N/A</v>
      </c>
      <c r="Q115" t="s">
        <v>5356</v>
      </c>
      <c r="S115" s="215" t="e">
        <f>IF(E96=E94,E86,E70)</f>
        <v>#N/A</v>
      </c>
      <c r="T115" s="5" t="e">
        <f>E100</f>
        <v>#N/A</v>
      </c>
      <c r="U115" s="215" t="e">
        <f>T115-S115</f>
        <v>#N/A</v>
      </c>
    </row>
    <row r="116" spans="1:21" hidden="1">
      <c r="A116" s="42"/>
      <c r="B116" s="93" t="s">
        <v>4089</v>
      </c>
      <c r="C116" s="42"/>
      <c r="D116" s="42"/>
      <c r="E116" s="42"/>
      <c r="F116" s="42"/>
      <c r="I116" s="5"/>
      <c r="S116" s="215"/>
      <c r="T116" s="5"/>
      <c r="U116" s="215"/>
    </row>
    <row r="117" spans="1:21" hidden="1">
      <c r="A117" s="42"/>
      <c r="C117" s="42"/>
      <c r="D117" s="42"/>
      <c r="E117" s="42"/>
      <c r="F117" s="42"/>
      <c r="I117" s="5"/>
      <c r="S117" s="215"/>
      <c r="T117" s="5"/>
      <c r="U117" s="215"/>
    </row>
    <row r="118" spans="1:21" hidden="1">
      <c r="A118" s="42"/>
      <c r="B118" s="93" t="s">
        <v>4090</v>
      </c>
      <c r="C118" s="42"/>
      <c r="D118" s="42"/>
      <c r="E118" s="42"/>
      <c r="F118" s="42"/>
      <c r="I118" s="5"/>
      <c r="S118" s="215"/>
      <c r="T118" s="5"/>
      <c r="U118" s="215"/>
    </row>
    <row r="119" spans="1:21" hidden="1">
      <c r="A119" s="42"/>
      <c r="B119" s="93" t="s">
        <v>4091</v>
      </c>
      <c r="C119" s="42"/>
      <c r="D119" s="42"/>
      <c r="E119" s="42"/>
      <c r="F119" s="42"/>
      <c r="I119" s="5"/>
      <c r="S119" s="215"/>
      <c r="T119" s="5"/>
      <c r="U119" s="215"/>
    </row>
    <row r="120" spans="1:21" hidden="1">
      <c r="A120" s="42"/>
      <c r="B120" s="93" t="s">
        <v>768</v>
      </c>
      <c r="C120" s="42"/>
      <c r="D120" s="42"/>
      <c r="E120" s="42"/>
      <c r="F120" s="42"/>
      <c r="I120" s="5"/>
      <c r="S120" s="215"/>
      <c r="T120" s="5"/>
      <c r="U120" s="215"/>
    </row>
    <row r="121" spans="1:21" hidden="1">
      <c r="A121" s="42"/>
      <c r="B121" s="93" t="s">
        <v>4092</v>
      </c>
      <c r="C121" s="42"/>
      <c r="D121" s="42"/>
      <c r="E121" s="42"/>
      <c r="F121" s="42"/>
      <c r="I121" s="5"/>
      <c r="S121" s="215"/>
      <c r="T121" s="5"/>
      <c r="U121" s="215"/>
    </row>
    <row r="122" spans="1:21" hidden="1">
      <c r="A122" s="42"/>
      <c r="B122" s="42"/>
      <c r="C122" s="42"/>
      <c r="D122" s="42"/>
      <c r="E122" s="42"/>
      <c r="Q122" t="s">
        <v>5358</v>
      </c>
      <c r="S122" s="215" t="e">
        <f>IF(E96=E94,E93,E77)</f>
        <v>#N/A</v>
      </c>
      <c r="T122" s="215" t="e">
        <f>'Option Costs'!G47</f>
        <v>#N/A</v>
      </c>
      <c r="U122" s="215" t="e">
        <f>T122-S122</f>
        <v>#N/A</v>
      </c>
    </row>
    <row r="123" spans="1:21" hidden="1">
      <c r="A123" s="42"/>
      <c r="B123" s="42"/>
      <c r="C123" s="42"/>
      <c r="D123" s="42"/>
      <c r="E123" s="42"/>
      <c r="F123" s="42"/>
      <c r="G123" t="s">
        <v>6273</v>
      </c>
      <c r="Q123" t="s">
        <v>5359</v>
      </c>
      <c r="S123" s="5" t="e">
        <f>SUM(S113:S115)-S122</f>
        <v>#N/A</v>
      </c>
      <c r="T123" s="5" t="e">
        <f>SUM(T113:T115)-T122</f>
        <v>#N/A</v>
      </c>
      <c r="U123" s="215" t="e">
        <f>T123-S123</f>
        <v>#N/A</v>
      </c>
    </row>
    <row r="124" spans="1:21" hidden="1">
      <c r="A124" s="432"/>
      <c r="B124" s="464" t="s">
        <v>2331</v>
      </c>
      <c r="C124" s="232"/>
      <c r="D124" s="232"/>
      <c r="E124" s="233"/>
      <c r="F124" s="42"/>
      <c r="G124" t="s">
        <v>6274</v>
      </c>
      <c r="H124" s="5" t="e">
        <f>E96</f>
        <v>#N/A</v>
      </c>
      <c r="S124" s="5"/>
      <c r="T124" s="5"/>
      <c r="U124" s="215"/>
    </row>
    <row r="125" spans="1:21" hidden="1">
      <c r="A125" s="222"/>
      <c r="B125" s="217" t="s">
        <v>6159</v>
      </c>
      <c r="C125" s="42"/>
      <c r="D125" s="42"/>
      <c r="E125" s="196"/>
      <c r="F125" s="42"/>
      <c r="G125" t="s">
        <v>6275</v>
      </c>
      <c r="H125" s="5">
        <f>'SOF0607-HB1'!F73</f>
        <v>0</v>
      </c>
      <c r="S125" s="5"/>
      <c r="T125" s="5"/>
      <c r="U125" s="215"/>
    </row>
    <row r="126" spans="1:21" hidden="1">
      <c r="A126" s="222"/>
      <c r="B126" s="42" t="s">
        <v>7670</v>
      </c>
      <c r="C126" s="42"/>
      <c r="D126" s="42"/>
      <c r="E126" s="64" t="e">
        <f>'SOF0607-CL'!F40</f>
        <v>#DIV/0!</v>
      </c>
      <c r="F126" s="42"/>
      <c r="G126" t="s">
        <v>6276</v>
      </c>
      <c r="H126" s="5" t="e">
        <f>'SOF0607-HB1'!F75</f>
        <v>#REF!</v>
      </c>
      <c r="S126" s="5"/>
      <c r="T126" s="5"/>
      <c r="U126" s="215"/>
    </row>
    <row r="127" spans="1:21" hidden="1">
      <c r="A127" s="222"/>
      <c r="B127" s="42" t="s">
        <v>1715</v>
      </c>
      <c r="C127" s="42"/>
      <c r="D127" s="42"/>
      <c r="E127" s="308" t="e">
        <f>M129</f>
        <v>#N/A</v>
      </c>
      <c r="F127" s="42"/>
      <c r="G127" t="s">
        <v>6277</v>
      </c>
      <c r="H127" s="5" t="e">
        <f>H124+H125+H126</f>
        <v>#N/A</v>
      </c>
      <c r="S127" s="5"/>
      <c r="T127" s="5"/>
      <c r="U127" s="215"/>
    </row>
    <row r="128" spans="1:21" hidden="1">
      <c r="A128" s="222"/>
      <c r="B128" s="42" t="s">
        <v>7714</v>
      </c>
      <c r="C128" s="42"/>
      <c r="D128" s="42"/>
      <c r="E128" s="308" t="e">
        <f>F42*150</f>
        <v>#N/A</v>
      </c>
      <c r="F128" s="42"/>
      <c r="G128" t="s">
        <v>6278</v>
      </c>
      <c r="H128" s="5" t="e">
        <f>E108</f>
        <v>#N/A</v>
      </c>
      <c r="S128" s="5"/>
      <c r="T128" s="5"/>
      <c r="U128" s="215"/>
    </row>
    <row r="129" spans="1:21" hidden="1">
      <c r="A129" s="222"/>
      <c r="B129" s="42" t="s">
        <v>1716</v>
      </c>
      <c r="C129" s="42"/>
      <c r="D129" s="42"/>
      <c r="E129" s="308" t="e">
        <f>E126+E127+IF(E128&lt;E30,E128,E30)</f>
        <v>#DIV/0!</v>
      </c>
      <c r="F129" s="42"/>
      <c r="G129" t="s">
        <v>6279</v>
      </c>
      <c r="H129" s="5" t="e">
        <f>IF(H127-H128&lt;0,0,H127-H128)</f>
        <v>#N/A</v>
      </c>
      <c r="M129" s="215" t="e">
        <f>IF((27.14*E34*E31*100)-(E34*('Data Entry - SOF'!H62/100))&lt;0,0,(27.14*E34*E31*100)-(E34*('Data Entry - SOF'!H62/100)))</f>
        <v>#N/A</v>
      </c>
      <c r="S129" s="5"/>
      <c r="T129" s="5"/>
      <c r="U129" s="215"/>
    </row>
    <row r="130" spans="1:21" hidden="1">
      <c r="A130" s="222"/>
      <c r="B130" s="42" t="s">
        <v>6725</v>
      </c>
      <c r="C130" s="42"/>
      <c r="D130" s="42"/>
      <c r="E130" s="124" t="e">
        <f>E31</f>
        <v>#DIV/0!</v>
      </c>
      <c r="F130" s="42"/>
      <c r="M130" s="215"/>
      <c r="S130" s="5"/>
      <c r="T130" s="5"/>
      <c r="U130" s="215"/>
    </row>
    <row r="131" spans="1:21" hidden="1">
      <c r="A131" s="222"/>
      <c r="B131" s="42" t="s">
        <v>7671</v>
      </c>
      <c r="C131" s="42"/>
      <c r="D131" s="42"/>
      <c r="E131" s="308" t="e">
        <f>E129/E130</f>
        <v>#DIV/0!</v>
      </c>
      <c r="F131" s="42"/>
      <c r="M131" s="215"/>
      <c r="S131" s="5"/>
      <c r="T131" s="5"/>
      <c r="U131" s="215"/>
    </row>
    <row r="132" spans="1:21" hidden="1">
      <c r="A132" s="222"/>
      <c r="B132" s="42" t="s">
        <v>2783</v>
      </c>
      <c r="C132" s="42"/>
      <c r="D132" s="42"/>
      <c r="E132" s="429">
        <f>'Data Entry - SOF'!F93</f>
        <v>0</v>
      </c>
      <c r="F132" s="42"/>
      <c r="M132" s="215"/>
      <c r="S132" s="5"/>
      <c r="T132" s="5"/>
      <c r="U132" s="215"/>
    </row>
    <row r="133" spans="1:21" hidden="1">
      <c r="A133" s="222"/>
      <c r="B133" s="42" t="s">
        <v>7673</v>
      </c>
      <c r="C133" s="42"/>
      <c r="D133" s="42"/>
      <c r="E133" s="308" t="e">
        <f>E131*E132</f>
        <v>#DIV/0!</v>
      </c>
      <c r="F133" s="42"/>
      <c r="M133" s="215"/>
      <c r="S133" s="5"/>
      <c r="T133" s="5"/>
      <c r="U133" s="215"/>
    </row>
    <row r="134" spans="1:21" hidden="1">
      <c r="A134" s="222"/>
      <c r="B134" s="42" t="s">
        <v>7674</v>
      </c>
      <c r="C134" s="42"/>
      <c r="D134" s="42"/>
      <c r="E134" s="64">
        <f>'Data Entry - SOF'!F94</f>
        <v>0</v>
      </c>
      <c r="F134" s="42"/>
      <c r="M134" s="215"/>
      <c r="S134" s="5"/>
      <c r="T134" s="5"/>
      <c r="U134" s="215"/>
    </row>
    <row r="135" spans="1:21" hidden="1">
      <c r="A135" s="222"/>
      <c r="B135" s="426" t="s">
        <v>7675</v>
      </c>
      <c r="C135" s="42"/>
      <c r="D135" s="42"/>
      <c r="E135" s="308" t="e">
        <f>IF(E134-E133-'Data Entry - SOF'!F95&lt;0,0,E134-E133-'Data Entry - SOF'!F95)</f>
        <v>#DIV/0!</v>
      </c>
      <c r="F135" s="42"/>
      <c r="M135" s="215"/>
      <c r="S135" s="5"/>
      <c r="T135" s="5"/>
      <c r="U135" s="215"/>
    </row>
    <row r="136" spans="1:21" hidden="1">
      <c r="A136" s="222"/>
      <c r="B136" s="426"/>
      <c r="C136" s="42"/>
      <c r="D136" s="42"/>
      <c r="E136" s="196"/>
      <c r="F136" s="42"/>
      <c r="M136" s="215"/>
      <c r="S136" s="5"/>
      <c r="T136" s="5"/>
      <c r="U136" s="215"/>
    </row>
    <row r="137" spans="1:21" hidden="1">
      <c r="A137" s="222"/>
      <c r="B137" s="93" t="s">
        <v>2331</v>
      </c>
      <c r="C137" s="42"/>
      <c r="D137" s="42"/>
      <c r="E137" s="196"/>
      <c r="F137" s="42"/>
      <c r="M137" s="215"/>
      <c r="S137" s="5"/>
      <c r="T137" s="5"/>
      <c r="U137" s="215"/>
    </row>
    <row r="138" spans="1:21" hidden="1">
      <c r="A138" s="222"/>
      <c r="B138" s="217" t="s">
        <v>7590</v>
      </c>
      <c r="C138" s="42"/>
      <c r="D138" s="42"/>
      <c r="E138" s="196"/>
      <c r="M138" s="215"/>
    </row>
    <row r="139" spans="1:21" hidden="1">
      <c r="A139" s="222"/>
      <c r="B139" s="42" t="s">
        <v>7670</v>
      </c>
      <c r="C139" s="42"/>
      <c r="D139" s="42"/>
      <c r="E139" s="64" t="e">
        <f>'SOF0607-HB1'!F40</f>
        <v>#N/A</v>
      </c>
      <c r="M139" s="215"/>
    </row>
    <row r="140" spans="1:21" hidden="1">
      <c r="A140" s="222"/>
      <c r="B140" s="42" t="s">
        <v>7713</v>
      </c>
      <c r="C140" s="42"/>
      <c r="D140" s="42"/>
      <c r="E140" s="308" t="e">
        <f>M144</f>
        <v>#N/A</v>
      </c>
      <c r="M140" s="215" t="e">
        <f>IF((27.14*0.64*F31*100)-(0.64*('Data Entry - SOF'!H62/100))&lt;0,0,(27.14*0.64*F31*100)-(0.64*('Data Entry - SOF'!H62/100)))</f>
        <v>#N/A</v>
      </c>
    </row>
    <row r="141" spans="1:21" hidden="1">
      <c r="A141" s="222"/>
      <c r="B141" s="42" t="s">
        <v>7714</v>
      </c>
      <c r="C141" s="42"/>
      <c r="D141" s="42"/>
      <c r="E141" s="308" t="e">
        <f>E128</f>
        <v>#N/A</v>
      </c>
      <c r="K141" s="59" t="s">
        <v>7715</v>
      </c>
      <c r="L141" t="e">
        <f>E128/('Data Entry - SOF'!H62/100)</f>
        <v>#N/A</v>
      </c>
      <c r="M141" s="215" t="e">
        <f>IF(((31.95*L142*F31*100)-L142*('Data Entry - SOF'!H62/100))&lt;0,0,(31.95*L142*F31*100)-L142*('Data Entry - SOF'!H62/100))</f>
        <v>#N/A</v>
      </c>
    </row>
    <row r="142" spans="1:21" hidden="1">
      <c r="A142" s="222"/>
      <c r="B142" s="42" t="s">
        <v>1369</v>
      </c>
      <c r="C142" s="42"/>
      <c r="D142" s="42"/>
      <c r="E142" s="64" t="e">
        <f>E139+E140+E141</f>
        <v>#N/A</v>
      </c>
      <c r="K142" s="59" t="s">
        <v>7716</v>
      </c>
      <c r="L142" t="e">
        <f>IF(L141-0.86&gt;0.64,0.64,L141-0.86)</f>
        <v>#N/A</v>
      </c>
      <c r="M142" s="215" t="e">
        <f>IF(((41.21*F48*F31*100)-F48*('Data Entry - SOF'!H62/100))&lt;0,0,(41.21*F48*F31*100)-F48*('Data Entry - SOF'!H62/100))</f>
        <v>#N/A</v>
      </c>
    </row>
    <row r="143" spans="1:21" hidden="1">
      <c r="A143" s="222"/>
      <c r="B143" s="42" t="s">
        <v>6725</v>
      </c>
      <c r="C143" s="42"/>
      <c r="D143" s="42"/>
      <c r="E143" s="124" t="e">
        <f>F31</f>
        <v>#N/A</v>
      </c>
      <c r="K143" s="59" t="s">
        <v>6011</v>
      </c>
      <c r="M143" s="215" t="e">
        <f>IF(((31.95*F51*F31*100)-F51*('Data Entry - SOF'!H62/100))&lt;0,0,(31.95*F51*F31*100)-F51*('Data Entry - SOF'!H62/100))</f>
        <v>#N/A</v>
      </c>
    </row>
    <row r="144" spans="1:21" hidden="1">
      <c r="A144" s="222"/>
      <c r="B144" s="42" t="s">
        <v>7671</v>
      </c>
      <c r="C144" s="42"/>
      <c r="D144" s="42"/>
      <c r="E144" s="308" t="e">
        <f>E142/E143</f>
        <v>#N/A</v>
      </c>
      <c r="M144" s="215" t="e">
        <f>M141+M142+M143</f>
        <v>#N/A</v>
      </c>
    </row>
    <row r="145" spans="1:5" hidden="1">
      <c r="A145" s="222"/>
      <c r="B145" s="42" t="s">
        <v>7672</v>
      </c>
      <c r="C145" s="42"/>
      <c r="D145" s="42"/>
      <c r="E145" s="429">
        <f>'Data Entry - SOF'!H93</f>
        <v>0</v>
      </c>
    </row>
    <row r="146" spans="1:5" hidden="1">
      <c r="A146" s="222"/>
      <c r="B146" s="42" t="s">
        <v>7673</v>
      </c>
      <c r="C146" s="42"/>
      <c r="D146" s="42"/>
      <c r="E146" s="308" t="e">
        <f>E145*E144</f>
        <v>#N/A</v>
      </c>
    </row>
    <row r="147" spans="1:5" hidden="1">
      <c r="A147" s="222"/>
      <c r="B147" s="42" t="s">
        <v>7674</v>
      </c>
      <c r="C147" s="42"/>
      <c r="D147" s="42"/>
      <c r="E147" s="64">
        <f>'Data Entry - SOF'!H94</f>
        <v>0</v>
      </c>
    </row>
    <row r="148" spans="1:5" hidden="1">
      <c r="A148" s="222"/>
      <c r="B148" s="184" t="s">
        <v>3529</v>
      </c>
      <c r="C148" s="561"/>
      <c r="D148" s="562"/>
      <c r="E148" s="563" t="e">
        <f>IF(E146&gt;E147,0,IF(E147-E146-'Data Entry - SOF'!H95&lt;0,0,E147-E146-'Data Entry - SOF'!H95))</f>
        <v>#N/A</v>
      </c>
    </row>
    <row r="149" spans="1:5" hidden="1">
      <c r="A149" s="222"/>
      <c r="B149" s="217" t="s">
        <v>5883</v>
      </c>
      <c r="C149" s="149"/>
      <c r="D149" s="149"/>
      <c r="E149" s="564"/>
    </row>
    <row r="150" spans="1:5" hidden="1">
      <c r="A150" s="222"/>
      <c r="B150" s="217" t="s">
        <v>5884</v>
      </c>
      <c r="C150" s="149"/>
      <c r="D150" s="149"/>
      <c r="E150" s="565"/>
    </row>
    <row r="151" spans="1:5" hidden="1">
      <c r="A151" s="222"/>
      <c r="B151" s="217" t="s">
        <v>5885</v>
      </c>
      <c r="C151" s="149"/>
      <c r="D151" s="149"/>
      <c r="E151" s="565"/>
    </row>
    <row r="152" spans="1:5" hidden="1">
      <c r="A152" s="222"/>
      <c r="B152" s="426"/>
      <c r="C152" s="42"/>
      <c r="D152" s="42"/>
      <c r="E152" s="558"/>
    </row>
    <row r="153" spans="1:5" hidden="1">
      <c r="A153" s="222"/>
      <c r="B153" s="93" t="s">
        <v>2331</v>
      </c>
      <c r="C153" s="42"/>
      <c r="D153" s="42"/>
      <c r="E153" s="558"/>
    </row>
    <row r="154" spans="1:5" hidden="1">
      <c r="A154" s="222"/>
      <c r="B154" s="217" t="s">
        <v>7706</v>
      </c>
      <c r="C154" s="42"/>
      <c r="D154" s="42"/>
      <c r="E154" s="558"/>
    </row>
    <row r="155" spans="1:5" hidden="1">
      <c r="A155" s="222"/>
      <c r="B155" s="42" t="s">
        <v>7670</v>
      </c>
      <c r="C155" s="42"/>
      <c r="D155" s="42"/>
      <c r="E155" s="430" t="e">
        <f>E139</f>
        <v>#N/A</v>
      </c>
    </row>
    <row r="156" spans="1:5" hidden="1">
      <c r="A156" s="222"/>
      <c r="B156" s="42" t="s">
        <v>2423</v>
      </c>
      <c r="C156" s="42"/>
      <c r="D156" s="42"/>
      <c r="E156" s="430" t="e">
        <f>'SOF0607-HB1'!F42+'SOF0607-HB1'!F44</f>
        <v>#N/A</v>
      </c>
    </row>
    <row r="157" spans="1:5" hidden="1">
      <c r="A157" s="222"/>
      <c r="B157" s="42" t="s">
        <v>7707</v>
      </c>
      <c r="C157" s="42"/>
      <c r="D157" s="42"/>
      <c r="E157" s="430" t="e">
        <f>F43+F50</f>
        <v>#N/A</v>
      </c>
    </row>
    <row r="158" spans="1:5" hidden="1">
      <c r="A158" s="222"/>
      <c r="B158" s="42" t="s">
        <v>1369</v>
      </c>
      <c r="C158" s="42"/>
      <c r="D158" s="42"/>
      <c r="E158" s="430" t="e">
        <f>E155+E156+E157</f>
        <v>#N/A</v>
      </c>
    </row>
    <row r="159" spans="1:5" hidden="1">
      <c r="A159" s="222"/>
      <c r="B159" s="42" t="s">
        <v>6725</v>
      </c>
      <c r="C159" s="42"/>
      <c r="D159" s="42"/>
      <c r="E159" s="559" t="e">
        <f>E143</f>
        <v>#N/A</v>
      </c>
    </row>
    <row r="160" spans="1:5" hidden="1">
      <c r="A160" s="222"/>
      <c r="B160" s="42" t="s">
        <v>7671</v>
      </c>
      <c r="C160" s="42"/>
      <c r="D160" s="42"/>
      <c r="E160" s="430" t="e">
        <f>E158/E159</f>
        <v>#N/A</v>
      </c>
    </row>
    <row r="161" spans="1:5" hidden="1">
      <c r="A161" s="222"/>
      <c r="B161" s="42" t="s">
        <v>7672</v>
      </c>
      <c r="C161" s="42"/>
      <c r="D161" s="42"/>
      <c r="E161" s="560">
        <f>E145</f>
        <v>0</v>
      </c>
    </row>
    <row r="162" spans="1:5" hidden="1">
      <c r="A162" s="222"/>
      <c r="B162" s="42" t="s">
        <v>1360</v>
      </c>
      <c r="C162" s="42"/>
      <c r="D162" s="42"/>
      <c r="E162" s="430" t="e">
        <f>E160*E161</f>
        <v>#N/A</v>
      </c>
    </row>
    <row r="163" spans="1:5" hidden="1">
      <c r="A163" s="222"/>
      <c r="B163" s="42" t="s">
        <v>7674</v>
      </c>
      <c r="C163" s="42"/>
      <c r="D163" s="42"/>
      <c r="E163" s="430">
        <f>E147</f>
        <v>0</v>
      </c>
    </row>
    <row r="164" spans="1:5" hidden="1">
      <c r="A164" s="222"/>
      <c r="B164" s="184" t="s">
        <v>1361</v>
      </c>
      <c r="C164" s="561"/>
      <c r="D164" s="562"/>
      <c r="E164" s="563" t="e">
        <f>IF(E162&gt;E163,0,IF(E163-E162-'Data Entry - SOF'!H95&lt;0,0,E163-E162-'Data Entry - SOF'!H95))</f>
        <v>#N/A</v>
      </c>
    </row>
    <row r="165" spans="1:5" hidden="1">
      <c r="A165" s="222"/>
      <c r="B165" s="93"/>
      <c r="C165" s="42"/>
      <c r="D165" s="42"/>
      <c r="E165" s="557"/>
    </row>
    <row r="166" spans="1:5" hidden="1">
      <c r="A166" s="222"/>
      <c r="B166" s="426"/>
      <c r="C166" s="42"/>
      <c r="D166" s="42"/>
      <c r="E166" s="556"/>
    </row>
    <row r="167" spans="1:5" hidden="1">
      <c r="A167" s="222"/>
      <c r="B167" s="184" t="s">
        <v>1362</v>
      </c>
      <c r="C167" s="561"/>
      <c r="D167" s="562"/>
      <c r="E167" s="563" t="e">
        <f>IF(E164-E148&lt;0,0,E164-E148)</f>
        <v>#N/A</v>
      </c>
    </row>
    <row r="168" spans="1:5" hidden="1">
      <c r="A168" s="222"/>
      <c r="B168" s="217" t="s">
        <v>1363</v>
      </c>
      <c r="C168" s="42"/>
      <c r="D168" s="42"/>
      <c r="E168" s="557"/>
    </row>
    <row r="169" spans="1:5" hidden="1">
      <c r="A169" s="222"/>
      <c r="B169" s="217" t="s">
        <v>3528</v>
      </c>
      <c r="C169" s="42"/>
      <c r="D169" s="42"/>
      <c r="E169" s="558"/>
    </row>
    <row r="170" spans="1:5" hidden="1">
      <c r="A170" s="222"/>
      <c r="B170" s="217"/>
      <c r="C170" s="42"/>
      <c r="D170" s="42"/>
      <c r="E170" s="558"/>
    </row>
    <row r="171" spans="1:5" hidden="1">
      <c r="A171" s="243"/>
      <c r="B171" s="211"/>
      <c r="C171" s="211"/>
      <c r="D171" s="211"/>
      <c r="E171" s="236"/>
    </row>
    <row r="172" spans="1:5" hidden="1"/>
    <row r="173" spans="1:5" hidden="1"/>
  </sheetData>
  <phoneticPr fontId="0" type="noConversion"/>
  <pageMargins left="0.25" right="0.25" top="0.5" bottom="0.5" header="0.5" footer="0.5"/>
  <pageSetup scale="80" orientation="portrait" r:id="rId1"/>
  <headerFooter alignWithMargins="0">
    <oddFooter>&amp;L&amp;G</oddFooter>
  </headerFooter>
  <rowBreaks count="2" manualBreakCount="2">
    <brk id="57" max="16383" man="1"/>
    <brk id="122" max="5" man="1"/>
  </row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47"/>
  <sheetViews>
    <sheetView workbookViewId="0">
      <selection activeCell="B82" sqref="B82"/>
    </sheetView>
  </sheetViews>
  <sheetFormatPr defaultRowHeight="13.2"/>
  <sheetData>
    <row r="1" spans="1:14" ht="31.5" customHeight="1">
      <c r="G1" s="683" t="s">
        <v>6535</v>
      </c>
    </row>
    <row r="2" spans="1:14" ht="18" customHeight="1">
      <c r="A2" s="684"/>
      <c r="G2" s="683"/>
    </row>
    <row r="3" spans="1:14" ht="18" customHeight="1">
      <c r="A3" s="685" t="s">
        <v>3247</v>
      </c>
      <c r="B3" s="686"/>
      <c r="C3" s="686"/>
      <c r="D3" s="686"/>
      <c r="E3" s="686"/>
      <c r="F3" s="686"/>
      <c r="G3" s="686"/>
      <c r="H3" s="686"/>
      <c r="I3" s="686"/>
      <c r="J3" s="686"/>
      <c r="K3" s="686"/>
      <c r="L3" s="686"/>
    </row>
    <row r="4" spans="1:14" ht="17.399999999999999">
      <c r="A4" s="684" t="s">
        <v>3248</v>
      </c>
      <c r="B4" s="686"/>
      <c r="C4" s="686"/>
      <c r="D4" s="686"/>
      <c r="E4" s="686"/>
      <c r="F4" s="686"/>
      <c r="G4" s="686"/>
      <c r="H4" s="686"/>
      <c r="I4" s="686"/>
      <c r="J4" s="686"/>
      <c r="K4" s="686"/>
      <c r="L4" s="686"/>
    </row>
    <row r="5" spans="1:14" ht="17.399999999999999">
      <c r="A5" s="684" t="s">
        <v>3249</v>
      </c>
      <c r="B5" s="686"/>
      <c r="C5" s="686"/>
      <c r="D5" s="686"/>
      <c r="E5" s="686"/>
      <c r="F5" s="686"/>
      <c r="G5" s="686"/>
      <c r="H5" s="686"/>
      <c r="I5" s="686"/>
      <c r="J5" s="686"/>
      <c r="K5" s="686"/>
      <c r="L5" s="686"/>
    </row>
    <row r="6" spans="1:14" ht="17.399999999999999">
      <c r="B6" s="687" t="s">
        <v>3250</v>
      </c>
      <c r="C6" s="686"/>
      <c r="D6" s="686"/>
      <c r="E6" s="686"/>
      <c r="F6" s="686"/>
      <c r="G6" s="686"/>
      <c r="H6" s="686"/>
      <c r="I6" s="686"/>
      <c r="J6" s="686"/>
      <c r="K6" s="686"/>
      <c r="L6" s="686"/>
    </row>
    <row r="7" spans="1:14" ht="22.5" customHeight="1">
      <c r="A7" s="688"/>
      <c r="B7" s="688"/>
      <c r="C7" s="688"/>
      <c r="D7" s="688"/>
      <c r="E7" s="688"/>
      <c r="F7" s="688"/>
      <c r="G7" s="688"/>
      <c r="H7" s="688"/>
      <c r="I7" s="688"/>
      <c r="J7" s="688"/>
      <c r="K7" s="688"/>
      <c r="L7" s="688"/>
      <c r="M7" s="688"/>
      <c r="N7" s="688"/>
    </row>
    <row r="8" spans="1:14" ht="17.399999999999999">
      <c r="A8" s="684" t="s">
        <v>3251</v>
      </c>
    </row>
    <row r="9" spans="1:14" ht="17.399999999999999">
      <c r="A9" s="684" t="s">
        <v>3252</v>
      </c>
    </row>
    <row r="10" spans="1:14" ht="17.399999999999999">
      <c r="A10" s="684" t="s">
        <v>4898</v>
      </c>
    </row>
    <row r="11" spans="1:14" ht="17.399999999999999">
      <c r="A11" s="684"/>
    </row>
    <row r="12" spans="1:14" ht="17.399999999999999">
      <c r="A12" s="687" t="s">
        <v>5554</v>
      </c>
    </row>
    <row r="13" spans="1:14" s="684" customFormat="1" ht="17.399999999999999">
      <c r="A13" s="684" t="s">
        <v>4899</v>
      </c>
    </row>
    <row r="14" spans="1:14" s="684" customFormat="1" ht="17.399999999999999">
      <c r="A14" s="687" t="s">
        <v>4900</v>
      </c>
    </row>
    <row r="15" spans="1:14" s="684" customFormat="1" ht="17.399999999999999">
      <c r="A15" s="684" t="s">
        <v>4901</v>
      </c>
    </row>
    <row r="16" spans="1:14" s="684" customFormat="1" ht="17.399999999999999">
      <c r="A16" s="687" t="s">
        <v>4902</v>
      </c>
    </row>
    <row r="17" spans="1:14" s="684" customFormat="1" ht="17.399999999999999">
      <c r="A17" s="684" t="s">
        <v>4903</v>
      </c>
    </row>
    <row r="18" spans="1:14" s="684" customFormat="1" ht="17.399999999999999">
      <c r="A18" s="684" t="s">
        <v>4904</v>
      </c>
    </row>
    <row r="19" spans="1:14" s="684" customFormat="1" ht="17.399999999999999">
      <c r="A19" s="684" t="s">
        <v>4905</v>
      </c>
    </row>
    <row r="20" spans="1:14" s="684" customFormat="1" ht="17.399999999999999">
      <c r="A20" s="684" t="s">
        <v>4906</v>
      </c>
    </row>
    <row r="21" spans="1:14" s="684" customFormat="1" ht="17.399999999999999">
      <c r="A21" s="684" t="s">
        <v>4907</v>
      </c>
    </row>
    <row r="22" spans="1:14" s="684" customFormat="1" ht="17.399999999999999"/>
    <row r="23" spans="1:14" s="684" customFormat="1" ht="17.399999999999999">
      <c r="A23" s="684" t="s">
        <v>4908</v>
      </c>
    </row>
    <row r="24" spans="1:14" s="684" customFormat="1" ht="17.399999999999999">
      <c r="A24" s="684" t="s">
        <v>4909</v>
      </c>
    </row>
    <row r="25" spans="1:14" s="684" customFormat="1" ht="17.399999999999999">
      <c r="A25" s="684" t="s">
        <v>4910</v>
      </c>
    </row>
    <row r="26" spans="1:14" s="684" customFormat="1" ht="17.399999999999999">
      <c r="A26" s="684" t="s">
        <v>4911</v>
      </c>
    </row>
    <row r="27" spans="1:14" ht="22.5" customHeight="1">
      <c r="A27" s="689"/>
      <c r="B27" s="688"/>
      <c r="C27" s="688"/>
      <c r="D27" s="688"/>
      <c r="E27" s="688"/>
      <c r="F27" s="688"/>
      <c r="G27" s="688"/>
      <c r="H27" s="688"/>
      <c r="I27" s="688"/>
      <c r="J27" s="688"/>
      <c r="K27" s="688"/>
      <c r="L27" s="688"/>
      <c r="M27" s="688"/>
      <c r="N27" s="688"/>
    </row>
    <row r="28" spans="1:14" ht="17.399999999999999">
      <c r="A28" s="684" t="s">
        <v>4912</v>
      </c>
    </row>
    <row r="29" spans="1:14" s="692" customFormat="1" ht="17.399999999999999">
      <c r="A29" s="690" t="s">
        <v>4913</v>
      </c>
      <c r="B29" s="691"/>
      <c r="C29" s="691"/>
      <c r="D29" s="691"/>
      <c r="E29" s="691"/>
      <c r="F29" s="691"/>
      <c r="G29" s="691"/>
      <c r="H29" s="691"/>
      <c r="I29" s="691"/>
      <c r="J29" s="691"/>
      <c r="K29" s="691"/>
      <c r="L29" s="691"/>
    </row>
    <row r="30" spans="1:14" s="692" customFormat="1" ht="17.399999999999999">
      <c r="A30" s="690" t="s">
        <v>4914</v>
      </c>
      <c r="B30" s="691"/>
      <c r="C30" s="691"/>
      <c r="D30" s="691"/>
      <c r="E30" s="691"/>
      <c r="F30" s="691"/>
      <c r="G30" s="691"/>
      <c r="H30" s="691"/>
      <c r="I30" s="691"/>
      <c r="J30" s="691"/>
      <c r="K30" s="691"/>
      <c r="L30" s="691"/>
    </row>
    <row r="31" spans="1:14" s="692" customFormat="1" ht="17.399999999999999">
      <c r="A31" s="690" t="s">
        <v>4915</v>
      </c>
      <c r="B31" s="691"/>
      <c r="C31" s="691"/>
      <c r="D31" s="691"/>
      <c r="E31" s="691"/>
      <c r="F31" s="691"/>
      <c r="G31" s="691"/>
      <c r="H31" s="691"/>
      <c r="I31" s="691"/>
      <c r="J31" s="691"/>
      <c r="K31" s="691"/>
      <c r="L31" s="691"/>
    </row>
    <row r="32" spans="1:14" s="692" customFormat="1" ht="17.399999999999999">
      <c r="A32" s="690" t="s">
        <v>3308</v>
      </c>
      <c r="B32" s="691"/>
      <c r="C32" s="691"/>
      <c r="D32" s="691"/>
      <c r="E32" s="691"/>
      <c r="F32" s="691"/>
      <c r="G32" s="691"/>
      <c r="H32" s="691"/>
      <c r="I32" s="691"/>
      <c r="J32" s="691"/>
      <c r="K32" s="691"/>
      <c r="L32" s="691"/>
    </row>
    <row r="33" spans="1:14" s="692" customFormat="1" ht="17.399999999999999">
      <c r="A33" s="690" t="s">
        <v>3309</v>
      </c>
      <c r="B33" s="691"/>
      <c r="C33" s="691"/>
      <c r="D33" s="691"/>
      <c r="E33" s="691"/>
      <c r="F33" s="691"/>
      <c r="G33" s="691"/>
      <c r="H33" s="691"/>
      <c r="I33" s="691"/>
      <c r="J33" s="691"/>
      <c r="K33" s="691"/>
      <c r="L33" s="691"/>
    </row>
    <row r="34" spans="1:14" ht="22.5" customHeight="1">
      <c r="A34" s="688"/>
      <c r="B34" s="688"/>
      <c r="C34" s="688"/>
      <c r="D34" s="688"/>
      <c r="E34" s="688"/>
      <c r="F34" s="688"/>
      <c r="G34" s="688"/>
      <c r="H34" s="688"/>
      <c r="I34" s="688"/>
      <c r="J34" s="688"/>
      <c r="K34" s="688"/>
      <c r="L34" s="688"/>
      <c r="M34" s="688"/>
      <c r="N34" s="688"/>
    </row>
    <row r="35" spans="1:14" s="684" customFormat="1" ht="17.399999999999999">
      <c r="A35" s="684" t="s">
        <v>3310</v>
      </c>
    </row>
    <row r="36" spans="1:14" s="684" customFormat="1" ht="17.399999999999999">
      <c r="A36" s="693" t="s">
        <v>3311</v>
      </c>
    </row>
    <row r="37" spans="1:14" s="684" customFormat="1" ht="17.399999999999999">
      <c r="A37" s="690" t="s">
        <v>3312</v>
      </c>
    </row>
    <row r="38" spans="1:14" s="684" customFormat="1" ht="17.399999999999999">
      <c r="A38" s="684" t="s">
        <v>3313</v>
      </c>
    </row>
    <row r="39" spans="1:14" ht="22.5" customHeight="1">
      <c r="A39" s="688"/>
      <c r="B39" s="688"/>
      <c r="C39" s="688"/>
      <c r="D39" s="688"/>
      <c r="E39" s="688"/>
      <c r="F39" s="688"/>
      <c r="G39" s="688"/>
      <c r="H39" s="688"/>
      <c r="I39" s="688"/>
      <c r="J39" s="688"/>
      <c r="K39" s="688"/>
      <c r="L39" s="688"/>
      <c r="M39" s="688"/>
      <c r="N39" s="688"/>
    </row>
    <row r="40" spans="1:14" s="684" customFormat="1" ht="17.399999999999999">
      <c r="A40" s="684" t="s">
        <v>3314</v>
      </c>
    </row>
    <row r="41" spans="1:14" s="684" customFormat="1" ht="17.399999999999999">
      <c r="A41" s="684" t="s">
        <v>3315</v>
      </c>
    </row>
    <row r="42" spans="1:14" ht="22.5" customHeight="1">
      <c r="A42" s="688"/>
      <c r="B42" s="688"/>
      <c r="C42" s="688"/>
      <c r="D42" s="688"/>
      <c r="E42" s="688"/>
      <c r="F42" s="688"/>
      <c r="G42" s="688"/>
      <c r="H42" s="688"/>
      <c r="I42" s="688"/>
      <c r="J42" s="688"/>
      <c r="K42" s="688"/>
      <c r="L42" s="688"/>
      <c r="M42" s="688"/>
      <c r="N42" s="688"/>
    </row>
    <row r="43" spans="1:14" s="684" customFormat="1" ht="17.399999999999999">
      <c r="A43" s="691" t="s">
        <v>3316</v>
      </c>
      <c r="B43" s="691"/>
      <c r="C43" s="691"/>
      <c r="D43" s="691"/>
      <c r="E43" s="691"/>
      <c r="F43" s="691"/>
      <c r="G43" s="691"/>
      <c r="H43" s="691"/>
      <c r="I43" s="691"/>
    </row>
    <row r="44" spans="1:14" s="684" customFormat="1" ht="17.399999999999999">
      <c r="A44" s="691" t="s">
        <v>3317</v>
      </c>
      <c r="B44" s="691"/>
      <c r="C44" s="691"/>
      <c r="D44" s="691"/>
      <c r="E44" s="691"/>
      <c r="F44" s="691"/>
      <c r="G44" s="691"/>
      <c r="H44" s="691"/>
      <c r="I44" s="691"/>
    </row>
    <row r="45" spans="1:14" s="684" customFormat="1" ht="17.399999999999999">
      <c r="A45" s="691" t="s">
        <v>3318</v>
      </c>
      <c r="B45" s="691"/>
      <c r="C45" s="691"/>
      <c r="D45" s="691"/>
      <c r="E45" s="691"/>
      <c r="F45" s="691"/>
      <c r="G45" s="691"/>
      <c r="H45" s="691"/>
      <c r="I45" s="691"/>
    </row>
    <row r="46" spans="1:14" s="684" customFormat="1" ht="17.399999999999999">
      <c r="A46" s="691" t="s">
        <v>3319</v>
      </c>
      <c r="B46" s="691"/>
      <c r="C46" s="691"/>
      <c r="D46" s="691"/>
      <c r="E46" s="691"/>
      <c r="F46" s="691"/>
      <c r="G46" s="691"/>
      <c r="H46" s="691"/>
      <c r="I46" s="691"/>
    </row>
    <row r="47" spans="1:14" s="239" customFormat="1" ht="12.75" customHeight="1">
      <c r="A47" s="600" t="s">
        <v>3320</v>
      </c>
    </row>
  </sheetData>
  <phoneticPr fontId="33" type="noConversion"/>
  <hyperlinks>
    <hyperlink ref="A47" r:id="rId1" xr:uid="{00000000-0004-0000-0200-000000000000}"/>
  </hyperlinks>
  <pageMargins left="0.75" right="0.75" top="1" bottom="1" header="0.5" footer="0.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C56"/>
  <sheetViews>
    <sheetView workbookViewId="0"/>
  </sheetViews>
  <sheetFormatPr defaultRowHeight="13.2"/>
  <cols>
    <col min="1" max="1" width="39.21875" customWidth="1"/>
    <col min="2" max="2" width="21.44140625" customWidth="1"/>
    <col min="3" max="3" width="20" customWidth="1"/>
  </cols>
  <sheetData>
    <row r="1" spans="1:1">
      <c r="A1" s="791"/>
    </row>
    <row r="3" spans="1:1">
      <c r="A3" s="791"/>
    </row>
    <row r="4" spans="1:1">
      <c r="A4" s="791"/>
    </row>
    <row r="5" spans="1:1">
      <c r="A5" s="791"/>
    </row>
    <row r="6" spans="1:1">
      <c r="A6" s="791"/>
    </row>
    <row r="7" spans="1:1">
      <c r="A7" s="791"/>
    </row>
    <row r="8" spans="1:1">
      <c r="A8" s="791"/>
    </row>
    <row r="9" spans="1:1">
      <c r="A9" s="791"/>
    </row>
    <row r="10" spans="1:1">
      <c r="A10" s="791"/>
    </row>
    <row r="11" spans="1:1">
      <c r="A11" s="791"/>
    </row>
    <row r="12" spans="1:1">
      <c r="A12" s="791"/>
    </row>
    <row r="13" spans="1:1">
      <c r="A13" s="791"/>
    </row>
    <row r="14" spans="1:1">
      <c r="A14" s="791"/>
    </row>
    <row r="15" spans="1:1">
      <c r="A15" s="791"/>
    </row>
    <row r="16" spans="1:1">
      <c r="A16" s="791"/>
    </row>
    <row r="17" spans="1:3">
      <c r="A17" s="791"/>
      <c r="B17" s="246"/>
      <c r="C17" s="246"/>
    </row>
    <row r="18" spans="1:3">
      <c r="A18" s="791"/>
      <c r="B18" s="246"/>
      <c r="C18" s="246"/>
    </row>
    <row r="19" spans="1:3">
      <c r="A19" s="791"/>
      <c r="B19" s="246"/>
      <c r="C19" s="246"/>
    </row>
    <row r="20" spans="1:3">
      <c r="A20" s="791"/>
      <c r="B20" s="246"/>
      <c r="C20" s="246"/>
    </row>
    <row r="21" spans="1:3">
      <c r="A21" s="791"/>
    </row>
    <row r="22" spans="1:3">
      <c r="A22" s="791"/>
    </row>
    <row r="23" spans="1:3">
      <c r="A23" s="791"/>
    </row>
    <row r="24" spans="1:3">
      <c r="A24" s="791"/>
    </row>
    <row r="25" spans="1:3">
      <c r="A25" s="791"/>
    </row>
    <row r="26" spans="1:3">
      <c r="A26" s="791"/>
      <c r="B26" s="246"/>
      <c r="C26" s="246"/>
    </row>
    <row r="27" spans="1:3">
      <c r="A27" s="791"/>
      <c r="B27" s="246"/>
      <c r="C27" s="246"/>
    </row>
    <row r="28" spans="1:3">
      <c r="A28" s="791"/>
      <c r="B28" s="246"/>
      <c r="C28" s="246"/>
    </row>
    <row r="29" spans="1:3">
      <c r="A29" s="791"/>
      <c r="B29" s="246"/>
      <c r="C29" s="246"/>
    </row>
    <row r="30" spans="1:3">
      <c r="A30" s="791"/>
      <c r="B30" s="246"/>
      <c r="C30" s="246"/>
    </row>
    <row r="32" spans="1:3">
      <c r="A32" s="791"/>
    </row>
    <row r="33" spans="1:3">
      <c r="A33" s="791"/>
    </row>
    <row r="34" spans="1:3">
      <c r="A34" s="791"/>
      <c r="B34" s="246"/>
      <c r="C34" s="246"/>
    </row>
    <row r="35" spans="1:3">
      <c r="A35" s="791"/>
      <c r="B35" s="246"/>
      <c r="C35" s="246"/>
    </row>
    <row r="36" spans="1:3">
      <c r="A36" s="791"/>
      <c r="B36" s="246"/>
      <c r="C36" s="246"/>
    </row>
    <row r="37" spans="1:3">
      <c r="A37" s="791"/>
      <c r="B37" s="246"/>
      <c r="C37" s="246"/>
    </row>
    <row r="38" spans="1:3">
      <c r="A38" s="791"/>
      <c r="B38" s="246"/>
      <c r="C38" s="246"/>
    </row>
    <row r="39" spans="1:3">
      <c r="A39" s="791"/>
      <c r="B39" s="246"/>
      <c r="C39" s="246"/>
    </row>
    <row r="40" spans="1:3">
      <c r="A40" s="791"/>
    </row>
    <row r="41" spans="1:3">
      <c r="A41" s="791"/>
    </row>
    <row r="42" spans="1:3">
      <c r="A42" s="791"/>
      <c r="B42" s="246"/>
      <c r="C42" s="246"/>
    </row>
    <row r="43" spans="1:3">
      <c r="A43" s="791"/>
    </row>
    <row r="44" spans="1:3">
      <c r="A44" s="791"/>
      <c r="B44" s="246"/>
      <c r="C44" s="246"/>
    </row>
    <row r="45" spans="1:3">
      <c r="A45" s="791"/>
      <c r="B45" s="246"/>
      <c r="C45" s="246"/>
    </row>
    <row r="46" spans="1:3">
      <c r="A46" s="791"/>
    </row>
    <row r="47" spans="1:3">
      <c r="A47" s="791"/>
      <c r="B47" s="246"/>
      <c r="C47" s="246"/>
    </row>
    <row r="48" spans="1:3">
      <c r="A48" s="791"/>
      <c r="B48" s="246"/>
      <c r="C48" s="246"/>
    </row>
    <row r="49" spans="1:3">
      <c r="A49" s="791"/>
      <c r="B49" s="246"/>
      <c r="C49" s="246"/>
    </row>
    <row r="50" spans="1:3">
      <c r="A50" s="791"/>
      <c r="B50" s="246"/>
      <c r="C50" s="246"/>
    </row>
    <row r="51" spans="1:3">
      <c r="A51" s="791"/>
      <c r="B51" s="246"/>
      <c r="C51" s="246"/>
    </row>
    <row r="52" spans="1:3">
      <c r="A52" s="791"/>
      <c r="B52" s="246"/>
      <c r="C52" s="246"/>
    </row>
    <row r="53" spans="1:3">
      <c r="A53" s="791"/>
      <c r="B53" s="246"/>
      <c r="C53" s="246"/>
    </row>
    <row r="54" spans="1:3">
      <c r="A54" s="791"/>
      <c r="B54" s="246"/>
      <c r="C54" s="246"/>
    </row>
    <row r="55" spans="1:3">
      <c r="A55" s="791"/>
    </row>
    <row r="56" spans="1:3">
      <c r="A56" s="791"/>
      <c r="B56" s="246"/>
      <c r="C56" s="246"/>
    </row>
  </sheetData>
  <phoneticPr fontId="33" type="noConversion"/>
  <pageMargins left="0.75" right="0.75" top="1" bottom="1" header="0.5" footer="0.5"/>
  <pageSetup orientation="portrait" horizontalDpi="360" verticalDpi="36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dimension ref="A1:AF134"/>
  <sheetViews>
    <sheetView workbookViewId="0">
      <selection activeCell="F2" sqref="F2"/>
    </sheetView>
  </sheetViews>
  <sheetFormatPr defaultRowHeight="13.2"/>
  <cols>
    <col min="2" max="2" width="7.5546875" customWidth="1"/>
    <col min="3" max="3" width="13.5546875" customWidth="1"/>
    <col min="4" max="4" width="44.5546875" customWidth="1"/>
    <col min="5" max="5" width="13.77734375" customWidth="1"/>
    <col min="6" max="6" width="15.5546875" customWidth="1"/>
    <col min="7" max="10" width="13.5546875" hidden="1" customWidth="1"/>
    <col min="11" max="11" width="0" hidden="1" customWidth="1"/>
    <col min="12" max="12" width="13.5546875" hidden="1" customWidth="1"/>
    <col min="13" max="13" width="3.5546875" hidden="1" customWidth="1"/>
    <col min="14" max="14" width="6.21875" hidden="1" customWidth="1"/>
    <col min="15" max="17" width="0" hidden="1" customWidth="1"/>
    <col min="18" max="18" width="10.77734375" hidden="1" customWidth="1"/>
    <col min="19" max="19" width="5" customWidth="1"/>
    <col min="20" max="20" width="18.44140625" customWidth="1"/>
    <col min="21" max="21" width="19.5546875" customWidth="1"/>
    <col min="22" max="22" width="11.77734375" customWidth="1"/>
    <col min="23" max="23" width="14.21875" customWidth="1"/>
    <col min="24" max="24" width="16.5546875" hidden="1" customWidth="1"/>
    <col min="25" max="26" width="9.21875" hidden="1" customWidth="1"/>
    <col min="27" max="27" width="23.21875" hidden="1" customWidth="1"/>
    <col min="28" max="28" width="16" hidden="1" customWidth="1"/>
    <col min="29" max="32" width="9.21875" hidden="1" customWidth="1"/>
  </cols>
  <sheetData>
    <row r="1" spans="1:28">
      <c r="A1" s="27" t="s">
        <v>6151</v>
      </c>
      <c r="C1" s="19" t="e">
        <f>'Data Entry - SOF'!B1</f>
        <v>#N/A</v>
      </c>
      <c r="D1" s="42"/>
      <c r="F1" s="107" t="s">
        <v>682</v>
      </c>
      <c r="G1" s="107"/>
    </row>
    <row r="2" spans="1:28">
      <c r="A2" s="27" t="s">
        <v>6152</v>
      </c>
      <c r="C2" s="19" t="str">
        <f>'Data Entry - SOF'!B2</f>
        <v>000-000</v>
      </c>
      <c r="F2" s="107" t="str">
        <f>'Data Entry - SOF'!H2</f>
        <v>Release 09-10; Revised 10/18/11</v>
      </c>
      <c r="G2" s="107"/>
    </row>
    <row r="3" spans="1:28">
      <c r="A3" s="27" t="s">
        <v>6154</v>
      </c>
      <c r="C3" s="115">
        <f ca="1">'Data Entry - SOF'!B3</f>
        <v>45352.58606238426</v>
      </c>
      <c r="F3" s="106">
        <f>'Data Entry - SOF'!H3</f>
        <v>0</v>
      </c>
    </row>
    <row r="4" spans="1:28">
      <c r="D4" s="190" t="s">
        <v>633</v>
      </c>
    </row>
    <row r="5" spans="1:28">
      <c r="D5" s="190" t="s">
        <v>1535</v>
      </c>
    </row>
    <row r="7" spans="1:28">
      <c r="D7" s="27" t="s">
        <v>634</v>
      </c>
    </row>
    <row r="8" spans="1:28">
      <c r="B8" s="4"/>
      <c r="D8" s="27" t="s">
        <v>3608</v>
      </c>
      <c r="F8" s="25" t="e">
        <f>'Calc Data'!D10</f>
        <v>#N/A</v>
      </c>
      <c r="G8" s="25"/>
      <c r="J8" s="1"/>
    </row>
    <row r="9" spans="1:28">
      <c r="D9" s="27" t="s">
        <v>635</v>
      </c>
      <c r="F9" s="25" t="e">
        <f>'Calc Data'!D11</f>
        <v>#N/A</v>
      </c>
      <c r="G9" s="25"/>
      <c r="J9" s="1"/>
    </row>
    <row r="10" spans="1:28">
      <c r="D10" s="27" t="s">
        <v>636</v>
      </c>
      <c r="F10" s="25" t="e">
        <f>'Data Entry - SOF'!F51</f>
        <v>#N/A</v>
      </c>
      <c r="G10" s="25"/>
    </row>
    <row r="11" spans="1:28">
      <c r="B11" s="27"/>
      <c r="D11" s="27" t="s">
        <v>637</v>
      </c>
      <c r="F11" s="25" t="e">
        <f>'Calc Data'!D14</f>
        <v>#N/A</v>
      </c>
      <c r="G11" s="25"/>
    </row>
    <row r="12" spans="1:28">
      <c r="D12" s="27" t="s">
        <v>638</v>
      </c>
      <c r="F12" s="23" t="e">
        <f>'Data Entry - SOF'!F60</f>
        <v>#N/A</v>
      </c>
      <c r="G12" s="23"/>
    </row>
    <row r="13" spans="1:28">
      <c r="D13" s="27" t="s">
        <v>639</v>
      </c>
      <c r="F13" s="23" t="e">
        <f>'Data Entry - SOF'!F62</f>
        <v>#N/A</v>
      </c>
      <c r="G13" s="23"/>
    </row>
    <row r="14" spans="1:28">
      <c r="D14" s="27" t="s">
        <v>2602</v>
      </c>
      <c r="F14" s="24">
        <f>'Data Entry - SOF'!F80</f>
        <v>0</v>
      </c>
      <c r="G14" s="23"/>
    </row>
    <row r="15" spans="1:28">
      <c r="D15" s="27" t="s">
        <v>521</v>
      </c>
      <c r="F15" s="24" t="e">
        <f>'Calc Data'!D64</f>
        <v>#N/A</v>
      </c>
      <c r="G15" s="24"/>
    </row>
    <row r="16" spans="1:28">
      <c r="D16" s="27" t="s">
        <v>3137</v>
      </c>
      <c r="F16" s="23">
        <f>'Data Entry - SOF'!F70</f>
        <v>0</v>
      </c>
      <c r="G16" s="23"/>
      <c r="T16" s="194" t="s">
        <v>2037</v>
      </c>
      <c r="U16" s="194" t="s">
        <v>2038</v>
      </c>
      <c r="AA16" s="71" t="s">
        <v>1679</v>
      </c>
      <c r="AB16" s="71" t="s">
        <v>1680</v>
      </c>
    </row>
    <row r="17" spans="2:28" ht="13.8" thickBot="1">
      <c r="D17" s="37"/>
      <c r="E17" s="17"/>
      <c r="F17" s="36"/>
      <c r="G17" s="38"/>
      <c r="H17" s="133" t="s">
        <v>2038</v>
      </c>
      <c r="L17" s="133" t="s">
        <v>2037</v>
      </c>
      <c r="T17" t="s">
        <v>668</v>
      </c>
      <c r="U17" t="s">
        <v>2739</v>
      </c>
      <c r="AA17" t="s">
        <v>4558</v>
      </c>
      <c r="AB17" t="s">
        <v>4558</v>
      </c>
    </row>
    <row r="18" spans="2:28" ht="13.8" thickTop="1">
      <c r="B18" s="33" t="s">
        <v>640</v>
      </c>
      <c r="D18" s="27"/>
      <c r="F18" s="27"/>
      <c r="G18" s="27"/>
      <c r="H18" s="135" t="s">
        <v>865</v>
      </c>
      <c r="L18" s="135" t="s">
        <v>865</v>
      </c>
    </row>
    <row r="19" spans="2:28">
      <c r="B19" s="33">
        <v>11</v>
      </c>
      <c r="D19" s="27" t="s">
        <v>641</v>
      </c>
      <c r="F19" s="23" t="e">
        <f>ROUND(ROUND('Calc Data'!D29,0)*IF('Calc Data'!D15&gt;'Calc Data'!D14,'Calc Data'!D15,'Calc Data'!D14),0)</f>
        <v>#N/A</v>
      </c>
      <c r="G19" s="23"/>
      <c r="H19" s="79" t="e">
        <f>ROUND(ROUND('Calc Data'!H29,0)*IF('Calc Data'!H15&gt;'Calc Data'!H14,'Calc Data'!H15,'Calc Data'!H14),0)</f>
        <v>#N/A</v>
      </c>
      <c r="L19" s="79" t="e">
        <f>ROUND(ROUND('Calc Data'!H29,0)*IF('Calc Data'!H15&gt;'Calc Data'!H14,'Calc Data'!H15,'Calc Data'!H14),0)</f>
        <v>#N/A</v>
      </c>
      <c r="T19" s="23" t="e">
        <f>ROUND(ROUND('Calc Data'!D29,0)*IF('Calc Data'!D15&gt;'Calc Data'!D14,'Calc Data'!D15,'Calc Data'!D14),0)</f>
        <v>#N/A</v>
      </c>
      <c r="U19" s="23" t="e">
        <f>ROUND(ROUND('Calc Data'!D29,0)*IF('Calc Data'!D15&gt;'Calc Data'!D14,'Calc Data'!D15,'Calc Data'!D14),0)</f>
        <v>#N/A</v>
      </c>
    </row>
    <row r="20" spans="2:28">
      <c r="B20" s="33">
        <v>23</v>
      </c>
      <c r="D20" s="27" t="s">
        <v>4081</v>
      </c>
      <c r="F20" s="23" t="e">
        <f>ROUND('Calc Data'!D12*ROUND('Calc Data'!D29,0),0)</f>
        <v>#N/A</v>
      </c>
      <c r="G20" s="23"/>
      <c r="H20" s="79" t="e">
        <f>ROUND('Calc Data'!H12*ROUND('Calc Data'!H29,0),0)</f>
        <v>#N/A</v>
      </c>
      <c r="L20" s="79" t="e">
        <f>ROUND('Calc Data'!H12*ROUND('Calc Data'!H29,0),0)</f>
        <v>#N/A</v>
      </c>
      <c r="T20" s="23" t="e">
        <f>ROUND('Calc Data'!D12*ROUND('Calc Data'!D29,0),0)</f>
        <v>#N/A</v>
      </c>
      <c r="U20" s="23" t="e">
        <f>ROUND('Calc Data'!D12*ROUND('Calc Data'!D29,0),0)</f>
        <v>#N/A</v>
      </c>
    </row>
    <row r="21" spans="2:28">
      <c r="B21" s="33"/>
      <c r="D21" s="27" t="s">
        <v>4082</v>
      </c>
      <c r="H21" s="78"/>
      <c r="L21" s="78"/>
    </row>
    <row r="22" spans="2:28">
      <c r="B22" s="33">
        <v>23</v>
      </c>
      <c r="D22" s="27" t="s">
        <v>4083</v>
      </c>
      <c r="F22" s="35" t="e">
        <f>ROUND('Data Entry - SOF'!F50*1.1*ROUND('Calc Data'!D29,0),0)</f>
        <v>#N/A</v>
      </c>
      <c r="G22" s="35"/>
      <c r="H22" s="80" t="e">
        <f>ROUND('Data Entry - SOF'!F50*1.1*ROUND('Calc Data'!H29,0),0)</f>
        <v>#N/A</v>
      </c>
      <c r="L22" s="80" t="e">
        <f>ROUND('Data Entry - SOF'!F50*1.1*ROUND('Calc Data'!H29,0),0)</f>
        <v>#N/A</v>
      </c>
      <c r="T22" s="35" t="e">
        <f>ROUND('Data Entry - SOF'!F50*1.1*ROUND('Calc Data'!D29,0),0)</f>
        <v>#N/A</v>
      </c>
      <c r="U22" s="35" t="e">
        <f>ROUND('Data Entry - SOF'!F50*1.1*ROUND('Calc Data'!D29,0),0)</f>
        <v>#N/A</v>
      </c>
    </row>
    <row r="23" spans="2:28">
      <c r="B23" s="33">
        <v>23</v>
      </c>
      <c r="D23" s="27" t="s">
        <v>4084</v>
      </c>
      <c r="F23" s="23" t="e">
        <f>ROUND((+'Data Entry - SOF'!F48*4)*ROUND('Calc Data'!D29,0),0)</f>
        <v>#N/A</v>
      </c>
      <c r="G23" s="23"/>
      <c r="H23" s="79" t="e">
        <f>ROUND(('Data Entry - SOF'!F48*4)*ROUND('Calc Data'!H29,0),0)</f>
        <v>#N/A</v>
      </c>
      <c r="L23" s="79" t="e">
        <f>ROUND(('Data Entry - SOF'!F48*4)*ROUND('Calc Data'!H29,0),0)</f>
        <v>#N/A</v>
      </c>
      <c r="T23" s="23" t="e">
        <f>ROUND((+'Data Entry - SOF'!F48*4)*ROUND('Calc Data'!D29,0),0)</f>
        <v>#N/A</v>
      </c>
      <c r="U23" s="23" t="e">
        <f>ROUND((+'Data Entry - SOF'!F48*4)*ROUND('Calc Data'!D29,0),0)</f>
        <v>#N/A</v>
      </c>
    </row>
    <row r="24" spans="2:28">
      <c r="B24" s="33">
        <v>23</v>
      </c>
      <c r="D24" s="30" t="s">
        <v>4085</v>
      </c>
      <c r="F24" s="23" t="e">
        <f>ROUND((+'Data Entry - SOF'!F46*2.8)*ROUND('Calc Data'!D29,0),0)</f>
        <v>#N/A</v>
      </c>
      <c r="G24" s="23"/>
      <c r="H24" s="79" t="e">
        <f>ROUND(('Data Entry - SOF'!F46*2.8)*ROUND('Calc Data'!H29,0),0)</f>
        <v>#N/A</v>
      </c>
      <c r="L24" s="79" t="e">
        <f>ROUND(('Data Entry - SOF'!F46*2.8)*ROUND('Calc Data'!H29,0),0)</f>
        <v>#N/A</v>
      </c>
      <c r="T24" s="23" t="e">
        <f>ROUND((+'Data Entry - SOF'!F46*2.8)*ROUND('Calc Data'!D29,0),0)</f>
        <v>#N/A</v>
      </c>
      <c r="U24" s="23" t="e">
        <f>ROUND((+'Data Entry - SOF'!F46*2.8)*ROUND('Calc Data'!D29,0),0)</f>
        <v>#N/A</v>
      </c>
    </row>
    <row r="25" spans="2:28">
      <c r="B25" s="33">
        <v>23</v>
      </c>
      <c r="D25" s="30" t="s">
        <v>1480</v>
      </c>
      <c r="F25" s="23" t="e">
        <f>ROUND(('Data Entry - SOF'!F47*1.7)*ROUND('Calc Data'!D29,0),0)</f>
        <v>#N/A</v>
      </c>
      <c r="G25" s="23"/>
      <c r="H25" s="79" t="e">
        <f>ROUND(('Data Entry - SOF'!F47*1.7)*ROUND('Calc Data'!H29,0),0)</f>
        <v>#N/A</v>
      </c>
      <c r="L25" s="79" t="e">
        <f>ROUND(('Data Entry - SOF'!F47*1.7)*ROUND('Calc Data'!H29,0),0)</f>
        <v>#N/A</v>
      </c>
      <c r="T25" s="23" t="e">
        <f>ROUND(('Data Entry - SOF'!F47*1.7)*ROUND('Calc Data'!D29,0),0)</f>
        <v>#N/A</v>
      </c>
      <c r="U25" s="23" t="e">
        <f>ROUND(('Data Entry - SOF'!F47*1.7)*ROUND('Calc Data'!D29,0),0)</f>
        <v>#N/A</v>
      </c>
    </row>
    <row r="26" spans="2:28">
      <c r="B26" s="33"/>
      <c r="D26" s="27" t="s">
        <v>6148</v>
      </c>
      <c r="F26" s="23" t="e">
        <f>IF('Data Entry - SOF'!F88&lt;0,'Data Entry - SOF'!F88,'Data Entry - SOF'!F88*-1)</f>
        <v>#N/A</v>
      </c>
      <c r="G26" s="23"/>
      <c r="H26" s="79" t="e">
        <f>F26</f>
        <v>#N/A</v>
      </c>
      <c r="L26" s="79" t="e">
        <f>F26</f>
        <v>#N/A</v>
      </c>
      <c r="T26" s="23" t="e">
        <f>IF('Data Entry - SOF'!F88&lt;0,'Data Entry - SOF'!F88,'Data Entry - SOF'!F88*-1)</f>
        <v>#N/A</v>
      </c>
      <c r="U26" s="23" t="e">
        <f>IF('Data Entry - SOF'!F88&lt;0,'Data Entry - SOF'!F88,'Data Entry - SOF'!F88*-1)</f>
        <v>#N/A</v>
      </c>
    </row>
    <row r="27" spans="2:28">
      <c r="B27" s="33">
        <v>22</v>
      </c>
      <c r="C27" s="21"/>
      <c r="D27" s="27" t="s">
        <v>1649</v>
      </c>
      <c r="F27" s="23" t="e">
        <f>ROUND(ROUND('Calc Data'!D29,0)*'Data Entry - SOF'!F51*1.35,0)</f>
        <v>#N/A</v>
      </c>
      <c r="G27" s="23"/>
      <c r="H27" s="79" t="e">
        <f>ROUND(ROUND('Calc Data'!H29,0)*'Data Entry - SOF'!F51*1.35,0)</f>
        <v>#N/A</v>
      </c>
      <c r="L27" s="79" t="e">
        <f>ROUND(ROUND('Calc Data'!H29,0)*'Data Entry - SOF'!F51*1.35,0)</f>
        <v>#N/A</v>
      </c>
      <c r="T27" s="23" t="e">
        <f>ROUND(ROUND('Calc Data'!D29,0)*'Data Entry - SOF'!F51*1.35,0)</f>
        <v>#N/A</v>
      </c>
      <c r="U27" s="23" t="e">
        <f>ROUND(ROUND('Calc Data'!D29,0)*'Data Entry - SOF'!F51*1.35,0)</f>
        <v>#N/A</v>
      </c>
    </row>
    <row r="28" spans="2:28">
      <c r="B28" s="33">
        <v>21</v>
      </c>
      <c r="D28" s="27" t="s">
        <v>3988</v>
      </c>
      <c r="F28" s="23" t="e">
        <f>ROUND(ROUND('Calc Data'!D29,0)*'Data Entry - SOF'!D267*0.12,0)</f>
        <v>#N/A</v>
      </c>
      <c r="G28" s="23"/>
      <c r="H28" s="79" t="e">
        <f>ROUND(ROUND('Calc Data'!H29,0)*'Data Entry - SOF'!D267*0.12,0)</f>
        <v>#N/A</v>
      </c>
      <c r="L28" s="79" t="e">
        <f>ROUND(ROUND('Calc Data'!H29,0)*'Data Entry - SOF'!D267*0.12,0)</f>
        <v>#N/A</v>
      </c>
      <c r="T28" s="23" t="e">
        <f>ROUND(ROUND('Calc Data'!D29,0)*'Data Entry - SOF'!D267*0.12,0)</f>
        <v>#N/A</v>
      </c>
      <c r="U28" s="23" t="e">
        <f>ROUND(ROUND('Calc Data'!D29,0)*'Data Entry - SOF'!D267*0.12,0)</f>
        <v>#N/A</v>
      </c>
    </row>
    <row r="29" spans="2:28">
      <c r="B29" s="33"/>
      <c r="D29" s="27" t="s">
        <v>4978</v>
      </c>
      <c r="F29" s="23" t="e">
        <f>IF('Data Entry - SOF'!F86&lt;0,'Data Entry - SOF'!F86,'Data Entry - SOF'!F86*-1)</f>
        <v>#N/A</v>
      </c>
      <c r="G29" s="23"/>
      <c r="H29" s="79" t="e">
        <f>IF('Data Entry - SOF'!F86&lt;0,'Data Entry - SOF'!F86,'Data Entry - SOF'!F86*-1)</f>
        <v>#N/A</v>
      </c>
      <c r="L29" s="79" t="e">
        <f>IF('Data Entry - SOF'!F86&lt;0,'Data Entry - SOF'!F86,'Data Entry - SOF'!F86*-1)</f>
        <v>#N/A</v>
      </c>
      <c r="T29" s="23" t="e">
        <f>IF('Data Entry - SOF'!F86&lt;0,'Data Entry - SOF'!F86,'Data Entry - SOF'!F86*-1)</f>
        <v>#N/A</v>
      </c>
      <c r="U29" s="23" t="e">
        <f>IF('Data Entry - SOF'!F86&lt;0,'Data Entry - SOF'!F86,'Data Entry - SOF'!F86*-1)</f>
        <v>#N/A</v>
      </c>
    </row>
    <row r="30" spans="2:28">
      <c r="B30" s="33" t="s">
        <v>2363</v>
      </c>
      <c r="D30" s="27" t="s">
        <v>4979</v>
      </c>
      <c r="F30" s="23" t="e">
        <f>ROUND(ROUND('Calc Data'!D29,0)*'Data Entry - SOF'!F52*0.2,0)</f>
        <v>#N/A</v>
      </c>
      <c r="G30" s="23"/>
      <c r="H30" s="79" t="e">
        <f>ROUND(ROUND('Calc Data'!H29,0)*'Data Entry - SOF'!F52*0.2,0)</f>
        <v>#N/A</v>
      </c>
      <c r="L30" s="79" t="e">
        <f>ROUND(ROUND('Calc Data'!H29,0)*'Data Entry - SOF'!F52*0.2,0)</f>
        <v>#N/A</v>
      </c>
      <c r="T30" s="23" t="e">
        <f>ROUND(ROUND('Calc Data'!D29,0)*'Data Entry - SOF'!F52*0.2,0)</f>
        <v>#N/A</v>
      </c>
      <c r="U30" s="23" t="e">
        <f>ROUND(ROUND('Calc Data'!D29,0)*'Data Entry - SOF'!F52*0.2,0)</f>
        <v>#N/A</v>
      </c>
    </row>
    <row r="31" spans="2:28">
      <c r="B31" s="33" t="s">
        <v>2363</v>
      </c>
      <c r="D31" s="27" t="s">
        <v>4980</v>
      </c>
      <c r="F31" s="23" t="e">
        <f>ROUND(ROUND('Calc Data'!D29,0)*'Data Entry - SOF'!F53*2.41,0)</f>
        <v>#N/A</v>
      </c>
      <c r="G31" s="23"/>
      <c r="H31" s="79" t="e">
        <f>ROUND(ROUND('Calc Data'!H29,0)*'Data Entry - SOF'!F53*2.41,0)</f>
        <v>#N/A</v>
      </c>
      <c r="L31" s="79" t="e">
        <f>ROUND(ROUND('Calc Data'!H29,0)*'Data Entry - SOF'!F53*2.41,0)</f>
        <v>#N/A</v>
      </c>
      <c r="T31" s="23" t="e">
        <f>ROUND(ROUND('Calc Data'!D29,0)*'Data Entry - SOF'!F53*2.41,0)</f>
        <v>#N/A</v>
      </c>
      <c r="U31" s="23" t="e">
        <f>ROUND(ROUND('Calc Data'!D29,0)*'Data Entry - SOF'!F53*2.41,0)</f>
        <v>#N/A</v>
      </c>
    </row>
    <row r="32" spans="2:28">
      <c r="B32" s="33"/>
      <c r="D32" s="27" t="s">
        <v>7718</v>
      </c>
      <c r="F32" s="23" t="e">
        <f>IF('Data Entry - SOF'!F87&lt;0,'Data Entry - SOF'!F87,'Data Entry - SOF'!F87*-1)</f>
        <v>#N/A</v>
      </c>
      <c r="G32" s="23"/>
      <c r="H32" s="79" t="e">
        <f>IF('Data Entry - SOF'!F87&lt;0,'Data Entry - SOF'!F87,'Data Entry - SOF'!F87*-1)</f>
        <v>#N/A</v>
      </c>
      <c r="L32" s="79" t="e">
        <f>IF('Data Entry - SOF'!F87&lt;0,'Data Entry - SOF'!F87,'Data Entry - SOF'!F87*-1)</f>
        <v>#N/A</v>
      </c>
      <c r="T32" s="23" t="e">
        <f>IF('Data Entry - SOF'!F87&lt;0,'Data Entry - SOF'!F87,'Data Entry - SOF'!F87*-1)</f>
        <v>#N/A</v>
      </c>
      <c r="U32" s="23" t="e">
        <f>IF('Data Entry - SOF'!F87&lt;0,'Data Entry - SOF'!F87,'Data Entry - SOF'!F87*-1)</f>
        <v>#N/A</v>
      </c>
    </row>
    <row r="33" spans="2:28">
      <c r="B33" s="33">
        <v>25</v>
      </c>
      <c r="D33" s="27" t="s">
        <v>4981</v>
      </c>
      <c r="F33" s="23" t="e">
        <f>ROUND(ROUND('Calc Data'!D29,0)*('Data Entry - SOF'!F54*0.1),0)</f>
        <v>#N/A</v>
      </c>
      <c r="G33" s="23"/>
      <c r="H33" s="23" t="e">
        <f>ROUND(ROUND('Calc Data'!H29,0)*('Data Entry - SOF'!F54*0.1),0)</f>
        <v>#N/A</v>
      </c>
      <c r="L33" s="23" t="e">
        <f>ROUND(ROUND('Calc Data'!H29,0)*('Data Entry - SOF'!F54*0.1),0)</f>
        <v>#N/A</v>
      </c>
      <c r="T33" s="23" t="e">
        <f>ROUND(ROUND('Calc Data'!D29,0)*('Data Entry - SOF'!F54*0.1),0)</f>
        <v>#N/A</v>
      </c>
      <c r="U33" s="23" t="e">
        <f>ROUND(ROUND('Calc Data'!D29,0)*('Data Entry - SOF'!F54*0.1),0)</f>
        <v>#N/A</v>
      </c>
    </row>
    <row r="34" spans="2:28">
      <c r="B34" s="33"/>
      <c r="D34" s="27" t="s">
        <v>4982</v>
      </c>
      <c r="F34" s="23" t="e">
        <f>ROUND(ROUND('Calc Data'!D29,0)*'Data Entry - SOF'!F56*0.1,0)</f>
        <v>#N/A</v>
      </c>
      <c r="G34" s="23"/>
      <c r="H34" s="79" t="e">
        <f>ROUND(ROUND('Calc Data'!H29,0)*'Data Entry - SOF'!F56*0.1,0)</f>
        <v>#N/A</v>
      </c>
      <c r="L34" s="79" t="e">
        <f>ROUND(ROUND('Calc Data'!H29,0)*'Data Entry - SOF'!F56*0.1,0)</f>
        <v>#N/A</v>
      </c>
      <c r="T34" s="23" t="e">
        <f>ROUND(ROUND('Calc Data'!D29,0)*'Data Entry - SOF'!F56*0.1,0)</f>
        <v>#N/A</v>
      </c>
      <c r="U34" s="23" t="e">
        <f>ROUND(ROUND('Calc Data'!D29,0)*'Data Entry - SOF'!F56*0.1,0)</f>
        <v>#N/A</v>
      </c>
    </row>
    <row r="35" spans="2:28">
      <c r="B35" s="33"/>
      <c r="D35" s="27" t="s">
        <v>1705</v>
      </c>
      <c r="F35" s="23">
        <f>'Data Entry - SOF'!F57*250</f>
        <v>0</v>
      </c>
      <c r="G35" s="23"/>
      <c r="H35" s="23">
        <f>'Data Entry - SOF'!F57*250</f>
        <v>0</v>
      </c>
      <c r="L35" s="23">
        <f>'Data Entry - SOF'!F57*250</f>
        <v>0</v>
      </c>
      <c r="T35" s="23">
        <f>'Data Entry - SOF'!F57*250</f>
        <v>0</v>
      </c>
      <c r="U35" s="23">
        <f>'Data Entry - SOF'!F57*250</f>
        <v>0</v>
      </c>
    </row>
    <row r="36" spans="2:28">
      <c r="B36" s="33">
        <v>99</v>
      </c>
      <c r="D36" s="27" t="s">
        <v>4983</v>
      </c>
      <c r="F36" s="34">
        <f>'Data Entry - SOF'!F81</f>
        <v>0</v>
      </c>
      <c r="G36" s="34"/>
      <c r="H36" s="81">
        <f>'Data Entry - SOF'!F81</f>
        <v>0</v>
      </c>
      <c r="L36" s="81">
        <f>'Data Entry - SOF'!F81</f>
        <v>0</v>
      </c>
      <c r="T36" s="34">
        <f>'Data Entry - SOF'!F81</f>
        <v>0</v>
      </c>
      <c r="U36" s="34">
        <f>'Data Entry - SOF'!F81</f>
        <v>0</v>
      </c>
      <c r="AA36" s="211"/>
      <c r="AB36" s="211"/>
    </row>
    <row r="37" spans="2:28">
      <c r="D37" s="27"/>
      <c r="F37" s="27"/>
      <c r="G37" s="27"/>
      <c r="H37" s="82"/>
      <c r="L37" s="82"/>
    </row>
    <row r="38" spans="2:28">
      <c r="D38" s="27" t="s">
        <v>2629</v>
      </c>
      <c r="F38" s="23" t="e">
        <f>SUM(F19:F36)</f>
        <v>#N/A</v>
      </c>
      <c r="G38" s="23"/>
      <c r="H38" s="79" t="e">
        <f>SUM(H19:H36)</f>
        <v>#N/A</v>
      </c>
      <c r="L38" s="79" t="e">
        <f>SUM(L19:L36)</f>
        <v>#N/A</v>
      </c>
      <c r="T38" s="23" t="e">
        <f>SUM(T19:T36)</f>
        <v>#N/A</v>
      </c>
      <c r="U38" s="23" t="e">
        <f>SUM(U19:U36)</f>
        <v>#N/A</v>
      </c>
      <c r="AA38" s="23" t="e">
        <f>T38</f>
        <v>#N/A</v>
      </c>
      <c r="AB38" s="118" t="e">
        <f>AA38</f>
        <v>#N/A</v>
      </c>
    </row>
    <row r="39" spans="2:28">
      <c r="D39" s="27" t="s">
        <v>2630</v>
      </c>
      <c r="F39" s="43" t="e">
        <f>IF(AND('Data Entry - SOF'!H238&lt;='Data Entry - SOF'!H237,'Data Entry - SOF'!H238&lt;='Data Entry - SOF'!H236),'Data Entry - SOF'!H238,IF(AND('Data Entry - SOF'!H237&lt;='Data Entry - SOF'!H236,'Data Entry - SOF'!H237&lt;='Data Entry - SOF'!H238),'Data Entry - SOF'!H237,'Data Entry - SOF'!H236))</f>
        <v>#N/A</v>
      </c>
      <c r="G39" s="43"/>
      <c r="H39" s="83" t="e">
        <f>IF(AND('Data Entry - SOF'!J237&lt;='Data Entry - SOF'!J236,'Data Entry - SOF'!J237&lt;='Data Entry - SOF'!J235),'Data Entry - SOF'!J237,IF(AND('Data Entry - SOF'!J236&lt;='Data Entry - SOF'!J235,'Data Entry - SOF'!J236&lt;='Data Entry - SOF'!J237),'Data Entry - SOF'!J236,'Data Entry - SOF'!J235))</f>
        <v>#N/A</v>
      </c>
      <c r="L39" s="83" t="e">
        <f>IF(AND('Data Entry - SOF'!F238&lt;='Data Entry - SOF'!F237,'Data Entry - SOF'!F238&lt;='Data Entry - SOF'!F236),'Data Entry - SOF'!F238,IF(AND('Data Entry - SOF'!F237&lt;='Data Entry - SOF'!F236,'Data Entry - SOF'!F237&lt;='Data Entry - SOF'!F238),'Data Entry - SOF'!F237,'Data Entry - SOF'!F236))</f>
        <v>#N/A</v>
      </c>
      <c r="T39" s="43" t="e">
        <f>IF(AND('Data Entry - SOF'!H238&lt;='Data Entry - SOF'!H237,'Data Entry - SOF'!H238&lt;='Data Entry - SOF'!H236),'Data Entry - SOF'!H238,IF(AND('Data Entry - SOF'!H237&lt;='Data Entry - SOF'!H236,'Data Entry - SOF'!H237&lt;='Data Entry - SOF'!H238),'Data Entry - SOF'!H237,'Data Entry - SOF'!H236))</f>
        <v>#N/A</v>
      </c>
      <c r="U39" s="43" t="e">
        <f>IF(AND('Data Entry - SOF'!L238&lt;='Data Entry - SOF'!L237,'Data Entry - SOF'!L238&lt;='Data Entry - SOF'!L236),'Data Entry - SOF'!L238,IF(AND('Data Entry - SOF'!L237&lt;='Data Entry - SOF'!L236,'Data Entry - SOF'!L237&lt;='Data Entry - SOF'!L238),'Data Entry - SOF'!L237,'Data Entry - SOF'!L236))</f>
        <v>#N/A</v>
      </c>
      <c r="AA39" s="43" t="e">
        <f>IF(AND('Data Entry - SOF'!D238&lt;='Data Entry - SOF'!D237,'Data Entry - SOF'!D238&lt;='Data Entry - SOF'!D236),'Data Entry - SOF'!D238,IF(AND('Data Entry - SOF'!D237&lt;='Data Entry - SOF'!D236,'Data Entry - SOF'!D237&lt;='Data Entry - SOF'!D238),'Data Entry - SOF'!D237,'Data Entry - SOF'!D236))</f>
        <v>#N/A</v>
      </c>
      <c r="AB39" s="43" t="e">
        <f>IF(AND('Data Entry - SOF'!C238&lt;='Data Entry - SOF'!C237,'Data Entry - SOF'!C238&lt;='Data Entry - SOF'!C236),'Data Entry - SOF'!C238,IF(AND('Data Entry - SOF'!C237&lt;='Data Entry - SOF'!C236,'Data Entry - SOF'!C237&lt;='Data Entry - SOF'!C238),'Data Entry - SOF'!C237,'Data Entry - SOF'!C236))</f>
        <v>#N/A</v>
      </c>
    </row>
    <row r="40" spans="2:28">
      <c r="D40" s="27" t="s">
        <v>1948</v>
      </c>
      <c r="F40" s="44" t="e">
        <f>F38-F39</f>
        <v>#N/A</v>
      </c>
      <c r="G40" s="44"/>
      <c r="H40" s="84" t="e">
        <f>H38-H39</f>
        <v>#N/A</v>
      </c>
      <c r="I40" s="90" t="s">
        <v>2556</v>
      </c>
      <c r="L40" s="84" t="e">
        <f>L38-L39</f>
        <v>#N/A</v>
      </c>
      <c r="T40" s="44" t="e">
        <f>T38-T39</f>
        <v>#N/A</v>
      </c>
      <c r="U40" s="44" t="e">
        <f>U38-U39</f>
        <v>#N/A</v>
      </c>
      <c r="V40" s="5"/>
      <c r="AA40" s="44" t="e">
        <f>AA38-AA39</f>
        <v>#N/A</v>
      </c>
      <c r="AB40" s="44" t="e">
        <f>AB38-AB39</f>
        <v>#N/A</v>
      </c>
    </row>
    <row r="41" spans="2:28">
      <c r="D41" s="27"/>
      <c r="F41" s="44"/>
      <c r="G41" s="44"/>
      <c r="H41" s="84"/>
      <c r="I41" s="90"/>
      <c r="L41" s="84"/>
    </row>
    <row r="42" spans="2:28">
      <c r="D42" s="27" t="s">
        <v>4074</v>
      </c>
      <c r="F42" s="44" t="e">
        <f>ROUND(IF((27.14*'Calc Data'!D31*IF('Calc Data'!D35&gt;=0.64,0.64,'Calc Data'!D35)*100)&lt;'Calc Data'!D36,0,(27.14*'Calc Data'!D31*IF('Calc Data'!D35&gt;=0.64,0.64,'Calc Data'!D35)*100)-'Calc Data'!D36),0)</f>
        <v>#N/A</v>
      </c>
      <c r="G42" s="44" t="e">
        <f>ROUND(IF((24.7*'Calc Data'!D31*IF('Calc Data'!D35&gt;=0.64,0.64,'Calc Data'!D35)*100)&lt;'Calc Data'!D36,0,(24.7*'Calc Data'!D31*IF('Calc Data'!D35&gt;=0.64,0.64,'Calc Data'!D35)*100)-'Calc Data'!D36),0)</f>
        <v>#N/A</v>
      </c>
      <c r="H42" s="84" t="e">
        <f>ROUND(IF((23.1*'Calc Data'!I12*IF('Calc Data'!I22&gt;=0.64,0.64,'Calc Data'!I22)*100)&lt;'Calc Data'!I25,0,(23.1*'Calc Data'!I12*IF('Calc Data'!I22&gt;=0.64,0.64,'Calc Data'!I22)*100)-'Calc Data'!I25),0)</f>
        <v>#N/A</v>
      </c>
      <c r="I42" s="44" t="e">
        <f>ROUND(IF((24.7*'Calc Data'!D31*IF('Calc Data'!I22&gt;=0.64,0.64,'Calc Data'!I22)*100)&lt;'Calc Data'!I25,0,(24.7*'Calc Data'!D31*IF('Calc Data'!I22&gt;=0.64,0.64,'Calc Data'!I22)*100)-'Calc Data'!I25),0)</f>
        <v>#N/A</v>
      </c>
      <c r="K42" s="44"/>
      <c r="L42" s="84" t="e">
        <f>ROUND(IF((23.1*'Calc Data'!I12*IF('Calc Data'!I22&gt;=0.64,0.64,'Calc Data'!I22)*100)&lt;'Calc Data'!I25,0,(23.1*'Calc Data'!I12*IF('Calc Data'!I22&gt;=0.64,0.64,'Calc Data'!I22)*100)-'Calc Data'!I25),0)</f>
        <v>#N/A</v>
      </c>
      <c r="R42" s="44" t="e">
        <f>ROUND(IF((27.14*'Calc Data'!D31*IF('Calc Data'!G87&gt;=0.64,0.64,'Calc Data'!G87)*100)&lt;'Calc Data'!G88,0,(27.14*'Calc Data'!D31*IF('Calc Data'!G87&gt;=0.64,0.64,'Calc Data'!G87)*100)-'Calc Data'!G88),0)</f>
        <v>#N/A</v>
      </c>
      <c r="T42" s="44" t="e">
        <f>ROUND(IF((27.14*'Calc Data'!D31*IF('Calc Data'!D35&gt;=0.64,0.64,'Calc Data'!D35)*100)&lt;'Calc Data'!D36,0,(27.14*'Calc Data'!D31*IF('Calc Data'!D35&gt;=0.64,0.64,'Calc Data'!D35)*100)-'Calc Data'!D36),0)</f>
        <v>#N/A</v>
      </c>
      <c r="U42" s="44" t="e">
        <f>ROUND(IF((27.14*'Calc Data'!D31*IF('Calc Data'!D35&gt;=0.64,0.64,'Calc Data'!D35)*100)&lt;'Calc Data'!D36,0,(27.14*'Calc Data'!D31*IF('Calc Data'!D35&gt;=0.64,0.64,'Calc Data'!D35)*100)-'Calc Data'!D36),0)</f>
        <v>#N/A</v>
      </c>
      <c r="AA42" s="44" t="e">
        <f>ROUND(IF((27.14*'Calc Data'!G69*IF('Calc Data'!G73&gt;=0.64,0.64,'Calc Data'!G73)*100)&lt;'Calc Data'!G76,0,(27.14*'Calc Data'!G69*IF('Calc Data'!G73&gt;=0.64,0.64,'Calc Data'!G73)*100)-'Calc Data'!G76),0)</f>
        <v>#N/A</v>
      </c>
      <c r="AB42" s="44" t="e">
        <f>ROUND(IF((27.14*'Calc Data'!G69*IF('Calc Data'!G73&gt;=0.64,0.64,'Calc Data'!G73)*100)&lt;'Calc Data'!G76,0,(27.14*'Calc Data'!G69*IF('Calc Data'!G73&gt;=0.64,0.64,'Calc Data'!G73)*100)-'Calc Data'!G76),0)</f>
        <v>#N/A</v>
      </c>
    </row>
    <row r="43" spans="2:28">
      <c r="D43" s="27"/>
      <c r="F43" s="44"/>
      <c r="G43" s="44"/>
      <c r="H43" s="84"/>
      <c r="I43" s="44"/>
      <c r="J43" s="84"/>
      <c r="K43" s="44"/>
    </row>
    <row r="44" spans="2:28">
      <c r="D44" s="132" t="s">
        <v>6633</v>
      </c>
      <c r="F44" s="180" t="e">
        <f>110*'Calc Data'!D31</f>
        <v>#N/A</v>
      </c>
      <c r="G44" s="44"/>
      <c r="H44" s="84"/>
      <c r="I44" s="44"/>
      <c r="J44" s="84"/>
      <c r="K44" s="44"/>
    </row>
    <row r="45" spans="2:28">
      <c r="D45" s="191" t="s">
        <v>5414</v>
      </c>
      <c r="E45" s="181"/>
      <c r="F45" s="180"/>
      <c r="G45" s="44"/>
      <c r="H45" s="84"/>
      <c r="J45" s="84"/>
    </row>
    <row r="46" spans="2:28">
      <c r="D46" s="136" t="s">
        <v>2598</v>
      </c>
      <c r="E46" s="181"/>
      <c r="F46" s="180"/>
      <c r="G46" s="44"/>
      <c r="H46" s="84"/>
      <c r="J46" s="84"/>
    </row>
    <row r="47" spans="2:28">
      <c r="D47" s="136" t="s">
        <v>2478</v>
      </c>
      <c r="F47" s="186" t="e">
        <f>IF(W94&lt;0,0,W94*-1)</f>
        <v>#N/A</v>
      </c>
      <c r="G47" s="179" t="s">
        <v>1534</v>
      </c>
      <c r="H47" s="84"/>
      <c r="J47" s="84"/>
      <c r="T47" s="186"/>
      <c r="U47" s="186"/>
      <c r="V47" s="5"/>
    </row>
    <row r="48" spans="2:28">
      <c r="D48" s="190" t="s">
        <v>6012</v>
      </c>
      <c r="F48" s="192" t="e">
        <f>F44+F47</f>
        <v>#N/A</v>
      </c>
      <c r="G48" s="44"/>
      <c r="H48" s="84"/>
      <c r="J48" s="84"/>
      <c r="T48" s="180" t="e">
        <f>110*'Calc Data'!D31</f>
        <v>#N/A</v>
      </c>
      <c r="U48" s="180" t="e">
        <f>110*'Calc Data'!D31</f>
        <v>#N/A</v>
      </c>
      <c r="V48" s="193"/>
    </row>
    <row r="49" spans="1:22">
      <c r="D49" s="190"/>
      <c r="F49" s="192"/>
      <c r="G49" s="44"/>
      <c r="H49" s="84"/>
      <c r="J49" s="84"/>
      <c r="T49" s="180"/>
      <c r="U49" s="180"/>
      <c r="V49" s="193"/>
    </row>
    <row r="50" spans="1:22" hidden="1">
      <c r="B50" s="294" t="s">
        <v>734</v>
      </c>
      <c r="C50" s="293" t="s">
        <v>1775</v>
      </c>
      <c r="D50" s="295" t="s">
        <v>410</v>
      </c>
      <c r="F50" s="192"/>
      <c r="G50" s="44"/>
      <c r="H50" s="84"/>
      <c r="J50" s="84"/>
      <c r="T50" s="180"/>
      <c r="U50" s="180"/>
      <c r="V50" s="193"/>
    </row>
    <row r="51" spans="1:22" hidden="1">
      <c r="D51" s="296" t="s">
        <v>1635</v>
      </c>
      <c r="F51" s="192"/>
      <c r="G51" s="44"/>
      <c r="H51" s="84"/>
      <c r="J51" s="84"/>
      <c r="T51" s="180"/>
      <c r="U51" s="180"/>
      <c r="V51" s="193"/>
    </row>
    <row r="52" spans="1:22" hidden="1">
      <c r="D52" s="297" t="s">
        <v>1636</v>
      </c>
      <c r="G52" s="44"/>
      <c r="H52" s="84"/>
      <c r="J52" s="84"/>
    </row>
    <row r="53" spans="1:22" hidden="1">
      <c r="D53" s="297" t="s">
        <v>411</v>
      </c>
      <c r="G53" s="44"/>
      <c r="H53" s="84"/>
      <c r="J53" s="84"/>
    </row>
    <row r="54" spans="1:22" hidden="1">
      <c r="D54" s="298" t="s">
        <v>412</v>
      </c>
      <c r="G54" s="44"/>
      <c r="H54" s="84"/>
      <c r="J54" s="84"/>
    </row>
    <row r="55" spans="1:22">
      <c r="D55" s="136"/>
      <c r="G55" s="44"/>
      <c r="H55" s="84"/>
      <c r="J55" s="84"/>
    </row>
    <row r="56" spans="1:22">
      <c r="A56" s="27" t="s">
        <v>6151</v>
      </c>
      <c r="C56" s="19" t="e">
        <f>C1</f>
        <v>#N/A</v>
      </c>
      <c r="D56" s="42"/>
      <c r="F56" s="107" t="str">
        <f>F1</f>
        <v>Current Law</v>
      </c>
      <c r="G56" s="44"/>
      <c r="H56" s="84"/>
      <c r="J56" s="84"/>
    </row>
    <row r="57" spans="1:22">
      <c r="A57" s="27" t="s">
        <v>6152</v>
      </c>
      <c r="C57" s="19" t="str">
        <f>C2</f>
        <v>000-000</v>
      </c>
      <c r="F57" s="107" t="str">
        <f>F2</f>
        <v>Release 09-10; Revised 10/18/11</v>
      </c>
      <c r="G57" s="44"/>
      <c r="H57" s="84"/>
      <c r="J57" s="84"/>
    </row>
    <row r="58" spans="1:22">
      <c r="A58" s="27" t="s">
        <v>6154</v>
      </c>
      <c r="C58" s="39">
        <f ca="1">NOW()</f>
        <v>45352.58606238426</v>
      </c>
      <c r="F58" s="106">
        <f>F3</f>
        <v>0</v>
      </c>
      <c r="G58" s="44"/>
      <c r="H58" s="84"/>
      <c r="J58" s="84"/>
    </row>
    <row r="59" spans="1:22">
      <c r="D59" s="33" t="s">
        <v>138</v>
      </c>
      <c r="F59" s="44"/>
      <c r="G59" s="44"/>
      <c r="H59" s="84"/>
      <c r="J59" s="84"/>
    </row>
    <row r="60" spans="1:22">
      <c r="D60" s="33" t="s">
        <v>1535</v>
      </c>
      <c r="F60" s="44"/>
      <c r="G60" s="44"/>
      <c r="H60" s="84"/>
      <c r="J60" s="84"/>
    </row>
    <row r="61" spans="1:22">
      <c r="F61" s="44"/>
      <c r="G61" s="44"/>
      <c r="H61" s="84"/>
      <c r="J61" s="84"/>
    </row>
    <row r="62" spans="1:22">
      <c r="D62" s="27" t="s">
        <v>2588</v>
      </c>
      <c r="F62" s="44" t="e">
        <f>'Existing Debt'!G72</f>
        <v>#N/A</v>
      </c>
      <c r="G62" s="44"/>
      <c r="H62" s="84"/>
      <c r="J62" s="8"/>
      <c r="T62" s="44" t="e">
        <f>'Existing Debt'!G72</f>
        <v>#N/A</v>
      </c>
      <c r="U62" s="44" t="e">
        <f>'Existing Debt'!G72</f>
        <v>#N/A</v>
      </c>
    </row>
    <row r="63" spans="1:22">
      <c r="D63" s="27" t="s">
        <v>494</v>
      </c>
      <c r="F63" s="38" t="e">
        <f>IFA!F79+IFA!H68</f>
        <v>#N/A</v>
      </c>
      <c r="G63" s="38"/>
      <c r="H63" s="84"/>
      <c r="J63" s="8"/>
      <c r="T63" s="38">
        <f>IFA!F87+IFA!H76</f>
        <v>0</v>
      </c>
      <c r="U63" s="38">
        <f>IFA!F87+IFA!H76</f>
        <v>0</v>
      </c>
    </row>
    <row r="64" spans="1:22">
      <c r="D64" s="27"/>
      <c r="F64" s="44"/>
      <c r="G64" s="44"/>
      <c r="J64" s="8"/>
      <c r="T64" s="44"/>
      <c r="U64" s="44"/>
    </row>
    <row r="65" spans="2:23">
      <c r="D65" s="27" t="s">
        <v>2631</v>
      </c>
      <c r="F65" s="23" t="e">
        <f>'Data Entry - SOF'!F36*27.384</f>
        <v>#N/A</v>
      </c>
      <c r="G65" s="23"/>
      <c r="J65" s="3"/>
      <c r="T65" s="23" t="e">
        <f>'Data Entry - SOF'!F36*30</f>
        <v>#N/A</v>
      </c>
      <c r="U65" s="23" t="e">
        <f>'Data Entry - SOF'!F36*30</f>
        <v>#N/A</v>
      </c>
    </row>
    <row r="66" spans="2:23">
      <c r="D66" s="27" t="s">
        <v>2632</v>
      </c>
      <c r="F66" s="23"/>
      <c r="G66" s="23"/>
      <c r="J66" s="3"/>
      <c r="T66" s="23"/>
      <c r="U66" s="23"/>
    </row>
    <row r="67" spans="2:23">
      <c r="D67" s="27" t="s">
        <v>2554</v>
      </c>
      <c r="F67" s="44" t="e">
        <f>'Salary Transition'!G30</f>
        <v>#N/A</v>
      </c>
      <c r="G67" s="23"/>
      <c r="J67" s="3"/>
      <c r="T67" s="69" t="e">
        <f t="shared" ref="T67:T72" si="0">F67</f>
        <v>#N/A</v>
      </c>
      <c r="U67" s="69" t="e">
        <f t="shared" ref="U67:U72" si="1">T67</f>
        <v>#N/A</v>
      </c>
      <c r="W67" s="5"/>
    </row>
    <row r="68" spans="2:23">
      <c r="D68" s="27" t="s">
        <v>2633</v>
      </c>
      <c r="F68" s="44" t="e">
        <f>HoldHarmless!C56</f>
        <v>#N/A</v>
      </c>
      <c r="G68" s="23"/>
      <c r="J68" s="3"/>
      <c r="T68" s="44" t="e">
        <f t="shared" si="0"/>
        <v>#N/A</v>
      </c>
      <c r="U68" s="44" t="e">
        <f>HoldHarmless!G56</f>
        <v>#N/A</v>
      </c>
    </row>
    <row r="69" spans="2:23">
      <c r="D69" s="27" t="s">
        <v>433</v>
      </c>
      <c r="F69" s="44" t="e">
        <f>'Health Ins'!J23</f>
        <v>#N/A</v>
      </c>
      <c r="G69" s="23"/>
      <c r="J69" s="3"/>
      <c r="T69" s="23" t="e">
        <f t="shared" si="0"/>
        <v>#N/A</v>
      </c>
      <c r="U69" s="23" t="e">
        <f t="shared" si="1"/>
        <v>#N/A</v>
      </c>
    </row>
    <row r="70" spans="2:23">
      <c r="D70" s="27" t="s">
        <v>2634</v>
      </c>
      <c r="F70" s="44" t="e">
        <f>-ROUND(('Data Entry - SOF'!F84/'Data Entry - SOF'!F17)*'Data Entry - SOF'!F82,0)</f>
        <v>#DIV/0!</v>
      </c>
      <c r="G70" s="44"/>
      <c r="J70" s="3"/>
      <c r="T70" s="23" t="e">
        <f t="shared" si="0"/>
        <v>#DIV/0!</v>
      </c>
      <c r="U70" s="23" t="e">
        <f t="shared" si="1"/>
        <v>#DIV/0!</v>
      </c>
    </row>
    <row r="71" spans="2:23">
      <c r="D71" s="27" t="s">
        <v>2635</v>
      </c>
      <c r="F71" s="44" t="e">
        <f>-ROUND(('Data Entry - SOF'!F84/'Data Entry - SOF'!F17)*'Data Entry - SOF'!F83,0)</f>
        <v>#DIV/0!</v>
      </c>
      <c r="G71" s="44"/>
      <c r="J71" s="3"/>
      <c r="T71" s="23" t="e">
        <f t="shared" si="0"/>
        <v>#DIV/0!</v>
      </c>
      <c r="U71" s="23" t="e">
        <f t="shared" si="1"/>
        <v>#DIV/0!</v>
      </c>
    </row>
    <row r="72" spans="2:23">
      <c r="D72" s="27" t="s">
        <v>867</v>
      </c>
      <c r="F72" s="70">
        <f>IF('Data Entry - SOF'!F85&lt;0,'Data Entry - SOF'!F85,'Data Entry - SOF'!F85*-1)</f>
        <v>0</v>
      </c>
      <c r="G72" s="38"/>
      <c r="J72" s="3"/>
      <c r="T72" s="70">
        <f t="shared" si="0"/>
        <v>0</v>
      </c>
      <c r="U72" s="70">
        <f t="shared" si="1"/>
        <v>0</v>
      </c>
    </row>
    <row r="73" spans="2:23">
      <c r="D73" s="27" t="s">
        <v>868</v>
      </c>
      <c r="F73" s="69" t="e">
        <f>SUM(F67:F72)</f>
        <v>#N/A</v>
      </c>
      <c r="G73" s="69"/>
      <c r="J73" s="8"/>
      <c r="T73" s="69" t="e">
        <f>SUM(T67:T72)</f>
        <v>#N/A</v>
      </c>
      <c r="U73" s="69" t="e">
        <f>SUM(U67:U72)</f>
        <v>#N/A</v>
      </c>
    </row>
    <row r="74" spans="2:23">
      <c r="D74" s="27"/>
      <c r="F74" s="23"/>
      <c r="G74" s="23"/>
      <c r="J74" s="8"/>
      <c r="T74" s="23"/>
      <c r="U74" s="23"/>
    </row>
    <row r="75" spans="2:23" ht="13.8" thickBot="1">
      <c r="B75" s="27"/>
      <c r="D75" s="132" t="s">
        <v>1553</v>
      </c>
      <c r="F75" s="45" t="e">
        <f>F40+F42+F48+F62+F63+F65+F73</f>
        <v>#N/A</v>
      </c>
      <c r="G75" s="69"/>
      <c r="J75" s="8"/>
      <c r="T75" s="45" t="e">
        <f>T40+T42+T48+T62+T63+T65+T73</f>
        <v>#N/A</v>
      </c>
      <c r="U75" s="45" t="e">
        <f>U40+U42+U48+U62+U63+U65+U73</f>
        <v>#N/A</v>
      </c>
    </row>
    <row r="76" spans="2:23" ht="13.8" thickTop="1">
      <c r="B76" s="27"/>
      <c r="D76" s="27"/>
      <c r="F76" s="38"/>
      <c r="G76" s="38"/>
      <c r="J76" s="8"/>
    </row>
    <row r="77" spans="2:23">
      <c r="B77" s="33" t="s">
        <v>869</v>
      </c>
      <c r="D77" s="27" t="s">
        <v>1293</v>
      </c>
      <c r="F77" s="23"/>
      <c r="G77" s="23"/>
      <c r="J77" s="8"/>
    </row>
    <row r="78" spans="2:23">
      <c r="B78" s="33" t="s">
        <v>1294</v>
      </c>
      <c r="D78" s="27" t="s">
        <v>1295</v>
      </c>
      <c r="F78" s="44">
        <f>ROUND('Data Entry - SOF'!F17*317,0)</f>
        <v>0</v>
      </c>
      <c r="G78" s="23"/>
      <c r="J78" s="8"/>
      <c r="T78" s="203">
        <f>ROUND('Data Entry - SOF'!F17*317,0)</f>
        <v>0</v>
      </c>
      <c r="U78" s="204">
        <f>ROUND('Data Entry - SOF'!F17*275,0)</f>
        <v>0</v>
      </c>
      <c r="V78" s="205" t="s">
        <v>2596</v>
      </c>
      <c r="W78" s="195">
        <f>T78-U78</f>
        <v>0</v>
      </c>
    </row>
    <row r="79" spans="2:23">
      <c r="B79" s="190" t="s">
        <v>1297</v>
      </c>
      <c r="D79" s="136" t="s">
        <v>2480</v>
      </c>
      <c r="E79" s="181"/>
      <c r="F79" s="180" t="e">
        <f>F48</f>
        <v>#N/A</v>
      </c>
      <c r="G79" s="179" t="s">
        <v>6707</v>
      </c>
      <c r="J79" s="8"/>
      <c r="T79" s="207" t="e">
        <f>T48</f>
        <v>#N/A</v>
      </c>
      <c r="U79" s="208" t="e">
        <f>U48</f>
        <v>#N/A</v>
      </c>
      <c r="V79" s="199"/>
      <c r="W79" s="196"/>
    </row>
    <row r="80" spans="2:23">
      <c r="B80" s="33" t="s">
        <v>1297</v>
      </c>
      <c r="D80" s="27" t="s">
        <v>2479</v>
      </c>
      <c r="F80" s="69" t="e">
        <f>ROUND(F75-F78-F84-F79-F62-F63,0)</f>
        <v>#N/A</v>
      </c>
      <c r="G80" s="69"/>
      <c r="J80" s="8"/>
      <c r="T80" s="206" t="e">
        <f>ROUND(T75-T78-T84-T79-T62-T63,0)</f>
        <v>#N/A</v>
      </c>
      <c r="U80" s="69" t="e">
        <f>ROUND(U75-U78-U84-U79-U62-U63,0)</f>
        <v>#N/A</v>
      </c>
      <c r="V80" s="201" t="s">
        <v>2597</v>
      </c>
      <c r="W80" s="197" t="e">
        <f>T80-U80</f>
        <v>#N/A</v>
      </c>
    </row>
    <row r="81" spans="1:23">
      <c r="B81" s="33"/>
      <c r="D81" s="132" t="s">
        <v>1554</v>
      </c>
      <c r="F81" s="220" t="e">
        <f>SUM(F78:F80)</f>
        <v>#N/A</v>
      </c>
      <c r="G81" s="69"/>
      <c r="J81" s="8"/>
      <c r="T81" s="206"/>
      <c r="U81" s="69"/>
      <c r="V81" s="201"/>
      <c r="W81" s="197"/>
    </row>
    <row r="82" spans="1:23">
      <c r="B82" s="33"/>
      <c r="D82" s="132"/>
      <c r="F82" s="69"/>
      <c r="G82" s="69"/>
      <c r="J82" s="8"/>
      <c r="T82" s="206"/>
      <c r="U82" s="69"/>
      <c r="V82" s="201"/>
      <c r="W82" s="197"/>
    </row>
    <row r="83" spans="1:23">
      <c r="B83" s="33" t="s">
        <v>1296</v>
      </c>
      <c r="D83" s="27" t="s">
        <v>1831</v>
      </c>
      <c r="F83" s="44" t="e">
        <f>F65</f>
        <v>#N/A</v>
      </c>
      <c r="G83" s="23"/>
      <c r="J83" s="8"/>
      <c r="T83" s="206" t="e">
        <f>T65</f>
        <v>#N/A</v>
      </c>
      <c r="U83" s="69" t="e">
        <f>U65</f>
        <v>#N/A</v>
      </c>
      <c r="V83" s="200"/>
      <c r="W83" s="197" t="e">
        <f>T83-U83</f>
        <v>#N/A</v>
      </c>
    </row>
    <row r="84" spans="1:23">
      <c r="D84" s="132" t="s">
        <v>1555</v>
      </c>
      <c r="F84" s="175" t="e">
        <f>F83</f>
        <v>#N/A</v>
      </c>
      <c r="T84" s="222"/>
      <c r="U84" s="42"/>
      <c r="V84" s="42"/>
      <c r="W84" s="196"/>
    </row>
    <row r="85" spans="1:23">
      <c r="T85" s="222"/>
      <c r="U85" s="42"/>
      <c r="V85" s="42"/>
      <c r="W85" s="196"/>
    </row>
    <row r="86" spans="1:23">
      <c r="B86" s="33">
        <v>599</v>
      </c>
      <c r="D86" s="27" t="s">
        <v>1619</v>
      </c>
      <c r="F86" s="69" t="e">
        <f>F62</f>
        <v>#N/A</v>
      </c>
      <c r="G86" s="69"/>
      <c r="J86" s="8"/>
      <c r="T86" s="206" t="e">
        <f>T62</f>
        <v>#N/A</v>
      </c>
      <c r="U86" s="69" t="e">
        <f>U62</f>
        <v>#N/A</v>
      </c>
      <c r="V86" s="200"/>
      <c r="W86" s="197" t="e">
        <f>T86-U86</f>
        <v>#N/A</v>
      </c>
    </row>
    <row r="87" spans="1:23">
      <c r="B87" s="33">
        <v>599</v>
      </c>
      <c r="D87" s="27" t="s">
        <v>1991</v>
      </c>
      <c r="F87" s="86" t="e">
        <f>F63</f>
        <v>#N/A</v>
      </c>
      <c r="G87" s="69"/>
      <c r="J87" s="8"/>
      <c r="T87" s="206">
        <f>T63</f>
        <v>0</v>
      </c>
      <c r="U87" s="69">
        <f>U63</f>
        <v>0</v>
      </c>
      <c r="V87" s="202"/>
      <c r="W87" s="197">
        <f>T87-U87</f>
        <v>0</v>
      </c>
    </row>
    <row r="88" spans="1:23">
      <c r="B88" s="33"/>
      <c r="D88" s="132" t="s">
        <v>1556</v>
      </c>
      <c r="F88" s="220" t="e">
        <f>SUM(F86:F87)</f>
        <v>#N/A</v>
      </c>
      <c r="G88" s="69"/>
      <c r="J88" s="8"/>
      <c r="T88" s="206"/>
      <c r="U88" s="69"/>
      <c r="V88" s="202"/>
      <c r="W88" s="196"/>
    </row>
    <row r="89" spans="1:23">
      <c r="B89" s="33"/>
      <c r="D89" s="27"/>
      <c r="F89" s="69"/>
      <c r="G89" s="69"/>
      <c r="J89" s="8"/>
      <c r="T89" s="206"/>
      <c r="U89" s="69"/>
      <c r="V89" s="202"/>
      <c r="W89" s="196"/>
    </row>
    <row r="90" spans="1:23" ht="13.8" thickBot="1">
      <c r="B90" s="30"/>
      <c r="D90" s="132" t="s">
        <v>1553</v>
      </c>
      <c r="F90" s="221" t="e">
        <f>F81+F84+F88</f>
        <v>#N/A</v>
      </c>
      <c r="G90" s="69"/>
      <c r="J90" s="8"/>
      <c r="T90" s="206" t="e">
        <f>SUM(T78:T87)</f>
        <v>#N/A</v>
      </c>
      <c r="U90" s="69" t="e">
        <f>SUM(U78:U87)</f>
        <v>#N/A</v>
      </c>
      <c r="V90" s="42"/>
      <c r="W90" s="196"/>
    </row>
    <row r="91" spans="1:23" ht="14.4" thickTop="1" thickBot="1">
      <c r="A91" s="27"/>
      <c r="J91" s="3"/>
      <c r="T91" s="222"/>
      <c r="U91" s="42"/>
      <c r="V91" s="42"/>
      <c r="W91" s="196"/>
    </row>
    <row r="92" spans="1:23" ht="13.8" thickTop="1">
      <c r="A92" s="119"/>
      <c r="B92" s="119"/>
      <c r="C92" s="119"/>
      <c r="D92" s="119"/>
      <c r="E92" s="119"/>
      <c r="F92" s="119"/>
      <c r="G92" s="42"/>
      <c r="J92" s="3"/>
      <c r="T92" s="222"/>
      <c r="U92" s="42"/>
      <c r="V92" s="200" t="s">
        <v>1612</v>
      </c>
      <c r="W92" s="244" t="e">
        <f>GrossRecap!C42</f>
        <v>#N/A</v>
      </c>
    </row>
    <row r="93" spans="1:23">
      <c r="A93" s="27" t="s">
        <v>5046</v>
      </c>
      <c r="E93" s="27"/>
      <c r="F93" s="27"/>
      <c r="G93" s="27"/>
      <c r="J93" s="3"/>
      <c r="T93" s="222"/>
      <c r="U93" s="42"/>
      <c r="V93" s="42"/>
      <c r="W93" s="196"/>
    </row>
    <row r="94" spans="1:23">
      <c r="J94" s="3"/>
      <c r="T94" s="243"/>
      <c r="U94" s="211"/>
      <c r="V94" s="209" t="s">
        <v>1613</v>
      </c>
      <c r="W94" s="198" t="e">
        <f>IF(W78+W80+W92&lt;0,0,W78+W80+W92)</f>
        <v>#N/A</v>
      </c>
    </row>
    <row r="95" spans="1:23">
      <c r="A95" s="27" t="s">
        <v>2557</v>
      </c>
      <c r="F95" s="44" t="e">
        <f>F78+F83+F80</f>
        <v>#N/A</v>
      </c>
      <c r="J95" s="3"/>
      <c r="T95" s="42"/>
      <c r="U95" s="42"/>
      <c r="V95" s="42"/>
      <c r="W95" s="42"/>
    </row>
    <row r="96" spans="1:23">
      <c r="A96" s="27" t="s">
        <v>2442</v>
      </c>
      <c r="F96" s="38" t="e">
        <f>'Data Entry - SOF'!F70-'Calc Data'!E77</f>
        <v>#N/A</v>
      </c>
      <c r="J96" s="3"/>
    </row>
    <row r="97" spans="1:10">
      <c r="A97" s="136" t="s">
        <v>6042</v>
      </c>
      <c r="F97" s="186" t="e">
        <f>F79</f>
        <v>#N/A</v>
      </c>
      <c r="J97" s="3"/>
    </row>
    <row r="98" spans="1:10" ht="13.8" thickBot="1">
      <c r="A98" s="27" t="s">
        <v>5394</v>
      </c>
      <c r="F98" s="45" t="e">
        <f>SUM(F95:F97)</f>
        <v>#N/A</v>
      </c>
    </row>
    <row r="99" spans="1:10" ht="14.4" thickTop="1" thickBot="1"/>
    <row r="100" spans="1:10" ht="13.8" thickTop="1">
      <c r="A100" s="119"/>
      <c r="B100" s="119"/>
      <c r="C100" s="119"/>
      <c r="D100" s="119"/>
      <c r="E100" s="119"/>
      <c r="F100" s="119"/>
      <c r="G100" s="42"/>
    </row>
    <row r="101" spans="1:10" hidden="1">
      <c r="A101" s="27" t="s">
        <v>4937</v>
      </c>
    </row>
    <row r="102" spans="1:10" hidden="1">
      <c r="A102" s="176" t="s">
        <v>139</v>
      </c>
    </row>
    <row r="103" spans="1:10" ht="13.5" hidden="1" customHeight="1">
      <c r="A103" s="57" t="s">
        <v>1441</v>
      </c>
      <c r="F103" s="118">
        <f>'Existing Debt'!G33-'Existing Debt'!G35</f>
        <v>0</v>
      </c>
      <c r="G103" s="118"/>
      <c r="J103" s="3"/>
    </row>
    <row r="104" spans="1:10" ht="13.5" hidden="1" customHeight="1">
      <c r="A104" s="57" t="s">
        <v>4943</v>
      </c>
      <c r="F104" s="122" t="e">
        <f>'Existing Debt'!G55*35*100*'Existing Debt'!G37</f>
        <v>#N/A</v>
      </c>
      <c r="G104" s="130"/>
      <c r="J104" s="3"/>
    </row>
    <row r="105" spans="1:10" ht="13.5" hidden="1" customHeight="1">
      <c r="A105" s="57" t="s">
        <v>4944</v>
      </c>
      <c r="F105" s="118" t="e">
        <f>F103-F104</f>
        <v>#N/A</v>
      </c>
      <c r="G105" s="118"/>
      <c r="J105" s="3"/>
    </row>
    <row r="106" spans="1:10" ht="13.5" hidden="1" customHeight="1">
      <c r="A106" s="57" t="s">
        <v>3977</v>
      </c>
      <c r="F106" s="118" t="e">
        <f>'Existing Debt'!G61</f>
        <v>#N/A</v>
      </c>
      <c r="G106" s="118"/>
      <c r="J106" s="3"/>
    </row>
    <row r="107" spans="1:10" ht="13.5" hidden="1" customHeight="1">
      <c r="A107" s="57" t="s">
        <v>3978</v>
      </c>
      <c r="F107" s="118" t="e">
        <f>'Existing Debt'!G70</f>
        <v>#N/A</v>
      </c>
      <c r="G107" s="118"/>
      <c r="J107" s="3"/>
    </row>
    <row r="108" spans="1:10" ht="13.5" hidden="1" customHeight="1">
      <c r="A108" s="57"/>
      <c r="J108" s="3"/>
    </row>
    <row r="109" spans="1:10" ht="13.5" hidden="1" customHeight="1">
      <c r="A109" s="57" t="s">
        <v>7129</v>
      </c>
      <c r="F109" s="118">
        <f>IFA!F26+IFA!F30+IFA!F34+IFA!F38+IFA!F42+IFA!F46+IFA!F50</f>
        <v>0</v>
      </c>
      <c r="G109" s="118"/>
      <c r="J109" s="3"/>
    </row>
    <row r="110" spans="1:10" ht="13.5" hidden="1" customHeight="1">
      <c r="A110" s="57" t="s">
        <v>2475</v>
      </c>
      <c r="F110" s="122" t="e">
        <f>IFA!F66</f>
        <v>#N/A</v>
      </c>
      <c r="G110" s="130"/>
      <c r="J110" s="3"/>
    </row>
    <row r="111" spans="1:10" ht="13.5" hidden="1" customHeight="1">
      <c r="A111" s="57" t="s">
        <v>2476</v>
      </c>
      <c r="F111" s="118" t="e">
        <f>F109-F110</f>
        <v>#N/A</v>
      </c>
      <c r="G111" s="118"/>
      <c r="J111" s="3"/>
    </row>
    <row r="112" spans="1:10" ht="13.5" hidden="1" customHeight="1">
      <c r="A112" s="57" t="s">
        <v>665</v>
      </c>
      <c r="F112" s="118">
        <f>IFA!F80</f>
        <v>0</v>
      </c>
      <c r="G112" s="118"/>
      <c r="J112" s="3"/>
    </row>
    <row r="113" spans="1:13" ht="13.5" hidden="1" customHeight="1">
      <c r="A113" s="57" t="s">
        <v>7676</v>
      </c>
      <c r="C113" s="57"/>
      <c r="F113" s="118">
        <f>IFA!F76</f>
        <v>0</v>
      </c>
      <c r="G113" s="118"/>
      <c r="J113" s="3"/>
    </row>
    <row r="114" spans="1:13" ht="13.5" hidden="1" customHeight="1">
      <c r="C114" s="57"/>
      <c r="F114" s="23"/>
      <c r="G114" s="23"/>
      <c r="J114" s="3"/>
    </row>
    <row r="115" spans="1:13" ht="13.5" hidden="1" customHeight="1">
      <c r="A115" s="57" t="s">
        <v>2441</v>
      </c>
      <c r="B115" s="57"/>
      <c r="C115" s="57"/>
      <c r="D115" s="57"/>
      <c r="E115" s="57"/>
      <c r="F115" s="23" t="e">
        <f>F104+F110</f>
        <v>#N/A</v>
      </c>
      <c r="G115" s="23"/>
      <c r="J115" s="3"/>
    </row>
    <row r="116" spans="1:13" ht="13.5" hidden="1" customHeight="1">
      <c r="A116" s="57" t="s">
        <v>2942</v>
      </c>
      <c r="B116" s="57"/>
      <c r="C116" s="57"/>
      <c r="D116" s="57"/>
      <c r="E116" s="57"/>
      <c r="F116" s="23" t="e">
        <f>F105+F111</f>
        <v>#N/A</v>
      </c>
      <c r="G116" s="23"/>
      <c r="J116" s="3"/>
    </row>
    <row r="117" spans="1:13" ht="13.5" hidden="1" customHeight="1">
      <c r="A117" s="57" t="s">
        <v>2943</v>
      </c>
      <c r="B117" s="57"/>
      <c r="C117" s="57"/>
      <c r="D117" s="57"/>
      <c r="E117" s="57"/>
      <c r="F117" s="23" t="e">
        <f>F107+F113</f>
        <v>#N/A</v>
      </c>
      <c r="G117" s="23"/>
      <c r="J117" s="3"/>
    </row>
    <row r="118" spans="1:13" ht="13.5" hidden="1" customHeight="1">
      <c r="A118" s="57" t="s">
        <v>2944</v>
      </c>
      <c r="C118" s="57"/>
      <c r="F118" s="121" t="e">
        <f>F106+F112</f>
        <v>#N/A</v>
      </c>
      <c r="G118" s="38"/>
      <c r="J118" s="3"/>
    </row>
    <row r="119" spans="1:13" ht="13.5" hidden="1" customHeight="1" thickBot="1">
      <c r="A119" s="57"/>
      <c r="C119" s="57"/>
      <c r="F119" s="23"/>
      <c r="G119" s="23"/>
      <c r="J119" s="3"/>
    </row>
    <row r="120" spans="1:13" ht="13.8" hidden="1" thickTop="1">
      <c r="A120" s="119"/>
      <c r="B120" s="119"/>
      <c r="C120" s="119"/>
      <c r="D120" s="119"/>
      <c r="E120" s="119"/>
      <c r="F120" s="120"/>
      <c r="G120" s="38"/>
      <c r="I120" s="4"/>
      <c r="J120" s="3"/>
    </row>
    <row r="121" spans="1:13">
      <c r="A121" s="27" t="s">
        <v>3220</v>
      </c>
      <c r="F121" s="23"/>
      <c r="G121" s="23"/>
      <c r="J121" s="3"/>
    </row>
    <row r="122" spans="1:13">
      <c r="F122" s="23"/>
      <c r="G122" s="23"/>
      <c r="J122" s="8"/>
      <c r="M122" s="4"/>
    </row>
    <row r="123" spans="1:13">
      <c r="A123" s="27" t="s">
        <v>1298</v>
      </c>
      <c r="F123" s="23"/>
      <c r="G123" s="23"/>
      <c r="J123" s="8"/>
      <c r="M123" s="4"/>
    </row>
    <row r="124" spans="1:13">
      <c r="A124" s="27" t="s">
        <v>1299</v>
      </c>
      <c r="F124" s="44" t="e">
        <f>F40</f>
        <v>#N/A</v>
      </c>
      <c r="J124" s="8"/>
      <c r="M124" s="4"/>
    </row>
    <row r="125" spans="1:13">
      <c r="A125" s="27" t="s">
        <v>1300</v>
      </c>
      <c r="F125" s="44" t="e">
        <f>F42</f>
        <v>#N/A</v>
      </c>
      <c r="J125" s="8"/>
      <c r="M125" s="4"/>
    </row>
    <row r="126" spans="1:13">
      <c r="A126" s="27" t="s">
        <v>5254</v>
      </c>
      <c r="F126" s="43" t="e">
        <f>IF('Data Entry - SOF'!F70&gt;'Calc Data'!D30,'Calc Data'!D30,'Data Entry - SOF'!F70)</f>
        <v>#N/A</v>
      </c>
      <c r="J126" s="8"/>
      <c r="M126" s="4"/>
    </row>
    <row r="127" spans="1:13" ht="13.5" customHeight="1">
      <c r="A127" s="27" t="s">
        <v>5255</v>
      </c>
      <c r="F127" s="44" t="e">
        <f>F124+F125+F126</f>
        <v>#N/A</v>
      </c>
      <c r="H127" s="29"/>
      <c r="J127" s="8"/>
      <c r="M127" s="4"/>
    </row>
    <row r="128" spans="1:13">
      <c r="A128" s="27" t="s">
        <v>5256</v>
      </c>
      <c r="F128" s="44" t="e">
        <f>'Calc Data'!D31</f>
        <v>#N/A</v>
      </c>
      <c r="J128" s="8"/>
      <c r="M128" s="4"/>
    </row>
    <row r="129" spans="1:13">
      <c r="A129" s="27" t="s">
        <v>5257</v>
      </c>
      <c r="F129" s="46" t="e">
        <f>F127/F128</f>
        <v>#N/A</v>
      </c>
      <c r="J129" s="8"/>
      <c r="M129" s="4"/>
    </row>
    <row r="130" spans="1:13">
      <c r="F130" s="44"/>
      <c r="J130" s="8"/>
      <c r="M130" s="4"/>
    </row>
    <row r="131" spans="1:13">
      <c r="A131" s="27" t="s">
        <v>5258</v>
      </c>
      <c r="F131" s="44"/>
      <c r="J131" s="8"/>
      <c r="M131" s="4"/>
    </row>
    <row r="132" spans="1:13">
      <c r="A132" s="27" t="s">
        <v>5642</v>
      </c>
      <c r="F132" s="44" t="e">
        <f>F80</f>
        <v>#N/A</v>
      </c>
      <c r="J132" s="8"/>
    </row>
    <row r="133" spans="1:13">
      <c r="A133" s="27" t="s">
        <v>5643</v>
      </c>
      <c r="F133" s="44" t="e">
        <f>F129</f>
        <v>#N/A</v>
      </c>
      <c r="J133" s="8"/>
    </row>
    <row r="134" spans="1:13">
      <c r="A134" s="27" t="s">
        <v>5644</v>
      </c>
      <c r="F134" s="47" t="e">
        <f>F132/F133</f>
        <v>#N/A</v>
      </c>
      <c r="J134" s="8"/>
    </row>
  </sheetData>
  <sheetProtection sheet="1" objects="1" scenarios="1"/>
  <phoneticPr fontId="0" type="noConversion"/>
  <pageMargins left="0.25" right="0.25" top="0.5" bottom="0.5" header="0.5" footer="0.5"/>
  <pageSetup scale="95" orientation="portrait" r:id="rId1"/>
  <headerFooter alignWithMargins="0">
    <oddFooter>&amp;L&amp;G</oddFooter>
  </headerFooter>
  <rowBreaks count="2" manualBreakCount="2">
    <brk id="55" max="5" man="1"/>
    <brk id="91" max="5" man="1"/>
  </rowBreaks>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dimension ref="A1:F1039"/>
  <sheetViews>
    <sheetView workbookViewId="0"/>
  </sheetViews>
  <sheetFormatPr defaultRowHeight="13.2"/>
  <sheetData>
    <row r="1" spans="1:6">
      <c r="A1" s="216" t="s">
        <v>3890</v>
      </c>
      <c r="B1" s="310">
        <v>1.03</v>
      </c>
      <c r="C1" s="311">
        <v>1.0443832838586558</v>
      </c>
      <c r="D1" s="311">
        <v>1.0587665677173115</v>
      </c>
      <c r="E1" s="219">
        <v>1.06</v>
      </c>
      <c r="F1" t="s">
        <v>6149</v>
      </c>
    </row>
    <row r="2" spans="1:6">
      <c r="A2" s="216" t="s">
        <v>694</v>
      </c>
      <c r="B2" s="310">
        <v>1.03</v>
      </c>
      <c r="C2" s="311">
        <v>1.0486114230697434</v>
      </c>
      <c r="D2" s="311">
        <v>1.067222846139487</v>
      </c>
      <c r="E2" s="219">
        <v>1.07</v>
      </c>
      <c r="F2" t="s">
        <v>2048</v>
      </c>
    </row>
    <row r="3" spans="1:6">
      <c r="A3" s="216" t="s">
        <v>696</v>
      </c>
      <c r="B3" s="310">
        <v>1.03</v>
      </c>
      <c r="C3" s="311">
        <v>1.0400591985221705</v>
      </c>
      <c r="D3" s="311">
        <v>1.0501183970443413</v>
      </c>
      <c r="E3" s="219">
        <v>1.05</v>
      </c>
      <c r="F3" t="s">
        <v>2049</v>
      </c>
    </row>
    <row r="4" spans="1:6">
      <c r="A4" s="216" t="s">
        <v>698</v>
      </c>
      <c r="B4" s="310">
        <v>1.03</v>
      </c>
      <c r="C4" s="311">
        <v>1.0377951460626624</v>
      </c>
      <c r="D4" s="311">
        <v>1.0455902921253251</v>
      </c>
      <c r="E4" s="219">
        <v>1.05</v>
      </c>
      <c r="F4" t="s">
        <v>2050</v>
      </c>
    </row>
    <row r="5" spans="1:6">
      <c r="A5" s="216" t="s">
        <v>700</v>
      </c>
      <c r="B5" s="310">
        <v>1.06</v>
      </c>
      <c r="C5" s="311">
        <v>1.0672424977620429</v>
      </c>
      <c r="D5" s="311">
        <v>1.0744849955240858</v>
      </c>
      <c r="E5" s="219">
        <v>1.07</v>
      </c>
    </row>
    <row r="6" spans="1:6">
      <c r="A6" s="216" t="s">
        <v>1491</v>
      </c>
      <c r="B6" s="310">
        <v>1.05</v>
      </c>
      <c r="C6" s="311">
        <v>1.0601652279300464</v>
      </c>
      <c r="D6" s="311">
        <v>1.0703304558600926</v>
      </c>
      <c r="E6" s="219">
        <v>1.07</v>
      </c>
    </row>
    <row r="7" spans="1:6">
      <c r="A7" s="216" t="s">
        <v>6212</v>
      </c>
      <c r="B7" s="310">
        <v>1.03</v>
      </c>
      <c r="C7" s="311">
        <v>1.042365997426248</v>
      </c>
      <c r="D7" s="311">
        <v>1.0547319948524958</v>
      </c>
      <c r="E7" s="219">
        <v>1.05</v>
      </c>
    </row>
    <row r="8" spans="1:6">
      <c r="A8" s="216" t="s">
        <v>2753</v>
      </c>
      <c r="B8" s="310">
        <v>1.1200000000000001</v>
      </c>
      <c r="C8" s="311">
        <v>1.1074472365617356</v>
      </c>
      <c r="D8" s="311">
        <v>1.0948944731234709</v>
      </c>
      <c r="E8" s="219">
        <v>1.0900000000000001</v>
      </c>
    </row>
    <row r="9" spans="1:6">
      <c r="A9" s="216" t="s">
        <v>3080</v>
      </c>
      <c r="B9" s="310">
        <v>1.04</v>
      </c>
      <c r="C9" s="311">
        <v>1.0422351987897873</v>
      </c>
      <c r="D9" s="311">
        <v>1.0444703975795746</v>
      </c>
      <c r="E9" s="219">
        <v>1.04</v>
      </c>
    </row>
    <row r="10" spans="1:6">
      <c r="A10" s="216" t="s">
        <v>2842</v>
      </c>
      <c r="B10" s="310">
        <v>1.06</v>
      </c>
      <c r="C10" s="311">
        <v>1.0582439881111134</v>
      </c>
      <c r="D10" s="311">
        <v>1.056487976222227</v>
      </c>
      <c r="E10" s="219">
        <v>1.06</v>
      </c>
    </row>
    <row r="11" spans="1:6">
      <c r="A11" s="216" t="s">
        <v>1874</v>
      </c>
      <c r="B11" s="310">
        <v>1.04</v>
      </c>
      <c r="C11" s="311">
        <v>1.0419192023211354</v>
      </c>
      <c r="D11" s="311">
        <v>1.0438384046422711</v>
      </c>
      <c r="E11" s="219">
        <v>1.04</v>
      </c>
    </row>
    <row r="12" spans="1:6">
      <c r="A12" s="216" t="s">
        <v>2844</v>
      </c>
      <c r="B12" s="310">
        <v>1.06</v>
      </c>
      <c r="C12" s="311">
        <v>1.0522453344364133</v>
      </c>
      <c r="D12" s="311">
        <v>1.0444906688728266</v>
      </c>
      <c r="E12" s="219">
        <v>1.04</v>
      </c>
    </row>
    <row r="13" spans="1:6">
      <c r="A13" s="216" t="s">
        <v>2846</v>
      </c>
      <c r="B13" s="310">
        <v>1.03</v>
      </c>
      <c r="C13" s="311">
        <v>1.033444813934326</v>
      </c>
      <c r="D13" s="311">
        <v>1.0368896278686519</v>
      </c>
      <c r="E13" s="219">
        <v>1.04</v>
      </c>
    </row>
    <row r="14" spans="1:6">
      <c r="A14" s="216" t="s">
        <v>2848</v>
      </c>
      <c r="B14" s="310">
        <v>1.04</v>
      </c>
      <c r="C14" s="311">
        <v>1.0411142396110091</v>
      </c>
      <c r="D14" s="311">
        <v>1.042228479222018</v>
      </c>
      <c r="E14" s="219">
        <v>1.04</v>
      </c>
    </row>
    <row r="15" spans="1:6">
      <c r="A15" s="216" t="s">
        <v>1225</v>
      </c>
      <c r="B15" s="310">
        <v>1.1100000000000001</v>
      </c>
      <c r="C15" s="311">
        <v>1.1203437848507996</v>
      </c>
      <c r="D15" s="311">
        <v>1.130687569701599</v>
      </c>
      <c r="E15" s="219">
        <v>1.1299999999999999</v>
      </c>
    </row>
    <row r="16" spans="1:6">
      <c r="A16" s="216" t="s">
        <v>1227</v>
      </c>
      <c r="B16" s="310">
        <v>1.07</v>
      </c>
      <c r="C16" s="311">
        <v>1.0617303710461226</v>
      </c>
      <c r="D16" s="311">
        <v>1.0534607420922453</v>
      </c>
      <c r="E16" s="219">
        <v>1.05</v>
      </c>
    </row>
    <row r="17" spans="1:5">
      <c r="A17" s="216" t="s">
        <v>1229</v>
      </c>
      <c r="B17" s="310">
        <v>1.05</v>
      </c>
      <c r="C17" s="311">
        <v>1.0578373558450624</v>
      </c>
      <c r="D17" s="311">
        <v>1.0656747116901246</v>
      </c>
      <c r="E17" s="219">
        <v>1.07</v>
      </c>
    </row>
    <row r="18" spans="1:5">
      <c r="A18" s="216" t="s">
        <v>1231</v>
      </c>
      <c r="B18" s="310">
        <v>1.07</v>
      </c>
      <c r="C18" s="311">
        <v>1.0463919126996732</v>
      </c>
      <c r="D18" s="311">
        <v>1.0227838253993464</v>
      </c>
      <c r="E18" s="219">
        <v>1.02</v>
      </c>
    </row>
    <row r="19" spans="1:5">
      <c r="A19" s="216" t="s">
        <v>2360</v>
      </c>
      <c r="B19" s="310">
        <v>1.06</v>
      </c>
      <c r="C19" s="311">
        <v>1.054832654669088</v>
      </c>
      <c r="D19" s="311">
        <v>1.0496653093381758</v>
      </c>
      <c r="E19" s="219">
        <v>1.05</v>
      </c>
    </row>
    <row r="20" spans="1:5">
      <c r="A20" s="216" t="s">
        <v>1233</v>
      </c>
      <c r="B20" s="310">
        <v>1.05</v>
      </c>
      <c r="C20" s="311">
        <v>1.0287663096275257</v>
      </c>
      <c r="D20" s="311">
        <v>1.0075326192550513</v>
      </c>
      <c r="E20" s="219">
        <v>1.01</v>
      </c>
    </row>
    <row r="21" spans="1:5">
      <c r="A21" s="216" t="s">
        <v>3081</v>
      </c>
      <c r="B21" s="310">
        <v>1.08</v>
      </c>
      <c r="C21" s="311">
        <v>1.1036291324204188</v>
      </c>
      <c r="D21" s="311">
        <v>1.1272582648408374</v>
      </c>
      <c r="E21" s="219">
        <v>1.1299999999999999</v>
      </c>
    </row>
    <row r="22" spans="1:5">
      <c r="A22" s="216" t="s">
        <v>1235</v>
      </c>
      <c r="B22" s="310">
        <v>1.07</v>
      </c>
      <c r="C22" s="311">
        <v>1.1123953446177102</v>
      </c>
      <c r="D22" s="311">
        <v>1.1547906892354203</v>
      </c>
      <c r="E22" s="219">
        <v>1.1499999999999999</v>
      </c>
    </row>
    <row r="23" spans="1:5">
      <c r="A23" s="216" t="s">
        <v>2999</v>
      </c>
      <c r="B23" s="310">
        <v>1.07</v>
      </c>
      <c r="C23" s="311">
        <v>1.1193101055011829</v>
      </c>
      <c r="D23" s="311">
        <v>1.1686202110023658</v>
      </c>
      <c r="E23" s="219">
        <v>1.17</v>
      </c>
    </row>
    <row r="24" spans="1:5">
      <c r="A24" s="216" t="s">
        <v>5127</v>
      </c>
      <c r="B24" s="310">
        <v>1.08</v>
      </c>
      <c r="C24" s="311">
        <v>1.1333086472544185</v>
      </c>
      <c r="D24" s="311">
        <v>1.1866172945088369</v>
      </c>
      <c r="E24" s="219">
        <v>1.19</v>
      </c>
    </row>
    <row r="25" spans="1:5">
      <c r="A25" s="216" t="s">
        <v>2563</v>
      </c>
      <c r="B25" s="310">
        <v>1.0900000000000001</v>
      </c>
      <c r="C25" s="311">
        <v>1.1290436143726943</v>
      </c>
      <c r="D25" s="311">
        <v>1.1680872287453887</v>
      </c>
      <c r="E25" s="219">
        <v>1.17</v>
      </c>
    </row>
    <row r="26" spans="1:5">
      <c r="A26" s="216" t="s">
        <v>1237</v>
      </c>
      <c r="B26" s="310">
        <v>1.1200000000000001</v>
      </c>
      <c r="C26" s="311">
        <v>1.1302611147967565</v>
      </c>
      <c r="D26" s="311">
        <v>1.1405222295935127</v>
      </c>
      <c r="E26" s="219">
        <v>1.1399999999999999</v>
      </c>
    </row>
    <row r="27" spans="1:5">
      <c r="A27" s="216" t="s">
        <v>1239</v>
      </c>
      <c r="B27" s="310">
        <v>1.1299999999999999</v>
      </c>
      <c r="C27" s="311">
        <v>1.1370620589482054</v>
      </c>
      <c r="D27" s="311">
        <v>1.144124117896411</v>
      </c>
      <c r="E27" s="219">
        <v>1.1399999999999999</v>
      </c>
    </row>
    <row r="28" spans="1:5">
      <c r="A28" s="216" t="s">
        <v>1241</v>
      </c>
      <c r="B28" s="310">
        <v>1.1100000000000001</v>
      </c>
      <c r="C28" s="311">
        <v>1.1210873200681928</v>
      </c>
      <c r="D28" s="311">
        <v>1.1321746401363855</v>
      </c>
      <c r="E28" s="219">
        <v>1.1299999999999999</v>
      </c>
    </row>
    <row r="29" spans="1:5">
      <c r="A29" s="216" t="s">
        <v>1243</v>
      </c>
      <c r="B29" s="310">
        <v>1.06</v>
      </c>
      <c r="C29" s="311">
        <v>1.0662404721779353</v>
      </c>
      <c r="D29" s="311">
        <v>1.0724809443558705</v>
      </c>
      <c r="E29" s="219">
        <v>1.07</v>
      </c>
    </row>
    <row r="30" spans="1:5">
      <c r="A30" s="216" t="s">
        <v>1245</v>
      </c>
      <c r="B30" s="310">
        <v>1.07</v>
      </c>
      <c r="C30" s="311">
        <v>1.088275330865883</v>
      </c>
      <c r="D30" s="311">
        <v>1.106550661731766</v>
      </c>
      <c r="E30" s="219">
        <v>1.1100000000000001</v>
      </c>
    </row>
    <row r="31" spans="1:5">
      <c r="A31" s="216" t="s">
        <v>2361</v>
      </c>
      <c r="B31" s="310">
        <v>1.07</v>
      </c>
      <c r="C31" s="311">
        <v>1.1213523435574169</v>
      </c>
      <c r="D31" s="311">
        <v>1.1727046871148337</v>
      </c>
      <c r="E31" s="219">
        <v>1.17</v>
      </c>
    </row>
    <row r="32" spans="1:5">
      <c r="A32" s="216" t="s">
        <v>948</v>
      </c>
      <c r="B32" s="310">
        <v>1.1000000000000001</v>
      </c>
      <c r="C32" s="311">
        <v>1.142081863016059</v>
      </c>
      <c r="D32" s="311">
        <v>1.1841637260321178</v>
      </c>
      <c r="E32" s="219">
        <v>1.18</v>
      </c>
    </row>
    <row r="33" spans="1:5">
      <c r="A33" s="216" t="s">
        <v>1522</v>
      </c>
      <c r="B33" s="310">
        <v>1.0900000000000001</v>
      </c>
      <c r="C33" s="311">
        <v>1.1287867931776367</v>
      </c>
      <c r="D33" s="311">
        <v>1.1675735863552736</v>
      </c>
      <c r="E33" s="219">
        <v>1.17</v>
      </c>
    </row>
    <row r="34" spans="1:5">
      <c r="A34" s="216" t="s">
        <v>438</v>
      </c>
      <c r="B34" s="310">
        <v>1.08</v>
      </c>
      <c r="C34" s="311">
        <v>1.1007894252602382</v>
      </c>
      <c r="D34" s="311">
        <v>1.1215788505204762</v>
      </c>
      <c r="E34" s="219">
        <v>1.1200000000000001</v>
      </c>
    </row>
    <row r="35" spans="1:5">
      <c r="A35" s="216" t="s">
        <v>2565</v>
      </c>
      <c r="B35" s="310">
        <v>1.08</v>
      </c>
      <c r="C35" s="311">
        <v>1.0852160863874738</v>
      </c>
      <c r="D35" s="311">
        <v>1.0904321727749475</v>
      </c>
      <c r="E35" s="219">
        <v>1.0900000000000001</v>
      </c>
    </row>
    <row r="36" spans="1:5">
      <c r="A36" s="216" t="s">
        <v>1248</v>
      </c>
      <c r="B36" s="310">
        <v>1.07</v>
      </c>
      <c r="C36" s="311">
        <v>1.0674938819053896</v>
      </c>
      <c r="D36" s="311">
        <v>1.0649877638107792</v>
      </c>
      <c r="E36" s="219">
        <v>1.06</v>
      </c>
    </row>
    <row r="37" spans="1:5">
      <c r="A37" s="216" t="s">
        <v>439</v>
      </c>
      <c r="B37" s="310">
        <v>1.0900000000000001</v>
      </c>
      <c r="C37" s="311">
        <v>1.100512736039398</v>
      </c>
      <c r="D37" s="311">
        <v>1.1110254720787962</v>
      </c>
      <c r="E37" s="219">
        <v>1.1100000000000001</v>
      </c>
    </row>
    <row r="38" spans="1:5">
      <c r="A38" s="216" t="s">
        <v>1250</v>
      </c>
      <c r="B38" s="310">
        <v>1.0900000000000001</v>
      </c>
      <c r="C38" s="311">
        <v>1.0830918678284462</v>
      </c>
      <c r="D38" s="311">
        <v>1.0761837356568924</v>
      </c>
      <c r="E38" s="219">
        <v>1.08</v>
      </c>
    </row>
    <row r="39" spans="1:5">
      <c r="A39" s="216" t="s">
        <v>1252</v>
      </c>
      <c r="B39" s="310">
        <v>1.06</v>
      </c>
      <c r="C39" s="311">
        <v>1.0721657985654098</v>
      </c>
      <c r="D39" s="311">
        <v>1.0843315971308194</v>
      </c>
      <c r="E39" s="219">
        <v>1.08</v>
      </c>
    </row>
    <row r="40" spans="1:5">
      <c r="A40" s="216" t="s">
        <v>2399</v>
      </c>
      <c r="B40" s="310">
        <v>1.07</v>
      </c>
      <c r="C40" s="311">
        <v>1.0771024985277267</v>
      </c>
      <c r="D40" s="311">
        <v>1.084204997055453</v>
      </c>
      <c r="E40" s="219">
        <v>1.08</v>
      </c>
    </row>
    <row r="41" spans="1:5">
      <c r="A41" s="216" t="s">
        <v>2566</v>
      </c>
      <c r="B41" s="310">
        <v>1.04</v>
      </c>
      <c r="C41" s="311">
        <v>1.0545679328641091</v>
      </c>
      <c r="D41" s="311">
        <v>1.0691358657282184</v>
      </c>
      <c r="E41" s="219">
        <v>1.07</v>
      </c>
    </row>
    <row r="42" spans="1:5">
      <c r="A42" s="216" t="s">
        <v>947</v>
      </c>
      <c r="B42" s="310">
        <v>1.04</v>
      </c>
      <c r="C42" s="311">
        <v>1.0476951860306096</v>
      </c>
      <c r="D42" s="311">
        <v>1.0553903720612192</v>
      </c>
      <c r="E42" s="219">
        <v>1.06</v>
      </c>
    </row>
    <row r="43" spans="1:5">
      <c r="A43" s="216" t="s">
        <v>950</v>
      </c>
      <c r="B43" s="310">
        <v>1.08</v>
      </c>
      <c r="C43" s="311">
        <v>1.1023926537778626</v>
      </c>
      <c r="D43" s="311">
        <v>1.1247853075557248</v>
      </c>
      <c r="E43" s="219">
        <v>1.1200000000000001</v>
      </c>
    </row>
    <row r="44" spans="1:5">
      <c r="A44" s="216" t="s">
        <v>1869</v>
      </c>
      <c r="B44" s="310">
        <v>1.04</v>
      </c>
      <c r="C44" s="311">
        <v>1.0467672172417766</v>
      </c>
      <c r="D44" s="311">
        <v>1.0535344344835533</v>
      </c>
      <c r="E44" s="219">
        <v>1.05</v>
      </c>
    </row>
    <row r="45" spans="1:5">
      <c r="A45" s="216" t="s">
        <v>6033</v>
      </c>
      <c r="B45" s="310">
        <v>1.1000000000000001</v>
      </c>
      <c r="C45" s="311">
        <v>1.135954572060887</v>
      </c>
      <c r="D45" s="311">
        <v>1.1719091441217739</v>
      </c>
      <c r="E45" s="219">
        <v>1.17</v>
      </c>
    </row>
    <row r="46" spans="1:5">
      <c r="A46" s="216" t="s">
        <v>2309</v>
      </c>
      <c r="B46" s="310">
        <v>1.05</v>
      </c>
      <c r="C46" s="311">
        <v>1.0575824292873715</v>
      </c>
      <c r="D46" s="311">
        <v>1.0651648585747429</v>
      </c>
      <c r="E46" s="219">
        <v>1.07</v>
      </c>
    </row>
    <row r="47" spans="1:5">
      <c r="A47" s="216" t="s">
        <v>2384</v>
      </c>
      <c r="B47" s="310">
        <v>1.05</v>
      </c>
      <c r="C47" s="311">
        <v>1.0603939958448967</v>
      </c>
      <c r="D47" s="311">
        <v>1.0707879916897933</v>
      </c>
      <c r="E47" s="219">
        <v>1.07</v>
      </c>
    </row>
    <row r="48" spans="1:5">
      <c r="A48" s="216" t="s">
        <v>2411</v>
      </c>
      <c r="B48" s="310">
        <v>1.0900000000000001</v>
      </c>
      <c r="C48" s="311">
        <v>1.110173635100435</v>
      </c>
      <c r="D48" s="311">
        <v>1.1303472702008697</v>
      </c>
      <c r="E48" s="219">
        <v>1.1299999999999999</v>
      </c>
    </row>
    <row r="49" spans="1:5">
      <c r="A49" s="216" t="s">
        <v>2416</v>
      </c>
      <c r="B49" s="310">
        <v>1.04</v>
      </c>
      <c r="C49" s="311">
        <v>1.0567236483223064</v>
      </c>
      <c r="D49" s="311">
        <v>1.0734472966446129</v>
      </c>
      <c r="E49" s="219">
        <v>1.07</v>
      </c>
    </row>
    <row r="50" spans="1:5">
      <c r="A50" s="216" t="s">
        <v>37</v>
      </c>
      <c r="B50" s="310">
        <v>1.08</v>
      </c>
      <c r="C50" s="311">
        <v>1.1471185188423121</v>
      </c>
      <c r="D50" s="311">
        <v>1.2142370376846243</v>
      </c>
      <c r="E50" s="219">
        <v>1.21</v>
      </c>
    </row>
    <row r="51" spans="1:5">
      <c r="A51" s="216" t="s">
        <v>1860</v>
      </c>
      <c r="B51" s="310">
        <v>1.1200000000000001</v>
      </c>
      <c r="C51" s="311">
        <v>1.1887050356363833</v>
      </c>
      <c r="D51" s="311">
        <v>1.2574100712727665</v>
      </c>
      <c r="E51" s="219">
        <v>1.26</v>
      </c>
    </row>
    <row r="52" spans="1:5">
      <c r="A52" s="216" t="s">
        <v>1520</v>
      </c>
      <c r="B52" s="310">
        <v>1.1499999999999999</v>
      </c>
      <c r="C52" s="311">
        <v>1.2022809861823958</v>
      </c>
      <c r="D52" s="311">
        <v>1.2545619723647916</v>
      </c>
      <c r="E52" s="219">
        <v>1.25</v>
      </c>
    </row>
    <row r="53" spans="1:5">
      <c r="A53" s="216" t="s">
        <v>39</v>
      </c>
      <c r="B53" s="310">
        <v>1.06</v>
      </c>
      <c r="C53" s="311">
        <v>1.112532636859576</v>
      </c>
      <c r="D53" s="311">
        <v>1.165065273719152</v>
      </c>
      <c r="E53" s="219">
        <v>1.17</v>
      </c>
    </row>
    <row r="54" spans="1:5">
      <c r="A54" s="216" t="s">
        <v>2386</v>
      </c>
      <c r="B54" s="310">
        <v>1.1399999999999999</v>
      </c>
      <c r="C54" s="311">
        <v>1.2086294809100622</v>
      </c>
      <c r="D54" s="311">
        <v>1.2772589618201244</v>
      </c>
      <c r="E54" s="219">
        <v>1.28</v>
      </c>
    </row>
    <row r="55" spans="1:5">
      <c r="A55" s="216" t="s">
        <v>2403</v>
      </c>
      <c r="B55" s="310">
        <v>1.1399999999999999</v>
      </c>
      <c r="C55" s="311">
        <v>1.1903590155828871</v>
      </c>
      <c r="D55" s="311">
        <v>1.2407180311657744</v>
      </c>
      <c r="E55" s="219">
        <v>1.24</v>
      </c>
    </row>
    <row r="56" spans="1:5">
      <c r="A56" s="216" t="s">
        <v>2402</v>
      </c>
      <c r="B56" s="310">
        <v>1.08</v>
      </c>
      <c r="C56" s="311">
        <v>1.1362559384594924</v>
      </c>
      <c r="D56" s="311">
        <v>1.1925118769189846</v>
      </c>
      <c r="E56" s="219">
        <v>1.19</v>
      </c>
    </row>
    <row r="57" spans="1:5">
      <c r="A57" s="216" t="s">
        <v>6183</v>
      </c>
      <c r="B57" s="310">
        <v>1.1100000000000001</v>
      </c>
      <c r="C57" s="311">
        <v>1.1951388306505217</v>
      </c>
      <c r="D57" s="311">
        <v>1.2802776613010434</v>
      </c>
      <c r="E57" s="219">
        <v>1.28</v>
      </c>
    </row>
    <row r="58" spans="1:5">
      <c r="A58" s="216" t="s">
        <v>1517</v>
      </c>
      <c r="B58" s="310">
        <v>1.1000000000000001</v>
      </c>
      <c r="C58" s="311">
        <v>1.1643280194066565</v>
      </c>
      <c r="D58" s="311">
        <v>1.2286560388133132</v>
      </c>
      <c r="E58" s="219">
        <v>1.23</v>
      </c>
    </row>
    <row r="59" spans="1:5">
      <c r="A59" s="216" t="s">
        <v>3082</v>
      </c>
      <c r="B59" s="310">
        <v>1.1100000000000001</v>
      </c>
      <c r="C59" s="311">
        <v>1.1730166231049699</v>
      </c>
      <c r="D59" s="311">
        <v>1.2360332462099395</v>
      </c>
      <c r="E59" s="219">
        <v>1.24</v>
      </c>
    </row>
    <row r="60" spans="1:5">
      <c r="A60" s="216" t="s">
        <v>41</v>
      </c>
      <c r="B60" s="310">
        <v>1.05</v>
      </c>
      <c r="C60" s="311">
        <v>1.108736896480111</v>
      </c>
      <c r="D60" s="311">
        <v>1.1674737929602221</v>
      </c>
      <c r="E60" s="219">
        <v>1.17</v>
      </c>
    </row>
    <row r="61" spans="1:5">
      <c r="A61" s="216" t="s">
        <v>43</v>
      </c>
      <c r="B61" s="310">
        <v>1.06</v>
      </c>
      <c r="C61" s="311">
        <v>1.1168851694210682</v>
      </c>
      <c r="D61" s="311">
        <v>1.1737703388421361</v>
      </c>
      <c r="E61" s="219">
        <v>1.17</v>
      </c>
    </row>
    <row r="62" spans="1:5">
      <c r="A62" s="216" t="s">
        <v>6185</v>
      </c>
      <c r="B62" s="310">
        <v>1.1100000000000001</v>
      </c>
      <c r="C62" s="311">
        <v>1.1912652215425665</v>
      </c>
      <c r="D62" s="311">
        <v>1.272530443085133</v>
      </c>
      <c r="E62" s="219">
        <v>1.27</v>
      </c>
    </row>
    <row r="63" spans="1:5">
      <c r="A63" s="216" t="s">
        <v>6026</v>
      </c>
      <c r="B63" s="310">
        <v>1.1100000000000001</v>
      </c>
      <c r="C63" s="311">
        <v>1.185266721748008</v>
      </c>
      <c r="D63" s="311">
        <v>1.2605334434960156</v>
      </c>
      <c r="E63" s="219">
        <v>1.26</v>
      </c>
    </row>
    <row r="64" spans="1:5">
      <c r="A64" s="216" t="s">
        <v>2404</v>
      </c>
      <c r="B64" s="310">
        <v>1.1000000000000001</v>
      </c>
      <c r="C64" s="311">
        <v>1.1546701363999452</v>
      </c>
      <c r="D64" s="311">
        <v>1.2093402727998903</v>
      </c>
      <c r="E64" s="219">
        <v>1.21</v>
      </c>
    </row>
    <row r="65" spans="1:5">
      <c r="A65" s="216" t="s">
        <v>45</v>
      </c>
      <c r="B65" s="310">
        <v>1.08</v>
      </c>
      <c r="C65" s="311">
        <v>1.0825602498508018</v>
      </c>
      <c r="D65" s="311">
        <v>1.0851204997016033</v>
      </c>
      <c r="E65" s="219">
        <v>1.0900000000000001</v>
      </c>
    </row>
    <row r="66" spans="1:5">
      <c r="A66" s="216" t="s">
        <v>952</v>
      </c>
      <c r="B66" s="310">
        <v>1.08</v>
      </c>
      <c r="C66" s="311">
        <v>1.0821904823305153</v>
      </c>
      <c r="D66" s="311">
        <v>1.0843809646610303</v>
      </c>
      <c r="E66" s="219">
        <v>1.08</v>
      </c>
    </row>
    <row r="67" spans="1:5">
      <c r="A67" s="216" t="s">
        <v>47</v>
      </c>
      <c r="B67" s="310">
        <v>1.06</v>
      </c>
      <c r="C67" s="311">
        <v>1.0460378218483051</v>
      </c>
      <c r="D67" s="311">
        <v>1.0320756436966101</v>
      </c>
      <c r="E67" s="219">
        <v>1.03</v>
      </c>
    </row>
    <row r="68" spans="1:5">
      <c r="A68" s="216" t="s">
        <v>740</v>
      </c>
      <c r="B68" s="310">
        <v>1.04</v>
      </c>
      <c r="C68" s="311">
        <v>1.0582664405527469</v>
      </c>
      <c r="D68" s="311">
        <v>1.0765328811054937</v>
      </c>
      <c r="E68" s="219">
        <v>1.08</v>
      </c>
    </row>
    <row r="69" spans="1:5">
      <c r="A69" s="216" t="s">
        <v>49</v>
      </c>
      <c r="B69" s="310">
        <v>1.04</v>
      </c>
      <c r="C69" s="311">
        <v>1.0540500762701019</v>
      </c>
      <c r="D69" s="311">
        <v>1.0681001525402041</v>
      </c>
      <c r="E69" s="219">
        <v>1.07</v>
      </c>
    </row>
    <row r="70" spans="1:5">
      <c r="A70" s="216" t="s">
        <v>1337</v>
      </c>
      <c r="B70" s="310">
        <v>1.07</v>
      </c>
      <c r="C70" s="311">
        <v>1.0584899876017593</v>
      </c>
      <c r="D70" s="311">
        <v>1.0469799752035183</v>
      </c>
      <c r="E70" s="219">
        <v>1.05</v>
      </c>
    </row>
    <row r="71" spans="1:5">
      <c r="A71" s="216" t="s">
        <v>1339</v>
      </c>
      <c r="B71" s="310">
        <v>1.04</v>
      </c>
      <c r="C71" s="311">
        <v>1.0515654242872277</v>
      </c>
      <c r="D71" s="311">
        <v>1.0631308485744555</v>
      </c>
      <c r="E71" s="219">
        <v>1.06</v>
      </c>
    </row>
    <row r="72" spans="1:5">
      <c r="A72" s="216" t="s">
        <v>2474</v>
      </c>
      <c r="B72" s="310">
        <v>1.04</v>
      </c>
      <c r="C72" s="311">
        <v>1.0424027262795028</v>
      </c>
      <c r="D72" s="311">
        <v>1.0448054525590056</v>
      </c>
      <c r="E72" s="219">
        <v>1.04</v>
      </c>
    </row>
    <row r="73" spans="1:5">
      <c r="A73" s="216" t="s">
        <v>1341</v>
      </c>
      <c r="B73" s="310">
        <v>1.05</v>
      </c>
      <c r="C73" s="311">
        <v>1.0454121180988791</v>
      </c>
      <c r="D73" s="311">
        <v>1.0408242361977582</v>
      </c>
      <c r="E73" s="219">
        <v>1.04</v>
      </c>
    </row>
    <row r="74" spans="1:5">
      <c r="A74" s="216" t="s">
        <v>1343</v>
      </c>
      <c r="B74" s="310">
        <v>1.05</v>
      </c>
      <c r="C74" s="311">
        <v>1.0504504872482581</v>
      </c>
      <c r="D74" s="311">
        <v>1.0509009744965161</v>
      </c>
      <c r="E74" s="219">
        <v>1.05</v>
      </c>
    </row>
    <row r="75" spans="1:5">
      <c r="A75" s="216" t="s">
        <v>1345</v>
      </c>
      <c r="B75" s="310">
        <v>1.05</v>
      </c>
      <c r="C75" s="311">
        <v>1.0520383475684862</v>
      </c>
      <c r="D75" s="311">
        <v>1.0540766951369724</v>
      </c>
      <c r="E75" s="219">
        <v>1.05</v>
      </c>
    </row>
    <row r="76" spans="1:5">
      <c r="A76" s="216" t="s">
        <v>963</v>
      </c>
      <c r="B76" s="310">
        <v>1.03</v>
      </c>
      <c r="C76" s="311">
        <v>1.046588644681163</v>
      </c>
      <c r="D76" s="311">
        <v>1.0631772893623259</v>
      </c>
      <c r="E76" s="219">
        <v>1.06</v>
      </c>
    </row>
    <row r="77" spans="1:5">
      <c r="A77" s="216" t="s">
        <v>3083</v>
      </c>
      <c r="B77" s="310">
        <v>1.04</v>
      </c>
      <c r="C77" s="311">
        <v>1.0506717984906639</v>
      </c>
      <c r="D77" s="311">
        <v>1.0613435969813279</v>
      </c>
      <c r="E77" s="219">
        <v>1.06</v>
      </c>
    </row>
    <row r="78" spans="1:5">
      <c r="A78" s="216" t="s">
        <v>2568</v>
      </c>
      <c r="B78" s="310">
        <v>1.03</v>
      </c>
      <c r="C78" s="311">
        <v>1.0385543010213589</v>
      </c>
      <c r="D78" s="311">
        <v>1.0471086020427178</v>
      </c>
      <c r="E78" s="219">
        <v>1.05</v>
      </c>
    </row>
    <row r="79" spans="1:5">
      <c r="A79" s="216" t="s">
        <v>1349</v>
      </c>
      <c r="B79" s="310">
        <v>1.05</v>
      </c>
      <c r="C79" s="311">
        <v>1.0610221639163941</v>
      </c>
      <c r="D79" s="311">
        <v>1.0720443278327882</v>
      </c>
      <c r="E79" s="219">
        <v>1.07</v>
      </c>
    </row>
    <row r="80" spans="1:5">
      <c r="A80" s="216" t="s">
        <v>6083</v>
      </c>
      <c r="B80" s="310">
        <v>1.03</v>
      </c>
      <c r="C80" s="311">
        <v>1.0453463347254661</v>
      </c>
      <c r="D80" s="311">
        <v>1.0606926694509322</v>
      </c>
      <c r="E80" s="219">
        <v>1.06</v>
      </c>
    </row>
    <row r="81" spans="1:5">
      <c r="A81" s="216" t="s">
        <v>6085</v>
      </c>
      <c r="B81" s="310">
        <v>1.06</v>
      </c>
      <c r="C81" s="311">
        <v>1.0783526973295661</v>
      </c>
      <c r="D81" s="311">
        <v>1.0967053946591321</v>
      </c>
      <c r="E81" s="219">
        <v>1.1000000000000001</v>
      </c>
    </row>
    <row r="82" spans="1:5">
      <c r="A82" s="216" t="s">
        <v>1998</v>
      </c>
      <c r="B82" s="310">
        <v>1.06</v>
      </c>
      <c r="C82" s="311">
        <v>1.0696442180907795</v>
      </c>
      <c r="D82" s="311">
        <v>1.0792884361815589</v>
      </c>
      <c r="E82" s="219">
        <v>1.08</v>
      </c>
    </row>
    <row r="83" spans="1:5">
      <c r="A83" s="216" t="s">
        <v>2570</v>
      </c>
      <c r="B83" s="310">
        <v>1.03</v>
      </c>
      <c r="C83" s="311">
        <v>1.041001164420154</v>
      </c>
      <c r="D83" s="311">
        <v>1.0520023288403082</v>
      </c>
      <c r="E83" s="219">
        <v>1.05</v>
      </c>
    </row>
    <row r="84" spans="1:5">
      <c r="A84" s="216" t="s">
        <v>4076</v>
      </c>
      <c r="B84" s="310">
        <v>1.04</v>
      </c>
      <c r="C84" s="311">
        <v>1.0330984873136284</v>
      </c>
      <c r="D84" s="311">
        <v>1.026196974627257</v>
      </c>
      <c r="E84" s="219">
        <v>1.03</v>
      </c>
    </row>
    <row r="85" spans="1:5">
      <c r="A85" s="216" t="s">
        <v>1963</v>
      </c>
      <c r="B85" s="310">
        <v>1.03</v>
      </c>
      <c r="C85" s="311">
        <v>1.0317394624734835</v>
      </c>
      <c r="D85" s="311">
        <v>1.0334789249469669</v>
      </c>
      <c r="E85" s="219">
        <v>1.03</v>
      </c>
    </row>
    <row r="86" spans="1:5">
      <c r="A86" s="216" t="s">
        <v>2000</v>
      </c>
      <c r="B86" s="310">
        <v>1.05</v>
      </c>
      <c r="C86" s="311">
        <v>1.0597977357460322</v>
      </c>
      <c r="D86" s="311">
        <v>1.0695954714920644</v>
      </c>
      <c r="E86" s="219">
        <v>1.07</v>
      </c>
    </row>
    <row r="87" spans="1:5">
      <c r="A87" s="216" t="s">
        <v>2002</v>
      </c>
      <c r="B87" s="310">
        <v>1.04</v>
      </c>
      <c r="C87" s="311">
        <v>1.0305476133116893</v>
      </c>
      <c r="D87" s="311">
        <v>1.0210952266233788</v>
      </c>
      <c r="E87" s="219">
        <v>1.02</v>
      </c>
    </row>
    <row r="88" spans="1:5">
      <c r="A88" s="216" t="s">
        <v>1964</v>
      </c>
      <c r="B88" s="310">
        <v>1.04</v>
      </c>
      <c r="C88" s="311">
        <v>1.0307209233441221</v>
      </c>
      <c r="D88" s="311">
        <v>1.0214418466882444</v>
      </c>
      <c r="E88" s="219">
        <v>1.02</v>
      </c>
    </row>
    <row r="89" spans="1:5">
      <c r="A89" s="216" t="s">
        <v>2136</v>
      </c>
      <c r="B89" s="310">
        <v>1.1499999999999999</v>
      </c>
      <c r="C89" s="311">
        <v>1.1864928433298625</v>
      </c>
      <c r="D89" s="311">
        <v>1.2229856866597251</v>
      </c>
      <c r="E89" s="219">
        <v>1.22</v>
      </c>
    </row>
    <row r="90" spans="1:5">
      <c r="A90" s="216" t="s">
        <v>2966</v>
      </c>
      <c r="B90" s="310">
        <v>1.1499999999999999</v>
      </c>
      <c r="C90" s="311">
        <v>1.1671871542258923</v>
      </c>
      <c r="D90" s="311">
        <v>1.1843743084517844</v>
      </c>
      <c r="E90" s="219">
        <v>1.18</v>
      </c>
    </row>
    <row r="91" spans="1:5">
      <c r="A91" s="216" t="s">
        <v>3084</v>
      </c>
      <c r="B91" s="310">
        <v>1.1100000000000001</v>
      </c>
      <c r="C91" s="311">
        <v>1.1176210929537764</v>
      </c>
      <c r="D91" s="311">
        <v>1.1252421859075525</v>
      </c>
      <c r="E91" s="219">
        <v>1.1299999999999999</v>
      </c>
    </row>
    <row r="92" spans="1:5">
      <c r="A92" s="216" t="s">
        <v>6252</v>
      </c>
      <c r="B92" s="310">
        <v>1.1599999999999999</v>
      </c>
      <c r="C92" s="311">
        <v>1.1797037011616485</v>
      </c>
      <c r="D92" s="311">
        <v>1.199407402323297</v>
      </c>
      <c r="E92" s="219">
        <v>1.2</v>
      </c>
    </row>
    <row r="93" spans="1:5">
      <c r="A93" s="216" t="s">
        <v>6254</v>
      </c>
      <c r="B93" s="310">
        <v>1.1200000000000001</v>
      </c>
      <c r="C93" s="311">
        <v>1.1284934793929522</v>
      </c>
      <c r="D93" s="311">
        <v>1.1369869587859041</v>
      </c>
      <c r="E93" s="219">
        <v>1.1399999999999999</v>
      </c>
    </row>
    <row r="94" spans="1:5">
      <c r="A94" s="216" t="s">
        <v>233</v>
      </c>
      <c r="B94" s="310">
        <v>1.1299999999999999</v>
      </c>
      <c r="C94" s="311">
        <v>1.141204372817364</v>
      </c>
      <c r="D94" s="311">
        <v>1.1524087456347281</v>
      </c>
      <c r="E94" s="219">
        <v>1.1499999999999999</v>
      </c>
    </row>
    <row r="95" spans="1:5">
      <c r="A95" s="216" t="s">
        <v>6195</v>
      </c>
      <c r="B95" s="310">
        <v>1.1499999999999999</v>
      </c>
      <c r="C95" s="311">
        <v>1.1924736410846952</v>
      </c>
      <c r="D95" s="311">
        <v>1.2349472821693908</v>
      </c>
      <c r="E95" s="219">
        <v>1.23</v>
      </c>
    </row>
    <row r="96" spans="1:5">
      <c r="A96" s="216" t="s">
        <v>6256</v>
      </c>
      <c r="B96" s="310">
        <v>1.1100000000000001</v>
      </c>
      <c r="C96" s="311">
        <v>1.1027036296278432</v>
      </c>
      <c r="D96" s="311">
        <v>1.095407259255686</v>
      </c>
      <c r="E96" s="219">
        <v>1.1000000000000001</v>
      </c>
    </row>
    <row r="97" spans="1:5">
      <c r="A97" s="216" t="s">
        <v>743</v>
      </c>
      <c r="B97" s="310">
        <v>1.0900000000000001</v>
      </c>
      <c r="C97" s="311">
        <v>1.1137271972737397</v>
      </c>
      <c r="D97" s="311">
        <v>1.1374543945474793</v>
      </c>
      <c r="E97" s="219">
        <v>1.1399999999999999</v>
      </c>
    </row>
    <row r="98" spans="1:5">
      <c r="A98" s="216" t="s">
        <v>960</v>
      </c>
      <c r="B98" s="310">
        <v>1.1100000000000001</v>
      </c>
      <c r="C98" s="311">
        <v>1.1351806214981548</v>
      </c>
      <c r="D98" s="311">
        <v>1.1603612429963095</v>
      </c>
      <c r="E98" s="219">
        <v>1.1599999999999999</v>
      </c>
    </row>
    <row r="99" spans="1:5">
      <c r="A99" s="216" t="s">
        <v>6260</v>
      </c>
      <c r="B99" s="310">
        <v>1.1000000000000001</v>
      </c>
      <c r="C99" s="311">
        <v>1.0780430292689165</v>
      </c>
      <c r="D99" s="311">
        <v>1.0560860585378329</v>
      </c>
      <c r="E99" s="219">
        <v>1.06</v>
      </c>
    </row>
    <row r="100" spans="1:5">
      <c r="A100" s="216" t="s">
        <v>6262</v>
      </c>
      <c r="B100" s="310">
        <v>1.1000000000000001</v>
      </c>
      <c r="C100" s="311">
        <v>1.0770192692565781</v>
      </c>
      <c r="D100" s="311">
        <v>1.0540385385131561</v>
      </c>
      <c r="E100" s="219">
        <v>1.05</v>
      </c>
    </row>
    <row r="101" spans="1:5">
      <c r="A101" s="216" t="s">
        <v>6264</v>
      </c>
      <c r="B101" s="310">
        <v>1.0900000000000001</v>
      </c>
      <c r="C101" s="311">
        <v>1.0728595641870862</v>
      </c>
      <c r="D101" s="311">
        <v>1.0557191283741723</v>
      </c>
      <c r="E101" s="219">
        <v>1.06</v>
      </c>
    </row>
    <row r="102" spans="1:5">
      <c r="A102" s="216" t="s">
        <v>6266</v>
      </c>
      <c r="B102" s="310">
        <v>1.0900000000000001</v>
      </c>
      <c r="C102" s="311">
        <v>1.0754987068719397</v>
      </c>
      <c r="D102" s="311">
        <v>1.0609974137438793</v>
      </c>
      <c r="E102" s="219">
        <v>1.06</v>
      </c>
    </row>
    <row r="103" spans="1:5">
      <c r="A103" s="216" t="s">
        <v>6268</v>
      </c>
      <c r="B103" s="310">
        <v>1.04</v>
      </c>
      <c r="C103" s="311">
        <v>1.0262211227630862</v>
      </c>
      <c r="D103" s="311">
        <v>1.0124422455261723</v>
      </c>
      <c r="E103" s="219">
        <v>1.01</v>
      </c>
    </row>
    <row r="104" spans="1:5">
      <c r="A104" s="216" t="s">
        <v>6270</v>
      </c>
      <c r="B104" s="310">
        <v>1.1499999999999999</v>
      </c>
      <c r="C104" s="311">
        <v>1.121274500286785</v>
      </c>
      <c r="D104" s="311">
        <v>1.0925490005735701</v>
      </c>
      <c r="E104" s="219">
        <v>1.0900000000000001</v>
      </c>
    </row>
    <row r="105" spans="1:5">
      <c r="A105" s="216" t="s">
        <v>6272</v>
      </c>
      <c r="B105" s="310">
        <v>1.03</v>
      </c>
      <c r="C105" s="311">
        <v>1.0379110766106128</v>
      </c>
      <c r="D105" s="311">
        <v>1.0458221532212253</v>
      </c>
      <c r="E105" s="219">
        <v>1.05</v>
      </c>
    </row>
    <row r="106" spans="1:5">
      <c r="A106" s="216" t="s">
        <v>2291</v>
      </c>
      <c r="B106" s="310">
        <v>1.06</v>
      </c>
      <c r="C106" s="311">
        <v>1.0549760564012012</v>
      </c>
      <c r="D106" s="311">
        <v>1.0499521128024023</v>
      </c>
      <c r="E106" s="219">
        <v>1.05</v>
      </c>
    </row>
    <row r="107" spans="1:5">
      <c r="A107" s="216" t="s">
        <v>954</v>
      </c>
      <c r="B107" s="310">
        <v>1.05</v>
      </c>
      <c r="C107" s="311">
        <v>1.0377416400707722</v>
      </c>
      <c r="D107" s="311">
        <v>1.0254832801415443</v>
      </c>
      <c r="E107" s="219">
        <v>1.03</v>
      </c>
    </row>
    <row r="108" spans="1:5">
      <c r="A108" s="216" t="s">
        <v>6166</v>
      </c>
      <c r="B108" s="310">
        <v>1.03</v>
      </c>
      <c r="C108" s="311">
        <v>1.0351785810045913</v>
      </c>
      <c r="D108" s="311">
        <v>1.0403571620091825</v>
      </c>
      <c r="E108" s="219">
        <v>1.04</v>
      </c>
    </row>
    <row r="109" spans="1:5">
      <c r="A109" s="216" t="s">
        <v>864</v>
      </c>
      <c r="B109" s="310">
        <v>1.04</v>
      </c>
      <c r="C109" s="311">
        <v>1.0292532217359101</v>
      </c>
      <c r="D109" s="311">
        <v>1.0185064434718201</v>
      </c>
      <c r="E109" s="219">
        <v>1.02</v>
      </c>
    </row>
    <row r="110" spans="1:5">
      <c r="A110" s="216" t="s">
        <v>3085</v>
      </c>
      <c r="B110" s="310">
        <v>1.04</v>
      </c>
      <c r="C110" s="311">
        <v>1.0311005191058755</v>
      </c>
      <c r="D110" s="311">
        <v>1.0222010382117512</v>
      </c>
      <c r="E110" s="219">
        <v>1.02</v>
      </c>
    </row>
    <row r="111" spans="1:5">
      <c r="A111" s="216" t="s">
        <v>1518</v>
      </c>
      <c r="B111" s="310">
        <v>1.04</v>
      </c>
      <c r="C111" s="311">
        <v>1.0408496847151607</v>
      </c>
      <c r="D111" s="311">
        <v>1.0416993694303214</v>
      </c>
      <c r="E111" s="219">
        <v>1.04</v>
      </c>
    </row>
    <row r="112" spans="1:5">
      <c r="A112" s="216" t="s">
        <v>2293</v>
      </c>
      <c r="B112" s="310">
        <v>1.08</v>
      </c>
      <c r="C112" s="311">
        <v>1.0828523351321611</v>
      </c>
      <c r="D112" s="311">
        <v>1.085704670264322</v>
      </c>
      <c r="E112" s="219">
        <v>1.0900000000000001</v>
      </c>
    </row>
    <row r="113" spans="1:5">
      <c r="A113" s="216" t="s">
        <v>2295</v>
      </c>
      <c r="B113" s="310">
        <v>1.0900000000000001</v>
      </c>
      <c r="C113" s="311">
        <v>1.077992143258188</v>
      </c>
      <c r="D113" s="311">
        <v>1.065984286516376</v>
      </c>
      <c r="E113" s="219">
        <v>1.07</v>
      </c>
    </row>
    <row r="114" spans="1:5">
      <c r="A114" s="216" t="s">
        <v>2297</v>
      </c>
      <c r="B114" s="310">
        <v>1.0900000000000001</v>
      </c>
      <c r="C114" s="311">
        <v>1.0740821637205791</v>
      </c>
      <c r="D114" s="311">
        <v>1.0581643274411581</v>
      </c>
      <c r="E114" s="219">
        <v>1.06</v>
      </c>
    </row>
    <row r="115" spans="1:5">
      <c r="A115" s="216" t="s">
        <v>978</v>
      </c>
      <c r="B115" s="310">
        <v>1.0900000000000001</v>
      </c>
      <c r="C115" s="311">
        <v>1.1014156217035302</v>
      </c>
      <c r="D115" s="311">
        <v>1.1128312434070606</v>
      </c>
      <c r="E115" s="219">
        <v>1.1100000000000001</v>
      </c>
    </row>
    <row r="116" spans="1:5">
      <c r="A116" s="216" t="s">
        <v>3003</v>
      </c>
      <c r="B116" s="310">
        <v>1.0900000000000001</v>
      </c>
      <c r="C116" s="311">
        <v>1.10227029341746</v>
      </c>
      <c r="D116" s="311">
        <v>1.1145405868349199</v>
      </c>
      <c r="E116" s="219">
        <v>1.1100000000000001</v>
      </c>
    </row>
    <row r="117" spans="1:5">
      <c r="A117" s="216" t="s">
        <v>2993</v>
      </c>
      <c r="B117" s="310">
        <v>1.0900000000000001</v>
      </c>
      <c r="C117" s="311">
        <v>1.1275843303015027</v>
      </c>
      <c r="D117" s="311">
        <v>1.1651686606030056</v>
      </c>
      <c r="E117" s="219">
        <v>1.17</v>
      </c>
    </row>
    <row r="118" spans="1:5">
      <c r="A118" s="216" t="s">
        <v>518</v>
      </c>
      <c r="B118" s="310">
        <v>1.0900000000000001</v>
      </c>
      <c r="C118" s="311">
        <v>1.0991733943359452</v>
      </c>
      <c r="D118" s="311">
        <v>1.1083467886718905</v>
      </c>
      <c r="E118" s="219">
        <v>1.1100000000000001</v>
      </c>
    </row>
    <row r="119" spans="1:5">
      <c r="A119" s="216" t="s">
        <v>2299</v>
      </c>
      <c r="B119" s="310">
        <v>1.08</v>
      </c>
      <c r="C119" s="311">
        <v>1.0762946904029902</v>
      </c>
      <c r="D119" s="311">
        <v>1.0725893808059803</v>
      </c>
      <c r="E119" s="219">
        <v>1.07</v>
      </c>
    </row>
    <row r="120" spans="1:5">
      <c r="A120" s="216" t="s">
        <v>3971</v>
      </c>
      <c r="B120" s="310">
        <v>1.1100000000000001</v>
      </c>
      <c r="C120" s="311">
        <v>1.1280622928156374</v>
      </c>
      <c r="D120" s="311">
        <v>1.1461245856312745</v>
      </c>
      <c r="E120" s="219">
        <v>1.1499999999999999</v>
      </c>
    </row>
    <row r="121" spans="1:5">
      <c r="A121" s="216" t="s">
        <v>2161</v>
      </c>
      <c r="B121" s="310">
        <v>1.04</v>
      </c>
      <c r="C121" s="311">
        <v>1.0423026234887462</v>
      </c>
      <c r="D121" s="311">
        <v>1.0446052469774922</v>
      </c>
      <c r="E121" s="219">
        <v>1.04</v>
      </c>
    </row>
    <row r="122" spans="1:5">
      <c r="A122" s="216" t="s">
        <v>3086</v>
      </c>
      <c r="B122" s="310">
        <v>1.05</v>
      </c>
      <c r="C122" s="311">
        <v>1.0598881992903828</v>
      </c>
      <c r="D122" s="311">
        <v>1.0697763985807653</v>
      </c>
      <c r="E122" s="219">
        <v>1.07</v>
      </c>
    </row>
    <row r="123" spans="1:5">
      <c r="A123" s="216" t="s">
        <v>2605</v>
      </c>
      <c r="B123" s="310">
        <v>1.04</v>
      </c>
      <c r="C123" s="311">
        <v>1.0407329961793228</v>
      </c>
      <c r="D123" s="311">
        <v>1.0414659923586456</v>
      </c>
      <c r="E123" s="219">
        <v>1.04</v>
      </c>
    </row>
    <row r="124" spans="1:5">
      <c r="A124" s="216" t="s">
        <v>4181</v>
      </c>
      <c r="B124" s="310">
        <v>1.03</v>
      </c>
      <c r="C124" s="311">
        <v>1.0380979912387249</v>
      </c>
      <c r="D124" s="311">
        <v>1.04619598247745</v>
      </c>
      <c r="E124" s="219">
        <v>1.05</v>
      </c>
    </row>
    <row r="125" spans="1:5">
      <c r="A125" s="216" t="s">
        <v>959</v>
      </c>
      <c r="B125" s="310">
        <v>1.19</v>
      </c>
      <c r="C125" s="311">
        <v>1.2020877886401962</v>
      </c>
      <c r="D125" s="311">
        <v>1.2141755772803924</v>
      </c>
      <c r="E125" s="219">
        <v>1.21</v>
      </c>
    </row>
    <row r="126" spans="1:5">
      <c r="A126" s="216" t="s">
        <v>1861</v>
      </c>
      <c r="B126" s="310">
        <v>1.17</v>
      </c>
      <c r="C126" s="311">
        <v>1.1836715193836267</v>
      </c>
      <c r="D126" s="311">
        <v>1.1973430387672537</v>
      </c>
      <c r="E126" s="219">
        <v>1.2</v>
      </c>
    </row>
    <row r="127" spans="1:5">
      <c r="A127" s="216" t="s">
        <v>6037</v>
      </c>
      <c r="B127" s="310">
        <v>1.1399999999999999</v>
      </c>
      <c r="C127" s="311">
        <v>1.1381000934548511</v>
      </c>
      <c r="D127" s="311">
        <v>1.1362001869097025</v>
      </c>
      <c r="E127" s="219">
        <v>1.1399999999999999</v>
      </c>
    </row>
    <row r="128" spans="1:5">
      <c r="A128" s="216" t="s">
        <v>2995</v>
      </c>
      <c r="B128" s="310">
        <v>1.17</v>
      </c>
      <c r="C128" s="311">
        <v>1.1688522758099076</v>
      </c>
      <c r="D128" s="311">
        <v>1.1677045516198155</v>
      </c>
      <c r="E128" s="219">
        <v>1.17</v>
      </c>
    </row>
    <row r="129" spans="1:5">
      <c r="A129" s="216" t="s">
        <v>7643</v>
      </c>
      <c r="B129" s="310">
        <v>1.1399999999999999</v>
      </c>
      <c r="C129" s="311">
        <v>1.1379248177880412</v>
      </c>
      <c r="D129" s="311">
        <v>1.1358496355760823</v>
      </c>
      <c r="E129" s="219">
        <v>1.1399999999999999</v>
      </c>
    </row>
    <row r="130" spans="1:5">
      <c r="A130" s="216" t="s">
        <v>3087</v>
      </c>
      <c r="B130" s="310">
        <v>1.1399999999999999</v>
      </c>
      <c r="C130" s="311">
        <v>1.1358352661825699</v>
      </c>
      <c r="D130" s="311">
        <v>1.1316705323651399</v>
      </c>
      <c r="E130" s="219">
        <v>1.1299999999999999</v>
      </c>
    </row>
    <row r="131" spans="1:5">
      <c r="A131" s="216" t="s">
        <v>2387</v>
      </c>
      <c r="B131" s="310">
        <v>1.18</v>
      </c>
      <c r="C131" s="311">
        <v>1.1779366585958799</v>
      </c>
      <c r="D131" s="311">
        <v>1.1758733171917597</v>
      </c>
      <c r="E131" s="219">
        <v>1.18</v>
      </c>
    </row>
    <row r="132" spans="1:5">
      <c r="A132" s="216" t="s">
        <v>3088</v>
      </c>
      <c r="B132" s="310">
        <v>1.1499999999999999</v>
      </c>
      <c r="C132" s="311">
        <v>1.1212080421867809</v>
      </c>
      <c r="D132" s="311">
        <v>1.0924160843735622</v>
      </c>
      <c r="E132" s="219">
        <v>1.0900000000000001</v>
      </c>
    </row>
    <row r="133" spans="1:5">
      <c r="A133" s="216" t="s">
        <v>2393</v>
      </c>
      <c r="B133" s="310">
        <v>1.1499999999999999</v>
      </c>
      <c r="C133" s="311">
        <v>1.1311861270585344</v>
      </c>
      <c r="D133" s="311">
        <v>1.1123722541170691</v>
      </c>
      <c r="E133" s="219">
        <v>1.1100000000000001</v>
      </c>
    </row>
    <row r="134" spans="1:5">
      <c r="A134" s="216" t="s">
        <v>7645</v>
      </c>
      <c r="B134" s="310">
        <v>1.1200000000000001</v>
      </c>
      <c r="C134" s="311">
        <v>1.124763681926388</v>
      </c>
      <c r="D134" s="311">
        <v>1.1295273638527761</v>
      </c>
      <c r="E134" s="219">
        <v>1.1299999999999999</v>
      </c>
    </row>
    <row r="135" spans="1:5">
      <c r="A135" s="216" t="s">
        <v>7647</v>
      </c>
      <c r="B135" s="310">
        <v>1.06</v>
      </c>
      <c r="C135" s="311">
        <v>1.0694594489251275</v>
      </c>
      <c r="D135" s="311">
        <v>1.0789188978502551</v>
      </c>
      <c r="E135" s="219">
        <v>1.08</v>
      </c>
    </row>
    <row r="136" spans="1:5">
      <c r="A136" s="216" t="s">
        <v>7649</v>
      </c>
      <c r="B136" s="310">
        <v>1.06</v>
      </c>
      <c r="C136" s="311">
        <v>1.03</v>
      </c>
      <c r="D136" s="311">
        <v>1</v>
      </c>
      <c r="E136" s="219">
        <v>1</v>
      </c>
    </row>
    <row r="137" spans="1:5">
      <c r="A137" s="216" t="s">
        <v>1786</v>
      </c>
      <c r="B137" s="310">
        <v>1.07</v>
      </c>
      <c r="C137" s="311">
        <v>1.051574184153556</v>
      </c>
      <c r="D137" s="311">
        <v>1.0331483683071121</v>
      </c>
      <c r="E137" s="219">
        <v>1.03</v>
      </c>
    </row>
    <row r="138" spans="1:5">
      <c r="A138" s="216" t="s">
        <v>1788</v>
      </c>
      <c r="B138" s="310">
        <v>1.06</v>
      </c>
      <c r="C138" s="311">
        <v>1.0382918284441063</v>
      </c>
      <c r="D138" s="311">
        <v>1.0165836568882125</v>
      </c>
      <c r="E138" s="219">
        <v>1.02</v>
      </c>
    </row>
    <row r="139" spans="1:5">
      <c r="A139" s="216" t="s">
        <v>1790</v>
      </c>
      <c r="B139" s="310">
        <v>1.05</v>
      </c>
      <c r="C139" s="311">
        <v>1.0589922334002644</v>
      </c>
      <c r="D139" s="311">
        <v>1.0679844668005285</v>
      </c>
      <c r="E139" s="219">
        <v>1.07</v>
      </c>
    </row>
    <row r="140" spans="1:5">
      <c r="A140" s="216" t="s">
        <v>1792</v>
      </c>
      <c r="B140" s="310">
        <v>1.04</v>
      </c>
      <c r="C140" s="311">
        <v>1.0425109531755061</v>
      </c>
      <c r="D140" s="311">
        <v>1.0450219063510122</v>
      </c>
      <c r="E140" s="219">
        <v>1.05</v>
      </c>
    </row>
    <row r="141" spans="1:5">
      <c r="A141" s="216" t="s">
        <v>2982</v>
      </c>
      <c r="B141" s="310">
        <v>1.04</v>
      </c>
      <c r="C141" s="311">
        <v>1.055348843151416</v>
      </c>
      <c r="D141" s="311">
        <v>1.0706976863028319</v>
      </c>
      <c r="E141" s="219">
        <v>1.07</v>
      </c>
    </row>
    <row r="142" spans="1:5">
      <c r="A142" s="216" t="s">
        <v>2984</v>
      </c>
      <c r="B142" s="310">
        <v>1.05</v>
      </c>
      <c r="C142" s="311">
        <v>1.0593891611453818</v>
      </c>
      <c r="D142" s="311">
        <v>1.0687783222907634</v>
      </c>
      <c r="E142" s="219">
        <v>1.07</v>
      </c>
    </row>
    <row r="143" spans="1:5">
      <c r="A143" s="216" t="s">
        <v>965</v>
      </c>
      <c r="B143" s="310">
        <v>1.04</v>
      </c>
      <c r="C143" s="311">
        <v>1.0489790884563583</v>
      </c>
      <c r="D143" s="311">
        <v>1.0579581769127167</v>
      </c>
      <c r="E143" s="219">
        <v>1.06</v>
      </c>
    </row>
    <row r="144" spans="1:5">
      <c r="A144" s="216" t="s">
        <v>6704</v>
      </c>
      <c r="B144" s="310">
        <v>1.05</v>
      </c>
      <c r="C144" s="311">
        <v>1.054805655883464</v>
      </c>
      <c r="D144" s="311">
        <v>1.0596113117669277</v>
      </c>
      <c r="E144" s="219">
        <v>1.06</v>
      </c>
    </row>
    <row r="145" spans="1:5">
      <c r="A145" s="216" t="s">
        <v>6706</v>
      </c>
      <c r="B145" s="310">
        <v>1.0900000000000001</v>
      </c>
      <c r="C145" s="311">
        <v>1.0644455165798115</v>
      </c>
      <c r="D145" s="311">
        <v>1.0388910331596226</v>
      </c>
      <c r="E145" s="219">
        <v>1.04</v>
      </c>
    </row>
    <row r="146" spans="1:5">
      <c r="A146" s="216" t="s">
        <v>690</v>
      </c>
      <c r="B146" s="310">
        <v>1.04</v>
      </c>
      <c r="C146" s="311">
        <v>1.0415572582704502</v>
      </c>
      <c r="D146" s="311">
        <v>1.0431145165409004</v>
      </c>
      <c r="E146" s="219">
        <v>1.04</v>
      </c>
    </row>
    <row r="147" spans="1:5">
      <c r="A147" s="216" t="s">
        <v>692</v>
      </c>
      <c r="B147" s="310">
        <v>1.08</v>
      </c>
      <c r="C147" s="311">
        <v>1.0705622134673018</v>
      </c>
      <c r="D147" s="311">
        <v>1.0611244269346036</v>
      </c>
      <c r="E147" s="219">
        <v>1.06</v>
      </c>
    </row>
    <row r="148" spans="1:5">
      <c r="A148" s="216" t="s">
        <v>895</v>
      </c>
      <c r="B148" s="310">
        <v>1.0900000000000001</v>
      </c>
      <c r="C148" s="311">
        <v>1.0624132815966902</v>
      </c>
      <c r="D148" s="311">
        <v>1.0348265631933804</v>
      </c>
      <c r="E148" s="219">
        <v>1.03</v>
      </c>
    </row>
    <row r="149" spans="1:5">
      <c r="A149" s="216" t="s">
        <v>6177</v>
      </c>
      <c r="B149" s="310">
        <v>1.05</v>
      </c>
      <c r="C149" s="311">
        <v>1.0435479751558794</v>
      </c>
      <c r="D149" s="311">
        <v>1.0370959503117587</v>
      </c>
      <c r="E149" s="219">
        <v>1.04</v>
      </c>
    </row>
    <row r="150" spans="1:5">
      <c r="A150" s="216" t="s">
        <v>265</v>
      </c>
      <c r="B150" s="310">
        <v>1.1200000000000001</v>
      </c>
      <c r="C150" s="311">
        <v>1.1424046141986743</v>
      </c>
      <c r="D150" s="311">
        <v>1.1648092283973486</v>
      </c>
      <c r="E150" s="219">
        <v>1.1599999999999999</v>
      </c>
    </row>
    <row r="151" spans="1:5">
      <c r="A151" s="216" t="s">
        <v>897</v>
      </c>
      <c r="B151" s="310">
        <v>1.1200000000000001</v>
      </c>
      <c r="C151" s="311">
        <v>1.1478427698395073</v>
      </c>
      <c r="D151" s="311">
        <v>1.1756855396790145</v>
      </c>
      <c r="E151" s="219">
        <v>1.18</v>
      </c>
    </row>
    <row r="152" spans="1:5">
      <c r="A152" s="216" t="s">
        <v>899</v>
      </c>
      <c r="B152" s="310">
        <v>1.1100000000000001</v>
      </c>
      <c r="C152" s="311">
        <v>1.1429052051702016</v>
      </c>
      <c r="D152" s="311">
        <v>1.1758104103404032</v>
      </c>
      <c r="E152" s="219">
        <v>1.18</v>
      </c>
    </row>
    <row r="153" spans="1:5">
      <c r="A153" s="216" t="s">
        <v>901</v>
      </c>
      <c r="B153" s="310">
        <v>1.05</v>
      </c>
      <c r="C153" s="311">
        <v>1.0521756721817437</v>
      </c>
      <c r="D153" s="311">
        <v>1.0543513443634873</v>
      </c>
      <c r="E153" s="219">
        <v>1.05</v>
      </c>
    </row>
    <row r="154" spans="1:5">
      <c r="A154" s="216" t="s">
        <v>6023</v>
      </c>
      <c r="B154" s="310">
        <v>1.06</v>
      </c>
      <c r="C154" s="311">
        <v>1.0714455670739624</v>
      </c>
      <c r="D154" s="311">
        <v>1.0828911341479248</v>
      </c>
      <c r="E154" s="219">
        <v>1.08</v>
      </c>
    </row>
    <row r="155" spans="1:5">
      <c r="A155" s="216" t="s">
        <v>2383</v>
      </c>
      <c r="B155" s="310">
        <v>1.05</v>
      </c>
      <c r="C155" s="311">
        <v>1.064239928709235</v>
      </c>
      <c r="D155" s="311">
        <v>1.07847985741847</v>
      </c>
      <c r="E155" s="219">
        <v>1.08</v>
      </c>
    </row>
    <row r="156" spans="1:5">
      <c r="A156" s="216" t="s">
        <v>6180</v>
      </c>
      <c r="B156" s="310">
        <v>1.04</v>
      </c>
      <c r="C156" s="311">
        <v>1.0497323279756405</v>
      </c>
      <c r="D156" s="311">
        <v>1.059464655951281</v>
      </c>
      <c r="E156" s="219">
        <v>1.06</v>
      </c>
    </row>
    <row r="157" spans="1:5">
      <c r="A157" s="216" t="s">
        <v>903</v>
      </c>
      <c r="B157" s="310">
        <v>1.03</v>
      </c>
      <c r="C157" s="311">
        <v>1.0364503863085723</v>
      </c>
      <c r="D157" s="311">
        <v>1.0429007726171446</v>
      </c>
      <c r="E157" s="219">
        <v>1.04</v>
      </c>
    </row>
    <row r="158" spans="1:5">
      <c r="A158" s="216" t="s">
        <v>736</v>
      </c>
      <c r="B158" s="310">
        <v>1.04</v>
      </c>
      <c r="C158" s="311">
        <v>1.0569608255419467</v>
      </c>
      <c r="D158" s="311">
        <v>1.0739216510838934</v>
      </c>
      <c r="E158" s="219">
        <v>1.07</v>
      </c>
    </row>
    <row r="159" spans="1:5">
      <c r="A159" s="216" t="s">
        <v>5336</v>
      </c>
      <c r="B159" s="310">
        <v>1.06</v>
      </c>
      <c r="C159" s="311">
        <v>1.0462856008632795</v>
      </c>
      <c r="D159" s="311">
        <v>1.0325712017265589</v>
      </c>
      <c r="E159" s="219">
        <v>1.03</v>
      </c>
    </row>
    <row r="160" spans="1:5">
      <c r="A160" s="216" t="s">
        <v>2117</v>
      </c>
      <c r="B160" s="310">
        <v>1.05</v>
      </c>
      <c r="C160" s="311">
        <v>1.0591921188305995</v>
      </c>
      <c r="D160" s="311">
        <v>1.0683842376611987</v>
      </c>
      <c r="E160" s="219">
        <v>1.07</v>
      </c>
    </row>
    <row r="161" spans="1:5">
      <c r="A161" s="216" t="s">
        <v>3089</v>
      </c>
      <c r="B161" s="310">
        <v>1.05</v>
      </c>
      <c r="C161" s="311">
        <v>1.0517487036692739</v>
      </c>
      <c r="D161" s="311">
        <v>1.0534974073385475</v>
      </c>
      <c r="E161" s="219">
        <v>1.05</v>
      </c>
    </row>
    <row r="162" spans="1:5">
      <c r="A162" s="216" t="s">
        <v>2119</v>
      </c>
      <c r="B162" s="310">
        <v>1.06</v>
      </c>
      <c r="C162" s="311">
        <v>1.0476724663448391</v>
      </c>
      <c r="D162" s="311">
        <v>1.0353449326896782</v>
      </c>
      <c r="E162" s="219">
        <v>1.04</v>
      </c>
    </row>
    <row r="163" spans="1:5">
      <c r="A163" s="216" t="s">
        <v>2121</v>
      </c>
      <c r="B163" s="310">
        <v>1.06</v>
      </c>
      <c r="C163" s="311">
        <v>1.0473963134974595</v>
      </c>
      <c r="D163" s="311">
        <v>1.034792626994919</v>
      </c>
      <c r="E163" s="219">
        <v>1.03</v>
      </c>
    </row>
    <row r="164" spans="1:5">
      <c r="A164" s="216" t="s">
        <v>2123</v>
      </c>
      <c r="B164" s="310">
        <v>1.0900000000000001</v>
      </c>
      <c r="C164" s="311">
        <v>1.0610286122980077</v>
      </c>
      <c r="D164" s="311">
        <v>1.0320572245960153</v>
      </c>
      <c r="E164" s="219">
        <v>1.03</v>
      </c>
    </row>
    <row r="165" spans="1:5">
      <c r="A165" s="216" t="s">
        <v>3130</v>
      </c>
      <c r="B165" s="310">
        <v>1.08</v>
      </c>
      <c r="C165" s="311">
        <v>1.0525253101313772</v>
      </c>
      <c r="D165" s="311">
        <v>1.0250506202627543</v>
      </c>
      <c r="E165" s="219">
        <v>1.03</v>
      </c>
    </row>
    <row r="166" spans="1:5">
      <c r="A166" s="216" t="s">
        <v>3132</v>
      </c>
      <c r="B166" s="310">
        <v>1.05</v>
      </c>
      <c r="C166" s="311">
        <v>1.0549315308376745</v>
      </c>
      <c r="D166" s="311">
        <v>1.0598630616753493</v>
      </c>
      <c r="E166" s="219">
        <v>1.06</v>
      </c>
    </row>
    <row r="167" spans="1:5">
      <c r="A167" s="216" t="s">
        <v>1322</v>
      </c>
      <c r="B167" s="310">
        <v>1.05</v>
      </c>
      <c r="C167" s="311">
        <v>1.0518246158727851</v>
      </c>
      <c r="D167" s="311">
        <v>1.0536492317455703</v>
      </c>
      <c r="E167" s="219">
        <v>1.05</v>
      </c>
    </row>
    <row r="168" spans="1:5">
      <c r="A168" s="216" t="s">
        <v>742</v>
      </c>
      <c r="B168" s="310">
        <v>1.03</v>
      </c>
      <c r="C168" s="311">
        <v>1.0439349689716866</v>
      </c>
      <c r="D168" s="311">
        <v>1.0578699379433734</v>
      </c>
      <c r="E168" s="219">
        <v>1.06</v>
      </c>
    </row>
    <row r="169" spans="1:5">
      <c r="A169" s="216" t="s">
        <v>440</v>
      </c>
      <c r="B169" s="310">
        <v>1.03</v>
      </c>
      <c r="C169" s="311">
        <v>1.0312065494770226</v>
      </c>
      <c r="D169" s="311">
        <v>1.032413098954045</v>
      </c>
      <c r="E169" s="219">
        <v>1.03</v>
      </c>
    </row>
    <row r="170" spans="1:5">
      <c r="A170" s="216" t="s">
        <v>1324</v>
      </c>
      <c r="B170" s="310">
        <v>1.03</v>
      </c>
      <c r="C170" s="311">
        <v>1.0368066215738816</v>
      </c>
      <c r="D170" s="311">
        <v>1.0436132431477632</v>
      </c>
      <c r="E170" s="219">
        <v>1.04</v>
      </c>
    </row>
    <row r="171" spans="1:5">
      <c r="A171" s="216" t="s">
        <v>1326</v>
      </c>
      <c r="B171" s="310">
        <v>1.05</v>
      </c>
      <c r="C171" s="311">
        <v>1.0450322642632304</v>
      </c>
      <c r="D171" s="311">
        <v>1.0400645285264607</v>
      </c>
      <c r="E171" s="219">
        <v>1.04</v>
      </c>
    </row>
    <row r="172" spans="1:5">
      <c r="A172" s="216" t="s">
        <v>818</v>
      </c>
      <c r="B172" s="310">
        <v>1.1200000000000001</v>
      </c>
      <c r="C172" s="311">
        <v>1.1676550767792109</v>
      </c>
      <c r="D172" s="311">
        <v>1.2153101535584214</v>
      </c>
      <c r="E172" s="219">
        <v>1.22</v>
      </c>
    </row>
    <row r="173" spans="1:5">
      <c r="A173" s="216" t="s">
        <v>266</v>
      </c>
      <c r="B173" s="310">
        <v>1.0900000000000001</v>
      </c>
      <c r="C173" s="311">
        <v>1.1187494134906273</v>
      </c>
      <c r="D173" s="311">
        <v>1.1474988269812547</v>
      </c>
      <c r="E173" s="219">
        <v>1.1499999999999999</v>
      </c>
    </row>
    <row r="174" spans="1:5">
      <c r="A174" s="216" t="s">
        <v>441</v>
      </c>
      <c r="B174" s="310">
        <v>1.0900000000000001</v>
      </c>
      <c r="C174" s="311">
        <v>1.1211337024729682</v>
      </c>
      <c r="D174" s="311">
        <v>1.1522674049459363</v>
      </c>
      <c r="E174" s="219">
        <v>1.1499999999999999</v>
      </c>
    </row>
    <row r="175" spans="1:5">
      <c r="A175" s="216" t="s">
        <v>1526</v>
      </c>
      <c r="B175" s="310">
        <v>1.08</v>
      </c>
      <c r="C175" s="311">
        <v>1.1055016696465463</v>
      </c>
      <c r="D175" s="311">
        <v>1.1310033392930925</v>
      </c>
      <c r="E175" s="219">
        <v>1.1299999999999999</v>
      </c>
    </row>
    <row r="176" spans="1:5">
      <c r="A176" s="216" t="s">
        <v>1312</v>
      </c>
      <c r="B176" s="310">
        <v>1.0900000000000001</v>
      </c>
      <c r="C176" s="311">
        <v>1.1480095832165427</v>
      </c>
      <c r="D176" s="311">
        <v>1.2060191664330853</v>
      </c>
      <c r="E176" s="219">
        <v>1.21</v>
      </c>
    </row>
    <row r="177" spans="1:5">
      <c r="A177" s="216" t="s">
        <v>6168</v>
      </c>
      <c r="B177" s="310">
        <v>1.1200000000000001</v>
      </c>
      <c r="C177" s="311">
        <v>1.1679662484951241</v>
      </c>
      <c r="D177" s="311">
        <v>1.2159324969902481</v>
      </c>
      <c r="E177" s="219">
        <v>1.22</v>
      </c>
    </row>
    <row r="178" spans="1:5">
      <c r="A178" s="216" t="s">
        <v>5913</v>
      </c>
      <c r="B178" s="310">
        <v>1.08</v>
      </c>
      <c r="C178" s="311">
        <v>1.1015498484870763</v>
      </c>
      <c r="D178" s="311">
        <v>1.1230996969741525</v>
      </c>
      <c r="E178" s="219">
        <v>1.1200000000000001</v>
      </c>
    </row>
    <row r="179" spans="1:5">
      <c r="A179" s="216" t="s">
        <v>3546</v>
      </c>
      <c r="B179" s="310">
        <v>1.1299999999999999</v>
      </c>
      <c r="C179" s="311">
        <v>1.1934302181375114</v>
      </c>
      <c r="D179" s="311">
        <v>1.2568604362750229</v>
      </c>
      <c r="E179" s="219">
        <v>1.26</v>
      </c>
    </row>
    <row r="180" spans="1:5">
      <c r="A180" s="216" t="s">
        <v>5132</v>
      </c>
      <c r="B180" s="310">
        <v>1.0900000000000001</v>
      </c>
      <c r="C180" s="311">
        <v>1.1192007489658398</v>
      </c>
      <c r="D180" s="311">
        <v>1.1484014979316792</v>
      </c>
      <c r="E180" s="219">
        <v>1.1499999999999999</v>
      </c>
    </row>
    <row r="181" spans="1:5">
      <c r="A181" s="216" t="s">
        <v>649</v>
      </c>
      <c r="B181" s="310">
        <v>1.07</v>
      </c>
      <c r="C181" s="311">
        <v>1.1037634527518616</v>
      </c>
      <c r="D181" s="311">
        <v>1.1375269055037232</v>
      </c>
      <c r="E181" s="219">
        <v>1.1399999999999999</v>
      </c>
    </row>
    <row r="182" spans="1:5">
      <c r="A182" s="216" t="s">
        <v>861</v>
      </c>
      <c r="B182" s="310">
        <v>1.1000000000000001</v>
      </c>
      <c r="C182" s="311">
        <v>1.1456245864444154</v>
      </c>
      <c r="D182" s="311">
        <v>1.191249172888831</v>
      </c>
      <c r="E182" s="219">
        <v>1.19</v>
      </c>
    </row>
    <row r="183" spans="1:5">
      <c r="A183" s="216" t="s">
        <v>956</v>
      </c>
      <c r="B183" s="310">
        <v>1.08</v>
      </c>
      <c r="C183" s="311">
        <v>1.10402290763873</v>
      </c>
      <c r="D183" s="311">
        <v>1.12804581527746</v>
      </c>
      <c r="E183" s="219">
        <v>1.1299999999999999</v>
      </c>
    </row>
    <row r="184" spans="1:5">
      <c r="A184" s="216" t="s">
        <v>236</v>
      </c>
      <c r="B184" s="310">
        <v>1.08</v>
      </c>
      <c r="C184" s="311">
        <v>1.1093414971824553</v>
      </c>
      <c r="D184" s="311">
        <v>1.1386829943649104</v>
      </c>
      <c r="E184" s="219">
        <v>1.1399999999999999</v>
      </c>
    </row>
    <row r="185" spans="1:5">
      <c r="A185" s="216" t="s">
        <v>3548</v>
      </c>
      <c r="B185" s="310">
        <v>1.07</v>
      </c>
      <c r="C185" s="311">
        <v>1.1012839850477103</v>
      </c>
      <c r="D185" s="311">
        <v>1.1325679700954205</v>
      </c>
      <c r="E185" s="219">
        <v>1.1299999999999999</v>
      </c>
    </row>
    <row r="186" spans="1:5">
      <c r="A186" s="216" t="s">
        <v>3550</v>
      </c>
      <c r="B186" s="310">
        <v>1.08</v>
      </c>
      <c r="C186" s="311">
        <v>1.0793891872069061</v>
      </c>
      <c r="D186" s="311">
        <v>1.0787783744138122</v>
      </c>
      <c r="E186" s="219">
        <v>1.08</v>
      </c>
    </row>
    <row r="187" spans="1:5">
      <c r="A187" s="216" t="s">
        <v>206</v>
      </c>
      <c r="B187" s="310">
        <v>1.07</v>
      </c>
      <c r="C187" s="311">
        <v>1.0642752059876774</v>
      </c>
      <c r="D187" s="311">
        <v>1.0585504119753546</v>
      </c>
      <c r="E187" s="219">
        <v>1.06</v>
      </c>
    </row>
    <row r="188" spans="1:5">
      <c r="A188" s="216" t="s">
        <v>234</v>
      </c>
      <c r="B188" s="310">
        <v>1.07</v>
      </c>
      <c r="C188" s="311">
        <v>1.0798714412572359</v>
      </c>
      <c r="D188" s="311">
        <v>1.0897428825144717</v>
      </c>
      <c r="E188" s="219">
        <v>1.0900000000000001</v>
      </c>
    </row>
    <row r="189" spans="1:5">
      <c r="A189" s="216" t="s">
        <v>208</v>
      </c>
      <c r="B189" s="310">
        <v>1.08</v>
      </c>
      <c r="C189" s="311">
        <v>1.0863931202857144</v>
      </c>
      <c r="D189" s="311">
        <v>1.0927862405714288</v>
      </c>
      <c r="E189" s="219">
        <v>1.0900000000000001</v>
      </c>
    </row>
    <row r="190" spans="1:5">
      <c r="A190" s="216" t="s">
        <v>210</v>
      </c>
      <c r="B190" s="310">
        <v>1.07</v>
      </c>
      <c r="C190" s="311">
        <v>1.0800694775924331</v>
      </c>
      <c r="D190" s="311">
        <v>1.0901389551848661</v>
      </c>
      <c r="E190" s="219">
        <v>1.0900000000000001</v>
      </c>
    </row>
    <row r="191" spans="1:5">
      <c r="A191" s="216" t="s">
        <v>212</v>
      </c>
      <c r="B191" s="310">
        <v>1.08</v>
      </c>
      <c r="C191" s="311">
        <v>1.1419487018664931</v>
      </c>
      <c r="D191" s="311">
        <v>1.2038974037329861</v>
      </c>
      <c r="E191" s="219">
        <v>1.2</v>
      </c>
    </row>
    <row r="192" spans="1:5">
      <c r="A192" s="216" t="s">
        <v>214</v>
      </c>
      <c r="B192" s="310">
        <v>1.0900000000000001</v>
      </c>
      <c r="C192" s="311">
        <v>1.1590779787455365</v>
      </c>
      <c r="D192" s="311">
        <v>1.2281559574910728</v>
      </c>
      <c r="E192" s="219">
        <v>1.23</v>
      </c>
    </row>
    <row r="193" spans="1:5">
      <c r="A193" s="216" t="s">
        <v>2714</v>
      </c>
      <c r="B193" s="310">
        <v>1.04</v>
      </c>
      <c r="C193" s="311">
        <v>1.0463113134343431</v>
      </c>
      <c r="D193" s="311">
        <v>1.0526226268686865</v>
      </c>
      <c r="E193" s="219">
        <v>1.05</v>
      </c>
    </row>
    <row r="194" spans="1:5">
      <c r="A194" s="216" t="s">
        <v>250</v>
      </c>
      <c r="B194" s="310">
        <v>1.04</v>
      </c>
      <c r="C194" s="311">
        <v>1.037839385516786</v>
      </c>
      <c r="D194" s="311">
        <v>1.0356787710335722</v>
      </c>
      <c r="E194" s="219">
        <v>1.04</v>
      </c>
    </row>
    <row r="195" spans="1:5">
      <c r="A195" s="216" t="s">
        <v>2162</v>
      </c>
      <c r="B195" s="310">
        <v>1.05</v>
      </c>
      <c r="C195" s="311">
        <v>1.0360949776998361</v>
      </c>
      <c r="D195" s="311">
        <v>1.0221899553996721</v>
      </c>
      <c r="E195" s="219">
        <v>1.02</v>
      </c>
    </row>
    <row r="196" spans="1:5">
      <c r="A196" s="216" t="s">
        <v>2716</v>
      </c>
      <c r="B196" s="310">
        <v>1.04</v>
      </c>
      <c r="C196" s="311">
        <v>1.0317751947363039</v>
      </c>
      <c r="D196" s="311">
        <v>1.0235503894726077</v>
      </c>
      <c r="E196" s="219">
        <v>1.02</v>
      </c>
    </row>
    <row r="197" spans="1:5">
      <c r="A197" s="216" t="s">
        <v>2718</v>
      </c>
      <c r="B197" s="310">
        <v>1.04</v>
      </c>
      <c r="C197" s="311">
        <v>1.0557998943527371</v>
      </c>
      <c r="D197" s="311">
        <v>1.0715997887054742</v>
      </c>
      <c r="E197" s="219">
        <v>1.07</v>
      </c>
    </row>
    <row r="198" spans="1:5">
      <c r="A198" s="216" t="s">
        <v>2720</v>
      </c>
      <c r="B198" s="310">
        <v>1.06</v>
      </c>
      <c r="C198" s="311">
        <v>1.0610770010182624</v>
      </c>
      <c r="D198" s="311">
        <v>1.0621540020365245</v>
      </c>
      <c r="E198" s="219">
        <v>1.06</v>
      </c>
    </row>
    <row r="199" spans="1:5">
      <c r="A199" s="216" t="s">
        <v>1314</v>
      </c>
      <c r="B199" s="310">
        <v>1.0900000000000001</v>
      </c>
      <c r="C199" s="311">
        <v>1.0945995694344477</v>
      </c>
      <c r="D199" s="311">
        <v>1.0991991388688955</v>
      </c>
      <c r="E199" s="219">
        <v>1.1000000000000001</v>
      </c>
    </row>
    <row r="200" spans="1:5">
      <c r="A200" s="216" t="s">
        <v>2722</v>
      </c>
      <c r="B200" s="310">
        <v>1.07</v>
      </c>
      <c r="C200" s="311">
        <v>1.0777055030504803</v>
      </c>
      <c r="D200" s="311">
        <v>1.0854110061009603</v>
      </c>
      <c r="E200" s="219">
        <v>1.0900000000000001</v>
      </c>
    </row>
    <row r="201" spans="1:5">
      <c r="A201" s="216" t="s">
        <v>442</v>
      </c>
      <c r="B201" s="310">
        <v>1.07</v>
      </c>
      <c r="C201" s="311">
        <v>1.0750643012305536</v>
      </c>
      <c r="D201" s="311">
        <v>1.0801286024611074</v>
      </c>
      <c r="E201" s="219">
        <v>1.08</v>
      </c>
    </row>
    <row r="202" spans="1:5">
      <c r="A202" s="216" t="s">
        <v>2724</v>
      </c>
      <c r="B202" s="310">
        <v>1.07</v>
      </c>
      <c r="C202" s="311">
        <v>1.0810579030808141</v>
      </c>
      <c r="D202" s="311">
        <v>1.0921158061616283</v>
      </c>
      <c r="E202" s="219">
        <v>1.0900000000000001</v>
      </c>
    </row>
    <row r="203" spans="1:5">
      <c r="A203" s="216" t="s">
        <v>5321</v>
      </c>
      <c r="B203" s="310">
        <v>1.06</v>
      </c>
      <c r="C203" s="311">
        <v>1.065041644181439</v>
      </c>
      <c r="D203" s="311">
        <v>1.0700832883628779</v>
      </c>
      <c r="E203" s="219">
        <v>1.07</v>
      </c>
    </row>
    <row r="204" spans="1:5">
      <c r="A204" s="216" t="s">
        <v>5323</v>
      </c>
      <c r="B204" s="310">
        <v>1.06</v>
      </c>
      <c r="C204" s="311">
        <v>1.0708634162178903</v>
      </c>
      <c r="D204" s="311">
        <v>1.0817268324357805</v>
      </c>
      <c r="E204" s="219">
        <v>1.08</v>
      </c>
    </row>
    <row r="205" spans="1:5">
      <c r="A205" s="216" t="s">
        <v>5325</v>
      </c>
      <c r="B205" s="310">
        <v>1.08</v>
      </c>
      <c r="C205" s="311">
        <v>1.069697441587385</v>
      </c>
      <c r="D205" s="311">
        <v>1.0593948831747699</v>
      </c>
      <c r="E205" s="219">
        <v>1.06</v>
      </c>
    </row>
    <row r="206" spans="1:5">
      <c r="A206" s="216" t="s">
        <v>5327</v>
      </c>
      <c r="B206" s="310">
        <v>1.08</v>
      </c>
      <c r="C206" s="311">
        <v>1.0693515811650041</v>
      </c>
      <c r="D206" s="311">
        <v>1.0587031623300081</v>
      </c>
      <c r="E206" s="219">
        <v>1.06</v>
      </c>
    </row>
    <row r="207" spans="1:5">
      <c r="A207" s="216" t="s">
        <v>5329</v>
      </c>
      <c r="B207" s="310">
        <v>1.04</v>
      </c>
      <c r="C207" s="311">
        <v>1.039755243626048</v>
      </c>
      <c r="D207" s="311">
        <v>1.0395104872520959</v>
      </c>
      <c r="E207" s="219">
        <v>1.04</v>
      </c>
    </row>
    <row r="208" spans="1:5">
      <c r="A208" s="216" t="s">
        <v>5331</v>
      </c>
      <c r="B208" s="310">
        <v>1.05</v>
      </c>
      <c r="C208" s="311">
        <v>1.069191841024939</v>
      </c>
      <c r="D208" s="311">
        <v>1.088383682049878</v>
      </c>
      <c r="E208" s="219">
        <v>1.0900000000000001</v>
      </c>
    </row>
    <row r="209" spans="1:5">
      <c r="A209" s="216" t="s">
        <v>585</v>
      </c>
      <c r="B209" s="310">
        <v>1.05</v>
      </c>
      <c r="C209" s="311">
        <v>1.0430914369669391</v>
      </c>
      <c r="D209" s="311">
        <v>1.0361828739338781</v>
      </c>
      <c r="E209" s="219">
        <v>1.04</v>
      </c>
    </row>
    <row r="210" spans="1:5">
      <c r="A210" s="216" t="s">
        <v>5333</v>
      </c>
      <c r="B210" s="310">
        <v>1.04</v>
      </c>
      <c r="C210" s="311">
        <v>1.0384283373733552</v>
      </c>
      <c r="D210" s="311">
        <v>1.0368566747467105</v>
      </c>
      <c r="E210" s="219">
        <v>1.04</v>
      </c>
    </row>
    <row r="211" spans="1:5">
      <c r="A211" s="216" t="s">
        <v>239</v>
      </c>
      <c r="B211" s="310">
        <v>1.0900000000000001</v>
      </c>
      <c r="C211" s="311">
        <v>1.1057463107869463</v>
      </c>
      <c r="D211" s="311">
        <v>1.1214926215738923</v>
      </c>
      <c r="E211" s="219">
        <v>1.1200000000000001</v>
      </c>
    </row>
    <row r="212" spans="1:5">
      <c r="A212" s="216" t="s">
        <v>5335</v>
      </c>
      <c r="B212" s="310">
        <v>1.07</v>
      </c>
      <c r="C212" s="311">
        <v>1.0660778723049251</v>
      </c>
      <c r="D212" s="311">
        <v>1.06215574460985</v>
      </c>
      <c r="E212" s="219">
        <v>1.06</v>
      </c>
    </row>
    <row r="213" spans="1:5">
      <c r="A213" s="216" t="s">
        <v>2450</v>
      </c>
      <c r="B213" s="310">
        <v>1.1100000000000001</v>
      </c>
      <c r="C213" s="311">
        <v>1.0916599362249959</v>
      </c>
      <c r="D213" s="311">
        <v>1.0733198724499917</v>
      </c>
      <c r="E213" s="219">
        <v>1.07</v>
      </c>
    </row>
    <row r="214" spans="1:5">
      <c r="A214" s="216" t="s">
        <v>2452</v>
      </c>
      <c r="B214" s="310">
        <v>1.1100000000000001</v>
      </c>
      <c r="C214" s="311">
        <v>1.1034627843719167</v>
      </c>
      <c r="D214" s="311">
        <v>1.0969255687438335</v>
      </c>
      <c r="E214" s="219">
        <v>1.1000000000000001</v>
      </c>
    </row>
    <row r="215" spans="1:5">
      <c r="A215" s="216" t="s">
        <v>2454</v>
      </c>
      <c r="B215" s="310">
        <v>1.07</v>
      </c>
      <c r="C215" s="311">
        <v>1.0429653906068821</v>
      </c>
      <c r="D215" s="311">
        <v>1.0159307812137641</v>
      </c>
      <c r="E215" s="219">
        <v>1.02</v>
      </c>
    </row>
    <row r="216" spans="1:5">
      <c r="A216" s="216" t="s">
        <v>2456</v>
      </c>
      <c r="B216" s="310">
        <v>1.07</v>
      </c>
      <c r="C216" s="311">
        <v>1.0425816891005204</v>
      </c>
      <c r="D216" s="311">
        <v>1.0151633782010407</v>
      </c>
      <c r="E216" s="219">
        <v>1.02</v>
      </c>
    </row>
    <row r="217" spans="1:5">
      <c r="A217" s="216" t="s">
        <v>2458</v>
      </c>
      <c r="B217" s="310">
        <v>1.07</v>
      </c>
      <c r="C217" s="311">
        <v>1.0469172430837257</v>
      </c>
      <c r="D217" s="311">
        <v>1.0238344861674513</v>
      </c>
      <c r="E217" s="219">
        <v>1.02</v>
      </c>
    </row>
    <row r="218" spans="1:5">
      <c r="A218" s="216" t="s">
        <v>2460</v>
      </c>
      <c r="B218" s="310">
        <v>1.0900000000000001</v>
      </c>
      <c r="C218" s="311">
        <v>1.0758955502078797</v>
      </c>
      <c r="D218" s="311">
        <v>1.0617911004157596</v>
      </c>
      <c r="E218" s="219">
        <v>1.06</v>
      </c>
    </row>
    <row r="219" spans="1:5">
      <c r="A219" s="216" t="s">
        <v>2462</v>
      </c>
      <c r="B219" s="310">
        <v>1.0900000000000001</v>
      </c>
      <c r="C219" s="311">
        <v>1.0812519400767107</v>
      </c>
      <c r="D219" s="311">
        <v>1.072503880153421</v>
      </c>
      <c r="E219" s="219">
        <v>1.07</v>
      </c>
    </row>
    <row r="220" spans="1:5">
      <c r="A220" s="216" t="s">
        <v>2464</v>
      </c>
      <c r="B220" s="310">
        <v>1.08</v>
      </c>
      <c r="C220" s="311">
        <v>1.0707359846178508</v>
      </c>
      <c r="D220" s="311">
        <v>1.0614719692357015</v>
      </c>
      <c r="E220" s="219">
        <v>1.06</v>
      </c>
    </row>
    <row r="221" spans="1:5">
      <c r="A221" s="216" t="s">
        <v>2104</v>
      </c>
      <c r="B221" s="310">
        <v>1.1399999999999999</v>
      </c>
      <c r="C221" s="311">
        <v>1.2021740566867543</v>
      </c>
      <c r="D221" s="311">
        <v>1.2643481133735088</v>
      </c>
      <c r="E221" s="219">
        <v>1.26</v>
      </c>
    </row>
    <row r="222" spans="1:5">
      <c r="A222" s="216" t="s">
        <v>2106</v>
      </c>
      <c r="B222" s="310">
        <v>1.1200000000000001</v>
      </c>
      <c r="C222" s="311">
        <v>1.1660001060604066</v>
      </c>
      <c r="D222" s="311">
        <v>1.2120002121208131</v>
      </c>
      <c r="E222" s="219">
        <v>1.21</v>
      </c>
    </row>
    <row r="223" spans="1:5">
      <c r="A223" s="216" t="s">
        <v>2108</v>
      </c>
      <c r="B223" s="310">
        <v>1.1599999999999999</v>
      </c>
      <c r="C223" s="311">
        <v>1.2167109987797373</v>
      </c>
      <c r="D223" s="311">
        <v>1.2734219975594747</v>
      </c>
      <c r="E223" s="219">
        <v>1.27</v>
      </c>
    </row>
    <row r="224" spans="1:5">
      <c r="A224" s="216" t="s">
        <v>2110</v>
      </c>
      <c r="B224" s="310">
        <v>1.1299999999999999</v>
      </c>
      <c r="C224" s="311">
        <v>1.1733597959721103</v>
      </c>
      <c r="D224" s="311">
        <v>1.2167195919442206</v>
      </c>
      <c r="E224" s="219">
        <v>1.22</v>
      </c>
    </row>
    <row r="225" spans="1:5">
      <c r="A225" s="216" t="s">
        <v>2112</v>
      </c>
      <c r="B225" s="310">
        <v>1.1399999999999999</v>
      </c>
      <c r="C225" s="311">
        <v>1.1869412080644395</v>
      </c>
      <c r="D225" s="311">
        <v>1.2338824161288791</v>
      </c>
      <c r="E225" s="219">
        <v>1.23</v>
      </c>
    </row>
    <row r="226" spans="1:5">
      <c r="A226" s="216" t="s">
        <v>1317</v>
      </c>
      <c r="B226" s="310">
        <v>1.1399999999999999</v>
      </c>
      <c r="C226" s="311">
        <v>1.2035592643942667</v>
      </c>
      <c r="D226" s="311">
        <v>1.2671185287885338</v>
      </c>
      <c r="E226" s="219">
        <v>1.27</v>
      </c>
    </row>
    <row r="227" spans="1:5">
      <c r="A227" s="216" t="s">
        <v>587</v>
      </c>
      <c r="B227" s="310">
        <v>1.1399999999999999</v>
      </c>
      <c r="C227" s="311">
        <v>1.1988366609126757</v>
      </c>
      <c r="D227" s="311">
        <v>1.2576733218253513</v>
      </c>
      <c r="E227" s="219">
        <v>1.26</v>
      </c>
    </row>
    <row r="228" spans="1:5">
      <c r="A228" s="216" t="s">
        <v>4569</v>
      </c>
      <c r="B228" s="310">
        <v>1.1200000000000001</v>
      </c>
      <c r="C228" s="311">
        <v>1.1710417825102299</v>
      </c>
      <c r="D228" s="311">
        <v>1.2220835650204598</v>
      </c>
      <c r="E228" s="219">
        <v>1.22</v>
      </c>
    </row>
    <row r="229" spans="1:5">
      <c r="A229" s="216" t="s">
        <v>6021</v>
      </c>
      <c r="B229" s="310">
        <v>1.1399999999999999</v>
      </c>
      <c r="C229" s="311">
        <v>1.2067967960587775</v>
      </c>
      <c r="D229" s="311">
        <v>1.2735935921175552</v>
      </c>
      <c r="E229" s="219">
        <v>1.27</v>
      </c>
    </row>
    <row r="230" spans="1:5">
      <c r="A230" s="216" t="s">
        <v>4571</v>
      </c>
      <c r="B230" s="310">
        <v>1.1200000000000001</v>
      </c>
      <c r="C230" s="311">
        <v>1.1597128149074725</v>
      </c>
      <c r="D230" s="311">
        <v>1.199425629814945</v>
      </c>
      <c r="E230" s="219">
        <v>1.2</v>
      </c>
    </row>
    <row r="231" spans="1:5">
      <c r="A231" s="216" t="s">
        <v>6171</v>
      </c>
      <c r="B231" s="310">
        <v>1.1399999999999999</v>
      </c>
      <c r="C231" s="311">
        <v>1.2074705723680639</v>
      </c>
      <c r="D231" s="311">
        <v>1.2749411447361276</v>
      </c>
      <c r="E231" s="219">
        <v>1.27</v>
      </c>
    </row>
    <row r="232" spans="1:5">
      <c r="A232" s="216" t="s">
        <v>4573</v>
      </c>
      <c r="B232" s="310">
        <v>1.1399999999999999</v>
      </c>
      <c r="C232" s="311">
        <v>1.2047508933917517</v>
      </c>
      <c r="D232" s="311">
        <v>1.2695017867835034</v>
      </c>
      <c r="E232" s="219">
        <v>1.27</v>
      </c>
    </row>
    <row r="233" spans="1:5">
      <c r="A233" s="216" t="s">
        <v>4575</v>
      </c>
      <c r="B233" s="310">
        <v>1.08</v>
      </c>
      <c r="C233" s="311">
        <v>1.109919078909724</v>
      </c>
      <c r="D233" s="311">
        <v>1.1398381578194479</v>
      </c>
      <c r="E233" s="219">
        <v>1.1399999999999999</v>
      </c>
    </row>
    <row r="234" spans="1:5">
      <c r="A234" s="216" t="s">
        <v>4577</v>
      </c>
      <c r="B234" s="310">
        <v>1.1200000000000001</v>
      </c>
      <c r="C234" s="311">
        <v>1.1553412855477756</v>
      </c>
      <c r="D234" s="311">
        <v>1.1906825710955511</v>
      </c>
      <c r="E234" s="219">
        <v>1.19</v>
      </c>
    </row>
    <row r="235" spans="1:5">
      <c r="A235" s="216" t="s">
        <v>4579</v>
      </c>
      <c r="B235" s="310">
        <v>1.1100000000000001</v>
      </c>
      <c r="C235" s="311">
        <v>1.1656787687995407</v>
      </c>
      <c r="D235" s="311">
        <v>1.2213575375990813</v>
      </c>
      <c r="E235" s="219">
        <v>1.22</v>
      </c>
    </row>
    <row r="236" spans="1:5">
      <c r="A236" s="216" t="s">
        <v>4581</v>
      </c>
      <c r="B236" s="310">
        <v>1.1100000000000001</v>
      </c>
      <c r="C236" s="311">
        <v>1.0800818154356508</v>
      </c>
      <c r="D236" s="311">
        <v>1.0501636308713016</v>
      </c>
      <c r="E236" s="219">
        <v>1.05</v>
      </c>
    </row>
    <row r="237" spans="1:5">
      <c r="A237" s="216" t="s">
        <v>4582</v>
      </c>
      <c r="B237" s="310">
        <v>1.08</v>
      </c>
      <c r="C237" s="311">
        <v>1.0590176619229135</v>
      </c>
      <c r="D237" s="311">
        <v>1.0380353238458269</v>
      </c>
      <c r="E237" s="219">
        <v>1.04</v>
      </c>
    </row>
    <row r="238" spans="1:5">
      <c r="A238" s="216" t="s">
        <v>4584</v>
      </c>
      <c r="B238" s="310">
        <v>1.1299999999999999</v>
      </c>
      <c r="C238" s="311">
        <v>1.0941985554796041</v>
      </c>
      <c r="D238" s="311">
        <v>1.0583971109592083</v>
      </c>
      <c r="E238" s="219">
        <v>1.06</v>
      </c>
    </row>
    <row r="239" spans="1:5">
      <c r="A239" s="216" t="s">
        <v>4586</v>
      </c>
      <c r="B239" s="310">
        <v>1.08</v>
      </c>
      <c r="C239" s="311">
        <v>1.0578248860563058</v>
      </c>
      <c r="D239" s="311">
        <v>1.0356497721126112</v>
      </c>
      <c r="E239" s="219">
        <v>1.04</v>
      </c>
    </row>
    <row r="240" spans="1:5">
      <c r="A240" s="216" t="s">
        <v>1865</v>
      </c>
      <c r="B240" s="310">
        <v>1.0900000000000001</v>
      </c>
      <c r="C240" s="311">
        <v>1.0774326537801682</v>
      </c>
      <c r="D240" s="311">
        <v>1.0648653075603363</v>
      </c>
      <c r="E240" s="219">
        <v>1.06</v>
      </c>
    </row>
    <row r="241" spans="1:5">
      <c r="A241" s="216" t="s">
        <v>5018</v>
      </c>
      <c r="B241" s="310">
        <v>1.05</v>
      </c>
      <c r="C241" s="311">
        <v>1.042131121424174</v>
      </c>
      <c r="D241" s="311">
        <v>1.0342622428483479</v>
      </c>
      <c r="E241" s="219">
        <v>1.03</v>
      </c>
    </row>
    <row r="242" spans="1:5">
      <c r="A242" s="216" t="s">
        <v>5020</v>
      </c>
      <c r="B242" s="310">
        <v>1.03</v>
      </c>
      <c r="C242" s="311">
        <v>1.053008347486339</v>
      </c>
      <c r="D242" s="311">
        <v>1.0760166949726777</v>
      </c>
      <c r="E242" s="219">
        <v>1.08</v>
      </c>
    </row>
    <row r="243" spans="1:5">
      <c r="A243" s="216" t="s">
        <v>589</v>
      </c>
      <c r="B243" s="310">
        <v>1.06</v>
      </c>
      <c r="C243" s="311">
        <v>1.0628170503461289</v>
      </c>
      <c r="D243" s="311">
        <v>1.0656341006922581</v>
      </c>
      <c r="E243" s="219">
        <v>1.07</v>
      </c>
    </row>
    <row r="244" spans="1:5">
      <c r="A244" s="216" t="s">
        <v>5022</v>
      </c>
      <c r="B244" s="310">
        <v>1.1399999999999999</v>
      </c>
      <c r="C244" s="311">
        <v>1.1736725293942158</v>
      </c>
      <c r="D244" s="311">
        <v>1.2073450587884318</v>
      </c>
      <c r="E244" s="219">
        <v>1.21</v>
      </c>
    </row>
    <row r="245" spans="1:5">
      <c r="A245" s="216" t="s">
        <v>2989</v>
      </c>
      <c r="B245" s="310">
        <v>1.1399999999999999</v>
      </c>
      <c r="C245" s="311">
        <v>1.1962597728567843</v>
      </c>
      <c r="D245" s="311">
        <v>1.2525195457135689</v>
      </c>
      <c r="E245" s="219">
        <v>1.25</v>
      </c>
    </row>
    <row r="246" spans="1:5">
      <c r="A246" s="216" t="s">
        <v>5126</v>
      </c>
      <c r="B246" s="310">
        <v>1.08</v>
      </c>
      <c r="C246" s="311">
        <v>1.1159499792379715</v>
      </c>
      <c r="D246" s="311">
        <v>1.1518999584759428</v>
      </c>
      <c r="E246" s="219">
        <v>1.1499999999999999</v>
      </c>
    </row>
    <row r="247" spans="1:5">
      <c r="A247" s="216" t="s">
        <v>3090</v>
      </c>
      <c r="B247" s="310">
        <v>1.08</v>
      </c>
      <c r="C247" s="311">
        <v>1.1011857068498538</v>
      </c>
      <c r="D247" s="311">
        <v>1.1223714136997078</v>
      </c>
      <c r="E247" s="219">
        <v>1.1200000000000001</v>
      </c>
    </row>
    <row r="248" spans="1:5">
      <c r="A248" s="216" t="s">
        <v>5128</v>
      </c>
      <c r="B248" s="310">
        <v>1.07</v>
      </c>
      <c r="C248" s="311">
        <v>1.0970864055660094</v>
      </c>
      <c r="D248" s="311">
        <v>1.1241728111320188</v>
      </c>
      <c r="E248" s="219">
        <v>1.1200000000000001</v>
      </c>
    </row>
    <row r="249" spans="1:5">
      <c r="A249" s="216" t="s">
        <v>270</v>
      </c>
      <c r="B249" s="310">
        <v>1.08</v>
      </c>
      <c r="C249" s="311">
        <v>1.1048601483536005</v>
      </c>
      <c r="D249" s="311">
        <v>1.1297202967072009</v>
      </c>
      <c r="E249" s="219">
        <v>1.1299999999999999</v>
      </c>
    </row>
    <row r="250" spans="1:5">
      <c r="A250" s="216" t="s">
        <v>2391</v>
      </c>
      <c r="B250" s="310">
        <v>1.0900000000000001</v>
      </c>
      <c r="C250" s="311">
        <v>1.1147223972431721</v>
      </c>
      <c r="D250" s="311">
        <v>1.1394447944863442</v>
      </c>
      <c r="E250" s="219">
        <v>1.1399999999999999</v>
      </c>
    </row>
    <row r="251" spans="1:5">
      <c r="A251" s="216" t="s">
        <v>2746</v>
      </c>
      <c r="B251" s="310">
        <v>1.08</v>
      </c>
      <c r="C251" s="311">
        <v>1.1060696250186257</v>
      </c>
      <c r="D251" s="311">
        <v>1.1321392500372514</v>
      </c>
      <c r="E251" s="219">
        <v>1.1299999999999999</v>
      </c>
    </row>
    <row r="252" spans="1:5">
      <c r="A252" s="216" t="s">
        <v>6186</v>
      </c>
      <c r="B252" s="310">
        <v>1.1100000000000001</v>
      </c>
      <c r="C252" s="311">
        <v>1.1551538673297259</v>
      </c>
      <c r="D252" s="311">
        <v>1.2003077346594517</v>
      </c>
      <c r="E252" s="219">
        <v>1.2</v>
      </c>
    </row>
    <row r="253" spans="1:5">
      <c r="A253" s="216" t="s">
        <v>6041</v>
      </c>
      <c r="B253" s="310">
        <v>1.0900000000000001</v>
      </c>
      <c r="C253" s="311">
        <v>1.1264898174057985</v>
      </c>
      <c r="D253" s="311">
        <v>1.1629796348115971</v>
      </c>
      <c r="E253" s="219">
        <v>1.1599999999999999</v>
      </c>
    </row>
    <row r="254" spans="1:5">
      <c r="A254" s="216" t="s">
        <v>591</v>
      </c>
      <c r="B254" s="310">
        <v>1.08</v>
      </c>
      <c r="C254" s="311">
        <v>1.1182328594157624</v>
      </c>
      <c r="D254" s="311">
        <v>1.156465718831525</v>
      </c>
      <c r="E254" s="219">
        <v>1.1599999999999999</v>
      </c>
    </row>
    <row r="255" spans="1:5">
      <c r="A255" s="216" t="s">
        <v>443</v>
      </c>
      <c r="B255" s="310">
        <v>1.08</v>
      </c>
      <c r="C255" s="311">
        <v>1.082890999962276</v>
      </c>
      <c r="D255" s="311">
        <v>1.0857819999245519</v>
      </c>
      <c r="E255" s="219">
        <v>1.0900000000000001</v>
      </c>
    </row>
    <row r="256" spans="1:5">
      <c r="A256" s="216" t="s">
        <v>2748</v>
      </c>
      <c r="B256" s="310">
        <v>1.0900000000000001</v>
      </c>
      <c r="C256" s="311">
        <v>1.0715541218600984</v>
      </c>
      <c r="D256" s="311">
        <v>1.0531082437201968</v>
      </c>
      <c r="E256" s="219">
        <v>1.05</v>
      </c>
    </row>
    <row r="257" spans="1:5">
      <c r="A257" s="216" t="s">
        <v>862</v>
      </c>
      <c r="B257" s="310">
        <v>1.07</v>
      </c>
      <c r="C257" s="311">
        <v>1.0795450580140926</v>
      </c>
      <c r="D257" s="311">
        <v>1.0890901160281854</v>
      </c>
      <c r="E257" s="219">
        <v>1.0900000000000001</v>
      </c>
    </row>
    <row r="258" spans="1:5">
      <c r="A258" s="216" t="s">
        <v>2750</v>
      </c>
      <c r="B258" s="310">
        <v>1.06</v>
      </c>
      <c r="C258" s="311">
        <v>1.0684890610498035</v>
      </c>
      <c r="D258" s="311">
        <v>1.0769781220996069</v>
      </c>
      <c r="E258" s="219">
        <v>1.08</v>
      </c>
    </row>
    <row r="259" spans="1:5">
      <c r="A259" s="216" t="s">
        <v>3899</v>
      </c>
      <c r="B259" s="310">
        <v>1.0900000000000001</v>
      </c>
      <c r="C259" s="311">
        <v>1.0699092104747725</v>
      </c>
      <c r="D259" s="311">
        <v>1.0498184209495449</v>
      </c>
      <c r="E259" s="219">
        <v>1.05</v>
      </c>
    </row>
    <row r="260" spans="1:5">
      <c r="A260" s="216" t="s">
        <v>3604</v>
      </c>
      <c r="B260" s="310">
        <v>1.07</v>
      </c>
      <c r="C260" s="311">
        <v>1.0613986655514234</v>
      </c>
      <c r="D260" s="311">
        <v>1.0527973311028469</v>
      </c>
      <c r="E260" s="219">
        <v>1.05</v>
      </c>
    </row>
    <row r="261" spans="1:5">
      <c r="A261" s="216" t="s">
        <v>3166</v>
      </c>
      <c r="B261" s="310">
        <v>1.06</v>
      </c>
      <c r="C261" s="311">
        <v>1.0481817236559254</v>
      </c>
      <c r="D261" s="311">
        <v>1.036363447311851</v>
      </c>
      <c r="E261" s="219">
        <v>1.04</v>
      </c>
    </row>
    <row r="262" spans="1:5">
      <c r="A262" s="216" t="s">
        <v>3168</v>
      </c>
      <c r="B262" s="310">
        <v>1.0900000000000001</v>
      </c>
      <c r="C262" s="311">
        <v>1.0619096840675075</v>
      </c>
      <c r="D262" s="311">
        <v>1.033819368135015</v>
      </c>
      <c r="E262" s="219">
        <v>1.03</v>
      </c>
    </row>
    <row r="263" spans="1:5">
      <c r="A263" s="216" t="s">
        <v>3091</v>
      </c>
      <c r="B263" s="310">
        <v>1.1200000000000001</v>
      </c>
      <c r="C263" s="311">
        <v>1.1137300960092396</v>
      </c>
      <c r="D263" s="311">
        <v>1.1074601920184788</v>
      </c>
      <c r="E263" s="219">
        <v>1.1100000000000001</v>
      </c>
    </row>
    <row r="264" spans="1:5">
      <c r="A264" s="216" t="s">
        <v>3171</v>
      </c>
      <c r="B264" s="310">
        <v>1.07</v>
      </c>
      <c r="C264" s="311">
        <v>1.0638423741137504</v>
      </c>
      <c r="D264" s="311">
        <v>1.0576847482275007</v>
      </c>
      <c r="E264" s="219">
        <v>1.06</v>
      </c>
    </row>
    <row r="265" spans="1:5">
      <c r="A265" s="216" t="s">
        <v>593</v>
      </c>
      <c r="B265" s="310">
        <v>1.07</v>
      </c>
      <c r="C265" s="311">
        <v>1.0596839082698288</v>
      </c>
      <c r="D265" s="311">
        <v>1.0493678165396576</v>
      </c>
      <c r="E265" s="219">
        <v>1.05</v>
      </c>
    </row>
    <row r="266" spans="1:5">
      <c r="A266" s="216" t="s">
        <v>3173</v>
      </c>
      <c r="B266" s="310">
        <v>1.1200000000000001</v>
      </c>
      <c r="C266" s="311">
        <v>1.0897887239042849</v>
      </c>
      <c r="D266" s="311">
        <v>1.0595774478085696</v>
      </c>
      <c r="E266" s="219">
        <v>1.06</v>
      </c>
    </row>
    <row r="267" spans="1:5">
      <c r="A267" s="216" t="s">
        <v>3175</v>
      </c>
      <c r="B267" s="310">
        <v>1.1100000000000001</v>
      </c>
      <c r="C267" s="311">
        <v>1.0984576173491019</v>
      </c>
      <c r="D267" s="311">
        <v>1.0869152346982038</v>
      </c>
      <c r="E267" s="219">
        <v>1.0900000000000001</v>
      </c>
    </row>
    <row r="268" spans="1:5">
      <c r="A268" s="216" t="s">
        <v>3092</v>
      </c>
      <c r="B268" s="310">
        <v>1.1200000000000001</v>
      </c>
      <c r="C268" s="311">
        <v>1.1091339407041811</v>
      </c>
      <c r="D268" s="311">
        <v>1.0982678814083624</v>
      </c>
      <c r="E268" s="219">
        <v>1.1000000000000001</v>
      </c>
    </row>
    <row r="269" spans="1:5">
      <c r="A269" s="216" t="s">
        <v>673</v>
      </c>
      <c r="B269" s="310">
        <v>1.08</v>
      </c>
      <c r="C269" s="311">
        <v>1.0934473791969226</v>
      </c>
      <c r="D269" s="311">
        <v>1.1068947583938453</v>
      </c>
      <c r="E269" s="219">
        <v>1.1100000000000001</v>
      </c>
    </row>
    <row r="270" spans="1:5">
      <c r="A270" s="216" t="s">
        <v>322</v>
      </c>
      <c r="B270" s="310">
        <v>1.04</v>
      </c>
      <c r="C270" s="311">
        <v>1.046097788473592</v>
      </c>
      <c r="D270" s="311">
        <v>1.052195576947184</v>
      </c>
      <c r="E270" s="219">
        <v>1.05</v>
      </c>
    </row>
    <row r="271" spans="1:5">
      <c r="A271" s="216" t="s">
        <v>675</v>
      </c>
      <c r="B271" s="310">
        <v>1.05</v>
      </c>
      <c r="C271" s="311">
        <v>1.0511378758694194</v>
      </c>
      <c r="D271" s="311">
        <v>1.0522757517388388</v>
      </c>
      <c r="E271" s="219">
        <v>1.05</v>
      </c>
    </row>
    <row r="272" spans="1:5">
      <c r="A272" s="216" t="s">
        <v>677</v>
      </c>
      <c r="B272" s="310">
        <v>1.04</v>
      </c>
      <c r="C272" s="311">
        <v>1.0356846705471916</v>
      </c>
      <c r="D272" s="311">
        <v>1.0313693410943832</v>
      </c>
      <c r="E272" s="219">
        <v>1.03</v>
      </c>
    </row>
    <row r="273" spans="1:5">
      <c r="A273" s="216" t="s">
        <v>679</v>
      </c>
      <c r="B273" s="310">
        <v>1.05</v>
      </c>
      <c r="C273" s="311">
        <v>1.0401588992115043</v>
      </c>
      <c r="D273" s="311">
        <v>1.0303177984230083</v>
      </c>
      <c r="E273" s="219">
        <v>1.03</v>
      </c>
    </row>
    <row r="274" spans="1:5">
      <c r="A274" s="216" t="s">
        <v>2960</v>
      </c>
      <c r="B274" s="310">
        <v>1.05</v>
      </c>
      <c r="C274" s="311">
        <v>1.042546072981263</v>
      </c>
      <c r="D274" s="311">
        <v>1.0350921459625262</v>
      </c>
      <c r="E274" s="219">
        <v>1.04</v>
      </c>
    </row>
    <row r="275" spans="1:5">
      <c r="A275" s="216" t="s">
        <v>1994</v>
      </c>
      <c r="B275" s="310">
        <v>1.1399999999999999</v>
      </c>
      <c r="C275" s="311">
        <v>1.1555800778338803</v>
      </c>
      <c r="D275" s="311">
        <v>1.1711601556677607</v>
      </c>
      <c r="E275" s="219">
        <v>1.17</v>
      </c>
    </row>
    <row r="276" spans="1:5">
      <c r="A276" s="216" t="s">
        <v>2735</v>
      </c>
      <c r="B276" s="310">
        <v>1.0900000000000001</v>
      </c>
      <c r="C276" s="311">
        <v>1.0765391163260354</v>
      </c>
      <c r="D276" s="311">
        <v>1.0630782326520705</v>
      </c>
      <c r="E276" s="219">
        <v>1.06</v>
      </c>
    </row>
    <row r="277" spans="1:5">
      <c r="A277" s="216" t="s">
        <v>2737</v>
      </c>
      <c r="B277" s="310">
        <v>1.08</v>
      </c>
      <c r="C277" s="311">
        <v>1.065452921782406</v>
      </c>
      <c r="D277" s="311">
        <v>1.0509058435648122</v>
      </c>
      <c r="E277" s="219">
        <v>1.05</v>
      </c>
    </row>
    <row r="278" spans="1:5">
      <c r="A278" s="216" t="s">
        <v>1976</v>
      </c>
      <c r="B278" s="310">
        <v>1.0900000000000001</v>
      </c>
      <c r="C278" s="311">
        <v>1.0867261272507336</v>
      </c>
      <c r="D278" s="311">
        <v>1.0834522545014671</v>
      </c>
      <c r="E278" s="219">
        <v>1.08</v>
      </c>
    </row>
    <row r="279" spans="1:5">
      <c r="A279" s="216" t="s">
        <v>3648</v>
      </c>
      <c r="B279" s="310">
        <v>1.1100000000000001</v>
      </c>
      <c r="C279" s="311">
        <v>1.1413098966176709</v>
      </c>
      <c r="D279" s="311">
        <v>1.1726197932353419</v>
      </c>
      <c r="E279" s="219">
        <v>1.17</v>
      </c>
    </row>
    <row r="280" spans="1:5">
      <c r="A280" s="216" t="s">
        <v>3650</v>
      </c>
      <c r="B280" s="310">
        <v>1.0900000000000001</v>
      </c>
      <c r="C280" s="311">
        <v>1.1280588505597267</v>
      </c>
      <c r="D280" s="311">
        <v>1.1661177011194532</v>
      </c>
      <c r="E280" s="219">
        <v>1.17</v>
      </c>
    </row>
    <row r="281" spans="1:5">
      <c r="A281" s="216" t="s">
        <v>3093</v>
      </c>
      <c r="B281" s="310">
        <v>1.0900000000000001</v>
      </c>
      <c r="C281" s="311">
        <v>1.0951653563149792</v>
      </c>
      <c r="D281" s="311">
        <v>1.1003307126299584</v>
      </c>
      <c r="E281" s="219">
        <v>1.1000000000000001</v>
      </c>
    </row>
    <row r="282" spans="1:5">
      <c r="A282" s="216" t="s">
        <v>7734</v>
      </c>
      <c r="B282" s="310">
        <v>1.1100000000000001</v>
      </c>
      <c r="C282" s="311">
        <v>1.1478099506108443</v>
      </c>
      <c r="D282" s="311">
        <v>1.1856199012216884</v>
      </c>
      <c r="E282" s="219">
        <v>1.19</v>
      </c>
    </row>
    <row r="283" spans="1:5">
      <c r="A283" s="216" t="s">
        <v>915</v>
      </c>
      <c r="B283" s="310">
        <v>1.1000000000000001</v>
      </c>
      <c r="C283" s="311">
        <v>1.0878902079833339</v>
      </c>
      <c r="D283" s="311">
        <v>1.0757804159666677</v>
      </c>
      <c r="E283" s="219">
        <v>1.08</v>
      </c>
    </row>
    <row r="284" spans="1:5">
      <c r="A284" s="216" t="s">
        <v>1978</v>
      </c>
      <c r="B284" s="310">
        <v>1.08</v>
      </c>
      <c r="C284" s="311">
        <v>1.1093934332283313</v>
      </c>
      <c r="D284" s="311">
        <v>1.1387868664566627</v>
      </c>
      <c r="E284" s="219">
        <v>1.1399999999999999</v>
      </c>
    </row>
    <row r="285" spans="1:5">
      <c r="A285" s="216" t="s">
        <v>2767</v>
      </c>
      <c r="B285" s="310">
        <v>1.1100000000000001</v>
      </c>
      <c r="C285" s="311">
        <v>1.1525009227568377</v>
      </c>
      <c r="D285" s="311">
        <v>1.1950018455136753</v>
      </c>
      <c r="E285" s="219">
        <v>1.2</v>
      </c>
    </row>
    <row r="286" spans="1:5">
      <c r="A286" s="216" t="s">
        <v>3555</v>
      </c>
      <c r="B286" s="310">
        <v>1.1100000000000001</v>
      </c>
      <c r="C286" s="311">
        <v>1.1510595696104486</v>
      </c>
      <c r="D286" s="311">
        <v>1.1921191392208974</v>
      </c>
      <c r="E286" s="219">
        <v>1.19</v>
      </c>
    </row>
    <row r="287" spans="1:5">
      <c r="A287" s="216" t="s">
        <v>3094</v>
      </c>
      <c r="B287" s="310">
        <v>1.08</v>
      </c>
      <c r="C287" s="311">
        <v>1.099927588394408</v>
      </c>
      <c r="D287" s="311">
        <v>1.1198551767888156</v>
      </c>
      <c r="E287" s="219">
        <v>1.1200000000000001</v>
      </c>
    </row>
    <row r="288" spans="1:5">
      <c r="A288" s="216" t="s">
        <v>741</v>
      </c>
      <c r="B288" s="310">
        <v>1.1200000000000001</v>
      </c>
      <c r="C288" s="311">
        <v>1.158542031406117</v>
      </c>
      <c r="D288" s="311">
        <v>1.1970840628122341</v>
      </c>
      <c r="E288" s="219">
        <v>1.2</v>
      </c>
    </row>
    <row r="289" spans="1:5">
      <c r="A289" s="216" t="s">
        <v>4035</v>
      </c>
      <c r="B289" s="310">
        <v>1.1399999999999999</v>
      </c>
      <c r="C289" s="311">
        <v>1.1853499250434689</v>
      </c>
      <c r="D289" s="311">
        <v>1.2306998500869379</v>
      </c>
      <c r="E289" s="219">
        <v>1.23</v>
      </c>
    </row>
    <row r="290" spans="1:5">
      <c r="A290" s="216" t="s">
        <v>1524</v>
      </c>
      <c r="B290" s="310">
        <v>1.1299999999999999</v>
      </c>
      <c r="C290" s="311">
        <v>1.1449056255521723</v>
      </c>
      <c r="D290" s="311">
        <v>1.1598112511043448</v>
      </c>
      <c r="E290" s="219">
        <v>1.1599999999999999</v>
      </c>
    </row>
    <row r="291" spans="1:5">
      <c r="A291" s="216" t="s">
        <v>2388</v>
      </c>
      <c r="B291" s="310">
        <v>1.1399999999999999</v>
      </c>
      <c r="C291" s="311">
        <v>1.1544286151346936</v>
      </c>
      <c r="D291" s="311">
        <v>1.1688572302693876</v>
      </c>
      <c r="E291" s="219">
        <v>1.17</v>
      </c>
    </row>
    <row r="292" spans="1:5">
      <c r="A292" s="216" t="s">
        <v>863</v>
      </c>
      <c r="B292" s="310">
        <v>1.1399999999999999</v>
      </c>
      <c r="C292" s="311">
        <v>1.1911433836241452</v>
      </c>
      <c r="D292" s="311">
        <v>1.2422867672482905</v>
      </c>
      <c r="E292" s="219">
        <v>1.24</v>
      </c>
    </row>
    <row r="293" spans="1:5">
      <c r="A293" s="216" t="s">
        <v>268</v>
      </c>
      <c r="B293" s="310">
        <v>1.1000000000000001</v>
      </c>
      <c r="C293" s="311">
        <v>1.1100014983971835</v>
      </c>
      <c r="D293" s="311">
        <v>1.120002996794367</v>
      </c>
      <c r="E293" s="219">
        <v>1.1200000000000001</v>
      </c>
    </row>
    <row r="294" spans="1:5">
      <c r="A294" s="216" t="s">
        <v>981</v>
      </c>
      <c r="B294" s="310">
        <v>1.1299999999999999</v>
      </c>
      <c r="C294" s="311">
        <v>1.150071939154977</v>
      </c>
      <c r="D294" s="311">
        <v>1.170143878309954</v>
      </c>
      <c r="E294" s="219">
        <v>1.17</v>
      </c>
    </row>
    <row r="295" spans="1:5">
      <c r="A295" s="216" t="s">
        <v>2414</v>
      </c>
      <c r="B295" s="310">
        <v>1.1299999999999999</v>
      </c>
      <c r="C295" s="311">
        <v>1.1322013168347524</v>
      </c>
      <c r="D295" s="311">
        <v>1.134402633669505</v>
      </c>
      <c r="E295" s="219">
        <v>1.1299999999999999</v>
      </c>
    </row>
    <row r="296" spans="1:5">
      <c r="A296" s="216" t="s">
        <v>2401</v>
      </c>
      <c r="B296" s="310">
        <v>1.1499999999999999</v>
      </c>
      <c r="C296" s="311">
        <v>1.1973774215630888</v>
      </c>
      <c r="D296" s="311">
        <v>1.2447548431261777</v>
      </c>
      <c r="E296" s="219">
        <v>1.24</v>
      </c>
    </row>
    <row r="297" spans="1:5">
      <c r="A297" s="216" t="s">
        <v>4037</v>
      </c>
      <c r="B297" s="310">
        <v>1.07</v>
      </c>
      <c r="C297" s="311">
        <v>1.04465891580071</v>
      </c>
      <c r="D297" s="311">
        <v>1.01931783160142</v>
      </c>
      <c r="E297" s="219">
        <v>1.02</v>
      </c>
    </row>
    <row r="298" spans="1:5">
      <c r="A298" s="216" t="s">
        <v>2140</v>
      </c>
      <c r="B298" s="310">
        <v>1.05</v>
      </c>
      <c r="C298" s="311">
        <v>1.0525237078830036</v>
      </c>
      <c r="D298" s="311">
        <v>1.055047415766007</v>
      </c>
      <c r="E298" s="219">
        <v>1.06</v>
      </c>
    </row>
    <row r="299" spans="1:5">
      <c r="A299" s="216" t="s">
        <v>2408</v>
      </c>
      <c r="B299" s="310">
        <v>1.08</v>
      </c>
      <c r="C299" s="311">
        <v>1.0708886495599901</v>
      </c>
      <c r="D299" s="311">
        <v>1.0617772991199801</v>
      </c>
      <c r="E299" s="219">
        <v>1.06</v>
      </c>
    </row>
    <row r="300" spans="1:5">
      <c r="A300" s="216" t="s">
        <v>2700</v>
      </c>
      <c r="B300" s="310">
        <v>1.06</v>
      </c>
      <c r="C300" s="311">
        <v>1.0444202028344125</v>
      </c>
      <c r="D300" s="311">
        <v>1.028840405668825</v>
      </c>
      <c r="E300" s="219">
        <v>1.03</v>
      </c>
    </row>
    <row r="301" spans="1:5">
      <c r="A301" s="216" t="s">
        <v>2702</v>
      </c>
      <c r="B301" s="310">
        <v>1.06</v>
      </c>
      <c r="C301" s="311">
        <v>1.049493204118078</v>
      </c>
      <c r="D301" s="311">
        <v>1.0389864082361557</v>
      </c>
      <c r="E301" s="219">
        <v>1.04</v>
      </c>
    </row>
    <row r="302" spans="1:5">
      <c r="A302" s="216" t="s">
        <v>2828</v>
      </c>
      <c r="B302" s="310">
        <v>1.06</v>
      </c>
      <c r="C302" s="311">
        <v>1.0530558504851264</v>
      </c>
      <c r="D302" s="311">
        <v>1.046111700970253</v>
      </c>
      <c r="E302" s="219">
        <v>1.05</v>
      </c>
    </row>
    <row r="303" spans="1:5">
      <c r="A303" s="216" t="s">
        <v>2704</v>
      </c>
      <c r="B303" s="310">
        <v>1.06</v>
      </c>
      <c r="C303" s="311">
        <v>1.046047113415185</v>
      </c>
      <c r="D303" s="311">
        <v>1.0320942268303699</v>
      </c>
      <c r="E303" s="219">
        <v>1.03</v>
      </c>
    </row>
    <row r="304" spans="1:5">
      <c r="A304" s="216" t="s">
        <v>2706</v>
      </c>
      <c r="B304" s="310">
        <v>1.07</v>
      </c>
      <c r="C304" s="311">
        <v>1.0521091710324639</v>
      </c>
      <c r="D304" s="311">
        <v>1.034218342064928</v>
      </c>
      <c r="E304" s="219">
        <v>1.03</v>
      </c>
    </row>
    <row r="305" spans="1:5">
      <c r="A305" s="216" t="s">
        <v>6162</v>
      </c>
      <c r="B305" s="310">
        <v>1.08</v>
      </c>
      <c r="C305" s="311">
        <v>1.0687450104634322</v>
      </c>
      <c r="D305" s="311">
        <v>1.0574900209268643</v>
      </c>
      <c r="E305" s="219">
        <v>1.06</v>
      </c>
    </row>
    <row r="306" spans="1:5">
      <c r="A306" s="216" t="s">
        <v>967</v>
      </c>
      <c r="B306" s="310">
        <v>1.06</v>
      </c>
      <c r="C306" s="311">
        <v>1.0465219746650853</v>
      </c>
      <c r="D306" s="311">
        <v>1.0330439493301706</v>
      </c>
      <c r="E306" s="219">
        <v>1.03</v>
      </c>
    </row>
    <row r="307" spans="1:5">
      <c r="A307" s="216" t="s">
        <v>2708</v>
      </c>
      <c r="B307" s="310">
        <v>1.05</v>
      </c>
      <c r="C307" s="311">
        <v>1.0531197751001935</v>
      </c>
      <c r="D307" s="311">
        <v>1.0562395502003872</v>
      </c>
      <c r="E307" s="219">
        <v>1.06</v>
      </c>
    </row>
    <row r="308" spans="1:5">
      <c r="A308" s="216" t="s">
        <v>2710</v>
      </c>
      <c r="B308" s="310">
        <v>1.08</v>
      </c>
      <c r="C308" s="311">
        <v>1.0775932023841908</v>
      </c>
      <c r="D308" s="311">
        <v>1.0751864047683815</v>
      </c>
      <c r="E308" s="219">
        <v>1.08</v>
      </c>
    </row>
    <row r="309" spans="1:5">
      <c r="A309" s="216" t="s">
        <v>2830</v>
      </c>
      <c r="B309" s="310">
        <v>1.08</v>
      </c>
      <c r="C309" s="311">
        <v>1.0637018343020768</v>
      </c>
      <c r="D309" s="311">
        <v>1.0474036686041537</v>
      </c>
      <c r="E309" s="219">
        <v>1.05</v>
      </c>
    </row>
    <row r="310" spans="1:5">
      <c r="A310" s="216" t="s">
        <v>3095</v>
      </c>
      <c r="B310" s="310">
        <v>1.07</v>
      </c>
      <c r="C310" s="311">
        <v>1.0587856151866615</v>
      </c>
      <c r="D310" s="311">
        <v>1.0475712303733231</v>
      </c>
      <c r="E310" s="219">
        <v>1.05</v>
      </c>
    </row>
    <row r="311" spans="1:5">
      <c r="A311" s="216" t="s">
        <v>2712</v>
      </c>
      <c r="B311" s="310">
        <v>1.07</v>
      </c>
      <c r="C311" s="311">
        <v>1.0636098585074918</v>
      </c>
      <c r="D311" s="311">
        <v>1.0572197170149833</v>
      </c>
      <c r="E311" s="219">
        <v>1.06</v>
      </c>
    </row>
    <row r="312" spans="1:5">
      <c r="A312" s="216" t="s">
        <v>2424</v>
      </c>
      <c r="B312" s="310">
        <v>1.07</v>
      </c>
      <c r="C312" s="311">
        <v>1.0653796691290851</v>
      </c>
      <c r="D312" s="311">
        <v>1.0607593382581704</v>
      </c>
      <c r="E312" s="219">
        <v>1.06</v>
      </c>
    </row>
    <row r="313" spans="1:5">
      <c r="A313" s="216" t="s">
        <v>2426</v>
      </c>
      <c r="B313" s="310">
        <v>1.06</v>
      </c>
      <c r="C313" s="311">
        <v>1.0547725516439304</v>
      </c>
      <c r="D313" s="311">
        <v>1.0495451032878609</v>
      </c>
      <c r="E313" s="219">
        <v>1.05</v>
      </c>
    </row>
    <row r="314" spans="1:5">
      <c r="A314" s="216" t="s">
        <v>2428</v>
      </c>
      <c r="B314" s="310">
        <v>1.06</v>
      </c>
      <c r="C314" s="311">
        <v>1.0586020493214954</v>
      </c>
      <c r="D314" s="311">
        <v>1.0572040986429909</v>
      </c>
      <c r="E314" s="219">
        <v>1.06</v>
      </c>
    </row>
    <row r="315" spans="1:5">
      <c r="A315" s="216" t="s">
        <v>2832</v>
      </c>
      <c r="B315" s="310">
        <v>1.06</v>
      </c>
      <c r="C315" s="311">
        <v>1.0600750093125053</v>
      </c>
      <c r="D315" s="311">
        <v>1.0601500186250106</v>
      </c>
      <c r="E315" s="219">
        <v>1.06</v>
      </c>
    </row>
    <row r="316" spans="1:5">
      <c r="A316" s="216" t="s">
        <v>4923</v>
      </c>
      <c r="B316" s="310">
        <v>1.05</v>
      </c>
      <c r="C316" s="311">
        <v>1.0683666228528028</v>
      </c>
      <c r="D316" s="311">
        <v>1.0867332457056054</v>
      </c>
      <c r="E316" s="219">
        <v>1.0900000000000001</v>
      </c>
    </row>
    <row r="317" spans="1:5">
      <c r="A317" s="216" t="s">
        <v>4925</v>
      </c>
      <c r="B317" s="310">
        <v>1.07</v>
      </c>
      <c r="C317" s="311">
        <v>1.0876012282547229</v>
      </c>
      <c r="D317" s="311">
        <v>1.105202456509446</v>
      </c>
      <c r="E317" s="219">
        <v>1.1100000000000001</v>
      </c>
    </row>
    <row r="318" spans="1:5">
      <c r="A318" s="216" t="s">
        <v>4927</v>
      </c>
      <c r="B318" s="310">
        <v>1.06</v>
      </c>
      <c r="C318" s="311">
        <v>1.0798062450718811</v>
      </c>
      <c r="D318" s="311">
        <v>1.0996124901437623</v>
      </c>
      <c r="E318" s="219">
        <v>1.1000000000000001</v>
      </c>
    </row>
    <row r="319" spans="1:5">
      <c r="A319" s="216" t="s">
        <v>4929</v>
      </c>
      <c r="B319" s="310">
        <v>1.06</v>
      </c>
      <c r="C319" s="311">
        <v>1.0673004246142983</v>
      </c>
      <c r="D319" s="311">
        <v>1.0746008492285966</v>
      </c>
      <c r="E319" s="219">
        <v>1.07</v>
      </c>
    </row>
    <row r="320" spans="1:5">
      <c r="A320" s="216" t="s">
        <v>4931</v>
      </c>
      <c r="B320" s="310">
        <v>1.05</v>
      </c>
      <c r="C320" s="311">
        <v>1.0639064295961127</v>
      </c>
      <c r="D320" s="311">
        <v>1.0778128591922256</v>
      </c>
      <c r="E320" s="219">
        <v>1.08</v>
      </c>
    </row>
    <row r="321" spans="1:5">
      <c r="A321" s="216" t="s">
        <v>4933</v>
      </c>
      <c r="B321" s="310">
        <v>1.05</v>
      </c>
      <c r="C321" s="311">
        <v>1.0491400362389891</v>
      </c>
      <c r="D321" s="311">
        <v>1.0482800724779784</v>
      </c>
      <c r="E321" s="219">
        <v>1.05</v>
      </c>
    </row>
    <row r="322" spans="1:5">
      <c r="A322" s="216" t="s">
        <v>444</v>
      </c>
      <c r="B322" s="310">
        <v>1.06</v>
      </c>
      <c r="C322" s="311">
        <v>1.055968078939707</v>
      </c>
      <c r="D322" s="311">
        <v>1.051936157879414</v>
      </c>
      <c r="E322" s="219">
        <v>1.05</v>
      </c>
    </row>
    <row r="323" spans="1:5">
      <c r="A323" s="216" t="s">
        <v>3558</v>
      </c>
      <c r="B323" s="310">
        <v>1.07</v>
      </c>
      <c r="C323" s="311">
        <v>1.0588183409403347</v>
      </c>
      <c r="D323" s="311">
        <v>1.0476366818806691</v>
      </c>
      <c r="E323" s="219">
        <v>1.05</v>
      </c>
    </row>
    <row r="324" spans="1:5">
      <c r="A324" s="216" t="s">
        <v>3560</v>
      </c>
      <c r="B324" s="310">
        <v>1.06</v>
      </c>
      <c r="C324" s="311">
        <v>1.0492136479321768</v>
      </c>
      <c r="D324" s="311">
        <v>1.0384272958643535</v>
      </c>
      <c r="E324" s="219">
        <v>1.04</v>
      </c>
    </row>
    <row r="325" spans="1:5">
      <c r="A325" s="216" t="s">
        <v>3562</v>
      </c>
      <c r="B325" s="310">
        <v>1.04</v>
      </c>
      <c r="C325" s="311">
        <v>1.0467968513179848</v>
      </c>
      <c r="D325" s="311">
        <v>1.0535937026359696</v>
      </c>
      <c r="E325" s="219">
        <v>1.05</v>
      </c>
    </row>
    <row r="326" spans="1:5">
      <c r="A326" s="216" t="s">
        <v>3564</v>
      </c>
      <c r="B326" s="310">
        <v>1.1599999999999999</v>
      </c>
      <c r="C326" s="311">
        <v>1.1978840266843513</v>
      </c>
      <c r="D326" s="311">
        <v>1.2357680533687025</v>
      </c>
      <c r="E326" s="219">
        <v>1.24</v>
      </c>
    </row>
    <row r="327" spans="1:5">
      <c r="A327" s="216" t="s">
        <v>6179</v>
      </c>
      <c r="B327" s="310">
        <v>1.1200000000000001</v>
      </c>
      <c r="C327" s="311">
        <v>1.1386454808992648</v>
      </c>
      <c r="D327" s="311">
        <v>1.1572909617985294</v>
      </c>
      <c r="E327" s="219">
        <v>1.1599999999999999</v>
      </c>
    </row>
    <row r="328" spans="1:5">
      <c r="A328" s="216" t="s">
        <v>1309</v>
      </c>
      <c r="B328" s="310">
        <v>1.1599999999999999</v>
      </c>
      <c r="C328" s="311">
        <v>1.2094981713945734</v>
      </c>
      <c r="D328" s="311">
        <v>1.2589963427891468</v>
      </c>
      <c r="E328" s="219">
        <v>1.26</v>
      </c>
    </row>
    <row r="329" spans="1:5">
      <c r="A329" s="216" t="s">
        <v>3566</v>
      </c>
      <c r="B329" s="310">
        <v>1.1299999999999999</v>
      </c>
      <c r="C329" s="311">
        <v>1.1084258000024647</v>
      </c>
      <c r="D329" s="311">
        <v>1.0868516000049298</v>
      </c>
      <c r="E329" s="219">
        <v>1.0900000000000001</v>
      </c>
    </row>
    <row r="330" spans="1:5">
      <c r="A330" s="216" t="s">
        <v>3568</v>
      </c>
      <c r="B330" s="310">
        <v>1.1100000000000001</v>
      </c>
      <c r="C330" s="311">
        <v>1.1472402290595616</v>
      </c>
      <c r="D330" s="311">
        <v>1.1844804581191231</v>
      </c>
      <c r="E330" s="219">
        <v>1.18</v>
      </c>
    </row>
    <row r="331" spans="1:5">
      <c r="A331" s="216" t="s">
        <v>1607</v>
      </c>
      <c r="B331" s="310">
        <v>1.04</v>
      </c>
      <c r="C331" s="311">
        <v>1.0724756201178889</v>
      </c>
      <c r="D331" s="311">
        <v>1.104951240235778</v>
      </c>
      <c r="E331" s="219">
        <v>1.1000000000000001</v>
      </c>
    </row>
    <row r="332" spans="1:5">
      <c r="A332" s="216" t="s">
        <v>2482</v>
      </c>
      <c r="B332" s="310">
        <v>1.06</v>
      </c>
      <c r="C332" s="311">
        <v>1.0748281756531111</v>
      </c>
      <c r="D332" s="311">
        <v>1.0896563513062221</v>
      </c>
      <c r="E332" s="219">
        <v>1.0900000000000001</v>
      </c>
    </row>
    <row r="333" spans="1:5">
      <c r="A333" s="216" t="s">
        <v>2484</v>
      </c>
      <c r="B333" s="310">
        <v>1.05</v>
      </c>
      <c r="C333" s="311">
        <v>1.0683412789140927</v>
      </c>
      <c r="D333" s="311">
        <v>1.0866825578281853</v>
      </c>
      <c r="E333" s="219">
        <v>1.0900000000000001</v>
      </c>
    </row>
    <row r="334" spans="1:5">
      <c r="A334" s="216" t="s">
        <v>2486</v>
      </c>
      <c r="B334" s="310">
        <v>1.05</v>
      </c>
      <c r="C334" s="311">
        <v>1.061542586724022</v>
      </c>
      <c r="D334" s="311">
        <v>1.0730851734480438</v>
      </c>
      <c r="E334" s="219">
        <v>1.07</v>
      </c>
    </row>
    <row r="335" spans="1:5">
      <c r="A335" s="216" t="s">
        <v>2488</v>
      </c>
      <c r="B335" s="310">
        <v>1.06</v>
      </c>
      <c r="C335" s="311">
        <v>1.0589686906788636</v>
      </c>
      <c r="D335" s="311">
        <v>1.0579373813577269</v>
      </c>
      <c r="E335" s="219">
        <v>1.06</v>
      </c>
    </row>
    <row r="336" spans="1:5">
      <c r="A336" s="216" t="s">
        <v>2834</v>
      </c>
      <c r="B336" s="310">
        <v>1.08</v>
      </c>
      <c r="C336" s="311">
        <v>1.0800953196187757</v>
      </c>
      <c r="D336" s="311">
        <v>1.0801906392375513</v>
      </c>
      <c r="E336" s="219">
        <v>1.08</v>
      </c>
    </row>
    <row r="337" spans="1:5">
      <c r="A337" s="216" t="s">
        <v>445</v>
      </c>
      <c r="B337" s="310">
        <v>1.0900000000000001</v>
      </c>
      <c r="C337" s="311">
        <v>1.0896278031062097</v>
      </c>
      <c r="D337" s="311">
        <v>1.0892556062124195</v>
      </c>
      <c r="E337" s="219">
        <v>1.0900000000000001</v>
      </c>
    </row>
    <row r="338" spans="1:5">
      <c r="A338" s="216" t="s">
        <v>2490</v>
      </c>
      <c r="B338" s="310">
        <v>1.1200000000000001</v>
      </c>
      <c r="C338" s="311">
        <v>1.0968146242711194</v>
      </c>
      <c r="D338" s="311">
        <v>1.0736292485422387</v>
      </c>
      <c r="E338" s="219">
        <v>1.07</v>
      </c>
    </row>
    <row r="339" spans="1:5">
      <c r="A339" s="216" t="s">
        <v>2492</v>
      </c>
      <c r="B339" s="310">
        <v>1.1299999999999999</v>
      </c>
      <c r="C339" s="311">
        <v>1.0932271624159258</v>
      </c>
      <c r="D339" s="311">
        <v>1.0564543248318516</v>
      </c>
      <c r="E339" s="219">
        <v>1.06</v>
      </c>
    </row>
    <row r="340" spans="1:5">
      <c r="A340" s="216" t="s">
        <v>2494</v>
      </c>
      <c r="B340" s="310">
        <v>1.1000000000000001</v>
      </c>
      <c r="C340" s="311">
        <v>1.0971126387223071</v>
      </c>
      <c r="D340" s="311">
        <v>1.094225277444614</v>
      </c>
      <c r="E340" s="219">
        <v>1.0900000000000001</v>
      </c>
    </row>
    <row r="341" spans="1:5">
      <c r="A341" s="216" t="s">
        <v>2498</v>
      </c>
      <c r="B341" s="310">
        <v>1.1399999999999999</v>
      </c>
      <c r="C341" s="311">
        <v>1.1639529023506481</v>
      </c>
      <c r="D341" s="311">
        <v>1.1879058047012965</v>
      </c>
      <c r="E341" s="219">
        <v>1.19</v>
      </c>
    </row>
    <row r="342" spans="1:5">
      <c r="A342" s="216" t="s">
        <v>1670</v>
      </c>
      <c r="B342" s="310">
        <v>1.1599999999999999</v>
      </c>
      <c r="C342" s="311">
        <v>1.1712403137682101</v>
      </c>
      <c r="D342" s="311">
        <v>1.1824806275364201</v>
      </c>
      <c r="E342" s="219">
        <v>1.18</v>
      </c>
    </row>
    <row r="343" spans="1:5">
      <c r="A343" s="216" t="s">
        <v>1867</v>
      </c>
      <c r="B343" s="310">
        <v>1.1000000000000001</v>
      </c>
      <c r="C343" s="311">
        <v>1.1152141832914877</v>
      </c>
      <c r="D343" s="311">
        <v>1.1304283665829755</v>
      </c>
      <c r="E343" s="219">
        <v>1.1299999999999999</v>
      </c>
    </row>
    <row r="344" spans="1:5">
      <c r="A344" s="216" t="s">
        <v>1672</v>
      </c>
      <c r="B344" s="310">
        <v>1.1399999999999999</v>
      </c>
      <c r="C344" s="311">
        <v>1.1527561911073376</v>
      </c>
      <c r="D344" s="311">
        <v>1.1655123822146751</v>
      </c>
      <c r="E344" s="219">
        <v>1.17</v>
      </c>
    </row>
    <row r="345" spans="1:5">
      <c r="A345" s="216" t="s">
        <v>1674</v>
      </c>
      <c r="B345" s="310">
        <v>1.1499999999999999</v>
      </c>
      <c r="C345" s="311">
        <v>1.1634685807020781</v>
      </c>
      <c r="D345" s="311">
        <v>1.1769371614041564</v>
      </c>
      <c r="E345" s="219">
        <v>1.18</v>
      </c>
    </row>
    <row r="346" spans="1:5">
      <c r="A346" s="216" t="s">
        <v>5048</v>
      </c>
      <c r="B346" s="310">
        <v>1.1200000000000001</v>
      </c>
      <c r="C346" s="311">
        <v>1.1256478027831816</v>
      </c>
      <c r="D346" s="311">
        <v>1.131295605566363</v>
      </c>
      <c r="E346" s="219">
        <v>1.1299999999999999</v>
      </c>
    </row>
    <row r="347" spans="1:5">
      <c r="A347" s="216" t="s">
        <v>2392</v>
      </c>
      <c r="B347" s="310">
        <v>1.1299999999999999</v>
      </c>
      <c r="C347" s="311">
        <v>1.1525733467200536</v>
      </c>
      <c r="D347" s="311">
        <v>1.1751466934401074</v>
      </c>
      <c r="E347" s="219">
        <v>1.18</v>
      </c>
    </row>
    <row r="348" spans="1:5">
      <c r="A348" s="216" t="s">
        <v>5050</v>
      </c>
      <c r="B348" s="310">
        <v>1.1599999999999999</v>
      </c>
      <c r="C348" s="311">
        <v>1.2066108359053558</v>
      </c>
      <c r="D348" s="311">
        <v>1.2532216718107116</v>
      </c>
      <c r="E348" s="219">
        <v>1.25</v>
      </c>
    </row>
    <row r="349" spans="1:5">
      <c r="A349" s="216" t="s">
        <v>1311</v>
      </c>
      <c r="B349" s="310">
        <v>1.1299999999999999</v>
      </c>
      <c r="C349" s="311">
        <v>1.1625318227279928</v>
      </c>
      <c r="D349" s="311">
        <v>1.1950636454559858</v>
      </c>
      <c r="E349" s="219">
        <v>1.2</v>
      </c>
    </row>
    <row r="350" spans="1:5">
      <c r="A350" s="216" t="s">
        <v>3222</v>
      </c>
      <c r="B350" s="310">
        <v>1.06</v>
      </c>
      <c r="C350" s="311">
        <v>1.0585526480501777</v>
      </c>
      <c r="D350" s="311">
        <v>1.0571052961003555</v>
      </c>
      <c r="E350" s="219">
        <v>1.06</v>
      </c>
    </row>
    <row r="351" spans="1:5">
      <c r="A351" s="216" t="s">
        <v>3224</v>
      </c>
      <c r="B351" s="310">
        <v>1.08</v>
      </c>
      <c r="C351" s="311">
        <v>1.0539523796786781</v>
      </c>
      <c r="D351" s="311">
        <v>1.0279047593573563</v>
      </c>
      <c r="E351" s="219">
        <v>1.03</v>
      </c>
    </row>
    <row r="352" spans="1:5">
      <c r="A352" s="216" t="s">
        <v>3226</v>
      </c>
      <c r="B352" s="310">
        <v>1.05</v>
      </c>
      <c r="C352" s="311">
        <v>1.0526190543796217</v>
      </c>
      <c r="D352" s="311">
        <v>1.0552381087592433</v>
      </c>
      <c r="E352" s="219">
        <v>1.06</v>
      </c>
    </row>
    <row r="353" spans="1:5">
      <c r="A353" s="216" t="s">
        <v>3228</v>
      </c>
      <c r="B353" s="310">
        <v>1.06</v>
      </c>
      <c r="C353" s="311">
        <v>1.0790397264416585</v>
      </c>
      <c r="D353" s="311">
        <v>1.0980794528833169</v>
      </c>
      <c r="E353" s="219">
        <v>1.1000000000000001</v>
      </c>
    </row>
    <row r="354" spans="1:5">
      <c r="A354" s="216" t="s">
        <v>3230</v>
      </c>
      <c r="B354" s="310">
        <v>1.04</v>
      </c>
      <c r="C354" s="311">
        <v>1.0571174561044359</v>
      </c>
      <c r="D354" s="311">
        <v>1.0742349122088715</v>
      </c>
      <c r="E354" s="219">
        <v>1.07</v>
      </c>
    </row>
    <row r="355" spans="1:5">
      <c r="A355" s="216" t="s">
        <v>3232</v>
      </c>
      <c r="B355" s="310">
        <v>1.0900000000000001</v>
      </c>
      <c r="C355" s="311">
        <v>1.0716254529521896</v>
      </c>
      <c r="D355" s="311">
        <v>1.0532509059043789</v>
      </c>
      <c r="E355" s="219">
        <v>1.05</v>
      </c>
    </row>
    <row r="356" spans="1:5">
      <c r="A356" s="216" t="s">
        <v>1899</v>
      </c>
      <c r="B356" s="310">
        <v>1.08</v>
      </c>
      <c r="C356" s="311">
        <v>1.0945390398134482</v>
      </c>
      <c r="D356" s="311">
        <v>1.1090780796268966</v>
      </c>
      <c r="E356" s="219">
        <v>1.1100000000000001</v>
      </c>
    </row>
    <row r="357" spans="1:5">
      <c r="A357" s="216" t="s">
        <v>1853</v>
      </c>
      <c r="B357" s="310">
        <v>1.07</v>
      </c>
      <c r="C357" s="311">
        <v>1.0754496442373798</v>
      </c>
      <c r="D357" s="311">
        <v>1.0808992884747592</v>
      </c>
      <c r="E357" s="219">
        <v>1.08</v>
      </c>
    </row>
    <row r="358" spans="1:5">
      <c r="A358" s="216" t="s">
        <v>1901</v>
      </c>
      <c r="B358" s="310">
        <v>1.06</v>
      </c>
      <c r="C358" s="311">
        <v>1.0655691829356466</v>
      </c>
      <c r="D358" s="311">
        <v>1.071138365871293</v>
      </c>
      <c r="E358" s="219">
        <v>1.07</v>
      </c>
    </row>
    <row r="359" spans="1:5">
      <c r="A359" s="216" t="s">
        <v>1903</v>
      </c>
      <c r="B359" s="310">
        <v>1.07</v>
      </c>
      <c r="C359" s="311">
        <v>1.0704591291615104</v>
      </c>
      <c r="D359" s="311">
        <v>1.070918258323021</v>
      </c>
      <c r="E359" s="219">
        <v>1.07</v>
      </c>
    </row>
    <row r="360" spans="1:5">
      <c r="A360" s="216" t="s">
        <v>52</v>
      </c>
      <c r="B360" s="310">
        <v>1.08</v>
      </c>
      <c r="C360" s="311">
        <v>1.0613094350345391</v>
      </c>
      <c r="D360" s="311">
        <v>1.0426188700690784</v>
      </c>
      <c r="E360" s="219">
        <v>1.04</v>
      </c>
    </row>
    <row r="361" spans="1:5">
      <c r="A361" s="216" t="s">
        <v>54</v>
      </c>
      <c r="B361" s="310">
        <v>1.07</v>
      </c>
      <c r="C361" s="311">
        <v>1.0578707740089635</v>
      </c>
      <c r="D361" s="311">
        <v>1.0457415480179271</v>
      </c>
      <c r="E361" s="219">
        <v>1.05</v>
      </c>
    </row>
    <row r="362" spans="1:5">
      <c r="A362" s="216" t="s">
        <v>6191</v>
      </c>
      <c r="B362" s="310">
        <v>1.0900000000000001</v>
      </c>
      <c r="C362" s="311">
        <v>1.0825671139875706</v>
      </c>
      <c r="D362" s="311">
        <v>1.0751342279751408</v>
      </c>
      <c r="E362" s="219">
        <v>1.08</v>
      </c>
    </row>
    <row r="363" spans="1:5">
      <c r="A363" s="216" t="s">
        <v>732</v>
      </c>
      <c r="B363" s="310">
        <v>1.08</v>
      </c>
      <c r="C363" s="311">
        <v>1.0487543196311337</v>
      </c>
      <c r="D363" s="311">
        <v>1.0175086392622672</v>
      </c>
      <c r="E363" s="219">
        <v>1.02</v>
      </c>
    </row>
    <row r="364" spans="1:5">
      <c r="A364" s="216" t="s">
        <v>949</v>
      </c>
      <c r="B364" s="310">
        <v>1.08</v>
      </c>
      <c r="C364" s="311">
        <v>1.0697372223085782</v>
      </c>
      <c r="D364" s="311">
        <v>1.0594744446171562</v>
      </c>
      <c r="E364" s="219">
        <v>1.06</v>
      </c>
    </row>
    <row r="365" spans="1:5">
      <c r="A365" s="216" t="s">
        <v>3980</v>
      </c>
      <c r="B365" s="310">
        <v>1.07</v>
      </c>
      <c r="C365" s="311">
        <v>1.0627848677726255</v>
      </c>
      <c r="D365" s="311">
        <v>1.0555697355452511</v>
      </c>
      <c r="E365" s="219">
        <v>1.06</v>
      </c>
    </row>
    <row r="366" spans="1:5">
      <c r="A366" s="216" t="s">
        <v>3982</v>
      </c>
      <c r="B366" s="310">
        <v>1.1000000000000001</v>
      </c>
      <c r="C366" s="311">
        <v>1.1026415496883535</v>
      </c>
      <c r="D366" s="311">
        <v>1.1052830993767069</v>
      </c>
      <c r="E366" s="219">
        <v>1.1100000000000001</v>
      </c>
    </row>
    <row r="367" spans="1:5">
      <c r="A367" s="216" t="s">
        <v>1871</v>
      </c>
      <c r="B367" s="310">
        <v>1.07</v>
      </c>
      <c r="C367" s="311">
        <v>1.0685212144693386</v>
      </c>
      <c r="D367" s="311">
        <v>1.0670424289386771</v>
      </c>
      <c r="E367" s="219">
        <v>1.07</v>
      </c>
    </row>
    <row r="368" spans="1:5">
      <c r="A368" s="216" t="s">
        <v>3116</v>
      </c>
      <c r="B368" s="310">
        <v>1.1100000000000001</v>
      </c>
      <c r="C368" s="311">
        <v>1.1121227571193377</v>
      </c>
      <c r="D368" s="311">
        <v>1.1142455142386751</v>
      </c>
      <c r="E368" s="219">
        <v>1.1100000000000001</v>
      </c>
    </row>
    <row r="369" spans="1:5">
      <c r="A369" s="216" t="s">
        <v>3118</v>
      </c>
      <c r="B369" s="310">
        <v>1.08</v>
      </c>
      <c r="C369" s="311">
        <v>1.0568656657687523</v>
      </c>
      <c r="D369" s="311">
        <v>1.0337313315375045</v>
      </c>
      <c r="E369" s="219">
        <v>1.03</v>
      </c>
    </row>
    <row r="370" spans="1:5">
      <c r="A370" s="216" t="s">
        <v>2836</v>
      </c>
      <c r="B370" s="310">
        <v>1.07</v>
      </c>
      <c r="C370" s="311">
        <v>1.0710738950220446</v>
      </c>
      <c r="D370" s="311">
        <v>1.072147790044089</v>
      </c>
      <c r="E370" s="219">
        <v>1.07</v>
      </c>
    </row>
    <row r="371" spans="1:5">
      <c r="A371" s="216" t="s">
        <v>2838</v>
      </c>
      <c r="B371" s="310">
        <v>1.08</v>
      </c>
      <c r="C371" s="311">
        <v>1.0792822895957364</v>
      </c>
      <c r="D371" s="311">
        <v>1.0785645791914726</v>
      </c>
      <c r="E371" s="219">
        <v>1.08</v>
      </c>
    </row>
    <row r="372" spans="1:5">
      <c r="A372" s="216" t="s">
        <v>5220</v>
      </c>
      <c r="B372" s="310">
        <v>1.07</v>
      </c>
      <c r="C372" s="311">
        <v>1.0645555710357548</v>
      </c>
      <c r="D372" s="311">
        <v>1.0591111420715096</v>
      </c>
      <c r="E372" s="219">
        <v>1.06</v>
      </c>
    </row>
    <row r="373" spans="1:5">
      <c r="A373" s="216" t="s">
        <v>5129</v>
      </c>
      <c r="B373" s="310">
        <v>1.07</v>
      </c>
      <c r="C373" s="311">
        <v>1.0716545282586349</v>
      </c>
      <c r="D373" s="311">
        <v>1.0733090565172698</v>
      </c>
      <c r="E373" s="219">
        <v>1.07</v>
      </c>
    </row>
    <row r="374" spans="1:5">
      <c r="A374" s="216" t="s">
        <v>5222</v>
      </c>
      <c r="B374" s="310">
        <v>1.07</v>
      </c>
      <c r="C374" s="311">
        <v>1.0673734812138216</v>
      </c>
      <c r="D374" s="311">
        <v>1.0647469624276431</v>
      </c>
      <c r="E374" s="219">
        <v>1.06</v>
      </c>
    </row>
    <row r="375" spans="1:5">
      <c r="A375" s="216" t="s">
        <v>1858</v>
      </c>
      <c r="B375" s="310">
        <v>1.06</v>
      </c>
      <c r="C375" s="311">
        <v>1.060146380238552</v>
      </c>
      <c r="D375" s="311">
        <v>1.060292760477104</v>
      </c>
      <c r="E375" s="219">
        <v>1.06</v>
      </c>
    </row>
    <row r="376" spans="1:5">
      <c r="A376" s="216" t="s">
        <v>5224</v>
      </c>
      <c r="B376" s="310">
        <v>1.08</v>
      </c>
      <c r="C376" s="311">
        <v>1.0708807178464124</v>
      </c>
      <c r="D376" s="311">
        <v>1.0617614356928249</v>
      </c>
      <c r="E376" s="219">
        <v>1.06</v>
      </c>
    </row>
    <row r="377" spans="1:5">
      <c r="A377" s="216" t="s">
        <v>5228</v>
      </c>
      <c r="B377" s="310">
        <v>1.06</v>
      </c>
      <c r="C377" s="311">
        <v>1.0775184225462082</v>
      </c>
      <c r="D377" s="311">
        <v>1.0950368450924162</v>
      </c>
      <c r="E377" s="219">
        <v>1.1000000000000001</v>
      </c>
    </row>
    <row r="378" spans="1:5">
      <c r="A378" s="216" t="s">
        <v>5230</v>
      </c>
      <c r="B378" s="310">
        <v>1.07</v>
      </c>
      <c r="C378" s="311">
        <v>1.0886594814822681</v>
      </c>
      <c r="D378" s="311">
        <v>1.1073189629645364</v>
      </c>
      <c r="E378" s="219">
        <v>1.1100000000000001</v>
      </c>
    </row>
    <row r="379" spans="1:5">
      <c r="A379" s="216" t="s">
        <v>2994</v>
      </c>
      <c r="B379" s="310">
        <v>1.0900000000000001</v>
      </c>
      <c r="C379" s="311">
        <v>1.113183022444058</v>
      </c>
      <c r="D379" s="311">
        <v>1.1363660448881161</v>
      </c>
      <c r="E379" s="219">
        <v>1.1399999999999999</v>
      </c>
    </row>
    <row r="380" spans="1:5">
      <c r="A380" s="216" t="s">
        <v>7723</v>
      </c>
      <c r="B380" s="310">
        <v>1.08</v>
      </c>
      <c r="C380" s="311">
        <v>1.0991759060501645</v>
      </c>
      <c r="D380" s="311">
        <v>1.1183518121003289</v>
      </c>
      <c r="E380" s="219">
        <v>1.1200000000000001</v>
      </c>
    </row>
    <row r="381" spans="1:5">
      <c r="A381" s="216" t="s">
        <v>221</v>
      </c>
      <c r="B381" s="310">
        <v>1.05</v>
      </c>
      <c r="C381" s="311">
        <v>1.0665783041711996</v>
      </c>
      <c r="D381" s="311">
        <v>1.0831566083423989</v>
      </c>
      <c r="E381" s="219">
        <v>1.08</v>
      </c>
    </row>
    <row r="382" spans="1:5">
      <c r="A382" s="216" t="s">
        <v>2406</v>
      </c>
      <c r="B382" s="310">
        <v>1.05</v>
      </c>
      <c r="C382" s="311">
        <v>1.0688462989378218</v>
      </c>
      <c r="D382" s="311">
        <v>1.0876925978756435</v>
      </c>
      <c r="E382" s="219">
        <v>1.0900000000000001</v>
      </c>
    </row>
    <row r="383" spans="1:5">
      <c r="A383" s="216" t="s">
        <v>223</v>
      </c>
      <c r="B383" s="310">
        <v>1.05</v>
      </c>
      <c r="C383" s="311">
        <v>1.0671364048221073</v>
      </c>
      <c r="D383" s="311">
        <v>1.0842728096442145</v>
      </c>
      <c r="E383" s="219">
        <v>1.08</v>
      </c>
    </row>
    <row r="384" spans="1:5">
      <c r="A384" s="216" t="s">
        <v>225</v>
      </c>
      <c r="B384" s="310">
        <v>1.08</v>
      </c>
      <c r="C384" s="311">
        <v>1.0726777946579564</v>
      </c>
      <c r="D384" s="311">
        <v>1.0653555893159128</v>
      </c>
      <c r="E384" s="219">
        <v>1.07</v>
      </c>
    </row>
    <row r="385" spans="1:5">
      <c r="A385" s="216" t="s">
        <v>227</v>
      </c>
      <c r="B385" s="310">
        <v>1.07</v>
      </c>
      <c r="C385" s="311">
        <v>1.0663197127553514</v>
      </c>
      <c r="D385" s="311">
        <v>1.0626394255107028</v>
      </c>
      <c r="E385" s="219">
        <v>1.06</v>
      </c>
    </row>
    <row r="386" spans="1:5">
      <c r="A386" s="216" t="s">
        <v>229</v>
      </c>
      <c r="B386" s="310">
        <v>1.1100000000000001</v>
      </c>
      <c r="C386" s="311">
        <v>1.0946062295494641</v>
      </c>
      <c r="D386" s="311">
        <v>1.079212459098928</v>
      </c>
      <c r="E386" s="219">
        <v>1.08</v>
      </c>
    </row>
    <row r="387" spans="1:5">
      <c r="A387" s="216" t="s">
        <v>4039</v>
      </c>
      <c r="B387" s="310">
        <v>1.1000000000000001</v>
      </c>
      <c r="C387" s="311">
        <v>1.0752844486164417</v>
      </c>
      <c r="D387" s="311">
        <v>1.0505688972328833</v>
      </c>
      <c r="E387" s="219">
        <v>1.05</v>
      </c>
    </row>
    <row r="388" spans="1:5">
      <c r="A388" s="216" t="s">
        <v>2396</v>
      </c>
      <c r="B388" s="310">
        <v>1.0900000000000001</v>
      </c>
      <c r="C388" s="311">
        <v>1.1457724817456116</v>
      </c>
      <c r="D388" s="311">
        <v>1.2015449634912232</v>
      </c>
      <c r="E388" s="219">
        <v>1.2</v>
      </c>
    </row>
    <row r="389" spans="1:5">
      <c r="A389" s="216" t="s">
        <v>2394</v>
      </c>
      <c r="B389" s="310">
        <v>1.0900000000000001</v>
      </c>
      <c r="C389" s="311">
        <v>1.1543337418393391</v>
      </c>
      <c r="D389" s="311">
        <v>1.2186674836786779</v>
      </c>
      <c r="E389" s="219">
        <v>1.22</v>
      </c>
    </row>
    <row r="390" spans="1:5">
      <c r="A390" s="216" t="s">
        <v>4042</v>
      </c>
      <c r="B390" s="310">
        <v>1.06</v>
      </c>
      <c r="C390" s="311">
        <v>1.1022736599778642</v>
      </c>
      <c r="D390" s="311">
        <v>1.1445473199557283</v>
      </c>
      <c r="E390" s="219">
        <v>1.1399999999999999</v>
      </c>
    </row>
    <row r="391" spans="1:5">
      <c r="A391" s="216" t="s">
        <v>3004</v>
      </c>
      <c r="B391" s="310">
        <v>1.05</v>
      </c>
      <c r="C391" s="311">
        <v>1.1062887764790812</v>
      </c>
      <c r="D391" s="311">
        <v>1.1625775529581626</v>
      </c>
      <c r="E391" s="219">
        <v>1.1599999999999999</v>
      </c>
    </row>
    <row r="392" spans="1:5">
      <c r="A392" s="216" t="s">
        <v>4044</v>
      </c>
      <c r="B392" s="310">
        <v>1.06</v>
      </c>
      <c r="C392" s="311">
        <v>1.0519882509679737</v>
      </c>
      <c r="D392" s="311">
        <v>1.0439765019359475</v>
      </c>
      <c r="E392" s="219">
        <v>1.04</v>
      </c>
    </row>
    <row r="393" spans="1:5">
      <c r="A393" s="216" t="s">
        <v>4046</v>
      </c>
      <c r="B393" s="310">
        <v>1.0900000000000001</v>
      </c>
      <c r="C393" s="311">
        <v>1.0555326486925987</v>
      </c>
      <c r="D393" s="311">
        <v>1.021065297385197</v>
      </c>
      <c r="E393" s="219">
        <v>1.02</v>
      </c>
    </row>
    <row r="394" spans="1:5">
      <c r="A394" s="216" t="s">
        <v>5402</v>
      </c>
      <c r="B394" s="310">
        <v>1.07</v>
      </c>
      <c r="C394" s="311">
        <v>1.0503413575571057</v>
      </c>
      <c r="D394" s="311">
        <v>1.0306827151142111</v>
      </c>
      <c r="E394" s="219">
        <v>1.03</v>
      </c>
    </row>
    <row r="395" spans="1:5">
      <c r="A395" s="216" t="s">
        <v>5404</v>
      </c>
      <c r="B395" s="310">
        <v>1.06</v>
      </c>
      <c r="C395" s="311">
        <v>1.0478429212480127</v>
      </c>
      <c r="D395" s="311">
        <v>1.0356858424960256</v>
      </c>
      <c r="E395" s="219">
        <v>1.04</v>
      </c>
    </row>
    <row r="396" spans="1:5">
      <c r="A396" s="216" t="s">
        <v>423</v>
      </c>
      <c r="B396" s="310">
        <v>1.0900000000000001</v>
      </c>
      <c r="C396" s="311">
        <v>1.0671716436265575</v>
      </c>
      <c r="D396" s="311">
        <v>1.0443432872531149</v>
      </c>
      <c r="E396" s="219">
        <v>1.04</v>
      </c>
    </row>
    <row r="397" spans="1:5">
      <c r="A397" s="216" t="s">
        <v>425</v>
      </c>
      <c r="B397" s="310">
        <v>1.02</v>
      </c>
      <c r="C397" s="311">
        <v>1.039373881156243</v>
      </c>
      <c r="D397" s="311">
        <v>1.0587477623124861</v>
      </c>
      <c r="E397" s="219">
        <v>1.06</v>
      </c>
    </row>
    <row r="398" spans="1:5">
      <c r="A398" s="216" t="s">
        <v>427</v>
      </c>
      <c r="B398" s="310">
        <v>1.04</v>
      </c>
      <c r="C398" s="311">
        <v>1.0410444651803838</v>
      </c>
      <c r="D398" s="311">
        <v>1.0420889303607677</v>
      </c>
      <c r="E398" s="219">
        <v>1.04</v>
      </c>
    </row>
    <row r="399" spans="1:5">
      <c r="A399" s="216" t="s">
        <v>429</v>
      </c>
      <c r="B399" s="310">
        <v>1.04</v>
      </c>
      <c r="C399" s="311">
        <v>1.0624637736753009</v>
      </c>
      <c r="D399" s="311">
        <v>1.0849275473506019</v>
      </c>
      <c r="E399" s="219">
        <v>1.08</v>
      </c>
    </row>
    <row r="400" spans="1:5">
      <c r="A400" s="216" t="s">
        <v>446</v>
      </c>
      <c r="B400" s="310">
        <v>1.03</v>
      </c>
      <c r="C400" s="311">
        <v>1.0493980651068848</v>
      </c>
      <c r="D400" s="311">
        <v>1.0687961302137696</v>
      </c>
      <c r="E400" s="219">
        <v>1.07</v>
      </c>
    </row>
    <row r="401" spans="1:5">
      <c r="A401" s="216" t="s">
        <v>431</v>
      </c>
      <c r="B401" s="310">
        <v>1.0900000000000001</v>
      </c>
      <c r="C401" s="311">
        <v>1.095226813232526</v>
      </c>
      <c r="D401" s="311">
        <v>1.100453626465052</v>
      </c>
      <c r="E401" s="219">
        <v>1.1000000000000001</v>
      </c>
    </row>
    <row r="402" spans="1:5">
      <c r="A402" s="216" t="s">
        <v>4945</v>
      </c>
      <c r="B402" s="310">
        <v>1.0900000000000001</v>
      </c>
      <c r="C402" s="311">
        <v>1.0812690744484579</v>
      </c>
      <c r="D402" s="311">
        <v>1.0725381488969155</v>
      </c>
      <c r="E402" s="219">
        <v>1.07</v>
      </c>
    </row>
    <row r="403" spans="1:5">
      <c r="A403" s="216" t="s">
        <v>4947</v>
      </c>
      <c r="B403" s="310">
        <v>1.08</v>
      </c>
      <c r="C403" s="311">
        <v>1.0939487677768009</v>
      </c>
      <c r="D403" s="311">
        <v>1.107897535553602</v>
      </c>
      <c r="E403" s="219">
        <v>1.1100000000000001</v>
      </c>
    </row>
    <row r="404" spans="1:5">
      <c r="A404" s="216" t="s">
        <v>4949</v>
      </c>
      <c r="B404" s="310">
        <v>1.04</v>
      </c>
      <c r="C404" s="311">
        <v>1.0478813155419489</v>
      </c>
      <c r="D404" s="311">
        <v>1.0557626310838977</v>
      </c>
      <c r="E404" s="219">
        <v>1.06</v>
      </c>
    </row>
    <row r="405" spans="1:5">
      <c r="A405" s="216" t="s">
        <v>4951</v>
      </c>
      <c r="B405" s="310">
        <v>1.03</v>
      </c>
      <c r="C405" s="311">
        <v>1.0513738315843331</v>
      </c>
      <c r="D405" s="311">
        <v>1.0727476631686661</v>
      </c>
      <c r="E405" s="219">
        <v>1.07</v>
      </c>
    </row>
    <row r="406" spans="1:5">
      <c r="A406" s="216" t="s">
        <v>1560</v>
      </c>
      <c r="B406" s="310">
        <v>1.08</v>
      </c>
      <c r="C406" s="311">
        <v>1.083978608239712</v>
      </c>
      <c r="D406" s="311">
        <v>1.0879572164794242</v>
      </c>
      <c r="E406" s="219">
        <v>1.0900000000000001</v>
      </c>
    </row>
    <row r="407" spans="1:5">
      <c r="A407" s="216" t="s">
        <v>2398</v>
      </c>
      <c r="B407" s="310">
        <v>1.0900000000000001</v>
      </c>
      <c r="C407" s="311">
        <v>1.0998812666001601</v>
      </c>
      <c r="D407" s="311">
        <v>1.10976253320032</v>
      </c>
      <c r="E407" s="219">
        <v>1.1100000000000001</v>
      </c>
    </row>
    <row r="408" spans="1:5">
      <c r="A408" s="216" t="s">
        <v>1562</v>
      </c>
      <c r="B408" s="310">
        <v>1.0900000000000001</v>
      </c>
      <c r="C408" s="311">
        <v>1.0951589511685289</v>
      </c>
      <c r="D408" s="311">
        <v>1.1003179023370577</v>
      </c>
      <c r="E408" s="219">
        <v>1.1000000000000001</v>
      </c>
    </row>
    <row r="409" spans="1:5">
      <c r="A409" s="216" t="s">
        <v>2997</v>
      </c>
      <c r="B409" s="310">
        <v>1.0900000000000001</v>
      </c>
      <c r="C409" s="311">
        <v>1.0998531804812846</v>
      </c>
      <c r="D409" s="311">
        <v>1.1097063609625692</v>
      </c>
      <c r="E409" s="219">
        <v>1.1100000000000001</v>
      </c>
    </row>
    <row r="410" spans="1:5">
      <c r="A410" s="216" t="s">
        <v>856</v>
      </c>
      <c r="B410" s="310">
        <v>1.08</v>
      </c>
      <c r="C410" s="311">
        <v>1.0768870983493024</v>
      </c>
      <c r="D410" s="311">
        <v>1.0737741966986047</v>
      </c>
      <c r="E410" s="219">
        <v>1.07</v>
      </c>
    </row>
    <row r="411" spans="1:5">
      <c r="A411" s="216" t="s">
        <v>819</v>
      </c>
      <c r="B411" s="310">
        <v>1.1599999999999999</v>
      </c>
      <c r="C411" s="311">
        <v>1.225507951196307</v>
      </c>
      <c r="D411" s="311">
        <v>1.2910159023926138</v>
      </c>
      <c r="E411" s="219">
        <v>1.29</v>
      </c>
    </row>
    <row r="412" spans="1:5">
      <c r="A412" s="216" t="s">
        <v>3887</v>
      </c>
      <c r="B412" s="310">
        <v>1.1599999999999999</v>
      </c>
      <c r="C412" s="311">
        <v>1.2166008814585574</v>
      </c>
      <c r="D412" s="311">
        <v>1.2732017629171146</v>
      </c>
      <c r="E412" s="219">
        <v>1.27</v>
      </c>
    </row>
    <row r="413" spans="1:5">
      <c r="A413" s="216" t="s">
        <v>1988</v>
      </c>
      <c r="B413" s="310">
        <v>1.1399999999999999</v>
      </c>
      <c r="C413" s="311">
        <v>1.1806024848710366</v>
      </c>
      <c r="D413" s="311">
        <v>1.221204969742073</v>
      </c>
      <c r="E413" s="219">
        <v>1.22</v>
      </c>
    </row>
    <row r="414" spans="1:5">
      <c r="A414" s="216" t="s">
        <v>245</v>
      </c>
      <c r="B414" s="310">
        <v>1.1299999999999999</v>
      </c>
      <c r="C414" s="311">
        <v>1.164812409579969</v>
      </c>
      <c r="D414" s="311">
        <v>1.1996248191599383</v>
      </c>
      <c r="E414" s="219">
        <v>1.2</v>
      </c>
    </row>
    <row r="415" spans="1:5">
      <c r="A415" s="216" t="s">
        <v>1990</v>
      </c>
      <c r="B415" s="310">
        <v>1.1599999999999999</v>
      </c>
      <c r="C415" s="311">
        <v>1.2150802497132005</v>
      </c>
      <c r="D415" s="311">
        <v>1.2701604994264011</v>
      </c>
      <c r="E415" s="219">
        <v>1.27</v>
      </c>
    </row>
    <row r="416" spans="1:5">
      <c r="A416" s="216" t="s">
        <v>2115</v>
      </c>
      <c r="B416" s="310">
        <v>1.1599999999999999</v>
      </c>
      <c r="C416" s="311">
        <v>1.1968116678944671</v>
      </c>
      <c r="D416" s="311">
        <v>1.2336233357889341</v>
      </c>
      <c r="E416" s="219">
        <v>1.23</v>
      </c>
    </row>
    <row r="417" spans="1:5">
      <c r="A417" s="216" t="s">
        <v>6184</v>
      </c>
      <c r="B417" s="310">
        <v>1.18</v>
      </c>
      <c r="C417" s="311">
        <v>1.2169167139191632</v>
      </c>
      <c r="D417" s="311">
        <v>1.2538334278383265</v>
      </c>
      <c r="E417" s="219">
        <v>1.25</v>
      </c>
    </row>
    <row r="418" spans="1:5">
      <c r="A418" s="216" t="s">
        <v>1315</v>
      </c>
      <c r="B418" s="310">
        <v>1.1599999999999999</v>
      </c>
      <c r="C418" s="311">
        <v>1.2133417563033659</v>
      </c>
      <c r="D418" s="311">
        <v>1.266683512606732</v>
      </c>
      <c r="E418" s="219">
        <v>1.27</v>
      </c>
    </row>
    <row r="419" spans="1:5">
      <c r="A419" s="216" t="s">
        <v>5622</v>
      </c>
      <c r="B419" s="310">
        <v>1.1599999999999999</v>
      </c>
      <c r="C419" s="311">
        <v>1.2040059027473817</v>
      </c>
      <c r="D419" s="311">
        <v>1.2480118054947633</v>
      </c>
      <c r="E419" s="219">
        <v>1.25</v>
      </c>
    </row>
    <row r="420" spans="1:5">
      <c r="A420" s="216" t="s">
        <v>5624</v>
      </c>
      <c r="B420" s="310">
        <v>1.17</v>
      </c>
      <c r="C420" s="311">
        <v>1.2226549138874927</v>
      </c>
      <c r="D420" s="311">
        <v>1.2753098277749855</v>
      </c>
      <c r="E420" s="219">
        <v>1.28</v>
      </c>
    </row>
    <row r="421" spans="1:5">
      <c r="A421" s="216" t="s">
        <v>1873</v>
      </c>
      <c r="B421" s="310">
        <v>1.1599999999999999</v>
      </c>
      <c r="C421" s="311">
        <v>1.2200142395034321</v>
      </c>
      <c r="D421" s="311">
        <v>1.2800284790068646</v>
      </c>
      <c r="E421" s="219">
        <v>1.28</v>
      </c>
    </row>
    <row r="422" spans="1:5">
      <c r="A422" s="216" t="s">
        <v>6028</v>
      </c>
      <c r="B422" s="310">
        <v>1.1599999999999999</v>
      </c>
      <c r="C422" s="311">
        <v>1.2142115666070585</v>
      </c>
      <c r="D422" s="311">
        <v>1.2684231332141171</v>
      </c>
      <c r="E422" s="219">
        <v>1.27</v>
      </c>
    </row>
    <row r="423" spans="1:5">
      <c r="A423" s="216" t="s">
        <v>6035</v>
      </c>
      <c r="B423" s="310">
        <v>1.1599999999999999</v>
      </c>
      <c r="C423" s="311">
        <v>1.2205485347109803</v>
      </c>
      <c r="D423" s="311">
        <v>1.2810970694219606</v>
      </c>
      <c r="E423" s="219">
        <v>1.28</v>
      </c>
    </row>
    <row r="424" spans="1:5">
      <c r="A424" s="216" t="s">
        <v>5626</v>
      </c>
      <c r="B424" s="310">
        <v>1.1499999999999999</v>
      </c>
      <c r="C424" s="311">
        <v>1.1809455006865255</v>
      </c>
      <c r="D424" s="311">
        <v>1.2118910013730513</v>
      </c>
      <c r="E424" s="219">
        <v>1.21</v>
      </c>
    </row>
    <row r="425" spans="1:5">
      <c r="A425" s="216" t="s">
        <v>6194</v>
      </c>
      <c r="B425" s="310">
        <v>1.1599999999999999</v>
      </c>
      <c r="C425" s="311">
        <v>1.2151258274783869</v>
      </c>
      <c r="D425" s="311">
        <v>1.2702516549567739</v>
      </c>
      <c r="E425" s="219">
        <v>1.27</v>
      </c>
    </row>
    <row r="426" spans="1:5">
      <c r="A426" s="216" t="s">
        <v>1539</v>
      </c>
      <c r="B426" s="310">
        <v>1.1599999999999999</v>
      </c>
      <c r="C426" s="311">
        <v>1.2205998806356424</v>
      </c>
      <c r="D426" s="311">
        <v>1.2811997612712849</v>
      </c>
      <c r="E426" s="219">
        <v>1.28</v>
      </c>
    </row>
    <row r="427" spans="1:5">
      <c r="A427" s="216" t="s">
        <v>911</v>
      </c>
      <c r="B427" s="310">
        <v>1.1599999999999999</v>
      </c>
      <c r="C427" s="311">
        <v>1.2218918073154561</v>
      </c>
      <c r="D427" s="311">
        <v>1.2837836146309123</v>
      </c>
      <c r="E427" s="219">
        <v>1.28</v>
      </c>
    </row>
    <row r="428" spans="1:5">
      <c r="A428" s="216" t="s">
        <v>1428</v>
      </c>
      <c r="B428" s="310">
        <v>1.1399999999999999</v>
      </c>
      <c r="C428" s="311">
        <v>1.180890506163415</v>
      </c>
      <c r="D428" s="311">
        <v>1.22178101232683</v>
      </c>
      <c r="E428" s="219">
        <v>1.22</v>
      </c>
    </row>
    <row r="429" spans="1:5">
      <c r="A429" s="216" t="s">
        <v>1430</v>
      </c>
      <c r="B429" s="310">
        <v>1.1399999999999999</v>
      </c>
      <c r="C429" s="311">
        <v>1.1742201372993351</v>
      </c>
      <c r="D429" s="311">
        <v>1.20844027459867</v>
      </c>
      <c r="E429" s="219">
        <v>1.21</v>
      </c>
    </row>
    <row r="430" spans="1:5">
      <c r="A430" s="216" t="s">
        <v>4971</v>
      </c>
      <c r="B430" s="310">
        <v>1.1200000000000001</v>
      </c>
      <c r="C430" s="311">
        <v>1.1533143284583769</v>
      </c>
      <c r="D430" s="311">
        <v>1.1866286569167535</v>
      </c>
      <c r="E430" s="219">
        <v>1.19</v>
      </c>
    </row>
    <row r="431" spans="1:5">
      <c r="A431" s="216" t="s">
        <v>1432</v>
      </c>
      <c r="B431" s="310">
        <v>1.06</v>
      </c>
      <c r="C431" s="311">
        <v>1.0459038611870835</v>
      </c>
      <c r="D431" s="311">
        <v>1.0318077223741666</v>
      </c>
      <c r="E431" s="219">
        <v>1.03</v>
      </c>
    </row>
    <row r="432" spans="1:5">
      <c r="A432" s="216" t="s">
        <v>1434</v>
      </c>
      <c r="B432" s="310">
        <v>1.08</v>
      </c>
      <c r="C432" s="311">
        <v>1.0692549809522804</v>
      </c>
      <c r="D432" s="311">
        <v>1.0585099619045608</v>
      </c>
      <c r="E432" s="219">
        <v>1.06</v>
      </c>
    </row>
    <row r="433" spans="1:5">
      <c r="A433" s="216" t="s">
        <v>1436</v>
      </c>
      <c r="B433" s="310">
        <v>1.04</v>
      </c>
      <c r="C433" s="311">
        <v>1.0387296410232993</v>
      </c>
      <c r="D433" s="311">
        <v>1.0374592820465989</v>
      </c>
      <c r="E433" s="219">
        <v>1.04</v>
      </c>
    </row>
    <row r="434" spans="1:5">
      <c r="A434" s="216" t="s">
        <v>1438</v>
      </c>
      <c r="B434" s="310">
        <v>1.07</v>
      </c>
      <c r="C434" s="311">
        <v>1.0658851562028195</v>
      </c>
      <c r="D434" s="311">
        <v>1.061770312405639</v>
      </c>
      <c r="E434" s="219">
        <v>1.06</v>
      </c>
    </row>
    <row r="435" spans="1:5">
      <c r="A435" s="216" t="s">
        <v>2580</v>
      </c>
      <c r="B435" s="310">
        <v>1.04</v>
      </c>
      <c r="C435" s="311">
        <v>1.0417275258011043</v>
      </c>
      <c r="D435" s="311">
        <v>1.0434550516022087</v>
      </c>
      <c r="E435" s="219">
        <v>1.04</v>
      </c>
    </row>
    <row r="436" spans="1:5">
      <c r="A436" s="216" t="s">
        <v>2582</v>
      </c>
      <c r="B436" s="310">
        <v>1.04</v>
      </c>
      <c r="C436" s="311">
        <v>1.0407706033126223</v>
      </c>
      <c r="D436" s="311">
        <v>1.0415412066252447</v>
      </c>
      <c r="E436" s="219">
        <v>1.04</v>
      </c>
    </row>
    <row r="437" spans="1:5">
      <c r="A437" s="216" t="s">
        <v>2584</v>
      </c>
      <c r="B437" s="310">
        <v>1.05</v>
      </c>
      <c r="C437" s="311">
        <v>1.0678195006673175</v>
      </c>
      <c r="D437" s="311">
        <v>1.0856390013346346</v>
      </c>
      <c r="E437" s="219">
        <v>1.0900000000000001</v>
      </c>
    </row>
    <row r="438" spans="1:5">
      <c r="A438" s="216" t="s">
        <v>1578</v>
      </c>
      <c r="B438" s="310">
        <v>1.05</v>
      </c>
      <c r="C438" s="311">
        <v>1.0751539522143498</v>
      </c>
      <c r="D438" s="311">
        <v>1.1003079044286999</v>
      </c>
      <c r="E438" s="219">
        <v>1.1000000000000001</v>
      </c>
    </row>
    <row r="439" spans="1:5">
      <c r="A439" s="216" t="s">
        <v>1580</v>
      </c>
      <c r="B439" s="310">
        <v>1.04</v>
      </c>
      <c r="C439" s="311">
        <v>1.0515970577617852</v>
      </c>
      <c r="D439" s="311">
        <v>1.0631941155235702</v>
      </c>
      <c r="E439" s="219">
        <v>1.06</v>
      </c>
    </row>
    <row r="440" spans="1:5">
      <c r="A440" s="216" t="s">
        <v>447</v>
      </c>
      <c r="B440" s="310">
        <v>1.05</v>
      </c>
      <c r="C440" s="311">
        <v>1.0494639932187955</v>
      </c>
      <c r="D440" s="311">
        <v>1.0489279864375907</v>
      </c>
      <c r="E440" s="219">
        <v>1.05</v>
      </c>
    </row>
    <row r="441" spans="1:5">
      <c r="A441" s="216" t="s">
        <v>1582</v>
      </c>
      <c r="B441" s="310">
        <v>1.05</v>
      </c>
      <c r="C441" s="311">
        <v>1.0506240592624938</v>
      </c>
      <c r="D441" s="311">
        <v>1.0512481185249876</v>
      </c>
      <c r="E441" s="219">
        <v>1.05</v>
      </c>
    </row>
    <row r="442" spans="1:5">
      <c r="A442" s="216" t="s">
        <v>1584</v>
      </c>
      <c r="B442" s="310">
        <v>1.06</v>
      </c>
      <c r="C442" s="311">
        <v>1.0532644099141648</v>
      </c>
      <c r="D442" s="311">
        <v>1.0465288198283293</v>
      </c>
      <c r="E442" s="219">
        <v>1.05</v>
      </c>
    </row>
    <row r="443" spans="1:5">
      <c r="A443" s="216" t="s">
        <v>1588</v>
      </c>
      <c r="B443" s="310">
        <v>1.1000000000000001</v>
      </c>
      <c r="C443" s="311">
        <v>1.1347688646139977</v>
      </c>
      <c r="D443" s="311">
        <v>1.1695377292279954</v>
      </c>
      <c r="E443" s="219">
        <v>1.17</v>
      </c>
    </row>
    <row r="444" spans="1:5">
      <c r="A444" s="216" t="s">
        <v>1292</v>
      </c>
      <c r="B444" s="310">
        <v>1.07</v>
      </c>
      <c r="C444" s="311">
        <v>1.1236784866270508</v>
      </c>
      <c r="D444" s="311">
        <v>1.1773569732541016</v>
      </c>
      <c r="E444" s="219">
        <v>1.18</v>
      </c>
    </row>
    <row r="445" spans="1:5">
      <c r="A445" s="216" t="s">
        <v>1590</v>
      </c>
      <c r="B445" s="310">
        <v>1.06</v>
      </c>
      <c r="C445" s="311">
        <v>1.1007429389856318</v>
      </c>
      <c r="D445" s="311">
        <v>1.1414858779712636</v>
      </c>
      <c r="E445" s="219">
        <v>1.1399999999999999</v>
      </c>
    </row>
    <row r="446" spans="1:5">
      <c r="A446" s="216" t="s">
        <v>1864</v>
      </c>
      <c r="B446" s="310">
        <v>1.1000000000000001</v>
      </c>
      <c r="C446" s="311">
        <v>1.1524177331910828</v>
      </c>
      <c r="D446" s="311">
        <v>1.2048354663821657</v>
      </c>
      <c r="E446" s="219">
        <v>1.2</v>
      </c>
    </row>
    <row r="447" spans="1:5">
      <c r="A447" s="216" t="s">
        <v>1592</v>
      </c>
      <c r="B447" s="310">
        <v>1.07</v>
      </c>
      <c r="C447" s="311">
        <v>1.094196651013871</v>
      </c>
      <c r="D447" s="311">
        <v>1.1183933020277421</v>
      </c>
      <c r="E447" s="219">
        <v>1.1200000000000001</v>
      </c>
    </row>
    <row r="448" spans="1:5">
      <c r="A448" s="216" t="s">
        <v>1594</v>
      </c>
      <c r="B448" s="310">
        <v>1.06</v>
      </c>
      <c r="C448" s="311">
        <v>1.0703608665383562</v>
      </c>
      <c r="D448" s="311">
        <v>1.0807217330767123</v>
      </c>
      <c r="E448" s="219">
        <v>1.08</v>
      </c>
    </row>
    <row r="449" spans="1:5">
      <c r="A449" s="216" t="s">
        <v>1596</v>
      </c>
      <c r="B449" s="310">
        <v>1.05</v>
      </c>
      <c r="C449" s="311">
        <v>1.0591037482214363</v>
      </c>
      <c r="D449" s="311">
        <v>1.0682074964428723</v>
      </c>
      <c r="E449" s="219">
        <v>1.07</v>
      </c>
    </row>
    <row r="450" spans="1:5">
      <c r="A450" s="216" t="s">
        <v>1598</v>
      </c>
      <c r="B450" s="310">
        <v>1.05</v>
      </c>
      <c r="C450" s="311">
        <v>1.0570477174283739</v>
      </c>
      <c r="D450" s="311">
        <v>1.064095434856748</v>
      </c>
      <c r="E450" s="219">
        <v>1.06</v>
      </c>
    </row>
    <row r="451" spans="1:5">
      <c r="A451" s="216" t="s">
        <v>1600</v>
      </c>
      <c r="B451" s="310">
        <v>1.04</v>
      </c>
      <c r="C451" s="311">
        <v>1.0566405618525498</v>
      </c>
      <c r="D451" s="311">
        <v>1.0732811237050996</v>
      </c>
      <c r="E451" s="219">
        <v>1.07</v>
      </c>
    </row>
    <row r="452" spans="1:5">
      <c r="A452" s="216" t="s">
        <v>5260</v>
      </c>
      <c r="B452" s="310">
        <v>1.04</v>
      </c>
      <c r="C452" s="311">
        <v>1.0552014551990427</v>
      </c>
      <c r="D452" s="311">
        <v>1.0704029103980857</v>
      </c>
      <c r="E452" s="219">
        <v>1.07</v>
      </c>
    </row>
    <row r="453" spans="1:5">
      <c r="A453" s="216" t="s">
        <v>2415</v>
      </c>
      <c r="B453" s="310">
        <v>1.04</v>
      </c>
      <c r="C453" s="311">
        <v>1.0471780010386491</v>
      </c>
      <c r="D453" s="311">
        <v>1.0543560020772982</v>
      </c>
      <c r="E453" s="219">
        <v>1.05</v>
      </c>
    </row>
    <row r="454" spans="1:5">
      <c r="A454" s="216" t="s">
        <v>4973</v>
      </c>
      <c r="B454" s="310">
        <v>1.05</v>
      </c>
      <c r="C454" s="311">
        <v>1.0456813621262158</v>
      </c>
      <c r="D454" s="311">
        <v>1.0413627242524315</v>
      </c>
      <c r="E454" s="219">
        <v>1.04</v>
      </c>
    </row>
    <row r="455" spans="1:5">
      <c r="A455" s="216" t="s">
        <v>5262</v>
      </c>
      <c r="B455" s="310">
        <v>1.04</v>
      </c>
      <c r="C455" s="311">
        <v>1.0468554280843145</v>
      </c>
      <c r="D455" s="311">
        <v>1.0537108561686293</v>
      </c>
      <c r="E455" s="219">
        <v>1.05</v>
      </c>
    </row>
    <row r="456" spans="1:5">
      <c r="A456" s="216" t="s">
        <v>2054</v>
      </c>
      <c r="B456" s="310">
        <v>1.18</v>
      </c>
      <c r="C456" s="311">
        <v>1.1788736228898014</v>
      </c>
      <c r="D456" s="311">
        <v>1.1777472457796028</v>
      </c>
      <c r="E456" s="219">
        <v>1.18</v>
      </c>
    </row>
    <row r="457" spans="1:5">
      <c r="A457" s="216" t="s">
        <v>1519</v>
      </c>
      <c r="B457" s="310">
        <v>1.18</v>
      </c>
      <c r="C457" s="311">
        <v>1.165275794386252</v>
      </c>
      <c r="D457" s="311">
        <v>1.150551588772504</v>
      </c>
      <c r="E457" s="219">
        <v>1.1499999999999999</v>
      </c>
    </row>
    <row r="458" spans="1:5">
      <c r="A458" s="216" t="s">
        <v>1521</v>
      </c>
      <c r="B458" s="310">
        <v>1.18</v>
      </c>
      <c r="C458" s="311">
        <v>1.1930314828455468</v>
      </c>
      <c r="D458" s="311">
        <v>1.2060629656910937</v>
      </c>
      <c r="E458" s="219">
        <v>1.21</v>
      </c>
    </row>
    <row r="459" spans="1:5">
      <c r="A459" s="216" t="s">
        <v>1866</v>
      </c>
      <c r="B459" s="310">
        <v>1.17</v>
      </c>
      <c r="C459" s="311">
        <v>1.1523564171976162</v>
      </c>
      <c r="D459" s="311">
        <v>1.1347128343952326</v>
      </c>
      <c r="E459" s="219">
        <v>1.1299999999999999</v>
      </c>
    </row>
    <row r="460" spans="1:5">
      <c r="A460" s="216" t="s">
        <v>6167</v>
      </c>
      <c r="B460" s="310">
        <v>1.17</v>
      </c>
      <c r="C460" s="311">
        <v>1.1888367422307864</v>
      </c>
      <c r="D460" s="311">
        <v>1.2076734844615729</v>
      </c>
      <c r="E460" s="219">
        <v>1.21</v>
      </c>
    </row>
    <row r="461" spans="1:5">
      <c r="A461" s="216" t="s">
        <v>6170</v>
      </c>
      <c r="B461" s="310">
        <v>1.17</v>
      </c>
      <c r="C461" s="311">
        <v>1.161839459425706</v>
      </c>
      <c r="D461" s="311">
        <v>1.1536789188514123</v>
      </c>
      <c r="E461" s="219">
        <v>1.1499999999999999</v>
      </c>
    </row>
    <row r="462" spans="1:5">
      <c r="A462" s="216" t="s">
        <v>6176</v>
      </c>
      <c r="B462" s="310">
        <v>1.19</v>
      </c>
      <c r="C462" s="311">
        <v>1.1882443269696601</v>
      </c>
      <c r="D462" s="311">
        <v>1.1864886539393202</v>
      </c>
      <c r="E462" s="219">
        <v>1.19</v>
      </c>
    </row>
    <row r="463" spans="1:5">
      <c r="A463" s="216" t="s">
        <v>5125</v>
      </c>
      <c r="B463" s="310">
        <v>1.19</v>
      </c>
      <c r="C463" s="311">
        <v>1.199974732995867</v>
      </c>
      <c r="D463" s="311">
        <v>1.209949465991734</v>
      </c>
      <c r="E463" s="219">
        <v>1.21</v>
      </c>
    </row>
    <row r="464" spans="1:5">
      <c r="A464" s="216" t="s">
        <v>648</v>
      </c>
      <c r="B464" s="310">
        <v>1.1599999999999999</v>
      </c>
      <c r="C464" s="311">
        <v>1.1428332252855566</v>
      </c>
      <c r="D464" s="311">
        <v>1.1256664505711134</v>
      </c>
      <c r="E464" s="219">
        <v>1.1299999999999999</v>
      </c>
    </row>
    <row r="465" spans="1:5">
      <c r="A465" s="216" t="s">
        <v>780</v>
      </c>
      <c r="B465" s="310">
        <v>1.1399999999999999</v>
      </c>
      <c r="C465" s="311">
        <v>1.1486817775929268</v>
      </c>
      <c r="D465" s="311">
        <v>1.1573635551858539</v>
      </c>
      <c r="E465" s="219">
        <v>1.1599999999999999</v>
      </c>
    </row>
    <row r="466" spans="1:5">
      <c r="A466" s="216" t="s">
        <v>6038</v>
      </c>
      <c r="B466" s="310">
        <v>1.2</v>
      </c>
      <c r="C466" s="311">
        <v>1.2015939241587357</v>
      </c>
      <c r="D466" s="311">
        <v>1.2031878483174712</v>
      </c>
      <c r="E466" s="219">
        <v>1.2</v>
      </c>
    </row>
    <row r="467" spans="1:5">
      <c r="A467" s="216" t="s">
        <v>3096</v>
      </c>
      <c r="B467" s="310">
        <v>1.19</v>
      </c>
      <c r="C467" s="311">
        <v>1.1899905507054747</v>
      </c>
      <c r="D467" s="311">
        <v>1.1899811014109494</v>
      </c>
      <c r="E467" s="219">
        <v>1.19</v>
      </c>
    </row>
    <row r="468" spans="1:5">
      <c r="A468" s="216" t="s">
        <v>6040</v>
      </c>
      <c r="B468" s="310">
        <v>1.1499999999999999</v>
      </c>
      <c r="C468" s="311">
        <v>1.1230946836336604</v>
      </c>
      <c r="D468" s="311">
        <v>1.0961893672673209</v>
      </c>
      <c r="E468" s="219">
        <v>1.1000000000000001</v>
      </c>
    </row>
    <row r="469" spans="1:5">
      <c r="A469" s="216" t="s">
        <v>3097</v>
      </c>
      <c r="B469" s="310">
        <v>1.1399999999999999</v>
      </c>
      <c r="C469" s="311">
        <v>1.1140612921916662</v>
      </c>
      <c r="D469" s="311">
        <v>1.0881225843833324</v>
      </c>
      <c r="E469" s="219">
        <v>1.0900000000000001</v>
      </c>
    </row>
    <row r="470" spans="1:5">
      <c r="A470" s="216" t="s">
        <v>2419</v>
      </c>
      <c r="B470" s="310">
        <v>1.1599999999999999</v>
      </c>
      <c r="C470" s="311">
        <v>1.1448101247488744</v>
      </c>
      <c r="D470" s="311">
        <v>1.1296202494977492</v>
      </c>
      <c r="E470" s="219">
        <v>1.1299999999999999</v>
      </c>
    </row>
    <row r="471" spans="1:5">
      <c r="A471" s="216" t="s">
        <v>2608</v>
      </c>
      <c r="B471" s="310">
        <v>1.06</v>
      </c>
      <c r="C471" s="311">
        <v>1.0539614770829289</v>
      </c>
      <c r="D471" s="311">
        <v>1.0479229541658579</v>
      </c>
      <c r="E471" s="219">
        <v>1.05</v>
      </c>
    </row>
    <row r="472" spans="1:5">
      <c r="A472" s="216" t="s">
        <v>448</v>
      </c>
      <c r="B472" s="310">
        <v>1.06</v>
      </c>
      <c r="C472" s="311">
        <v>1.0533645024627936</v>
      </c>
      <c r="D472" s="311">
        <v>1.0467290049255871</v>
      </c>
      <c r="E472" s="219">
        <v>1.05</v>
      </c>
    </row>
    <row r="473" spans="1:5">
      <c r="A473" s="216" t="s">
        <v>243</v>
      </c>
      <c r="B473" s="310">
        <v>1.05</v>
      </c>
      <c r="C473" s="311">
        <v>1.0460888828580419</v>
      </c>
      <c r="D473" s="311">
        <v>1.042177765716084</v>
      </c>
      <c r="E473" s="219">
        <v>1.04</v>
      </c>
    </row>
    <row r="474" spans="1:5">
      <c r="A474" s="216" t="s">
        <v>1868</v>
      </c>
      <c r="B474" s="310">
        <v>1.05</v>
      </c>
      <c r="C474" s="311">
        <v>1.0645628547449297</v>
      </c>
      <c r="D474" s="311">
        <v>1.0791257094898594</v>
      </c>
      <c r="E474" s="219">
        <v>1.08</v>
      </c>
    </row>
    <row r="475" spans="1:5">
      <c r="A475" s="216" t="s">
        <v>3098</v>
      </c>
      <c r="B475" s="310">
        <v>1.05</v>
      </c>
      <c r="C475" s="311">
        <v>1.0539008750695316</v>
      </c>
      <c r="D475" s="311">
        <v>1.0578017501390631</v>
      </c>
      <c r="E475" s="219">
        <v>1.06</v>
      </c>
    </row>
    <row r="476" spans="1:5">
      <c r="A476" s="216" t="s">
        <v>6022</v>
      </c>
      <c r="B476" s="310">
        <v>1.06</v>
      </c>
      <c r="C476" s="311">
        <v>1.0571438860341658</v>
      </c>
      <c r="D476" s="311">
        <v>1.0542877720683315</v>
      </c>
      <c r="E476" s="219">
        <v>1.05</v>
      </c>
    </row>
    <row r="477" spans="1:5">
      <c r="A477" s="216" t="s">
        <v>2610</v>
      </c>
      <c r="B477" s="310">
        <v>1.07</v>
      </c>
      <c r="C477" s="311">
        <v>1.0509634486643384</v>
      </c>
      <c r="D477" s="311">
        <v>1.0319268973286768</v>
      </c>
      <c r="E477" s="219">
        <v>1.03</v>
      </c>
    </row>
    <row r="478" spans="1:5">
      <c r="A478" s="216" t="s">
        <v>2612</v>
      </c>
      <c r="B478" s="310">
        <v>1.06</v>
      </c>
      <c r="C478" s="311">
        <v>1.0492726648784201</v>
      </c>
      <c r="D478" s="311">
        <v>1.0385453297568399</v>
      </c>
      <c r="E478" s="219">
        <v>1.04</v>
      </c>
    </row>
    <row r="479" spans="1:5">
      <c r="A479" s="216" t="s">
        <v>782</v>
      </c>
      <c r="B479" s="310">
        <v>1.06</v>
      </c>
      <c r="C479" s="311">
        <v>1.0661344642998443</v>
      </c>
      <c r="D479" s="311">
        <v>1.0722689285996883</v>
      </c>
      <c r="E479" s="219">
        <v>1.07</v>
      </c>
    </row>
    <row r="480" spans="1:5">
      <c r="A480" s="216" t="s">
        <v>2614</v>
      </c>
      <c r="B480" s="310">
        <v>1.06</v>
      </c>
      <c r="C480" s="311">
        <v>1.0529148017117702</v>
      </c>
      <c r="D480" s="311">
        <v>1.0458296034235401</v>
      </c>
      <c r="E480" s="219">
        <v>1.05</v>
      </c>
    </row>
    <row r="481" spans="1:5">
      <c r="A481" s="216" t="s">
        <v>2468</v>
      </c>
      <c r="B481" s="310">
        <v>1.05</v>
      </c>
      <c r="C481" s="311">
        <v>1.0469886888335758</v>
      </c>
      <c r="D481" s="311">
        <v>1.0439773776671513</v>
      </c>
      <c r="E481" s="219">
        <v>1.04</v>
      </c>
    </row>
    <row r="482" spans="1:5">
      <c r="A482" s="216" t="s">
        <v>2616</v>
      </c>
      <c r="B482" s="310">
        <v>1.06</v>
      </c>
      <c r="C482" s="311">
        <v>1.0517146523824656</v>
      </c>
      <c r="D482" s="311">
        <v>1.0434293047649312</v>
      </c>
      <c r="E482" s="219">
        <v>1.04</v>
      </c>
    </row>
    <row r="483" spans="1:5">
      <c r="A483" s="216" t="s">
        <v>784</v>
      </c>
      <c r="B483" s="310">
        <v>1.06</v>
      </c>
      <c r="C483" s="311">
        <v>1.0446978614852247</v>
      </c>
      <c r="D483" s="311">
        <v>1.0293957229704491</v>
      </c>
      <c r="E483" s="219">
        <v>1.03</v>
      </c>
    </row>
    <row r="484" spans="1:5">
      <c r="A484" s="216" t="s">
        <v>786</v>
      </c>
      <c r="B484" s="310">
        <v>1.0900000000000001</v>
      </c>
      <c r="C484" s="311">
        <v>1.0719717983355621</v>
      </c>
      <c r="D484" s="311">
        <v>1.0539435966711244</v>
      </c>
      <c r="E484" s="219">
        <v>1.05</v>
      </c>
    </row>
    <row r="485" spans="1:5">
      <c r="A485" s="216" t="s">
        <v>788</v>
      </c>
      <c r="B485" s="310">
        <v>1.07</v>
      </c>
      <c r="C485" s="311">
        <v>1.0477686641435375</v>
      </c>
      <c r="D485" s="311">
        <v>1.0255373282870752</v>
      </c>
      <c r="E485" s="219">
        <v>1.03</v>
      </c>
    </row>
    <row r="486" spans="1:5">
      <c r="A486" s="216" t="s">
        <v>969</v>
      </c>
      <c r="B486" s="310">
        <v>1.04</v>
      </c>
      <c r="C486" s="311">
        <v>1.03318748449997</v>
      </c>
      <c r="D486" s="311">
        <v>1.02637496899994</v>
      </c>
      <c r="E486" s="219">
        <v>1.03</v>
      </c>
    </row>
    <row r="487" spans="1:5">
      <c r="A487" s="216" t="s">
        <v>790</v>
      </c>
      <c r="B487" s="310">
        <v>1.06</v>
      </c>
      <c r="C487" s="311">
        <v>1.0493367826682791</v>
      </c>
      <c r="D487" s="311">
        <v>1.0386735653365582</v>
      </c>
      <c r="E487" s="219">
        <v>1.04</v>
      </c>
    </row>
    <row r="488" spans="1:5">
      <c r="A488" s="216" t="s">
        <v>792</v>
      </c>
      <c r="B488" s="310">
        <v>1.07</v>
      </c>
      <c r="C488" s="311">
        <v>1.0474576036376493</v>
      </c>
      <c r="D488" s="311">
        <v>1.0249152072752985</v>
      </c>
      <c r="E488" s="219">
        <v>1.02</v>
      </c>
    </row>
    <row r="489" spans="1:5">
      <c r="A489" s="216" t="s">
        <v>794</v>
      </c>
      <c r="B489" s="310">
        <v>1.08</v>
      </c>
      <c r="C489" s="311">
        <v>1.0840348902463801</v>
      </c>
      <c r="D489" s="311">
        <v>1.0880697804927602</v>
      </c>
      <c r="E489" s="219">
        <v>1.0900000000000001</v>
      </c>
    </row>
    <row r="490" spans="1:5">
      <c r="A490" s="216" t="s">
        <v>2991</v>
      </c>
      <c r="B490" s="310">
        <v>1.04</v>
      </c>
      <c r="C490" s="311">
        <v>1.0433884331209615</v>
      </c>
      <c r="D490" s="311">
        <v>1.046776866241923</v>
      </c>
      <c r="E490" s="219">
        <v>1.05</v>
      </c>
    </row>
    <row r="491" spans="1:5">
      <c r="A491" s="216" t="s">
        <v>2413</v>
      </c>
      <c r="B491" s="310">
        <v>1.04</v>
      </c>
      <c r="C491" s="311">
        <v>1.0451820887608683</v>
      </c>
      <c r="D491" s="311">
        <v>1.0503641775217365</v>
      </c>
      <c r="E491" s="219">
        <v>1.05</v>
      </c>
    </row>
    <row r="492" spans="1:5">
      <c r="A492" s="216" t="s">
        <v>796</v>
      </c>
      <c r="B492" s="310">
        <v>1.06</v>
      </c>
      <c r="C492" s="311">
        <v>1.0688448602637406</v>
      </c>
      <c r="D492" s="311">
        <v>1.0776897205274811</v>
      </c>
      <c r="E492" s="219">
        <v>1.08</v>
      </c>
    </row>
    <row r="493" spans="1:5">
      <c r="A493" s="216" t="s">
        <v>2044</v>
      </c>
      <c r="B493" s="310">
        <v>1.03</v>
      </c>
      <c r="C493" s="311">
        <v>1.0364534993466066</v>
      </c>
      <c r="D493" s="311">
        <v>1.0429069986932133</v>
      </c>
      <c r="E493" s="219">
        <v>1.04</v>
      </c>
    </row>
    <row r="494" spans="1:5">
      <c r="A494" s="216" t="s">
        <v>798</v>
      </c>
      <c r="B494" s="310">
        <v>1.02</v>
      </c>
      <c r="C494" s="311">
        <v>1.0358680941358522</v>
      </c>
      <c r="D494" s="311">
        <v>1.0517361882717047</v>
      </c>
      <c r="E494" s="219">
        <v>1.05</v>
      </c>
    </row>
    <row r="495" spans="1:5">
      <c r="A495" s="216" t="s">
        <v>2358</v>
      </c>
      <c r="B495" s="310">
        <v>1.04</v>
      </c>
      <c r="C495" s="311">
        <v>1.0400769994471728</v>
      </c>
      <c r="D495" s="311">
        <v>1.0401539988943456</v>
      </c>
      <c r="E495" s="219">
        <v>1.04</v>
      </c>
    </row>
    <row r="496" spans="1:5">
      <c r="A496" s="216" t="s">
        <v>800</v>
      </c>
      <c r="B496" s="310">
        <v>1.04</v>
      </c>
      <c r="C496" s="311">
        <v>1.0592045543370441</v>
      </c>
      <c r="D496" s="311">
        <v>1.0784091086740883</v>
      </c>
      <c r="E496" s="219">
        <v>1.08</v>
      </c>
    </row>
    <row r="497" spans="1:5">
      <c r="A497" s="216" t="s">
        <v>802</v>
      </c>
      <c r="B497" s="310">
        <v>1.04</v>
      </c>
      <c r="C497" s="311">
        <v>1.0467864695487337</v>
      </c>
      <c r="D497" s="311">
        <v>1.0535729390974675</v>
      </c>
      <c r="E497" s="219">
        <v>1.05</v>
      </c>
    </row>
    <row r="498" spans="1:5">
      <c r="A498" s="216" t="s">
        <v>2046</v>
      </c>
      <c r="B498" s="310">
        <v>1.03</v>
      </c>
      <c r="C498" s="311">
        <v>1.0430671899220547</v>
      </c>
      <c r="D498" s="311">
        <v>1.0561343798441096</v>
      </c>
      <c r="E498" s="219">
        <v>1.06</v>
      </c>
    </row>
    <row r="499" spans="1:5">
      <c r="A499" s="216" t="s">
        <v>804</v>
      </c>
      <c r="B499" s="310">
        <v>1.07</v>
      </c>
      <c r="C499" s="311">
        <v>1.070044248284538</v>
      </c>
      <c r="D499" s="311">
        <v>1.070088496569076</v>
      </c>
      <c r="E499" s="219">
        <v>1.07</v>
      </c>
    </row>
    <row r="500" spans="1:5">
      <c r="A500" s="216" t="s">
        <v>806</v>
      </c>
      <c r="B500" s="310">
        <v>1.04</v>
      </c>
      <c r="C500" s="311">
        <v>1.0528736637972629</v>
      </c>
      <c r="D500" s="311">
        <v>1.0657473275945255</v>
      </c>
      <c r="E500" s="219">
        <v>1.07</v>
      </c>
    </row>
    <row r="501" spans="1:5">
      <c r="A501" s="216" t="s">
        <v>808</v>
      </c>
      <c r="B501" s="310">
        <v>1.04</v>
      </c>
      <c r="C501" s="311">
        <v>1.0452356592665732</v>
      </c>
      <c r="D501" s="311">
        <v>1.0504713185331465</v>
      </c>
      <c r="E501" s="219">
        <v>1.05</v>
      </c>
    </row>
    <row r="502" spans="1:5">
      <c r="A502" s="216" t="s">
        <v>810</v>
      </c>
      <c r="B502" s="310">
        <v>1.03</v>
      </c>
      <c r="C502" s="311">
        <v>1.0450922243702878</v>
      </c>
      <c r="D502" s="311">
        <v>1.0601844487405756</v>
      </c>
      <c r="E502" s="219">
        <v>1.06</v>
      </c>
    </row>
    <row r="503" spans="1:5">
      <c r="A503" s="216" t="s">
        <v>667</v>
      </c>
      <c r="B503" s="310">
        <v>1.06</v>
      </c>
      <c r="C503" s="311">
        <v>1.0536388688308533</v>
      </c>
      <c r="D503" s="311">
        <v>1.0472777376617068</v>
      </c>
      <c r="E503" s="219">
        <v>1.05</v>
      </c>
    </row>
    <row r="504" spans="1:5">
      <c r="A504" s="216" t="s">
        <v>1707</v>
      </c>
      <c r="B504" s="310">
        <v>1.08</v>
      </c>
      <c r="C504" s="311">
        <v>1.0762502677849364</v>
      </c>
      <c r="D504" s="311">
        <v>1.0725005355698729</v>
      </c>
      <c r="E504" s="219">
        <v>1.07</v>
      </c>
    </row>
    <row r="505" spans="1:5">
      <c r="A505" s="216" t="s">
        <v>1709</v>
      </c>
      <c r="B505" s="310">
        <v>1.05</v>
      </c>
      <c r="C505" s="311">
        <v>1.0557734932095699</v>
      </c>
      <c r="D505" s="311">
        <v>1.0615469864191398</v>
      </c>
      <c r="E505" s="219">
        <v>1.06</v>
      </c>
    </row>
    <row r="506" spans="1:5">
      <c r="A506" s="216" t="s">
        <v>1711</v>
      </c>
      <c r="B506" s="310">
        <v>1.06</v>
      </c>
      <c r="C506" s="311">
        <v>1.0570965299656179</v>
      </c>
      <c r="D506" s="311">
        <v>1.0541930599312357</v>
      </c>
      <c r="E506" s="219">
        <v>1.05</v>
      </c>
    </row>
    <row r="507" spans="1:5">
      <c r="A507" s="216" t="s">
        <v>1713</v>
      </c>
      <c r="B507" s="310">
        <v>1.1100000000000001</v>
      </c>
      <c r="C507" s="311">
        <v>1.0815820871407387</v>
      </c>
      <c r="D507" s="311">
        <v>1.053164174281477</v>
      </c>
      <c r="E507" s="219">
        <v>1.05</v>
      </c>
    </row>
    <row r="508" spans="1:5">
      <c r="A508" s="216" t="s">
        <v>1330</v>
      </c>
      <c r="B508" s="310">
        <v>1.1000000000000001</v>
      </c>
      <c r="C508" s="311">
        <v>1.0753661710641009</v>
      </c>
      <c r="D508" s="311">
        <v>1.050732342128202</v>
      </c>
      <c r="E508" s="219">
        <v>1.05</v>
      </c>
    </row>
    <row r="509" spans="1:5">
      <c r="A509" s="216" t="s">
        <v>1332</v>
      </c>
      <c r="B509" s="310">
        <v>1.1000000000000001</v>
      </c>
      <c r="C509" s="311">
        <v>1.0701072015151052</v>
      </c>
      <c r="D509" s="311">
        <v>1.0402144030302103</v>
      </c>
      <c r="E509" s="219">
        <v>1.04</v>
      </c>
    </row>
    <row r="510" spans="1:5">
      <c r="A510" s="216" t="s">
        <v>979</v>
      </c>
      <c r="B510" s="310">
        <v>1.06</v>
      </c>
      <c r="C510" s="311">
        <v>1.0913640792849311</v>
      </c>
      <c r="D510" s="311">
        <v>1.1227281585698621</v>
      </c>
      <c r="E510" s="219">
        <v>1.1200000000000001</v>
      </c>
    </row>
    <row r="511" spans="1:5">
      <c r="A511" s="216" t="s">
        <v>1334</v>
      </c>
      <c r="B511" s="310">
        <v>1.05</v>
      </c>
      <c r="C511" s="311">
        <v>1.0772017958458437</v>
      </c>
      <c r="D511" s="311">
        <v>1.1044035916916874</v>
      </c>
      <c r="E511" s="219">
        <v>1.1000000000000001</v>
      </c>
    </row>
    <row r="512" spans="1:5">
      <c r="A512" s="216" t="s">
        <v>235</v>
      </c>
      <c r="B512" s="310">
        <v>1.06</v>
      </c>
      <c r="C512" s="311">
        <v>1.0829130331215762</v>
      </c>
      <c r="D512" s="311">
        <v>1.1058260662431525</v>
      </c>
      <c r="E512" s="219">
        <v>1.1100000000000001</v>
      </c>
    </row>
    <row r="513" spans="1:5">
      <c r="A513" s="216" t="s">
        <v>3961</v>
      </c>
      <c r="B513" s="310">
        <v>1.08</v>
      </c>
      <c r="C513" s="311">
        <v>1.1147683495161538</v>
      </c>
      <c r="D513" s="311">
        <v>1.1495366990323075</v>
      </c>
      <c r="E513" s="219">
        <v>1.1499999999999999</v>
      </c>
    </row>
    <row r="514" spans="1:5">
      <c r="A514" s="216" t="s">
        <v>2359</v>
      </c>
      <c r="B514" s="310">
        <v>1.04</v>
      </c>
      <c r="C514" s="311">
        <v>1.0643817989690807</v>
      </c>
      <c r="D514" s="311">
        <v>1.0887635979381616</v>
      </c>
      <c r="E514" s="219">
        <v>1.0900000000000001</v>
      </c>
    </row>
    <row r="515" spans="1:5">
      <c r="A515" s="216" t="s">
        <v>650</v>
      </c>
      <c r="B515" s="310">
        <v>1.07</v>
      </c>
      <c r="C515" s="311">
        <v>1.1103911101156068</v>
      </c>
      <c r="D515" s="311">
        <v>1.1507822202312137</v>
      </c>
      <c r="E515" s="219">
        <v>1.1499999999999999</v>
      </c>
    </row>
    <row r="516" spans="1:5">
      <c r="A516" s="216" t="s">
        <v>2127</v>
      </c>
      <c r="B516" s="310">
        <v>1.06</v>
      </c>
      <c r="C516" s="311">
        <v>1.0806798989575617</v>
      </c>
      <c r="D516" s="311">
        <v>1.1013597979151233</v>
      </c>
      <c r="E516" s="219">
        <v>1.1000000000000001</v>
      </c>
    </row>
    <row r="517" spans="1:5">
      <c r="A517" s="216" t="s">
        <v>3963</v>
      </c>
      <c r="B517" s="310">
        <v>1.05</v>
      </c>
      <c r="C517" s="311">
        <v>1.0566096751733696</v>
      </c>
      <c r="D517" s="311">
        <v>1.0632193503467389</v>
      </c>
      <c r="E517" s="219">
        <v>1.06</v>
      </c>
    </row>
    <row r="518" spans="1:5">
      <c r="A518" s="216" t="s">
        <v>953</v>
      </c>
      <c r="B518" s="310">
        <v>1.04</v>
      </c>
      <c r="C518" s="311">
        <v>1.0708923482349326</v>
      </c>
      <c r="D518" s="311">
        <v>1.1017846964698654</v>
      </c>
      <c r="E518" s="219">
        <v>1.1000000000000001</v>
      </c>
    </row>
    <row r="519" spans="1:5">
      <c r="A519" s="216" t="s">
        <v>971</v>
      </c>
      <c r="B519" s="310">
        <v>1.07</v>
      </c>
      <c r="C519" s="311">
        <v>1.0895936694098696</v>
      </c>
      <c r="D519" s="311">
        <v>1.1091873388197393</v>
      </c>
      <c r="E519" s="219">
        <v>1.1100000000000001</v>
      </c>
    </row>
    <row r="520" spans="1:5">
      <c r="A520" s="216" t="s">
        <v>3965</v>
      </c>
      <c r="B520" s="310">
        <v>1.08</v>
      </c>
      <c r="C520" s="311">
        <v>1.0775796136319891</v>
      </c>
      <c r="D520" s="311">
        <v>1.0751592272639781</v>
      </c>
      <c r="E520" s="219">
        <v>1.08</v>
      </c>
    </row>
    <row r="521" spans="1:5">
      <c r="A521" s="216" t="s">
        <v>3967</v>
      </c>
      <c r="B521" s="310">
        <v>1.07</v>
      </c>
      <c r="C521" s="311">
        <v>1.0657310393659309</v>
      </c>
      <c r="D521" s="311">
        <v>1.0614620787318618</v>
      </c>
      <c r="E521" s="219">
        <v>1.06</v>
      </c>
    </row>
    <row r="522" spans="1:5">
      <c r="A522" s="216" t="s">
        <v>3969</v>
      </c>
      <c r="B522" s="310">
        <v>1.06</v>
      </c>
      <c r="C522" s="311">
        <v>1.0627733806772421</v>
      </c>
      <c r="D522" s="311">
        <v>1.0655467613544842</v>
      </c>
      <c r="E522" s="219">
        <v>1.07</v>
      </c>
    </row>
    <row r="523" spans="1:5">
      <c r="A523" s="216" t="s">
        <v>757</v>
      </c>
      <c r="B523" s="310">
        <v>1.07</v>
      </c>
      <c r="C523" s="311">
        <v>1.053933653020237</v>
      </c>
      <c r="D523" s="311">
        <v>1.0378673060404739</v>
      </c>
      <c r="E523" s="219">
        <v>1.04</v>
      </c>
    </row>
    <row r="524" spans="1:5">
      <c r="A524" s="216" t="s">
        <v>759</v>
      </c>
      <c r="B524" s="310">
        <v>1.06</v>
      </c>
      <c r="C524" s="311">
        <v>1.0545662188898659</v>
      </c>
      <c r="D524" s="311">
        <v>1.0491324377797318</v>
      </c>
      <c r="E524" s="219">
        <v>1.05</v>
      </c>
    </row>
    <row r="525" spans="1:5">
      <c r="A525" s="216" t="s">
        <v>69</v>
      </c>
      <c r="B525" s="310">
        <v>1.05</v>
      </c>
      <c r="C525" s="311">
        <v>1.0611848969513082</v>
      </c>
      <c r="D525" s="311">
        <v>1.0723697939026167</v>
      </c>
      <c r="E525" s="219">
        <v>1.07</v>
      </c>
    </row>
    <row r="526" spans="1:5">
      <c r="A526" s="216" t="s">
        <v>71</v>
      </c>
      <c r="B526" s="310">
        <v>1.05</v>
      </c>
      <c r="C526" s="311">
        <v>1.0679767384579639</v>
      </c>
      <c r="D526" s="311">
        <v>1.085953476915928</v>
      </c>
      <c r="E526" s="219">
        <v>1.0900000000000001</v>
      </c>
    </row>
    <row r="527" spans="1:5">
      <c r="A527" s="216" t="s">
        <v>73</v>
      </c>
      <c r="B527" s="310">
        <v>1.05</v>
      </c>
      <c r="C527" s="311">
        <v>1.0635245168548024</v>
      </c>
      <c r="D527" s="311">
        <v>1.0770490337096048</v>
      </c>
      <c r="E527" s="219">
        <v>1.08</v>
      </c>
    </row>
    <row r="528" spans="1:5">
      <c r="A528" s="216" t="s">
        <v>75</v>
      </c>
      <c r="B528" s="310">
        <v>1.08</v>
      </c>
      <c r="C528" s="311">
        <v>1.0831895280718371</v>
      </c>
      <c r="D528" s="311">
        <v>1.0863790561436741</v>
      </c>
      <c r="E528" s="219">
        <v>1.0900000000000001</v>
      </c>
    </row>
    <row r="529" spans="1:5">
      <c r="A529" s="216" t="s">
        <v>1316</v>
      </c>
      <c r="B529" s="310">
        <v>1.0900000000000001</v>
      </c>
      <c r="C529" s="311">
        <v>1.0856653962341389</v>
      </c>
      <c r="D529" s="311">
        <v>1.0813307924682778</v>
      </c>
      <c r="E529" s="219">
        <v>1.08</v>
      </c>
    </row>
    <row r="530" spans="1:5">
      <c r="A530" s="216" t="s">
        <v>2600</v>
      </c>
      <c r="B530" s="310">
        <v>1.07</v>
      </c>
      <c r="C530" s="311">
        <v>1.0755398309612585</v>
      </c>
      <c r="D530" s="311">
        <v>1.0810796619225171</v>
      </c>
      <c r="E530" s="219">
        <v>1.08</v>
      </c>
    </row>
    <row r="531" spans="1:5">
      <c r="A531" s="216" t="s">
        <v>7133</v>
      </c>
      <c r="B531" s="310">
        <v>1.07</v>
      </c>
      <c r="C531" s="311">
        <v>1.0622016824213083</v>
      </c>
      <c r="D531" s="311">
        <v>1.0544033648426165</v>
      </c>
      <c r="E531" s="219">
        <v>1.05</v>
      </c>
    </row>
    <row r="532" spans="1:5">
      <c r="A532" s="216" t="s">
        <v>961</v>
      </c>
      <c r="B532" s="310">
        <v>1.06</v>
      </c>
      <c r="C532" s="311">
        <v>1.0622568425112</v>
      </c>
      <c r="D532" s="311">
        <v>1.0645136850223997</v>
      </c>
      <c r="E532" s="219">
        <v>1.06</v>
      </c>
    </row>
    <row r="533" spans="1:5">
      <c r="A533" s="216" t="s">
        <v>6024</v>
      </c>
      <c r="B533" s="310">
        <v>1.08</v>
      </c>
      <c r="C533" s="311">
        <v>1.0832680609983147</v>
      </c>
      <c r="D533" s="311">
        <v>1.0865361219966294</v>
      </c>
      <c r="E533" s="219">
        <v>1.0900000000000001</v>
      </c>
    </row>
    <row r="534" spans="1:5">
      <c r="A534" s="216" t="s">
        <v>6034</v>
      </c>
      <c r="B534" s="310">
        <v>1.06</v>
      </c>
      <c r="C534" s="311">
        <v>1.0658059085487082</v>
      </c>
      <c r="D534" s="311">
        <v>1.0716118170974163</v>
      </c>
      <c r="E534" s="219">
        <v>1.07</v>
      </c>
    </row>
    <row r="535" spans="1:5">
      <c r="A535" s="216" t="s">
        <v>7135</v>
      </c>
      <c r="B535" s="310">
        <v>1.05</v>
      </c>
      <c r="C535" s="311">
        <v>1.0488819430000649</v>
      </c>
      <c r="D535" s="311">
        <v>1.0477638860001295</v>
      </c>
      <c r="E535" s="219">
        <v>1.05</v>
      </c>
    </row>
    <row r="536" spans="1:5">
      <c r="A536" s="216" t="s">
        <v>7137</v>
      </c>
      <c r="B536" s="310">
        <v>1.08</v>
      </c>
      <c r="C536" s="311">
        <v>1.0590562607477891</v>
      </c>
      <c r="D536" s="311">
        <v>1.0381125214955782</v>
      </c>
      <c r="E536" s="219">
        <v>1.04</v>
      </c>
    </row>
    <row r="537" spans="1:5">
      <c r="A537" s="216" t="s">
        <v>7139</v>
      </c>
      <c r="B537" s="310">
        <v>1.0900000000000001</v>
      </c>
      <c r="C537" s="311">
        <v>1.0621930976394891</v>
      </c>
      <c r="D537" s="311">
        <v>1.0343861952789781</v>
      </c>
      <c r="E537" s="219">
        <v>1.03</v>
      </c>
    </row>
    <row r="538" spans="1:5">
      <c r="A538" s="216" t="s">
        <v>6178</v>
      </c>
      <c r="B538" s="310">
        <v>1.1200000000000001</v>
      </c>
      <c r="C538" s="311">
        <v>1.1230816556308927</v>
      </c>
      <c r="D538" s="311">
        <v>1.1261633112617855</v>
      </c>
      <c r="E538" s="219">
        <v>1.1299999999999999</v>
      </c>
    </row>
    <row r="539" spans="1:5">
      <c r="A539" s="216" t="s">
        <v>7145</v>
      </c>
      <c r="B539" s="310">
        <v>1.1399999999999999</v>
      </c>
      <c r="C539" s="311">
        <v>1.146532136466982</v>
      </c>
      <c r="D539" s="311">
        <v>1.1530642729339642</v>
      </c>
      <c r="E539" s="219">
        <v>1.1499999999999999</v>
      </c>
    </row>
    <row r="540" spans="1:5">
      <c r="A540" s="216" t="s">
        <v>7147</v>
      </c>
      <c r="B540" s="310">
        <v>1.1200000000000001</v>
      </c>
      <c r="C540" s="311">
        <v>1.1223350424102145</v>
      </c>
      <c r="D540" s="311">
        <v>1.124670084820429</v>
      </c>
      <c r="E540" s="219">
        <v>1.1200000000000001</v>
      </c>
    </row>
    <row r="541" spans="1:5">
      <c r="A541" s="216" t="s">
        <v>2808</v>
      </c>
      <c r="B541" s="310">
        <v>1.1399999999999999</v>
      </c>
      <c r="C541" s="311">
        <v>1.1570646941671765</v>
      </c>
      <c r="D541" s="311">
        <v>1.1741293883343531</v>
      </c>
      <c r="E541" s="219">
        <v>1.17</v>
      </c>
    </row>
    <row r="542" spans="1:5">
      <c r="A542" s="216" t="s">
        <v>2810</v>
      </c>
      <c r="B542" s="310">
        <v>1.0900000000000001</v>
      </c>
      <c r="C542" s="311">
        <v>1.071140618561476</v>
      </c>
      <c r="D542" s="311">
        <v>1.0522812371229522</v>
      </c>
      <c r="E542" s="219">
        <v>1.05</v>
      </c>
    </row>
    <row r="543" spans="1:5">
      <c r="A543" s="216" t="s">
        <v>1859</v>
      </c>
      <c r="B543" s="310">
        <v>1.0900000000000001</v>
      </c>
      <c r="C543" s="311">
        <v>1.0938969254206641</v>
      </c>
      <c r="D543" s="311">
        <v>1.0977938508413283</v>
      </c>
      <c r="E543" s="219">
        <v>1.1000000000000001</v>
      </c>
    </row>
    <row r="544" spans="1:5">
      <c r="A544" s="216" t="s">
        <v>2812</v>
      </c>
      <c r="B544" s="310">
        <v>1.1000000000000001</v>
      </c>
      <c r="C544" s="311">
        <v>1.1114796338114341</v>
      </c>
      <c r="D544" s="311">
        <v>1.1229592676228684</v>
      </c>
      <c r="E544" s="219">
        <v>1.1200000000000001</v>
      </c>
    </row>
    <row r="545" spans="1:5">
      <c r="A545" s="216" t="s">
        <v>820</v>
      </c>
      <c r="B545" s="310">
        <v>1.1200000000000001</v>
      </c>
      <c r="C545" s="311">
        <v>1.1097306916208063</v>
      </c>
      <c r="D545" s="311">
        <v>1.0994613832416122</v>
      </c>
      <c r="E545" s="219">
        <v>1.1000000000000001</v>
      </c>
    </row>
    <row r="546" spans="1:5">
      <c r="A546" s="216" t="s">
        <v>127</v>
      </c>
      <c r="B546" s="310">
        <v>1.1000000000000001</v>
      </c>
      <c r="C546" s="311">
        <v>1.0845333399879549</v>
      </c>
      <c r="D546" s="311">
        <v>1.0690666799759097</v>
      </c>
      <c r="E546" s="219">
        <v>1.07</v>
      </c>
    </row>
    <row r="547" spans="1:5">
      <c r="A547" s="216" t="s">
        <v>6189</v>
      </c>
      <c r="B547" s="310">
        <v>1.0900000000000001</v>
      </c>
      <c r="C547" s="311">
        <v>1.0916900758276238</v>
      </c>
      <c r="D547" s="311">
        <v>1.0933801516552475</v>
      </c>
      <c r="E547" s="219">
        <v>1.0900000000000001</v>
      </c>
    </row>
    <row r="548" spans="1:5">
      <c r="A548" s="216" t="s">
        <v>5130</v>
      </c>
      <c r="B548" s="310">
        <v>1.08</v>
      </c>
      <c r="C548" s="311">
        <v>1.0758630128894306</v>
      </c>
      <c r="D548" s="311">
        <v>1.0717260257788612</v>
      </c>
      <c r="E548" s="219">
        <v>1.07</v>
      </c>
    </row>
    <row r="549" spans="1:5">
      <c r="A549" s="216" t="s">
        <v>2815</v>
      </c>
      <c r="B549" s="310">
        <v>1.1299999999999999</v>
      </c>
      <c r="C549" s="311">
        <v>1.0913618802523204</v>
      </c>
      <c r="D549" s="311">
        <v>1.0527237605046409</v>
      </c>
      <c r="E549" s="219">
        <v>1.05</v>
      </c>
    </row>
    <row r="550" spans="1:5">
      <c r="A550" s="216" t="s">
        <v>3888</v>
      </c>
      <c r="B550" s="310">
        <v>1.1000000000000001</v>
      </c>
      <c r="C550" s="311">
        <v>1.1376458619252843</v>
      </c>
      <c r="D550" s="311">
        <v>1.1752917238505685</v>
      </c>
      <c r="E550" s="219">
        <v>1.18</v>
      </c>
    </row>
    <row r="551" spans="1:5">
      <c r="A551" s="216" t="s">
        <v>977</v>
      </c>
      <c r="B551" s="310">
        <v>1.1100000000000001</v>
      </c>
      <c r="C551" s="311">
        <v>1.1599864028343208</v>
      </c>
      <c r="D551" s="311">
        <v>1.2099728056686414</v>
      </c>
      <c r="E551" s="219">
        <v>1.21</v>
      </c>
    </row>
    <row r="552" spans="1:5">
      <c r="A552" s="216" t="s">
        <v>739</v>
      </c>
      <c r="B552" s="310">
        <v>1.1100000000000001</v>
      </c>
      <c r="C552" s="311">
        <v>1.1488726930186384</v>
      </c>
      <c r="D552" s="311">
        <v>1.1877453860372764</v>
      </c>
      <c r="E552" s="219">
        <v>1.19</v>
      </c>
    </row>
    <row r="553" spans="1:5">
      <c r="A553" s="216" t="s">
        <v>1855</v>
      </c>
      <c r="B553" s="310">
        <v>1.0900000000000001</v>
      </c>
      <c r="C553" s="311">
        <v>1.1111608708003518</v>
      </c>
      <c r="D553" s="311">
        <v>1.1323217416007032</v>
      </c>
      <c r="E553" s="219">
        <v>1.1299999999999999</v>
      </c>
    </row>
    <row r="554" spans="1:5">
      <c r="A554" s="216" t="s">
        <v>6025</v>
      </c>
      <c r="B554" s="310">
        <v>1.1200000000000001</v>
      </c>
      <c r="C554" s="311">
        <v>1.1523883504516315</v>
      </c>
      <c r="D554" s="311">
        <v>1.1847767009032628</v>
      </c>
      <c r="E554" s="219">
        <v>1.18</v>
      </c>
    </row>
    <row r="555" spans="1:5">
      <c r="A555" s="216" t="s">
        <v>2817</v>
      </c>
      <c r="B555" s="310">
        <v>1.08</v>
      </c>
      <c r="C555" s="311">
        <v>1.1052813048455352</v>
      </c>
      <c r="D555" s="311">
        <v>1.1305626096910701</v>
      </c>
      <c r="E555" s="219">
        <v>1.1299999999999999</v>
      </c>
    </row>
    <row r="556" spans="1:5">
      <c r="A556" s="216" t="s">
        <v>128</v>
      </c>
      <c r="B556" s="310">
        <v>1.08</v>
      </c>
      <c r="C556" s="311">
        <v>1.101614716092969</v>
      </c>
      <c r="D556" s="311">
        <v>1.123229432185938</v>
      </c>
      <c r="E556" s="219">
        <v>1.1200000000000001</v>
      </c>
    </row>
    <row r="557" spans="1:5">
      <c r="A557" s="216" t="s">
        <v>3551</v>
      </c>
      <c r="B557" s="310">
        <v>1.08</v>
      </c>
      <c r="C557" s="311">
        <v>1.1177580780101537</v>
      </c>
      <c r="D557" s="311">
        <v>1.1555161560203071</v>
      </c>
      <c r="E557" s="219">
        <v>1.1599999999999999</v>
      </c>
    </row>
    <row r="558" spans="1:5">
      <c r="A558" s="216" t="s">
        <v>1851</v>
      </c>
      <c r="B558" s="310">
        <v>1.08</v>
      </c>
      <c r="C558" s="311">
        <v>1.1139745179195522</v>
      </c>
      <c r="D558" s="311">
        <v>1.1479490358391042</v>
      </c>
      <c r="E558" s="219">
        <v>1.1499999999999999</v>
      </c>
    </row>
    <row r="559" spans="1:5">
      <c r="A559" s="216" t="s">
        <v>267</v>
      </c>
      <c r="B559" s="310">
        <v>1.06</v>
      </c>
      <c r="C559" s="311">
        <v>1.0575966842609374</v>
      </c>
      <c r="D559" s="311">
        <v>1.0551933685218746</v>
      </c>
      <c r="E559" s="219">
        <v>1.06</v>
      </c>
    </row>
    <row r="560" spans="1:5">
      <c r="A560" s="216" t="s">
        <v>2819</v>
      </c>
      <c r="B560" s="310">
        <v>1.05</v>
      </c>
      <c r="C560" s="311">
        <v>1.0497626977010457</v>
      </c>
      <c r="D560" s="311">
        <v>1.0495253954020916</v>
      </c>
      <c r="E560" s="219">
        <v>1.05</v>
      </c>
    </row>
    <row r="561" spans="1:5">
      <c r="A561" s="216" t="s">
        <v>1863</v>
      </c>
      <c r="B561" s="310">
        <v>1.06</v>
      </c>
      <c r="C561" s="311">
        <v>1.0564579791381292</v>
      </c>
      <c r="D561" s="311">
        <v>1.0529159582762584</v>
      </c>
      <c r="E561" s="219">
        <v>1.05</v>
      </c>
    </row>
    <row r="562" spans="1:5">
      <c r="A562" s="216" t="s">
        <v>449</v>
      </c>
      <c r="B562" s="310">
        <v>1.05</v>
      </c>
      <c r="C562" s="311">
        <v>1.0373107053210768</v>
      </c>
      <c r="D562" s="311">
        <v>1.0246214106421534</v>
      </c>
      <c r="E562" s="219">
        <v>1.02</v>
      </c>
    </row>
    <row r="563" spans="1:5">
      <c r="A563" s="216" t="s">
        <v>5138</v>
      </c>
      <c r="B563" s="310">
        <v>1.04</v>
      </c>
      <c r="C563" s="311">
        <v>1.0476263552974294</v>
      </c>
      <c r="D563" s="311">
        <v>1.0552527105948586</v>
      </c>
      <c r="E563" s="219">
        <v>1.06</v>
      </c>
    </row>
    <row r="564" spans="1:5">
      <c r="A564" s="216" t="s">
        <v>6027</v>
      </c>
      <c r="B564" s="310">
        <v>1.06</v>
      </c>
      <c r="C564" s="311">
        <v>1.0643365803133</v>
      </c>
      <c r="D564" s="311">
        <v>1.0686731606266002</v>
      </c>
      <c r="E564" s="219">
        <v>1.07</v>
      </c>
    </row>
    <row r="565" spans="1:5">
      <c r="A565" s="216" t="s">
        <v>450</v>
      </c>
      <c r="B565" s="310">
        <v>1.08</v>
      </c>
      <c r="C565" s="311">
        <v>1.0750154946670805</v>
      </c>
      <c r="D565" s="311">
        <v>1.0700309893341609</v>
      </c>
      <c r="E565" s="219">
        <v>1.07</v>
      </c>
    </row>
    <row r="566" spans="1:5">
      <c r="A566" s="216" t="s">
        <v>516</v>
      </c>
      <c r="B566" s="310">
        <v>1.06</v>
      </c>
      <c r="C566" s="311">
        <v>1.0581938713148249</v>
      </c>
      <c r="D566" s="311">
        <v>1.0563877426296497</v>
      </c>
      <c r="E566" s="219">
        <v>1.06</v>
      </c>
    </row>
    <row r="567" spans="1:5">
      <c r="A567" s="216" t="s">
        <v>1525</v>
      </c>
      <c r="B567" s="310">
        <v>1.04</v>
      </c>
      <c r="C567" s="311">
        <v>1.0473024446481638</v>
      </c>
      <c r="D567" s="311">
        <v>1.0546048892963273</v>
      </c>
      <c r="E567" s="219">
        <v>1.05</v>
      </c>
    </row>
    <row r="568" spans="1:5">
      <c r="A568" s="216" t="s">
        <v>244</v>
      </c>
      <c r="B568" s="310">
        <v>1.08</v>
      </c>
      <c r="C568" s="311">
        <v>1.1206126112662198</v>
      </c>
      <c r="D568" s="311">
        <v>1.1612252225324393</v>
      </c>
      <c r="E568" s="219">
        <v>1.1599999999999999</v>
      </c>
    </row>
    <row r="569" spans="1:5">
      <c r="A569" s="216" t="s">
        <v>1308</v>
      </c>
      <c r="B569" s="310">
        <v>1.08</v>
      </c>
      <c r="C569" s="311">
        <v>1.1304138539212274</v>
      </c>
      <c r="D569" s="311">
        <v>1.1808277078424545</v>
      </c>
      <c r="E569" s="219">
        <v>1.18</v>
      </c>
    </row>
    <row r="570" spans="1:5">
      <c r="A570" s="216" t="s">
        <v>6029</v>
      </c>
      <c r="B570" s="310">
        <v>1.1000000000000001</v>
      </c>
      <c r="C570" s="311">
        <v>1.1315292906325705</v>
      </c>
      <c r="D570" s="311">
        <v>1.1630585812651408</v>
      </c>
      <c r="E570" s="219">
        <v>1.1599999999999999</v>
      </c>
    </row>
    <row r="571" spans="1:5">
      <c r="A571" s="216" t="s">
        <v>6031</v>
      </c>
      <c r="B571" s="310">
        <v>1.08</v>
      </c>
      <c r="C571" s="311">
        <v>1.105965415061138</v>
      </c>
      <c r="D571" s="311">
        <v>1.1319308301222759</v>
      </c>
      <c r="E571" s="219">
        <v>1.1299999999999999</v>
      </c>
    </row>
    <row r="572" spans="1:5">
      <c r="A572" s="216" t="s">
        <v>5628</v>
      </c>
      <c r="B572" s="310">
        <v>1.0900000000000001</v>
      </c>
      <c r="C572" s="311">
        <v>1.1145814932325906</v>
      </c>
      <c r="D572" s="311">
        <v>1.1391629864651811</v>
      </c>
      <c r="E572" s="219">
        <v>1.1399999999999999</v>
      </c>
    </row>
    <row r="573" spans="1:5">
      <c r="A573" s="216" t="s">
        <v>5630</v>
      </c>
      <c r="B573" s="310">
        <v>1.1000000000000001</v>
      </c>
      <c r="C573" s="311">
        <v>1.1381202606504877</v>
      </c>
      <c r="D573" s="311">
        <v>1.1762405213009752</v>
      </c>
      <c r="E573" s="219">
        <v>1.18</v>
      </c>
    </row>
    <row r="574" spans="1:5">
      <c r="A574" s="216" t="s">
        <v>2395</v>
      </c>
      <c r="B574" s="310">
        <v>1.07</v>
      </c>
      <c r="C574" s="311">
        <v>1.0993260711922344</v>
      </c>
      <c r="D574" s="311">
        <v>1.1286521423844686</v>
      </c>
      <c r="E574" s="219">
        <v>1.1299999999999999</v>
      </c>
    </row>
    <row r="575" spans="1:5">
      <c r="A575" s="216" t="s">
        <v>5632</v>
      </c>
      <c r="B575" s="310">
        <v>1.0900000000000001</v>
      </c>
      <c r="C575" s="311">
        <v>1.1471167288039212</v>
      </c>
      <c r="D575" s="311">
        <v>1.2042334576078424</v>
      </c>
      <c r="E575" s="219">
        <v>1.2</v>
      </c>
    </row>
    <row r="576" spans="1:5">
      <c r="A576" s="216" t="s">
        <v>6147</v>
      </c>
      <c r="B576" s="310">
        <v>1.06</v>
      </c>
      <c r="C576" s="311">
        <v>1.0998601741692613</v>
      </c>
      <c r="D576" s="311">
        <v>1.1397203483385223</v>
      </c>
      <c r="E576" s="219">
        <v>1.1399999999999999</v>
      </c>
    </row>
    <row r="577" spans="1:5">
      <c r="A577" s="216" t="s">
        <v>1417</v>
      </c>
      <c r="B577" s="310">
        <v>1.1200000000000001</v>
      </c>
      <c r="C577" s="311">
        <v>1.0861543433302983</v>
      </c>
      <c r="D577" s="311">
        <v>1.0523086866605964</v>
      </c>
      <c r="E577" s="219">
        <v>1.05</v>
      </c>
    </row>
    <row r="578" spans="1:5">
      <c r="A578" s="216" t="s">
        <v>1419</v>
      </c>
      <c r="B578" s="310">
        <v>1.07</v>
      </c>
      <c r="C578" s="311">
        <v>1.059465861422114</v>
      </c>
      <c r="D578" s="311">
        <v>1.0489317228442276</v>
      </c>
      <c r="E578" s="219">
        <v>1.05</v>
      </c>
    </row>
    <row r="579" spans="1:5">
      <c r="A579" s="216" t="s">
        <v>2469</v>
      </c>
      <c r="B579" s="310">
        <v>1.05</v>
      </c>
      <c r="C579" s="311">
        <v>1.0633965245299761</v>
      </c>
      <c r="D579" s="311">
        <v>1.0767930490599522</v>
      </c>
      <c r="E579" s="219">
        <v>1.08</v>
      </c>
    </row>
    <row r="580" spans="1:5">
      <c r="A580" s="216" t="s">
        <v>1421</v>
      </c>
      <c r="B580" s="310">
        <v>1.05</v>
      </c>
      <c r="C580" s="311">
        <v>1.0570960688341715</v>
      </c>
      <c r="D580" s="311">
        <v>1.064192137668343</v>
      </c>
      <c r="E580" s="219">
        <v>1.06</v>
      </c>
    </row>
    <row r="581" spans="1:5">
      <c r="A581" s="216" t="s">
        <v>1423</v>
      </c>
      <c r="B581" s="310">
        <v>1.06</v>
      </c>
      <c r="C581" s="311">
        <v>1.0754553648806819</v>
      </c>
      <c r="D581" s="311">
        <v>1.0909107297613641</v>
      </c>
      <c r="E581" s="219">
        <v>1.0900000000000001</v>
      </c>
    </row>
    <row r="582" spans="1:5">
      <c r="A582" s="216" t="s">
        <v>1425</v>
      </c>
      <c r="B582" s="310">
        <v>1.05</v>
      </c>
      <c r="C582" s="311">
        <v>1.0679193643887666</v>
      </c>
      <c r="D582" s="311">
        <v>1.0858387287775333</v>
      </c>
      <c r="E582" s="219">
        <v>1.0900000000000001</v>
      </c>
    </row>
    <row r="583" spans="1:5">
      <c r="A583" s="216" t="s">
        <v>7151</v>
      </c>
      <c r="B583" s="310">
        <v>1.05</v>
      </c>
      <c r="C583" s="311">
        <v>1.0474916685671181</v>
      </c>
      <c r="D583" s="311">
        <v>1.0449833371342361</v>
      </c>
      <c r="E583" s="219">
        <v>1.04</v>
      </c>
    </row>
    <row r="584" spans="1:5">
      <c r="A584" s="216" t="s">
        <v>7153</v>
      </c>
      <c r="B584" s="310">
        <v>1.05</v>
      </c>
      <c r="C584" s="311">
        <v>1.0635445322099746</v>
      </c>
      <c r="D584" s="311">
        <v>1.0770890644199489</v>
      </c>
      <c r="E584" s="219">
        <v>1.08</v>
      </c>
    </row>
    <row r="585" spans="1:5">
      <c r="A585" s="216" t="s">
        <v>1833</v>
      </c>
      <c r="B585" s="310">
        <v>1.08</v>
      </c>
      <c r="C585" s="311">
        <v>1.0681893183373856</v>
      </c>
      <c r="D585" s="311">
        <v>1.0563786366747709</v>
      </c>
      <c r="E585" s="219">
        <v>1.06</v>
      </c>
    </row>
    <row r="586" spans="1:5">
      <c r="A586" s="216" t="s">
        <v>1835</v>
      </c>
      <c r="B586" s="310">
        <v>1.1000000000000001</v>
      </c>
      <c r="C586" s="311">
        <v>1.0749066656307193</v>
      </c>
      <c r="D586" s="311">
        <v>1.0498133312614388</v>
      </c>
      <c r="E586" s="219">
        <v>1.05</v>
      </c>
    </row>
    <row r="587" spans="1:5">
      <c r="A587" s="216" t="s">
        <v>510</v>
      </c>
      <c r="B587" s="310">
        <v>1.1200000000000001</v>
      </c>
      <c r="C587" s="311">
        <v>1.1055391443481857</v>
      </c>
      <c r="D587" s="311">
        <v>1.0910782886963712</v>
      </c>
      <c r="E587" s="219">
        <v>1.0900000000000001</v>
      </c>
    </row>
    <row r="588" spans="1:5">
      <c r="A588" s="216" t="s">
        <v>3530</v>
      </c>
      <c r="B588" s="310">
        <v>1.08</v>
      </c>
      <c r="C588" s="311">
        <v>1.0727108435488089</v>
      </c>
      <c r="D588" s="311">
        <v>1.0654216870976174</v>
      </c>
      <c r="E588" s="219">
        <v>1.07</v>
      </c>
    </row>
    <row r="589" spans="1:5">
      <c r="A589" s="216" t="s">
        <v>3532</v>
      </c>
      <c r="B589" s="310">
        <v>1.0900000000000001</v>
      </c>
      <c r="C589" s="311">
        <v>1.0806641623702067</v>
      </c>
      <c r="D589" s="311">
        <v>1.0713283247404131</v>
      </c>
      <c r="E589" s="219">
        <v>1.07</v>
      </c>
    </row>
    <row r="590" spans="1:5">
      <c r="A590" s="216" t="s">
        <v>3534</v>
      </c>
      <c r="B590" s="310">
        <v>1.0900000000000001</v>
      </c>
      <c r="C590" s="311">
        <v>1.0755555144955384</v>
      </c>
      <c r="D590" s="311">
        <v>1.0611110289910768</v>
      </c>
      <c r="E590" s="219">
        <v>1.06</v>
      </c>
    </row>
    <row r="591" spans="1:5">
      <c r="A591" s="216" t="s">
        <v>3536</v>
      </c>
      <c r="E591" s="219"/>
    </row>
    <row r="592" spans="1:5">
      <c r="A592" s="216" t="s">
        <v>511</v>
      </c>
      <c r="B592" s="310">
        <v>1.08</v>
      </c>
      <c r="C592" s="311">
        <v>1.0695789915047649</v>
      </c>
      <c r="D592" s="311">
        <v>1.0591579830095295</v>
      </c>
      <c r="E592" s="219">
        <v>1.06</v>
      </c>
    </row>
    <row r="593" spans="1:5">
      <c r="A593" s="216" t="s">
        <v>3539</v>
      </c>
      <c r="B593" s="310">
        <v>1.08</v>
      </c>
      <c r="C593" s="311">
        <v>1.0733871110760012</v>
      </c>
      <c r="D593" s="311">
        <v>1.066774222152002</v>
      </c>
      <c r="E593" s="219">
        <v>1.07</v>
      </c>
    </row>
    <row r="594" spans="1:5">
      <c r="A594" s="216" t="s">
        <v>3541</v>
      </c>
      <c r="B594" s="310">
        <v>1.08</v>
      </c>
      <c r="C594" s="311">
        <v>1.0669346294222033</v>
      </c>
      <c r="D594" s="311">
        <v>1.0538692588444065</v>
      </c>
      <c r="E594" s="219">
        <v>1.05</v>
      </c>
    </row>
    <row r="595" spans="1:5">
      <c r="A595" s="216" t="s">
        <v>3543</v>
      </c>
      <c r="B595" s="310">
        <v>1.03</v>
      </c>
      <c r="C595" s="311">
        <v>1.0362160270142711</v>
      </c>
      <c r="D595" s="311">
        <v>1.0424320540285421</v>
      </c>
      <c r="E595" s="219">
        <v>1.04</v>
      </c>
    </row>
    <row r="596" spans="1:5">
      <c r="A596" s="216" t="s">
        <v>129</v>
      </c>
      <c r="B596" s="310">
        <v>1.05</v>
      </c>
      <c r="C596" s="311">
        <v>1.0354168197625337</v>
      </c>
      <c r="D596" s="311">
        <v>1.0208336395250674</v>
      </c>
      <c r="E596" s="219">
        <v>1.02</v>
      </c>
    </row>
    <row r="597" spans="1:5">
      <c r="A597" s="216" t="s">
        <v>6193</v>
      </c>
      <c r="B597" s="310">
        <v>1.06</v>
      </c>
      <c r="C597" s="311">
        <v>1.0584529344202824</v>
      </c>
      <c r="D597" s="311">
        <v>1.056905868840565</v>
      </c>
      <c r="E597" s="219">
        <v>1.06</v>
      </c>
    </row>
    <row r="598" spans="1:5">
      <c r="A598" s="216" t="s">
        <v>2674</v>
      </c>
      <c r="B598" s="310">
        <v>1.06</v>
      </c>
      <c r="C598" s="311">
        <v>1.0593161944436678</v>
      </c>
      <c r="D598" s="311">
        <v>1.0586323888873357</v>
      </c>
      <c r="E598" s="219">
        <v>1.06</v>
      </c>
    </row>
    <row r="599" spans="1:5">
      <c r="A599" s="216" t="s">
        <v>512</v>
      </c>
      <c r="B599" s="310">
        <v>1.04</v>
      </c>
      <c r="C599" s="311">
        <v>1.0420862111446794</v>
      </c>
      <c r="D599" s="311">
        <v>1.0441724222893589</v>
      </c>
      <c r="E599" s="219">
        <v>1.04</v>
      </c>
    </row>
    <row r="600" spans="1:5">
      <c r="A600" s="216" t="s">
        <v>600</v>
      </c>
      <c r="B600" s="310">
        <v>1.06</v>
      </c>
      <c r="C600" s="311">
        <v>1.0379061727579995</v>
      </c>
      <c r="D600" s="311">
        <v>1.0158123455159991</v>
      </c>
      <c r="E600" s="219">
        <v>1.02</v>
      </c>
    </row>
    <row r="601" spans="1:5">
      <c r="A601" s="216" t="s">
        <v>602</v>
      </c>
      <c r="B601" s="310">
        <v>1.07</v>
      </c>
      <c r="C601" s="311">
        <v>1.0540603322033659</v>
      </c>
      <c r="D601" s="311">
        <v>1.038120664406732</v>
      </c>
      <c r="E601" s="219">
        <v>1.04</v>
      </c>
    </row>
    <row r="602" spans="1:5">
      <c r="A602" s="216" t="s">
        <v>6188</v>
      </c>
      <c r="B602" s="310">
        <v>1.07</v>
      </c>
      <c r="C602" s="311">
        <v>1.0442815352566304</v>
      </c>
      <c r="D602" s="311">
        <v>1.0185630705132607</v>
      </c>
      <c r="E602" s="219">
        <v>1.02</v>
      </c>
    </row>
    <row r="603" spans="1:5">
      <c r="A603" s="216" t="s">
        <v>2016</v>
      </c>
      <c r="B603" s="310">
        <v>1.07</v>
      </c>
      <c r="C603" s="311">
        <v>1.040629691928237</v>
      </c>
      <c r="D603" s="311">
        <v>1.0112593838564736</v>
      </c>
      <c r="E603" s="219">
        <v>1.01</v>
      </c>
    </row>
    <row r="604" spans="1:5">
      <c r="A604" s="216" t="s">
        <v>2018</v>
      </c>
      <c r="B604" s="310">
        <v>1.07</v>
      </c>
      <c r="C604" s="311">
        <v>1.0450545834842233</v>
      </c>
      <c r="D604" s="311">
        <v>1.0201091669684466</v>
      </c>
      <c r="E604" s="219">
        <v>1.02</v>
      </c>
    </row>
    <row r="605" spans="1:5">
      <c r="A605" s="216" t="s">
        <v>2020</v>
      </c>
      <c r="B605" s="310">
        <v>1.06</v>
      </c>
      <c r="C605" s="311">
        <v>1.0446309317937059</v>
      </c>
      <c r="D605" s="311">
        <v>1.029261863587412</v>
      </c>
      <c r="E605" s="219">
        <v>1.03</v>
      </c>
    </row>
    <row r="606" spans="1:5">
      <c r="A606" s="216" t="s">
        <v>2024</v>
      </c>
      <c r="B606" s="310">
        <v>1.07</v>
      </c>
      <c r="C606" s="311">
        <v>1.0799695441219552</v>
      </c>
      <c r="D606" s="311">
        <v>1.0899390882439102</v>
      </c>
      <c r="E606" s="219">
        <v>1.0900000000000001</v>
      </c>
    </row>
    <row r="607" spans="1:5">
      <c r="A607" s="216" t="s">
        <v>2026</v>
      </c>
      <c r="B607" s="310">
        <v>1.06</v>
      </c>
      <c r="C607" s="311">
        <v>1.0435996976939221</v>
      </c>
      <c r="D607" s="311">
        <v>1.0271993953878444</v>
      </c>
      <c r="E607" s="219">
        <v>1.03</v>
      </c>
    </row>
    <row r="608" spans="1:5">
      <c r="A608" s="216" t="s">
        <v>242</v>
      </c>
      <c r="B608" s="310">
        <v>1.1000000000000001</v>
      </c>
      <c r="C608" s="311">
        <v>1.0878506527502165</v>
      </c>
      <c r="D608" s="311">
        <v>1.0757013055004327</v>
      </c>
      <c r="E608" s="219">
        <v>1.08</v>
      </c>
    </row>
    <row r="609" spans="1:5">
      <c r="A609" s="216" t="s">
        <v>2028</v>
      </c>
      <c r="B609" s="310">
        <v>1.06</v>
      </c>
      <c r="C609" s="311">
        <v>1.076982704576896</v>
      </c>
      <c r="D609" s="311">
        <v>1.093965409153792</v>
      </c>
      <c r="E609" s="219">
        <v>1.0900000000000001</v>
      </c>
    </row>
    <row r="610" spans="1:5">
      <c r="A610" s="216" t="s">
        <v>2030</v>
      </c>
      <c r="B610" s="310">
        <v>1.06</v>
      </c>
      <c r="C610" s="311">
        <v>1.0696347180099846</v>
      </c>
      <c r="D610" s="311">
        <v>1.0792694360199688</v>
      </c>
      <c r="E610" s="219">
        <v>1.08</v>
      </c>
    </row>
    <row r="611" spans="1:5">
      <c r="A611" s="216" t="s">
        <v>2032</v>
      </c>
      <c r="B611" s="310">
        <v>1.07</v>
      </c>
      <c r="C611" s="311">
        <v>1.0768654687529509</v>
      </c>
      <c r="D611" s="311">
        <v>1.0837309375059014</v>
      </c>
      <c r="E611" s="219">
        <v>1.08</v>
      </c>
    </row>
    <row r="612" spans="1:5">
      <c r="A612" s="216" t="s">
        <v>2034</v>
      </c>
      <c r="B612" s="310">
        <v>1.07</v>
      </c>
      <c r="C612" s="311">
        <v>1.0671021803483227</v>
      </c>
      <c r="D612" s="311">
        <v>1.0642043606966454</v>
      </c>
      <c r="E612" s="219">
        <v>1.06</v>
      </c>
    </row>
    <row r="613" spans="1:5">
      <c r="A613" s="216" t="s">
        <v>2036</v>
      </c>
      <c r="B613" s="310">
        <v>1.07</v>
      </c>
      <c r="C613" s="311">
        <v>1.0658684869563806</v>
      </c>
      <c r="D613" s="311">
        <v>1.0617369739127611</v>
      </c>
      <c r="E613" s="219">
        <v>1.06</v>
      </c>
    </row>
    <row r="614" spans="1:5">
      <c r="A614" s="216" t="s">
        <v>308</v>
      </c>
      <c r="B614" s="310">
        <v>1.07</v>
      </c>
      <c r="C614" s="311">
        <v>1.0667617737407098</v>
      </c>
      <c r="D614" s="311">
        <v>1.0635235474814195</v>
      </c>
      <c r="E614" s="219">
        <v>1.06</v>
      </c>
    </row>
    <row r="615" spans="1:5">
      <c r="A615" s="216" t="s">
        <v>310</v>
      </c>
      <c r="B615" s="310">
        <v>1.08</v>
      </c>
      <c r="C615" s="311">
        <v>1.0877409723735951</v>
      </c>
      <c r="D615" s="311">
        <v>1.0954819447471904</v>
      </c>
      <c r="E615" s="219">
        <v>1.1000000000000001</v>
      </c>
    </row>
    <row r="616" spans="1:5">
      <c r="A616" s="216" t="s">
        <v>312</v>
      </c>
      <c r="B616" s="310">
        <v>1.07</v>
      </c>
      <c r="C616" s="311">
        <v>1.0773943598669606</v>
      </c>
      <c r="D616" s="311">
        <v>1.0847887197339214</v>
      </c>
      <c r="E616" s="219">
        <v>1.08</v>
      </c>
    </row>
    <row r="617" spans="1:5">
      <c r="A617" s="216" t="s">
        <v>314</v>
      </c>
      <c r="B617" s="310">
        <v>1.0900000000000001</v>
      </c>
      <c r="C617" s="311">
        <v>1.080287029805473</v>
      </c>
      <c r="D617" s="311">
        <v>1.0705740596109459</v>
      </c>
      <c r="E617" s="219">
        <v>1.07</v>
      </c>
    </row>
    <row r="618" spans="1:5">
      <c r="A618" s="216" t="s">
        <v>316</v>
      </c>
      <c r="B618" s="310">
        <v>1.07</v>
      </c>
      <c r="C618" s="311">
        <v>1.0760231406010261</v>
      </c>
      <c r="D618" s="311">
        <v>1.0820462812020524</v>
      </c>
      <c r="E618" s="219">
        <v>1.08</v>
      </c>
    </row>
    <row r="619" spans="1:5">
      <c r="A619" s="216" t="s">
        <v>318</v>
      </c>
      <c r="B619" s="310">
        <v>1.06</v>
      </c>
      <c r="C619" s="311">
        <v>1.0670516681504361</v>
      </c>
      <c r="D619" s="311">
        <v>1.0741033363008718</v>
      </c>
      <c r="E619" s="219">
        <v>1.07</v>
      </c>
    </row>
    <row r="620" spans="1:5">
      <c r="A620" s="216" t="s">
        <v>320</v>
      </c>
      <c r="B620" s="310">
        <v>1.06</v>
      </c>
      <c r="C620" s="311">
        <v>1.065064969449059</v>
      </c>
      <c r="D620" s="311">
        <v>1.070129938898118</v>
      </c>
      <c r="E620" s="219">
        <v>1.07</v>
      </c>
    </row>
    <row r="621" spans="1:5">
      <c r="A621" s="216" t="s">
        <v>2319</v>
      </c>
      <c r="B621" s="310">
        <v>1.06</v>
      </c>
      <c r="C621" s="311">
        <v>1.0654220768850751</v>
      </c>
      <c r="D621" s="311">
        <v>1.0708441537701503</v>
      </c>
      <c r="E621" s="219">
        <v>1.07</v>
      </c>
    </row>
    <row r="622" spans="1:5">
      <c r="A622" s="216" t="s">
        <v>2321</v>
      </c>
      <c r="B622" s="310">
        <v>1.07</v>
      </c>
      <c r="C622" s="311">
        <v>1.0745599503428851</v>
      </c>
      <c r="D622" s="311">
        <v>1.0791199006857699</v>
      </c>
      <c r="E622" s="219">
        <v>1.08</v>
      </c>
    </row>
    <row r="623" spans="1:5">
      <c r="A623" s="216" t="s">
        <v>3178</v>
      </c>
      <c r="B623" s="310">
        <v>1.1299999999999999</v>
      </c>
      <c r="C623" s="311">
        <v>1.1510916112916907</v>
      </c>
      <c r="D623" s="311">
        <v>1.1721832225833813</v>
      </c>
      <c r="E623" s="219">
        <v>1.17</v>
      </c>
    </row>
    <row r="624" spans="1:5">
      <c r="A624" s="216" t="s">
        <v>249</v>
      </c>
      <c r="B624" s="310">
        <v>1.1200000000000001</v>
      </c>
      <c r="C624" s="311">
        <v>1.1570118742632629</v>
      </c>
      <c r="D624" s="311">
        <v>1.1940237485265259</v>
      </c>
      <c r="E624" s="219">
        <v>1.19</v>
      </c>
    </row>
    <row r="625" spans="1:5">
      <c r="A625" s="216" t="s">
        <v>2323</v>
      </c>
      <c r="B625" s="310">
        <v>1.1100000000000001</v>
      </c>
      <c r="C625" s="311">
        <v>1.1146284522156966</v>
      </c>
      <c r="D625" s="311">
        <v>1.1192569044313931</v>
      </c>
      <c r="E625" s="219">
        <v>1.1200000000000001</v>
      </c>
    </row>
    <row r="626" spans="1:5">
      <c r="A626" s="216" t="s">
        <v>513</v>
      </c>
      <c r="B626" s="310">
        <v>1.1000000000000001</v>
      </c>
      <c r="C626" s="311">
        <v>1.1212403219227651</v>
      </c>
      <c r="D626" s="311">
        <v>1.1424806438455304</v>
      </c>
      <c r="E626" s="219">
        <v>1.1399999999999999</v>
      </c>
    </row>
    <row r="627" spans="1:5">
      <c r="A627" s="216" t="s">
        <v>1872</v>
      </c>
      <c r="B627" s="310">
        <v>1.1000000000000001</v>
      </c>
      <c r="C627" s="311">
        <v>1.1173797476489622</v>
      </c>
      <c r="D627" s="311">
        <v>1.1347594952979243</v>
      </c>
      <c r="E627" s="219">
        <v>1.1299999999999999</v>
      </c>
    </row>
    <row r="628" spans="1:5">
      <c r="A628" s="216" t="s">
        <v>2325</v>
      </c>
      <c r="B628" s="310">
        <v>1.1200000000000001</v>
      </c>
      <c r="C628" s="311">
        <v>1.1411848311107273</v>
      </c>
      <c r="D628" s="311">
        <v>1.1623696622214545</v>
      </c>
      <c r="E628" s="219">
        <v>1.1599999999999999</v>
      </c>
    </row>
    <row r="629" spans="1:5">
      <c r="A629" s="216" t="s">
        <v>2327</v>
      </c>
      <c r="B629" s="310">
        <v>1.1100000000000001</v>
      </c>
      <c r="C629" s="311">
        <v>1.1332230828295633</v>
      </c>
      <c r="D629" s="311">
        <v>1.1564461656591263</v>
      </c>
      <c r="E629" s="219">
        <v>1.1599999999999999</v>
      </c>
    </row>
    <row r="630" spans="1:5">
      <c r="A630" s="216" t="s">
        <v>5236</v>
      </c>
      <c r="B630" s="310">
        <v>1.05</v>
      </c>
      <c r="C630" s="311">
        <v>1.0508475390036378</v>
      </c>
      <c r="D630" s="311">
        <v>1.0516950780072754</v>
      </c>
      <c r="E630" s="219">
        <v>1.05</v>
      </c>
    </row>
    <row r="631" spans="1:5">
      <c r="A631" s="216" t="s">
        <v>7700</v>
      </c>
      <c r="B631" s="310">
        <v>1.05</v>
      </c>
      <c r="C631" s="311">
        <v>1.0618044825854986</v>
      </c>
      <c r="D631" s="311">
        <v>1.0736089651709975</v>
      </c>
      <c r="E631" s="219">
        <v>1.07</v>
      </c>
    </row>
    <row r="632" spans="1:5">
      <c r="A632" s="216" t="s">
        <v>7702</v>
      </c>
      <c r="B632" s="310">
        <v>1.06</v>
      </c>
      <c r="C632" s="311">
        <v>1.0697085382069031</v>
      </c>
      <c r="D632" s="311">
        <v>1.0794170764138062</v>
      </c>
      <c r="E632" s="219">
        <v>1.08</v>
      </c>
    </row>
    <row r="633" spans="1:5">
      <c r="A633" s="216" t="s">
        <v>7704</v>
      </c>
      <c r="B633" s="310">
        <v>1.07</v>
      </c>
      <c r="C633" s="311">
        <v>1.0881537607016929</v>
      </c>
      <c r="D633" s="311">
        <v>1.106307521403386</v>
      </c>
      <c r="E633" s="219">
        <v>1.1100000000000001</v>
      </c>
    </row>
    <row r="634" spans="1:5">
      <c r="A634" s="216" t="s">
        <v>5634</v>
      </c>
      <c r="B634" s="310">
        <v>1.08</v>
      </c>
      <c r="C634" s="311">
        <v>1.0863092243769317</v>
      </c>
      <c r="D634" s="311">
        <v>1.0926184487538635</v>
      </c>
      <c r="E634" s="219">
        <v>1.0900000000000001</v>
      </c>
    </row>
    <row r="635" spans="1:5">
      <c r="A635" s="216" t="s">
        <v>5636</v>
      </c>
      <c r="B635" s="310">
        <v>1.08</v>
      </c>
      <c r="C635" s="311">
        <v>1.0827989003194751</v>
      </c>
      <c r="D635" s="311">
        <v>1.0855978006389502</v>
      </c>
      <c r="E635" s="219">
        <v>1.0900000000000001</v>
      </c>
    </row>
    <row r="636" spans="1:5">
      <c r="A636" s="216" t="s">
        <v>4016</v>
      </c>
      <c r="B636" s="310">
        <v>1.08</v>
      </c>
      <c r="C636" s="311">
        <v>1.0803313120608813</v>
      </c>
      <c r="D636" s="311">
        <v>1.0806626241217627</v>
      </c>
      <c r="E636" s="219">
        <v>1.08</v>
      </c>
    </row>
    <row r="637" spans="1:5">
      <c r="A637" s="216" t="s">
        <v>4018</v>
      </c>
      <c r="B637" s="310">
        <v>1.06</v>
      </c>
      <c r="C637" s="311">
        <v>1.07966285279337</v>
      </c>
      <c r="D637" s="311">
        <v>1.0993257055867398</v>
      </c>
      <c r="E637" s="219">
        <v>1.1000000000000001</v>
      </c>
    </row>
    <row r="638" spans="1:5">
      <c r="A638" s="216" t="s">
        <v>4020</v>
      </c>
      <c r="B638" s="310">
        <v>1.05</v>
      </c>
      <c r="C638" s="311">
        <v>1.0727864386438</v>
      </c>
      <c r="D638" s="311">
        <v>1.0955728772875999</v>
      </c>
      <c r="E638" s="219">
        <v>1.1000000000000001</v>
      </c>
    </row>
    <row r="639" spans="1:5">
      <c r="A639" s="216" t="s">
        <v>4022</v>
      </c>
      <c r="B639" s="310">
        <v>1.05</v>
      </c>
      <c r="C639" s="311">
        <v>1.0875364303978574</v>
      </c>
      <c r="D639" s="311">
        <v>1.1250728607957148</v>
      </c>
      <c r="E639" s="219">
        <v>1.1299999999999999</v>
      </c>
    </row>
    <row r="640" spans="1:5">
      <c r="A640" s="216" t="s">
        <v>2996</v>
      </c>
      <c r="B640" s="310">
        <v>1.1100000000000001</v>
      </c>
      <c r="C640" s="311">
        <v>1.1231503791789335</v>
      </c>
      <c r="D640" s="311">
        <v>1.136300758357867</v>
      </c>
      <c r="E640" s="219">
        <v>1.1399999999999999</v>
      </c>
    </row>
    <row r="641" spans="1:5">
      <c r="A641" s="216" t="s">
        <v>4028</v>
      </c>
      <c r="B641" s="310">
        <v>1.04</v>
      </c>
      <c r="C641" s="311">
        <v>1.0345011740532479</v>
      </c>
      <c r="D641" s="311">
        <v>1.0290023481064956</v>
      </c>
      <c r="E641" s="219">
        <v>1.03</v>
      </c>
    </row>
    <row r="642" spans="1:5">
      <c r="A642" s="216" t="s">
        <v>4030</v>
      </c>
      <c r="B642" s="310">
        <v>1.07</v>
      </c>
      <c r="C642" s="311">
        <v>1.0553793363491932</v>
      </c>
      <c r="D642" s="311">
        <v>1.0407586726983866</v>
      </c>
      <c r="E642" s="219">
        <v>1.04</v>
      </c>
    </row>
    <row r="643" spans="1:5">
      <c r="A643" s="216" t="s">
        <v>2903</v>
      </c>
      <c r="B643" s="310">
        <v>1.05</v>
      </c>
      <c r="C643" s="311">
        <v>1.0518367708786793</v>
      </c>
      <c r="D643" s="311">
        <v>1.0536735417573588</v>
      </c>
      <c r="E643" s="219">
        <v>1.05</v>
      </c>
    </row>
    <row r="644" spans="1:5">
      <c r="A644" s="216" t="s">
        <v>1310</v>
      </c>
      <c r="B644" s="310">
        <v>1.08</v>
      </c>
      <c r="C644" s="311">
        <v>1.0784831976123752</v>
      </c>
      <c r="D644" s="311">
        <v>1.0769663952247501</v>
      </c>
      <c r="E644" s="219">
        <v>1.08</v>
      </c>
    </row>
    <row r="645" spans="1:5">
      <c r="A645" s="216" t="s">
        <v>4032</v>
      </c>
      <c r="B645" s="310">
        <v>1.05</v>
      </c>
      <c r="C645" s="311">
        <v>1.0455821950431021</v>
      </c>
      <c r="D645" s="311">
        <v>1.0411643900862042</v>
      </c>
      <c r="E645" s="219">
        <v>1.04</v>
      </c>
    </row>
    <row r="646" spans="1:5">
      <c r="A646" s="216" t="s">
        <v>2397</v>
      </c>
      <c r="B646" s="310">
        <v>1.04</v>
      </c>
      <c r="C646" s="311">
        <v>1.0393525423677996</v>
      </c>
      <c r="D646" s="311">
        <v>1.0387050847355992</v>
      </c>
      <c r="E646" s="219">
        <v>1.04</v>
      </c>
    </row>
    <row r="647" spans="1:5">
      <c r="A647" s="216" t="s">
        <v>669</v>
      </c>
      <c r="B647" s="310">
        <v>1.04</v>
      </c>
      <c r="C647" s="311">
        <v>1.0358715235732898</v>
      </c>
      <c r="D647" s="311">
        <v>1.0317430471465796</v>
      </c>
      <c r="E647" s="219">
        <v>1.03</v>
      </c>
    </row>
    <row r="648" spans="1:5">
      <c r="A648" s="216" t="s">
        <v>4151</v>
      </c>
      <c r="B648" s="310">
        <v>1.07</v>
      </c>
      <c r="C648" s="311">
        <v>1.062864339103665</v>
      </c>
      <c r="D648" s="311">
        <v>1.0557286782073296</v>
      </c>
      <c r="E648" s="219">
        <v>1.06</v>
      </c>
    </row>
    <row r="649" spans="1:5">
      <c r="A649" s="216" t="s">
        <v>4153</v>
      </c>
      <c r="B649" s="310">
        <v>1.07</v>
      </c>
      <c r="C649" s="311">
        <v>1.0632613761418424</v>
      </c>
      <c r="D649" s="311">
        <v>1.0565227522836846</v>
      </c>
      <c r="E649" s="219">
        <v>1.06</v>
      </c>
    </row>
    <row r="650" spans="1:5">
      <c r="A650" s="216" t="s">
        <v>4155</v>
      </c>
      <c r="B650" s="310">
        <v>1.07</v>
      </c>
      <c r="C650" s="311">
        <v>1.0536293236062741</v>
      </c>
      <c r="D650" s="311">
        <v>1.037258647212548</v>
      </c>
      <c r="E650" s="219">
        <v>1.04</v>
      </c>
    </row>
    <row r="651" spans="1:5">
      <c r="A651" s="216" t="s">
        <v>4157</v>
      </c>
      <c r="B651" s="310">
        <v>1.06</v>
      </c>
      <c r="C651" s="311">
        <v>1.0509797304459447</v>
      </c>
      <c r="D651" s="311">
        <v>1.0419594608918894</v>
      </c>
      <c r="E651" s="219">
        <v>1.04</v>
      </c>
    </row>
    <row r="652" spans="1:5">
      <c r="A652" s="216" t="s">
        <v>3000</v>
      </c>
      <c r="B652" s="310">
        <v>1.07</v>
      </c>
      <c r="C652" s="311">
        <v>1.072982956028425</v>
      </c>
      <c r="D652" s="311">
        <v>1.0759659120568497</v>
      </c>
      <c r="E652" s="219">
        <v>1.08</v>
      </c>
    </row>
    <row r="653" spans="1:5">
      <c r="A653" s="216" t="s">
        <v>4159</v>
      </c>
      <c r="B653" s="310">
        <v>1.07</v>
      </c>
      <c r="C653" s="311">
        <v>1.0640700108959957</v>
      </c>
      <c r="D653" s="311">
        <v>1.0581400217919916</v>
      </c>
      <c r="E653" s="219">
        <v>1.06</v>
      </c>
    </row>
    <row r="654" spans="1:5">
      <c r="A654" s="216" t="s">
        <v>4161</v>
      </c>
      <c r="B654" s="310">
        <v>1.06</v>
      </c>
      <c r="C654" s="311">
        <v>1.0580299464998693</v>
      </c>
      <c r="D654" s="311">
        <v>1.0560598929997385</v>
      </c>
      <c r="E654" s="219">
        <v>1.06</v>
      </c>
    </row>
    <row r="655" spans="1:5">
      <c r="A655" s="216" t="s">
        <v>4163</v>
      </c>
      <c r="B655" s="310">
        <v>1.0900000000000001</v>
      </c>
      <c r="C655" s="311">
        <v>1.0699313184514201</v>
      </c>
      <c r="D655" s="311">
        <v>1.0498626369028401</v>
      </c>
      <c r="E655" s="219">
        <v>1.05</v>
      </c>
    </row>
    <row r="656" spans="1:5">
      <c r="A656" s="216" t="s">
        <v>4165</v>
      </c>
      <c r="B656" s="310">
        <v>1.0900000000000001</v>
      </c>
      <c r="C656" s="311">
        <v>1.0657743424773354</v>
      </c>
      <c r="D656" s="311">
        <v>1.0415486849546707</v>
      </c>
      <c r="E656" s="219">
        <v>1.04</v>
      </c>
    </row>
    <row r="657" spans="1:5">
      <c r="A657" s="216" t="s">
        <v>4167</v>
      </c>
      <c r="B657" s="310">
        <v>1.05</v>
      </c>
      <c r="C657" s="311">
        <v>1.0669307190934667</v>
      </c>
      <c r="D657" s="311">
        <v>1.0838614381869336</v>
      </c>
      <c r="E657" s="219">
        <v>1.08</v>
      </c>
    </row>
    <row r="658" spans="1:5">
      <c r="A658" s="216" t="s">
        <v>4169</v>
      </c>
      <c r="B658" s="310">
        <v>1.1299999999999999</v>
      </c>
      <c r="C658" s="311">
        <v>1.1192122911507556</v>
      </c>
      <c r="D658" s="311">
        <v>1.1084245823015111</v>
      </c>
      <c r="E658" s="219">
        <v>1.1100000000000001</v>
      </c>
    </row>
    <row r="659" spans="1:5">
      <c r="A659" s="216" t="s">
        <v>4171</v>
      </c>
      <c r="B659" s="310">
        <v>1.0900000000000001</v>
      </c>
      <c r="C659" s="311">
        <v>1.0934766514400973</v>
      </c>
      <c r="D659" s="311">
        <v>1.0969533028801943</v>
      </c>
      <c r="E659" s="219">
        <v>1.1000000000000001</v>
      </c>
    </row>
    <row r="660" spans="1:5">
      <c r="A660" s="216" t="s">
        <v>2055</v>
      </c>
      <c r="B660" s="310">
        <v>1.1000000000000001</v>
      </c>
      <c r="C660" s="311">
        <v>1.0856356610876285</v>
      </c>
      <c r="D660" s="311">
        <v>1.071271322175257</v>
      </c>
      <c r="E660" s="219">
        <v>1.07</v>
      </c>
    </row>
    <row r="661" spans="1:5">
      <c r="A661" s="216" t="s">
        <v>2057</v>
      </c>
      <c r="B661" s="310">
        <v>1.1100000000000001</v>
      </c>
      <c r="C661" s="311">
        <v>1.105534200676467</v>
      </c>
      <c r="D661" s="311">
        <v>1.1010684013529339</v>
      </c>
      <c r="E661" s="219">
        <v>1.1000000000000001</v>
      </c>
    </row>
    <row r="662" spans="1:5">
      <c r="A662" s="216" t="s">
        <v>2059</v>
      </c>
      <c r="B662" s="310">
        <v>1.1100000000000001</v>
      </c>
      <c r="C662" s="311">
        <v>1.0998061619092707</v>
      </c>
      <c r="D662" s="311">
        <v>1.0896123238185413</v>
      </c>
      <c r="E662" s="219">
        <v>1.0900000000000001</v>
      </c>
    </row>
    <row r="663" spans="1:5">
      <c r="A663" s="216" t="s">
        <v>1814</v>
      </c>
      <c r="B663" s="310">
        <v>1.1499999999999999</v>
      </c>
      <c r="C663" s="311">
        <v>1.1344551452281086</v>
      </c>
      <c r="D663" s="311">
        <v>1.1189102904562176</v>
      </c>
      <c r="E663" s="219">
        <v>1.1200000000000001</v>
      </c>
    </row>
    <row r="664" spans="1:5">
      <c r="A664" s="216" t="s">
        <v>958</v>
      </c>
      <c r="B664" s="310">
        <v>1.03</v>
      </c>
      <c r="C664" s="311">
        <v>1.0555136964290686</v>
      </c>
      <c r="D664" s="311">
        <v>1.0810273928581369</v>
      </c>
      <c r="E664" s="219">
        <v>1.08</v>
      </c>
    </row>
    <row r="665" spans="1:5">
      <c r="A665" s="216" t="s">
        <v>2061</v>
      </c>
      <c r="B665" s="310">
        <v>1.05</v>
      </c>
      <c r="C665" s="311">
        <v>1.0463266222225236</v>
      </c>
      <c r="D665" s="311">
        <v>1.0426532444450471</v>
      </c>
      <c r="E665" s="219">
        <v>1.04</v>
      </c>
    </row>
    <row r="666" spans="1:5">
      <c r="A666" s="216" t="s">
        <v>1845</v>
      </c>
      <c r="B666" s="310">
        <v>1.04</v>
      </c>
      <c r="C666" s="311">
        <v>1.043190810433793</v>
      </c>
      <c r="D666" s="311">
        <v>1.046381620867586</v>
      </c>
      <c r="E666" s="219">
        <v>1.05</v>
      </c>
    </row>
    <row r="667" spans="1:5">
      <c r="A667" s="216" t="s">
        <v>5237</v>
      </c>
      <c r="B667" s="310">
        <v>1.03</v>
      </c>
      <c r="C667" s="311">
        <v>1.0501180274159982</v>
      </c>
      <c r="D667" s="311">
        <v>1.0702360548319967</v>
      </c>
      <c r="E667" s="219">
        <v>1.07</v>
      </c>
    </row>
    <row r="668" spans="1:5">
      <c r="A668" s="216" t="s">
        <v>2065</v>
      </c>
      <c r="B668" s="310">
        <v>1.08</v>
      </c>
      <c r="C668" s="311">
        <v>1.1054104358439711</v>
      </c>
      <c r="D668" s="311">
        <v>1.1308208716879422</v>
      </c>
      <c r="E668" s="219">
        <v>1.1299999999999999</v>
      </c>
    </row>
    <row r="669" spans="1:5">
      <c r="A669" s="216" t="s">
        <v>2905</v>
      </c>
      <c r="B669" s="310">
        <v>1.06</v>
      </c>
      <c r="C669" s="311">
        <v>1.0812456086608249</v>
      </c>
      <c r="D669" s="311">
        <v>1.1024912173216499</v>
      </c>
      <c r="E669" s="219">
        <v>1.1000000000000001</v>
      </c>
    </row>
    <row r="670" spans="1:5">
      <c r="A670" s="216" t="s">
        <v>5238</v>
      </c>
      <c r="B670" s="310">
        <v>1.05</v>
      </c>
      <c r="C670" s="311">
        <v>1.0705568989243641</v>
      </c>
      <c r="D670" s="311">
        <v>1.091113797848728</v>
      </c>
      <c r="E670" s="219">
        <v>1.0900000000000001</v>
      </c>
    </row>
    <row r="671" spans="1:5">
      <c r="A671" s="216" t="s">
        <v>6163</v>
      </c>
      <c r="B671" s="310">
        <v>1.05</v>
      </c>
      <c r="C671" s="311">
        <v>1.0599342519233526</v>
      </c>
      <c r="D671" s="311">
        <v>1.0698685038467053</v>
      </c>
      <c r="E671" s="219">
        <v>1.07</v>
      </c>
    </row>
    <row r="672" spans="1:5">
      <c r="A672" s="216" t="s">
        <v>2470</v>
      </c>
      <c r="B672" s="310">
        <v>1.05</v>
      </c>
      <c r="C672" s="311">
        <v>1.0669419517864287</v>
      </c>
      <c r="D672" s="311">
        <v>1.0838839035728574</v>
      </c>
      <c r="E672" s="219">
        <v>1.08</v>
      </c>
    </row>
    <row r="673" spans="1:5">
      <c r="A673" s="216" t="s">
        <v>973</v>
      </c>
      <c r="B673" s="310">
        <v>1.05</v>
      </c>
      <c r="C673" s="311">
        <v>1.0605804961697092</v>
      </c>
      <c r="D673" s="311">
        <v>1.0711609923394185</v>
      </c>
      <c r="E673" s="219">
        <v>1.07</v>
      </c>
    </row>
    <row r="674" spans="1:5">
      <c r="A674" s="216" t="s">
        <v>2769</v>
      </c>
      <c r="B674" s="310">
        <v>1.04</v>
      </c>
      <c r="C674" s="311">
        <v>1.0534902755134672</v>
      </c>
      <c r="D674" s="311">
        <v>1.0669805510269341</v>
      </c>
      <c r="E674" s="219">
        <v>1.07</v>
      </c>
    </row>
    <row r="675" spans="1:5">
      <c r="A675" s="216" t="s">
        <v>3553</v>
      </c>
      <c r="B675" s="310">
        <v>1.1100000000000001</v>
      </c>
      <c r="C675" s="311">
        <v>1.1370895381497927</v>
      </c>
      <c r="D675" s="311">
        <v>1.1641790762995852</v>
      </c>
      <c r="E675" s="219">
        <v>1.1599999999999999</v>
      </c>
    </row>
    <row r="676" spans="1:5">
      <c r="A676" s="216" t="s">
        <v>3556</v>
      </c>
      <c r="B676" s="310">
        <v>1.05</v>
      </c>
      <c r="C676" s="311">
        <v>1.0697397856518696</v>
      </c>
      <c r="D676" s="311">
        <v>1.0894795713037391</v>
      </c>
      <c r="E676" s="219">
        <v>1.0900000000000001</v>
      </c>
    </row>
    <row r="677" spans="1:5">
      <c r="A677" s="216" t="s">
        <v>5052</v>
      </c>
      <c r="B677" s="310">
        <v>1.04</v>
      </c>
      <c r="C677" s="311">
        <v>1.0561382192587629</v>
      </c>
      <c r="D677" s="311">
        <v>1.0722764385175259</v>
      </c>
      <c r="E677" s="219">
        <v>1.07</v>
      </c>
    </row>
    <row r="678" spans="1:5">
      <c r="A678" s="216" t="s">
        <v>5054</v>
      </c>
      <c r="B678" s="310">
        <v>1.04</v>
      </c>
      <c r="C678" s="311">
        <v>1.0592638846935465</v>
      </c>
      <c r="D678" s="311">
        <v>1.0785277693870929</v>
      </c>
      <c r="E678" s="219">
        <v>1.08</v>
      </c>
    </row>
    <row r="679" spans="1:5">
      <c r="A679" s="216" t="s">
        <v>737</v>
      </c>
      <c r="B679" s="310">
        <v>1.04</v>
      </c>
      <c r="C679" s="311">
        <v>1.0667667455767185</v>
      </c>
      <c r="D679" s="311">
        <v>1.0935334911534369</v>
      </c>
      <c r="E679" s="219">
        <v>1.0900000000000001</v>
      </c>
    </row>
    <row r="680" spans="1:5">
      <c r="A680" s="216" t="s">
        <v>237</v>
      </c>
      <c r="B680" s="310">
        <v>1.06</v>
      </c>
      <c r="C680" s="311">
        <v>1.0814088100566503</v>
      </c>
      <c r="D680" s="311">
        <v>1.1028176201133009</v>
      </c>
      <c r="E680" s="219">
        <v>1.1000000000000001</v>
      </c>
    </row>
    <row r="681" spans="1:5">
      <c r="A681" s="216" t="s">
        <v>2307</v>
      </c>
      <c r="B681" s="310">
        <v>1.06</v>
      </c>
      <c r="C681" s="311">
        <v>1.0789699706254265</v>
      </c>
      <c r="D681" s="311">
        <v>1.0979399412508533</v>
      </c>
      <c r="E681" s="219">
        <v>1.1000000000000001</v>
      </c>
    </row>
    <row r="682" spans="1:5">
      <c r="A682" s="216" t="s">
        <v>957</v>
      </c>
      <c r="B682" s="310">
        <v>1.04</v>
      </c>
      <c r="C682" s="311">
        <v>1.0521905826615923</v>
      </c>
      <c r="D682" s="311">
        <v>1.0643811653231843</v>
      </c>
      <c r="E682" s="219">
        <v>1.06</v>
      </c>
    </row>
    <row r="683" spans="1:5">
      <c r="A683" s="216" t="s">
        <v>5056</v>
      </c>
      <c r="B683" s="310">
        <v>1.05</v>
      </c>
      <c r="C683" s="311">
        <v>1.0450738064945893</v>
      </c>
      <c r="D683" s="311">
        <v>1.0401476129891785</v>
      </c>
      <c r="E683" s="219">
        <v>1.04</v>
      </c>
    </row>
    <row r="684" spans="1:5">
      <c r="A684" s="216" t="s">
        <v>5137</v>
      </c>
      <c r="B684" s="310">
        <v>1.05</v>
      </c>
      <c r="C684" s="311">
        <v>1.0468090517110675</v>
      </c>
      <c r="D684" s="311">
        <v>1.0436181034221352</v>
      </c>
      <c r="E684" s="219">
        <v>1.04</v>
      </c>
    </row>
    <row r="685" spans="1:5">
      <c r="A685" s="216" t="s">
        <v>4568</v>
      </c>
      <c r="B685" s="310">
        <v>1.07</v>
      </c>
      <c r="C685" s="311">
        <v>1.0743922070170409</v>
      </c>
      <c r="D685" s="311">
        <v>1.0787844140340817</v>
      </c>
      <c r="E685" s="219">
        <v>1.08</v>
      </c>
    </row>
    <row r="686" spans="1:5">
      <c r="A686" s="216" t="s">
        <v>2053</v>
      </c>
      <c r="B686" s="310">
        <v>1.07</v>
      </c>
      <c r="C686" s="311">
        <v>1.1202959772506631</v>
      </c>
      <c r="D686" s="311">
        <v>1.1705919545013259</v>
      </c>
      <c r="E686" s="219">
        <v>1.17</v>
      </c>
    </row>
    <row r="687" spans="1:5">
      <c r="A687" s="216" t="s">
        <v>1846</v>
      </c>
      <c r="B687" s="310">
        <v>1.06</v>
      </c>
      <c r="C687" s="311">
        <v>1.086444704291464</v>
      </c>
      <c r="D687" s="311">
        <v>1.1128894085829282</v>
      </c>
      <c r="E687" s="219">
        <v>1.1100000000000001</v>
      </c>
    </row>
    <row r="688" spans="1:5">
      <c r="A688" s="216" t="s">
        <v>5239</v>
      </c>
      <c r="B688" s="310">
        <v>1.07</v>
      </c>
      <c r="C688" s="311">
        <v>1.1150787282745425</v>
      </c>
      <c r="D688" s="311">
        <v>1.1601574565490851</v>
      </c>
      <c r="E688" s="219">
        <v>1.1599999999999999</v>
      </c>
    </row>
    <row r="689" spans="1:5">
      <c r="A689" s="216" t="s">
        <v>1870</v>
      </c>
      <c r="B689" s="310">
        <v>1.08</v>
      </c>
      <c r="C689" s="311">
        <v>1.1249651942700405</v>
      </c>
      <c r="D689" s="311">
        <v>1.1699303885400809</v>
      </c>
      <c r="E689" s="219">
        <v>1.17</v>
      </c>
    </row>
    <row r="690" spans="1:5">
      <c r="A690" s="216" t="s">
        <v>6169</v>
      </c>
      <c r="B690" s="310">
        <v>1.08</v>
      </c>
      <c r="C690" s="311">
        <v>1.1348342023392237</v>
      </c>
      <c r="D690" s="311">
        <v>1.1896684046784476</v>
      </c>
      <c r="E690" s="219">
        <v>1.19</v>
      </c>
    </row>
    <row r="691" spans="1:5">
      <c r="A691" s="216" t="s">
        <v>574</v>
      </c>
      <c r="B691" s="310">
        <v>1.06</v>
      </c>
      <c r="C691" s="311">
        <v>1.0654017449784705</v>
      </c>
      <c r="D691" s="311">
        <v>1.0708034899569412</v>
      </c>
      <c r="E691" s="219">
        <v>1.07</v>
      </c>
    </row>
    <row r="692" spans="1:5">
      <c r="A692" s="216" t="s">
        <v>6172</v>
      </c>
      <c r="B692" s="310">
        <v>1.1399999999999999</v>
      </c>
      <c r="C692" s="311">
        <v>1.151071381692752</v>
      </c>
      <c r="D692" s="311">
        <v>1.1621427633855039</v>
      </c>
      <c r="E692" s="219">
        <v>1.1599999999999999</v>
      </c>
    </row>
    <row r="693" spans="1:5">
      <c r="A693" s="216" t="s">
        <v>578</v>
      </c>
      <c r="B693" s="310">
        <v>1.0900000000000001</v>
      </c>
      <c r="C693" s="311">
        <v>1.0845897332605299</v>
      </c>
      <c r="D693" s="311">
        <v>1.0791794665210599</v>
      </c>
      <c r="E693" s="219">
        <v>1.08</v>
      </c>
    </row>
    <row r="694" spans="1:5">
      <c r="A694" s="216" t="s">
        <v>980</v>
      </c>
      <c r="B694" s="310">
        <v>1.08</v>
      </c>
      <c r="C694" s="311">
        <v>1.0804832385589762</v>
      </c>
      <c r="D694" s="311">
        <v>1.0809664771179521</v>
      </c>
      <c r="E694" s="219">
        <v>1.08</v>
      </c>
    </row>
    <row r="695" spans="1:5">
      <c r="A695" s="216" t="s">
        <v>3972</v>
      </c>
      <c r="B695" s="310">
        <v>1.08</v>
      </c>
      <c r="C695" s="311">
        <v>1.0650744119975168</v>
      </c>
      <c r="D695" s="311">
        <v>1.0501488239950336</v>
      </c>
      <c r="E695" s="219">
        <v>1.05</v>
      </c>
    </row>
    <row r="696" spans="1:5">
      <c r="A696" s="216" t="s">
        <v>6173</v>
      </c>
      <c r="B696" s="310">
        <v>1.06</v>
      </c>
      <c r="C696" s="311">
        <v>1.0605940260466196</v>
      </c>
      <c r="D696" s="311">
        <v>1.0611880520932389</v>
      </c>
      <c r="E696" s="219">
        <v>1.06</v>
      </c>
    </row>
    <row r="697" spans="1:5">
      <c r="A697" s="216" t="s">
        <v>3974</v>
      </c>
      <c r="B697" s="310">
        <v>1.08</v>
      </c>
      <c r="C697" s="311">
        <v>1.0839782011471095</v>
      </c>
      <c r="D697" s="311">
        <v>1.087956402294219</v>
      </c>
      <c r="E697" s="219">
        <v>1.0900000000000001</v>
      </c>
    </row>
    <row r="698" spans="1:5">
      <c r="A698" s="216" t="s">
        <v>814</v>
      </c>
      <c r="B698" s="310">
        <v>1.06</v>
      </c>
      <c r="C698" s="311">
        <v>1.0610098778546817</v>
      </c>
      <c r="D698" s="311">
        <v>1.0620197557093634</v>
      </c>
      <c r="E698" s="219">
        <v>1.06</v>
      </c>
    </row>
    <row r="699" spans="1:5">
      <c r="A699" s="216" t="s">
        <v>4587</v>
      </c>
      <c r="B699" s="310">
        <v>1.08</v>
      </c>
      <c r="C699" s="311">
        <v>1.0659475690271476</v>
      </c>
      <c r="D699" s="311">
        <v>1.0518951380542949</v>
      </c>
      <c r="E699" s="219">
        <v>1.05</v>
      </c>
    </row>
    <row r="700" spans="1:5">
      <c r="A700" s="216" t="s">
        <v>1852</v>
      </c>
      <c r="B700" s="310">
        <v>1.04</v>
      </c>
      <c r="C700" s="311">
        <v>1.0538275401591259</v>
      </c>
      <c r="D700" s="311">
        <v>1.0676550803182518</v>
      </c>
      <c r="E700" s="219">
        <v>1.07</v>
      </c>
    </row>
    <row r="701" spans="1:5">
      <c r="A701" s="216" t="s">
        <v>141</v>
      </c>
      <c r="B701" s="310">
        <v>1.05</v>
      </c>
      <c r="C701" s="311">
        <v>1.0483140226195444</v>
      </c>
      <c r="D701" s="311">
        <v>1.0466280452390888</v>
      </c>
      <c r="E701" s="219">
        <v>1.05</v>
      </c>
    </row>
    <row r="702" spans="1:5">
      <c r="A702" s="216" t="s">
        <v>143</v>
      </c>
      <c r="B702" s="310">
        <v>1.04</v>
      </c>
      <c r="C702" s="311">
        <v>1.0465345260171266</v>
      </c>
      <c r="D702" s="311">
        <v>1.0530690520342534</v>
      </c>
      <c r="E702" s="219">
        <v>1.05</v>
      </c>
    </row>
    <row r="703" spans="1:5">
      <c r="A703" s="216" t="s">
        <v>1847</v>
      </c>
      <c r="B703" s="310">
        <v>1.05</v>
      </c>
      <c r="C703" s="311">
        <v>1.0490832014862035</v>
      </c>
      <c r="D703" s="311">
        <v>1.0481664029724069</v>
      </c>
      <c r="E703" s="219">
        <v>1.05</v>
      </c>
    </row>
    <row r="704" spans="1:5">
      <c r="A704" s="216" t="s">
        <v>145</v>
      </c>
      <c r="B704" s="310">
        <v>1.07</v>
      </c>
      <c r="C704" s="311">
        <v>1.0683734050281</v>
      </c>
      <c r="D704" s="311">
        <v>1.0667468100561999</v>
      </c>
      <c r="E704" s="219">
        <v>1.07</v>
      </c>
    </row>
    <row r="705" spans="1:5">
      <c r="A705" s="216" t="s">
        <v>147</v>
      </c>
      <c r="B705" s="310">
        <v>1.06</v>
      </c>
      <c r="C705" s="311">
        <v>1.0518217452297276</v>
      </c>
      <c r="D705" s="311">
        <v>1.0436434904594554</v>
      </c>
      <c r="E705" s="219">
        <v>1.04</v>
      </c>
    </row>
    <row r="706" spans="1:5">
      <c r="A706" s="216" t="s">
        <v>149</v>
      </c>
      <c r="B706" s="310">
        <v>1.08</v>
      </c>
      <c r="C706" s="311">
        <v>1.0613991175361843</v>
      </c>
      <c r="D706" s="311">
        <v>1.0427982350723686</v>
      </c>
      <c r="E706" s="219">
        <v>1.04</v>
      </c>
    </row>
    <row r="707" spans="1:5">
      <c r="A707" s="216" t="s">
        <v>1956</v>
      </c>
      <c r="B707" s="310">
        <v>1.07</v>
      </c>
      <c r="C707" s="311">
        <v>1.0730922964412053</v>
      </c>
      <c r="D707" s="311">
        <v>1.0761845928824103</v>
      </c>
      <c r="E707" s="219">
        <v>1.08</v>
      </c>
    </row>
    <row r="708" spans="1:5">
      <c r="A708" s="216" t="s">
        <v>1958</v>
      </c>
      <c r="B708" s="310">
        <v>1.06</v>
      </c>
      <c r="C708" s="311">
        <v>1.0645399196476026</v>
      </c>
      <c r="D708" s="311">
        <v>1.0690798392952052</v>
      </c>
      <c r="E708" s="219">
        <v>1.07</v>
      </c>
    </row>
    <row r="709" spans="1:5">
      <c r="A709" s="216" t="s">
        <v>1960</v>
      </c>
      <c r="B709" s="310">
        <v>1.07</v>
      </c>
      <c r="C709" s="311">
        <v>1.0577045797989051</v>
      </c>
      <c r="D709" s="311">
        <v>1.0454091595978103</v>
      </c>
      <c r="E709" s="219">
        <v>1.05</v>
      </c>
    </row>
    <row r="710" spans="1:5">
      <c r="A710" s="216" t="s">
        <v>2039</v>
      </c>
      <c r="B710" s="310">
        <v>1.07</v>
      </c>
      <c r="C710" s="311">
        <v>1.0554391607874509</v>
      </c>
      <c r="D710" s="311">
        <v>1.0408783215749018</v>
      </c>
      <c r="E710" s="219">
        <v>1.04</v>
      </c>
    </row>
    <row r="711" spans="1:5">
      <c r="A711" s="216" t="s">
        <v>2041</v>
      </c>
      <c r="B711" s="310">
        <v>1.06</v>
      </c>
      <c r="C711" s="311">
        <v>1.0538024214907387</v>
      </c>
      <c r="D711" s="311">
        <v>1.0476048429814773</v>
      </c>
      <c r="E711" s="219">
        <v>1.05</v>
      </c>
    </row>
    <row r="712" spans="1:5">
      <c r="A712" s="216" t="s">
        <v>1825</v>
      </c>
      <c r="B712" s="310">
        <v>1.06</v>
      </c>
      <c r="C712" s="311">
        <v>1.0531055796287552</v>
      </c>
      <c r="D712" s="311">
        <v>1.0462111592575101</v>
      </c>
      <c r="E712" s="219">
        <v>1.05</v>
      </c>
    </row>
    <row r="713" spans="1:5">
      <c r="A713" s="216" t="s">
        <v>1827</v>
      </c>
      <c r="B713" s="310">
        <v>1.05</v>
      </c>
      <c r="C713" s="311">
        <v>1.0545428951034148</v>
      </c>
      <c r="D713" s="311">
        <v>1.0590857902068296</v>
      </c>
      <c r="E713" s="219">
        <v>1.06</v>
      </c>
    </row>
    <row r="714" spans="1:5">
      <c r="A714" s="216" t="s">
        <v>238</v>
      </c>
      <c r="B714" s="310">
        <v>1.1599999999999999</v>
      </c>
      <c r="C714" s="311">
        <v>1.2128608365308788</v>
      </c>
      <c r="D714" s="311">
        <v>1.2657216730617575</v>
      </c>
      <c r="E714" s="219">
        <v>1.27</v>
      </c>
    </row>
    <row r="715" spans="1:5">
      <c r="A715" s="216" t="s">
        <v>1829</v>
      </c>
      <c r="B715" s="310">
        <v>1.1200000000000001</v>
      </c>
      <c r="C715" s="311">
        <v>1.146577860300559</v>
      </c>
      <c r="D715" s="311">
        <v>1.1731557206011176</v>
      </c>
      <c r="E715" s="219">
        <v>1.17</v>
      </c>
    </row>
    <row r="716" spans="1:5">
      <c r="A716" s="216" t="s">
        <v>859</v>
      </c>
      <c r="B716" s="310">
        <v>1.1299999999999999</v>
      </c>
      <c r="C716" s="311">
        <v>1.1530123790794167</v>
      </c>
      <c r="D716" s="311">
        <v>1.1760247581588334</v>
      </c>
      <c r="E716" s="219">
        <v>1.18</v>
      </c>
    </row>
    <row r="717" spans="1:5">
      <c r="A717" s="216" t="s">
        <v>3001</v>
      </c>
      <c r="B717" s="310">
        <v>1.1299999999999999</v>
      </c>
      <c r="C717" s="311">
        <v>1.1695397455715157</v>
      </c>
      <c r="D717" s="311">
        <v>1.2090794911430316</v>
      </c>
      <c r="E717" s="219">
        <v>1.21</v>
      </c>
    </row>
    <row r="718" spans="1:5">
      <c r="A718" s="216" t="s">
        <v>2405</v>
      </c>
      <c r="B718" s="310">
        <v>1.1200000000000001</v>
      </c>
      <c r="C718" s="311">
        <v>1.1504160427263281</v>
      </c>
      <c r="D718" s="311">
        <v>1.1808320854526559</v>
      </c>
      <c r="E718" s="219">
        <v>1.18</v>
      </c>
    </row>
    <row r="719" spans="1:5">
      <c r="A719" s="216" t="s">
        <v>2907</v>
      </c>
      <c r="B719" s="310">
        <v>1.1399999999999999</v>
      </c>
      <c r="C719" s="311">
        <v>1.1775809415445284</v>
      </c>
      <c r="D719" s="311">
        <v>1.2151618830890567</v>
      </c>
      <c r="E719" s="219">
        <v>1.22</v>
      </c>
    </row>
    <row r="720" spans="1:5">
      <c r="A720" s="216" t="s">
        <v>1222</v>
      </c>
      <c r="B720" s="310">
        <v>1.08</v>
      </c>
      <c r="C720" s="311">
        <v>1.0917877316214857</v>
      </c>
      <c r="D720" s="311">
        <v>1.1035754632429711</v>
      </c>
      <c r="E720" s="219">
        <v>1.1000000000000001</v>
      </c>
    </row>
    <row r="721" spans="1:5">
      <c r="A721" s="216" t="s">
        <v>1224</v>
      </c>
      <c r="B721" s="310">
        <v>1.05</v>
      </c>
      <c r="C721" s="311">
        <v>1.0684629694813759</v>
      </c>
      <c r="D721" s="311">
        <v>1.0869259389627515</v>
      </c>
      <c r="E721" s="219">
        <v>1.0900000000000001</v>
      </c>
    </row>
    <row r="722" spans="1:5">
      <c r="A722" s="216" t="s">
        <v>5375</v>
      </c>
      <c r="B722" s="310">
        <v>1.06</v>
      </c>
      <c r="C722" s="311">
        <v>1.0582286137880068</v>
      </c>
      <c r="D722" s="311">
        <v>1.0564572275760133</v>
      </c>
      <c r="E722" s="219">
        <v>1.06</v>
      </c>
    </row>
    <row r="723" spans="1:5">
      <c r="A723" s="216" t="s">
        <v>5377</v>
      </c>
      <c r="B723" s="310">
        <v>1.04</v>
      </c>
      <c r="C723" s="311">
        <v>1.0486178645332918</v>
      </c>
      <c r="D723" s="311">
        <v>1.0572357290665837</v>
      </c>
      <c r="E723" s="219">
        <v>1.06</v>
      </c>
    </row>
    <row r="724" spans="1:5">
      <c r="A724" s="216" t="s">
        <v>5379</v>
      </c>
      <c r="B724" s="310">
        <v>1.04</v>
      </c>
      <c r="C724" s="311">
        <v>1.0344285328073326</v>
      </c>
      <c r="D724" s="311">
        <v>1.0288570656146652</v>
      </c>
      <c r="E724" s="219">
        <v>1.03</v>
      </c>
    </row>
    <row r="725" spans="1:5">
      <c r="A725" s="216" t="s">
        <v>642</v>
      </c>
      <c r="B725" s="310">
        <v>1.03</v>
      </c>
      <c r="C725" s="311">
        <v>1.0303985549683907</v>
      </c>
      <c r="D725" s="311">
        <v>1.0307971099367812</v>
      </c>
      <c r="E725" s="219">
        <v>1.03</v>
      </c>
    </row>
    <row r="726" spans="1:5">
      <c r="A726" s="216" t="s">
        <v>2618</v>
      </c>
      <c r="B726" s="310">
        <v>1.03</v>
      </c>
      <c r="C726" s="311">
        <v>1.0366484646919285</v>
      </c>
      <c r="D726" s="311">
        <v>1.0432969293838568</v>
      </c>
      <c r="E726" s="219">
        <v>1.04</v>
      </c>
    </row>
    <row r="727" spans="1:5">
      <c r="A727" s="216" t="s">
        <v>644</v>
      </c>
      <c r="B727" s="310">
        <v>1.04</v>
      </c>
      <c r="C727" s="311">
        <v>1.0421492565054948</v>
      </c>
      <c r="D727" s="311">
        <v>1.0442985130109899</v>
      </c>
      <c r="E727" s="219">
        <v>1.04</v>
      </c>
    </row>
    <row r="728" spans="1:5">
      <c r="A728" s="216" t="s">
        <v>2620</v>
      </c>
      <c r="B728" s="310">
        <v>1.06</v>
      </c>
      <c r="C728" s="311">
        <v>1.057016624565658</v>
      </c>
      <c r="D728" s="311">
        <v>1.054033249131316</v>
      </c>
      <c r="E728" s="219">
        <v>1.05</v>
      </c>
    </row>
    <row r="729" spans="1:5">
      <c r="A729" s="216" t="s">
        <v>4588</v>
      </c>
      <c r="B729" s="310">
        <v>1.03</v>
      </c>
      <c r="C729" s="311">
        <v>1.0339878774484035</v>
      </c>
      <c r="D729" s="311">
        <v>1.0379757548968072</v>
      </c>
      <c r="E729" s="219">
        <v>1.04</v>
      </c>
    </row>
    <row r="730" spans="1:5">
      <c r="A730" s="216" t="s">
        <v>2622</v>
      </c>
      <c r="B730" s="310">
        <v>1.03</v>
      </c>
      <c r="C730" s="311">
        <v>1.0341151211691457</v>
      </c>
      <c r="D730" s="311">
        <v>1.0382302423382914</v>
      </c>
      <c r="E730" s="219">
        <v>1.04</v>
      </c>
    </row>
    <row r="731" spans="1:5">
      <c r="A731" s="216" t="s">
        <v>2624</v>
      </c>
      <c r="B731" s="310">
        <v>1.04</v>
      </c>
      <c r="C731" s="311">
        <v>1.0362222356868309</v>
      </c>
      <c r="D731" s="311">
        <v>1.0324444713736618</v>
      </c>
      <c r="E731" s="219">
        <v>1.03</v>
      </c>
    </row>
    <row r="732" spans="1:5">
      <c r="A732" s="216" t="s">
        <v>1523</v>
      </c>
      <c r="B732" s="310">
        <v>1.04</v>
      </c>
      <c r="C732" s="311">
        <v>1.0321065357888648</v>
      </c>
      <c r="D732" s="311">
        <v>1.0242130715777296</v>
      </c>
      <c r="E732" s="219">
        <v>1.02</v>
      </c>
    </row>
    <row r="733" spans="1:5">
      <c r="A733" s="216" t="s">
        <v>2626</v>
      </c>
      <c r="B733" s="310">
        <v>1.03</v>
      </c>
      <c r="C733" s="311">
        <v>1.0328860592386528</v>
      </c>
      <c r="D733" s="311">
        <v>1.0357721184773057</v>
      </c>
      <c r="E733" s="219">
        <v>1.04</v>
      </c>
    </row>
    <row r="734" spans="1:5">
      <c r="A734" s="216" t="s">
        <v>2628</v>
      </c>
      <c r="B734" s="310">
        <v>1.05</v>
      </c>
      <c r="C734" s="311">
        <v>1.0526616987586532</v>
      </c>
      <c r="D734" s="311">
        <v>1.0553233975173062</v>
      </c>
      <c r="E734" s="219">
        <v>1.06</v>
      </c>
    </row>
    <row r="735" spans="1:5">
      <c r="A735" s="216" t="s">
        <v>241</v>
      </c>
      <c r="B735" s="310">
        <v>1.07</v>
      </c>
      <c r="C735" s="311">
        <v>1.0806187349121075</v>
      </c>
      <c r="D735" s="311">
        <v>1.0912374698242147</v>
      </c>
      <c r="E735" s="219">
        <v>1.0900000000000001</v>
      </c>
    </row>
    <row r="736" spans="1:5">
      <c r="A736" s="216" t="s">
        <v>248</v>
      </c>
      <c r="B736" s="310">
        <v>1.04</v>
      </c>
      <c r="C736" s="311">
        <v>1.0508762381254146</v>
      </c>
      <c r="D736" s="311">
        <v>1.061752476250829</v>
      </c>
      <c r="E736" s="219">
        <v>1.06</v>
      </c>
    </row>
    <row r="737" spans="1:5">
      <c r="A737" s="216" t="s">
        <v>5084</v>
      </c>
      <c r="B737" s="310">
        <v>1.04</v>
      </c>
      <c r="C737" s="311">
        <v>1.0448319367045888</v>
      </c>
      <c r="D737" s="311">
        <v>1.0496638734091779</v>
      </c>
      <c r="E737" s="219">
        <v>1.05</v>
      </c>
    </row>
    <row r="738" spans="1:5">
      <c r="A738" s="216" t="s">
        <v>2534</v>
      </c>
      <c r="B738" s="310">
        <v>1.06</v>
      </c>
      <c r="C738" s="311">
        <v>1.0630115626527581</v>
      </c>
      <c r="D738" s="311">
        <v>1.0660231253055161</v>
      </c>
      <c r="E738" s="219">
        <v>1.07</v>
      </c>
    </row>
    <row r="739" spans="1:5">
      <c r="A739" s="216" t="s">
        <v>5086</v>
      </c>
      <c r="B739" s="310">
        <v>1.04</v>
      </c>
      <c r="C739" s="311">
        <v>1.0506752212863342</v>
      </c>
      <c r="D739" s="311">
        <v>1.0613504425726681</v>
      </c>
      <c r="E739" s="219">
        <v>1.06</v>
      </c>
    </row>
    <row r="740" spans="1:5">
      <c r="A740" s="216" t="s">
        <v>2768</v>
      </c>
      <c r="B740" s="310">
        <v>1.04</v>
      </c>
      <c r="C740" s="311">
        <v>1.0484988429795887</v>
      </c>
      <c r="D740" s="311">
        <v>1.0569976859591774</v>
      </c>
      <c r="E740" s="219">
        <v>1.06</v>
      </c>
    </row>
    <row r="741" spans="1:5">
      <c r="A741" s="216" t="s">
        <v>5088</v>
      </c>
      <c r="B741" s="310">
        <v>1.08</v>
      </c>
      <c r="C741" s="311">
        <v>1.0688410119708742</v>
      </c>
      <c r="D741" s="311">
        <v>1.0576820239417484</v>
      </c>
      <c r="E741" s="219">
        <v>1.06</v>
      </c>
    </row>
    <row r="742" spans="1:5">
      <c r="A742" s="216" t="s">
        <v>6181</v>
      </c>
      <c r="B742" s="310">
        <v>1.07</v>
      </c>
      <c r="C742" s="311">
        <v>1.0671489769912719</v>
      </c>
      <c r="D742" s="311">
        <v>1.0642979539825435</v>
      </c>
      <c r="E742" s="219">
        <v>1.06</v>
      </c>
    </row>
    <row r="743" spans="1:5">
      <c r="A743" s="216" t="s">
        <v>1848</v>
      </c>
      <c r="B743" s="310">
        <v>1.07</v>
      </c>
      <c r="C743" s="311">
        <v>1.0569191838833372</v>
      </c>
      <c r="D743" s="311">
        <v>1.043838367766674</v>
      </c>
      <c r="E743" s="219">
        <v>1.04</v>
      </c>
    </row>
    <row r="744" spans="1:5">
      <c r="A744" s="216" t="s">
        <v>2471</v>
      </c>
      <c r="B744" s="310">
        <v>1.05</v>
      </c>
      <c r="C744" s="311">
        <v>1.0519335459851118</v>
      </c>
      <c r="D744" s="311">
        <v>1.0538670919702233</v>
      </c>
      <c r="E744" s="219">
        <v>1.05</v>
      </c>
    </row>
    <row r="745" spans="1:5">
      <c r="A745" s="216" t="s">
        <v>6044</v>
      </c>
      <c r="B745" s="310">
        <v>1.07</v>
      </c>
      <c r="C745" s="311">
        <v>1.0711168939752542</v>
      </c>
      <c r="D745" s="311">
        <v>1.0722337879505084</v>
      </c>
      <c r="E745" s="219">
        <v>1.07</v>
      </c>
    </row>
    <row r="746" spans="1:5">
      <c r="A746" s="216" t="s">
        <v>6046</v>
      </c>
      <c r="B746" s="310">
        <v>1.07</v>
      </c>
      <c r="C746" s="311">
        <v>1.0574655478444175</v>
      </c>
      <c r="D746" s="311">
        <v>1.0449310956888351</v>
      </c>
      <c r="E746" s="219">
        <v>1.04</v>
      </c>
    </row>
    <row r="747" spans="1:5">
      <c r="A747" s="216" t="s">
        <v>4185</v>
      </c>
      <c r="B747" s="310">
        <v>1.06</v>
      </c>
      <c r="C747" s="311">
        <v>1.0564158976678293</v>
      </c>
      <c r="D747" s="311">
        <v>1.0528317953356585</v>
      </c>
      <c r="E747" s="219">
        <v>1.05</v>
      </c>
    </row>
    <row r="748" spans="1:5">
      <c r="A748" s="216" t="s">
        <v>6689</v>
      </c>
      <c r="B748" s="310">
        <v>1.07</v>
      </c>
      <c r="C748" s="311">
        <v>1.0709519389919904</v>
      </c>
      <c r="D748" s="311">
        <v>1.0719038779839805</v>
      </c>
      <c r="E748" s="219">
        <v>1.07</v>
      </c>
    </row>
    <row r="749" spans="1:5">
      <c r="A749" s="216" t="s">
        <v>6691</v>
      </c>
      <c r="B749" s="310">
        <v>1.08</v>
      </c>
      <c r="C749" s="311">
        <v>1.0902394288388104</v>
      </c>
      <c r="D749" s="311">
        <v>1.1004788576776208</v>
      </c>
      <c r="E749" s="219">
        <v>1.1000000000000001</v>
      </c>
    </row>
    <row r="750" spans="1:5">
      <c r="A750" s="216" t="s">
        <v>6693</v>
      </c>
      <c r="B750" s="310">
        <v>1.1100000000000001</v>
      </c>
      <c r="C750" s="311">
        <v>1.1257959947433172</v>
      </c>
      <c r="D750" s="311">
        <v>1.1415919894866344</v>
      </c>
      <c r="E750" s="219">
        <v>1.1399999999999999</v>
      </c>
    </row>
    <row r="751" spans="1:5">
      <c r="A751" s="216" t="s">
        <v>240</v>
      </c>
      <c r="B751" s="310">
        <v>1.1100000000000001</v>
      </c>
      <c r="C751" s="311">
        <v>1.15812527673762</v>
      </c>
      <c r="D751" s="311">
        <v>1.2062505534752397</v>
      </c>
      <c r="E751" s="219">
        <v>1.21</v>
      </c>
    </row>
    <row r="752" spans="1:5">
      <c r="A752" s="216" t="s">
        <v>6695</v>
      </c>
      <c r="B752" s="310">
        <v>1.1100000000000001</v>
      </c>
      <c r="C752" s="311">
        <v>1.0914389594850578</v>
      </c>
      <c r="D752" s="311">
        <v>1.0728779189701154</v>
      </c>
      <c r="E752" s="219">
        <v>1.07</v>
      </c>
    </row>
    <row r="753" spans="1:5">
      <c r="A753" s="216" t="s">
        <v>745</v>
      </c>
      <c r="B753" s="310">
        <v>1.08</v>
      </c>
      <c r="C753" s="311">
        <v>1.0744135596183013</v>
      </c>
      <c r="D753" s="311">
        <v>1.0688271192366026</v>
      </c>
      <c r="E753" s="219">
        <v>1.07</v>
      </c>
    </row>
    <row r="754" spans="1:5">
      <c r="A754" s="216" t="s">
        <v>747</v>
      </c>
      <c r="B754" s="310">
        <v>1.07</v>
      </c>
      <c r="C754" s="311">
        <v>1.0736281556473966</v>
      </c>
      <c r="D754" s="311">
        <v>1.077256311294793</v>
      </c>
      <c r="E754" s="219">
        <v>1.08</v>
      </c>
    </row>
    <row r="755" spans="1:5">
      <c r="A755" s="216" t="s">
        <v>2308</v>
      </c>
      <c r="B755" s="310">
        <v>1.1599999999999999</v>
      </c>
      <c r="C755" s="311">
        <v>1.1490990617600412</v>
      </c>
      <c r="D755" s="311">
        <v>1.1381981235200822</v>
      </c>
      <c r="E755" s="219">
        <v>1.1399999999999999</v>
      </c>
    </row>
    <row r="756" spans="1:5">
      <c r="A756" s="216" t="s">
        <v>749</v>
      </c>
      <c r="B756" s="310">
        <v>1.1000000000000001</v>
      </c>
      <c r="C756" s="311">
        <v>1.1165076595699435</v>
      </c>
      <c r="D756" s="311">
        <v>1.1330153191398866</v>
      </c>
      <c r="E756" s="219">
        <v>1.1299999999999999</v>
      </c>
    </row>
    <row r="757" spans="1:5">
      <c r="A757" s="216" t="s">
        <v>2953</v>
      </c>
      <c r="B757" s="310">
        <v>1.08</v>
      </c>
      <c r="C757" s="311">
        <v>1.087474583919795</v>
      </c>
      <c r="D757" s="311">
        <v>1.0949491678395902</v>
      </c>
      <c r="E757" s="219">
        <v>1.0900000000000001</v>
      </c>
    </row>
    <row r="758" spans="1:5">
      <c r="A758" s="216" t="s">
        <v>2955</v>
      </c>
      <c r="B758" s="310">
        <v>1.1100000000000001</v>
      </c>
      <c r="C758" s="311">
        <v>1.1252161025217466</v>
      </c>
      <c r="D758" s="311">
        <v>1.1404322050434932</v>
      </c>
      <c r="E758" s="219">
        <v>1.1399999999999999</v>
      </c>
    </row>
    <row r="759" spans="1:5">
      <c r="A759" s="216" t="s">
        <v>2957</v>
      </c>
      <c r="B759" s="310">
        <v>1.1200000000000001</v>
      </c>
      <c r="C759" s="311">
        <v>1.118576029283332</v>
      </c>
      <c r="D759" s="311">
        <v>1.1171520585666639</v>
      </c>
      <c r="E759" s="219">
        <v>1.1200000000000001</v>
      </c>
    </row>
    <row r="760" spans="1:5">
      <c r="A760" s="216" t="s">
        <v>5123</v>
      </c>
      <c r="B760" s="310">
        <v>1.1000000000000001</v>
      </c>
      <c r="C760" s="311">
        <v>1.1224250916057854</v>
      </c>
      <c r="D760" s="311">
        <v>1.1448501832115707</v>
      </c>
      <c r="E760" s="219">
        <v>1.1399999999999999</v>
      </c>
    </row>
    <row r="761" spans="1:5">
      <c r="A761" s="216" t="s">
        <v>7156</v>
      </c>
      <c r="B761" s="310">
        <v>1.0900000000000001</v>
      </c>
      <c r="C761" s="311">
        <v>1.0812734434683045</v>
      </c>
      <c r="D761" s="311">
        <v>1.0725468869366088</v>
      </c>
      <c r="E761" s="219">
        <v>1.07</v>
      </c>
    </row>
    <row r="762" spans="1:5">
      <c r="A762" s="216" t="s">
        <v>4119</v>
      </c>
      <c r="B762" s="310">
        <v>1.04</v>
      </c>
      <c r="C762" s="311">
        <v>1.0538355452747248</v>
      </c>
      <c r="D762" s="311">
        <v>1.0676710905494495</v>
      </c>
      <c r="E762" s="219">
        <v>1.07</v>
      </c>
    </row>
    <row r="763" spans="1:5">
      <c r="A763" s="216" t="s">
        <v>4121</v>
      </c>
      <c r="B763" s="310">
        <v>1.06</v>
      </c>
      <c r="C763" s="311">
        <v>1.0616411693628804</v>
      </c>
      <c r="D763" s="311">
        <v>1.0632823387257606</v>
      </c>
      <c r="E763" s="219">
        <v>1.06</v>
      </c>
    </row>
    <row r="764" spans="1:5">
      <c r="A764" s="216" t="s">
        <v>4123</v>
      </c>
      <c r="B764" s="310">
        <v>1.05</v>
      </c>
      <c r="C764" s="311">
        <v>1.0451454937274312</v>
      </c>
      <c r="D764" s="311">
        <v>1.040290987454862</v>
      </c>
      <c r="E764" s="219">
        <v>1.04</v>
      </c>
    </row>
    <row r="765" spans="1:5">
      <c r="A765" s="216" t="s">
        <v>5032</v>
      </c>
      <c r="B765" s="310">
        <v>1.1000000000000001</v>
      </c>
      <c r="C765" s="311">
        <v>1.1031421411589943</v>
      </c>
      <c r="D765" s="311">
        <v>1.1062842823179886</v>
      </c>
      <c r="E765" s="219">
        <v>1.1100000000000001</v>
      </c>
    </row>
    <row r="766" spans="1:5">
      <c r="A766" s="216" t="s">
        <v>4125</v>
      </c>
      <c r="B766" s="310">
        <v>1.08</v>
      </c>
      <c r="C766" s="311">
        <v>1.0859865094045817</v>
      </c>
      <c r="D766" s="311">
        <v>1.0919730188091636</v>
      </c>
      <c r="E766" s="219">
        <v>1.0900000000000001</v>
      </c>
    </row>
    <row r="767" spans="1:5">
      <c r="A767" s="216" t="s">
        <v>4127</v>
      </c>
      <c r="B767" s="310">
        <v>1.1100000000000001</v>
      </c>
      <c r="C767" s="311">
        <v>1.1110738658086956</v>
      </c>
      <c r="D767" s="311">
        <v>1.1121477316173909</v>
      </c>
      <c r="E767" s="219">
        <v>1.1100000000000001</v>
      </c>
    </row>
    <row r="768" spans="1:5">
      <c r="A768" s="216" t="s">
        <v>5033</v>
      </c>
      <c r="B768" s="310">
        <v>1.1000000000000001</v>
      </c>
      <c r="C768" s="311">
        <v>1.1117947310974789</v>
      </c>
      <c r="D768" s="311">
        <v>1.1235894621949578</v>
      </c>
      <c r="E768" s="219">
        <v>1.1200000000000001</v>
      </c>
    </row>
    <row r="769" spans="1:5">
      <c r="A769" s="216" t="s">
        <v>4129</v>
      </c>
      <c r="B769" s="310">
        <v>1.1000000000000001</v>
      </c>
      <c r="C769" s="311">
        <v>1.1074626931360296</v>
      </c>
      <c r="D769" s="311">
        <v>1.1149253862720592</v>
      </c>
      <c r="E769" s="219">
        <v>1.1100000000000001</v>
      </c>
    </row>
    <row r="770" spans="1:5">
      <c r="A770" s="216" t="s">
        <v>4131</v>
      </c>
      <c r="B770" s="310">
        <v>1.06</v>
      </c>
      <c r="C770" s="311">
        <v>1.0598147378956726</v>
      </c>
      <c r="D770" s="311">
        <v>1.0596294757913451</v>
      </c>
      <c r="E770" s="219">
        <v>1.06</v>
      </c>
    </row>
    <row r="771" spans="1:5">
      <c r="A771" s="216" t="s">
        <v>4133</v>
      </c>
      <c r="B771" s="310">
        <v>1.05</v>
      </c>
      <c r="C771" s="311">
        <v>1.0675470853077647</v>
      </c>
      <c r="D771" s="311">
        <v>1.0850941706155295</v>
      </c>
      <c r="E771" s="219">
        <v>1.0900000000000001</v>
      </c>
    </row>
    <row r="772" spans="1:5">
      <c r="A772" s="216" t="s">
        <v>6175</v>
      </c>
      <c r="B772" s="310">
        <v>1.07</v>
      </c>
      <c r="C772" s="311">
        <v>1.0884381826484497</v>
      </c>
      <c r="D772" s="311">
        <v>1.1068763652968996</v>
      </c>
      <c r="E772" s="219">
        <v>1.1100000000000001</v>
      </c>
    </row>
    <row r="773" spans="1:5">
      <c r="A773" s="216" t="s">
        <v>4135</v>
      </c>
      <c r="B773" s="310">
        <v>1.05</v>
      </c>
      <c r="C773" s="311">
        <v>1.0597802716115983</v>
      </c>
      <c r="D773" s="311">
        <v>1.0695605432231965</v>
      </c>
      <c r="E773" s="219">
        <v>1.07</v>
      </c>
    </row>
    <row r="774" spans="1:5">
      <c r="A774" s="216" t="s">
        <v>4137</v>
      </c>
      <c r="B774" s="310">
        <v>1.06</v>
      </c>
      <c r="C774" s="311">
        <v>1.0620834457634472</v>
      </c>
      <c r="D774" s="311">
        <v>1.0641668915268943</v>
      </c>
      <c r="E774" s="219">
        <v>1.06</v>
      </c>
    </row>
    <row r="775" spans="1:5">
      <c r="A775" s="216" t="s">
        <v>4139</v>
      </c>
      <c r="B775" s="310">
        <v>1.06</v>
      </c>
      <c r="C775" s="311">
        <v>1.0596373154083949</v>
      </c>
      <c r="D775" s="311">
        <v>1.0592746308167895</v>
      </c>
      <c r="E775" s="219">
        <v>1.06</v>
      </c>
    </row>
    <row r="776" spans="1:5">
      <c r="A776" s="216" t="s">
        <v>4141</v>
      </c>
      <c r="B776" s="310">
        <v>1.05</v>
      </c>
      <c r="C776" s="311">
        <v>1.0556687014075097</v>
      </c>
      <c r="D776" s="311">
        <v>1.0613374028150195</v>
      </c>
      <c r="E776" s="219">
        <v>1.06</v>
      </c>
    </row>
    <row r="777" spans="1:5">
      <c r="A777" s="216" t="s">
        <v>4143</v>
      </c>
      <c r="B777" s="310">
        <v>1.07</v>
      </c>
      <c r="C777" s="311">
        <v>1.0783934518889526</v>
      </c>
      <c r="D777" s="311">
        <v>1.086786903777905</v>
      </c>
      <c r="E777" s="219">
        <v>1.0900000000000001</v>
      </c>
    </row>
    <row r="778" spans="1:5">
      <c r="A778" s="216" t="s">
        <v>1318</v>
      </c>
      <c r="B778" s="310">
        <v>1.04</v>
      </c>
      <c r="C778" s="311">
        <v>1.0517155187783476</v>
      </c>
      <c r="D778" s="311">
        <v>1.0634310375566951</v>
      </c>
      <c r="E778" s="219">
        <v>1.06</v>
      </c>
    </row>
    <row r="779" spans="1:5">
      <c r="A779" s="216" t="s">
        <v>2536</v>
      </c>
      <c r="B779" s="310">
        <v>1.0900000000000001</v>
      </c>
      <c r="C779" s="311">
        <v>1.1040512608025497</v>
      </c>
      <c r="D779" s="311">
        <v>1.1181025216050993</v>
      </c>
      <c r="E779" s="219">
        <v>1.1200000000000001</v>
      </c>
    </row>
    <row r="780" spans="1:5">
      <c r="A780" s="216" t="s">
        <v>2407</v>
      </c>
      <c r="B780" s="310">
        <v>1.1100000000000001</v>
      </c>
      <c r="C780" s="311">
        <v>1.1447548968828003</v>
      </c>
      <c r="D780" s="311">
        <v>1.1795097937656007</v>
      </c>
      <c r="E780" s="219">
        <v>1.18</v>
      </c>
    </row>
    <row r="781" spans="1:5">
      <c r="A781" s="216" t="s">
        <v>5034</v>
      </c>
      <c r="B781" s="310">
        <v>1.1200000000000001</v>
      </c>
      <c r="C781" s="311">
        <v>1.1597252203606114</v>
      </c>
      <c r="D781" s="311">
        <v>1.199450440721223</v>
      </c>
      <c r="E781" s="219">
        <v>1.2</v>
      </c>
    </row>
    <row r="782" spans="1:5">
      <c r="A782" s="216" t="s">
        <v>6174</v>
      </c>
      <c r="B782" s="310">
        <v>1.1000000000000001</v>
      </c>
      <c r="C782" s="311">
        <v>1.1117538393497495</v>
      </c>
      <c r="D782" s="311">
        <v>1.1235076786994989</v>
      </c>
      <c r="E782" s="219">
        <v>1.1200000000000001</v>
      </c>
    </row>
    <row r="783" spans="1:5">
      <c r="A783" s="216" t="s">
        <v>4145</v>
      </c>
      <c r="B783" s="310">
        <v>1.1100000000000001</v>
      </c>
      <c r="C783" s="311">
        <v>1.1468378362216707</v>
      </c>
      <c r="D783" s="311">
        <v>1.1836756724433413</v>
      </c>
      <c r="E783" s="219">
        <v>1.18</v>
      </c>
    </row>
    <row r="784" spans="1:5">
      <c r="A784" s="216" t="s">
        <v>6196</v>
      </c>
      <c r="B784" s="310">
        <v>1.0900000000000001</v>
      </c>
      <c r="C784" s="311">
        <v>1.112208776705504</v>
      </c>
      <c r="D784" s="311">
        <v>1.1344175534110079</v>
      </c>
      <c r="E784" s="219">
        <v>1.1299999999999999</v>
      </c>
    </row>
    <row r="785" spans="1:5">
      <c r="A785" s="216" t="s">
        <v>6131</v>
      </c>
      <c r="B785" s="310">
        <v>1.08</v>
      </c>
      <c r="C785" s="311">
        <v>1.1020138392292056</v>
      </c>
      <c r="D785" s="311">
        <v>1.1240276784584111</v>
      </c>
      <c r="E785" s="219">
        <v>1.1200000000000001</v>
      </c>
    </row>
    <row r="786" spans="1:5">
      <c r="A786" s="216" t="s">
        <v>254</v>
      </c>
      <c r="B786" s="310">
        <v>1.1000000000000001</v>
      </c>
      <c r="C786" s="311">
        <v>1.0982742875149214</v>
      </c>
      <c r="D786" s="311">
        <v>1.0965485750298427</v>
      </c>
      <c r="E786" s="219">
        <v>1.1000000000000001</v>
      </c>
    </row>
    <row r="787" spans="1:5">
      <c r="A787" s="216" t="s">
        <v>256</v>
      </c>
      <c r="B787" s="310">
        <v>1.05</v>
      </c>
      <c r="C787" s="311">
        <v>1.0488866153755532</v>
      </c>
      <c r="D787" s="311">
        <v>1.0477732307511063</v>
      </c>
      <c r="E787" s="219">
        <v>1.05</v>
      </c>
    </row>
    <row r="788" spans="1:5">
      <c r="A788" s="216" t="s">
        <v>258</v>
      </c>
      <c r="B788" s="310">
        <v>1.05</v>
      </c>
      <c r="C788" s="311">
        <v>1.0469101089220987</v>
      </c>
      <c r="D788" s="311">
        <v>1.0438202178441973</v>
      </c>
      <c r="E788" s="219">
        <v>1.04</v>
      </c>
    </row>
    <row r="789" spans="1:5">
      <c r="A789" s="216" t="s">
        <v>260</v>
      </c>
      <c r="B789" s="310">
        <v>1.06</v>
      </c>
      <c r="C789" s="311">
        <v>1.0562689409235277</v>
      </c>
      <c r="D789" s="311">
        <v>1.0525378818470554</v>
      </c>
      <c r="E789" s="219">
        <v>1.05</v>
      </c>
    </row>
    <row r="790" spans="1:5">
      <c r="A790" s="216" t="s">
        <v>262</v>
      </c>
      <c r="B790" s="310">
        <v>1.05</v>
      </c>
      <c r="C790" s="311">
        <v>1.0374199255776901</v>
      </c>
      <c r="D790" s="311">
        <v>1.0248398511553802</v>
      </c>
      <c r="E790" s="219">
        <v>1.02</v>
      </c>
    </row>
    <row r="791" spans="1:5">
      <c r="A791" s="216" t="s">
        <v>872</v>
      </c>
      <c r="B791" s="310">
        <v>1.1100000000000001</v>
      </c>
      <c r="C791" s="311">
        <v>1.0879049220862107</v>
      </c>
      <c r="D791" s="311">
        <v>1.0658098441724213</v>
      </c>
      <c r="E791" s="219">
        <v>1.07</v>
      </c>
    </row>
    <row r="792" spans="1:5">
      <c r="A792" s="216" t="s">
        <v>874</v>
      </c>
      <c r="B792" s="310">
        <v>1.1299999999999999</v>
      </c>
      <c r="C792" s="311">
        <v>1.111288536519401</v>
      </c>
      <c r="D792" s="311">
        <v>1.0925770730388018</v>
      </c>
      <c r="E792" s="219">
        <v>1.0900000000000001</v>
      </c>
    </row>
    <row r="793" spans="1:5">
      <c r="A793" s="216" t="s">
        <v>876</v>
      </c>
      <c r="B793" s="310">
        <v>1.1000000000000001</v>
      </c>
      <c r="C793" s="311">
        <v>1.093794221288344</v>
      </c>
      <c r="D793" s="311">
        <v>1.087588442576688</v>
      </c>
      <c r="E793" s="219">
        <v>1.0900000000000001</v>
      </c>
    </row>
    <row r="794" spans="1:5">
      <c r="A794" s="216" t="s">
        <v>3040</v>
      </c>
      <c r="B794" s="310">
        <v>1.05</v>
      </c>
      <c r="C794" s="311">
        <v>1.0559684270703855</v>
      </c>
      <c r="D794" s="311">
        <v>1.061936854140771</v>
      </c>
      <c r="E794" s="219">
        <v>1.06</v>
      </c>
    </row>
    <row r="795" spans="1:5">
      <c r="A795" s="216" t="s">
        <v>3042</v>
      </c>
      <c r="B795" s="310">
        <v>1.06</v>
      </c>
      <c r="C795" s="311">
        <v>1.0558612063122892</v>
      </c>
      <c r="D795" s="311">
        <v>1.0517224126245786</v>
      </c>
      <c r="E795" s="219">
        <v>1.05</v>
      </c>
    </row>
    <row r="796" spans="1:5">
      <c r="A796" s="216" t="s">
        <v>709</v>
      </c>
      <c r="B796" s="310">
        <v>1.07</v>
      </c>
      <c r="C796" s="311">
        <v>1.0657716531975128</v>
      </c>
      <c r="D796" s="311">
        <v>1.0615433063950257</v>
      </c>
      <c r="E796" s="219">
        <v>1.06</v>
      </c>
    </row>
    <row r="797" spans="1:5">
      <c r="A797" s="216" t="s">
        <v>3044</v>
      </c>
      <c r="B797" s="310">
        <v>1.07</v>
      </c>
      <c r="C797" s="311">
        <v>1.0606546851204117</v>
      </c>
      <c r="D797" s="311">
        <v>1.0513093702408234</v>
      </c>
      <c r="E797" s="219">
        <v>1.05</v>
      </c>
    </row>
    <row r="798" spans="1:5">
      <c r="A798" s="216" t="s">
        <v>2992</v>
      </c>
      <c r="B798" s="310">
        <v>1.07</v>
      </c>
      <c r="C798" s="311">
        <v>1.0779932856433121</v>
      </c>
      <c r="D798" s="311">
        <v>1.0859865712866241</v>
      </c>
      <c r="E798" s="219">
        <v>1.0900000000000001</v>
      </c>
    </row>
    <row r="799" spans="1:5">
      <c r="A799" s="216" t="s">
        <v>3046</v>
      </c>
      <c r="B799" s="310">
        <v>1.05</v>
      </c>
      <c r="C799" s="311">
        <v>1.0509486009454889</v>
      </c>
      <c r="D799" s="311">
        <v>1.0518972018909776</v>
      </c>
      <c r="E799" s="219">
        <v>1.05</v>
      </c>
    </row>
    <row r="800" spans="1:5">
      <c r="A800" s="216" t="s">
        <v>264</v>
      </c>
      <c r="B800" s="310">
        <v>1.1100000000000001</v>
      </c>
      <c r="C800" s="311">
        <v>1.1266166110309954</v>
      </c>
      <c r="D800" s="311">
        <v>1.1432332220619905</v>
      </c>
      <c r="E800" s="219">
        <v>1.1399999999999999</v>
      </c>
    </row>
    <row r="801" spans="1:5">
      <c r="A801" s="216" t="s">
        <v>2306</v>
      </c>
      <c r="B801" s="310">
        <v>1.05</v>
      </c>
      <c r="C801" s="311">
        <v>1.0542026001506146</v>
      </c>
      <c r="D801" s="311">
        <v>1.0584052003012294</v>
      </c>
      <c r="E801" s="219">
        <v>1.06</v>
      </c>
    </row>
    <row r="802" spans="1:5">
      <c r="A802" s="216" t="s">
        <v>3048</v>
      </c>
      <c r="B802" s="310">
        <v>1.05</v>
      </c>
      <c r="C802" s="311">
        <v>1.0435543164029166</v>
      </c>
      <c r="D802" s="311">
        <v>1.0371086328058332</v>
      </c>
      <c r="E802" s="219">
        <v>1.04</v>
      </c>
    </row>
    <row r="803" spans="1:5">
      <c r="A803" s="216" t="s">
        <v>3049</v>
      </c>
      <c r="B803" s="310">
        <v>1.04</v>
      </c>
      <c r="C803" s="311">
        <v>1.0339973050745503</v>
      </c>
      <c r="D803" s="311">
        <v>1.0279946101491009</v>
      </c>
      <c r="E803" s="219">
        <v>1.03</v>
      </c>
    </row>
    <row r="804" spans="1:5">
      <c r="A804" s="216" t="s">
        <v>5035</v>
      </c>
      <c r="B804" s="310">
        <v>1.06</v>
      </c>
      <c r="C804" s="311">
        <v>1.0407061416485219</v>
      </c>
      <c r="D804" s="311">
        <v>1.0214122832970436</v>
      </c>
      <c r="E804" s="219">
        <v>1.02</v>
      </c>
    </row>
    <row r="805" spans="1:5">
      <c r="A805" s="216" t="s">
        <v>5131</v>
      </c>
      <c r="B805" s="310">
        <v>1.1000000000000001</v>
      </c>
      <c r="C805" s="311">
        <v>1.0741612129987113</v>
      </c>
      <c r="D805" s="311">
        <v>1.0483224259974226</v>
      </c>
      <c r="E805" s="219">
        <v>1.05</v>
      </c>
    </row>
    <row r="806" spans="1:5">
      <c r="A806" s="216" t="s">
        <v>5231</v>
      </c>
      <c r="B806" s="310">
        <v>1.04</v>
      </c>
      <c r="C806" s="311">
        <v>1.0556472056940707</v>
      </c>
      <c r="D806" s="311">
        <v>1.0712944113881411</v>
      </c>
      <c r="E806" s="219">
        <v>1.07</v>
      </c>
    </row>
    <row r="807" spans="1:5">
      <c r="A807" s="216" t="s">
        <v>3109</v>
      </c>
      <c r="B807" s="310">
        <v>1.06</v>
      </c>
      <c r="C807" s="311">
        <v>1.0738951495130959</v>
      </c>
      <c r="D807" s="311">
        <v>1.0877902990261918</v>
      </c>
      <c r="E807" s="219">
        <v>1.0900000000000001</v>
      </c>
    </row>
    <row r="808" spans="1:5">
      <c r="A808" s="216" t="s">
        <v>3111</v>
      </c>
      <c r="B808" s="310">
        <v>1.0900000000000001</v>
      </c>
      <c r="C808" s="311">
        <v>1.0931965366461815</v>
      </c>
      <c r="D808" s="311">
        <v>1.0963930732923632</v>
      </c>
      <c r="E808" s="219">
        <v>1.1000000000000001</v>
      </c>
    </row>
    <row r="809" spans="1:5">
      <c r="A809" s="216" t="s">
        <v>3113</v>
      </c>
      <c r="B809" s="310">
        <v>1.05</v>
      </c>
      <c r="C809" s="311">
        <v>1.0539058641842445</v>
      </c>
      <c r="D809" s="311">
        <v>1.0578117283684889</v>
      </c>
      <c r="E809" s="219">
        <v>1.06</v>
      </c>
    </row>
    <row r="810" spans="1:5">
      <c r="A810" s="216" t="s">
        <v>975</v>
      </c>
      <c r="B810" s="310">
        <v>1.05</v>
      </c>
      <c r="C810" s="311">
        <v>1.047850459945169</v>
      </c>
      <c r="D810" s="311">
        <v>1.045700919890338</v>
      </c>
      <c r="E810" s="219">
        <v>1.05</v>
      </c>
    </row>
    <row r="811" spans="1:5">
      <c r="A811" s="216" t="s">
        <v>2771</v>
      </c>
      <c r="B811" s="310">
        <v>1.05</v>
      </c>
      <c r="C811" s="311">
        <v>1.0488407254103547</v>
      </c>
      <c r="D811" s="311">
        <v>1.0476814508207093</v>
      </c>
      <c r="E811" s="219">
        <v>1.05</v>
      </c>
    </row>
    <row r="812" spans="1:5">
      <c r="A812" s="216" t="s">
        <v>2821</v>
      </c>
      <c r="B812" s="310">
        <v>1.05</v>
      </c>
      <c r="C812" s="311">
        <v>1.0561372576424743</v>
      </c>
      <c r="D812" s="311">
        <v>1.0622745152849487</v>
      </c>
      <c r="E812" s="219">
        <v>1.06</v>
      </c>
    </row>
    <row r="813" spans="1:5">
      <c r="A813" s="216" t="s">
        <v>4589</v>
      </c>
      <c r="B813" s="310">
        <v>1.04</v>
      </c>
      <c r="C813" s="311">
        <v>1.0415444091984507</v>
      </c>
      <c r="D813" s="311">
        <v>1.0430888183969012</v>
      </c>
      <c r="E813" s="219">
        <v>1.04</v>
      </c>
    </row>
    <row r="814" spans="1:5">
      <c r="A814" s="216" t="s">
        <v>2572</v>
      </c>
      <c r="B814" s="310">
        <v>1.1299999999999999</v>
      </c>
      <c r="C814" s="311">
        <v>1.1055657733584665</v>
      </c>
      <c r="D814" s="311">
        <v>1.0811315467169333</v>
      </c>
      <c r="E814" s="219">
        <v>1.08</v>
      </c>
    </row>
    <row r="815" spans="1:5">
      <c r="A815" s="216" t="s">
        <v>1507</v>
      </c>
      <c r="B815" s="310">
        <v>1.1200000000000001</v>
      </c>
      <c r="C815" s="311">
        <v>1.0723173943146067</v>
      </c>
      <c r="D815" s="311">
        <v>1.0246347886292135</v>
      </c>
      <c r="E815" s="219">
        <v>1.02</v>
      </c>
    </row>
    <row r="816" spans="1:5">
      <c r="A816" s="216" t="s">
        <v>2574</v>
      </c>
      <c r="B816" s="310">
        <v>1.07</v>
      </c>
      <c r="C816" s="311">
        <v>1.0662389010920075</v>
      </c>
      <c r="D816" s="311">
        <v>1.0624778021840147</v>
      </c>
      <c r="E816" s="219">
        <v>1.06</v>
      </c>
    </row>
    <row r="817" spans="1:5">
      <c r="A817" s="216" t="s">
        <v>2576</v>
      </c>
      <c r="B817" s="310">
        <v>1.08</v>
      </c>
      <c r="C817" s="311">
        <v>1.0790774441641164</v>
      </c>
      <c r="D817" s="311">
        <v>1.078154888328233</v>
      </c>
      <c r="E817" s="219">
        <v>1.08</v>
      </c>
    </row>
    <row r="818" spans="1:5">
      <c r="A818" s="216" t="s">
        <v>2578</v>
      </c>
      <c r="B818" s="310">
        <v>1.07</v>
      </c>
      <c r="C818" s="311">
        <v>1.0757112626547396</v>
      </c>
      <c r="D818" s="311">
        <v>1.0814225253094791</v>
      </c>
      <c r="E818" s="219">
        <v>1.08</v>
      </c>
    </row>
    <row r="819" spans="1:5">
      <c r="A819" s="216" t="s">
        <v>158</v>
      </c>
      <c r="B819" s="310">
        <v>1.08</v>
      </c>
      <c r="C819" s="311">
        <v>1.0664916575340508</v>
      </c>
      <c r="D819" s="311">
        <v>1.0529833150681014</v>
      </c>
      <c r="E819" s="219">
        <v>1.05</v>
      </c>
    </row>
    <row r="820" spans="1:5">
      <c r="A820" s="216" t="s">
        <v>5211</v>
      </c>
      <c r="B820" s="310">
        <v>1.06</v>
      </c>
      <c r="C820" s="311">
        <v>1.0558989098983831</v>
      </c>
      <c r="D820" s="311">
        <v>1.0517978197967661</v>
      </c>
      <c r="E820" s="219">
        <v>1.05</v>
      </c>
    </row>
    <row r="821" spans="1:5">
      <c r="A821" s="216" t="s">
        <v>5213</v>
      </c>
      <c r="B821" s="310">
        <v>1.0900000000000001</v>
      </c>
      <c r="C821" s="311">
        <v>1.0681260237573231</v>
      </c>
      <c r="D821" s="311">
        <v>1.046252047514646</v>
      </c>
      <c r="E821" s="219">
        <v>1.05</v>
      </c>
    </row>
    <row r="822" spans="1:5">
      <c r="A822" s="216" t="s">
        <v>5215</v>
      </c>
      <c r="B822" s="310">
        <v>1.07</v>
      </c>
      <c r="C822" s="311">
        <v>1.0705223373100994</v>
      </c>
      <c r="D822" s="311">
        <v>1.0710446746201987</v>
      </c>
      <c r="E822" s="219">
        <v>1.07</v>
      </c>
    </row>
    <row r="823" spans="1:5">
      <c r="A823" s="216" t="s">
        <v>5217</v>
      </c>
      <c r="B823" s="310">
        <v>1.1000000000000001</v>
      </c>
      <c r="C823" s="311">
        <v>1.0880062987800665</v>
      </c>
      <c r="D823" s="311">
        <v>1.0760125975601331</v>
      </c>
      <c r="E823" s="219">
        <v>1.08</v>
      </c>
    </row>
    <row r="824" spans="1:5">
      <c r="A824" s="216" t="s">
        <v>5219</v>
      </c>
      <c r="B824" s="310">
        <v>1.1299999999999999</v>
      </c>
      <c r="C824" s="311">
        <v>1.0927125642822813</v>
      </c>
      <c r="D824" s="311">
        <v>1.0554251285645626</v>
      </c>
      <c r="E824" s="219">
        <v>1.06</v>
      </c>
    </row>
    <row r="825" spans="1:5">
      <c r="A825" s="216" t="s">
        <v>2125</v>
      </c>
      <c r="B825" s="310">
        <v>1.1299999999999999</v>
      </c>
      <c r="C825" s="311">
        <v>1.1715149342561335</v>
      </c>
      <c r="D825" s="311">
        <v>1.2130298685122674</v>
      </c>
      <c r="E825" s="219">
        <v>1.21</v>
      </c>
    </row>
    <row r="826" spans="1:5">
      <c r="A826" s="216" t="s">
        <v>870</v>
      </c>
      <c r="B826" s="310">
        <v>1.1000000000000001</v>
      </c>
      <c r="C826" s="311">
        <v>1.1277808701697218</v>
      </c>
      <c r="D826" s="311">
        <v>1.1555617403394436</v>
      </c>
      <c r="E826" s="219">
        <v>1.1599999999999999</v>
      </c>
    </row>
    <row r="827" spans="1:5">
      <c r="A827" s="216" t="s">
        <v>5615</v>
      </c>
      <c r="B827" s="310">
        <v>1.06</v>
      </c>
      <c r="C827" s="311">
        <v>1.0587180676387129</v>
      </c>
      <c r="D827" s="311">
        <v>1.0574361352774257</v>
      </c>
      <c r="E827" s="219">
        <v>1.06</v>
      </c>
    </row>
    <row r="828" spans="1:5">
      <c r="A828" s="216" t="s">
        <v>4590</v>
      </c>
      <c r="B828" s="310">
        <v>1.05</v>
      </c>
      <c r="C828" s="311">
        <v>1.0470185421140161</v>
      </c>
      <c r="D828" s="311">
        <v>1.0440370842280322</v>
      </c>
      <c r="E828" s="219">
        <v>1.04</v>
      </c>
    </row>
    <row r="829" spans="1:5">
      <c r="A829" s="216" t="s">
        <v>860</v>
      </c>
      <c r="B829" s="310">
        <v>1.05</v>
      </c>
      <c r="C829" s="311">
        <v>1.0526440909510582</v>
      </c>
      <c r="D829" s="311">
        <v>1.055288181902116</v>
      </c>
      <c r="E829" s="219">
        <v>1.06</v>
      </c>
    </row>
    <row r="830" spans="1:5">
      <c r="A830" s="216" t="s">
        <v>4591</v>
      </c>
      <c r="B830" s="310">
        <v>1.07</v>
      </c>
      <c r="C830" s="311">
        <v>1.0475491389093907</v>
      </c>
      <c r="D830" s="311">
        <v>1.0250982778187816</v>
      </c>
      <c r="E830" s="219">
        <v>1.03</v>
      </c>
    </row>
    <row r="831" spans="1:5">
      <c r="A831" s="216" t="s">
        <v>5617</v>
      </c>
      <c r="B831" s="310">
        <v>1.07</v>
      </c>
      <c r="C831" s="311">
        <v>1.0886889105772664</v>
      </c>
      <c r="D831" s="311">
        <v>1.1073778211545329</v>
      </c>
      <c r="E831" s="219">
        <v>1.1100000000000001</v>
      </c>
    </row>
    <row r="832" spans="1:5">
      <c r="A832" s="216" t="s">
        <v>3150</v>
      </c>
      <c r="B832" s="310">
        <v>1.08</v>
      </c>
      <c r="C832" s="311">
        <v>1.0609733722503905</v>
      </c>
      <c r="D832" s="311">
        <v>1.0419467445007808</v>
      </c>
      <c r="E832" s="219">
        <v>1.04</v>
      </c>
    </row>
    <row r="833" spans="1:5">
      <c r="A833" s="216" t="s">
        <v>3152</v>
      </c>
      <c r="B833" s="310">
        <v>1.1000000000000001</v>
      </c>
      <c r="C833" s="311">
        <v>1.0725262730207872</v>
      </c>
      <c r="D833" s="311">
        <v>1.045052546041574</v>
      </c>
      <c r="E833" s="219">
        <v>1.05</v>
      </c>
    </row>
    <row r="834" spans="1:5">
      <c r="A834" s="216" t="s">
        <v>1949</v>
      </c>
      <c r="B834" s="310">
        <v>1.04</v>
      </c>
      <c r="C834" s="311">
        <v>1.0452385038649243</v>
      </c>
      <c r="D834" s="311">
        <v>1.0504770077298489</v>
      </c>
      <c r="E834" s="219">
        <v>1.05</v>
      </c>
    </row>
    <row r="835" spans="1:5">
      <c r="A835" s="216" t="s">
        <v>1951</v>
      </c>
      <c r="B835" s="310">
        <v>1.04</v>
      </c>
      <c r="C835" s="311">
        <v>1.0489384985976495</v>
      </c>
      <c r="D835" s="311">
        <v>1.0578769971952993</v>
      </c>
      <c r="E835" s="219">
        <v>1.06</v>
      </c>
    </row>
    <row r="836" spans="1:5">
      <c r="A836" s="216" t="s">
        <v>3154</v>
      </c>
      <c r="B836" s="310">
        <v>1.04</v>
      </c>
      <c r="C836" s="311">
        <v>1.0593937350238511</v>
      </c>
      <c r="D836" s="311">
        <v>1.0787874700477023</v>
      </c>
      <c r="E836" s="219">
        <v>1.08</v>
      </c>
    </row>
    <row r="837" spans="1:5">
      <c r="A837" s="216" t="s">
        <v>3883</v>
      </c>
      <c r="B837" s="310">
        <v>1.03</v>
      </c>
      <c r="C837" s="311">
        <v>1.0440846989754999</v>
      </c>
      <c r="D837" s="311">
        <v>1.0581693979509996</v>
      </c>
      <c r="E837" s="219">
        <v>1.06</v>
      </c>
    </row>
    <row r="838" spans="1:5">
      <c r="A838" s="216" t="s">
        <v>3156</v>
      </c>
      <c r="B838" s="310">
        <v>1.05</v>
      </c>
      <c r="C838" s="311">
        <v>1.0594626096327953</v>
      </c>
      <c r="D838" s="311">
        <v>1.0689252192655905</v>
      </c>
      <c r="E838" s="219">
        <v>1.07</v>
      </c>
    </row>
    <row r="839" spans="1:5">
      <c r="A839" s="216" t="s">
        <v>3158</v>
      </c>
      <c r="B839" s="310">
        <v>1.04</v>
      </c>
      <c r="C839" s="311">
        <v>1.0472339423423889</v>
      </c>
      <c r="D839" s="311">
        <v>1.0544678846847779</v>
      </c>
      <c r="E839" s="219">
        <v>1.05</v>
      </c>
    </row>
    <row r="840" spans="1:5">
      <c r="A840" s="216" t="s">
        <v>3160</v>
      </c>
      <c r="B840" s="310">
        <v>1.05</v>
      </c>
      <c r="C840" s="311">
        <v>1.0482832241185296</v>
      </c>
      <c r="D840" s="311">
        <v>1.0465664482370591</v>
      </c>
      <c r="E840" s="219">
        <v>1.05</v>
      </c>
    </row>
    <row r="841" spans="1:5">
      <c r="A841" s="216" t="s">
        <v>3162</v>
      </c>
      <c r="B841" s="310">
        <v>1.06</v>
      </c>
      <c r="C841" s="311">
        <v>1.0433335945571471</v>
      </c>
      <c r="D841" s="311">
        <v>1.026667189114294</v>
      </c>
      <c r="E841" s="219">
        <v>1.03</v>
      </c>
    </row>
    <row r="842" spans="1:5">
      <c r="A842" s="216" t="s">
        <v>569</v>
      </c>
      <c r="B842" s="310">
        <v>1.06</v>
      </c>
      <c r="C842" s="311">
        <v>1.039490538127247</v>
      </c>
      <c r="D842" s="311">
        <v>1.0189810762544937</v>
      </c>
      <c r="E842" s="219">
        <v>1.02</v>
      </c>
    </row>
    <row r="843" spans="1:5">
      <c r="A843" s="216" t="s">
        <v>571</v>
      </c>
      <c r="B843" s="310">
        <v>1.1000000000000001</v>
      </c>
      <c r="C843" s="311">
        <v>1.1165071835353186</v>
      </c>
      <c r="D843" s="311">
        <v>1.1330143670706372</v>
      </c>
      <c r="E843" s="219">
        <v>1.1299999999999999</v>
      </c>
    </row>
    <row r="844" spans="1:5">
      <c r="A844" s="216" t="s">
        <v>3181</v>
      </c>
      <c r="B844" s="310">
        <v>1.0900000000000001</v>
      </c>
      <c r="C844" s="311">
        <v>1.1152500976124387</v>
      </c>
      <c r="D844" s="311">
        <v>1.1405001952248774</v>
      </c>
      <c r="E844" s="219">
        <v>1.1399999999999999</v>
      </c>
    </row>
    <row r="845" spans="1:5">
      <c r="A845" s="216" t="s">
        <v>2071</v>
      </c>
      <c r="B845" s="310">
        <v>1.1000000000000001</v>
      </c>
      <c r="C845" s="311">
        <v>1.1055076740362568</v>
      </c>
      <c r="D845" s="311">
        <v>1.1110153480725133</v>
      </c>
      <c r="E845" s="219">
        <v>1.1100000000000001</v>
      </c>
    </row>
    <row r="846" spans="1:5">
      <c r="A846" s="216" t="s">
        <v>3183</v>
      </c>
      <c r="B846" s="310">
        <v>1.0900000000000001</v>
      </c>
      <c r="C846" s="311">
        <v>1.1130561613102752</v>
      </c>
      <c r="D846" s="311">
        <v>1.1361123226205501</v>
      </c>
      <c r="E846" s="219">
        <v>1.1399999999999999</v>
      </c>
    </row>
    <row r="847" spans="1:5">
      <c r="A847" s="216" t="s">
        <v>924</v>
      </c>
      <c r="B847" s="310">
        <v>1.08</v>
      </c>
      <c r="C847" s="311">
        <v>1.0966033146606819</v>
      </c>
      <c r="D847" s="311">
        <v>1.1132066293213638</v>
      </c>
      <c r="E847" s="219">
        <v>1.1100000000000001</v>
      </c>
    </row>
    <row r="848" spans="1:5">
      <c r="A848" s="216" t="s">
        <v>6165</v>
      </c>
      <c r="B848" s="310">
        <v>1.1200000000000001</v>
      </c>
      <c r="C848" s="311">
        <v>1.1160762037757526</v>
      </c>
      <c r="D848" s="311">
        <v>1.112152407551505</v>
      </c>
      <c r="E848" s="219">
        <v>1.1100000000000001</v>
      </c>
    </row>
    <row r="849" spans="1:5">
      <c r="A849" s="216" t="s">
        <v>6187</v>
      </c>
      <c r="B849" s="310">
        <v>1.0900000000000001</v>
      </c>
      <c r="C849" s="311">
        <v>1.0970093108627554</v>
      </c>
      <c r="D849" s="311">
        <v>1.1040186217255106</v>
      </c>
      <c r="E849" s="219">
        <v>1.1000000000000001</v>
      </c>
    </row>
    <row r="850" spans="1:5">
      <c r="A850" s="216" t="s">
        <v>1837</v>
      </c>
      <c r="B850" s="310">
        <v>1.1000000000000001</v>
      </c>
      <c r="C850" s="311">
        <v>1.1074227934550742</v>
      </c>
      <c r="D850" s="311">
        <v>1.1148455869101483</v>
      </c>
      <c r="E850" s="219">
        <v>1.1100000000000001</v>
      </c>
    </row>
    <row r="851" spans="1:5">
      <c r="A851" s="216" t="s">
        <v>3884</v>
      </c>
      <c r="B851" s="310">
        <v>1.1000000000000001</v>
      </c>
      <c r="C851" s="311">
        <v>1.1019980468602104</v>
      </c>
      <c r="D851" s="311">
        <v>1.1039960937204205</v>
      </c>
      <c r="E851" s="219">
        <v>1.1000000000000001</v>
      </c>
    </row>
    <row r="852" spans="1:5">
      <c r="A852" s="216" t="s">
        <v>2390</v>
      </c>
      <c r="B852" s="310">
        <v>1.02</v>
      </c>
      <c r="C852" s="311">
        <v>1.0451504661894488</v>
      </c>
      <c r="D852" s="311">
        <v>1.0703009323788979</v>
      </c>
      <c r="E852" s="219">
        <v>1.07</v>
      </c>
    </row>
    <row r="853" spans="1:5">
      <c r="A853" s="216" t="s">
        <v>926</v>
      </c>
      <c r="B853" s="310">
        <v>1.04</v>
      </c>
      <c r="C853" s="311">
        <v>1.0406738769804194</v>
      </c>
      <c r="D853" s="311">
        <v>1.0413477539608385</v>
      </c>
      <c r="E853" s="219">
        <v>1.04</v>
      </c>
    </row>
    <row r="854" spans="1:5">
      <c r="A854" s="216" t="s">
        <v>928</v>
      </c>
      <c r="B854" s="310">
        <v>1.04</v>
      </c>
      <c r="C854" s="311">
        <v>1.0507205343986039</v>
      </c>
      <c r="D854" s="311">
        <v>1.0614410687972078</v>
      </c>
      <c r="E854" s="219">
        <v>1.06</v>
      </c>
    </row>
    <row r="855" spans="1:5">
      <c r="A855" s="216" t="s">
        <v>930</v>
      </c>
      <c r="B855" s="310">
        <v>1.05</v>
      </c>
      <c r="C855" s="311">
        <v>1.0559231618074074</v>
      </c>
      <c r="D855" s="311">
        <v>1.061846323614815</v>
      </c>
      <c r="E855" s="219">
        <v>1.06</v>
      </c>
    </row>
    <row r="856" spans="1:5">
      <c r="A856" s="216" t="s">
        <v>932</v>
      </c>
      <c r="B856" s="310">
        <v>1.08</v>
      </c>
      <c r="C856" s="311">
        <v>1.0646795882270765</v>
      </c>
      <c r="D856" s="311">
        <v>1.049359176454153</v>
      </c>
      <c r="E856" s="219">
        <v>1.05</v>
      </c>
    </row>
    <row r="857" spans="1:5">
      <c r="A857" s="216" t="s">
        <v>934</v>
      </c>
      <c r="B857" s="310">
        <v>1.1000000000000001</v>
      </c>
      <c r="C857" s="311">
        <v>1.0943279744946244</v>
      </c>
      <c r="D857" s="311">
        <v>1.0886559489892489</v>
      </c>
      <c r="E857" s="219">
        <v>1.0900000000000001</v>
      </c>
    </row>
    <row r="858" spans="1:5">
      <c r="A858" s="216" t="s">
        <v>936</v>
      </c>
      <c r="B858" s="310">
        <v>1.07</v>
      </c>
      <c r="C858" s="311">
        <v>1.0674164799925683</v>
      </c>
      <c r="D858" s="311">
        <v>1.0648329599851365</v>
      </c>
      <c r="E858" s="219">
        <v>1.06</v>
      </c>
    </row>
    <row r="859" spans="1:5">
      <c r="A859" s="216" t="s">
        <v>5145</v>
      </c>
      <c r="B859" s="310">
        <v>1.05</v>
      </c>
      <c r="C859" s="311">
        <v>1.058883120003123</v>
      </c>
      <c r="D859" s="311">
        <v>1.067766240006246</v>
      </c>
      <c r="E859" s="219">
        <v>1.07</v>
      </c>
    </row>
    <row r="860" spans="1:5">
      <c r="A860" s="216" t="s">
        <v>2950</v>
      </c>
      <c r="B860" s="310">
        <v>1.05</v>
      </c>
      <c r="C860" s="311">
        <v>1.0506552891499528</v>
      </c>
      <c r="D860" s="311">
        <v>1.0513105782999057</v>
      </c>
      <c r="E860" s="219">
        <v>1.05</v>
      </c>
    </row>
    <row r="861" spans="1:5">
      <c r="A861" s="216" t="s">
        <v>2952</v>
      </c>
      <c r="B861" s="310">
        <v>1.05</v>
      </c>
      <c r="C861" s="311">
        <v>1.0589819770056867</v>
      </c>
      <c r="D861" s="311">
        <v>1.0679639540113732</v>
      </c>
      <c r="E861" s="219">
        <v>1.07</v>
      </c>
    </row>
    <row r="862" spans="1:5">
      <c r="A862" s="216" t="s">
        <v>2526</v>
      </c>
      <c r="B862" s="310">
        <v>1.04</v>
      </c>
      <c r="C862" s="311">
        <v>1.0482166981841394</v>
      </c>
      <c r="D862" s="311">
        <v>1.056433396368279</v>
      </c>
      <c r="E862" s="219">
        <v>1.06</v>
      </c>
    </row>
    <row r="863" spans="1:5">
      <c r="A863" s="216" t="s">
        <v>3885</v>
      </c>
      <c r="B863" s="310">
        <v>1.05</v>
      </c>
      <c r="C863" s="311">
        <v>1.0520431530350474</v>
      </c>
      <c r="D863" s="311">
        <v>1.0540863060700947</v>
      </c>
      <c r="E863" s="219">
        <v>1.05</v>
      </c>
    </row>
    <row r="864" spans="1:5">
      <c r="A864" s="216" t="s">
        <v>2528</v>
      </c>
      <c r="B864" s="310">
        <v>1.04</v>
      </c>
      <c r="C864" s="311">
        <v>1.0431546102350371</v>
      </c>
      <c r="D864" s="311">
        <v>1.0463092204700741</v>
      </c>
      <c r="E864" s="219">
        <v>1.05</v>
      </c>
    </row>
    <row r="865" spans="1:5">
      <c r="A865" s="216" t="s">
        <v>2530</v>
      </c>
      <c r="B865" s="310">
        <v>1.04</v>
      </c>
      <c r="C865" s="311">
        <v>1.043061676492496</v>
      </c>
      <c r="D865" s="311">
        <v>1.0461233529849923</v>
      </c>
      <c r="E865" s="219">
        <v>1.05</v>
      </c>
    </row>
    <row r="866" spans="1:5">
      <c r="A866" s="216" t="s">
        <v>2532</v>
      </c>
      <c r="B866" s="310">
        <v>1.04</v>
      </c>
      <c r="C866" s="311">
        <v>1.0296466111756228</v>
      </c>
      <c r="D866" s="311">
        <v>1.0192932223512456</v>
      </c>
      <c r="E866" s="219">
        <v>1.02</v>
      </c>
    </row>
    <row r="867" spans="1:5">
      <c r="A867" s="216" t="s">
        <v>2316</v>
      </c>
      <c r="B867" s="310">
        <v>1.0900000000000001</v>
      </c>
      <c r="C867" s="311">
        <v>1.088912626594623</v>
      </c>
      <c r="D867" s="311">
        <v>1.0878252531892456</v>
      </c>
      <c r="E867" s="219">
        <v>1.0900000000000001</v>
      </c>
    </row>
    <row r="868" spans="1:5">
      <c r="A868" s="216" t="s">
        <v>5105</v>
      </c>
      <c r="B868" s="310">
        <v>1.08</v>
      </c>
      <c r="C868" s="311">
        <v>1.084260865385593</v>
      </c>
      <c r="D868" s="311">
        <v>1.0885217307711861</v>
      </c>
      <c r="E868" s="219">
        <v>1.0900000000000001</v>
      </c>
    </row>
    <row r="869" spans="1:5">
      <c r="A869" s="216" t="s">
        <v>5036</v>
      </c>
      <c r="B869" s="310">
        <v>1.04</v>
      </c>
      <c r="C869" s="311">
        <v>1.0562116093753371</v>
      </c>
      <c r="D869" s="311">
        <v>1.0724232187506744</v>
      </c>
      <c r="E869" s="219">
        <v>1.07</v>
      </c>
    </row>
    <row r="870" spans="1:5">
      <c r="A870" s="216" t="s">
        <v>2430</v>
      </c>
      <c r="B870" s="310">
        <v>1.04</v>
      </c>
      <c r="C870" s="311">
        <v>1.0608150176695803</v>
      </c>
      <c r="D870" s="311">
        <v>1.0816300353391604</v>
      </c>
      <c r="E870" s="219">
        <v>1.08</v>
      </c>
    </row>
    <row r="871" spans="1:5">
      <c r="A871" s="216" t="s">
        <v>2432</v>
      </c>
      <c r="B871" s="310">
        <v>1.06</v>
      </c>
      <c r="C871" s="311">
        <v>1.081744257095048</v>
      </c>
      <c r="D871" s="311">
        <v>1.1034885141900961</v>
      </c>
      <c r="E871" s="219">
        <v>1.1000000000000001</v>
      </c>
    </row>
    <row r="872" spans="1:5">
      <c r="A872" s="216" t="s">
        <v>5339</v>
      </c>
      <c r="B872" s="310">
        <v>1.04</v>
      </c>
      <c r="C872" s="311">
        <v>1.0559983034013847</v>
      </c>
      <c r="D872" s="311">
        <v>1.0719966068027691</v>
      </c>
      <c r="E872" s="219">
        <v>1.07</v>
      </c>
    </row>
    <row r="873" spans="1:5">
      <c r="A873" s="216" t="s">
        <v>5341</v>
      </c>
      <c r="B873" s="310">
        <v>1.1000000000000001</v>
      </c>
      <c r="C873" s="311">
        <v>1.1344094057992848</v>
      </c>
      <c r="D873" s="311">
        <v>1.1688188115985696</v>
      </c>
      <c r="E873" s="219">
        <v>1.17</v>
      </c>
    </row>
    <row r="874" spans="1:5">
      <c r="A874" s="216" t="s">
        <v>858</v>
      </c>
      <c r="B874" s="310">
        <v>1.07</v>
      </c>
      <c r="C874" s="311">
        <v>1.0924359096188931</v>
      </c>
      <c r="D874" s="311">
        <v>1.1148718192377862</v>
      </c>
      <c r="E874" s="219">
        <v>1.1100000000000001</v>
      </c>
    </row>
    <row r="875" spans="1:5">
      <c r="A875" s="216" t="s">
        <v>5343</v>
      </c>
      <c r="B875" s="310">
        <v>1.07</v>
      </c>
      <c r="C875" s="311">
        <v>1.0891065110371914</v>
      </c>
      <c r="D875" s="311">
        <v>1.1082130220743824</v>
      </c>
      <c r="E875" s="219">
        <v>1.1100000000000001</v>
      </c>
    </row>
    <row r="876" spans="1:5">
      <c r="A876" s="216" t="s">
        <v>5344</v>
      </c>
      <c r="B876" s="310">
        <v>1.04</v>
      </c>
      <c r="C876" s="311">
        <v>1.0595673019633169</v>
      </c>
      <c r="D876" s="311">
        <v>1.0791346039266341</v>
      </c>
      <c r="E876" s="219">
        <v>1.08</v>
      </c>
    </row>
    <row r="877" spans="1:5">
      <c r="A877" s="216" t="s">
        <v>5346</v>
      </c>
      <c r="B877" s="310">
        <v>1.05</v>
      </c>
      <c r="C877" s="311">
        <v>1.0599572867759579</v>
      </c>
      <c r="D877" s="311">
        <v>1.0699145735519155</v>
      </c>
      <c r="E877" s="219">
        <v>1.07</v>
      </c>
    </row>
    <row r="878" spans="1:5">
      <c r="A878" s="216" t="s">
        <v>2770</v>
      </c>
      <c r="B878" s="310">
        <v>1.18</v>
      </c>
      <c r="C878" s="311">
        <v>1.1483637990864826</v>
      </c>
      <c r="D878" s="311">
        <v>1.1167275981729654</v>
      </c>
      <c r="E878" s="219">
        <v>1.1200000000000001</v>
      </c>
    </row>
    <row r="879" spans="1:5">
      <c r="A879" s="216" t="s">
        <v>5348</v>
      </c>
      <c r="B879" s="310">
        <v>1.1200000000000001</v>
      </c>
      <c r="C879" s="311">
        <v>1.1032852629694934</v>
      </c>
      <c r="D879" s="311">
        <v>1.0865705259389866</v>
      </c>
      <c r="E879" s="219">
        <v>1.0900000000000001</v>
      </c>
    </row>
    <row r="880" spans="1:5">
      <c r="A880" s="216" t="s">
        <v>3886</v>
      </c>
      <c r="B880" s="310">
        <v>1.2</v>
      </c>
      <c r="C880" s="311">
        <v>1.1606373894243367</v>
      </c>
      <c r="D880" s="311">
        <v>1.1212747788486734</v>
      </c>
      <c r="E880" s="219">
        <v>1.1200000000000001</v>
      </c>
    </row>
    <row r="881" spans="1:5">
      <c r="A881" s="216" t="s">
        <v>5350</v>
      </c>
      <c r="B881" s="310">
        <v>1.07</v>
      </c>
      <c r="C881" s="311">
        <v>1.0679862508798994</v>
      </c>
      <c r="D881" s="311">
        <v>1.0659725017597987</v>
      </c>
      <c r="E881" s="219">
        <v>1.07</v>
      </c>
    </row>
    <row r="882" spans="1:5">
      <c r="A882" s="216" t="s">
        <v>3139</v>
      </c>
      <c r="B882" s="310">
        <v>1.06</v>
      </c>
      <c r="C882" s="311">
        <v>1.0651468076317727</v>
      </c>
      <c r="D882" s="311">
        <v>1.0702936152635454</v>
      </c>
      <c r="E882" s="219">
        <v>1.07</v>
      </c>
    </row>
    <row r="883" spans="1:5">
      <c r="A883" s="216" t="s">
        <v>1530</v>
      </c>
      <c r="B883" s="310">
        <v>1.04</v>
      </c>
      <c r="C883" s="311">
        <v>1.0422498008495338</v>
      </c>
      <c r="D883" s="311">
        <v>1.0444996016990675</v>
      </c>
      <c r="E883" s="219">
        <v>1.04</v>
      </c>
    </row>
    <row r="884" spans="1:5">
      <c r="A884" s="216" t="s">
        <v>1532</v>
      </c>
      <c r="B884" s="310">
        <v>1.08</v>
      </c>
      <c r="C884" s="311">
        <v>1.0913309559855437</v>
      </c>
      <c r="D884" s="311">
        <v>1.1026619119710872</v>
      </c>
      <c r="E884" s="219">
        <v>1.1000000000000001</v>
      </c>
    </row>
    <row r="885" spans="1:5">
      <c r="A885" s="216" t="s">
        <v>624</v>
      </c>
      <c r="B885" s="310">
        <v>1.06</v>
      </c>
      <c r="C885" s="311">
        <v>1.0460496204345766</v>
      </c>
      <c r="D885" s="311">
        <v>1.0320992408691529</v>
      </c>
      <c r="E885" s="219">
        <v>1.03</v>
      </c>
    </row>
    <row r="886" spans="1:5">
      <c r="A886" s="216" t="s">
        <v>626</v>
      </c>
      <c r="B886" s="310">
        <v>1.08</v>
      </c>
      <c r="C886" s="311">
        <v>1.0621964720612929</v>
      </c>
      <c r="D886" s="311">
        <v>1.0443929441225859</v>
      </c>
      <c r="E886" s="219">
        <v>1.04</v>
      </c>
    </row>
    <row r="887" spans="1:5">
      <c r="A887" s="216" t="s">
        <v>628</v>
      </c>
      <c r="B887" s="310">
        <v>1.07</v>
      </c>
      <c r="C887" s="311">
        <v>1.0463763575794793</v>
      </c>
      <c r="D887" s="311">
        <v>1.0227527151589588</v>
      </c>
      <c r="E887" s="219">
        <v>1.02</v>
      </c>
    </row>
    <row r="888" spans="1:5">
      <c r="A888" s="216" t="s">
        <v>269</v>
      </c>
      <c r="B888" s="310">
        <v>1.1399999999999999</v>
      </c>
      <c r="C888" s="311">
        <v>1.2009345983310817</v>
      </c>
      <c r="D888" s="311">
        <v>1.2618691966621638</v>
      </c>
      <c r="E888" s="219">
        <v>1.26</v>
      </c>
    </row>
    <row r="889" spans="1:5">
      <c r="A889" s="216" t="s">
        <v>951</v>
      </c>
      <c r="B889" s="310">
        <v>1.1399999999999999</v>
      </c>
      <c r="C889" s="311">
        <v>1.2054280791236054</v>
      </c>
      <c r="D889" s="311">
        <v>1.2708561582472107</v>
      </c>
      <c r="E889" s="219">
        <v>1.27</v>
      </c>
    </row>
    <row r="890" spans="1:5">
      <c r="A890" s="216" t="s">
        <v>409</v>
      </c>
      <c r="B890" s="310">
        <v>1.1100000000000001</v>
      </c>
      <c r="C890" s="311">
        <v>1.1533862492558362</v>
      </c>
      <c r="D890" s="311">
        <v>1.1967724985116726</v>
      </c>
      <c r="E890" s="219">
        <v>1.2</v>
      </c>
    </row>
    <row r="891" spans="1:5">
      <c r="A891" s="216" t="s">
        <v>3996</v>
      </c>
      <c r="B891" s="310">
        <v>1.1399999999999999</v>
      </c>
      <c r="C891" s="311">
        <v>1.2048362576170839</v>
      </c>
      <c r="D891" s="311">
        <v>1.2696725152341677</v>
      </c>
      <c r="E891" s="219">
        <v>1.27</v>
      </c>
    </row>
    <row r="892" spans="1:5">
      <c r="A892" s="216" t="s">
        <v>3998</v>
      </c>
      <c r="B892" s="310">
        <v>1.1299999999999999</v>
      </c>
      <c r="C892" s="311">
        <v>1.1865954968493662</v>
      </c>
      <c r="D892" s="311">
        <v>1.2431909936987324</v>
      </c>
      <c r="E892" s="219">
        <v>1.24</v>
      </c>
    </row>
    <row r="893" spans="1:5">
      <c r="A893" s="216" t="s">
        <v>6030</v>
      </c>
      <c r="B893" s="310">
        <v>1.1299999999999999</v>
      </c>
      <c r="C893" s="311">
        <v>1.1944734721098631</v>
      </c>
      <c r="D893" s="311">
        <v>1.2589469442197265</v>
      </c>
      <c r="E893" s="219">
        <v>1.26</v>
      </c>
    </row>
    <row r="894" spans="1:5">
      <c r="A894" s="216" t="s">
        <v>3002</v>
      </c>
      <c r="B894" s="310">
        <v>1.1299999999999999</v>
      </c>
      <c r="C894" s="311">
        <v>1.1902862734705835</v>
      </c>
      <c r="D894" s="311">
        <v>1.2505725469411668</v>
      </c>
      <c r="E894" s="219">
        <v>1.25</v>
      </c>
    </row>
    <row r="895" spans="1:5">
      <c r="A895" s="216" t="s">
        <v>4000</v>
      </c>
      <c r="E895" s="219"/>
    </row>
    <row r="896" spans="1:5">
      <c r="A896" s="216" t="s">
        <v>2986</v>
      </c>
      <c r="B896" s="310">
        <v>1.0900000000000001</v>
      </c>
      <c r="C896" s="311">
        <v>1.1341813255356301</v>
      </c>
      <c r="D896" s="311">
        <v>1.1783626510712601</v>
      </c>
      <c r="E896" s="219">
        <v>1.18</v>
      </c>
    </row>
    <row r="897" spans="1:5">
      <c r="A897" s="216" t="s">
        <v>246</v>
      </c>
      <c r="B897" s="310">
        <v>1.1200000000000001</v>
      </c>
      <c r="C897" s="311">
        <v>1.1749252549114138</v>
      </c>
      <c r="D897" s="311">
        <v>1.2298505098228276</v>
      </c>
      <c r="E897" s="219">
        <v>1.23</v>
      </c>
    </row>
    <row r="898" spans="1:5">
      <c r="A898" s="216" t="s">
        <v>6032</v>
      </c>
      <c r="B898" s="310">
        <v>1.0900000000000001</v>
      </c>
      <c r="C898" s="311">
        <v>1.1384969025597989</v>
      </c>
      <c r="D898" s="311">
        <v>1.1869938051195974</v>
      </c>
      <c r="E898" s="219">
        <v>1.19</v>
      </c>
    </row>
    <row r="899" spans="1:5">
      <c r="A899" s="216" t="s">
        <v>946</v>
      </c>
      <c r="B899" s="310">
        <v>1.1200000000000001</v>
      </c>
      <c r="C899" s="311">
        <v>1.1626722418661304</v>
      </c>
      <c r="D899" s="311">
        <v>1.2053444837322609</v>
      </c>
      <c r="E899" s="219">
        <v>1.21</v>
      </c>
    </row>
    <row r="900" spans="1:5">
      <c r="A900" s="216" t="s">
        <v>1875</v>
      </c>
      <c r="B900" s="310">
        <v>1.1399999999999999</v>
      </c>
      <c r="C900" s="311">
        <v>1.2006964974682051</v>
      </c>
      <c r="D900" s="311">
        <v>1.2613929949364104</v>
      </c>
      <c r="E900" s="219">
        <v>1.26</v>
      </c>
    </row>
    <row r="901" spans="1:5">
      <c r="A901" s="216" t="s">
        <v>6682</v>
      </c>
      <c r="B901" s="310">
        <v>1.1100000000000001</v>
      </c>
      <c r="C901" s="311">
        <v>1.1529973927372474</v>
      </c>
      <c r="D901" s="311">
        <v>1.1959947854744948</v>
      </c>
      <c r="E901" s="219">
        <v>1.2</v>
      </c>
    </row>
    <row r="902" spans="1:5">
      <c r="A902" s="216" t="s">
        <v>4002</v>
      </c>
      <c r="B902" s="310">
        <v>1.1200000000000001</v>
      </c>
      <c r="C902" s="311">
        <v>1.170073910514603</v>
      </c>
      <c r="D902" s="311">
        <v>1.2201478210292058</v>
      </c>
      <c r="E902" s="219">
        <v>1.22</v>
      </c>
    </row>
    <row r="903" spans="1:5">
      <c r="A903" s="216" t="s">
        <v>6681</v>
      </c>
      <c r="B903" s="310">
        <v>1.1000000000000001</v>
      </c>
      <c r="C903" s="311">
        <v>1.1582037332573401</v>
      </c>
      <c r="D903" s="311">
        <v>1.21640746651468</v>
      </c>
      <c r="E903" s="219">
        <v>1.22</v>
      </c>
    </row>
    <row r="904" spans="1:5">
      <c r="A904" s="216" t="s">
        <v>857</v>
      </c>
      <c r="B904" s="310">
        <v>1.1100000000000001</v>
      </c>
      <c r="C904" s="311">
        <v>1.1563493294197731</v>
      </c>
      <c r="D904" s="311">
        <v>1.2026986588395461</v>
      </c>
      <c r="E904" s="219">
        <v>1.2</v>
      </c>
    </row>
    <row r="905" spans="1:5">
      <c r="A905" s="216" t="s">
        <v>4006</v>
      </c>
      <c r="B905" s="310">
        <v>1.0900000000000001</v>
      </c>
      <c r="C905" s="311">
        <v>1.1170711213509805</v>
      </c>
      <c r="D905" s="311">
        <v>1.144142242701961</v>
      </c>
      <c r="E905" s="219">
        <v>1.1399999999999999</v>
      </c>
    </row>
    <row r="906" spans="1:5">
      <c r="A906" s="216" t="s">
        <v>4008</v>
      </c>
      <c r="B906" s="310">
        <v>1.04</v>
      </c>
      <c r="C906" s="311">
        <v>1.0543639825457021</v>
      </c>
      <c r="D906" s="311">
        <v>1.0687279650914039</v>
      </c>
      <c r="E906" s="219">
        <v>1.07</v>
      </c>
    </row>
    <row r="907" spans="1:5">
      <c r="A907" s="216" t="s">
        <v>4010</v>
      </c>
      <c r="B907" s="310">
        <v>1.05</v>
      </c>
      <c r="C907" s="311">
        <v>1.0384981442051515</v>
      </c>
      <c r="D907" s="311">
        <v>1.0269962884103032</v>
      </c>
      <c r="E907" s="219">
        <v>1.03</v>
      </c>
    </row>
    <row r="908" spans="1:5">
      <c r="A908" s="216" t="s">
        <v>4012</v>
      </c>
      <c r="B908" s="310">
        <v>1.04</v>
      </c>
      <c r="C908" s="311">
        <v>1.051096123941448</v>
      </c>
      <c r="D908" s="311">
        <v>1.0621922478828958</v>
      </c>
      <c r="E908" s="219">
        <v>1.06</v>
      </c>
    </row>
    <row r="909" spans="1:5">
      <c r="A909" s="216" t="s">
        <v>4014</v>
      </c>
      <c r="B909" s="310">
        <v>1.05</v>
      </c>
      <c r="C909" s="311">
        <v>1.067350668725314</v>
      </c>
      <c r="D909" s="311">
        <v>1.0847013374506282</v>
      </c>
      <c r="E909" s="219">
        <v>1.08</v>
      </c>
    </row>
    <row r="910" spans="1:5">
      <c r="A910" s="216" t="s">
        <v>4015</v>
      </c>
      <c r="B910" s="310">
        <v>1.0900000000000001</v>
      </c>
      <c r="C910" s="311">
        <v>1.0606185518102302</v>
      </c>
      <c r="D910" s="311">
        <v>1.0312371036204602</v>
      </c>
      <c r="E910" s="219">
        <v>1.03</v>
      </c>
    </row>
    <row r="911" spans="1:5">
      <c r="A911" s="216" t="s">
        <v>6120</v>
      </c>
      <c r="B911" s="310">
        <v>1.08</v>
      </c>
      <c r="C911" s="311">
        <v>1.0626697241623493</v>
      </c>
      <c r="D911" s="311">
        <v>1.0453394483246983</v>
      </c>
      <c r="E911" s="219">
        <v>1.05</v>
      </c>
    </row>
    <row r="912" spans="1:5">
      <c r="A912" s="216" t="s">
        <v>6679</v>
      </c>
      <c r="B912" s="310">
        <v>1.07</v>
      </c>
      <c r="C912" s="311">
        <v>1.0486990080927483</v>
      </c>
      <c r="D912" s="311">
        <v>1.0273980161854965</v>
      </c>
      <c r="E912" s="219">
        <v>1.03</v>
      </c>
    </row>
    <row r="913" spans="1:5">
      <c r="A913" s="216" t="s">
        <v>6122</v>
      </c>
      <c r="B913" s="310">
        <v>1.07</v>
      </c>
      <c r="C913" s="311">
        <v>1.0522141099163727</v>
      </c>
      <c r="D913" s="311">
        <v>1.0344282198327452</v>
      </c>
      <c r="E913" s="219">
        <v>1.03</v>
      </c>
    </row>
    <row r="914" spans="1:5">
      <c r="A914" s="216" t="s">
        <v>1801</v>
      </c>
      <c r="B914" s="310">
        <v>1.07</v>
      </c>
      <c r="C914" s="311">
        <v>1.0623384433927519</v>
      </c>
      <c r="D914" s="311">
        <v>1.0546768867855036</v>
      </c>
      <c r="E914" s="219">
        <v>1.05</v>
      </c>
    </row>
    <row r="915" spans="1:5">
      <c r="A915" s="216" t="s">
        <v>1803</v>
      </c>
      <c r="B915" s="310">
        <v>1.0900000000000001</v>
      </c>
      <c r="C915" s="311">
        <v>1.0671206410101943</v>
      </c>
      <c r="D915" s="311">
        <v>1.0442412820203886</v>
      </c>
      <c r="E915" s="219">
        <v>1.04</v>
      </c>
    </row>
    <row r="916" spans="1:5">
      <c r="A916" s="216" t="s">
        <v>1805</v>
      </c>
      <c r="B916" s="310">
        <v>1.08</v>
      </c>
      <c r="C916" s="311">
        <v>1.0836897716608975</v>
      </c>
      <c r="D916" s="311">
        <v>1.0873795433217948</v>
      </c>
      <c r="E916" s="219">
        <v>1.0900000000000001</v>
      </c>
    </row>
    <row r="917" spans="1:5">
      <c r="A917" s="216" t="s">
        <v>1807</v>
      </c>
      <c r="B917" s="310">
        <v>1.05</v>
      </c>
      <c r="C917" s="311">
        <v>1.0514336410258927</v>
      </c>
      <c r="D917" s="311">
        <v>1.0528672820517853</v>
      </c>
      <c r="E917" s="219">
        <v>1.05</v>
      </c>
    </row>
    <row r="918" spans="1:5">
      <c r="A918" s="216" t="s">
        <v>5037</v>
      </c>
      <c r="B918" s="310">
        <v>1.04</v>
      </c>
      <c r="C918" s="311">
        <v>1.0489253589296368</v>
      </c>
      <c r="D918" s="311">
        <v>1.0578507178592738</v>
      </c>
      <c r="E918" s="219">
        <v>1.06</v>
      </c>
    </row>
    <row r="919" spans="1:5">
      <c r="A919" s="216" t="s">
        <v>1809</v>
      </c>
      <c r="B919" s="310">
        <v>1.03</v>
      </c>
      <c r="C919" s="311">
        <v>1.0438206907047407</v>
      </c>
      <c r="D919" s="311">
        <v>1.0576413814094812</v>
      </c>
      <c r="E919" s="219">
        <v>1.06</v>
      </c>
    </row>
    <row r="920" spans="1:5">
      <c r="A920" s="216" t="s">
        <v>1697</v>
      </c>
      <c r="B920" s="310">
        <v>1.04</v>
      </c>
      <c r="C920" s="311">
        <v>1.043404139755252</v>
      </c>
      <c r="D920" s="311">
        <v>1.0468082795105038</v>
      </c>
      <c r="E920" s="219">
        <v>1.05</v>
      </c>
    </row>
    <row r="921" spans="1:5">
      <c r="A921" s="216" t="s">
        <v>2385</v>
      </c>
      <c r="B921" s="310">
        <v>1.08</v>
      </c>
      <c r="C921" s="311">
        <v>1.1141323413091841</v>
      </c>
      <c r="D921" s="311">
        <v>1.1482646826183682</v>
      </c>
      <c r="E921" s="219">
        <v>1.1499999999999999</v>
      </c>
    </row>
    <row r="922" spans="1:5">
      <c r="A922" s="216" t="s">
        <v>1699</v>
      </c>
      <c r="B922" s="310">
        <v>1.03</v>
      </c>
      <c r="C922" s="311">
        <v>1.0363538234757228</v>
      </c>
      <c r="D922" s="311">
        <v>1.0427076469514454</v>
      </c>
      <c r="E922" s="219">
        <v>1.04</v>
      </c>
    </row>
    <row r="923" spans="1:5">
      <c r="A923" s="216" t="s">
        <v>3554</v>
      </c>
      <c r="B923" s="310">
        <v>1.05</v>
      </c>
      <c r="C923" s="311">
        <v>1.057408986882681</v>
      </c>
      <c r="D923" s="311">
        <v>1.0648179737653618</v>
      </c>
      <c r="E923" s="219">
        <v>1.06</v>
      </c>
    </row>
    <row r="924" spans="1:5">
      <c r="A924" s="216" t="s">
        <v>1857</v>
      </c>
      <c r="B924" s="310">
        <v>1.05</v>
      </c>
      <c r="C924" s="311">
        <v>1.058990309134199</v>
      </c>
      <c r="D924" s="311">
        <v>1.067980618268398</v>
      </c>
      <c r="E924" s="219">
        <v>1.07</v>
      </c>
    </row>
    <row r="925" spans="1:5">
      <c r="A925" s="216" t="s">
        <v>7288</v>
      </c>
      <c r="B925" s="310">
        <v>1.05</v>
      </c>
      <c r="C925" s="311">
        <v>1.0446023865552758</v>
      </c>
      <c r="D925" s="311">
        <v>1.0392047731105516</v>
      </c>
      <c r="E925" s="219">
        <v>1.04</v>
      </c>
    </row>
    <row r="926" spans="1:5">
      <c r="A926" s="216" t="s">
        <v>2791</v>
      </c>
      <c r="B926" s="310">
        <v>1.1000000000000001</v>
      </c>
      <c r="C926" s="311">
        <v>1.1860167526551364</v>
      </c>
      <c r="D926" s="311">
        <v>1.2720335053102729</v>
      </c>
      <c r="E926" s="219">
        <v>1.27</v>
      </c>
    </row>
    <row r="927" spans="1:5">
      <c r="A927" s="216" t="s">
        <v>5124</v>
      </c>
      <c r="B927" s="310">
        <v>1.1100000000000001</v>
      </c>
      <c r="C927" s="311">
        <v>1.1804568958790562</v>
      </c>
      <c r="D927" s="311">
        <v>1.2509137917581121</v>
      </c>
      <c r="E927" s="219">
        <v>1.25</v>
      </c>
    </row>
    <row r="928" spans="1:5">
      <c r="A928" s="216" t="s">
        <v>2793</v>
      </c>
      <c r="B928" s="310">
        <v>1.07</v>
      </c>
      <c r="C928" s="311">
        <v>1.1268792829534349</v>
      </c>
      <c r="D928" s="311">
        <v>1.1837585659068697</v>
      </c>
      <c r="E928" s="219">
        <v>1.18</v>
      </c>
    </row>
    <row r="929" spans="1:5">
      <c r="A929" s="216" t="s">
        <v>2795</v>
      </c>
      <c r="B929" s="310">
        <v>1.1000000000000001</v>
      </c>
      <c r="C929" s="311">
        <v>1.1670347412970195</v>
      </c>
      <c r="D929" s="311">
        <v>1.2340694825940386</v>
      </c>
      <c r="E929" s="219">
        <v>1.23</v>
      </c>
    </row>
    <row r="930" spans="1:5">
      <c r="A930" s="216" t="s">
        <v>2052</v>
      </c>
      <c r="B930" s="310">
        <v>1.1100000000000001</v>
      </c>
      <c r="C930" s="311">
        <v>1.1615527054546171</v>
      </c>
      <c r="D930" s="311">
        <v>1.2131054109092341</v>
      </c>
      <c r="E930" s="219">
        <v>1.21</v>
      </c>
    </row>
    <row r="931" spans="1:5">
      <c r="A931" s="216" t="s">
        <v>2797</v>
      </c>
      <c r="B931" s="310">
        <v>1.05</v>
      </c>
      <c r="C931" s="311">
        <v>1.1028333450822252</v>
      </c>
      <c r="D931" s="311">
        <v>1.1556666901644503</v>
      </c>
      <c r="E931" s="219">
        <v>1.1599999999999999</v>
      </c>
    </row>
    <row r="932" spans="1:5">
      <c r="A932" s="216" t="s">
        <v>2799</v>
      </c>
      <c r="B932" s="310">
        <v>1.08</v>
      </c>
      <c r="C932" s="311">
        <v>1.1409835679483415</v>
      </c>
      <c r="D932" s="311">
        <v>1.2019671358966828</v>
      </c>
      <c r="E932" s="219">
        <v>1.2</v>
      </c>
    </row>
    <row r="933" spans="1:5">
      <c r="A933" s="216" t="s">
        <v>2801</v>
      </c>
      <c r="B933" s="310">
        <v>1.04</v>
      </c>
      <c r="C933" s="311">
        <v>1.0408340027358514</v>
      </c>
      <c r="D933" s="311">
        <v>1.0416680054717025</v>
      </c>
      <c r="E933" s="219">
        <v>1.04</v>
      </c>
    </row>
    <row r="934" spans="1:5">
      <c r="A934" s="216" t="s">
        <v>2803</v>
      </c>
      <c r="B934" s="310">
        <v>1.05</v>
      </c>
      <c r="C934" s="311">
        <v>1.0457593482973393</v>
      </c>
      <c r="D934" s="311">
        <v>1.0415186965946783</v>
      </c>
      <c r="E934" s="219">
        <v>1.04</v>
      </c>
    </row>
    <row r="935" spans="1:5">
      <c r="A935" s="216" t="s">
        <v>2805</v>
      </c>
      <c r="B935" s="310">
        <v>1.05</v>
      </c>
      <c r="C935" s="311">
        <v>1.0376392516457962</v>
      </c>
      <c r="D935" s="311">
        <v>1.0252785032915923</v>
      </c>
      <c r="E935" s="219">
        <v>1.03</v>
      </c>
    </row>
    <row r="936" spans="1:5">
      <c r="A936" s="216" t="s">
        <v>2806</v>
      </c>
      <c r="B936" s="310">
        <v>1.05</v>
      </c>
      <c r="C936" s="311">
        <v>1.0379053333668296</v>
      </c>
      <c r="D936" s="311">
        <v>1.0258106667336591</v>
      </c>
      <c r="E936" s="219">
        <v>1.03</v>
      </c>
    </row>
    <row r="937" spans="1:5">
      <c r="A937" s="216" t="s">
        <v>232</v>
      </c>
      <c r="B937" s="310">
        <v>1.05</v>
      </c>
      <c r="C937" s="311">
        <v>1.0558775938574883</v>
      </c>
      <c r="D937" s="311">
        <v>1.0617551877149762</v>
      </c>
      <c r="E937" s="219">
        <v>1.06</v>
      </c>
    </row>
    <row r="938" spans="1:5">
      <c r="A938" s="216" t="s">
        <v>3572</v>
      </c>
      <c r="B938" s="310">
        <v>1.06</v>
      </c>
      <c r="C938" s="311">
        <v>1.0678566489193666</v>
      </c>
      <c r="D938" s="311">
        <v>1.0757132978387332</v>
      </c>
      <c r="E938" s="219">
        <v>1.08</v>
      </c>
    </row>
    <row r="939" spans="1:5">
      <c r="A939" s="216" t="s">
        <v>3574</v>
      </c>
      <c r="B939" s="310">
        <v>1.04</v>
      </c>
      <c r="C939" s="311">
        <v>1.0534250080264165</v>
      </c>
      <c r="D939" s="311">
        <v>1.0668500160528329</v>
      </c>
      <c r="E939" s="219">
        <v>1.07</v>
      </c>
    </row>
    <row r="940" spans="1:5">
      <c r="A940" s="216" t="s">
        <v>4072</v>
      </c>
      <c r="B940" s="310">
        <v>1.04</v>
      </c>
      <c r="C940" s="311">
        <v>1.0504170930320367</v>
      </c>
      <c r="D940" s="311">
        <v>1.0608341860640733</v>
      </c>
      <c r="E940" s="219">
        <v>1.06</v>
      </c>
    </row>
    <row r="941" spans="1:5">
      <c r="A941" s="216" t="s">
        <v>735</v>
      </c>
      <c r="B941" s="310">
        <v>1.04</v>
      </c>
      <c r="C941" s="311">
        <v>1.0435161012314658</v>
      </c>
      <c r="D941" s="311">
        <v>1.0470322024629313</v>
      </c>
      <c r="E941" s="219">
        <v>1.05</v>
      </c>
    </row>
    <row r="942" spans="1:5">
      <c r="A942" s="216" t="s">
        <v>3576</v>
      </c>
      <c r="B942" s="310">
        <v>1.06</v>
      </c>
      <c r="C942" s="311">
        <v>1.0621977060740444</v>
      </c>
      <c r="D942" s="311">
        <v>1.0643954121480887</v>
      </c>
      <c r="E942" s="219">
        <v>1.06</v>
      </c>
    </row>
    <row r="943" spans="1:5">
      <c r="A943" s="216" t="s">
        <v>3577</v>
      </c>
      <c r="B943" s="310">
        <v>1.06</v>
      </c>
      <c r="C943" s="311">
        <v>1.0776215826104301</v>
      </c>
      <c r="D943" s="311">
        <v>1.0952431652208601</v>
      </c>
      <c r="E943" s="219">
        <v>1.1000000000000001</v>
      </c>
    </row>
    <row r="944" spans="1:5">
      <c r="A944" s="216" t="s">
        <v>6190</v>
      </c>
      <c r="B944" s="310">
        <v>1.05</v>
      </c>
      <c r="C944" s="311">
        <v>1.0601074824149084</v>
      </c>
      <c r="D944" s="311">
        <v>1.0702149648298165</v>
      </c>
      <c r="E944" s="219">
        <v>1.07</v>
      </c>
    </row>
    <row r="945" spans="1:5">
      <c r="A945" s="216" t="s">
        <v>3580</v>
      </c>
      <c r="B945" s="310">
        <v>1.06</v>
      </c>
      <c r="C945" s="311">
        <v>1.0550813193412349</v>
      </c>
      <c r="D945" s="311">
        <v>1.0501626386824698</v>
      </c>
      <c r="E945" s="219">
        <v>1.05</v>
      </c>
    </row>
    <row r="946" spans="1:5">
      <c r="A946" s="216" t="s">
        <v>1862</v>
      </c>
      <c r="B946" s="310">
        <v>1.06</v>
      </c>
      <c r="C946" s="311">
        <v>1.0656325521458401</v>
      </c>
      <c r="D946" s="311">
        <v>1.0712651042916803</v>
      </c>
      <c r="E946" s="219">
        <v>1.07</v>
      </c>
    </row>
    <row r="947" spans="1:5">
      <c r="A947" s="216" t="s">
        <v>3582</v>
      </c>
      <c r="B947" s="310">
        <v>1.06</v>
      </c>
      <c r="C947" s="311">
        <v>1.0654944852203465</v>
      </c>
      <c r="D947" s="311">
        <v>1.070988970440693</v>
      </c>
      <c r="E947" s="219">
        <v>1.07</v>
      </c>
    </row>
    <row r="948" spans="1:5">
      <c r="A948" s="216" t="s">
        <v>3584</v>
      </c>
      <c r="B948" s="310">
        <v>1.06</v>
      </c>
      <c r="C948" s="311">
        <v>1.0642292985650572</v>
      </c>
      <c r="D948" s="311">
        <v>1.0684585971301146</v>
      </c>
      <c r="E948" s="219">
        <v>1.07</v>
      </c>
    </row>
    <row r="949" spans="1:5">
      <c r="A949" s="216" t="s">
        <v>3586</v>
      </c>
      <c r="B949" s="310">
        <v>1.0900000000000001</v>
      </c>
      <c r="C949" s="311">
        <v>1.0738767241997063</v>
      </c>
      <c r="D949" s="311">
        <v>1.0577534483994127</v>
      </c>
      <c r="E949" s="219">
        <v>1.06</v>
      </c>
    </row>
    <row r="950" spans="1:5">
      <c r="A950" s="216" t="s">
        <v>3588</v>
      </c>
      <c r="B950" s="310">
        <v>1.0900000000000001</v>
      </c>
      <c r="C950" s="311">
        <v>1.0737009448782078</v>
      </c>
      <c r="D950" s="311">
        <v>1.0574018897564155</v>
      </c>
      <c r="E950" s="219">
        <v>1.06</v>
      </c>
    </row>
    <row r="951" spans="1:5">
      <c r="A951" s="216" t="s">
        <v>6036</v>
      </c>
      <c r="B951" s="310">
        <v>1.08</v>
      </c>
      <c r="C951" s="311">
        <v>1.0644097122130325</v>
      </c>
      <c r="D951" s="311">
        <v>1.0488194244260647</v>
      </c>
      <c r="E951" s="219">
        <v>1.05</v>
      </c>
    </row>
    <row r="952" spans="1:5">
      <c r="A952" s="216" t="s">
        <v>2472</v>
      </c>
      <c r="B952" s="310">
        <v>1.08</v>
      </c>
      <c r="C952" s="311">
        <v>1.0736718217584684</v>
      </c>
      <c r="D952" s="311">
        <v>1.067343643516937</v>
      </c>
      <c r="E952" s="219">
        <v>1.07</v>
      </c>
    </row>
    <row r="953" spans="1:5">
      <c r="A953" s="216" t="s">
        <v>2418</v>
      </c>
      <c r="B953" s="310">
        <v>1.1200000000000001</v>
      </c>
      <c r="C953" s="311">
        <v>1.0975165502766853</v>
      </c>
      <c r="D953" s="311">
        <v>1.0750331005533706</v>
      </c>
      <c r="E953" s="219">
        <v>1.08</v>
      </c>
    </row>
    <row r="954" spans="1:5">
      <c r="A954" s="216" t="s">
        <v>3590</v>
      </c>
      <c r="B954" s="310">
        <v>1.07</v>
      </c>
      <c r="C954" s="311">
        <v>1.0642486089407281</v>
      </c>
      <c r="D954" s="311">
        <v>1.058497217881456</v>
      </c>
      <c r="E954" s="219">
        <v>1.06</v>
      </c>
    </row>
    <row r="955" spans="1:5">
      <c r="A955" s="216" t="s">
        <v>2389</v>
      </c>
      <c r="B955" s="310">
        <v>1.1299999999999999</v>
      </c>
      <c r="C955" s="311">
        <v>1.1110432438931648</v>
      </c>
      <c r="D955" s="311">
        <v>1.0920864877863297</v>
      </c>
      <c r="E955" s="219">
        <v>1.0900000000000001</v>
      </c>
    </row>
    <row r="956" spans="1:5">
      <c r="A956" s="216" t="s">
        <v>3594</v>
      </c>
      <c r="B956" s="310">
        <v>1.08</v>
      </c>
      <c r="C956" s="311">
        <v>1.0792741452505425</v>
      </c>
      <c r="D956" s="311">
        <v>1.0785482905010852</v>
      </c>
      <c r="E956" s="219">
        <v>1.08</v>
      </c>
    </row>
    <row r="957" spans="1:5">
      <c r="A957" s="216" t="s">
        <v>6241</v>
      </c>
      <c r="B957" s="310">
        <v>1.04</v>
      </c>
      <c r="C957" s="311">
        <v>1.0551608849219847</v>
      </c>
      <c r="D957" s="311">
        <v>1.0703217698439693</v>
      </c>
      <c r="E957" s="219">
        <v>1.07</v>
      </c>
    </row>
    <row r="958" spans="1:5">
      <c r="A958" s="216" t="s">
        <v>6243</v>
      </c>
      <c r="B958" s="310">
        <v>1.03</v>
      </c>
      <c r="C958" s="311">
        <v>1.0467757791110772</v>
      </c>
      <c r="D958" s="311">
        <v>1.0635515582221546</v>
      </c>
      <c r="E958" s="219">
        <v>1.06</v>
      </c>
    </row>
    <row r="959" spans="1:5">
      <c r="A959" s="216" t="s">
        <v>1832</v>
      </c>
      <c r="B959" s="310">
        <v>1.03</v>
      </c>
      <c r="C959" s="311">
        <v>1.0452222836298555</v>
      </c>
      <c r="D959" s="311">
        <v>1.0604445672597107</v>
      </c>
      <c r="E959" s="219">
        <v>1.06</v>
      </c>
    </row>
    <row r="960" spans="1:5">
      <c r="A960" s="216" t="s">
        <v>6164</v>
      </c>
      <c r="B960" s="310">
        <v>1.03</v>
      </c>
      <c r="C960" s="311">
        <v>1.0402421361669916</v>
      </c>
      <c r="D960" s="311">
        <v>1.0504842723339829</v>
      </c>
      <c r="E960" s="219">
        <v>1.05</v>
      </c>
    </row>
    <row r="961" spans="1:5">
      <c r="A961" s="216" t="s">
        <v>6244</v>
      </c>
      <c r="B961" s="310">
        <v>1.04</v>
      </c>
      <c r="C961" s="311">
        <v>1.052862853883489</v>
      </c>
      <c r="D961" s="311">
        <v>1.0657257077669777</v>
      </c>
      <c r="E961" s="219">
        <v>1.07</v>
      </c>
    </row>
    <row r="962" spans="1:5">
      <c r="A962" s="216" t="s">
        <v>6246</v>
      </c>
      <c r="B962" s="310">
        <v>1.04</v>
      </c>
      <c r="C962" s="311">
        <v>1.0570474921627917</v>
      </c>
      <c r="D962" s="311">
        <v>1.0740949843255834</v>
      </c>
      <c r="E962" s="219">
        <v>1.07</v>
      </c>
    </row>
    <row r="963" spans="1:5">
      <c r="A963" s="216" t="s">
        <v>1313</v>
      </c>
      <c r="B963" s="310">
        <v>1.03</v>
      </c>
      <c r="C963" s="311">
        <v>1.0409806604165164</v>
      </c>
      <c r="D963" s="311">
        <v>1.0519613208330327</v>
      </c>
      <c r="E963" s="219">
        <v>1.05</v>
      </c>
    </row>
    <row r="964" spans="1:5">
      <c r="A964" s="216" t="s">
        <v>955</v>
      </c>
      <c r="B964" s="310">
        <v>1.07</v>
      </c>
      <c r="C964" s="311">
        <v>1.0865579630186155</v>
      </c>
      <c r="D964" s="311">
        <v>1.1031159260372307</v>
      </c>
      <c r="E964" s="219">
        <v>1.1000000000000001</v>
      </c>
    </row>
    <row r="965" spans="1:5">
      <c r="A965" s="216" t="s">
        <v>3552</v>
      </c>
      <c r="B965" s="310">
        <v>1.1000000000000001</v>
      </c>
      <c r="C965" s="311">
        <v>1.1434781059232519</v>
      </c>
      <c r="D965" s="311">
        <v>1.1869562118465038</v>
      </c>
      <c r="E965" s="219">
        <v>1.19</v>
      </c>
    </row>
    <row r="966" spans="1:5">
      <c r="A966" s="216" t="s">
        <v>6248</v>
      </c>
      <c r="B966" s="310">
        <v>1.07</v>
      </c>
      <c r="C966" s="311">
        <v>1.0665741304760663</v>
      </c>
      <c r="D966" s="311">
        <v>1.0631482609521326</v>
      </c>
      <c r="E966" s="219">
        <v>1.06</v>
      </c>
    </row>
    <row r="967" spans="1:5">
      <c r="A967" s="216" t="s">
        <v>6182</v>
      </c>
      <c r="B967" s="310">
        <v>1.06</v>
      </c>
      <c r="C967" s="311">
        <v>1.0522213722040874</v>
      </c>
      <c r="D967" s="311">
        <v>1.0444427444081748</v>
      </c>
      <c r="E967" s="219">
        <v>1.04</v>
      </c>
    </row>
    <row r="968" spans="1:5">
      <c r="A968" s="216" t="s">
        <v>6250</v>
      </c>
      <c r="B968" s="310">
        <v>1.1000000000000001</v>
      </c>
      <c r="C968" s="311">
        <v>1.0791614276427821</v>
      </c>
      <c r="D968" s="311">
        <v>1.0583228552855639</v>
      </c>
      <c r="E968" s="219">
        <v>1.06</v>
      </c>
    </row>
    <row r="969" spans="1:5">
      <c r="A969" s="216" t="s">
        <v>5038</v>
      </c>
      <c r="B969" s="310">
        <v>1.1200000000000001</v>
      </c>
      <c r="C969" s="311">
        <v>1.1269033470181498</v>
      </c>
      <c r="D969" s="311">
        <v>1.1338066940362996</v>
      </c>
      <c r="E969" s="219">
        <v>1.1299999999999999</v>
      </c>
    </row>
    <row r="970" spans="1:5">
      <c r="A970" s="216" t="s">
        <v>5039</v>
      </c>
      <c r="B970" s="310">
        <v>1.1399999999999999</v>
      </c>
      <c r="C970" s="311">
        <v>1.15835003886348</v>
      </c>
      <c r="D970" s="311">
        <v>1.1767000777269598</v>
      </c>
      <c r="E970" s="219">
        <v>1.18</v>
      </c>
    </row>
    <row r="971" spans="1:5">
      <c r="A971" s="216" t="s">
        <v>2082</v>
      </c>
      <c r="B971" s="310">
        <v>1.1299999999999999</v>
      </c>
      <c r="C971" s="311">
        <v>1.1389651492783288</v>
      </c>
      <c r="D971" s="311">
        <v>1.1479302985566577</v>
      </c>
      <c r="E971" s="219">
        <v>1.1499999999999999</v>
      </c>
    </row>
    <row r="972" spans="1:5">
      <c r="A972" s="216" t="s">
        <v>2084</v>
      </c>
      <c r="B972" s="310">
        <v>1.1200000000000001</v>
      </c>
      <c r="C972" s="311">
        <v>1.0937126544018847</v>
      </c>
      <c r="D972" s="311">
        <v>1.0674253088037691</v>
      </c>
      <c r="E972" s="219">
        <v>1.07</v>
      </c>
    </row>
    <row r="973" spans="1:5">
      <c r="A973" s="216" t="s">
        <v>2086</v>
      </c>
      <c r="B973" s="310">
        <v>1.1000000000000001</v>
      </c>
      <c r="C973" s="311">
        <v>1.0690208112797999</v>
      </c>
      <c r="D973" s="311">
        <v>1.0380416225595994</v>
      </c>
      <c r="E973" s="219">
        <v>1.04</v>
      </c>
    </row>
    <row r="974" spans="1:5">
      <c r="A974" s="216" t="s">
        <v>2088</v>
      </c>
      <c r="B974" s="310">
        <v>1.1200000000000001</v>
      </c>
      <c r="C974" s="311">
        <v>1.1176261637069675</v>
      </c>
      <c r="D974" s="311">
        <v>1.1152523274139348</v>
      </c>
      <c r="E974" s="219">
        <v>1.1200000000000001</v>
      </c>
    </row>
    <row r="975" spans="1:5">
      <c r="A975" s="216" t="s">
        <v>2090</v>
      </c>
      <c r="B975" s="310">
        <v>1.08</v>
      </c>
      <c r="C975" s="311">
        <v>1.0870150220001604</v>
      </c>
      <c r="D975" s="311">
        <v>1.0940300440003208</v>
      </c>
      <c r="E975" s="219">
        <v>1.0900000000000001</v>
      </c>
    </row>
    <row r="976" spans="1:5">
      <c r="A976" s="216" t="s">
        <v>2987</v>
      </c>
      <c r="B976" s="310">
        <v>1.1599999999999999</v>
      </c>
      <c r="C976" s="311">
        <v>1.1787741943533954</v>
      </c>
      <c r="D976" s="311">
        <v>1.1975483887067906</v>
      </c>
      <c r="E976" s="219">
        <v>1.2</v>
      </c>
    </row>
    <row r="977" spans="1:5">
      <c r="A977" s="216" t="s">
        <v>2094</v>
      </c>
      <c r="B977" s="310">
        <v>1.0900000000000001</v>
      </c>
      <c r="C977" s="311">
        <v>1.0690826988643094</v>
      </c>
      <c r="D977" s="311">
        <v>1.0481653977286187</v>
      </c>
      <c r="E977" s="219">
        <v>1.05</v>
      </c>
    </row>
    <row r="978" spans="1:5">
      <c r="A978" s="216" t="s">
        <v>2417</v>
      </c>
      <c r="B978" s="310">
        <v>1.1399999999999999</v>
      </c>
      <c r="C978" s="311">
        <v>1.170585223970432</v>
      </c>
      <c r="D978" s="311">
        <v>1.2011704479408638</v>
      </c>
      <c r="E978" s="219">
        <v>1.2</v>
      </c>
    </row>
    <row r="979" spans="1:5">
      <c r="A979" s="216" t="s">
        <v>78</v>
      </c>
      <c r="B979" s="310">
        <v>1.07</v>
      </c>
      <c r="C979" s="311">
        <v>1.0712164840536325</v>
      </c>
      <c r="D979" s="311">
        <v>1.0724329681072649</v>
      </c>
      <c r="E979" s="219">
        <v>1.07</v>
      </c>
    </row>
    <row r="980" spans="1:5">
      <c r="A980" s="216" t="s">
        <v>80</v>
      </c>
      <c r="B980" s="310">
        <v>1.0900000000000001</v>
      </c>
      <c r="C980" s="311">
        <v>1.0887546543460984</v>
      </c>
      <c r="D980" s="311">
        <v>1.0875093086921968</v>
      </c>
      <c r="E980" s="219">
        <v>1.0900000000000001</v>
      </c>
    </row>
    <row r="981" spans="1:5">
      <c r="A981" s="216" t="s">
        <v>82</v>
      </c>
      <c r="B981" s="310">
        <v>1.0900000000000001</v>
      </c>
      <c r="C981" s="311">
        <v>1.086319713522776</v>
      </c>
      <c r="D981" s="311">
        <v>1.0826394270455519</v>
      </c>
      <c r="E981" s="219">
        <v>1.08</v>
      </c>
    </row>
    <row r="982" spans="1:5">
      <c r="A982" s="216" t="s">
        <v>84</v>
      </c>
      <c r="B982" s="310">
        <v>1.1100000000000001</v>
      </c>
      <c r="C982" s="311">
        <v>1.1108337589079718</v>
      </c>
      <c r="D982" s="311">
        <v>1.1116675178159434</v>
      </c>
      <c r="E982" s="219">
        <v>1.1100000000000001</v>
      </c>
    </row>
    <row r="983" spans="1:5">
      <c r="A983" s="216" t="s">
        <v>86</v>
      </c>
      <c r="B983" s="310">
        <v>1.1100000000000001</v>
      </c>
      <c r="C983" s="311">
        <v>1.1035792279061929</v>
      </c>
      <c r="D983" s="311">
        <v>1.0971584558123857</v>
      </c>
      <c r="E983" s="219">
        <v>1.1000000000000001</v>
      </c>
    </row>
    <row r="984" spans="1:5">
      <c r="A984" s="216" t="s">
        <v>88</v>
      </c>
      <c r="B984" s="310">
        <v>1.0900000000000001</v>
      </c>
      <c r="C984" s="311">
        <v>1.0874320560630473</v>
      </c>
      <c r="D984" s="311">
        <v>1.0848641121260947</v>
      </c>
      <c r="E984" s="219">
        <v>1.08</v>
      </c>
    </row>
    <row r="985" spans="1:5">
      <c r="A985" s="216" t="s">
        <v>90</v>
      </c>
      <c r="B985" s="310">
        <v>1.07</v>
      </c>
      <c r="C985" s="311">
        <v>1.0718056347775211</v>
      </c>
      <c r="D985" s="311">
        <v>1.0736112695550424</v>
      </c>
      <c r="E985" s="219">
        <v>1.07</v>
      </c>
    </row>
    <row r="986" spans="1:5">
      <c r="A986" s="216" t="s">
        <v>92</v>
      </c>
      <c r="B986" s="310">
        <v>1.06</v>
      </c>
      <c r="C986" s="311">
        <v>1.074124260923617</v>
      </c>
      <c r="D986" s="311">
        <v>1.088248521847234</v>
      </c>
      <c r="E986" s="219">
        <v>1.0900000000000001</v>
      </c>
    </row>
    <row r="987" spans="1:5">
      <c r="A987" s="216" t="s">
        <v>94</v>
      </c>
      <c r="E987" s="219"/>
    </row>
    <row r="988" spans="1:5">
      <c r="A988" s="216" t="s">
        <v>2332</v>
      </c>
      <c r="B988" s="310">
        <v>1.08</v>
      </c>
      <c r="C988" s="311">
        <v>1.0676735506194923</v>
      </c>
      <c r="D988" s="311">
        <v>1.0553471012389846</v>
      </c>
      <c r="E988" s="219">
        <v>1.06</v>
      </c>
    </row>
    <row r="989" spans="1:5">
      <c r="A989" s="216" t="s">
        <v>2334</v>
      </c>
      <c r="B989" s="310">
        <v>1.07</v>
      </c>
      <c r="C989" s="311">
        <v>1.0687612330698606</v>
      </c>
      <c r="D989" s="311">
        <v>1.0675224661397211</v>
      </c>
      <c r="E989" s="219">
        <v>1.07</v>
      </c>
    </row>
    <row r="990" spans="1:5">
      <c r="A990" s="216" t="s">
        <v>962</v>
      </c>
      <c r="B990" s="310">
        <v>1.07</v>
      </c>
      <c r="C990" s="311">
        <v>1.0864022740704438</v>
      </c>
      <c r="D990" s="311">
        <v>1.1028045481408875</v>
      </c>
      <c r="E990" s="219">
        <v>1.1000000000000001</v>
      </c>
    </row>
    <row r="991" spans="1:5">
      <c r="A991" s="216" t="s">
        <v>2336</v>
      </c>
      <c r="B991" s="310">
        <v>1.05</v>
      </c>
      <c r="C991" s="311">
        <v>1.0564236241853155</v>
      </c>
      <c r="D991" s="311">
        <v>1.062847248370631</v>
      </c>
      <c r="E991" s="219">
        <v>1.06</v>
      </c>
    </row>
    <row r="992" spans="1:5">
      <c r="A992" s="216" t="s">
        <v>2338</v>
      </c>
      <c r="B992" s="310">
        <v>1.06</v>
      </c>
      <c r="C992" s="311">
        <v>1.0729277650745928</v>
      </c>
      <c r="D992" s="311">
        <v>1.0858555301491855</v>
      </c>
      <c r="E992" s="219">
        <v>1.0900000000000001</v>
      </c>
    </row>
    <row r="993" spans="1:5">
      <c r="A993" s="216" t="s">
        <v>2340</v>
      </c>
      <c r="B993" s="310">
        <v>1.0900000000000001</v>
      </c>
      <c r="C993" s="311">
        <v>1.119042782028802</v>
      </c>
      <c r="D993" s="311">
        <v>1.148085564057604</v>
      </c>
      <c r="E993" s="219">
        <v>1.1499999999999999</v>
      </c>
    </row>
    <row r="994" spans="1:5">
      <c r="A994" s="216" t="s">
        <v>738</v>
      </c>
      <c r="B994" s="310">
        <v>1.05</v>
      </c>
      <c r="C994" s="311">
        <v>1.0579645317920423</v>
      </c>
      <c r="D994" s="311">
        <v>1.0659290635840846</v>
      </c>
      <c r="E994" s="219">
        <v>1.07</v>
      </c>
    </row>
    <row r="995" spans="1:5">
      <c r="A995" s="216" t="s">
        <v>3219</v>
      </c>
      <c r="B995" s="310">
        <v>1.07</v>
      </c>
      <c r="C995" s="311">
        <v>1.0512562881467045</v>
      </c>
      <c r="D995" s="311">
        <v>1.0325125762934089</v>
      </c>
      <c r="E995" s="219">
        <v>1.03</v>
      </c>
    </row>
    <row r="996" spans="1:5">
      <c r="A996" s="216" t="s">
        <v>608</v>
      </c>
      <c r="B996" s="310">
        <v>1.0900000000000001</v>
      </c>
      <c r="C996" s="311">
        <v>1.0813425244631132</v>
      </c>
      <c r="D996" s="311">
        <v>1.0726850489262265</v>
      </c>
      <c r="E996" s="219">
        <v>1.07</v>
      </c>
    </row>
    <row r="997" spans="1:5">
      <c r="A997" s="216" t="s">
        <v>610</v>
      </c>
      <c r="B997" s="310">
        <v>1.07</v>
      </c>
      <c r="C997" s="311">
        <v>1.0579484837605975</v>
      </c>
      <c r="D997" s="311">
        <v>1.0458969675211947</v>
      </c>
      <c r="E997" s="219">
        <v>1.05</v>
      </c>
    </row>
    <row r="998" spans="1:5">
      <c r="A998" s="216" t="s">
        <v>6145</v>
      </c>
      <c r="B998" s="310">
        <v>1.1599999999999999</v>
      </c>
      <c r="C998" s="311">
        <v>1.1066019366568427</v>
      </c>
      <c r="D998" s="311">
        <v>1.0532038733136853</v>
      </c>
      <c r="E998" s="219">
        <v>1.05</v>
      </c>
    </row>
    <row r="999" spans="1:5">
      <c r="A999" s="216" t="s">
        <v>2998</v>
      </c>
      <c r="B999" s="310">
        <v>1.1499999999999999</v>
      </c>
      <c r="C999" s="311">
        <v>1.1173704471743564</v>
      </c>
      <c r="D999" s="311">
        <v>1.0847408943487127</v>
      </c>
      <c r="E999" s="219">
        <v>1.08</v>
      </c>
    </row>
    <row r="1000" spans="1:5">
      <c r="A1000" s="216" t="s">
        <v>2766</v>
      </c>
      <c r="B1000" s="310">
        <v>1.17</v>
      </c>
      <c r="C1000" s="311">
        <v>1.1289846511557555</v>
      </c>
      <c r="D1000" s="311">
        <v>1.0879693023115113</v>
      </c>
      <c r="E1000" s="219">
        <v>1.0900000000000001</v>
      </c>
    </row>
    <row r="1001" spans="1:5">
      <c r="A1001" s="216" t="s">
        <v>5040</v>
      </c>
      <c r="B1001" s="310">
        <v>1.1399999999999999</v>
      </c>
      <c r="C1001" s="311">
        <v>1.1039040980318884</v>
      </c>
      <c r="D1001" s="311">
        <v>1.0678081960637769</v>
      </c>
      <c r="E1001" s="219">
        <v>1.07</v>
      </c>
    </row>
    <row r="1002" spans="1:5">
      <c r="A1002" s="216" t="s">
        <v>1307</v>
      </c>
      <c r="B1002" s="310">
        <v>1.07</v>
      </c>
      <c r="C1002" s="311">
        <v>1.1011424101913836</v>
      </c>
      <c r="D1002" s="311">
        <v>1.1322848203827671</v>
      </c>
      <c r="E1002" s="219">
        <v>1.1299999999999999</v>
      </c>
    </row>
    <row r="1003" spans="1:5">
      <c r="A1003" s="216" t="s">
        <v>1319</v>
      </c>
      <c r="B1003" s="310">
        <v>1.0900000000000001</v>
      </c>
      <c r="C1003" s="311">
        <v>1.1450302337055136</v>
      </c>
      <c r="D1003" s="311">
        <v>1.2000604674110271</v>
      </c>
      <c r="E1003" s="219">
        <v>1.2</v>
      </c>
    </row>
    <row r="1004" spans="1:5">
      <c r="A1004" s="216" t="s">
        <v>1856</v>
      </c>
      <c r="B1004" s="310">
        <v>1.06</v>
      </c>
      <c r="C1004" s="311">
        <v>1.0911673851670491</v>
      </c>
      <c r="D1004" s="311">
        <v>1.1223347703340982</v>
      </c>
      <c r="E1004" s="219">
        <v>1.1200000000000001</v>
      </c>
    </row>
    <row r="1005" spans="1:5">
      <c r="A1005" s="216" t="s">
        <v>6020</v>
      </c>
      <c r="B1005" s="310">
        <v>1.06</v>
      </c>
      <c r="C1005" s="311">
        <v>1.1056969258793048</v>
      </c>
      <c r="D1005" s="311">
        <v>1.1513938517586095</v>
      </c>
      <c r="E1005" s="219">
        <v>1.1499999999999999</v>
      </c>
    </row>
    <row r="1006" spans="1:5">
      <c r="A1006" s="216" t="s">
        <v>611</v>
      </c>
      <c r="B1006" s="310">
        <v>1.06</v>
      </c>
      <c r="C1006" s="311">
        <v>1.0960594861092927</v>
      </c>
      <c r="D1006" s="311">
        <v>1.1321189722185854</v>
      </c>
      <c r="E1006" s="219">
        <v>1.1299999999999999</v>
      </c>
    </row>
    <row r="1007" spans="1:5">
      <c r="A1007" s="216" t="s">
        <v>2990</v>
      </c>
      <c r="B1007" s="310">
        <v>1.06</v>
      </c>
      <c r="C1007" s="311">
        <v>1.1040785732108716</v>
      </c>
      <c r="D1007" s="311">
        <v>1.1481571464217433</v>
      </c>
      <c r="E1007" s="219">
        <v>1.1499999999999999</v>
      </c>
    </row>
    <row r="1008" spans="1:5">
      <c r="A1008" s="216" t="s">
        <v>2382</v>
      </c>
      <c r="B1008" s="310">
        <v>1.1200000000000001</v>
      </c>
      <c r="C1008" s="311">
        <v>1.1957053200993686</v>
      </c>
      <c r="D1008" s="311">
        <v>1.2714106401987368</v>
      </c>
      <c r="E1008" s="219">
        <v>1.27</v>
      </c>
    </row>
    <row r="1009" spans="1:5">
      <c r="A1009" s="216" t="s">
        <v>2473</v>
      </c>
      <c r="B1009" s="310">
        <v>1.08</v>
      </c>
      <c r="C1009" s="311">
        <v>1.120813102903147</v>
      </c>
      <c r="D1009" s="311">
        <v>1.1616262058062938</v>
      </c>
      <c r="E1009" s="219">
        <v>1.1599999999999999</v>
      </c>
    </row>
    <row r="1010" spans="1:5">
      <c r="A1010" s="216" t="s">
        <v>2412</v>
      </c>
      <c r="B1010" s="310">
        <v>1.06</v>
      </c>
      <c r="C1010" s="311">
        <v>1.083126133319378</v>
      </c>
      <c r="D1010" s="311">
        <v>1.106252266638756</v>
      </c>
      <c r="E1010" s="219">
        <v>1.1100000000000001</v>
      </c>
    </row>
    <row r="1011" spans="1:5">
      <c r="A1011" s="216" t="s">
        <v>2988</v>
      </c>
      <c r="B1011" s="310">
        <v>1.1000000000000001</v>
      </c>
      <c r="C1011" s="311">
        <v>1.1737353299990434</v>
      </c>
      <c r="D1011" s="311">
        <v>1.2474706599980867</v>
      </c>
      <c r="E1011" s="219">
        <v>1.25</v>
      </c>
    </row>
    <row r="1012" spans="1:5">
      <c r="A1012" s="216" t="s">
        <v>613</v>
      </c>
      <c r="B1012" s="310">
        <v>1.07</v>
      </c>
      <c r="C1012" s="311">
        <v>1.0777630191872098</v>
      </c>
      <c r="D1012" s="311">
        <v>1.0855260383744196</v>
      </c>
      <c r="E1012" s="219">
        <v>1.0900000000000001</v>
      </c>
    </row>
    <row r="1013" spans="1:5">
      <c r="A1013" s="216" t="s">
        <v>5041</v>
      </c>
      <c r="B1013" s="310">
        <v>1.08</v>
      </c>
      <c r="C1013" s="311">
        <v>1.1341087780600243</v>
      </c>
      <c r="D1013" s="311">
        <v>1.1882175561200488</v>
      </c>
      <c r="E1013" s="219">
        <v>1.19</v>
      </c>
    </row>
    <row r="1014" spans="1:5">
      <c r="A1014" s="216" t="s">
        <v>6039</v>
      </c>
      <c r="B1014" s="310">
        <v>1.07</v>
      </c>
      <c r="C1014" s="311">
        <v>1.122496080124056</v>
      </c>
      <c r="D1014" s="311">
        <v>1.1749921602481119</v>
      </c>
      <c r="E1014" s="219">
        <v>1.17</v>
      </c>
    </row>
    <row r="1015" spans="1:5">
      <c r="A1015" s="216" t="s">
        <v>5043</v>
      </c>
      <c r="B1015" s="310">
        <v>1.07</v>
      </c>
      <c r="C1015" s="311">
        <v>1.1052670368136772</v>
      </c>
      <c r="D1015" s="311">
        <v>1.1405340736273544</v>
      </c>
      <c r="E1015" s="219">
        <v>1.1399999999999999</v>
      </c>
    </row>
    <row r="1016" spans="1:5">
      <c r="A1016" s="216" t="s">
        <v>2409</v>
      </c>
      <c r="B1016" s="310">
        <v>1.07</v>
      </c>
      <c r="C1016" s="311">
        <v>1.1035920957644159</v>
      </c>
      <c r="D1016" s="311">
        <v>1.1371841915288319</v>
      </c>
      <c r="E1016" s="219">
        <v>1.1399999999999999</v>
      </c>
    </row>
    <row r="1017" spans="1:5">
      <c r="A1017" s="216" t="s">
        <v>615</v>
      </c>
      <c r="B1017" s="310">
        <v>1.1299999999999999</v>
      </c>
      <c r="C1017" s="311">
        <v>1.1038423855993673</v>
      </c>
      <c r="D1017" s="311">
        <v>1.0776847711987347</v>
      </c>
      <c r="E1017" s="219">
        <v>1.08</v>
      </c>
    </row>
    <row r="1018" spans="1:5">
      <c r="A1018" s="216" t="s">
        <v>617</v>
      </c>
      <c r="B1018" s="310">
        <v>1.1000000000000001</v>
      </c>
      <c r="C1018" s="311">
        <v>1.0833813433313</v>
      </c>
      <c r="D1018" s="311">
        <v>1.0667626866625999</v>
      </c>
      <c r="E1018" s="219">
        <v>1.07</v>
      </c>
    </row>
    <row r="1019" spans="1:5">
      <c r="A1019" s="216" t="s">
        <v>3889</v>
      </c>
      <c r="B1019" s="310">
        <v>1.1000000000000001</v>
      </c>
      <c r="C1019" s="311">
        <v>1.1046515514557091</v>
      </c>
      <c r="D1019" s="311">
        <v>1.1093031029114184</v>
      </c>
      <c r="E1019" s="219">
        <v>1.1100000000000001</v>
      </c>
    </row>
    <row r="1020" spans="1:5">
      <c r="A1020" s="216" t="s">
        <v>619</v>
      </c>
      <c r="B1020" s="310">
        <v>1.1100000000000001</v>
      </c>
      <c r="C1020" s="311">
        <v>1.1269571186199081</v>
      </c>
      <c r="D1020" s="311">
        <v>1.1439142372398163</v>
      </c>
      <c r="E1020" s="219">
        <v>1.1399999999999999</v>
      </c>
    </row>
    <row r="1021" spans="1:5">
      <c r="A1021" s="216" t="s">
        <v>1328</v>
      </c>
      <c r="B1021" s="310">
        <v>1.1000000000000001</v>
      </c>
      <c r="C1021" s="311">
        <v>1.1250980864936699</v>
      </c>
      <c r="D1021" s="311">
        <v>1.1501961729873398</v>
      </c>
      <c r="E1021" s="219">
        <v>1.1499999999999999</v>
      </c>
    </row>
    <row r="1022" spans="1:5">
      <c r="A1022" s="216" t="s">
        <v>6708</v>
      </c>
      <c r="B1022" s="310">
        <v>1.1000000000000001</v>
      </c>
      <c r="C1022" s="311">
        <v>1.1060524448538573</v>
      </c>
      <c r="D1022" s="311">
        <v>1.1121048897077148</v>
      </c>
      <c r="E1022" s="219">
        <v>1.1100000000000001</v>
      </c>
    </row>
    <row r="1023" spans="1:5">
      <c r="A1023" s="216" t="s">
        <v>6710</v>
      </c>
      <c r="B1023" s="310">
        <v>1.1000000000000001</v>
      </c>
      <c r="C1023" s="311">
        <v>1.1288699759263192</v>
      </c>
      <c r="D1023" s="311">
        <v>1.1577399518526381</v>
      </c>
      <c r="E1023" s="219">
        <v>1.1599999999999999</v>
      </c>
    </row>
    <row r="1024" spans="1:5">
      <c r="A1024" s="216" t="s">
        <v>6192</v>
      </c>
      <c r="B1024" s="310">
        <v>1.1000000000000001</v>
      </c>
      <c r="C1024" s="311">
        <v>1.1168863145516279</v>
      </c>
      <c r="D1024" s="311">
        <v>1.1337726291032559</v>
      </c>
      <c r="E1024" s="219">
        <v>1.1299999999999999</v>
      </c>
    </row>
    <row r="1025" spans="1:5">
      <c r="A1025" s="216" t="s">
        <v>2400</v>
      </c>
      <c r="B1025" s="310">
        <v>1.1000000000000001</v>
      </c>
      <c r="C1025" s="311">
        <v>1.0993074513938956</v>
      </c>
      <c r="D1025" s="311">
        <v>1.0986149027877909</v>
      </c>
      <c r="E1025" s="219">
        <v>1.1000000000000001</v>
      </c>
    </row>
    <row r="1026" spans="1:5">
      <c r="A1026" s="216" t="s">
        <v>6712</v>
      </c>
      <c r="B1026" s="310">
        <v>1.04</v>
      </c>
      <c r="C1026" s="311">
        <v>1.04409793757153</v>
      </c>
      <c r="D1026" s="311">
        <v>1.0481958751430598</v>
      </c>
      <c r="E1026" s="219">
        <v>1.05</v>
      </c>
    </row>
    <row r="1027" spans="1:5">
      <c r="A1027" s="216" t="s">
        <v>6714</v>
      </c>
      <c r="B1027" s="310">
        <v>1.04</v>
      </c>
      <c r="C1027" s="311">
        <v>1.0520919801371735</v>
      </c>
      <c r="D1027" s="311">
        <v>1.0641839602743468</v>
      </c>
      <c r="E1027" s="219">
        <v>1.06</v>
      </c>
    </row>
    <row r="1028" spans="1:5">
      <c r="A1028" s="216" t="s">
        <v>6716</v>
      </c>
      <c r="B1028" s="310">
        <v>1.05</v>
      </c>
      <c r="C1028" s="311">
        <v>1.0543758781541852</v>
      </c>
      <c r="D1028" s="311">
        <v>1.0587517563083706</v>
      </c>
      <c r="E1028" s="219">
        <v>1.06</v>
      </c>
    </row>
    <row r="1029" spans="1:5">
      <c r="A1029" s="216" t="s">
        <v>6718</v>
      </c>
      <c r="B1029" s="310">
        <v>1.04</v>
      </c>
      <c r="C1029" s="311">
        <v>1.0458580475226906</v>
      </c>
      <c r="D1029" s="311">
        <v>1.0517160950453814</v>
      </c>
      <c r="E1029" s="219">
        <v>1.05</v>
      </c>
    </row>
    <row r="1030" spans="1:5">
      <c r="A1030" s="216" t="s">
        <v>2443</v>
      </c>
      <c r="B1030" s="310">
        <v>1.05</v>
      </c>
      <c r="C1030" s="311">
        <v>1.0548232860345133</v>
      </c>
      <c r="D1030" s="311">
        <v>1.0596465720690265</v>
      </c>
      <c r="E1030" s="219">
        <v>1.06</v>
      </c>
    </row>
    <row r="1031" spans="1:5">
      <c r="A1031" s="216" t="s">
        <v>2445</v>
      </c>
      <c r="B1031" s="310">
        <v>1.04</v>
      </c>
      <c r="C1031" s="311">
        <v>1.053180942945658</v>
      </c>
      <c r="D1031" s="311">
        <v>1.066361885891316</v>
      </c>
      <c r="E1031" s="219">
        <v>1.07</v>
      </c>
    </row>
    <row r="1032" spans="1:5">
      <c r="A1032" s="216" t="s">
        <v>2447</v>
      </c>
      <c r="B1032" s="310">
        <v>1.1100000000000001</v>
      </c>
      <c r="C1032" s="311">
        <v>1.0920827048494011</v>
      </c>
      <c r="D1032" s="311">
        <v>1.0741654096988018</v>
      </c>
      <c r="E1032" s="219">
        <v>1.07</v>
      </c>
    </row>
    <row r="1033" spans="1:5">
      <c r="A1033" s="216" t="s">
        <v>905</v>
      </c>
      <c r="B1033" s="310">
        <v>1.1100000000000001</v>
      </c>
      <c r="C1033" s="311">
        <v>1.0836110717162488</v>
      </c>
      <c r="D1033" s="311">
        <v>1.0572221434324975</v>
      </c>
      <c r="E1033" s="219">
        <v>1.06</v>
      </c>
    </row>
    <row r="1034" spans="1:5">
      <c r="A1034" s="216" t="s">
        <v>1854</v>
      </c>
      <c r="B1034" s="310">
        <v>1.0900000000000001</v>
      </c>
      <c r="C1034" s="311">
        <v>1.0873632057568576</v>
      </c>
      <c r="D1034" s="311">
        <v>1.0847264115137152</v>
      </c>
      <c r="E1034" s="219">
        <v>1.08</v>
      </c>
    </row>
    <row r="1035" spans="1:5">
      <c r="A1035" s="216" t="s">
        <v>907</v>
      </c>
      <c r="B1035" s="310">
        <v>1.07</v>
      </c>
      <c r="C1035" s="311">
        <v>1.0640403312894833</v>
      </c>
      <c r="D1035" s="311">
        <v>1.0580806625789667</v>
      </c>
      <c r="E1035" s="219">
        <v>1.06</v>
      </c>
    </row>
    <row r="1036" spans="1:5">
      <c r="A1036" s="216" t="s">
        <v>6146</v>
      </c>
      <c r="B1036" s="310">
        <v>1.06</v>
      </c>
      <c r="C1036" s="311">
        <v>1.0626566000441298</v>
      </c>
      <c r="D1036" s="311">
        <v>1.0653132000882595</v>
      </c>
      <c r="E1036" s="219">
        <v>1.07</v>
      </c>
    </row>
    <row r="1037" spans="1:5">
      <c r="A1037" s="216" t="s">
        <v>909</v>
      </c>
      <c r="B1037" s="310">
        <v>1.1200000000000001</v>
      </c>
      <c r="C1037" s="311">
        <v>1.1257745939871435</v>
      </c>
      <c r="D1037" s="311">
        <v>1.1315491879742869</v>
      </c>
      <c r="E1037" s="219">
        <v>1.1299999999999999</v>
      </c>
    </row>
    <row r="1038" spans="1:5">
      <c r="A1038" s="216" t="s">
        <v>247</v>
      </c>
      <c r="B1038" s="310">
        <v>1.1399999999999999</v>
      </c>
      <c r="C1038" s="311">
        <v>1.1143717443524568</v>
      </c>
      <c r="D1038" s="311">
        <v>1.0887434887049134</v>
      </c>
      <c r="E1038" s="219">
        <v>1.0900000000000001</v>
      </c>
    </row>
    <row r="1039" spans="1:5">
      <c r="A1039" s="216" t="s">
        <v>1527</v>
      </c>
      <c r="B1039" s="310">
        <v>1.0900000000000001</v>
      </c>
      <c r="C1039" s="311">
        <v>1.0710455155266221</v>
      </c>
      <c r="D1039" s="311">
        <v>1.0520910310532441</v>
      </c>
      <c r="E1039" s="219">
        <v>1.05</v>
      </c>
    </row>
  </sheetData>
  <sheetProtection sheet="1" objects="1" scenarios="1"/>
  <phoneticPr fontId="33" type="noConversion"/>
  <pageMargins left="0.75" right="0.75" top="1" bottom="1" header="0.5" footer="0.5"/>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dimension ref="A1:K41"/>
  <sheetViews>
    <sheetView workbookViewId="0">
      <selection activeCell="I5" sqref="I5"/>
    </sheetView>
  </sheetViews>
  <sheetFormatPr defaultRowHeight="13.2"/>
  <cols>
    <col min="7" max="7" width="13.77734375" customWidth="1"/>
    <col min="8" max="8" width="2.77734375" customWidth="1"/>
    <col min="9" max="9" width="13.5546875" customWidth="1"/>
    <col min="10" max="10" width="2.77734375" customWidth="1"/>
    <col min="11" max="11" width="13.77734375" customWidth="1"/>
  </cols>
  <sheetData>
    <row r="1" spans="1:10">
      <c r="A1" s="471" t="s">
        <v>4985</v>
      </c>
      <c r="B1" s="187"/>
      <c r="C1" s="187"/>
      <c r="D1" s="187"/>
      <c r="E1" s="187"/>
      <c r="F1" s="187"/>
      <c r="G1" s="187"/>
      <c r="H1" s="187"/>
      <c r="I1" s="187"/>
      <c r="J1" s="187"/>
    </row>
    <row r="2" spans="1:10">
      <c r="A2" s="489" t="s">
        <v>2785</v>
      </c>
      <c r="B2" s="187"/>
      <c r="C2" s="187"/>
      <c r="D2" s="187"/>
      <c r="E2" s="187"/>
      <c r="F2" s="187"/>
      <c r="G2" s="187"/>
      <c r="H2" s="187"/>
      <c r="I2" s="187"/>
      <c r="J2" s="187"/>
    </row>
    <row r="3" spans="1:10">
      <c r="A3" s="489" t="s">
        <v>2970</v>
      </c>
      <c r="B3" s="187"/>
      <c r="C3" s="187"/>
      <c r="D3" s="187"/>
      <c r="E3" s="187"/>
      <c r="F3" s="187"/>
      <c r="G3" s="187"/>
      <c r="H3" s="187"/>
      <c r="I3" s="187"/>
      <c r="J3" s="187"/>
    </row>
    <row r="4" spans="1:10">
      <c r="A4" s="187"/>
      <c r="B4" s="187"/>
      <c r="C4" s="187"/>
      <c r="D4" s="187"/>
      <c r="E4" s="187"/>
      <c r="F4" s="187"/>
      <c r="G4" s="187"/>
      <c r="H4" s="187"/>
      <c r="I4" s="187"/>
      <c r="J4" s="187"/>
    </row>
    <row r="5" spans="1:10">
      <c r="A5" s="187"/>
      <c r="B5" s="187"/>
      <c r="C5" s="187"/>
      <c r="D5" s="187"/>
      <c r="E5" s="187"/>
      <c r="F5" s="187"/>
      <c r="G5" s="187"/>
      <c r="H5" s="187"/>
      <c r="I5" s="485" t="s">
        <v>1895</v>
      </c>
      <c r="J5" s="187"/>
    </row>
    <row r="6" spans="1:10">
      <c r="A6" s="471" t="s">
        <v>1881</v>
      </c>
      <c r="B6" s="471"/>
      <c r="C6" s="471"/>
      <c r="D6" s="471"/>
      <c r="E6" s="471"/>
      <c r="F6" s="471"/>
      <c r="G6" s="471"/>
      <c r="H6" s="471"/>
      <c r="I6" s="472" t="e">
        <f>'Calc Data'!E96</f>
        <v>#N/A</v>
      </c>
      <c r="J6" s="471"/>
    </row>
    <row r="7" spans="1:10">
      <c r="A7" s="471"/>
      <c r="B7" s="471"/>
      <c r="C7" s="471"/>
      <c r="D7" s="471"/>
      <c r="E7" s="471"/>
      <c r="F7" s="471"/>
      <c r="G7" s="471"/>
      <c r="H7" s="471"/>
      <c r="I7" s="471"/>
      <c r="J7" s="471"/>
    </row>
    <row r="8" spans="1:10">
      <c r="A8" s="471" t="s">
        <v>1882</v>
      </c>
      <c r="B8" s="471"/>
      <c r="C8" s="471"/>
      <c r="D8" s="471"/>
      <c r="E8" s="471"/>
      <c r="F8" s="471"/>
      <c r="G8" s="471"/>
      <c r="H8" s="471"/>
      <c r="I8" s="471"/>
      <c r="J8" s="471"/>
    </row>
    <row r="9" spans="1:10">
      <c r="A9" s="471"/>
      <c r="B9" s="471" t="s">
        <v>1883</v>
      </c>
      <c r="C9" s="471"/>
      <c r="D9" s="471"/>
      <c r="E9" s="471"/>
      <c r="F9" s="471"/>
      <c r="G9" s="472" t="e">
        <f>'Calc Data'!E106-'Calc Data'!E107</f>
        <v>#N/A</v>
      </c>
      <c r="H9" s="472"/>
      <c r="I9" s="471"/>
      <c r="J9" s="471"/>
    </row>
    <row r="10" spans="1:10">
      <c r="A10" s="471"/>
      <c r="B10" s="471" t="s">
        <v>1884</v>
      </c>
      <c r="C10" s="471"/>
      <c r="D10" s="471"/>
      <c r="E10" s="471"/>
      <c r="F10" s="471"/>
      <c r="G10" s="472" t="e">
        <f>'Calc Data'!E99</f>
        <v>#N/A</v>
      </c>
      <c r="H10" s="472"/>
      <c r="I10" s="471"/>
      <c r="J10" s="471"/>
    </row>
    <row r="11" spans="1:10">
      <c r="A11" s="471"/>
      <c r="B11" s="471" t="s">
        <v>1885</v>
      </c>
      <c r="C11" s="471"/>
      <c r="D11" s="471"/>
      <c r="E11" s="471"/>
      <c r="F11" s="471"/>
      <c r="G11" s="472" t="e">
        <f>'Calc Data'!E100</f>
        <v>#N/A</v>
      </c>
      <c r="H11" s="472"/>
      <c r="I11" s="471"/>
      <c r="J11" s="471"/>
    </row>
    <row r="12" spans="1:10">
      <c r="A12" s="471"/>
      <c r="B12" s="471" t="s">
        <v>1897</v>
      </c>
      <c r="C12" s="471"/>
      <c r="D12" s="471"/>
      <c r="E12" s="471"/>
      <c r="F12" s="471"/>
      <c r="G12" s="472" t="e">
        <f>'Calc Data'!#REF!</f>
        <v>#REF!</v>
      </c>
      <c r="H12" s="472"/>
      <c r="I12" s="471"/>
      <c r="J12" s="471"/>
    </row>
    <row r="13" spans="1:10">
      <c r="A13" s="471"/>
      <c r="B13" s="471" t="s">
        <v>1886</v>
      </c>
      <c r="C13" s="471"/>
      <c r="D13" s="471"/>
      <c r="E13" s="471"/>
      <c r="F13" s="471"/>
      <c r="G13" s="474" t="e">
        <f>'Calc Data'!E101</f>
        <v>#N/A</v>
      </c>
      <c r="H13" s="472"/>
      <c r="I13" s="471"/>
      <c r="J13" s="471"/>
    </row>
    <row r="14" spans="1:10">
      <c r="A14" s="471"/>
      <c r="B14" s="471" t="s">
        <v>1896</v>
      </c>
      <c r="C14" s="471"/>
      <c r="D14" s="471"/>
      <c r="E14" s="471"/>
      <c r="F14" s="471"/>
      <c r="G14" s="473" t="e">
        <f>'Calc Data'!E102+'Calc Data'!E103+'Calc Data'!E104+'Calc Data'!E105</f>
        <v>#DIV/0!</v>
      </c>
      <c r="H14" s="472"/>
      <c r="I14" s="471"/>
      <c r="J14" s="471"/>
    </row>
    <row r="15" spans="1:10">
      <c r="A15" s="471"/>
      <c r="B15" s="471"/>
      <c r="C15" s="471" t="s">
        <v>1889</v>
      </c>
      <c r="D15" s="471"/>
      <c r="E15" s="471"/>
      <c r="F15" s="471"/>
      <c r="G15" s="471"/>
      <c r="H15" s="471"/>
      <c r="I15" s="473" t="e">
        <f>SUM(G9:G14)</f>
        <v>#N/A</v>
      </c>
      <c r="J15" s="471"/>
    </row>
    <row r="16" spans="1:10">
      <c r="A16" s="471"/>
      <c r="B16" s="471"/>
      <c r="C16" s="471"/>
      <c r="D16" s="471"/>
      <c r="E16" s="471"/>
      <c r="F16" s="471"/>
      <c r="G16" s="471"/>
      <c r="H16" s="471"/>
      <c r="I16" s="471"/>
      <c r="J16" s="471"/>
    </row>
    <row r="17" spans="1:11">
      <c r="A17" s="471" t="s">
        <v>7279</v>
      </c>
      <c r="B17" s="471"/>
      <c r="C17" s="471"/>
      <c r="D17" s="471"/>
      <c r="E17" s="471"/>
      <c r="F17" s="471"/>
      <c r="G17" s="471"/>
      <c r="H17" s="471"/>
      <c r="I17" s="472" t="e">
        <f>I6-I15</f>
        <v>#N/A</v>
      </c>
      <c r="J17" s="471"/>
    </row>
    <row r="18" spans="1:11">
      <c r="A18" s="481" t="s">
        <v>2968</v>
      </c>
      <c r="B18" s="471"/>
      <c r="C18" s="471"/>
      <c r="D18" s="471"/>
      <c r="E18" s="471"/>
      <c r="F18" s="471"/>
      <c r="G18" s="471"/>
      <c r="H18" s="471"/>
      <c r="I18" s="472"/>
      <c r="J18" s="471"/>
    </row>
    <row r="19" spans="1:11">
      <c r="A19" s="481" t="s">
        <v>2784</v>
      </c>
      <c r="B19" s="471"/>
      <c r="C19" s="471"/>
      <c r="D19" s="471"/>
      <c r="E19" s="471"/>
      <c r="F19" s="471"/>
      <c r="G19" s="471"/>
      <c r="H19" s="471"/>
      <c r="I19" s="472"/>
      <c r="J19" s="471"/>
    </row>
    <row r="20" spans="1:11">
      <c r="A20" s="481"/>
      <c r="B20" s="471"/>
      <c r="C20" s="471"/>
      <c r="D20" s="471"/>
      <c r="E20" s="471"/>
      <c r="F20" s="471"/>
      <c r="G20" s="471"/>
      <c r="H20" s="471"/>
      <c r="I20" s="472"/>
      <c r="J20" s="471"/>
    </row>
    <row r="21" spans="1:11">
      <c r="A21" s="471"/>
      <c r="B21" s="471"/>
      <c r="C21" s="471"/>
      <c r="D21" s="471"/>
      <c r="E21" s="471"/>
      <c r="F21" s="471"/>
      <c r="G21" s="471"/>
      <c r="H21" s="471"/>
      <c r="I21" s="471"/>
      <c r="J21" s="471"/>
    </row>
    <row r="22" spans="1:11">
      <c r="A22" s="475" t="s">
        <v>4178</v>
      </c>
      <c r="B22" s="475"/>
      <c r="C22" s="475"/>
      <c r="D22" s="475"/>
      <c r="E22" s="475"/>
      <c r="F22" s="475"/>
      <c r="G22" s="475"/>
      <c r="H22" s="475"/>
      <c r="I22" s="475"/>
      <c r="J22" s="475"/>
      <c r="K22" s="475"/>
    </row>
    <row r="23" spans="1:11">
      <c r="A23" s="471"/>
      <c r="B23" s="471"/>
      <c r="C23" s="471"/>
      <c r="D23" s="471"/>
      <c r="E23" s="471"/>
      <c r="F23" s="471"/>
      <c r="G23" s="471"/>
      <c r="H23" s="471"/>
      <c r="I23" s="477" t="s">
        <v>2969</v>
      </c>
      <c r="J23" s="471"/>
      <c r="K23" s="317" t="s">
        <v>1895</v>
      </c>
    </row>
    <row r="24" spans="1:11">
      <c r="A24" s="471"/>
      <c r="B24" s="471"/>
      <c r="C24" s="471"/>
      <c r="D24" s="471"/>
      <c r="E24" s="471"/>
      <c r="F24" s="471"/>
      <c r="G24" s="486" t="s">
        <v>1849</v>
      </c>
      <c r="H24" s="476"/>
      <c r="I24" s="487" t="s">
        <v>1850</v>
      </c>
      <c r="J24" s="471"/>
      <c r="K24" s="488" t="s">
        <v>1850</v>
      </c>
    </row>
    <row r="25" spans="1:11">
      <c r="A25" s="471"/>
      <c r="B25" s="471" t="s">
        <v>1890</v>
      </c>
      <c r="C25" s="471"/>
      <c r="D25" s="471"/>
      <c r="E25" s="471"/>
      <c r="F25" s="471"/>
      <c r="G25" s="471"/>
      <c r="H25" s="471"/>
      <c r="I25" s="471"/>
      <c r="J25" s="471"/>
      <c r="K25" s="481"/>
    </row>
    <row r="26" spans="1:11">
      <c r="A26" s="471"/>
      <c r="B26" s="471"/>
      <c r="C26" s="471" t="s">
        <v>682</v>
      </c>
      <c r="D26" s="471"/>
      <c r="E26" s="471"/>
      <c r="F26" s="471"/>
      <c r="G26" s="472" t="e">
        <f>I6</f>
        <v>#N/A</v>
      </c>
      <c r="H26" s="472"/>
      <c r="I26" s="471"/>
      <c r="J26" s="471"/>
      <c r="K26" s="481"/>
    </row>
    <row r="27" spans="1:11">
      <c r="A27" s="471"/>
      <c r="B27" s="471"/>
      <c r="C27" s="471" t="s">
        <v>1891</v>
      </c>
      <c r="D27" s="471"/>
      <c r="E27" s="471"/>
      <c r="F27" s="471"/>
      <c r="G27" s="471"/>
      <c r="H27" s="471"/>
      <c r="I27" s="472" t="e">
        <f>I15</f>
        <v>#N/A</v>
      </c>
      <c r="J27" s="471"/>
      <c r="K27" s="482" t="e">
        <f>I27+'SOF0607-HB1'!F73+'SOF0607-HB1'!F75</f>
        <v>#N/A</v>
      </c>
    </row>
    <row r="28" spans="1:11">
      <c r="A28" s="471"/>
      <c r="B28" s="471"/>
      <c r="C28" s="471" t="s">
        <v>731</v>
      </c>
      <c r="D28" s="471"/>
      <c r="E28" s="471"/>
      <c r="F28" s="472"/>
      <c r="G28" s="478"/>
      <c r="H28" s="471"/>
      <c r="I28" s="473" t="e">
        <f>I17</f>
        <v>#N/A</v>
      </c>
      <c r="J28" s="471"/>
      <c r="K28" s="483" t="e">
        <f>I17</f>
        <v>#N/A</v>
      </c>
    </row>
    <row r="29" spans="1:11">
      <c r="A29" s="471"/>
      <c r="B29" s="471"/>
      <c r="C29" s="479" t="s">
        <v>1892</v>
      </c>
      <c r="D29" s="471"/>
      <c r="E29" s="471"/>
      <c r="F29" s="471"/>
      <c r="G29" s="472" t="e">
        <f>G26</f>
        <v>#N/A</v>
      </c>
      <c r="H29" s="471"/>
      <c r="I29" s="472" t="e">
        <f>I27+I28</f>
        <v>#N/A</v>
      </c>
      <c r="J29" s="471"/>
      <c r="K29" s="482" t="e">
        <f>K27+K28</f>
        <v>#N/A</v>
      </c>
    </row>
    <row r="30" spans="1:11">
      <c r="A30" s="471"/>
      <c r="B30" s="471"/>
      <c r="C30" s="479"/>
      <c r="D30" s="471"/>
      <c r="E30" s="471"/>
      <c r="F30" s="471"/>
      <c r="G30" s="472"/>
      <c r="H30" s="471"/>
      <c r="I30" s="472"/>
      <c r="J30" s="471"/>
      <c r="K30" s="482"/>
    </row>
    <row r="31" spans="1:11">
      <c r="A31" s="471"/>
      <c r="B31" s="471" t="s">
        <v>1893</v>
      </c>
      <c r="C31" s="471"/>
      <c r="D31" s="471"/>
      <c r="E31" s="471"/>
      <c r="F31" s="471"/>
      <c r="G31" s="471"/>
      <c r="H31" s="471"/>
      <c r="I31" s="471"/>
      <c r="J31" s="471"/>
      <c r="K31" s="481"/>
    </row>
    <row r="32" spans="1:11">
      <c r="A32" s="471"/>
      <c r="B32" s="471"/>
      <c r="C32" s="471" t="s">
        <v>682</v>
      </c>
      <c r="D32" s="471"/>
      <c r="E32" s="471"/>
      <c r="F32" s="471"/>
      <c r="G32" s="472" t="e">
        <f>G26</f>
        <v>#N/A</v>
      </c>
      <c r="H32" s="471"/>
      <c r="I32" s="472" t="e">
        <f>G32</f>
        <v>#N/A</v>
      </c>
      <c r="J32" s="471"/>
      <c r="K32" s="482" t="e">
        <f>I32</f>
        <v>#N/A</v>
      </c>
    </row>
    <row r="33" spans="1:11">
      <c r="A33" s="471"/>
      <c r="B33" s="471"/>
      <c r="C33" s="471" t="s">
        <v>1887</v>
      </c>
      <c r="D33" s="471"/>
      <c r="E33" s="471"/>
      <c r="F33" s="471"/>
      <c r="G33" s="472" t="e">
        <f>G26-G32</f>
        <v>#N/A</v>
      </c>
      <c r="H33" s="471"/>
      <c r="I33" s="472" t="e">
        <f>'SOF0607-HB1'!F73+'SOF0607-HB1'!F75</f>
        <v>#REF!</v>
      </c>
      <c r="J33" s="471"/>
      <c r="K33" s="482">
        <f>'SOF0607-HB1'!F73</f>
        <v>0</v>
      </c>
    </row>
    <row r="34" spans="1:11">
      <c r="A34" s="471"/>
      <c r="B34" s="471"/>
      <c r="C34" s="471" t="s">
        <v>1888</v>
      </c>
      <c r="D34" s="471"/>
      <c r="E34" s="471"/>
      <c r="F34" s="471"/>
      <c r="G34" s="473">
        <v>0</v>
      </c>
      <c r="H34" s="471"/>
      <c r="I34" s="473" t="e">
        <f>'SOF0607-HB1'!F75</f>
        <v>#REF!</v>
      </c>
      <c r="J34" s="471"/>
      <c r="K34" s="483" t="e">
        <f>'SOF0607-HB1'!F75</f>
        <v>#REF!</v>
      </c>
    </row>
    <row r="35" spans="1:11">
      <c r="A35" s="471"/>
      <c r="B35" s="471"/>
      <c r="C35" s="479" t="s">
        <v>1892</v>
      </c>
      <c r="D35" s="471"/>
      <c r="E35" s="471"/>
      <c r="F35" s="471"/>
      <c r="G35" s="472" t="e">
        <f>SUM(G32:G34)</f>
        <v>#N/A</v>
      </c>
      <c r="H35" s="471"/>
      <c r="I35" s="472" t="e">
        <f>SUM(I32:I34)</f>
        <v>#N/A</v>
      </c>
      <c r="J35" s="471"/>
      <c r="K35" s="482" t="e">
        <f>SUM(K32:K34)</f>
        <v>#N/A</v>
      </c>
    </row>
    <row r="36" spans="1:11">
      <c r="A36" s="471"/>
      <c r="B36" s="471"/>
      <c r="C36" s="471"/>
      <c r="D36" s="471"/>
      <c r="E36" s="471"/>
      <c r="F36" s="471"/>
      <c r="G36" s="471"/>
      <c r="H36" s="471"/>
      <c r="I36" s="471"/>
      <c r="J36" s="471"/>
      <c r="K36" s="481"/>
    </row>
    <row r="37" spans="1:11" ht="13.8" thickBot="1">
      <c r="A37" s="471"/>
      <c r="B37" s="471" t="s">
        <v>1894</v>
      </c>
      <c r="C37" s="471"/>
      <c r="D37" s="471"/>
      <c r="E37" s="471"/>
      <c r="F37" s="471"/>
      <c r="G37" s="480" t="e">
        <f>G29-G35</f>
        <v>#N/A</v>
      </c>
      <c r="H37" s="471"/>
      <c r="I37" s="480" t="e">
        <f>I29-I35</f>
        <v>#N/A</v>
      </c>
      <c r="J37" s="471"/>
      <c r="K37" s="484" t="e">
        <f>K29-K35</f>
        <v>#N/A</v>
      </c>
    </row>
    <row r="38" spans="1:11" ht="13.8" thickTop="1">
      <c r="A38" s="471"/>
      <c r="B38" s="471"/>
      <c r="C38" s="471"/>
      <c r="D38" s="471"/>
      <c r="E38" s="471"/>
      <c r="F38" s="471"/>
      <c r="G38" s="471"/>
      <c r="H38" s="471"/>
      <c r="I38" s="471"/>
      <c r="J38" s="471"/>
    </row>
    <row r="39" spans="1:11">
      <c r="A39" s="187"/>
      <c r="B39" s="187"/>
      <c r="C39" s="187"/>
      <c r="D39" s="187"/>
      <c r="E39" s="187"/>
      <c r="F39" s="187"/>
      <c r="G39" s="187"/>
      <c r="H39" s="187"/>
      <c r="I39" s="187"/>
      <c r="J39" s="187"/>
    </row>
    <row r="40" spans="1:11">
      <c r="A40" s="187"/>
      <c r="B40" s="187"/>
      <c r="C40" s="187"/>
      <c r="D40" s="187"/>
      <c r="E40" s="187"/>
      <c r="F40" s="187"/>
      <c r="G40" s="187"/>
      <c r="H40" s="187"/>
      <c r="I40" s="187"/>
      <c r="J40" s="187"/>
    </row>
    <row r="41" spans="1:11">
      <c r="A41" s="187"/>
      <c r="B41" s="187"/>
      <c r="C41" s="187"/>
      <c r="D41" s="187"/>
      <c r="E41" s="187"/>
      <c r="F41" s="187"/>
      <c r="G41" s="187"/>
      <c r="H41" s="187"/>
      <c r="I41" s="187"/>
      <c r="J41" s="187"/>
    </row>
  </sheetData>
  <sheetProtection sheet="1" objects="1" scenarios="1"/>
  <phoneticPr fontId="33" type="noConversion"/>
  <pageMargins left="0.25" right="0.25" top="0.5" bottom="0.5" header="0.5" footer="0.5"/>
  <pageSetup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7"/>
  <dimension ref="A1:G18"/>
  <sheetViews>
    <sheetView workbookViewId="0">
      <selection activeCell="F10" sqref="F10"/>
    </sheetView>
  </sheetViews>
  <sheetFormatPr defaultRowHeight="13.2"/>
  <cols>
    <col min="1" max="2" width="9.21875" customWidth="1"/>
    <col min="3" max="3" width="9.44140625" bestFit="1" customWidth="1"/>
    <col min="5" max="5" width="15.77734375" customWidth="1"/>
    <col min="6" max="6" width="15.5546875" customWidth="1"/>
  </cols>
  <sheetData>
    <row r="1" spans="1:7">
      <c r="A1" s="27" t="s">
        <v>6151</v>
      </c>
      <c r="C1" s="19" t="e">
        <f>'Data Entry - SOF'!B1</f>
        <v>#N/A</v>
      </c>
      <c r="D1" s="19"/>
      <c r="G1" s="107">
        <f>'Data Entry - SOF'!H1</f>
        <v>0</v>
      </c>
    </row>
    <row r="2" spans="1:7">
      <c r="A2" s="27" t="s">
        <v>6152</v>
      </c>
      <c r="C2" s="19" t="str">
        <f>'Data Entry - SOF'!B2</f>
        <v>000-000</v>
      </c>
      <c r="G2" s="107" t="str">
        <f>'Data Entry - SOF'!H2</f>
        <v>Release 09-10; Revised 10/18/11</v>
      </c>
    </row>
    <row r="3" spans="1:7">
      <c r="A3" s="27" t="s">
        <v>6154</v>
      </c>
      <c r="C3" s="115">
        <f ca="1">'Data Entry - SOF'!B3</f>
        <v>45352.58606238426</v>
      </c>
    </row>
    <row r="6" spans="1:7">
      <c r="A6" s="57" t="s">
        <v>2013</v>
      </c>
    </row>
    <row r="9" spans="1:7">
      <c r="A9" t="s">
        <v>5395</v>
      </c>
      <c r="F9" s="64" t="e">
        <f>'Data Entry - SOF'!F18-'Data Entry - SOF'!F19</f>
        <v>#N/A</v>
      </c>
    </row>
    <row r="10" spans="1:7">
      <c r="A10" t="s">
        <v>5396</v>
      </c>
      <c r="F10" s="255" t="e">
        <f>VLOOKUP(C2,LP0405shares!A1:E46,5,FALSE)</f>
        <v>#N/A</v>
      </c>
    </row>
    <row r="11" spans="1:7">
      <c r="A11" t="s">
        <v>2156</v>
      </c>
      <c r="F11" s="64" t="e">
        <f>F9-F10</f>
        <v>#N/A</v>
      </c>
    </row>
    <row r="12" spans="1:7">
      <c r="A12" t="s">
        <v>2157</v>
      </c>
      <c r="F12" s="64">
        <f>'Data Entry - SOF'!F20</f>
        <v>0</v>
      </c>
    </row>
    <row r="13" spans="1:7">
      <c r="A13" t="s">
        <v>2158</v>
      </c>
      <c r="F13" s="124" t="e">
        <f>(F11/F12)*100</f>
        <v>#N/A</v>
      </c>
    </row>
    <row r="14" spans="1:7">
      <c r="A14" t="s">
        <v>2671</v>
      </c>
      <c r="F14" s="124">
        <v>0.86</v>
      </c>
    </row>
    <row r="15" spans="1:7">
      <c r="A15" t="s">
        <v>2672</v>
      </c>
      <c r="F15" s="124" t="e">
        <f>F13-F14</f>
        <v>#N/A</v>
      </c>
    </row>
    <row r="17" spans="1:6" ht="13.8" thickBot="1">
      <c r="A17" t="s">
        <v>2012</v>
      </c>
      <c r="F17" s="125" t="e">
        <f>(F13/100)*'Data Entry - SOF'!F62</f>
        <v>#N/A</v>
      </c>
    </row>
    <row r="18" spans="1:6" ht="13.8" thickTop="1"/>
  </sheetData>
  <sheetProtection sheet="1" objects="1" scenarios="1"/>
  <phoneticPr fontId="0" type="noConversion"/>
  <pageMargins left="0.75" right="0.75" top="1" bottom="1" header="0.5" footer="0.5"/>
  <pageSetup orientation="portrait" r:id="rId1"/>
  <headerFooter alignWithMargins="0"/>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8"/>
  <dimension ref="A1:AE136"/>
  <sheetViews>
    <sheetView workbookViewId="0">
      <selection activeCell="F2" sqref="F2"/>
    </sheetView>
  </sheetViews>
  <sheetFormatPr defaultRowHeight="13.2"/>
  <cols>
    <col min="3" max="3" width="13.5546875" customWidth="1"/>
    <col min="4" max="4" width="44.5546875" customWidth="1"/>
    <col min="5" max="5" width="13.77734375" customWidth="1"/>
    <col min="6" max="6" width="15.5546875" customWidth="1"/>
    <col min="7" max="18" width="13.5546875" hidden="1" customWidth="1"/>
    <col min="19" max="19" width="5" customWidth="1"/>
    <col min="20" max="20" width="19.77734375" customWidth="1"/>
    <col min="21" max="23" width="13.5546875" customWidth="1"/>
    <col min="24" max="31" width="13.5546875" hidden="1" customWidth="1"/>
    <col min="32" max="33" width="0" hidden="1" customWidth="1"/>
  </cols>
  <sheetData>
    <row r="1" spans="1:28">
      <c r="A1" s="27" t="s">
        <v>6151</v>
      </c>
      <c r="C1" s="19" t="e">
        <f>'Data Entry - SOF'!B1</f>
        <v>#N/A</v>
      </c>
      <c r="D1" s="42"/>
      <c r="F1" s="107" t="s">
        <v>682</v>
      </c>
      <c r="G1" s="107"/>
    </row>
    <row r="2" spans="1:28">
      <c r="A2" s="27" t="s">
        <v>6152</v>
      </c>
      <c r="C2" s="19" t="str">
        <f>'Data Entry - SOF'!B2</f>
        <v>000-000</v>
      </c>
      <c r="F2" s="107" t="str">
        <f>'Data Entry - SOF'!H2</f>
        <v>Release 09-10; Revised 10/18/11</v>
      </c>
      <c r="G2" s="107"/>
    </row>
    <row r="3" spans="1:28">
      <c r="A3" s="27" t="s">
        <v>6154</v>
      </c>
      <c r="C3" s="115">
        <f ca="1">'Data Entry - SOF'!B3</f>
        <v>45352.58606238426</v>
      </c>
      <c r="F3" s="106">
        <f>'Data Entry - SOF'!H3</f>
        <v>0</v>
      </c>
    </row>
    <row r="4" spans="1:28">
      <c r="D4" s="317" t="s">
        <v>633</v>
      </c>
    </row>
    <row r="5" spans="1:28">
      <c r="D5" s="249" t="s">
        <v>4554</v>
      </c>
    </row>
    <row r="7" spans="1:28">
      <c r="D7" s="27" t="s">
        <v>634</v>
      </c>
    </row>
    <row r="8" spans="1:28">
      <c r="B8" s="4"/>
      <c r="D8" s="27" t="s">
        <v>3608</v>
      </c>
      <c r="F8" s="25" t="e">
        <f>'Calc Data'!E10</f>
        <v>#DIV/0!</v>
      </c>
      <c r="G8" s="25"/>
      <c r="J8" s="1"/>
    </row>
    <row r="9" spans="1:28">
      <c r="D9" s="27" t="s">
        <v>635</v>
      </c>
      <c r="F9" s="25">
        <f>'Calc Data'!E11</f>
        <v>0</v>
      </c>
      <c r="G9" s="25"/>
      <c r="J9" s="1"/>
    </row>
    <row r="10" spans="1:28">
      <c r="D10" s="27" t="s">
        <v>636</v>
      </c>
      <c r="F10" s="25" t="e">
        <f>'Data Entry - SOF'!H51</f>
        <v>#DIV/0!</v>
      </c>
      <c r="G10" s="25"/>
    </row>
    <row r="11" spans="1:28">
      <c r="B11" s="27"/>
      <c r="D11" s="27" t="s">
        <v>637</v>
      </c>
      <c r="F11" s="25" t="e">
        <f>'Calc Data'!E14</f>
        <v>#DIV/0!</v>
      </c>
      <c r="G11" s="25"/>
    </row>
    <row r="12" spans="1:28">
      <c r="D12" s="27" t="s">
        <v>638</v>
      </c>
      <c r="F12" s="23" t="e">
        <f>'Data Entry - SOF'!H60</f>
        <v>#N/A</v>
      </c>
      <c r="G12" s="23"/>
    </row>
    <row r="13" spans="1:28">
      <c r="D13" s="27" t="s">
        <v>639</v>
      </c>
      <c r="F13" s="23" t="e">
        <f>'Data Entry - SOF'!H62</f>
        <v>#N/A</v>
      </c>
      <c r="G13" s="23"/>
    </row>
    <row r="14" spans="1:28">
      <c r="D14" s="27" t="s">
        <v>2602</v>
      </c>
      <c r="F14" s="24">
        <f>'Data Entry - SOF'!H80</f>
        <v>0</v>
      </c>
      <c r="G14" s="23"/>
    </row>
    <row r="15" spans="1:28">
      <c r="D15" s="27" t="s">
        <v>521</v>
      </c>
      <c r="F15" s="24" t="e">
        <f>'Calc Data'!E64</f>
        <v>#DIV/0!</v>
      </c>
      <c r="G15" s="24"/>
    </row>
    <row r="16" spans="1:28">
      <c r="D16" s="27" t="s">
        <v>3137</v>
      </c>
      <c r="F16" s="23">
        <f>'Data Entry - SOF'!H72</f>
        <v>0</v>
      </c>
      <c r="G16" s="23"/>
      <c r="T16" s="194" t="s">
        <v>5249</v>
      </c>
      <c r="U16" s="194" t="s">
        <v>5250</v>
      </c>
      <c r="AA16" s="71" t="s">
        <v>1681</v>
      </c>
      <c r="AB16" s="71" t="s">
        <v>1682</v>
      </c>
    </row>
    <row r="17" spans="2:28" ht="13.8" thickBot="1">
      <c r="D17" s="37"/>
      <c r="E17" s="17"/>
      <c r="F17" s="36"/>
      <c r="G17" s="38"/>
      <c r="H17" s="133" t="s">
        <v>5250</v>
      </c>
      <c r="L17" s="133" t="s">
        <v>5249</v>
      </c>
      <c r="T17" t="s">
        <v>668</v>
      </c>
      <c r="U17" t="s">
        <v>2739</v>
      </c>
      <c r="AA17" t="s">
        <v>4558</v>
      </c>
      <c r="AB17" t="s">
        <v>4558</v>
      </c>
    </row>
    <row r="18" spans="2:28" ht="13.8" thickTop="1">
      <c r="B18" s="33" t="s">
        <v>640</v>
      </c>
      <c r="D18" s="27"/>
      <c r="F18" s="27"/>
      <c r="G18" s="27"/>
      <c r="H18" s="135" t="s">
        <v>865</v>
      </c>
      <c r="L18" s="135" t="s">
        <v>865</v>
      </c>
    </row>
    <row r="19" spans="2:28">
      <c r="B19" s="33">
        <v>11</v>
      </c>
      <c r="D19" s="27" t="s">
        <v>641</v>
      </c>
      <c r="F19" s="23" t="e">
        <f>ROUND(ROUND('Calc Data'!E29,0)*IF('Calc Data'!E15&gt;'Calc Data'!E14,'Calc Data'!E15,'Calc Data'!E14),0)</f>
        <v>#DIV/0!</v>
      </c>
      <c r="G19" s="23"/>
      <c r="H19" s="79" t="e">
        <f>ROUND(ROUND('Calc Data'!H29,0)*IF('Calc Data'!J15&gt;'Calc Data'!J14,'Calc Data'!J15,'Calc Data'!J14),0)</f>
        <v>#N/A</v>
      </c>
      <c r="L19" s="79" t="e">
        <f>ROUND(ROUND('Calc Data'!J29,0)*IF('Calc Data'!J15&gt;'Calc Data'!J14,'Calc Data'!J15,'Calc Data'!J14),0)</f>
        <v>#DIV/0!</v>
      </c>
      <c r="T19" s="23" t="e">
        <f>ROUND(ROUND('Calc Data'!E29,0)*IF('Calc Data'!E15&gt;'Calc Data'!E14,'Calc Data'!E15,'Calc Data'!E14),0)</f>
        <v>#DIV/0!</v>
      </c>
      <c r="U19" s="23" t="e">
        <f>ROUND(ROUND('Calc Data'!E29,0)*IF('Calc Data'!E15&gt;'Calc Data'!E14,'Calc Data'!E15,'Calc Data'!E14),0)</f>
        <v>#DIV/0!</v>
      </c>
    </row>
    <row r="20" spans="2:28">
      <c r="B20" s="33">
        <v>23</v>
      </c>
      <c r="D20" s="27" t="s">
        <v>4081</v>
      </c>
      <c r="F20" s="23" t="e">
        <f>ROUND('Calc Data'!E12*ROUND('Calc Data'!E29,0),0)</f>
        <v>#DIV/0!</v>
      </c>
      <c r="G20" s="23"/>
      <c r="H20" s="79" t="e">
        <f>ROUND('Calc Data'!J12*ROUND('Calc Data'!J29,0),0)</f>
        <v>#DIV/0!</v>
      </c>
      <c r="L20" s="79" t="e">
        <f>ROUND('Calc Data'!J12*ROUND('Calc Data'!J29,0),0)</f>
        <v>#DIV/0!</v>
      </c>
      <c r="T20" s="23" t="e">
        <f>ROUND('Calc Data'!E12*ROUND('Calc Data'!E29,0),0)</f>
        <v>#DIV/0!</v>
      </c>
      <c r="U20" s="23" t="e">
        <f>ROUND('Calc Data'!E12*ROUND('Calc Data'!E29,0),0)</f>
        <v>#DIV/0!</v>
      </c>
    </row>
    <row r="21" spans="2:28">
      <c r="B21" s="33"/>
      <c r="D21" s="27" t="s">
        <v>4082</v>
      </c>
      <c r="H21" s="78"/>
      <c r="L21" s="78"/>
    </row>
    <row r="22" spans="2:28">
      <c r="B22" s="33">
        <v>23</v>
      </c>
      <c r="D22" s="27" t="s">
        <v>4083</v>
      </c>
      <c r="F22" s="35" t="e">
        <f>ROUND('Data Entry - SOF'!H50*1.1*ROUND('Calc Data'!E29,0),0)</f>
        <v>#DIV/0!</v>
      </c>
      <c r="G22" s="35"/>
      <c r="H22" s="80" t="e">
        <f>ROUND('Data Entry - SOF'!H50*1.1*ROUND('Calc Data'!J29,0),0)</f>
        <v>#DIV/0!</v>
      </c>
      <c r="L22" s="80" t="e">
        <f>ROUND('Data Entry - SOF'!H50*1.1*ROUND('Calc Data'!J29,0),0)</f>
        <v>#DIV/0!</v>
      </c>
      <c r="T22" s="35" t="e">
        <f>ROUND('Data Entry - SOF'!H50*1.1*ROUND('Calc Data'!E29,0),0)</f>
        <v>#DIV/0!</v>
      </c>
      <c r="U22" s="35" t="e">
        <f>ROUND('Data Entry - SOF'!H50*1.1*ROUND('Calc Data'!E29,0),0)</f>
        <v>#DIV/0!</v>
      </c>
    </row>
    <row r="23" spans="2:28">
      <c r="B23" s="33">
        <v>23</v>
      </c>
      <c r="D23" s="27" t="s">
        <v>4084</v>
      </c>
      <c r="F23" s="23" t="e">
        <f>ROUND((+'Data Entry - SOF'!H48*4)*ROUND('Calc Data'!E29,0),0)</f>
        <v>#DIV/0!</v>
      </c>
      <c r="G23" s="23"/>
      <c r="H23" s="79" t="e">
        <f>ROUND(('Data Entry - SOF'!H48*4)*ROUND('Calc Data'!J29,0),0)</f>
        <v>#DIV/0!</v>
      </c>
      <c r="L23" s="79" t="e">
        <f>ROUND(('Data Entry - SOF'!H48*4)*ROUND('Calc Data'!J29,0),0)</f>
        <v>#DIV/0!</v>
      </c>
      <c r="T23" s="23" t="e">
        <f>ROUND((+'Data Entry - SOF'!H48*4)*ROUND('Calc Data'!E29,0),0)</f>
        <v>#DIV/0!</v>
      </c>
      <c r="U23" s="23" t="e">
        <f>ROUND((+'Data Entry - SOF'!H48*4)*ROUND('Calc Data'!E29,0),0)</f>
        <v>#DIV/0!</v>
      </c>
    </row>
    <row r="24" spans="2:28">
      <c r="B24" s="33">
        <v>23</v>
      </c>
      <c r="D24" s="30" t="s">
        <v>4085</v>
      </c>
      <c r="F24" s="23" t="e">
        <f>ROUND((+'Data Entry - SOF'!H46*2.8)*ROUND('Calc Data'!E29,0),0)</f>
        <v>#DIV/0!</v>
      </c>
      <c r="G24" s="23"/>
      <c r="H24" s="79" t="e">
        <f>ROUND(('Data Entry - SOF'!H46*2.8)*ROUND('Calc Data'!J29,0),0)</f>
        <v>#DIV/0!</v>
      </c>
      <c r="L24" s="79" t="e">
        <f>ROUND(('Data Entry - SOF'!H46*2.8)*ROUND('Calc Data'!J29,0),0)</f>
        <v>#DIV/0!</v>
      </c>
      <c r="T24" s="23" t="e">
        <f>ROUND((+'Data Entry - SOF'!H46*2.8)*ROUND('Calc Data'!E29,0),0)</f>
        <v>#DIV/0!</v>
      </c>
      <c r="U24" s="23" t="e">
        <f>ROUND((+'Data Entry - SOF'!H46*2.8)*ROUND('Calc Data'!E29,0),0)</f>
        <v>#DIV/0!</v>
      </c>
    </row>
    <row r="25" spans="2:28">
      <c r="B25" s="33">
        <v>23</v>
      </c>
      <c r="D25" s="30" t="s">
        <v>1480</v>
      </c>
      <c r="F25" s="23" t="e">
        <f>ROUND(('Data Entry - SOF'!H47*1.7)*ROUND('Calc Data'!E29,0),0)</f>
        <v>#DIV/0!</v>
      </c>
      <c r="G25" s="23"/>
      <c r="H25" s="79" t="e">
        <f>ROUND(('Data Entry - SOF'!H47*1.7)*ROUND('Calc Data'!J29,0),0)</f>
        <v>#DIV/0!</v>
      </c>
      <c r="L25" s="79" t="e">
        <f>ROUND(('Data Entry - SOF'!H47*1.7)*ROUND('Calc Data'!J29,0),0)</f>
        <v>#DIV/0!</v>
      </c>
      <c r="T25" s="23" t="e">
        <f>ROUND(('Data Entry - SOF'!H47*1.7)*ROUND('Calc Data'!E29,0),0)</f>
        <v>#DIV/0!</v>
      </c>
      <c r="U25" s="23" t="e">
        <f>ROUND(('Data Entry - SOF'!H47*1.7)*ROUND('Calc Data'!E29,0),0)</f>
        <v>#DIV/0!</v>
      </c>
    </row>
    <row r="26" spans="2:28">
      <c r="B26" s="33"/>
      <c r="D26" s="27" t="s">
        <v>6148</v>
      </c>
      <c r="F26" s="23" t="e">
        <f>IF('Data Entry - SOF'!H88&lt;0,'Data Entry - SOF'!H88,'Data Entry - SOF'!H88*-1)</f>
        <v>#N/A</v>
      </c>
      <c r="G26" s="23"/>
      <c r="H26" s="79" t="e">
        <f>F26</f>
        <v>#N/A</v>
      </c>
      <c r="L26" s="79" t="e">
        <f>F26</f>
        <v>#N/A</v>
      </c>
      <c r="T26" s="23" t="e">
        <f>IF('Data Entry - SOF'!H88&lt;0,'Data Entry - SOF'!H88,'Data Entry - SOF'!H88*-1)</f>
        <v>#N/A</v>
      </c>
      <c r="U26" s="23" t="e">
        <f>IF('Data Entry - SOF'!H88&lt;0,'Data Entry - SOF'!H88,'Data Entry - SOF'!H88*-1)</f>
        <v>#N/A</v>
      </c>
    </row>
    <row r="27" spans="2:28">
      <c r="B27" s="33">
        <v>22</v>
      </c>
      <c r="C27" s="21"/>
      <c r="D27" s="27" t="s">
        <v>1649</v>
      </c>
      <c r="F27" s="23" t="e">
        <f>ROUND(ROUND('Calc Data'!E29,0)*'Data Entry - SOF'!H51*1.35,0)</f>
        <v>#DIV/0!</v>
      </c>
      <c r="G27" s="23"/>
      <c r="H27" s="79" t="e">
        <f>ROUND(ROUND('Calc Data'!J29,0)*'Data Entry - SOF'!H51*1.35,0)</f>
        <v>#DIV/0!</v>
      </c>
      <c r="L27" s="79" t="e">
        <f>ROUND(ROUND('Calc Data'!J29,0)*'Data Entry - SOF'!H51*1.35,0)</f>
        <v>#DIV/0!</v>
      </c>
      <c r="T27" s="23" t="e">
        <f>ROUND(ROUND('Calc Data'!E29,0)*'Data Entry - SOF'!H51*1.35,0)</f>
        <v>#DIV/0!</v>
      </c>
      <c r="U27" s="23" t="e">
        <f>ROUND(ROUND('Calc Data'!E29,0)*'Data Entry - SOF'!H51*1.35,0)</f>
        <v>#DIV/0!</v>
      </c>
    </row>
    <row r="28" spans="2:28">
      <c r="B28" s="33">
        <v>21</v>
      </c>
      <c r="D28" s="27" t="s">
        <v>3988</v>
      </c>
      <c r="F28" s="23" t="e">
        <f>ROUND(ROUND('Calc Data'!E29,0)*'Data Entry - SOF'!F267*0.12,0)</f>
        <v>#DIV/0!</v>
      </c>
      <c r="G28" s="23"/>
      <c r="H28" s="79" t="e">
        <f>ROUND(ROUND('Calc Data'!J29,0)*'Data Entry - SOF'!D268*0.12,0)</f>
        <v>#DIV/0!</v>
      </c>
      <c r="L28" s="79" t="e">
        <f>ROUND(ROUND('Calc Data'!J29,0)*'Data Entry - SOF'!D268*0.12,0)</f>
        <v>#DIV/0!</v>
      </c>
      <c r="T28" s="23" t="e">
        <f>ROUND(ROUND('Calc Data'!E29,0)*'Data Entry - SOF'!F267*0.12,0)</f>
        <v>#DIV/0!</v>
      </c>
      <c r="U28" s="23" t="e">
        <f>ROUND(ROUND('Calc Data'!E29,0)*'Data Entry - SOF'!F267*0.12,0)</f>
        <v>#DIV/0!</v>
      </c>
    </row>
    <row r="29" spans="2:28">
      <c r="B29" s="33"/>
      <c r="D29" s="27" t="s">
        <v>4978</v>
      </c>
      <c r="F29" s="23" t="e">
        <f>IF('Data Entry - SOF'!H86&lt;0,'Data Entry - SOF'!H86,'Data Entry - SOF'!H86*-1)</f>
        <v>#N/A</v>
      </c>
      <c r="G29" s="23"/>
      <c r="H29" s="79" t="e">
        <f>F29</f>
        <v>#N/A</v>
      </c>
      <c r="L29" s="79" t="e">
        <f>F29</f>
        <v>#N/A</v>
      </c>
      <c r="T29" s="23" t="e">
        <f>IF('Data Entry - SOF'!H86&lt;0,'Data Entry - SOF'!H86,'Data Entry - SOF'!H86*-1)</f>
        <v>#N/A</v>
      </c>
      <c r="U29" s="23" t="e">
        <f>IF('Data Entry - SOF'!H86&lt;0,'Data Entry - SOF'!H86,'Data Entry - SOF'!H86*-1)</f>
        <v>#N/A</v>
      </c>
    </row>
    <row r="30" spans="2:28">
      <c r="B30" s="33" t="s">
        <v>2363</v>
      </c>
      <c r="D30" s="27" t="s">
        <v>4979</v>
      </c>
      <c r="F30" s="23" t="e">
        <f>ROUND(ROUND('Calc Data'!E29,0)*'Data Entry - SOF'!H52*0.2,0)</f>
        <v>#DIV/0!</v>
      </c>
      <c r="G30" s="23"/>
      <c r="H30" s="79" t="e">
        <f>ROUND(ROUND('Calc Data'!J29,0)*'Data Entry - SOF'!H52*0.2,0)</f>
        <v>#DIV/0!</v>
      </c>
      <c r="L30" s="79" t="e">
        <f>ROUND(ROUND('Calc Data'!J29,0)*'Data Entry - SOF'!H52*0.2,0)</f>
        <v>#DIV/0!</v>
      </c>
      <c r="T30" s="23" t="e">
        <f>ROUND(ROUND('Calc Data'!E29,0)*'Data Entry - SOF'!H52*0.2,0)</f>
        <v>#DIV/0!</v>
      </c>
      <c r="U30" s="23" t="e">
        <f>ROUND(ROUND('Calc Data'!E29,0)*'Data Entry - SOF'!H52*0.2,0)</f>
        <v>#DIV/0!</v>
      </c>
    </row>
    <row r="31" spans="2:28">
      <c r="B31" s="33" t="s">
        <v>2363</v>
      </c>
      <c r="D31" s="27" t="s">
        <v>4980</v>
      </c>
      <c r="F31" s="23" t="e">
        <f>ROUND(ROUND('Calc Data'!E29,0)*'Data Entry - SOF'!H53*2.41,0)</f>
        <v>#DIV/0!</v>
      </c>
      <c r="G31" s="23"/>
      <c r="H31" s="79" t="e">
        <f>ROUND(ROUND('Calc Data'!J29,0)*'Data Entry - SOF'!H53*2.41,0)</f>
        <v>#DIV/0!</v>
      </c>
      <c r="L31" s="79" t="e">
        <f>ROUND(ROUND('Calc Data'!J29,0)*'Data Entry - SOF'!H53*2.41,0)</f>
        <v>#DIV/0!</v>
      </c>
      <c r="T31" s="23" t="e">
        <f>ROUND(ROUND('Calc Data'!E29,0)*'Data Entry - SOF'!H53*2.41,0)</f>
        <v>#DIV/0!</v>
      </c>
      <c r="U31" s="23" t="e">
        <f>ROUND(ROUND('Calc Data'!E29,0)*'Data Entry - SOF'!H53*2.41,0)</f>
        <v>#DIV/0!</v>
      </c>
    </row>
    <row r="32" spans="2:28">
      <c r="B32" s="33"/>
      <c r="D32" s="27" t="s">
        <v>7718</v>
      </c>
      <c r="F32" s="23" t="e">
        <f>IF('Data Entry - SOF'!H87&lt;0,'Data Entry - SOF'!H87,'Data Entry - SOF'!H87*-1)</f>
        <v>#N/A</v>
      </c>
      <c r="G32" s="23"/>
      <c r="H32" s="79" t="e">
        <f>F32</f>
        <v>#N/A</v>
      </c>
      <c r="L32" s="79" t="e">
        <f>F32</f>
        <v>#N/A</v>
      </c>
      <c r="T32" s="23" t="e">
        <f>IF('Data Entry - SOF'!H87&lt;0,'Data Entry - SOF'!H87,'Data Entry - SOF'!H87*-1)</f>
        <v>#N/A</v>
      </c>
      <c r="U32" s="23" t="e">
        <f>IF('Data Entry - SOF'!H87&lt;0,'Data Entry - SOF'!H87,'Data Entry - SOF'!H87*-1)</f>
        <v>#N/A</v>
      </c>
    </row>
    <row r="33" spans="2:28">
      <c r="B33" s="33">
        <v>25</v>
      </c>
      <c r="D33" s="27" t="s">
        <v>4981</v>
      </c>
      <c r="F33" s="23" t="e">
        <f>ROUND(ROUND('Calc Data'!E29,0)*('Data Entry - SOF'!H54*0.1),0)</f>
        <v>#DIV/0!</v>
      </c>
      <c r="G33" s="23"/>
      <c r="H33" s="23" t="e">
        <f>ROUND(ROUND('Calc Data'!J29,0)*('Data Entry - SOF'!H54*0.1),0)</f>
        <v>#DIV/0!</v>
      </c>
      <c r="L33" s="23" t="e">
        <f>ROUND(ROUND('Calc Data'!J29,0)*('Data Entry - SOF'!H54*0.1),0)</f>
        <v>#DIV/0!</v>
      </c>
      <c r="T33" s="23" t="e">
        <f>ROUND(ROUND('Calc Data'!E29,0)*('Data Entry - SOF'!H54*0.1),0)</f>
        <v>#DIV/0!</v>
      </c>
      <c r="U33" s="23" t="e">
        <f>ROUND(ROUND('Calc Data'!E29,0)*('Data Entry - SOF'!H54*0.1),0)</f>
        <v>#DIV/0!</v>
      </c>
    </row>
    <row r="34" spans="2:28">
      <c r="B34" s="33"/>
      <c r="D34" s="27" t="s">
        <v>4982</v>
      </c>
      <c r="F34" s="23" t="e">
        <f>ROUND(ROUND('Calc Data'!E29,0)*'Data Entry - SOF'!H56*0.1,0)</f>
        <v>#DIV/0!</v>
      </c>
      <c r="G34" s="23"/>
      <c r="H34" s="79" t="e">
        <f>ROUND(ROUND('Calc Data'!J29,0)*'Data Entry - SOF'!H56*0.1,0)</f>
        <v>#DIV/0!</v>
      </c>
      <c r="L34" s="79" t="e">
        <f>ROUND(ROUND('Calc Data'!J29,0)*'Data Entry - SOF'!H56*0.1,0)</f>
        <v>#DIV/0!</v>
      </c>
      <c r="T34" s="23" t="e">
        <f>ROUND(ROUND('Calc Data'!E29,0)*'Data Entry - SOF'!H56*0.1,0)</f>
        <v>#DIV/0!</v>
      </c>
      <c r="U34" s="23" t="e">
        <f>ROUND(ROUND('Calc Data'!E29,0)*'Data Entry - SOF'!H56*0.1,0)</f>
        <v>#DIV/0!</v>
      </c>
    </row>
    <row r="35" spans="2:28">
      <c r="B35" s="33"/>
      <c r="D35" s="27" t="s">
        <v>1705</v>
      </c>
      <c r="F35" s="23">
        <f>'Data Entry - SOF'!H57*250</f>
        <v>0</v>
      </c>
      <c r="G35" s="23"/>
      <c r="H35" s="23">
        <f>'Data Entry - SOF'!H57*250</f>
        <v>0</v>
      </c>
      <c r="L35" s="23">
        <f>'Data Entry - SOF'!H57*250</f>
        <v>0</v>
      </c>
      <c r="T35" s="23">
        <f>'Data Entry - SOF'!H57*250</f>
        <v>0</v>
      </c>
      <c r="U35" s="23">
        <f>'Data Entry - SOF'!H57*250</f>
        <v>0</v>
      </c>
    </row>
    <row r="36" spans="2:28">
      <c r="B36" s="33">
        <v>99</v>
      </c>
      <c r="D36" s="27" t="s">
        <v>4983</v>
      </c>
      <c r="F36" s="34">
        <f>'Data Entry - SOF'!H81</f>
        <v>0</v>
      </c>
      <c r="G36" s="34"/>
      <c r="H36" s="81">
        <f>'Data Entry - SOF'!H81</f>
        <v>0</v>
      </c>
      <c r="L36" s="81">
        <f>'Data Entry - SOF'!H81</f>
        <v>0</v>
      </c>
      <c r="T36" s="34">
        <f>'Data Entry - SOF'!H81</f>
        <v>0</v>
      </c>
      <c r="U36" s="34">
        <f>'Data Entry - SOF'!H81</f>
        <v>0</v>
      </c>
      <c r="AA36" s="211"/>
      <c r="AB36" s="211"/>
    </row>
    <row r="37" spans="2:28">
      <c r="D37" s="27"/>
      <c r="F37" s="27"/>
      <c r="G37" s="27"/>
      <c r="H37" s="82"/>
      <c r="L37" s="82"/>
    </row>
    <row r="38" spans="2:28">
      <c r="D38" s="27" t="s">
        <v>2629</v>
      </c>
      <c r="F38" s="23" t="e">
        <f>SUM(F19:F36)</f>
        <v>#DIV/0!</v>
      </c>
      <c r="G38" s="23"/>
      <c r="H38" s="79" t="e">
        <f>SUM(H19:H36)</f>
        <v>#N/A</v>
      </c>
      <c r="L38" s="79" t="e">
        <f>SUM(L19:L36)</f>
        <v>#DIV/0!</v>
      </c>
      <c r="T38" s="23" t="e">
        <f>SUM(T19:T36)</f>
        <v>#DIV/0!</v>
      </c>
      <c r="U38" s="23" t="e">
        <f>SUM(U19:U36)</f>
        <v>#DIV/0!</v>
      </c>
      <c r="AA38" s="23" t="e">
        <f>T38</f>
        <v>#DIV/0!</v>
      </c>
      <c r="AB38" s="118" t="e">
        <f>AA38</f>
        <v>#DIV/0!</v>
      </c>
    </row>
    <row r="39" spans="2:28">
      <c r="D39" s="27" t="s">
        <v>2630</v>
      </c>
      <c r="F39" s="43" t="e">
        <f>IF(AND('Data Entry - SOF'!A238&lt;='Data Entry - SOF'!A237,'Data Entry - SOF'!A238&lt;='Data Entry - SOF'!A236),'Data Entry - SOF'!A238,IF(AND('Data Entry - SOF'!A237&lt;='Data Entry - SOF'!A236,'Data Entry - SOF'!A237&lt;='Data Entry - SOF'!A238),'Data Entry - SOF'!A237,'Data Entry - SOF'!A236))</f>
        <v>#N/A</v>
      </c>
      <c r="G39" s="43"/>
      <c r="H39" s="83" t="e">
        <f>IF(AND('Data Entry - SOF'!J241&lt;='Data Entry - SOF'!J240,'Data Entry - SOF'!J241&lt;='Data Entry - SOF'!J239),'Data Entry - SOF'!J241,IF(AND('Data Entry - SOF'!J240&lt;='Data Entry - SOF'!J239,'Data Entry - SOF'!J240&lt;='Data Entry - SOF'!J241),'Data Entry - SOF'!J240,'Data Entry - SOF'!J239))</f>
        <v>#N/A</v>
      </c>
      <c r="L39" s="83" t="e">
        <f>IF(AND('Data Entry - SOF'!F242&lt;='Data Entry - SOF'!F241,'Data Entry - SOF'!F242&lt;='Data Entry - SOF'!F240),'Data Entry - SOF'!F242,IF(AND('Data Entry - SOF'!F241&lt;='Data Entry - SOF'!F240,'Data Entry - SOF'!F241&lt;='Data Entry - SOF'!F242),'Data Entry - SOF'!F241,'Data Entry - SOF'!F240))</f>
        <v>#N/A</v>
      </c>
      <c r="T39" s="43" t="e">
        <f>IF(AND('Data Entry - SOF'!A238&lt;='Data Entry - SOF'!A237,'Data Entry - SOF'!A238&lt;='Data Entry - SOF'!A236),'Data Entry - SOF'!A238,IF(AND('Data Entry - SOF'!A237&lt;='Data Entry - SOF'!A236,'Data Entry - SOF'!A237&lt;='Data Entry - SOF'!A238),'Data Entry - SOF'!A237,'Data Entry - SOF'!A236))</f>
        <v>#N/A</v>
      </c>
      <c r="U39" s="43" t="e">
        <f>IF(AND('Data Entry - SOF'!L242&lt;='Data Entry - SOF'!L241,'Data Entry - SOF'!L242&lt;='Data Entry - SOF'!L240),'Data Entry - SOF'!L242,IF(AND('Data Entry - SOF'!L241&lt;='Data Entry - SOF'!L240,'Data Entry - SOF'!L241&lt;='Data Entry - SOF'!L242),'Data Entry - SOF'!L241,'Data Entry - SOF'!L240))</f>
        <v>#N/A</v>
      </c>
      <c r="AA39" s="43" t="e">
        <f>IF(AND('Data Entry - SOF'!D242&lt;='Data Entry - SOF'!D241,'Data Entry - SOF'!D242&lt;='Data Entry - SOF'!D240),'Data Entry - SOF'!D242,IF(AND('Data Entry - SOF'!D241&lt;='Data Entry - SOF'!D240,'Data Entry - SOF'!D241&lt;='Data Entry - SOF'!D242),'Data Entry - SOF'!D241,'Data Entry - SOF'!D240))</f>
        <v>#N/A</v>
      </c>
      <c r="AB39" s="43" t="e">
        <f>IF(AND('Data Entry - SOF'!C242&lt;='Data Entry - SOF'!C241,'Data Entry - SOF'!C242&lt;='Data Entry - SOF'!C240),'Data Entry - SOF'!C242,IF(AND('Data Entry - SOF'!C241&lt;='Data Entry - SOF'!C240,'Data Entry - SOF'!C241&lt;='Data Entry - SOF'!C242),'Data Entry - SOF'!C241,'Data Entry - SOF'!C240))</f>
        <v>#N/A</v>
      </c>
    </row>
    <row r="40" spans="2:28">
      <c r="D40" s="27" t="s">
        <v>1948</v>
      </c>
      <c r="F40" s="44" t="e">
        <f>F38-F39</f>
        <v>#DIV/0!</v>
      </c>
      <c r="G40" s="44"/>
      <c r="H40" s="84" t="e">
        <f>H38-H39</f>
        <v>#N/A</v>
      </c>
      <c r="I40" s="90"/>
      <c r="L40" s="84" t="e">
        <f>L38-L39</f>
        <v>#DIV/0!</v>
      </c>
      <c r="T40" s="44" t="e">
        <f>T38-T39</f>
        <v>#DIV/0!</v>
      </c>
      <c r="U40" s="44" t="e">
        <f>U38-U39</f>
        <v>#DIV/0!</v>
      </c>
      <c r="V40" s="5"/>
      <c r="AA40" s="44" t="e">
        <f>AA38-AA39</f>
        <v>#DIV/0!</v>
      </c>
      <c r="AB40" s="44" t="e">
        <f>AB38-AB39</f>
        <v>#DIV/0!</v>
      </c>
    </row>
    <row r="41" spans="2:28">
      <c r="D41" s="27"/>
      <c r="F41" s="44"/>
      <c r="G41" s="44"/>
      <c r="H41" s="84"/>
      <c r="I41" s="90"/>
      <c r="L41" s="84"/>
    </row>
    <row r="42" spans="2:28">
      <c r="D42" s="27" t="s">
        <v>4074</v>
      </c>
      <c r="F42" s="44" t="e">
        <f>ROUND(IF((27.14*'Calc Data'!E31*IF('Calc Data'!E35&gt;=0.64,0.64,'Calc Data'!E35)*100)&lt;'Calc Data'!E36,0,(27.14*'Calc Data'!E31*IF('Calc Data'!E35&gt;=0.64,0.64,'Calc Data'!E35)*100)-'Calc Data'!E36),0)</f>
        <v>#DIV/0!</v>
      </c>
      <c r="G42" s="44" t="e">
        <f>ROUND(IF((24.7*'Calc Data'!E31*IF('Calc Data'!E35&gt;=0.64,0.64,'Calc Data'!E35)*100)&lt;'Calc Data'!E36,0,(24.7*'Calc Data'!E31*IF('Calc Data'!E35&gt;=0.64,0.64,'Calc Data'!E35)*100)-'Calc Data'!E36),0)</f>
        <v>#DIV/0!</v>
      </c>
      <c r="H42" s="84" t="e">
        <f>ROUND(IF((23.1*'Calc Data'!E31*IF('Calc Data'!E35&gt;=0.64,0.64,'Calc Data'!E35)*100)&lt;'Calc Data'!E36,0,(23.1*'Calc Data'!E31*IF('Calc Data'!E35&gt;=0.64,0.64,'Calc Data'!E35)*100)-'Calc Data'!E36),0)</f>
        <v>#DIV/0!</v>
      </c>
      <c r="I42" s="44" t="e">
        <f>ROUND(IF((24.7*'Calc Data'!E31*MaxTax!G15*100)&lt;MaxTax!G15*('Data Entry - SOF'!H62/100),0,(24.7*'Calc Data'!E31*MaxTax!G15*100)-MaxTax!G15*('Data Entry - SOF'!H62/100)),0)</f>
        <v>#DIV/0!</v>
      </c>
      <c r="K42" s="44"/>
      <c r="L42" s="84" t="e">
        <f>ROUND(IF((23.1*'Calc Data'!E31*IF('Calc Data'!E35&gt;=0.64,0.64,'Calc Data'!E35)*100)&lt;'Calc Data'!E36,0,(23.1*'Calc Data'!E31*IF('Calc Data'!E35&gt;=0.64,0.64,'Calc Data'!E35)*100)-'Calc Data'!E36),0)</f>
        <v>#DIV/0!</v>
      </c>
      <c r="M42" s="44" t="e">
        <f>ROUND(IF((23.1*'Calc Data'!E31*MaxTax!G15*100)&lt;MaxTax!G15*('Data Entry - SOF'!H62/100),0,(23.1*'Calc Data'!E31*MaxTax!G15*100)-MaxTax!G15*('Data Entry - SOF'!H62/100)),0)</f>
        <v>#DIV/0!</v>
      </c>
      <c r="R42" s="44" t="e">
        <f>ROUND(IF((27.14*'Calc Data'!E31*IF('Calc Data'!H87&gt;=0.64,0.64,'Calc Data'!H87)*100)&lt;'Calc Data'!H88,0,(27.14*'Calc Data'!E31*IF('Calc Data'!H87&gt;=0.64,0.64,'Calc Data'!H87)*100)-'Calc Data'!H88),0)</f>
        <v>#DIV/0!</v>
      </c>
      <c r="T42" s="44" t="e">
        <f>ROUND(IF((27.14*'Calc Data'!E31*IF('Calc Data'!E35&gt;=0.64,0.64,'Calc Data'!E35)*100)&lt;'Calc Data'!E36,0,(27.14*'Calc Data'!E31*IF('Calc Data'!E35&gt;=0.64,0.64,'Calc Data'!E35)*100)-'Calc Data'!E36),0)</f>
        <v>#DIV/0!</v>
      </c>
      <c r="U42" s="44" t="e">
        <f>ROUND(IF((27.14*'Calc Data'!E31*IF('Calc Data'!E35&gt;=0.64,0.64,'Calc Data'!E35)*100)&lt;'Calc Data'!E36,0,(27.14*'Calc Data'!E31*IF('Calc Data'!E35&gt;=0.64,0.64,'Calc Data'!E35)*100)-'Calc Data'!E36),0)</f>
        <v>#DIV/0!</v>
      </c>
      <c r="AA42" s="44" t="e">
        <f>ROUND(IF((27.14*'Calc Data'!H69*IF('Calc Data'!H73&gt;=0.64,0.64,'Calc Data'!H73)*100)&lt;'Calc Data'!H76,0,(27.14*'Calc Data'!H69*IF('Calc Data'!H73&gt;=0.64,0.64,'Calc Data'!H73)*100)-'Calc Data'!H76),0)</f>
        <v>#DIV/0!</v>
      </c>
      <c r="AB42" s="44" t="e">
        <f>ROUND(IF((27.14*'Calc Data'!H69*IF('Calc Data'!H73&gt;=0.64,0.64,'Calc Data'!H73)*100)&lt;'Calc Data'!H76,0,(27.14*'Calc Data'!H69*IF('Calc Data'!H73&gt;=0.64,0.64,'Calc Data'!H73)*100)-'Calc Data'!H76),0)</f>
        <v>#DIV/0!</v>
      </c>
    </row>
    <row r="43" spans="2:28">
      <c r="D43" s="27"/>
      <c r="F43" s="44"/>
      <c r="G43" s="44"/>
      <c r="H43" s="84"/>
      <c r="I43" s="44"/>
      <c r="J43" s="84"/>
      <c r="K43" s="44"/>
    </row>
    <row r="44" spans="2:28">
      <c r="D44" s="132" t="s">
        <v>6633</v>
      </c>
      <c r="F44" s="180" t="e">
        <f>110*'Calc Data'!E31</f>
        <v>#DIV/0!</v>
      </c>
      <c r="G44" s="44"/>
      <c r="H44" s="84"/>
      <c r="I44" s="44"/>
      <c r="J44" s="84"/>
      <c r="K44" s="44"/>
    </row>
    <row r="45" spans="2:28">
      <c r="D45" s="191" t="s">
        <v>5414</v>
      </c>
      <c r="E45" s="181"/>
      <c r="F45" s="180"/>
      <c r="G45" s="44"/>
      <c r="H45" s="84"/>
      <c r="J45" s="84"/>
    </row>
    <row r="46" spans="2:28">
      <c r="D46" s="136" t="s">
        <v>2598</v>
      </c>
      <c r="E46" s="181"/>
      <c r="F46" s="180"/>
      <c r="G46" s="44"/>
      <c r="H46" s="84"/>
      <c r="J46" s="84"/>
    </row>
    <row r="47" spans="2:28">
      <c r="D47" s="136" t="s">
        <v>2478</v>
      </c>
      <c r="F47" s="186" t="e">
        <f>IF(W96&lt;0,0,W96*-1)</f>
        <v>#N/A</v>
      </c>
      <c r="G47" s="179" t="s">
        <v>1534</v>
      </c>
      <c r="H47" s="84"/>
      <c r="J47" s="84"/>
      <c r="T47" s="186"/>
      <c r="U47" s="186"/>
      <c r="V47" s="5"/>
    </row>
    <row r="48" spans="2:28">
      <c r="D48" s="190" t="s">
        <v>6012</v>
      </c>
      <c r="F48" s="192" t="e">
        <f>F44+F47</f>
        <v>#DIV/0!</v>
      </c>
      <c r="G48" s="44"/>
      <c r="H48" s="84"/>
      <c r="J48" s="84"/>
      <c r="T48" s="180" t="e">
        <f>110*'Calc Data'!E31</f>
        <v>#DIV/0!</v>
      </c>
      <c r="U48" s="180" t="e">
        <f>110*'Calc Data'!E31</f>
        <v>#DIV/0!</v>
      </c>
      <c r="V48" s="193"/>
    </row>
    <row r="49" spans="1:22">
      <c r="D49" s="190"/>
      <c r="F49" s="192"/>
      <c r="G49" s="44"/>
      <c r="H49" s="84"/>
      <c r="J49" s="84"/>
      <c r="T49" s="180"/>
      <c r="U49" s="180"/>
      <c r="V49" s="193"/>
    </row>
    <row r="50" spans="1:22" hidden="1">
      <c r="B50" s="294" t="s">
        <v>734</v>
      </c>
      <c r="C50" s="293" t="s">
        <v>1775</v>
      </c>
      <c r="D50" s="295" t="s">
        <v>410</v>
      </c>
      <c r="F50" s="192"/>
      <c r="G50" s="44"/>
      <c r="H50" s="84"/>
      <c r="J50" s="84"/>
      <c r="T50" s="180"/>
      <c r="U50" s="180"/>
      <c r="V50" s="193"/>
    </row>
    <row r="51" spans="1:22" hidden="1">
      <c r="D51" s="296" t="s">
        <v>1635</v>
      </c>
      <c r="F51" s="192"/>
      <c r="G51" s="44"/>
      <c r="H51" s="84"/>
      <c r="J51" s="84"/>
      <c r="T51" s="180"/>
      <c r="U51" s="180"/>
      <c r="V51" s="193"/>
    </row>
    <row r="52" spans="1:22" hidden="1">
      <c r="D52" s="297" t="s">
        <v>1636</v>
      </c>
      <c r="G52" s="44"/>
      <c r="H52" s="84"/>
      <c r="J52" s="84"/>
    </row>
    <row r="53" spans="1:22" hidden="1">
      <c r="D53" s="297" t="s">
        <v>411</v>
      </c>
      <c r="G53" s="44"/>
      <c r="H53" s="84"/>
      <c r="J53" s="84"/>
    </row>
    <row r="54" spans="1:22" hidden="1">
      <c r="D54" s="298" t="s">
        <v>412</v>
      </c>
      <c r="G54" s="44"/>
      <c r="H54" s="84"/>
      <c r="J54" s="84"/>
    </row>
    <row r="55" spans="1:22" hidden="1">
      <c r="D55" s="136"/>
      <c r="G55" s="44"/>
      <c r="H55" s="84"/>
      <c r="J55" s="84"/>
    </row>
    <row r="56" spans="1:22">
      <c r="A56" s="27" t="s">
        <v>6151</v>
      </c>
      <c r="C56" s="19" t="e">
        <f>C1</f>
        <v>#N/A</v>
      </c>
      <c r="D56" s="42"/>
      <c r="F56" s="107" t="str">
        <f>F1</f>
        <v>Current Law</v>
      </c>
      <c r="G56" s="44"/>
      <c r="H56" s="84"/>
      <c r="J56" s="84"/>
    </row>
    <row r="57" spans="1:22">
      <c r="A57" s="27" t="s">
        <v>6152</v>
      </c>
      <c r="C57" s="19" t="str">
        <f>C2</f>
        <v>000-000</v>
      </c>
      <c r="F57" s="107" t="str">
        <f>F2</f>
        <v>Release 09-10; Revised 10/18/11</v>
      </c>
      <c r="G57" s="44"/>
      <c r="H57" s="84"/>
      <c r="J57" s="84"/>
    </row>
    <row r="58" spans="1:22">
      <c r="A58" s="27" t="s">
        <v>6154</v>
      </c>
      <c r="C58" s="39">
        <f ca="1">NOW()</f>
        <v>45352.58606238426</v>
      </c>
      <c r="F58" s="106">
        <f>F3</f>
        <v>0</v>
      </c>
      <c r="G58" s="44"/>
      <c r="H58" s="84"/>
      <c r="J58" s="84"/>
    </row>
    <row r="59" spans="1:22">
      <c r="D59" s="33" t="s">
        <v>138</v>
      </c>
      <c r="F59" s="44"/>
      <c r="G59" s="44"/>
      <c r="H59" s="84"/>
      <c r="J59" s="84"/>
    </row>
    <row r="60" spans="1:22">
      <c r="D60" s="33" t="s">
        <v>5062</v>
      </c>
      <c r="F60" s="44"/>
      <c r="G60" s="44"/>
      <c r="H60" s="84"/>
      <c r="J60" s="84"/>
    </row>
    <row r="61" spans="1:22">
      <c r="F61" s="44"/>
      <c r="G61" s="44"/>
      <c r="H61" s="84"/>
      <c r="J61" s="84"/>
    </row>
    <row r="62" spans="1:22">
      <c r="D62" s="27" t="s">
        <v>2588</v>
      </c>
      <c r="F62" s="44" t="e">
        <f>'Existing Debt'!H72</f>
        <v>#N/A</v>
      </c>
      <c r="G62" s="44"/>
      <c r="H62" s="84"/>
      <c r="J62" s="8"/>
      <c r="T62" s="44" t="e">
        <f>'Existing Debt'!G72</f>
        <v>#N/A</v>
      </c>
      <c r="U62" s="44" t="e">
        <f>'Existing Debt'!G72</f>
        <v>#N/A</v>
      </c>
    </row>
    <row r="63" spans="1:22">
      <c r="D63" s="27" t="s">
        <v>494</v>
      </c>
      <c r="F63" s="38" t="e">
        <f>IFA!J79+IFA!L68</f>
        <v>#N/A</v>
      </c>
      <c r="G63" s="38"/>
      <c r="H63" s="84"/>
      <c r="J63" s="8"/>
      <c r="T63" s="38">
        <f>IFA!F87+IFA!H76</f>
        <v>0</v>
      </c>
      <c r="U63" s="38">
        <f>IFA!F87+IFA!H76</f>
        <v>0</v>
      </c>
    </row>
    <row r="64" spans="1:22">
      <c r="D64" s="27"/>
      <c r="F64" s="44"/>
      <c r="G64" s="44"/>
      <c r="J64" s="8"/>
      <c r="T64" s="44"/>
      <c r="U64" s="44"/>
    </row>
    <row r="65" spans="2:23">
      <c r="D65" s="27" t="s">
        <v>2631</v>
      </c>
      <c r="F65" s="23" t="e">
        <f>'Data Entry - SOF'!H36*26.76</f>
        <v>#DIV/0!</v>
      </c>
      <c r="G65" s="23"/>
      <c r="J65" s="3"/>
      <c r="T65" s="23" t="e">
        <f>F65</f>
        <v>#DIV/0!</v>
      </c>
      <c r="U65" s="23" t="e">
        <f>F65</f>
        <v>#DIV/0!</v>
      </c>
    </row>
    <row r="66" spans="2:23">
      <c r="D66" s="27"/>
      <c r="F66" s="23"/>
      <c r="G66" s="23"/>
      <c r="J66" s="3"/>
      <c r="T66" s="23"/>
      <c r="U66" s="23"/>
    </row>
    <row r="67" spans="2:23">
      <c r="D67" s="27" t="s">
        <v>2632</v>
      </c>
      <c r="F67" s="23"/>
      <c r="G67" s="23"/>
      <c r="J67" s="3"/>
      <c r="T67" s="23"/>
      <c r="U67" s="23"/>
    </row>
    <row r="68" spans="2:23">
      <c r="D68" s="27" t="s">
        <v>2554</v>
      </c>
      <c r="F68" s="44" t="e">
        <f>'Salary Transition'!K30</f>
        <v>#DIV/0!</v>
      </c>
      <c r="G68" s="23"/>
      <c r="J68" s="3"/>
      <c r="T68" s="69" t="e">
        <f t="shared" ref="T68:T73" si="0">F68</f>
        <v>#DIV/0!</v>
      </c>
      <c r="U68" s="69" t="e">
        <f t="shared" ref="U68:U73" si="1">T68</f>
        <v>#DIV/0!</v>
      </c>
      <c r="W68" s="5"/>
    </row>
    <row r="69" spans="2:23">
      <c r="D69" s="27" t="s">
        <v>2633</v>
      </c>
      <c r="F69" s="44" t="e">
        <f>HoldHarmless!D56</f>
        <v>#DIV/0!</v>
      </c>
      <c r="G69" s="23"/>
      <c r="J69" s="3"/>
      <c r="T69" s="44" t="e">
        <f t="shared" si="0"/>
        <v>#DIV/0!</v>
      </c>
      <c r="U69" s="44" t="e">
        <f>HoldHarmless!H56</f>
        <v>#DIV/0!</v>
      </c>
    </row>
    <row r="70" spans="2:23">
      <c r="D70" s="27" t="s">
        <v>433</v>
      </c>
      <c r="F70" s="44" t="e">
        <f>'Health Ins'!L23</f>
        <v>#DIV/0!</v>
      </c>
      <c r="G70" s="23"/>
      <c r="J70" s="3"/>
      <c r="T70" s="23" t="e">
        <f t="shared" si="0"/>
        <v>#DIV/0!</v>
      </c>
      <c r="U70" s="23" t="e">
        <f t="shared" si="1"/>
        <v>#DIV/0!</v>
      </c>
    </row>
    <row r="71" spans="2:23">
      <c r="D71" s="27" t="s">
        <v>2634</v>
      </c>
      <c r="F71" s="44" t="e">
        <f>-ROUND(('Data Entry - SOF'!H84/'Data Entry - SOF'!F36)*'Data Entry - SOF'!H82,0)</f>
        <v>#N/A</v>
      </c>
      <c r="G71" s="44"/>
      <c r="J71" s="3"/>
      <c r="T71" s="23" t="e">
        <f t="shared" si="0"/>
        <v>#N/A</v>
      </c>
      <c r="U71" s="23" t="e">
        <f t="shared" si="1"/>
        <v>#N/A</v>
      </c>
    </row>
    <row r="72" spans="2:23">
      <c r="D72" s="27" t="s">
        <v>2635</v>
      </c>
      <c r="F72" s="44" t="e">
        <f>-ROUND(('Data Entry - SOF'!H84/'Data Entry - SOF'!F36)*'Data Entry - SOF'!H83,0)</f>
        <v>#N/A</v>
      </c>
      <c r="G72" s="44"/>
      <c r="J72" s="3"/>
      <c r="T72" s="23" t="e">
        <f t="shared" si="0"/>
        <v>#N/A</v>
      </c>
      <c r="U72" s="23" t="e">
        <f t="shared" si="1"/>
        <v>#N/A</v>
      </c>
    </row>
    <row r="73" spans="2:23">
      <c r="D73" s="27" t="s">
        <v>867</v>
      </c>
      <c r="F73" s="70">
        <f>IF('Data Entry - SOF'!H85&lt;0,'Data Entry - SOF'!H85,'Data Entry - SOF'!H85*-1)</f>
        <v>0</v>
      </c>
      <c r="G73" s="38"/>
      <c r="J73" s="3"/>
      <c r="T73" s="70">
        <f t="shared" si="0"/>
        <v>0</v>
      </c>
      <c r="U73" s="70">
        <f t="shared" si="1"/>
        <v>0</v>
      </c>
    </row>
    <row r="74" spans="2:23">
      <c r="D74" s="27" t="s">
        <v>868</v>
      </c>
      <c r="F74" s="69" t="e">
        <f>SUM(F68:F73)</f>
        <v>#DIV/0!</v>
      </c>
      <c r="G74" s="69"/>
      <c r="J74" s="8"/>
      <c r="T74" s="69" t="e">
        <f>SUM(T68:T73)</f>
        <v>#DIV/0!</v>
      </c>
      <c r="U74" s="69" t="e">
        <f>SUM(U68:U73)</f>
        <v>#DIV/0!</v>
      </c>
    </row>
    <row r="75" spans="2:23">
      <c r="D75" s="27"/>
      <c r="F75" s="23"/>
      <c r="G75" s="23"/>
      <c r="J75" s="8"/>
      <c r="T75" s="23"/>
      <c r="U75" s="23"/>
    </row>
    <row r="76" spans="2:23" ht="13.8" thickBot="1">
      <c r="B76" s="27"/>
      <c r="D76" s="132" t="s">
        <v>1553</v>
      </c>
      <c r="F76" s="45" t="e">
        <f>F40+F42+F48+F62+F63+F65+F74</f>
        <v>#DIV/0!</v>
      </c>
      <c r="G76" s="69"/>
      <c r="J76" s="8"/>
      <c r="T76" s="45" t="e">
        <f>T40+T42+T48+T62+T63+T65+T74</f>
        <v>#DIV/0!</v>
      </c>
      <c r="U76" s="45" t="e">
        <f>U40+U42+U48+U62+U63+U65+U74</f>
        <v>#DIV/0!</v>
      </c>
    </row>
    <row r="77" spans="2:23" ht="13.8" thickTop="1">
      <c r="B77" s="27"/>
      <c r="D77" s="27"/>
      <c r="F77" s="38"/>
      <c r="G77" s="38"/>
      <c r="J77" s="8"/>
    </row>
    <row r="78" spans="2:23">
      <c r="B78" s="33" t="s">
        <v>869</v>
      </c>
      <c r="D78" s="27" t="s">
        <v>1293</v>
      </c>
      <c r="F78" s="23"/>
      <c r="G78" s="23"/>
      <c r="J78" s="8"/>
    </row>
    <row r="79" spans="2:23">
      <c r="B79" s="33" t="s">
        <v>1294</v>
      </c>
      <c r="D79" s="27" t="s">
        <v>1295</v>
      </c>
      <c r="F79" s="44" t="e">
        <f>ROUND('Calc Data'!D10*385,0)</f>
        <v>#N/A</v>
      </c>
      <c r="G79" s="23"/>
      <c r="J79" s="8"/>
      <c r="T79" s="203" t="e">
        <f>ROUND('Calc Data'!D10*385,0)</f>
        <v>#N/A</v>
      </c>
      <c r="U79" s="204" t="e">
        <f>ROUND('Calc Data'!D10*343,0)</f>
        <v>#N/A</v>
      </c>
      <c r="V79" s="205" t="s">
        <v>2596</v>
      </c>
      <c r="W79" s="195" t="e">
        <f>T79-U79</f>
        <v>#N/A</v>
      </c>
    </row>
    <row r="80" spans="2:23">
      <c r="B80" s="190" t="s">
        <v>1297</v>
      </c>
      <c r="D80" s="57" t="s">
        <v>2651</v>
      </c>
      <c r="E80" s="181"/>
      <c r="F80" s="535" t="e">
        <f>F48</f>
        <v>#DIV/0!</v>
      </c>
      <c r="G80" s="179" t="s">
        <v>6707</v>
      </c>
      <c r="J80" s="8"/>
      <c r="T80" s="207" t="e">
        <f>T48</f>
        <v>#DIV/0!</v>
      </c>
      <c r="U80" s="208" t="e">
        <f>U48</f>
        <v>#DIV/0!</v>
      </c>
      <c r="V80" s="199"/>
      <c r="W80" s="196"/>
    </row>
    <row r="81" spans="1:23">
      <c r="B81" s="33" t="s">
        <v>1297</v>
      </c>
      <c r="D81" s="27" t="s">
        <v>2479</v>
      </c>
      <c r="F81" s="69" t="e">
        <f>ROUND(F76-F79-F85-F80-F62-F63,0)</f>
        <v>#DIV/0!</v>
      </c>
      <c r="G81" s="69"/>
      <c r="J81" s="8"/>
      <c r="T81" s="206" t="e">
        <f>ROUND(T76-T79-T85-T80-T62-T63,0)</f>
        <v>#DIV/0!</v>
      </c>
      <c r="U81" s="69" t="e">
        <f>ROUND(U76-U79-U85-U80-U62-U63,0)</f>
        <v>#DIV/0!</v>
      </c>
      <c r="V81" s="201" t="s">
        <v>2597</v>
      </c>
      <c r="W81" s="197" t="e">
        <f>T81-U81</f>
        <v>#DIV/0!</v>
      </c>
    </row>
    <row r="82" spans="1:23">
      <c r="B82" s="33"/>
      <c r="D82" s="132" t="s">
        <v>1554</v>
      </c>
      <c r="F82" s="220" t="e">
        <f>SUM(F79:F81)</f>
        <v>#N/A</v>
      </c>
      <c r="G82" s="69"/>
      <c r="J82" s="8"/>
      <c r="T82" s="206"/>
      <c r="U82" s="69"/>
      <c r="V82" s="201"/>
      <c r="W82" s="197"/>
    </row>
    <row r="83" spans="1:23">
      <c r="B83" s="33"/>
      <c r="D83" s="132"/>
      <c r="F83" s="69"/>
      <c r="G83" s="69"/>
      <c r="J83" s="8"/>
      <c r="T83" s="206"/>
      <c r="U83" s="69"/>
      <c r="V83" s="201"/>
      <c r="W83" s="197"/>
    </row>
    <row r="84" spans="1:23">
      <c r="B84" s="33" t="s">
        <v>1296</v>
      </c>
      <c r="D84" s="27" t="s">
        <v>1831</v>
      </c>
      <c r="F84" s="44" t="e">
        <f>F65</f>
        <v>#DIV/0!</v>
      </c>
      <c r="G84" s="23"/>
      <c r="J84" s="8"/>
      <c r="T84" s="206" t="e">
        <f>T65</f>
        <v>#DIV/0!</v>
      </c>
      <c r="U84" s="69" t="e">
        <f>U65</f>
        <v>#DIV/0!</v>
      </c>
      <c r="V84" s="200"/>
      <c r="W84" s="197" t="e">
        <f>T84-U84</f>
        <v>#DIV/0!</v>
      </c>
    </row>
    <row r="85" spans="1:23">
      <c r="D85" s="132" t="s">
        <v>1555</v>
      </c>
      <c r="F85" s="175" t="e">
        <f>F84</f>
        <v>#DIV/0!</v>
      </c>
      <c r="T85" s="222"/>
      <c r="U85" s="42"/>
      <c r="V85" s="42"/>
      <c r="W85" s="196"/>
    </row>
    <row r="86" spans="1:23">
      <c r="D86" s="132"/>
      <c r="F86" s="250"/>
      <c r="T86" s="222"/>
      <c r="U86" s="42"/>
      <c r="V86" s="42"/>
      <c r="W86" s="196"/>
    </row>
    <row r="87" spans="1:23">
      <c r="B87" s="33">
        <v>599</v>
      </c>
      <c r="D87" s="27" t="s">
        <v>1619</v>
      </c>
      <c r="F87" s="69" t="e">
        <f>F62</f>
        <v>#N/A</v>
      </c>
      <c r="G87" s="69"/>
      <c r="J87" s="8"/>
      <c r="T87" s="206" t="e">
        <f>T62</f>
        <v>#N/A</v>
      </c>
      <c r="U87" s="69" t="e">
        <f>U62</f>
        <v>#N/A</v>
      </c>
      <c r="V87" s="200"/>
      <c r="W87" s="197" t="e">
        <f>T87-U87</f>
        <v>#N/A</v>
      </c>
    </row>
    <row r="88" spans="1:23">
      <c r="B88" s="33">
        <v>599</v>
      </c>
      <c r="D88" s="27" t="s">
        <v>1991</v>
      </c>
      <c r="F88" s="86" t="e">
        <f>F63</f>
        <v>#N/A</v>
      </c>
      <c r="G88" s="69"/>
      <c r="J88" s="8"/>
      <c r="T88" s="206">
        <f>T63</f>
        <v>0</v>
      </c>
      <c r="U88" s="69">
        <f>U63</f>
        <v>0</v>
      </c>
      <c r="V88" s="202"/>
      <c r="W88" s="197">
        <f>T88-U88</f>
        <v>0</v>
      </c>
    </row>
    <row r="89" spans="1:23">
      <c r="B89" s="33"/>
      <c r="D89" s="132" t="s">
        <v>1556</v>
      </c>
      <c r="F89" s="220" t="e">
        <f>SUM(F87:F88)</f>
        <v>#N/A</v>
      </c>
      <c r="G89" s="69"/>
      <c r="J89" s="8"/>
      <c r="T89" s="206"/>
      <c r="U89" s="69"/>
      <c r="V89" s="202"/>
      <c r="W89" s="196"/>
    </row>
    <row r="90" spans="1:23">
      <c r="B90" s="33"/>
      <c r="D90" s="27"/>
      <c r="F90" s="69"/>
      <c r="G90" s="69"/>
      <c r="J90" s="8"/>
      <c r="T90" s="206"/>
      <c r="U90" s="69"/>
      <c r="V90" s="202"/>
      <c r="W90" s="196"/>
    </row>
    <row r="91" spans="1:23" ht="13.8" thickBot="1">
      <c r="B91" s="30"/>
      <c r="D91" s="132" t="s">
        <v>1553</v>
      </c>
      <c r="F91" s="221" t="e">
        <f>F82+F85+F89</f>
        <v>#N/A</v>
      </c>
      <c r="G91" s="69"/>
      <c r="J91" s="8"/>
      <c r="T91" s="206" t="e">
        <f>SUM(T79:T88)</f>
        <v>#N/A</v>
      </c>
      <c r="U91" s="69" t="e">
        <f>SUM(U79:U88)</f>
        <v>#N/A</v>
      </c>
      <c r="V91" s="42"/>
      <c r="W91" s="196"/>
    </row>
    <row r="92" spans="1:23" ht="13.8" thickTop="1">
      <c r="B92" s="30"/>
      <c r="D92" s="132"/>
      <c r="F92" s="351"/>
      <c r="G92" s="69"/>
      <c r="J92" s="8"/>
      <c r="T92" s="206"/>
      <c r="U92" s="69"/>
      <c r="V92" s="42"/>
      <c r="W92" s="196"/>
    </row>
    <row r="93" spans="1:23" ht="13.8" thickBot="1">
      <c r="A93" s="27"/>
      <c r="J93" s="3"/>
      <c r="T93" s="222"/>
      <c r="U93" s="42"/>
      <c r="V93" s="42"/>
      <c r="W93" s="196"/>
    </row>
    <row r="94" spans="1:23" ht="13.8" thickTop="1">
      <c r="A94" s="119"/>
      <c r="B94" s="119"/>
      <c r="C94" s="119"/>
      <c r="D94" s="119"/>
      <c r="E94" s="119"/>
      <c r="F94" s="119"/>
      <c r="G94" s="42"/>
      <c r="J94" s="3"/>
      <c r="T94" s="222"/>
      <c r="U94" s="42"/>
      <c r="V94" s="200" t="s">
        <v>1612</v>
      </c>
      <c r="W94" s="244" t="e">
        <f>GrossRecap!J42</f>
        <v>#N/A</v>
      </c>
    </row>
    <row r="95" spans="1:23">
      <c r="A95" s="27" t="s">
        <v>5046</v>
      </c>
      <c r="E95" s="27"/>
      <c r="F95" s="27"/>
      <c r="G95" s="27"/>
      <c r="J95" s="3"/>
      <c r="T95" s="222"/>
      <c r="U95" s="42"/>
      <c r="V95" s="42"/>
      <c r="W95" s="196"/>
    </row>
    <row r="96" spans="1:23">
      <c r="J96" s="3"/>
      <c r="T96" s="243"/>
      <c r="U96" s="211"/>
      <c r="V96" s="209" t="s">
        <v>1613</v>
      </c>
      <c r="W96" s="198" t="e">
        <f>IF(W79+W81+W94&lt;0,0,W79+W81+W94)</f>
        <v>#N/A</v>
      </c>
    </row>
    <row r="97" spans="1:23">
      <c r="A97" s="27" t="s">
        <v>2557</v>
      </c>
      <c r="F97" s="44" t="e">
        <f>F79+F84+F81</f>
        <v>#N/A</v>
      </c>
      <c r="J97" s="3"/>
      <c r="T97" s="42"/>
      <c r="U97" s="42"/>
      <c r="V97" s="42"/>
      <c r="W97" s="42"/>
    </row>
    <row r="98" spans="1:23">
      <c r="A98" s="27" t="s">
        <v>2442</v>
      </c>
      <c r="F98" s="38">
        <f>'Data Entry - SOF'!H72-'Calc Data'!E93</f>
        <v>0</v>
      </c>
      <c r="J98" s="3"/>
    </row>
    <row r="99" spans="1:23">
      <c r="A99" s="136" t="s">
        <v>6042</v>
      </c>
      <c r="F99" s="186" t="e">
        <f>F80</f>
        <v>#DIV/0!</v>
      </c>
      <c r="J99" s="3"/>
    </row>
    <row r="100" spans="1:23" ht="13.8" thickBot="1">
      <c r="A100" s="27" t="s">
        <v>5063</v>
      </c>
      <c r="F100" s="45" t="e">
        <f>SUM(F97:F99)</f>
        <v>#N/A</v>
      </c>
    </row>
    <row r="101" spans="1:23" ht="13.8" thickTop="1"/>
    <row r="102" spans="1:23" ht="13.8" hidden="1" thickTop="1">
      <c r="A102" s="119"/>
      <c r="B102" s="119"/>
      <c r="C102" s="119"/>
      <c r="D102" s="119"/>
      <c r="E102" s="119"/>
      <c r="F102" s="119"/>
      <c r="G102" s="42"/>
    </row>
    <row r="103" spans="1:23" hidden="1">
      <c r="A103" s="27" t="s">
        <v>4937</v>
      </c>
    </row>
    <row r="104" spans="1:23" hidden="1">
      <c r="A104" s="176" t="s">
        <v>139</v>
      </c>
    </row>
    <row r="105" spans="1:23" hidden="1">
      <c r="A105" s="57" t="s">
        <v>1441</v>
      </c>
      <c r="F105" s="118">
        <f>'Existing Debt'!G33-'Existing Debt'!G35</f>
        <v>0</v>
      </c>
      <c r="G105" s="118"/>
      <c r="J105" s="3"/>
    </row>
    <row r="106" spans="1:23" hidden="1">
      <c r="A106" s="57" t="s">
        <v>4943</v>
      </c>
      <c r="F106" s="122" t="e">
        <f>'Existing Debt'!G55*35*100*'Existing Debt'!G37</f>
        <v>#N/A</v>
      </c>
      <c r="G106" s="130"/>
      <c r="J106" s="3"/>
    </row>
    <row r="107" spans="1:23" hidden="1">
      <c r="A107" s="57" t="s">
        <v>4944</v>
      </c>
      <c r="F107" s="118" t="e">
        <f>F105-F106</f>
        <v>#N/A</v>
      </c>
      <c r="G107" s="118"/>
      <c r="J107" s="3"/>
    </row>
    <row r="108" spans="1:23" hidden="1">
      <c r="A108" s="57" t="s">
        <v>3977</v>
      </c>
      <c r="F108" s="118" t="e">
        <f>'Existing Debt'!G61</f>
        <v>#N/A</v>
      </c>
      <c r="G108" s="118"/>
      <c r="J108" s="3"/>
    </row>
    <row r="109" spans="1:23" hidden="1">
      <c r="A109" s="57" t="s">
        <v>3978</v>
      </c>
      <c r="F109" s="118" t="e">
        <f>'Existing Debt'!G70</f>
        <v>#N/A</v>
      </c>
      <c r="G109" s="118"/>
      <c r="J109" s="3"/>
    </row>
    <row r="110" spans="1:23" hidden="1">
      <c r="A110" s="57"/>
      <c r="J110" s="3"/>
    </row>
    <row r="111" spans="1:23" hidden="1">
      <c r="A111" s="57" t="s">
        <v>7129</v>
      </c>
      <c r="F111" s="118">
        <f>IFA!F26+IFA!F30+IFA!F34+IFA!F38+IFA!F42+IFA!F46+IFA!F50</f>
        <v>0</v>
      </c>
      <c r="G111" s="118"/>
      <c r="J111" s="3"/>
    </row>
    <row r="112" spans="1:23" hidden="1">
      <c r="A112" s="57" t="s">
        <v>2475</v>
      </c>
      <c r="F112" s="122" t="e">
        <f>IFA!F66</f>
        <v>#N/A</v>
      </c>
      <c r="G112" s="130"/>
      <c r="J112" s="3"/>
    </row>
    <row r="113" spans="1:13" hidden="1">
      <c r="A113" s="57" t="s">
        <v>2476</v>
      </c>
      <c r="F113" s="118" t="e">
        <f>F111-F112</f>
        <v>#N/A</v>
      </c>
      <c r="G113" s="118"/>
      <c r="J113" s="3"/>
    </row>
    <row r="114" spans="1:13" hidden="1">
      <c r="A114" s="57" t="s">
        <v>665</v>
      </c>
      <c r="F114" s="118">
        <f>IFA!F80</f>
        <v>0</v>
      </c>
      <c r="G114" s="118"/>
      <c r="J114" s="3"/>
    </row>
    <row r="115" spans="1:13" hidden="1">
      <c r="A115" s="57" t="s">
        <v>7676</v>
      </c>
      <c r="C115" s="57"/>
      <c r="F115" s="118">
        <f>IFA!F76</f>
        <v>0</v>
      </c>
      <c r="G115" s="118"/>
      <c r="J115" s="3"/>
    </row>
    <row r="116" spans="1:13" hidden="1">
      <c r="C116" s="57"/>
      <c r="F116" s="23"/>
      <c r="G116" s="23"/>
      <c r="J116" s="3"/>
    </row>
    <row r="117" spans="1:13" hidden="1">
      <c r="A117" s="57" t="s">
        <v>2441</v>
      </c>
      <c r="B117" s="57"/>
      <c r="C117" s="57"/>
      <c r="D117" s="57"/>
      <c r="E117" s="57"/>
      <c r="F117" s="23" t="e">
        <f>F106+F112</f>
        <v>#N/A</v>
      </c>
      <c r="G117" s="23"/>
      <c r="J117" s="3"/>
    </row>
    <row r="118" spans="1:13" hidden="1">
      <c r="A118" s="57" t="s">
        <v>2942</v>
      </c>
      <c r="B118" s="57"/>
      <c r="C118" s="57"/>
      <c r="D118" s="57"/>
      <c r="E118" s="57"/>
      <c r="F118" s="23" t="e">
        <f>F107+F113</f>
        <v>#N/A</v>
      </c>
      <c r="G118" s="23"/>
      <c r="J118" s="3"/>
    </row>
    <row r="119" spans="1:13" hidden="1">
      <c r="A119" s="57" t="s">
        <v>2943</v>
      </c>
      <c r="B119" s="57"/>
      <c r="C119" s="57"/>
      <c r="D119" s="57"/>
      <c r="E119" s="57"/>
      <c r="F119" s="23" t="e">
        <f>F109+F115</f>
        <v>#N/A</v>
      </c>
      <c r="G119" s="23"/>
      <c r="J119" s="3"/>
    </row>
    <row r="120" spans="1:13" hidden="1">
      <c r="A120" s="57" t="s">
        <v>2944</v>
      </c>
      <c r="C120" s="57"/>
      <c r="F120" s="121" t="e">
        <f>F108+F114</f>
        <v>#N/A</v>
      </c>
      <c r="G120" s="38"/>
      <c r="J120" s="3"/>
    </row>
    <row r="121" spans="1:13" ht="13.8" thickBot="1">
      <c r="A121" s="57"/>
      <c r="C121" s="57"/>
      <c r="F121" s="23"/>
      <c r="G121" s="23"/>
      <c r="J121" s="3"/>
    </row>
    <row r="122" spans="1:13" ht="13.8" thickTop="1">
      <c r="A122" s="119"/>
      <c r="B122" s="119"/>
      <c r="C122" s="119"/>
      <c r="D122" s="119"/>
      <c r="E122" s="119"/>
      <c r="F122" s="120"/>
      <c r="G122" s="38"/>
      <c r="I122" s="4"/>
      <c r="J122" s="3"/>
    </row>
    <row r="123" spans="1:13">
      <c r="A123" s="27" t="s">
        <v>3220</v>
      </c>
      <c r="F123" s="23"/>
      <c r="G123" s="23"/>
      <c r="J123" s="3"/>
    </row>
    <row r="124" spans="1:13">
      <c r="F124" s="23"/>
      <c r="G124" s="23"/>
      <c r="J124" s="8"/>
      <c r="M124" s="4"/>
    </row>
    <row r="125" spans="1:13">
      <c r="A125" s="27" t="s">
        <v>1298</v>
      </c>
      <c r="F125" s="23"/>
      <c r="G125" s="23"/>
      <c r="J125" s="8"/>
      <c r="M125" s="4"/>
    </row>
    <row r="126" spans="1:13">
      <c r="A126" s="27" t="s">
        <v>1299</v>
      </c>
      <c r="F126" s="44" t="e">
        <f>F40</f>
        <v>#DIV/0!</v>
      </c>
      <c r="J126" s="8"/>
      <c r="M126" s="4"/>
    </row>
    <row r="127" spans="1:13">
      <c r="A127" s="27" t="s">
        <v>1300</v>
      </c>
      <c r="F127" s="44" t="e">
        <f>F42</f>
        <v>#DIV/0!</v>
      </c>
      <c r="J127" s="8"/>
      <c r="M127" s="4"/>
    </row>
    <row r="128" spans="1:13">
      <c r="A128" s="27" t="s">
        <v>5254</v>
      </c>
      <c r="F128" s="43" t="e">
        <f>IF('Data Entry - SOF'!H70&gt;'Calc Data'!E30,'Calc Data'!E30,'Data Entry - SOF'!H70)</f>
        <v>#N/A</v>
      </c>
      <c r="J128" s="8"/>
      <c r="M128" s="4"/>
    </row>
    <row r="129" spans="1:13" ht="17.399999999999999">
      <c r="A129" s="27" t="s">
        <v>5255</v>
      </c>
      <c r="F129" s="44" t="e">
        <f>F126+F127+F128</f>
        <v>#DIV/0!</v>
      </c>
      <c r="H129" s="29"/>
      <c r="J129" s="8"/>
      <c r="M129" s="4"/>
    </row>
    <row r="130" spans="1:13">
      <c r="A130" s="27" t="s">
        <v>5256</v>
      </c>
      <c r="F130" s="44" t="e">
        <f>'Calc Data'!E31</f>
        <v>#DIV/0!</v>
      </c>
      <c r="J130" s="8"/>
      <c r="M130" s="4"/>
    </row>
    <row r="131" spans="1:13">
      <c r="A131" s="27" t="s">
        <v>5257</v>
      </c>
      <c r="F131" s="46" t="e">
        <f>F129/F130</f>
        <v>#DIV/0!</v>
      </c>
      <c r="J131" s="8"/>
      <c r="M131" s="4"/>
    </row>
    <row r="132" spans="1:13">
      <c r="F132" s="44"/>
      <c r="J132" s="8"/>
      <c r="M132" s="4"/>
    </row>
    <row r="133" spans="1:13">
      <c r="A133" s="27" t="s">
        <v>5258</v>
      </c>
      <c r="F133" s="44"/>
      <c r="J133" s="8"/>
      <c r="M133" s="4"/>
    </row>
    <row r="134" spans="1:13">
      <c r="A134" s="27" t="s">
        <v>5642</v>
      </c>
      <c r="F134" s="44" t="e">
        <f>F81</f>
        <v>#DIV/0!</v>
      </c>
      <c r="J134" s="8"/>
    </row>
    <row r="135" spans="1:13">
      <c r="A135" s="27" t="s">
        <v>5643</v>
      </c>
      <c r="F135" s="44" t="e">
        <f>F131</f>
        <v>#DIV/0!</v>
      </c>
      <c r="J135" s="8"/>
    </row>
    <row r="136" spans="1:13">
      <c r="A136" s="27" t="s">
        <v>5644</v>
      </c>
      <c r="F136" s="47" t="e">
        <f>F134/F135</f>
        <v>#DIV/0!</v>
      </c>
      <c r="J136" s="8"/>
    </row>
  </sheetData>
  <sheetProtection sheet="1" objects="1" scenarios="1"/>
  <phoneticPr fontId="33" type="noConversion"/>
  <pageMargins left="0.25" right="0.25" top="0.5" bottom="0.5" header="0.5" footer="0.5"/>
  <pageSetup scale="85" orientation="portrait" horizontalDpi="300" verticalDpi="300" r:id="rId1"/>
  <headerFooter alignWithMargins="0">
    <oddFooter>&amp;L&amp;G</oddFooter>
  </headerFooter>
  <rowBreaks count="2" manualBreakCount="2">
    <brk id="55" max="16383" man="1"/>
    <brk id="92" max="16383" man="1"/>
  </rowBreaks>
  <legacyDrawing r:id="rId2"/>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0"/>
  <dimension ref="A1:I130"/>
  <sheetViews>
    <sheetView workbookViewId="0">
      <selection activeCell="H2" sqref="H2"/>
    </sheetView>
  </sheetViews>
  <sheetFormatPr defaultRowHeight="13.2"/>
  <cols>
    <col min="1" max="4" width="12.77734375" customWidth="1"/>
    <col min="5" max="5" width="2.77734375" customWidth="1"/>
    <col min="6" max="6" width="12.77734375" customWidth="1"/>
    <col min="7" max="7" width="15.5546875" customWidth="1"/>
    <col min="8" max="11" width="12.77734375" customWidth="1"/>
  </cols>
  <sheetData>
    <row r="1" spans="1:9">
      <c r="H1" s="134" t="str">
        <f>'SOF0607-HB1'!F1</f>
        <v>HB 1</v>
      </c>
    </row>
    <row r="2" spans="1:9">
      <c r="H2" s="134" t="str">
        <f>'SOF0607-HB1'!F2</f>
        <v>Release 09-10; Revised 10/18/11</v>
      </c>
    </row>
    <row r="3" spans="1:9">
      <c r="H3" s="106">
        <f>'SOF0607-HB1'!F3</f>
        <v>0</v>
      </c>
    </row>
    <row r="5" spans="1:9" ht="21">
      <c r="A5" s="453" t="s">
        <v>3022</v>
      </c>
      <c r="B5" s="454"/>
      <c r="C5" s="454"/>
      <c r="D5" s="454"/>
      <c r="E5" s="454"/>
      <c r="F5" s="454"/>
      <c r="G5" s="454"/>
      <c r="H5" s="454"/>
      <c r="I5" s="187"/>
    </row>
    <row r="6" spans="1:9" ht="21">
      <c r="A6" s="453"/>
      <c r="B6" s="454"/>
      <c r="C6" s="454"/>
      <c r="D6" s="454"/>
      <c r="E6" s="454"/>
      <c r="F6" s="454"/>
      <c r="G6" s="454"/>
      <c r="H6" s="454"/>
      <c r="I6" s="187"/>
    </row>
    <row r="7" spans="1:9" ht="21">
      <c r="A7" s="453"/>
      <c r="B7" s="454"/>
      <c r="C7" s="454"/>
      <c r="D7" s="454"/>
      <c r="E7" s="454"/>
      <c r="F7" s="454"/>
      <c r="G7" s="454"/>
      <c r="H7" s="454"/>
      <c r="I7" s="187"/>
    </row>
    <row r="8" spans="1:9">
      <c r="A8" s="454" t="s">
        <v>5289</v>
      </c>
      <c r="B8" s="454"/>
      <c r="C8" s="454"/>
      <c r="D8" s="454"/>
      <c r="E8" s="454"/>
      <c r="F8" s="454"/>
      <c r="G8" s="454"/>
      <c r="H8" s="454"/>
      <c r="I8" s="187"/>
    </row>
    <row r="9" spans="1:9" ht="114.75" customHeight="1">
      <c r="A9" s="457" t="s">
        <v>3023</v>
      </c>
      <c r="B9" s="457" t="s">
        <v>3024</v>
      </c>
      <c r="C9" s="457" t="s">
        <v>3025</v>
      </c>
      <c r="D9" s="457" t="s">
        <v>3026</v>
      </c>
      <c r="E9" s="457"/>
      <c r="F9" s="457" t="s">
        <v>3027</v>
      </c>
      <c r="G9" s="457" t="s">
        <v>3028</v>
      </c>
      <c r="H9" s="458" t="s">
        <v>3029</v>
      </c>
      <c r="I9" s="459" t="s">
        <v>3030</v>
      </c>
    </row>
    <row r="10" spans="1:9">
      <c r="A10" s="309">
        <v>1.5</v>
      </c>
      <c r="B10" s="309">
        <f>A10*0.8867</f>
        <v>1.33005</v>
      </c>
      <c r="C10" s="309">
        <f>B10+0.04</f>
        <v>1.37005</v>
      </c>
      <c r="D10" s="455">
        <v>0</v>
      </c>
      <c r="E10" s="309"/>
      <c r="F10" s="309">
        <f>1.5*0.6667</f>
        <v>1.0000499999999999</v>
      </c>
      <c r="G10" s="309">
        <f>F10+0.04</f>
        <v>1.0400499999999999</v>
      </c>
      <c r="H10" s="309">
        <f>IF(D10&lt;=C10,0,D10-C10)</f>
        <v>0</v>
      </c>
      <c r="I10" s="309">
        <f>G10+H10</f>
        <v>1.0400499999999999</v>
      </c>
    </row>
    <row r="11" spans="1:9">
      <c r="A11" s="309">
        <f>A10-0.01</f>
        <v>1.49</v>
      </c>
      <c r="B11" s="309">
        <f t="shared" ref="B11:B60" si="0">A11*0.8867</f>
        <v>1.321183</v>
      </c>
      <c r="C11" s="309">
        <f t="shared" ref="C11:C60" si="1">B11+0.04</f>
        <v>1.361183</v>
      </c>
      <c r="D11" s="455">
        <v>0</v>
      </c>
      <c r="E11" s="309"/>
      <c r="F11" s="309">
        <f t="shared" ref="F11:F60" si="2">1.5*0.6667</f>
        <v>1.0000499999999999</v>
      </c>
      <c r="G11" s="309">
        <f t="shared" ref="G11:G60" si="3">F11+0.04</f>
        <v>1.0400499999999999</v>
      </c>
      <c r="H11" s="309">
        <f t="shared" ref="H11:H60" si="4">IF(D11&lt;=C11,0,D11-C11)</f>
        <v>0</v>
      </c>
      <c r="I11" s="309">
        <f t="shared" ref="I11:I60" si="5">G11+H11</f>
        <v>1.0400499999999999</v>
      </c>
    </row>
    <row r="12" spans="1:9">
      <c r="A12" s="309">
        <f t="shared" ref="A12:A60" si="6">A11-0.01</f>
        <v>1.48</v>
      </c>
      <c r="B12" s="309">
        <f t="shared" si="0"/>
        <v>1.312316</v>
      </c>
      <c r="C12" s="309">
        <f t="shared" si="1"/>
        <v>1.3523160000000001</v>
      </c>
      <c r="D12" s="455">
        <v>0</v>
      </c>
      <c r="E12" s="309"/>
      <c r="F12" s="309">
        <f t="shared" si="2"/>
        <v>1.0000499999999999</v>
      </c>
      <c r="G12" s="309">
        <f t="shared" si="3"/>
        <v>1.0400499999999999</v>
      </c>
      <c r="H12" s="309">
        <f t="shared" si="4"/>
        <v>0</v>
      </c>
      <c r="I12" s="309">
        <f t="shared" si="5"/>
        <v>1.0400499999999999</v>
      </c>
    </row>
    <row r="13" spans="1:9">
      <c r="A13" s="309">
        <f t="shared" si="6"/>
        <v>1.47</v>
      </c>
      <c r="B13" s="309">
        <f t="shared" si="0"/>
        <v>1.3034490000000001</v>
      </c>
      <c r="C13" s="309">
        <f t="shared" si="1"/>
        <v>1.3434490000000001</v>
      </c>
      <c r="D13" s="455">
        <v>0</v>
      </c>
      <c r="E13" s="309"/>
      <c r="F13" s="309">
        <f t="shared" si="2"/>
        <v>1.0000499999999999</v>
      </c>
      <c r="G13" s="309">
        <f t="shared" si="3"/>
        <v>1.0400499999999999</v>
      </c>
      <c r="H13" s="309">
        <f t="shared" si="4"/>
        <v>0</v>
      </c>
      <c r="I13" s="309">
        <f t="shared" si="5"/>
        <v>1.0400499999999999</v>
      </c>
    </row>
    <row r="14" spans="1:9">
      <c r="A14" s="309">
        <f t="shared" si="6"/>
        <v>1.46</v>
      </c>
      <c r="B14" s="309">
        <f t="shared" si="0"/>
        <v>1.2945820000000001</v>
      </c>
      <c r="C14" s="309">
        <f t="shared" si="1"/>
        <v>1.3345820000000002</v>
      </c>
      <c r="D14" s="455">
        <v>0</v>
      </c>
      <c r="E14" s="309"/>
      <c r="F14" s="309">
        <f t="shared" si="2"/>
        <v>1.0000499999999999</v>
      </c>
      <c r="G14" s="309">
        <f t="shared" si="3"/>
        <v>1.0400499999999999</v>
      </c>
      <c r="H14" s="309">
        <f t="shared" si="4"/>
        <v>0</v>
      </c>
      <c r="I14" s="309">
        <f t="shared" si="5"/>
        <v>1.0400499999999999</v>
      </c>
    </row>
    <row r="15" spans="1:9">
      <c r="A15" s="309">
        <f t="shared" si="6"/>
        <v>1.45</v>
      </c>
      <c r="B15" s="309">
        <f t="shared" si="0"/>
        <v>1.2857149999999999</v>
      </c>
      <c r="C15" s="309">
        <f t="shared" si="1"/>
        <v>1.325715</v>
      </c>
      <c r="D15" s="455">
        <v>0</v>
      </c>
      <c r="E15" s="309"/>
      <c r="F15" s="309">
        <f t="shared" si="2"/>
        <v>1.0000499999999999</v>
      </c>
      <c r="G15" s="309">
        <f t="shared" si="3"/>
        <v>1.0400499999999999</v>
      </c>
      <c r="H15" s="309">
        <f t="shared" si="4"/>
        <v>0</v>
      </c>
      <c r="I15" s="309">
        <f t="shared" si="5"/>
        <v>1.0400499999999999</v>
      </c>
    </row>
    <row r="16" spans="1:9">
      <c r="A16" s="309">
        <f t="shared" si="6"/>
        <v>1.44</v>
      </c>
      <c r="B16" s="309">
        <f t="shared" si="0"/>
        <v>1.276848</v>
      </c>
      <c r="C16" s="309">
        <f t="shared" si="1"/>
        <v>1.316848</v>
      </c>
      <c r="D16" s="455">
        <v>0</v>
      </c>
      <c r="E16" s="309"/>
      <c r="F16" s="309">
        <f t="shared" si="2"/>
        <v>1.0000499999999999</v>
      </c>
      <c r="G16" s="309">
        <f t="shared" si="3"/>
        <v>1.0400499999999999</v>
      </c>
      <c r="H16" s="309">
        <f t="shared" si="4"/>
        <v>0</v>
      </c>
      <c r="I16" s="309">
        <f t="shared" si="5"/>
        <v>1.0400499999999999</v>
      </c>
    </row>
    <row r="17" spans="1:9">
      <c r="A17" s="309">
        <f t="shared" si="6"/>
        <v>1.43</v>
      </c>
      <c r="B17" s="309">
        <f t="shared" si="0"/>
        <v>1.267981</v>
      </c>
      <c r="C17" s="309">
        <f t="shared" si="1"/>
        <v>1.3079810000000001</v>
      </c>
      <c r="D17" s="455">
        <v>0</v>
      </c>
      <c r="E17" s="309"/>
      <c r="F17" s="309">
        <f t="shared" si="2"/>
        <v>1.0000499999999999</v>
      </c>
      <c r="G17" s="309">
        <f t="shared" si="3"/>
        <v>1.0400499999999999</v>
      </c>
      <c r="H17" s="309">
        <f t="shared" si="4"/>
        <v>0</v>
      </c>
      <c r="I17" s="309">
        <f t="shared" si="5"/>
        <v>1.0400499999999999</v>
      </c>
    </row>
    <row r="18" spans="1:9">
      <c r="A18" s="309">
        <f t="shared" si="6"/>
        <v>1.42</v>
      </c>
      <c r="B18" s="309">
        <f t="shared" si="0"/>
        <v>1.2591140000000001</v>
      </c>
      <c r="C18" s="309">
        <f t="shared" si="1"/>
        <v>1.2991140000000001</v>
      </c>
      <c r="D18" s="455">
        <v>0</v>
      </c>
      <c r="E18" s="309"/>
      <c r="F18" s="309">
        <f t="shared" si="2"/>
        <v>1.0000499999999999</v>
      </c>
      <c r="G18" s="309">
        <f t="shared" si="3"/>
        <v>1.0400499999999999</v>
      </c>
      <c r="H18" s="309">
        <f t="shared" si="4"/>
        <v>0</v>
      </c>
      <c r="I18" s="309">
        <f t="shared" si="5"/>
        <v>1.0400499999999999</v>
      </c>
    </row>
    <row r="19" spans="1:9">
      <c r="A19" s="309">
        <f t="shared" si="6"/>
        <v>1.41</v>
      </c>
      <c r="B19" s="309">
        <f t="shared" si="0"/>
        <v>1.2502469999999999</v>
      </c>
      <c r="C19" s="309">
        <f t="shared" si="1"/>
        <v>1.2902469999999999</v>
      </c>
      <c r="D19" s="455">
        <v>0</v>
      </c>
      <c r="E19" s="309"/>
      <c r="F19" s="309">
        <f t="shared" si="2"/>
        <v>1.0000499999999999</v>
      </c>
      <c r="G19" s="309">
        <f t="shared" si="3"/>
        <v>1.0400499999999999</v>
      </c>
      <c r="H19" s="309">
        <f t="shared" si="4"/>
        <v>0</v>
      </c>
      <c r="I19" s="309">
        <f t="shared" si="5"/>
        <v>1.0400499999999999</v>
      </c>
    </row>
    <row r="20" spans="1:9">
      <c r="A20" s="309">
        <f t="shared" si="6"/>
        <v>1.4</v>
      </c>
      <c r="B20" s="309">
        <f t="shared" si="0"/>
        <v>1.2413799999999999</v>
      </c>
      <c r="C20" s="309">
        <f t="shared" si="1"/>
        <v>1.28138</v>
      </c>
      <c r="D20" s="455">
        <v>0</v>
      </c>
      <c r="E20" s="309"/>
      <c r="F20" s="309">
        <f t="shared" si="2"/>
        <v>1.0000499999999999</v>
      </c>
      <c r="G20" s="309">
        <f t="shared" si="3"/>
        <v>1.0400499999999999</v>
      </c>
      <c r="H20" s="309">
        <f t="shared" si="4"/>
        <v>0</v>
      </c>
      <c r="I20" s="309">
        <f t="shared" si="5"/>
        <v>1.0400499999999999</v>
      </c>
    </row>
    <row r="21" spans="1:9">
      <c r="A21" s="309">
        <f t="shared" si="6"/>
        <v>1.39</v>
      </c>
      <c r="B21" s="309">
        <f t="shared" si="0"/>
        <v>1.232513</v>
      </c>
      <c r="C21" s="309">
        <f t="shared" si="1"/>
        <v>1.272513</v>
      </c>
      <c r="D21" s="455">
        <v>0</v>
      </c>
      <c r="E21" s="309"/>
      <c r="F21" s="309">
        <f t="shared" si="2"/>
        <v>1.0000499999999999</v>
      </c>
      <c r="G21" s="309">
        <f t="shared" si="3"/>
        <v>1.0400499999999999</v>
      </c>
      <c r="H21" s="309">
        <f t="shared" si="4"/>
        <v>0</v>
      </c>
      <c r="I21" s="309">
        <f t="shared" si="5"/>
        <v>1.0400499999999999</v>
      </c>
    </row>
    <row r="22" spans="1:9">
      <c r="A22" s="309">
        <f t="shared" si="6"/>
        <v>1.38</v>
      </c>
      <c r="B22" s="309">
        <f t="shared" si="0"/>
        <v>1.223646</v>
      </c>
      <c r="C22" s="309">
        <f t="shared" si="1"/>
        <v>1.263646</v>
      </c>
      <c r="D22" s="455">
        <v>0</v>
      </c>
      <c r="E22" s="309"/>
      <c r="F22" s="309">
        <f t="shared" si="2"/>
        <v>1.0000499999999999</v>
      </c>
      <c r="G22" s="309">
        <f t="shared" si="3"/>
        <v>1.0400499999999999</v>
      </c>
      <c r="H22" s="309">
        <f t="shared" si="4"/>
        <v>0</v>
      </c>
      <c r="I22" s="309">
        <f t="shared" si="5"/>
        <v>1.0400499999999999</v>
      </c>
    </row>
    <row r="23" spans="1:9">
      <c r="A23" s="309">
        <f t="shared" si="6"/>
        <v>1.3699999999999999</v>
      </c>
      <c r="B23" s="309">
        <f t="shared" si="0"/>
        <v>1.2147790000000001</v>
      </c>
      <c r="C23" s="309">
        <f t="shared" si="1"/>
        <v>1.2547790000000001</v>
      </c>
      <c r="D23" s="455">
        <v>0</v>
      </c>
      <c r="E23" s="309"/>
      <c r="F23" s="309">
        <f t="shared" si="2"/>
        <v>1.0000499999999999</v>
      </c>
      <c r="G23" s="309">
        <f t="shared" si="3"/>
        <v>1.0400499999999999</v>
      </c>
      <c r="H23" s="309">
        <f t="shared" si="4"/>
        <v>0</v>
      </c>
      <c r="I23" s="309">
        <f t="shared" si="5"/>
        <v>1.0400499999999999</v>
      </c>
    </row>
    <row r="24" spans="1:9">
      <c r="A24" s="309">
        <f t="shared" si="6"/>
        <v>1.3599999999999999</v>
      </c>
      <c r="B24" s="309">
        <f t="shared" si="0"/>
        <v>1.2059119999999999</v>
      </c>
      <c r="C24" s="309">
        <f t="shared" si="1"/>
        <v>1.2459119999999999</v>
      </c>
      <c r="D24" s="455">
        <v>0</v>
      </c>
      <c r="E24" s="309"/>
      <c r="F24" s="309">
        <f t="shared" si="2"/>
        <v>1.0000499999999999</v>
      </c>
      <c r="G24" s="309">
        <f t="shared" si="3"/>
        <v>1.0400499999999999</v>
      </c>
      <c r="H24" s="309">
        <f t="shared" si="4"/>
        <v>0</v>
      </c>
      <c r="I24" s="309">
        <f t="shared" si="5"/>
        <v>1.0400499999999999</v>
      </c>
    </row>
    <row r="25" spans="1:9">
      <c r="A25" s="309">
        <f t="shared" si="6"/>
        <v>1.3499999999999999</v>
      </c>
      <c r="B25" s="309">
        <f t="shared" si="0"/>
        <v>1.1970449999999999</v>
      </c>
      <c r="C25" s="309">
        <f t="shared" si="1"/>
        <v>1.237045</v>
      </c>
      <c r="D25" s="455">
        <v>0</v>
      </c>
      <c r="E25" s="309"/>
      <c r="F25" s="309">
        <f t="shared" si="2"/>
        <v>1.0000499999999999</v>
      </c>
      <c r="G25" s="309">
        <f t="shared" si="3"/>
        <v>1.0400499999999999</v>
      </c>
      <c r="H25" s="309">
        <f t="shared" si="4"/>
        <v>0</v>
      </c>
      <c r="I25" s="309">
        <f t="shared" si="5"/>
        <v>1.0400499999999999</v>
      </c>
    </row>
    <row r="26" spans="1:9">
      <c r="A26" s="309">
        <f t="shared" si="6"/>
        <v>1.3399999999999999</v>
      </c>
      <c r="B26" s="309">
        <f t="shared" si="0"/>
        <v>1.188178</v>
      </c>
      <c r="C26" s="309">
        <f t="shared" si="1"/>
        <v>1.228178</v>
      </c>
      <c r="D26" s="455">
        <v>0</v>
      </c>
      <c r="E26" s="309"/>
      <c r="F26" s="309">
        <f t="shared" si="2"/>
        <v>1.0000499999999999</v>
      </c>
      <c r="G26" s="309">
        <f t="shared" si="3"/>
        <v>1.0400499999999999</v>
      </c>
      <c r="H26" s="309">
        <f t="shared" si="4"/>
        <v>0</v>
      </c>
      <c r="I26" s="309">
        <f t="shared" si="5"/>
        <v>1.0400499999999999</v>
      </c>
    </row>
    <row r="27" spans="1:9">
      <c r="A27" s="309">
        <f t="shared" si="6"/>
        <v>1.3299999999999998</v>
      </c>
      <c r="B27" s="309">
        <f t="shared" si="0"/>
        <v>1.179311</v>
      </c>
      <c r="C27" s="309">
        <f t="shared" si="1"/>
        <v>1.219311</v>
      </c>
      <c r="D27" s="455">
        <v>0</v>
      </c>
      <c r="E27" s="309"/>
      <c r="F27" s="309">
        <f t="shared" si="2"/>
        <v>1.0000499999999999</v>
      </c>
      <c r="G27" s="309">
        <f t="shared" si="3"/>
        <v>1.0400499999999999</v>
      </c>
      <c r="H27" s="309">
        <f t="shared" si="4"/>
        <v>0</v>
      </c>
      <c r="I27" s="309">
        <f t="shared" si="5"/>
        <v>1.0400499999999999</v>
      </c>
    </row>
    <row r="28" spans="1:9">
      <c r="A28" s="309">
        <f t="shared" si="6"/>
        <v>1.3199999999999998</v>
      </c>
      <c r="B28" s="309">
        <f t="shared" si="0"/>
        <v>1.1704439999999998</v>
      </c>
      <c r="C28" s="309">
        <f t="shared" si="1"/>
        <v>1.2104439999999999</v>
      </c>
      <c r="D28" s="455">
        <v>0</v>
      </c>
      <c r="E28" s="309"/>
      <c r="F28" s="309">
        <f t="shared" si="2"/>
        <v>1.0000499999999999</v>
      </c>
      <c r="G28" s="309">
        <f t="shared" si="3"/>
        <v>1.0400499999999999</v>
      </c>
      <c r="H28" s="309">
        <f t="shared" si="4"/>
        <v>0</v>
      </c>
      <c r="I28" s="309">
        <f t="shared" si="5"/>
        <v>1.0400499999999999</v>
      </c>
    </row>
    <row r="29" spans="1:9">
      <c r="A29" s="309">
        <f t="shared" si="6"/>
        <v>1.3099999999999998</v>
      </c>
      <c r="B29" s="309">
        <f t="shared" si="0"/>
        <v>1.1615769999999999</v>
      </c>
      <c r="C29" s="309">
        <f t="shared" si="1"/>
        <v>1.2015769999999999</v>
      </c>
      <c r="D29" s="455">
        <v>0</v>
      </c>
      <c r="E29" s="309"/>
      <c r="F29" s="309">
        <f t="shared" si="2"/>
        <v>1.0000499999999999</v>
      </c>
      <c r="G29" s="309">
        <f t="shared" si="3"/>
        <v>1.0400499999999999</v>
      </c>
      <c r="H29" s="309">
        <f t="shared" si="4"/>
        <v>0</v>
      </c>
      <c r="I29" s="309">
        <f t="shared" si="5"/>
        <v>1.0400499999999999</v>
      </c>
    </row>
    <row r="30" spans="1:9">
      <c r="A30" s="309">
        <f t="shared" si="6"/>
        <v>1.2999999999999998</v>
      </c>
      <c r="B30" s="309">
        <f t="shared" si="0"/>
        <v>1.1527099999999999</v>
      </c>
      <c r="C30" s="309">
        <f t="shared" si="1"/>
        <v>1.1927099999999999</v>
      </c>
      <c r="D30" s="455">
        <v>0</v>
      </c>
      <c r="E30" s="309"/>
      <c r="F30" s="309">
        <f t="shared" si="2"/>
        <v>1.0000499999999999</v>
      </c>
      <c r="G30" s="309">
        <f t="shared" si="3"/>
        <v>1.0400499999999999</v>
      </c>
      <c r="H30" s="309">
        <f t="shared" si="4"/>
        <v>0</v>
      </c>
      <c r="I30" s="309">
        <f t="shared" si="5"/>
        <v>1.0400499999999999</v>
      </c>
    </row>
    <row r="31" spans="1:9">
      <c r="A31" s="309">
        <f t="shared" si="6"/>
        <v>1.2899999999999998</v>
      </c>
      <c r="B31" s="309">
        <f t="shared" si="0"/>
        <v>1.1438429999999999</v>
      </c>
      <c r="C31" s="309">
        <f t="shared" si="1"/>
        <v>1.183843</v>
      </c>
      <c r="D31" s="455">
        <v>0</v>
      </c>
      <c r="E31" s="309"/>
      <c r="F31" s="309">
        <f t="shared" si="2"/>
        <v>1.0000499999999999</v>
      </c>
      <c r="G31" s="309">
        <f t="shared" si="3"/>
        <v>1.0400499999999999</v>
      </c>
      <c r="H31" s="309">
        <f t="shared" si="4"/>
        <v>0</v>
      </c>
      <c r="I31" s="309">
        <f t="shared" si="5"/>
        <v>1.0400499999999999</v>
      </c>
    </row>
    <row r="32" spans="1:9">
      <c r="A32" s="309">
        <f t="shared" si="6"/>
        <v>1.2799999999999998</v>
      </c>
      <c r="B32" s="309">
        <f t="shared" si="0"/>
        <v>1.134976</v>
      </c>
      <c r="C32" s="309">
        <f t="shared" si="1"/>
        <v>1.174976</v>
      </c>
      <c r="D32" s="455">
        <v>0</v>
      </c>
      <c r="E32" s="309"/>
      <c r="F32" s="309">
        <f t="shared" si="2"/>
        <v>1.0000499999999999</v>
      </c>
      <c r="G32" s="309">
        <f t="shared" si="3"/>
        <v>1.0400499999999999</v>
      </c>
      <c r="H32" s="309">
        <f t="shared" si="4"/>
        <v>0</v>
      </c>
      <c r="I32" s="309">
        <f t="shared" si="5"/>
        <v>1.0400499999999999</v>
      </c>
    </row>
    <row r="33" spans="1:9">
      <c r="A33" s="309">
        <f t="shared" si="6"/>
        <v>1.2699999999999998</v>
      </c>
      <c r="B33" s="309">
        <f t="shared" si="0"/>
        <v>1.1261089999999998</v>
      </c>
      <c r="C33" s="309">
        <f t="shared" si="1"/>
        <v>1.1661089999999998</v>
      </c>
      <c r="D33" s="455">
        <v>0</v>
      </c>
      <c r="E33" s="309"/>
      <c r="F33" s="309">
        <f t="shared" si="2"/>
        <v>1.0000499999999999</v>
      </c>
      <c r="G33" s="309">
        <f t="shared" si="3"/>
        <v>1.0400499999999999</v>
      </c>
      <c r="H33" s="309">
        <f t="shared" si="4"/>
        <v>0</v>
      </c>
      <c r="I33" s="309">
        <f t="shared" si="5"/>
        <v>1.0400499999999999</v>
      </c>
    </row>
    <row r="34" spans="1:9">
      <c r="A34" s="309">
        <f t="shared" si="6"/>
        <v>1.2599999999999998</v>
      </c>
      <c r="B34" s="309">
        <f t="shared" si="0"/>
        <v>1.1172419999999998</v>
      </c>
      <c r="C34" s="309">
        <f t="shared" si="1"/>
        <v>1.1572419999999999</v>
      </c>
      <c r="D34" s="455">
        <v>0</v>
      </c>
      <c r="E34" s="309"/>
      <c r="F34" s="309">
        <f t="shared" si="2"/>
        <v>1.0000499999999999</v>
      </c>
      <c r="G34" s="309">
        <f t="shared" si="3"/>
        <v>1.0400499999999999</v>
      </c>
      <c r="H34" s="309">
        <f t="shared" si="4"/>
        <v>0</v>
      </c>
      <c r="I34" s="309">
        <f t="shared" si="5"/>
        <v>1.0400499999999999</v>
      </c>
    </row>
    <row r="35" spans="1:9">
      <c r="A35" s="309">
        <f t="shared" si="6"/>
        <v>1.2499999999999998</v>
      </c>
      <c r="B35" s="309">
        <f t="shared" si="0"/>
        <v>1.1083749999999999</v>
      </c>
      <c r="C35" s="309">
        <f t="shared" si="1"/>
        <v>1.1483749999999999</v>
      </c>
      <c r="D35" s="455">
        <v>0</v>
      </c>
      <c r="E35" s="309"/>
      <c r="F35" s="309">
        <f t="shared" si="2"/>
        <v>1.0000499999999999</v>
      </c>
      <c r="G35" s="309">
        <f t="shared" si="3"/>
        <v>1.0400499999999999</v>
      </c>
      <c r="H35" s="309">
        <f t="shared" si="4"/>
        <v>0</v>
      </c>
      <c r="I35" s="309">
        <f t="shared" si="5"/>
        <v>1.0400499999999999</v>
      </c>
    </row>
    <row r="36" spans="1:9">
      <c r="A36" s="309">
        <f t="shared" si="6"/>
        <v>1.2399999999999998</v>
      </c>
      <c r="B36" s="309">
        <f t="shared" si="0"/>
        <v>1.0995079999999999</v>
      </c>
      <c r="C36" s="309">
        <f t="shared" si="1"/>
        <v>1.139508</v>
      </c>
      <c r="D36" s="455">
        <v>0</v>
      </c>
      <c r="E36" s="309"/>
      <c r="F36" s="309">
        <f t="shared" si="2"/>
        <v>1.0000499999999999</v>
      </c>
      <c r="G36" s="309">
        <f t="shared" si="3"/>
        <v>1.0400499999999999</v>
      </c>
      <c r="H36" s="309">
        <f t="shared" si="4"/>
        <v>0</v>
      </c>
      <c r="I36" s="309">
        <f t="shared" si="5"/>
        <v>1.0400499999999999</v>
      </c>
    </row>
    <row r="37" spans="1:9">
      <c r="A37" s="309">
        <f t="shared" si="6"/>
        <v>1.2299999999999998</v>
      </c>
      <c r="B37" s="309">
        <f t="shared" si="0"/>
        <v>1.0906409999999997</v>
      </c>
      <c r="C37" s="309">
        <f t="shared" si="1"/>
        <v>1.1306409999999998</v>
      </c>
      <c r="D37" s="455">
        <v>0</v>
      </c>
      <c r="E37" s="309"/>
      <c r="F37" s="309">
        <f t="shared" si="2"/>
        <v>1.0000499999999999</v>
      </c>
      <c r="G37" s="309">
        <f t="shared" si="3"/>
        <v>1.0400499999999999</v>
      </c>
      <c r="H37" s="309">
        <f t="shared" si="4"/>
        <v>0</v>
      </c>
      <c r="I37" s="309">
        <f t="shared" si="5"/>
        <v>1.0400499999999999</v>
      </c>
    </row>
    <row r="38" spans="1:9">
      <c r="A38" s="309">
        <f t="shared" si="6"/>
        <v>1.2199999999999998</v>
      </c>
      <c r="B38" s="309">
        <f t="shared" si="0"/>
        <v>1.0817739999999998</v>
      </c>
      <c r="C38" s="309">
        <f t="shared" si="1"/>
        <v>1.1217739999999998</v>
      </c>
      <c r="D38" s="455">
        <v>0</v>
      </c>
      <c r="E38" s="309"/>
      <c r="F38" s="309">
        <f t="shared" si="2"/>
        <v>1.0000499999999999</v>
      </c>
      <c r="G38" s="309">
        <f t="shared" si="3"/>
        <v>1.0400499999999999</v>
      </c>
      <c r="H38" s="309">
        <f t="shared" si="4"/>
        <v>0</v>
      </c>
      <c r="I38" s="309">
        <f t="shared" si="5"/>
        <v>1.0400499999999999</v>
      </c>
    </row>
    <row r="39" spans="1:9">
      <c r="A39" s="309">
        <f t="shared" si="6"/>
        <v>1.2099999999999997</v>
      </c>
      <c r="B39" s="309">
        <f t="shared" si="0"/>
        <v>1.0729069999999998</v>
      </c>
      <c r="C39" s="309">
        <f t="shared" si="1"/>
        <v>1.1129069999999999</v>
      </c>
      <c r="D39" s="455">
        <v>0</v>
      </c>
      <c r="E39" s="309"/>
      <c r="F39" s="309">
        <f t="shared" si="2"/>
        <v>1.0000499999999999</v>
      </c>
      <c r="G39" s="309">
        <f t="shared" si="3"/>
        <v>1.0400499999999999</v>
      </c>
      <c r="H39" s="309">
        <f t="shared" si="4"/>
        <v>0</v>
      </c>
      <c r="I39" s="309">
        <f t="shared" si="5"/>
        <v>1.0400499999999999</v>
      </c>
    </row>
    <row r="40" spans="1:9">
      <c r="A40" s="309">
        <f t="shared" si="6"/>
        <v>1.1999999999999997</v>
      </c>
      <c r="B40" s="309">
        <f t="shared" si="0"/>
        <v>1.0640399999999999</v>
      </c>
      <c r="C40" s="309">
        <f t="shared" si="1"/>
        <v>1.1040399999999999</v>
      </c>
      <c r="D40" s="455">
        <v>0</v>
      </c>
      <c r="E40" s="309"/>
      <c r="F40" s="309">
        <f t="shared" si="2"/>
        <v>1.0000499999999999</v>
      </c>
      <c r="G40" s="309">
        <f t="shared" si="3"/>
        <v>1.0400499999999999</v>
      </c>
      <c r="H40" s="309">
        <f t="shared" si="4"/>
        <v>0</v>
      </c>
      <c r="I40" s="309">
        <f t="shared" si="5"/>
        <v>1.0400499999999999</v>
      </c>
    </row>
    <row r="41" spans="1:9">
      <c r="A41" s="309">
        <f t="shared" si="6"/>
        <v>1.1899999999999997</v>
      </c>
      <c r="B41" s="309">
        <f t="shared" si="0"/>
        <v>1.0551729999999999</v>
      </c>
      <c r="C41" s="309">
        <f t="shared" si="1"/>
        <v>1.095173</v>
      </c>
      <c r="D41" s="455">
        <v>0</v>
      </c>
      <c r="E41" s="309"/>
      <c r="F41" s="309">
        <f t="shared" si="2"/>
        <v>1.0000499999999999</v>
      </c>
      <c r="G41" s="309">
        <f t="shared" si="3"/>
        <v>1.0400499999999999</v>
      </c>
      <c r="H41" s="309">
        <f t="shared" si="4"/>
        <v>0</v>
      </c>
      <c r="I41" s="309">
        <f t="shared" si="5"/>
        <v>1.0400499999999999</v>
      </c>
    </row>
    <row r="42" spans="1:9">
      <c r="A42" s="309">
        <f t="shared" si="6"/>
        <v>1.1799999999999997</v>
      </c>
      <c r="B42" s="309">
        <f t="shared" si="0"/>
        <v>1.0463059999999997</v>
      </c>
      <c r="C42" s="309">
        <f t="shared" si="1"/>
        <v>1.0863059999999998</v>
      </c>
      <c r="D42" s="455">
        <v>0</v>
      </c>
      <c r="E42" s="309"/>
      <c r="F42" s="309">
        <f t="shared" si="2"/>
        <v>1.0000499999999999</v>
      </c>
      <c r="G42" s="309">
        <f t="shared" si="3"/>
        <v>1.0400499999999999</v>
      </c>
      <c r="H42" s="309">
        <f t="shared" si="4"/>
        <v>0</v>
      </c>
      <c r="I42" s="309">
        <f t="shared" si="5"/>
        <v>1.0400499999999999</v>
      </c>
    </row>
    <row r="43" spans="1:9">
      <c r="A43" s="309">
        <f t="shared" si="6"/>
        <v>1.1699999999999997</v>
      </c>
      <c r="B43" s="309">
        <f t="shared" si="0"/>
        <v>1.0374389999999998</v>
      </c>
      <c r="C43" s="309">
        <f t="shared" si="1"/>
        <v>1.0774389999999998</v>
      </c>
      <c r="D43" s="455">
        <v>0</v>
      </c>
      <c r="E43" s="309"/>
      <c r="F43" s="309">
        <f t="shared" si="2"/>
        <v>1.0000499999999999</v>
      </c>
      <c r="G43" s="309">
        <f t="shared" si="3"/>
        <v>1.0400499999999999</v>
      </c>
      <c r="H43" s="309">
        <f t="shared" si="4"/>
        <v>0</v>
      </c>
      <c r="I43" s="309">
        <f t="shared" si="5"/>
        <v>1.0400499999999999</v>
      </c>
    </row>
    <row r="44" spans="1:9">
      <c r="A44" s="309">
        <f t="shared" si="6"/>
        <v>1.1599999999999997</v>
      </c>
      <c r="B44" s="309">
        <f t="shared" si="0"/>
        <v>1.0285719999999998</v>
      </c>
      <c r="C44" s="309">
        <f t="shared" si="1"/>
        <v>1.0685719999999999</v>
      </c>
      <c r="D44" s="455">
        <v>0</v>
      </c>
      <c r="E44" s="309"/>
      <c r="F44" s="309">
        <f t="shared" si="2"/>
        <v>1.0000499999999999</v>
      </c>
      <c r="G44" s="309">
        <f t="shared" si="3"/>
        <v>1.0400499999999999</v>
      </c>
      <c r="H44" s="309">
        <f t="shared" si="4"/>
        <v>0</v>
      </c>
      <c r="I44" s="309">
        <f t="shared" si="5"/>
        <v>1.0400499999999999</v>
      </c>
    </row>
    <row r="45" spans="1:9">
      <c r="A45" s="309">
        <f t="shared" si="6"/>
        <v>1.1499999999999997</v>
      </c>
      <c r="B45" s="309">
        <f t="shared" si="0"/>
        <v>1.0197049999999999</v>
      </c>
      <c r="C45" s="309">
        <f t="shared" si="1"/>
        <v>1.0597049999999999</v>
      </c>
      <c r="D45" s="455">
        <v>0</v>
      </c>
      <c r="E45" s="309"/>
      <c r="F45" s="309">
        <f t="shared" si="2"/>
        <v>1.0000499999999999</v>
      </c>
      <c r="G45" s="309">
        <f t="shared" si="3"/>
        <v>1.0400499999999999</v>
      </c>
      <c r="H45" s="309">
        <f t="shared" si="4"/>
        <v>0</v>
      </c>
      <c r="I45" s="309">
        <f t="shared" si="5"/>
        <v>1.0400499999999999</v>
      </c>
    </row>
    <row r="46" spans="1:9">
      <c r="A46" s="309">
        <f t="shared" si="6"/>
        <v>1.1399999999999997</v>
      </c>
      <c r="B46" s="309">
        <f t="shared" si="0"/>
        <v>1.0108379999999997</v>
      </c>
      <c r="C46" s="309">
        <f t="shared" si="1"/>
        <v>1.0508379999999997</v>
      </c>
      <c r="D46" s="455">
        <v>0</v>
      </c>
      <c r="E46" s="309"/>
      <c r="F46" s="309">
        <f t="shared" si="2"/>
        <v>1.0000499999999999</v>
      </c>
      <c r="G46" s="309">
        <f t="shared" si="3"/>
        <v>1.0400499999999999</v>
      </c>
      <c r="H46" s="309">
        <f t="shared" si="4"/>
        <v>0</v>
      </c>
      <c r="I46" s="309">
        <f t="shared" si="5"/>
        <v>1.0400499999999999</v>
      </c>
    </row>
    <row r="47" spans="1:9">
      <c r="A47" s="309">
        <f t="shared" si="6"/>
        <v>1.1299999999999997</v>
      </c>
      <c r="B47" s="309">
        <f t="shared" si="0"/>
        <v>1.0019709999999997</v>
      </c>
      <c r="C47" s="309">
        <f t="shared" si="1"/>
        <v>1.0419709999999998</v>
      </c>
      <c r="D47" s="455">
        <v>0</v>
      </c>
      <c r="E47" s="309"/>
      <c r="F47" s="309">
        <f t="shared" si="2"/>
        <v>1.0000499999999999</v>
      </c>
      <c r="G47" s="309">
        <f t="shared" si="3"/>
        <v>1.0400499999999999</v>
      </c>
      <c r="H47" s="309">
        <f t="shared" si="4"/>
        <v>0</v>
      </c>
      <c r="I47" s="309">
        <f t="shared" si="5"/>
        <v>1.0400499999999999</v>
      </c>
    </row>
    <row r="48" spans="1:9">
      <c r="A48" s="309">
        <f t="shared" si="6"/>
        <v>1.1199999999999997</v>
      </c>
      <c r="B48" s="309">
        <f t="shared" si="0"/>
        <v>0.99310399999999976</v>
      </c>
      <c r="C48" s="309">
        <f t="shared" si="1"/>
        <v>1.0331039999999998</v>
      </c>
      <c r="D48" s="455">
        <v>0</v>
      </c>
      <c r="E48" s="309"/>
      <c r="F48" s="309">
        <f t="shared" si="2"/>
        <v>1.0000499999999999</v>
      </c>
      <c r="G48" s="309">
        <f t="shared" si="3"/>
        <v>1.0400499999999999</v>
      </c>
      <c r="H48" s="309">
        <f t="shared" si="4"/>
        <v>0</v>
      </c>
      <c r="I48" s="309">
        <f t="shared" si="5"/>
        <v>1.0400499999999999</v>
      </c>
    </row>
    <row r="49" spans="1:9">
      <c r="A49" s="309">
        <f t="shared" si="6"/>
        <v>1.1099999999999997</v>
      </c>
      <c r="B49" s="309">
        <f t="shared" si="0"/>
        <v>0.9842369999999997</v>
      </c>
      <c r="C49" s="309">
        <f t="shared" si="1"/>
        <v>1.0242369999999996</v>
      </c>
      <c r="D49" s="455">
        <v>0</v>
      </c>
      <c r="E49" s="309"/>
      <c r="F49" s="309">
        <f t="shared" si="2"/>
        <v>1.0000499999999999</v>
      </c>
      <c r="G49" s="309">
        <f t="shared" si="3"/>
        <v>1.0400499999999999</v>
      </c>
      <c r="H49" s="309">
        <f t="shared" si="4"/>
        <v>0</v>
      </c>
      <c r="I49" s="309">
        <f t="shared" si="5"/>
        <v>1.0400499999999999</v>
      </c>
    </row>
    <row r="50" spans="1:9">
      <c r="A50" s="309">
        <f t="shared" si="6"/>
        <v>1.0999999999999996</v>
      </c>
      <c r="B50" s="309">
        <f t="shared" si="0"/>
        <v>0.97536999999999974</v>
      </c>
      <c r="C50" s="309">
        <f t="shared" si="1"/>
        <v>1.0153699999999997</v>
      </c>
      <c r="D50" s="455">
        <v>0</v>
      </c>
      <c r="E50" s="309"/>
      <c r="F50" s="309">
        <f t="shared" si="2"/>
        <v>1.0000499999999999</v>
      </c>
      <c r="G50" s="309">
        <f t="shared" si="3"/>
        <v>1.0400499999999999</v>
      </c>
      <c r="H50" s="309">
        <f t="shared" si="4"/>
        <v>0</v>
      </c>
      <c r="I50" s="309">
        <f t="shared" si="5"/>
        <v>1.0400499999999999</v>
      </c>
    </row>
    <row r="51" spans="1:9">
      <c r="A51" s="309">
        <f t="shared" si="6"/>
        <v>1.0899999999999996</v>
      </c>
      <c r="B51" s="309">
        <f t="shared" si="0"/>
        <v>0.96650299999999978</v>
      </c>
      <c r="C51" s="309">
        <f t="shared" si="1"/>
        <v>1.0065029999999997</v>
      </c>
      <c r="D51" s="455">
        <v>0</v>
      </c>
      <c r="E51" s="309"/>
      <c r="F51" s="309">
        <f t="shared" si="2"/>
        <v>1.0000499999999999</v>
      </c>
      <c r="G51" s="309">
        <f t="shared" si="3"/>
        <v>1.0400499999999999</v>
      </c>
      <c r="H51" s="309">
        <f t="shared" si="4"/>
        <v>0</v>
      </c>
      <c r="I51" s="309">
        <f t="shared" si="5"/>
        <v>1.0400499999999999</v>
      </c>
    </row>
    <row r="52" spans="1:9">
      <c r="A52" s="309">
        <f t="shared" si="6"/>
        <v>1.0799999999999996</v>
      </c>
      <c r="B52" s="309">
        <f t="shared" si="0"/>
        <v>0.95763599999999971</v>
      </c>
      <c r="C52" s="309">
        <f t="shared" si="1"/>
        <v>0.99763599999999975</v>
      </c>
      <c r="D52" s="455">
        <v>0</v>
      </c>
      <c r="E52" s="309"/>
      <c r="F52" s="309">
        <f t="shared" si="2"/>
        <v>1.0000499999999999</v>
      </c>
      <c r="G52" s="309">
        <f t="shared" si="3"/>
        <v>1.0400499999999999</v>
      </c>
      <c r="H52" s="309">
        <f t="shared" si="4"/>
        <v>0</v>
      </c>
      <c r="I52" s="309">
        <f t="shared" si="5"/>
        <v>1.0400499999999999</v>
      </c>
    </row>
    <row r="53" spans="1:9">
      <c r="A53" s="309">
        <f t="shared" si="6"/>
        <v>1.0699999999999996</v>
      </c>
      <c r="B53" s="309">
        <f t="shared" si="0"/>
        <v>0.94876899999999975</v>
      </c>
      <c r="C53" s="309">
        <f t="shared" si="1"/>
        <v>0.98876899999999979</v>
      </c>
      <c r="D53" s="455">
        <v>0</v>
      </c>
      <c r="E53" s="309"/>
      <c r="F53" s="309">
        <f t="shared" si="2"/>
        <v>1.0000499999999999</v>
      </c>
      <c r="G53" s="309">
        <f t="shared" si="3"/>
        <v>1.0400499999999999</v>
      </c>
      <c r="H53" s="309">
        <f t="shared" si="4"/>
        <v>0</v>
      </c>
      <c r="I53" s="309">
        <f t="shared" si="5"/>
        <v>1.0400499999999999</v>
      </c>
    </row>
    <row r="54" spans="1:9">
      <c r="A54" s="309">
        <f t="shared" si="6"/>
        <v>1.0599999999999996</v>
      </c>
      <c r="B54" s="309">
        <f t="shared" si="0"/>
        <v>0.93990199999999968</v>
      </c>
      <c r="C54" s="309">
        <f t="shared" si="1"/>
        <v>0.97990199999999972</v>
      </c>
      <c r="D54" s="455">
        <v>0</v>
      </c>
      <c r="E54" s="309"/>
      <c r="F54" s="309">
        <f t="shared" si="2"/>
        <v>1.0000499999999999</v>
      </c>
      <c r="G54" s="309">
        <f t="shared" si="3"/>
        <v>1.0400499999999999</v>
      </c>
      <c r="H54" s="309">
        <f t="shared" si="4"/>
        <v>0</v>
      </c>
      <c r="I54" s="309">
        <f t="shared" si="5"/>
        <v>1.0400499999999999</v>
      </c>
    </row>
    <row r="55" spans="1:9">
      <c r="A55" s="309">
        <f t="shared" si="6"/>
        <v>1.0499999999999996</v>
      </c>
      <c r="B55" s="309">
        <f t="shared" si="0"/>
        <v>0.93103499999999972</v>
      </c>
      <c r="C55" s="309">
        <f t="shared" si="1"/>
        <v>0.97103499999999976</v>
      </c>
      <c r="D55" s="455">
        <v>0</v>
      </c>
      <c r="E55" s="309"/>
      <c r="F55" s="309">
        <f t="shared" si="2"/>
        <v>1.0000499999999999</v>
      </c>
      <c r="G55" s="309">
        <f t="shared" si="3"/>
        <v>1.0400499999999999</v>
      </c>
      <c r="H55" s="309">
        <f t="shared" si="4"/>
        <v>0</v>
      </c>
      <c r="I55" s="309">
        <f t="shared" si="5"/>
        <v>1.0400499999999999</v>
      </c>
    </row>
    <row r="56" spans="1:9">
      <c r="A56" s="309">
        <f t="shared" si="6"/>
        <v>1.0399999999999996</v>
      </c>
      <c r="B56" s="309">
        <f t="shared" si="0"/>
        <v>0.92216799999999965</v>
      </c>
      <c r="C56" s="309">
        <f t="shared" si="1"/>
        <v>0.96216799999999969</v>
      </c>
      <c r="D56" s="455">
        <v>0</v>
      </c>
      <c r="E56" s="309"/>
      <c r="F56" s="309">
        <f t="shared" si="2"/>
        <v>1.0000499999999999</v>
      </c>
      <c r="G56" s="309">
        <f t="shared" si="3"/>
        <v>1.0400499999999999</v>
      </c>
      <c r="H56" s="309">
        <f t="shared" si="4"/>
        <v>0</v>
      </c>
      <c r="I56" s="309">
        <f t="shared" si="5"/>
        <v>1.0400499999999999</v>
      </c>
    </row>
    <row r="57" spans="1:9">
      <c r="A57" s="309">
        <f t="shared" si="6"/>
        <v>1.0299999999999996</v>
      </c>
      <c r="B57" s="309">
        <f t="shared" si="0"/>
        <v>0.9133009999999997</v>
      </c>
      <c r="C57" s="309">
        <f t="shared" si="1"/>
        <v>0.95330099999999973</v>
      </c>
      <c r="D57" s="455">
        <v>0</v>
      </c>
      <c r="E57" s="309"/>
      <c r="F57" s="309">
        <f t="shared" si="2"/>
        <v>1.0000499999999999</v>
      </c>
      <c r="G57" s="309">
        <f t="shared" si="3"/>
        <v>1.0400499999999999</v>
      </c>
      <c r="H57" s="309">
        <f t="shared" si="4"/>
        <v>0</v>
      </c>
      <c r="I57" s="309">
        <f t="shared" si="5"/>
        <v>1.0400499999999999</v>
      </c>
    </row>
    <row r="58" spans="1:9">
      <c r="A58" s="309">
        <f t="shared" si="6"/>
        <v>1.0199999999999996</v>
      </c>
      <c r="B58" s="309">
        <f t="shared" si="0"/>
        <v>0.90443399999999963</v>
      </c>
      <c r="C58" s="309">
        <f t="shared" si="1"/>
        <v>0.94443399999999966</v>
      </c>
      <c r="D58" s="455">
        <v>0</v>
      </c>
      <c r="E58" s="309"/>
      <c r="F58" s="309">
        <f t="shared" si="2"/>
        <v>1.0000499999999999</v>
      </c>
      <c r="G58" s="309">
        <f t="shared" si="3"/>
        <v>1.0400499999999999</v>
      </c>
      <c r="H58" s="309">
        <f t="shared" si="4"/>
        <v>0</v>
      </c>
      <c r="I58" s="309">
        <f t="shared" si="5"/>
        <v>1.0400499999999999</v>
      </c>
    </row>
    <row r="59" spans="1:9">
      <c r="A59" s="309">
        <f t="shared" si="6"/>
        <v>1.0099999999999996</v>
      </c>
      <c r="B59" s="309">
        <f t="shared" si="0"/>
        <v>0.89556699999999967</v>
      </c>
      <c r="C59" s="309">
        <f t="shared" si="1"/>
        <v>0.9355669999999997</v>
      </c>
      <c r="D59" s="455">
        <v>0</v>
      </c>
      <c r="E59" s="309"/>
      <c r="F59" s="309">
        <f t="shared" si="2"/>
        <v>1.0000499999999999</v>
      </c>
      <c r="G59" s="309">
        <f t="shared" si="3"/>
        <v>1.0400499999999999</v>
      </c>
      <c r="H59" s="309">
        <f t="shared" si="4"/>
        <v>0</v>
      </c>
      <c r="I59" s="309">
        <f t="shared" si="5"/>
        <v>1.0400499999999999</v>
      </c>
    </row>
    <row r="60" spans="1:9">
      <c r="A60" s="309">
        <f t="shared" si="6"/>
        <v>0.99999999999999956</v>
      </c>
      <c r="B60" s="309">
        <f t="shared" si="0"/>
        <v>0.8866999999999996</v>
      </c>
      <c r="C60" s="309">
        <f t="shared" si="1"/>
        <v>0.92669999999999964</v>
      </c>
      <c r="D60" s="455">
        <v>0</v>
      </c>
      <c r="E60" s="309"/>
      <c r="F60" s="309">
        <f t="shared" si="2"/>
        <v>1.0000499999999999</v>
      </c>
      <c r="G60" s="309">
        <f t="shared" si="3"/>
        <v>1.0400499999999999</v>
      </c>
      <c r="H60" s="309">
        <f t="shared" si="4"/>
        <v>0</v>
      </c>
      <c r="I60" s="309">
        <f t="shared" si="5"/>
        <v>1.0400499999999999</v>
      </c>
    </row>
    <row r="61" spans="1:9">
      <c r="A61" s="454"/>
      <c r="B61" s="454"/>
      <c r="C61" s="454"/>
      <c r="D61" s="454"/>
      <c r="E61" s="454"/>
      <c r="F61" s="454"/>
      <c r="G61" s="454"/>
      <c r="H61" s="454"/>
      <c r="I61" s="187"/>
    </row>
    <row r="62" spans="1:9" s="57" customFormat="1">
      <c r="A62" s="57" t="s">
        <v>1660</v>
      </c>
    </row>
    <row r="63" spans="1:9" s="57" customFormat="1" ht="26.4">
      <c r="G63" s="461" t="s">
        <v>5287</v>
      </c>
      <c r="H63" s="461" t="s">
        <v>5288</v>
      </c>
    </row>
    <row r="64" spans="1:9" s="57" customFormat="1">
      <c r="C64" s="57" t="s">
        <v>1656</v>
      </c>
      <c r="G64" s="460">
        <f>1.5*0.8867</f>
        <v>1.33005</v>
      </c>
      <c r="H64" s="460">
        <f>1.5*0.6667</f>
        <v>1.0000499999999999</v>
      </c>
    </row>
    <row r="65" spans="1:9" s="57" customFormat="1">
      <c r="C65" s="73" t="s">
        <v>1657</v>
      </c>
      <c r="G65" s="460">
        <v>0.17</v>
      </c>
      <c r="H65" s="460">
        <v>0.17</v>
      </c>
    </row>
    <row r="66" spans="1:9" s="57" customFormat="1">
      <c r="C66" s="57" t="s">
        <v>1659</v>
      </c>
      <c r="G66" s="460">
        <f>G64+G65</f>
        <v>1.5000499999999999</v>
      </c>
      <c r="H66" s="460">
        <f>H64+H65</f>
        <v>1.1700499999999998</v>
      </c>
    </row>
    <row r="67" spans="1:9">
      <c r="A67" s="454"/>
      <c r="B67" s="454"/>
      <c r="C67" s="454"/>
      <c r="D67" s="454"/>
      <c r="E67" s="454"/>
      <c r="F67" s="454"/>
      <c r="G67" s="454"/>
      <c r="H67" s="454"/>
      <c r="I67" s="187"/>
    </row>
    <row r="68" spans="1:9">
      <c r="A68" s="454"/>
      <c r="B68" s="454"/>
      <c r="C68" s="454"/>
      <c r="D68" s="454"/>
      <c r="E68" s="454"/>
      <c r="F68" s="454"/>
      <c r="G68" s="454"/>
      <c r="H68" s="454"/>
      <c r="I68" s="187"/>
    </row>
    <row r="69" spans="1:9">
      <c r="A69" s="456" t="s">
        <v>3031</v>
      </c>
      <c r="B69" s="454"/>
      <c r="C69" s="454"/>
      <c r="D69" s="454"/>
      <c r="E69" s="454"/>
      <c r="F69" s="454"/>
      <c r="G69" s="454"/>
      <c r="H69" s="454"/>
      <c r="I69" s="187"/>
    </row>
    <row r="70" spans="1:9" ht="114.75" customHeight="1">
      <c r="A70" s="457" t="s">
        <v>3023</v>
      </c>
      <c r="B70" s="457" t="s">
        <v>3024</v>
      </c>
      <c r="C70" s="457" t="s">
        <v>3025</v>
      </c>
      <c r="D70" s="457" t="s">
        <v>3026</v>
      </c>
      <c r="E70" s="457"/>
      <c r="F70" s="457" t="s">
        <v>3027</v>
      </c>
      <c r="G70" s="457" t="s">
        <v>3028</v>
      </c>
      <c r="H70" s="458" t="s">
        <v>3029</v>
      </c>
      <c r="I70" s="459" t="s">
        <v>3030</v>
      </c>
    </row>
    <row r="71" spans="1:9">
      <c r="A71" s="309">
        <v>1.51</v>
      </c>
      <c r="B71" s="309">
        <f t="shared" ref="B71:B119" si="7">A71*0.8867</f>
        <v>1.3389170000000001</v>
      </c>
      <c r="C71" s="309">
        <f t="shared" ref="C71:C119" si="8">B71+0.04</f>
        <v>1.3789170000000002</v>
      </c>
      <c r="D71" s="455">
        <v>0</v>
      </c>
      <c r="E71" s="309"/>
      <c r="F71" s="309">
        <f>A71*0.6667</f>
        <v>1.0067169999999999</v>
      </c>
      <c r="G71" s="309">
        <f t="shared" ref="G71:G119" si="9">F71+0.04</f>
        <v>1.0467169999999999</v>
      </c>
      <c r="H71" s="309">
        <f>IF(D71&lt;=C71,0,D71-C71)</f>
        <v>0</v>
      </c>
      <c r="I71" s="309">
        <f>G71+H71</f>
        <v>1.0467169999999999</v>
      </c>
    </row>
    <row r="72" spans="1:9">
      <c r="A72" s="309">
        <f>A71+0.01</f>
        <v>1.52</v>
      </c>
      <c r="B72" s="309">
        <f t="shared" si="7"/>
        <v>1.3477840000000001</v>
      </c>
      <c r="C72" s="309">
        <f t="shared" si="8"/>
        <v>1.3877840000000001</v>
      </c>
      <c r="D72" s="455">
        <v>0</v>
      </c>
      <c r="E72" s="309"/>
      <c r="F72" s="309">
        <f t="shared" ref="F72:F119" si="10">A72*0.6667</f>
        <v>1.0133839999999998</v>
      </c>
      <c r="G72" s="309">
        <f t="shared" si="9"/>
        <v>1.0533839999999999</v>
      </c>
      <c r="H72" s="309">
        <f t="shared" ref="H72:H119" si="11">IF(D72&lt;=C72,0,D72-C72)</f>
        <v>0</v>
      </c>
      <c r="I72" s="309">
        <f t="shared" ref="I72:I119" si="12">G72+H72</f>
        <v>1.0533839999999999</v>
      </c>
    </row>
    <row r="73" spans="1:9">
      <c r="A73" s="309">
        <f t="shared" ref="A73:A119" si="13">A72+0.01</f>
        <v>1.53</v>
      </c>
      <c r="B73" s="309">
        <f t="shared" si="7"/>
        <v>1.3566510000000001</v>
      </c>
      <c r="C73" s="309">
        <f t="shared" si="8"/>
        <v>1.3966510000000001</v>
      </c>
      <c r="D73" s="455">
        <v>0</v>
      </c>
      <c r="E73" s="309"/>
      <c r="F73" s="309">
        <f t="shared" si="10"/>
        <v>1.020051</v>
      </c>
      <c r="G73" s="309">
        <f t="shared" si="9"/>
        <v>1.0600510000000001</v>
      </c>
      <c r="H73" s="309">
        <f t="shared" si="11"/>
        <v>0</v>
      </c>
      <c r="I73" s="309">
        <f t="shared" si="12"/>
        <v>1.0600510000000001</v>
      </c>
    </row>
    <row r="74" spans="1:9">
      <c r="A74" s="309">
        <f t="shared" si="13"/>
        <v>1.54</v>
      </c>
      <c r="B74" s="309">
        <f t="shared" si="7"/>
        <v>1.365518</v>
      </c>
      <c r="C74" s="309">
        <f t="shared" si="8"/>
        <v>1.405518</v>
      </c>
      <c r="D74" s="455">
        <v>0</v>
      </c>
      <c r="E74" s="309"/>
      <c r="F74" s="309">
        <f t="shared" si="10"/>
        <v>1.026718</v>
      </c>
      <c r="G74" s="309">
        <f t="shared" si="9"/>
        <v>1.0667180000000001</v>
      </c>
      <c r="H74" s="309">
        <f t="shared" si="11"/>
        <v>0</v>
      </c>
      <c r="I74" s="309">
        <f t="shared" si="12"/>
        <v>1.0667180000000001</v>
      </c>
    </row>
    <row r="75" spans="1:9">
      <c r="A75" s="309">
        <f t="shared" si="13"/>
        <v>1.55</v>
      </c>
      <c r="B75" s="309">
        <f t="shared" si="7"/>
        <v>1.3743850000000002</v>
      </c>
      <c r="C75" s="309">
        <f t="shared" si="8"/>
        <v>1.4143850000000002</v>
      </c>
      <c r="D75" s="455">
        <v>0</v>
      </c>
      <c r="E75" s="309"/>
      <c r="F75" s="309">
        <f t="shared" si="10"/>
        <v>1.033385</v>
      </c>
      <c r="G75" s="309">
        <f t="shared" si="9"/>
        <v>1.073385</v>
      </c>
      <c r="H75" s="309">
        <f t="shared" si="11"/>
        <v>0</v>
      </c>
      <c r="I75" s="309">
        <f t="shared" si="12"/>
        <v>1.073385</v>
      </c>
    </row>
    <row r="76" spans="1:9">
      <c r="A76" s="309">
        <f t="shared" si="13"/>
        <v>1.56</v>
      </c>
      <c r="B76" s="309">
        <f t="shared" si="7"/>
        <v>1.3832520000000001</v>
      </c>
      <c r="C76" s="309">
        <f t="shared" si="8"/>
        <v>1.4232520000000002</v>
      </c>
      <c r="D76" s="455">
        <v>0</v>
      </c>
      <c r="E76" s="309"/>
      <c r="F76" s="309">
        <f t="shared" si="10"/>
        <v>1.040052</v>
      </c>
      <c r="G76" s="309">
        <f t="shared" si="9"/>
        <v>1.080052</v>
      </c>
      <c r="H76" s="309">
        <f t="shared" si="11"/>
        <v>0</v>
      </c>
      <c r="I76" s="309">
        <f t="shared" si="12"/>
        <v>1.080052</v>
      </c>
    </row>
    <row r="77" spans="1:9">
      <c r="A77" s="309">
        <f t="shared" si="13"/>
        <v>1.57</v>
      </c>
      <c r="B77" s="309">
        <f t="shared" si="7"/>
        <v>1.3921190000000001</v>
      </c>
      <c r="C77" s="309">
        <f t="shared" si="8"/>
        <v>1.4321190000000001</v>
      </c>
      <c r="D77" s="455">
        <v>0</v>
      </c>
      <c r="E77" s="309"/>
      <c r="F77" s="309">
        <f t="shared" si="10"/>
        <v>1.046719</v>
      </c>
      <c r="G77" s="309">
        <f t="shared" si="9"/>
        <v>1.086719</v>
      </c>
      <c r="H77" s="309">
        <f t="shared" si="11"/>
        <v>0</v>
      </c>
      <c r="I77" s="309">
        <f t="shared" si="12"/>
        <v>1.086719</v>
      </c>
    </row>
    <row r="78" spans="1:9">
      <c r="A78" s="309">
        <f t="shared" si="13"/>
        <v>1.58</v>
      </c>
      <c r="B78" s="309">
        <f t="shared" si="7"/>
        <v>1.4009860000000001</v>
      </c>
      <c r="C78" s="309">
        <f t="shared" si="8"/>
        <v>1.4409860000000001</v>
      </c>
      <c r="D78" s="455">
        <v>0</v>
      </c>
      <c r="E78" s="309"/>
      <c r="F78" s="309">
        <f t="shared" si="10"/>
        <v>1.0533859999999999</v>
      </c>
      <c r="G78" s="309">
        <f t="shared" si="9"/>
        <v>1.093386</v>
      </c>
      <c r="H78" s="309">
        <f t="shared" si="11"/>
        <v>0</v>
      </c>
      <c r="I78" s="309">
        <f t="shared" si="12"/>
        <v>1.093386</v>
      </c>
    </row>
    <row r="79" spans="1:9">
      <c r="A79" s="309">
        <f t="shared" si="13"/>
        <v>1.59</v>
      </c>
      <c r="B79" s="309">
        <f t="shared" si="7"/>
        <v>1.4098530000000002</v>
      </c>
      <c r="C79" s="309">
        <f t="shared" si="8"/>
        <v>1.4498530000000003</v>
      </c>
      <c r="D79" s="455">
        <v>0</v>
      </c>
      <c r="E79" s="309"/>
      <c r="F79" s="309">
        <f t="shared" si="10"/>
        <v>1.0600529999999999</v>
      </c>
      <c r="G79" s="309">
        <f t="shared" si="9"/>
        <v>1.1000529999999999</v>
      </c>
      <c r="H79" s="309">
        <f t="shared" si="11"/>
        <v>0</v>
      </c>
      <c r="I79" s="309">
        <f t="shared" si="12"/>
        <v>1.1000529999999999</v>
      </c>
    </row>
    <row r="80" spans="1:9">
      <c r="A80" s="309">
        <f t="shared" si="13"/>
        <v>1.6</v>
      </c>
      <c r="B80" s="309">
        <f t="shared" si="7"/>
        <v>1.4187200000000002</v>
      </c>
      <c r="C80" s="309">
        <f t="shared" si="8"/>
        <v>1.4587200000000002</v>
      </c>
      <c r="D80" s="455">
        <v>0</v>
      </c>
      <c r="E80" s="309"/>
      <c r="F80" s="309">
        <f t="shared" si="10"/>
        <v>1.0667199999999999</v>
      </c>
      <c r="G80" s="309">
        <f t="shared" si="9"/>
        <v>1.1067199999999999</v>
      </c>
      <c r="H80" s="309">
        <f t="shared" si="11"/>
        <v>0</v>
      </c>
      <c r="I80" s="309">
        <f t="shared" si="12"/>
        <v>1.1067199999999999</v>
      </c>
    </row>
    <row r="81" spans="1:9">
      <c r="A81" s="309">
        <f t="shared" si="13"/>
        <v>1.61</v>
      </c>
      <c r="B81" s="309">
        <f t="shared" si="7"/>
        <v>1.4275870000000002</v>
      </c>
      <c r="C81" s="309">
        <f t="shared" si="8"/>
        <v>1.4675870000000002</v>
      </c>
      <c r="D81" s="455">
        <v>0</v>
      </c>
      <c r="E81" s="309"/>
      <c r="F81" s="309">
        <f t="shared" si="10"/>
        <v>1.0733870000000001</v>
      </c>
      <c r="G81" s="309">
        <f t="shared" si="9"/>
        <v>1.1133870000000001</v>
      </c>
      <c r="H81" s="309">
        <f t="shared" si="11"/>
        <v>0</v>
      </c>
      <c r="I81" s="309">
        <f t="shared" si="12"/>
        <v>1.1133870000000001</v>
      </c>
    </row>
    <row r="82" spans="1:9">
      <c r="A82" s="309">
        <f t="shared" si="13"/>
        <v>1.62</v>
      </c>
      <c r="B82" s="309">
        <f t="shared" si="7"/>
        <v>1.4364540000000001</v>
      </c>
      <c r="C82" s="309">
        <f t="shared" si="8"/>
        <v>1.4764540000000002</v>
      </c>
      <c r="D82" s="455">
        <v>0</v>
      </c>
      <c r="E82" s="309"/>
      <c r="F82" s="309">
        <f t="shared" si="10"/>
        <v>1.0800540000000001</v>
      </c>
      <c r="G82" s="309">
        <f t="shared" si="9"/>
        <v>1.1200540000000001</v>
      </c>
      <c r="H82" s="309">
        <f t="shared" si="11"/>
        <v>0</v>
      </c>
      <c r="I82" s="309">
        <f t="shared" si="12"/>
        <v>1.1200540000000001</v>
      </c>
    </row>
    <row r="83" spans="1:9">
      <c r="A83" s="309">
        <f t="shared" si="13"/>
        <v>1.6300000000000001</v>
      </c>
      <c r="B83" s="309">
        <f t="shared" si="7"/>
        <v>1.4453210000000001</v>
      </c>
      <c r="C83" s="309">
        <f t="shared" si="8"/>
        <v>1.4853210000000001</v>
      </c>
      <c r="D83" s="455">
        <v>0</v>
      </c>
      <c r="E83" s="309"/>
      <c r="F83" s="309">
        <f t="shared" si="10"/>
        <v>1.086721</v>
      </c>
      <c r="G83" s="309">
        <f t="shared" si="9"/>
        <v>1.1267210000000001</v>
      </c>
      <c r="H83" s="309">
        <f t="shared" si="11"/>
        <v>0</v>
      </c>
      <c r="I83" s="309">
        <f t="shared" si="12"/>
        <v>1.1267210000000001</v>
      </c>
    </row>
    <row r="84" spans="1:9">
      <c r="A84" s="309">
        <f t="shared" si="13"/>
        <v>1.6400000000000001</v>
      </c>
      <c r="B84" s="309">
        <f t="shared" si="7"/>
        <v>1.4541880000000003</v>
      </c>
      <c r="C84" s="309">
        <f t="shared" si="8"/>
        <v>1.4941880000000003</v>
      </c>
      <c r="D84" s="455">
        <v>0</v>
      </c>
      <c r="E84" s="309"/>
      <c r="F84" s="309">
        <f t="shared" si="10"/>
        <v>1.093388</v>
      </c>
      <c r="G84" s="309">
        <f t="shared" si="9"/>
        <v>1.1333880000000001</v>
      </c>
      <c r="H84" s="309">
        <f t="shared" si="11"/>
        <v>0</v>
      </c>
      <c r="I84" s="309">
        <f t="shared" si="12"/>
        <v>1.1333880000000001</v>
      </c>
    </row>
    <row r="85" spans="1:9">
      <c r="A85" s="309">
        <f t="shared" si="13"/>
        <v>1.6500000000000001</v>
      </c>
      <c r="B85" s="309">
        <f t="shared" si="7"/>
        <v>1.4630550000000002</v>
      </c>
      <c r="C85" s="309">
        <f t="shared" si="8"/>
        <v>1.5030550000000003</v>
      </c>
      <c r="D85" s="455">
        <v>0</v>
      </c>
      <c r="E85" s="309"/>
      <c r="F85" s="309">
        <f t="shared" si="10"/>
        <v>1.100055</v>
      </c>
      <c r="G85" s="309">
        <f t="shared" si="9"/>
        <v>1.140055</v>
      </c>
      <c r="H85" s="309">
        <f t="shared" si="11"/>
        <v>0</v>
      </c>
      <c r="I85" s="309">
        <f t="shared" si="12"/>
        <v>1.140055</v>
      </c>
    </row>
    <row r="86" spans="1:9">
      <c r="A86" s="309">
        <f t="shared" si="13"/>
        <v>1.6600000000000001</v>
      </c>
      <c r="B86" s="309">
        <f t="shared" si="7"/>
        <v>1.4719220000000002</v>
      </c>
      <c r="C86" s="309">
        <f t="shared" si="8"/>
        <v>1.5119220000000002</v>
      </c>
      <c r="D86" s="455">
        <v>0</v>
      </c>
      <c r="E86" s="309"/>
      <c r="F86" s="309">
        <f t="shared" si="10"/>
        <v>1.106722</v>
      </c>
      <c r="G86" s="309">
        <f t="shared" si="9"/>
        <v>1.146722</v>
      </c>
      <c r="H86" s="309">
        <f t="shared" si="11"/>
        <v>0</v>
      </c>
      <c r="I86" s="309">
        <f t="shared" si="12"/>
        <v>1.146722</v>
      </c>
    </row>
    <row r="87" spans="1:9">
      <c r="A87" s="309">
        <f t="shared" si="13"/>
        <v>1.6700000000000002</v>
      </c>
      <c r="B87" s="309">
        <f t="shared" si="7"/>
        <v>1.4807890000000001</v>
      </c>
      <c r="C87" s="309">
        <f t="shared" si="8"/>
        <v>1.5207890000000002</v>
      </c>
      <c r="D87" s="455">
        <v>0</v>
      </c>
      <c r="E87" s="309"/>
      <c r="F87" s="309">
        <f t="shared" si="10"/>
        <v>1.113389</v>
      </c>
      <c r="G87" s="309">
        <f t="shared" si="9"/>
        <v>1.153389</v>
      </c>
      <c r="H87" s="309">
        <f t="shared" si="11"/>
        <v>0</v>
      </c>
      <c r="I87" s="309">
        <f t="shared" si="12"/>
        <v>1.153389</v>
      </c>
    </row>
    <row r="88" spans="1:9">
      <c r="A88" s="309">
        <f t="shared" si="13"/>
        <v>1.6800000000000002</v>
      </c>
      <c r="B88" s="309">
        <f t="shared" si="7"/>
        <v>1.4896560000000003</v>
      </c>
      <c r="C88" s="309">
        <f t="shared" si="8"/>
        <v>1.5296560000000003</v>
      </c>
      <c r="D88" s="455">
        <v>0</v>
      </c>
      <c r="E88" s="309"/>
      <c r="F88" s="309">
        <f t="shared" si="10"/>
        <v>1.1200559999999999</v>
      </c>
      <c r="G88" s="309">
        <f t="shared" si="9"/>
        <v>1.160056</v>
      </c>
      <c r="H88" s="309">
        <f t="shared" si="11"/>
        <v>0</v>
      </c>
      <c r="I88" s="309">
        <f t="shared" si="12"/>
        <v>1.160056</v>
      </c>
    </row>
    <row r="89" spans="1:9">
      <c r="A89" s="309">
        <f t="shared" si="13"/>
        <v>1.6900000000000002</v>
      </c>
      <c r="B89" s="309">
        <f t="shared" si="7"/>
        <v>1.4985230000000003</v>
      </c>
      <c r="C89" s="309">
        <f t="shared" si="8"/>
        <v>1.5385230000000003</v>
      </c>
      <c r="D89" s="455">
        <v>0</v>
      </c>
      <c r="E89" s="309"/>
      <c r="F89" s="309">
        <f t="shared" si="10"/>
        <v>1.1267230000000001</v>
      </c>
      <c r="G89" s="309">
        <f t="shared" si="9"/>
        <v>1.1667230000000002</v>
      </c>
      <c r="H89" s="309">
        <f t="shared" si="11"/>
        <v>0</v>
      </c>
      <c r="I89" s="309">
        <f t="shared" si="12"/>
        <v>1.1667230000000002</v>
      </c>
    </row>
    <row r="90" spans="1:9">
      <c r="A90" s="309">
        <f t="shared" si="13"/>
        <v>1.7000000000000002</v>
      </c>
      <c r="B90" s="309">
        <f t="shared" si="7"/>
        <v>1.5073900000000002</v>
      </c>
      <c r="C90" s="309">
        <f t="shared" si="8"/>
        <v>1.5473900000000003</v>
      </c>
      <c r="D90" s="455">
        <v>0</v>
      </c>
      <c r="E90" s="309"/>
      <c r="F90" s="309">
        <f t="shared" si="10"/>
        <v>1.1333900000000001</v>
      </c>
      <c r="G90" s="309">
        <f t="shared" si="9"/>
        <v>1.1733900000000002</v>
      </c>
      <c r="H90" s="309">
        <f t="shared" si="11"/>
        <v>0</v>
      </c>
      <c r="I90" s="309">
        <f t="shared" si="12"/>
        <v>1.1733900000000002</v>
      </c>
    </row>
    <row r="91" spans="1:9">
      <c r="A91" s="309">
        <f t="shared" si="13"/>
        <v>1.7100000000000002</v>
      </c>
      <c r="B91" s="309">
        <f t="shared" si="7"/>
        <v>1.5162570000000002</v>
      </c>
      <c r="C91" s="309">
        <f t="shared" si="8"/>
        <v>1.5562570000000002</v>
      </c>
      <c r="D91" s="455">
        <v>0</v>
      </c>
      <c r="E91" s="309"/>
      <c r="F91" s="309">
        <f t="shared" si="10"/>
        <v>1.1400570000000001</v>
      </c>
      <c r="G91" s="309">
        <f t="shared" si="9"/>
        <v>1.1800570000000001</v>
      </c>
      <c r="H91" s="309">
        <f t="shared" si="11"/>
        <v>0</v>
      </c>
      <c r="I91" s="309">
        <f t="shared" si="12"/>
        <v>1.1800570000000001</v>
      </c>
    </row>
    <row r="92" spans="1:9">
      <c r="A92" s="309">
        <f t="shared" si="13"/>
        <v>1.7200000000000002</v>
      </c>
      <c r="B92" s="309">
        <f t="shared" si="7"/>
        <v>1.5251240000000001</v>
      </c>
      <c r="C92" s="309">
        <f t="shared" si="8"/>
        <v>1.5651240000000002</v>
      </c>
      <c r="D92" s="455">
        <v>0</v>
      </c>
      <c r="E92" s="309"/>
      <c r="F92" s="309">
        <f t="shared" si="10"/>
        <v>1.1467240000000001</v>
      </c>
      <c r="G92" s="309">
        <f t="shared" si="9"/>
        <v>1.1867240000000001</v>
      </c>
      <c r="H92" s="309">
        <f t="shared" si="11"/>
        <v>0</v>
      </c>
      <c r="I92" s="309">
        <f t="shared" si="12"/>
        <v>1.1867240000000001</v>
      </c>
    </row>
    <row r="93" spans="1:9">
      <c r="A93" s="309">
        <f t="shared" si="13"/>
        <v>1.7300000000000002</v>
      </c>
      <c r="B93" s="309">
        <f t="shared" si="7"/>
        <v>1.5339910000000003</v>
      </c>
      <c r="C93" s="309">
        <f t="shared" si="8"/>
        <v>1.5739910000000004</v>
      </c>
      <c r="D93" s="455">
        <v>0</v>
      </c>
      <c r="E93" s="309"/>
      <c r="F93" s="309">
        <f t="shared" si="10"/>
        <v>1.1533910000000001</v>
      </c>
      <c r="G93" s="309">
        <f t="shared" si="9"/>
        <v>1.1933910000000001</v>
      </c>
      <c r="H93" s="309">
        <f t="shared" si="11"/>
        <v>0</v>
      </c>
      <c r="I93" s="309">
        <f t="shared" si="12"/>
        <v>1.1933910000000001</v>
      </c>
    </row>
    <row r="94" spans="1:9">
      <c r="A94" s="309">
        <f t="shared" si="13"/>
        <v>1.7400000000000002</v>
      </c>
      <c r="B94" s="309">
        <f t="shared" si="7"/>
        <v>1.5428580000000003</v>
      </c>
      <c r="C94" s="309">
        <f t="shared" si="8"/>
        <v>1.5828580000000003</v>
      </c>
      <c r="D94" s="455">
        <v>0</v>
      </c>
      <c r="E94" s="309"/>
      <c r="F94" s="309">
        <f t="shared" si="10"/>
        <v>1.160058</v>
      </c>
      <c r="G94" s="309">
        <f t="shared" si="9"/>
        <v>1.2000580000000001</v>
      </c>
      <c r="H94" s="309">
        <f t="shared" si="11"/>
        <v>0</v>
      </c>
      <c r="I94" s="309">
        <f t="shared" si="12"/>
        <v>1.2000580000000001</v>
      </c>
    </row>
    <row r="95" spans="1:9">
      <c r="A95" s="309">
        <f t="shared" si="13"/>
        <v>1.7500000000000002</v>
      </c>
      <c r="B95" s="309">
        <f t="shared" si="7"/>
        <v>1.5517250000000002</v>
      </c>
      <c r="C95" s="309">
        <f t="shared" si="8"/>
        <v>1.5917250000000003</v>
      </c>
      <c r="D95" s="455">
        <v>0</v>
      </c>
      <c r="E95" s="309"/>
      <c r="F95" s="309">
        <f t="shared" si="10"/>
        <v>1.166725</v>
      </c>
      <c r="G95" s="309">
        <f t="shared" si="9"/>
        <v>1.206725</v>
      </c>
      <c r="H95" s="309">
        <f t="shared" si="11"/>
        <v>0</v>
      </c>
      <c r="I95" s="309">
        <f t="shared" si="12"/>
        <v>1.206725</v>
      </c>
    </row>
    <row r="96" spans="1:9">
      <c r="A96" s="309">
        <f t="shared" si="13"/>
        <v>1.7600000000000002</v>
      </c>
      <c r="B96" s="309">
        <f t="shared" si="7"/>
        <v>1.5605920000000002</v>
      </c>
      <c r="C96" s="309">
        <f t="shared" si="8"/>
        <v>1.6005920000000002</v>
      </c>
      <c r="D96" s="455">
        <v>0</v>
      </c>
      <c r="E96" s="309"/>
      <c r="F96" s="309">
        <f t="shared" si="10"/>
        <v>1.173392</v>
      </c>
      <c r="G96" s="309">
        <f t="shared" si="9"/>
        <v>1.213392</v>
      </c>
      <c r="H96" s="309">
        <f t="shared" si="11"/>
        <v>0</v>
      </c>
      <c r="I96" s="309">
        <f t="shared" si="12"/>
        <v>1.213392</v>
      </c>
    </row>
    <row r="97" spans="1:9">
      <c r="A97" s="309">
        <f t="shared" si="13"/>
        <v>1.7700000000000002</v>
      </c>
      <c r="B97" s="309">
        <f t="shared" si="7"/>
        <v>1.5694590000000004</v>
      </c>
      <c r="C97" s="309">
        <f t="shared" si="8"/>
        <v>1.6094590000000004</v>
      </c>
      <c r="D97" s="455">
        <v>0</v>
      </c>
      <c r="E97" s="309"/>
      <c r="F97" s="309">
        <f t="shared" si="10"/>
        <v>1.1800590000000002</v>
      </c>
      <c r="G97" s="309">
        <f t="shared" si="9"/>
        <v>1.2200590000000002</v>
      </c>
      <c r="H97" s="309">
        <f t="shared" si="11"/>
        <v>0</v>
      </c>
      <c r="I97" s="309">
        <f t="shared" si="12"/>
        <v>1.2200590000000002</v>
      </c>
    </row>
    <row r="98" spans="1:9">
      <c r="A98" s="309">
        <f t="shared" si="13"/>
        <v>1.7800000000000002</v>
      </c>
      <c r="B98" s="309">
        <f t="shared" si="7"/>
        <v>1.5783260000000003</v>
      </c>
      <c r="C98" s="309">
        <f t="shared" si="8"/>
        <v>1.6183260000000004</v>
      </c>
      <c r="D98" s="455">
        <v>0</v>
      </c>
      <c r="E98" s="309"/>
      <c r="F98" s="309">
        <f t="shared" si="10"/>
        <v>1.1867260000000002</v>
      </c>
      <c r="G98" s="309">
        <f t="shared" si="9"/>
        <v>1.2267260000000002</v>
      </c>
      <c r="H98" s="309">
        <f t="shared" si="11"/>
        <v>0</v>
      </c>
      <c r="I98" s="309">
        <f t="shared" si="12"/>
        <v>1.2267260000000002</v>
      </c>
    </row>
    <row r="99" spans="1:9">
      <c r="A99" s="309">
        <f t="shared" si="13"/>
        <v>1.7900000000000003</v>
      </c>
      <c r="B99" s="309">
        <f t="shared" si="7"/>
        <v>1.5871930000000003</v>
      </c>
      <c r="C99" s="309">
        <f t="shared" si="8"/>
        <v>1.6271930000000003</v>
      </c>
      <c r="D99" s="455">
        <v>0</v>
      </c>
      <c r="E99" s="309"/>
      <c r="F99" s="309">
        <f t="shared" si="10"/>
        <v>1.1933930000000001</v>
      </c>
      <c r="G99" s="309">
        <f t="shared" si="9"/>
        <v>1.2333930000000002</v>
      </c>
      <c r="H99" s="309">
        <f t="shared" si="11"/>
        <v>0</v>
      </c>
      <c r="I99" s="309">
        <f t="shared" si="12"/>
        <v>1.2333930000000002</v>
      </c>
    </row>
    <row r="100" spans="1:9">
      <c r="A100" s="309">
        <f t="shared" si="13"/>
        <v>1.8000000000000003</v>
      </c>
      <c r="B100" s="309">
        <f t="shared" si="7"/>
        <v>1.5960600000000003</v>
      </c>
      <c r="C100" s="309">
        <f t="shared" si="8"/>
        <v>1.6360600000000003</v>
      </c>
      <c r="D100" s="455">
        <v>0</v>
      </c>
      <c r="E100" s="309"/>
      <c r="F100" s="309">
        <f t="shared" si="10"/>
        <v>1.2000600000000001</v>
      </c>
      <c r="G100" s="309">
        <f t="shared" si="9"/>
        <v>1.2400600000000002</v>
      </c>
      <c r="H100" s="309">
        <f t="shared" si="11"/>
        <v>0</v>
      </c>
      <c r="I100" s="309">
        <f t="shared" si="12"/>
        <v>1.2400600000000002</v>
      </c>
    </row>
    <row r="101" spans="1:9">
      <c r="A101" s="309">
        <f t="shared" si="13"/>
        <v>1.8100000000000003</v>
      </c>
      <c r="B101" s="309">
        <f t="shared" si="7"/>
        <v>1.6049270000000002</v>
      </c>
      <c r="C101" s="309">
        <f t="shared" si="8"/>
        <v>1.6449270000000003</v>
      </c>
      <c r="D101" s="455">
        <v>0</v>
      </c>
      <c r="E101" s="309"/>
      <c r="F101" s="309">
        <f t="shared" si="10"/>
        <v>1.2067270000000001</v>
      </c>
      <c r="G101" s="309">
        <f t="shared" si="9"/>
        <v>1.2467270000000001</v>
      </c>
      <c r="H101" s="309">
        <f t="shared" si="11"/>
        <v>0</v>
      </c>
      <c r="I101" s="309">
        <f t="shared" si="12"/>
        <v>1.2467270000000001</v>
      </c>
    </row>
    <row r="102" spans="1:9">
      <c r="A102" s="309">
        <f t="shared" si="13"/>
        <v>1.8200000000000003</v>
      </c>
      <c r="B102" s="309">
        <f t="shared" si="7"/>
        <v>1.6137940000000004</v>
      </c>
      <c r="C102" s="309">
        <f t="shared" si="8"/>
        <v>1.6537940000000004</v>
      </c>
      <c r="D102" s="455">
        <v>0</v>
      </c>
      <c r="E102" s="309"/>
      <c r="F102" s="309">
        <f t="shared" si="10"/>
        <v>1.2133940000000001</v>
      </c>
      <c r="G102" s="309">
        <f t="shared" si="9"/>
        <v>1.2533940000000001</v>
      </c>
      <c r="H102" s="309">
        <f t="shared" si="11"/>
        <v>0</v>
      </c>
      <c r="I102" s="309">
        <f t="shared" si="12"/>
        <v>1.2533940000000001</v>
      </c>
    </row>
    <row r="103" spans="1:9">
      <c r="A103" s="309">
        <f t="shared" si="13"/>
        <v>1.8300000000000003</v>
      </c>
      <c r="B103" s="309">
        <f t="shared" si="7"/>
        <v>1.6226610000000004</v>
      </c>
      <c r="C103" s="309">
        <f t="shared" si="8"/>
        <v>1.6626610000000004</v>
      </c>
      <c r="D103" s="455">
        <v>0</v>
      </c>
      <c r="E103" s="309"/>
      <c r="F103" s="309">
        <f t="shared" si="10"/>
        <v>1.2200610000000001</v>
      </c>
      <c r="G103" s="309">
        <f t="shared" si="9"/>
        <v>1.2600610000000001</v>
      </c>
      <c r="H103" s="309">
        <f t="shared" si="11"/>
        <v>0</v>
      </c>
      <c r="I103" s="309">
        <f t="shared" si="12"/>
        <v>1.2600610000000001</v>
      </c>
    </row>
    <row r="104" spans="1:9">
      <c r="A104" s="309">
        <f t="shared" si="13"/>
        <v>1.8400000000000003</v>
      </c>
      <c r="B104" s="309">
        <f t="shared" si="7"/>
        <v>1.6315280000000003</v>
      </c>
      <c r="C104" s="309">
        <f t="shared" si="8"/>
        <v>1.6715280000000003</v>
      </c>
      <c r="D104" s="455">
        <v>0</v>
      </c>
      <c r="E104" s="309"/>
      <c r="F104" s="309">
        <f t="shared" si="10"/>
        <v>1.226728</v>
      </c>
      <c r="G104" s="309">
        <f t="shared" si="9"/>
        <v>1.2667280000000001</v>
      </c>
      <c r="H104" s="309">
        <f t="shared" si="11"/>
        <v>0</v>
      </c>
      <c r="I104" s="309">
        <f t="shared" si="12"/>
        <v>1.2667280000000001</v>
      </c>
    </row>
    <row r="105" spans="1:9">
      <c r="A105" s="309">
        <f t="shared" si="13"/>
        <v>1.8500000000000003</v>
      </c>
      <c r="B105" s="309">
        <f t="shared" si="7"/>
        <v>1.6403950000000003</v>
      </c>
      <c r="C105" s="309">
        <f t="shared" si="8"/>
        <v>1.6803950000000003</v>
      </c>
      <c r="D105" s="455">
        <v>0</v>
      </c>
      <c r="E105" s="309"/>
      <c r="F105" s="309">
        <f t="shared" si="10"/>
        <v>1.2333950000000002</v>
      </c>
      <c r="G105" s="309">
        <f t="shared" si="9"/>
        <v>1.2733950000000003</v>
      </c>
      <c r="H105" s="309">
        <f t="shared" si="11"/>
        <v>0</v>
      </c>
      <c r="I105" s="309">
        <f t="shared" si="12"/>
        <v>1.2733950000000003</v>
      </c>
    </row>
    <row r="106" spans="1:9">
      <c r="A106" s="309">
        <f t="shared" si="13"/>
        <v>1.8600000000000003</v>
      </c>
      <c r="B106" s="309">
        <f t="shared" si="7"/>
        <v>1.6492620000000004</v>
      </c>
      <c r="C106" s="309">
        <f t="shared" si="8"/>
        <v>1.6892620000000005</v>
      </c>
      <c r="D106" s="455">
        <v>0</v>
      </c>
      <c r="E106" s="309"/>
      <c r="F106" s="309">
        <f t="shared" si="10"/>
        <v>1.2400620000000002</v>
      </c>
      <c r="G106" s="309">
        <f t="shared" si="9"/>
        <v>1.2800620000000003</v>
      </c>
      <c r="H106" s="309">
        <f t="shared" si="11"/>
        <v>0</v>
      </c>
      <c r="I106" s="309">
        <f t="shared" si="12"/>
        <v>1.2800620000000003</v>
      </c>
    </row>
    <row r="107" spans="1:9">
      <c r="A107" s="309">
        <f t="shared" si="13"/>
        <v>1.8700000000000003</v>
      </c>
      <c r="B107" s="309">
        <f t="shared" si="7"/>
        <v>1.6581290000000004</v>
      </c>
      <c r="C107" s="309">
        <f t="shared" si="8"/>
        <v>1.6981290000000004</v>
      </c>
      <c r="D107" s="455">
        <v>0</v>
      </c>
      <c r="E107" s="309"/>
      <c r="F107" s="309">
        <f t="shared" si="10"/>
        <v>1.2467290000000002</v>
      </c>
      <c r="G107" s="309">
        <f t="shared" si="9"/>
        <v>1.2867290000000002</v>
      </c>
      <c r="H107" s="309">
        <f t="shared" si="11"/>
        <v>0</v>
      </c>
      <c r="I107" s="309">
        <f t="shared" si="12"/>
        <v>1.2867290000000002</v>
      </c>
    </row>
    <row r="108" spans="1:9">
      <c r="A108" s="309">
        <f t="shared" si="13"/>
        <v>1.8800000000000003</v>
      </c>
      <c r="B108" s="309">
        <f t="shared" si="7"/>
        <v>1.6669960000000004</v>
      </c>
      <c r="C108" s="309">
        <f t="shared" si="8"/>
        <v>1.7069960000000004</v>
      </c>
      <c r="D108" s="455">
        <v>0</v>
      </c>
      <c r="E108" s="309"/>
      <c r="F108" s="309">
        <f t="shared" si="10"/>
        <v>1.2533960000000002</v>
      </c>
      <c r="G108" s="309">
        <f t="shared" si="9"/>
        <v>1.2933960000000002</v>
      </c>
      <c r="H108" s="309">
        <f t="shared" si="11"/>
        <v>0</v>
      </c>
      <c r="I108" s="309">
        <f t="shared" si="12"/>
        <v>1.2933960000000002</v>
      </c>
    </row>
    <row r="109" spans="1:9">
      <c r="A109" s="309">
        <f t="shared" si="13"/>
        <v>1.8900000000000003</v>
      </c>
      <c r="B109" s="309">
        <f t="shared" si="7"/>
        <v>1.6758630000000003</v>
      </c>
      <c r="C109" s="309">
        <f t="shared" si="8"/>
        <v>1.7158630000000004</v>
      </c>
      <c r="D109" s="455">
        <v>0</v>
      </c>
      <c r="E109" s="309"/>
      <c r="F109" s="309">
        <f t="shared" si="10"/>
        <v>1.2600630000000002</v>
      </c>
      <c r="G109" s="309">
        <f t="shared" si="9"/>
        <v>1.3000630000000002</v>
      </c>
      <c r="H109" s="309">
        <f t="shared" si="11"/>
        <v>0</v>
      </c>
      <c r="I109" s="309">
        <f t="shared" si="12"/>
        <v>1.3000630000000002</v>
      </c>
    </row>
    <row r="110" spans="1:9">
      <c r="A110" s="309">
        <f t="shared" si="13"/>
        <v>1.9000000000000004</v>
      </c>
      <c r="B110" s="309">
        <f t="shared" si="7"/>
        <v>1.6847300000000005</v>
      </c>
      <c r="C110" s="309">
        <f t="shared" si="8"/>
        <v>1.7247300000000005</v>
      </c>
      <c r="D110" s="455">
        <v>0</v>
      </c>
      <c r="E110" s="309"/>
      <c r="F110" s="309">
        <f t="shared" si="10"/>
        <v>1.2667300000000001</v>
      </c>
      <c r="G110" s="309">
        <f t="shared" si="9"/>
        <v>1.3067300000000002</v>
      </c>
      <c r="H110" s="309">
        <f t="shared" si="11"/>
        <v>0</v>
      </c>
      <c r="I110" s="309">
        <f t="shared" si="12"/>
        <v>1.3067300000000002</v>
      </c>
    </row>
    <row r="111" spans="1:9">
      <c r="A111" s="309">
        <f t="shared" si="13"/>
        <v>1.9100000000000004</v>
      </c>
      <c r="B111" s="309">
        <f t="shared" si="7"/>
        <v>1.6935970000000005</v>
      </c>
      <c r="C111" s="309">
        <f t="shared" si="8"/>
        <v>1.7335970000000005</v>
      </c>
      <c r="D111" s="455">
        <v>0</v>
      </c>
      <c r="E111" s="309"/>
      <c r="F111" s="309">
        <f t="shared" si="10"/>
        <v>1.2733970000000001</v>
      </c>
      <c r="G111" s="309">
        <f t="shared" si="9"/>
        <v>1.3133970000000001</v>
      </c>
      <c r="H111" s="309">
        <f t="shared" si="11"/>
        <v>0</v>
      </c>
      <c r="I111" s="309">
        <f t="shared" si="12"/>
        <v>1.3133970000000001</v>
      </c>
    </row>
    <row r="112" spans="1:9">
      <c r="A112" s="309">
        <f t="shared" si="13"/>
        <v>1.9200000000000004</v>
      </c>
      <c r="B112" s="309">
        <f t="shared" si="7"/>
        <v>1.7024640000000004</v>
      </c>
      <c r="C112" s="309">
        <f t="shared" si="8"/>
        <v>1.7424640000000005</v>
      </c>
      <c r="D112" s="455">
        <v>0</v>
      </c>
      <c r="E112" s="309"/>
      <c r="F112" s="309">
        <f t="shared" si="10"/>
        <v>1.2800640000000001</v>
      </c>
      <c r="G112" s="309">
        <f t="shared" si="9"/>
        <v>1.3200640000000001</v>
      </c>
      <c r="H112" s="309">
        <f t="shared" si="11"/>
        <v>0</v>
      </c>
      <c r="I112" s="309">
        <f t="shared" si="12"/>
        <v>1.3200640000000001</v>
      </c>
    </row>
    <row r="113" spans="1:9">
      <c r="A113" s="309">
        <f t="shared" si="13"/>
        <v>1.9300000000000004</v>
      </c>
      <c r="B113" s="309">
        <f t="shared" si="7"/>
        <v>1.7113310000000004</v>
      </c>
      <c r="C113" s="309">
        <f t="shared" si="8"/>
        <v>1.7513310000000004</v>
      </c>
      <c r="D113" s="455">
        <v>0</v>
      </c>
      <c r="E113" s="309"/>
      <c r="F113" s="309">
        <f t="shared" si="10"/>
        <v>1.2867310000000001</v>
      </c>
      <c r="G113" s="309">
        <f t="shared" si="9"/>
        <v>1.3267310000000001</v>
      </c>
      <c r="H113" s="309">
        <f t="shared" si="11"/>
        <v>0</v>
      </c>
      <c r="I113" s="309">
        <f t="shared" si="12"/>
        <v>1.3267310000000001</v>
      </c>
    </row>
    <row r="114" spans="1:9">
      <c r="A114" s="309">
        <f t="shared" si="13"/>
        <v>1.9400000000000004</v>
      </c>
      <c r="B114" s="309">
        <f t="shared" si="7"/>
        <v>1.7201980000000003</v>
      </c>
      <c r="C114" s="309">
        <f t="shared" si="8"/>
        <v>1.7601980000000004</v>
      </c>
      <c r="D114" s="455">
        <v>0</v>
      </c>
      <c r="E114" s="309"/>
      <c r="F114" s="309">
        <f t="shared" si="10"/>
        <v>1.2933980000000003</v>
      </c>
      <c r="G114" s="309">
        <f t="shared" si="9"/>
        <v>1.3333980000000003</v>
      </c>
      <c r="H114" s="309">
        <f t="shared" si="11"/>
        <v>0</v>
      </c>
      <c r="I114" s="309">
        <f t="shared" si="12"/>
        <v>1.3333980000000003</v>
      </c>
    </row>
    <row r="115" spans="1:9">
      <c r="A115" s="309">
        <f t="shared" si="13"/>
        <v>1.9500000000000004</v>
      </c>
      <c r="B115" s="309">
        <f t="shared" si="7"/>
        <v>1.7290650000000005</v>
      </c>
      <c r="C115" s="309">
        <f t="shared" si="8"/>
        <v>1.7690650000000006</v>
      </c>
      <c r="D115" s="455">
        <v>0</v>
      </c>
      <c r="E115" s="309"/>
      <c r="F115" s="309">
        <f t="shared" si="10"/>
        <v>1.3000650000000002</v>
      </c>
      <c r="G115" s="309">
        <f t="shared" si="9"/>
        <v>1.3400650000000003</v>
      </c>
      <c r="H115" s="309">
        <f t="shared" si="11"/>
        <v>0</v>
      </c>
      <c r="I115" s="309">
        <f t="shared" si="12"/>
        <v>1.3400650000000003</v>
      </c>
    </row>
    <row r="116" spans="1:9">
      <c r="A116" s="309">
        <f t="shared" si="13"/>
        <v>1.9600000000000004</v>
      </c>
      <c r="B116" s="309">
        <f t="shared" si="7"/>
        <v>1.7379320000000005</v>
      </c>
      <c r="C116" s="309">
        <f t="shared" si="8"/>
        <v>1.7779320000000005</v>
      </c>
      <c r="D116" s="455">
        <v>0</v>
      </c>
      <c r="E116" s="309"/>
      <c r="F116" s="309">
        <f t="shared" si="10"/>
        <v>1.3067320000000002</v>
      </c>
      <c r="G116" s="309">
        <f t="shared" si="9"/>
        <v>1.3467320000000003</v>
      </c>
      <c r="H116" s="309">
        <f t="shared" si="11"/>
        <v>0</v>
      </c>
      <c r="I116" s="309">
        <f t="shared" si="12"/>
        <v>1.3467320000000003</v>
      </c>
    </row>
    <row r="117" spans="1:9">
      <c r="A117" s="309">
        <f t="shared" si="13"/>
        <v>1.9700000000000004</v>
      </c>
      <c r="B117" s="309">
        <f t="shared" si="7"/>
        <v>1.7467990000000004</v>
      </c>
      <c r="C117" s="309">
        <f t="shared" si="8"/>
        <v>1.7867990000000005</v>
      </c>
      <c r="D117" s="455">
        <v>0</v>
      </c>
      <c r="E117" s="309"/>
      <c r="F117" s="309">
        <f t="shared" si="10"/>
        <v>1.3133990000000002</v>
      </c>
      <c r="G117" s="309">
        <f t="shared" si="9"/>
        <v>1.3533990000000002</v>
      </c>
      <c r="H117" s="309">
        <f t="shared" si="11"/>
        <v>0</v>
      </c>
      <c r="I117" s="309">
        <f t="shared" si="12"/>
        <v>1.3533990000000002</v>
      </c>
    </row>
    <row r="118" spans="1:9">
      <c r="A118" s="309">
        <f t="shared" si="13"/>
        <v>1.9800000000000004</v>
      </c>
      <c r="B118" s="309">
        <f t="shared" si="7"/>
        <v>1.7556660000000004</v>
      </c>
      <c r="C118" s="309">
        <f t="shared" si="8"/>
        <v>1.7956660000000004</v>
      </c>
      <c r="D118" s="455">
        <v>0</v>
      </c>
      <c r="E118" s="309"/>
      <c r="F118" s="309">
        <f t="shared" si="10"/>
        <v>1.3200660000000002</v>
      </c>
      <c r="G118" s="309">
        <f t="shared" si="9"/>
        <v>1.3600660000000002</v>
      </c>
      <c r="H118" s="309">
        <f t="shared" si="11"/>
        <v>0</v>
      </c>
      <c r="I118" s="309">
        <f t="shared" si="12"/>
        <v>1.3600660000000002</v>
      </c>
    </row>
    <row r="119" spans="1:9">
      <c r="A119" s="309">
        <f t="shared" si="13"/>
        <v>1.9900000000000004</v>
      </c>
      <c r="B119" s="309">
        <f t="shared" si="7"/>
        <v>1.7645330000000006</v>
      </c>
      <c r="C119" s="309">
        <f t="shared" si="8"/>
        <v>1.8045330000000006</v>
      </c>
      <c r="D119" s="455">
        <v>0</v>
      </c>
      <c r="E119" s="309"/>
      <c r="F119" s="309">
        <f t="shared" si="10"/>
        <v>1.3267330000000002</v>
      </c>
      <c r="G119" s="309">
        <f t="shared" si="9"/>
        <v>1.3667330000000002</v>
      </c>
      <c r="H119" s="309">
        <f t="shared" si="11"/>
        <v>0</v>
      </c>
      <c r="I119" s="309">
        <f t="shared" si="12"/>
        <v>1.3667330000000002</v>
      </c>
    </row>
    <row r="120" spans="1:9">
      <c r="A120" s="454"/>
      <c r="B120" s="454"/>
      <c r="C120" s="454"/>
      <c r="D120" s="454"/>
      <c r="E120" s="454"/>
      <c r="F120" s="454"/>
      <c r="G120" s="454"/>
      <c r="H120" s="454"/>
      <c r="I120" s="187"/>
    </row>
    <row r="121" spans="1:9">
      <c r="A121" s="454"/>
      <c r="B121" s="454"/>
      <c r="C121" s="454"/>
      <c r="D121" s="454"/>
      <c r="E121" s="454"/>
      <c r="F121" s="454"/>
      <c r="G121" s="454"/>
      <c r="H121" s="454"/>
      <c r="I121" s="187"/>
    </row>
    <row r="122" spans="1:9" s="57" customFormat="1">
      <c r="A122" s="57" t="s">
        <v>1661</v>
      </c>
    </row>
    <row r="123" spans="1:9" s="57" customFormat="1" ht="26.4">
      <c r="G123" s="461" t="s">
        <v>1658</v>
      </c>
      <c r="H123" s="461" t="s">
        <v>1662</v>
      </c>
    </row>
    <row r="124" spans="1:9" s="57" customFormat="1">
      <c r="C124" s="57" t="s">
        <v>3023</v>
      </c>
      <c r="G124" s="463" t="e">
        <f>'Data Entry - SOF'!F67</f>
        <v>#N/A</v>
      </c>
      <c r="H124" s="463" t="e">
        <f>G124</f>
        <v>#N/A</v>
      </c>
    </row>
    <row r="125" spans="1:9" s="57" customFormat="1">
      <c r="C125" s="57" t="s">
        <v>5290</v>
      </c>
      <c r="G125" s="462" t="e">
        <f>G124*0.8867</f>
        <v>#N/A</v>
      </c>
      <c r="H125" s="462" t="e">
        <f>H124*0.6667</f>
        <v>#N/A</v>
      </c>
    </row>
    <row r="126" spans="1:9" s="57" customFormat="1">
      <c r="C126" s="73" t="s">
        <v>1657</v>
      </c>
      <c r="G126" s="460">
        <v>0.17</v>
      </c>
      <c r="H126" s="460">
        <v>0.17</v>
      </c>
    </row>
    <row r="127" spans="1:9" s="57" customFormat="1">
      <c r="C127" s="57" t="s">
        <v>1659</v>
      </c>
      <c r="G127" s="460" t="e">
        <f>G125+G126</f>
        <v>#N/A</v>
      </c>
      <c r="H127" s="460" t="e">
        <f>H125+H126</f>
        <v>#N/A</v>
      </c>
    </row>
    <row r="128" spans="1:9" s="57" customFormat="1"/>
    <row r="129" s="57" customFormat="1"/>
    <row r="130" s="57" customFormat="1"/>
  </sheetData>
  <sheetProtection sheet="1" objects="1" scenarios="1"/>
  <phoneticPr fontId="33" type="noConversion"/>
  <pageMargins left="0.25" right="0.25" top="0.5" bottom="0.5" header="0.5" footer="0.5"/>
  <pageSetup scale="85" orientation="portrait" horizontalDpi="300" verticalDpi="300" r:id="rId1"/>
  <headerFooter alignWithMargins="0">
    <oddFooter>&amp;L&amp;G</oddFooter>
  </headerFooter>
  <rowBreaks count="2" manualBreakCount="2">
    <brk id="49" max="8" man="1"/>
    <brk id="84" max="8" man="1"/>
  </rowBreak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1"/>
  <dimension ref="A1:J20"/>
  <sheetViews>
    <sheetView workbookViewId="0">
      <selection activeCell="G2" sqref="G2"/>
    </sheetView>
  </sheetViews>
  <sheetFormatPr defaultRowHeight="13.2"/>
  <cols>
    <col min="2" max="2" width="9.21875" customWidth="1"/>
    <col min="3" max="3" width="13.44140625" customWidth="1"/>
    <col min="5" max="5" width="16.21875" customWidth="1"/>
    <col min="6" max="6" width="17.77734375" customWidth="1"/>
    <col min="7" max="7" width="15.5546875" customWidth="1"/>
    <col min="8" max="10" width="15.5546875" hidden="1" customWidth="1"/>
  </cols>
  <sheetData>
    <row r="1" spans="1:10">
      <c r="A1" s="27" t="s">
        <v>6151</v>
      </c>
      <c r="C1" s="19">
        <f>'Data Entry - SOF'!C1</f>
        <v>0</v>
      </c>
      <c r="D1" s="19"/>
      <c r="G1" s="107">
        <f>'Data Entry - SOF'!H1</f>
        <v>0</v>
      </c>
    </row>
    <row r="2" spans="1:10">
      <c r="A2" s="27" t="s">
        <v>6152</v>
      </c>
      <c r="C2" s="19" t="str">
        <f>'Data Entry - SOF'!B2</f>
        <v>000-000</v>
      </c>
      <c r="G2" s="107" t="str">
        <f>'Data Entry - SOF'!H2</f>
        <v>Release 09-10; Revised 10/18/11</v>
      </c>
    </row>
    <row r="3" spans="1:10">
      <c r="A3" s="27" t="s">
        <v>6154</v>
      </c>
      <c r="C3" s="115">
        <f ca="1">'Data Entry - SOF'!B3</f>
        <v>45352.58606238426</v>
      </c>
    </row>
    <row r="6" spans="1:10">
      <c r="A6" s="57" t="s">
        <v>2540</v>
      </c>
    </row>
    <row r="8" spans="1:10">
      <c r="F8" s="352" t="s">
        <v>1849</v>
      </c>
      <c r="G8" s="317" t="s">
        <v>1850</v>
      </c>
      <c r="H8" s="245" t="s">
        <v>4559</v>
      </c>
      <c r="I8" s="293" t="s">
        <v>4559</v>
      </c>
    </row>
    <row r="9" spans="1:10">
      <c r="A9" t="s">
        <v>5395</v>
      </c>
      <c r="F9" s="137" t="e">
        <f>'Data Entry - SOF'!F18-'Data Entry - SOF'!F19</f>
        <v>#N/A</v>
      </c>
      <c r="G9" s="175" t="e">
        <f>'Data Entry - SOF'!F18-'Data Entry - SOF'!F19</f>
        <v>#N/A</v>
      </c>
      <c r="H9" s="137" t="e">
        <f>'Data Entry - SOF'!F18-'Data Entry - SOF'!F19</f>
        <v>#N/A</v>
      </c>
      <c r="I9" s="175" t="e">
        <f>H9</f>
        <v>#N/A</v>
      </c>
    </row>
    <row r="10" spans="1:10">
      <c r="A10" t="s">
        <v>5396</v>
      </c>
      <c r="F10" s="137">
        <f>IF(ISNA(MaxTax2!F10),0,MaxTax2!F10)</f>
        <v>0</v>
      </c>
      <c r="G10" s="175">
        <f>IF(ISNA(MaxTax2!F10),0,MaxTax2!F10)</f>
        <v>0</v>
      </c>
      <c r="H10" s="137">
        <f>IF(ISNA(MaxTax2!F10),0,MaxTax2!F10)</f>
        <v>0</v>
      </c>
      <c r="I10" s="175">
        <f>H10</f>
        <v>0</v>
      </c>
    </row>
    <row r="11" spans="1:10">
      <c r="A11" t="s">
        <v>2156</v>
      </c>
      <c r="F11" s="137" t="e">
        <f>F9-F10</f>
        <v>#N/A</v>
      </c>
      <c r="G11" s="175" t="e">
        <f>G9-G10</f>
        <v>#N/A</v>
      </c>
      <c r="H11" s="137" t="e">
        <f>H9-H10</f>
        <v>#N/A</v>
      </c>
      <c r="I11" s="175" t="e">
        <f>I9-I10</f>
        <v>#N/A</v>
      </c>
    </row>
    <row r="12" spans="1:10">
      <c r="A12" t="s">
        <v>2157</v>
      </c>
      <c r="F12" s="137">
        <f>'Data Entry - SOF'!F20</f>
        <v>0</v>
      </c>
      <c r="G12" s="175">
        <f>'Data Entry - SOF'!F20</f>
        <v>0</v>
      </c>
      <c r="H12" s="137">
        <f>'Data Entry - SOF'!F21</f>
        <v>0</v>
      </c>
      <c r="I12" s="175">
        <f>H12</f>
        <v>0</v>
      </c>
      <c r="J12" s="71" t="s">
        <v>2310</v>
      </c>
    </row>
    <row r="13" spans="1:10">
      <c r="A13" t="s">
        <v>2158</v>
      </c>
      <c r="F13" s="353" t="e">
        <f>(F11/F12)*100</f>
        <v>#N/A</v>
      </c>
      <c r="G13" s="355" t="e">
        <f>(G11/G12)*100</f>
        <v>#N/A</v>
      </c>
      <c r="H13" s="353" t="e">
        <f>(H11/H12)*100</f>
        <v>#N/A</v>
      </c>
      <c r="I13" s="355" t="e">
        <f>(I11/I12)*100</f>
        <v>#N/A</v>
      </c>
      <c r="J13" s="71" t="s">
        <v>2310</v>
      </c>
    </row>
    <row r="14" spans="1:10">
      <c r="A14" t="s">
        <v>2671</v>
      </c>
      <c r="F14" s="353">
        <v>0.86</v>
      </c>
      <c r="G14" s="355">
        <v>0.86</v>
      </c>
      <c r="H14" s="353">
        <v>0.86</v>
      </c>
      <c r="I14" s="355">
        <v>0.86</v>
      </c>
      <c r="J14" s="71" t="s">
        <v>2310</v>
      </c>
    </row>
    <row r="15" spans="1:10">
      <c r="A15" t="s">
        <v>2537</v>
      </c>
      <c r="F15" s="353" t="e">
        <f>IF(F13&gt;1.5, 1.5-F14,F13-F14)</f>
        <v>#N/A</v>
      </c>
      <c r="G15" s="355" t="e">
        <f>IF(G13&gt;1.5, 1.5-G14,G13-G14)</f>
        <v>#N/A</v>
      </c>
      <c r="H15" s="353" t="e">
        <f>IF(H13&gt;1.5, 1.5-H14,H13-H14)</f>
        <v>#N/A</v>
      </c>
      <c r="I15" s="355" t="e">
        <f>IF(I13&gt;1.5, 1.5-I14,I13-I14)</f>
        <v>#N/A</v>
      </c>
      <c r="J15" s="71" t="s">
        <v>2310</v>
      </c>
    </row>
    <row r="16" spans="1:10">
      <c r="F16" s="136"/>
      <c r="G16" s="132"/>
      <c r="H16" s="136"/>
      <c r="I16" s="132"/>
    </row>
    <row r="17" spans="1:10" ht="13.8" thickBot="1">
      <c r="A17" t="s">
        <v>2538</v>
      </c>
      <c r="F17" s="354" t="e">
        <f>IF(F13&gt;1.5,(1.5/100)*'Data Entry - SOF'!F62,(F13/100)*'Data Entry - SOF'!F62)</f>
        <v>#N/A</v>
      </c>
      <c r="G17" s="356" t="e">
        <f>IF(G13&gt;1.5,(1.5/100)*'Data Entry - SOF'!H62,(G13/100)*'Data Entry - SOF'!H62)</f>
        <v>#N/A</v>
      </c>
      <c r="H17" s="354" t="e">
        <f>IF(H13&gt;1.5,(1.5/100)*'Data Entry - SOF'!F63,(H13/100)*'Data Entry - SOF'!F63)</f>
        <v>#N/A</v>
      </c>
      <c r="I17" s="356" t="e">
        <f>IF(I13&gt;1.5,(1.5/100)*'Data Entry - SOF'!H63,(I13/100)*'Data Entry - SOF'!H63)</f>
        <v>#N/A</v>
      </c>
      <c r="J17" s="71" t="s">
        <v>2310</v>
      </c>
    </row>
    <row r="18" spans="1:10" ht="13.8" thickTop="1">
      <c r="A18" t="s">
        <v>2539</v>
      </c>
      <c r="H18" s="136"/>
      <c r="I18" s="132"/>
    </row>
    <row r="19" spans="1:10" ht="13.8" thickBot="1">
      <c r="H19" s="354" t="e">
        <f>IF(F13&gt;1.5,(1.5/100)*'Data Entry - SOF'!F63,(F13/100)*'Data Entry - SOF'!F63)</f>
        <v>#N/A</v>
      </c>
      <c r="I19" s="356" t="e">
        <f>IF(G13&gt;1.5,(1.5/100)*'Data Entry - SOF'!H63,(G13/100)*'Data Entry - SOF'!H63)</f>
        <v>#N/A</v>
      </c>
    </row>
    <row r="20" spans="1:10" ht="13.8" thickTop="1"/>
  </sheetData>
  <sheetProtection sheet="1" objects="1" scenarios="1"/>
  <phoneticPr fontId="0" type="noConversion"/>
  <pageMargins left="0.75" right="0.75" top="1" bottom="1" header="0.5" footer="0.5"/>
  <pageSetup scale="90" orientation="portrait" r:id="rId1"/>
  <headerFooter alignWithMargins="0">
    <oddFooter>&amp;L&amp;G</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2">
    <pageSetUpPr fitToPage="1"/>
  </sheetPr>
  <dimension ref="A1:X95"/>
  <sheetViews>
    <sheetView workbookViewId="0">
      <selection activeCell="K2" sqref="K2"/>
    </sheetView>
  </sheetViews>
  <sheetFormatPr defaultRowHeight="13.2"/>
  <cols>
    <col min="6" max="6" width="21.77734375" customWidth="1"/>
    <col min="7" max="7" width="16.5546875" customWidth="1"/>
    <col min="8" max="8" width="16" hidden="1" customWidth="1"/>
    <col min="9" max="10" width="0" hidden="1" customWidth="1"/>
    <col min="11" max="11" width="16.5546875" customWidth="1"/>
    <col min="12" max="12" width="15.5546875" customWidth="1"/>
    <col min="17" max="17" width="16.5546875" customWidth="1"/>
    <col min="24" max="24" width="15" bestFit="1" customWidth="1"/>
  </cols>
  <sheetData>
    <row r="1" spans="1:12">
      <c r="K1" s="134" t="str">
        <f>'SOF0607-HB1'!F1</f>
        <v>HB 1</v>
      </c>
    </row>
    <row r="2" spans="1:12">
      <c r="K2" s="134" t="str">
        <f>'SOF0506-CL'!F2</f>
        <v>Release 09-10; Revised 10/18/11</v>
      </c>
    </row>
    <row r="4" spans="1:12">
      <c r="A4" s="57" t="s">
        <v>2738</v>
      </c>
    </row>
    <row r="5" spans="1:12">
      <c r="A5" s="57" t="s">
        <v>1614</v>
      </c>
    </row>
    <row r="6" spans="1:12">
      <c r="A6" s="57" t="s">
        <v>1220</v>
      </c>
    </row>
    <row r="7" spans="1:12">
      <c r="A7" s="57" t="s">
        <v>1221</v>
      </c>
    </row>
    <row r="8" spans="1:12">
      <c r="A8" s="57"/>
    </row>
    <row r="9" spans="1:12">
      <c r="A9" s="57"/>
      <c r="G9" s="194"/>
      <c r="H9" s="194" t="s">
        <v>5415</v>
      </c>
      <c r="K9" s="317" t="s">
        <v>274</v>
      </c>
      <c r="L9" s="524" t="s">
        <v>1371</v>
      </c>
    </row>
    <row r="10" spans="1:12">
      <c r="G10" s="190" t="s">
        <v>1849</v>
      </c>
      <c r="K10" s="317" t="s">
        <v>1850</v>
      </c>
      <c r="L10" s="524" t="s">
        <v>1850</v>
      </c>
    </row>
    <row r="11" spans="1:12">
      <c r="A11" s="71" t="s">
        <v>5064</v>
      </c>
      <c r="G11" s="192" t="e">
        <f>'SOF0506-CL'!F40</f>
        <v>#N/A</v>
      </c>
      <c r="H11" s="5" t="e">
        <f>'SOF0506-CL'!U40</f>
        <v>#N/A</v>
      </c>
      <c r="K11" s="334" t="e">
        <f>'SOF0607-CL'!F40</f>
        <v>#DIV/0!</v>
      </c>
      <c r="L11" s="536" t="e">
        <f>K11</f>
        <v>#DIV/0!</v>
      </c>
    </row>
    <row r="12" spans="1:12">
      <c r="A12" s="71" t="s">
        <v>5065</v>
      </c>
      <c r="G12" s="192" t="e">
        <f>'SOF0506-CL'!I42</f>
        <v>#N/A</v>
      </c>
      <c r="H12" s="5" t="e">
        <f>'SOF0506-CL'!I42</f>
        <v>#N/A</v>
      </c>
      <c r="K12" s="334" t="e">
        <f>'SOF0607-CL'!I42</f>
        <v>#DIV/0!</v>
      </c>
      <c r="L12" s="536" t="e">
        <f>'SOF0607-HB1'!M42</f>
        <v>#N/A</v>
      </c>
    </row>
    <row r="13" spans="1:12">
      <c r="A13" s="57" t="s">
        <v>6160</v>
      </c>
      <c r="G13" s="137" t="e">
        <f>G11+G12</f>
        <v>#N/A</v>
      </c>
      <c r="H13" s="64" t="e">
        <f>H11+H12</f>
        <v>#N/A</v>
      </c>
      <c r="K13" s="175" t="e">
        <f>K11+K12</f>
        <v>#DIV/0!</v>
      </c>
      <c r="L13" s="528" t="e">
        <f>L11+L12</f>
        <v>#DIV/0!</v>
      </c>
    </row>
    <row r="14" spans="1:12">
      <c r="G14" s="136"/>
      <c r="K14" s="132"/>
      <c r="L14" s="499"/>
    </row>
    <row r="15" spans="1:12">
      <c r="G15" s="136"/>
      <c r="K15" s="132"/>
      <c r="L15" s="499"/>
    </row>
    <row r="16" spans="1:12">
      <c r="A16" s="71" t="s">
        <v>5066</v>
      </c>
      <c r="G16" s="192" t="e">
        <f>'SOF0506-CL'!L40</f>
        <v>#N/A</v>
      </c>
      <c r="H16" s="5" t="e">
        <f>'SOF0506-CL'!H40</f>
        <v>#N/A</v>
      </c>
      <c r="K16" s="334" t="e">
        <f>'SOF0607-CL'!L40</f>
        <v>#DIV/0!</v>
      </c>
      <c r="L16" s="536" t="e">
        <f>'SOF0607-HB1'!L40</f>
        <v>#DIV/0!</v>
      </c>
    </row>
    <row r="17" spans="1:12">
      <c r="A17" s="71" t="s">
        <v>5067</v>
      </c>
      <c r="G17" s="192" t="e">
        <f>'SOF0506-CL'!H42</f>
        <v>#N/A</v>
      </c>
      <c r="H17" s="5" t="e">
        <f>'SOF0506-CL'!H42</f>
        <v>#N/A</v>
      </c>
      <c r="K17" s="334" t="e">
        <f>'SOF0607-CL'!M42</f>
        <v>#DIV/0!</v>
      </c>
      <c r="L17" s="536" t="e">
        <f>'SOF0607-HB1'!H42</f>
        <v>#N/A</v>
      </c>
    </row>
    <row r="18" spans="1:12">
      <c r="A18" s="57" t="s">
        <v>6161</v>
      </c>
      <c r="G18" s="137" t="e">
        <f>G16+G17</f>
        <v>#N/A</v>
      </c>
      <c r="H18" s="64" t="e">
        <f>H16+H17</f>
        <v>#N/A</v>
      </c>
      <c r="K18" s="175" t="e">
        <f>K16+K17</f>
        <v>#DIV/0!</v>
      </c>
      <c r="L18" s="528" t="e">
        <f>L16+L17</f>
        <v>#DIV/0!</v>
      </c>
    </row>
    <row r="19" spans="1:12">
      <c r="A19" s="57"/>
      <c r="G19" s="141"/>
      <c r="H19" s="53"/>
      <c r="K19" s="250"/>
      <c r="L19" s="525"/>
    </row>
    <row r="20" spans="1:12">
      <c r="A20" s="57" t="s">
        <v>760</v>
      </c>
      <c r="G20" s="137" t="e">
        <f>G13-G18</f>
        <v>#N/A</v>
      </c>
      <c r="H20" s="64" t="e">
        <f>H13-H18</f>
        <v>#N/A</v>
      </c>
      <c r="K20" s="175" t="e">
        <f>K13-K18</f>
        <v>#DIV/0!</v>
      </c>
      <c r="L20" s="528" t="e">
        <f>L13-L18</f>
        <v>#DIV/0!</v>
      </c>
    </row>
    <row r="21" spans="1:12">
      <c r="A21" s="57"/>
      <c r="G21" s="141"/>
      <c r="H21" s="53"/>
      <c r="K21" s="250"/>
      <c r="L21" s="525"/>
    </row>
    <row r="22" spans="1:12">
      <c r="A22" s="123" t="s">
        <v>5068</v>
      </c>
      <c r="G22" s="141" t="e">
        <f>G82</f>
        <v>#N/A</v>
      </c>
      <c r="H22" s="53" t="e">
        <f>#REF!</f>
        <v>#REF!</v>
      </c>
      <c r="K22" s="250" t="e">
        <f>X82</f>
        <v>#N/A</v>
      </c>
      <c r="L22" s="525" t="e">
        <f>Q82</f>
        <v>#N/A</v>
      </c>
    </row>
    <row r="23" spans="1:12">
      <c r="A23" s="123" t="s">
        <v>5069</v>
      </c>
      <c r="G23" s="141" t="e">
        <f>G63</f>
        <v>#N/A</v>
      </c>
      <c r="H23" s="53" t="e">
        <f>#REF!</f>
        <v>#REF!</v>
      </c>
      <c r="K23" s="250" t="e">
        <f>X63</f>
        <v>#N/A</v>
      </c>
      <c r="L23" s="525" t="e">
        <f>Q63</f>
        <v>#N/A</v>
      </c>
    </row>
    <row r="24" spans="1:12">
      <c r="A24" s="57" t="s">
        <v>6080</v>
      </c>
      <c r="G24" s="137" t="e">
        <f>IF(G22-G23&lt;0,0,G22-G23)</f>
        <v>#N/A</v>
      </c>
      <c r="H24" s="64" t="e">
        <f>IF(H22-H23&lt;0,0,H22-H23)</f>
        <v>#REF!</v>
      </c>
      <c r="K24" s="175" t="e">
        <f>IF(K22-K23&lt;0,0,K22-K23)</f>
        <v>#N/A</v>
      </c>
      <c r="L24" s="528" t="e">
        <f>IF(L22-L23&lt;0,0,L22-L23)</f>
        <v>#N/A</v>
      </c>
    </row>
    <row r="25" spans="1:12">
      <c r="A25" s="57"/>
      <c r="G25" s="141"/>
      <c r="H25" s="53"/>
      <c r="K25" s="250"/>
      <c r="L25" s="525"/>
    </row>
    <row r="26" spans="1:12">
      <c r="A26" s="57" t="s">
        <v>6081</v>
      </c>
      <c r="G26" s="141" t="e">
        <f>G20+G24</f>
        <v>#N/A</v>
      </c>
      <c r="H26" s="53" t="e">
        <f>H20+H24</f>
        <v>#N/A</v>
      </c>
      <c r="K26" s="250" t="e">
        <f>K20+K24</f>
        <v>#DIV/0!</v>
      </c>
      <c r="L26" s="525" t="e">
        <f>L20+L24</f>
        <v>#DIV/0!</v>
      </c>
    </row>
    <row r="27" spans="1:12">
      <c r="G27" s="136"/>
      <c r="K27" s="132"/>
      <c r="L27" s="499"/>
    </row>
    <row r="28" spans="1:12">
      <c r="A28" s="73" t="s">
        <v>761</v>
      </c>
      <c r="G28" s="141" t="e">
        <f>G26*0.8</f>
        <v>#N/A</v>
      </c>
      <c r="H28" s="53" t="e">
        <f>H26*0.8</f>
        <v>#N/A</v>
      </c>
      <c r="K28" s="250" t="e">
        <f>K26*0.8</f>
        <v>#DIV/0!</v>
      </c>
      <c r="L28" s="525" t="e">
        <f>L26*0.8</f>
        <v>#DIV/0!</v>
      </c>
    </row>
    <row r="29" spans="1:12">
      <c r="A29" s="57" t="s">
        <v>5412</v>
      </c>
      <c r="G29" s="186">
        <f>'Data Entry - SOF'!F96*3000</f>
        <v>0</v>
      </c>
      <c r="H29" s="74">
        <f>'Data Entry - SOF'!F96*3000</f>
        <v>0</v>
      </c>
      <c r="K29" s="337">
        <f>'Data Entry - SOF'!H96*3000</f>
        <v>0</v>
      </c>
      <c r="L29" s="526">
        <f>'Data Entry - SOF'!H96*3000</f>
        <v>0</v>
      </c>
    </row>
    <row r="30" spans="1:12" ht="13.8" thickBot="1">
      <c r="A30" s="73" t="s">
        <v>2555</v>
      </c>
      <c r="G30" s="401" t="e">
        <f>IF(G29&lt;=G28,0,G29-G28)</f>
        <v>#N/A</v>
      </c>
      <c r="H30" s="75" t="e">
        <f>IF('Data Entry - SOF'!F89="Y","N/A",IF(H29&lt;=H28,0,H29-H28))</f>
        <v>#N/A</v>
      </c>
      <c r="K30" s="415" t="e">
        <f>IF(K29&lt;=K28,0,K29-K28)</f>
        <v>#DIV/0!</v>
      </c>
      <c r="L30" s="617" t="e">
        <f>IF(L29&lt;=L28,0,L29-L28)</f>
        <v>#DIV/0!</v>
      </c>
    </row>
    <row r="31" spans="1:12" ht="13.8" thickTop="1"/>
    <row r="32" spans="1:12">
      <c r="A32" s="136" t="s">
        <v>1414</v>
      </c>
    </row>
    <row r="33" spans="1:24">
      <c r="A33" s="136" t="s">
        <v>330</v>
      </c>
    </row>
    <row r="34" spans="1:24">
      <c r="A34" s="136" t="s">
        <v>1415</v>
      </c>
    </row>
    <row r="35" spans="1:24">
      <c r="A35" s="136" t="s">
        <v>335</v>
      </c>
    </row>
    <row r="36" spans="1:24">
      <c r="A36" s="136" t="s">
        <v>1575</v>
      </c>
      <c r="G36" s="5"/>
    </row>
    <row r="37" spans="1:24">
      <c r="A37" s="136"/>
      <c r="G37" s="5"/>
    </row>
    <row r="38" spans="1:24">
      <c r="A38" s="136" t="s">
        <v>1576</v>
      </c>
      <c r="G38" s="53"/>
    </row>
    <row r="39" spans="1:24">
      <c r="A39" s="136" t="s">
        <v>603</v>
      </c>
      <c r="G39" s="53"/>
    </row>
    <row r="40" spans="1:24">
      <c r="A40" s="181"/>
    </row>
    <row r="41" spans="1:24" hidden="1">
      <c r="A41" s="136" t="s">
        <v>204</v>
      </c>
    </row>
    <row r="42" spans="1:24" hidden="1">
      <c r="A42" s="136" t="s">
        <v>2666</v>
      </c>
    </row>
    <row r="46" spans="1:24">
      <c r="K46" s="499" t="s">
        <v>271</v>
      </c>
      <c r="R46" s="132" t="s">
        <v>272</v>
      </c>
    </row>
    <row r="47" spans="1:24">
      <c r="A47" s="402" t="s">
        <v>4177</v>
      </c>
      <c r="B47" s="347"/>
      <c r="C47" s="347"/>
      <c r="D47" s="347"/>
      <c r="E47" s="347"/>
      <c r="F47" s="347"/>
      <c r="G47" s="403"/>
      <c r="H47" s="42"/>
      <c r="I47" s="42"/>
      <c r="J47" s="42"/>
      <c r="K47" s="602" t="s">
        <v>4177</v>
      </c>
      <c r="L47" s="603"/>
      <c r="M47" s="603"/>
      <c r="N47" s="603"/>
      <c r="O47" s="603"/>
      <c r="P47" s="603"/>
      <c r="Q47" s="604"/>
      <c r="R47" s="410" t="s">
        <v>4177</v>
      </c>
      <c r="S47" s="146"/>
      <c r="T47" s="146"/>
      <c r="U47" s="146"/>
      <c r="V47" s="146"/>
      <c r="W47" s="146"/>
      <c r="X47" s="147"/>
    </row>
    <row r="48" spans="1:24">
      <c r="A48" s="252" t="s">
        <v>418</v>
      </c>
      <c r="B48" s="217"/>
      <c r="C48" s="217"/>
      <c r="D48" s="217"/>
      <c r="E48" s="217"/>
      <c r="F48" s="217"/>
      <c r="G48" s="404"/>
      <c r="H48" s="42"/>
      <c r="I48" s="42"/>
      <c r="J48" s="42"/>
      <c r="K48" s="605" t="s">
        <v>418</v>
      </c>
      <c r="L48" s="500"/>
      <c r="M48" s="500"/>
      <c r="N48" s="500"/>
      <c r="O48" s="500"/>
      <c r="P48" s="500"/>
      <c r="Q48" s="606"/>
      <c r="R48" s="148" t="s">
        <v>418</v>
      </c>
      <c r="S48" s="149"/>
      <c r="T48" s="149"/>
      <c r="U48" s="149"/>
      <c r="V48" s="149"/>
      <c r="W48" s="149"/>
      <c r="X48" s="150"/>
    </row>
    <row r="49" spans="1:24">
      <c r="A49" s="252" t="s">
        <v>5079</v>
      </c>
      <c r="B49" s="217"/>
      <c r="C49" s="217"/>
      <c r="D49" s="217"/>
      <c r="E49" s="217"/>
      <c r="F49" s="217"/>
      <c r="G49" s="405" t="e">
        <f>295000*'Ch41 Calc Data'!E6</f>
        <v>#N/A</v>
      </c>
      <c r="H49" s="42"/>
      <c r="I49" s="42"/>
      <c r="J49" s="42"/>
      <c r="K49" s="605" t="s">
        <v>5079</v>
      </c>
      <c r="L49" s="500"/>
      <c r="M49" s="500"/>
      <c r="N49" s="500"/>
      <c r="O49" s="500"/>
      <c r="P49" s="500"/>
      <c r="Q49" s="607" t="e">
        <f>295000*'Ch41 Calc Data'!F6</f>
        <v>#N/A</v>
      </c>
      <c r="R49" s="148" t="s">
        <v>5079</v>
      </c>
      <c r="S49" s="149"/>
      <c r="T49" s="149"/>
      <c r="U49" s="149"/>
      <c r="V49" s="149"/>
      <c r="W49" s="149"/>
      <c r="X49" s="303" t="e">
        <f>295000*'Ch41 Calc Data'!F6</f>
        <v>#N/A</v>
      </c>
    </row>
    <row r="50" spans="1:24">
      <c r="A50" s="252"/>
      <c r="B50" s="217"/>
      <c r="C50" s="217"/>
      <c r="D50" s="217"/>
      <c r="E50" s="217"/>
      <c r="F50" s="217"/>
      <c r="G50" s="404"/>
      <c r="H50" s="42"/>
      <c r="I50" s="42"/>
      <c r="J50" s="42"/>
      <c r="K50" s="605"/>
      <c r="L50" s="500"/>
      <c r="M50" s="500"/>
      <c r="N50" s="500"/>
      <c r="O50" s="500"/>
      <c r="P50" s="500"/>
      <c r="Q50" s="606"/>
      <c r="R50" s="148"/>
      <c r="S50" s="149"/>
      <c r="T50" s="149"/>
      <c r="U50" s="149"/>
      <c r="V50" s="149"/>
      <c r="W50" s="149"/>
      <c r="X50" s="150"/>
    </row>
    <row r="51" spans="1:24">
      <c r="A51" s="252" t="s">
        <v>419</v>
      </c>
      <c r="B51" s="217"/>
      <c r="C51" s="217"/>
      <c r="D51" s="217"/>
      <c r="E51" s="217"/>
      <c r="F51" s="217"/>
      <c r="G51" s="404"/>
      <c r="H51" s="42"/>
      <c r="I51" s="42"/>
      <c r="J51" s="42"/>
      <c r="K51" s="605" t="s">
        <v>419</v>
      </c>
      <c r="L51" s="500"/>
      <c r="M51" s="500"/>
      <c r="N51" s="500"/>
      <c r="O51" s="500"/>
      <c r="P51" s="500"/>
      <c r="Q51" s="606"/>
      <c r="R51" s="148" t="s">
        <v>419</v>
      </c>
      <c r="S51" s="149"/>
      <c r="T51" s="149"/>
      <c r="U51" s="149"/>
      <c r="V51" s="149"/>
      <c r="W51" s="149"/>
      <c r="X51" s="150"/>
    </row>
    <row r="52" spans="1:24">
      <c r="A52" s="252" t="s">
        <v>420</v>
      </c>
      <c r="B52" s="217"/>
      <c r="C52" s="217"/>
      <c r="D52" s="217"/>
      <c r="E52" s="217"/>
      <c r="F52" s="217"/>
      <c r="G52" s="405">
        <f>'Option Costs'!C6/'Option Costs'!C14</f>
        <v>0</v>
      </c>
      <c r="H52" s="42"/>
      <c r="I52" s="42"/>
      <c r="J52" s="42"/>
      <c r="K52" s="605" t="s">
        <v>420</v>
      </c>
      <c r="L52" s="500"/>
      <c r="M52" s="500"/>
      <c r="N52" s="500"/>
      <c r="O52" s="500"/>
      <c r="P52" s="500"/>
      <c r="Q52" s="607">
        <f>'Option Costs'!G6/'Option Costs'!G14</f>
        <v>0</v>
      </c>
      <c r="R52" s="148" t="s">
        <v>420</v>
      </c>
      <c r="S52" s="149"/>
      <c r="T52" s="149"/>
      <c r="U52" s="149"/>
      <c r="V52" s="149"/>
      <c r="W52" s="149"/>
      <c r="X52" s="303">
        <f>'Option Costs'!G6/'Option Costs'!G14</f>
        <v>0</v>
      </c>
    </row>
    <row r="53" spans="1:24">
      <c r="A53" s="252" t="s">
        <v>5104</v>
      </c>
      <c r="B53" s="217"/>
      <c r="C53" s="217"/>
      <c r="D53" s="217"/>
      <c r="E53" s="217"/>
      <c r="F53" s="217"/>
      <c r="G53" s="406" t="e">
        <f>IF(G86&lt;295000,295000,G86)</f>
        <v>#N/A</v>
      </c>
      <c r="H53" s="42"/>
      <c r="I53" s="42"/>
      <c r="J53" s="42"/>
      <c r="K53" s="605" t="s">
        <v>5104</v>
      </c>
      <c r="L53" s="500"/>
      <c r="M53" s="500"/>
      <c r="N53" s="500"/>
      <c r="O53" s="500"/>
      <c r="P53" s="500"/>
      <c r="Q53" s="608" t="e">
        <f>IF(Q86&lt;295000,295000,Q86)</f>
        <v>#N/A</v>
      </c>
      <c r="R53" s="148" t="s">
        <v>5104</v>
      </c>
      <c r="S53" s="149"/>
      <c r="T53" s="149"/>
      <c r="U53" s="149"/>
      <c r="V53" s="149"/>
      <c r="W53" s="149"/>
      <c r="X53" s="411" t="e">
        <f>IF(X86&lt;295000,295000,X86)</f>
        <v>#N/A</v>
      </c>
    </row>
    <row r="54" spans="1:24">
      <c r="A54" s="252" t="s">
        <v>3235</v>
      </c>
      <c r="B54" s="217"/>
      <c r="C54" s="217"/>
      <c r="D54" s="217"/>
      <c r="E54" s="217"/>
      <c r="F54" s="217"/>
      <c r="G54" s="405" t="e">
        <f>G53*'Ch41 Calc Data'!E6</f>
        <v>#N/A</v>
      </c>
      <c r="H54" s="42"/>
      <c r="I54" s="42"/>
      <c r="J54" s="42"/>
      <c r="K54" s="605" t="s">
        <v>3235</v>
      </c>
      <c r="L54" s="500"/>
      <c r="M54" s="500"/>
      <c r="N54" s="500"/>
      <c r="O54" s="500"/>
      <c r="P54" s="500"/>
      <c r="Q54" s="607" t="e">
        <f>Q53*'Ch41 Calc Data'!F6</f>
        <v>#N/A</v>
      </c>
      <c r="R54" s="148" t="s">
        <v>3235</v>
      </c>
      <c r="S54" s="149"/>
      <c r="T54" s="149"/>
      <c r="U54" s="149"/>
      <c r="V54" s="149"/>
      <c r="W54" s="149"/>
      <c r="X54" s="303" t="e">
        <f>X53*'Ch41 Calc Data'!F6</f>
        <v>#N/A</v>
      </c>
    </row>
    <row r="55" spans="1:24">
      <c r="A55" s="252"/>
      <c r="B55" s="217"/>
      <c r="C55" s="217"/>
      <c r="D55" s="217"/>
      <c r="E55" s="217"/>
      <c r="F55" s="217"/>
      <c r="G55" s="404"/>
      <c r="H55" s="42"/>
      <c r="I55" s="42"/>
      <c r="J55" s="42"/>
      <c r="K55" s="605"/>
      <c r="L55" s="500"/>
      <c r="M55" s="500"/>
      <c r="N55" s="500"/>
      <c r="O55" s="500"/>
      <c r="P55" s="500"/>
      <c r="Q55" s="606"/>
      <c r="R55" s="148"/>
      <c r="S55" s="149"/>
      <c r="T55" s="149"/>
      <c r="U55" s="149"/>
      <c r="V55" s="149"/>
      <c r="W55" s="149"/>
      <c r="X55" s="150"/>
    </row>
    <row r="56" spans="1:24">
      <c r="A56" s="252" t="s">
        <v>7285</v>
      </c>
      <c r="B56" s="217"/>
      <c r="C56" s="217"/>
      <c r="D56" s="217"/>
      <c r="E56" s="217"/>
      <c r="F56" s="217"/>
      <c r="G56" s="404"/>
      <c r="H56" s="42"/>
      <c r="I56" s="42"/>
      <c r="J56" s="42"/>
      <c r="K56" s="605" t="s">
        <v>7285</v>
      </c>
      <c r="L56" s="500"/>
      <c r="M56" s="500"/>
      <c r="N56" s="500"/>
      <c r="O56" s="500"/>
      <c r="P56" s="500"/>
      <c r="Q56" s="606"/>
      <c r="R56" s="148" t="s">
        <v>7285</v>
      </c>
      <c r="S56" s="149"/>
      <c r="T56" s="149"/>
      <c r="U56" s="149"/>
      <c r="V56" s="149"/>
      <c r="W56" s="149"/>
      <c r="X56" s="150"/>
    </row>
    <row r="57" spans="1:24">
      <c r="A57" s="252" t="s">
        <v>7286</v>
      </c>
      <c r="B57" s="217"/>
      <c r="C57" s="217"/>
      <c r="D57" s="217"/>
      <c r="E57" s="217"/>
      <c r="F57" s="217"/>
      <c r="G57" s="405" t="e">
        <f>IF(G54&gt;G49,G54,G49)</f>
        <v>#N/A</v>
      </c>
      <c r="H57" s="42"/>
      <c r="I57" s="42"/>
      <c r="J57" s="42"/>
      <c r="K57" s="605" t="s">
        <v>7286</v>
      </c>
      <c r="L57" s="500"/>
      <c r="M57" s="500"/>
      <c r="N57" s="500"/>
      <c r="O57" s="500"/>
      <c r="P57" s="500"/>
      <c r="Q57" s="607" t="e">
        <f>IF(Q54&gt;Q49,Q54,Q49)</f>
        <v>#N/A</v>
      </c>
      <c r="R57" s="148" t="s">
        <v>7286</v>
      </c>
      <c r="S57" s="149"/>
      <c r="T57" s="149"/>
      <c r="U57" s="149"/>
      <c r="V57" s="149"/>
      <c r="W57" s="149"/>
      <c r="X57" s="303" t="e">
        <f>IF(X54&gt;X49,X54,X49)</f>
        <v>#N/A</v>
      </c>
    </row>
    <row r="58" spans="1:24">
      <c r="A58" s="252" t="s">
        <v>5416</v>
      </c>
      <c r="B58" s="217"/>
      <c r="C58" s="217"/>
      <c r="D58" s="217"/>
      <c r="E58" s="217"/>
      <c r="F58" s="217"/>
      <c r="G58" s="406" t="e">
        <f>IF('Data Entry - SOF'!F61-G57&lt;0,0,'Data Entry - SOF'!F61-G57)</f>
        <v>#N/A</v>
      </c>
      <c r="H58" s="42"/>
      <c r="I58" s="42"/>
      <c r="J58" s="42"/>
      <c r="K58" s="605" t="s">
        <v>5416</v>
      </c>
      <c r="L58" s="500"/>
      <c r="M58" s="500"/>
      <c r="N58" s="500"/>
      <c r="O58" s="500"/>
      <c r="P58" s="500"/>
      <c r="Q58" s="608" t="e">
        <f>IF('Data Entry - SOF'!H61-Q57&lt;0,0,'Data Entry - SOF'!H61-Q57)</f>
        <v>#N/A</v>
      </c>
      <c r="R58" s="148" t="s">
        <v>5416</v>
      </c>
      <c r="S58" s="149"/>
      <c r="T58" s="149"/>
      <c r="U58" s="149"/>
      <c r="V58" s="149"/>
      <c r="W58" s="149"/>
      <c r="X58" s="411" t="e">
        <f>IF('Data Entry - SOF'!H61-X57&lt;0,0,'Data Entry - SOF'!H61-X57)</f>
        <v>#N/A</v>
      </c>
    </row>
    <row r="59" spans="1:24">
      <c r="A59" s="252" t="s">
        <v>3241</v>
      </c>
      <c r="B59" s="217"/>
      <c r="C59" s="217"/>
      <c r="D59" s="217"/>
      <c r="E59" s="217"/>
      <c r="F59" s="217"/>
      <c r="G59" s="404" t="e">
        <f>G58/'Data Entry - SOF'!F61</f>
        <v>#N/A</v>
      </c>
      <c r="H59" s="42"/>
      <c r="I59" s="42"/>
      <c r="J59" s="42"/>
      <c r="K59" s="605" t="s">
        <v>3241</v>
      </c>
      <c r="L59" s="500"/>
      <c r="M59" s="500"/>
      <c r="N59" s="500"/>
      <c r="O59" s="500"/>
      <c r="P59" s="500"/>
      <c r="Q59" s="606" t="e">
        <f>Q58/'Data Entry - SOF'!H61</f>
        <v>#N/A</v>
      </c>
      <c r="R59" s="148" t="s">
        <v>3241</v>
      </c>
      <c r="S59" s="149"/>
      <c r="T59" s="149"/>
      <c r="U59" s="149"/>
      <c r="V59" s="149"/>
      <c r="W59" s="149"/>
      <c r="X59" s="150" t="e">
        <f>X58/'Data Entry - SOF'!H61</f>
        <v>#N/A</v>
      </c>
    </row>
    <row r="60" spans="1:24">
      <c r="A60" s="252"/>
      <c r="B60" s="217"/>
      <c r="C60" s="217"/>
      <c r="D60" s="217"/>
      <c r="E60" s="217"/>
      <c r="F60" s="217"/>
      <c r="G60" s="404"/>
      <c r="H60" s="42"/>
      <c r="I60" s="42"/>
      <c r="J60" s="42"/>
      <c r="K60" s="605"/>
      <c r="L60" s="500"/>
      <c r="M60" s="500"/>
      <c r="N60" s="500"/>
      <c r="O60" s="500"/>
      <c r="P60" s="500"/>
      <c r="Q60" s="606"/>
      <c r="R60" s="148"/>
      <c r="S60" s="149"/>
      <c r="T60" s="149"/>
      <c r="U60" s="149"/>
      <c r="V60" s="149"/>
      <c r="W60" s="149"/>
      <c r="X60" s="150"/>
    </row>
    <row r="61" spans="1:24">
      <c r="A61" s="252" t="s">
        <v>3236</v>
      </c>
      <c r="B61" s="217"/>
      <c r="C61" s="217"/>
      <c r="D61" s="217"/>
      <c r="E61" s="217"/>
      <c r="F61" s="217"/>
      <c r="G61" s="404"/>
      <c r="K61" s="605" t="s">
        <v>3236</v>
      </c>
      <c r="L61" s="500"/>
      <c r="M61" s="500"/>
      <c r="N61" s="500"/>
      <c r="O61" s="500"/>
      <c r="P61" s="500"/>
      <c r="Q61" s="606"/>
      <c r="R61" s="148" t="s">
        <v>3236</v>
      </c>
      <c r="S61" s="149"/>
      <c r="T61" s="149"/>
      <c r="U61" s="149"/>
      <c r="V61" s="149"/>
      <c r="W61" s="149"/>
      <c r="X61" s="150"/>
    </row>
    <row r="62" spans="1:24">
      <c r="A62" s="407" t="s">
        <v>3238</v>
      </c>
      <c r="B62" s="217"/>
      <c r="C62" s="217"/>
      <c r="D62" s="217"/>
      <c r="E62" s="217"/>
      <c r="F62" s="217"/>
      <c r="G62" s="405" t="e">
        <f>(('Data Entry - SOF'!F18-'Data Entry - SOF'!F19)/'Data Entry - SOF'!F20)*'Data Entry - SOF'!F61</f>
        <v>#N/A</v>
      </c>
      <c r="K62" s="609" t="s">
        <v>983</v>
      </c>
      <c r="L62" s="500"/>
      <c r="M62" s="500"/>
      <c r="N62" s="500"/>
      <c r="O62" s="500"/>
      <c r="P62" s="500"/>
      <c r="Q62" s="607" t="e">
        <f>'Calc Data'!F42*('Data Entry - SOF'!F67*100)</f>
        <v>#N/A</v>
      </c>
      <c r="R62" s="412" t="s">
        <v>273</v>
      </c>
      <c r="S62" s="149"/>
      <c r="T62" s="149"/>
      <c r="U62" s="149"/>
      <c r="V62" s="149"/>
      <c r="W62" s="149"/>
      <c r="X62" s="303" t="e">
        <f>(('Data Entry - SOF'!F18-'Data Entry - SOF'!F19)/'Data Entry - SOF'!F20)*'Data Entry - SOF'!H61</f>
        <v>#N/A</v>
      </c>
    </row>
    <row r="63" spans="1:24">
      <c r="A63" s="408" t="s">
        <v>3237</v>
      </c>
      <c r="B63" s="387"/>
      <c r="C63" s="387"/>
      <c r="D63" s="387"/>
      <c r="E63" s="387"/>
      <c r="F63" s="387"/>
      <c r="G63" s="385" t="e">
        <f>G62*G59</f>
        <v>#N/A</v>
      </c>
      <c r="K63" s="610" t="s">
        <v>3237</v>
      </c>
      <c r="L63" s="611"/>
      <c r="M63" s="611"/>
      <c r="N63" s="611"/>
      <c r="O63" s="611"/>
      <c r="P63" s="611"/>
      <c r="Q63" s="612" t="e">
        <f>Q62*Q59</f>
        <v>#N/A</v>
      </c>
      <c r="R63" s="413" t="s">
        <v>3237</v>
      </c>
      <c r="S63" s="152"/>
      <c r="T63" s="152"/>
      <c r="U63" s="152"/>
      <c r="V63" s="152"/>
      <c r="W63" s="152"/>
      <c r="X63" s="304" t="e">
        <f>X62*X59</f>
        <v>#N/A</v>
      </c>
    </row>
    <row r="64" spans="1:24">
      <c r="A64" s="409"/>
      <c r="B64" s="217"/>
      <c r="C64" s="217"/>
      <c r="D64" s="217"/>
      <c r="E64" s="217"/>
      <c r="F64" s="217"/>
      <c r="G64" s="253"/>
      <c r="K64" s="613"/>
      <c r="L64" s="500"/>
      <c r="M64" s="500"/>
      <c r="N64" s="500"/>
      <c r="O64" s="500"/>
      <c r="P64" s="500"/>
      <c r="Q64" s="614"/>
      <c r="R64" s="414"/>
      <c r="S64" s="149"/>
      <c r="T64" s="149"/>
      <c r="U64" s="149"/>
      <c r="V64" s="149"/>
      <c r="W64" s="149"/>
      <c r="X64" s="302"/>
    </row>
    <row r="65" spans="1:24">
      <c r="A65" s="136"/>
      <c r="B65" s="136"/>
      <c r="C65" s="136"/>
      <c r="D65" s="136"/>
      <c r="E65" s="136"/>
      <c r="F65" s="136"/>
      <c r="G65" s="136"/>
      <c r="K65" s="499"/>
      <c r="L65" s="499"/>
      <c r="M65" s="499"/>
      <c r="N65" s="499"/>
      <c r="O65" s="499"/>
      <c r="P65" s="499"/>
      <c r="Q65" s="499"/>
      <c r="R65" s="132"/>
      <c r="S65" s="132"/>
      <c r="T65" s="132"/>
      <c r="U65" s="132"/>
      <c r="V65" s="132"/>
      <c r="W65" s="132"/>
      <c r="X65" s="132"/>
    </row>
    <row r="66" spans="1:24">
      <c r="A66" s="402" t="s">
        <v>3234</v>
      </c>
      <c r="B66" s="347"/>
      <c r="C66" s="347"/>
      <c r="D66" s="347"/>
      <c r="E66" s="347"/>
      <c r="F66" s="347"/>
      <c r="G66" s="403"/>
      <c r="H66" s="42"/>
      <c r="I66" s="42"/>
      <c r="J66" s="42"/>
      <c r="K66" s="602" t="s">
        <v>3234</v>
      </c>
      <c r="L66" s="603"/>
      <c r="M66" s="603"/>
      <c r="N66" s="603"/>
      <c r="O66" s="603"/>
      <c r="P66" s="603"/>
      <c r="Q66" s="604"/>
      <c r="R66" s="410" t="s">
        <v>3234</v>
      </c>
      <c r="S66" s="146"/>
      <c r="T66" s="146"/>
      <c r="U66" s="146"/>
      <c r="V66" s="146"/>
      <c r="W66" s="146"/>
      <c r="X66" s="147"/>
    </row>
    <row r="67" spans="1:24">
      <c r="A67" s="252" t="s">
        <v>418</v>
      </c>
      <c r="B67" s="217"/>
      <c r="C67" s="217"/>
      <c r="D67" s="217"/>
      <c r="E67" s="217"/>
      <c r="F67" s="217"/>
      <c r="G67" s="404"/>
      <c r="H67" s="42"/>
      <c r="I67" s="42"/>
      <c r="J67" s="42"/>
      <c r="K67" s="605" t="s">
        <v>418</v>
      </c>
      <c r="L67" s="500"/>
      <c r="M67" s="500"/>
      <c r="N67" s="500"/>
      <c r="O67" s="500"/>
      <c r="P67" s="500"/>
      <c r="Q67" s="606"/>
      <c r="R67" s="148" t="s">
        <v>418</v>
      </c>
      <c r="S67" s="149"/>
      <c r="T67" s="149"/>
      <c r="U67" s="149"/>
      <c r="V67" s="149"/>
      <c r="W67" s="149"/>
      <c r="X67" s="150"/>
    </row>
    <row r="68" spans="1:24">
      <c r="A68" s="252" t="s">
        <v>5079</v>
      </c>
      <c r="B68" s="217"/>
      <c r="C68" s="217"/>
      <c r="D68" s="217"/>
      <c r="E68" s="217"/>
      <c r="F68" s="217"/>
      <c r="G68" s="405" t="e">
        <f>280000*'Ch41 Calc Data'!E6</f>
        <v>#N/A</v>
      </c>
      <c r="H68" s="42"/>
      <c r="I68" s="42"/>
      <c r="J68" s="42"/>
      <c r="K68" s="605" t="s">
        <v>5079</v>
      </c>
      <c r="L68" s="500"/>
      <c r="M68" s="500"/>
      <c r="N68" s="500"/>
      <c r="O68" s="500"/>
      <c r="P68" s="500"/>
      <c r="Q68" s="607" t="e">
        <f>280000*'Ch41 Calc Data'!F6</f>
        <v>#N/A</v>
      </c>
      <c r="R68" s="148" t="s">
        <v>5079</v>
      </c>
      <c r="S68" s="149"/>
      <c r="T68" s="149"/>
      <c r="U68" s="149"/>
      <c r="V68" s="149"/>
      <c r="W68" s="149"/>
      <c r="X68" s="303" t="e">
        <f>280000*'Ch41 Calc Data'!F6</f>
        <v>#N/A</v>
      </c>
    </row>
    <row r="69" spans="1:24">
      <c r="A69" s="252"/>
      <c r="B69" s="217"/>
      <c r="C69" s="217"/>
      <c r="D69" s="217"/>
      <c r="E69" s="217"/>
      <c r="F69" s="217"/>
      <c r="G69" s="404"/>
      <c r="H69" s="42"/>
      <c r="I69" s="42"/>
      <c r="J69" s="42"/>
      <c r="K69" s="605"/>
      <c r="L69" s="500"/>
      <c r="M69" s="500"/>
      <c r="N69" s="500"/>
      <c r="O69" s="500"/>
      <c r="P69" s="500"/>
      <c r="Q69" s="606"/>
      <c r="R69" s="148"/>
      <c r="S69" s="149"/>
      <c r="T69" s="149"/>
      <c r="U69" s="149"/>
      <c r="V69" s="149"/>
      <c r="W69" s="149"/>
      <c r="X69" s="150"/>
    </row>
    <row r="70" spans="1:24">
      <c r="A70" s="252" t="s">
        <v>419</v>
      </c>
      <c r="B70" s="217"/>
      <c r="C70" s="217"/>
      <c r="D70" s="217"/>
      <c r="E70" s="217"/>
      <c r="F70" s="217"/>
      <c r="G70" s="404"/>
      <c r="H70" s="42"/>
      <c r="I70" s="42"/>
      <c r="J70" s="42"/>
      <c r="K70" s="605" t="s">
        <v>419</v>
      </c>
      <c r="L70" s="500"/>
      <c r="M70" s="500"/>
      <c r="N70" s="500"/>
      <c r="O70" s="500"/>
      <c r="P70" s="500"/>
      <c r="Q70" s="606"/>
      <c r="R70" s="148" t="s">
        <v>419</v>
      </c>
      <c r="S70" s="149"/>
      <c r="T70" s="149"/>
      <c r="U70" s="149"/>
      <c r="V70" s="149"/>
      <c r="W70" s="149"/>
      <c r="X70" s="150"/>
    </row>
    <row r="71" spans="1:24">
      <c r="A71" s="252" t="s">
        <v>420</v>
      </c>
      <c r="B71" s="217"/>
      <c r="C71" s="217"/>
      <c r="D71" s="217"/>
      <c r="E71" s="217"/>
      <c r="F71" s="217"/>
      <c r="G71" s="405">
        <f>'Option Costs'!C20</f>
        <v>0</v>
      </c>
      <c r="H71" s="42"/>
      <c r="I71" s="42"/>
      <c r="J71" s="42"/>
      <c r="K71" s="605" t="s">
        <v>420</v>
      </c>
      <c r="L71" s="500"/>
      <c r="M71" s="500"/>
      <c r="N71" s="500"/>
      <c r="O71" s="500"/>
      <c r="P71" s="500"/>
      <c r="Q71" s="607" t="e">
        <f>'Option Costs'!G20</f>
        <v>#N/A</v>
      </c>
      <c r="R71" s="148" t="s">
        <v>420</v>
      </c>
      <c r="S71" s="149"/>
      <c r="T71" s="149"/>
      <c r="U71" s="149"/>
      <c r="V71" s="149"/>
      <c r="W71" s="149"/>
      <c r="X71" s="303" t="e">
        <f>'Option Costs'!G20</f>
        <v>#N/A</v>
      </c>
    </row>
    <row r="72" spans="1:24">
      <c r="A72" s="252" t="s">
        <v>421</v>
      </c>
      <c r="B72" s="217"/>
      <c r="C72" s="217"/>
      <c r="D72" s="217"/>
      <c r="E72" s="217"/>
      <c r="F72" s="217"/>
      <c r="G72" s="405" t="e">
        <f>'Option Costs'!C21</f>
        <v>#N/A</v>
      </c>
      <c r="H72" s="42"/>
      <c r="I72" s="42"/>
      <c r="J72" s="42"/>
      <c r="K72" s="605" t="s">
        <v>421</v>
      </c>
      <c r="L72" s="500"/>
      <c r="M72" s="500"/>
      <c r="N72" s="500"/>
      <c r="O72" s="500"/>
      <c r="P72" s="500"/>
      <c r="Q72" s="607" t="e">
        <f>'Option Costs'!G21</f>
        <v>#N/A</v>
      </c>
      <c r="R72" s="148" t="s">
        <v>421</v>
      </c>
      <c r="S72" s="149"/>
      <c r="T72" s="149"/>
      <c r="U72" s="149"/>
      <c r="V72" s="149"/>
      <c r="W72" s="149"/>
      <c r="X72" s="303" t="e">
        <f>'Option Costs'!G21</f>
        <v>#N/A</v>
      </c>
    </row>
    <row r="73" spans="1:24">
      <c r="A73" s="252" t="s">
        <v>3235</v>
      </c>
      <c r="B73" s="217"/>
      <c r="C73" s="217"/>
      <c r="D73" s="217"/>
      <c r="E73" s="217"/>
      <c r="F73" s="217"/>
      <c r="G73" s="405" t="e">
        <f>G72*'Ch41 Calc Data'!E6</f>
        <v>#N/A</v>
      </c>
      <c r="H73" s="42"/>
      <c r="I73" s="42"/>
      <c r="J73" s="42"/>
      <c r="K73" s="605" t="s">
        <v>3235</v>
      </c>
      <c r="L73" s="500"/>
      <c r="M73" s="500"/>
      <c r="N73" s="500"/>
      <c r="O73" s="500"/>
      <c r="P73" s="500"/>
      <c r="Q73" s="607" t="e">
        <f>Q72*'Ch41 Calc Data'!F6</f>
        <v>#N/A</v>
      </c>
      <c r="R73" s="148" t="s">
        <v>3235</v>
      </c>
      <c r="S73" s="149"/>
      <c r="T73" s="149"/>
      <c r="U73" s="149"/>
      <c r="V73" s="149"/>
      <c r="W73" s="149"/>
      <c r="X73" s="303" t="e">
        <f>X72*'Ch41 Calc Data'!F6</f>
        <v>#N/A</v>
      </c>
    </row>
    <row r="74" spans="1:24">
      <c r="A74" s="252"/>
      <c r="B74" s="217"/>
      <c r="C74" s="217"/>
      <c r="D74" s="217"/>
      <c r="E74" s="217"/>
      <c r="F74" s="217"/>
      <c r="G74" s="404"/>
      <c r="H74" s="42"/>
      <c r="I74" s="42"/>
      <c r="J74" s="42"/>
      <c r="K74" s="605"/>
      <c r="L74" s="500"/>
      <c r="M74" s="500"/>
      <c r="N74" s="500"/>
      <c r="O74" s="500"/>
      <c r="P74" s="500"/>
      <c r="Q74" s="606"/>
      <c r="R74" s="148"/>
      <c r="S74" s="149"/>
      <c r="T74" s="149"/>
      <c r="U74" s="149"/>
      <c r="V74" s="149"/>
      <c r="W74" s="149"/>
      <c r="X74" s="150"/>
    </row>
    <row r="75" spans="1:24">
      <c r="A75" s="252" t="s">
        <v>7285</v>
      </c>
      <c r="B75" s="217"/>
      <c r="C75" s="217"/>
      <c r="D75" s="217"/>
      <c r="E75" s="217"/>
      <c r="F75" s="217"/>
      <c r="G75" s="404"/>
      <c r="H75" s="42"/>
      <c r="I75" s="42"/>
      <c r="J75" s="42"/>
      <c r="K75" s="605" t="s">
        <v>7285</v>
      </c>
      <c r="L75" s="500"/>
      <c r="M75" s="500"/>
      <c r="N75" s="500"/>
      <c r="O75" s="500"/>
      <c r="P75" s="500"/>
      <c r="Q75" s="606"/>
      <c r="R75" s="148" t="s">
        <v>7285</v>
      </c>
      <c r="S75" s="149"/>
      <c r="T75" s="149"/>
      <c r="U75" s="149"/>
      <c r="V75" s="149"/>
      <c r="W75" s="149"/>
      <c r="X75" s="150"/>
    </row>
    <row r="76" spans="1:24">
      <c r="A76" s="252" t="s">
        <v>7286</v>
      </c>
      <c r="B76" s="217"/>
      <c r="C76" s="217"/>
      <c r="D76" s="217"/>
      <c r="E76" s="217"/>
      <c r="F76" s="217"/>
      <c r="G76" s="405" t="e">
        <f>IF(G73&gt;G68,G73,G68)</f>
        <v>#N/A</v>
      </c>
      <c r="H76" s="42"/>
      <c r="I76" s="42"/>
      <c r="J76" s="42"/>
      <c r="K76" s="605" t="s">
        <v>7286</v>
      </c>
      <c r="L76" s="500"/>
      <c r="M76" s="500"/>
      <c r="N76" s="500"/>
      <c r="O76" s="500"/>
      <c r="P76" s="500"/>
      <c r="Q76" s="607" t="e">
        <f>IF(Q73&gt;Q68,Q73,Q68)</f>
        <v>#N/A</v>
      </c>
      <c r="R76" s="148" t="s">
        <v>7286</v>
      </c>
      <c r="S76" s="149"/>
      <c r="T76" s="149"/>
      <c r="U76" s="149"/>
      <c r="V76" s="149"/>
      <c r="W76" s="149"/>
      <c r="X76" s="303" t="e">
        <f>IF(X73&gt;X68,X73,X68)</f>
        <v>#N/A</v>
      </c>
    </row>
    <row r="77" spans="1:24">
      <c r="A77" s="252" t="s">
        <v>5416</v>
      </c>
      <c r="B77" s="217"/>
      <c r="C77" s="217"/>
      <c r="D77" s="217"/>
      <c r="E77" s="217"/>
      <c r="F77" s="217"/>
      <c r="G77" s="406" t="e">
        <f>IF('Data Entry - SOF'!F61-G76&lt;0,0,'Data Entry - SOF'!F61-G76)</f>
        <v>#N/A</v>
      </c>
      <c r="H77" s="42"/>
      <c r="I77" s="42"/>
      <c r="J77" s="42"/>
      <c r="K77" s="605" t="s">
        <v>5416</v>
      </c>
      <c r="L77" s="500"/>
      <c r="M77" s="500"/>
      <c r="N77" s="500"/>
      <c r="O77" s="500"/>
      <c r="P77" s="500"/>
      <c r="Q77" s="608" t="e">
        <f>IF('Data Entry - SOF'!H61-Q76&lt;0,0,'Data Entry - SOF'!H61-Q76)</f>
        <v>#N/A</v>
      </c>
      <c r="R77" s="148" t="s">
        <v>5416</v>
      </c>
      <c r="S77" s="149"/>
      <c r="T77" s="149"/>
      <c r="U77" s="149"/>
      <c r="V77" s="149"/>
      <c r="W77" s="149"/>
      <c r="X77" s="411" t="e">
        <f>IF('Data Entry - SOF'!H61-X76&lt;0,0,'Data Entry - SOF'!H61-X76)</f>
        <v>#N/A</v>
      </c>
    </row>
    <row r="78" spans="1:24">
      <c r="A78" s="252" t="s">
        <v>3241</v>
      </c>
      <c r="B78" s="217"/>
      <c r="C78" s="217"/>
      <c r="D78" s="217"/>
      <c r="E78" s="217"/>
      <c r="F78" s="217"/>
      <c r="G78" s="404" t="e">
        <f>G77/'Data Entry - SOF'!F61</f>
        <v>#N/A</v>
      </c>
      <c r="H78" s="42"/>
      <c r="I78" s="42"/>
      <c r="J78" s="42"/>
      <c r="K78" s="605" t="s">
        <v>3241</v>
      </c>
      <c r="L78" s="500"/>
      <c r="M78" s="500"/>
      <c r="N78" s="500"/>
      <c r="O78" s="500"/>
      <c r="P78" s="500"/>
      <c r="Q78" s="606" t="e">
        <f>Q77/'Data Entry - SOF'!H61</f>
        <v>#N/A</v>
      </c>
      <c r="R78" s="148" t="s">
        <v>3241</v>
      </c>
      <c r="S78" s="149"/>
      <c r="T78" s="149"/>
      <c r="U78" s="149"/>
      <c r="V78" s="149"/>
      <c r="W78" s="149"/>
      <c r="X78" s="150" t="e">
        <f>X77/'Data Entry - SOF'!H61</f>
        <v>#N/A</v>
      </c>
    </row>
    <row r="79" spans="1:24">
      <c r="A79" s="252"/>
      <c r="B79" s="217"/>
      <c r="C79" s="217"/>
      <c r="D79" s="217"/>
      <c r="E79" s="217"/>
      <c r="F79" s="217"/>
      <c r="G79" s="404"/>
      <c r="H79" s="42"/>
      <c r="I79" s="42"/>
      <c r="J79" s="42"/>
      <c r="K79" s="605"/>
      <c r="L79" s="500"/>
      <c r="M79" s="500"/>
      <c r="N79" s="500"/>
      <c r="O79" s="500"/>
      <c r="P79" s="500"/>
      <c r="Q79" s="606"/>
      <c r="R79" s="148"/>
      <c r="S79" s="149"/>
      <c r="T79" s="149"/>
      <c r="U79" s="149"/>
      <c r="V79" s="149"/>
      <c r="W79" s="149"/>
      <c r="X79" s="150"/>
    </row>
    <row r="80" spans="1:24">
      <c r="A80" s="252" t="s">
        <v>3236</v>
      </c>
      <c r="B80" s="217"/>
      <c r="C80" s="217"/>
      <c r="D80" s="217"/>
      <c r="E80" s="217"/>
      <c r="F80" s="217"/>
      <c r="G80" s="404"/>
      <c r="K80" s="605" t="s">
        <v>3236</v>
      </c>
      <c r="L80" s="500"/>
      <c r="M80" s="500"/>
      <c r="N80" s="500"/>
      <c r="O80" s="500"/>
      <c r="P80" s="500"/>
      <c r="Q80" s="606"/>
      <c r="R80" s="148" t="s">
        <v>3236</v>
      </c>
      <c r="S80" s="149"/>
      <c r="T80" s="149"/>
      <c r="U80" s="149"/>
      <c r="V80" s="149"/>
      <c r="W80" s="149"/>
      <c r="X80" s="150"/>
    </row>
    <row r="81" spans="1:24">
      <c r="A81" s="407" t="s">
        <v>3238</v>
      </c>
      <c r="B81" s="217"/>
      <c r="C81" s="217"/>
      <c r="D81" s="217"/>
      <c r="E81" s="217"/>
      <c r="F81" s="217"/>
      <c r="G81" s="405" t="e">
        <f>(('Data Entry - SOF'!F18-'Data Entry - SOF'!F19)/'Data Entry - SOF'!F20)*'Data Entry - SOF'!F61</f>
        <v>#N/A</v>
      </c>
      <c r="K81" s="609" t="s">
        <v>983</v>
      </c>
      <c r="L81" s="500"/>
      <c r="M81" s="500"/>
      <c r="N81" s="500"/>
      <c r="O81" s="500"/>
      <c r="P81" s="500"/>
      <c r="Q81" s="607" t="e">
        <f>Q62</f>
        <v>#N/A</v>
      </c>
      <c r="R81" s="412" t="s">
        <v>273</v>
      </c>
      <c r="S81" s="149"/>
      <c r="T81" s="149"/>
      <c r="U81" s="149"/>
      <c r="V81" s="149"/>
      <c r="W81" s="149"/>
      <c r="X81" s="303" t="e">
        <f>X62</f>
        <v>#N/A</v>
      </c>
    </row>
    <row r="82" spans="1:24">
      <c r="A82" s="408" t="s">
        <v>3237</v>
      </c>
      <c r="B82" s="387"/>
      <c r="C82" s="387"/>
      <c r="D82" s="387"/>
      <c r="E82" s="387"/>
      <c r="F82" s="387"/>
      <c r="G82" s="385" t="e">
        <f>G81*G78</f>
        <v>#N/A</v>
      </c>
      <c r="K82" s="610" t="s">
        <v>3237</v>
      </c>
      <c r="L82" s="611"/>
      <c r="M82" s="611"/>
      <c r="N82" s="611"/>
      <c r="O82" s="611"/>
      <c r="P82" s="611"/>
      <c r="Q82" s="612" t="e">
        <f>Q81*Q78</f>
        <v>#N/A</v>
      </c>
      <c r="R82" s="413" t="s">
        <v>3237</v>
      </c>
      <c r="S82" s="152"/>
      <c r="T82" s="152"/>
      <c r="U82" s="152"/>
      <c r="V82" s="152"/>
      <c r="W82" s="152"/>
      <c r="X82" s="304" t="e">
        <f>X81*X78</f>
        <v>#N/A</v>
      </c>
    </row>
    <row r="83" spans="1:24">
      <c r="R83" s="616"/>
      <c r="S83" s="616"/>
      <c r="T83" s="616"/>
      <c r="U83" s="616"/>
      <c r="V83" s="616"/>
      <c r="W83" s="616"/>
      <c r="X83" s="616"/>
    </row>
    <row r="84" spans="1:24">
      <c r="R84" s="616"/>
      <c r="S84" s="616"/>
      <c r="T84" s="616"/>
      <c r="U84" s="616"/>
      <c r="V84" s="616"/>
      <c r="W84" s="616"/>
      <c r="X84" s="616"/>
    </row>
    <row r="85" spans="1:24">
      <c r="R85" s="616"/>
      <c r="S85" s="616"/>
      <c r="T85" s="616"/>
      <c r="U85" s="616"/>
      <c r="V85" s="616"/>
      <c r="W85" s="616"/>
      <c r="X85" s="616"/>
    </row>
    <row r="86" spans="1:24">
      <c r="F86" t="s">
        <v>1973</v>
      </c>
      <c r="G86" s="144" t="e">
        <f>'Option Costs'!C21*((0.053571429*('Data Entry - SOF'!F101/1.5))+1)</f>
        <v>#N/A</v>
      </c>
      <c r="Q86" s="615" t="e">
        <f>'Option Costs'!G21*((0.053571429*('Data Entry - SOF'!H101/1.33005))+1)</f>
        <v>#N/A</v>
      </c>
      <c r="R86" s="616"/>
      <c r="S86" s="616"/>
      <c r="T86" s="616"/>
      <c r="U86" s="616"/>
      <c r="V86" s="616"/>
      <c r="W86" s="616"/>
      <c r="X86" s="335" t="e">
        <f>'Option Costs'!G21*((0.053571429*('Data Entry - SOF'!H101/1.33005))+1)</f>
        <v>#N/A</v>
      </c>
    </row>
    <row r="95" spans="1:24">
      <c r="A95" t="s">
        <v>2051</v>
      </c>
      <c r="G95" s="390" t="e">
        <f>G59*'Data Entry - SOF'!F70</f>
        <v>#N/A</v>
      </c>
      <c r="Q95" s="364" t="e">
        <f>Q59*'Data Entry - SOF'!H70</f>
        <v>#N/A</v>
      </c>
    </row>
  </sheetData>
  <sheetProtection sheet="1" objects="1" scenarios="1"/>
  <phoneticPr fontId="0" type="noConversion"/>
  <pageMargins left="0.25" right="0.25" top="0.5" bottom="0.5" header="0.5" footer="0.5"/>
  <pageSetup scale="61" orientation="portrait" r:id="rId1"/>
  <headerFooter alignWithMargins="0">
    <oddFooter>&amp;L&amp;G</oddFoot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dimension ref="A1:I56"/>
  <sheetViews>
    <sheetView topLeftCell="A8" workbookViewId="0">
      <selection activeCell="H24" sqref="H24"/>
    </sheetView>
  </sheetViews>
  <sheetFormatPr defaultRowHeight="13.2"/>
  <cols>
    <col min="1" max="1" width="3.21875" customWidth="1"/>
    <col min="2" max="2" width="2.77734375" customWidth="1"/>
    <col min="3" max="3" width="20.5546875" customWidth="1"/>
    <col min="4" max="4" width="17.21875" customWidth="1"/>
    <col min="6" max="6" width="13.21875" customWidth="1"/>
    <col min="7" max="7" width="21.77734375" customWidth="1"/>
    <col min="8" max="8" width="15.77734375" style="136" customWidth="1"/>
    <col min="9" max="9" width="15.5546875" style="132" customWidth="1"/>
  </cols>
  <sheetData>
    <row r="1" spans="1:9">
      <c r="H1" s="248" t="str">
        <f>'SOF0506-CL'!F1</f>
        <v>Current Law</v>
      </c>
    </row>
    <row r="2" spans="1:9">
      <c r="H2" s="248" t="str">
        <f>'SOF0506-CL'!F2</f>
        <v>Release 09-10; Revised 10/18/11</v>
      </c>
    </row>
    <row r="4" spans="1:9">
      <c r="A4" s="57" t="s">
        <v>1782</v>
      </c>
    </row>
    <row r="5" spans="1:9">
      <c r="A5" s="57" t="s">
        <v>29</v>
      </c>
    </row>
    <row r="6" spans="1:9">
      <c r="A6" s="57" t="s">
        <v>1783</v>
      </c>
    </row>
    <row r="9" spans="1:9">
      <c r="A9" s="71" t="s">
        <v>7719</v>
      </c>
      <c r="B9" t="s">
        <v>1813</v>
      </c>
      <c r="H9" s="192" t="e">
        <f>2.44*'Calc Data'!D31*IF('Calc Data'!D35&gt;0.64,0.64,'Calc Data'!D35)*100</f>
        <v>#N/A</v>
      </c>
      <c r="I9" s="334" t="e">
        <f>2.44*'Calc Data'!E31*IF('Calc Data'!E35&gt;0.64,0.64,'Calc Data'!E35)*100</f>
        <v>#DIV/0!</v>
      </c>
    </row>
    <row r="10" spans="1:9">
      <c r="A10" s="71"/>
      <c r="C10" t="s">
        <v>5405</v>
      </c>
      <c r="H10" s="192"/>
      <c r="I10" s="334"/>
    </row>
    <row r="11" spans="1:9">
      <c r="A11" s="71" t="s">
        <v>7720</v>
      </c>
      <c r="B11" t="s">
        <v>767</v>
      </c>
      <c r="H11" s="192"/>
      <c r="I11" s="334"/>
    </row>
    <row r="12" spans="1:9">
      <c r="A12" s="71" t="s">
        <v>5406</v>
      </c>
      <c r="C12" t="s">
        <v>770</v>
      </c>
      <c r="E12" s="55" t="e">
        <f>'Data Entry - SOF'!F62/'Calc Data'!D31/10000</f>
        <v>#N/A</v>
      </c>
      <c r="H12" s="192"/>
      <c r="I12" s="334"/>
    </row>
    <row r="13" spans="1:9">
      <c r="A13" s="71" t="s">
        <v>5407</v>
      </c>
      <c r="C13" t="s">
        <v>771</v>
      </c>
      <c r="E13" s="157" t="e">
        <f>'Data Entry - SOF'!F21/'Calc Data'!D31/10000</f>
        <v>#N/A</v>
      </c>
      <c r="H13" s="141"/>
      <c r="I13" s="250"/>
    </row>
    <row r="14" spans="1:9">
      <c r="A14" s="71" t="s">
        <v>5408</v>
      </c>
      <c r="C14" t="s">
        <v>5409</v>
      </c>
      <c r="E14" s="72" t="e">
        <f>IF(E12-E13&lt;0,0,E12-E13)</f>
        <v>#N/A</v>
      </c>
      <c r="H14" s="141"/>
      <c r="I14" s="250"/>
    </row>
    <row r="15" spans="1:9">
      <c r="A15" s="71"/>
      <c r="E15" s="42"/>
      <c r="H15" s="141"/>
      <c r="I15" s="250"/>
    </row>
    <row r="16" spans="1:9">
      <c r="A16" s="71" t="s">
        <v>7721</v>
      </c>
      <c r="B16" s="57" t="s">
        <v>772</v>
      </c>
      <c r="H16" s="192" t="e">
        <f>IF((2.44-E14)*'Calc Data'!D31*IF('Calc Data'!D35&gt;0.64,0.64,'Calc Data'!D35)*100&lt;0,0,(2.44-E14)*'Calc Data'!D31*IF('Calc Data'!D35&gt;0.64,0.64,'Calc Data'!D35)*100)</f>
        <v>#N/A</v>
      </c>
      <c r="I16" s="334" t="e">
        <f>IF((2.44-E14)*'Calc Data'!E31*IF('Calc Data'!E35&gt;0.64,0.64,'Calc Data'!E35)*100&lt;0,0,(2.44-E14)*'Calc Data'!E31*IF('Calc Data'!E35&gt;0.64,0.64,'Calc Data'!E35)*100)</f>
        <v>#N/A</v>
      </c>
    </row>
    <row r="17" spans="1:9">
      <c r="A17" s="71"/>
      <c r="B17" s="57"/>
      <c r="C17" t="s">
        <v>3164</v>
      </c>
      <c r="H17" s="192"/>
      <c r="I17" s="334"/>
    </row>
    <row r="19" spans="1:9">
      <c r="A19" s="71" t="s">
        <v>6285</v>
      </c>
      <c r="B19" t="s">
        <v>6150</v>
      </c>
      <c r="H19" s="192" t="e">
        <f>'SOF0506-CL'!F40+'SOF0506-CL'!F42</f>
        <v>#N/A</v>
      </c>
      <c r="I19" s="334" t="e">
        <f>'SOF0607-CL'!F40+'SOF0607-CL'!F42</f>
        <v>#DIV/0!</v>
      </c>
    </row>
    <row r="20" spans="1:9">
      <c r="A20" s="71" t="s">
        <v>6286</v>
      </c>
      <c r="B20" t="s">
        <v>762</v>
      </c>
      <c r="H20" s="186" t="e">
        <f>'SOF0506-CL'!F40+'SOF0506-CL'!G42</f>
        <v>#N/A</v>
      </c>
      <c r="I20" s="337" t="e">
        <f>'SOF0607-CL'!F40+'SOF0607-CL'!G42</f>
        <v>#DIV/0!</v>
      </c>
    </row>
    <row r="21" spans="1:9">
      <c r="A21" s="71" t="s">
        <v>6288</v>
      </c>
      <c r="B21" s="57" t="s">
        <v>5410</v>
      </c>
      <c r="H21" s="192" t="e">
        <f>H19-H20</f>
        <v>#N/A</v>
      </c>
      <c r="I21" s="334" t="e">
        <f>I19-I20</f>
        <v>#DIV/0!</v>
      </c>
    </row>
    <row r="22" spans="1:9">
      <c r="H22" s="192"/>
      <c r="I22" s="334"/>
    </row>
    <row r="23" spans="1:9">
      <c r="A23" s="71" t="s">
        <v>6289</v>
      </c>
      <c r="B23" t="s">
        <v>1216</v>
      </c>
      <c r="H23" s="192" t="e">
        <f>D53</f>
        <v>#N/A</v>
      </c>
      <c r="I23" s="334" t="e">
        <f>F53</f>
        <v>#N/A</v>
      </c>
    </row>
    <row r="24" spans="1:9">
      <c r="A24" s="71" t="s">
        <v>6290</v>
      </c>
      <c r="B24" t="s">
        <v>763</v>
      </c>
      <c r="H24" s="186" t="e">
        <f>D43</f>
        <v>#N/A</v>
      </c>
      <c r="I24" s="337" t="e">
        <f>F43</f>
        <v>#N/A</v>
      </c>
    </row>
    <row r="25" spans="1:9">
      <c r="A25" s="71" t="s">
        <v>5115</v>
      </c>
      <c r="B25" s="57" t="s">
        <v>1620</v>
      </c>
      <c r="H25" s="192">
        <f>IF('Data Entry - SOF'!F89="N",0,D56)</f>
        <v>0</v>
      </c>
      <c r="I25" s="334">
        <f>IF('Data Entry - SOF'!F89="N",0,F56)</f>
        <v>0</v>
      </c>
    </row>
    <row r="26" spans="1:9">
      <c r="H26" s="192"/>
      <c r="I26" s="334"/>
    </row>
    <row r="28" spans="1:9">
      <c r="A28" s="71" t="s">
        <v>5116</v>
      </c>
      <c r="B28" s="57" t="s">
        <v>3163</v>
      </c>
      <c r="C28" s="57"/>
      <c r="D28" s="57"/>
      <c r="E28" s="57"/>
      <c r="F28" s="57"/>
      <c r="G28" s="57"/>
      <c r="H28" s="192" t="e">
        <f>IF(H16-H21-H25&lt;0,0,H16-H21-H25)</f>
        <v>#N/A</v>
      </c>
      <c r="I28" s="334" t="e">
        <f>IF(I16-I21-I25&lt;0,0,I16-I21-I25)</f>
        <v>#N/A</v>
      </c>
    </row>
    <row r="29" spans="1:9">
      <c r="A29" s="71"/>
      <c r="B29" s="132" t="s">
        <v>5010</v>
      </c>
      <c r="C29" s="57"/>
      <c r="D29" s="57"/>
      <c r="E29" s="57"/>
      <c r="F29" s="57"/>
      <c r="G29" s="57"/>
      <c r="H29" s="192"/>
      <c r="I29" s="334"/>
    </row>
    <row r="30" spans="1:9">
      <c r="B30" s="132" t="s">
        <v>1797</v>
      </c>
    </row>
    <row r="31" spans="1:9">
      <c r="B31" s="132" t="s">
        <v>1798</v>
      </c>
    </row>
    <row r="33" spans="1:9">
      <c r="A33" s="71" t="s">
        <v>5117</v>
      </c>
      <c r="B33" s="57" t="s">
        <v>1796</v>
      </c>
      <c r="C33" s="57"/>
      <c r="D33" s="57"/>
      <c r="E33" s="57"/>
      <c r="F33" s="57"/>
      <c r="G33" s="57"/>
      <c r="H33" s="191" t="e">
        <f>H28*0.19</f>
        <v>#N/A</v>
      </c>
      <c r="I33" s="364" t="e">
        <f>I28*0.19</f>
        <v>#N/A</v>
      </c>
    </row>
    <row r="34" spans="1:9">
      <c r="B34" s="132" t="s">
        <v>3524</v>
      </c>
    </row>
    <row r="36" spans="1:9">
      <c r="B36" t="s">
        <v>764</v>
      </c>
      <c r="D36" s="360" t="e">
        <f>'Calc Data'!D31</f>
        <v>#N/A</v>
      </c>
      <c r="F36" s="362" t="e">
        <f>'Calc Data'!E31</f>
        <v>#DIV/0!</v>
      </c>
    </row>
    <row r="37" spans="1:9">
      <c r="B37" s="71" t="s">
        <v>1952</v>
      </c>
      <c r="D37" s="192" t="e">
        <f>IF('Salary Transition'!G53&gt;295000,D36*'Salary Transition'!G53,D36*295000)</f>
        <v>#N/A</v>
      </c>
      <c r="F37" s="192" t="e">
        <f>IF('Salary Transition'!Q53&gt;295000,F36*'Salary Transition'!Q53,F36*295000)</f>
        <v>#N/A</v>
      </c>
    </row>
    <row r="38" spans="1:9">
      <c r="B38" t="s">
        <v>2976</v>
      </c>
      <c r="D38" s="192"/>
      <c r="F38" s="334"/>
    </row>
    <row r="39" spans="1:9">
      <c r="B39" t="s">
        <v>765</v>
      </c>
      <c r="D39" s="192" t="e">
        <f>'Data Entry - SOF'!F61</f>
        <v>#N/A</v>
      </c>
      <c r="F39" s="334" t="e">
        <f>'Data Entry - SOF'!H61</f>
        <v>#N/A</v>
      </c>
    </row>
    <row r="40" spans="1:9">
      <c r="B40" t="s">
        <v>1953</v>
      </c>
      <c r="D40" s="192" t="e">
        <f>IF(D39-D37&lt;0,0,D39-D37)</f>
        <v>#N/A</v>
      </c>
      <c r="F40" s="334" t="e">
        <f>IF(F39-F37&lt;0,0,F39-F37)</f>
        <v>#N/A</v>
      </c>
    </row>
    <row r="41" spans="1:9">
      <c r="B41" t="s">
        <v>1955</v>
      </c>
      <c r="D41" s="361" t="e">
        <f>D40/D39</f>
        <v>#N/A</v>
      </c>
      <c r="F41" s="363" t="e">
        <f>F40/F39</f>
        <v>#N/A</v>
      </c>
    </row>
    <row r="42" spans="1:9">
      <c r="B42" t="s">
        <v>766</v>
      </c>
      <c r="D42" s="192">
        <f>'Data Entry - SOF'!F70</f>
        <v>0</v>
      </c>
      <c r="F42" s="334">
        <f>'Data Entry - SOF'!H70</f>
        <v>0</v>
      </c>
    </row>
    <row r="43" spans="1:9">
      <c r="B43" t="s">
        <v>1954</v>
      </c>
      <c r="D43" s="192" t="e">
        <f>D41*D42</f>
        <v>#N/A</v>
      </c>
      <c r="F43" s="334" t="e">
        <f>F41*F42</f>
        <v>#N/A</v>
      </c>
    </row>
    <row r="44" spans="1:9">
      <c r="B44" t="s">
        <v>2976</v>
      </c>
      <c r="D44" s="192"/>
      <c r="F44" s="334"/>
    </row>
    <row r="45" spans="1:9">
      <c r="D45" s="136"/>
      <c r="F45" s="132"/>
    </row>
    <row r="46" spans="1:9">
      <c r="B46" t="s">
        <v>764</v>
      </c>
      <c r="D46" s="360" t="e">
        <f>D36</f>
        <v>#N/A</v>
      </c>
      <c r="F46" s="362" t="e">
        <f>F36</f>
        <v>#DIV/0!</v>
      </c>
    </row>
    <row r="47" spans="1:9">
      <c r="B47" s="71" t="s">
        <v>1218</v>
      </c>
      <c r="D47" s="192" t="e">
        <f>IF('Option Costs'!C22&gt;305000,D46*'Option Costs'!C22,D46*305000)</f>
        <v>#N/A</v>
      </c>
      <c r="F47" s="192" t="e">
        <f>IF('Option Costs'!G22&gt;305000,F46*'Option Costs'!G22,F46*305000)</f>
        <v>#N/A</v>
      </c>
    </row>
    <row r="48" spans="1:9">
      <c r="B48" t="s">
        <v>2976</v>
      </c>
      <c r="D48" s="192"/>
      <c r="F48" s="334"/>
    </row>
    <row r="49" spans="2:6">
      <c r="B49" t="s">
        <v>765</v>
      </c>
      <c r="D49" s="192" t="e">
        <f>D39</f>
        <v>#N/A</v>
      </c>
      <c r="F49" s="334" t="e">
        <f>F39</f>
        <v>#N/A</v>
      </c>
    </row>
    <row r="50" spans="2:6">
      <c r="B50" t="s">
        <v>1953</v>
      </c>
      <c r="D50" s="192" t="e">
        <f>IF(D49-D47&lt;0,0,D49-D47)</f>
        <v>#N/A</v>
      </c>
      <c r="F50" s="334" t="e">
        <f>IF(F49-F47&lt;0,0,F49-F47)</f>
        <v>#N/A</v>
      </c>
    </row>
    <row r="51" spans="2:6">
      <c r="B51" t="s">
        <v>1955</v>
      </c>
      <c r="D51" s="136" t="e">
        <f>D50/D49</f>
        <v>#N/A</v>
      </c>
      <c r="F51" s="132" t="e">
        <f>F50/F49</f>
        <v>#N/A</v>
      </c>
    </row>
    <row r="52" spans="2:6">
      <c r="B52" t="s">
        <v>766</v>
      </c>
      <c r="D52" s="192">
        <f>D42</f>
        <v>0</v>
      </c>
      <c r="F52" s="334">
        <f>F42</f>
        <v>0</v>
      </c>
    </row>
    <row r="53" spans="2:6">
      <c r="B53" t="s">
        <v>1217</v>
      </c>
      <c r="D53" s="299" t="e">
        <f>D51*D52</f>
        <v>#N/A</v>
      </c>
      <c r="E53" s="215"/>
      <c r="F53" s="395" t="e">
        <f>F51*F52</f>
        <v>#N/A</v>
      </c>
    </row>
    <row r="54" spans="2:6">
      <c r="B54" t="s">
        <v>2976</v>
      </c>
      <c r="D54" s="136"/>
      <c r="F54" s="132"/>
    </row>
    <row r="55" spans="2:6">
      <c r="D55" s="136"/>
      <c r="F55" s="132"/>
    </row>
    <row r="56" spans="2:6">
      <c r="B56" s="123" t="s">
        <v>2665</v>
      </c>
      <c r="D56" s="192" t="e">
        <f>IF(D43-D53&lt;0,0,D43-D53)</f>
        <v>#N/A</v>
      </c>
      <c r="F56" s="334" t="e">
        <f>IF(F43-F53&lt;0,0,F43-F53)</f>
        <v>#N/A</v>
      </c>
    </row>
  </sheetData>
  <phoneticPr fontId="0" type="noConversion"/>
  <pageMargins left="0.25" right="0.25" top="0.5" bottom="0.5"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64"/>
  <sheetViews>
    <sheetView workbookViewId="0">
      <selection activeCell="F18" sqref="F18"/>
    </sheetView>
  </sheetViews>
  <sheetFormatPr defaultColWidth="9.21875" defaultRowHeight="13.2"/>
  <cols>
    <col min="1" max="1" width="3.5546875" style="112" customWidth="1"/>
    <col min="2" max="2" width="3.21875" style="112" customWidth="1"/>
    <col min="3" max="3" width="3.44140625" style="112" customWidth="1"/>
    <col min="4" max="5" width="9.21875" style="112" customWidth="1"/>
    <col min="6" max="6" width="51.21875" style="112" customWidth="1"/>
    <col min="7" max="7" width="20" style="698" customWidth="1"/>
    <col min="8" max="8" width="16.77734375" style="699" customWidth="1"/>
    <col min="9" max="9" width="12.77734375" style="112" bestFit="1" customWidth="1"/>
    <col min="10" max="10" width="9.21875" style="701" customWidth="1"/>
    <col min="11" max="11" width="13.21875" style="701" customWidth="1"/>
    <col min="12" max="16384" width="9.21875" style="112"/>
  </cols>
  <sheetData>
    <row r="1" spans="1:12" ht="22.8">
      <c r="B1" s="694"/>
      <c r="C1" s="695" t="s">
        <v>3321</v>
      </c>
      <c r="D1" s="696"/>
      <c r="E1" s="697"/>
      <c r="I1" s="700"/>
    </row>
    <row r="2" spans="1:12" ht="22.8">
      <c r="B2" s="694"/>
      <c r="D2" s="702"/>
      <c r="E2" s="697"/>
      <c r="F2" s="696" t="s">
        <v>3322</v>
      </c>
      <c r="G2" s="703"/>
      <c r="I2" s="700"/>
    </row>
    <row r="3" spans="1:12" ht="23.4" thickBot="1">
      <c r="A3" s="704"/>
      <c r="B3" s="705"/>
      <c r="C3" s="704"/>
      <c r="D3" s="706"/>
      <c r="E3" s="707" t="s">
        <v>3323</v>
      </c>
      <c r="F3" s="708"/>
      <c r="G3" s="709"/>
      <c r="H3" s="710"/>
      <c r="I3" s="711"/>
    </row>
    <row r="4" spans="1:12">
      <c r="B4" s="694"/>
      <c r="J4" s="113"/>
    </row>
    <row r="5" spans="1:12">
      <c r="B5" s="694"/>
      <c r="D5" s="712" t="s">
        <v>634</v>
      </c>
      <c r="E5" s="713"/>
      <c r="G5" s="714" t="s">
        <v>3324</v>
      </c>
      <c r="H5" s="715" t="s">
        <v>3325</v>
      </c>
      <c r="I5" s="716" t="s">
        <v>3326</v>
      </c>
      <c r="J5" s="113"/>
      <c r="K5" s="717"/>
    </row>
    <row r="6" spans="1:12">
      <c r="B6" s="694"/>
      <c r="D6" s="718" t="s">
        <v>3327</v>
      </c>
      <c r="G6" s="719">
        <f>'Copy LPE'!B7</f>
        <v>0</v>
      </c>
      <c r="H6" s="720" t="e">
        <f>'Calc Data'!F9</f>
        <v>#DIV/0!</v>
      </c>
      <c r="I6" s="721" t="e">
        <f t="shared" ref="I6:I11" si="0">H6-G6</f>
        <v>#DIV/0!</v>
      </c>
      <c r="J6" s="722"/>
      <c r="K6" s="717"/>
    </row>
    <row r="7" spans="1:12">
      <c r="B7" s="694"/>
      <c r="D7" s="718" t="s">
        <v>3328</v>
      </c>
      <c r="G7" s="719">
        <f>'Copy LPE'!B8</f>
        <v>0</v>
      </c>
      <c r="H7" s="720" t="e">
        <f>'Calc Data'!F10</f>
        <v>#DIV/0!</v>
      </c>
      <c r="I7" s="721" t="e">
        <f t="shared" si="0"/>
        <v>#DIV/0!</v>
      </c>
      <c r="J7" s="722"/>
      <c r="K7" s="717"/>
    </row>
    <row r="8" spans="1:12">
      <c r="B8" s="694"/>
      <c r="D8" s="718" t="s">
        <v>3329</v>
      </c>
      <c r="G8" s="719">
        <f>'Copy LPE'!B9</f>
        <v>0</v>
      </c>
      <c r="H8" s="720">
        <f>'SOF0607-HB1'!F9</f>
        <v>0</v>
      </c>
      <c r="I8" s="721">
        <f t="shared" si="0"/>
        <v>0</v>
      </c>
      <c r="J8" s="722"/>
      <c r="K8" s="717"/>
    </row>
    <row r="9" spans="1:12">
      <c r="B9" s="694"/>
      <c r="D9" s="718" t="s">
        <v>3330</v>
      </c>
      <c r="G9" s="719">
        <f>'Copy LPE'!B10</f>
        <v>0</v>
      </c>
      <c r="H9" s="720" t="e">
        <f>'SOF0607-HB1'!F10</f>
        <v>#DIV/0!</v>
      </c>
      <c r="I9" s="721" t="e">
        <f t="shared" si="0"/>
        <v>#DIV/0!</v>
      </c>
      <c r="J9" s="722"/>
      <c r="K9" s="717"/>
    </row>
    <row r="10" spans="1:12">
      <c r="B10" s="694"/>
      <c r="D10" s="718" t="s">
        <v>3331</v>
      </c>
      <c r="G10" s="719">
        <f>'Copy LPE'!B11</f>
        <v>0</v>
      </c>
      <c r="H10" s="720" t="e">
        <f>'SOF0607-HB1'!F11</f>
        <v>#DIV/0!</v>
      </c>
      <c r="I10" s="721" t="e">
        <f t="shared" si="0"/>
        <v>#DIV/0!</v>
      </c>
      <c r="J10" s="722"/>
      <c r="K10" s="723"/>
    </row>
    <row r="11" spans="1:12" ht="17.399999999999999">
      <c r="B11" s="724"/>
      <c r="D11" s="718" t="s">
        <v>3332</v>
      </c>
      <c r="G11" s="719">
        <f>'Copy LPE'!B12</f>
        <v>0</v>
      </c>
      <c r="H11" s="720" t="e">
        <f>#REF!</f>
        <v>#REF!</v>
      </c>
      <c r="I11" s="721" t="e">
        <f t="shared" si="0"/>
        <v>#REF!</v>
      </c>
      <c r="J11" s="725"/>
      <c r="K11" s="726"/>
      <c r="L11" s="723"/>
    </row>
    <row r="12" spans="1:12" ht="17.399999999999999">
      <c r="B12" s="724"/>
      <c r="D12" s="718" t="s">
        <v>3333</v>
      </c>
      <c r="G12" s="719">
        <f>'Copy LPE'!B13</f>
        <v>0</v>
      </c>
      <c r="H12" s="720">
        <f>'Data Entry - SOF'!H57</f>
        <v>0</v>
      </c>
      <c r="I12" s="721"/>
      <c r="J12" s="725"/>
      <c r="K12" s="726"/>
      <c r="L12" s="723"/>
    </row>
    <row r="13" spans="1:12" ht="17.399999999999999">
      <c r="B13" s="724"/>
      <c r="D13" s="718" t="s">
        <v>3334</v>
      </c>
      <c r="G13" s="719">
        <f>'Copy LPE'!B14</f>
        <v>0</v>
      </c>
      <c r="H13" s="720">
        <f>'Data Entry - SOF'!H96</f>
        <v>0</v>
      </c>
      <c r="I13" s="721"/>
      <c r="J13" s="725"/>
      <c r="K13" s="726"/>
      <c r="L13" s="723"/>
    </row>
    <row r="14" spans="1:12" ht="17.399999999999999">
      <c r="B14" s="724"/>
      <c r="D14" s="718" t="s">
        <v>3335</v>
      </c>
      <c r="G14" s="719">
        <f>'Copy LPE'!B15</f>
        <v>0</v>
      </c>
      <c r="H14" s="720">
        <f>'Data Entry - SOF'!H98</f>
        <v>0</v>
      </c>
      <c r="I14" s="721"/>
      <c r="J14" s="725"/>
      <c r="K14" s="726"/>
      <c r="L14" s="723"/>
    </row>
    <row r="15" spans="1:12" ht="17.399999999999999">
      <c r="B15" s="724"/>
      <c r="D15" s="718" t="s">
        <v>3336</v>
      </c>
      <c r="G15" s="719">
        <f>'Copy LPE'!B16</f>
        <v>0</v>
      </c>
      <c r="H15" s="720">
        <f>'Data Entry - SOF'!H99</f>
        <v>0</v>
      </c>
      <c r="I15" s="721"/>
      <c r="J15" s="725"/>
      <c r="K15" s="726"/>
      <c r="L15" s="723"/>
    </row>
    <row r="16" spans="1:12" ht="17.399999999999999">
      <c r="B16" s="724"/>
      <c r="D16" s="718" t="s">
        <v>3337</v>
      </c>
      <c r="G16" s="727">
        <f>'Copy LPE'!B17</f>
        <v>0</v>
      </c>
      <c r="H16" s="728" t="e">
        <f>'Data Entry - SOF'!H60</f>
        <v>#N/A</v>
      </c>
      <c r="I16" s="721"/>
      <c r="J16" s="725"/>
      <c r="K16" s="729"/>
      <c r="L16" s="723"/>
    </row>
    <row r="17" spans="2:12">
      <c r="B17" s="694"/>
      <c r="D17" s="718" t="s">
        <v>3338</v>
      </c>
      <c r="G17" s="727">
        <f>'Copy LPE'!B18</f>
        <v>0</v>
      </c>
      <c r="H17" s="728" t="e">
        <f>'Data Entry - SOF'!H60</f>
        <v>#N/A</v>
      </c>
      <c r="I17" s="730"/>
      <c r="J17" s="725"/>
      <c r="K17" s="723"/>
      <c r="L17" s="723"/>
    </row>
    <row r="18" spans="2:12">
      <c r="B18" s="694"/>
      <c r="D18" s="718" t="s">
        <v>3339</v>
      </c>
      <c r="G18" s="727">
        <f>'Copy LPE'!B19</f>
        <v>0</v>
      </c>
      <c r="H18" s="728" t="e">
        <f>'Data Entry - SOF'!H61</f>
        <v>#N/A</v>
      </c>
      <c r="I18" s="730"/>
      <c r="J18" s="725"/>
      <c r="L18" s="723"/>
    </row>
    <row r="19" spans="2:12">
      <c r="B19" s="694"/>
      <c r="D19" s="718" t="s">
        <v>3340</v>
      </c>
      <c r="G19" s="727">
        <f>'Copy LPE'!B20</f>
        <v>0</v>
      </c>
      <c r="H19" s="728" t="e">
        <f>'Data Entry - SOF'!H60</f>
        <v>#N/A</v>
      </c>
      <c r="I19" s="730"/>
      <c r="J19" s="731"/>
    </row>
    <row r="20" spans="2:12">
      <c r="B20" s="694"/>
      <c r="D20" s="718" t="s">
        <v>3341</v>
      </c>
      <c r="G20" s="727">
        <f>'Copy LPE'!B21</f>
        <v>0</v>
      </c>
      <c r="H20" s="732">
        <f>G20</f>
        <v>0</v>
      </c>
      <c r="I20" s="730"/>
      <c r="J20" s="731"/>
    </row>
    <row r="21" spans="2:12">
      <c r="B21" s="694"/>
      <c r="D21" s="718" t="s">
        <v>3342</v>
      </c>
      <c r="G21" s="733">
        <f>'Copy LPE'!B22</f>
        <v>0</v>
      </c>
      <c r="H21" s="734">
        <f>G21</f>
        <v>0</v>
      </c>
      <c r="I21" s="730"/>
      <c r="J21" s="731"/>
    </row>
    <row r="22" spans="2:12">
      <c r="B22" s="694"/>
      <c r="D22" s="718" t="s">
        <v>3343</v>
      </c>
      <c r="G22" s="733">
        <f>'Copy LPE'!B23</f>
        <v>0</v>
      </c>
      <c r="H22" s="734">
        <f>G22</f>
        <v>0</v>
      </c>
      <c r="I22" s="730"/>
      <c r="J22" s="731"/>
    </row>
    <row r="23" spans="2:12">
      <c r="B23" s="694"/>
      <c r="D23" s="718" t="s">
        <v>3344</v>
      </c>
      <c r="G23" s="793">
        <f>'Copy LPE'!B24</f>
        <v>0</v>
      </c>
      <c r="H23" s="794" t="e">
        <f>'Data Entry - SOF'!H69</f>
        <v>#N/A</v>
      </c>
      <c r="I23" s="730"/>
      <c r="J23" s="731"/>
    </row>
    <row r="24" spans="2:12">
      <c r="B24" s="694"/>
      <c r="D24" s="718" t="s">
        <v>3345</v>
      </c>
      <c r="G24" s="793">
        <f>'Copy LPE'!B25</f>
        <v>0</v>
      </c>
      <c r="H24" s="794" t="e">
        <f>'Data Entry - SOF'!H68</f>
        <v>#N/A</v>
      </c>
      <c r="I24" s="730"/>
      <c r="J24" s="731"/>
    </row>
    <row r="25" spans="2:12">
      <c r="B25" s="694"/>
      <c r="D25" s="718" t="s">
        <v>3346</v>
      </c>
      <c r="G25" s="727">
        <f>'Copy LPE'!B26</f>
        <v>0</v>
      </c>
      <c r="H25" s="728" t="e">
        <f>H26+H27+H29</f>
        <v>#N/A</v>
      </c>
      <c r="I25" s="730"/>
      <c r="J25" s="731"/>
    </row>
    <row r="26" spans="2:12">
      <c r="B26" s="694"/>
      <c r="D26" s="718" t="s">
        <v>3347</v>
      </c>
      <c r="G26" s="727">
        <f>'Copy LPE'!B27</f>
        <v>0</v>
      </c>
      <c r="H26" s="728" t="e">
        <f>'Data Entry - SOF'!H73</f>
        <v>#N/A</v>
      </c>
      <c r="I26" s="730"/>
      <c r="J26" s="731"/>
    </row>
    <row r="27" spans="2:12">
      <c r="B27" s="694"/>
      <c r="D27" s="718" t="s">
        <v>3348</v>
      </c>
      <c r="G27" s="727">
        <f>'Copy LPE'!B28</f>
        <v>0</v>
      </c>
      <c r="H27" s="728" t="e">
        <f>'Calc Data'!F43</f>
        <v>#N/A</v>
      </c>
      <c r="I27" s="730"/>
      <c r="J27" s="731"/>
    </row>
    <row r="28" spans="2:12">
      <c r="B28" s="694"/>
      <c r="D28" s="718" t="s">
        <v>3349</v>
      </c>
      <c r="G28" s="727">
        <f>'Copy LPE'!B29</f>
        <v>0</v>
      </c>
      <c r="H28" s="728" t="e">
        <f>H26+H27</f>
        <v>#N/A</v>
      </c>
      <c r="I28" s="730"/>
      <c r="J28" s="731"/>
    </row>
    <row r="29" spans="2:12">
      <c r="B29" s="694"/>
      <c r="D29" s="718" t="s">
        <v>3350</v>
      </c>
      <c r="G29" s="727">
        <f>'Copy LPE'!B30</f>
        <v>0</v>
      </c>
      <c r="H29" s="728" t="e">
        <f>'Calc Data'!F47</f>
        <v>#N/A</v>
      </c>
      <c r="I29" s="730"/>
      <c r="J29" s="731"/>
    </row>
    <row r="30" spans="2:12">
      <c r="B30" s="724"/>
      <c r="D30" s="735"/>
      <c r="E30" s="701"/>
      <c r="F30" s="701"/>
      <c r="G30" s="719"/>
      <c r="H30" s="736"/>
      <c r="I30" s="737"/>
    </row>
    <row r="31" spans="2:12">
      <c r="B31" s="724"/>
      <c r="D31" s="718" t="s">
        <v>3351</v>
      </c>
      <c r="E31" s="701"/>
      <c r="F31" s="701"/>
      <c r="G31" s="719"/>
      <c r="H31" s="736"/>
      <c r="I31" s="737"/>
    </row>
    <row r="32" spans="2:12">
      <c r="B32" s="724"/>
      <c r="D32" s="718" t="s">
        <v>3352</v>
      </c>
      <c r="G32" s="719"/>
      <c r="H32" s="736"/>
      <c r="I32" s="730"/>
      <c r="J32" s="738"/>
    </row>
    <row r="33" spans="1:14">
      <c r="B33" s="724"/>
      <c r="D33" s="718" t="s">
        <v>3353</v>
      </c>
      <c r="F33" s="739"/>
      <c r="G33" s="727">
        <f>'Copy LPE'!B34</f>
        <v>0</v>
      </c>
      <c r="H33" s="728" t="e">
        <f>'SOF0607-HB1'!E19</f>
        <v>#N/A</v>
      </c>
      <c r="I33" s="730" t="e">
        <f t="shared" ref="I33:I41" si="1">H33-G33</f>
        <v>#N/A</v>
      </c>
      <c r="J33" s="738"/>
    </row>
    <row r="34" spans="1:14" ht="15" customHeight="1">
      <c r="B34" s="724"/>
      <c r="C34" s="740"/>
      <c r="D34" s="718" t="s">
        <v>3354</v>
      </c>
      <c r="F34" s="741"/>
      <c r="G34" s="727">
        <f>'Copy LPE'!B35</f>
        <v>0</v>
      </c>
      <c r="H34" s="728" t="e">
        <f>'SOF0607-HB1'!E20</f>
        <v>#N/A</v>
      </c>
      <c r="I34" s="730" t="e">
        <f t="shared" si="1"/>
        <v>#N/A</v>
      </c>
      <c r="J34" s="738"/>
    </row>
    <row r="35" spans="1:14" ht="15" customHeight="1">
      <c r="B35" s="724"/>
      <c r="D35" s="718" t="s">
        <v>3355</v>
      </c>
      <c r="F35" s="742"/>
      <c r="G35" s="727">
        <f>'Copy LPE'!B36</f>
        <v>0</v>
      </c>
      <c r="H35" s="728" t="e">
        <f>'SOF0607-HB1'!E27</f>
        <v>#N/A</v>
      </c>
      <c r="I35" s="730" t="e">
        <f t="shared" si="1"/>
        <v>#N/A</v>
      </c>
      <c r="J35" s="738"/>
      <c r="K35" s="743"/>
    </row>
    <row r="36" spans="1:14" ht="15" customHeight="1">
      <c r="A36" s="744"/>
      <c r="B36" s="745"/>
      <c r="C36" s="744"/>
      <c r="D36" s="718" t="s">
        <v>3356</v>
      </c>
      <c r="E36" s="746"/>
      <c r="F36" s="746"/>
      <c r="G36" s="727">
        <f>'Copy LPE'!B37</f>
        <v>0</v>
      </c>
      <c r="H36" s="728" t="e">
        <f>'SOF0607-HB1'!E28</f>
        <v>#N/A</v>
      </c>
      <c r="I36" s="730" t="e">
        <f t="shared" si="1"/>
        <v>#N/A</v>
      </c>
      <c r="J36" s="723"/>
      <c r="L36" s="744"/>
      <c r="M36" s="744"/>
      <c r="N36" s="744"/>
    </row>
    <row r="37" spans="1:14">
      <c r="B37" s="724"/>
      <c r="D37" s="718" t="s">
        <v>3357</v>
      </c>
      <c r="F37" s="739"/>
      <c r="G37" s="727">
        <f>'Copy LPE'!B38</f>
        <v>0</v>
      </c>
      <c r="H37" s="728" t="e">
        <f>'SOF0607-HB1'!E30</f>
        <v>#N/A</v>
      </c>
      <c r="I37" s="730" t="e">
        <f t="shared" si="1"/>
        <v>#N/A</v>
      </c>
      <c r="J37" s="738"/>
    </row>
    <row r="38" spans="1:14" ht="12" customHeight="1">
      <c r="B38" s="724"/>
      <c r="D38" s="718" t="s">
        <v>3358</v>
      </c>
      <c r="G38" s="727">
        <f>'Copy LPE'!B39</f>
        <v>0</v>
      </c>
      <c r="H38" s="728" t="e">
        <f>'SOF0607-HB1'!E33</f>
        <v>#N/A</v>
      </c>
      <c r="I38" s="730" t="e">
        <f t="shared" si="1"/>
        <v>#N/A</v>
      </c>
      <c r="J38" s="738"/>
    </row>
    <row r="39" spans="1:14" ht="12" customHeight="1">
      <c r="B39" s="724"/>
      <c r="D39" s="718" t="s">
        <v>3359</v>
      </c>
      <c r="G39" s="727">
        <f>'Copy LPE'!B40</f>
        <v>0</v>
      </c>
      <c r="H39" s="728" t="e">
        <f>'SOF0607-HB1'!E34</f>
        <v>#N/A</v>
      </c>
      <c r="I39" s="730" t="e">
        <f t="shared" si="1"/>
        <v>#N/A</v>
      </c>
      <c r="J39" s="738"/>
    </row>
    <row r="40" spans="1:14" ht="12.75" customHeight="1">
      <c r="B40" s="724"/>
      <c r="D40" s="718" t="s">
        <v>3360</v>
      </c>
      <c r="G40" s="727">
        <f>'Copy LPE'!B41</f>
        <v>0</v>
      </c>
      <c r="H40" s="728">
        <f>'SOF0607-HB1'!E35</f>
        <v>0</v>
      </c>
      <c r="I40" s="747">
        <f t="shared" si="1"/>
        <v>0</v>
      </c>
      <c r="J40" s="738"/>
    </row>
    <row r="41" spans="1:14" ht="12.75" customHeight="1">
      <c r="B41" s="694"/>
      <c r="D41" s="718" t="s">
        <v>3361</v>
      </c>
      <c r="G41" s="727">
        <f>'Copy LPE'!B42</f>
        <v>0</v>
      </c>
      <c r="H41" s="728">
        <f>G41</f>
        <v>0</v>
      </c>
      <c r="I41" s="730">
        <f t="shared" si="1"/>
        <v>0</v>
      </c>
      <c r="J41" s="738"/>
    </row>
    <row r="42" spans="1:14">
      <c r="B42" s="694"/>
      <c r="D42" s="718"/>
      <c r="F42" s="748"/>
      <c r="G42" s="719">
        <f>'Copy LPE'!B43</f>
        <v>0</v>
      </c>
      <c r="H42" s="749"/>
      <c r="I42" s="750"/>
      <c r="J42" s="738"/>
    </row>
    <row r="43" spans="1:14">
      <c r="B43" s="694"/>
      <c r="D43" s="718" t="s">
        <v>3362</v>
      </c>
      <c r="E43" s="701"/>
      <c r="F43" s="751"/>
      <c r="G43" s="727">
        <f>'Copy LPE'!B44</f>
        <v>0</v>
      </c>
      <c r="H43" s="728" t="e">
        <f>'SOF0607-HB1'!F38</f>
        <v>#N/A</v>
      </c>
      <c r="I43" s="747"/>
      <c r="J43" s="738"/>
    </row>
    <row r="44" spans="1:14">
      <c r="B44" s="694"/>
      <c r="D44" s="718" t="s">
        <v>3363</v>
      </c>
      <c r="E44" s="701"/>
      <c r="F44" s="751"/>
      <c r="G44" s="752">
        <f>'Copy LPE'!B45</f>
        <v>0</v>
      </c>
      <c r="H44" s="753" t="e">
        <f>-'SOF0607-HB1'!F39</f>
        <v>#N/A</v>
      </c>
      <c r="I44" s="730"/>
      <c r="J44" s="738"/>
    </row>
    <row r="45" spans="1:14">
      <c r="B45" s="694"/>
      <c r="D45" s="718"/>
      <c r="F45" s="748"/>
      <c r="G45" s="727">
        <f>'Copy LPE'!B46</f>
        <v>0</v>
      </c>
      <c r="H45" s="749"/>
      <c r="I45" s="750"/>
      <c r="J45" s="738"/>
    </row>
    <row r="46" spans="1:14">
      <c r="B46" s="694"/>
      <c r="D46" s="718" t="s">
        <v>3364</v>
      </c>
      <c r="F46" s="748"/>
      <c r="G46" s="727">
        <f>'Copy LPE'!B47</f>
        <v>0</v>
      </c>
      <c r="H46" s="728" t="e">
        <f>'SOF0607-HB1'!F40</f>
        <v>#N/A</v>
      </c>
      <c r="I46" s="730" t="e">
        <f t="shared" ref="I46:I52" si="2">H46-G46</f>
        <v>#N/A</v>
      </c>
      <c r="J46" s="738"/>
    </row>
    <row r="47" spans="1:14" ht="13.05" customHeight="1">
      <c r="B47" s="694"/>
      <c r="D47" s="718" t="s">
        <v>3365</v>
      </c>
      <c r="F47" s="754"/>
      <c r="G47" s="727">
        <f>'Copy LPE'!B48</f>
        <v>0</v>
      </c>
      <c r="H47" s="728" t="e">
        <f>'SOF0607-HB1'!F42</f>
        <v>#N/A</v>
      </c>
      <c r="I47" s="730" t="e">
        <f t="shared" si="2"/>
        <v>#N/A</v>
      </c>
      <c r="J47" s="738"/>
    </row>
    <row r="48" spans="1:14" ht="13.05" customHeight="1">
      <c r="B48" s="694"/>
      <c r="D48" s="718" t="s">
        <v>3366</v>
      </c>
      <c r="F48" s="754"/>
      <c r="G48" s="727">
        <f>'Copy LPE'!B49</f>
        <v>0</v>
      </c>
      <c r="H48" s="728" t="e">
        <f>'SOF0607-HB1'!F43</f>
        <v>#N/A</v>
      </c>
      <c r="I48" s="730" t="e">
        <f t="shared" si="2"/>
        <v>#N/A</v>
      </c>
      <c r="J48" s="738"/>
    </row>
    <row r="49" spans="2:10" ht="13.05" customHeight="1">
      <c r="B49" s="694"/>
      <c r="D49" s="718" t="s">
        <v>3367</v>
      </c>
      <c r="F49" s="739"/>
      <c r="G49" s="727">
        <f>'Copy LPE'!B50</f>
        <v>0</v>
      </c>
      <c r="H49" s="728" t="e">
        <f>'SOF0607-HB1'!F51</f>
        <v>#N/A</v>
      </c>
      <c r="I49" s="730" t="e">
        <f t="shared" si="2"/>
        <v>#N/A</v>
      </c>
      <c r="J49" s="738"/>
    </row>
    <row r="50" spans="2:10">
      <c r="B50" s="694"/>
      <c r="D50" s="718" t="s">
        <v>3368</v>
      </c>
      <c r="G50" s="727">
        <f>'Copy LPE'!B51</f>
        <v>0</v>
      </c>
      <c r="H50" s="728" t="e">
        <f>'SOF0607-HB1'!F69</f>
        <v>#DIV/0!</v>
      </c>
      <c r="I50" s="730" t="e">
        <f t="shared" si="2"/>
        <v>#DIV/0!</v>
      </c>
      <c r="J50" s="738"/>
    </row>
    <row r="51" spans="2:10">
      <c r="B51" s="694"/>
      <c r="D51" s="718" t="s">
        <v>3369</v>
      </c>
      <c r="E51" s="701"/>
      <c r="F51" s="701"/>
      <c r="G51" s="727">
        <f>'Copy LPE'!B52</f>
        <v>0</v>
      </c>
      <c r="H51" s="728" t="e">
        <f>'SOF0607-HB1'!F66</f>
        <v>#N/A</v>
      </c>
      <c r="I51" s="747" t="e">
        <f t="shared" si="2"/>
        <v>#N/A</v>
      </c>
      <c r="J51" s="738"/>
    </row>
    <row r="52" spans="2:10" ht="14.1" customHeight="1">
      <c r="D52" s="718" t="s">
        <v>3370</v>
      </c>
      <c r="G52" s="727">
        <f>'Copy LPE'!B53</f>
        <v>0</v>
      </c>
      <c r="H52" s="728" t="e">
        <f>'SOF0607-HB1'!F67</f>
        <v>#N/A</v>
      </c>
      <c r="I52" s="747" t="e">
        <f t="shared" si="2"/>
        <v>#N/A</v>
      </c>
      <c r="J52" s="738"/>
    </row>
    <row r="53" spans="2:10" ht="14.1" customHeight="1">
      <c r="B53" s="755"/>
      <c r="D53" s="718" t="s">
        <v>3371</v>
      </c>
      <c r="G53" s="727">
        <f>'Copy LPE'!B54</f>
        <v>0</v>
      </c>
      <c r="H53" s="728" t="e">
        <f>'SOF0607-HB1'!F71</f>
        <v>#N/A</v>
      </c>
      <c r="I53" s="752"/>
      <c r="J53" s="738"/>
    </row>
    <row r="54" spans="2:10" hidden="1">
      <c r="B54" s="724"/>
      <c r="D54" s="718"/>
      <c r="F54" s="756"/>
      <c r="G54" s="727">
        <f>'Copy LPE'!B55</f>
        <v>0</v>
      </c>
      <c r="H54" s="757"/>
      <c r="I54" s="701"/>
      <c r="J54" s="738"/>
    </row>
    <row r="55" spans="2:10" ht="13.95" hidden="1" customHeight="1">
      <c r="D55" s="718" t="s">
        <v>3372</v>
      </c>
      <c r="G55" s="727">
        <f>'Copy LPE'!B56</f>
        <v>0</v>
      </c>
      <c r="H55" s="728" t="e">
        <v>#N/A</v>
      </c>
      <c r="I55" s="752" t="e">
        <f>H55-G55</f>
        <v>#N/A</v>
      </c>
    </row>
    <row r="56" spans="2:10" hidden="1">
      <c r="G56" s="719"/>
    </row>
    <row r="57" spans="2:10" ht="13.8">
      <c r="D57" s="758" t="s">
        <v>3773</v>
      </c>
      <c r="E57" s="759"/>
      <c r="F57" s="760"/>
      <c r="G57" s="719"/>
      <c r="H57" s="728">
        <f>'SOF0607-HB1'!F73</f>
        <v>0</v>
      </c>
      <c r="I57" s="760"/>
    </row>
    <row r="58" spans="2:10" ht="13.8">
      <c r="D58" s="761" t="s">
        <v>3774</v>
      </c>
      <c r="E58" s="762"/>
      <c r="F58" s="760"/>
      <c r="G58" s="719"/>
      <c r="H58" s="728">
        <f>'SOF0607-HB1'!F73</f>
        <v>0</v>
      </c>
      <c r="I58" s="760"/>
    </row>
    <row r="59" spans="2:10" ht="13.8">
      <c r="D59" s="761" t="s">
        <v>5101</v>
      </c>
      <c r="E59" s="763"/>
      <c r="F59" s="760"/>
      <c r="G59" s="719"/>
      <c r="H59" s="728" t="e">
        <f>'SOF0607-HB1'!F75</f>
        <v>#REF!</v>
      </c>
      <c r="I59" s="760"/>
    </row>
    <row r="60" spans="2:10" ht="13.8">
      <c r="D60" s="758" t="s">
        <v>2329</v>
      </c>
      <c r="E60" s="759"/>
      <c r="F60" s="760"/>
      <c r="G60" s="719"/>
      <c r="H60" s="753" t="e">
        <f>'SOF0607-HB1'!F77</f>
        <v>#N/A</v>
      </c>
      <c r="I60" s="760"/>
    </row>
    <row r="61" spans="2:10" ht="13.8">
      <c r="D61" s="764" t="s">
        <v>2330</v>
      </c>
      <c r="E61" s="765"/>
      <c r="F61" s="760"/>
      <c r="G61" s="719"/>
      <c r="H61" s="753" t="e">
        <f>'SOF0607-HB1'!F79</f>
        <v>#N/A</v>
      </c>
      <c r="I61" s="760"/>
    </row>
    <row r="62" spans="2:10" ht="14.4" thickBot="1">
      <c r="D62" s="766" t="s">
        <v>2149</v>
      </c>
      <c r="E62" s="767"/>
      <c r="F62" s="768"/>
      <c r="G62" s="792"/>
      <c r="H62" s="769">
        <f>'SOF0607-HB1'!F81</f>
        <v>0</v>
      </c>
      <c r="I62" s="770"/>
    </row>
    <row r="63" spans="2:10" ht="14.4" thickTop="1">
      <c r="D63" s="771" t="s">
        <v>3372</v>
      </c>
      <c r="E63" s="760"/>
      <c r="F63" s="768"/>
      <c r="G63" s="727">
        <f>G55</f>
        <v>0</v>
      </c>
      <c r="H63" s="772" t="e">
        <f>'SOF0607-HB1'!F92</f>
        <v>#N/A</v>
      </c>
      <c r="I63" s="773" t="e">
        <f>H63-G63</f>
        <v>#N/A</v>
      </c>
    </row>
    <row r="64" spans="2:10">
      <c r="G64" s="727"/>
    </row>
  </sheetData>
  <sheetProtection sheet="1" objects="1" scenarios="1"/>
  <phoneticPr fontId="33" type="noConversion"/>
  <pageMargins left="0.75" right="0.75" top="1" bottom="1" header="0.5" footer="0.5"/>
  <headerFooter alignWithMargins="0"/>
  <legacy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4">
    <pageSetUpPr fitToPage="1"/>
  </sheetPr>
  <dimension ref="A1:I80"/>
  <sheetViews>
    <sheetView workbookViewId="0">
      <selection activeCell="E2" sqref="E2"/>
    </sheetView>
  </sheetViews>
  <sheetFormatPr defaultRowHeight="13.2"/>
  <cols>
    <col min="1" max="1" width="59" customWidth="1"/>
    <col min="2" max="2" width="12" customWidth="1"/>
    <col min="3" max="4" width="15.77734375" customWidth="1"/>
    <col min="5" max="5" width="15.77734375" style="499" customWidth="1"/>
    <col min="7" max="8" width="17.77734375" hidden="1" customWidth="1"/>
    <col min="9" max="9" width="17.77734375" style="499" hidden="1" customWidth="1"/>
  </cols>
  <sheetData>
    <row r="1" spans="1:9">
      <c r="A1" s="57" t="s">
        <v>1812</v>
      </c>
      <c r="E1" s="134" t="str">
        <f>'Salary Transition'!K1</f>
        <v>HB 1</v>
      </c>
    </row>
    <row r="2" spans="1:9">
      <c r="A2" s="57" t="s">
        <v>1810</v>
      </c>
      <c r="E2" s="134" t="str">
        <f>'Salary Transition'!K2</f>
        <v>Release 09-10; Revised 10/18/11</v>
      </c>
    </row>
    <row r="3" spans="1:9">
      <c r="A3" s="213" t="s">
        <v>2764</v>
      </c>
      <c r="C3" s="134"/>
    </row>
    <row r="4" spans="1:9">
      <c r="A4" s="213" t="s">
        <v>1811</v>
      </c>
      <c r="C4" s="134"/>
    </row>
    <row r="5" spans="1:9">
      <c r="A5" s="57" t="s">
        <v>2765</v>
      </c>
    </row>
    <row r="9" spans="1:9">
      <c r="H9" s="317" t="s">
        <v>7728</v>
      </c>
      <c r="I9" s="524" t="s">
        <v>1371</v>
      </c>
    </row>
    <row r="10" spans="1:9">
      <c r="A10" s="136" t="s">
        <v>774</v>
      </c>
      <c r="C10" s="190" t="s">
        <v>1849</v>
      </c>
      <c r="D10" s="317" t="s">
        <v>1376</v>
      </c>
      <c r="E10" s="524" t="s">
        <v>1377</v>
      </c>
      <c r="G10" s="245" t="s">
        <v>1680</v>
      </c>
      <c r="H10" s="293" t="s">
        <v>1682</v>
      </c>
      <c r="I10" s="542" t="s">
        <v>1682</v>
      </c>
    </row>
    <row r="11" spans="1:9">
      <c r="C11" s="136"/>
      <c r="D11" s="132"/>
      <c r="G11" s="136"/>
      <c r="H11" s="132"/>
    </row>
    <row r="12" spans="1:9">
      <c r="A12" t="s">
        <v>5395</v>
      </c>
      <c r="C12" s="141" t="e">
        <f>MaxTax!F11</f>
        <v>#N/A</v>
      </c>
      <c r="D12" s="250" t="e">
        <f>MaxTax!G11</f>
        <v>#N/A</v>
      </c>
      <c r="E12" s="531" t="s">
        <v>20</v>
      </c>
      <c r="G12" s="141" t="e">
        <f t="shared" ref="G12:I13" si="0">C12</f>
        <v>#N/A</v>
      </c>
      <c r="H12" s="250" t="e">
        <f t="shared" si="0"/>
        <v>#N/A</v>
      </c>
      <c r="I12" s="543" t="str">
        <f t="shared" si="0"/>
        <v>N/A</v>
      </c>
    </row>
    <row r="13" spans="1:9">
      <c r="A13" t="s">
        <v>2157</v>
      </c>
      <c r="C13" s="186">
        <f>MaxTax!F12</f>
        <v>0</v>
      </c>
      <c r="D13" s="337">
        <f>MaxTax!G12</f>
        <v>0</v>
      </c>
      <c r="E13" s="532" t="s">
        <v>20</v>
      </c>
      <c r="G13" s="186">
        <f t="shared" si="0"/>
        <v>0</v>
      </c>
      <c r="H13" s="337">
        <f t="shared" si="0"/>
        <v>0</v>
      </c>
      <c r="I13" s="544" t="str">
        <f t="shared" si="0"/>
        <v>N/A</v>
      </c>
    </row>
    <row r="14" spans="1:9">
      <c r="A14" t="s">
        <v>1378</v>
      </c>
      <c r="C14" s="217" t="e">
        <f>C12/C13</f>
        <v>#N/A</v>
      </c>
      <c r="D14" s="149" t="e">
        <f>D12/D13</f>
        <v>#N/A</v>
      </c>
      <c r="E14" s="500" t="e">
        <f>'Calc Data'!F32/100</f>
        <v>#N/A</v>
      </c>
      <c r="G14" s="217" t="e">
        <f>G12/G13</f>
        <v>#N/A</v>
      </c>
      <c r="H14" s="149" t="e">
        <f>H12/H13</f>
        <v>#N/A</v>
      </c>
      <c r="I14" s="500" t="e">
        <f>E14</f>
        <v>#N/A</v>
      </c>
    </row>
    <row r="15" spans="1:9">
      <c r="C15" s="338"/>
      <c r="D15" s="551"/>
      <c r="E15" s="527"/>
      <c r="G15" s="338"/>
      <c r="H15" s="340"/>
      <c r="I15" s="527"/>
    </row>
    <row r="16" spans="1:9">
      <c r="A16" t="s">
        <v>5070</v>
      </c>
      <c r="C16" s="141" t="e">
        <f>'Data Entry - SOF'!F63</f>
        <v>#N/A</v>
      </c>
      <c r="D16" s="250" t="e">
        <f>'Data Entry - SOF'!H63</f>
        <v>#N/A</v>
      </c>
      <c r="E16" s="525" t="e">
        <f>'Data Entry - SOF'!H63</f>
        <v>#N/A</v>
      </c>
      <c r="G16" s="141" t="e">
        <f t="shared" ref="G16:I17" si="1">C16</f>
        <v>#N/A</v>
      </c>
      <c r="H16" s="250" t="e">
        <f t="shared" si="1"/>
        <v>#N/A</v>
      </c>
      <c r="I16" s="525" t="e">
        <f t="shared" si="1"/>
        <v>#N/A</v>
      </c>
    </row>
    <row r="17" spans="1:9">
      <c r="A17" t="s">
        <v>5071</v>
      </c>
      <c r="C17" s="186" t="e">
        <f>'Data Entry - SOF'!F61</f>
        <v>#N/A</v>
      </c>
      <c r="D17" s="337" t="e">
        <f>'Data Entry - SOF'!H61</f>
        <v>#N/A</v>
      </c>
      <c r="E17" s="526" t="e">
        <f>'Data Entry - SOF'!H61</f>
        <v>#N/A</v>
      </c>
      <c r="G17" s="186" t="e">
        <f t="shared" si="1"/>
        <v>#N/A</v>
      </c>
      <c r="H17" s="337" t="e">
        <f t="shared" si="1"/>
        <v>#N/A</v>
      </c>
      <c r="I17" s="526" t="e">
        <f t="shared" si="1"/>
        <v>#N/A</v>
      </c>
    </row>
    <row r="18" spans="1:9">
      <c r="A18" t="s">
        <v>4555</v>
      </c>
      <c r="C18" s="141" t="e">
        <f>C16-C17</f>
        <v>#N/A</v>
      </c>
      <c r="D18" s="250" t="e">
        <f>D16-D17</f>
        <v>#N/A</v>
      </c>
      <c r="E18" s="525" t="e">
        <f>E16-E17</f>
        <v>#N/A</v>
      </c>
      <c r="G18" s="141" t="e">
        <f>G16-G17</f>
        <v>#N/A</v>
      </c>
      <c r="H18" s="250" t="e">
        <f>H16-H17</f>
        <v>#N/A</v>
      </c>
      <c r="I18" s="525" t="e">
        <f>I16-I17</f>
        <v>#N/A</v>
      </c>
    </row>
    <row r="19" spans="1:9">
      <c r="C19" s="141"/>
      <c r="D19" s="250"/>
      <c r="E19" s="525"/>
      <c r="G19" s="141"/>
      <c r="H19" s="250"/>
      <c r="I19" s="525"/>
    </row>
    <row r="20" spans="1:9">
      <c r="A20" t="s">
        <v>1675</v>
      </c>
      <c r="C20" s="137" t="e">
        <f>C14*C18</f>
        <v>#N/A</v>
      </c>
      <c r="D20" s="175" t="e">
        <f>D14*D18</f>
        <v>#N/A</v>
      </c>
      <c r="E20" s="528" t="e">
        <f>E14*E18</f>
        <v>#N/A</v>
      </c>
      <c r="G20" s="137" t="e">
        <f>G14*G18</f>
        <v>#N/A</v>
      </c>
      <c r="H20" s="175" t="e">
        <f>H14*H18</f>
        <v>#N/A</v>
      </c>
      <c r="I20" s="528" t="e">
        <f>I14*I18</f>
        <v>#N/A</v>
      </c>
    </row>
    <row r="21" spans="1:9">
      <c r="C21" s="217"/>
      <c r="D21" s="149"/>
      <c r="G21" s="217"/>
      <c r="H21" s="149"/>
      <c r="I21" s="500"/>
    </row>
    <row r="22" spans="1:9">
      <c r="A22" t="s">
        <v>5072</v>
      </c>
      <c r="C22" s="141" t="e">
        <f>'SOF0506-CL'!AA40+'SOF0506-CL'!AA42</f>
        <v>#N/A</v>
      </c>
      <c r="D22" s="250" t="e">
        <f>'SOF0607-CL'!AA40+'SOF0607-CL'!AA42</f>
        <v>#DIV/0!</v>
      </c>
      <c r="E22" s="525" t="e">
        <f>'SOF0607-HB1'!AA40+'SOF0607-HB1'!AA42+'SOF0607-HB1'!AA43+'SOF0607-HB1'!AA44</f>
        <v>#N/A</v>
      </c>
      <c r="G22" s="141" t="e">
        <f>'SOF0506-CL'!AB40+'SOF0506-CL'!AB42</f>
        <v>#N/A</v>
      </c>
      <c r="H22" s="250" t="e">
        <f>'SOF0607-CL'!AB40+'SOF0607-CL'!AB42</f>
        <v>#DIV/0!</v>
      </c>
      <c r="I22" s="525" t="e">
        <f>'SOF0607-HB1'!AB40+'SOF0607-HB1'!AB42+'SOF0607-HB1'!AB43+'SOF0607-HB1'!AB44</f>
        <v>#N/A</v>
      </c>
    </row>
    <row r="23" spans="1:9">
      <c r="A23" t="s">
        <v>5073</v>
      </c>
      <c r="C23" s="186" t="e">
        <f>'SOF0506-CL'!T40+'SOF0506-CL'!R42</f>
        <v>#N/A</v>
      </c>
      <c r="D23" s="337" t="e">
        <f>'SOF0607-CL'!T40+'SOF0607-CL'!R42</f>
        <v>#DIV/0!</v>
      </c>
      <c r="E23" s="526" t="e">
        <f>'SOF0607-HB1'!F40+'SOF0607-HB1'!F42+'SOF0607-HB1'!F43+'SOF0607-HB1'!F44</f>
        <v>#N/A</v>
      </c>
      <c r="G23" s="186" t="e">
        <f>'SOF0506-CL'!U40+'SOF0506-CL'!U42</f>
        <v>#N/A</v>
      </c>
      <c r="H23" s="337" t="e">
        <f>'SOF0607-CL'!U40+'SOF0607-CL'!U42</f>
        <v>#DIV/0!</v>
      </c>
      <c r="I23" s="526" t="e">
        <f>'SOF0607-HB1'!U40+'SOF0607-HB1'!U42+'SOF0607-HB1'!U43+'SOF0607-HB1'!U44</f>
        <v>#N/A</v>
      </c>
    </row>
    <row r="24" spans="1:9">
      <c r="C24" s="141"/>
      <c r="D24" s="250"/>
      <c r="G24" s="141"/>
      <c r="H24" s="250"/>
      <c r="I24" s="525"/>
    </row>
    <row r="25" spans="1:9">
      <c r="A25" t="s">
        <v>1676</v>
      </c>
      <c r="C25" s="137" t="e">
        <f>IF(C23-C22&lt;0,0,C23-C22)</f>
        <v>#N/A</v>
      </c>
      <c r="D25" s="175" t="e">
        <f>IF(D23-D22&lt;0,0,D23-D22)</f>
        <v>#DIV/0!</v>
      </c>
      <c r="E25" s="528" t="e">
        <f>IF(E23-E22&lt;0,0,E23-E22)</f>
        <v>#N/A</v>
      </c>
      <c r="G25" s="137" t="e">
        <f>IF(G23-G22&lt;0,0,G23-G22)</f>
        <v>#N/A</v>
      </c>
      <c r="H25" s="175" t="e">
        <f>IF(H23-H22&lt;0,0,H23-H22)</f>
        <v>#DIV/0!</v>
      </c>
      <c r="I25" s="528" t="e">
        <f>IF(I23-I22&lt;0,0,I23-I22)</f>
        <v>#N/A</v>
      </c>
    </row>
    <row r="26" spans="1:9">
      <c r="C26" s="217"/>
      <c r="D26" s="149"/>
      <c r="G26" s="136"/>
      <c r="H26" s="132"/>
    </row>
    <row r="27" spans="1:9">
      <c r="A27" t="s">
        <v>4556</v>
      </c>
      <c r="C27" s="141" t="e">
        <f>IF(C25&gt;C20,0,C25-C20)</f>
        <v>#N/A</v>
      </c>
      <c r="D27" s="250" t="e">
        <f>IF(D25&gt;D20,0,D25-D20)</f>
        <v>#DIV/0!</v>
      </c>
      <c r="E27" s="525" t="e">
        <f>IF(E25&gt;E20,0,E25-E20)</f>
        <v>#N/A</v>
      </c>
      <c r="G27" s="141" t="e">
        <f>IF(G25&gt;G20,0,G25-G20)</f>
        <v>#N/A</v>
      </c>
      <c r="H27" s="250" t="e">
        <f>IF(H25&gt;H20,0,H25-H20)</f>
        <v>#DIV/0!</v>
      </c>
      <c r="I27" s="525" t="e">
        <f>IF(I25&gt;I20,0,I25-I20)</f>
        <v>#N/A</v>
      </c>
    </row>
    <row r="28" spans="1:9">
      <c r="C28" s="217"/>
      <c r="D28" s="149"/>
      <c r="G28" s="136"/>
      <c r="H28" s="132"/>
    </row>
    <row r="29" spans="1:9">
      <c r="A29" s="136" t="s">
        <v>920</v>
      </c>
      <c r="C29" s="416" t="e">
        <f>IF('Data Entry - SOF'!F89="y",0,C27*-1)</f>
        <v>#N/A</v>
      </c>
      <c r="D29" s="418" t="e">
        <f>IF('Data Entry - SOF'!G89="y",0,D27*-1)</f>
        <v>#DIV/0!</v>
      </c>
      <c r="E29" s="529" t="e">
        <f>IF('Data Entry - SOF'!H89="y",0,E27*-1)</f>
        <v>#N/A</v>
      </c>
      <c r="G29" s="416" t="e">
        <f>IF('Data Entry - SOF'!F89="y",0,C27*-1)</f>
        <v>#N/A</v>
      </c>
      <c r="H29" s="418" t="e">
        <f>IF('Data Entry - SOF'!G89="y",0,D27*-1)</f>
        <v>#DIV/0!</v>
      </c>
      <c r="I29" s="529" t="e">
        <f>IF('Data Entry - SOF'!H89="y",0,E27*-1)</f>
        <v>#N/A</v>
      </c>
    </row>
    <row r="30" spans="1:9">
      <c r="A30" s="136" t="s">
        <v>922</v>
      </c>
      <c r="C30" s="416">
        <f>IF('Data Entry - SOF'!F89="y",C79,0)</f>
        <v>0</v>
      </c>
      <c r="D30" s="220">
        <f>IF('Data Entry - SOF'!G89="y",D79,0)</f>
        <v>0</v>
      </c>
      <c r="E30" s="530">
        <f>IF('Data Entry - SOF'!H89="y",E79,0)</f>
        <v>0</v>
      </c>
      <c r="G30" s="416">
        <f>IF('Data Entry - SOF'!F89="y",C79,0)</f>
        <v>0</v>
      </c>
      <c r="H30" s="220">
        <f>IF('Data Entry - SOF'!G89="y",D79,0)</f>
        <v>0</v>
      </c>
      <c r="I30" s="530">
        <f>IF('Data Entry - SOF'!H89="y",E79,0)</f>
        <v>0</v>
      </c>
    </row>
    <row r="31" spans="1:9">
      <c r="A31" s="179" t="s">
        <v>3830</v>
      </c>
      <c r="C31" s="136"/>
      <c r="D31" s="132"/>
    </row>
    <row r="32" spans="1:9">
      <c r="C32" s="136"/>
      <c r="D32" s="132"/>
    </row>
    <row r="33" spans="1:5">
      <c r="A33" s="136" t="s">
        <v>1509</v>
      </c>
      <c r="C33" s="136"/>
      <c r="D33" s="132"/>
    </row>
    <row r="34" spans="1:5">
      <c r="A34" t="s">
        <v>6291</v>
      </c>
      <c r="C34" s="339" t="e">
        <f>'Data Entry - SOF'!F36</f>
        <v>#N/A</v>
      </c>
      <c r="D34" s="341" t="e">
        <f>'Data Entry - SOF'!H36</f>
        <v>#DIV/0!</v>
      </c>
      <c r="E34" s="540" t="e">
        <f>'Data Entry - SOF'!H36</f>
        <v>#DIV/0!</v>
      </c>
    </row>
    <row r="35" spans="1:5">
      <c r="A35" t="s">
        <v>5070</v>
      </c>
      <c r="C35" s="192" t="e">
        <f t="shared" ref="C35:E36" si="2">C16</f>
        <v>#N/A</v>
      </c>
      <c r="D35" s="334" t="e">
        <f t="shared" si="2"/>
        <v>#N/A</v>
      </c>
      <c r="E35" s="536" t="e">
        <f t="shared" si="2"/>
        <v>#N/A</v>
      </c>
    </row>
    <row r="36" spans="1:5">
      <c r="A36" t="s">
        <v>5071</v>
      </c>
      <c r="C36" s="192" t="e">
        <f t="shared" si="2"/>
        <v>#N/A</v>
      </c>
      <c r="D36" s="334" t="e">
        <f t="shared" si="2"/>
        <v>#N/A</v>
      </c>
      <c r="E36" s="536" t="e">
        <f t="shared" si="2"/>
        <v>#N/A</v>
      </c>
    </row>
    <row r="37" spans="1:5">
      <c r="C37" s="192"/>
      <c r="D37" s="334"/>
      <c r="E37" s="536"/>
    </row>
    <row r="38" spans="1:5">
      <c r="A38" t="s">
        <v>1510</v>
      </c>
      <c r="C38" s="326" t="e">
        <f>C35/C34/10000</f>
        <v>#N/A</v>
      </c>
      <c r="D38" s="336" t="e">
        <f>D35/D34/10000</f>
        <v>#N/A</v>
      </c>
      <c r="E38" s="541" t="e">
        <f>E35/E34/10000</f>
        <v>#N/A</v>
      </c>
    </row>
    <row r="39" spans="1:5">
      <c r="A39" t="s">
        <v>1511</v>
      </c>
      <c r="C39" s="326" t="e">
        <f>C36/C34/10000</f>
        <v>#N/A</v>
      </c>
      <c r="D39" s="336" t="e">
        <f>D36/D34/10000</f>
        <v>#N/A</v>
      </c>
      <c r="E39" s="541" t="e">
        <f>E36/E34/10000</f>
        <v>#N/A</v>
      </c>
    </row>
    <row r="40" spans="1:5">
      <c r="C40" s="326"/>
      <c r="D40" s="336"/>
      <c r="E40" s="541"/>
    </row>
    <row r="41" spans="1:5">
      <c r="A41" t="s">
        <v>6055</v>
      </c>
      <c r="C41" s="192" t="e">
        <f>'Data Entry - SOF'!F19</f>
        <v>#N/A</v>
      </c>
      <c r="D41" s="334" t="e">
        <f>'Data Entry - SOF'!F19</f>
        <v>#N/A</v>
      </c>
      <c r="E41" s="536" t="e">
        <f>'Data Entry - SOF'!H73</f>
        <v>#N/A</v>
      </c>
    </row>
    <row r="42" spans="1:5">
      <c r="A42" s="123" t="s">
        <v>7727</v>
      </c>
      <c r="C42" s="186">
        <f>'Existing Debt'!G28</f>
        <v>0</v>
      </c>
      <c r="D42" s="337">
        <f>'Existing Debt'!H28</f>
        <v>0</v>
      </c>
      <c r="E42" s="526" t="e">
        <f>IFA!J72</f>
        <v>#N/A</v>
      </c>
    </row>
    <row r="43" spans="1:5">
      <c r="A43" t="s">
        <v>1512</v>
      </c>
      <c r="C43" s="192" t="e">
        <f>C41-C42</f>
        <v>#N/A</v>
      </c>
      <c r="D43" s="334" t="e">
        <f>D41-D42</f>
        <v>#N/A</v>
      </c>
      <c r="E43" s="536" t="e">
        <f>E41-E42</f>
        <v>#N/A</v>
      </c>
    </row>
    <row r="44" spans="1:5">
      <c r="A44" t="s">
        <v>1513</v>
      </c>
      <c r="C44" s="186" t="e">
        <f>C34*1015</f>
        <v>#N/A</v>
      </c>
      <c r="D44" s="337" t="e">
        <f>D34*1015</f>
        <v>#DIV/0!</v>
      </c>
      <c r="E44" s="526" t="e">
        <f>E34*1015</f>
        <v>#DIV/0!</v>
      </c>
    </row>
    <row r="45" spans="1:5">
      <c r="A45" t="s">
        <v>1514</v>
      </c>
      <c r="C45" s="192" t="e">
        <f>IF(C43-C44&lt;0,0,C43-C44)</f>
        <v>#N/A</v>
      </c>
      <c r="D45" s="334" t="e">
        <f>IF(D43-D44&lt;0,0,D43-D44)</f>
        <v>#N/A</v>
      </c>
      <c r="E45" s="536" t="e">
        <f>IF(E43-E44&lt;0,0,E43-E44)</f>
        <v>#N/A</v>
      </c>
    </row>
    <row r="46" spans="1:5">
      <c r="C46" s="192"/>
      <c r="D46" s="334"/>
      <c r="E46" s="536"/>
    </row>
    <row r="47" spans="1:5">
      <c r="A47" t="s">
        <v>151</v>
      </c>
      <c r="C47" s="326" t="e">
        <f>C45/C35</f>
        <v>#N/A</v>
      </c>
      <c r="D47" s="336" t="e">
        <f>D45/D35</f>
        <v>#N/A</v>
      </c>
      <c r="E47" s="541" t="e">
        <f>E45/E35</f>
        <v>#N/A</v>
      </c>
    </row>
    <row r="48" spans="1:5">
      <c r="A48" t="s">
        <v>152</v>
      </c>
      <c r="C48" s="186" t="e">
        <f>C47*C36</f>
        <v>#N/A</v>
      </c>
      <c r="D48" s="337" t="e">
        <f>D47*D36</f>
        <v>#N/A</v>
      </c>
      <c r="E48" s="526" t="e">
        <f>E47*E36</f>
        <v>#N/A</v>
      </c>
    </row>
    <row r="49" spans="1:9">
      <c r="A49" t="s">
        <v>153</v>
      </c>
      <c r="C49" s="192" t="e">
        <f>C45-C48</f>
        <v>#N/A</v>
      </c>
      <c r="D49" s="334" t="e">
        <f>D45-D48</f>
        <v>#N/A</v>
      </c>
      <c r="E49" s="536" t="e">
        <f>E45-E48</f>
        <v>#N/A</v>
      </c>
    </row>
    <row r="50" spans="1:9">
      <c r="C50" s="192"/>
      <c r="D50" s="334"/>
      <c r="E50" s="536"/>
    </row>
    <row r="51" spans="1:9">
      <c r="A51" s="123" t="s">
        <v>154</v>
      </c>
      <c r="C51" s="192" t="e">
        <f>IF(AND(C39&lt;35,C38&gt;35),'Existing Debt'!G72,0)</f>
        <v>#N/A</v>
      </c>
      <c r="D51" s="334" t="e">
        <f>IF(AND(D39&lt;35,D38&gt;35),'Existing Debt'!H72,0)</f>
        <v>#N/A</v>
      </c>
      <c r="E51" s="536" t="e">
        <f>IF(AND(E39&lt;35,E38&gt;35),'Existing Debt'!H72,0)</f>
        <v>#N/A</v>
      </c>
    </row>
    <row r="52" spans="1:9">
      <c r="C52" s="192"/>
      <c r="D52" s="334"/>
      <c r="E52" s="536"/>
    </row>
    <row r="53" spans="1:9">
      <c r="A53" s="136" t="s">
        <v>155</v>
      </c>
      <c r="C53" s="137" t="e">
        <f>IF('Data Entry - SOF'!F89="Y",0,IF(C49-C51&lt;0,0,C49-C51))</f>
        <v>#N/A</v>
      </c>
      <c r="D53" s="175" t="e">
        <f>IF('Data Entry - SOF'!G89="Y",0,IF(D49-D51&lt;0,0,D49-D51))</f>
        <v>#N/A</v>
      </c>
      <c r="E53" s="528" t="e">
        <f>IF('Data Entry - SOF'!H89="Y",0,IF(E49-E51&lt;0,0,E49-E51))</f>
        <v>#N/A</v>
      </c>
    </row>
    <row r="54" spans="1:9">
      <c r="A54" s="136"/>
      <c r="C54" s="141"/>
      <c r="D54" s="250"/>
      <c r="E54" s="525"/>
    </row>
    <row r="55" spans="1:9">
      <c r="C55" s="136"/>
      <c r="D55" s="132"/>
    </row>
    <row r="56" spans="1:9">
      <c r="A56" s="136" t="s">
        <v>1677</v>
      </c>
      <c r="B56" s="57"/>
      <c r="C56" s="137" t="e">
        <f>C29+C30+C53</f>
        <v>#N/A</v>
      </c>
      <c r="D56" s="137" t="e">
        <f>D29+D30+D53</f>
        <v>#DIV/0!</v>
      </c>
      <c r="E56" s="528" t="e">
        <f>E29+E30+E53</f>
        <v>#N/A</v>
      </c>
      <c r="G56" s="192" t="e">
        <f>G29+G30+C53</f>
        <v>#N/A</v>
      </c>
      <c r="H56" s="334" t="e">
        <f>H29+H30+D53</f>
        <v>#DIV/0!</v>
      </c>
      <c r="I56" s="536" t="e">
        <f>I29+I30+E53</f>
        <v>#N/A</v>
      </c>
    </row>
    <row r="59" spans="1:9">
      <c r="A59" s="57" t="s">
        <v>921</v>
      </c>
      <c r="C59" s="190" t="s">
        <v>1849</v>
      </c>
      <c r="D59" s="317" t="s">
        <v>1850</v>
      </c>
      <c r="E59" s="524" t="s">
        <v>1377</v>
      </c>
    </row>
    <row r="60" spans="1:9">
      <c r="A60" t="s">
        <v>4052</v>
      </c>
      <c r="C60" s="192" t="e">
        <f>'Data Entry - SOF'!F18</f>
        <v>#N/A</v>
      </c>
      <c r="D60" s="334" t="e">
        <f>'Data Entry - SOF'!F18</f>
        <v>#N/A</v>
      </c>
      <c r="E60" s="531" t="s">
        <v>20</v>
      </c>
    </row>
    <row r="61" spans="1:9">
      <c r="A61" t="s">
        <v>2157</v>
      </c>
      <c r="C61" s="186">
        <f>'Data Entry - SOF'!F20</f>
        <v>0</v>
      </c>
      <c r="D61" s="337">
        <f>'Data Entry - SOF'!F20</f>
        <v>0</v>
      </c>
      <c r="E61" s="532" t="s">
        <v>20</v>
      </c>
    </row>
    <row r="62" spans="1:9">
      <c r="A62" s="123" t="s">
        <v>6053</v>
      </c>
      <c r="C62" s="136" t="e">
        <f>C60/C61</f>
        <v>#N/A</v>
      </c>
      <c r="D62" s="132" t="e">
        <f>D60/D61</f>
        <v>#N/A</v>
      </c>
      <c r="E62" s="500" t="e">
        <f>(('Data Entry - SOF'!H70+'Data Entry - SOF'!H73-IFA!L72)/('Data Entry - SOF'!H62/100))/100</f>
        <v>#N/A</v>
      </c>
    </row>
    <row r="63" spans="1:9">
      <c r="C63" s="136"/>
      <c r="D63" s="132"/>
      <c r="E63" s="527"/>
    </row>
    <row r="64" spans="1:9">
      <c r="A64" t="s">
        <v>5070</v>
      </c>
      <c r="C64" s="192" t="e">
        <f>'Data Entry - SOF'!F63</f>
        <v>#N/A</v>
      </c>
      <c r="D64" s="334" t="e">
        <f>'Data Entry - SOF'!H63</f>
        <v>#N/A</v>
      </c>
      <c r="E64" s="525" t="e">
        <f>'Data Entry - SOF'!H63</f>
        <v>#N/A</v>
      </c>
    </row>
    <row r="65" spans="1:5">
      <c r="A65" t="s">
        <v>5071</v>
      </c>
      <c r="C65" s="186" t="e">
        <f>'Data Entry - SOF'!F61</f>
        <v>#N/A</v>
      </c>
      <c r="D65" s="337" t="e">
        <f>'Data Entry - SOF'!H61</f>
        <v>#N/A</v>
      </c>
      <c r="E65" s="526" t="e">
        <f>'Data Entry - SOF'!H61</f>
        <v>#N/A</v>
      </c>
    </row>
    <row r="66" spans="1:5">
      <c r="A66" s="123" t="s">
        <v>3239</v>
      </c>
      <c r="C66" s="192" t="e">
        <f>C64-C65</f>
        <v>#N/A</v>
      </c>
      <c r="D66" s="334" t="e">
        <f>D64-D65</f>
        <v>#N/A</v>
      </c>
      <c r="E66" s="525" t="e">
        <f>E64-E65</f>
        <v>#N/A</v>
      </c>
    </row>
    <row r="67" spans="1:5">
      <c r="C67" s="136"/>
      <c r="D67" s="132"/>
      <c r="E67" s="525"/>
    </row>
    <row r="68" spans="1:5">
      <c r="A68" s="123" t="s">
        <v>3240</v>
      </c>
      <c r="C68" s="299" t="e">
        <f>C62*C66</f>
        <v>#N/A</v>
      </c>
      <c r="D68" s="395" t="e">
        <f>D62*D66</f>
        <v>#N/A</v>
      </c>
      <c r="E68" s="528" t="e">
        <f>E62*E66</f>
        <v>#N/A</v>
      </c>
    </row>
    <row r="69" spans="1:5">
      <c r="C69" s="136"/>
      <c r="D69" s="132"/>
    </row>
    <row r="70" spans="1:5">
      <c r="A70" t="s">
        <v>5395</v>
      </c>
      <c r="C70" s="192" t="e">
        <f>'Data Entry - SOF'!F18-'Data Entry - SOF'!F19</f>
        <v>#N/A</v>
      </c>
      <c r="D70" s="334" t="e">
        <f>'Data Entry - SOF'!F18-'Data Entry - SOF'!F19</f>
        <v>#N/A</v>
      </c>
      <c r="E70" s="537">
        <f>'Data Entry - SOF'!H70</f>
        <v>0</v>
      </c>
    </row>
    <row r="71" spans="1:5">
      <c r="A71" s="123" t="s">
        <v>6054</v>
      </c>
      <c r="C71" s="136" t="e">
        <f>C70/C61</f>
        <v>#N/A</v>
      </c>
      <c r="D71" s="132" t="e">
        <f>D70/D61</f>
        <v>#N/A</v>
      </c>
      <c r="E71" s="499" t="e">
        <f>'Calc Data'!F32/100</f>
        <v>#N/A</v>
      </c>
    </row>
    <row r="72" spans="1:5">
      <c r="C72" s="136"/>
      <c r="D72" s="132"/>
    </row>
    <row r="73" spans="1:5">
      <c r="A73" t="s">
        <v>916</v>
      </c>
      <c r="C73" s="299" t="e">
        <f>C71*C64</f>
        <v>#N/A</v>
      </c>
      <c r="D73" s="395" t="e">
        <f>D71*D64</f>
        <v>#N/A</v>
      </c>
      <c r="E73" s="537" t="e">
        <f>E71*E64</f>
        <v>#N/A</v>
      </c>
    </row>
    <row r="74" spans="1:5">
      <c r="A74" t="s">
        <v>917</v>
      </c>
      <c r="C74" s="230" t="e">
        <f>C71*C65</f>
        <v>#N/A</v>
      </c>
      <c r="D74" s="417" t="e">
        <f>D71*D65</f>
        <v>#N/A</v>
      </c>
      <c r="E74" s="538" t="e">
        <f>E71*E65</f>
        <v>#N/A</v>
      </c>
    </row>
    <row r="75" spans="1:5">
      <c r="A75" s="123" t="s">
        <v>918</v>
      </c>
      <c r="C75" s="299" t="e">
        <f>C73-C74</f>
        <v>#N/A</v>
      </c>
      <c r="D75" s="395" t="e">
        <f>D73-D74</f>
        <v>#N/A</v>
      </c>
      <c r="E75" s="537" t="e">
        <f>E73-E74</f>
        <v>#N/A</v>
      </c>
    </row>
    <row r="76" spans="1:5">
      <c r="C76" s="136"/>
      <c r="D76" s="132"/>
    </row>
    <row r="77" spans="1:5">
      <c r="A77" s="123" t="s">
        <v>919</v>
      </c>
      <c r="C77" s="230" t="e">
        <f>IF(C75&gt;C68,0,C75-C68)</f>
        <v>#N/A</v>
      </c>
      <c r="D77" s="417" t="e">
        <f>IF(D75&gt;D68,0,D75-D68)</f>
        <v>#N/A</v>
      </c>
      <c r="E77" s="538" t="e">
        <f>IF(E75&gt;E68,0,E75-E68)</f>
        <v>#N/A</v>
      </c>
    </row>
    <row r="78" spans="1:5">
      <c r="A78" s="123"/>
      <c r="C78" s="136"/>
      <c r="D78" s="132"/>
    </row>
    <row r="79" spans="1:5" ht="13.8" thickBot="1">
      <c r="A79" s="57" t="s">
        <v>4557</v>
      </c>
      <c r="C79" s="301">
        <f>IF('Data Entry - SOF'!F89="n",0,C77*-1)</f>
        <v>0</v>
      </c>
      <c r="D79" s="301">
        <f>IF('Data Entry - SOF'!G89="n",0,D77*-1)</f>
        <v>0</v>
      </c>
      <c r="E79" s="539">
        <f>IF('Data Entry - SOF'!H89="n",0,E77*-1)</f>
        <v>0</v>
      </c>
    </row>
    <row r="80" spans="1:5" ht="13.8" thickTop="1"/>
  </sheetData>
  <sheetProtection sheet="1" objects="1" scenarios="1"/>
  <phoneticPr fontId="0" type="noConversion"/>
  <pageMargins left="0.25" right="0.25" top="0.5" bottom="0.5" header="0.5" footer="0.5"/>
  <pageSetup scale="70" orientation="portrait" horizontalDpi="300" verticalDpi="300" r:id="rId1"/>
  <headerFooter alignWithMargins="0">
    <oddFooter>&amp;L&amp;G</oddFoot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5">
    <pageSetUpPr fitToPage="1"/>
  </sheetPr>
  <dimension ref="A1:V78"/>
  <sheetViews>
    <sheetView workbookViewId="0">
      <selection activeCell="L2" sqref="L2"/>
    </sheetView>
  </sheetViews>
  <sheetFormatPr defaultRowHeight="13.2"/>
  <cols>
    <col min="1" max="1" width="3.77734375" customWidth="1"/>
    <col min="2" max="2" width="3.21875" customWidth="1"/>
    <col min="5" max="5" width="3" customWidth="1"/>
    <col min="6" max="6" width="25.5546875" customWidth="1"/>
    <col min="7" max="7" width="16.21875" customWidth="1"/>
    <col min="8" max="8" width="6" customWidth="1"/>
    <col min="9" max="9" width="13.77734375" customWidth="1"/>
    <col min="10" max="14" width="15.77734375" customWidth="1"/>
    <col min="15" max="15" width="22" customWidth="1"/>
    <col min="16" max="16" width="15.21875" customWidth="1"/>
    <col min="18" max="18" width="13.44140625" bestFit="1" customWidth="1"/>
    <col min="21" max="22" width="12.77734375" customWidth="1"/>
  </cols>
  <sheetData>
    <row r="1" spans="1:22">
      <c r="K1" s="134"/>
      <c r="L1" s="134" t="str">
        <f>'SOF0506-CL'!F1</f>
        <v>Current Law</v>
      </c>
      <c r="M1" s="134"/>
    </row>
    <row r="2" spans="1:22">
      <c r="K2" s="134"/>
      <c r="L2" s="134" t="str">
        <f>'SOF0506-CL'!F2</f>
        <v>Release 09-10; Revised 10/18/11</v>
      </c>
      <c r="M2" s="134"/>
    </row>
    <row r="4" spans="1:22">
      <c r="A4" s="57" t="s">
        <v>2311</v>
      </c>
    </row>
    <row r="5" spans="1:22">
      <c r="A5" s="57" t="s">
        <v>5000</v>
      </c>
    </row>
    <row r="6" spans="1:22">
      <c r="A6" s="57" t="s">
        <v>1773</v>
      </c>
    </row>
    <row r="8" spans="1:22">
      <c r="A8" s="138" t="s">
        <v>487</v>
      </c>
      <c r="B8" s="68"/>
      <c r="C8" s="67"/>
      <c r="D8" s="67"/>
      <c r="E8" s="67"/>
      <c r="F8" s="67"/>
      <c r="G8" s="68"/>
      <c r="H8" s="222"/>
      <c r="J8" s="5"/>
      <c r="K8" s="334" t="s">
        <v>272</v>
      </c>
      <c r="L8" s="5"/>
      <c r="M8" s="536" t="s">
        <v>271</v>
      </c>
      <c r="N8" s="536"/>
    </row>
    <row r="9" spans="1:22">
      <c r="A9" s="57" t="s">
        <v>5074</v>
      </c>
      <c r="I9" s="377" t="s">
        <v>1849</v>
      </c>
      <c r="J9" s="378" t="s">
        <v>1849</v>
      </c>
      <c r="K9" s="379" t="s">
        <v>1850</v>
      </c>
      <c r="L9" s="380" t="s">
        <v>1850</v>
      </c>
      <c r="M9" s="621" t="s">
        <v>1850</v>
      </c>
      <c r="N9" s="622" t="s">
        <v>1850</v>
      </c>
    </row>
    <row r="10" spans="1:22">
      <c r="A10" s="135" t="s">
        <v>7719</v>
      </c>
      <c r="B10" s="57" t="s">
        <v>2312</v>
      </c>
      <c r="F10" s="57" t="s">
        <v>465</v>
      </c>
      <c r="I10" s="192" t="e">
        <f>IF(((27.14*'Calc Data'!D31*IF('Calc Data'!D35&gt;0.64,0.64,'Calc Data'!D35)*100)-'Calc Data'!D36)&lt;0,0,(27.14*'Calc Data'!D31*IF('Calc Data'!D35&gt;0.64,0.64,'Calc Data'!D35)*100) - 'Calc Data'!D36)</f>
        <v>#N/A</v>
      </c>
      <c r="J10" s="136"/>
      <c r="K10" s="334" t="e">
        <f>IF(((27.14*'Calc Data'!E31*IF('Calc Data'!E35&gt;0.64,0.64,'Calc Data'!E35)*100)-'Calc Data'!E36)&lt;0,0,(27.14*'Calc Data'!E31*IF('Calc Data'!E35&gt;0.64,0.64,'Calc Data'!E35)*100) - 'Calc Data'!E36)</f>
        <v>#DIV/0!</v>
      </c>
      <c r="L10" s="132"/>
      <c r="M10" s="536" t="e">
        <f>IF(((27.14*'Calc Data'!F31*IF('Calc Data'!F45&gt;0.64,0.64,'Calc Data'!F45)*100)-'Calc Data'!F54)&lt;0,0,(27.14*'Calc Data'!F31*IF('Calc Data'!F45&gt;0.64,0.64,'Calc Data'!F45)*100) - 'Calc Data'!F54)</f>
        <v>#N/A</v>
      </c>
      <c r="N10" s="499"/>
      <c r="U10" s="118" t="e">
        <f>IF(((27.14*'Calc Data'!#REF!*IF('Calc Data'!#REF!&gt;0.64,0.64,'Calc Data'!#REF!)*100)-'Calc Data'!#REF!)&lt;0,0,(27.14*'Calc Data'!#REF!*IF('Calc Data'!#REF!&gt;0.64,0.64,'Calc Data'!#REF!)*100) - 'Calc Data'!#REF!)</f>
        <v>#REF!</v>
      </c>
    </row>
    <row r="11" spans="1:22">
      <c r="A11" s="135" t="s">
        <v>7720</v>
      </c>
      <c r="B11" s="57" t="s">
        <v>2313</v>
      </c>
      <c r="F11" s="57" t="s">
        <v>466</v>
      </c>
      <c r="I11" s="186" t="e">
        <f>IF(((24.7*'Calc Data'!D31*IF('Calc Data'!D35&gt;0.64,0.64,'Calc Data'!D35)*100)-'Calc Data'!D36)&lt;0,0,(24.7*'Calc Data'!D31*IF('Calc Data'!D35&gt;0.64,0.64,'Calc Data'!D35)*100)-'Calc Data'!D36)</f>
        <v>#N/A</v>
      </c>
      <c r="J11" s="136"/>
      <c r="K11" s="337" t="e">
        <f>IF(((24.7*'Calc Data'!E31*IF('Calc Data'!E35&gt;0.64,0.64,'Calc Data'!E35)*100)-'Calc Data'!E36)&lt;0,0,(24.7*'Calc Data'!E31*IF('Calc Data'!E35&gt;0.64,0.64,'Calc Data'!E35)*100)-'Calc Data'!E36)</f>
        <v>#DIV/0!</v>
      </c>
      <c r="L11" s="132"/>
      <c r="M11" s="526" t="e">
        <f>IF(((24.7*'Calc Data'!F31*IF('Calc Data'!F45&gt;0.64,0.64,'Calc Data'!F45)*100)-'Calc Data'!F54)&lt;0,0,(24.7*'Calc Data'!F31*IF('Calc Data'!F45&gt;0.64,0.64,'Calc Data'!F45)*100)-'Calc Data'!F54)</f>
        <v>#N/A</v>
      </c>
      <c r="N11" s="499"/>
      <c r="U11" s="122" t="e">
        <f>IF(((24.7*'Calc Data'!#REF!*IF('Calc Data'!#REF!&gt;0.64,0.64,'Calc Data'!#REF!)*100)-'Calc Data'!#REF!)&lt;0,0,(24.7*'Calc Data'!#REF!*IF('Calc Data'!#REF!&gt;0.64,0.64,'Calc Data'!#REF!)*100)-'Calc Data'!#REF!)</f>
        <v>#REF!</v>
      </c>
    </row>
    <row r="12" spans="1:22">
      <c r="A12" s="133" t="s">
        <v>7721</v>
      </c>
      <c r="B12" s="57" t="s">
        <v>2314</v>
      </c>
      <c r="I12" s="136"/>
      <c r="J12" s="192" t="e">
        <f>I10-I11</f>
        <v>#N/A</v>
      </c>
      <c r="K12" s="132"/>
      <c r="L12" s="334" t="e">
        <f>K10-K11</f>
        <v>#DIV/0!</v>
      </c>
      <c r="M12" s="499"/>
      <c r="N12" s="536" t="e">
        <f>M10-M11</f>
        <v>#N/A</v>
      </c>
      <c r="V12" s="118" t="e">
        <f>U10-U11</f>
        <v>#REF!</v>
      </c>
    </row>
    <row r="13" spans="1:22">
      <c r="A13" s="59"/>
      <c r="I13" s="136"/>
      <c r="J13" s="192"/>
      <c r="K13" s="132"/>
      <c r="L13" s="334"/>
      <c r="M13" s="499"/>
      <c r="N13" s="536"/>
      <c r="V13" s="5"/>
    </row>
    <row r="14" spans="1:22">
      <c r="A14" s="133" t="s">
        <v>6285</v>
      </c>
      <c r="B14" s="57" t="s">
        <v>2315</v>
      </c>
      <c r="D14" s="57"/>
      <c r="E14" s="57"/>
      <c r="F14" s="57" t="s">
        <v>1214</v>
      </c>
      <c r="G14" s="57"/>
      <c r="H14" s="57"/>
      <c r="I14" s="192" t="e">
        <f>G78</f>
        <v>#N/A</v>
      </c>
      <c r="J14" s="136"/>
      <c r="K14" s="334" t="e">
        <f>P78</f>
        <v>#N/A</v>
      </c>
      <c r="L14" s="132"/>
      <c r="M14" s="536" t="e">
        <f>L78</f>
        <v>#N/A</v>
      </c>
      <c r="N14" s="499"/>
      <c r="U14" s="118" t="e">
        <f>'Gap Aid'!H24</f>
        <v>#N/A</v>
      </c>
    </row>
    <row r="15" spans="1:22">
      <c r="A15" s="133" t="s">
        <v>6286</v>
      </c>
      <c r="B15" s="57" t="s">
        <v>1213</v>
      </c>
      <c r="D15" s="57"/>
      <c r="E15" s="57"/>
      <c r="F15" s="57" t="s">
        <v>1214</v>
      </c>
      <c r="G15" s="57"/>
      <c r="H15" s="57"/>
      <c r="I15" s="186" t="e">
        <f>'Option Costs'!C35</f>
        <v>#N/A</v>
      </c>
      <c r="J15" s="136"/>
      <c r="K15" s="337" t="e">
        <f>'Option Costs'!R41</f>
        <v>#N/A</v>
      </c>
      <c r="L15" s="132"/>
      <c r="M15" s="526" t="e">
        <f>'Option Costs'!N35</f>
        <v>#N/A</v>
      </c>
      <c r="N15" s="499"/>
      <c r="U15" s="122" t="e">
        <f>'Gap Aid'!H23</f>
        <v>#N/A</v>
      </c>
    </row>
    <row r="16" spans="1:22">
      <c r="A16" s="133" t="s">
        <v>6288</v>
      </c>
      <c r="B16" s="57" t="s">
        <v>768</v>
      </c>
      <c r="I16" s="136"/>
      <c r="J16" s="192" t="e">
        <f>IF(I14-I15&lt;0,0,I14-I15)</f>
        <v>#N/A</v>
      </c>
      <c r="K16" s="132"/>
      <c r="L16" s="334" t="e">
        <f>IF(K14-K15&lt;0,0,K14-K15)</f>
        <v>#N/A</v>
      </c>
      <c r="M16" s="499"/>
      <c r="N16" s="536" t="e">
        <f>IF(M14-M15&lt;0,0,M14-M15)</f>
        <v>#N/A</v>
      </c>
      <c r="V16" s="118" t="e">
        <f>U14-U15</f>
        <v>#N/A</v>
      </c>
    </row>
    <row r="17" spans="1:22">
      <c r="A17" s="59"/>
      <c r="I17" s="136"/>
      <c r="J17" s="192"/>
      <c r="K17" s="132"/>
      <c r="L17" s="334"/>
      <c r="M17" s="499"/>
      <c r="N17" s="536"/>
      <c r="V17" s="5"/>
    </row>
    <row r="18" spans="1:22">
      <c r="A18" s="133" t="s">
        <v>6289</v>
      </c>
      <c r="B18" s="57" t="s">
        <v>2933</v>
      </c>
      <c r="I18" s="136"/>
      <c r="J18" s="141" t="e">
        <f>J12+J16</f>
        <v>#N/A</v>
      </c>
      <c r="K18" s="132"/>
      <c r="L18" s="250" t="e">
        <f>L12+L16</f>
        <v>#DIV/0!</v>
      </c>
      <c r="M18" s="499"/>
      <c r="N18" s="525" t="e">
        <f>N12+N16</f>
        <v>#N/A</v>
      </c>
      <c r="V18" s="130" t="e">
        <f>V12+V16</f>
        <v>#REF!</v>
      </c>
    </row>
    <row r="19" spans="1:22">
      <c r="A19" s="59"/>
      <c r="B19" s="57"/>
      <c r="I19" s="136"/>
      <c r="J19" s="141"/>
      <c r="K19" s="132"/>
      <c r="L19" s="250"/>
      <c r="M19" s="499"/>
      <c r="N19" s="525"/>
      <c r="V19" s="130"/>
    </row>
    <row r="20" spans="1:22">
      <c r="A20" s="59"/>
      <c r="B20" s="57"/>
      <c r="I20" s="136"/>
      <c r="J20" s="141"/>
      <c r="K20" s="132"/>
      <c r="L20" s="250"/>
      <c r="M20" s="499"/>
      <c r="N20" s="525"/>
      <c r="V20" s="130"/>
    </row>
    <row r="21" spans="1:22">
      <c r="A21" s="133" t="s">
        <v>6290</v>
      </c>
      <c r="B21" s="57" t="s">
        <v>1215</v>
      </c>
      <c r="I21" s="136"/>
      <c r="J21" s="192" t="e">
        <f>J18*0.75</f>
        <v>#N/A</v>
      </c>
      <c r="K21" s="132"/>
      <c r="L21" s="334" t="e">
        <f>L18*0.75</f>
        <v>#DIV/0!</v>
      </c>
      <c r="M21" s="499"/>
      <c r="N21" s="536" t="e">
        <f>N18*0.75</f>
        <v>#N/A</v>
      </c>
      <c r="V21" s="118" t="e">
        <f>V18*0.75</f>
        <v>#REF!</v>
      </c>
    </row>
    <row r="22" spans="1:22">
      <c r="A22" s="133" t="s">
        <v>5115</v>
      </c>
      <c r="B22" s="57" t="s">
        <v>769</v>
      </c>
      <c r="I22" s="136"/>
      <c r="J22" s="186">
        <f>'Data Entry - SOF'!F97*900</f>
        <v>0</v>
      </c>
      <c r="K22" s="132"/>
      <c r="L22" s="337">
        <f>'Data Entry - SOF'!H97*900</f>
        <v>0</v>
      </c>
      <c r="M22" s="499"/>
      <c r="N22" s="526">
        <f>'Data Entry - SOF'!H97*900</f>
        <v>0</v>
      </c>
      <c r="V22" s="122">
        <f>'Data Entry - SOF'!F97*900</f>
        <v>0</v>
      </c>
    </row>
    <row r="23" spans="1:22">
      <c r="A23" s="139" t="s">
        <v>5116</v>
      </c>
      <c r="B23" s="136" t="s">
        <v>487</v>
      </c>
      <c r="I23" s="136"/>
      <c r="J23" s="137" t="e">
        <f>IF(J21&gt;J22,0,J22-J21)</f>
        <v>#N/A</v>
      </c>
      <c r="K23" s="132"/>
      <c r="L23" s="175" t="e">
        <f>IF(L21&gt;L22,0,L22-L21)</f>
        <v>#DIV/0!</v>
      </c>
      <c r="M23" s="499"/>
      <c r="N23" s="528" t="e">
        <f>IF(N21&gt;N22,0,N22-N21)</f>
        <v>#N/A</v>
      </c>
      <c r="V23" s="137" t="e">
        <f>IF(V21&gt;V22,0,V22-V21)</f>
        <v>#REF!</v>
      </c>
    </row>
    <row r="24" spans="1:22">
      <c r="A24" s="139"/>
      <c r="B24" s="136" t="s">
        <v>1651</v>
      </c>
      <c r="I24" s="136"/>
      <c r="J24" s="141"/>
      <c r="K24" s="132"/>
      <c r="L24" s="250"/>
      <c r="M24" s="499"/>
      <c r="N24" s="525"/>
      <c r="V24" s="141"/>
    </row>
    <row r="25" spans="1:22">
      <c r="A25" s="134"/>
      <c r="B25" s="57"/>
      <c r="I25" s="136"/>
      <c r="J25" s="141"/>
      <c r="K25" s="132"/>
      <c r="L25" s="250"/>
      <c r="M25" s="499"/>
      <c r="N25" s="525"/>
      <c r="V25" s="130"/>
    </row>
    <row r="26" spans="1:22">
      <c r="A26" s="133" t="s">
        <v>5117</v>
      </c>
      <c r="B26" s="57" t="s">
        <v>484</v>
      </c>
      <c r="I26" s="136"/>
      <c r="J26" s="141" t="e">
        <f>IF(J21&lt;J22,0,J21-J22)</f>
        <v>#N/A</v>
      </c>
      <c r="K26" s="132"/>
      <c r="L26" s="250" t="e">
        <f>IF(L21&lt;L22,0,L21-L22)</f>
        <v>#DIV/0!</v>
      </c>
      <c r="M26" s="499"/>
      <c r="N26" s="525" t="e">
        <f>IF(N21&lt;N22,0,N21-N22)</f>
        <v>#N/A</v>
      </c>
      <c r="V26" s="130" t="e">
        <f>IF(V21&lt;V22,0,V21-V22)</f>
        <v>#REF!</v>
      </c>
    </row>
    <row r="27" spans="1:22">
      <c r="A27" s="57"/>
      <c r="B27" s="57" t="s">
        <v>1652</v>
      </c>
      <c r="I27" s="136"/>
      <c r="J27" s="192"/>
      <c r="K27" s="192"/>
      <c r="L27" s="192"/>
      <c r="M27" s="192"/>
    </row>
    <row r="28" spans="1:22">
      <c r="A28" s="57"/>
      <c r="B28" s="57" t="s">
        <v>485</v>
      </c>
      <c r="J28" s="5"/>
      <c r="K28" s="5"/>
      <c r="L28" s="5"/>
      <c r="M28" s="5"/>
    </row>
    <row r="29" spans="1:22">
      <c r="A29" s="57"/>
      <c r="B29" s="57"/>
      <c r="J29" s="5"/>
      <c r="K29" s="5"/>
      <c r="L29" s="5"/>
      <c r="M29" s="5"/>
    </row>
    <row r="30" spans="1:22">
      <c r="A30" s="57"/>
      <c r="J30" s="5"/>
      <c r="K30" s="5"/>
      <c r="L30" s="5"/>
      <c r="M30" s="5"/>
    </row>
    <row r="31" spans="1:22">
      <c r="A31" s="138" t="s">
        <v>3525</v>
      </c>
      <c r="B31" s="68"/>
      <c r="C31" s="67"/>
      <c r="D31" s="67"/>
      <c r="E31" s="67"/>
      <c r="F31" s="67"/>
      <c r="G31" s="67"/>
      <c r="H31" s="68"/>
    </row>
    <row r="32" spans="1:22" hidden="1">
      <c r="A32" s="93" t="s">
        <v>486</v>
      </c>
    </row>
    <row r="33" spans="1:13" hidden="1">
      <c r="A33" s="133" t="s">
        <v>5118</v>
      </c>
      <c r="B33" s="57" t="s">
        <v>3527</v>
      </c>
      <c r="J33" s="118">
        <f>'Data Entry - SOF'!F24</f>
        <v>0</v>
      </c>
      <c r="K33" s="118"/>
      <c r="L33" s="118"/>
      <c r="M33" s="118"/>
    </row>
    <row r="34" spans="1:13" hidden="1">
      <c r="A34" s="133" t="s">
        <v>2410</v>
      </c>
      <c r="B34" s="57" t="s">
        <v>3526</v>
      </c>
      <c r="J34" s="122">
        <f>'Data Entry - SOF'!F25</f>
        <v>0</v>
      </c>
      <c r="K34" s="130"/>
      <c r="L34" s="130"/>
      <c r="M34" s="130"/>
    </row>
    <row r="35" spans="1:13" hidden="1">
      <c r="A35" s="133" t="s">
        <v>604</v>
      </c>
      <c r="B35" s="57" t="s">
        <v>1653</v>
      </c>
      <c r="J35" s="118" t="e">
        <f>J33/J34</f>
        <v>#DIV/0!</v>
      </c>
      <c r="K35" s="118"/>
      <c r="L35" s="118"/>
      <c r="M35" s="118"/>
    </row>
    <row r="36" spans="1:13" hidden="1">
      <c r="A36" s="133" t="s">
        <v>488</v>
      </c>
      <c r="B36" s="57" t="s">
        <v>4047</v>
      </c>
      <c r="J36" s="122" t="e">
        <f>'Data Entry - SOF'!#REF!</f>
        <v>#REF!</v>
      </c>
      <c r="K36" s="130"/>
      <c r="L36" s="130"/>
      <c r="M36" s="130"/>
    </row>
    <row r="37" spans="1:13" hidden="1">
      <c r="A37" s="133" t="s">
        <v>489</v>
      </c>
      <c r="B37" s="57" t="s">
        <v>4048</v>
      </c>
      <c r="J37" s="118" t="e">
        <f>J35*J36</f>
        <v>#DIV/0!</v>
      </c>
      <c r="K37" s="118"/>
      <c r="L37" s="118"/>
      <c r="M37" s="118"/>
    </row>
    <row r="38" spans="1:13" hidden="1">
      <c r="A38" s="134"/>
      <c r="J38" s="118"/>
      <c r="K38" s="118"/>
      <c r="L38" s="118"/>
      <c r="M38" s="118"/>
    </row>
    <row r="39" spans="1:13" hidden="1">
      <c r="A39" s="133" t="s">
        <v>490</v>
      </c>
      <c r="B39" s="93" t="s">
        <v>4049</v>
      </c>
      <c r="J39" s="122">
        <f>1800*'Data Entry - SOF'!F97</f>
        <v>0</v>
      </c>
      <c r="K39" s="130"/>
      <c r="L39" s="130"/>
      <c r="M39" s="130"/>
    </row>
    <row r="40" spans="1:13" hidden="1">
      <c r="A40" s="134"/>
      <c r="B40" s="93" t="s">
        <v>434</v>
      </c>
      <c r="J40" s="118"/>
      <c r="K40" s="118"/>
      <c r="L40" s="118"/>
      <c r="M40" s="118"/>
    </row>
    <row r="41" spans="1:13" hidden="1">
      <c r="A41" s="134"/>
      <c r="J41" s="118"/>
      <c r="K41" s="118"/>
      <c r="L41" s="118"/>
      <c r="M41" s="118"/>
    </row>
    <row r="42" spans="1:13" hidden="1">
      <c r="A42" s="133" t="s">
        <v>491</v>
      </c>
      <c r="B42" s="57" t="s">
        <v>1654</v>
      </c>
      <c r="J42" s="118" t="e">
        <f>IF(J37&gt;J39,0,IF('Data Entry - SOF'!#REF!&lt;1.5,(('Data Entry - SOF'!F97*1200)-J37),J39-J37))</f>
        <v>#DIV/0!</v>
      </c>
      <c r="K42" s="118"/>
      <c r="L42" s="118"/>
      <c r="M42" s="118"/>
    </row>
    <row r="43" spans="1:13" hidden="1">
      <c r="A43" s="133"/>
      <c r="B43" s="178" t="s">
        <v>6702</v>
      </c>
      <c r="J43" s="118"/>
      <c r="K43" s="118"/>
      <c r="L43" s="118"/>
      <c r="M43" s="118"/>
    </row>
    <row r="44" spans="1:13" hidden="1">
      <c r="A44" s="133"/>
      <c r="B44" s="132" t="s">
        <v>5016</v>
      </c>
      <c r="J44" s="118"/>
      <c r="K44" s="118"/>
      <c r="L44" s="118"/>
      <c r="M44" s="118"/>
    </row>
    <row r="45" spans="1:13" hidden="1">
      <c r="A45" s="133" t="s">
        <v>492</v>
      </c>
      <c r="B45" s="57" t="s">
        <v>1655</v>
      </c>
      <c r="J45" s="122" t="e">
        <f>J26</f>
        <v>#N/A</v>
      </c>
      <c r="K45" s="130"/>
      <c r="L45" s="130"/>
      <c r="M45" s="130"/>
    </row>
    <row r="46" spans="1:13" hidden="1">
      <c r="A46" s="133"/>
      <c r="B46" s="57"/>
      <c r="J46" s="122"/>
      <c r="K46" s="130"/>
      <c r="L46" s="130"/>
      <c r="M46" s="130"/>
    </row>
    <row r="47" spans="1:13" hidden="1">
      <c r="A47" s="139" t="s">
        <v>493</v>
      </c>
      <c r="B47" s="136" t="s">
        <v>4050</v>
      </c>
      <c r="J47" s="137" t="e">
        <f>IF(J42-J45&lt;0,0,J42-J45)</f>
        <v>#DIV/0!</v>
      </c>
      <c r="K47" s="141"/>
      <c r="L47" s="141"/>
      <c r="M47" s="141"/>
    </row>
    <row r="48" spans="1:13" hidden="1">
      <c r="A48" s="134"/>
      <c r="B48" s="171" t="s">
        <v>3034</v>
      </c>
      <c r="C48" s="142"/>
      <c r="D48" s="142"/>
      <c r="J48" s="5"/>
      <c r="K48" s="5"/>
      <c r="L48" s="5"/>
      <c r="M48" s="5"/>
    </row>
    <row r="49" spans="1:22" hidden="1">
      <c r="A49" s="134"/>
      <c r="B49" s="143"/>
      <c r="C49" s="142"/>
      <c r="D49" s="142"/>
      <c r="J49" s="5"/>
      <c r="K49" s="5"/>
      <c r="L49" s="5"/>
      <c r="M49" s="5"/>
    </row>
    <row r="50" spans="1:22" hidden="1">
      <c r="A50" s="134"/>
      <c r="B50" s="143"/>
      <c r="C50" s="142"/>
      <c r="D50" s="142"/>
      <c r="J50" s="5"/>
      <c r="K50" s="5"/>
      <c r="L50" s="5"/>
      <c r="M50" s="5"/>
    </row>
    <row r="51" spans="1:22" hidden="1">
      <c r="A51" s="134"/>
      <c r="B51" s="132" t="s">
        <v>2043</v>
      </c>
      <c r="J51" s="175" t="e">
        <f>IF(J37-J39&lt;0,0,J37-J39)</f>
        <v>#DIV/0!</v>
      </c>
      <c r="K51" s="250"/>
      <c r="L51" s="250"/>
      <c r="M51" s="250"/>
    </row>
    <row r="52" spans="1:22" hidden="1">
      <c r="A52" s="134"/>
      <c r="J52" s="5"/>
      <c r="K52" s="5"/>
      <c r="L52" s="5"/>
      <c r="M52" s="5"/>
    </row>
    <row r="53" spans="1:22" ht="15.6" hidden="1">
      <c r="B53" s="172" t="s">
        <v>3035</v>
      </c>
      <c r="C53" s="168"/>
      <c r="D53" s="161"/>
      <c r="E53" s="161"/>
      <c r="F53" s="161"/>
      <c r="G53" s="161"/>
      <c r="H53" s="161"/>
      <c r="I53" s="161"/>
      <c r="J53" s="162"/>
      <c r="K53" s="162"/>
      <c r="L53" s="162"/>
      <c r="M53" s="162"/>
      <c r="N53" s="163"/>
    </row>
    <row r="54" spans="1:22" ht="15.6" hidden="1">
      <c r="B54" s="173" t="s">
        <v>102</v>
      </c>
      <c r="C54" s="169"/>
      <c r="D54" s="42"/>
      <c r="E54" s="42"/>
      <c r="F54" s="42"/>
      <c r="G54" s="42"/>
      <c r="H54" s="42"/>
      <c r="I54" s="42"/>
      <c r="J54" s="53"/>
      <c r="K54" s="53"/>
      <c r="L54" s="53"/>
      <c r="M54" s="53"/>
      <c r="N54" s="164"/>
    </row>
    <row r="55" spans="1:22" ht="15.6" hidden="1">
      <c r="B55" s="173" t="s">
        <v>599</v>
      </c>
      <c r="C55" s="169"/>
      <c r="D55" s="42"/>
      <c r="E55" s="42"/>
      <c r="F55" s="42"/>
      <c r="G55" s="42"/>
      <c r="H55" s="42"/>
      <c r="I55" s="42"/>
      <c r="J55" s="53"/>
      <c r="K55" s="53"/>
      <c r="L55" s="53"/>
      <c r="M55" s="53"/>
      <c r="N55" s="164"/>
    </row>
    <row r="56" spans="1:22" ht="15.6" hidden="1">
      <c r="B56" s="173" t="s">
        <v>4959</v>
      </c>
      <c r="C56" s="169"/>
      <c r="D56" s="42"/>
      <c r="E56" s="42"/>
      <c r="F56" s="42"/>
      <c r="G56" s="42"/>
      <c r="H56" s="42"/>
      <c r="I56" s="42"/>
      <c r="J56" s="53"/>
      <c r="K56" s="53"/>
      <c r="L56" s="53"/>
      <c r="M56" s="53"/>
      <c r="N56" s="164"/>
    </row>
    <row r="57" spans="1:22" ht="16.2" hidden="1" thickBot="1">
      <c r="B57" s="174" t="s">
        <v>62</v>
      </c>
      <c r="C57" s="170"/>
      <c r="D57" s="165"/>
      <c r="E57" s="165"/>
      <c r="F57" s="165"/>
      <c r="G57" s="165"/>
      <c r="H57" s="165"/>
      <c r="I57" s="165"/>
      <c r="J57" s="166"/>
      <c r="K57" s="166"/>
      <c r="L57" s="166"/>
      <c r="M57" s="166"/>
      <c r="N57" s="167"/>
    </row>
    <row r="58" spans="1:22" hidden="1">
      <c r="J58" s="5"/>
      <c r="K58" s="5"/>
      <c r="L58" s="5"/>
      <c r="M58" s="5"/>
    </row>
    <row r="59" spans="1:22" ht="17.399999999999999">
      <c r="A59" s="247" t="s">
        <v>22</v>
      </c>
    </row>
    <row r="60" spans="1:22" ht="17.399999999999999">
      <c r="A60" s="247" t="s">
        <v>4939</v>
      </c>
    </row>
    <row r="63" spans="1:22">
      <c r="I63" s="499" t="s">
        <v>4552</v>
      </c>
      <c r="M63" s="132" t="s">
        <v>274</v>
      </c>
    </row>
    <row r="64" spans="1:22">
      <c r="A64" s="402" t="s">
        <v>4177</v>
      </c>
      <c r="B64" s="347"/>
      <c r="C64" s="347"/>
      <c r="D64" s="347"/>
      <c r="E64" s="347"/>
      <c r="F64" s="347"/>
      <c r="G64" s="403"/>
      <c r="H64" s="42"/>
      <c r="I64" s="602" t="s">
        <v>4177</v>
      </c>
      <c r="J64" s="618"/>
      <c r="K64" s="618"/>
      <c r="L64" s="604"/>
      <c r="M64" s="410" t="s">
        <v>4177</v>
      </c>
      <c r="N64" s="623"/>
      <c r="O64" s="623"/>
      <c r="P64" s="147"/>
      <c r="Q64" s="149"/>
      <c r="R64" s="149"/>
      <c r="U64" s="149"/>
      <c r="V64" s="149"/>
    </row>
    <row r="65" spans="1:22">
      <c r="A65" s="252" t="s">
        <v>418</v>
      </c>
      <c r="B65" s="217"/>
      <c r="C65" s="217"/>
      <c r="D65" s="217"/>
      <c r="E65" s="217"/>
      <c r="F65" s="217"/>
      <c r="G65" s="404"/>
      <c r="H65" s="42"/>
      <c r="I65" s="605" t="s">
        <v>418</v>
      </c>
      <c r="J65" s="619"/>
      <c r="K65" s="619"/>
      <c r="L65" s="606"/>
      <c r="M65" s="148" t="s">
        <v>418</v>
      </c>
      <c r="N65" s="624"/>
      <c r="O65" s="624"/>
      <c r="P65" s="150"/>
      <c r="Q65" s="149"/>
      <c r="R65" s="149"/>
      <c r="U65" s="149"/>
      <c r="V65" s="149"/>
    </row>
    <row r="66" spans="1:22">
      <c r="A66" s="252" t="s">
        <v>5079</v>
      </c>
      <c r="B66" s="217"/>
      <c r="C66" s="217"/>
      <c r="D66" s="217"/>
      <c r="E66" s="217"/>
      <c r="F66" s="217"/>
      <c r="G66" s="405" t="e">
        <f>295000*'Ch41 Calc Data'!E6</f>
        <v>#N/A</v>
      </c>
      <c r="H66" s="42"/>
      <c r="I66" s="605" t="s">
        <v>5079</v>
      </c>
      <c r="J66" s="619"/>
      <c r="K66" s="619"/>
      <c r="L66" s="607" t="e">
        <f>295000*'Ch41 Calc Data'!F6</f>
        <v>#N/A</v>
      </c>
      <c r="M66" s="148" t="s">
        <v>5079</v>
      </c>
      <c r="N66" s="624"/>
      <c r="O66" s="624"/>
      <c r="P66" s="303" t="e">
        <f>295000*'Ch41 Calc Data'!F6</f>
        <v>#N/A</v>
      </c>
      <c r="Q66" s="149"/>
      <c r="R66" s="42"/>
      <c r="U66" s="149"/>
      <c r="V66" s="149"/>
    </row>
    <row r="67" spans="1:22">
      <c r="A67" s="252"/>
      <c r="B67" s="217"/>
      <c r="C67" s="217"/>
      <c r="D67" s="217"/>
      <c r="E67" s="217"/>
      <c r="F67" s="217"/>
      <c r="G67" s="404"/>
      <c r="H67" s="42"/>
      <c r="I67" s="605"/>
      <c r="J67" s="619"/>
      <c r="K67" s="619"/>
      <c r="L67" s="606"/>
      <c r="M67" s="148"/>
      <c r="N67" s="624"/>
      <c r="O67" s="624"/>
      <c r="P67" s="150"/>
      <c r="Q67" s="149"/>
      <c r="R67" s="42"/>
      <c r="U67" s="149"/>
      <c r="V67" s="149"/>
    </row>
    <row r="68" spans="1:22">
      <c r="A68" s="252" t="s">
        <v>419</v>
      </c>
      <c r="B68" s="217"/>
      <c r="C68" s="217"/>
      <c r="D68" s="217"/>
      <c r="E68" s="217"/>
      <c r="F68" s="217"/>
      <c r="G68" s="404"/>
      <c r="H68" s="42"/>
      <c r="I68" s="605" t="s">
        <v>419</v>
      </c>
      <c r="J68" s="619"/>
      <c r="K68" s="619"/>
      <c r="L68" s="606"/>
      <c r="M68" s="148" t="s">
        <v>419</v>
      </c>
      <c r="N68" s="624"/>
      <c r="O68" s="624"/>
      <c r="P68" s="150"/>
      <c r="Q68" s="149"/>
      <c r="R68" s="42"/>
      <c r="U68" s="149"/>
      <c r="V68" s="149"/>
    </row>
    <row r="69" spans="1:22">
      <c r="A69" s="252" t="s">
        <v>2658</v>
      </c>
      <c r="B69" s="217"/>
      <c r="C69" s="217"/>
      <c r="D69" s="217"/>
      <c r="E69" s="217"/>
      <c r="F69" s="217"/>
      <c r="G69" s="406">
        <f>'Data Entry - SOF'!F27</f>
        <v>0</v>
      </c>
      <c r="H69" s="42"/>
      <c r="I69" s="605" t="s">
        <v>2658</v>
      </c>
      <c r="J69" s="619"/>
      <c r="K69" s="619"/>
      <c r="L69" s="608">
        <f>G69</f>
        <v>0</v>
      </c>
      <c r="M69" s="148" t="s">
        <v>2658</v>
      </c>
      <c r="N69" s="624"/>
      <c r="O69" s="624"/>
      <c r="P69" s="411">
        <f>G69</f>
        <v>0</v>
      </c>
      <c r="Q69" s="149"/>
      <c r="R69" s="42"/>
      <c r="U69" s="149"/>
      <c r="V69" s="149"/>
    </row>
    <row r="70" spans="1:22">
      <c r="A70" s="252" t="s">
        <v>3235</v>
      </c>
      <c r="B70" s="217"/>
      <c r="C70" s="217"/>
      <c r="D70" s="217"/>
      <c r="E70" s="217"/>
      <c r="F70" s="217"/>
      <c r="G70" s="405" t="e">
        <f>G69*'Ch41 Calc Data'!E6</f>
        <v>#N/A</v>
      </c>
      <c r="H70" s="42"/>
      <c r="I70" s="605" t="s">
        <v>3235</v>
      </c>
      <c r="J70" s="619"/>
      <c r="K70" s="619"/>
      <c r="L70" s="607" t="e">
        <f>L69*'Ch41 Calc Data'!F6</f>
        <v>#N/A</v>
      </c>
      <c r="M70" s="148" t="s">
        <v>3235</v>
      </c>
      <c r="N70" s="624"/>
      <c r="O70" s="624"/>
      <c r="P70" s="303" t="e">
        <f>P69*'Ch41 Calc Data'!F6</f>
        <v>#N/A</v>
      </c>
      <c r="Q70" s="149"/>
      <c r="R70" s="42"/>
      <c r="U70" s="149"/>
      <c r="V70" s="149"/>
    </row>
    <row r="71" spans="1:22">
      <c r="A71" s="252"/>
      <c r="B71" s="217"/>
      <c r="C71" s="217"/>
      <c r="D71" s="217"/>
      <c r="E71" s="217"/>
      <c r="F71" s="217"/>
      <c r="G71" s="404"/>
      <c r="H71" s="42"/>
      <c r="I71" s="605"/>
      <c r="J71" s="619"/>
      <c r="K71" s="619"/>
      <c r="L71" s="606"/>
      <c r="M71" s="148"/>
      <c r="N71" s="624"/>
      <c r="O71" s="624"/>
      <c r="P71" s="150"/>
      <c r="Q71" s="149"/>
      <c r="R71" s="42"/>
      <c r="U71" s="149"/>
      <c r="V71" s="149"/>
    </row>
    <row r="72" spans="1:22">
      <c r="A72" s="252" t="s">
        <v>7285</v>
      </c>
      <c r="B72" s="217"/>
      <c r="C72" s="217"/>
      <c r="D72" s="217"/>
      <c r="E72" s="217"/>
      <c r="F72" s="217"/>
      <c r="G72" s="404"/>
      <c r="H72" s="42"/>
      <c r="I72" s="605" t="s">
        <v>7285</v>
      </c>
      <c r="J72" s="619"/>
      <c r="K72" s="619"/>
      <c r="L72" s="606"/>
      <c r="M72" s="148" t="s">
        <v>7285</v>
      </c>
      <c r="N72" s="624"/>
      <c r="O72" s="624"/>
      <c r="P72" s="150"/>
      <c r="Q72" s="149"/>
      <c r="R72" s="42"/>
      <c r="U72" s="149"/>
      <c r="V72" s="149"/>
    </row>
    <row r="73" spans="1:22">
      <c r="A73" s="252" t="s">
        <v>7286</v>
      </c>
      <c r="B73" s="217"/>
      <c r="C73" s="217"/>
      <c r="D73" s="217"/>
      <c r="E73" s="217"/>
      <c r="F73" s="217"/>
      <c r="G73" s="405" t="e">
        <f>IF(G70&gt;G66,G70,G66)</f>
        <v>#N/A</v>
      </c>
      <c r="H73" s="42"/>
      <c r="I73" s="605" t="s">
        <v>7286</v>
      </c>
      <c r="J73" s="619"/>
      <c r="K73" s="619"/>
      <c r="L73" s="607" t="e">
        <f>IF(L70&gt;L66,L70,L66)</f>
        <v>#N/A</v>
      </c>
      <c r="M73" s="148" t="s">
        <v>7286</v>
      </c>
      <c r="N73" s="624"/>
      <c r="O73" s="624"/>
      <c r="P73" s="303" t="e">
        <f>IF(P70&gt;P66,P70,P66)</f>
        <v>#N/A</v>
      </c>
      <c r="Q73" s="149"/>
      <c r="R73" s="42"/>
      <c r="U73" s="149"/>
      <c r="V73" s="149"/>
    </row>
    <row r="74" spans="1:22">
      <c r="A74" s="252" t="s">
        <v>5416</v>
      </c>
      <c r="B74" s="217"/>
      <c r="C74" s="217"/>
      <c r="D74" s="217"/>
      <c r="E74" s="217"/>
      <c r="F74" s="217"/>
      <c r="G74" s="406" t="e">
        <f>'Data Entry - SOF'!F61-G73</f>
        <v>#N/A</v>
      </c>
      <c r="H74" s="42"/>
      <c r="I74" s="605" t="s">
        <v>5416</v>
      </c>
      <c r="J74" s="619"/>
      <c r="K74" s="619"/>
      <c r="L74" s="608" t="e">
        <f>'Data Entry - SOF'!H61-L73</f>
        <v>#N/A</v>
      </c>
      <c r="M74" s="148" t="s">
        <v>5416</v>
      </c>
      <c r="N74" s="624"/>
      <c r="O74" s="624"/>
      <c r="P74" s="411" t="e">
        <f>'Data Entry - SOF'!H61-P73</f>
        <v>#N/A</v>
      </c>
      <c r="Q74" s="149"/>
      <c r="R74" s="42"/>
      <c r="U74" s="149"/>
      <c r="V74" s="149"/>
    </row>
    <row r="75" spans="1:22">
      <c r="A75" s="252" t="s">
        <v>3241</v>
      </c>
      <c r="B75" s="217"/>
      <c r="C75" s="217"/>
      <c r="D75" s="217"/>
      <c r="E75" s="217"/>
      <c r="F75" s="217"/>
      <c r="G75" s="404" t="e">
        <f>G74/'Data Entry - SOF'!F61</f>
        <v>#N/A</v>
      </c>
      <c r="H75" s="42"/>
      <c r="I75" s="605" t="s">
        <v>3241</v>
      </c>
      <c r="J75" s="619"/>
      <c r="K75" s="619"/>
      <c r="L75" s="606" t="e">
        <f>L74/'Data Entry - SOF'!H61</f>
        <v>#N/A</v>
      </c>
      <c r="M75" s="148" t="s">
        <v>3241</v>
      </c>
      <c r="N75" s="624"/>
      <c r="O75" s="624"/>
      <c r="P75" s="150" t="e">
        <f>P74/'Data Entry - SOF'!H61</f>
        <v>#N/A</v>
      </c>
      <c r="Q75" s="149"/>
      <c r="R75" s="42"/>
      <c r="U75" s="149"/>
      <c r="V75" s="149"/>
    </row>
    <row r="76" spans="1:22">
      <c r="A76" s="252"/>
      <c r="B76" s="217"/>
      <c r="C76" s="217"/>
      <c r="D76" s="217"/>
      <c r="E76" s="217"/>
      <c r="F76" s="217"/>
      <c r="G76" s="404"/>
      <c r="H76" s="42"/>
      <c r="I76" s="605"/>
      <c r="J76" s="619"/>
      <c r="K76" s="619"/>
      <c r="L76" s="606"/>
      <c r="M76" s="148"/>
      <c r="N76" s="624"/>
      <c r="O76" s="624"/>
      <c r="P76" s="150"/>
      <c r="Q76" s="149"/>
      <c r="R76" s="42"/>
      <c r="U76" s="149"/>
      <c r="V76" s="149"/>
    </row>
    <row r="77" spans="1:22">
      <c r="A77" s="252" t="s">
        <v>3236</v>
      </c>
      <c r="B77" s="217"/>
      <c r="C77" s="217"/>
      <c r="D77" s="217"/>
      <c r="E77" s="217"/>
      <c r="F77" s="217"/>
      <c r="G77" s="404"/>
      <c r="I77" s="605" t="s">
        <v>3236</v>
      </c>
      <c r="J77" s="619"/>
      <c r="K77" s="619"/>
      <c r="L77" s="606"/>
      <c r="M77" s="148" t="s">
        <v>3236</v>
      </c>
      <c r="N77" s="624"/>
      <c r="O77" s="624"/>
      <c r="P77" s="150"/>
      <c r="Q77" s="149"/>
      <c r="R77" s="42"/>
      <c r="U77" s="149"/>
      <c r="V77" s="149"/>
    </row>
    <row r="78" spans="1:22">
      <c r="A78" s="408" t="s">
        <v>2657</v>
      </c>
      <c r="B78" s="387"/>
      <c r="C78" s="387"/>
      <c r="D78" s="387"/>
      <c r="E78" s="387"/>
      <c r="F78" s="387"/>
      <c r="G78" s="385" t="e">
        <f>G75*'Data Entry - SOF'!F70</f>
        <v>#N/A</v>
      </c>
      <c r="I78" s="610" t="s">
        <v>984</v>
      </c>
      <c r="J78" s="620"/>
      <c r="K78" s="620"/>
      <c r="L78" s="612" t="e">
        <f>L75*'Salary Transition'!Q62</f>
        <v>#N/A</v>
      </c>
      <c r="M78" s="413" t="s">
        <v>275</v>
      </c>
      <c r="N78" s="625"/>
      <c r="O78" s="625"/>
      <c r="P78" s="304" t="e">
        <f>((('Data Entry - SOF'!F18-'Data Entry - SOF'!F19)/'Data Entry - SOF'!F20)*'Data Entry - SOF'!H61)*P75</f>
        <v>#N/A</v>
      </c>
      <c r="Q78" s="149"/>
      <c r="R78" s="42"/>
      <c r="U78" s="149"/>
      <c r="V78" s="149"/>
    </row>
  </sheetData>
  <sheetProtection sheet="1" objects="1" scenarios="1"/>
  <phoneticPr fontId="0" type="noConversion"/>
  <pageMargins left="0.25" right="0.25" top="0.5" bottom="0.5" header="0.5" footer="0.5"/>
  <pageSetup scale="75" orientation="portrait" r:id="rId1"/>
  <headerFooter alignWithMargins="0">
    <oddFooter>&amp;L&amp;G</oddFooter>
  </headerFooter>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6"/>
  <dimension ref="A1:H57"/>
  <sheetViews>
    <sheetView workbookViewId="0">
      <selection activeCell="G24" sqref="G24"/>
    </sheetView>
  </sheetViews>
  <sheetFormatPr defaultRowHeight="13.2"/>
  <cols>
    <col min="1" max="1" width="4.77734375" customWidth="1"/>
    <col min="2" max="2" width="9.5546875" customWidth="1"/>
    <col min="5" max="7" width="15.77734375" customWidth="1"/>
    <col min="8" max="8" width="9.77734375" customWidth="1"/>
    <col min="9" max="9" width="12.77734375" customWidth="1"/>
  </cols>
  <sheetData>
    <row r="1" spans="1:8">
      <c r="A1" s="27" t="s">
        <v>6151</v>
      </c>
      <c r="D1" s="108">
        <f>'Data Entry - SOF'!C1</f>
        <v>0</v>
      </c>
      <c r="H1" s="107" t="s">
        <v>1618</v>
      </c>
    </row>
    <row r="2" spans="1:8">
      <c r="A2" s="27" t="s">
        <v>6134</v>
      </c>
      <c r="D2" s="110" t="str">
        <f>'Data Entry - SOF'!B2</f>
        <v>000-000</v>
      </c>
      <c r="H2" s="107" t="str">
        <f>'Existing Debt'!H2</f>
        <v>Release 09-10; Revised 10/18/11</v>
      </c>
    </row>
    <row r="3" spans="1:8">
      <c r="A3" s="27" t="s">
        <v>6154</v>
      </c>
      <c r="D3" s="116">
        <f ca="1">'Data Entry - SOF'!B3</f>
        <v>45352.58606238426</v>
      </c>
      <c r="H3" s="106">
        <f>'Data Entry - SOF'!H3</f>
        <v>0</v>
      </c>
    </row>
    <row r="5" spans="1:8" ht="15.6">
      <c r="C5" s="48" t="s">
        <v>5135</v>
      </c>
    </row>
    <row r="6" spans="1:8" ht="15.6">
      <c r="D6" s="48" t="s">
        <v>436</v>
      </c>
    </row>
    <row r="7" spans="1:8" ht="15.6">
      <c r="C7" s="48"/>
    </row>
    <row r="8" spans="1:8" ht="15.6">
      <c r="A8" s="57" t="s">
        <v>5133</v>
      </c>
      <c r="C8" s="48"/>
    </row>
    <row r="9" spans="1:8" ht="15.6">
      <c r="C9" s="48"/>
    </row>
    <row r="10" spans="1:8" ht="15">
      <c r="B10" t="s">
        <v>106</v>
      </c>
      <c r="C10" s="58" t="s">
        <v>1615</v>
      </c>
    </row>
    <row r="11" spans="1:8" ht="15">
      <c r="B11" s="59" t="s">
        <v>6291</v>
      </c>
      <c r="C11" s="58" t="s">
        <v>437</v>
      </c>
    </row>
    <row r="12" spans="1:8" ht="15">
      <c r="B12" s="59" t="s">
        <v>5134</v>
      </c>
      <c r="C12" s="58" t="s">
        <v>1616</v>
      </c>
    </row>
    <row r="13" spans="1:8" ht="15">
      <c r="B13" s="59" t="s">
        <v>6292</v>
      </c>
      <c r="C13" s="58" t="s">
        <v>5299</v>
      </c>
    </row>
    <row r="14" spans="1:8" ht="15.6" thickBot="1">
      <c r="A14" s="60"/>
      <c r="B14" s="61"/>
      <c r="C14" s="62"/>
      <c r="D14" s="60"/>
      <c r="E14" s="60"/>
      <c r="F14" s="60"/>
      <c r="G14" s="60"/>
    </row>
    <row r="15" spans="1:8" ht="16.2" thickTop="1">
      <c r="G15" s="49"/>
    </row>
    <row r="16" spans="1:8" ht="15.6">
      <c r="A16" s="56" t="s">
        <v>1558</v>
      </c>
      <c r="B16" s="31"/>
      <c r="C16" s="16"/>
      <c r="D16" s="31"/>
      <c r="E16" s="31"/>
      <c r="F16" s="16"/>
    </row>
    <row r="17" spans="1:7" ht="15.6">
      <c r="A17" s="48"/>
    </row>
    <row r="18" spans="1:7">
      <c r="A18" s="50" t="s">
        <v>7719</v>
      </c>
      <c r="B18" t="s">
        <v>230</v>
      </c>
      <c r="G18" s="9">
        <f>'Data Entry - SOF'!F91</f>
        <v>0</v>
      </c>
    </row>
    <row r="19" spans="1:7">
      <c r="A19" s="50"/>
      <c r="G19" s="40"/>
    </row>
    <row r="20" spans="1:7">
      <c r="A20" s="63" t="s">
        <v>7720</v>
      </c>
      <c r="B20" t="s">
        <v>5300</v>
      </c>
      <c r="G20" s="9" t="e">
        <f>'Data Entry - SOF'!F19</f>
        <v>#N/A</v>
      </c>
    </row>
    <row r="21" spans="1:7">
      <c r="A21" s="50"/>
      <c r="G21" s="40"/>
    </row>
    <row r="22" spans="1:7">
      <c r="A22" s="63" t="s">
        <v>7721</v>
      </c>
      <c r="B22" t="s">
        <v>2366</v>
      </c>
      <c r="G22" s="9" t="e">
        <f>VLOOKUP(D2,#REF!,2,FALSE)</f>
        <v>#REF!</v>
      </c>
    </row>
    <row r="23" spans="1:7">
      <c r="A23" s="63"/>
      <c r="G23" s="40"/>
    </row>
    <row r="24" spans="1:7">
      <c r="A24" s="63" t="s">
        <v>6285</v>
      </c>
      <c r="B24" t="s">
        <v>231</v>
      </c>
      <c r="G24" s="9">
        <f>IFA!F104</f>
        <v>0</v>
      </c>
    </row>
    <row r="25" spans="1:7" ht="15.6">
      <c r="A25" s="48"/>
    </row>
    <row r="26" spans="1:7">
      <c r="A26" s="63" t="s">
        <v>6286</v>
      </c>
      <c r="B26" t="s">
        <v>5301</v>
      </c>
      <c r="G26" s="10" t="e">
        <f>'Data Entry - SOF'!F36</f>
        <v>#N/A</v>
      </c>
    </row>
    <row r="27" spans="1:7">
      <c r="A27" s="50"/>
    </row>
    <row r="28" spans="1:7">
      <c r="A28" s="63" t="s">
        <v>6288</v>
      </c>
      <c r="B28" t="s">
        <v>5413</v>
      </c>
      <c r="G28" s="9" t="e">
        <f>'Data Entry - SOF'!F61</f>
        <v>#N/A</v>
      </c>
    </row>
    <row r="29" spans="1:7">
      <c r="A29" s="50"/>
    </row>
    <row r="30" spans="1:7" ht="15.6">
      <c r="A30" s="51" t="s">
        <v>6284</v>
      </c>
    </row>
    <row r="31" spans="1:7">
      <c r="A31" s="50"/>
    </row>
    <row r="32" spans="1:7" ht="15.6">
      <c r="A32" s="52" t="s">
        <v>105</v>
      </c>
      <c r="B32" s="31"/>
      <c r="C32" s="31"/>
      <c r="D32" s="16"/>
      <c r="E32" s="42"/>
      <c r="F32" s="42"/>
    </row>
    <row r="33" spans="1:7" ht="15.6">
      <c r="A33" s="51"/>
    </row>
    <row r="34" spans="1:7">
      <c r="A34" s="91" t="s">
        <v>6289</v>
      </c>
      <c r="B34" t="s">
        <v>30</v>
      </c>
      <c r="G34" s="126" t="e">
        <f>((G20-G22)/(G28/100))</f>
        <v>#N/A</v>
      </c>
    </row>
    <row r="35" spans="1:7">
      <c r="A35" s="91"/>
      <c r="B35" t="s">
        <v>1815</v>
      </c>
    </row>
    <row r="36" spans="1:7">
      <c r="A36" s="91"/>
    </row>
    <row r="37" spans="1:7">
      <c r="A37" s="63" t="s">
        <v>6290</v>
      </c>
      <c r="B37" t="s">
        <v>31</v>
      </c>
      <c r="G37" s="54" t="e">
        <f>((G18-G24)/35/G26/100)</f>
        <v>#N/A</v>
      </c>
    </row>
    <row r="38" spans="1:7">
      <c r="A38" s="63"/>
      <c r="B38" t="s">
        <v>3557</v>
      </c>
    </row>
    <row r="39" spans="1:7">
      <c r="A39" s="91"/>
    </row>
    <row r="40" spans="1:7">
      <c r="A40" s="63" t="s">
        <v>5115</v>
      </c>
      <c r="B40" t="s">
        <v>435</v>
      </c>
      <c r="G40" s="54" t="e">
        <f>IF(MIN(G34,G37)&gt;0.29,0.29,MIN(G34,G37))</f>
        <v>#N/A</v>
      </c>
    </row>
    <row r="41" spans="1:7">
      <c r="A41" s="50"/>
      <c r="G41" s="72"/>
    </row>
    <row r="42" spans="1:7">
      <c r="A42" s="50"/>
      <c r="G42" s="5"/>
    </row>
    <row r="43" spans="1:7" ht="15.6">
      <c r="A43" s="52" t="s">
        <v>6287</v>
      </c>
      <c r="B43" s="31"/>
      <c r="C43" s="16"/>
      <c r="D43" s="16"/>
      <c r="G43" s="5"/>
    </row>
    <row r="44" spans="1:7">
      <c r="A44" s="50"/>
      <c r="G44" s="5"/>
    </row>
    <row r="45" spans="1:7">
      <c r="A45" s="63" t="s">
        <v>5116</v>
      </c>
      <c r="B45" t="s">
        <v>3770</v>
      </c>
      <c r="G45" s="11" t="e">
        <f>G26*G40*35*100</f>
        <v>#N/A</v>
      </c>
    </row>
    <row r="46" spans="1:7">
      <c r="A46" s="50"/>
      <c r="G46" s="5"/>
    </row>
    <row r="47" spans="1:7">
      <c r="A47" s="63" t="s">
        <v>5117</v>
      </c>
      <c r="B47" s="57" t="s">
        <v>5098</v>
      </c>
      <c r="G47" s="11" t="e">
        <f>G40*(G28/100)</f>
        <v>#N/A</v>
      </c>
    </row>
    <row r="48" spans="1:7">
      <c r="A48" s="63"/>
      <c r="B48" s="57" t="s">
        <v>651</v>
      </c>
      <c r="G48" s="53"/>
    </row>
    <row r="49" spans="1:7">
      <c r="A49" s="63"/>
      <c r="B49" s="57" t="s">
        <v>3177</v>
      </c>
      <c r="G49" s="53"/>
    </row>
    <row r="50" spans="1:7">
      <c r="A50" s="63"/>
      <c r="G50" s="53"/>
    </row>
    <row r="51" spans="1:7">
      <c r="A51" s="63" t="s">
        <v>5118</v>
      </c>
      <c r="B51" s="57" t="s">
        <v>1515</v>
      </c>
      <c r="G51" s="85" t="e">
        <f>IF(G47&gt;=G45,0,G45-G47)</f>
        <v>#N/A</v>
      </c>
    </row>
    <row r="52" spans="1:7">
      <c r="A52" s="50"/>
      <c r="B52" s="57" t="s">
        <v>1516</v>
      </c>
      <c r="G52" s="55"/>
    </row>
    <row r="53" spans="1:7">
      <c r="A53" s="50"/>
      <c r="B53" s="57" t="s">
        <v>3221</v>
      </c>
      <c r="G53" s="55"/>
    </row>
    <row r="55" spans="1:7">
      <c r="B55" t="s">
        <v>1617</v>
      </c>
    </row>
    <row r="56" spans="1:7">
      <c r="B56" t="s">
        <v>6293</v>
      </c>
    </row>
    <row r="57" spans="1:7">
      <c r="B57" t="s">
        <v>2378</v>
      </c>
    </row>
  </sheetData>
  <sheetProtection password="EB65" sheet="1" objects="1" scenarios="1"/>
  <phoneticPr fontId="0" type="noConversion"/>
  <pageMargins left="0.75" right="0.75" top="1" bottom="1" header="0.5" footer="0.5"/>
  <pageSetup orientation="portrait" r:id="rId1"/>
  <headerFooter alignWithMargins="0"/>
  <rowBreaks count="1" manualBreakCount="1">
    <brk id="41"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7"/>
  <dimension ref="A1:M177"/>
  <sheetViews>
    <sheetView topLeftCell="A41" workbookViewId="0">
      <selection activeCell="H2" sqref="H2"/>
    </sheetView>
  </sheetViews>
  <sheetFormatPr defaultRowHeight="13.2"/>
  <cols>
    <col min="1" max="1" width="4.77734375" customWidth="1"/>
    <col min="2" max="2" width="9.5546875" customWidth="1"/>
    <col min="4" max="4" width="11.21875" customWidth="1"/>
    <col min="5" max="5" width="15.77734375" customWidth="1"/>
    <col min="6" max="6" width="20.77734375" customWidth="1"/>
    <col min="7" max="8" width="15.77734375" customWidth="1"/>
    <col min="9" max="9" width="1.77734375" customWidth="1"/>
  </cols>
  <sheetData>
    <row r="1" spans="1:13">
      <c r="A1" s="27" t="s">
        <v>6151</v>
      </c>
      <c r="D1" s="108" t="e">
        <f>'Data Entry - SOF'!B1</f>
        <v>#N/A</v>
      </c>
      <c r="H1" s="107">
        <f>'Data Entry - SOF'!H1</f>
        <v>0</v>
      </c>
    </row>
    <row r="2" spans="1:13">
      <c r="A2" s="27" t="s">
        <v>6134</v>
      </c>
      <c r="D2" s="110" t="str">
        <f>'Data Entry - SOF'!B2</f>
        <v>000-000</v>
      </c>
      <c r="H2" s="107" t="str">
        <f>'Data Entry - SOF'!H2</f>
        <v>Release 09-10; Revised 10/18/11</v>
      </c>
    </row>
    <row r="3" spans="1:13">
      <c r="A3" s="27" t="s">
        <v>6154</v>
      </c>
      <c r="D3" s="116">
        <f ca="1">'Data Entry - SOF'!B3</f>
        <v>45352.58606238426</v>
      </c>
      <c r="H3" s="106">
        <f>'Data Entry - SOF'!H3</f>
        <v>0</v>
      </c>
    </row>
    <row r="5" spans="1:13" ht="15.6">
      <c r="C5" s="48" t="s">
        <v>5135</v>
      </c>
    </row>
    <row r="6" spans="1:13" ht="15.6">
      <c r="D6" s="48" t="s">
        <v>2636</v>
      </c>
    </row>
    <row r="7" spans="1:13" ht="15.6">
      <c r="C7" s="48"/>
    </row>
    <row r="8" spans="1:13" ht="15.6">
      <c r="A8" s="57" t="s">
        <v>5133</v>
      </c>
      <c r="C8" s="48"/>
    </row>
    <row r="9" spans="1:13" ht="15.6">
      <c r="C9" s="48"/>
    </row>
    <row r="10" spans="1:13" ht="15">
      <c r="B10" t="s">
        <v>106</v>
      </c>
      <c r="C10" s="58" t="s">
        <v>1615</v>
      </c>
    </row>
    <row r="11" spans="1:13" ht="15">
      <c r="B11" s="59" t="s">
        <v>6291</v>
      </c>
      <c r="C11" s="58" t="s">
        <v>2637</v>
      </c>
    </row>
    <row r="12" spans="1:13" ht="15">
      <c r="B12" s="59" t="s">
        <v>5134</v>
      </c>
      <c r="C12" s="58" t="s">
        <v>1616</v>
      </c>
    </row>
    <row r="13" spans="1:13" ht="15">
      <c r="B13" s="59" t="s">
        <v>6292</v>
      </c>
      <c r="C13" s="58" t="s">
        <v>2638</v>
      </c>
    </row>
    <row r="14" spans="1:13" ht="15.6" hidden="1" thickBot="1">
      <c r="B14" s="59"/>
      <c r="C14" s="58"/>
    </row>
    <row r="15" spans="1:13" s="256" customFormat="1" ht="25.05" hidden="1" customHeight="1" thickTop="1">
      <c r="A15" s="273" t="s">
        <v>6128</v>
      </c>
      <c r="B15" s="281"/>
      <c r="C15" s="282"/>
      <c r="D15" s="283"/>
      <c r="E15" s="283"/>
      <c r="F15" s="283"/>
      <c r="G15" s="283"/>
      <c r="H15" s="284"/>
      <c r="I15" s="257"/>
      <c r="J15" s="257"/>
      <c r="K15" s="257"/>
      <c r="L15" s="257"/>
      <c r="M15" s="257"/>
    </row>
    <row r="16" spans="1:13" s="256" customFormat="1" ht="25.05" hidden="1" customHeight="1">
      <c r="A16" s="276" t="s">
        <v>6129</v>
      </c>
      <c r="B16" s="258"/>
      <c r="C16" s="259"/>
      <c r="D16" s="260"/>
      <c r="E16" s="260"/>
      <c r="F16" s="260"/>
      <c r="G16" s="260"/>
      <c r="H16" s="285"/>
      <c r="I16" s="257"/>
      <c r="J16" s="257"/>
      <c r="K16" s="257"/>
      <c r="L16" s="257"/>
      <c r="M16" s="257"/>
    </row>
    <row r="17" spans="1:13" s="256" customFormat="1" ht="25.05" hidden="1" customHeight="1">
      <c r="A17" s="276" t="s">
        <v>5082</v>
      </c>
      <c r="B17" s="258"/>
      <c r="C17" s="259"/>
      <c r="D17" s="260"/>
      <c r="E17" s="260"/>
      <c r="F17" s="260"/>
      <c r="G17" s="260"/>
      <c r="H17" s="285"/>
      <c r="I17" s="257"/>
      <c r="J17" s="257"/>
      <c r="K17" s="257"/>
      <c r="L17" s="257"/>
      <c r="M17" s="257"/>
    </row>
    <row r="18" spans="1:13" s="256" customFormat="1" ht="25.05" hidden="1" customHeight="1">
      <c r="A18" s="276" t="s">
        <v>4984</v>
      </c>
      <c r="B18" s="258"/>
      <c r="C18" s="259"/>
      <c r="D18" s="260"/>
      <c r="E18" s="260"/>
      <c r="F18" s="260"/>
      <c r="G18" s="260"/>
      <c r="H18" s="285"/>
      <c r="I18" s="257"/>
      <c r="J18" s="257"/>
      <c r="K18" s="257"/>
      <c r="L18" s="257"/>
      <c r="M18" s="257"/>
    </row>
    <row r="19" spans="1:13" s="256" customFormat="1" ht="25.05" hidden="1" customHeight="1" thickBot="1">
      <c r="A19" s="286"/>
      <c r="B19" s="287"/>
      <c r="C19" s="288"/>
      <c r="D19" s="289"/>
      <c r="E19" s="289"/>
      <c r="F19" s="289"/>
      <c r="G19" s="289"/>
      <c r="H19" s="290"/>
      <c r="I19" s="257"/>
      <c r="J19" s="257"/>
      <c r="K19" s="257"/>
      <c r="L19" s="257"/>
      <c r="M19" s="257"/>
    </row>
    <row r="20" spans="1:13" ht="15.6" thickBot="1">
      <c r="A20" s="60"/>
      <c r="B20" s="61"/>
      <c r="C20" s="62"/>
      <c r="D20" s="60"/>
      <c r="E20" s="60"/>
      <c r="F20" s="60"/>
      <c r="G20" s="60"/>
    </row>
    <row r="21" spans="1:13" ht="16.2" thickTop="1">
      <c r="G21" s="49"/>
    </row>
    <row r="22" spans="1:13" ht="15.6">
      <c r="A22" s="56" t="s">
        <v>1482</v>
      </c>
      <c r="B22" s="31"/>
      <c r="C22" s="16"/>
      <c r="D22" s="31"/>
      <c r="E22" s="31"/>
      <c r="F22" s="16"/>
      <c r="G22" s="190" t="s">
        <v>1849</v>
      </c>
      <c r="H22" s="317" t="s">
        <v>1850</v>
      </c>
    </row>
    <row r="23" spans="1:13">
      <c r="A23" s="50"/>
      <c r="G23" s="40"/>
    </row>
    <row r="24" spans="1:13">
      <c r="A24" s="63" t="s">
        <v>7719</v>
      </c>
      <c r="B24" t="s">
        <v>2934</v>
      </c>
      <c r="G24" s="320" t="e">
        <f>'Data Entry - SOF'!F19</f>
        <v>#N/A</v>
      </c>
      <c r="H24" s="327" t="e">
        <f>'Data Entry - SOF'!F19</f>
        <v>#N/A</v>
      </c>
      <c r="J24" s="71" t="s">
        <v>58</v>
      </c>
    </row>
    <row r="25" spans="1:13">
      <c r="A25" s="63"/>
      <c r="G25" s="321"/>
      <c r="H25" s="328"/>
      <c r="J25" s="71"/>
    </row>
    <row r="26" spans="1:13">
      <c r="A26" s="63" t="s">
        <v>7720</v>
      </c>
      <c r="B26" t="s">
        <v>2935</v>
      </c>
      <c r="G26" s="320">
        <f>'Data Entry - SOF'!F22</f>
        <v>0</v>
      </c>
      <c r="H26" s="327">
        <f>'Data Entry - SOF'!F22</f>
        <v>0</v>
      </c>
      <c r="J26" s="71" t="s">
        <v>59</v>
      </c>
    </row>
    <row r="27" spans="1:13">
      <c r="A27" s="50"/>
      <c r="G27" s="321"/>
      <c r="H27" s="328"/>
    </row>
    <row r="28" spans="1:13">
      <c r="A28" s="63" t="s">
        <v>7721</v>
      </c>
      <c r="B28" t="s">
        <v>5655</v>
      </c>
      <c r="G28" s="320">
        <f>'Data Entry - SOF'!F23</f>
        <v>0</v>
      </c>
      <c r="H28" s="327">
        <f>'Data Entry - SOF'!F23</f>
        <v>0</v>
      </c>
      <c r="J28" s="71" t="s">
        <v>60</v>
      </c>
    </row>
    <row r="29" spans="1:13">
      <c r="A29" s="63"/>
      <c r="G29" s="321"/>
      <c r="H29" s="328"/>
      <c r="J29" s="71"/>
    </row>
    <row r="30" spans="1:13">
      <c r="A30" s="63" t="s">
        <v>6285</v>
      </c>
      <c r="B30" t="s">
        <v>5656</v>
      </c>
      <c r="G30" s="322" t="e">
        <f>IF(G24-G26-G28&lt;0,0,G24-G26-G28)</f>
        <v>#N/A</v>
      </c>
      <c r="H30" s="329" t="e">
        <f>IF(H24-H26-H28&lt;0,0,H24-H26-H28)</f>
        <v>#N/A</v>
      </c>
      <c r="J30" s="71" t="s">
        <v>2068</v>
      </c>
    </row>
    <row r="31" spans="1:13">
      <c r="A31" s="63"/>
      <c r="B31" t="s">
        <v>2067</v>
      </c>
      <c r="G31" s="321"/>
      <c r="H31" s="328"/>
    </row>
    <row r="32" spans="1:13">
      <c r="A32" s="63"/>
      <c r="G32" s="321"/>
      <c r="H32" s="328"/>
    </row>
    <row r="33" spans="1:10">
      <c r="A33" s="63" t="s">
        <v>6286</v>
      </c>
      <c r="B33" s="182" t="s">
        <v>701</v>
      </c>
      <c r="G33" s="320">
        <f>'Data Entry - SOF'!F91</f>
        <v>0</v>
      </c>
      <c r="H33" s="327">
        <f>'Data Entry - SOF'!H91</f>
        <v>0</v>
      </c>
      <c r="J33" s="71" t="s">
        <v>3881</v>
      </c>
    </row>
    <row r="34" spans="1:10">
      <c r="A34" s="50"/>
      <c r="B34" s="182" t="s">
        <v>1195</v>
      </c>
      <c r="G34" s="321"/>
      <c r="H34" s="328"/>
      <c r="J34" s="71"/>
    </row>
    <row r="35" spans="1:10">
      <c r="A35" s="63" t="s">
        <v>6288</v>
      </c>
      <c r="B35" t="s">
        <v>702</v>
      </c>
      <c r="G35" s="320">
        <f>IF(ISNA('EDA2'!G24),0,'EDA2'!G24)</f>
        <v>0</v>
      </c>
      <c r="H35" s="327">
        <f>IF(ISNA('EDA2'!G24),0,'EDA2'!G24)</f>
        <v>0</v>
      </c>
      <c r="J35" s="71" t="s">
        <v>1306</v>
      </c>
    </row>
    <row r="36" spans="1:10">
      <c r="A36" s="63"/>
      <c r="G36" s="321"/>
      <c r="H36" s="328"/>
      <c r="J36" s="71"/>
    </row>
    <row r="37" spans="1:10">
      <c r="A37" s="63" t="s">
        <v>6289</v>
      </c>
      <c r="B37" t="s">
        <v>703</v>
      </c>
      <c r="G37" s="323" t="e">
        <f>'Calc Data'!D10</f>
        <v>#N/A</v>
      </c>
      <c r="H37" s="330" t="e">
        <f>'Calc Data'!E10</f>
        <v>#DIV/0!</v>
      </c>
      <c r="J37" s="71" t="s">
        <v>3882</v>
      </c>
    </row>
    <row r="38" spans="1:10">
      <c r="A38" s="50"/>
      <c r="G38" s="136"/>
      <c r="H38" s="132"/>
    </row>
    <row r="39" spans="1:10">
      <c r="A39" s="63" t="s">
        <v>6290</v>
      </c>
      <c r="B39" t="s">
        <v>704</v>
      </c>
      <c r="G39" s="320" t="e">
        <f>'Data Entry - SOF'!F61</f>
        <v>#N/A</v>
      </c>
      <c r="H39" s="327" t="e">
        <f>'Data Entry - SOF'!H61</f>
        <v>#N/A</v>
      </c>
      <c r="J39" s="71" t="s">
        <v>7705</v>
      </c>
    </row>
    <row r="40" spans="1:10">
      <c r="A40" s="63"/>
      <c r="G40" s="321"/>
      <c r="H40" s="328"/>
      <c r="J40" s="71"/>
    </row>
    <row r="41" spans="1:10">
      <c r="A41" s="63" t="s">
        <v>5115</v>
      </c>
      <c r="B41" t="s">
        <v>19</v>
      </c>
      <c r="G41" s="320">
        <f>'Data Entry - SOF'!F20</f>
        <v>0</v>
      </c>
      <c r="H41" s="327">
        <f>'Data Entry - SOF'!F20</f>
        <v>0</v>
      </c>
      <c r="J41" s="71" t="s">
        <v>6094</v>
      </c>
    </row>
    <row r="42" spans="1:10">
      <c r="A42" s="50"/>
      <c r="G42" s="136"/>
      <c r="H42" s="132"/>
    </row>
    <row r="43" spans="1:10" ht="15.6">
      <c r="A43" s="51" t="s">
        <v>6284</v>
      </c>
      <c r="G43" s="136"/>
      <c r="H43" s="132"/>
    </row>
    <row r="44" spans="1:10">
      <c r="A44" s="50"/>
      <c r="G44" s="136"/>
      <c r="H44" s="132"/>
    </row>
    <row r="45" spans="1:10" ht="15.6">
      <c r="A45" s="52" t="s">
        <v>105</v>
      </c>
      <c r="B45" s="31"/>
      <c r="C45" s="31"/>
      <c r="D45" s="16"/>
      <c r="E45" s="42"/>
      <c r="F45" s="42"/>
      <c r="G45" s="136"/>
      <c r="H45" s="132"/>
    </row>
    <row r="46" spans="1:10" ht="15.6">
      <c r="A46" s="51"/>
      <c r="G46" s="136"/>
      <c r="H46" s="132"/>
    </row>
    <row r="47" spans="1:10">
      <c r="A47" s="91" t="s">
        <v>5116</v>
      </c>
      <c r="B47" t="s">
        <v>5661</v>
      </c>
      <c r="G47" s="324">
        <f>IF('Data Entry - SOF'!F91&lt;=IFA!F58,0,IF(G24&lt;G26,(G24*100)/G41,((G26+G30)/(G41/100))))</f>
        <v>0</v>
      </c>
      <c r="H47" s="331">
        <f>IF('Data Entry - SOF'!H91&lt;=IFA!J58,0,IF(H24&lt;H26,(H24*100)/H41,((H26+H30)/(H41/100))))</f>
        <v>0</v>
      </c>
    </row>
    <row r="48" spans="1:10">
      <c r="A48" s="91"/>
      <c r="B48" t="s">
        <v>334</v>
      </c>
      <c r="G48" s="325"/>
      <c r="H48" s="332"/>
    </row>
    <row r="49" spans="1:8">
      <c r="A49" s="91"/>
      <c r="B49" t="s">
        <v>2069</v>
      </c>
      <c r="G49" s="141"/>
      <c r="H49" s="250"/>
    </row>
    <row r="50" spans="1:8" ht="15.6">
      <c r="A50" s="51"/>
      <c r="G50" s="136"/>
      <c r="H50" s="132"/>
    </row>
    <row r="51" spans="1:8">
      <c r="A51" s="63" t="s">
        <v>5117</v>
      </c>
      <c r="B51" t="s">
        <v>705</v>
      </c>
      <c r="G51" s="183">
        <f>IF(G33&lt;=G35,0,((G33-G35)/35/G37/100))</f>
        <v>0</v>
      </c>
      <c r="H51" s="333">
        <f>IF(H33&lt;=H35,0,((H33-H35)/35/H37/100))</f>
        <v>0</v>
      </c>
    </row>
    <row r="52" spans="1:8">
      <c r="A52" s="63"/>
      <c r="B52" t="s">
        <v>333</v>
      </c>
      <c r="G52" s="325"/>
      <c r="H52" s="332"/>
    </row>
    <row r="53" spans="1:8">
      <c r="A53" s="63"/>
      <c r="B53" t="s">
        <v>2304</v>
      </c>
      <c r="G53" s="325"/>
      <c r="H53" s="332"/>
    </row>
    <row r="54" spans="1:8">
      <c r="A54" s="50"/>
      <c r="G54" s="325"/>
      <c r="H54" s="332"/>
    </row>
    <row r="55" spans="1:8">
      <c r="A55" s="63" t="s">
        <v>5118</v>
      </c>
      <c r="B55" s="87" t="s">
        <v>706</v>
      </c>
      <c r="G55" s="183">
        <f>IF(MIN(G47,G51)&gt;0.29,0.29,MIN(G47,G51))</f>
        <v>0</v>
      </c>
      <c r="H55" s="333">
        <f>IF(MIN(H47,H51)&gt;0.29,0.29,MIN(H47,H51))</f>
        <v>0</v>
      </c>
    </row>
    <row r="56" spans="1:8">
      <c r="A56" s="50"/>
      <c r="G56" s="192"/>
      <c r="H56" s="334"/>
    </row>
    <row r="57" spans="1:8" ht="15.6">
      <c r="A57" s="52" t="s">
        <v>6287</v>
      </c>
      <c r="B57" s="31"/>
      <c r="C57" s="16"/>
      <c r="D57" s="16"/>
      <c r="G57" s="192"/>
      <c r="H57" s="334"/>
    </row>
    <row r="58" spans="1:8">
      <c r="A58" s="50"/>
      <c r="G58" s="192"/>
      <c r="H58" s="334"/>
    </row>
    <row r="59" spans="1:8">
      <c r="A59" s="63" t="s">
        <v>2410</v>
      </c>
      <c r="B59" s="136" t="s">
        <v>2754</v>
      </c>
      <c r="G59" s="144" t="e">
        <f>G37*G55*35*100</f>
        <v>#N/A</v>
      </c>
      <c r="H59" s="335" t="e">
        <f>H37*H55*35*100</f>
        <v>#DIV/0!</v>
      </c>
    </row>
    <row r="60" spans="1:8">
      <c r="A60" s="63"/>
      <c r="B60" s="132"/>
      <c r="G60" s="141"/>
      <c r="H60" s="250"/>
    </row>
    <row r="61" spans="1:8">
      <c r="A61" s="63" t="s">
        <v>604</v>
      </c>
      <c r="B61" s="136" t="s">
        <v>7148</v>
      </c>
      <c r="G61" s="144" t="e">
        <f>G55*(G39/100)</f>
        <v>#N/A</v>
      </c>
      <c r="H61" s="335" t="e">
        <f>H55*(H39/100)</f>
        <v>#N/A</v>
      </c>
    </row>
    <row r="62" spans="1:8">
      <c r="A62" s="63"/>
      <c r="B62" s="132" t="s">
        <v>1483</v>
      </c>
      <c r="G62" s="141"/>
      <c r="H62" s="250"/>
    </row>
    <row r="63" spans="1:8">
      <c r="A63" s="63"/>
      <c r="B63" s="132" t="s">
        <v>3177</v>
      </c>
      <c r="G63" s="141"/>
      <c r="H63" s="250"/>
    </row>
    <row r="64" spans="1:8">
      <c r="A64" s="63"/>
      <c r="B64" s="132"/>
      <c r="G64" s="141"/>
      <c r="H64" s="250"/>
    </row>
    <row r="65" spans="1:8" ht="16.2" hidden="1" thickBot="1">
      <c r="A65" s="63"/>
      <c r="B65" s="158" t="s">
        <v>1704</v>
      </c>
      <c r="C65" s="159"/>
      <c r="D65" s="159"/>
      <c r="E65" s="159"/>
      <c r="F65" s="160"/>
      <c r="G65" s="141"/>
      <c r="H65" s="250"/>
    </row>
    <row r="66" spans="1:8">
      <c r="A66" s="63"/>
      <c r="B66" s="132"/>
      <c r="G66" s="141"/>
      <c r="H66" s="250"/>
    </row>
    <row r="67" spans="1:8">
      <c r="A67" s="63"/>
      <c r="B67" s="127" t="e">
        <f>IF(OR('Data Entry - SOF'!F73&lt;G61,'Data Entry - SOF'!H73&lt;H61),"WARNING: LOCAL SHARE OF EDA IS MORE THAN I&amp;S TAX COLLECTIONS FOR ONE OF THE YEARS."," " )</f>
        <v>#N/A</v>
      </c>
      <c r="G67" s="141"/>
      <c r="H67" s="250"/>
    </row>
    <row r="68" spans="1:8">
      <c r="A68" s="63"/>
      <c r="B68" s="127" t="e">
        <f>IF(B67&lt;&gt;" ", "DISTRICT WILL ONLY GET PROPORTIONAL STATE SHARE FOR THAT YEAR."," ")</f>
        <v>#N/A</v>
      </c>
      <c r="G68" s="141"/>
      <c r="H68" s="250"/>
    </row>
    <row r="69" spans="1:8">
      <c r="A69" s="50"/>
      <c r="G69" s="192"/>
      <c r="H69" s="334"/>
    </row>
    <row r="70" spans="1:8">
      <c r="A70" s="63" t="s">
        <v>488</v>
      </c>
      <c r="B70" s="136" t="s">
        <v>7149</v>
      </c>
      <c r="G70" s="144" t="e">
        <f>IF(G61&gt;=G59,0,G59-G61)</f>
        <v>#N/A</v>
      </c>
      <c r="H70" s="335" t="e">
        <f>IF(H61&gt;=H59,0,H59-H61)</f>
        <v>#N/A</v>
      </c>
    </row>
    <row r="71" spans="1:8">
      <c r="A71" s="50"/>
      <c r="G71" s="326"/>
      <c r="H71" s="336"/>
    </row>
    <row r="72" spans="1:8">
      <c r="A72" s="63" t="s">
        <v>489</v>
      </c>
      <c r="B72" s="136" t="s">
        <v>5399</v>
      </c>
      <c r="G72" s="137" t="e">
        <f>IF(G70=0,0,IF('Data Entry - SOF'!F73&gt;G61,G70,IF('Data Entry - SOF'!F73&lt;0,0,('Data Entry - SOF'!F73)/G61*G70)))</f>
        <v>#N/A</v>
      </c>
      <c r="H72" s="175" t="e">
        <f>IF(H70=0,0,IF('Data Entry - SOF'!H73&gt;H61,H70,IF('Data Entry - SOF'!H73&lt;0,0,('Data Entry - SOF'!H73)/H61*H70)))</f>
        <v>#N/A</v>
      </c>
    </row>
    <row r="73" spans="1:8">
      <c r="A73" s="50"/>
      <c r="B73" s="136" t="s">
        <v>5400</v>
      </c>
      <c r="G73" s="326"/>
      <c r="H73" s="132"/>
    </row>
    <row r="74" spans="1:8">
      <c r="A74" s="50"/>
      <c r="B74" s="132" t="s">
        <v>4956</v>
      </c>
      <c r="G74" s="55"/>
    </row>
    <row r="75" spans="1:8">
      <c r="A75" s="50"/>
      <c r="B75" s="132" t="s">
        <v>1212</v>
      </c>
      <c r="G75" s="55"/>
    </row>
    <row r="76" spans="1:8">
      <c r="A76" s="50"/>
      <c r="B76" s="57"/>
      <c r="G76" s="55"/>
    </row>
    <row r="78" spans="1:8">
      <c r="B78" s="182" t="s">
        <v>605</v>
      </c>
    </row>
    <row r="79" spans="1:8">
      <c r="B79" s="182" t="s">
        <v>5664</v>
      </c>
    </row>
    <row r="80" spans="1:8">
      <c r="B80" s="182" t="s">
        <v>606</v>
      </c>
    </row>
    <row r="81" spans="2:7">
      <c r="B81" s="182" t="s">
        <v>5665</v>
      </c>
    </row>
    <row r="82" spans="2:7" hidden="1">
      <c r="B82" s="182" t="s">
        <v>61</v>
      </c>
    </row>
    <row r="83" spans="2:7" hidden="1">
      <c r="B83" s="182" t="s">
        <v>5297</v>
      </c>
    </row>
    <row r="84" spans="2:7" hidden="1">
      <c r="B84" s="182" t="s">
        <v>5298</v>
      </c>
    </row>
    <row r="85" spans="2:7" hidden="1">
      <c r="B85" s="182" t="s">
        <v>5031</v>
      </c>
    </row>
    <row r="86" spans="2:7">
      <c r="B86" s="182"/>
    </row>
    <row r="87" spans="2:7">
      <c r="B87" s="57" t="s">
        <v>707</v>
      </c>
    </row>
    <row r="88" spans="2:7">
      <c r="B88" s="57" t="s">
        <v>2421</v>
      </c>
    </row>
    <row r="89" spans="2:7">
      <c r="B89" s="57" t="s">
        <v>2422</v>
      </c>
    </row>
    <row r="90" spans="2:7">
      <c r="B90" s="57" t="s">
        <v>5060</v>
      </c>
    </row>
    <row r="91" spans="2:7">
      <c r="B91" s="57"/>
    </row>
    <row r="92" spans="2:7" hidden="1">
      <c r="B92" t="s">
        <v>2138</v>
      </c>
      <c r="C92" s="145" t="s">
        <v>884</v>
      </c>
      <c r="D92" s="146"/>
      <c r="E92" s="146"/>
      <c r="F92" s="146"/>
      <c r="G92" s="147"/>
    </row>
    <row r="93" spans="2:7" hidden="1">
      <c r="C93" s="148" t="s">
        <v>6703</v>
      </c>
      <c r="D93" s="149"/>
      <c r="E93" s="149"/>
      <c r="F93" s="149"/>
      <c r="G93" s="150"/>
    </row>
    <row r="94" spans="2:7" hidden="1">
      <c r="C94" s="148" t="s">
        <v>5251</v>
      </c>
      <c r="D94" s="149"/>
      <c r="E94" s="149"/>
      <c r="F94" s="149"/>
      <c r="G94" s="150"/>
    </row>
    <row r="95" spans="2:7" hidden="1">
      <c r="C95" s="148" t="s">
        <v>17</v>
      </c>
      <c r="D95" s="149"/>
      <c r="E95" s="149"/>
      <c r="F95" s="149"/>
      <c r="G95" s="150"/>
    </row>
    <row r="96" spans="2:7" hidden="1">
      <c r="C96" s="148" t="s">
        <v>5252</v>
      </c>
      <c r="D96" s="149"/>
      <c r="E96" s="149"/>
      <c r="F96" s="149"/>
      <c r="G96" s="150"/>
    </row>
    <row r="97" spans="1:11" hidden="1">
      <c r="C97" s="148" t="s">
        <v>5253</v>
      </c>
      <c r="D97" s="149"/>
      <c r="E97" s="149"/>
      <c r="F97" s="149"/>
      <c r="G97" s="150"/>
    </row>
    <row r="98" spans="1:11" hidden="1">
      <c r="C98" s="151" t="s">
        <v>18</v>
      </c>
      <c r="D98" s="152"/>
      <c r="E98" s="152"/>
      <c r="F98" s="152"/>
      <c r="G98" s="153"/>
    </row>
    <row r="100" spans="1:11" ht="13.8" hidden="1" thickBot="1"/>
    <row r="101" spans="1:11" s="256" customFormat="1" ht="25.05" hidden="1" customHeight="1" thickTop="1">
      <c r="A101" s="273" t="s">
        <v>6126</v>
      </c>
      <c r="B101" s="274"/>
      <c r="C101" s="274"/>
      <c r="D101" s="274"/>
      <c r="E101" s="274"/>
      <c r="F101" s="274"/>
      <c r="G101" s="274"/>
      <c r="H101" s="275"/>
      <c r="I101" s="257"/>
      <c r="J101" s="257"/>
      <c r="K101" s="257"/>
    </row>
    <row r="102" spans="1:11" s="256" customFormat="1" ht="25.05" hidden="1" customHeight="1">
      <c r="A102" s="276" t="s">
        <v>6127</v>
      </c>
      <c r="B102" s="261"/>
      <c r="C102" s="261"/>
      <c r="D102" s="261"/>
      <c r="E102" s="261"/>
      <c r="F102" s="261"/>
      <c r="G102" s="261"/>
      <c r="H102" s="277"/>
      <c r="I102" s="257"/>
      <c r="J102" s="257"/>
      <c r="K102" s="257"/>
    </row>
    <row r="103" spans="1:11" ht="13.8" hidden="1" thickBot="1">
      <c r="A103" s="278"/>
      <c r="B103" s="279"/>
      <c r="C103" s="279"/>
      <c r="D103" s="279"/>
      <c r="E103" s="279"/>
      <c r="F103" s="279"/>
      <c r="G103" s="279"/>
      <c r="H103" s="280"/>
    </row>
    <row r="104" spans="1:11" ht="13.8" hidden="1" thickTop="1"/>
    <row r="105" spans="1:11" ht="13.8" hidden="1" thickBot="1">
      <c r="A105" s="136" t="s">
        <v>1702</v>
      </c>
    </row>
    <row r="106" spans="1:11" ht="14.4" hidden="1" thickTop="1" thickBot="1">
      <c r="A106" s="136" t="s">
        <v>1290</v>
      </c>
      <c r="G106" s="291">
        <v>0</v>
      </c>
      <c r="J106" s="71" t="s">
        <v>945</v>
      </c>
    </row>
    <row r="107" spans="1:11" ht="13.8" hidden="1" thickTop="1"/>
    <row r="108" spans="1:11" hidden="1">
      <c r="A108" s="132" t="s">
        <v>1291</v>
      </c>
    </row>
    <row r="109" spans="1:11" hidden="1">
      <c r="A109" s="63" t="s">
        <v>7719</v>
      </c>
      <c r="B109" t="s">
        <v>2364</v>
      </c>
      <c r="G109" s="114">
        <f>IF(ISNA('DE1'!D18),0,'DE1'!D18)</f>
        <v>0</v>
      </c>
    </row>
    <row r="110" spans="1:11" hidden="1">
      <c r="A110" s="63"/>
      <c r="G110" s="40"/>
    </row>
    <row r="111" spans="1:11" hidden="1">
      <c r="A111" s="63" t="s">
        <v>7720</v>
      </c>
      <c r="B111" t="s">
        <v>2365</v>
      </c>
      <c r="G111" s="114">
        <f>IF(ISNA('DE1'!D22),0,'DE1'!D22)</f>
        <v>0</v>
      </c>
    </row>
    <row r="112" spans="1:11" hidden="1">
      <c r="A112" s="50"/>
      <c r="G112" s="40"/>
    </row>
    <row r="113" spans="1:7" hidden="1">
      <c r="A113" s="63" t="s">
        <v>7721</v>
      </c>
      <c r="B113" t="s">
        <v>2366</v>
      </c>
      <c r="G113" s="114" t="e">
        <f>IF(ISNA('EDA2'!G22),0,'EDA2'!G22)</f>
        <v>#REF!</v>
      </c>
    </row>
    <row r="114" spans="1:7" hidden="1">
      <c r="A114" s="63"/>
      <c r="G114" s="40"/>
    </row>
    <row r="115" spans="1:7" hidden="1">
      <c r="A115" s="63" t="s">
        <v>6285</v>
      </c>
      <c r="B115" t="s">
        <v>2367</v>
      </c>
      <c r="G115" s="156" t="e">
        <f>IF(G109-G111-G113&lt;0,0,G109-G111-G113)</f>
        <v>#REF!</v>
      </c>
    </row>
    <row r="116" spans="1:7" hidden="1">
      <c r="A116" s="63"/>
      <c r="B116" t="s">
        <v>2067</v>
      </c>
      <c r="G116" s="40"/>
    </row>
    <row r="117" spans="1:7" hidden="1">
      <c r="A117" s="63"/>
      <c r="G117" s="40"/>
    </row>
    <row r="118" spans="1:7" hidden="1">
      <c r="A118" s="63" t="s">
        <v>6286</v>
      </c>
      <c r="B118" s="182" t="s">
        <v>5657</v>
      </c>
      <c r="G118" s="114">
        <f>G106</f>
        <v>0</v>
      </c>
    </row>
    <row r="119" spans="1:7" hidden="1">
      <c r="A119" s="50"/>
      <c r="B119" s="182" t="s">
        <v>1195</v>
      </c>
      <c r="G119" s="40"/>
    </row>
    <row r="120" spans="1:7" hidden="1">
      <c r="A120" s="63" t="s">
        <v>6288</v>
      </c>
      <c r="B120" t="s">
        <v>5658</v>
      </c>
      <c r="G120" s="114">
        <f>G35</f>
        <v>0</v>
      </c>
    </row>
    <row r="121" spans="1:7" hidden="1">
      <c r="A121" s="63"/>
      <c r="G121" s="40"/>
    </row>
    <row r="122" spans="1:7" hidden="1">
      <c r="A122" s="63" t="s">
        <v>6289</v>
      </c>
      <c r="B122" t="s">
        <v>5659</v>
      </c>
      <c r="G122" s="103" t="e">
        <f>G37</f>
        <v>#N/A</v>
      </c>
    </row>
    <row r="123" spans="1:7" hidden="1">
      <c r="A123" s="50"/>
    </row>
    <row r="124" spans="1:7" hidden="1">
      <c r="A124" s="63" t="s">
        <v>6290</v>
      </c>
      <c r="B124" t="s">
        <v>5660</v>
      </c>
      <c r="G124" s="114" t="e">
        <f>G39</f>
        <v>#N/A</v>
      </c>
    </row>
    <row r="125" spans="1:7" hidden="1">
      <c r="A125" s="63"/>
      <c r="G125" s="40"/>
    </row>
    <row r="126" spans="1:7" hidden="1">
      <c r="A126" s="63" t="s">
        <v>5115</v>
      </c>
      <c r="B126" t="s">
        <v>773</v>
      </c>
      <c r="G126" s="114">
        <f>IF(ISNA('DE1'!D19),0,'DE1'!D19)</f>
        <v>0</v>
      </c>
    </row>
    <row r="127" spans="1:7" hidden="1">
      <c r="A127" s="50"/>
    </row>
    <row r="128" spans="1:7" ht="15.6" hidden="1">
      <c r="A128" s="51" t="s">
        <v>6284</v>
      </c>
    </row>
    <row r="129" spans="1:7" hidden="1">
      <c r="A129" s="50"/>
    </row>
    <row r="130" spans="1:7" ht="15.6" hidden="1">
      <c r="A130" s="52" t="s">
        <v>105</v>
      </c>
      <c r="B130" s="31"/>
      <c r="C130" s="31"/>
      <c r="D130" s="16"/>
      <c r="E130" s="42"/>
      <c r="F130" s="42"/>
    </row>
    <row r="131" spans="1:7" ht="15.6" hidden="1">
      <c r="A131" s="51"/>
    </row>
    <row r="132" spans="1:7" hidden="1">
      <c r="A132" s="91" t="s">
        <v>5116</v>
      </c>
      <c r="B132" t="s">
        <v>2368</v>
      </c>
      <c r="G132" s="126" t="e">
        <f>IF('Data Entry - SOF'!F91&lt;=IFA!F66,0,IF(G109&lt;G111,(G109*100)/G126,((G111+G115)/(G126/100))))</f>
        <v>#N/A</v>
      </c>
    </row>
    <row r="133" spans="1:7" hidden="1">
      <c r="A133" s="91"/>
      <c r="B133" t="s">
        <v>334</v>
      </c>
      <c r="G133" s="72"/>
    </row>
    <row r="134" spans="1:7" hidden="1">
      <c r="A134" s="91"/>
      <c r="B134" t="s">
        <v>2069</v>
      </c>
      <c r="G134" s="53"/>
    </row>
    <row r="135" spans="1:7" ht="15.6" hidden="1">
      <c r="A135" s="51"/>
    </row>
    <row r="136" spans="1:7" hidden="1">
      <c r="A136" s="63" t="s">
        <v>5117</v>
      </c>
      <c r="B136" t="s">
        <v>5662</v>
      </c>
      <c r="G136" s="54">
        <f>IF(G118&lt;=G120,0,((G118-G120)/35/G122/100))</f>
        <v>0</v>
      </c>
    </row>
    <row r="137" spans="1:7" hidden="1">
      <c r="A137" s="63"/>
      <c r="B137" t="s">
        <v>333</v>
      </c>
      <c r="G137" s="72"/>
    </row>
    <row r="138" spans="1:7" hidden="1">
      <c r="A138" s="63"/>
      <c r="B138" t="s">
        <v>2304</v>
      </c>
      <c r="G138" s="72"/>
    </row>
    <row r="139" spans="1:7" hidden="1">
      <c r="A139" s="50"/>
      <c r="G139" s="72"/>
    </row>
    <row r="140" spans="1:7" hidden="1">
      <c r="A140" s="63" t="s">
        <v>5118</v>
      </c>
      <c r="B140" s="87" t="s">
        <v>5663</v>
      </c>
      <c r="G140" s="183" t="e">
        <f>IF(MIN(G132,G136)&gt;0.29,0.29,MIN(G132,G136))</f>
        <v>#N/A</v>
      </c>
    </row>
    <row r="141" spans="1:7" hidden="1">
      <c r="A141" s="50"/>
      <c r="G141" s="5"/>
    </row>
    <row r="142" spans="1:7" ht="15.6" hidden="1">
      <c r="A142" s="52" t="s">
        <v>6287</v>
      </c>
      <c r="B142" s="31"/>
      <c r="C142" s="16"/>
      <c r="D142" s="16"/>
      <c r="G142" s="5"/>
    </row>
    <row r="143" spans="1:7" hidden="1">
      <c r="A143" s="50"/>
      <c r="G143" s="5"/>
    </row>
    <row r="144" spans="1:7" hidden="1">
      <c r="A144" s="63" t="s">
        <v>2410</v>
      </c>
      <c r="B144" s="136" t="s">
        <v>2754</v>
      </c>
      <c r="G144" s="144" t="e">
        <f>G122*G140*35*100</f>
        <v>#N/A</v>
      </c>
    </row>
    <row r="145" spans="1:7" hidden="1">
      <c r="A145" s="63"/>
      <c r="B145" s="132"/>
      <c r="G145" s="53"/>
    </row>
    <row r="146" spans="1:7" hidden="1">
      <c r="A146" s="63" t="s">
        <v>604</v>
      </c>
      <c r="B146" s="136" t="s">
        <v>7148</v>
      </c>
      <c r="G146" s="144" t="e">
        <f>G140*(G124/100)</f>
        <v>#N/A</v>
      </c>
    </row>
    <row r="147" spans="1:7" hidden="1">
      <c r="A147" s="63"/>
      <c r="B147" s="132" t="s">
        <v>1483</v>
      </c>
      <c r="G147" s="53"/>
    </row>
    <row r="148" spans="1:7" hidden="1">
      <c r="A148" s="63"/>
      <c r="B148" s="132" t="s">
        <v>3177</v>
      </c>
      <c r="G148" s="53"/>
    </row>
    <row r="149" spans="1:7" hidden="1">
      <c r="A149" s="63"/>
      <c r="B149" s="132"/>
      <c r="G149" s="53"/>
    </row>
    <row r="150" spans="1:7" ht="16.2" hidden="1" thickBot="1">
      <c r="A150" s="63"/>
      <c r="B150" s="158" t="s">
        <v>1704</v>
      </c>
      <c r="C150" s="159"/>
      <c r="D150" s="159"/>
      <c r="E150" s="159"/>
      <c r="F150" s="160"/>
      <c r="G150" s="53"/>
    </row>
    <row r="151" spans="1:7" hidden="1">
      <c r="A151" s="63"/>
      <c r="B151" s="132"/>
      <c r="G151" s="53"/>
    </row>
    <row r="152" spans="1:7" hidden="1">
      <c r="A152" s="63"/>
      <c r="B152" s="127" t="e">
        <f>IF('Data Entry - SOF'!#REF!&lt;G146,"WARNING: LOCAL SHARE OF EDA IS MORE THAN I&amp;S TAX COLLECTIONS."," ")</f>
        <v>#REF!</v>
      </c>
      <c r="G152" s="53"/>
    </row>
    <row r="153" spans="1:7" hidden="1">
      <c r="A153" s="63"/>
      <c r="B153" s="127" t="e">
        <f>IF(B152&lt;&gt;" ", "DISTRICT WILL ONLY GET PROPORTIONAL STATE SHARE."," ")</f>
        <v>#REF!</v>
      </c>
      <c r="G153" s="53"/>
    </row>
    <row r="154" spans="1:7" hidden="1">
      <c r="A154" s="50"/>
      <c r="G154" s="5"/>
    </row>
    <row r="155" spans="1:7" hidden="1">
      <c r="A155" s="63" t="s">
        <v>488</v>
      </c>
      <c r="B155" s="136" t="s">
        <v>7149</v>
      </c>
      <c r="G155" s="144" t="e">
        <f>IF(G146&gt;=G144,0,G144-G146)</f>
        <v>#N/A</v>
      </c>
    </row>
    <row r="156" spans="1:7" hidden="1">
      <c r="A156" s="50"/>
      <c r="G156" s="55"/>
    </row>
    <row r="157" spans="1:7" hidden="1">
      <c r="A157" s="63" t="s">
        <v>489</v>
      </c>
      <c r="B157" s="136" t="s">
        <v>5399</v>
      </c>
      <c r="G157" s="137" t="e">
        <f>IF(G155=0,0,IF('Data Entry - SOF'!#REF!&gt;G146,G155,IF('Data Entry - SOF'!#REF!&lt;0,0,('Data Entry - SOF'!#REF!)/G146*G155)))</f>
        <v>#N/A</v>
      </c>
    </row>
    <row r="158" spans="1:7" hidden="1">
      <c r="A158" s="50"/>
      <c r="B158" s="136" t="s">
        <v>5400</v>
      </c>
      <c r="G158" s="55"/>
    </row>
    <row r="159" spans="1:7" hidden="1">
      <c r="A159" s="50"/>
      <c r="B159" s="132" t="s">
        <v>4956</v>
      </c>
      <c r="G159" s="55"/>
    </row>
    <row r="160" spans="1:7" hidden="1">
      <c r="A160" s="50"/>
      <c r="B160" s="132" t="s">
        <v>1212</v>
      </c>
      <c r="G160" s="55"/>
    </row>
    <row r="161" spans="2:2" hidden="1"/>
    <row r="162" spans="2:2" hidden="1"/>
    <row r="163" spans="2:2" hidden="1">
      <c r="B163" s="182" t="s">
        <v>605</v>
      </c>
    </row>
    <row r="164" spans="2:2" hidden="1">
      <c r="B164" s="182" t="s">
        <v>3188</v>
      </c>
    </row>
    <row r="165" spans="2:2" hidden="1">
      <c r="B165" s="182" t="s">
        <v>606</v>
      </c>
    </row>
    <row r="166" spans="2:2" hidden="1">
      <c r="B166" s="182" t="s">
        <v>2655</v>
      </c>
    </row>
    <row r="167" spans="2:2" hidden="1">
      <c r="B167" s="182" t="s">
        <v>61</v>
      </c>
    </row>
    <row r="168" spans="2:2" hidden="1">
      <c r="B168" s="182" t="s">
        <v>5297</v>
      </c>
    </row>
    <row r="169" spans="2:2" hidden="1">
      <c r="B169" s="182" t="s">
        <v>5298</v>
      </c>
    </row>
    <row r="170" spans="2:2" hidden="1">
      <c r="B170" s="182" t="s">
        <v>5031</v>
      </c>
    </row>
    <row r="171" spans="2:2" hidden="1">
      <c r="B171" s="182"/>
    </row>
    <row r="172" spans="2:2" hidden="1">
      <c r="B172" s="57" t="s">
        <v>6125</v>
      </c>
    </row>
    <row r="173" spans="2:2" hidden="1">
      <c r="B173" s="57" t="s">
        <v>2421</v>
      </c>
    </row>
    <row r="174" spans="2:2" hidden="1">
      <c r="B174" s="57" t="s">
        <v>2422</v>
      </c>
    </row>
    <row r="175" spans="2:2" hidden="1">
      <c r="B175" s="57" t="s">
        <v>5060</v>
      </c>
    </row>
    <row r="176" spans="2:2" hidden="1"/>
    <row r="177" hidden="1"/>
  </sheetData>
  <sheetProtection sheet="1" objects="1" scenarios="1"/>
  <phoneticPr fontId="0" type="noConversion"/>
  <pageMargins left="0.25" right="0.25" top="0.5" bottom="0.5" header="0.5" footer="0.5"/>
  <pageSetup scale="90" fitToWidth="2" fitToHeight="2" orientation="portrait" r:id="rId1"/>
  <headerFooter alignWithMargins="0">
    <oddFooter>&amp;L&amp;G</oddFooter>
  </headerFooter>
  <rowBreaks count="2" manualBreakCount="2">
    <brk id="56" max="7" man="1"/>
    <brk id="99" max="7" man="1"/>
  </rowBreaks>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8"/>
  <dimension ref="A1:L104"/>
  <sheetViews>
    <sheetView topLeftCell="A52" workbookViewId="0">
      <selection activeCell="H2" sqref="H2"/>
    </sheetView>
  </sheetViews>
  <sheetFormatPr defaultRowHeight="13.2"/>
  <cols>
    <col min="1" max="1" width="4.21875" customWidth="1"/>
    <col min="2" max="2" width="9.44140625" customWidth="1"/>
    <col min="3" max="3" width="1.77734375" customWidth="1"/>
    <col min="4" max="4" width="12.77734375" customWidth="1"/>
    <col min="5" max="5" width="28.44140625" customWidth="1"/>
    <col min="6" max="6" width="14.77734375" customWidth="1"/>
    <col min="7" max="7" width="2.77734375" customWidth="1"/>
    <col min="8" max="8" width="14.77734375" customWidth="1"/>
    <col min="9" max="9" width="3.77734375" customWidth="1"/>
    <col min="10" max="10" width="14.77734375" customWidth="1"/>
    <col min="11" max="11" width="2.77734375" customWidth="1"/>
    <col min="12" max="12" width="14.77734375" customWidth="1"/>
  </cols>
  <sheetData>
    <row r="1" spans="1:8">
      <c r="A1" s="27" t="s">
        <v>6151</v>
      </c>
      <c r="D1" s="108" t="e">
        <f>'Data Entry - SOF'!B1</f>
        <v>#N/A</v>
      </c>
      <c r="H1" s="107">
        <f>'Data Entry - SOF'!H1</f>
        <v>0</v>
      </c>
    </row>
    <row r="2" spans="1:8">
      <c r="A2" s="27" t="s">
        <v>6134</v>
      </c>
      <c r="D2" s="110" t="str">
        <f>'Data Entry - SOF'!B2</f>
        <v>000-000</v>
      </c>
      <c r="H2" s="107" t="str">
        <f>'Data Entry - SOF'!H2</f>
        <v>Release 09-10; Revised 10/18/11</v>
      </c>
    </row>
    <row r="3" spans="1:8">
      <c r="A3" s="27" t="s">
        <v>6154</v>
      </c>
      <c r="D3" s="116">
        <f ca="1">'Data Entry - SOF'!B3</f>
        <v>45352.58606238426</v>
      </c>
      <c r="H3" s="106">
        <f>'Data Entry - SOF'!H3</f>
        <v>0</v>
      </c>
    </row>
    <row r="5" spans="1:8" ht="12.75" customHeight="1">
      <c r="C5" s="48" t="s">
        <v>733</v>
      </c>
    </row>
    <row r="6" spans="1:8" ht="12.75" customHeight="1">
      <c r="C6" s="48" t="s">
        <v>5119</v>
      </c>
      <c r="E6" s="48" t="s">
        <v>3605</v>
      </c>
    </row>
    <row r="7" spans="1:8" ht="12.75" customHeight="1">
      <c r="A7" s="262"/>
      <c r="B7" s="263"/>
      <c r="C7" s="264"/>
      <c r="D7" s="263"/>
      <c r="E7" s="263"/>
      <c r="F7" s="263"/>
      <c r="G7" s="263"/>
      <c r="H7" s="265"/>
    </row>
    <row r="8" spans="1:8" ht="12.75" customHeight="1">
      <c r="A8" s="382" t="s">
        <v>5911</v>
      </c>
      <c r="B8" s="42"/>
      <c r="C8" s="266"/>
      <c r="D8" s="42"/>
      <c r="E8" s="42"/>
      <c r="F8" s="42"/>
      <c r="G8" s="42"/>
      <c r="H8" s="267"/>
    </row>
    <row r="9" spans="1:8" ht="12.75" customHeight="1">
      <c r="A9" s="382" t="s">
        <v>1481</v>
      </c>
      <c r="B9" s="42"/>
      <c r="C9" s="266"/>
      <c r="D9" s="42"/>
      <c r="E9" s="42"/>
      <c r="F9" s="42"/>
      <c r="G9" s="42"/>
      <c r="H9" s="267"/>
    </row>
    <row r="10" spans="1:8" ht="12.75" customHeight="1">
      <c r="A10" s="382" t="s">
        <v>217</v>
      </c>
      <c r="B10" s="42"/>
      <c r="C10" s="266"/>
      <c r="D10" s="42"/>
      <c r="E10" s="42"/>
      <c r="F10" s="42"/>
      <c r="G10" s="42"/>
      <c r="H10" s="267"/>
    </row>
    <row r="11" spans="1:8" ht="12.75" customHeight="1">
      <c r="A11" s="382" t="s">
        <v>218</v>
      </c>
      <c r="B11" s="42"/>
      <c r="C11" s="266"/>
      <c r="D11" s="42"/>
      <c r="E11" s="42"/>
      <c r="F11" s="42"/>
      <c r="G11" s="42"/>
      <c r="H11" s="267"/>
    </row>
    <row r="12" spans="1:8" ht="12.75" customHeight="1">
      <c r="A12" s="268"/>
      <c r="B12" s="269"/>
      <c r="C12" s="270"/>
      <c r="D12" s="269"/>
      <c r="E12" s="269"/>
      <c r="F12" s="269"/>
      <c r="G12" s="269"/>
      <c r="H12" s="271"/>
    </row>
    <row r="13" spans="1:8" ht="12.75" customHeight="1">
      <c r="A13" s="42"/>
      <c r="B13" s="42"/>
      <c r="C13" s="266"/>
      <c r="D13" s="272" t="s">
        <v>5910</v>
      </c>
      <c r="E13" s="42"/>
      <c r="F13" s="42"/>
      <c r="G13" s="42"/>
      <c r="H13" s="42"/>
    </row>
    <row r="14" spans="1:8" ht="12.75" customHeight="1">
      <c r="A14" s="48"/>
      <c r="D14" t="s">
        <v>28</v>
      </c>
    </row>
    <row r="15" spans="1:8" ht="12.75" customHeight="1">
      <c r="A15" s="48"/>
      <c r="F15" s="97" t="s">
        <v>471</v>
      </c>
      <c r="H15" s="97" t="s">
        <v>472</v>
      </c>
    </row>
    <row r="16" spans="1:8" ht="12.75" customHeight="1">
      <c r="A16" s="98" t="s">
        <v>473</v>
      </c>
      <c r="B16" t="s">
        <v>1502</v>
      </c>
      <c r="D16" s="373">
        <f>IF(ISNA('IFA2'!D16),0,'IFA2'!D16)</f>
        <v>0</v>
      </c>
      <c r="F16" s="96"/>
      <c r="H16" s="96"/>
    </row>
    <row r="17" spans="1:8" ht="12.75" customHeight="1">
      <c r="A17" s="48"/>
      <c r="B17" s="71"/>
      <c r="E17" t="s">
        <v>1500</v>
      </c>
      <c r="F17" s="111">
        <f>IF(ISNA('IFA2'!F17),0,'IFA2'!F17)</f>
        <v>0</v>
      </c>
      <c r="G17" s="112"/>
      <c r="H17" s="111">
        <f>IF(ISNA('IFA2'!H17),0,'IFA2'!H17)</f>
        <v>0</v>
      </c>
    </row>
    <row r="18" spans="1:8" ht="12.75" customHeight="1">
      <c r="A18" s="48"/>
      <c r="E18" s="71" t="s">
        <v>5909</v>
      </c>
      <c r="F18" s="111">
        <f>IF(ISNA('IFA2'!F18),0,'IFA2'!F18)</f>
        <v>0</v>
      </c>
      <c r="G18" s="112"/>
      <c r="H18" s="111">
        <f>IF(ISNA('IFA2'!H18),0,'IFA2'!H18)</f>
        <v>0</v>
      </c>
    </row>
    <row r="19" spans="1:8" ht="12.75" customHeight="1">
      <c r="A19" s="48"/>
      <c r="E19" t="s">
        <v>4594</v>
      </c>
      <c r="F19" s="102">
        <f>IF(F17&lt;F18,F17,F18)</f>
        <v>0</v>
      </c>
      <c r="G19" s="112"/>
      <c r="H19" s="102">
        <f>IF(H17&lt;H18,H17,H18)</f>
        <v>0</v>
      </c>
    </row>
    <row r="20" spans="1:8" ht="12.75" customHeight="1">
      <c r="A20" s="98" t="s">
        <v>474</v>
      </c>
      <c r="B20" t="s">
        <v>1503</v>
      </c>
      <c r="D20" s="373">
        <f>IF(ISNA('IFA2'!D20),0,'IFA2'!D20)</f>
        <v>0</v>
      </c>
      <c r="F20" s="113"/>
      <c r="G20" s="112"/>
      <c r="H20" s="113"/>
    </row>
    <row r="21" spans="1:8" ht="12.75" customHeight="1">
      <c r="A21" s="48"/>
      <c r="B21" s="71"/>
      <c r="E21" t="s">
        <v>1500</v>
      </c>
      <c r="F21" s="111">
        <f>IF(ISNA('IFA2'!F21),0,'IFA2'!F21)</f>
        <v>0</v>
      </c>
      <c r="G21" s="112"/>
      <c r="H21" s="111">
        <f>IF(ISNA('IFA2'!H21),0,'IFA2'!H21)</f>
        <v>0</v>
      </c>
    </row>
    <row r="22" spans="1:8" ht="12.75" customHeight="1">
      <c r="A22" s="48"/>
      <c r="E22" s="71" t="s">
        <v>5909</v>
      </c>
      <c r="F22" s="111">
        <f>IF(ISNA('IFA2'!F22),0,'IFA2'!F22)</f>
        <v>0</v>
      </c>
      <c r="G22" s="112"/>
      <c r="H22" s="111">
        <f>IF(ISNA('IFA2'!H22),0,'IFA2'!H22)</f>
        <v>0</v>
      </c>
    </row>
    <row r="23" spans="1:8" ht="12.75" customHeight="1">
      <c r="A23" s="48"/>
      <c r="E23" t="s">
        <v>4594</v>
      </c>
      <c r="F23" s="102">
        <f>IF(F21&lt;F22,F21,F22)</f>
        <v>0</v>
      </c>
      <c r="G23" s="112"/>
      <c r="H23" s="102">
        <f>IF(H21&lt;H22,H21,H22)</f>
        <v>0</v>
      </c>
    </row>
    <row r="24" spans="1:8" ht="12.75" customHeight="1">
      <c r="A24" s="98" t="s">
        <v>475</v>
      </c>
      <c r="B24" t="s">
        <v>7150</v>
      </c>
      <c r="D24" s="373">
        <f>IF(ISNA('IFA2'!D24),0,'IFA2'!D24)</f>
        <v>0</v>
      </c>
      <c r="F24" s="113"/>
      <c r="G24" s="112"/>
      <c r="H24" s="113"/>
    </row>
    <row r="25" spans="1:8" ht="12.75" customHeight="1">
      <c r="A25" s="48"/>
      <c r="B25" s="71"/>
      <c r="E25" t="s">
        <v>1500</v>
      </c>
      <c r="F25" s="111">
        <f>IF(ISNA('IFA2'!F25),0,'IFA2'!F25)</f>
        <v>0</v>
      </c>
      <c r="G25" s="112"/>
      <c r="H25" s="111">
        <f>IF(ISNA('IFA2'!H25),0,'IFA2'!H25)</f>
        <v>0</v>
      </c>
    </row>
    <row r="26" spans="1:8" ht="12.75" customHeight="1">
      <c r="A26" s="48"/>
      <c r="E26" s="71" t="s">
        <v>5909</v>
      </c>
      <c r="F26" s="111">
        <f>IF(ISNA('IFA2'!F26),0,'IFA2'!F26)</f>
        <v>0</v>
      </c>
      <c r="G26" s="112"/>
      <c r="H26" s="111">
        <f>IF(ISNA('IFA2'!H26),0,'IFA2'!H26)</f>
        <v>0</v>
      </c>
    </row>
    <row r="27" spans="1:8" ht="12.75" customHeight="1">
      <c r="A27" s="48"/>
      <c r="E27" t="s">
        <v>4594</v>
      </c>
      <c r="F27" s="102">
        <f>IF(F25&lt;F26,F25,F26)</f>
        <v>0</v>
      </c>
      <c r="G27" s="112"/>
      <c r="H27" s="102">
        <f>IF(H25&lt;H26,H25,H26)</f>
        <v>0</v>
      </c>
    </row>
    <row r="28" spans="1:8" ht="12.75" customHeight="1">
      <c r="A28" s="98" t="s">
        <v>476</v>
      </c>
      <c r="B28" t="s">
        <v>1533</v>
      </c>
      <c r="D28" s="373">
        <f>IF(ISNA('IFA2'!D28),0,'IFA2'!D28)</f>
        <v>0</v>
      </c>
      <c r="F28" s="113"/>
      <c r="G28" s="112"/>
      <c r="H28" s="113"/>
    </row>
    <row r="29" spans="1:8" ht="12.75" customHeight="1">
      <c r="A29" s="48"/>
      <c r="B29" s="71"/>
      <c r="E29" t="s">
        <v>1500</v>
      </c>
      <c r="F29" s="111">
        <f>IF(ISNA('IFA2'!F29),0,'IFA2'!F29)</f>
        <v>0</v>
      </c>
      <c r="G29" s="112"/>
      <c r="H29" s="111">
        <f>IF(ISNA('IFA2'!H29),0,'IFA2'!H29)</f>
        <v>0</v>
      </c>
    </row>
    <row r="30" spans="1:8" ht="12.75" customHeight="1">
      <c r="A30" s="48"/>
      <c r="E30" s="71" t="s">
        <v>5909</v>
      </c>
      <c r="F30" s="111">
        <f>IF(ISNA('IFA2'!F30),0,'IFA2'!F30)</f>
        <v>0</v>
      </c>
      <c r="G30" s="112"/>
      <c r="H30" s="111">
        <f>IF(ISNA('IFA2'!H30),0,'IFA2'!H30)</f>
        <v>0</v>
      </c>
    </row>
    <row r="31" spans="1:8" ht="12.75" customHeight="1">
      <c r="A31" s="48"/>
      <c r="E31" t="s">
        <v>4594</v>
      </c>
      <c r="F31" s="102">
        <f>IF(F29&lt;F30,F29,F30)</f>
        <v>0</v>
      </c>
      <c r="G31" s="112"/>
      <c r="H31" s="102">
        <f>IF(H29&lt;H30,H29,H30)</f>
        <v>0</v>
      </c>
    </row>
    <row r="32" spans="1:8" ht="12.75" customHeight="1">
      <c r="A32" s="98" t="s">
        <v>1477</v>
      </c>
      <c r="B32" t="s">
        <v>1478</v>
      </c>
      <c r="D32" s="373">
        <f>IF(ISNA('IFA2'!D32),0,'IFA2'!D32)</f>
        <v>0</v>
      </c>
      <c r="F32" s="113"/>
      <c r="G32" s="112"/>
      <c r="H32" s="113"/>
    </row>
    <row r="33" spans="1:8" ht="12.75" customHeight="1">
      <c r="A33" s="48"/>
      <c r="B33" s="71"/>
      <c r="E33" t="s">
        <v>1500</v>
      </c>
      <c r="F33" s="111">
        <f>IF(ISNA('IFA2'!F33),0,'IFA2'!F33)</f>
        <v>0</v>
      </c>
      <c r="G33" s="112"/>
      <c r="H33" s="111">
        <f>IF(ISNA('IFA2'!H33),0,'IFA2'!H33)</f>
        <v>0</v>
      </c>
    </row>
    <row r="34" spans="1:8" ht="12.75" customHeight="1">
      <c r="A34" s="48"/>
      <c r="E34" s="71" t="s">
        <v>5909</v>
      </c>
      <c r="F34" s="111">
        <f>IF(ISNA('IFA2'!F34),0,'IFA2'!F34)</f>
        <v>0</v>
      </c>
      <c r="G34" s="112"/>
      <c r="H34" s="111">
        <f>IF(ISNA('IFA2'!H34),0,'IFA2'!H34)</f>
        <v>0</v>
      </c>
    </row>
    <row r="35" spans="1:8" ht="12.75" customHeight="1">
      <c r="A35" s="48"/>
      <c r="E35" t="s">
        <v>4594</v>
      </c>
      <c r="F35" s="102">
        <f>IF(F33&lt;F34,F33,F34)</f>
        <v>0</v>
      </c>
      <c r="G35" s="112"/>
      <c r="H35" s="102">
        <f>IF(H33&lt;H34,H33,H34)</f>
        <v>0</v>
      </c>
    </row>
    <row r="36" spans="1:8" ht="12.75" customHeight="1">
      <c r="A36" s="98" t="s">
        <v>2559</v>
      </c>
      <c r="B36" t="s">
        <v>2977</v>
      </c>
      <c r="D36" s="373">
        <f>IF(ISNA('IFA2'!D36),0,'IFA2'!D36)</f>
        <v>0</v>
      </c>
      <c r="F36" s="113"/>
      <c r="G36" s="112"/>
      <c r="H36" s="113"/>
    </row>
    <row r="37" spans="1:8" ht="12.75" customHeight="1">
      <c r="A37" s="48"/>
      <c r="B37" s="71"/>
      <c r="E37" t="s">
        <v>1500</v>
      </c>
      <c r="F37" s="111">
        <f>IF(ISNA('IFA2'!F37),0,'IFA2'!F37)</f>
        <v>0</v>
      </c>
      <c r="G37" s="112"/>
      <c r="H37" s="111">
        <f>IF(ISNA('IFA2'!H37),0,'IFA2'!H37)</f>
        <v>0</v>
      </c>
    </row>
    <row r="38" spans="1:8" ht="12.75" customHeight="1">
      <c r="A38" s="48"/>
      <c r="E38" s="71" t="s">
        <v>5909</v>
      </c>
      <c r="F38" s="111">
        <f>IF(ISNA('IFA2'!F38),0,'IFA2'!F38)</f>
        <v>0</v>
      </c>
      <c r="G38" s="112"/>
      <c r="H38" s="111">
        <f>IF(ISNA('IFA2'!H38),0,'IFA2'!H38)</f>
        <v>0</v>
      </c>
    </row>
    <row r="39" spans="1:8" ht="12.75" customHeight="1">
      <c r="A39" s="48"/>
      <c r="E39" t="s">
        <v>4594</v>
      </c>
      <c r="F39" s="102">
        <f>IF(F37&lt;F38,F37,F38)</f>
        <v>0</v>
      </c>
      <c r="G39" s="112"/>
      <c r="H39" s="102">
        <f>IF(H37&lt;H38,H37,H38)</f>
        <v>0</v>
      </c>
    </row>
    <row r="40" spans="1:8" ht="12.75" customHeight="1">
      <c r="A40" s="98" t="s">
        <v>2560</v>
      </c>
      <c r="B40" t="s">
        <v>2978</v>
      </c>
      <c r="D40" s="373">
        <f>IF(ISNA('IFA2'!D40),0,'IFA2'!D40)</f>
        <v>0</v>
      </c>
      <c r="F40" s="113"/>
      <c r="G40" s="112"/>
      <c r="H40" s="113"/>
    </row>
    <row r="41" spans="1:8" ht="12.75" customHeight="1">
      <c r="A41" s="48"/>
      <c r="B41" s="71"/>
      <c r="E41" t="s">
        <v>1500</v>
      </c>
      <c r="F41" s="111">
        <f>IF(ISNA('IFA2'!F41),0,'IFA2'!F41)</f>
        <v>0</v>
      </c>
      <c r="G41" s="112"/>
      <c r="H41" s="111">
        <f>IF(ISNA('IFA2'!H41),0,'IFA2'!H41)</f>
        <v>0</v>
      </c>
    </row>
    <row r="42" spans="1:8" ht="12.75" customHeight="1">
      <c r="A42" s="48"/>
      <c r="E42" s="71" t="s">
        <v>5909</v>
      </c>
      <c r="F42" s="111">
        <f>IF(ISNA('IFA2'!F42),0,'IFA2'!F42)</f>
        <v>0</v>
      </c>
      <c r="G42" s="112"/>
      <c r="H42" s="111">
        <f>IF(ISNA('IFA2'!H42),0,'IFA2'!H42)</f>
        <v>0</v>
      </c>
    </row>
    <row r="43" spans="1:8" ht="12.75" customHeight="1">
      <c r="A43" s="48"/>
      <c r="E43" t="s">
        <v>4594</v>
      </c>
      <c r="F43" s="102">
        <f>IF(F41&lt;F42,F41,F42)</f>
        <v>0</v>
      </c>
      <c r="G43" s="112"/>
      <c r="H43" s="102">
        <f>IF(H41&lt;H42,H41,H42)</f>
        <v>0</v>
      </c>
    </row>
    <row r="44" spans="1:8" ht="12.75" customHeight="1">
      <c r="A44" s="98" t="s">
        <v>2300</v>
      </c>
      <c r="B44" t="s">
        <v>3187</v>
      </c>
      <c r="D44" s="373">
        <f>IF(ISNA('IFA2'!D44),0,'IFA2'!D44)</f>
        <v>0</v>
      </c>
      <c r="F44" s="113"/>
      <c r="G44" s="112"/>
      <c r="H44" s="113"/>
    </row>
    <row r="45" spans="1:8" ht="12.75" customHeight="1">
      <c r="A45" s="48"/>
      <c r="B45" s="71"/>
      <c r="E45" t="s">
        <v>1500</v>
      </c>
      <c r="F45" s="111">
        <f>IF(ISNA('IFA2'!F45),0,'IFA2'!F45)</f>
        <v>0</v>
      </c>
      <c r="G45" s="112"/>
      <c r="H45" s="111">
        <f>IF(ISNA('IFA2'!H45),0,'IFA2'!H45)</f>
        <v>0</v>
      </c>
    </row>
    <row r="46" spans="1:8" ht="12.75" customHeight="1">
      <c r="A46" s="48"/>
      <c r="E46" s="71" t="s">
        <v>5909</v>
      </c>
      <c r="F46" s="111">
        <f>IF(ISNA('IFA2'!F46),0,'IFA2'!F46)</f>
        <v>0</v>
      </c>
      <c r="G46" s="112"/>
      <c r="H46" s="111">
        <f>IF(ISNA('IFA2'!H46),0,'IFA2'!H46)</f>
        <v>0</v>
      </c>
    </row>
    <row r="47" spans="1:8" ht="12.75" customHeight="1">
      <c r="A47" s="48"/>
      <c r="E47" t="s">
        <v>4594</v>
      </c>
      <c r="F47" s="102">
        <f>IF(F45&lt;F46,F45,F46)</f>
        <v>0</v>
      </c>
      <c r="G47" s="112"/>
      <c r="H47" s="102">
        <f>IF(H45&lt;H46,H45,H46)</f>
        <v>0</v>
      </c>
    </row>
    <row r="48" spans="1:8" ht="12.75" customHeight="1">
      <c r="A48" s="48"/>
      <c r="F48" s="105"/>
      <c r="G48" s="112"/>
      <c r="H48" s="105"/>
    </row>
    <row r="49" spans="1:12" ht="12.75" customHeight="1">
      <c r="A49" s="50" t="s">
        <v>7720</v>
      </c>
      <c r="B49" t="s">
        <v>5240</v>
      </c>
      <c r="F49" s="103" t="e">
        <f>IF('Data Entry - SOF'!F36&lt;400,400,'Data Entry - SOF'!F36)</f>
        <v>#N/A</v>
      </c>
      <c r="G49" s="112"/>
      <c r="H49" s="103" t="e">
        <f>F49</f>
        <v>#N/A</v>
      </c>
      <c r="J49" s="103" t="e">
        <f>IF('Data Entry - SOF'!H36&lt;400,400,'Data Entry - SOF'!H36)</f>
        <v>#DIV/0!</v>
      </c>
      <c r="L49" s="103" t="e">
        <f>J49</f>
        <v>#DIV/0!</v>
      </c>
    </row>
    <row r="50" spans="1:12" ht="12.75" customHeight="1">
      <c r="A50" s="50"/>
      <c r="F50" s="112"/>
      <c r="G50" s="112"/>
      <c r="H50" s="112"/>
    </row>
    <row r="51" spans="1:12" ht="12.75" customHeight="1">
      <c r="A51" s="50" t="s">
        <v>7721</v>
      </c>
      <c r="B51" t="s">
        <v>5382</v>
      </c>
      <c r="F51" s="114" t="e">
        <f>'Data Entry - SOF'!F61</f>
        <v>#N/A</v>
      </c>
      <c r="G51" s="112"/>
      <c r="H51" s="114" t="e">
        <f>F51</f>
        <v>#N/A</v>
      </c>
      <c r="J51" s="114" t="e">
        <f>'Data Entry - SOF'!H61</f>
        <v>#N/A</v>
      </c>
      <c r="L51" s="114" t="e">
        <f>J51</f>
        <v>#N/A</v>
      </c>
    </row>
    <row r="52" spans="1:12" ht="12.75" customHeight="1">
      <c r="A52" s="50"/>
      <c r="F52" s="376"/>
      <c r="G52" s="112"/>
      <c r="H52" s="376"/>
    </row>
    <row r="53" spans="1:12" ht="12.75" customHeight="1">
      <c r="A53" s="50"/>
      <c r="F53" s="376"/>
      <c r="G53" s="112"/>
      <c r="H53" s="376"/>
    </row>
    <row r="54" spans="1:12" ht="12.75" customHeight="1">
      <c r="A54" s="50"/>
      <c r="F54" s="376"/>
      <c r="G54" s="112"/>
      <c r="H54" s="376"/>
      <c r="J54" s="249" t="s">
        <v>471</v>
      </c>
      <c r="K54" s="317"/>
      <c r="L54" s="249" t="s">
        <v>472</v>
      </c>
    </row>
    <row r="55" spans="1:12" ht="12.75" customHeight="1">
      <c r="A55" s="48"/>
      <c r="J55" s="132" t="s">
        <v>1505</v>
      </c>
    </row>
    <row r="56" spans="1:12" ht="12.75" customHeight="1">
      <c r="A56" s="99" t="s">
        <v>6287</v>
      </c>
      <c r="B56" s="67"/>
      <c r="C56" s="67"/>
      <c r="D56" s="68"/>
      <c r="J56" s="132" t="s">
        <v>1506</v>
      </c>
    </row>
    <row r="57" spans="1:12" ht="12.75" customHeight="1">
      <c r="A57" s="48"/>
      <c r="F57" s="190" t="s">
        <v>1849</v>
      </c>
      <c r="H57" s="190" t="s">
        <v>1849</v>
      </c>
      <c r="J57" s="317" t="s">
        <v>1850</v>
      </c>
      <c r="K57" s="132"/>
      <c r="L57" s="317" t="s">
        <v>1850</v>
      </c>
    </row>
    <row r="58" spans="1:12" ht="12.75" customHeight="1">
      <c r="A58" s="63" t="s">
        <v>6285</v>
      </c>
      <c r="B58" t="s">
        <v>3600</v>
      </c>
      <c r="F58" s="144">
        <f>F19+F23+F27+F31+F35+F39+F43+F47</f>
        <v>0</v>
      </c>
      <c r="H58" s="144">
        <f>H19+H23+H27+H31+H35+H39+H43+H47</f>
        <v>0</v>
      </c>
      <c r="J58" s="335">
        <f>F19+F23+F27+F31+F35+F39+F43+F47</f>
        <v>0</v>
      </c>
      <c r="K58" s="132"/>
      <c r="L58" s="335">
        <f>H19+H23+H27+H31+H35+H39+H43+H47</f>
        <v>0</v>
      </c>
    </row>
    <row r="59" spans="1:12" ht="12.75" customHeight="1">
      <c r="A59" s="50"/>
      <c r="F59" s="192"/>
      <c r="H59" s="136"/>
      <c r="J59" s="334"/>
      <c r="K59" s="132"/>
      <c r="L59" s="132"/>
    </row>
    <row r="60" spans="1:12" ht="12.75" customHeight="1">
      <c r="A60" s="63" t="s">
        <v>6286</v>
      </c>
      <c r="B60" t="s">
        <v>866</v>
      </c>
      <c r="F60" s="144" t="e">
        <f>F51/10000</f>
        <v>#N/A</v>
      </c>
      <c r="H60" s="144" t="e">
        <f>F51/10000</f>
        <v>#N/A</v>
      </c>
      <c r="J60" s="335" t="e">
        <f>J51/10000</f>
        <v>#N/A</v>
      </c>
      <c r="K60" s="132"/>
      <c r="L60" s="335" t="e">
        <f>L51/10000</f>
        <v>#N/A</v>
      </c>
    </row>
    <row r="61" spans="1:12" ht="12.75" customHeight="1">
      <c r="A61" s="50"/>
      <c r="F61" s="192"/>
      <c r="H61" s="136"/>
      <c r="J61" s="334"/>
      <c r="K61" s="132"/>
      <c r="L61" s="132"/>
    </row>
    <row r="62" spans="1:12" ht="12.75" customHeight="1">
      <c r="A62" s="63" t="s">
        <v>6288</v>
      </c>
      <c r="B62" t="s">
        <v>477</v>
      </c>
      <c r="F62" s="183" t="e">
        <f>F60/F49</f>
        <v>#N/A</v>
      </c>
      <c r="H62" s="183" t="e">
        <f>H60/H49</f>
        <v>#N/A</v>
      </c>
      <c r="J62" s="333" t="e">
        <f>J60/J49</f>
        <v>#N/A</v>
      </c>
      <c r="K62" s="132"/>
      <c r="L62" s="333" t="e">
        <f>L60/L49</f>
        <v>#N/A</v>
      </c>
    </row>
    <row r="63" spans="1:12" ht="12.75" customHeight="1">
      <c r="A63" s="50"/>
      <c r="F63" s="192"/>
      <c r="H63" s="136"/>
      <c r="J63" s="334"/>
      <c r="K63" s="132"/>
      <c r="L63" s="132"/>
    </row>
    <row r="64" spans="1:12" ht="12.75" customHeight="1">
      <c r="A64" s="63" t="s">
        <v>6289</v>
      </c>
      <c r="B64" t="s">
        <v>478</v>
      </c>
      <c r="F64" s="183" t="e">
        <f>IF(F62&gt;35,0,35-F62)</f>
        <v>#N/A</v>
      </c>
      <c r="H64" s="183" t="e">
        <f>IF(H62&gt;35,0,35-H62)</f>
        <v>#N/A</v>
      </c>
      <c r="J64" s="333" t="e">
        <f>IF(J62&gt;35,0,35-J62)</f>
        <v>#N/A</v>
      </c>
      <c r="K64" s="132"/>
      <c r="L64" s="333" t="e">
        <f>IF(L62&gt;35,0,35-L62)</f>
        <v>#N/A</v>
      </c>
    </row>
    <row r="65" spans="1:12" ht="12.75" customHeight="1">
      <c r="A65" s="50"/>
      <c r="F65" s="326"/>
      <c r="H65" s="136"/>
      <c r="J65" s="336"/>
      <c r="K65" s="132"/>
      <c r="L65" s="132"/>
    </row>
    <row r="66" spans="1:12">
      <c r="A66" s="63" t="s">
        <v>6290</v>
      </c>
      <c r="B66" t="s">
        <v>479</v>
      </c>
      <c r="F66" s="183" t="e">
        <f>IF(F64=0,0,F64/35)</f>
        <v>#N/A</v>
      </c>
      <c r="H66" s="183" t="e">
        <f>IF(H64=0,0,H64/35)</f>
        <v>#N/A</v>
      </c>
      <c r="J66" s="333" t="e">
        <f>IF(J64=0,0,J64/35)</f>
        <v>#N/A</v>
      </c>
      <c r="K66" s="132"/>
      <c r="L66" s="333" t="e">
        <f>IF(L64=0,0,L64/35)</f>
        <v>#N/A</v>
      </c>
    </row>
    <row r="67" spans="1:12">
      <c r="A67" s="50"/>
      <c r="F67" s="136"/>
      <c r="H67" s="136"/>
      <c r="J67" s="132"/>
      <c r="K67" s="132"/>
      <c r="L67" s="132"/>
    </row>
    <row r="68" spans="1:12">
      <c r="A68" s="63" t="s">
        <v>5115</v>
      </c>
      <c r="B68" t="s">
        <v>5411</v>
      </c>
      <c r="F68" s="144" t="e">
        <f>F66*F58</f>
        <v>#N/A</v>
      </c>
      <c r="H68" s="144" t="e">
        <f>H66*H58</f>
        <v>#N/A</v>
      </c>
      <c r="J68" s="335" t="e">
        <f>J66*J58</f>
        <v>#N/A</v>
      </c>
      <c r="K68" s="132"/>
      <c r="L68" s="335" t="e">
        <f>L66*L58</f>
        <v>#N/A</v>
      </c>
    </row>
    <row r="69" spans="1:12">
      <c r="A69" s="63"/>
      <c r="B69" s="57" t="s">
        <v>4941</v>
      </c>
      <c r="F69" s="141"/>
      <c r="H69" s="141"/>
      <c r="J69" s="250"/>
      <c r="K69" s="132"/>
      <c r="L69" s="250"/>
    </row>
    <row r="70" spans="1:12">
      <c r="A70" s="63"/>
      <c r="B70" s="57" t="s">
        <v>4942</v>
      </c>
      <c r="F70" s="141"/>
      <c r="H70" s="141"/>
      <c r="J70" s="250"/>
      <c r="K70" s="132"/>
      <c r="L70" s="250"/>
    </row>
    <row r="71" spans="1:12">
      <c r="A71" s="50"/>
      <c r="F71" s="141"/>
      <c r="H71" s="141"/>
      <c r="J71" s="250"/>
      <c r="K71" s="132"/>
      <c r="L71" s="250"/>
    </row>
    <row r="72" spans="1:12">
      <c r="A72" s="63" t="s">
        <v>5116</v>
      </c>
      <c r="B72" s="50" t="s">
        <v>480</v>
      </c>
      <c r="C72" s="50"/>
      <c r="D72" s="50"/>
      <c r="E72" s="50"/>
      <c r="F72" s="137" t="e">
        <f>F58-F68</f>
        <v>#N/A</v>
      </c>
      <c r="G72" s="50"/>
      <c r="H72" s="137" t="e">
        <f>H58-H68</f>
        <v>#N/A</v>
      </c>
      <c r="J72" s="175" t="e">
        <f>J58-J68</f>
        <v>#N/A</v>
      </c>
      <c r="K72" s="375"/>
      <c r="L72" s="175" t="e">
        <f>L58-L68</f>
        <v>#N/A</v>
      </c>
    </row>
    <row r="73" spans="1:12">
      <c r="A73" s="63"/>
      <c r="B73" s="117" t="s">
        <v>1484</v>
      </c>
      <c r="C73" s="50"/>
      <c r="D73" s="50"/>
      <c r="E73" s="50"/>
      <c r="F73" s="141"/>
      <c r="G73" s="50"/>
      <c r="H73" s="53"/>
      <c r="J73" s="250"/>
      <c r="K73" s="375"/>
      <c r="L73" s="250"/>
    </row>
    <row r="74" spans="1:12">
      <c r="A74" s="63"/>
      <c r="B74" s="117" t="s">
        <v>5030</v>
      </c>
      <c r="C74" s="50"/>
      <c r="D74" s="50"/>
      <c r="E74" s="50"/>
      <c r="F74" s="141"/>
      <c r="G74" s="50"/>
      <c r="H74" s="53"/>
      <c r="J74" s="250"/>
      <c r="K74" s="375"/>
      <c r="L74" s="250"/>
    </row>
    <row r="75" spans="1:12">
      <c r="A75" s="63"/>
      <c r="B75" s="117"/>
      <c r="C75" s="50"/>
      <c r="D75" s="50"/>
      <c r="E75" s="50"/>
      <c r="F75" s="141"/>
      <c r="G75" s="50"/>
      <c r="H75" s="53"/>
      <c r="J75" s="250"/>
      <c r="K75" s="375"/>
      <c r="L75" s="250"/>
    </row>
    <row r="76" spans="1:12">
      <c r="A76" s="63"/>
      <c r="B76" s="128" t="e">
        <f>IF(F68=0," ",IF('Data Entry - SOF'!F73&lt;F72+'Existing Debt'!G61,"WARNING: LOCAL SHARE OF IFA IS GREATER THAN I&amp;S TAX COLLECTIONS"," "))</f>
        <v>#N/A</v>
      </c>
      <c r="C76" s="50"/>
      <c r="D76" s="50"/>
      <c r="E76" s="50"/>
      <c r="F76" s="141"/>
      <c r="G76" s="50"/>
      <c r="H76" s="53"/>
      <c r="J76" s="250"/>
      <c r="K76" s="375"/>
      <c r="L76" s="250"/>
    </row>
    <row r="77" spans="1:12">
      <c r="A77" s="63"/>
      <c r="B77" s="128" t="e">
        <f>IF(B76&lt;&gt;" ","LESS EDA LOCAL SHARE ( @ $.29). DISTRICT WILL NOT GET FULL IFA STATE SHARE."," ")</f>
        <v>#N/A</v>
      </c>
      <c r="C77" s="50"/>
      <c r="D77" s="50"/>
      <c r="E77" s="50"/>
      <c r="F77" s="141"/>
      <c r="G77" s="50"/>
      <c r="H77" s="53"/>
      <c r="J77" s="250"/>
      <c r="K77" s="375"/>
      <c r="L77" s="250"/>
    </row>
    <row r="78" spans="1:12">
      <c r="A78" s="63"/>
      <c r="B78" s="128"/>
      <c r="C78" s="50"/>
      <c r="D78" s="50"/>
      <c r="E78" s="50"/>
      <c r="F78" s="141"/>
      <c r="G78" s="50"/>
      <c r="H78" s="53"/>
      <c r="J78" s="250"/>
      <c r="K78" s="375"/>
      <c r="L78" s="250"/>
    </row>
    <row r="79" spans="1:12">
      <c r="A79" s="154" t="s">
        <v>5117</v>
      </c>
      <c r="B79" s="155" t="s">
        <v>5045</v>
      </c>
      <c r="C79" s="50"/>
      <c r="D79" s="50"/>
      <c r="E79" s="50"/>
      <c r="F79" s="137" t="e">
        <f>IF(F68=0,0,IF('Data Entry - SOF'!F73-'Existing Debt'!G61&lt;0,0,IF('Data Entry - SOF'!F73-'Existing Debt'!G61&gt;F72,F68,(('Data Entry - SOF'!F73-'Existing Debt'!G61)/F72)*F68)))</f>
        <v>#N/A</v>
      </c>
      <c r="G79" s="50"/>
      <c r="H79" s="53"/>
      <c r="J79" s="175" t="e">
        <f>IF(J68=0,0,IF('Data Entry - SOF'!H73-'Existing Debt'!H61&lt;0,0,IF('Data Entry - SOF'!H73-'Existing Debt'!H61&gt;J72,J68,(('Data Entry - SOF'!H73-'Existing Debt'!H61)/J72)*J68)))</f>
        <v>#N/A</v>
      </c>
      <c r="K79" s="375"/>
      <c r="L79" s="250"/>
    </row>
    <row r="80" spans="1:12">
      <c r="A80" s="154"/>
      <c r="B80" s="155" t="s">
        <v>2788</v>
      </c>
      <c r="C80" s="50"/>
      <c r="D80" s="50"/>
      <c r="E80" s="50"/>
      <c r="F80" s="53"/>
      <c r="G80" s="50"/>
      <c r="H80" s="53"/>
    </row>
    <row r="81" spans="1:8">
      <c r="A81" s="154"/>
      <c r="B81" s="155" t="s">
        <v>2558</v>
      </c>
      <c r="C81" s="50"/>
      <c r="D81" s="50"/>
      <c r="E81" s="50"/>
      <c r="F81" s="53"/>
      <c r="G81" s="50"/>
      <c r="H81" s="53"/>
    </row>
    <row r="82" spans="1:8">
      <c r="A82" s="63"/>
      <c r="B82" s="129"/>
      <c r="C82" s="50"/>
      <c r="D82" s="50"/>
      <c r="E82" s="50"/>
      <c r="F82" s="53"/>
      <c r="G82" s="50"/>
      <c r="H82" s="53"/>
    </row>
    <row r="85" spans="1:8">
      <c r="B85" s="57" t="s">
        <v>1700</v>
      </c>
    </row>
    <row r="86" spans="1:8">
      <c r="B86" s="57" t="s">
        <v>2379</v>
      </c>
    </row>
    <row r="87" spans="1:8">
      <c r="B87" s="57" t="s">
        <v>3984</v>
      </c>
    </row>
    <row r="88" spans="1:8">
      <c r="B88" s="57" t="s">
        <v>2380</v>
      </c>
    </row>
    <row r="89" spans="1:8">
      <c r="B89" s="57" t="s">
        <v>2381</v>
      </c>
    </row>
    <row r="96" spans="1:8">
      <c r="D96" s="78" t="s">
        <v>4595</v>
      </c>
      <c r="F96" s="92">
        <f>IF(D16="Y",F19,0)</f>
        <v>0</v>
      </c>
    </row>
    <row r="97" spans="4:6">
      <c r="D97" s="78" t="s">
        <v>4596</v>
      </c>
      <c r="F97" s="92">
        <f>IF(D20="Y",F23,0)</f>
        <v>0</v>
      </c>
    </row>
    <row r="98" spans="4:6">
      <c r="D98" s="78" t="s">
        <v>4597</v>
      </c>
      <c r="F98" s="92">
        <f>IF(D24="Y",F27,0)</f>
        <v>0</v>
      </c>
    </row>
    <row r="99" spans="4:6">
      <c r="D99" s="78" t="s">
        <v>1557</v>
      </c>
      <c r="F99" s="92">
        <f>IF(D28="Y",F31,0)</f>
        <v>0</v>
      </c>
    </row>
    <row r="100" spans="4:6">
      <c r="D100" s="78" t="s">
        <v>1479</v>
      </c>
      <c r="F100" s="92">
        <f>IF(D32="Y",F35,0)</f>
        <v>0</v>
      </c>
    </row>
    <row r="101" spans="4:6">
      <c r="D101" s="78" t="s">
        <v>2979</v>
      </c>
      <c r="F101" s="92">
        <f>IF(D36="Y",F39,0)</f>
        <v>0</v>
      </c>
    </row>
    <row r="102" spans="4:6">
      <c r="D102" s="78" t="s">
        <v>2980</v>
      </c>
      <c r="F102" s="92">
        <f>IF(D40="Y",F43,0)</f>
        <v>0</v>
      </c>
    </row>
    <row r="103" spans="4:6">
      <c r="D103" s="78" t="s">
        <v>2434</v>
      </c>
      <c r="F103" s="92">
        <f>IF(D44="Y",F47,0)</f>
        <v>0</v>
      </c>
    </row>
    <row r="104" spans="4:6">
      <c r="D104" s="78" t="s">
        <v>4593</v>
      </c>
      <c r="F104" s="92">
        <f>SUM(F96:F103)</f>
        <v>0</v>
      </c>
    </row>
  </sheetData>
  <sheetProtection sheet="1" objects="1" scenarios="1"/>
  <phoneticPr fontId="0" type="noConversion"/>
  <pageMargins left="0.25" right="0.25" top="0.5" bottom="0.5" header="0.5" footer="0.5"/>
  <pageSetup scale="80" fitToWidth="2" fitToHeight="2" orientation="portrait" r:id="rId1"/>
  <headerFooter alignWithMargins="0">
    <oddFooter>&amp;L&amp;G</oddFooter>
  </headerFooter>
  <rowBreaks count="1" manualBreakCount="1">
    <brk id="53" max="11" man="1"/>
  </rowBreaks>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9"/>
  <dimension ref="A1:F405"/>
  <sheetViews>
    <sheetView topLeftCell="A369" workbookViewId="0">
      <selection activeCell="A369" sqref="A369"/>
    </sheetView>
  </sheetViews>
  <sheetFormatPr defaultRowHeight="13.2"/>
  <cols>
    <col min="2" max="2" width="49.44140625" customWidth="1"/>
    <col min="5" max="5" width="17" customWidth="1"/>
    <col min="6" max="6" width="16.77734375" customWidth="1"/>
  </cols>
  <sheetData>
    <row r="1" spans="1:6">
      <c r="A1" s="365" t="s">
        <v>2608</v>
      </c>
      <c r="B1" s="366" t="s">
        <v>324</v>
      </c>
      <c r="C1" s="367" t="s">
        <v>219</v>
      </c>
      <c r="D1" s="368" t="s">
        <v>4940</v>
      </c>
      <c r="E1" s="369">
        <v>55262</v>
      </c>
      <c r="F1" s="370">
        <v>54912</v>
      </c>
    </row>
    <row r="2" spans="1:6">
      <c r="A2" s="365" t="s">
        <v>819</v>
      </c>
      <c r="B2" s="366" t="s">
        <v>3901</v>
      </c>
      <c r="C2" s="367" t="s">
        <v>1980</v>
      </c>
      <c r="D2" s="368" t="s">
        <v>3902</v>
      </c>
      <c r="E2" s="369">
        <v>3458574</v>
      </c>
      <c r="F2" s="370">
        <v>2579048</v>
      </c>
    </row>
    <row r="3" spans="1:6">
      <c r="A3" s="365" t="s">
        <v>820</v>
      </c>
      <c r="B3" s="366" t="s">
        <v>1843</v>
      </c>
      <c r="C3" s="367" t="s">
        <v>1980</v>
      </c>
      <c r="D3" s="368" t="s">
        <v>3902</v>
      </c>
      <c r="E3" s="369">
        <v>1313562</v>
      </c>
      <c r="F3" s="370">
        <v>1400133</v>
      </c>
    </row>
    <row r="4" spans="1:6">
      <c r="A4" s="365" t="s">
        <v>3887</v>
      </c>
      <c r="B4" s="366" t="s">
        <v>1844</v>
      </c>
      <c r="C4" s="367" t="s">
        <v>1980</v>
      </c>
      <c r="D4" s="368" t="s">
        <v>3902</v>
      </c>
      <c r="E4" s="369">
        <v>1417777</v>
      </c>
      <c r="F4" s="370">
        <v>1456083</v>
      </c>
    </row>
    <row r="5" spans="1:6">
      <c r="A5" s="365" t="s">
        <v>818</v>
      </c>
      <c r="B5" s="366" t="s">
        <v>7677</v>
      </c>
      <c r="C5" s="367" t="s">
        <v>1980</v>
      </c>
      <c r="D5" s="368" t="s">
        <v>3902</v>
      </c>
      <c r="E5" s="369">
        <v>1385015</v>
      </c>
      <c r="F5" s="370">
        <v>1218195.3500000001</v>
      </c>
    </row>
    <row r="6" spans="1:6">
      <c r="A6" s="365" t="s">
        <v>3888</v>
      </c>
      <c r="B6" s="366" t="s">
        <v>7678</v>
      </c>
      <c r="C6" s="367" t="s">
        <v>1980</v>
      </c>
      <c r="D6" s="368" t="s">
        <v>3902</v>
      </c>
      <c r="E6" s="369">
        <v>87080</v>
      </c>
      <c r="F6" s="370">
        <v>70737.31</v>
      </c>
    </row>
    <row r="7" spans="1:6">
      <c r="A7" s="365" t="s">
        <v>2136</v>
      </c>
      <c r="B7" s="366" t="s">
        <v>7679</v>
      </c>
      <c r="C7" s="367" t="s">
        <v>1980</v>
      </c>
      <c r="D7" s="368" t="s">
        <v>3902</v>
      </c>
      <c r="E7" s="369">
        <v>880444</v>
      </c>
      <c r="F7" s="370">
        <v>971367</v>
      </c>
    </row>
    <row r="8" spans="1:6">
      <c r="A8" s="365" t="s">
        <v>3889</v>
      </c>
      <c r="B8" s="366" t="s">
        <v>7680</v>
      </c>
      <c r="C8" s="367" t="s">
        <v>1980</v>
      </c>
      <c r="D8" s="368" t="s">
        <v>3902</v>
      </c>
      <c r="E8" s="369">
        <v>131354</v>
      </c>
      <c r="F8" s="370">
        <v>372149.47</v>
      </c>
    </row>
    <row r="9" spans="1:6">
      <c r="A9" s="365" t="s">
        <v>264</v>
      </c>
      <c r="B9" s="366" t="s">
        <v>7681</v>
      </c>
      <c r="C9" s="367" t="s">
        <v>1980</v>
      </c>
      <c r="D9" s="368" t="s">
        <v>3902</v>
      </c>
      <c r="E9" s="369">
        <v>1250696</v>
      </c>
      <c r="F9" s="370">
        <v>6582550</v>
      </c>
    </row>
    <row r="10" spans="1:6">
      <c r="A10" s="365" t="s">
        <v>265</v>
      </c>
      <c r="B10" s="366" t="s">
        <v>7682</v>
      </c>
      <c r="C10" s="367" t="s">
        <v>1980</v>
      </c>
      <c r="D10" s="368" t="s">
        <v>3902</v>
      </c>
      <c r="E10" s="369">
        <v>342500</v>
      </c>
      <c r="F10" s="370">
        <v>541185</v>
      </c>
    </row>
    <row r="11" spans="1:6">
      <c r="A11" s="365" t="s">
        <v>266</v>
      </c>
      <c r="B11" s="366" t="s">
        <v>7683</v>
      </c>
      <c r="C11" s="367" t="s">
        <v>1980</v>
      </c>
      <c r="D11" s="368" t="s">
        <v>3902</v>
      </c>
      <c r="E11" s="369">
        <v>200000</v>
      </c>
      <c r="F11" s="370">
        <v>200000</v>
      </c>
    </row>
    <row r="12" spans="1:6">
      <c r="A12" s="365" t="s">
        <v>267</v>
      </c>
      <c r="B12" s="366" t="s">
        <v>7684</v>
      </c>
      <c r="C12" s="367" t="s">
        <v>219</v>
      </c>
      <c r="D12" s="368" t="s">
        <v>4940</v>
      </c>
      <c r="E12" s="369">
        <v>93348</v>
      </c>
      <c r="F12" s="370">
        <v>92560.5</v>
      </c>
    </row>
    <row r="13" spans="1:6">
      <c r="A13" s="365" t="s">
        <v>268</v>
      </c>
      <c r="B13" s="366" t="s">
        <v>7685</v>
      </c>
      <c r="C13" s="367" t="s">
        <v>1980</v>
      </c>
      <c r="D13" s="368" t="s">
        <v>3902</v>
      </c>
      <c r="E13" s="369">
        <v>199299.06</v>
      </c>
      <c r="F13" s="370">
        <v>289933.76</v>
      </c>
    </row>
    <row r="14" spans="1:6">
      <c r="A14" s="365" t="s">
        <v>2614</v>
      </c>
      <c r="B14" s="366" t="s">
        <v>7686</v>
      </c>
      <c r="C14" s="367" t="s">
        <v>1980</v>
      </c>
      <c r="D14" s="368" t="s">
        <v>3902</v>
      </c>
      <c r="E14" s="369">
        <v>88897</v>
      </c>
      <c r="F14" s="370">
        <v>87055</v>
      </c>
    </row>
    <row r="15" spans="1:6">
      <c r="A15" s="365" t="s">
        <v>2071</v>
      </c>
      <c r="B15" s="366" t="s">
        <v>7687</v>
      </c>
      <c r="C15" s="367" t="s">
        <v>1980</v>
      </c>
      <c r="D15" s="368" t="s">
        <v>3902</v>
      </c>
      <c r="E15" s="369">
        <v>270047</v>
      </c>
      <c r="F15" s="370">
        <v>272255</v>
      </c>
    </row>
    <row r="16" spans="1:6">
      <c r="A16" s="371" t="s">
        <v>269</v>
      </c>
      <c r="B16" s="366" t="s">
        <v>7688</v>
      </c>
      <c r="C16" s="367" t="s">
        <v>1980</v>
      </c>
      <c r="D16" s="368" t="s">
        <v>3902</v>
      </c>
      <c r="E16" s="369">
        <v>5173531</v>
      </c>
      <c r="F16" s="370">
        <v>4607535</v>
      </c>
    </row>
    <row r="17" spans="1:6">
      <c r="A17" s="371" t="s">
        <v>5036</v>
      </c>
      <c r="B17" s="366" t="s">
        <v>7689</v>
      </c>
      <c r="C17" s="367" t="s">
        <v>1980</v>
      </c>
      <c r="D17" s="368" t="s">
        <v>3902</v>
      </c>
      <c r="E17" s="369">
        <v>219258</v>
      </c>
      <c r="F17" s="370">
        <v>425747.5</v>
      </c>
    </row>
    <row r="18" spans="1:6">
      <c r="A18" s="371" t="s">
        <v>270</v>
      </c>
      <c r="B18" s="366" t="s">
        <v>7690</v>
      </c>
      <c r="C18" s="367" t="s">
        <v>1980</v>
      </c>
      <c r="D18" s="368" t="s">
        <v>3902</v>
      </c>
      <c r="E18" s="369">
        <v>223500</v>
      </c>
      <c r="F18" s="370">
        <v>766500</v>
      </c>
    </row>
    <row r="19" spans="1:6">
      <c r="A19" s="371" t="s">
        <v>1976</v>
      </c>
      <c r="B19" s="366" t="s">
        <v>7691</v>
      </c>
      <c r="C19" s="367" t="s">
        <v>1980</v>
      </c>
      <c r="D19" s="368" t="s">
        <v>3902</v>
      </c>
      <c r="E19" s="369">
        <v>100000</v>
      </c>
      <c r="F19" s="370">
        <v>100915</v>
      </c>
    </row>
    <row r="20" spans="1:6">
      <c r="A20" s="371" t="s">
        <v>975</v>
      </c>
      <c r="B20" s="366" t="s">
        <v>7692</v>
      </c>
      <c r="C20" s="367" t="s">
        <v>219</v>
      </c>
      <c r="D20" s="368" t="s">
        <v>4940</v>
      </c>
      <c r="E20" s="369">
        <v>81926</v>
      </c>
      <c r="F20" s="370">
        <v>87008</v>
      </c>
    </row>
    <row r="21" spans="1:6">
      <c r="A21" s="371" t="s">
        <v>946</v>
      </c>
      <c r="B21" s="366" t="s">
        <v>7693</v>
      </c>
      <c r="C21" s="367" t="s">
        <v>1980</v>
      </c>
      <c r="D21" s="368" t="s">
        <v>3902</v>
      </c>
      <c r="E21" s="369">
        <v>1336338</v>
      </c>
      <c r="F21" s="370">
        <v>2130245</v>
      </c>
    </row>
    <row r="22" spans="1:6">
      <c r="A22" s="371" t="s">
        <v>1507</v>
      </c>
      <c r="B22" s="366" t="s">
        <v>7694</v>
      </c>
      <c r="C22" s="367" t="s">
        <v>1980</v>
      </c>
      <c r="D22" s="368" t="s">
        <v>3902</v>
      </c>
      <c r="E22" s="369">
        <v>100000</v>
      </c>
      <c r="F22" s="370">
        <v>102205</v>
      </c>
    </row>
    <row r="23" spans="1:6">
      <c r="A23" s="371" t="s">
        <v>2361</v>
      </c>
      <c r="B23" s="366" t="s">
        <v>7695</v>
      </c>
      <c r="C23" s="367" t="s">
        <v>1980</v>
      </c>
      <c r="D23" s="368" t="s">
        <v>3902</v>
      </c>
      <c r="E23" s="369">
        <v>691574</v>
      </c>
      <c r="F23" s="370">
        <v>1197941</v>
      </c>
    </row>
    <row r="24" spans="1:6">
      <c r="A24" s="371" t="s">
        <v>947</v>
      </c>
      <c r="B24" s="366" t="s">
        <v>7696</v>
      </c>
      <c r="C24" s="367" t="s">
        <v>1980</v>
      </c>
      <c r="D24" s="368" t="s">
        <v>3902</v>
      </c>
      <c r="E24" s="369">
        <v>134523</v>
      </c>
      <c r="F24" s="370">
        <v>132921</v>
      </c>
    </row>
    <row r="25" spans="1:6">
      <c r="A25" s="371" t="s">
        <v>948</v>
      </c>
      <c r="B25" s="366" t="s">
        <v>7697</v>
      </c>
      <c r="C25" s="367" t="s">
        <v>1980</v>
      </c>
      <c r="D25" s="368" t="s">
        <v>3902</v>
      </c>
      <c r="E25" s="369">
        <v>1282844</v>
      </c>
      <c r="F25" s="370">
        <v>1936025</v>
      </c>
    </row>
    <row r="26" spans="1:6">
      <c r="A26" s="371" t="s">
        <v>439</v>
      </c>
      <c r="B26" s="366" t="s">
        <v>7698</v>
      </c>
      <c r="C26" s="367" t="s">
        <v>1980</v>
      </c>
      <c r="D26" s="368" t="s">
        <v>3902</v>
      </c>
      <c r="E26" s="369">
        <v>855519</v>
      </c>
      <c r="F26" s="370">
        <v>861590</v>
      </c>
    </row>
    <row r="27" spans="1:6">
      <c r="A27" s="371" t="s">
        <v>949</v>
      </c>
      <c r="B27" s="366" t="s">
        <v>7653</v>
      </c>
      <c r="C27" s="367" t="s">
        <v>1980</v>
      </c>
      <c r="D27" s="368" t="s">
        <v>3902</v>
      </c>
      <c r="E27" s="369">
        <v>85000</v>
      </c>
      <c r="F27" s="370">
        <v>85000</v>
      </c>
    </row>
    <row r="28" spans="1:6">
      <c r="A28" s="371" t="s">
        <v>950</v>
      </c>
      <c r="B28" s="366" t="s">
        <v>7654</v>
      </c>
      <c r="C28" s="367" t="s">
        <v>1980</v>
      </c>
      <c r="D28" s="368" t="s">
        <v>3902</v>
      </c>
      <c r="E28" s="369">
        <v>428025</v>
      </c>
      <c r="F28" s="370">
        <v>455185</v>
      </c>
    </row>
    <row r="29" spans="1:6">
      <c r="A29" s="371" t="s">
        <v>127</v>
      </c>
      <c r="B29" s="366" t="s">
        <v>7655</v>
      </c>
      <c r="C29" s="367" t="s">
        <v>1980</v>
      </c>
      <c r="D29" s="368" t="s">
        <v>3902</v>
      </c>
      <c r="E29" s="369">
        <v>148749</v>
      </c>
      <c r="F29" s="370">
        <v>148058</v>
      </c>
    </row>
    <row r="30" spans="1:6">
      <c r="A30" s="371" t="s">
        <v>951</v>
      </c>
      <c r="B30" s="366" t="s">
        <v>7656</v>
      </c>
      <c r="C30" s="367" t="s">
        <v>1980</v>
      </c>
      <c r="D30" s="368" t="s">
        <v>3902</v>
      </c>
      <c r="E30" s="369">
        <v>1775156</v>
      </c>
      <c r="F30" s="370">
        <v>2051396</v>
      </c>
    </row>
    <row r="31" spans="1:6">
      <c r="A31" s="371" t="s">
        <v>952</v>
      </c>
      <c r="B31" s="366" t="s">
        <v>7657</v>
      </c>
      <c r="C31" s="367" t="s">
        <v>1980</v>
      </c>
      <c r="D31" s="368" t="s">
        <v>3902</v>
      </c>
      <c r="E31" s="369">
        <v>248495</v>
      </c>
      <c r="F31" s="370">
        <v>391035.02</v>
      </c>
    </row>
    <row r="32" spans="1:6">
      <c r="A32" s="371" t="s">
        <v>953</v>
      </c>
      <c r="B32" s="366" t="s">
        <v>7658</v>
      </c>
      <c r="C32" s="367" t="s">
        <v>219</v>
      </c>
      <c r="D32" s="368" t="s">
        <v>4940</v>
      </c>
      <c r="E32" s="369">
        <v>93784</v>
      </c>
      <c r="F32" s="370">
        <v>92753.5</v>
      </c>
    </row>
    <row r="33" spans="1:6">
      <c r="A33" s="371" t="s">
        <v>954</v>
      </c>
      <c r="B33" s="366" t="s">
        <v>7659</v>
      </c>
      <c r="C33" s="367" t="s">
        <v>219</v>
      </c>
      <c r="D33" s="368" t="s">
        <v>4940</v>
      </c>
      <c r="E33" s="369">
        <v>100000</v>
      </c>
      <c r="F33" s="370">
        <v>100158</v>
      </c>
    </row>
    <row r="34" spans="1:6">
      <c r="A34" s="371" t="s">
        <v>955</v>
      </c>
      <c r="B34" s="366" t="s">
        <v>7660</v>
      </c>
      <c r="C34" s="367" t="s">
        <v>1980</v>
      </c>
      <c r="D34" s="368" t="s">
        <v>3902</v>
      </c>
      <c r="E34" s="369">
        <v>239379</v>
      </c>
      <c r="F34" s="370">
        <v>243485</v>
      </c>
    </row>
    <row r="35" spans="1:6">
      <c r="A35" s="371" t="s">
        <v>956</v>
      </c>
      <c r="B35" s="366" t="s">
        <v>7661</v>
      </c>
      <c r="C35" s="367" t="s">
        <v>219</v>
      </c>
      <c r="D35" s="368" t="s">
        <v>4940</v>
      </c>
      <c r="E35" s="369">
        <v>95044</v>
      </c>
      <c r="F35" s="370">
        <v>96680</v>
      </c>
    </row>
    <row r="36" spans="1:6">
      <c r="A36" s="371" t="s">
        <v>2468</v>
      </c>
      <c r="B36" s="366" t="s">
        <v>7662</v>
      </c>
      <c r="C36" s="367" t="s">
        <v>1980</v>
      </c>
      <c r="D36" s="368" t="s">
        <v>3902</v>
      </c>
      <c r="E36" s="369">
        <v>91413</v>
      </c>
      <c r="F36" s="370">
        <v>96200</v>
      </c>
    </row>
    <row r="37" spans="1:6">
      <c r="A37" s="371" t="s">
        <v>971</v>
      </c>
      <c r="B37" s="366" t="s">
        <v>7663</v>
      </c>
      <c r="C37" s="367" t="s">
        <v>1980</v>
      </c>
      <c r="D37" s="368" t="s">
        <v>3902</v>
      </c>
      <c r="E37" s="369">
        <v>139355</v>
      </c>
      <c r="F37" s="370">
        <v>402634.38</v>
      </c>
    </row>
    <row r="38" spans="1:6">
      <c r="A38" s="371" t="s">
        <v>957</v>
      </c>
      <c r="B38" s="366" t="s">
        <v>7664</v>
      </c>
      <c r="C38" s="367" t="s">
        <v>1980</v>
      </c>
      <c r="D38" s="368" t="s">
        <v>3902</v>
      </c>
      <c r="E38" s="369">
        <v>85080</v>
      </c>
      <c r="F38" s="370">
        <v>98930</v>
      </c>
    </row>
    <row r="39" spans="1:6">
      <c r="A39" s="371" t="s">
        <v>958</v>
      </c>
      <c r="B39" s="366" t="s">
        <v>7665</v>
      </c>
      <c r="C39" s="367" t="s">
        <v>1980</v>
      </c>
      <c r="D39" s="368" t="s">
        <v>3902</v>
      </c>
      <c r="E39" s="369">
        <v>348110</v>
      </c>
      <c r="F39" s="370">
        <v>388300</v>
      </c>
    </row>
    <row r="40" spans="1:6">
      <c r="A40" s="371" t="s">
        <v>5032</v>
      </c>
      <c r="B40" s="366" t="s">
        <v>7666</v>
      </c>
      <c r="C40" s="367" t="s">
        <v>1980</v>
      </c>
      <c r="D40" s="368" t="s">
        <v>3902</v>
      </c>
      <c r="E40" s="369">
        <v>649545</v>
      </c>
      <c r="F40" s="370">
        <v>414550</v>
      </c>
    </row>
    <row r="41" spans="1:6">
      <c r="A41" s="371" t="s">
        <v>6131</v>
      </c>
      <c r="B41" s="366" t="s">
        <v>7667</v>
      </c>
      <c r="C41" s="367" t="s">
        <v>1980</v>
      </c>
      <c r="D41" s="368" t="s">
        <v>3902</v>
      </c>
      <c r="E41" s="369">
        <v>167169</v>
      </c>
      <c r="F41" s="370">
        <v>277687.5</v>
      </c>
    </row>
    <row r="42" spans="1:6">
      <c r="A42" s="371" t="s">
        <v>3085</v>
      </c>
      <c r="B42" s="366" t="s">
        <v>2141</v>
      </c>
      <c r="C42" s="367" t="s">
        <v>1980</v>
      </c>
      <c r="D42" s="368" t="s">
        <v>3902</v>
      </c>
      <c r="E42" s="369">
        <v>100000</v>
      </c>
      <c r="F42" s="370">
        <v>101774</v>
      </c>
    </row>
    <row r="43" spans="1:6">
      <c r="A43" s="371" t="s">
        <v>959</v>
      </c>
      <c r="B43" s="366" t="s">
        <v>2142</v>
      </c>
      <c r="C43" s="367" t="s">
        <v>1980</v>
      </c>
      <c r="D43" s="368" t="s">
        <v>3902</v>
      </c>
      <c r="E43" s="369">
        <v>2472263</v>
      </c>
      <c r="F43" s="370">
        <v>2593172.5</v>
      </c>
    </row>
    <row r="44" spans="1:6">
      <c r="A44" s="371" t="s">
        <v>960</v>
      </c>
      <c r="B44" s="366" t="s">
        <v>2143</v>
      </c>
      <c r="C44" s="367" t="s">
        <v>219</v>
      </c>
      <c r="D44" s="368" t="s">
        <v>4940</v>
      </c>
      <c r="E44" s="369">
        <v>894333</v>
      </c>
      <c r="F44" s="370">
        <v>894515</v>
      </c>
    </row>
    <row r="45" spans="1:6">
      <c r="A45" s="371" t="s">
        <v>4587</v>
      </c>
      <c r="B45" s="366" t="s">
        <v>2144</v>
      </c>
      <c r="C45" s="367" t="s">
        <v>1980</v>
      </c>
      <c r="D45" s="368" t="s">
        <v>3902</v>
      </c>
      <c r="E45" s="369">
        <v>100000</v>
      </c>
      <c r="F45" s="370">
        <v>92735</v>
      </c>
    </row>
    <row r="46" spans="1:6">
      <c r="A46" s="371" t="s">
        <v>961</v>
      </c>
      <c r="B46" s="366" t="s">
        <v>2145</v>
      </c>
      <c r="C46" s="367" t="s">
        <v>1980</v>
      </c>
      <c r="D46" s="368" t="s">
        <v>3902</v>
      </c>
      <c r="E46" s="369">
        <v>409486</v>
      </c>
      <c r="F46" s="370">
        <v>617258</v>
      </c>
    </row>
    <row r="47" spans="1:6">
      <c r="A47" s="371" t="s">
        <v>962</v>
      </c>
      <c r="B47" s="366" t="s">
        <v>2146</v>
      </c>
      <c r="C47" s="367" t="s">
        <v>1980</v>
      </c>
      <c r="D47" s="368" t="s">
        <v>3902</v>
      </c>
      <c r="E47" s="369">
        <v>871498</v>
      </c>
      <c r="F47" s="370">
        <v>832757</v>
      </c>
    </row>
    <row r="48" spans="1:6">
      <c r="A48" s="371" t="s">
        <v>977</v>
      </c>
      <c r="B48" s="366" t="s">
        <v>2147</v>
      </c>
      <c r="C48" s="367" t="s">
        <v>1980</v>
      </c>
      <c r="D48" s="368" t="s">
        <v>3902</v>
      </c>
      <c r="E48" s="369">
        <v>584119</v>
      </c>
      <c r="F48" s="370">
        <v>500699</v>
      </c>
    </row>
    <row r="49" spans="1:6">
      <c r="A49" s="371" t="s">
        <v>978</v>
      </c>
      <c r="B49" s="366" t="s">
        <v>2148</v>
      </c>
      <c r="C49" s="367" t="s">
        <v>1980</v>
      </c>
      <c r="D49" s="368" t="s">
        <v>3902</v>
      </c>
      <c r="E49" s="369">
        <v>546449</v>
      </c>
      <c r="F49" s="370">
        <v>586237</v>
      </c>
    </row>
    <row r="50" spans="1:6">
      <c r="A50" s="371" t="s">
        <v>448</v>
      </c>
      <c r="B50" s="366" t="s">
        <v>6096</v>
      </c>
      <c r="C50" s="367" t="s">
        <v>1980</v>
      </c>
      <c r="D50" s="368" t="s">
        <v>3902</v>
      </c>
      <c r="E50" s="369">
        <v>93778</v>
      </c>
      <c r="F50" s="370">
        <v>96925</v>
      </c>
    </row>
    <row r="51" spans="1:6">
      <c r="A51" s="371" t="s">
        <v>979</v>
      </c>
      <c r="B51" s="366" t="s">
        <v>6097</v>
      </c>
      <c r="C51" s="367" t="s">
        <v>1980</v>
      </c>
      <c r="D51" s="368" t="s">
        <v>3902</v>
      </c>
      <c r="E51" s="369">
        <v>236700</v>
      </c>
      <c r="F51" s="370">
        <v>561228.27</v>
      </c>
    </row>
    <row r="52" spans="1:6">
      <c r="A52" s="371" t="s">
        <v>980</v>
      </c>
      <c r="B52" s="366" t="s">
        <v>6098</v>
      </c>
      <c r="C52" s="367" t="s">
        <v>1980</v>
      </c>
      <c r="D52" s="368" t="s">
        <v>3902</v>
      </c>
      <c r="E52" s="369">
        <v>407753</v>
      </c>
      <c r="F52" s="370">
        <v>420631.26</v>
      </c>
    </row>
    <row r="53" spans="1:6">
      <c r="A53" s="371" t="s">
        <v>981</v>
      </c>
      <c r="B53" s="366" t="s">
        <v>6099</v>
      </c>
      <c r="C53" s="367" t="s">
        <v>219</v>
      </c>
      <c r="D53" s="368" t="s">
        <v>4940</v>
      </c>
      <c r="E53" s="369">
        <v>582768</v>
      </c>
      <c r="F53" s="370">
        <v>582357.5</v>
      </c>
    </row>
    <row r="54" spans="1:6">
      <c r="A54" s="371" t="s">
        <v>3883</v>
      </c>
      <c r="B54" s="366" t="s">
        <v>6100</v>
      </c>
      <c r="C54" s="367" t="s">
        <v>1980</v>
      </c>
      <c r="D54" s="368" t="s">
        <v>3902</v>
      </c>
      <c r="E54" s="369">
        <v>113895</v>
      </c>
      <c r="F54" s="370">
        <v>106195</v>
      </c>
    </row>
    <row r="55" spans="1:6">
      <c r="A55" s="371" t="s">
        <v>3091</v>
      </c>
      <c r="B55" s="366" t="s">
        <v>6101</v>
      </c>
      <c r="C55" s="367" t="s">
        <v>1980</v>
      </c>
      <c r="D55" s="368" t="s">
        <v>3902</v>
      </c>
      <c r="E55" s="369">
        <v>551763</v>
      </c>
      <c r="F55" s="370">
        <v>559762.5</v>
      </c>
    </row>
    <row r="56" spans="1:6">
      <c r="A56" s="371" t="s">
        <v>6681</v>
      </c>
      <c r="B56" s="366" t="s">
        <v>6102</v>
      </c>
      <c r="C56" s="367" t="s">
        <v>1980</v>
      </c>
      <c r="D56" s="368" t="s">
        <v>3902</v>
      </c>
      <c r="E56" s="369">
        <v>1295750</v>
      </c>
      <c r="F56" s="370">
        <v>1104000</v>
      </c>
    </row>
    <row r="57" spans="1:6">
      <c r="A57" s="371" t="s">
        <v>6682</v>
      </c>
      <c r="B57" s="366" t="s">
        <v>6103</v>
      </c>
      <c r="C57" s="367" t="s">
        <v>1980</v>
      </c>
      <c r="D57" s="368" t="s">
        <v>3902</v>
      </c>
      <c r="E57" s="369">
        <v>615109</v>
      </c>
      <c r="F57" s="370">
        <v>621500</v>
      </c>
    </row>
    <row r="58" spans="1:6">
      <c r="A58" s="371" t="s">
        <v>441</v>
      </c>
      <c r="B58" s="366" t="s">
        <v>6104</v>
      </c>
      <c r="C58" s="367" t="s">
        <v>1980</v>
      </c>
      <c r="D58" s="368" t="s">
        <v>3902</v>
      </c>
      <c r="E58" s="369">
        <v>143455</v>
      </c>
      <c r="F58" s="370">
        <v>587691</v>
      </c>
    </row>
    <row r="59" spans="1:6">
      <c r="A59" s="371" t="s">
        <v>2469</v>
      </c>
      <c r="B59" s="366" t="s">
        <v>6105</v>
      </c>
      <c r="C59" s="367" t="s">
        <v>1980</v>
      </c>
      <c r="D59" s="368" t="s">
        <v>3902</v>
      </c>
      <c r="E59" s="369">
        <v>140055</v>
      </c>
      <c r="F59" s="370">
        <v>138180</v>
      </c>
    </row>
    <row r="60" spans="1:6">
      <c r="A60" s="371" t="s">
        <v>5037</v>
      </c>
      <c r="B60" s="366" t="s">
        <v>6106</v>
      </c>
      <c r="C60" s="367" t="s">
        <v>1980</v>
      </c>
      <c r="D60" s="368" t="s">
        <v>3902</v>
      </c>
      <c r="E60" s="369">
        <v>178703</v>
      </c>
      <c r="F60" s="370">
        <v>180452.5</v>
      </c>
    </row>
    <row r="61" spans="1:6">
      <c r="A61" s="371" t="s">
        <v>3081</v>
      </c>
      <c r="B61" s="366" t="s">
        <v>6107</v>
      </c>
      <c r="C61" s="367" t="s">
        <v>1980</v>
      </c>
      <c r="D61" s="368" t="s">
        <v>3902</v>
      </c>
      <c r="E61" s="369">
        <v>121726</v>
      </c>
      <c r="F61" s="370">
        <v>119930</v>
      </c>
    </row>
    <row r="62" spans="1:6">
      <c r="A62" s="371" t="s">
        <v>735</v>
      </c>
      <c r="B62" s="366" t="s">
        <v>6108</v>
      </c>
      <c r="C62" s="367" t="s">
        <v>1980</v>
      </c>
      <c r="D62" s="368" t="s">
        <v>3902</v>
      </c>
      <c r="E62" s="369">
        <v>71236</v>
      </c>
      <c r="F62" s="370">
        <v>65304</v>
      </c>
    </row>
    <row r="63" spans="1:6">
      <c r="A63" s="371" t="s">
        <v>736</v>
      </c>
      <c r="B63" s="366" t="s">
        <v>6109</v>
      </c>
      <c r="C63" s="367" t="s">
        <v>1980</v>
      </c>
      <c r="D63" s="368" t="s">
        <v>3902</v>
      </c>
      <c r="E63" s="369">
        <v>143416</v>
      </c>
      <c r="F63" s="370">
        <v>144970</v>
      </c>
    </row>
    <row r="64" spans="1:6">
      <c r="A64" s="371" t="s">
        <v>737</v>
      </c>
      <c r="B64" s="366" t="s">
        <v>6110</v>
      </c>
      <c r="C64" s="367" t="s">
        <v>1980</v>
      </c>
      <c r="D64" s="368" t="s">
        <v>3902</v>
      </c>
      <c r="E64" s="369">
        <v>361316</v>
      </c>
      <c r="F64" s="370">
        <v>341034</v>
      </c>
    </row>
    <row r="65" spans="1:6">
      <c r="A65" s="371" t="s">
        <v>642</v>
      </c>
      <c r="B65" s="366" t="s">
        <v>6111</v>
      </c>
      <c r="C65" s="367" t="s">
        <v>1980</v>
      </c>
      <c r="D65" s="368" t="s">
        <v>3902</v>
      </c>
      <c r="E65" s="369">
        <v>91693</v>
      </c>
      <c r="F65" s="370">
        <v>91742.5</v>
      </c>
    </row>
    <row r="66" spans="1:6">
      <c r="A66" s="371" t="s">
        <v>322</v>
      </c>
      <c r="B66" s="366" t="s">
        <v>325</v>
      </c>
      <c r="C66" s="367" t="s">
        <v>219</v>
      </c>
      <c r="D66" s="368" t="s">
        <v>4940</v>
      </c>
      <c r="E66" s="369">
        <v>108854</v>
      </c>
      <c r="F66" s="370">
        <v>107973</v>
      </c>
    </row>
    <row r="67" spans="1:6">
      <c r="A67" s="371" t="s">
        <v>738</v>
      </c>
      <c r="B67" s="366" t="s">
        <v>6112</v>
      </c>
      <c r="C67" s="367" t="s">
        <v>1980</v>
      </c>
      <c r="D67" s="368" t="s">
        <v>3902</v>
      </c>
      <c r="E67" s="369">
        <v>239988</v>
      </c>
      <c r="F67" s="370">
        <v>646696.81000000006</v>
      </c>
    </row>
    <row r="68" spans="1:6">
      <c r="A68" s="371" t="s">
        <v>739</v>
      </c>
      <c r="B68" s="366" t="s">
        <v>6113</v>
      </c>
      <c r="C68" s="367" t="s">
        <v>219</v>
      </c>
      <c r="D68" s="368" t="s">
        <v>4940</v>
      </c>
      <c r="E68" s="369">
        <v>438633</v>
      </c>
      <c r="F68" s="370">
        <v>218509.33</v>
      </c>
    </row>
    <row r="69" spans="1:6">
      <c r="A69" s="371" t="s">
        <v>3178</v>
      </c>
      <c r="B69" s="366" t="s">
        <v>6114</v>
      </c>
      <c r="C69" s="367" t="s">
        <v>1980</v>
      </c>
      <c r="D69" s="368" t="s">
        <v>3902</v>
      </c>
      <c r="E69" s="369">
        <v>754473</v>
      </c>
      <c r="F69" s="370">
        <v>1119339</v>
      </c>
    </row>
    <row r="70" spans="1:6">
      <c r="A70" s="371" t="s">
        <v>740</v>
      </c>
      <c r="B70" s="366" t="s">
        <v>6115</v>
      </c>
      <c r="C70" s="367" t="s">
        <v>1980</v>
      </c>
      <c r="D70" s="368" t="s">
        <v>3902</v>
      </c>
      <c r="E70" s="369">
        <v>314735</v>
      </c>
      <c r="F70" s="370">
        <v>578250</v>
      </c>
    </row>
    <row r="71" spans="1:6">
      <c r="A71" s="371" t="s">
        <v>741</v>
      </c>
      <c r="B71" s="366" t="s">
        <v>6116</v>
      </c>
      <c r="C71" s="367" t="s">
        <v>1980</v>
      </c>
      <c r="D71" s="368" t="s">
        <v>3902</v>
      </c>
      <c r="E71" s="369">
        <v>530747</v>
      </c>
      <c r="F71" s="370">
        <v>521020</v>
      </c>
    </row>
    <row r="72" spans="1:6">
      <c r="A72" s="371" t="s">
        <v>3086</v>
      </c>
      <c r="B72" s="366" t="s">
        <v>6117</v>
      </c>
      <c r="C72" s="367" t="s">
        <v>1980</v>
      </c>
      <c r="D72" s="368" t="s">
        <v>3902</v>
      </c>
      <c r="E72" s="369">
        <v>375000</v>
      </c>
      <c r="F72" s="370">
        <v>529558</v>
      </c>
    </row>
    <row r="73" spans="1:6">
      <c r="A73" s="371" t="s">
        <v>742</v>
      </c>
      <c r="B73" s="366" t="s">
        <v>6118</v>
      </c>
      <c r="C73" s="367" t="s">
        <v>1980</v>
      </c>
      <c r="D73" s="368" t="s">
        <v>3902</v>
      </c>
      <c r="E73" s="369">
        <v>71550</v>
      </c>
      <c r="F73" s="370">
        <v>70975</v>
      </c>
    </row>
    <row r="74" spans="1:6">
      <c r="A74" s="371" t="s">
        <v>743</v>
      </c>
      <c r="B74" s="366" t="s">
        <v>6119</v>
      </c>
      <c r="C74" s="367" t="s">
        <v>1980</v>
      </c>
      <c r="D74" s="368" t="s">
        <v>3902</v>
      </c>
      <c r="E74" s="369">
        <v>1632000</v>
      </c>
      <c r="F74" s="370">
        <v>1326850</v>
      </c>
    </row>
    <row r="75" spans="1:6">
      <c r="A75" s="371" t="s">
        <v>232</v>
      </c>
      <c r="B75" s="366" t="s">
        <v>2639</v>
      </c>
      <c r="C75" s="367" t="s">
        <v>219</v>
      </c>
      <c r="D75" s="368" t="s">
        <v>4940</v>
      </c>
      <c r="E75" s="369">
        <v>158074</v>
      </c>
      <c r="F75" s="370">
        <v>157558</v>
      </c>
    </row>
    <row r="76" spans="1:6">
      <c r="A76" s="371" t="s">
        <v>233</v>
      </c>
      <c r="B76" s="366" t="s">
        <v>2640</v>
      </c>
      <c r="C76" s="367" t="s">
        <v>1980</v>
      </c>
      <c r="D76" s="368" t="s">
        <v>3902</v>
      </c>
      <c r="E76" s="369">
        <v>361373</v>
      </c>
      <c r="F76" s="370">
        <v>415631.4</v>
      </c>
    </row>
    <row r="77" spans="1:6">
      <c r="A77" s="371" t="s">
        <v>234</v>
      </c>
      <c r="B77" s="366" t="s">
        <v>2641</v>
      </c>
      <c r="C77" s="367" t="s">
        <v>1980</v>
      </c>
      <c r="D77" s="368" t="s">
        <v>3902</v>
      </c>
      <c r="E77" s="369">
        <v>289660</v>
      </c>
      <c r="F77" s="370">
        <v>305410</v>
      </c>
    </row>
    <row r="78" spans="1:6">
      <c r="A78" s="371" t="s">
        <v>235</v>
      </c>
      <c r="B78" s="366" t="s">
        <v>2642</v>
      </c>
      <c r="C78" s="367" t="s">
        <v>1980</v>
      </c>
      <c r="D78" s="368" t="s">
        <v>3902</v>
      </c>
      <c r="E78" s="369">
        <v>196800</v>
      </c>
      <c r="F78" s="370">
        <v>196800</v>
      </c>
    </row>
    <row r="79" spans="1:6">
      <c r="A79" s="371" t="s">
        <v>236</v>
      </c>
      <c r="B79" s="366" t="s">
        <v>2643</v>
      </c>
      <c r="C79" s="367" t="s">
        <v>1980</v>
      </c>
      <c r="D79" s="368" t="s">
        <v>3902</v>
      </c>
      <c r="E79" s="369">
        <v>245000</v>
      </c>
      <c r="F79" s="370">
        <v>287374.51</v>
      </c>
    </row>
    <row r="80" spans="1:6">
      <c r="A80" s="372" t="s">
        <v>237</v>
      </c>
      <c r="B80" s="366" t="s">
        <v>2644</v>
      </c>
      <c r="C80" s="367" t="s">
        <v>1980</v>
      </c>
      <c r="D80" s="368" t="s">
        <v>3902</v>
      </c>
      <c r="E80" s="369">
        <v>141220</v>
      </c>
      <c r="F80" s="370">
        <v>119965</v>
      </c>
    </row>
    <row r="81" spans="1:6">
      <c r="A81" s="371" t="s">
        <v>238</v>
      </c>
      <c r="B81" s="366" t="s">
        <v>2645</v>
      </c>
      <c r="C81" s="367" t="s">
        <v>1980</v>
      </c>
      <c r="D81" s="368" t="s">
        <v>3902</v>
      </c>
      <c r="E81" s="369">
        <v>398132</v>
      </c>
      <c r="F81" s="370">
        <v>573253</v>
      </c>
    </row>
    <row r="82" spans="1:6">
      <c r="A82" s="371" t="s">
        <v>5236</v>
      </c>
      <c r="B82" s="366" t="s">
        <v>2646</v>
      </c>
      <c r="C82" s="367" t="s">
        <v>1980</v>
      </c>
      <c r="D82" s="368" t="s">
        <v>3902</v>
      </c>
      <c r="E82" s="369">
        <v>100000</v>
      </c>
      <c r="F82" s="370">
        <v>93801</v>
      </c>
    </row>
    <row r="83" spans="1:6">
      <c r="A83" s="371" t="s">
        <v>239</v>
      </c>
      <c r="B83" s="366" t="s">
        <v>2647</v>
      </c>
      <c r="C83" s="367" t="s">
        <v>1980</v>
      </c>
      <c r="D83" s="368" t="s">
        <v>3902</v>
      </c>
      <c r="E83" s="369">
        <v>767600</v>
      </c>
      <c r="F83" s="370">
        <v>796598</v>
      </c>
    </row>
    <row r="84" spans="1:6">
      <c r="A84" s="371" t="s">
        <v>240</v>
      </c>
      <c r="B84" s="366" t="s">
        <v>2648</v>
      </c>
      <c r="C84" s="367" t="s">
        <v>1980</v>
      </c>
      <c r="D84" s="368" t="s">
        <v>3902</v>
      </c>
      <c r="E84" s="369">
        <v>3668595</v>
      </c>
      <c r="F84" s="370">
        <v>3677345</v>
      </c>
    </row>
    <row r="85" spans="1:6">
      <c r="A85" s="371" t="s">
        <v>241</v>
      </c>
      <c r="B85" s="366" t="s">
        <v>2649</v>
      </c>
      <c r="C85" s="367" t="s">
        <v>1980</v>
      </c>
      <c r="D85" s="368" t="s">
        <v>3902</v>
      </c>
      <c r="E85" s="369">
        <v>1169000</v>
      </c>
      <c r="F85" s="370">
        <v>1535690</v>
      </c>
    </row>
    <row r="86" spans="1:6">
      <c r="A86" s="371" t="s">
        <v>242</v>
      </c>
      <c r="B86" s="366" t="s">
        <v>2650</v>
      </c>
      <c r="C86" s="367" t="s">
        <v>1980</v>
      </c>
      <c r="D86" s="368" t="s">
        <v>3902</v>
      </c>
      <c r="E86" s="369">
        <v>282771</v>
      </c>
      <c r="F86" s="370">
        <v>272787.5</v>
      </c>
    </row>
    <row r="87" spans="1:6">
      <c r="A87" s="371" t="s">
        <v>243</v>
      </c>
      <c r="B87" s="366" t="s">
        <v>5246</v>
      </c>
      <c r="C87" s="367" t="s">
        <v>1980</v>
      </c>
      <c r="D87" s="368" t="s">
        <v>3902</v>
      </c>
      <c r="E87" s="369">
        <v>89869</v>
      </c>
      <c r="F87" s="370">
        <v>106853</v>
      </c>
    </row>
    <row r="88" spans="1:6">
      <c r="A88" s="371" t="s">
        <v>244</v>
      </c>
      <c r="B88" s="366" t="s">
        <v>1665</v>
      </c>
      <c r="C88" s="367" t="s">
        <v>1980</v>
      </c>
      <c r="D88" s="368" t="s">
        <v>3902</v>
      </c>
      <c r="E88" s="369">
        <v>347484</v>
      </c>
      <c r="F88" s="370">
        <v>311220</v>
      </c>
    </row>
    <row r="89" spans="1:6">
      <c r="A89" s="371" t="s">
        <v>5237</v>
      </c>
      <c r="B89" s="366" t="s">
        <v>1666</v>
      </c>
      <c r="C89" s="367" t="s">
        <v>1980</v>
      </c>
      <c r="D89" s="368" t="s">
        <v>3902</v>
      </c>
      <c r="E89" s="369">
        <v>142500</v>
      </c>
      <c r="F89" s="370">
        <v>255493</v>
      </c>
    </row>
    <row r="90" spans="1:6">
      <c r="A90" s="371" t="s">
        <v>245</v>
      </c>
      <c r="B90" s="366" t="s">
        <v>1667</v>
      </c>
      <c r="C90" s="367" t="s">
        <v>1980</v>
      </c>
      <c r="D90" s="368" t="s">
        <v>3902</v>
      </c>
      <c r="E90" s="369">
        <v>926340</v>
      </c>
      <c r="F90" s="370">
        <v>1837598.7</v>
      </c>
    </row>
    <row r="91" spans="1:6">
      <c r="A91" s="371" t="s">
        <v>246</v>
      </c>
      <c r="B91" s="366" t="s">
        <v>1668</v>
      </c>
      <c r="C91" s="367" t="s">
        <v>1980</v>
      </c>
      <c r="D91" s="368" t="s">
        <v>3902</v>
      </c>
      <c r="E91" s="369">
        <v>1863688</v>
      </c>
      <c r="F91" s="370">
        <v>2000144.34</v>
      </c>
    </row>
    <row r="92" spans="1:6">
      <c r="A92" s="371" t="s">
        <v>247</v>
      </c>
      <c r="B92" s="366" t="s">
        <v>989</v>
      </c>
      <c r="C92" s="367" t="s">
        <v>1980</v>
      </c>
      <c r="D92" s="368" t="s">
        <v>3902</v>
      </c>
      <c r="E92" s="369">
        <v>396447</v>
      </c>
      <c r="F92" s="370">
        <v>386401</v>
      </c>
    </row>
    <row r="93" spans="1:6">
      <c r="A93" s="371" t="s">
        <v>443</v>
      </c>
      <c r="B93" s="366" t="s">
        <v>990</v>
      </c>
      <c r="C93" s="367" t="s">
        <v>1980</v>
      </c>
      <c r="D93" s="368" t="s">
        <v>3902</v>
      </c>
      <c r="E93" s="369">
        <v>487605</v>
      </c>
      <c r="F93" s="370">
        <v>502083.96</v>
      </c>
    </row>
    <row r="94" spans="1:6">
      <c r="A94" s="371" t="s">
        <v>2044</v>
      </c>
      <c r="B94" s="366" t="s">
        <v>991</v>
      </c>
      <c r="C94" s="367" t="s">
        <v>1980</v>
      </c>
      <c r="D94" s="368" t="s">
        <v>3902</v>
      </c>
      <c r="E94" s="369">
        <v>100000</v>
      </c>
      <c r="F94" s="370">
        <v>96466</v>
      </c>
    </row>
    <row r="95" spans="1:6">
      <c r="A95" s="371" t="s">
        <v>3084</v>
      </c>
      <c r="B95" s="366" t="s">
        <v>992</v>
      </c>
      <c r="C95" s="367" t="s">
        <v>1980</v>
      </c>
      <c r="D95" s="368" t="s">
        <v>3902</v>
      </c>
      <c r="E95" s="369">
        <v>187870</v>
      </c>
      <c r="F95" s="370">
        <v>235649.23</v>
      </c>
    </row>
    <row r="96" spans="1:6">
      <c r="A96" s="371" t="s">
        <v>248</v>
      </c>
      <c r="B96" s="366" t="s">
        <v>993</v>
      </c>
      <c r="C96" s="367" t="s">
        <v>219</v>
      </c>
      <c r="D96" s="368" t="s">
        <v>4940</v>
      </c>
      <c r="E96" s="369">
        <v>123498</v>
      </c>
      <c r="F96" s="370">
        <v>168020.95</v>
      </c>
    </row>
    <row r="97" spans="1:6">
      <c r="A97" s="371" t="s">
        <v>249</v>
      </c>
      <c r="B97" s="366" t="s">
        <v>994</v>
      </c>
      <c r="C97" s="367" t="s">
        <v>1980</v>
      </c>
      <c r="D97" s="368" t="s">
        <v>3902</v>
      </c>
      <c r="E97" s="369">
        <v>967500</v>
      </c>
      <c r="F97" s="370">
        <v>1512583</v>
      </c>
    </row>
    <row r="98" spans="1:6">
      <c r="A98" s="371" t="s">
        <v>250</v>
      </c>
      <c r="B98" s="366" t="s">
        <v>995</v>
      </c>
      <c r="C98" s="367" t="s">
        <v>219</v>
      </c>
      <c r="D98" s="368" t="s">
        <v>4940</v>
      </c>
      <c r="E98" s="369">
        <v>129726</v>
      </c>
      <c r="F98" s="370">
        <v>128879</v>
      </c>
    </row>
    <row r="99" spans="1:6">
      <c r="A99" s="371" t="s">
        <v>963</v>
      </c>
      <c r="B99" s="366" t="s">
        <v>996</v>
      </c>
      <c r="C99" s="367" t="s">
        <v>219</v>
      </c>
      <c r="D99" s="368" t="s">
        <v>4940</v>
      </c>
      <c r="E99" s="369">
        <v>243750</v>
      </c>
      <c r="F99" s="370">
        <v>414703</v>
      </c>
    </row>
    <row r="100" spans="1:6">
      <c r="A100" s="371" t="s">
        <v>2052</v>
      </c>
      <c r="B100" s="366" t="s">
        <v>997</v>
      </c>
      <c r="C100" s="367" t="s">
        <v>1980</v>
      </c>
      <c r="D100" s="368" t="s">
        <v>3902</v>
      </c>
      <c r="E100" s="369">
        <v>1138000</v>
      </c>
      <c r="F100" s="370">
        <v>3033528.93</v>
      </c>
    </row>
    <row r="101" spans="1:6">
      <c r="A101" s="371" t="s">
        <v>4589</v>
      </c>
      <c r="B101" s="366" t="s">
        <v>998</v>
      </c>
      <c r="C101" s="367" t="s">
        <v>1980</v>
      </c>
      <c r="D101" s="368" t="s">
        <v>3902</v>
      </c>
      <c r="E101" s="369">
        <v>109658</v>
      </c>
      <c r="F101" s="370">
        <v>102158</v>
      </c>
    </row>
    <row r="102" spans="1:6">
      <c r="A102" s="371" t="s">
        <v>2053</v>
      </c>
      <c r="B102" s="366" t="s">
        <v>999</v>
      </c>
      <c r="C102" s="367" t="s">
        <v>1980</v>
      </c>
      <c r="D102" s="368" t="s">
        <v>3902</v>
      </c>
      <c r="E102" s="369">
        <v>429904</v>
      </c>
      <c r="F102" s="370">
        <v>404650</v>
      </c>
    </row>
    <row r="103" spans="1:6">
      <c r="A103" s="371" t="s">
        <v>1848</v>
      </c>
      <c r="B103" s="366" t="s">
        <v>1000</v>
      </c>
      <c r="C103" s="367" t="s">
        <v>1980</v>
      </c>
      <c r="D103" s="368" t="s">
        <v>3902</v>
      </c>
      <c r="E103" s="369">
        <v>173765</v>
      </c>
      <c r="F103" s="370">
        <v>572235</v>
      </c>
    </row>
    <row r="104" spans="1:6">
      <c r="A104" s="371" t="s">
        <v>1846</v>
      </c>
      <c r="B104" s="366" t="s">
        <v>1001</v>
      </c>
      <c r="C104" s="367" t="s">
        <v>1980</v>
      </c>
      <c r="D104" s="368" t="s">
        <v>3902</v>
      </c>
      <c r="E104" s="369">
        <v>100000</v>
      </c>
      <c r="F104" s="370">
        <v>98433.75</v>
      </c>
    </row>
    <row r="105" spans="1:6">
      <c r="A105" s="371" t="s">
        <v>2834</v>
      </c>
      <c r="B105" s="366" t="s">
        <v>1002</v>
      </c>
      <c r="C105" s="367" t="s">
        <v>1980</v>
      </c>
      <c r="D105" s="368" t="s">
        <v>3902</v>
      </c>
      <c r="E105" s="369">
        <v>192327</v>
      </c>
      <c r="F105" s="370">
        <v>191137</v>
      </c>
    </row>
    <row r="106" spans="1:6">
      <c r="A106" s="371" t="s">
        <v>2830</v>
      </c>
      <c r="B106" s="366" t="s">
        <v>2282</v>
      </c>
      <c r="C106" s="367" t="s">
        <v>1980</v>
      </c>
      <c r="D106" s="368" t="s">
        <v>3902</v>
      </c>
      <c r="E106" s="369">
        <v>100000</v>
      </c>
      <c r="F106" s="370">
        <v>101388</v>
      </c>
    </row>
    <row r="107" spans="1:6">
      <c r="A107" s="371" t="s">
        <v>2054</v>
      </c>
      <c r="B107" s="366" t="s">
        <v>3009</v>
      </c>
      <c r="C107" s="367" t="s">
        <v>1980</v>
      </c>
      <c r="D107" s="368" t="s">
        <v>3902</v>
      </c>
      <c r="E107" s="369">
        <v>2278200</v>
      </c>
      <c r="F107" s="370">
        <v>2201594</v>
      </c>
    </row>
    <row r="108" spans="1:6">
      <c r="A108" s="371" t="s">
        <v>1292</v>
      </c>
      <c r="B108" s="366" t="s">
        <v>3010</v>
      </c>
      <c r="C108" s="367" t="s">
        <v>1980</v>
      </c>
      <c r="D108" s="368" t="s">
        <v>3902</v>
      </c>
      <c r="E108" s="369">
        <v>687500</v>
      </c>
      <c r="F108" s="370">
        <v>522948.76</v>
      </c>
    </row>
    <row r="109" spans="1:6">
      <c r="A109" s="371" t="s">
        <v>1814</v>
      </c>
      <c r="B109" s="366" t="s">
        <v>3011</v>
      </c>
      <c r="C109" s="367" t="s">
        <v>1980</v>
      </c>
      <c r="D109" s="368" t="s">
        <v>3902</v>
      </c>
      <c r="E109" s="369">
        <v>1514140</v>
      </c>
      <c r="F109" s="370">
        <v>1430193</v>
      </c>
    </row>
    <row r="110" spans="1:6">
      <c r="A110" s="371" t="s">
        <v>1518</v>
      </c>
      <c r="B110" s="366" t="s">
        <v>3012</v>
      </c>
      <c r="C110" s="367" t="s">
        <v>1980</v>
      </c>
      <c r="D110" s="368" t="s">
        <v>3902</v>
      </c>
      <c r="E110" s="369">
        <v>209945</v>
      </c>
      <c r="F110" s="370">
        <v>209945</v>
      </c>
    </row>
    <row r="111" spans="1:6">
      <c r="A111" s="371" t="s">
        <v>1517</v>
      </c>
      <c r="B111" s="366" t="s">
        <v>3013</v>
      </c>
      <c r="C111" s="367" t="s">
        <v>1980</v>
      </c>
      <c r="D111" s="368" t="s">
        <v>3902</v>
      </c>
      <c r="E111" s="369">
        <v>1803880</v>
      </c>
      <c r="F111" s="370">
        <v>1923396</v>
      </c>
    </row>
    <row r="112" spans="1:6">
      <c r="A112" s="371" t="s">
        <v>3095</v>
      </c>
      <c r="B112" s="366" t="s">
        <v>3014</v>
      </c>
      <c r="C112" s="367" t="s">
        <v>1980</v>
      </c>
      <c r="D112" s="368" t="s">
        <v>3902</v>
      </c>
      <c r="E112" s="369">
        <v>100000</v>
      </c>
      <c r="F112" s="370">
        <v>109110</v>
      </c>
    </row>
    <row r="113" spans="1:6">
      <c r="A113" s="371" t="s">
        <v>1519</v>
      </c>
      <c r="B113" s="366" t="s">
        <v>3015</v>
      </c>
      <c r="C113" s="367" t="s">
        <v>1980</v>
      </c>
      <c r="D113" s="368" t="s">
        <v>3902</v>
      </c>
      <c r="E113" s="369">
        <v>1057575</v>
      </c>
      <c r="F113" s="370">
        <v>1009077</v>
      </c>
    </row>
    <row r="114" spans="1:6">
      <c r="A114" s="371" t="s">
        <v>1520</v>
      </c>
      <c r="B114" s="366" t="s">
        <v>1926</v>
      </c>
      <c r="C114" s="367" t="s">
        <v>1980</v>
      </c>
      <c r="D114" s="368" t="s">
        <v>3902</v>
      </c>
      <c r="E114" s="369">
        <v>394754</v>
      </c>
      <c r="F114" s="370">
        <v>366075</v>
      </c>
    </row>
    <row r="115" spans="1:6">
      <c r="A115" s="371" t="s">
        <v>1521</v>
      </c>
      <c r="B115" s="366" t="s">
        <v>1927</v>
      </c>
      <c r="C115" s="367" t="s">
        <v>219</v>
      </c>
      <c r="D115" s="368" t="s">
        <v>4940</v>
      </c>
      <c r="E115" s="369">
        <v>3145975</v>
      </c>
      <c r="F115" s="370">
        <v>3967014.75</v>
      </c>
    </row>
    <row r="116" spans="1:6">
      <c r="A116" s="371" t="s">
        <v>1522</v>
      </c>
      <c r="B116" s="366" t="s">
        <v>1928</v>
      </c>
      <c r="C116" s="367" t="s">
        <v>1980</v>
      </c>
      <c r="D116" s="368" t="s">
        <v>3902</v>
      </c>
      <c r="E116" s="369">
        <v>597138</v>
      </c>
      <c r="F116" s="370">
        <v>996063.9</v>
      </c>
    </row>
    <row r="117" spans="1:6">
      <c r="A117" s="371" t="s">
        <v>1523</v>
      </c>
      <c r="B117" s="366" t="s">
        <v>1929</v>
      </c>
      <c r="C117" s="367" t="s">
        <v>219</v>
      </c>
      <c r="D117" s="368" t="s">
        <v>4940</v>
      </c>
      <c r="E117" s="369">
        <v>86047</v>
      </c>
      <c r="F117" s="370">
        <v>92733</v>
      </c>
    </row>
    <row r="118" spans="1:6">
      <c r="A118" s="371" t="s">
        <v>1524</v>
      </c>
      <c r="B118" s="366" t="s">
        <v>1930</v>
      </c>
      <c r="C118" s="367" t="s">
        <v>1980</v>
      </c>
      <c r="D118" s="368" t="s">
        <v>3902</v>
      </c>
      <c r="E118" s="369">
        <v>665953</v>
      </c>
      <c r="F118" s="370">
        <v>750000</v>
      </c>
    </row>
    <row r="119" spans="1:6">
      <c r="A119" s="371" t="s">
        <v>1525</v>
      </c>
      <c r="B119" s="366" t="s">
        <v>1931</v>
      </c>
      <c r="C119" s="367" t="s">
        <v>1980</v>
      </c>
      <c r="D119" s="368" t="s">
        <v>3902</v>
      </c>
      <c r="E119" s="369">
        <v>100000</v>
      </c>
      <c r="F119" s="370">
        <v>102195</v>
      </c>
    </row>
    <row r="120" spans="1:6">
      <c r="A120" s="371" t="s">
        <v>589</v>
      </c>
      <c r="B120" s="366" t="s">
        <v>109</v>
      </c>
      <c r="C120" s="367" t="s">
        <v>1980</v>
      </c>
      <c r="D120" s="368" t="s">
        <v>3902</v>
      </c>
      <c r="E120" s="369">
        <v>100000</v>
      </c>
      <c r="F120" s="370">
        <v>98495</v>
      </c>
    </row>
    <row r="121" spans="1:6">
      <c r="A121" s="371" t="s">
        <v>1526</v>
      </c>
      <c r="B121" s="366" t="s">
        <v>110</v>
      </c>
      <c r="C121" s="367" t="s">
        <v>1980</v>
      </c>
      <c r="D121" s="368" t="s">
        <v>3902</v>
      </c>
      <c r="E121" s="369">
        <v>172081</v>
      </c>
      <c r="F121" s="370">
        <v>402958.13</v>
      </c>
    </row>
    <row r="122" spans="1:6">
      <c r="A122" s="371" t="s">
        <v>1307</v>
      </c>
      <c r="B122" s="366" t="s">
        <v>111</v>
      </c>
      <c r="C122" s="367" t="s">
        <v>1980</v>
      </c>
      <c r="D122" s="368" t="s">
        <v>3902</v>
      </c>
      <c r="E122" s="369">
        <v>231000</v>
      </c>
      <c r="F122" s="370">
        <v>490593</v>
      </c>
    </row>
    <row r="123" spans="1:6">
      <c r="A123" s="371" t="s">
        <v>5041</v>
      </c>
      <c r="B123" s="366" t="s">
        <v>112</v>
      </c>
      <c r="C123" s="367" t="s">
        <v>1980</v>
      </c>
      <c r="D123" s="368" t="s">
        <v>3902</v>
      </c>
      <c r="E123" s="369">
        <v>825000</v>
      </c>
      <c r="F123" s="370">
        <v>1215911</v>
      </c>
    </row>
    <row r="124" spans="1:6">
      <c r="A124" s="371" t="s">
        <v>1308</v>
      </c>
      <c r="B124" s="366" t="s">
        <v>113</v>
      </c>
      <c r="C124" s="367" t="s">
        <v>1980</v>
      </c>
      <c r="D124" s="368" t="s">
        <v>3902</v>
      </c>
      <c r="E124" s="369">
        <v>553750</v>
      </c>
      <c r="F124" s="370">
        <v>664770</v>
      </c>
    </row>
    <row r="125" spans="1:6">
      <c r="A125" s="371" t="s">
        <v>1309</v>
      </c>
      <c r="B125" s="366" t="s">
        <v>114</v>
      </c>
      <c r="C125" s="367" t="s">
        <v>1980</v>
      </c>
      <c r="D125" s="368" t="s">
        <v>3902</v>
      </c>
      <c r="E125" s="369">
        <v>4738980</v>
      </c>
      <c r="F125" s="370">
        <v>4516070.0999999996</v>
      </c>
    </row>
    <row r="126" spans="1:6">
      <c r="A126" s="371" t="s">
        <v>1310</v>
      </c>
      <c r="B126" s="366" t="s">
        <v>115</v>
      </c>
      <c r="C126" s="367" t="s">
        <v>1980</v>
      </c>
      <c r="D126" s="368" t="s">
        <v>3902</v>
      </c>
      <c r="E126" s="369">
        <v>125335</v>
      </c>
      <c r="F126" s="370">
        <v>118035</v>
      </c>
    </row>
    <row r="127" spans="1:6">
      <c r="A127" s="371" t="s">
        <v>1311</v>
      </c>
      <c r="B127" s="366" t="s">
        <v>116</v>
      </c>
      <c r="C127" s="367" t="s">
        <v>1980</v>
      </c>
      <c r="D127" s="368" t="s">
        <v>3902</v>
      </c>
      <c r="E127" s="369">
        <v>1100400</v>
      </c>
      <c r="F127" s="370">
        <v>1083843</v>
      </c>
    </row>
    <row r="128" spans="1:6">
      <c r="A128" s="371" t="s">
        <v>1312</v>
      </c>
      <c r="B128" s="366" t="s">
        <v>117</v>
      </c>
      <c r="C128" s="367" t="s">
        <v>1980</v>
      </c>
      <c r="D128" s="368" t="s">
        <v>3902</v>
      </c>
      <c r="E128" s="369">
        <v>569214</v>
      </c>
      <c r="F128" s="370">
        <v>551233.99</v>
      </c>
    </row>
    <row r="129" spans="1:6">
      <c r="A129" s="371" t="s">
        <v>1313</v>
      </c>
      <c r="B129" s="366" t="s">
        <v>118</v>
      </c>
      <c r="C129" s="367" t="s">
        <v>1980</v>
      </c>
      <c r="D129" s="368" t="s">
        <v>3902</v>
      </c>
      <c r="E129" s="369">
        <v>95608</v>
      </c>
      <c r="F129" s="370">
        <v>95983</v>
      </c>
    </row>
    <row r="130" spans="1:6">
      <c r="A130" s="371" t="s">
        <v>1314</v>
      </c>
      <c r="B130" s="366" t="s">
        <v>119</v>
      </c>
      <c r="C130" s="367" t="s">
        <v>1980</v>
      </c>
      <c r="D130" s="368" t="s">
        <v>3902</v>
      </c>
      <c r="E130" s="369">
        <v>301682</v>
      </c>
      <c r="F130" s="370">
        <v>232846.26</v>
      </c>
    </row>
    <row r="131" spans="1:6">
      <c r="A131" s="371" t="s">
        <v>1315</v>
      </c>
      <c r="B131" s="366" t="s">
        <v>120</v>
      </c>
      <c r="C131" s="367" t="s">
        <v>1980</v>
      </c>
      <c r="D131" s="368" t="s">
        <v>3902</v>
      </c>
      <c r="E131" s="369">
        <v>827390</v>
      </c>
      <c r="F131" s="370">
        <v>934790</v>
      </c>
    </row>
    <row r="132" spans="1:6">
      <c r="A132" s="371" t="s">
        <v>1316</v>
      </c>
      <c r="B132" s="366" t="s">
        <v>121</v>
      </c>
      <c r="C132" s="367" t="s">
        <v>1980</v>
      </c>
      <c r="D132" s="368" t="s">
        <v>3902</v>
      </c>
      <c r="E132" s="369">
        <v>137438</v>
      </c>
      <c r="F132" s="370">
        <v>135600</v>
      </c>
    </row>
    <row r="133" spans="1:6">
      <c r="A133" s="371" t="s">
        <v>1317</v>
      </c>
      <c r="B133" s="366" t="s">
        <v>122</v>
      </c>
      <c r="C133" s="367" t="s">
        <v>1980</v>
      </c>
      <c r="D133" s="368" t="s">
        <v>3902</v>
      </c>
      <c r="E133" s="369">
        <v>1619723</v>
      </c>
      <c r="F133" s="370">
        <v>589448</v>
      </c>
    </row>
    <row r="134" spans="1:6">
      <c r="A134" s="371" t="s">
        <v>644</v>
      </c>
      <c r="B134" s="366" t="s">
        <v>123</v>
      </c>
      <c r="C134" s="367" t="s">
        <v>1980</v>
      </c>
      <c r="D134" s="368" t="s">
        <v>3902</v>
      </c>
      <c r="E134" s="369">
        <v>152414</v>
      </c>
      <c r="F134" s="370">
        <v>150157.5</v>
      </c>
    </row>
    <row r="135" spans="1:6">
      <c r="A135" s="371" t="s">
        <v>1318</v>
      </c>
      <c r="B135" s="366" t="s">
        <v>124</v>
      </c>
      <c r="C135" s="367" t="s">
        <v>1980</v>
      </c>
      <c r="D135" s="368" t="s">
        <v>3902</v>
      </c>
      <c r="E135" s="369">
        <v>100000</v>
      </c>
      <c r="F135" s="370">
        <v>145125</v>
      </c>
    </row>
    <row r="136" spans="1:6">
      <c r="A136" s="371" t="s">
        <v>1319</v>
      </c>
      <c r="B136" s="366" t="s">
        <v>125</v>
      </c>
      <c r="C136" s="367" t="s">
        <v>1980</v>
      </c>
      <c r="D136" s="368" t="s">
        <v>3902</v>
      </c>
      <c r="E136" s="369">
        <v>1703750</v>
      </c>
      <c r="F136" s="370">
        <v>1960365.54</v>
      </c>
    </row>
    <row r="137" spans="1:6">
      <c r="A137" s="371" t="s">
        <v>1851</v>
      </c>
      <c r="B137" s="366" t="s">
        <v>126</v>
      </c>
      <c r="C137" s="367" t="s">
        <v>1980</v>
      </c>
      <c r="D137" s="368" t="s">
        <v>3902</v>
      </c>
      <c r="E137" s="369">
        <v>212707</v>
      </c>
      <c r="F137" s="370">
        <v>214135</v>
      </c>
    </row>
    <row r="138" spans="1:6">
      <c r="A138" s="371" t="s">
        <v>1852</v>
      </c>
      <c r="B138" s="366" t="s">
        <v>4963</v>
      </c>
      <c r="C138" s="367" t="s">
        <v>1980</v>
      </c>
      <c r="D138" s="368" t="s">
        <v>3902</v>
      </c>
      <c r="E138" s="369">
        <v>149754</v>
      </c>
      <c r="F138" s="370">
        <v>148672</v>
      </c>
    </row>
    <row r="139" spans="1:6">
      <c r="A139" s="371" t="s">
        <v>1853</v>
      </c>
      <c r="B139" s="366" t="s">
        <v>4964</v>
      </c>
      <c r="C139" s="367" t="s">
        <v>1980</v>
      </c>
      <c r="D139" s="368" t="s">
        <v>3902</v>
      </c>
      <c r="E139" s="369">
        <v>566258</v>
      </c>
      <c r="F139" s="370">
        <v>573188</v>
      </c>
    </row>
    <row r="140" spans="1:6">
      <c r="A140" s="371" t="s">
        <v>1854</v>
      </c>
      <c r="B140" s="366" t="s">
        <v>4965</v>
      </c>
      <c r="C140" s="367" t="s">
        <v>1980</v>
      </c>
      <c r="D140" s="368" t="s">
        <v>3902</v>
      </c>
      <c r="E140" s="369">
        <v>126142</v>
      </c>
      <c r="F140" s="370">
        <v>118470</v>
      </c>
    </row>
    <row r="141" spans="1:6">
      <c r="A141" s="371" t="s">
        <v>587</v>
      </c>
      <c r="B141" s="366" t="s">
        <v>4966</v>
      </c>
      <c r="C141" s="367" t="s">
        <v>1980</v>
      </c>
      <c r="D141" s="368" t="s">
        <v>3902</v>
      </c>
      <c r="E141" s="369">
        <v>1848646</v>
      </c>
      <c r="F141" s="370">
        <v>3062925.25</v>
      </c>
    </row>
    <row r="142" spans="1:6">
      <c r="A142" s="371" t="s">
        <v>1832</v>
      </c>
      <c r="B142" s="366" t="s">
        <v>4967</v>
      </c>
      <c r="C142" s="367" t="s">
        <v>1980</v>
      </c>
      <c r="D142" s="368" t="s">
        <v>3902</v>
      </c>
      <c r="E142" s="369">
        <v>287500</v>
      </c>
      <c r="F142" s="370">
        <v>407491.06</v>
      </c>
    </row>
    <row r="143" spans="1:6">
      <c r="A143" s="371" t="s">
        <v>1855</v>
      </c>
      <c r="B143" s="366" t="s">
        <v>4968</v>
      </c>
      <c r="C143" s="367" t="s">
        <v>219</v>
      </c>
      <c r="D143" s="368" t="s">
        <v>4940</v>
      </c>
      <c r="E143" s="369">
        <v>225000</v>
      </c>
      <c r="F143" s="370">
        <v>246732</v>
      </c>
    </row>
    <row r="144" spans="1:6">
      <c r="A144" s="371" t="s">
        <v>1856</v>
      </c>
      <c r="B144" s="366" t="s">
        <v>3912</v>
      </c>
      <c r="C144" s="367" t="s">
        <v>1980</v>
      </c>
      <c r="D144" s="368" t="s">
        <v>3902</v>
      </c>
      <c r="E144" s="369">
        <v>99992</v>
      </c>
      <c r="F144" s="370">
        <v>52278</v>
      </c>
    </row>
    <row r="145" spans="1:6">
      <c r="A145" s="371" t="s">
        <v>1857</v>
      </c>
      <c r="B145" s="366" t="s">
        <v>3913</v>
      </c>
      <c r="C145" s="367" t="s">
        <v>1980</v>
      </c>
      <c r="D145" s="368" t="s">
        <v>3902</v>
      </c>
      <c r="E145" s="369">
        <v>219600</v>
      </c>
      <c r="F145" s="370">
        <v>719416.25</v>
      </c>
    </row>
    <row r="146" spans="1:6">
      <c r="A146" s="371" t="s">
        <v>1858</v>
      </c>
      <c r="B146" s="366" t="s">
        <v>3914</v>
      </c>
      <c r="C146" s="367" t="s">
        <v>1980</v>
      </c>
      <c r="D146" s="368" t="s">
        <v>3902</v>
      </c>
      <c r="E146" s="369">
        <v>145000</v>
      </c>
      <c r="F146" s="370">
        <v>147725</v>
      </c>
    </row>
    <row r="147" spans="1:6">
      <c r="A147" s="371" t="s">
        <v>2162</v>
      </c>
      <c r="B147" s="366" t="s">
        <v>3915</v>
      </c>
      <c r="C147" s="367" t="s">
        <v>1980</v>
      </c>
      <c r="D147" s="368" t="s">
        <v>3902</v>
      </c>
      <c r="E147" s="369">
        <v>100000</v>
      </c>
      <c r="F147" s="370">
        <v>106775</v>
      </c>
    </row>
    <row r="148" spans="1:6">
      <c r="A148" s="371" t="s">
        <v>1859</v>
      </c>
      <c r="B148" s="366" t="s">
        <v>3916</v>
      </c>
      <c r="C148" s="367" t="s">
        <v>1980</v>
      </c>
      <c r="D148" s="368" t="s">
        <v>3902</v>
      </c>
      <c r="E148" s="369">
        <v>512950</v>
      </c>
      <c r="F148" s="370">
        <v>795442</v>
      </c>
    </row>
    <row r="149" spans="1:6">
      <c r="A149" s="371" t="s">
        <v>513</v>
      </c>
      <c r="B149" s="366" t="s">
        <v>3917</v>
      </c>
      <c r="C149" s="367" t="s">
        <v>219</v>
      </c>
      <c r="D149" s="368" t="s">
        <v>4940</v>
      </c>
      <c r="E149" s="369">
        <v>281630</v>
      </c>
      <c r="F149" s="370">
        <v>319992</v>
      </c>
    </row>
    <row r="150" spans="1:6">
      <c r="A150" s="371" t="s">
        <v>1860</v>
      </c>
      <c r="B150" s="366" t="s">
        <v>3918</v>
      </c>
      <c r="C150" s="367" t="s">
        <v>1980</v>
      </c>
      <c r="D150" s="368" t="s">
        <v>3902</v>
      </c>
      <c r="E150" s="369">
        <v>3489913</v>
      </c>
      <c r="F150" s="370">
        <v>3276973</v>
      </c>
    </row>
    <row r="151" spans="1:6">
      <c r="A151" s="371" t="s">
        <v>1861</v>
      </c>
      <c r="B151" s="366" t="s">
        <v>3919</v>
      </c>
      <c r="C151" s="367" t="s">
        <v>1980</v>
      </c>
      <c r="D151" s="368" t="s">
        <v>3902</v>
      </c>
      <c r="E151" s="369">
        <v>3617370</v>
      </c>
      <c r="F151" s="370">
        <v>4745015</v>
      </c>
    </row>
    <row r="152" spans="1:6">
      <c r="A152" s="371" t="s">
        <v>1862</v>
      </c>
      <c r="B152" s="366" t="s">
        <v>3837</v>
      </c>
      <c r="C152" s="367" t="s">
        <v>1980</v>
      </c>
      <c r="D152" s="368" t="s">
        <v>3902</v>
      </c>
      <c r="E152" s="369">
        <v>223024</v>
      </c>
      <c r="F152" s="370">
        <v>259182.5</v>
      </c>
    </row>
    <row r="153" spans="1:6">
      <c r="A153" s="371" t="s">
        <v>1580</v>
      </c>
      <c r="B153" s="366" t="s">
        <v>3838</v>
      </c>
      <c r="C153" s="367" t="s">
        <v>1980</v>
      </c>
      <c r="D153" s="368" t="s">
        <v>3902</v>
      </c>
      <c r="E153" s="369">
        <v>90011</v>
      </c>
      <c r="F153" s="370">
        <v>89478</v>
      </c>
    </row>
    <row r="154" spans="1:6">
      <c r="A154" s="371" t="s">
        <v>1863</v>
      </c>
      <c r="B154" s="366" t="s">
        <v>3839</v>
      </c>
      <c r="C154" s="367" t="s">
        <v>219</v>
      </c>
      <c r="D154" s="368" t="s">
        <v>4940</v>
      </c>
      <c r="E154" s="369">
        <v>177003</v>
      </c>
      <c r="F154" s="370">
        <v>178863</v>
      </c>
    </row>
    <row r="155" spans="1:6">
      <c r="A155" s="371" t="s">
        <v>1864</v>
      </c>
      <c r="B155" s="366" t="s">
        <v>3840</v>
      </c>
      <c r="C155" s="367" t="s">
        <v>1980</v>
      </c>
      <c r="D155" s="368" t="s">
        <v>3902</v>
      </c>
      <c r="E155" s="369">
        <v>1147081</v>
      </c>
      <c r="F155" s="370">
        <v>1213848.8899999999</v>
      </c>
    </row>
    <row r="156" spans="1:6">
      <c r="A156" s="371" t="s">
        <v>593</v>
      </c>
      <c r="B156" s="366" t="s">
        <v>3841</v>
      </c>
      <c r="C156" s="367" t="s">
        <v>1980</v>
      </c>
      <c r="D156" s="368" t="s">
        <v>3902</v>
      </c>
      <c r="E156" s="369">
        <v>81713</v>
      </c>
      <c r="F156" s="370">
        <v>89335</v>
      </c>
    </row>
    <row r="157" spans="1:6">
      <c r="A157" s="371" t="s">
        <v>5038</v>
      </c>
      <c r="B157" s="366" t="s">
        <v>3842</v>
      </c>
      <c r="C157" s="367" t="s">
        <v>1980</v>
      </c>
      <c r="D157" s="368" t="s">
        <v>3902</v>
      </c>
      <c r="E157" s="369">
        <v>361936</v>
      </c>
      <c r="F157" s="370">
        <v>494735</v>
      </c>
    </row>
    <row r="158" spans="1:6">
      <c r="A158" s="371" t="s">
        <v>1865</v>
      </c>
      <c r="B158" s="366" t="s">
        <v>3843</v>
      </c>
      <c r="C158" s="367" t="s">
        <v>219</v>
      </c>
      <c r="D158" s="368" t="s">
        <v>4940</v>
      </c>
      <c r="E158" s="369">
        <v>1022728</v>
      </c>
      <c r="F158" s="370">
        <v>1042831</v>
      </c>
    </row>
    <row r="159" spans="1:6">
      <c r="A159" s="371" t="s">
        <v>446</v>
      </c>
      <c r="B159" s="366" t="s">
        <v>3844</v>
      </c>
      <c r="C159" s="367" t="s">
        <v>1980</v>
      </c>
      <c r="D159" s="368" t="s">
        <v>3902</v>
      </c>
      <c r="E159" s="369">
        <v>176577</v>
      </c>
      <c r="F159" s="370">
        <v>215718</v>
      </c>
    </row>
    <row r="160" spans="1:6">
      <c r="A160" s="371" t="s">
        <v>1866</v>
      </c>
      <c r="B160" s="366" t="s">
        <v>3845</v>
      </c>
      <c r="C160" s="367" t="s">
        <v>1980</v>
      </c>
      <c r="D160" s="368" t="s">
        <v>3902</v>
      </c>
      <c r="E160" s="369">
        <v>590750</v>
      </c>
      <c r="F160" s="370">
        <v>538055</v>
      </c>
    </row>
    <row r="161" spans="1:6">
      <c r="A161" s="371" t="s">
        <v>1867</v>
      </c>
      <c r="B161" s="366" t="s">
        <v>3846</v>
      </c>
      <c r="C161" s="367" t="s">
        <v>219</v>
      </c>
      <c r="D161" s="368" t="s">
        <v>4940</v>
      </c>
      <c r="E161" s="369">
        <v>0</v>
      </c>
      <c r="F161" s="370">
        <v>197243.92</v>
      </c>
    </row>
    <row r="162" spans="1:6">
      <c r="A162" s="371" t="s">
        <v>1868</v>
      </c>
      <c r="B162" s="366" t="s">
        <v>3847</v>
      </c>
      <c r="C162" s="367" t="s">
        <v>1980</v>
      </c>
      <c r="D162" s="368" t="s">
        <v>3902</v>
      </c>
      <c r="E162" s="369">
        <v>373075</v>
      </c>
      <c r="F162" s="370">
        <v>602468.46</v>
      </c>
    </row>
    <row r="163" spans="1:6">
      <c r="A163" s="371" t="s">
        <v>1869</v>
      </c>
      <c r="B163" s="366" t="s">
        <v>3848</v>
      </c>
      <c r="C163" s="367" t="s">
        <v>1980</v>
      </c>
      <c r="D163" s="368" t="s">
        <v>3902</v>
      </c>
      <c r="E163" s="369">
        <v>88580</v>
      </c>
      <c r="F163" s="370">
        <v>90718.75</v>
      </c>
    </row>
    <row r="164" spans="1:6">
      <c r="A164" s="371" t="s">
        <v>1870</v>
      </c>
      <c r="B164" s="366" t="s">
        <v>3849</v>
      </c>
      <c r="C164" s="367" t="s">
        <v>1980</v>
      </c>
      <c r="D164" s="368" t="s">
        <v>3902</v>
      </c>
      <c r="E164" s="369">
        <v>468918</v>
      </c>
      <c r="F164" s="370">
        <v>454651</v>
      </c>
    </row>
    <row r="165" spans="1:6">
      <c r="A165" s="371" t="s">
        <v>3083</v>
      </c>
      <c r="B165" s="366" t="s">
        <v>3850</v>
      </c>
      <c r="C165" s="367" t="s">
        <v>1980</v>
      </c>
      <c r="D165" s="368" t="s">
        <v>3902</v>
      </c>
      <c r="E165" s="369">
        <v>271149</v>
      </c>
      <c r="F165" s="370">
        <v>294815</v>
      </c>
    </row>
    <row r="166" spans="1:6">
      <c r="A166" s="371" t="s">
        <v>1871</v>
      </c>
      <c r="B166" s="366" t="s">
        <v>3851</v>
      </c>
      <c r="C166" s="367" t="s">
        <v>1980</v>
      </c>
      <c r="D166" s="368" t="s">
        <v>3902</v>
      </c>
      <c r="E166" s="369">
        <v>153973</v>
      </c>
      <c r="F166" s="370">
        <v>152756.35999999999</v>
      </c>
    </row>
    <row r="167" spans="1:6">
      <c r="A167" s="371" t="s">
        <v>3098</v>
      </c>
      <c r="B167" s="366" t="s">
        <v>3852</v>
      </c>
      <c r="C167" s="367" t="s">
        <v>1980</v>
      </c>
      <c r="D167" s="368" t="s">
        <v>3902</v>
      </c>
      <c r="E167" s="369">
        <v>105808</v>
      </c>
      <c r="F167" s="370">
        <v>102820</v>
      </c>
    </row>
    <row r="168" spans="1:6">
      <c r="A168" s="371" t="s">
        <v>3080</v>
      </c>
      <c r="B168" s="366" t="s">
        <v>3853</v>
      </c>
      <c r="C168" s="367" t="s">
        <v>1980</v>
      </c>
      <c r="D168" s="368" t="s">
        <v>3902</v>
      </c>
      <c r="E168" s="369">
        <v>522310</v>
      </c>
      <c r="F168" s="370">
        <v>512487.5</v>
      </c>
    </row>
    <row r="169" spans="1:6">
      <c r="A169" s="371" t="s">
        <v>4971</v>
      </c>
      <c r="B169" s="366" t="s">
        <v>3854</v>
      </c>
      <c r="C169" s="367" t="s">
        <v>1980</v>
      </c>
      <c r="D169" s="368" t="s">
        <v>3902</v>
      </c>
      <c r="E169" s="369">
        <v>189309</v>
      </c>
      <c r="F169" s="370">
        <v>411746.25</v>
      </c>
    </row>
    <row r="170" spans="1:6">
      <c r="A170" s="371" t="s">
        <v>1872</v>
      </c>
      <c r="B170" s="366" t="s">
        <v>3855</v>
      </c>
      <c r="C170" s="367" t="s">
        <v>1980</v>
      </c>
      <c r="D170" s="368" t="s">
        <v>3902</v>
      </c>
      <c r="E170" s="369">
        <v>159897</v>
      </c>
      <c r="F170" s="370">
        <v>155289</v>
      </c>
    </row>
    <row r="171" spans="1:6">
      <c r="A171" s="371" t="s">
        <v>1873</v>
      </c>
      <c r="B171" s="366" t="s">
        <v>3856</v>
      </c>
      <c r="C171" s="367" t="s">
        <v>1980</v>
      </c>
      <c r="D171" s="368" t="s">
        <v>3902</v>
      </c>
      <c r="E171" s="369">
        <v>1479767</v>
      </c>
      <c r="F171" s="370">
        <v>1712490</v>
      </c>
    </row>
    <row r="172" spans="1:6">
      <c r="A172" s="371" t="s">
        <v>1874</v>
      </c>
      <c r="B172" s="366" t="s">
        <v>3857</v>
      </c>
      <c r="C172" s="367" t="s">
        <v>1980</v>
      </c>
      <c r="D172" s="368" t="s">
        <v>3902</v>
      </c>
      <c r="E172" s="369">
        <v>254314</v>
      </c>
      <c r="F172" s="370">
        <v>281477.5</v>
      </c>
    </row>
    <row r="173" spans="1:6">
      <c r="A173" s="371" t="s">
        <v>1875</v>
      </c>
      <c r="B173" s="366" t="s">
        <v>3858</v>
      </c>
      <c r="C173" s="367" t="s">
        <v>1980</v>
      </c>
      <c r="D173" s="368" t="s">
        <v>3902</v>
      </c>
      <c r="E173" s="369">
        <v>4462566</v>
      </c>
      <c r="F173" s="370">
        <v>8229428</v>
      </c>
    </row>
    <row r="174" spans="1:6">
      <c r="A174" s="371" t="s">
        <v>6020</v>
      </c>
      <c r="B174" s="366" t="s">
        <v>3859</v>
      </c>
      <c r="C174" s="367" t="s">
        <v>1980</v>
      </c>
      <c r="D174" s="368" t="s">
        <v>3902</v>
      </c>
      <c r="E174" s="369">
        <v>240000</v>
      </c>
      <c r="F174" s="370">
        <v>923964.79</v>
      </c>
    </row>
    <row r="175" spans="1:6">
      <c r="A175" s="371" t="s">
        <v>6021</v>
      </c>
      <c r="B175" s="366" t="s">
        <v>3860</v>
      </c>
      <c r="C175" s="367" t="s">
        <v>1980</v>
      </c>
      <c r="D175" s="368" t="s">
        <v>3902</v>
      </c>
      <c r="E175" s="369">
        <v>6225000</v>
      </c>
      <c r="F175" s="370">
        <v>6613235</v>
      </c>
    </row>
    <row r="176" spans="1:6">
      <c r="A176" s="371" t="s">
        <v>3093</v>
      </c>
      <c r="B176" s="366" t="s">
        <v>1906</v>
      </c>
      <c r="C176" s="367" t="s">
        <v>1980</v>
      </c>
      <c r="D176" s="368" t="s">
        <v>3902</v>
      </c>
      <c r="E176" s="369">
        <v>137308</v>
      </c>
      <c r="F176" s="370">
        <v>138022</v>
      </c>
    </row>
    <row r="177" spans="1:6">
      <c r="A177" s="371" t="s">
        <v>6022</v>
      </c>
      <c r="B177" s="366" t="s">
        <v>1907</v>
      </c>
      <c r="C177" s="367" t="s">
        <v>1980</v>
      </c>
      <c r="D177" s="368" t="s">
        <v>3902</v>
      </c>
      <c r="E177" s="369">
        <v>110751</v>
      </c>
      <c r="F177" s="370">
        <v>113177.5</v>
      </c>
    </row>
    <row r="178" spans="1:6">
      <c r="A178" s="371" t="s">
        <v>6023</v>
      </c>
      <c r="B178" s="366" t="s">
        <v>1908</v>
      </c>
      <c r="C178" s="367" t="s">
        <v>1980</v>
      </c>
      <c r="D178" s="368" t="s">
        <v>3902</v>
      </c>
      <c r="E178" s="369">
        <v>895013</v>
      </c>
      <c r="F178" s="370">
        <v>897086</v>
      </c>
    </row>
    <row r="179" spans="1:6">
      <c r="A179" s="371" t="s">
        <v>6024</v>
      </c>
      <c r="B179" s="366" t="s">
        <v>1909</v>
      </c>
      <c r="C179" s="367" t="s">
        <v>1980</v>
      </c>
      <c r="D179" s="368" t="s">
        <v>3902</v>
      </c>
      <c r="E179" s="369">
        <v>422458</v>
      </c>
      <c r="F179" s="370">
        <v>577339</v>
      </c>
    </row>
    <row r="180" spans="1:6">
      <c r="A180" s="371" t="s">
        <v>6025</v>
      </c>
      <c r="B180" s="366" t="s">
        <v>1910</v>
      </c>
      <c r="C180" s="367" t="s">
        <v>1980</v>
      </c>
      <c r="D180" s="368" t="s">
        <v>3902</v>
      </c>
      <c r="E180" s="369">
        <v>787721</v>
      </c>
      <c r="F180" s="370">
        <v>767479</v>
      </c>
    </row>
    <row r="181" spans="1:6">
      <c r="A181" s="371" t="s">
        <v>6026</v>
      </c>
      <c r="B181" s="366" t="s">
        <v>1911</v>
      </c>
      <c r="C181" s="367" t="s">
        <v>1980</v>
      </c>
      <c r="D181" s="368" t="s">
        <v>3902</v>
      </c>
      <c r="E181" s="369">
        <v>738000</v>
      </c>
      <c r="F181" s="370">
        <v>581939</v>
      </c>
    </row>
    <row r="182" spans="1:6">
      <c r="A182" s="371" t="s">
        <v>6027</v>
      </c>
      <c r="B182" s="366" t="s">
        <v>1912</v>
      </c>
      <c r="C182" s="367" t="s">
        <v>1980</v>
      </c>
      <c r="D182" s="368" t="s">
        <v>3902</v>
      </c>
      <c r="E182" s="369">
        <v>91832</v>
      </c>
      <c r="F182" s="370">
        <v>94163</v>
      </c>
    </row>
    <row r="183" spans="1:6">
      <c r="A183" s="371" t="s">
        <v>6028</v>
      </c>
      <c r="B183" s="366" t="s">
        <v>1913</v>
      </c>
      <c r="C183" s="367" t="s">
        <v>1980</v>
      </c>
      <c r="D183" s="368" t="s">
        <v>3902</v>
      </c>
      <c r="E183" s="369">
        <v>1428934</v>
      </c>
      <c r="F183" s="370">
        <v>1167677</v>
      </c>
    </row>
    <row r="184" spans="1:6">
      <c r="A184" s="371" t="s">
        <v>6029</v>
      </c>
      <c r="B184" s="366" t="s">
        <v>1914</v>
      </c>
      <c r="C184" s="367" t="s">
        <v>1980</v>
      </c>
      <c r="D184" s="368" t="s">
        <v>3902</v>
      </c>
      <c r="E184" s="369">
        <v>709521</v>
      </c>
      <c r="F184" s="370">
        <v>902518.75</v>
      </c>
    </row>
    <row r="185" spans="1:6">
      <c r="A185" s="371" t="s">
        <v>6030</v>
      </c>
      <c r="B185" s="366" t="s">
        <v>1915</v>
      </c>
      <c r="C185" s="367" t="s">
        <v>1980</v>
      </c>
      <c r="D185" s="368" t="s">
        <v>3902</v>
      </c>
      <c r="E185" s="369">
        <v>1280601</v>
      </c>
      <c r="F185" s="370">
        <v>4726818</v>
      </c>
    </row>
    <row r="186" spans="1:6">
      <c r="A186" s="371" t="s">
        <v>6031</v>
      </c>
      <c r="B186" s="366" t="s">
        <v>1916</v>
      </c>
      <c r="C186" s="367" t="s">
        <v>1980</v>
      </c>
      <c r="D186" s="368" t="s">
        <v>3902</v>
      </c>
      <c r="E186" s="369">
        <v>398250</v>
      </c>
      <c r="F186" s="370">
        <v>627555</v>
      </c>
    </row>
    <row r="187" spans="1:6">
      <c r="A187" s="371" t="s">
        <v>450</v>
      </c>
      <c r="B187" s="366" t="s">
        <v>1917</v>
      </c>
      <c r="C187" s="367" t="s">
        <v>1980</v>
      </c>
      <c r="D187" s="368" t="s">
        <v>3902</v>
      </c>
      <c r="E187" s="369">
        <v>195337</v>
      </c>
      <c r="F187" s="370">
        <v>196650</v>
      </c>
    </row>
    <row r="188" spans="1:6">
      <c r="A188" s="371" t="s">
        <v>6032</v>
      </c>
      <c r="B188" s="366" t="s">
        <v>1918</v>
      </c>
      <c r="C188" s="367" t="s">
        <v>1980</v>
      </c>
      <c r="D188" s="368" t="s">
        <v>3902</v>
      </c>
      <c r="E188" s="369">
        <v>565360</v>
      </c>
      <c r="F188" s="370">
        <v>544303.75</v>
      </c>
    </row>
    <row r="189" spans="1:6">
      <c r="A189" s="371" t="s">
        <v>2534</v>
      </c>
      <c r="B189" s="366" t="s">
        <v>1919</v>
      </c>
      <c r="C189" s="367" t="s">
        <v>1980</v>
      </c>
      <c r="D189" s="368" t="s">
        <v>3902</v>
      </c>
      <c r="E189" s="369">
        <v>172700</v>
      </c>
      <c r="F189" s="370">
        <v>168475</v>
      </c>
    </row>
    <row r="190" spans="1:6">
      <c r="A190" s="371" t="s">
        <v>6033</v>
      </c>
      <c r="B190" s="366" t="s">
        <v>1920</v>
      </c>
      <c r="C190" s="367" t="s">
        <v>1980</v>
      </c>
      <c r="D190" s="368" t="s">
        <v>3902</v>
      </c>
      <c r="E190" s="369">
        <v>5126526</v>
      </c>
      <c r="F190" s="370">
        <v>5125310</v>
      </c>
    </row>
    <row r="191" spans="1:6">
      <c r="A191" s="371" t="s">
        <v>510</v>
      </c>
      <c r="B191" s="366" t="s">
        <v>1921</v>
      </c>
      <c r="C191" s="367" t="s">
        <v>1980</v>
      </c>
      <c r="D191" s="368" t="s">
        <v>3902</v>
      </c>
      <c r="E191" s="369">
        <v>1060285</v>
      </c>
      <c r="F191" s="370">
        <v>1277228.75</v>
      </c>
    </row>
    <row r="192" spans="1:6">
      <c r="A192" s="371" t="s">
        <v>6034</v>
      </c>
      <c r="B192" s="366" t="s">
        <v>1922</v>
      </c>
      <c r="C192" s="367" t="s">
        <v>1980</v>
      </c>
      <c r="D192" s="368" t="s">
        <v>3902</v>
      </c>
      <c r="E192" s="369">
        <v>413051</v>
      </c>
      <c r="F192" s="370">
        <v>423300.28</v>
      </c>
    </row>
    <row r="193" spans="1:6">
      <c r="A193" s="371" t="s">
        <v>6035</v>
      </c>
      <c r="B193" s="366" t="s">
        <v>1923</v>
      </c>
      <c r="C193" s="367" t="s">
        <v>1980</v>
      </c>
      <c r="D193" s="368" t="s">
        <v>3902</v>
      </c>
      <c r="E193" s="369">
        <v>282821</v>
      </c>
      <c r="F193" s="370">
        <v>258023</v>
      </c>
    </row>
    <row r="194" spans="1:6">
      <c r="A194" s="371" t="s">
        <v>6036</v>
      </c>
      <c r="B194" s="366" t="s">
        <v>5638</v>
      </c>
      <c r="C194" s="367" t="s">
        <v>1980</v>
      </c>
      <c r="D194" s="368" t="s">
        <v>3902</v>
      </c>
      <c r="E194" s="369">
        <v>52660</v>
      </c>
      <c r="F194" s="370">
        <v>52645</v>
      </c>
    </row>
    <row r="195" spans="1:6">
      <c r="A195" s="371" t="s">
        <v>511</v>
      </c>
      <c r="B195" s="366" t="s">
        <v>5639</v>
      </c>
      <c r="C195" s="367" t="s">
        <v>1980</v>
      </c>
      <c r="D195" s="368" t="s">
        <v>3902</v>
      </c>
      <c r="E195" s="369">
        <v>88605</v>
      </c>
      <c r="F195" s="370">
        <v>87963</v>
      </c>
    </row>
    <row r="196" spans="1:6">
      <c r="A196" s="371" t="s">
        <v>3090</v>
      </c>
      <c r="B196" s="366" t="s">
        <v>5640</v>
      </c>
      <c r="C196" s="367" t="s">
        <v>1980</v>
      </c>
      <c r="D196" s="368" t="s">
        <v>3902</v>
      </c>
      <c r="E196" s="369">
        <v>90131</v>
      </c>
      <c r="F196" s="370">
        <v>74936.960000000006</v>
      </c>
    </row>
    <row r="197" spans="1:6">
      <c r="A197" s="371" t="s">
        <v>6037</v>
      </c>
      <c r="B197" s="366" t="s">
        <v>2152</v>
      </c>
      <c r="C197" s="367" t="s">
        <v>1980</v>
      </c>
      <c r="D197" s="368" t="s">
        <v>3902</v>
      </c>
      <c r="E197" s="369">
        <v>531801</v>
      </c>
      <c r="F197" s="370">
        <v>516970</v>
      </c>
    </row>
    <row r="198" spans="1:6">
      <c r="A198" s="371" t="s">
        <v>6038</v>
      </c>
      <c r="B198" s="366" t="s">
        <v>2153</v>
      </c>
      <c r="C198" s="367" t="s">
        <v>1980</v>
      </c>
      <c r="D198" s="368" t="s">
        <v>3902</v>
      </c>
      <c r="E198" s="369">
        <v>3415997</v>
      </c>
      <c r="F198" s="370">
        <v>3098487.51</v>
      </c>
    </row>
    <row r="199" spans="1:6">
      <c r="A199" s="371" t="s">
        <v>1527</v>
      </c>
      <c r="B199" s="366" t="s">
        <v>2154</v>
      </c>
      <c r="C199" s="367" t="s">
        <v>1980</v>
      </c>
      <c r="D199" s="368" t="s">
        <v>3902</v>
      </c>
      <c r="E199" s="369">
        <v>100000</v>
      </c>
      <c r="F199" s="370">
        <v>98587.5</v>
      </c>
    </row>
    <row r="200" spans="1:6">
      <c r="A200" s="371" t="s">
        <v>2905</v>
      </c>
      <c r="B200" s="366" t="s">
        <v>2155</v>
      </c>
      <c r="C200" s="367" t="s">
        <v>1980</v>
      </c>
      <c r="D200" s="368" t="s">
        <v>3902</v>
      </c>
      <c r="E200" s="369">
        <v>575000</v>
      </c>
      <c r="F200" s="370">
        <v>557630</v>
      </c>
    </row>
    <row r="201" spans="1:6">
      <c r="A201" s="371" t="s">
        <v>6039</v>
      </c>
      <c r="B201" s="366" t="s">
        <v>183</v>
      </c>
      <c r="C201" s="367" t="s">
        <v>1980</v>
      </c>
      <c r="D201" s="368" t="s">
        <v>3902</v>
      </c>
      <c r="E201" s="369">
        <v>437879</v>
      </c>
      <c r="F201" s="370">
        <v>440277</v>
      </c>
    </row>
    <row r="202" spans="1:6">
      <c r="A202" s="371" t="s">
        <v>6040</v>
      </c>
      <c r="B202" s="366" t="s">
        <v>184</v>
      </c>
      <c r="C202" s="367" t="s">
        <v>1980</v>
      </c>
      <c r="D202" s="368" t="s">
        <v>3902</v>
      </c>
      <c r="E202" s="369">
        <v>163370</v>
      </c>
      <c r="F202" s="370">
        <v>157120</v>
      </c>
    </row>
    <row r="203" spans="1:6">
      <c r="A203" s="371" t="s">
        <v>6041</v>
      </c>
      <c r="B203" s="366" t="s">
        <v>185</v>
      </c>
      <c r="C203" s="367" t="s">
        <v>1980</v>
      </c>
      <c r="D203" s="368" t="s">
        <v>3902</v>
      </c>
      <c r="E203" s="369">
        <v>661840</v>
      </c>
      <c r="F203" s="370">
        <v>977480</v>
      </c>
    </row>
    <row r="204" spans="1:6">
      <c r="A204" s="371" t="s">
        <v>2986</v>
      </c>
      <c r="B204" s="366" t="s">
        <v>186</v>
      </c>
      <c r="C204" s="367" t="s">
        <v>1980</v>
      </c>
      <c r="D204" s="368" t="s">
        <v>3902</v>
      </c>
      <c r="E204" s="369">
        <v>425000</v>
      </c>
      <c r="F204" s="370">
        <v>406605</v>
      </c>
    </row>
    <row r="205" spans="1:6">
      <c r="A205" s="371" t="s">
        <v>2987</v>
      </c>
      <c r="B205" s="366" t="s">
        <v>187</v>
      </c>
      <c r="C205" s="367" t="s">
        <v>1980</v>
      </c>
      <c r="D205" s="368" t="s">
        <v>3902</v>
      </c>
      <c r="E205" s="369">
        <v>5155243</v>
      </c>
      <c r="F205" s="370">
        <v>5481311.2599999998</v>
      </c>
    </row>
    <row r="206" spans="1:6">
      <c r="A206" s="371" t="s">
        <v>6145</v>
      </c>
      <c r="B206" s="366" t="s">
        <v>188</v>
      </c>
      <c r="C206" s="367" t="s">
        <v>1980</v>
      </c>
      <c r="D206" s="368" t="s">
        <v>3902</v>
      </c>
      <c r="E206" s="369">
        <v>98474</v>
      </c>
      <c r="F206" s="370">
        <v>88832.5</v>
      </c>
    </row>
    <row r="207" spans="1:6">
      <c r="A207" s="371" t="s">
        <v>2988</v>
      </c>
      <c r="B207" s="366" t="s">
        <v>189</v>
      </c>
      <c r="C207" s="367" t="s">
        <v>1980</v>
      </c>
      <c r="D207" s="368" t="s">
        <v>3902</v>
      </c>
      <c r="E207" s="369">
        <v>379027</v>
      </c>
      <c r="F207" s="370">
        <v>401389</v>
      </c>
    </row>
    <row r="208" spans="1:6">
      <c r="A208" s="371" t="s">
        <v>2989</v>
      </c>
      <c r="B208" s="366" t="s">
        <v>190</v>
      </c>
      <c r="C208" s="367" t="s">
        <v>1980</v>
      </c>
      <c r="D208" s="368" t="s">
        <v>3902</v>
      </c>
      <c r="E208" s="369">
        <v>3797900</v>
      </c>
      <c r="F208" s="370">
        <v>4828150</v>
      </c>
    </row>
    <row r="209" spans="1:6">
      <c r="A209" s="371" t="s">
        <v>2990</v>
      </c>
      <c r="B209" s="366" t="s">
        <v>191</v>
      </c>
      <c r="C209" s="367" t="s">
        <v>1980</v>
      </c>
      <c r="D209" s="368" t="s">
        <v>3902</v>
      </c>
      <c r="E209" s="369">
        <v>293067</v>
      </c>
      <c r="F209" s="370">
        <v>930930.44</v>
      </c>
    </row>
    <row r="210" spans="1:6">
      <c r="A210" s="371" t="s">
        <v>2828</v>
      </c>
      <c r="B210" s="366" t="s">
        <v>192</v>
      </c>
      <c r="C210" s="367" t="s">
        <v>1980</v>
      </c>
      <c r="D210" s="368" t="s">
        <v>3902</v>
      </c>
      <c r="E210" s="369">
        <v>100000</v>
      </c>
      <c r="F210" s="370">
        <v>95273</v>
      </c>
    </row>
    <row r="211" spans="1:6">
      <c r="A211" s="371" t="s">
        <v>2991</v>
      </c>
      <c r="B211" s="366" t="s">
        <v>193</v>
      </c>
      <c r="C211" s="367" t="s">
        <v>1980</v>
      </c>
      <c r="D211" s="368" t="s">
        <v>3902</v>
      </c>
      <c r="E211" s="369">
        <v>100000</v>
      </c>
      <c r="F211" s="370">
        <v>100481</v>
      </c>
    </row>
    <row r="212" spans="1:6">
      <c r="A212" s="371" t="s">
        <v>591</v>
      </c>
      <c r="B212" s="366" t="s">
        <v>194</v>
      </c>
      <c r="C212" s="367" t="s">
        <v>1980</v>
      </c>
      <c r="D212" s="368" t="s">
        <v>3902</v>
      </c>
      <c r="E212" s="369">
        <v>512028</v>
      </c>
      <c r="F212" s="370">
        <v>843969.46</v>
      </c>
    </row>
    <row r="213" spans="1:6">
      <c r="A213" s="371" t="s">
        <v>2992</v>
      </c>
      <c r="B213" s="366" t="s">
        <v>195</v>
      </c>
      <c r="C213" s="367" t="s">
        <v>1980</v>
      </c>
      <c r="D213" s="368" t="s">
        <v>3902</v>
      </c>
      <c r="E213" s="369">
        <v>925000</v>
      </c>
      <c r="F213" s="370">
        <v>1024200</v>
      </c>
    </row>
    <row r="214" spans="1:6">
      <c r="A214" s="371" t="s">
        <v>2993</v>
      </c>
      <c r="B214" s="366" t="s">
        <v>196</v>
      </c>
      <c r="C214" s="367" t="s">
        <v>1980</v>
      </c>
      <c r="D214" s="368" t="s">
        <v>3902</v>
      </c>
      <c r="E214" s="369">
        <v>930541</v>
      </c>
      <c r="F214" s="370">
        <v>923866.18</v>
      </c>
    </row>
    <row r="215" spans="1:6">
      <c r="A215" s="371" t="s">
        <v>1845</v>
      </c>
      <c r="B215" s="366" t="s">
        <v>197</v>
      </c>
      <c r="C215" s="367" t="s">
        <v>1980</v>
      </c>
      <c r="D215" s="368" t="s">
        <v>3902</v>
      </c>
      <c r="E215" s="369">
        <v>100000</v>
      </c>
      <c r="F215" s="370">
        <v>92323</v>
      </c>
    </row>
    <row r="216" spans="1:6">
      <c r="A216" s="371" t="s">
        <v>2359</v>
      </c>
      <c r="B216" s="366" t="s">
        <v>198</v>
      </c>
      <c r="C216" s="367" t="s">
        <v>1980</v>
      </c>
      <c r="D216" s="368" t="s">
        <v>3902</v>
      </c>
      <c r="E216" s="369">
        <v>179503</v>
      </c>
      <c r="F216" s="370">
        <v>275605.06</v>
      </c>
    </row>
    <row r="217" spans="1:6">
      <c r="A217" s="371" t="s">
        <v>2994</v>
      </c>
      <c r="B217" s="366" t="s">
        <v>199</v>
      </c>
      <c r="C217" s="367" t="s">
        <v>1980</v>
      </c>
      <c r="D217" s="368" t="s">
        <v>3902</v>
      </c>
      <c r="E217" s="369">
        <v>346003</v>
      </c>
      <c r="F217" s="370">
        <v>927190</v>
      </c>
    </row>
    <row r="218" spans="1:6">
      <c r="A218" s="371" t="s">
        <v>5238</v>
      </c>
      <c r="B218" s="366" t="s">
        <v>200</v>
      </c>
      <c r="C218" s="367" t="s">
        <v>1980</v>
      </c>
      <c r="D218" s="368" t="s">
        <v>3902</v>
      </c>
      <c r="E218" s="369">
        <v>336827</v>
      </c>
      <c r="F218" s="370">
        <v>335758</v>
      </c>
    </row>
    <row r="219" spans="1:6">
      <c r="A219" s="371" t="s">
        <v>2995</v>
      </c>
      <c r="B219" s="366" t="s">
        <v>201</v>
      </c>
      <c r="C219" s="367" t="s">
        <v>1980</v>
      </c>
      <c r="D219" s="368" t="s">
        <v>3902</v>
      </c>
      <c r="E219" s="369">
        <v>718625</v>
      </c>
      <c r="F219" s="370">
        <v>0</v>
      </c>
    </row>
    <row r="220" spans="1:6">
      <c r="A220" s="371" t="s">
        <v>2996</v>
      </c>
      <c r="B220" s="366" t="s">
        <v>202</v>
      </c>
      <c r="C220" s="367" t="s">
        <v>1980</v>
      </c>
      <c r="D220" s="368" t="s">
        <v>3902</v>
      </c>
      <c r="E220" s="369">
        <v>112803</v>
      </c>
      <c r="F220" s="370">
        <v>103166.25</v>
      </c>
    </row>
    <row r="221" spans="1:6">
      <c r="A221" s="371" t="s">
        <v>2903</v>
      </c>
      <c r="B221" s="366" t="s">
        <v>203</v>
      </c>
      <c r="C221" s="367" t="s">
        <v>1980</v>
      </c>
      <c r="D221" s="368" t="s">
        <v>3902</v>
      </c>
      <c r="E221" s="369">
        <v>445840</v>
      </c>
      <c r="F221" s="370">
        <v>445840</v>
      </c>
    </row>
    <row r="222" spans="1:6">
      <c r="A222" s="371" t="s">
        <v>449</v>
      </c>
      <c r="B222" s="366" t="s">
        <v>6155</v>
      </c>
      <c r="C222" s="367" t="s">
        <v>1980</v>
      </c>
      <c r="D222" s="368" t="s">
        <v>3902</v>
      </c>
      <c r="E222" s="369">
        <v>100000</v>
      </c>
      <c r="F222" s="370">
        <v>102985</v>
      </c>
    </row>
    <row r="223" spans="1:6">
      <c r="A223" s="371" t="s">
        <v>518</v>
      </c>
      <c r="B223" s="366" t="s">
        <v>6056</v>
      </c>
      <c r="C223" s="367" t="s">
        <v>1980</v>
      </c>
      <c r="D223" s="368" t="s">
        <v>3902</v>
      </c>
      <c r="E223" s="369">
        <v>352232</v>
      </c>
      <c r="F223" s="370">
        <v>365842</v>
      </c>
    </row>
    <row r="224" spans="1:6">
      <c r="A224" s="371" t="s">
        <v>2997</v>
      </c>
      <c r="B224" s="366" t="s">
        <v>6057</v>
      </c>
      <c r="C224" s="367" t="s">
        <v>1980</v>
      </c>
      <c r="D224" s="368" t="s">
        <v>3902</v>
      </c>
      <c r="E224" s="369">
        <v>855058</v>
      </c>
      <c r="F224" s="370">
        <v>866625</v>
      </c>
    </row>
    <row r="225" spans="1:6">
      <c r="A225" s="371" t="s">
        <v>2998</v>
      </c>
      <c r="B225" s="366" t="s">
        <v>6058</v>
      </c>
      <c r="C225" s="367" t="s">
        <v>219</v>
      </c>
      <c r="D225" s="368" t="s">
        <v>4940</v>
      </c>
      <c r="E225" s="369">
        <v>412085</v>
      </c>
      <c r="F225" s="370">
        <v>594875</v>
      </c>
    </row>
    <row r="226" spans="1:6">
      <c r="A226" s="371" t="s">
        <v>3000</v>
      </c>
      <c r="B226" s="366" t="s">
        <v>6059</v>
      </c>
      <c r="C226" s="367" t="s">
        <v>1980</v>
      </c>
      <c r="D226" s="368" t="s">
        <v>3902</v>
      </c>
      <c r="E226" s="369">
        <v>471642</v>
      </c>
      <c r="F226" s="370">
        <v>723909.57</v>
      </c>
    </row>
    <row r="227" spans="1:6">
      <c r="A227" s="371" t="s">
        <v>3001</v>
      </c>
      <c r="B227" s="366" t="s">
        <v>6060</v>
      </c>
      <c r="C227" s="367" t="s">
        <v>1980</v>
      </c>
      <c r="D227" s="368" t="s">
        <v>3902</v>
      </c>
      <c r="E227" s="369">
        <v>1530990</v>
      </c>
      <c r="F227" s="370">
        <v>3405069.24</v>
      </c>
    </row>
    <row r="228" spans="1:6">
      <c r="A228" s="371" t="s">
        <v>2610</v>
      </c>
      <c r="B228" s="366" t="s">
        <v>326</v>
      </c>
      <c r="C228" s="367" t="s">
        <v>219</v>
      </c>
      <c r="D228" s="368" t="s">
        <v>4940</v>
      </c>
      <c r="E228" s="369">
        <v>99613</v>
      </c>
      <c r="F228" s="370">
        <v>99088</v>
      </c>
    </row>
    <row r="229" spans="1:6">
      <c r="A229" s="371" t="s">
        <v>4076</v>
      </c>
      <c r="B229" s="366" t="s">
        <v>6061</v>
      </c>
      <c r="C229" s="367" t="s">
        <v>1980</v>
      </c>
      <c r="D229" s="368" t="s">
        <v>3902</v>
      </c>
      <c r="E229" s="369">
        <v>82900</v>
      </c>
      <c r="F229" s="370">
        <v>79240</v>
      </c>
    </row>
    <row r="230" spans="1:6">
      <c r="A230" s="371" t="s">
        <v>3002</v>
      </c>
      <c r="B230" s="366" t="s">
        <v>6062</v>
      </c>
      <c r="C230" s="367" t="s">
        <v>1980</v>
      </c>
      <c r="D230" s="368" t="s">
        <v>3902</v>
      </c>
      <c r="E230" s="369">
        <v>2772030</v>
      </c>
      <c r="F230" s="370">
        <v>3102815</v>
      </c>
    </row>
    <row r="231" spans="1:6">
      <c r="A231" s="371" t="s">
        <v>3003</v>
      </c>
      <c r="B231" s="366" t="s">
        <v>6063</v>
      </c>
      <c r="C231" s="367" t="s">
        <v>1980</v>
      </c>
      <c r="D231" s="368" t="s">
        <v>3902</v>
      </c>
      <c r="E231" s="369">
        <v>539135</v>
      </c>
      <c r="F231" s="370">
        <v>532882</v>
      </c>
    </row>
    <row r="232" spans="1:6">
      <c r="A232" s="371" t="s">
        <v>5035</v>
      </c>
      <c r="B232" s="366" t="s">
        <v>6064</v>
      </c>
      <c r="C232" s="367" t="s">
        <v>1980</v>
      </c>
      <c r="D232" s="368" t="s">
        <v>3902</v>
      </c>
      <c r="E232" s="369">
        <v>141412</v>
      </c>
      <c r="F232" s="370">
        <v>203803</v>
      </c>
    </row>
    <row r="233" spans="1:6">
      <c r="A233" s="371" t="s">
        <v>3004</v>
      </c>
      <c r="B233" s="366" t="s">
        <v>6065</v>
      </c>
      <c r="C233" s="367" t="s">
        <v>1980</v>
      </c>
      <c r="D233" s="368" t="s">
        <v>3902</v>
      </c>
      <c r="E233" s="369">
        <v>213569</v>
      </c>
      <c r="F233" s="370">
        <v>138803.13</v>
      </c>
    </row>
    <row r="234" spans="1:6">
      <c r="A234" s="371" t="s">
        <v>6162</v>
      </c>
      <c r="B234" s="366" t="s">
        <v>6066</v>
      </c>
      <c r="C234" s="367" t="s">
        <v>219</v>
      </c>
      <c r="D234" s="368" t="s">
        <v>4940</v>
      </c>
      <c r="E234" s="369">
        <v>386120</v>
      </c>
      <c r="F234" s="370">
        <v>383168</v>
      </c>
    </row>
    <row r="235" spans="1:6">
      <c r="A235" s="371" t="s">
        <v>6163</v>
      </c>
      <c r="B235" s="366" t="s">
        <v>6067</v>
      </c>
      <c r="C235" s="367" t="s">
        <v>1980</v>
      </c>
      <c r="D235" s="368" t="s">
        <v>3902</v>
      </c>
      <c r="E235" s="369">
        <v>177063</v>
      </c>
      <c r="F235" s="370">
        <v>318268</v>
      </c>
    </row>
    <row r="236" spans="1:6">
      <c r="A236" s="371" t="s">
        <v>6164</v>
      </c>
      <c r="B236" s="366" t="s">
        <v>6068</v>
      </c>
      <c r="C236" s="367" t="s">
        <v>1980</v>
      </c>
      <c r="D236" s="368" t="s">
        <v>3902</v>
      </c>
      <c r="E236" s="369">
        <v>95558</v>
      </c>
      <c r="F236" s="370">
        <v>96984</v>
      </c>
    </row>
    <row r="237" spans="1:6">
      <c r="A237" s="371" t="s">
        <v>6165</v>
      </c>
      <c r="B237" s="366" t="s">
        <v>6069</v>
      </c>
      <c r="C237" s="367" t="s">
        <v>1980</v>
      </c>
      <c r="D237" s="368" t="s">
        <v>3902</v>
      </c>
      <c r="E237" s="369">
        <v>513813</v>
      </c>
      <c r="F237" s="370">
        <v>527855</v>
      </c>
    </row>
    <row r="238" spans="1:6">
      <c r="A238" s="371" t="s">
        <v>2568</v>
      </c>
      <c r="B238" s="366" t="s">
        <v>6070</v>
      </c>
      <c r="C238" s="367" t="s">
        <v>1980</v>
      </c>
      <c r="D238" s="368" t="s">
        <v>3902</v>
      </c>
      <c r="E238" s="369">
        <v>71216</v>
      </c>
      <c r="F238" s="370">
        <v>72387.5</v>
      </c>
    </row>
    <row r="239" spans="1:6">
      <c r="A239" s="371" t="s">
        <v>6166</v>
      </c>
      <c r="B239" s="366" t="s">
        <v>6071</v>
      </c>
      <c r="C239" s="367" t="s">
        <v>1980</v>
      </c>
      <c r="D239" s="368" t="s">
        <v>3902</v>
      </c>
      <c r="E239" s="369">
        <v>92069</v>
      </c>
      <c r="F239" s="370">
        <v>97439.14</v>
      </c>
    </row>
    <row r="240" spans="1:6">
      <c r="A240" s="371" t="s">
        <v>3094</v>
      </c>
      <c r="B240" s="366" t="s">
        <v>6072</v>
      </c>
      <c r="C240" s="367" t="s">
        <v>1980</v>
      </c>
      <c r="D240" s="368" t="s">
        <v>3902</v>
      </c>
      <c r="E240" s="369">
        <v>207500</v>
      </c>
      <c r="F240" s="370">
        <v>252101</v>
      </c>
    </row>
    <row r="241" spans="1:6">
      <c r="A241" s="371" t="s">
        <v>6167</v>
      </c>
      <c r="B241" s="366" t="s">
        <v>6073</v>
      </c>
      <c r="C241" s="367" t="s">
        <v>1980</v>
      </c>
      <c r="D241" s="368" t="s">
        <v>3902</v>
      </c>
      <c r="E241" s="369">
        <v>1567290</v>
      </c>
      <c r="F241" s="370">
        <v>1572048</v>
      </c>
    </row>
    <row r="242" spans="1:6">
      <c r="A242" s="371" t="s">
        <v>2565</v>
      </c>
      <c r="B242" s="366" t="s">
        <v>6074</v>
      </c>
      <c r="C242" s="367" t="s">
        <v>1980</v>
      </c>
      <c r="D242" s="368" t="s">
        <v>3902</v>
      </c>
      <c r="E242" s="369">
        <v>100000</v>
      </c>
      <c r="F242" s="370">
        <v>99792.5</v>
      </c>
    </row>
    <row r="243" spans="1:6">
      <c r="A243" s="371" t="s">
        <v>2470</v>
      </c>
      <c r="B243" s="366" t="s">
        <v>6075</v>
      </c>
      <c r="C243" s="367" t="s">
        <v>1980</v>
      </c>
      <c r="D243" s="368" t="s">
        <v>3902</v>
      </c>
      <c r="E243" s="369">
        <v>241790</v>
      </c>
      <c r="F243" s="370">
        <v>241790</v>
      </c>
    </row>
    <row r="244" spans="1:6">
      <c r="A244" s="371" t="s">
        <v>6168</v>
      </c>
      <c r="B244" s="366" t="s">
        <v>6076</v>
      </c>
      <c r="C244" s="367" t="s">
        <v>1980</v>
      </c>
      <c r="D244" s="368" t="s">
        <v>3902</v>
      </c>
      <c r="E244" s="369">
        <v>1347187</v>
      </c>
      <c r="F244" s="370">
        <v>1323835</v>
      </c>
    </row>
    <row r="245" spans="1:6">
      <c r="A245" s="371" t="s">
        <v>965</v>
      </c>
      <c r="B245" s="366" t="s">
        <v>6077</v>
      </c>
      <c r="C245" s="367" t="s">
        <v>219</v>
      </c>
      <c r="D245" s="368" t="s">
        <v>4940</v>
      </c>
      <c r="E245" s="369">
        <v>80006</v>
      </c>
      <c r="F245" s="370">
        <v>80006</v>
      </c>
    </row>
    <row r="246" spans="1:6">
      <c r="A246" s="371" t="s">
        <v>6679</v>
      </c>
      <c r="B246" s="366" t="s">
        <v>6078</v>
      </c>
      <c r="C246" s="367" t="s">
        <v>1980</v>
      </c>
      <c r="D246" s="368" t="s">
        <v>3902</v>
      </c>
      <c r="E246" s="369">
        <v>100000</v>
      </c>
      <c r="F246" s="370">
        <v>100593</v>
      </c>
    </row>
    <row r="247" spans="1:6">
      <c r="A247" s="371" t="s">
        <v>6169</v>
      </c>
      <c r="B247" s="366" t="s">
        <v>6079</v>
      </c>
      <c r="C247" s="367" t="s">
        <v>1980</v>
      </c>
      <c r="D247" s="368" t="s">
        <v>3902</v>
      </c>
      <c r="E247" s="369">
        <v>528404</v>
      </c>
      <c r="F247" s="370">
        <v>507633</v>
      </c>
    </row>
    <row r="248" spans="1:6">
      <c r="A248" s="371" t="s">
        <v>6170</v>
      </c>
      <c r="B248" s="366" t="s">
        <v>495</v>
      </c>
      <c r="C248" s="367" t="s">
        <v>1980</v>
      </c>
      <c r="D248" s="368" t="s">
        <v>3902</v>
      </c>
      <c r="E248" s="369">
        <v>1136573</v>
      </c>
      <c r="F248" s="370">
        <v>1112865</v>
      </c>
    </row>
    <row r="249" spans="1:6">
      <c r="A249" s="371" t="s">
        <v>6171</v>
      </c>
      <c r="B249" s="366" t="s">
        <v>496</v>
      </c>
      <c r="C249" s="367" t="s">
        <v>1980</v>
      </c>
      <c r="D249" s="368" t="s">
        <v>3902</v>
      </c>
      <c r="E249" s="369">
        <v>838538</v>
      </c>
      <c r="F249" s="370">
        <v>818187.5</v>
      </c>
    </row>
    <row r="250" spans="1:6">
      <c r="A250" s="371" t="s">
        <v>6172</v>
      </c>
      <c r="B250" s="366" t="s">
        <v>497</v>
      </c>
      <c r="C250" s="367" t="s">
        <v>1980</v>
      </c>
      <c r="D250" s="368" t="s">
        <v>3902</v>
      </c>
      <c r="E250" s="369">
        <v>2766667</v>
      </c>
      <c r="F250" s="370">
        <v>978525</v>
      </c>
    </row>
    <row r="251" spans="1:6">
      <c r="A251" s="371" t="s">
        <v>4590</v>
      </c>
      <c r="B251" s="366" t="s">
        <v>498</v>
      </c>
      <c r="C251" s="367" t="s">
        <v>1980</v>
      </c>
      <c r="D251" s="368" t="s">
        <v>3902</v>
      </c>
      <c r="E251" s="369">
        <v>116481</v>
      </c>
      <c r="F251" s="370">
        <v>108019</v>
      </c>
    </row>
    <row r="252" spans="1:6">
      <c r="A252" s="371" t="s">
        <v>2358</v>
      </c>
      <c r="B252" s="366" t="s">
        <v>499</v>
      </c>
      <c r="C252" s="367" t="s">
        <v>1980</v>
      </c>
      <c r="D252" s="368" t="s">
        <v>3902</v>
      </c>
      <c r="E252" s="369">
        <v>98475</v>
      </c>
      <c r="F252" s="370">
        <v>94120</v>
      </c>
    </row>
    <row r="253" spans="1:6">
      <c r="A253" s="371" t="s">
        <v>6174</v>
      </c>
      <c r="B253" s="366" t="s">
        <v>500</v>
      </c>
      <c r="C253" s="367" t="s">
        <v>1980</v>
      </c>
      <c r="D253" s="368" t="s">
        <v>3902</v>
      </c>
      <c r="E253" s="369">
        <v>166883</v>
      </c>
      <c r="F253" s="370">
        <v>525340.01</v>
      </c>
    </row>
    <row r="254" spans="1:6">
      <c r="A254" s="371" t="s">
        <v>6175</v>
      </c>
      <c r="B254" s="366" t="s">
        <v>501</v>
      </c>
      <c r="C254" s="367" t="s">
        <v>1980</v>
      </c>
      <c r="D254" s="368" t="s">
        <v>3902</v>
      </c>
      <c r="E254" s="369">
        <v>772750</v>
      </c>
      <c r="F254" s="370">
        <v>1064761</v>
      </c>
    </row>
    <row r="255" spans="1:6">
      <c r="A255" s="371" t="s">
        <v>6176</v>
      </c>
      <c r="B255" s="366" t="s">
        <v>502</v>
      </c>
      <c r="C255" s="367" t="s">
        <v>1980</v>
      </c>
      <c r="D255" s="368" t="s">
        <v>3902</v>
      </c>
      <c r="E255" s="369">
        <v>2844700</v>
      </c>
      <c r="F255" s="370">
        <v>2769375</v>
      </c>
    </row>
    <row r="256" spans="1:6">
      <c r="A256" s="371" t="s">
        <v>3097</v>
      </c>
      <c r="B256" s="366" t="s">
        <v>503</v>
      </c>
      <c r="C256" s="367" t="s">
        <v>1980</v>
      </c>
      <c r="D256" s="368" t="s">
        <v>3902</v>
      </c>
      <c r="E256" s="369">
        <v>99356</v>
      </c>
      <c r="F256" s="370">
        <v>87900</v>
      </c>
    </row>
    <row r="257" spans="1:6">
      <c r="A257" s="371" t="s">
        <v>2612</v>
      </c>
      <c r="B257" s="366" t="s">
        <v>504</v>
      </c>
      <c r="C257" s="367" t="s">
        <v>219</v>
      </c>
      <c r="D257" s="368" t="s">
        <v>4940</v>
      </c>
      <c r="E257" s="369">
        <v>100000</v>
      </c>
      <c r="F257" s="370">
        <v>113425</v>
      </c>
    </row>
    <row r="258" spans="1:6">
      <c r="A258" s="371" t="s">
        <v>1949</v>
      </c>
      <c r="B258" s="366" t="s">
        <v>327</v>
      </c>
      <c r="C258" s="367" t="s">
        <v>219</v>
      </c>
      <c r="D258" s="368" t="s">
        <v>4940</v>
      </c>
      <c r="E258" s="369">
        <v>59747</v>
      </c>
      <c r="F258" s="370">
        <v>59721.5</v>
      </c>
    </row>
    <row r="259" spans="1:6">
      <c r="A259" s="371" t="s">
        <v>4973</v>
      </c>
      <c r="B259" s="366" t="s">
        <v>328</v>
      </c>
      <c r="C259" s="367" t="s">
        <v>219</v>
      </c>
      <c r="D259" s="368" t="s">
        <v>4940</v>
      </c>
      <c r="E259" s="369">
        <v>100000</v>
      </c>
      <c r="F259" s="370">
        <v>105200</v>
      </c>
    </row>
    <row r="260" spans="1:6">
      <c r="A260" s="371" t="s">
        <v>5239</v>
      </c>
      <c r="B260" s="366" t="s">
        <v>505</v>
      </c>
      <c r="C260" s="367" t="s">
        <v>1980</v>
      </c>
      <c r="D260" s="368" t="s">
        <v>3902</v>
      </c>
      <c r="E260" s="369">
        <v>240522</v>
      </c>
      <c r="F260" s="370">
        <v>237660</v>
      </c>
    </row>
    <row r="261" spans="1:6">
      <c r="A261" s="371" t="s">
        <v>6177</v>
      </c>
      <c r="B261" s="366" t="s">
        <v>506</v>
      </c>
      <c r="C261" s="367" t="s">
        <v>1980</v>
      </c>
      <c r="D261" s="368" t="s">
        <v>3902</v>
      </c>
      <c r="E261" s="369">
        <v>100000</v>
      </c>
      <c r="F261" s="370">
        <v>100535</v>
      </c>
    </row>
    <row r="262" spans="1:6">
      <c r="A262" s="371" t="s">
        <v>6178</v>
      </c>
      <c r="B262" s="366" t="s">
        <v>3519</v>
      </c>
      <c r="C262" s="367" t="s">
        <v>1980</v>
      </c>
      <c r="D262" s="368" t="s">
        <v>3902</v>
      </c>
      <c r="E262" s="369">
        <v>285609</v>
      </c>
      <c r="F262" s="370">
        <v>275068</v>
      </c>
    </row>
    <row r="263" spans="1:6">
      <c r="A263" s="371" t="s">
        <v>6179</v>
      </c>
      <c r="B263" s="366" t="s">
        <v>1932</v>
      </c>
      <c r="C263" s="367" t="s">
        <v>1980</v>
      </c>
      <c r="D263" s="368" t="s">
        <v>3902</v>
      </c>
      <c r="E263" s="369">
        <v>559413</v>
      </c>
      <c r="F263" s="370">
        <v>1056512</v>
      </c>
    </row>
    <row r="264" spans="1:6">
      <c r="A264" s="371" t="s">
        <v>2907</v>
      </c>
      <c r="B264" s="366" t="s">
        <v>1933</v>
      </c>
      <c r="C264" s="367" t="s">
        <v>1980</v>
      </c>
      <c r="D264" s="368" t="s">
        <v>3902</v>
      </c>
      <c r="E264" s="369">
        <v>342303</v>
      </c>
      <c r="F264" s="370">
        <v>335512.5</v>
      </c>
    </row>
    <row r="265" spans="1:6">
      <c r="A265" s="371" t="s">
        <v>6180</v>
      </c>
      <c r="B265" s="366" t="s">
        <v>1934</v>
      </c>
      <c r="C265" s="367" t="s">
        <v>219</v>
      </c>
      <c r="D265" s="368" t="s">
        <v>4940</v>
      </c>
      <c r="E265" s="369">
        <v>100000</v>
      </c>
      <c r="F265" s="370">
        <v>123731.6</v>
      </c>
    </row>
    <row r="266" spans="1:6">
      <c r="A266" s="371" t="s">
        <v>6182</v>
      </c>
      <c r="B266" s="366" t="s">
        <v>1935</v>
      </c>
      <c r="C266" s="367" t="s">
        <v>1980</v>
      </c>
      <c r="D266" s="368" t="s">
        <v>3902</v>
      </c>
      <c r="E266" s="369">
        <v>227546</v>
      </c>
      <c r="F266" s="370">
        <v>276353</v>
      </c>
    </row>
    <row r="267" spans="1:6">
      <c r="A267" s="371" t="s">
        <v>6181</v>
      </c>
      <c r="B267" s="366" t="s">
        <v>1936</v>
      </c>
      <c r="C267" s="367" t="s">
        <v>1980</v>
      </c>
      <c r="D267" s="368" t="s">
        <v>3902</v>
      </c>
      <c r="E267" s="369">
        <v>343700</v>
      </c>
      <c r="F267" s="370">
        <v>414200</v>
      </c>
    </row>
    <row r="268" spans="1:6">
      <c r="A268" s="371" t="s">
        <v>6183</v>
      </c>
      <c r="B268" s="366" t="s">
        <v>1937</v>
      </c>
      <c r="C268" s="367" t="s">
        <v>1980</v>
      </c>
      <c r="D268" s="368" t="s">
        <v>3902</v>
      </c>
      <c r="E268" s="369">
        <v>6051325</v>
      </c>
      <c r="F268" s="370">
        <v>5234625</v>
      </c>
    </row>
    <row r="269" spans="1:6">
      <c r="A269" s="371" t="s">
        <v>6184</v>
      </c>
      <c r="B269" s="366" t="s">
        <v>1938</v>
      </c>
      <c r="C269" s="367" t="s">
        <v>1980</v>
      </c>
      <c r="D269" s="368" t="s">
        <v>3902</v>
      </c>
      <c r="E269" s="369">
        <v>3044441</v>
      </c>
      <c r="F269" s="370">
        <v>3057869</v>
      </c>
    </row>
    <row r="270" spans="1:6">
      <c r="A270" s="371" t="s">
        <v>6185</v>
      </c>
      <c r="B270" s="366" t="s">
        <v>1939</v>
      </c>
      <c r="C270" s="367" t="s">
        <v>1980</v>
      </c>
      <c r="D270" s="368" t="s">
        <v>3902</v>
      </c>
      <c r="E270" s="369">
        <v>1368888</v>
      </c>
      <c r="F270" s="370">
        <v>1835387.5</v>
      </c>
    </row>
    <row r="271" spans="1:6">
      <c r="A271" s="371" t="s">
        <v>6186</v>
      </c>
      <c r="B271" s="366" t="s">
        <v>3831</v>
      </c>
      <c r="C271" s="367" t="s">
        <v>1980</v>
      </c>
      <c r="D271" s="368" t="s">
        <v>3902</v>
      </c>
      <c r="E271" s="369">
        <v>740900</v>
      </c>
      <c r="F271" s="370">
        <v>2317593.2599999998</v>
      </c>
    </row>
    <row r="272" spans="1:6">
      <c r="A272" s="371" t="s">
        <v>6187</v>
      </c>
      <c r="B272" s="366" t="s">
        <v>3832</v>
      </c>
      <c r="C272" s="367" t="s">
        <v>1980</v>
      </c>
      <c r="D272" s="368" t="s">
        <v>3902</v>
      </c>
      <c r="E272" s="369">
        <v>175026</v>
      </c>
      <c r="F272" s="370">
        <v>175676.26</v>
      </c>
    </row>
    <row r="273" spans="1:6">
      <c r="A273" s="371" t="s">
        <v>585</v>
      </c>
      <c r="B273" s="366" t="s">
        <v>3833</v>
      </c>
      <c r="C273" s="367" t="s">
        <v>1980</v>
      </c>
      <c r="D273" s="368" t="s">
        <v>3902</v>
      </c>
      <c r="E273" s="369">
        <v>93713</v>
      </c>
      <c r="F273" s="370">
        <v>95919.38</v>
      </c>
    </row>
    <row r="274" spans="1:6">
      <c r="A274" s="371" t="s">
        <v>4591</v>
      </c>
      <c r="B274" s="366" t="s">
        <v>3834</v>
      </c>
      <c r="C274" s="367" t="s">
        <v>1980</v>
      </c>
      <c r="D274" s="368" t="s">
        <v>3902</v>
      </c>
      <c r="E274" s="369">
        <v>100000</v>
      </c>
      <c r="F274" s="370">
        <v>97756</v>
      </c>
    </row>
    <row r="275" spans="1:6">
      <c r="A275" s="371" t="s">
        <v>6146</v>
      </c>
      <c r="B275" s="366" t="s">
        <v>3835</v>
      </c>
      <c r="C275" s="367" t="s">
        <v>1980</v>
      </c>
      <c r="D275" s="368" t="s">
        <v>3902</v>
      </c>
      <c r="E275" s="369">
        <v>195206</v>
      </c>
      <c r="F275" s="370">
        <v>193594</v>
      </c>
    </row>
    <row r="276" spans="1:6">
      <c r="A276" s="371" t="s">
        <v>6188</v>
      </c>
      <c r="B276" s="366" t="s">
        <v>3836</v>
      </c>
      <c r="C276" s="367" t="s">
        <v>1980</v>
      </c>
      <c r="D276" s="368" t="s">
        <v>3902</v>
      </c>
      <c r="E276" s="369">
        <v>187763</v>
      </c>
      <c r="F276" s="370">
        <v>181150</v>
      </c>
    </row>
    <row r="277" spans="1:6">
      <c r="A277" s="371" t="s">
        <v>6189</v>
      </c>
      <c r="B277" s="366" t="s">
        <v>3625</v>
      </c>
      <c r="C277" s="367" t="s">
        <v>1980</v>
      </c>
      <c r="D277" s="368" t="s">
        <v>3902</v>
      </c>
      <c r="E277" s="369">
        <v>340500</v>
      </c>
      <c r="F277" s="370">
        <v>454754</v>
      </c>
    </row>
    <row r="278" spans="1:6">
      <c r="A278" s="371" t="s">
        <v>6190</v>
      </c>
      <c r="B278" s="366" t="s">
        <v>3626</v>
      </c>
      <c r="C278" s="367" t="s">
        <v>1980</v>
      </c>
      <c r="D278" s="368" t="s">
        <v>3902</v>
      </c>
      <c r="E278" s="369">
        <v>184136</v>
      </c>
      <c r="F278" s="370">
        <v>187778</v>
      </c>
    </row>
    <row r="279" spans="1:6">
      <c r="A279" s="371" t="s">
        <v>1951</v>
      </c>
      <c r="B279" s="366" t="s">
        <v>3627</v>
      </c>
      <c r="C279" s="367" t="s">
        <v>1980</v>
      </c>
      <c r="D279" s="368" t="s">
        <v>3902</v>
      </c>
      <c r="E279" s="369">
        <v>112110</v>
      </c>
      <c r="F279" s="370">
        <v>125015</v>
      </c>
    </row>
    <row r="280" spans="1:6">
      <c r="A280" s="371" t="s">
        <v>1978</v>
      </c>
      <c r="B280" s="366" t="s">
        <v>3628</v>
      </c>
      <c r="C280" s="367" t="s">
        <v>1980</v>
      </c>
      <c r="D280" s="368" t="s">
        <v>3902</v>
      </c>
      <c r="E280" s="369">
        <v>229000</v>
      </c>
      <c r="F280" s="370">
        <v>271042</v>
      </c>
    </row>
    <row r="281" spans="1:6">
      <c r="A281" s="371" t="s">
        <v>6191</v>
      </c>
      <c r="B281" s="366" t="s">
        <v>3629</v>
      </c>
      <c r="C281" s="367" t="s">
        <v>1980</v>
      </c>
      <c r="D281" s="368" t="s">
        <v>3902</v>
      </c>
      <c r="E281" s="369">
        <v>779066</v>
      </c>
      <c r="F281" s="370">
        <v>599275</v>
      </c>
    </row>
    <row r="282" spans="1:6">
      <c r="A282" s="371" t="s">
        <v>6192</v>
      </c>
      <c r="B282" s="366" t="s">
        <v>3630</v>
      </c>
      <c r="C282" s="367" t="s">
        <v>1980</v>
      </c>
      <c r="D282" s="368" t="s">
        <v>3902</v>
      </c>
      <c r="E282" s="369">
        <v>191624</v>
      </c>
      <c r="F282" s="370">
        <v>190768</v>
      </c>
    </row>
    <row r="283" spans="1:6">
      <c r="A283" s="371" t="s">
        <v>6193</v>
      </c>
      <c r="B283" s="366" t="s">
        <v>3891</v>
      </c>
      <c r="C283" s="367" t="s">
        <v>1980</v>
      </c>
      <c r="D283" s="368" t="s">
        <v>3902</v>
      </c>
      <c r="E283" s="369">
        <v>824548</v>
      </c>
      <c r="F283" s="370">
        <v>814633.23</v>
      </c>
    </row>
    <row r="284" spans="1:6">
      <c r="A284" s="371" t="s">
        <v>6194</v>
      </c>
      <c r="B284" s="366" t="s">
        <v>5292</v>
      </c>
      <c r="C284" s="367" t="s">
        <v>1980</v>
      </c>
      <c r="D284" s="368" t="s">
        <v>3902</v>
      </c>
      <c r="E284" s="369">
        <v>1729127</v>
      </c>
      <c r="F284" s="370">
        <v>1682393.75</v>
      </c>
    </row>
    <row r="285" spans="1:6">
      <c r="A285" s="371" t="s">
        <v>6195</v>
      </c>
      <c r="B285" s="366" t="s">
        <v>5293</v>
      </c>
      <c r="C285" s="367" t="s">
        <v>1980</v>
      </c>
      <c r="D285" s="368" t="s">
        <v>3902</v>
      </c>
      <c r="E285" s="369">
        <v>1598791</v>
      </c>
      <c r="F285" s="370">
        <v>1557700</v>
      </c>
    </row>
    <row r="286" spans="1:6">
      <c r="A286" s="371" t="s">
        <v>445</v>
      </c>
      <c r="B286" s="366" t="s">
        <v>5294</v>
      </c>
      <c r="C286" s="367" t="s">
        <v>1980</v>
      </c>
      <c r="D286" s="368" t="s">
        <v>3902</v>
      </c>
      <c r="E286" s="369">
        <v>496016</v>
      </c>
      <c r="F286" s="370">
        <v>489382.5</v>
      </c>
    </row>
    <row r="287" spans="1:6">
      <c r="A287" s="371" t="s">
        <v>6196</v>
      </c>
      <c r="B287" s="366" t="s">
        <v>5295</v>
      </c>
      <c r="C287" s="367" t="s">
        <v>219</v>
      </c>
      <c r="D287" s="368" t="s">
        <v>4940</v>
      </c>
      <c r="E287" s="369">
        <v>166277</v>
      </c>
      <c r="F287" s="370">
        <v>164440</v>
      </c>
    </row>
    <row r="288" spans="1:6">
      <c r="A288" s="371" t="s">
        <v>2616</v>
      </c>
      <c r="B288" s="366" t="s">
        <v>336</v>
      </c>
      <c r="C288" s="367" t="s">
        <v>219</v>
      </c>
      <c r="D288" s="368" t="s">
        <v>4940</v>
      </c>
      <c r="E288" s="369">
        <v>99258</v>
      </c>
      <c r="F288" s="370">
        <v>98594.5</v>
      </c>
    </row>
    <row r="289" spans="1:6">
      <c r="A289" s="371" t="s">
        <v>5123</v>
      </c>
      <c r="B289" s="366" t="s">
        <v>337</v>
      </c>
      <c r="C289" s="367" t="s">
        <v>1980</v>
      </c>
      <c r="D289" s="368" t="s">
        <v>3902</v>
      </c>
      <c r="E289" s="369">
        <v>477623</v>
      </c>
      <c r="F289" s="370">
        <v>587212.35</v>
      </c>
    </row>
    <row r="290" spans="1:6">
      <c r="A290" s="371" t="s">
        <v>3089</v>
      </c>
      <c r="B290" s="366" t="s">
        <v>338</v>
      </c>
      <c r="C290" s="367" t="s">
        <v>1980</v>
      </c>
      <c r="D290" s="368" t="s">
        <v>3902</v>
      </c>
      <c r="E290" s="369">
        <v>127250</v>
      </c>
      <c r="F290" s="370">
        <v>236572</v>
      </c>
    </row>
    <row r="291" spans="1:6">
      <c r="A291" s="371" t="s">
        <v>5124</v>
      </c>
      <c r="B291" s="366" t="s">
        <v>339</v>
      </c>
      <c r="C291" s="367" t="s">
        <v>1980</v>
      </c>
      <c r="D291" s="368" t="s">
        <v>3902</v>
      </c>
      <c r="E291" s="369">
        <v>906295</v>
      </c>
      <c r="F291" s="370">
        <v>896040</v>
      </c>
    </row>
    <row r="292" spans="1:6">
      <c r="A292" s="371" t="s">
        <v>5125</v>
      </c>
      <c r="B292" s="366" t="s">
        <v>340</v>
      </c>
      <c r="C292" s="367" t="s">
        <v>1980</v>
      </c>
      <c r="D292" s="368" t="s">
        <v>3902</v>
      </c>
      <c r="E292" s="369">
        <v>3945431</v>
      </c>
      <c r="F292" s="370">
        <v>3955019</v>
      </c>
    </row>
    <row r="293" spans="1:6">
      <c r="A293" s="371" t="s">
        <v>5126</v>
      </c>
      <c r="B293" s="366" t="s">
        <v>341</v>
      </c>
      <c r="C293" s="367" t="s">
        <v>1980</v>
      </c>
      <c r="D293" s="368" t="s">
        <v>3902</v>
      </c>
      <c r="E293" s="369">
        <v>294250</v>
      </c>
      <c r="F293" s="370">
        <v>521137.8</v>
      </c>
    </row>
    <row r="294" spans="1:6">
      <c r="A294" s="371" t="s">
        <v>5127</v>
      </c>
      <c r="B294" s="366" t="s">
        <v>342</v>
      </c>
      <c r="C294" s="367" t="s">
        <v>1980</v>
      </c>
      <c r="D294" s="368" t="s">
        <v>3902</v>
      </c>
      <c r="E294" s="369">
        <v>450000</v>
      </c>
      <c r="F294" s="370">
        <v>399055</v>
      </c>
    </row>
    <row r="295" spans="1:6">
      <c r="A295" s="371" t="s">
        <v>5128</v>
      </c>
      <c r="B295" s="366" t="s">
        <v>343</v>
      </c>
      <c r="C295" s="367" t="s">
        <v>1980</v>
      </c>
      <c r="D295" s="368" t="s">
        <v>3902</v>
      </c>
      <c r="E295" s="369">
        <v>139761</v>
      </c>
      <c r="F295" s="370">
        <v>498268</v>
      </c>
    </row>
    <row r="296" spans="1:6">
      <c r="A296" s="371" t="s">
        <v>2536</v>
      </c>
      <c r="B296" s="366" t="s">
        <v>344</v>
      </c>
      <c r="C296" s="367" t="s">
        <v>1980</v>
      </c>
      <c r="D296" s="368" t="s">
        <v>3902</v>
      </c>
      <c r="E296" s="369">
        <v>107925</v>
      </c>
      <c r="F296" s="370">
        <v>118066.25</v>
      </c>
    </row>
    <row r="297" spans="1:6">
      <c r="A297" s="371" t="s">
        <v>2563</v>
      </c>
      <c r="B297" s="366" t="s">
        <v>345</v>
      </c>
      <c r="C297" s="367" t="s">
        <v>1980</v>
      </c>
      <c r="D297" s="368" t="s">
        <v>3902</v>
      </c>
      <c r="E297" s="369">
        <v>362375</v>
      </c>
      <c r="F297" s="370">
        <v>361437.5</v>
      </c>
    </row>
    <row r="298" spans="1:6">
      <c r="A298" s="371" t="s">
        <v>5043</v>
      </c>
      <c r="B298" s="366" t="s">
        <v>346</v>
      </c>
      <c r="C298" s="367" t="s">
        <v>1980</v>
      </c>
      <c r="D298" s="368" t="s">
        <v>3902</v>
      </c>
      <c r="E298" s="369">
        <v>154875</v>
      </c>
      <c r="F298" s="370">
        <v>152125</v>
      </c>
    </row>
    <row r="299" spans="1:6">
      <c r="A299" s="371" t="s">
        <v>5129</v>
      </c>
      <c r="B299" s="366" t="s">
        <v>347</v>
      </c>
      <c r="C299" s="367" t="s">
        <v>1980</v>
      </c>
      <c r="D299" s="368" t="s">
        <v>3902</v>
      </c>
      <c r="E299" s="369">
        <v>315852</v>
      </c>
      <c r="F299" s="370">
        <v>584345.42000000004</v>
      </c>
    </row>
    <row r="300" spans="1:6">
      <c r="A300" s="371" t="s">
        <v>512</v>
      </c>
      <c r="B300" s="366" t="s">
        <v>348</v>
      </c>
      <c r="C300" s="367" t="s">
        <v>1980</v>
      </c>
      <c r="D300" s="368" t="s">
        <v>3902</v>
      </c>
      <c r="E300" s="369">
        <v>229112</v>
      </c>
      <c r="F300" s="370">
        <v>370041.25</v>
      </c>
    </row>
    <row r="301" spans="1:6">
      <c r="A301" s="371" t="s">
        <v>5130</v>
      </c>
      <c r="B301" s="366" t="s">
        <v>349</v>
      </c>
      <c r="C301" s="367" t="s">
        <v>1980</v>
      </c>
      <c r="D301" s="368" t="s">
        <v>3902</v>
      </c>
      <c r="E301" s="369">
        <v>228901</v>
      </c>
      <c r="F301" s="370">
        <v>239970</v>
      </c>
    </row>
    <row r="302" spans="1:6">
      <c r="A302" s="371" t="s">
        <v>5131</v>
      </c>
      <c r="B302" s="366" t="s">
        <v>350</v>
      </c>
      <c r="C302" s="367" t="s">
        <v>1980</v>
      </c>
      <c r="D302" s="368" t="s">
        <v>3902</v>
      </c>
      <c r="E302" s="369">
        <v>292085</v>
      </c>
      <c r="F302" s="370">
        <v>289918</v>
      </c>
    </row>
    <row r="303" spans="1:6">
      <c r="A303" s="371" t="s">
        <v>1847</v>
      </c>
      <c r="B303" s="366" t="s">
        <v>351</v>
      </c>
      <c r="C303" s="367" t="s">
        <v>1980</v>
      </c>
      <c r="D303" s="368" t="s">
        <v>3902</v>
      </c>
      <c r="E303" s="369">
        <v>73691</v>
      </c>
      <c r="F303" s="370">
        <v>70735</v>
      </c>
    </row>
    <row r="304" spans="1:6">
      <c r="A304" s="371" t="s">
        <v>5132</v>
      </c>
      <c r="B304" s="366" t="s">
        <v>352</v>
      </c>
      <c r="C304" s="367" t="s">
        <v>1980</v>
      </c>
      <c r="D304" s="368" t="s">
        <v>3902</v>
      </c>
      <c r="E304" s="369">
        <v>470750</v>
      </c>
      <c r="F304" s="370">
        <v>782821.24</v>
      </c>
    </row>
    <row r="305" spans="1:6">
      <c r="A305" s="371" t="s">
        <v>648</v>
      </c>
      <c r="B305" s="366" t="s">
        <v>353</v>
      </c>
      <c r="C305" s="367" t="s">
        <v>1980</v>
      </c>
      <c r="D305" s="368" t="s">
        <v>3902</v>
      </c>
      <c r="E305" s="369">
        <v>426618</v>
      </c>
      <c r="F305" s="370">
        <v>412027.5</v>
      </c>
    </row>
    <row r="306" spans="1:6">
      <c r="A306" s="371" t="s">
        <v>649</v>
      </c>
      <c r="B306" s="366" t="s">
        <v>354</v>
      </c>
      <c r="C306" s="367" t="s">
        <v>1980</v>
      </c>
      <c r="D306" s="368" t="s">
        <v>3902</v>
      </c>
      <c r="E306" s="369">
        <v>210750</v>
      </c>
      <c r="F306" s="370">
        <v>692050.92</v>
      </c>
    </row>
    <row r="307" spans="1:6">
      <c r="A307" s="371" t="s">
        <v>650</v>
      </c>
      <c r="B307" s="366" t="s">
        <v>355</v>
      </c>
      <c r="C307" s="367" t="s">
        <v>1980</v>
      </c>
      <c r="D307" s="368" t="s">
        <v>3902</v>
      </c>
      <c r="E307" s="369">
        <v>647776</v>
      </c>
      <c r="F307" s="370">
        <v>645408.76</v>
      </c>
    </row>
    <row r="308" spans="1:6">
      <c r="A308" s="371" t="s">
        <v>2766</v>
      </c>
      <c r="B308" s="366" t="s">
        <v>356</v>
      </c>
      <c r="C308" s="367" t="s">
        <v>1980</v>
      </c>
      <c r="D308" s="368" t="s">
        <v>3902</v>
      </c>
      <c r="E308" s="369">
        <v>679270</v>
      </c>
      <c r="F308" s="370">
        <v>675801.26</v>
      </c>
    </row>
    <row r="309" spans="1:6">
      <c r="A309" s="371" t="s">
        <v>2767</v>
      </c>
      <c r="B309" s="366" t="s">
        <v>357</v>
      </c>
      <c r="C309" s="367" t="s">
        <v>1980</v>
      </c>
      <c r="D309" s="368" t="s">
        <v>3902</v>
      </c>
      <c r="E309" s="369">
        <v>350000</v>
      </c>
      <c r="F309" s="370">
        <v>285042.5</v>
      </c>
    </row>
    <row r="310" spans="1:6">
      <c r="A310" s="371" t="s">
        <v>2768</v>
      </c>
      <c r="B310" s="366" t="s">
        <v>358</v>
      </c>
      <c r="C310" s="367" t="s">
        <v>1980</v>
      </c>
      <c r="D310" s="368" t="s">
        <v>3902</v>
      </c>
      <c r="E310" s="369">
        <v>81645</v>
      </c>
      <c r="F310" s="370">
        <v>71512</v>
      </c>
    </row>
    <row r="311" spans="1:6">
      <c r="A311" s="371" t="s">
        <v>2769</v>
      </c>
      <c r="B311" s="366" t="s">
        <v>359</v>
      </c>
      <c r="C311" s="367" t="s">
        <v>1980</v>
      </c>
      <c r="D311" s="368" t="s">
        <v>3902</v>
      </c>
      <c r="E311" s="369">
        <v>154071</v>
      </c>
      <c r="F311" s="370">
        <v>138072.5</v>
      </c>
    </row>
    <row r="312" spans="1:6">
      <c r="A312" s="371" t="s">
        <v>2770</v>
      </c>
      <c r="B312" s="366" t="s">
        <v>360</v>
      </c>
      <c r="C312" s="367" t="s">
        <v>219</v>
      </c>
      <c r="D312" s="368" t="s">
        <v>4940</v>
      </c>
      <c r="E312" s="369">
        <v>595803</v>
      </c>
      <c r="F312" s="370">
        <v>592208</v>
      </c>
    </row>
    <row r="313" spans="1:6">
      <c r="A313" s="371" t="s">
        <v>3087</v>
      </c>
      <c r="B313" s="366" t="s">
        <v>361</v>
      </c>
      <c r="C313" s="367" t="s">
        <v>1980</v>
      </c>
      <c r="D313" s="368" t="s">
        <v>3902</v>
      </c>
      <c r="E313" s="369">
        <v>501695</v>
      </c>
      <c r="F313" s="370">
        <v>514925</v>
      </c>
    </row>
    <row r="314" spans="1:6">
      <c r="A314" s="371" t="s">
        <v>128</v>
      </c>
      <c r="B314" s="366" t="s">
        <v>362</v>
      </c>
      <c r="C314" s="367" t="s">
        <v>1980</v>
      </c>
      <c r="D314" s="368" t="s">
        <v>3902</v>
      </c>
      <c r="E314" s="369">
        <v>140320</v>
      </c>
      <c r="F314" s="370">
        <v>323175</v>
      </c>
    </row>
    <row r="315" spans="1:6">
      <c r="A315" s="371" t="s">
        <v>2306</v>
      </c>
      <c r="B315" s="366" t="s">
        <v>363</v>
      </c>
      <c r="C315" s="367" t="s">
        <v>1980</v>
      </c>
      <c r="D315" s="368" t="s">
        <v>3902</v>
      </c>
      <c r="E315" s="369">
        <v>331772</v>
      </c>
      <c r="F315" s="370">
        <v>343550</v>
      </c>
    </row>
    <row r="316" spans="1:6">
      <c r="A316" s="371" t="s">
        <v>2771</v>
      </c>
      <c r="B316" s="366" t="s">
        <v>364</v>
      </c>
      <c r="C316" s="367" t="s">
        <v>1980</v>
      </c>
      <c r="D316" s="368" t="s">
        <v>3902</v>
      </c>
      <c r="E316" s="369">
        <v>172500</v>
      </c>
      <c r="F316" s="370">
        <v>331071.59000000003</v>
      </c>
    </row>
    <row r="317" spans="1:6">
      <c r="A317" s="371" t="s">
        <v>2307</v>
      </c>
      <c r="B317" s="366" t="s">
        <v>365</v>
      </c>
      <c r="C317" s="367" t="s">
        <v>1980</v>
      </c>
      <c r="D317" s="368" t="s">
        <v>3902</v>
      </c>
      <c r="E317" s="369">
        <v>486000</v>
      </c>
      <c r="F317" s="370">
        <v>695007.5</v>
      </c>
    </row>
    <row r="318" spans="1:6">
      <c r="A318" s="371" t="s">
        <v>2308</v>
      </c>
      <c r="B318" s="366" t="s">
        <v>366</v>
      </c>
      <c r="C318" s="367" t="s">
        <v>1980</v>
      </c>
      <c r="D318" s="368" t="s">
        <v>3902</v>
      </c>
      <c r="E318" s="369">
        <v>485685</v>
      </c>
      <c r="F318" s="370">
        <v>478080</v>
      </c>
    </row>
    <row r="319" spans="1:6">
      <c r="A319" s="371" t="s">
        <v>2309</v>
      </c>
      <c r="B319" s="366" t="s">
        <v>367</v>
      </c>
      <c r="C319" s="367" t="s">
        <v>1980</v>
      </c>
      <c r="D319" s="368" t="s">
        <v>3902</v>
      </c>
      <c r="E319" s="369">
        <v>188100</v>
      </c>
      <c r="F319" s="370">
        <v>182407.5</v>
      </c>
    </row>
    <row r="320" spans="1:6">
      <c r="A320" s="371" t="s">
        <v>3886</v>
      </c>
      <c r="B320" s="366" t="s">
        <v>368</v>
      </c>
      <c r="C320" s="367" t="s">
        <v>1980</v>
      </c>
      <c r="D320" s="368" t="s">
        <v>3902</v>
      </c>
      <c r="E320" s="369">
        <v>1385266</v>
      </c>
      <c r="F320" s="370">
        <v>1384848.75</v>
      </c>
    </row>
    <row r="321" spans="1:6">
      <c r="A321" s="371" t="s">
        <v>2471</v>
      </c>
      <c r="B321" s="366" t="s">
        <v>369</v>
      </c>
      <c r="C321" s="367" t="s">
        <v>1980</v>
      </c>
      <c r="D321" s="368" t="s">
        <v>3902</v>
      </c>
      <c r="E321" s="369">
        <v>100000</v>
      </c>
      <c r="F321" s="370">
        <v>106180</v>
      </c>
    </row>
    <row r="322" spans="1:6">
      <c r="A322" s="371" t="s">
        <v>444</v>
      </c>
      <c r="B322" s="366" t="s">
        <v>370</v>
      </c>
      <c r="C322" s="367" t="s">
        <v>1980</v>
      </c>
      <c r="D322" s="368" t="s">
        <v>3902</v>
      </c>
      <c r="E322" s="369">
        <v>42457</v>
      </c>
      <c r="F322" s="370">
        <v>41531</v>
      </c>
    </row>
    <row r="323" spans="1:6">
      <c r="A323" s="371" t="s">
        <v>2382</v>
      </c>
      <c r="B323" s="366" t="s">
        <v>371</v>
      </c>
      <c r="C323" s="367" t="s">
        <v>1980</v>
      </c>
      <c r="D323" s="368" t="s">
        <v>3902</v>
      </c>
      <c r="E323" s="369">
        <v>4872062</v>
      </c>
      <c r="F323" s="370">
        <v>4156121</v>
      </c>
    </row>
    <row r="324" spans="1:6">
      <c r="A324" s="371" t="s">
        <v>129</v>
      </c>
      <c r="B324" s="366" t="s">
        <v>372</v>
      </c>
      <c r="C324" s="367" t="s">
        <v>1980</v>
      </c>
      <c r="D324" s="368" t="s">
        <v>3902</v>
      </c>
      <c r="E324" s="369">
        <v>84250</v>
      </c>
      <c r="F324" s="370">
        <v>84950</v>
      </c>
    </row>
    <row r="325" spans="1:6">
      <c r="A325" s="371" t="s">
        <v>870</v>
      </c>
      <c r="B325" s="366" t="s">
        <v>373</v>
      </c>
      <c r="C325" s="367" t="s">
        <v>1980</v>
      </c>
      <c r="D325" s="368" t="s">
        <v>3902</v>
      </c>
      <c r="E325" s="369">
        <v>491500</v>
      </c>
      <c r="F325" s="370">
        <v>599998.75</v>
      </c>
    </row>
    <row r="326" spans="1:6">
      <c r="A326" s="371" t="s">
        <v>2383</v>
      </c>
      <c r="B326" s="366" t="s">
        <v>374</v>
      </c>
      <c r="C326" s="367" t="s">
        <v>1980</v>
      </c>
      <c r="D326" s="368" t="s">
        <v>3902</v>
      </c>
      <c r="E326" s="369">
        <v>30292</v>
      </c>
      <c r="F326" s="370">
        <v>24385</v>
      </c>
    </row>
    <row r="327" spans="1:6">
      <c r="A327" s="371" t="s">
        <v>2472</v>
      </c>
      <c r="B327" s="366" t="s">
        <v>375</v>
      </c>
      <c r="C327" s="367" t="s">
        <v>1980</v>
      </c>
      <c r="D327" s="368" t="s">
        <v>3902</v>
      </c>
      <c r="E327" s="369">
        <v>124225</v>
      </c>
      <c r="F327" s="370">
        <v>128133.75999999999</v>
      </c>
    </row>
    <row r="328" spans="1:6">
      <c r="A328" s="371" t="s">
        <v>2384</v>
      </c>
      <c r="B328" s="366" t="s">
        <v>376</v>
      </c>
      <c r="C328" s="367" t="s">
        <v>1980</v>
      </c>
      <c r="D328" s="368" t="s">
        <v>3902</v>
      </c>
      <c r="E328" s="369">
        <v>211190</v>
      </c>
      <c r="F328" s="370">
        <v>371033.96</v>
      </c>
    </row>
    <row r="329" spans="1:6">
      <c r="A329" s="371" t="s">
        <v>2832</v>
      </c>
      <c r="B329" s="366" t="s">
        <v>377</v>
      </c>
      <c r="C329" s="367" t="s">
        <v>1980</v>
      </c>
      <c r="D329" s="368" t="s">
        <v>3902</v>
      </c>
      <c r="E329" s="369">
        <v>45485</v>
      </c>
      <c r="F329" s="370">
        <v>46235</v>
      </c>
    </row>
    <row r="330" spans="1:6">
      <c r="A330" s="371" t="s">
        <v>2385</v>
      </c>
      <c r="B330" s="366" t="s">
        <v>378</v>
      </c>
      <c r="C330" s="367" t="s">
        <v>1980</v>
      </c>
      <c r="D330" s="368" t="s">
        <v>3902</v>
      </c>
      <c r="E330" s="369">
        <v>1247036</v>
      </c>
      <c r="F330" s="370">
        <v>597796.26</v>
      </c>
    </row>
    <row r="331" spans="1:6">
      <c r="A331" s="371" t="s">
        <v>2386</v>
      </c>
      <c r="B331" s="366" t="s">
        <v>379</v>
      </c>
      <c r="C331" s="367" t="s">
        <v>1980</v>
      </c>
      <c r="D331" s="368" t="s">
        <v>3902</v>
      </c>
      <c r="E331" s="369">
        <v>13875000</v>
      </c>
      <c r="F331" s="370">
        <v>16405556.25</v>
      </c>
    </row>
    <row r="332" spans="1:6">
      <c r="A332" s="371" t="s">
        <v>2387</v>
      </c>
      <c r="B332" s="366" t="s">
        <v>380</v>
      </c>
      <c r="C332" s="367" t="s">
        <v>1980</v>
      </c>
      <c r="D332" s="368" t="s">
        <v>3902</v>
      </c>
      <c r="E332" s="369">
        <v>1925904</v>
      </c>
      <c r="F332" s="370">
        <v>1801319</v>
      </c>
    </row>
    <row r="333" spans="1:6">
      <c r="A333" s="371" t="s">
        <v>3092</v>
      </c>
      <c r="B333" s="366" t="s">
        <v>381</v>
      </c>
      <c r="C333" s="367" t="s">
        <v>1980</v>
      </c>
      <c r="D333" s="368" t="s">
        <v>3902</v>
      </c>
      <c r="E333" s="369">
        <v>395737</v>
      </c>
      <c r="F333" s="370">
        <v>391632.5</v>
      </c>
    </row>
    <row r="334" spans="1:6">
      <c r="A334" s="371" t="s">
        <v>2388</v>
      </c>
      <c r="B334" s="366" t="s">
        <v>382</v>
      </c>
      <c r="C334" s="367" t="s">
        <v>219</v>
      </c>
      <c r="D334" s="368" t="s">
        <v>4940</v>
      </c>
      <c r="E334" s="369">
        <v>204473</v>
      </c>
      <c r="F334" s="370">
        <v>196920</v>
      </c>
    </row>
    <row r="335" spans="1:6">
      <c r="A335" s="371" t="s">
        <v>2389</v>
      </c>
      <c r="B335" s="366" t="s">
        <v>383</v>
      </c>
      <c r="C335" s="367" t="s">
        <v>219</v>
      </c>
      <c r="D335" s="368" t="s">
        <v>4940</v>
      </c>
      <c r="E335" s="369">
        <v>945200</v>
      </c>
      <c r="F335" s="370">
        <v>670579</v>
      </c>
    </row>
    <row r="336" spans="1:6">
      <c r="A336" s="371" t="s">
        <v>5040</v>
      </c>
      <c r="B336" s="366" t="s">
        <v>384</v>
      </c>
      <c r="C336" s="367" t="s">
        <v>1980</v>
      </c>
      <c r="D336" s="368" t="s">
        <v>3902</v>
      </c>
      <c r="E336" s="369">
        <v>99319</v>
      </c>
      <c r="F336" s="370">
        <v>96757.5</v>
      </c>
    </row>
    <row r="337" spans="1:6">
      <c r="A337" s="371" t="s">
        <v>2390</v>
      </c>
      <c r="B337" s="366" t="s">
        <v>1455</v>
      </c>
      <c r="C337" s="367" t="s">
        <v>1980</v>
      </c>
      <c r="D337" s="368" t="s">
        <v>3902</v>
      </c>
      <c r="E337" s="369">
        <v>190287</v>
      </c>
      <c r="F337" s="370">
        <v>183201</v>
      </c>
    </row>
    <row r="338" spans="1:6">
      <c r="A338" s="371" t="s">
        <v>2391</v>
      </c>
      <c r="B338" s="366" t="s">
        <v>1456</v>
      </c>
      <c r="C338" s="367" t="s">
        <v>1980</v>
      </c>
      <c r="D338" s="368" t="s">
        <v>3902</v>
      </c>
      <c r="E338" s="369">
        <v>161107</v>
      </c>
      <c r="F338" s="370">
        <v>145313.26</v>
      </c>
    </row>
    <row r="339" spans="1:6">
      <c r="A339" s="371" t="s">
        <v>440</v>
      </c>
      <c r="B339" s="366" t="s">
        <v>1457</v>
      </c>
      <c r="C339" s="367" t="s">
        <v>1980</v>
      </c>
      <c r="D339" s="368" t="s">
        <v>3902</v>
      </c>
      <c r="E339" s="369">
        <v>100000</v>
      </c>
      <c r="F339" s="370">
        <v>101335</v>
      </c>
    </row>
    <row r="340" spans="1:6">
      <c r="A340" s="371" t="s">
        <v>2392</v>
      </c>
      <c r="B340" s="366" t="s">
        <v>1458</v>
      </c>
      <c r="C340" s="367" t="s">
        <v>1980</v>
      </c>
      <c r="D340" s="368" t="s">
        <v>3902</v>
      </c>
      <c r="E340" s="369">
        <v>1012578</v>
      </c>
      <c r="F340" s="370">
        <v>1482138.38</v>
      </c>
    </row>
    <row r="341" spans="1:6">
      <c r="A341" s="371" t="s">
        <v>3088</v>
      </c>
      <c r="B341" s="366" t="s">
        <v>1459</v>
      </c>
      <c r="C341" s="367" t="s">
        <v>1980</v>
      </c>
      <c r="D341" s="368" t="s">
        <v>3902</v>
      </c>
      <c r="E341" s="369">
        <v>103380</v>
      </c>
      <c r="F341" s="370">
        <v>110225</v>
      </c>
    </row>
    <row r="342" spans="1:6">
      <c r="A342" s="371" t="s">
        <v>2393</v>
      </c>
      <c r="B342" s="366" t="s">
        <v>1460</v>
      </c>
      <c r="C342" s="367" t="s">
        <v>1980</v>
      </c>
      <c r="D342" s="368" t="s">
        <v>3902</v>
      </c>
      <c r="E342" s="369">
        <v>307678</v>
      </c>
      <c r="F342" s="370">
        <v>285150</v>
      </c>
    </row>
    <row r="343" spans="1:6">
      <c r="A343" s="371" t="s">
        <v>2394</v>
      </c>
      <c r="B343" s="366" t="s">
        <v>1461</v>
      </c>
      <c r="C343" s="367" t="s">
        <v>1980</v>
      </c>
      <c r="D343" s="368" t="s">
        <v>3902</v>
      </c>
      <c r="E343" s="369">
        <v>328404</v>
      </c>
      <c r="F343" s="370">
        <v>429918.3</v>
      </c>
    </row>
    <row r="344" spans="1:6">
      <c r="A344" s="371" t="s">
        <v>2395</v>
      </c>
      <c r="B344" s="366" t="s">
        <v>1462</v>
      </c>
      <c r="C344" s="367" t="s">
        <v>219</v>
      </c>
      <c r="D344" s="368" t="s">
        <v>4940</v>
      </c>
      <c r="E344" s="369">
        <v>170846</v>
      </c>
      <c r="F344" s="370">
        <v>169730</v>
      </c>
    </row>
    <row r="345" spans="1:6">
      <c r="A345" s="371" t="s">
        <v>2396</v>
      </c>
      <c r="B345" s="366" t="s">
        <v>1463</v>
      </c>
      <c r="C345" s="367" t="s">
        <v>1980</v>
      </c>
      <c r="D345" s="368" t="s">
        <v>3902</v>
      </c>
      <c r="E345" s="369">
        <v>1582356</v>
      </c>
      <c r="F345" s="370">
        <v>1584993</v>
      </c>
    </row>
    <row r="346" spans="1:6">
      <c r="A346" s="371" t="s">
        <v>2397</v>
      </c>
      <c r="B346" s="366" t="s">
        <v>1464</v>
      </c>
      <c r="C346" s="367" t="s">
        <v>1980</v>
      </c>
      <c r="D346" s="368" t="s">
        <v>3902</v>
      </c>
      <c r="E346" s="369">
        <v>281008</v>
      </c>
      <c r="F346" s="370">
        <v>258880</v>
      </c>
    </row>
    <row r="347" spans="1:6">
      <c r="A347" s="371" t="s">
        <v>3885</v>
      </c>
      <c r="B347" s="366" t="s">
        <v>1465</v>
      </c>
      <c r="C347" s="367" t="s">
        <v>1980</v>
      </c>
      <c r="D347" s="368" t="s">
        <v>3902</v>
      </c>
      <c r="E347" s="369">
        <v>176318</v>
      </c>
      <c r="F347" s="370">
        <v>168365</v>
      </c>
    </row>
    <row r="348" spans="1:6">
      <c r="A348" s="371" t="s">
        <v>2398</v>
      </c>
      <c r="B348" s="366" t="s">
        <v>1466</v>
      </c>
      <c r="C348" s="367" t="s">
        <v>1980</v>
      </c>
      <c r="D348" s="368" t="s">
        <v>3902</v>
      </c>
      <c r="E348" s="369">
        <v>831475</v>
      </c>
      <c r="F348" s="370">
        <v>874850</v>
      </c>
    </row>
    <row r="349" spans="1:6">
      <c r="A349" s="371" t="s">
        <v>2570</v>
      </c>
      <c r="B349" s="366" t="s">
        <v>1467</v>
      </c>
      <c r="C349" s="367" t="s">
        <v>1980</v>
      </c>
      <c r="D349" s="368" t="s">
        <v>3902</v>
      </c>
      <c r="E349" s="369">
        <v>130653</v>
      </c>
      <c r="F349" s="370">
        <v>128247.5</v>
      </c>
    </row>
    <row r="350" spans="1:6">
      <c r="A350" s="371" t="s">
        <v>1837</v>
      </c>
      <c r="B350" s="366" t="s">
        <v>1468</v>
      </c>
      <c r="C350" s="367" t="s">
        <v>1980</v>
      </c>
      <c r="D350" s="368" t="s">
        <v>3902</v>
      </c>
      <c r="E350" s="369">
        <v>463509</v>
      </c>
      <c r="F350" s="370">
        <v>460571</v>
      </c>
    </row>
    <row r="351" spans="1:6">
      <c r="A351" s="371" t="s">
        <v>2399</v>
      </c>
      <c r="B351" s="366" t="s">
        <v>2341</v>
      </c>
      <c r="C351" s="367" t="s">
        <v>1980</v>
      </c>
      <c r="D351" s="368" t="s">
        <v>3902</v>
      </c>
      <c r="E351" s="369">
        <v>176917</v>
      </c>
      <c r="F351" s="370">
        <v>178036</v>
      </c>
    </row>
    <row r="352" spans="1:6">
      <c r="A352" s="371" t="s">
        <v>2400</v>
      </c>
      <c r="B352" s="366" t="s">
        <v>2342</v>
      </c>
      <c r="C352" s="367" t="s">
        <v>1980</v>
      </c>
      <c r="D352" s="368" t="s">
        <v>3902</v>
      </c>
      <c r="E352" s="369">
        <v>100000</v>
      </c>
      <c r="F352" s="370">
        <v>101648.22</v>
      </c>
    </row>
    <row r="353" spans="1:6">
      <c r="A353" s="371" t="s">
        <v>438</v>
      </c>
      <c r="B353" s="366" t="s">
        <v>2343</v>
      </c>
      <c r="C353" s="367" t="s">
        <v>1980</v>
      </c>
      <c r="D353" s="368" t="s">
        <v>3902</v>
      </c>
      <c r="E353" s="369">
        <v>449656</v>
      </c>
      <c r="F353" s="370">
        <v>802613.77</v>
      </c>
    </row>
    <row r="354" spans="1:6">
      <c r="A354" s="371" t="s">
        <v>969</v>
      </c>
      <c r="B354" s="366" t="s">
        <v>2344</v>
      </c>
      <c r="C354" s="367" t="s">
        <v>219</v>
      </c>
      <c r="D354" s="368" t="s">
        <v>4940</v>
      </c>
      <c r="E354" s="369">
        <v>97293</v>
      </c>
      <c r="F354" s="370">
        <v>98913</v>
      </c>
    </row>
    <row r="355" spans="1:6">
      <c r="A355" s="371" t="s">
        <v>2401</v>
      </c>
      <c r="B355" s="366" t="s">
        <v>2345</v>
      </c>
      <c r="C355" s="367" t="s">
        <v>1980</v>
      </c>
      <c r="D355" s="368" t="s">
        <v>3902</v>
      </c>
      <c r="E355" s="369">
        <v>1524945</v>
      </c>
      <c r="F355" s="370">
        <v>1526954</v>
      </c>
    </row>
    <row r="356" spans="1:6">
      <c r="A356" s="371" t="s">
        <v>2402</v>
      </c>
      <c r="B356" s="366" t="s">
        <v>2346</v>
      </c>
      <c r="C356" s="367" t="s">
        <v>219</v>
      </c>
      <c r="D356" s="368" t="s">
        <v>4940</v>
      </c>
      <c r="E356" s="369">
        <v>565687</v>
      </c>
      <c r="F356" s="370">
        <v>284401</v>
      </c>
    </row>
    <row r="357" spans="1:6">
      <c r="A357" s="371" t="s">
        <v>2403</v>
      </c>
      <c r="B357" s="366" t="s">
        <v>2347</v>
      </c>
      <c r="C357" s="367" t="s">
        <v>1980</v>
      </c>
      <c r="D357" s="368" t="s">
        <v>3902</v>
      </c>
      <c r="E357" s="369">
        <v>2400433.2749999999</v>
      </c>
      <c r="F357" s="370">
        <v>2416420</v>
      </c>
    </row>
    <row r="358" spans="1:6">
      <c r="A358" s="371" t="s">
        <v>2404</v>
      </c>
      <c r="B358" s="366" t="s">
        <v>2348</v>
      </c>
      <c r="C358" s="367" t="s">
        <v>219</v>
      </c>
      <c r="D358" s="368" t="s">
        <v>4940</v>
      </c>
      <c r="E358" s="369">
        <v>345700</v>
      </c>
      <c r="F358" s="370">
        <v>366250</v>
      </c>
    </row>
    <row r="359" spans="1:6">
      <c r="A359" s="371" t="s">
        <v>3082</v>
      </c>
      <c r="B359" s="366" t="s">
        <v>2349</v>
      </c>
      <c r="C359" s="367" t="s">
        <v>1980</v>
      </c>
      <c r="D359" s="368" t="s">
        <v>3902</v>
      </c>
      <c r="E359" s="369">
        <v>2212705</v>
      </c>
      <c r="F359" s="370">
        <v>2187156</v>
      </c>
    </row>
    <row r="360" spans="1:6">
      <c r="A360" s="371" t="s">
        <v>2405</v>
      </c>
      <c r="B360" s="366" t="s">
        <v>2350</v>
      </c>
      <c r="C360" s="367" t="s">
        <v>219</v>
      </c>
      <c r="D360" s="368" t="s">
        <v>4940</v>
      </c>
      <c r="E360" s="369">
        <v>605123</v>
      </c>
      <c r="F360" s="370">
        <v>605568</v>
      </c>
    </row>
    <row r="361" spans="1:6">
      <c r="A361" s="371" t="s">
        <v>2406</v>
      </c>
      <c r="B361" s="366" t="s">
        <v>2351</v>
      </c>
      <c r="C361" s="367" t="s">
        <v>1980</v>
      </c>
      <c r="D361" s="368" t="s">
        <v>3902</v>
      </c>
      <c r="E361" s="369">
        <v>398517</v>
      </c>
      <c r="F361" s="370">
        <v>616191</v>
      </c>
    </row>
    <row r="362" spans="1:6">
      <c r="A362" s="371" t="s">
        <v>2407</v>
      </c>
      <c r="B362" s="366" t="s">
        <v>2352</v>
      </c>
      <c r="C362" s="367" t="s">
        <v>1980</v>
      </c>
      <c r="D362" s="368" t="s">
        <v>3902</v>
      </c>
      <c r="E362" s="369">
        <v>700070</v>
      </c>
      <c r="F362" s="370">
        <v>1552023</v>
      </c>
    </row>
    <row r="363" spans="1:6">
      <c r="A363" s="371" t="s">
        <v>4072</v>
      </c>
      <c r="B363" s="366" t="s">
        <v>2353</v>
      </c>
      <c r="C363" s="367" t="s">
        <v>1980</v>
      </c>
      <c r="D363" s="368" t="s">
        <v>3902</v>
      </c>
      <c r="E363" s="369">
        <v>103335</v>
      </c>
      <c r="F363" s="370">
        <v>208674.39</v>
      </c>
    </row>
    <row r="364" spans="1:6">
      <c r="A364" s="371" t="s">
        <v>5138</v>
      </c>
      <c r="B364" s="366" t="s">
        <v>2354</v>
      </c>
      <c r="C364" s="367" t="s">
        <v>1980</v>
      </c>
      <c r="D364" s="368" t="s">
        <v>3902</v>
      </c>
      <c r="E364" s="369">
        <v>187854</v>
      </c>
      <c r="F364" s="370">
        <v>187320</v>
      </c>
    </row>
    <row r="365" spans="1:6">
      <c r="A365" s="371" t="s">
        <v>2408</v>
      </c>
      <c r="B365" s="366" t="s">
        <v>2355</v>
      </c>
      <c r="C365" s="367" t="s">
        <v>1980</v>
      </c>
      <c r="D365" s="368" t="s">
        <v>3902</v>
      </c>
      <c r="E365" s="369">
        <v>583662</v>
      </c>
      <c r="F365" s="370">
        <v>1451866</v>
      </c>
    </row>
    <row r="366" spans="1:6">
      <c r="A366" s="371" t="s">
        <v>2409</v>
      </c>
      <c r="B366" s="366" t="s">
        <v>2356</v>
      </c>
      <c r="C366" s="367" t="s">
        <v>1980</v>
      </c>
      <c r="D366" s="368" t="s">
        <v>3902</v>
      </c>
      <c r="E366" s="369">
        <v>184365</v>
      </c>
      <c r="F366" s="370">
        <v>188668</v>
      </c>
    </row>
    <row r="367" spans="1:6">
      <c r="A367" s="371" t="s">
        <v>2046</v>
      </c>
      <c r="B367" s="366" t="s">
        <v>2357</v>
      </c>
      <c r="C367" s="367" t="s">
        <v>1980</v>
      </c>
      <c r="D367" s="368" t="s">
        <v>3902</v>
      </c>
      <c r="E367" s="369">
        <v>100000</v>
      </c>
      <c r="F367" s="370">
        <v>96340</v>
      </c>
    </row>
    <row r="368" spans="1:6">
      <c r="A368" s="371" t="s">
        <v>3884</v>
      </c>
      <c r="B368" s="366" t="s">
        <v>5362</v>
      </c>
      <c r="C368" s="367" t="s">
        <v>1980</v>
      </c>
      <c r="D368" s="368" t="s">
        <v>3902</v>
      </c>
      <c r="E368" s="369">
        <v>347528</v>
      </c>
      <c r="F368" s="370">
        <v>356977.5</v>
      </c>
    </row>
    <row r="369" spans="1:6">
      <c r="A369" s="371" t="s">
        <v>2473</v>
      </c>
      <c r="B369" s="366" t="s">
        <v>5363</v>
      </c>
      <c r="C369" s="367" t="s">
        <v>1980</v>
      </c>
      <c r="D369" s="368" t="s">
        <v>3902</v>
      </c>
      <c r="E369" s="369">
        <v>472480</v>
      </c>
      <c r="F369" s="370">
        <v>670562.5</v>
      </c>
    </row>
    <row r="370" spans="1:6">
      <c r="A370" s="371" t="s">
        <v>2411</v>
      </c>
      <c r="B370" s="366" t="s">
        <v>5364</v>
      </c>
      <c r="C370" s="367" t="s">
        <v>1980</v>
      </c>
      <c r="D370" s="368" t="s">
        <v>3902</v>
      </c>
      <c r="E370" s="369">
        <v>767280</v>
      </c>
      <c r="F370" s="370">
        <v>599592</v>
      </c>
    </row>
    <row r="371" spans="1:6">
      <c r="A371" s="371" t="s">
        <v>2412</v>
      </c>
      <c r="B371" s="366" t="s">
        <v>5365</v>
      </c>
      <c r="C371" s="367" t="s">
        <v>1980</v>
      </c>
      <c r="D371" s="368" t="s">
        <v>3902</v>
      </c>
      <c r="E371" s="369">
        <v>114342</v>
      </c>
      <c r="F371" s="370">
        <v>124227.5</v>
      </c>
    </row>
    <row r="372" spans="1:6">
      <c r="A372" s="371" t="s">
        <v>2413</v>
      </c>
      <c r="B372" s="366" t="s">
        <v>5366</v>
      </c>
      <c r="C372" s="367" t="s">
        <v>1980</v>
      </c>
      <c r="D372" s="368" t="s">
        <v>3902</v>
      </c>
      <c r="E372" s="369">
        <v>117457</v>
      </c>
      <c r="F372" s="370">
        <v>228910</v>
      </c>
    </row>
    <row r="373" spans="1:6">
      <c r="A373" s="371" t="s">
        <v>2414</v>
      </c>
      <c r="B373" s="366" t="s">
        <v>5367</v>
      </c>
      <c r="C373" s="367" t="s">
        <v>1980</v>
      </c>
      <c r="D373" s="368" t="s">
        <v>3902</v>
      </c>
      <c r="E373" s="369">
        <v>44910</v>
      </c>
      <c r="F373" s="370">
        <v>31303</v>
      </c>
    </row>
    <row r="374" spans="1:6">
      <c r="A374" s="371" t="s">
        <v>2415</v>
      </c>
      <c r="B374" s="366" t="s">
        <v>5368</v>
      </c>
      <c r="C374" s="367" t="s">
        <v>1980</v>
      </c>
      <c r="D374" s="368" t="s">
        <v>3902</v>
      </c>
      <c r="E374" s="369">
        <v>68908</v>
      </c>
      <c r="F374" s="370">
        <v>69450</v>
      </c>
    </row>
    <row r="375" spans="1:6">
      <c r="A375" s="371" t="s">
        <v>2416</v>
      </c>
      <c r="B375" s="366" t="s">
        <v>5369</v>
      </c>
      <c r="C375" s="367" t="s">
        <v>1980</v>
      </c>
      <c r="D375" s="368" t="s">
        <v>3902</v>
      </c>
      <c r="E375" s="369">
        <v>290625</v>
      </c>
      <c r="F375" s="370">
        <v>289544.65999999997</v>
      </c>
    </row>
    <row r="376" spans="1:6">
      <c r="A376" s="371" t="s">
        <v>2417</v>
      </c>
      <c r="B376" s="366" t="s">
        <v>5370</v>
      </c>
      <c r="C376" s="367" t="s">
        <v>1980</v>
      </c>
      <c r="D376" s="368" t="s">
        <v>3902</v>
      </c>
      <c r="E376" s="369">
        <v>1098957</v>
      </c>
      <c r="F376" s="370">
        <v>2173962</v>
      </c>
    </row>
    <row r="377" spans="1:6">
      <c r="A377" s="371" t="s">
        <v>2418</v>
      </c>
      <c r="B377" s="366" t="s">
        <v>5371</v>
      </c>
      <c r="C377" s="367" t="s">
        <v>1980</v>
      </c>
      <c r="D377" s="368" t="s">
        <v>3902</v>
      </c>
      <c r="E377" s="369">
        <v>1300000</v>
      </c>
      <c r="F377" s="370">
        <v>1407623</v>
      </c>
    </row>
    <row r="378" spans="1:6">
      <c r="A378" s="371" t="s">
        <v>2419</v>
      </c>
      <c r="B378" s="366" t="s">
        <v>5372</v>
      </c>
      <c r="C378" s="367" t="s">
        <v>1980</v>
      </c>
      <c r="D378" s="368" t="s">
        <v>3902</v>
      </c>
      <c r="E378" s="369">
        <v>401791</v>
      </c>
      <c r="F378" s="370">
        <v>380418</v>
      </c>
    </row>
    <row r="379" spans="1:6">
      <c r="A379" s="371" t="s">
        <v>2836</v>
      </c>
      <c r="B379" s="366" t="s">
        <v>5373</v>
      </c>
      <c r="C379" s="367" t="s">
        <v>1980</v>
      </c>
      <c r="D379" s="368" t="s">
        <v>3902</v>
      </c>
      <c r="E379" s="369">
        <v>304630</v>
      </c>
      <c r="F379" s="370">
        <v>516876.95</v>
      </c>
    </row>
    <row r="380" spans="1:6">
      <c r="A380" s="371" t="s">
        <v>3551</v>
      </c>
      <c r="B380" s="366" t="s">
        <v>7131</v>
      </c>
      <c r="C380" s="367" t="s">
        <v>1980</v>
      </c>
      <c r="D380" s="368" t="s">
        <v>3902</v>
      </c>
      <c r="E380" s="369">
        <v>193797</v>
      </c>
      <c r="F380" s="370">
        <v>180892.5</v>
      </c>
    </row>
    <row r="381" spans="1:6">
      <c r="A381" s="371" t="s">
        <v>7288</v>
      </c>
      <c r="B381" s="366" t="s">
        <v>7132</v>
      </c>
      <c r="C381" s="367" t="s">
        <v>1980</v>
      </c>
      <c r="D381" s="368" t="s">
        <v>3902</v>
      </c>
      <c r="E381" s="369">
        <v>100000</v>
      </c>
      <c r="F381" s="370">
        <v>109642</v>
      </c>
    </row>
    <row r="382" spans="1:6">
      <c r="A382" s="371" t="s">
        <v>3552</v>
      </c>
      <c r="B382" s="366" t="s">
        <v>4058</v>
      </c>
      <c r="C382" s="367" t="s">
        <v>1980</v>
      </c>
      <c r="D382" s="368" t="s">
        <v>3902</v>
      </c>
      <c r="E382" s="369">
        <v>2126212</v>
      </c>
      <c r="F382" s="370">
        <v>2016171</v>
      </c>
    </row>
    <row r="383" spans="1:6">
      <c r="A383" s="371" t="s">
        <v>5033</v>
      </c>
      <c r="B383" s="366" t="s">
        <v>4059</v>
      </c>
      <c r="C383" s="367" t="s">
        <v>1980</v>
      </c>
      <c r="D383" s="368" t="s">
        <v>3902</v>
      </c>
      <c r="E383" s="369">
        <v>1258064</v>
      </c>
      <c r="F383" s="370">
        <v>1326926.8799999999</v>
      </c>
    </row>
    <row r="384" spans="1:6">
      <c r="A384" s="371" t="s">
        <v>3553</v>
      </c>
      <c r="B384" s="366" t="s">
        <v>4060</v>
      </c>
      <c r="C384" s="367" t="s">
        <v>1980</v>
      </c>
      <c r="D384" s="368" t="s">
        <v>3902</v>
      </c>
      <c r="E384" s="369">
        <v>1464892</v>
      </c>
      <c r="F384" s="370">
        <v>1448435</v>
      </c>
    </row>
    <row r="385" spans="1:6">
      <c r="A385" s="371" t="s">
        <v>3554</v>
      </c>
      <c r="B385" s="366" t="s">
        <v>4061</v>
      </c>
      <c r="C385" s="367" t="s">
        <v>1980</v>
      </c>
      <c r="D385" s="368" t="s">
        <v>3902</v>
      </c>
      <c r="E385" s="369">
        <v>216359</v>
      </c>
      <c r="F385" s="370">
        <v>219132.5</v>
      </c>
    </row>
    <row r="386" spans="1:6">
      <c r="A386" s="371" t="s">
        <v>5039</v>
      </c>
      <c r="B386" s="366" t="s">
        <v>4062</v>
      </c>
      <c r="C386" s="367" t="s">
        <v>1980</v>
      </c>
      <c r="D386" s="368" t="s">
        <v>3902</v>
      </c>
      <c r="E386" s="369">
        <v>1125380.55</v>
      </c>
      <c r="F386" s="370">
        <v>1052807.25</v>
      </c>
    </row>
    <row r="387" spans="1:6">
      <c r="A387" s="371" t="s">
        <v>2474</v>
      </c>
      <c r="B387" s="366" t="s">
        <v>329</v>
      </c>
      <c r="C387" s="367" t="s">
        <v>219</v>
      </c>
      <c r="D387" s="368" t="s">
        <v>4940</v>
      </c>
      <c r="E387" s="369">
        <v>100000</v>
      </c>
      <c r="F387" s="370">
        <v>110595</v>
      </c>
    </row>
    <row r="388" spans="1:6">
      <c r="A388" s="371" t="s">
        <v>3555</v>
      </c>
      <c r="B388" s="366" t="s">
        <v>4063</v>
      </c>
      <c r="C388" s="367" t="s">
        <v>1980</v>
      </c>
      <c r="D388" s="368" t="s">
        <v>3902</v>
      </c>
      <c r="E388" s="369">
        <v>1270445</v>
      </c>
      <c r="F388" s="370">
        <v>1412506.78</v>
      </c>
    </row>
    <row r="389" spans="1:6">
      <c r="A389" s="371" t="s">
        <v>5034</v>
      </c>
      <c r="B389" s="366" t="s">
        <v>4064</v>
      </c>
      <c r="C389" s="367" t="s">
        <v>1980</v>
      </c>
      <c r="D389" s="368" t="s">
        <v>3902</v>
      </c>
      <c r="E389" s="369">
        <v>240000</v>
      </c>
      <c r="F389" s="370">
        <v>1050000</v>
      </c>
    </row>
    <row r="390" spans="1:6">
      <c r="A390" s="371" t="s">
        <v>3096</v>
      </c>
      <c r="B390" s="366" t="s">
        <v>4065</v>
      </c>
      <c r="C390" s="367" t="s">
        <v>1980</v>
      </c>
      <c r="D390" s="368" t="s">
        <v>3902</v>
      </c>
      <c r="E390" s="369">
        <v>1471397</v>
      </c>
      <c r="F390" s="370">
        <v>1471776.26</v>
      </c>
    </row>
    <row r="391" spans="1:6">
      <c r="A391" s="371" t="s">
        <v>856</v>
      </c>
      <c r="B391" s="366" t="s">
        <v>4066</v>
      </c>
      <c r="C391" s="367" t="s">
        <v>1980</v>
      </c>
      <c r="D391" s="368" t="s">
        <v>3902</v>
      </c>
      <c r="E391" s="369">
        <v>1101</v>
      </c>
      <c r="F391" s="370">
        <v>243516.13</v>
      </c>
    </row>
    <row r="392" spans="1:6">
      <c r="A392" s="371" t="s">
        <v>3556</v>
      </c>
      <c r="B392" s="366" t="s">
        <v>4067</v>
      </c>
      <c r="C392" s="367" t="s">
        <v>1980</v>
      </c>
      <c r="D392" s="368" t="s">
        <v>3902</v>
      </c>
      <c r="E392" s="369">
        <v>390109</v>
      </c>
      <c r="F392" s="370">
        <v>822605.83</v>
      </c>
    </row>
    <row r="393" spans="1:6">
      <c r="A393" s="371" t="s">
        <v>967</v>
      </c>
      <c r="B393" s="366" t="s">
        <v>4068</v>
      </c>
      <c r="C393" s="367" t="s">
        <v>219</v>
      </c>
      <c r="D393" s="368" t="s">
        <v>4940</v>
      </c>
      <c r="E393" s="369">
        <v>100000</v>
      </c>
      <c r="F393" s="370">
        <v>100978</v>
      </c>
    </row>
    <row r="394" spans="1:6">
      <c r="A394" s="371" t="s">
        <v>857</v>
      </c>
      <c r="B394" s="366" t="s">
        <v>4069</v>
      </c>
      <c r="C394" s="367" t="s">
        <v>1980</v>
      </c>
      <c r="D394" s="368" t="s">
        <v>3902</v>
      </c>
      <c r="E394" s="369">
        <v>729878</v>
      </c>
      <c r="F394" s="370">
        <v>532560</v>
      </c>
    </row>
    <row r="395" spans="1:6">
      <c r="A395" s="371" t="s">
        <v>858</v>
      </c>
      <c r="B395" s="366" t="s">
        <v>4070</v>
      </c>
      <c r="C395" s="367" t="s">
        <v>1980</v>
      </c>
      <c r="D395" s="368" t="s">
        <v>3902</v>
      </c>
      <c r="E395" s="369">
        <v>962500</v>
      </c>
      <c r="F395" s="370">
        <v>1863833</v>
      </c>
    </row>
    <row r="396" spans="1:6">
      <c r="A396" s="371" t="s">
        <v>2838</v>
      </c>
      <c r="B396" s="366" t="s">
        <v>4071</v>
      </c>
      <c r="C396" s="367" t="s">
        <v>1980</v>
      </c>
      <c r="D396" s="368" t="s">
        <v>3902</v>
      </c>
      <c r="E396" s="369">
        <v>323783</v>
      </c>
      <c r="F396" s="370">
        <v>326420</v>
      </c>
    </row>
    <row r="397" spans="1:6">
      <c r="A397" s="371" t="s">
        <v>859</v>
      </c>
      <c r="B397" s="366" t="s">
        <v>2003</v>
      </c>
      <c r="C397" s="367" t="s">
        <v>1980</v>
      </c>
      <c r="D397" s="368" t="s">
        <v>3902</v>
      </c>
      <c r="E397" s="369">
        <v>890114</v>
      </c>
      <c r="F397" s="370">
        <v>890283</v>
      </c>
    </row>
    <row r="398" spans="1:6">
      <c r="A398" s="371" t="s">
        <v>2360</v>
      </c>
      <c r="B398" s="366" t="s">
        <v>2004</v>
      </c>
      <c r="C398" s="367" t="s">
        <v>1980</v>
      </c>
      <c r="D398" s="368" t="s">
        <v>3902</v>
      </c>
      <c r="E398" s="369">
        <v>108848</v>
      </c>
      <c r="F398" s="370">
        <v>166649.47</v>
      </c>
    </row>
    <row r="399" spans="1:6">
      <c r="A399" s="371" t="s">
        <v>860</v>
      </c>
      <c r="B399" s="366" t="s">
        <v>2005</v>
      </c>
      <c r="C399" s="367" t="s">
        <v>219</v>
      </c>
      <c r="D399" s="368" t="s">
        <v>4940</v>
      </c>
      <c r="E399" s="369">
        <v>177666</v>
      </c>
      <c r="F399" s="370">
        <v>141493</v>
      </c>
    </row>
    <row r="400" spans="1:6">
      <c r="A400" s="371" t="s">
        <v>4588</v>
      </c>
      <c r="B400" s="366" t="s">
        <v>2006</v>
      </c>
      <c r="C400" s="367" t="s">
        <v>1980</v>
      </c>
      <c r="D400" s="368" t="s">
        <v>3902</v>
      </c>
      <c r="E400" s="369">
        <v>188922</v>
      </c>
      <c r="F400" s="370">
        <v>184863</v>
      </c>
    </row>
    <row r="401" spans="1:6">
      <c r="A401" s="371" t="s">
        <v>2127</v>
      </c>
      <c r="B401" s="366" t="s">
        <v>2007</v>
      </c>
      <c r="C401" s="367" t="s">
        <v>1980</v>
      </c>
      <c r="D401" s="368" t="s">
        <v>3902</v>
      </c>
      <c r="E401" s="369">
        <v>144000</v>
      </c>
      <c r="F401" s="370">
        <v>143972.5</v>
      </c>
    </row>
    <row r="402" spans="1:6">
      <c r="A402" s="371" t="s">
        <v>861</v>
      </c>
      <c r="B402" s="366" t="s">
        <v>2008</v>
      </c>
      <c r="C402" s="367" t="s">
        <v>1980</v>
      </c>
      <c r="D402" s="368" t="s">
        <v>3902</v>
      </c>
      <c r="E402" s="369">
        <v>360043</v>
      </c>
      <c r="F402" s="370">
        <v>505885.83</v>
      </c>
    </row>
    <row r="403" spans="1:6">
      <c r="A403" s="371" t="s">
        <v>862</v>
      </c>
      <c r="B403" s="366" t="s">
        <v>2009</v>
      </c>
      <c r="C403" s="367" t="s">
        <v>1980</v>
      </c>
      <c r="D403" s="368" t="s">
        <v>3902</v>
      </c>
      <c r="E403" s="369">
        <v>324334</v>
      </c>
      <c r="F403" s="370">
        <v>322371</v>
      </c>
    </row>
    <row r="404" spans="1:6">
      <c r="A404" s="371" t="s">
        <v>863</v>
      </c>
      <c r="B404" s="366" t="s">
        <v>2010</v>
      </c>
      <c r="C404" s="367" t="s">
        <v>219</v>
      </c>
      <c r="D404" s="368" t="s">
        <v>4940</v>
      </c>
      <c r="E404" s="369">
        <v>5086781</v>
      </c>
      <c r="F404" s="370">
        <v>3539933.7</v>
      </c>
    </row>
    <row r="405" spans="1:6">
      <c r="A405" s="371" t="s">
        <v>864</v>
      </c>
      <c r="B405" s="366" t="s">
        <v>2011</v>
      </c>
      <c r="C405" s="367" t="s">
        <v>1980</v>
      </c>
      <c r="D405" s="368" t="s">
        <v>3902</v>
      </c>
      <c r="E405" s="369">
        <v>43725</v>
      </c>
      <c r="F405" s="370">
        <v>45831</v>
      </c>
    </row>
  </sheetData>
  <phoneticPr fontId="33" type="noConversion"/>
  <pageMargins left="0.75" right="0.75" top="1" bottom="1" header="0.5" footer="0.5"/>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0"/>
  <dimension ref="A1:F164"/>
  <sheetViews>
    <sheetView topLeftCell="A139" workbookViewId="0">
      <selection activeCell="A164" sqref="A164:IV164"/>
    </sheetView>
  </sheetViews>
  <sheetFormatPr defaultRowHeight="13.2"/>
  <cols>
    <col min="2" max="2" width="39.5546875" customWidth="1"/>
    <col min="5" max="5" width="18.21875" customWidth="1"/>
    <col min="6" max="6" width="16.77734375" customWidth="1"/>
  </cols>
  <sheetData>
    <row r="1" spans="1:6">
      <c r="A1" s="365" t="s">
        <v>819</v>
      </c>
      <c r="B1" s="366" t="s">
        <v>3901</v>
      </c>
      <c r="C1" s="367" t="s">
        <v>1980</v>
      </c>
      <c r="D1" s="368" t="s">
        <v>3902</v>
      </c>
      <c r="E1" s="369">
        <v>6381926</v>
      </c>
      <c r="F1" s="370">
        <v>2325511</v>
      </c>
    </row>
    <row r="2" spans="1:6">
      <c r="A2" s="365" t="s">
        <v>820</v>
      </c>
      <c r="B2" s="366" t="s">
        <v>1843</v>
      </c>
      <c r="C2" s="367" t="s">
        <v>1980</v>
      </c>
      <c r="D2" s="368" t="s">
        <v>3902</v>
      </c>
      <c r="E2" s="369">
        <v>1226843</v>
      </c>
      <c r="F2" s="370">
        <v>1218368</v>
      </c>
    </row>
    <row r="3" spans="1:6">
      <c r="A3" s="365" t="s">
        <v>3887</v>
      </c>
      <c r="B3" s="366" t="s">
        <v>1844</v>
      </c>
      <c r="C3" s="367" t="s">
        <v>1980</v>
      </c>
      <c r="D3" s="368" t="s">
        <v>3902</v>
      </c>
      <c r="E3" s="369">
        <v>4312614</v>
      </c>
      <c r="F3" s="370">
        <v>3463199</v>
      </c>
    </row>
    <row r="4" spans="1:6">
      <c r="A4" s="365" t="s">
        <v>3888</v>
      </c>
      <c r="B4" s="366" t="s">
        <v>7678</v>
      </c>
      <c r="C4" s="367" t="s">
        <v>1980</v>
      </c>
      <c r="D4" s="368" t="s">
        <v>3902</v>
      </c>
      <c r="E4" s="369">
        <v>590835</v>
      </c>
      <c r="F4" s="370">
        <v>604980</v>
      </c>
    </row>
    <row r="5" spans="1:6">
      <c r="A5" s="365" t="s">
        <v>2136</v>
      </c>
      <c r="B5" s="366" t="s">
        <v>7679</v>
      </c>
      <c r="C5" s="367" t="s">
        <v>1980</v>
      </c>
      <c r="D5" s="368" t="s">
        <v>3902</v>
      </c>
      <c r="E5" s="369">
        <v>310452</v>
      </c>
      <c r="F5" s="370">
        <v>413937</v>
      </c>
    </row>
    <row r="6" spans="1:6">
      <c r="A6" s="365" t="s">
        <v>3889</v>
      </c>
      <c r="B6" s="366" t="s">
        <v>7680</v>
      </c>
      <c r="C6" s="367" t="s">
        <v>1980</v>
      </c>
      <c r="D6" s="368" t="s">
        <v>3902</v>
      </c>
      <c r="E6" s="369">
        <v>151698</v>
      </c>
      <c r="F6" s="370">
        <v>240795.47</v>
      </c>
    </row>
    <row r="7" spans="1:6">
      <c r="A7" s="365" t="s">
        <v>264</v>
      </c>
      <c r="B7" s="366" t="s">
        <v>7681</v>
      </c>
      <c r="C7" s="367" t="s">
        <v>1980</v>
      </c>
      <c r="D7" s="368" t="s">
        <v>3902</v>
      </c>
      <c r="E7" s="369">
        <v>1250696</v>
      </c>
      <c r="F7" s="370">
        <v>6582550</v>
      </c>
    </row>
    <row r="8" spans="1:6">
      <c r="A8" s="365" t="s">
        <v>268</v>
      </c>
      <c r="B8" s="366" t="s">
        <v>7685</v>
      </c>
      <c r="C8" s="367" t="s">
        <v>1980</v>
      </c>
      <c r="D8" s="368" t="s">
        <v>3902</v>
      </c>
      <c r="E8" s="369">
        <v>91971.25</v>
      </c>
      <c r="F8" s="370">
        <v>76038.720000000001</v>
      </c>
    </row>
    <row r="9" spans="1:6">
      <c r="A9" s="365" t="s">
        <v>946</v>
      </c>
      <c r="B9" s="366" t="s">
        <v>7693</v>
      </c>
      <c r="C9" s="367" t="s">
        <v>1980</v>
      </c>
      <c r="D9" s="368" t="s">
        <v>3902</v>
      </c>
      <c r="E9" s="369">
        <v>41572</v>
      </c>
      <c r="F9" s="370">
        <v>793907.17</v>
      </c>
    </row>
    <row r="10" spans="1:6">
      <c r="A10" s="365" t="s">
        <v>948</v>
      </c>
      <c r="B10" s="366" t="s">
        <v>7697</v>
      </c>
      <c r="C10" s="367" t="s">
        <v>1980</v>
      </c>
      <c r="D10" s="368" t="s">
        <v>3902</v>
      </c>
      <c r="E10" s="369">
        <v>140631</v>
      </c>
      <c r="F10" s="370">
        <v>653180.82999999996</v>
      </c>
    </row>
    <row r="11" spans="1:6">
      <c r="A11" s="365" t="s">
        <v>949</v>
      </c>
      <c r="B11" s="366" t="s">
        <v>7653</v>
      </c>
      <c r="C11" s="367" t="s">
        <v>1980</v>
      </c>
      <c r="D11" s="368" t="s">
        <v>3902</v>
      </c>
      <c r="E11" s="369">
        <v>51750</v>
      </c>
      <c r="F11" s="370">
        <v>53817.5</v>
      </c>
    </row>
    <row r="12" spans="1:6">
      <c r="A12" s="365" t="s">
        <v>950</v>
      </c>
      <c r="B12" s="366" t="s">
        <v>7654</v>
      </c>
      <c r="C12" s="367" t="s">
        <v>1980</v>
      </c>
      <c r="D12" s="368" t="s">
        <v>3902</v>
      </c>
      <c r="E12" s="369">
        <v>428025</v>
      </c>
      <c r="F12" s="370">
        <v>455185</v>
      </c>
    </row>
    <row r="13" spans="1:6">
      <c r="A13" s="365" t="s">
        <v>127</v>
      </c>
      <c r="B13" s="366" t="s">
        <v>7655</v>
      </c>
      <c r="C13" s="367" t="s">
        <v>1980</v>
      </c>
      <c r="D13" s="368" t="s">
        <v>3902</v>
      </c>
      <c r="E13" s="369">
        <v>134002</v>
      </c>
      <c r="F13" s="370">
        <v>131392</v>
      </c>
    </row>
    <row r="14" spans="1:6">
      <c r="A14" s="365" t="s">
        <v>951</v>
      </c>
      <c r="B14" s="366" t="s">
        <v>7656</v>
      </c>
      <c r="C14" s="367" t="s">
        <v>1980</v>
      </c>
      <c r="D14" s="368" t="s">
        <v>3902</v>
      </c>
      <c r="E14" s="369">
        <v>1775156</v>
      </c>
      <c r="F14" s="370">
        <v>2051396</v>
      </c>
    </row>
    <row r="15" spans="1:6">
      <c r="A15" s="365" t="s">
        <v>954</v>
      </c>
      <c r="B15" s="366" t="s">
        <v>7659</v>
      </c>
      <c r="C15" s="367" t="s">
        <v>1980</v>
      </c>
      <c r="D15" s="368" t="s">
        <v>3902</v>
      </c>
      <c r="E15" s="369">
        <v>100000</v>
      </c>
      <c r="F15" s="370">
        <v>102520</v>
      </c>
    </row>
    <row r="16" spans="1:6">
      <c r="A16" s="365" t="s">
        <v>955</v>
      </c>
      <c r="B16" s="366" t="s">
        <v>7660</v>
      </c>
      <c r="C16" s="367" t="s">
        <v>1980</v>
      </c>
      <c r="D16" s="368" t="s">
        <v>3902</v>
      </c>
      <c r="E16" s="369">
        <v>239379</v>
      </c>
      <c r="F16" s="370">
        <v>243485</v>
      </c>
    </row>
    <row r="17" spans="1:6">
      <c r="A17" s="365" t="s">
        <v>956</v>
      </c>
      <c r="B17" s="366" t="s">
        <v>7661</v>
      </c>
      <c r="C17" s="367" t="s">
        <v>1980</v>
      </c>
      <c r="D17" s="368" t="s">
        <v>3902</v>
      </c>
      <c r="E17" s="369">
        <v>172750</v>
      </c>
      <c r="F17" s="370">
        <v>275983.75</v>
      </c>
    </row>
    <row r="18" spans="1:6">
      <c r="A18" s="365" t="s">
        <v>957</v>
      </c>
      <c r="B18" s="366" t="s">
        <v>7664</v>
      </c>
      <c r="C18" s="367" t="s">
        <v>1980</v>
      </c>
      <c r="D18" s="368" t="s">
        <v>3902</v>
      </c>
      <c r="E18" s="369">
        <v>11560</v>
      </c>
      <c r="F18" s="370">
        <v>13850</v>
      </c>
    </row>
    <row r="19" spans="1:6">
      <c r="A19" s="365" t="s">
        <v>959</v>
      </c>
      <c r="B19" s="366" t="s">
        <v>2142</v>
      </c>
      <c r="C19" s="367" t="s">
        <v>1980</v>
      </c>
      <c r="D19" s="368" t="s">
        <v>3902</v>
      </c>
      <c r="E19" s="369">
        <v>3118521</v>
      </c>
      <c r="F19" s="370">
        <v>2649946</v>
      </c>
    </row>
    <row r="20" spans="1:6">
      <c r="A20" s="365" t="s">
        <v>960</v>
      </c>
      <c r="B20" s="366" t="s">
        <v>2143</v>
      </c>
      <c r="C20" s="367" t="s">
        <v>219</v>
      </c>
      <c r="D20" s="368" t="s">
        <v>4940</v>
      </c>
      <c r="E20" s="369">
        <v>894333</v>
      </c>
      <c r="F20" s="370">
        <v>894515</v>
      </c>
    </row>
    <row r="21" spans="1:6">
      <c r="A21" s="365" t="s">
        <v>961</v>
      </c>
      <c r="B21" s="366" t="s">
        <v>2145</v>
      </c>
      <c r="C21" s="367" t="s">
        <v>1980</v>
      </c>
      <c r="D21" s="368" t="s">
        <v>3902</v>
      </c>
      <c r="E21" s="369">
        <v>319854</v>
      </c>
      <c r="F21" s="370">
        <v>327971</v>
      </c>
    </row>
    <row r="22" spans="1:6">
      <c r="A22" s="365" t="s">
        <v>979</v>
      </c>
      <c r="B22" s="366" t="s">
        <v>6097</v>
      </c>
      <c r="C22" s="367" t="s">
        <v>1980</v>
      </c>
      <c r="D22" s="368" t="s">
        <v>3902</v>
      </c>
      <c r="E22" s="369">
        <v>253685</v>
      </c>
      <c r="F22" s="370">
        <v>324528.27</v>
      </c>
    </row>
    <row r="23" spans="1:6">
      <c r="A23" s="365" t="s">
        <v>980</v>
      </c>
      <c r="B23" s="366" t="s">
        <v>6098</v>
      </c>
      <c r="C23" s="367" t="s">
        <v>1980</v>
      </c>
      <c r="D23" s="368" t="s">
        <v>3902</v>
      </c>
      <c r="E23" s="369">
        <v>407753</v>
      </c>
      <c r="F23" s="370">
        <v>420631.26</v>
      </c>
    </row>
    <row r="24" spans="1:6">
      <c r="A24" s="365" t="s">
        <v>981</v>
      </c>
      <c r="B24" s="366" t="s">
        <v>6099</v>
      </c>
      <c r="C24" s="367" t="s">
        <v>1980</v>
      </c>
      <c r="D24" s="368" t="s">
        <v>3902</v>
      </c>
      <c r="E24" s="369">
        <v>1070895</v>
      </c>
      <c r="F24" s="370">
        <v>1203344</v>
      </c>
    </row>
    <row r="25" spans="1:6">
      <c r="A25" s="365" t="s">
        <v>6682</v>
      </c>
      <c r="B25" s="366" t="s">
        <v>6103</v>
      </c>
      <c r="C25" s="367" t="s">
        <v>1980</v>
      </c>
      <c r="D25" s="368" t="s">
        <v>3902</v>
      </c>
      <c r="E25" s="369">
        <v>96613</v>
      </c>
      <c r="F25" s="370">
        <v>86900</v>
      </c>
    </row>
    <row r="26" spans="1:6">
      <c r="A26" s="365" t="s">
        <v>441</v>
      </c>
      <c r="B26" s="366" t="s">
        <v>6104</v>
      </c>
      <c r="C26" s="367" t="s">
        <v>1980</v>
      </c>
      <c r="D26" s="368" t="s">
        <v>3902</v>
      </c>
      <c r="E26" s="369">
        <v>143455</v>
      </c>
      <c r="F26" s="370">
        <v>587691</v>
      </c>
    </row>
    <row r="27" spans="1:6">
      <c r="A27" s="365" t="s">
        <v>3081</v>
      </c>
      <c r="B27" s="366" t="s">
        <v>6107</v>
      </c>
      <c r="C27" s="367" t="s">
        <v>1980</v>
      </c>
      <c r="D27" s="368" t="s">
        <v>3902</v>
      </c>
      <c r="E27" s="369">
        <v>116170</v>
      </c>
      <c r="F27" s="370">
        <v>115182.5</v>
      </c>
    </row>
    <row r="28" spans="1:6">
      <c r="A28" s="365" t="s">
        <v>736</v>
      </c>
      <c r="B28" s="366" t="s">
        <v>6109</v>
      </c>
      <c r="C28" s="367" t="s">
        <v>1980</v>
      </c>
      <c r="D28" s="368" t="s">
        <v>3902</v>
      </c>
      <c r="E28" s="369">
        <v>198700</v>
      </c>
      <c r="F28" s="370">
        <v>195700</v>
      </c>
    </row>
    <row r="29" spans="1:6">
      <c r="A29" s="365" t="s">
        <v>737</v>
      </c>
      <c r="B29" s="366" t="s">
        <v>6110</v>
      </c>
      <c r="C29" s="367" t="s">
        <v>1980</v>
      </c>
      <c r="D29" s="368" t="s">
        <v>3902</v>
      </c>
      <c r="E29" s="369">
        <v>361625</v>
      </c>
      <c r="F29" s="370">
        <v>436401</v>
      </c>
    </row>
    <row r="30" spans="1:6">
      <c r="A30" s="365" t="s">
        <v>738</v>
      </c>
      <c r="B30" s="366" t="s">
        <v>6112</v>
      </c>
      <c r="C30" s="367" t="s">
        <v>1980</v>
      </c>
      <c r="D30" s="368" t="s">
        <v>3902</v>
      </c>
      <c r="E30" s="369">
        <v>107650</v>
      </c>
      <c r="F30" s="370">
        <v>373020</v>
      </c>
    </row>
    <row r="31" spans="1:6">
      <c r="A31" s="365" t="s">
        <v>741</v>
      </c>
      <c r="B31" s="366" t="s">
        <v>6116</v>
      </c>
      <c r="C31" s="367" t="s">
        <v>1980</v>
      </c>
      <c r="D31" s="368" t="s">
        <v>3902</v>
      </c>
      <c r="E31" s="369">
        <v>1037938</v>
      </c>
      <c r="F31" s="370">
        <v>1034550</v>
      </c>
    </row>
    <row r="32" spans="1:6">
      <c r="A32" s="365" t="s">
        <v>235</v>
      </c>
      <c r="B32" s="366" t="s">
        <v>2642</v>
      </c>
      <c r="C32" s="367" t="s">
        <v>1980</v>
      </c>
      <c r="D32" s="368" t="s">
        <v>3902</v>
      </c>
      <c r="E32" s="369">
        <v>371404</v>
      </c>
      <c r="F32" s="370">
        <v>799310</v>
      </c>
    </row>
    <row r="33" spans="1:6">
      <c r="A33" s="365" t="s">
        <v>236</v>
      </c>
      <c r="B33" s="366" t="s">
        <v>2643</v>
      </c>
      <c r="C33" s="367" t="s">
        <v>1980</v>
      </c>
      <c r="D33" s="368" t="s">
        <v>3902</v>
      </c>
      <c r="E33" s="369">
        <v>12352</v>
      </c>
      <c r="F33" s="370">
        <v>35944.43</v>
      </c>
    </row>
    <row r="34" spans="1:6">
      <c r="A34" s="365" t="s">
        <v>237</v>
      </c>
      <c r="B34" s="366" t="s">
        <v>2644</v>
      </c>
      <c r="C34" s="367" t="s">
        <v>1980</v>
      </c>
      <c r="D34" s="368" t="s">
        <v>3902</v>
      </c>
      <c r="E34" s="369">
        <v>40</v>
      </c>
      <c r="F34" s="370">
        <v>0</v>
      </c>
    </row>
    <row r="35" spans="1:6">
      <c r="A35" s="365" t="s">
        <v>243</v>
      </c>
      <c r="B35" s="366" t="s">
        <v>5246</v>
      </c>
      <c r="C35" s="367" t="s">
        <v>1980</v>
      </c>
      <c r="D35" s="368" t="s">
        <v>3902</v>
      </c>
      <c r="E35" s="369">
        <v>21131</v>
      </c>
      <c r="F35" s="370">
        <v>16984</v>
      </c>
    </row>
    <row r="36" spans="1:6">
      <c r="A36" s="365" t="s">
        <v>244</v>
      </c>
      <c r="B36" s="366" t="s">
        <v>1665</v>
      </c>
      <c r="C36" s="367" t="s">
        <v>1980</v>
      </c>
      <c r="D36" s="368" t="s">
        <v>3902</v>
      </c>
      <c r="E36" s="369">
        <v>483733</v>
      </c>
      <c r="F36" s="370">
        <v>802424.44</v>
      </c>
    </row>
    <row r="37" spans="1:6">
      <c r="A37" s="365" t="s">
        <v>5237</v>
      </c>
      <c r="B37" s="366" t="s">
        <v>1666</v>
      </c>
      <c r="C37" s="367" t="s">
        <v>1980</v>
      </c>
      <c r="D37" s="368" t="s">
        <v>3902</v>
      </c>
      <c r="E37" s="369">
        <v>115368</v>
      </c>
      <c r="F37" s="370">
        <v>112993</v>
      </c>
    </row>
    <row r="38" spans="1:6">
      <c r="A38" s="365" t="s">
        <v>247</v>
      </c>
      <c r="B38" s="366" t="s">
        <v>989</v>
      </c>
      <c r="C38" s="367" t="s">
        <v>1980</v>
      </c>
      <c r="D38" s="368" t="s">
        <v>3902</v>
      </c>
      <c r="E38" s="369">
        <v>192712</v>
      </c>
      <c r="F38" s="370">
        <v>184140</v>
      </c>
    </row>
    <row r="39" spans="1:6">
      <c r="A39" s="365" t="s">
        <v>2054</v>
      </c>
      <c r="B39" s="366" t="s">
        <v>3009</v>
      </c>
      <c r="C39" s="367" t="s">
        <v>1980</v>
      </c>
      <c r="D39" s="368" t="s">
        <v>3902</v>
      </c>
      <c r="E39" s="369">
        <v>2119597</v>
      </c>
      <c r="F39" s="370">
        <v>2113593.75</v>
      </c>
    </row>
    <row r="40" spans="1:6">
      <c r="A40" s="365" t="s">
        <v>1814</v>
      </c>
      <c r="B40" s="366" t="s">
        <v>3011</v>
      </c>
      <c r="C40" s="367" t="s">
        <v>1980</v>
      </c>
      <c r="D40" s="368" t="s">
        <v>3902</v>
      </c>
      <c r="E40" s="369">
        <v>1415215</v>
      </c>
      <c r="F40" s="370">
        <v>1414187.5</v>
      </c>
    </row>
    <row r="41" spans="1:6">
      <c r="A41" s="365" t="s">
        <v>1517</v>
      </c>
      <c r="B41" s="366" t="s">
        <v>3013</v>
      </c>
      <c r="C41" s="367" t="s">
        <v>1980</v>
      </c>
      <c r="D41" s="368" t="s">
        <v>3902</v>
      </c>
      <c r="E41" s="369">
        <v>1625293</v>
      </c>
      <c r="F41" s="370">
        <v>1653280</v>
      </c>
    </row>
    <row r="42" spans="1:6">
      <c r="A42" s="365" t="s">
        <v>3095</v>
      </c>
      <c r="B42" s="366" t="s">
        <v>3014</v>
      </c>
      <c r="C42" s="367" t="s">
        <v>1980</v>
      </c>
      <c r="D42" s="368" t="s">
        <v>3902</v>
      </c>
      <c r="E42" s="369">
        <v>10298</v>
      </c>
      <c r="F42" s="370">
        <v>9110</v>
      </c>
    </row>
    <row r="43" spans="1:6">
      <c r="A43" s="365" t="s">
        <v>1519</v>
      </c>
      <c r="B43" s="366" t="s">
        <v>3015</v>
      </c>
      <c r="C43" s="367" t="s">
        <v>1980</v>
      </c>
      <c r="D43" s="368" t="s">
        <v>3902</v>
      </c>
      <c r="E43" s="369">
        <v>1123190</v>
      </c>
      <c r="F43" s="370">
        <v>1116570.01</v>
      </c>
    </row>
    <row r="44" spans="1:6">
      <c r="A44" s="365" t="s">
        <v>1520</v>
      </c>
      <c r="B44" s="366" t="s">
        <v>1926</v>
      </c>
      <c r="C44" s="367" t="s">
        <v>1980</v>
      </c>
      <c r="D44" s="368" t="s">
        <v>3902</v>
      </c>
      <c r="E44" s="369">
        <v>355472</v>
      </c>
      <c r="F44" s="370">
        <v>356613</v>
      </c>
    </row>
    <row r="45" spans="1:6">
      <c r="A45" s="365" t="s">
        <v>1521</v>
      </c>
      <c r="B45" s="366" t="s">
        <v>1927</v>
      </c>
      <c r="C45" s="367" t="s">
        <v>219</v>
      </c>
      <c r="D45" s="368" t="s">
        <v>4940</v>
      </c>
      <c r="E45" s="369">
        <v>822128</v>
      </c>
      <c r="F45" s="370">
        <v>821039.75</v>
      </c>
    </row>
    <row r="46" spans="1:6">
      <c r="A46" s="365" t="s">
        <v>1525</v>
      </c>
      <c r="B46" s="366" t="s">
        <v>1931</v>
      </c>
      <c r="C46" s="367" t="s">
        <v>1980</v>
      </c>
      <c r="D46" s="368" t="s">
        <v>3902</v>
      </c>
      <c r="E46" s="369">
        <v>14000</v>
      </c>
      <c r="F46" s="370">
        <v>2195</v>
      </c>
    </row>
    <row r="47" spans="1:6">
      <c r="A47" s="365" t="s">
        <v>1309</v>
      </c>
      <c r="B47" s="366" t="s">
        <v>114</v>
      </c>
      <c r="C47" s="367" t="s">
        <v>1980</v>
      </c>
      <c r="D47" s="368" t="s">
        <v>3902</v>
      </c>
      <c r="E47" s="369">
        <v>2155774</v>
      </c>
      <c r="F47" s="370">
        <v>2060910</v>
      </c>
    </row>
    <row r="48" spans="1:6">
      <c r="A48" s="365" t="s">
        <v>1310</v>
      </c>
      <c r="B48" s="366" t="s">
        <v>115</v>
      </c>
      <c r="C48" s="367" t="s">
        <v>1980</v>
      </c>
      <c r="D48" s="368" t="s">
        <v>3902</v>
      </c>
      <c r="E48" s="369">
        <v>596622</v>
      </c>
      <c r="F48" s="370">
        <v>623776</v>
      </c>
    </row>
    <row r="49" spans="1:6">
      <c r="A49" s="365" t="s">
        <v>1312</v>
      </c>
      <c r="B49" s="366" t="s">
        <v>117</v>
      </c>
      <c r="C49" s="367" t="s">
        <v>1980</v>
      </c>
      <c r="D49" s="368" t="s">
        <v>3902</v>
      </c>
      <c r="E49" s="369">
        <v>364536</v>
      </c>
      <c r="F49" s="370">
        <v>1204430</v>
      </c>
    </row>
    <row r="50" spans="1:6">
      <c r="A50" s="365" t="s">
        <v>1315</v>
      </c>
      <c r="B50" s="366" t="s">
        <v>120</v>
      </c>
      <c r="C50" s="367" t="s">
        <v>1980</v>
      </c>
      <c r="D50" s="368" t="s">
        <v>3902</v>
      </c>
      <c r="E50" s="369">
        <v>1792083</v>
      </c>
      <c r="F50" s="370">
        <v>1959300</v>
      </c>
    </row>
    <row r="51" spans="1:6">
      <c r="A51" s="365" t="s">
        <v>1317</v>
      </c>
      <c r="B51" s="366" t="s">
        <v>122</v>
      </c>
      <c r="C51" s="367" t="s">
        <v>1980</v>
      </c>
      <c r="D51" s="368" t="s">
        <v>3902</v>
      </c>
      <c r="E51" s="369">
        <v>8806552</v>
      </c>
      <c r="F51" s="370">
        <v>2701145</v>
      </c>
    </row>
    <row r="52" spans="1:6">
      <c r="A52" s="365" t="s">
        <v>1851</v>
      </c>
      <c r="B52" s="366" t="s">
        <v>126</v>
      </c>
      <c r="C52" s="367" t="s">
        <v>1980</v>
      </c>
      <c r="D52" s="368" t="s">
        <v>3902</v>
      </c>
      <c r="E52" s="369">
        <v>279766</v>
      </c>
      <c r="F52" s="370">
        <v>281730</v>
      </c>
    </row>
    <row r="53" spans="1:6">
      <c r="A53" s="365" t="s">
        <v>1854</v>
      </c>
      <c r="B53" s="366" t="s">
        <v>4965</v>
      </c>
      <c r="C53" s="367" t="s">
        <v>1980</v>
      </c>
      <c r="D53" s="368" t="s">
        <v>3902</v>
      </c>
      <c r="E53" s="369">
        <v>486964</v>
      </c>
      <c r="F53" s="370">
        <v>449978</v>
      </c>
    </row>
    <row r="54" spans="1:6">
      <c r="A54" s="365" t="s">
        <v>587</v>
      </c>
      <c r="B54" s="366" t="s">
        <v>4966</v>
      </c>
      <c r="C54" s="367" t="s">
        <v>1980</v>
      </c>
      <c r="D54" s="368" t="s">
        <v>3902</v>
      </c>
      <c r="E54" s="369">
        <v>2988473</v>
      </c>
      <c r="F54" s="370">
        <v>3840376</v>
      </c>
    </row>
    <row r="55" spans="1:6">
      <c r="A55" s="365" t="s">
        <v>1855</v>
      </c>
      <c r="B55" s="366" t="s">
        <v>4968</v>
      </c>
      <c r="C55" s="367" t="s">
        <v>219</v>
      </c>
      <c r="D55" s="368" t="s">
        <v>4940</v>
      </c>
      <c r="E55" s="369">
        <v>25314</v>
      </c>
      <c r="F55" s="370">
        <v>21732</v>
      </c>
    </row>
    <row r="56" spans="1:6">
      <c r="A56" s="365" t="s">
        <v>1857</v>
      </c>
      <c r="B56" s="366" t="s">
        <v>3913</v>
      </c>
      <c r="C56" s="367" t="s">
        <v>1980</v>
      </c>
      <c r="D56" s="368" t="s">
        <v>3902</v>
      </c>
      <c r="E56" s="369">
        <v>279300</v>
      </c>
      <c r="F56" s="370">
        <v>477976.43</v>
      </c>
    </row>
    <row r="57" spans="1:6">
      <c r="A57" s="365" t="s">
        <v>1860</v>
      </c>
      <c r="B57" s="366" t="s">
        <v>3918</v>
      </c>
      <c r="C57" s="367" t="s">
        <v>1980</v>
      </c>
      <c r="D57" s="368" t="s">
        <v>3902</v>
      </c>
      <c r="E57" s="369">
        <v>3515081.25</v>
      </c>
      <c r="F57" s="370">
        <v>3576485</v>
      </c>
    </row>
    <row r="58" spans="1:6">
      <c r="A58" s="365" t="s">
        <v>1861</v>
      </c>
      <c r="B58" s="366" t="s">
        <v>3919</v>
      </c>
      <c r="C58" s="367" t="s">
        <v>1980</v>
      </c>
      <c r="D58" s="368" t="s">
        <v>3902</v>
      </c>
      <c r="E58" s="369">
        <v>830941</v>
      </c>
      <c r="F58" s="370">
        <v>826016.26</v>
      </c>
    </row>
    <row r="59" spans="1:6">
      <c r="A59" s="365" t="s">
        <v>1864</v>
      </c>
      <c r="B59" s="366" t="s">
        <v>3840</v>
      </c>
      <c r="C59" s="367" t="s">
        <v>1980</v>
      </c>
      <c r="D59" s="368" t="s">
        <v>3902</v>
      </c>
      <c r="E59" s="369">
        <v>1891253</v>
      </c>
      <c r="F59" s="370">
        <v>4534586.6500000004</v>
      </c>
    </row>
    <row r="60" spans="1:6">
      <c r="A60" s="365" t="s">
        <v>593</v>
      </c>
      <c r="B60" s="366" t="s">
        <v>3841</v>
      </c>
      <c r="C60" s="367" t="s">
        <v>1980</v>
      </c>
      <c r="D60" s="368" t="s">
        <v>3902</v>
      </c>
      <c r="E60" s="369">
        <v>9775</v>
      </c>
      <c r="F60" s="370">
        <v>7622</v>
      </c>
    </row>
    <row r="61" spans="1:6">
      <c r="A61" s="365" t="s">
        <v>1866</v>
      </c>
      <c r="B61" s="366" t="s">
        <v>3845</v>
      </c>
      <c r="C61" s="367" t="s">
        <v>1980</v>
      </c>
      <c r="D61" s="368" t="s">
        <v>3902</v>
      </c>
      <c r="E61" s="369">
        <v>613155</v>
      </c>
      <c r="F61" s="370">
        <v>610857.5</v>
      </c>
    </row>
    <row r="62" spans="1:6">
      <c r="A62" s="365" t="s">
        <v>1868</v>
      </c>
      <c r="B62" s="366" t="s">
        <v>3847</v>
      </c>
      <c r="C62" s="367" t="s">
        <v>1980</v>
      </c>
      <c r="D62" s="368" t="s">
        <v>3902</v>
      </c>
      <c r="E62" s="369">
        <v>449169</v>
      </c>
      <c r="F62" s="370">
        <v>806540.5</v>
      </c>
    </row>
    <row r="63" spans="1:6">
      <c r="A63" s="365" t="s">
        <v>1869</v>
      </c>
      <c r="B63" s="366" t="s">
        <v>3848</v>
      </c>
      <c r="C63" s="367" t="s">
        <v>1980</v>
      </c>
      <c r="D63" s="368" t="s">
        <v>3902</v>
      </c>
      <c r="E63" s="369">
        <v>1324</v>
      </c>
      <c r="F63" s="370">
        <v>2139</v>
      </c>
    </row>
    <row r="64" spans="1:6">
      <c r="A64" s="365" t="s">
        <v>1870</v>
      </c>
      <c r="B64" s="366" t="s">
        <v>3849</v>
      </c>
      <c r="C64" s="367" t="s">
        <v>1980</v>
      </c>
      <c r="D64" s="368" t="s">
        <v>3902</v>
      </c>
      <c r="E64" s="369">
        <v>351045</v>
      </c>
      <c r="F64" s="370">
        <v>346245</v>
      </c>
    </row>
    <row r="65" spans="1:6">
      <c r="A65" s="365" t="s">
        <v>3083</v>
      </c>
      <c r="B65" s="366" t="s">
        <v>3850</v>
      </c>
      <c r="C65" s="367" t="s">
        <v>1980</v>
      </c>
      <c r="D65" s="368" t="s">
        <v>3902</v>
      </c>
      <c r="E65" s="369">
        <v>233415</v>
      </c>
      <c r="F65" s="370">
        <v>232165</v>
      </c>
    </row>
    <row r="66" spans="1:6">
      <c r="A66" s="365" t="s">
        <v>1871</v>
      </c>
      <c r="B66" s="366" t="s">
        <v>3851</v>
      </c>
      <c r="C66" s="367" t="s">
        <v>1980</v>
      </c>
      <c r="D66" s="368" t="s">
        <v>3902</v>
      </c>
      <c r="E66" s="369">
        <v>68527</v>
      </c>
      <c r="F66" s="370">
        <v>595171.98</v>
      </c>
    </row>
    <row r="67" spans="1:6">
      <c r="A67" s="365" t="s">
        <v>3098</v>
      </c>
      <c r="B67" s="366" t="s">
        <v>3852</v>
      </c>
      <c r="C67" s="367" t="s">
        <v>1980</v>
      </c>
      <c r="D67" s="368" t="s">
        <v>3902</v>
      </c>
      <c r="E67" s="369">
        <v>109410</v>
      </c>
      <c r="F67" s="370">
        <v>107952.5</v>
      </c>
    </row>
    <row r="68" spans="1:6">
      <c r="A68" s="365" t="s">
        <v>4971</v>
      </c>
      <c r="B68" s="366" t="s">
        <v>3854</v>
      </c>
      <c r="C68" s="367" t="s">
        <v>1980</v>
      </c>
      <c r="D68" s="368" t="s">
        <v>3902</v>
      </c>
      <c r="E68" s="369">
        <v>409219</v>
      </c>
      <c r="F68" s="370">
        <v>405557</v>
      </c>
    </row>
    <row r="69" spans="1:6">
      <c r="A69" s="365" t="s">
        <v>1873</v>
      </c>
      <c r="B69" s="366" t="s">
        <v>3856</v>
      </c>
      <c r="C69" s="367" t="s">
        <v>1980</v>
      </c>
      <c r="D69" s="368" t="s">
        <v>3902</v>
      </c>
      <c r="E69" s="369">
        <v>1259509</v>
      </c>
      <c r="F69" s="370">
        <v>2520500</v>
      </c>
    </row>
    <row r="70" spans="1:6">
      <c r="A70" s="365" t="s">
        <v>1874</v>
      </c>
      <c r="B70" s="366" t="s">
        <v>3857</v>
      </c>
      <c r="C70" s="367" t="s">
        <v>1980</v>
      </c>
      <c r="D70" s="368" t="s">
        <v>3902</v>
      </c>
      <c r="E70" s="369">
        <v>73837</v>
      </c>
      <c r="F70" s="370">
        <v>488080</v>
      </c>
    </row>
    <row r="71" spans="1:6">
      <c r="A71" s="365" t="s">
        <v>6020</v>
      </c>
      <c r="B71" s="366" t="s">
        <v>3859</v>
      </c>
      <c r="C71" s="367" t="s">
        <v>1980</v>
      </c>
      <c r="D71" s="368" t="s">
        <v>3902</v>
      </c>
      <c r="E71" s="369">
        <v>262075</v>
      </c>
      <c r="F71" s="370">
        <v>683965</v>
      </c>
    </row>
    <row r="72" spans="1:6">
      <c r="A72" s="365" t="s">
        <v>6024</v>
      </c>
      <c r="B72" s="366" t="s">
        <v>1909</v>
      </c>
      <c r="C72" s="367" t="s">
        <v>1980</v>
      </c>
      <c r="D72" s="368" t="s">
        <v>3902</v>
      </c>
      <c r="E72" s="369">
        <v>410042</v>
      </c>
      <c r="F72" s="370">
        <v>477998.04</v>
      </c>
    </row>
    <row r="73" spans="1:6">
      <c r="A73" s="365" t="s">
        <v>6028</v>
      </c>
      <c r="B73" s="366" t="s">
        <v>1913</v>
      </c>
      <c r="C73" s="367" t="s">
        <v>1980</v>
      </c>
      <c r="D73" s="368" t="s">
        <v>3902</v>
      </c>
      <c r="E73" s="369">
        <v>1506643</v>
      </c>
      <c r="F73" s="370">
        <v>338779</v>
      </c>
    </row>
    <row r="74" spans="1:6">
      <c r="A74" s="365" t="s">
        <v>6029</v>
      </c>
      <c r="B74" s="366" t="s">
        <v>1914</v>
      </c>
      <c r="C74" s="367" t="s">
        <v>1980</v>
      </c>
      <c r="D74" s="368" t="s">
        <v>3902</v>
      </c>
      <c r="E74" s="369">
        <v>812500</v>
      </c>
      <c r="F74" s="370">
        <v>2049970.51</v>
      </c>
    </row>
    <row r="75" spans="1:6">
      <c r="A75" s="365" t="s">
        <v>6031</v>
      </c>
      <c r="B75" s="366" t="s">
        <v>1916</v>
      </c>
      <c r="C75" s="367" t="s">
        <v>1980</v>
      </c>
      <c r="D75" s="368" t="s">
        <v>3902</v>
      </c>
      <c r="E75" s="369">
        <v>40734</v>
      </c>
      <c r="F75" s="370">
        <v>229305</v>
      </c>
    </row>
    <row r="76" spans="1:6">
      <c r="A76" s="365" t="s">
        <v>6033</v>
      </c>
      <c r="B76" s="366" t="s">
        <v>1920</v>
      </c>
      <c r="C76" s="367" t="s">
        <v>1980</v>
      </c>
      <c r="D76" s="368" t="s">
        <v>3902</v>
      </c>
      <c r="E76" s="369">
        <v>7058303</v>
      </c>
      <c r="F76" s="370">
        <v>5569025</v>
      </c>
    </row>
    <row r="77" spans="1:6">
      <c r="A77" s="365" t="s">
        <v>6035</v>
      </c>
      <c r="B77" s="366" t="s">
        <v>1923</v>
      </c>
      <c r="C77" s="367" t="s">
        <v>1980</v>
      </c>
      <c r="D77" s="368" t="s">
        <v>3902</v>
      </c>
      <c r="E77" s="369">
        <v>1172621</v>
      </c>
      <c r="F77" s="370">
        <v>1307310</v>
      </c>
    </row>
    <row r="78" spans="1:6">
      <c r="A78" s="365" t="s">
        <v>6036</v>
      </c>
      <c r="B78" s="366" t="s">
        <v>5638</v>
      </c>
      <c r="C78" s="367" t="s">
        <v>1980</v>
      </c>
      <c r="D78" s="368" t="s">
        <v>3902</v>
      </c>
      <c r="E78" s="369">
        <v>39885</v>
      </c>
      <c r="F78" s="370">
        <v>37185</v>
      </c>
    </row>
    <row r="79" spans="1:6">
      <c r="A79" s="365" t="s">
        <v>3090</v>
      </c>
      <c r="B79" s="366" t="s">
        <v>5640</v>
      </c>
      <c r="C79" s="367" t="s">
        <v>1980</v>
      </c>
      <c r="D79" s="368" t="s">
        <v>3902</v>
      </c>
      <c r="E79" s="369">
        <v>236619</v>
      </c>
      <c r="F79" s="370">
        <v>428021.42</v>
      </c>
    </row>
    <row r="80" spans="1:6">
      <c r="A80" s="365" t="s">
        <v>6037</v>
      </c>
      <c r="B80" s="366" t="s">
        <v>2152</v>
      </c>
      <c r="C80" s="367" t="s">
        <v>219</v>
      </c>
      <c r="D80" s="368" t="s">
        <v>4940</v>
      </c>
      <c r="E80" s="369">
        <v>124856</v>
      </c>
      <c r="F80" s="370">
        <v>133780</v>
      </c>
    </row>
    <row r="81" spans="1:6">
      <c r="A81" s="365" t="s">
        <v>6038</v>
      </c>
      <c r="B81" s="366" t="s">
        <v>2153</v>
      </c>
      <c r="C81" s="367" t="s">
        <v>1980</v>
      </c>
      <c r="D81" s="368" t="s">
        <v>3902</v>
      </c>
      <c r="E81" s="369">
        <v>5218175</v>
      </c>
      <c r="F81" s="370">
        <v>5216950</v>
      </c>
    </row>
    <row r="82" spans="1:6">
      <c r="A82" s="365" t="s">
        <v>6040</v>
      </c>
      <c r="B82" s="366" t="s">
        <v>184</v>
      </c>
      <c r="C82" s="367" t="s">
        <v>1980</v>
      </c>
      <c r="D82" s="368" t="s">
        <v>3902</v>
      </c>
      <c r="E82" s="369">
        <v>173535</v>
      </c>
      <c r="F82" s="370">
        <v>182940</v>
      </c>
    </row>
    <row r="83" spans="1:6">
      <c r="A83" s="365" t="s">
        <v>2987</v>
      </c>
      <c r="B83" s="366" t="s">
        <v>187</v>
      </c>
      <c r="C83" s="367" t="s">
        <v>1980</v>
      </c>
      <c r="D83" s="368" t="s">
        <v>3902</v>
      </c>
      <c r="E83" s="369">
        <v>5174604</v>
      </c>
      <c r="F83" s="370">
        <v>5134681.24</v>
      </c>
    </row>
    <row r="84" spans="1:6">
      <c r="A84" s="365" t="s">
        <v>6145</v>
      </c>
      <c r="B84" s="366" t="s">
        <v>188</v>
      </c>
      <c r="C84" s="367" t="s">
        <v>1980</v>
      </c>
      <c r="D84" s="368" t="s">
        <v>3902</v>
      </c>
      <c r="E84" s="369">
        <v>92936</v>
      </c>
      <c r="F84" s="370">
        <v>88059</v>
      </c>
    </row>
    <row r="85" spans="1:6">
      <c r="A85" s="365" t="s">
        <v>2989</v>
      </c>
      <c r="B85" s="366" t="s">
        <v>190</v>
      </c>
      <c r="C85" s="367" t="s">
        <v>1980</v>
      </c>
      <c r="D85" s="368" t="s">
        <v>3902</v>
      </c>
      <c r="E85" s="369">
        <v>1811486</v>
      </c>
      <c r="F85" s="370">
        <v>2470325.75</v>
      </c>
    </row>
    <row r="86" spans="1:6">
      <c r="A86" s="365" t="s">
        <v>2991</v>
      </c>
      <c r="B86" s="366" t="s">
        <v>193</v>
      </c>
      <c r="C86" s="367" t="s">
        <v>1980</v>
      </c>
      <c r="D86" s="368" t="s">
        <v>3902</v>
      </c>
      <c r="E86" s="369">
        <v>100000</v>
      </c>
      <c r="F86" s="370">
        <v>160000</v>
      </c>
    </row>
    <row r="87" spans="1:6">
      <c r="A87" s="365" t="s">
        <v>2993</v>
      </c>
      <c r="B87" s="366" t="s">
        <v>196</v>
      </c>
      <c r="C87" s="367" t="s">
        <v>1980</v>
      </c>
      <c r="D87" s="368" t="s">
        <v>3902</v>
      </c>
      <c r="E87" s="369">
        <v>954099</v>
      </c>
      <c r="F87" s="370">
        <v>946548.13</v>
      </c>
    </row>
    <row r="88" spans="1:6">
      <c r="A88" s="365" t="s">
        <v>5238</v>
      </c>
      <c r="B88" s="366" t="s">
        <v>200</v>
      </c>
      <c r="C88" s="367" t="s">
        <v>1980</v>
      </c>
      <c r="D88" s="368" t="s">
        <v>3902</v>
      </c>
      <c r="E88" s="369">
        <v>330640</v>
      </c>
      <c r="F88" s="370">
        <v>383056</v>
      </c>
    </row>
    <row r="89" spans="1:6">
      <c r="A89" s="365" t="s">
        <v>2995</v>
      </c>
      <c r="B89" s="366" t="s">
        <v>201</v>
      </c>
      <c r="C89" s="367" t="s">
        <v>1980</v>
      </c>
      <c r="D89" s="368" t="s">
        <v>3902</v>
      </c>
      <c r="E89" s="369">
        <v>1668879</v>
      </c>
      <c r="F89" s="370">
        <v>1611800</v>
      </c>
    </row>
    <row r="90" spans="1:6">
      <c r="A90" s="365" t="s">
        <v>2997</v>
      </c>
      <c r="B90" s="366" t="s">
        <v>6057</v>
      </c>
      <c r="C90" s="367" t="s">
        <v>1980</v>
      </c>
      <c r="D90" s="368" t="s">
        <v>3902</v>
      </c>
      <c r="E90" s="369">
        <v>663791</v>
      </c>
      <c r="F90" s="370">
        <v>660537.5</v>
      </c>
    </row>
    <row r="91" spans="1:6">
      <c r="A91" s="365" t="s">
        <v>2998</v>
      </c>
      <c r="B91" s="366" t="s">
        <v>6058</v>
      </c>
      <c r="C91" s="367" t="s">
        <v>1980</v>
      </c>
      <c r="D91" s="368" t="s">
        <v>3902</v>
      </c>
      <c r="E91" s="369">
        <v>342241</v>
      </c>
      <c r="F91" s="370">
        <v>349093.76</v>
      </c>
    </row>
    <row r="92" spans="1:6">
      <c r="A92" s="365" t="s">
        <v>3000</v>
      </c>
      <c r="B92" s="366" t="s">
        <v>6059</v>
      </c>
      <c r="C92" s="367" t="s">
        <v>1980</v>
      </c>
      <c r="D92" s="368" t="s">
        <v>3902</v>
      </c>
      <c r="E92" s="369">
        <v>471900</v>
      </c>
      <c r="F92" s="370">
        <v>453150</v>
      </c>
    </row>
    <row r="93" spans="1:6">
      <c r="A93" s="365" t="s">
        <v>3002</v>
      </c>
      <c r="B93" s="366" t="s">
        <v>6062</v>
      </c>
      <c r="C93" s="367" t="s">
        <v>1980</v>
      </c>
      <c r="D93" s="368" t="s">
        <v>3902</v>
      </c>
      <c r="E93" s="369">
        <v>2346513</v>
      </c>
      <c r="F93" s="370">
        <v>2328513</v>
      </c>
    </row>
    <row r="94" spans="1:6">
      <c r="A94" s="365" t="s">
        <v>3004</v>
      </c>
      <c r="B94" s="366" t="s">
        <v>6065</v>
      </c>
      <c r="C94" s="367" t="s">
        <v>219</v>
      </c>
      <c r="D94" s="368" t="s">
        <v>4940</v>
      </c>
      <c r="E94" s="369">
        <v>180700</v>
      </c>
      <c r="F94" s="370">
        <v>182200</v>
      </c>
    </row>
    <row r="95" spans="1:6">
      <c r="A95" s="365" t="s">
        <v>6169</v>
      </c>
      <c r="B95" s="366" t="s">
        <v>6079</v>
      </c>
      <c r="C95" s="367" t="s">
        <v>1980</v>
      </c>
      <c r="D95" s="368" t="s">
        <v>3902</v>
      </c>
      <c r="E95" s="369">
        <v>728095</v>
      </c>
      <c r="F95" s="370">
        <v>792641.88</v>
      </c>
    </row>
    <row r="96" spans="1:6">
      <c r="A96" s="365" t="s">
        <v>6170</v>
      </c>
      <c r="B96" s="366" t="s">
        <v>495</v>
      </c>
      <c r="C96" s="367" t="s">
        <v>1980</v>
      </c>
      <c r="D96" s="368" t="s">
        <v>3902</v>
      </c>
      <c r="E96" s="369">
        <v>1178123</v>
      </c>
      <c r="F96" s="370">
        <v>1174897.52</v>
      </c>
    </row>
    <row r="97" spans="1:6">
      <c r="A97" s="365" t="s">
        <v>6171</v>
      </c>
      <c r="B97" s="366" t="s">
        <v>496</v>
      </c>
      <c r="C97" s="367" t="s">
        <v>1980</v>
      </c>
      <c r="D97" s="368" t="s">
        <v>3902</v>
      </c>
      <c r="E97" s="369">
        <v>5978212</v>
      </c>
      <c r="F97" s="370">
        <v>6013011.2599999998</v>
      </c>
    </row>
    <row r="98" spans="1:6">
      <c r="A98" s="365" t="s">
        <v>2358</v>
      </c>
      <c r="B98" s="366" t="s">
        <v>499</v>
      </c>
      <c r="C98" s="367" t="s">
        <v>1980</v>
      </c>
      <c r="D98" s="368" t="s">
        <v>3902</v>
      </c>
      <c r="E98" s="369">
        <v>94341</v>
      </c>
      <c r="F98" s="370">
        <v>91002.5</v>
      </c>
    </row>
    <row r="99" spans="1:6">
      <c r="A99" s="365" t="s">
        <v>6176</v>
      </c>
      <c r="B99" s="366" t="s">
        <v>502</v>
      </c>
      <c r="C99" s="367" t="s">
        <v>1980</v>
      </c>
      <c r="D99" s="368" t="s">
        <v>3902</v>
      </c>
      <c r="E99" s="369">
        <v>2592893</v>
      </c>
      <c r="F99" s="370">
        <v>2593230</v>
      </c>
    </row>
    <row r="100" spans="1:6">
      <c r="A100" s="365" t="s">
        <v>3097</v>
      </c>
      <c r="B100" s="366" t="s">
        <v>503</v>
      </c>
      <c r="C100" s="367" t="s">
        <v>1980</v>
      </c>
      <c r="D100" s="368" t="s">
        <v>3902</v>
      </c>
      <c r="E100" s="369">
        <v>110000</v>
      </c>
      <c r="F100" s="370">
        <v>96855</v>
      </c>
    </row>
    <row r="101" spans="1:6">
      <c r="A101" s="365" t="s">
        <v>6178</v>
      </c>
      <c r="B101" s="366" t="s">
        <v>3519</v>
      </c>
      <c r="C101" s="367" t="s">
        <v>1980</v>
      </c>
      <c r="D101" s="368" t="s">
        <v>3902</v>
      </c>
      <c r="E101" s="369">
        <v>539458</v>
      </c>
      <c r="F101" s="370">
        <v>523742</v>
      </c>
    </row>
    <row r="102" spans="1:6">
      <c r="A102" s="365" t="s">
        <v>2907</v>
      </c>
      <c r="B102" s="366" t="s">
        <v>1933</v>
      </c>
      <c r="C102" s="367" t="s">
        <v>1980</v>
      </c>
      <c r="D102" s="368" t="s">
        <v>3902</v>
      </c>
      <c r="E102" s="369">
        <v>624000</v>
      </c>
      <c r="F102" s="370">
        <v>643562.5</v>
      </c>
    </row>
    <row r="103" spans="1:6">
      <c r="A103" s="365" t="s">
        <v>6180</v>
      </c>
      <c r="B103" s="366" t="s">
        <v>1934</v>
      </c>
      <c r="C103" s="367" t="s">
        <v>219</v>
      </c>
      <c r="D103" s="368" t="s">
        <v>4940</v>
      </c>
      <c r="E103" s="369">
        <v>100400</v>
      </c>
      <c r="F103" s="370">
        <v>115310</v>
      </c>
    </row>
    <row r="104" spans="1:6">
      <c r="A104" s="365" t="s">
        <v>6182</v>
      </c>
      <c r="B104" s="366" t="s">
        <v>1935</v>
      </c>
      <c r="C104" s="367" t="s">
        <v>1980</v>
      </c>
      <c r="D104" s="368" t="s">
        <v>3902</v>
      </c>
      <c r="E104" s="369">
        <v>207728</v>
      </c>
      <c r="F104" s="370">
        <v>399263.53</v>
      </c>
    </row>
    <row r="105" spans="1:6">
      <c r="A105" s="365" t="s">
        <v>6184</v>
      </c>
      <c r="B105" s="366" t="s">
        <v>1938</v>
      </c>
      <c r="C105" s="367" t="s">
        <v>1980</v>
      </c>
      <c r="D105" s="368" t="s">
        <v>3902</v>
      </c>
      <c r="E105" s="369">
        <v>3052936</v>
      </c>
      <c r="F105" s="370">
        <v>3036740</v>
      </c>
    </row>
    <row r="106" spans="1:6">
      <c r="A106" s="365" t="s">
        <v>6185</v>
      </c>
      <c r="B106" s="366" t="s">
        <v>1939</v>
      </c>
      <c r="C106" s="367" t="s">
        <v>1980</v>
      </c>
      <c r="D106" s="368" t="s">
        <v>3902</v>
      </c>
      <c r="E106" s="369">
        <v>3069626</v>
      </c>
      <c r="F106" s="370">
        <v>908426.26</v>
      </c>
    </row>
    <row r="107" spans="1:6">
      <c r="A107" s="365" t="s">
        <v>6187</v>
      </c>
      <c r="B107" s="366" t="s">
        <v>3832</v>
      </c>
      <c r="C107" s="367" t="s">
        <v>1980</v>
      </c>
      <c r="D107" s="368" t="s">
        <v>3902</v>
      </c>
      <c r="E107" s="369">
        <v>274260</v>
      </c>
      <c r="F107" s="370">
        <v>276026.36</v>
      </c>
    </row>
    <row r="108" spans="1:6">
      <c r="A108" s="365" t="s">
        <v>6146</v>
      </c>
      <c r="B108" s="366" t="s">
        <v>3835</v>
      </c>
      <c r="C108" s="367" t="s">
        <v>1980</v>
      </c>
      <c r="D108" s="368" t="s">
        <v>3902</v>
      </c>
      <c r="E108" s="369">
        <v>188253</v>
      </c>
      <c r="F108" s="370">
        <v>182333</v>
      </c>
    </row>
    <row r="109" spans="1:6">
      <c r="A109" s="365" t="s">
        <v>6189</v>
      </c>
      <c r="B109" s="366" t="s">
        <v>3625</v>
      </c>
      <c r="C109" s="367" t="s">
        <v>1980</v>
      </c>
      <c r="D109" s="368" t="s">
        <v>3902</v>
      </c>
      <c r="E109" s="369">
        <v>318941</v>
      </c>
      <c r="F109" s="370">
        <v>323910</v>
      </c>
    </row>
    <row r="110" spans="1:6">
      <c r="A110" s="365" t="s">
        <v>6192</v>
      </c>
      <c r="B110" s="366" t="s">
        <v>3630</v>
      </c>
      <c r="C110" s="367" t="s">
        <v>1980</v>
      </c>
      <c r="D110" s="368" t="s">
        <v>3902</v>
      </c>
      <c r="E110" s="369">
        <v>221531</v>
      </c>
      <c r="F110" s="370">
        <v>356839.52</v>
      </c>
    </row>
    <row r="111" spans="1:6">
      <c r="A111" s="365" t="s">
        <v>6194</v>
      </c>
      <c r="B111" s="366" t="s">
        <v>5292</v>
      </c>
      <c r="C111" s="367" t="s">
        <v>1980</v>
      </c>
      <c r="D111" s="368" t="s">
        <v>3902</v>
      </c>
      <c r="E111" s="369">
        <v>7578719</v>
      </c>
      <c r="F111" s="370">
        <v>5888450</v>
      </c>
    </row>
    <row r="112" spans="1:6">
      <c r="A112" s="365" t="s">
        <v>6196</v>
      </c>
      <c r="B112" s="366" t="s">
        <v>5295</v>
      </c>
      <c r="C112" s="367" t="s">
        <v>1980</v>
      </c>
      <c r="D112" s="368" t="s">
        <v>3902</v>
      </c>
      <c r="E112" s="369">
        <v>242636</v>
      </c>
      <c r="F112" s="370">
        <v>477919.86</v>
      </c>
    </row>
    <row r="113" spans="1:6">
      <c r="A113" s="365" t="s">
        <v>3089</v>
      </c>
      <c r="B113" s="366" t="s">
        <v>338</v>
      </c>
      <c r="C113" s="367" t="s">
        <v>1980</v>
      </c>
      <c r="D113" s="368" t="s">
        <v>3902</v>
      </c>
      <c r="E113" s="369">
        <v>105603</v>
      </c>
      <c r="F113" s="370">
        <v>109322</v>
      </c>
    </row>
    <row r="114" spans="1:6">
      <c r="A114" s="365" t="s">
        <v>5124</v>
      </c>
      <c r="B114" s="366" t="s">
        <v>339</v>
      </c>
      <c r="C114" s="367" t="s">
        <v>1980</v>
      </c>
      <c r="D114" s="368" t="s">
        <v>3902</v>
      </c>
      <c r="E114" s="369">
        <v>906295</v>
      </c>
      <c r="F114" s="370">
        <v>896040</v>
      </c>
    </row>
    <row r="115" spans="1:6">
      <c r="A115" s="365" t="s">
        <v>5125</v>
      </c>
      <c r="B115" s="366" t="s">
        <v>340</v>
      </c>
      <c r="C115" s="367" t="s">
        <v>1980</v>
      </c>
      <c r="D115" s="368" t="s">
        <v>3902</v>
      </c>
      <c r="E115" s="369">
        <v>4254043</v>
      </c>
      <c r="F115" s="370">
        <v>4254092.5</v>
      </c>
    </row>
    <row r="116" spans="1:6">
      <c r="A116" s="365" t="s">
        <v>5127</v>
      </c>
      <c r="B116" s="366" t="s">
        <v>342</v>
      </c>
      <c r="C116" s="367" t="s">
        <v>1980</v>
      </c>
      <c r="D116" s="368" t="s">
        <v>3902</v>
      </c>
      <c r="E116" s="369">
        <v>406232</v>
      </c>
      <c r="F116" s="370">
        <v>336140.46</v>
      </c>
    </row>
    <row r="117" spans="1:6">
      <c r="A117" s="365" t="s">
        <v>2563</v>
      </c>
      <c r="B117" s="366" t="s">
        <v>345</v>
      </c>
      <c r="C117" s="367" t="s">
        <v>1980</v>
      </c>
      <c r="D117" s="368" t="s">
        <v>3902</v>
      </c>
      <c r="E117" s="369">
        <v>28625</v>
      </c>
      <c r="F117" s="370">
        <v>26332.5</v>
      </c>
    </row>
    <row r="118" spans="1:6">
      <c r="A118" s="365" t="s">
        <v>5131</v>
      </c>
      <c r="B118" s="366" t="s">
        <v>350</v>
      </c>
      <c r="C118" s="367" t="s">
        <v>1980</v>
      </c>
      <c r="D118" s="368" t="s">
        <v>3902</v>
      </c>
      <c r="E118" s="369">
        <v>333511</v>
      </c>
      <c r="F118" s="370">
        <v>306143.21000000002</v>
      </c>
    </row>
    <row r="119" spans="1:6">
      <c r="A119" s="365" t="s">
        <v>5132</v>
      </c>
      <c r="B119" s="366" t="s">
        <v>352</v>
      </c>
      <c r="C119" s="367" t="s">
        <v>1980</v>
      </c>
      <c r="D119" s="368" t="s">
        <v>3902</v>
      </c>
      <c r="E119" s="369">
        <v>17176</v>
      </c>
      <c r="F119" s="370">
        <v>312071</v>
      </c>
    </row>
    <row r="120" spans="1:6">
      <c r="A120" s="365" t="s">
        <v>648</v>
      </c>
      <c r="B120" s="366" t="s">
        <v>353</v>
      </c>
      <c r="C120" s="367" t="s">
        <v>1980</v>
      </c>
      <c r="D120" s="368" t="s">
        <v>3902</v>
      </c>
      <c r="E120" s="369">
        <v>448118</v>
      </c>
      <c r="F120" s="370">
        <v>442745</v>
      </c>
    </row>
    <row r="121" spans="1:6">
      <c r="A121" s="365" t="s">
        <v>650</v>
      </c>
      <c r="B121" s="366" t="s">
        <v>355</v>
      </c>
      <c r="C121" s="367" t="s">
        <v>1980</v>
      </c>
      <c r="D121" s="368" t="s">
        <v>3902</v>
      </c>
      <c r="E121" s="369">
        <v>685070</v>
      </c>
      <c r="F121" s="370">
        <v>726863</v>
      </c>
    </row>
    <row r="122" spans="1:6">
      <c r="A122" s="365" t="s">
        <v>2766</v>
      </c>
      <c r="B122" s="366" t="s">
        <v>356</v>
      </c>
      <c r="C122" s="367" t="s">
        <v>1980</v>
      </c>
      <c r="D122" s="368" t="s">
        <v>3902</v>
      </c>
      <c r="E122" s="369">
        <v>415048</v>
      </c>
      <c r="F122" s="370">
        <v>411847.5</v>
      </c>
    </row>
    <row r="123" spans="1:6">
      <c r="A123" s="365" t="s">
        <v>2767</v>
      </c>
      <c r="B123" s="366" t="s">
        <v>357</v>
      </c>
      <c r="C123" s="367" t="s">
        <v>1980</v>
      </c>
      <c r="D123" s="368" t="s">
        <v>3902</v>
      </c>
      <c r="E123" s="369">
        <v>67680</v>
      </c>
      <c r="F123" s="370">
        <v>98060</v>
      </c>
    </row>
    <row r="124" spans="1:6">
      <c r="A124" s="365" t="s">
        <v>2769</v>
      </c>
      <c r="B124" s="366" t="s">
        <v>359</v>
      </c>
      <c r="C124" s="367" t="s">
        <v>1980</v>
      </c>
      <c r="D124" s="368" t="s">
        <v>3902</v>
      </c>
      <c r="E124" s="369">
        <v>120494</v>
      </c>
      <c r="F124" s="370">
        <v>121694</v>
      </c>
    </row>
    <row r="125" spans="1:6">
      <c r="A125" s="365" t="s">
        <v>2770</v>
      </c>
      <c r="B125" s="366" t="s">
        <v>360</v>
      </c>
      <c r="C125" s="367" t="s">
        <v>1980</v>
      </c>
      <c r="D125" s="368" t="s">
        <v>3902</v>
      </c>
      <c r="E125" s="369">
        <v>1967288</v>
      </c>
      <c r="F125" s="370">
        <v>1959347.5</v>
      </c>
    </row>
    <row r="126" spans="1:6">
      <c r="A126" s="365" t="s">
        <v>3087</v>
      </c>
      <c r="B126" s="366" t="s">
        <v>361</v>
      </c>
      <c r="C126" s="367" t="s">
        <v>1980</v>
      </c>
      <c r="D126" s="368" t="s">
        <v>3902</v>
      </c>
      <c r="E126" s="369">
        <v>476290</v>
      </c>
      <c r="F126" s="370">
        <v>472555</v>
      </c>
    </row>
    <row r="127" spans="1:6">
      <c r="A127" s="365" t="s">
        <v>2771</v>
      </c>
      <c r="B127" s="366" t="s">
        <v>364</v>
      </c>
      <c r="C127" s="367" t="s">
        <v>1980</v>
      </c>
      <c r="D127" s="368" t="s">
        <v>3902</v>
      </c>
      <c r="E127" s="369">
        <v>166474</v>
      </c>
      <c r="F127" s="370">
        <v>210655</v>
      </c>
    </row>
    <row r="128" spans="1:6">
      <c r="A128" s="365" t="s">
        <v>2308</v>
      </c>
      <c r="B128" s="366" t="s">
        <v>366</v>
      </c>
      <c r="C128" s="367" t="s">
        <v>1980</v>
      </c>
      <c r="D128" s="368" t="s">
        <v>3902</v>
      </c>
      <c r="E128" s="369">
        <v>485685</v>
      </c>
      <c r="F128" s="370">
        <v>478080</v>
      </c>
    </row>
    <row r="129" spans="1:6">
      <c r="A129" s="365" t="s">
        <v>3886</v>
      </c>
      <c r="B129" s="366" t="s">
        <v>368</v>
      </c>
      <c r="C129" s="367" t="s">
        <v>1980</v>
      </c>
      <c r="D129" s="368" t="s">
        <v>3902</v>
      </c>
      <c r="E129" s="369">
        <v>816105</v>
      </c>
      <c r="F129" s="370">
        <v>977033</v>
      </c>
    </row>
    <row r="130" spans="1:6">
      <c r="A130" s="365" t="s">
        <v>2383</v>
      </c>
      <c r="B130" s="366" t="s">
        <v>374</v>
      </c>
      <c r="C130" s="367" t="s">
        <v>1980</v>
      </c>
      <c r="D130" s="368" t="s">
        <v>3902</v>
      </c>
      <c r="E130" s="369">
        <v>387158</v>
      </c>
      <c r="F130" s="370">
        <v>368997.5</v>
      </c>
    </row>
    <row r="131" spans="1:6">
      <c r="A131" s="365" t="s">
        <v>2385</v>
      </c>
      <c r="B131" s="366" t="s">
        <v>378</v>
      </c>
      <c r="C131" s="367" t="s">
        <v>1980</v>
      </c>
      <c r="D131" s="368" t="s">
        <v>3902</v>
      </c>
      <c r="E131" s="369">
        <v>726000</v>
      </c>
      <c r="F131" s="370">
        <v>720000</v>
      </c>
    </row>
    <row r="132" spans="1:6">
      <c r="A132" s="365" t="s">
        <v>2386</v>
      </c>
      <c r="B132" s="366" t="s">
        <v>379</v>
      </c>
      <c r="C132" s="367" t="s">
        <v>1980</v>
      </c>
      <c r="D132" s="368" t="s">
        <v>3902</v>
      </c>
      <c r="E132" s="369">
        <v>14004279</v>
      </c>
      <c r="F132" s="370">
        <v>13930844</v>
      </c>
    </row>
    <row r="133" spans="1:6">
      <c r="A133" s="365" t="s">
        <v>2387</v>
      </c>
      <c r="B133" s="366" t="s">
        <v>380</v>
      </c>
      <c r="C133" s="367" t="s">
        <v>1980</v>
      </c>
      <c r="D133" s="368" t="s">
        <v>3902</v>
      </c>
      <c r="E133" s="369">
        <v>1943392</v>
      </c>
      <c r="F133" s="370">
        <v>1938507.5</v>
      </c>
    </row>
    <row r="134" spans="1:6">
      <c r="A134" s="365" t="s">
        <v>3092</v>
      </c>
      <c r="B134" s="366" t="s">
        <v>381</v>
      </c>
      <c r="C134" s="367" t="s">
        <v>1980</v>
      </c>
      <c r="D134" s="368" t="s">
        <v>3902</v>
      </c>
      <c r="E134" s="369">
        <v>221765</v>
      </c>
      <c r="F134" s="370">
        <v>221905</v>
      </c>
    </row>
    <row r="135" spans="1:6">
      <c r="A135" s="365" t="s">
        <v>2388</v>
      </c>
      <c r="B135" s="366" t="s">
        <v>382</v>
      </c>
      <c r="C135" s="367" t="s">
        <v>219</v>
      </c>
      <c r="D135" s="368" t="s">
        <v>4940</v>
      </c>
      <c r="E135" s="369">
        <v>828370</v>
      </c>
      <c r="F135" s="370">
        <v>709407</v>
      </c>
    </row>
    <row r="136" spans="1:6">
      <c r="A136" s="365" t="s">
        <v>2389</v>
      </c>
      <c r="B136" s="366" t="s">
        <v>383</v>
      </c>
      <c r="C136" s="367" t="s">
        <v>1980</v>
      </c>
      <c r="D136" s="368" t="s">
        <v>3902</v>
      </c>
      <c r="E136" s="369">
        <v>2143670</v>
      </c>
      <c r="F136" s="370">
        <v>2163199</v>
      </c>
    </row>
    <row r="137" spans="1:6">
      <c r="A137" s="365" t="s">
        <v>2391</v>
      </c>
      <c r="B137" s="366" t="s">
        <v>1456</v>
      </c>
      <c r="C137" s="367" t="s">
        <v>1980</v>
      </c>
      <c r="D137" s="368" t="s">
        <v>3902</v>
      </c>
      <c r="E137" s="369">
        <v>461721</v>
      </c>
      <c r="F137" s="370">
        <v>1384546.74</v>
      </c>
    </row>
    <row r="138" spans="1:6">
      <c r="A138" s="365" t="s">
        <v>3088</v>
      </c>
      <c r="B138" s="366" t="s">
        <v>1459</v>
      </c>
      <c r="C138" s="367" t="s">
        <v>1980</v>
      </c>
      <c r="D138" s="368" t="s">
        <v>3902</v>
      </c>
      <c r="E138" s="369">
        <v>128701</v>
      </c>
      <c r="F138" s="370">
        <v>269181</v>
      </c>
    </row>
    <row r="139" spans="1:6">
      <c r="A139" s="365" t="s">
        <v>2393</v>
      </c>
      <c r="B139" s="366" t="s">
        <v>1460</v>
      </c>
      <c r="C139" s="367" t="s">
        <v>1980</v>
      </c>
      <c r="D139" s="368" t="s">
        <v>3902</v>
      </c>
      <c r="E139" s="369">
        <v>307688</v>
      </c>
      <c r="F139" s="370">
        <v>301000</v>
      </c>
    </row>
    <row r="140" spans="1:6">
      <c r="A140" s="365" t="s">
        <v>2394</v>
      </c>
      <c r="B140" s="366" t="s">
        <v>1461</v>
      </c>
      <c r="C140" s="367" t="s">
        <v>1980</v>
      </c>
      <c r="D140" s="368" t="s">
        <v>3902</v>
      </c>
      <c r="E140" s="369">
        <v>445556</v>
      </c>
      <c r="F140" s="370">
        <v>282509.21999999997</v>
      </c>
    </row>
    <row r="141" spans="1:6">
      <c r="A141" s="365" t="s">
        <v>2395</v>
      </c>
      <c r="B141" s="366" t="s">
        <v>1462</v>
      </c>
      <c r="C141" s="367" t="s">
        <v>1980</v>
      </c>
      <c r="D141" s="368" t="s">
        <v>3902</v>
      </c>
      <c r="E141" s="369">
        <v>186248</v>
      </c>
      <c r="F141" s="370">
        <v>547540.81999999995</v>
      </c>
    </row>
    <row r="142" spans="1:6">
      <c r="A142" s="365" t="s">
        <v>2396</v>
      </c>
      <c r="B142" s="366" t="s">
        <v>1463</v>
      </c>
      <c r="C142" s="367" t="s">
        <v>1980</v>
      </c>
      <c r="D142" s="368" t="s">
        <v>3902</v>
      </c>
      <c r="E142" s="369">
        <v>931261</v>
      </c>
      <c r="F142" s="370">
        <v>1367963</v>
      </c>
    </row>
    <row r="143" spans="1:6">
      <c r="A143" s="365" t="s">
        <v>2397</v>
      </c>
      <c r="B143" s="366" t="s">
        <v>1464</v>
      </c>
      <c r="C143" s="367" t="s">
        <v>1980</v>
      </c>
      <c r="D143" s="368" t="s">
        <v>3902</v>
      </c>
      <c r="E143" s="369">
        <v>289979</v>
      </c>
      <c r="F143" s="370">
        <v>285116</v>
      </c>
    </row>
    <row r="144" spans="1:6">
      <c r="A144" s="365" t="s">
        <v>2398</v>
      </c>
      <c r="B144" s="366" t="s">
        <v>1466</v>
      </c>
      <c r="C144" s="367" t="s">
        <v>1980</v>
      </c>
      <c r="D144" s="368" t="s">
        <v>3902</v>
      </c>
      <c r="E144" s="369">
        <v>701598</v>
      </c>
      <c r="F144" s="370">
        <v>686134.27</v>
      </c>
    </row>
    <row r="145" spans="1:6">
      <c r="A145" s="365" t="s">
        <v>2400</v>
      </c>
      <c r="B145" s="366" t="s">
        <v>2342</v>
      </c>
      <c r="C145" s="367" t="s">
        <v>1980</v>
      </c>
      <c r="D145" s="368" t="s">
        <v>3902</v>
      </c>
      <c r="E145" s="369">
        <v>100000</v>
      </c>
      <c r="F145" s="370">
        <v>97710</v>
      </c>
    </row>
    <row r="146" spans="1:6">
      <c r="A146" s="365" t="s">
        <v>2401</v>
      </c>
      <c r="B146" s="366" t="s">
        <v>2345</v>
      </c>
      <c r="C146" s="367" t="s">
        <v>1980</v>
      </c>
      <c r="D146" s="368" t="s">
        <v>3902</v>
      </c>
      <c r="E146" s="369">
        <v>1767522</v>
      </c>
      <c r="F146" s="370">
        <v>1865488.32</v>
      </c>
    </row>
    <row r="147" spans="1:6">
      <c r="A147" s="365" t="s">
        <v>2402</v>
      </c>
      <c r="B147" s="366" t="s">
        <v>2346</v>
      </c>
      <c r="C147" s="367" t="s">
        <v>1980</v>
      </c>
      <c r="D147" s="368" t="s">
        <v>3902</v>
      </c>
      <c r="E147" s="369">
        <v>637500</v>
      </c>
      <c r="F147" s="370">
        <v>637476.26</v>
      </c>
    </row>
    <row r="148" spans="1:6">
      <c r="A148" s="365" t="s">
        <v>2403</v>
      </c>
      <c r="B148" s="366" t="s">
        <v>2347</v>
      </c>
      <c r="C148" s="367" t="s">
        <v>1980</v>
      </c>
      <c r="D148" s="368" t="s">
        <v>3902</v>
      </c>
      <c r="E148" s="369">
        <v>2270472</v>
      </c>
      <c r="F148" s="370">
        <v>2185881.25</v>
      </c>
    </row>
    <row r="149" spans="1:6">
      <c r="A149" s="365" t="s">
        <v>2404</v>
      </c>
      <c r="B149" s="366" t="s">
        <v>2348</v>
      </c>
      <c r="C149" s="367" t="s">
        <v>219</v>
      </c>
      <c r="D149" s="368" t="s">
        <v>4940</v>
      </c>
      <c r="E149" s="369">
        <v>520585</v>
      </c>
      <c r="F149" s="370">
        <v>493250</v>
      </c>
    </row>
    <row r="150" spans="1:6">
      <c r="A150" s="365" t="s">
        <v>3082</v>
      </c>
      <c r="B150" s="366" t="s">
        <v>2349</v>
      </c>
      <c r="C150" s="367" t="s">
        <v>1980</v>
      </c>
      <c r="D150" s="368" t="s">
        <v>3902</v>
      </c>
      <c r="E150" s="369">
        <v>1856996</v>
      </c>
      <c r="F150" s="370">
        <v>1819666</v>
      </c>
    </row>
    <row r="151" spans="1:6">
      <c r="A151" s="365" t="s">
        <v>2405</v>
      </c>
      <c r="B151" s="366" t="s">
        <v>2350</v>
      </c>
      <c r="C151" s="367" t="s">
        <v>1980</v>
      </c>
      <c r="D151" s="368" t="s">
        <v>3902</v>
      </c>
      <c r="E151" s="369">
        <v>687496</v>
      </c>
      <c r="F151" s="370">
        <v>707028</v>
      </c>
    </row>
    <row r="152" spans="1:6">
      <c r="A152" s="365" t="s">
        <v>2413</v>
      </c>
      <c r="B152" s="366" t="s">
        <v>5366</v>
      </c>
      <c r="C152" s="367" t="s">
        <v>1980</v>
      </c>
      <c r="D152" s="368" t="s">
        <v>3902</v>
      </c>
      <c r="E152" s="369">
        <v>24925</v>
      </c>
      <c r="F152" s="370">
        <v>111453</v>
      </c>
    </row>
    <row r="153" spans="1:6">
      <c r="A153" s="365" t="s">
        <v>2414</v>
      </c>
      <c r="B153" s="366" t="s">
        <v>5367</v>
      </c>
      <c r="C153" s="367" t="s">
        <v>1980</v>
      </c>
      <c r="D153" s="368" t="s">
        <v>3902</v>
      </c>
      <c r="E153" s="369">
        <v>37010</v>
      </c>
      <c r="F153" s="370">
        <v>32213</v>
      </c>
    </row>
    <row r="154" spans="1:6">
      <c r="A154" s="365" t="s">
        <v>2417</v>
      </c>
      <c r="B154" s="366" t="s">
        <v>5370</v>
      </c>
      <c r="C154" s="367" t="s">
        <v>1980</v>
      </c>
      <c r="D154" s="368" t="s">
        <v>3902</v>
      </c>
      <c r="E154" s="369">
        <v>986173</v>
      </c>
      <c r="F154" s="370">
        <v>2804676</v>
      </c>
    </row>
    <row r="155" spans="1:6">
      <c r="A155" s="365" t="s">
        <v>2418</v>
      </c>
      <c r="B155" s="366" t="s">
        <v>5371</v>
      </c>
      <c r="C155" s="367" t="s">
        <v>1980</v>
      </c>
      <c r="D155" s="368" t="s">
        <v>3902</v>
      </c>
      <c r="E155" s="369">
        <v>1100156</v>
      </c>
      <c r="F155" s="370">
        <v>1100581.26</v>
      </c>
    </row>
    <row r="156" spans="1:6">
      <c r="A156" s="365" t="s">
        <v>2419</v>
      </c>
      <c r="B156" s="366" t="s">
        <v>5372</v>
      </c>
      <c r="C156" s="367" t="s">
        <v>1980</v>
      </c>
      <c r="D156" s="368" t="s">
        <v>3902</v>
      </c>
      <c r="E156" s="369">
        <v>511379</v>
      </c>
      <c r="F156" s="370">
        <v>509580</v>
      </c>
    </row>
    <row r="157" spans="1:6">
      <c r="A157" s="365" t="s">
        <v>2836</v>
      </c>
      <c r="B157" s="366" t="s">
        <v>5373</v>
      </c>
      <c r="C157" s="367" t="s">
        <v>1980</v>
      </c>
      <c r="D157" s="368" t="s">
        <v>3902</v>
      </c>
      <c r="E157" s="369">
        <v>15230</v>
      </c>
      <c r="F157" s="370">
        <v>305555</v>
      </c>
    </row>
    <row r="158" spans="1:6">
      <c r="A158" s="365" t="s">
        <v>3551</v>
      </c>
      <c r="B158" s="366" t="s">
        <v>7131</v>
      </c>
      <c r="C158" s="367" t="s">
        <v>1980</v>
      </c>
      <c r="D158" s="368" t="s">
        <v>3902</v>
      </c>
      <c r="E158" s="369">
        <v>260380</v>
      </c>
      <c r="F158" s="370">
        <v>324195</v>
      </c>
    </row>
    <row r="159" spans="1:6">
      <c r="A159" s="365" t="s">
        <v>3553</v>
      </c>
      <c r="B159" s="366" t="s">
        <v>4060</v>
      </c>
      <c r="C159" s="367" t="s">
        <v>1980</v>
      </c>
      <c r="D159" s="368" t="s">
        <v>3902</v>
      </c>
      <c r="E159" s="369">
        <v>908082</v>
      </c>
      <c r="F159" s="370">
        <v>908082</v>
      </c>
    </row>
    <row r="160" spans="1:6">
      <c r="A160" s="365" t="s">
        <v>3556</v>
      </c>
      <c r="B160" s="366" t="s">
        <v>4067</v>
      </c>
      <c r="C160" s="367" t="s">
        <v>1980</v>
      </c>
      <c r="D160" s="368" t="s">
        <v>3902</v>
      </c>
      <c r="E160" s="369">
        <v>99733</v>
      </c>
      <c r="F160" s="370">
        <v>432497</v>
      </c>
    </row>
    <row r="161" spans="1:6">
      <c r="A161" s="365" t="s">
        <v>859</v>
      </c>
      <c r="B161" s="366" t="s">
        <v>2003</v>
      </c>
      <c r="C161" s="367" t="s">
        <v>1980</v>
      </c>
      <c r="D161" s="368" t="s">
        <v>3902</v>
      </c>
      <c r="E161" s="369">
        <v>700706</v>
      </c>
      <c r="F161" s="370">
        <v>686773</v>
      </c>
    </row>
    <row r="162" spans="1:6">
      <c r="A162" s="365" t="s">
        <v>861</v>
      </c>
      <c r="B162" s="366" t="s">
        <v>2008</v>
      </c>
      <c r="C162" s="367" t="s">
        <v>1980</v>
      </c>
      <c r="D162" s="368" t="s">
        <v>3902</v>
      </c>
      <c r="E162" s="369">
        <v>80468</v>
      </c>
      <c r="F162" s="370">
        <v>145843</v>
      </c>
    </row>
    <row r="163" spans="1:6">
      <c r="A163" s="365" t="s">
        <v>862</v>
      </c>
      <c r="B163" s="366" t="s">
        <v>2009</v>
      </c>
      <c r="C163" s="367" t="s">
        <v>1980</v>
      </c>
      <c r="D163" s="368" t="s">
        <v>3902</v>
      </c>
      <c r="E163" s="369">
        <v>5516</v>
      </c>
      <c r="F163" s="370">
        <v>301900</v>
      </c>
    </row>
    <row r="164" spans="1:6">
      <c r="A164" s="365" t="s">
        <v>864</v>
      </c>
      <c r="B164" s="366" t="s">
        <v>2011</v>
      </c>
      <c r="C164" s="367" t="s">
        <v>1980</v>
      </c>
      <c r="D164" s="368" t="s">
        <v>3902</v>
      </c>
      <c r="E164" s="369">
        <v>43725</v>
      </c>
      <c r="F164" s="370">
        <v>45831</v>
      </c>
    </row>
  </sheetData>
  <phoneticPr fontId="33" type="noConversion"/>
  <pageMargins left="0.75" right="0.75" top="1" bottom="1" header="0.5" footer="0.5"/>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1"/>
  <dimension ref="A1:F47"/>
  <sheetViews>
    <sheetView workbookViewId="0"/>
  </sheetViews>
  <sheetFormatPr defaultRowHeight="13.2"/>
  <cols>
    <col min="2" max="2" width="39.5546875" customWidth="1"/>
    <col min="5" max="5" width="17.77734375" customWidth="1"/>
    <col min="6" max="6" width="18.21875" customWidth="1"/>
  </cols>
  <sheetData>
    <row r="1" spans="1:6">
      <c r="A1" s="365" t="s">
        <v>819</v>
      </c>
      <c r="B1" s="366" t="s">
        <v>3901</v>
      </c>
      <c r="C1" s="367" t="s">
        <v>219</v>
      </c>
      <c r="D1" s="368" t="s">
        <v>4940</v>
      </c>
      <c r="E1" s="369">
        <v>871986</v>
      </c>
      <c r="F1" s="370">
        <v>869778</v>
      </c>
    </row>
    <row r="2" spans="1:6">
      <c r="A2" s="365" t="s">
        <v>3887</v>
      </c>
      <c r="B2" s="366" t="s">
        <v>1844</v>
      </c>
      <c r="C2" s="367" t="s">
        <v>1980</v>
      </c>
      <c r="D2" s="368" t="s">
        <v>3902</v>
      </c>
      <c r="E2" s="369">
        <v>402103</v>
      </c>
      <c r="F2" s="370">
        <v>38306.19</v>
      </c>
    </row>
    <row r="3" spans="1:6">
      <c r="A3" s="365" t="s">
        <v>3888</v>
      </c>
      <c r="B3" s="366" t="s">
        <v>7678</v>
      </c>
      <c r="C3" s="367" t="s">
        <v>1980</v>
      </c>
      <c r="D3" s="368" t="s">
        <v>3902</v>
      </c>
      <c r="E3" s="369">
        <v>793345</v>
      </c>
      <c r="F3" s="370">
        <v>1088418</v>
      </c>
    </row>
    <row r="4" spans="1:6">
      <c r="A4" s="365" t="s">
        <v>956</v>
      </c>
      <c r="B4" s="366" t="s">
        <v>7661</v>
      </c>
      <c r="C4" s="367" t="s">
        <v>1980</v>
      </c>
      <c r="D4" s="368" t="s">
        <v>3902</v>
      </c>
      <c r="E4" s="369">
        <v>192252</v>
      </c>
      <c r="F4" s="370">
        <v>245826.77</v>
      </c>
    </row>
    <row r="5" spans="1:6">
      <c r="A5" s="365" t="s">
        <v>957</v>
      </c>
      <c r="B5" s="366" t="s">
        <v>7664</v>
      </c>
      <c r="C5" s="367" t="s">
        <v>1980</v>
      </c>
      <c r="D5" s="368" t="s">
        <v>3902</v>
      </c>
      <c r="E5" s="369">
        <v>47466</v>
      </c>
      <c r="F5" s="370">
        <v>43080</v>
      </c>
    </row>
    <row r="6" spans="1:6">
      <c r="A6" s="365" t="s">
        <v>960</v>
      </c>
      <c r="B6" s="366" t="s">
        <v>2143</v>
      </c>
      <c r="C6" s="367" t="s">
        <v>1980</v>
      </c>
      <c r="D6" s="368" t="s">
        <v>3902</v>
      </c>
      <c r="E6" s="369">
        <v>424846</v>
      </c>
      <c r="F6" s="370">
        <v>0</v>
      </c>
    </row>
    <row r="7" spans="1:6">
      <c r="A7" s="365" t="s">
        <v>741</v>
      </c>
      <c r="B7" s="366" t="s">
        <v>6116</v>
      </c>
      <c r="C7" s="367" t="s">
        <v>1980</v>
      </c>
      <c r="D7" s="368" t="s">
        <v>3902</v>
      </c>
      <c r="E7" s="369">
        <v>732644</v>
      </c>
      <c r="F7" s="370">
        <v>730932.5</v>
      </c>
    </row>
    <row r="8" spans="1:6">
      <c r="A8" s="365" t="s">
        <v>237</v>
      </c>
      <c r="B8" s="366" t="s">
        <v>2644</v>
      </c>
      <c r="C8" s="367" t="s">
        <v>1980</v>
      </c>
      <c r="D8" s="368" t="s">
        <v>3902</v>
      </c>
      <c r="E8" s="369">
        <v>590544</v>
      </c>
      <c r="F8" s="370">
        <v>636213.81000000006</v>
      </c>
    </row>
    <row r="9" spans="1:6">
      <c r="A9" s="365" t="s">
        <v>247</v>
      </c>
      <c r="B9" s="366" t="s">
        <v>989</v>
      </c>
      <c r="C9" s="367" t="s">
        <v>1980</v>
      </c>
      <c r="D9" s="368" t="s">
        <v>3902</v>
      </c>
      <c r="E9" s="369">
        <v>197353</v>
      </c>
      <c r="F9" s="370">
        <v>195625</v>
      </c>
    </row>
    <row r="10" spans="1:6">
      <c r="A10" s="365" t="s">
        <v>2054</v>
      </c>
      <c r="B10" s="366" t="s">
        <v>3009</v>
      </c>
      <c r="C10" s="367" t="s">
        <v>1980</v>
      </c>
      <c r="D10" s="368" t="s">
        <v>3902</v>
      </c>
      <c r="E10" s="369">
        <v>1121326</v>
      </c>
      <c r="F10" s="370">
        <v>1115215</v>
      </c>
    </row>
    <row r="11" spans="1:6">
      <c r="A11" s="365" t="s">
        <v>3095</v>
      </c>
      <c r="B11" s="366" t="s">
        <v>3014</v>
      </c>
      <c r="C11" s="367" t="s">
        <v>1980</v>
      </c>
      <c r="D11" s="368" t="s">
        <v>3902</v>
      </c>
      <c r="E11" s="369">
        <v>79936</v>
      </c>
      <c r="F11" s="370">
        <v>81237.5</v>
      </c>
    </row>
    <row r="12" spans="1:6">
      <c r="A12" s="365" t="s">
        <v>1519</v>
      </c>
      <c r="B12" s="366" t="s">
        <v>3015</v>
      </c>
      <c r="C12" s="367" t="s">
        <v>1980</v>
      </c>
      <c r="D12" s="368" t="s">
        <v>3902</v>
      </c>
      <c r="E12" s="369">
        <v>259798</v>
      </c>
      <c r="F12" s="370">
        <v>254398</v>
      </c>
    </row>
    <row r="13" spans="1:6">
      <c r="A13" s="365" t="s">
        <v>1520</v>
      </c>
      <c r="B13" s="366" t="s">
        <v>1926</v>
      </c>
      <c r="C13" s="367" t="s">
        <v>1980</v>
      </c>
      <c r="D13" s="368" t="s">
        <v>3902</v>
      </c>
      <c r="E13" s="369">
        <v>591537</v>
      </c>
      <c r="F13" s="370">
        <v>578590</v>
      </c>
    </row>
    <row r="14" spans="1:6">
      <c r="A14" s="365" t="s">
        <v>1521</v>
      </c>
      <c r="B14" s="366" t="s">
        <v>1927</v>
      </c>
      <c r="C14" s="367" t="s">
        <v>1980</v>
      </c>
      <c r="D14" s="368" t="s">
        <v>3902</v>
      </c>
      <c r="E14" s="369">
        <v>3996878</v>
      </c>
      <c r="F14" s="370">
        <v>3997977.1</v>
      </c>
    </row>
    <row r="15" spans="1:6">
      <c r="A15" s="365" t="s">
        <v>1525</v>
      </c>
      <c r="B15" s="366" t="s">
        <v>1931</v>
      </c>
      <c r="C15" s="367" t="s">
        <v>1980</v>
      </c>
      <c r="D15" s="368" t="s">
        <v>3902</v>
      </c>
      <c r="E15" s="369">
        <v>95588</v>
      </c>
      <c r="F15" s="370">
        <v>91650</v>
      </c>
    </row>
    <row r="16" spans="1:6">
      <c r="A16" s="365" t="s">
        <v>1315</v>
      </c>
      <c r="B16" s="366" t="s">
        <v>120</v>
      </c>
      <c r="C16" s="367" t="s">
        <v>1980</v>
      </c>
      <c r="D16" s="368" t="s">
        <v>3902</v>
      </c>
      <c r="E16" s="369">
        <v>907274</v>
      </c>
      <c r="F16" s="370">
        <v>1015384</v>
      </c>
    </row>
    <row r="17" spans="1:6">
      <c r="A17" s="365" t="s">
        <v>1855</v>
      </c>
      <c r="B17" s="366" t="s">
        <v>4968</v>
      </c>
      <c r="C17" s="367" t="s">
        <v>219</v>
      </c>
      <c r="D17" s="368" t="s">
        <v>4940</v>
      </c>
      <c r="E17" s="369">
        <v>257968</v>
      </c>
      <c r="F17" s="370">
        <v>361943.72</v>
      </c>
    </row>
    <row r="18" spans="1:6">
      <c r="A18" s="365" t="s">
        <v>1860</v>
      </c>
      <c r="B18" s="366" t="s">
        <v>3918</v>
      </c>
      <c r="C18" s="367" t="s">
        <v>1980</v>
      </c>
      <c r="D18" s="368" t="s">
        <v>3902</v>
      </c>
      <c r="E18" s="369">
        <v>3411660.2250000001</v>
      </c>
      <c r="F18" s="370">
        <v>3403146</v>
      </c>
    </row>
    <row r="19" spans="1:6">
      <c r="A19" s="365" t="s">
        <v>1866</v>
      </c>
      <c r="B19" s="366" t="s">
        <v>3845</v>
      </c>
      <c r="C19" s="367" t="s">
        <v>1980</v>
      </c>
      <c r="D19" s="368" t="s">
        <v>3902</v>
      </c>
      <c r="E19" s="369">
        <v>437778</v>
      </c>
      <c r="F19" s="370">
        <v>437881</v>
      </c>
    </row>
    <row r="20" spans="1:6">
      <c r="A20" s="365" t="s">
        <v>1869</v>
      </c>
      <c r="B20" s="366" t="s">
        <v>3848</v>
      </c>
      <c r="C20" s="367" t="s">
        <v>1980</v>
      </c>
      <c r="D20" s="368" t="s">
        <v>3902</v>
      </c>
      <c r="E20" s="369">
        <v>114590</v>
      </c>
      <c r="F20" s="370">
        <v>113865</v>
      </c>
    </row>
    <row r="21" spans="1:6">
      <c r="A21" s="365" t="s">
        <v>1871</v>
      </c>
      <c r="B21" s="366" t="s">
        <v>3851</v>
      </c>
      <c r="C21" s="367" t="s">
        <v>1980</v>
      </c>
      <c r="D21" s="368" t="s">
        <v>3902</v>
      </c>
      <c r="E21" s="369">
        <v>239943</v>
      </c>
      <c r="F21" s="370">
        <v>525428.34</v>
      </c>
    </row>
    <row r="22" spans="1:6">
      <c r="A22" s="365" t="s">
        <v>6024</v>
      </c>
      <c r="B22" s="366" t="s">
        <v>1909</v>
      </c>
      <c r="C22" s="367" t="s">
        <v>1980</v>
      </c>
      <c r="D22" s="368" t="s">
        <v>3902</v>
      </c>
      <c r="E22" s="369">
        <v>359938</v>
      </c>
      <c r="F22" s="370">
        <v>373688</v>
      </c>
    </row>
    <row r="23" spans="1:6">
      <c r="A23" s="365" t="s">
        <v>6028</v>
      </c>
      <c r="B23" s="366" t="s">
        <v>1913</v>
      </c>
      <c r="C23" s="367" t="s">
        <v>1980</v>
      </c>
      <c r="D23" s="368" t="s">
        <v>3902</v>
      </c>
      <c r="E23" s="369">
        <v>1987951</v>
      </c>
      <c r="F23" s="370">
        <v>1672448</v>
      </c>
    </row>
    <row r="24" spans="1:6">
      <c r="A24" s="365" t="s">
        <v>6035</v>
      </c>
      <c r="B24" s="366" t="s">
        <v>1923</v>
      </c>
      <c r="C24" s="367" t="s">
        <v>1980</v>
      </c>
      <c r="D24" s="368" t="s">
        <v>3902</v>
      </c>
      <c r="E24" s="369">
        <v>2380705</v>
      </c>
      <c r="F24" s="370">
        <v>2432605</v>
      </c>
    </row>
    <row r="25" spans="1:6">
      <c r="A25" s="365" t="s">
        <v>6037</v>
      </c>
      <c r="B25" s="366" t="s">
        <v>2152</v>
      </c>
      <c r="C25" s="367" t="s">
        <v>219</v>
      </c>
      <c r="D25" s="368" t="s">
        <v>4940</v>
      </c>
      <c r="E25" s="369">
        <v>159423</v>
      </c>
      <c r="F25" s="370">
        <v>179078.45</v>
      </c>
    </row>
    <row r="26" spans="1:6">
      <c r="A26" s="365" t="s">
        <v>2987</v>
      </c>
      <c r="B26" s="366" t="s">
        <v>187</v>
      </c>
      <c r="C26" s="367" t="s">
        <v>219</v>
      </c>
      <c r="D26" s="368" t="s">
        <v>4940</v>
      </c>
      <c r="E26" s="369">
        <v>2335517</v>
      </c>
      <c r="F26" s="370">
        <v>320745</v>
      </c>
    </row>
    <row r="27" spans="1:6">
      <c r="A27" s="365" t="s">
        <v>3002</v>
      </c>
      <c r="B27" s="366" t="s">
        <v>6062</v>
      </c>
      <c r="C27" s="367" t="s">
        <v>1980</v>
      </c>
      <c r="D27" s="368" t="s">
        <v>3902</v>
      </c>
      <c r="E27" s="369">
        <v>2153875</v>
      </c>
      <c r="F27" s="370">
        <v>3830380</v>
      </c>
    </row>
    <row r="28" spans="1:6">
      <c r="A28" s="365" t="s">
        <v>3004</v>
      </c>
      <c r="B28" s="366" t="s">
        <v>6065</v>
      </c>
      <c r="C28" s="367" t="s">
        <v>1980</v>
      </c>
      <c r="D28" s="368" t="s">
        <v>3902</v>
      </c>
      <c r="E28" s="369">
        <v>325000</v>
      </c>
      <c r="F28" s="370">
        <v>364000</v>
      </c>
    </row>
    <row r="29" spans="1:6">
      <c r="A29" s="365" t="s">
        <v>6170</v>
      </c>
      <c r="B29" s="366" t="s">
        <v>495</v>
      </c>
      <c r="C29" s="367" t="s">
        <v>1980</v>
      </c>
      <c r="D29" s="368" t="s">
        <v>3902</v>
      </c>
      <c r="E29" s="369">
        <v>668147</v>
      </c>
      <c r="F29" s="370">
        <v>663828.76</v>
      </c>
    </row>
    <row r="30" spans="1:6">
      <c r="A30" s="365" t="s">
        <v>6171</v>
      </c>
      <c r="B30" s="366" t="s">
        <v>496</v>
      </c>
      <c r="C30" s="367" t="s">
        <v>1980</v>
      </c>
      <c r="D30" s="368" t="s">
        <v>3902</v>
      </c>
      <c r="E30" s="369">
        <v>684105</v>
      </c>
      <c r="F30" s="370">
        <v>678092.5</v>
      </c>
    </row>
    <row r="31" spans="1:6">
      <c r="A31" s="365" t="s">
        <v>2907</v>
      </c>
      <c r="B31" s="366" t="s">
        <v>1933</v>
      </c>
      <c r="C31" s="367" t="s">
        <v>1980</v>
      </c>
      <c r="D31" s="368" t="s">
        <v>3902</v>
      </c>
      <c r="E31" s="369">
        <v>321262.5</v>
      </c>
      <c r="F31" s="370">
        <v>19562.5</v>
      </c>
    </row>
    <row r="32" spans="1:6">
      <c r="A32" s="365" t="s">
        <v>5132</v>
      </c>
      <c r="B32" s="366" t="s">
        <v>352</v>
      </c>
      <c r="C32" s="367" t="s">
        <v>1980</v>
      </c>
      <c r="D32" s="368" t="s">
        <v>3902</v>
      </c>
      <c r="E32" s="369">
        <v>556250</v>
      </c>
      <c r="F32" s="370">
        <v>1141282</v>
      </c>
    </row>
    <row r="33" spans="1:6">
      <c r="A33" s="365" t="s">
        <v>648</v>
      </c>
      <c r="B33" s="366" t="s">
        <v>353</v>
      </c>
      <c r="C33" s="367" t="s">
        <v>1980</v>
      </c>
      <c r="D33" s="368" t="s">
        <v>3902</v>
      </c>
      <c r="E33" s="369">
        <v>267450</v>
      </c>
      <c r="F33" s="370">
        <v>315550</v>
      </c>
    </row>
    <row r="34" spans="1:6">
      <c r="A34" s="365" t="s">
        <v>2766</v>
      </c>
      <c r="B34" s="366" t="s">
        <v>356</v>
      </c>
      <c r="C34" s="367" t="s">
        <v>1980</v>
      </c>
      <c r="D34" s="368" t="s">
        <v>3902</v>
      </c>
      <c r="E34" s="369">
        <v>198867</v>
      </c>
      <c r="F34" s="370">
        <v>192025</v>
      </c>
    </row>
    <row r="35" spans="1:6">
      <c r="A35" s="365" t="s">
        <v>2770</v>
      </c>
      <c r="B35" s="366" t="s">
        <v>360</v>
      </c>
      <c r="C35" s="367" t="s">
        <v>1980</v>
      </c>
      <c r="D35" s="368" t="s">
        <v>3902</v>
      </c>
      <c r="E35" s="369">
        <v>1797043</v>
      </c>
      <c r="F35" s="370">
        <v>1792583.75</v>
      </c>
    </row>
    <row r="36" spans="1:6">
      <c r="A36" s="365" t="s">
        <v>2386</v>
      </c>
      <c r="B36" s="366" t="s">
        <v>379</v>
      </c>
      <c r="C36" s="367" t="s">
        <v>1980</v>
      </c>
      <c r="D36" s="368" t="s">
        <v>3902</v>
      </c>
      <c r="E36" s="369">
        <v>8227563</v>
      </c>
      <c r="F36" s="370">
        <v>8228387.5</v>
      </c>
    </row>
    <row r="37" spans="1:6">
      <c r="A37" s="365" t="s">
        <v>2387</v>
      </c>
      <c r="B37" s="366" t="s">
        <v>380</v>
      </c>
      <c r="C37" s="367" t="s">
        <v>1980</v>
      </c>
      <c r="D37" s="368" t="s">
        <v>3902</v>
      </c>
      <c r="E37" s="369">
        <v>2335517</v>
      </c>
      <c r="F37" s="370">
        <v>2872000</v>
      </c>
    </row>
    <row r="38" spans="1:6">
      <c r="A38" s="365" t="s">
        <v>2388</v>
      </c>
      <c r="B38" s="366" t="s">
        <v>382</v>
      </c>
      <c r="C38" s="367" t="s">
        <v>219</v>
      </c>
      <c r="D38" s="368" t="s">
        <v>4940</v>
      </c>
      <c r="E38" s="369">
        <v>177544</v>
      </c>
      <c r="F38" s="370">
        <v>180436</v>
      </c>
    </row>
    <row r="39" spans="1:6">
      <c r="A39" s="365" t="s">
        <v>2393</v>
      </c>
      <c r="B39" s="366" t="s">
        <v>1460</v>
      </c>
      <c r="C39" s="367" t="s">
        <v>1980</v>
      </c>
      <c r="D39" s="368" t="s">
        <v>3902</v>
      </c>
      <c r="E39" s="369">
        <v>265690</v>
      </c>
      <c r="F39" s="370">
        <v>269380</v>
      </c>
    </row>
    <row r="40" spans="1:6">
      <c r="A40" s="365" t="s">
        <v>2394</v>
      </c>
      <c r="B40" s="366" t="s">
        <v>1461</v>
      </c>
      <c r="C40" s="367" t="s">
        <v>1980</v>
      </c>
      <c r="D40" s="368" t="s">
        <v>3902</v>
      </c>
      <c r="E40" s="369">
        <v>1730235</v>
      </c>
      <c r="F40" s="370">
        <v>2115312.5</v>
      </c>
    </row>
    <row r="41" spans="1:6">
      <c r="A41" s="365" t="s">
        <v>2401</v>
      </c>
      <c r="B41" s="366" t="s">
        <v>2345</v>
      </c>
      <c r="C41" s="367" t="s">
        <v>1980</v>
      </c>
      <c r="D41" s="368" t="s">
        <v>3902</v>
      </c>
      <c r="E41" s="369">
        <v>3395093</v>
      </c>
      <c r="F41" s="370">
        <v>3397801.57</v>
      </c>
    </row>
    <row r="42" spans="1:6">
      <c r="A42" s="365" t="s">
        <v>2402</v>
      </c>
      <c r="B42" s="366" t="s">
        <v>2346</v>
      </c>
      <c r="C42" s="367" t="s">
        <v>1980</v>
      </c>
      <c r="D42" s="368" t="s">
        <v>3902</v>
      </c>
      <c r="E42" s="369">
        <v>460677</v>
      </c>
      <c r="F42" s="370">
        <v>459512.58</v>
      </c>
    </row>
    <row r="43" spans="1:6">
      <c r="A43" s="365" t="s">
        <v>2404</v>
      </c>
      <c r="B43" s="366" t="s">
        <v>2348</v>
      </c>
      <c r="C43" s="367" t="s">
        <v>219</v>
      </c>
      <c r="D43" s="368" t="s">
        <v>4940</v>
      </c>
      <c r="E43" s="369">
        <v>441314</v>
      </c>
      <c r="F43" s="370">
        <v>442823</v>
      </c>
    </row>
    <row r="44" spans="1:6">
      <c r="A44" s="365" t="s">
        <v>2414</v>
      </c>
      <c r="B44" s="366" t="s">
        <v>5367</v>
      </c>
      <c r="C44" s="367" t="s">
        <v>1980</v>
      </c>
      <c r="D44" s="368" t="s">
        <v>3902</v>
      </c>
      <c r="E44" s="369">
        <v>170176</v>
      </c>
      <c r="F44" s="370">
        <v>167837</v>
      </c>
    </row>
    <row r="45" spans="1:6">
      <c r="A45" s="365" t="s">
        <v>2417</v>
      </c>
      <c r="B45" s="366" t="s">
        <v>5370</v>
      </c>
      <c r="C45" s="367" t="s">
        <v>1980</v>
      </c>
      <c r="D45" s="368" t="s">
        <v>3902</v>
      </c>
      <c r="E45" s="369">
        <v>1047970</v>
      </c>
      <c r="F45" s="370">
        <v>1474870</v>
      </c>
    </row>
    <row r="46" spans="1:6">
      <c r="A46" s="365" t="s">
        <v>2419</v>
      </c>
      <c r="B46" s="366" t="s">
        <v>5372</v>
      </c>
      <c r="C46" s="367" t="s">
        <v>1980</v>
      </c>
      <c r="D46" s="368" t="s">
        <v>3902</v>
      </c>
      <c r="E46" s="369">
        <v>164762</v>
      </c>
      <c r="F46" s="370">
        <v>166752.5</v>
      </c>
    </row>
    <row r="47" spans="1:6">
      <c r="A47" s="365" t="s">
        <v>3551</v>
      </c>
      <c r="B47" s="366" t="s">
        <v>7131</v>
      </c>
      <c r="C47" s="367" t="s">
        <v>1980</v>
      </c>
      <c r="D47" s="368" t="s">
        <v>3902</v>
      </c>
      <c r="E47" s="369">
        <v>4364</v>
      </c>
      <c r="F47" s="370">
        <v>0</v>
      </c>
    </row>
  </sheetData>
  <phoneticPr fontId="33" type="noConversion"/>
  <pageMargins left="0.75" right="0.75" top="1" bottom="1" header="0.5" footer="0.5"/>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2"/>
  <dimension ref="A1:F19"/>
  <sheetViews>
    <sheetView workbookViewId="0"/>
  </sheetViews>
  <sheetFormatPr defaultRowHeight="13.2"/>
  <cols>
    <col min="2" max="2" width="34.5546875" customWidth="1"/>
    <col min="5" max="6" width="17" customWidth="1"/>
  </cols>
  <sheetData>
    <row r="1" spans="1:6">
      <c r="A1" s="365" t="s">
        <v>819</v>
      </c>
      <c r="B1" s="366" t="s">
        <v>3901</v>
      </c>
      <c r="C1" s="367" t="s">
        <v>1980</v>
      </c>
      <c r="D1" s="368" t="s">
        <v>3902</v>
      </c>
      <c r="E1" s="369">
        <v>5192317</v>
      </c>
      <c r="F1" s="370">
        <v>3690025</v>
      </c>
    </row>
    <row r="2" spans="1:6">
      <c r="A2" s="365" t="s">
        <v>3887</v>
      </c>
      <c r="B2" s="366" t="s">
        <v>1844</v>
      </c>
      <c r="C2" s="367" t="s">
        <v>1980</v>
      </c>
      <c r="D2" s="368" t="s">
        <v>3902</v>
      </c>
      <c r="E2" s="369">
        <v>3113521</v>
      </c>
      <c r="F2" s="370">
        <v>4445455</v>
      </c>
    </row>
    <row r="3" spans="1:6">
      <c r="A3" s="365" t="s">
        <v>741</v>
      </c>
      <c r="B3" s="366" t="s">
        <v>6116</v>
      </c>
      <c r="C3" s="367" t="s">
        <v>1980</v>
      </c>
      <c r="D3" s="368" t="s">
        <v>3902</v>
      </c>
      <c r="E3" s="369">
        <v>1200698</v>
      </c>
      <c r="F3" s="370">
        <v>1203025</v>
      </c>
    </row>
    <row r="4" spans="1:6">
      <c r="A4" s="365" t="s">
        <v>247</v>
      </c>
      <c r="B4" s="366" t="s">
        <v>989</v>
      </c>
      <c r="C4" s="367" t="s">
        <v>1980</v>
      </c>
      <c r="D4" s="368" t="s">
        <v>3902</v>
      </c>
      <c r="E4" s="369">
        <v>209248</v>
      </c>
      <c r="F4" s="370">
        <v>176725</v>
      </c>
    </row>
    <row r="5" spans="1:6">
      <c r="A5" s="365" t="s">
        <v>2054</v>
      </c>
      <c r="B5" s="366" t="s">
        <v>3009</v>
      </c>
      <c r="C5" s="367" t="s">
        <v>1980</v>
      </c>
      <c r="D5" s="368" t="s">
        <v>3902</v>
      </c>
      <c r="E5" s="369">
        <v>1010853</v>
      </c>
      <c r="F5" s="370">
        <v>1162700</v>
      </c>
    </row>
    <row r="6" spans="1:6">
      <c r="A6" s="365" t="s">
        <v>1520</v>
      </c>
      <c r="B6" s="366" t="s">
        <v>1926</v>
      </c>
      <c r="C6" s="367" t="s">
        <v>1980</v>
      </c>
      <c r="D6" s="368" t="s">
        <v>3902</v>
      </c>
      <c r="E6" s="369">
        <v>892783</v>
      </c>
      <c r="F6" s="370">
        <v>862325</v>
      </c>
    </row>
    <row r="7" spans="1:6">
      <c r="A7" s="365" t="s">
        <v>1315</v>
      </c>
      <c r="B7" s="366" t="s">
        <v>120</v>
      </c>
      <c r="C7" s="367" t="s">
        <v>1980</v>
      </c>
      <c r="D7" s="368" t="s">
        <v>3902</v>
      </c>
      <c r="E7" s="369">
        <v>608673</v>
      </c>
      <c r="F7" s="370">
        <v>642553.41</v>
      </c>
    </row>
    <row r="8" spans="1:6">
      <c r="A8" s="365" t="s">
        <v>1855</v>
      </c>
      <c r="B8" s="366" t="s">
        <v>4968</v>
      </c>
      <c r="C8" s="367" t="s">
        <v>219</v>
      </c>
      <c r="D8" s="368" t="s">
        <v>4940</v>
      </c>
      <c r="E8" s="369">
        <v>4559</v>
      </c>
      <c r="F8" s="370">
        <v>103975</v>
      </c>
    </row>
    <row r="9" spans="1:6">
      <c r="A9" s="365" t="s">
        <v>1866</v>
      </c>
      <c r="B9" s="366" t="s">
        <v>3845</v>
      </c>
      <c r="C9" s="367" t="s">
        <v>1980</v>
      </c>
      <c r="D9" s="368" t="s">
        <v>3902</v>
      </c>
      <c r="E9" s="369">
        <v>338855</v>
      </c>
      <c r="F9" s="370">
        <v>338855</v>
      </c>
    </row>
    <row r="10" spans="1:6">
      <c r="A10" s="365" t="s">
        <v>6037</v>
      </c>
      <c r="B10" s="366" t="s">
        <v>2152</v>
      </c>
      <c r="C10" s="367" t="s">
        <v>219</v>
      </c>
      <c r="D10" s="368" t="s">
        <v>4940</v>
      </c>
      <c r="E10" s="369">
        <v>562519</v>
      </c>
      <c r="F10" s="370">
        <v>562300</v>
      </c>
    </row>
    <row r="11" spans="1:6">
      <c r="A11" s="365" t="s">
        <v>2987</v>
      </c>
      <c r="B11" s="366" t="s">
        <v>187</v>
      </c>
      <c r="C11" s="367" t="s">
        <v>219</v>
      </c>
      <c r="D11" s="368" t="s">
        <v>4940</v>
      </c>
      <c r="E11" s="369">
        <v>87600</v>
      </c>
      <c r="F11" s="370">
        <v>85450</v>
      </c>
    </row>
    <row r="12" spans="1:6">
      <c r="A12" s="365" t="s">
        <v>6171</v>
      </c>
      <c r="B12" s="366" t="s">
        <v>496</v>
      </c>
      <c r="C12" s="367" t="s">
        <v>1980</v>
      </c>
      <c r="D12" s="368" t="s">
        <v>3902</v>
      </c>
      <c r="E12" s="369">
        <v>3859835</v>
      </c>
      <c r="F12" s="370">
        <v>3918645.61</v>
      </c>
    </row>
    <row r="13" spans="1:6">
      <c r="A13" s="365" t="s">
        <v>2770</v>
      </c>
      <c r="B13" s="366" t="s">
        <v>360</v>
      </c>
      <c r="C13" s="367" t="s">
        <v>1980</v>
      </c>
      <c r="D13" s="368" t="s">
        <v>3902</v>
      </c>
      <c r="E13" s="369">
        <v>1469426</v>
      </c>
      <c r="F13" s="370">
        <v>0</v>
      </c>
    </row>
    <row r="14" spans="1:6">
      <c r="A14" s="365" t="s">
        <v>2401</v>
      </c>
      <c r="B14" s="366" t="s">
        <v>2345</v>
      </c>
      <c r="C14" s="367" t="s">
        <v>1980</v>
      </c>
      <c r="D14" s="368" t="s">
        <v>3902</v>
      </c>
      <c r="E14" s="369">
        <v>2358164</v>
      </c>
      <c r="F14" s="370">
        <v>2371190.31</v>
      </c>
    </row>
    <row r="15" spans="1:6">
      <c r="A15" s="365" t="s">
        <v>2402</v>
      </c>
      <c r="B15" s="366" t="s">
        <v>2346</v>
      </c>
      <c r="C15" s="367" t="s">
        <v>1980</v>
      </c>
      <c r="D15" s="368" t="s">
        <v>3902</v>
      </c>
      <c r="E15" s="369">
        <v>230217</v>
      </c>
      <c r="F15" s="370">
        <v>231233.76</v>
      </c>
    </row>
    <row r="16" spans="1:6">
      <c r="A16" s="365" t="s">
        <v>2404</v>
      </c>
      <c r="B16" s="366" t="s">
        <v>2348</v>
      </c>
      <c r="C16" s="367" t="s">
        <v>1980</v>
      </c>
      <c r="D16" s="368" t="s">
        <v>3902</v>
      </c>
      <c r="E16" s="369">
        <v>20550</v>
      </c>
      <c r="F16" s="370">
        <v>20550</v>
      </c>
    </row>
    <row r="17" spans="1:6">
      <c r="A17" s="365" t="s">
        <v>2414</v>
      </c>
      <c r="B17" s="366" t="s">
        <v>5367</v>
      </c>
      <c r="C17" s="367" t="s">
        <v>1980</v>
      </c>
      <c r="D17" s="368" t="s">
        <v>3902</v>
      </c>
      <c r="E17" s="369">
        <v>229390</v>
      </c>
      <c r="F17" s="370">
        <v>228715</v>
      </c>
    </row>
    <row r="18" spans="1:6">
      <c r="A18" s="365" t="s">
        <v>2417</v>
      </c>
      <c r="B18" s="366" t="s">
        <v>5370</v>
      </c>
      <c r="C18" s="367" t="s">
        <v>1980</v>
      </c>
      <c r="D18" s="368" t="s">
        <v>3902</v>
      </c>
      <c r="E18" s="369">
        <v>827517</v>
      </c>
      <c r="F18" s="370">
        <v>1151870</v>
      </c>
    </row>
    <row r="19" spans="1:6">
      <c r="A19" s="365" t="s">
        <v>442</v>
      </c>
      <c r="B19" s="366" t="s">
        <v>5372</v>
      </c>
      <c r="C19" s="367" t="s">
        <v>1980</v>
      </c>
      <c r="D19" s="368" t="s">
        <v>3902</v>
      </c>
      <c r="E19" s="369">
        <v>163056</v>
      </c>
      <c r="F19" s="370">
        <v>158167.5</v>
      </c>
    </row>
  </sheetData>
  <phoneticPr fontId="33" type="noConversion"/>
  <pageMargins left="0.75" right="0.75" top="1" bottom="1" header="0.5" footer="0.5"/>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3"/>
  <dimension ref="A1:F10"/>
  <sheetViews>
    <sheetView workbookViewId="0">
      <selection sqref="A1:F10"/>
    </sheetView>
  </sheetViews>
  <sheetFormatPr defaultRowHeight="13.2"/>
  <cols>
    <col min="2" max="2" width="35" customWidth="1"/>
    <col min="5" max="5" width="17.5546875" customWidth="1"/>
    <col min="6" max="6" width="16.77734375" customWidth="1"/>
  </cols>
  <sheetData>
    <row r="1" spans="1:6">
      <c r="A1" s="365" t="s">
        <v>819</v>
      </c>
      <c r="B1" s="366" t="s">
        <v>3901</v>
      </c>
      <c r="C1" s="367" t="s">
        <v>219</v>
      </c>
      <c r="D1" s="368" t="s">
        <v>4940</v>
      </c>
      <c r="E1" s="369">
        <v>871410</v>
      </c>
      <c r="F1" s="370">
        <v>860515</v>
      </c>
    </row>
    <row r="2" spans="1:6">
      <c r="A2" s="365" t="s">
        <v>820</v>
      </c>
      <c r="B2" s="366" t="s">
        <v>1843</v>
      </c>
      <c r="C2" s="367" t="s">
        <v>1980</v>
      </c>
      <c r="D2" s="368" t="s">
        <v>3902</v>
      </c>
      <c r="E2" s="369">
        <v>1313562</v>
      </c>
      <c r="F2" s="370">
        <v>1400133</v>
      </c>
    </row>
    <row r="3" spans="1:6">
      <c r="A3" s="365" t="s">
        <v>820</v>
      </c>
      <c r="B3" s="366" t="s">
        <v>1843</v>
      </c>
      <c r="C3" s="367" t="s">
        <v>1980</v>
      </c>
      <c r="D3" s="368" t="s">
        <v>3902</v>
      </c>
      <c r="E3" s="369">
        <v>1226843</v>
      </c>
      <c r="F3" s="370">
        <v>1218368</v>
      </c>
    </row>
    <row r="4" spans="1:6">
      <c r="A4" s="365" t="s">
        <v>3887</v>
      </c>
      <c r="B4" s="366" t="s">
        <v>1844</v>
      </c>
      <c r="C4" s="367" t="s">
        <v>1980</v>
      </c>
      <c r="D4" s="368" t="s">
        <v>3902</v>
      </c>
      <c r="E4" s="369">
        <v>2098629</v>
      </c>
      <c r="F4" s="370">
        <v>1650385.5</v>
      </c>
    </row>
    <row r="5" spans="1:6">
      <c r="A5" s="365" t="s">
        <v>1520</v>
      </c>
      <c r="B5" s="366" t="s">
        <v>1926</v>
      </c>
      <c r="C5" s="367" t="s">
        <v>1980</v>
      </c>
      <c r="D5" s="368" t="s">
        <v>3902</v>
      </c>
      <c r="E5" s="369">
        <v>2880403</v>
      </c>
      <c r="F5" s="370">
        <v>2879090</v>
      </c>
    </row>
    <row r="6" spans="1:6">
      <c r="A6" s="365" t="s">
        <v>6037</v>
      </c>
      <c r="B6" s="366" t="s">
        <v>2152</v>
      </c>
      <c r="C6" s="367" t="s">
        <v>219</v>
      </c>
      <c r="D6" s="368" t="s">
        <v>4940</v>
      </c>
      <c r="E6" s="369">
        <v>94115</v>
      </c>
      <c r="F6" s="370">
        <v>89862.5</v>
      </c>
    </row>
    <row r="7" spans="1:6">
      <c r="A7" s="365" t="s">
        <v>2987</v>
      </c>
      <c r="B7" s="366" t="s">
        <v>187</v>
      </c>
      <c r="C7" s="367" t="s">
        <v>219</v>
      </c>
      <c r="D7" s="368" t="s">
        <v>4940</v>
      </c>
      <c r="E7" s="369">
        <v>158336</v>
      </c>
      <c r="F7" s="370">
        <v>152048</v>
      </c>
    </row>
    <row r="8" spans="1:6">
      <c r="A8" s="365" t="s">
        <v>2402</v>
      </c>
      <c r="B8" s="366" t="s">
        <v>2346</v>
      </c>
      <c r="C8" s="367" t="s">
        <v>1980</v>
      </c>
      <c r="D8" s="368" t="s">
        <v>3902</v>
      </c>
      <c r="E8" s="369">
        <v>305924</v>
      </c>
      <c r="F8" s="370">
        <v>325163</v>
      </c>
    </row>
    <row r="9" spans="1:6">
      <c r="A9" s="365" t="s">
        <v>2404</v>
      </c>
      <c r="B9" s="366" t="s">
        <v>2348</v>
      </c>
      <c r="C9" s="367" t="s">
        <v>1980</v>
      </c>
      <c r="D9" s="368" t="s">
        <v>3902</v>
      </c>
      <c r="E9" s="369">
        <v>518175</v>
      </c>
      <c r="F9" s="370">
        <v>501325</v>
      </c>
    </row>
    <row r="10" spans="1:6">
      <c r="A10" s="365" t="s">
        <v>2419</v>
      </c>
      <c r="B10" s="366" t="s">
        <v>5372</v>
      </c>
      <c r="C10" s="367" t="s">
        <v>1980</v>
      </c>
      <c r="D10" s="368" t="s">
        <v>3902</v>
      </c>
      <c r="E10" s="369">
        <v>753475</v>
      </c>
      <c r="F10" s="370">
        <v>750420</v>
      </c>
    </row>
  </sheetData>
  <phoneticPr fontId="33" type="noConversion"/>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dimension ref="A1:T1282"/>
  <sheetViews>
    <sheetView workbookViewId="0">
      <selection activeCell="K24" sqref="K24"/>
    </sheetView>
  </sheetViews>
  <sheetFormatPr defaultColWidth="9.21875" defaultRowHeight="13.2"/>
  <cols>
    <col min="1" max="1" width="9.21875" style="187" customWidth="1"/>
    <col min="2" max="2" width="25.44140625" style="187" customWidth="1"/>
    <col min="3" max="3" width="9.21875" style="187" bestFit="1" customWidth="1"/>
    <col min="4" max="16384" width="9.21875" style="187"/>
  </cols>
  <sheetData>
    <row r="1" spans="1:20">
      <c r="A1" s="630" t="s">
        <v>4600</v>
      </c>
      <c r="B1" s="630" t="s">
        <v>4601</v>
      </c>
      <c r="C1" s="630" t="s">
        <v>4602</v>
      </c>
      <c r="D1" s="630" t="s">
        <v>4603</v>
      </c>
      <c r="E1" s="630" t="s">
        <v>4604</v>
      </c>
      <c r="F1" s="630" t="s">
        <v>4605</v>
      </c>
      <c r="G1" s="630" t="s">
        <v>4606</v>
      </c>
      <c r="H1" s="630" t="s">
        <v>4607</v>
      </c>
      <c r="I1" s="630" t="s">
        <v>4608</v>
      </c>
      <c r="J1" s="630" t="s">
        <v>4609</v>
      </c>
      <c r="K1" s="630" t="s">
        <v>4610</v>
      </c>
      <c r="L1" s="630" t="s">
        <v>7172</v>
      </c>
      <c r="M1" s="630" t="s">
        <v>7173</v>
      </c>
      <c r="N1" s="630" t="s">
        <v>7174</v>
      </c>
      <c r="O1" s="630" t="s">
        <v>7175</v>
      </c>
      <c r="P1" s="630" t="s">
        <v>7176</v>
      </c>
      <c r="Q1" s="630" t="s">
        <v>7177</v>
      </c>
      <c r="R1" s="630" t="s">
        <v>7178</v>
      </c>
      <c r="S1" s="630" t="s">
        <v>7179</v>
      </c>
      <c r="T1" s="630" t="s">
        <v>7180</v>
      </c>
    </row>
    <row r="2" spans="1:20" ht="15" customHeight="1">
      <c r="A2" s="631" t="str">
        <f>'Data Entry - SOF'!B2</f>
        <v>000-000</v>
      </c>
      <c r="B2" s="632" t="e">
        <f>VLOOKUP($A$2,$A$3:$T$1282,2,FALSE)</f>
        <v>#N/A</v>
      </c>
      <c r="C2" s="632" t="e">
        <f>VLOOKUP($A$2,$A$3:$T$1282,3,FALSE)</f>
        <v>#N/A</v>
      </c>
      <c r="D2" s="632" t="e">
        <f>VLOOKUP($A$2,$A$3:$T$1282,4,FALSE)</f>
        <v>#N/A</v>
      </c>
      <c r="E2" s="632" t="e">
        <f>VLOOKUP($A$2,$A$3:$T$1282,5,FALSE)</f>
        <v>#N/A</v>
      </c>
      <c r="F2" s="632" t="e">
        <f>VLOOKUP($A$2,$A$3:$T$1282,6,FALSE)</f>
        <v>#N/A</v>
      </c>
      <c r="G2" s="632" t="e">
        <f>VLOOKUP($A$2,$A$3:$T$1282,7,FALSE)</f>
        <v>#N/A</v>
      </c>
      <c r="H2" s="632" t="e">
        <f>VLOOKUP($A$2,$A$3:$T$1282,8,FALSE)</f>
        <v>#N/A</v>
      </c>
      <c r="I2" s="632" t="e">
        <f>VLOOKUP($A$2,$A$3:$T$1282,9,FALSE)</f>
        <v>#N/A</v>
      </c>
      <c r="J2" s="632" t="e">
        <f>VLOOKUP($A$2,$A$3:$T$1282,10,FALSE)</f>
        <v>#N/A</v>
      </c>
      <c r="K2" s="632" t="e">
        <f>VLOOKUP($A$2,$A$3:$T$1282,11,FALSE)</f>
        <v>#N/A</v>
      </c>
      <c r="L2" s="632" t="e">
        <f>VLOOKUP($A$2,$A$3:$T$1282,12,FALSE)</f>
        <v>#N/A</v>
      </c>
      <c r="M2" s="632" t="e">
        <f>VLOOKUP($A$2,$A$3:$T$1282,13,FALSE)</f>
        <v>#N/A</v>
      </c>
      <c r="N2" s="632" t="e">
        <f>VLOOKUP($A$2,$A$3:$T$1282,14,FALSE)</f>
        <v>#N/A</v>
      </c>
      <c r="O2" s="632" t="e">
        <f>VLOOKUP($A$2,$A$3:$T$1282,15,FALSE)</f>
        <v>#N/A</v>
      </c>
      <c r="P2" s="632" t="e">
        <f>VLOOKUP($A$2,$A$3:$T$1282,16,FALSE)</f>
        <v>#N/A</v>
      </c>
      <c r="Q2" s="632" t="e">
        <f>VLOOKUP($A$2,$A$3:$T$1282,17,FALSE)</f>
        <v>#N/A</v>
      </c>
      <c r="R2" s="632" t="e">
        <f>VLOOKUP($A$2,$A$3:$T$1282,18,FALSE)</f>
        <v>#N/A</v>
      </c>
      <c r="S2" s="632" t="e">
        <f>VLOOKUP($A$2,$A$3:$T$1282,19,FALSE)</f>
        <v>#N/A</v>
      </c>
      <c r="T2" s="632" t="e">
        <f>VLOOKUP($A$2,$A$3:$T$1282,20,FALSE)</f>
        <v>#N/A</v>
      </c>
    </row>
    <row r="3" spans="1:20">
      <c r="A3" s="71" t="s">
        <v>3890</v>
      </c>
      <c r="B3" s="71" t="s">
        <v>1763</v>
      </c>
      <c r="C3" s="71">
        <v>545.14499999999998</v>
      </c>
      <c r="D3" s="71">
        <v>0</v>
      </c>
      <c r="E3" s="71">
        <v>0</v>
      </c>
      <c r="F3" s="71">
        <v>1.1950000000000001</v>
      </c>
      <c r="G3" s="71">
        <v>26.395</v>
      </c>
      <c r="H3" s="71">
        <v>3.1829999999999998</v>
      </c>
      <c r="I3" s="71">
        <v>0</v>
      </c>
      <c r="J3" s="71">
        <v>0</v>
      </c>
      <c r="K3" s="71">
        <v>0</v>
      </c>
      <c r="L3" s="71">
        <v>0</v>
      </c>
      <c r="M3" s="71">
        <v>0.87599999999999989</v>
      </c>
      <c r="N3" s="71">
        <v>0</v>
      </c>
      <c r="O3" s="71">
        <v>0</v>
      </c>
      <c r="P3" s="71">
        <v>12.494999999999999</v>
      </c>
      <c r="Q3" s="71">
        <v>17.997</v>
      </c>
      <c r="R3" s="71">
        <v>224.2</v>
      </c>
      <c r="S3" s="71">
        <v>3.6739999999999999</v>
      </c>
      <c r="T3" s="71">
        <v>27.256999999999998</v>
      </c>
    </row>
    <row r="4" spans="1:20">
      <c r="A4" s="71" t="s">
        <v>694</v>
      </c>
      <c r="B4" s="71" t="s">
        <v>1764</v>
      </c>
      <c r="C4" s="71">
        <v>1177.646</v>
      </c>
      <c r="D4" s="71">
        <v>0.33699999999999997</v>
      </c>
      <c r="E4" s="71">
        <v>0</v>
      </c>
      <c r="F4" s="71">
        <v>2.3059999999999996</v>
      </c>
      <c r="G4" s="71">
        <v>35.710999999999999</v>
      </c>
      <c r="H4" s="71">
        <v>12.100999999999999</v>
      </c>
      <c r="I4" s="71">
        <v>0</v>
      </c>
      <c r="J4" s="71">
        <v>0</v>
      </c>
      <c r="K4" s="71">
        <v>0</v>
      </c>
      <c r="L4" s="71">
        <v>0</v>
      </c>
      <c r="M4" s="71">
        <v>3.3919999999999999</v>
      </c>
      <c r="N4" s="71">
        <v>0.32099999999999995</v>
      </c>
      <c r="O4" s="71">
        <v>4.1369999999999996</v>
      </c>
      <c r="P4" s="71">
        <v>65.430000000000007</v>
      </c>
      <c r="Q4" s="71">
        <v>43.461999999999996</v>
      </c>
      <c r="R4" s="71">
        <v>622.70000000000005</v>
      </c>
      <c r="S4" s="71">
        <v>7.2829999999999995</v>
      </c>
      <c r="T4" s="71">
        <v>57</v>
      </c>
    </row>
    <row r="5" spans="1:20">
      <c r="A5" s="71" t="s">
        <v>696</v>
      </c>
      <c r="B5" s="71" t="s">
        <v>1765</v>
      </c>
      <c r="C5" s="71">
        <v>756.27099999999996</v>
      </c>
      <c r="D5" s="71">
        <v>8.9999999999999993E-3</v>
      </c>
      <c r="E5" s="71">
        <v>0</v>
      </c>
      <c r="F5" s="71">
        <v>1.234</v>
      </c>
      <c r="G5" s="71">
        <v>39.620999999999995</v>
      </c>
      <c r="H5" s="71">
        <v>4.43</v>
      </c>
      <c r="I5" s="71">
        <v>0</v>
      </c>
      <c r="J5" s="71">
        <v>0</v>
      </c>
      <c r="K5" s="71">
        <v>0</v>
      </c>
      <c r="L5" s="71">
        <v>0</v>
      </c>
      <c r="M5" s="71">
        <v>1.2450000000000001</v>
      </c>
      <c r="N5" s="71">
        <v>0.21</v>
      </c>
      <c r="O5" s="71">
        <v>0.71699999999999997</v>
      </c>
      <c r="P5" s="71">
        <v>1.7169999999999999</v>
      </c>
      <c r="Q5" s="71">
        <v>41.561999999999998</v>
      </c>
      <c r="R5" s="71">
        <v>395</v>
      </c>
      <c r="S5" s="71">
        <v>23.398</v>
      </c>
      <c r="T5" s="71">
        <v>37.813549999999992</v>
      </c>
    </row>
    <row r="6" spans="1:20">
      <c r="A6" s="71" t="s">
        <v>698</v>
      </c>
      <c r="B6" s="71" t="s">
        <v>1766</v>
      </c>
      <c r="C6" s="71">
        <v>315.90199999999999</v>
      </c>
      <c r="D6" s="71">
        <v>0.04</v>
      </c>
      <c r="E6" s="71">
        <v>0</v>
      </c>
      <c r="F6" s="71">
        <v>0.77399999999999991</v>
      </c>
      <c r="G6" s="71">
        <v>20.843999999999998</v>
      </c>
      <c r="H6" s="71">
        <v>1.4429999999999998</v>
      </c>
      <c r="I6" s="71">
        <v>0</v>
      </c>
      <c r="J6" s="71">
        <v>0</v>
      </c>
      <c r="K6" s="71">
        <v>0</v>
      </c>
      <c r="L6" s="71">
        <v>0</v>
      </c>
      <c r="M6" s="71">
        <v>3.5419999999999998</v>
      </c>
      <c r="N6" s="71">
        <v>0.12899999999999998</v>
      </c>
      <c r="O6" s="71">
        <v>0</v>
      </c>
      <c r="P6" s="71">
        <v>8.61</v>
      </c>
      <c r="Q6" s="71">
        <v>14.497</v>
      </c>
      <c r="R6" s="71">
        <v>118.7</v>
      </c>
      <c r="S6" s="71">
        <v>0</v>
      </c>
      <c r="T6" s="71">
        <v>15.795</v>
      </c>
    </row>
    <row r="7" spans="1:20">
      <c r="A7" s="71" t="s">
        <v>700</v>
      </c>
      <c r="B7" s="71" t="s">
        <v>1767</v>
      </c>
      <c r="C7" s="71">
        <v>3175.69</v>
      </c>
      <c r="D7" s="71">
        <v>1.7999999999999999E-2</v>
      </c>
      <c r="E7" s="71">
        <v>5.7029999999999994</v>
      </c>
      <c r="F7" s="71">
        <v>2.9550000000000001</v>
      </c>
      <c r="G7" s="71">
        <v>76.028999999999996</v>
      </c>
      <c r="H7" s="71">
        <v>24.355</v>
      </c>
      <c r="I7" s="71">
        <v>0</v>
      </c>
      <c r="J7" s="71">
        <v>0</v>
      </c>
      <c r="K7" s="71">
        <v>0</v>
      </c>
      <c r="L7" s="71">
        <v>0</v>
      </c>
      <c r="M7" s="71">
        <v>12.620999999999999</v>
      </c>
      <c r="N7" s="71">
        <v>2.2709999999999999</v>
      </c>
      <c r="O7" s="71">
        <v>13.532999999999999</v>
      </c>
      <c r="P7" s="71">
        <v>59.732999999999997</v>
      </c>
      <c r="Q7" s="71">
        <v>140.58599999999998</v>
      </c>
      <c r="R7" s="71">
        <v>2299.6999999999998</v>
      </c>
      <c r="S7" s="71">
        <v>252.09</v>
      </c>
      <c r="T7" s="71">
        <v>149</v>
      </c>
    </row>
    <row r="8" spans="1:20">
      <c r="A8" s="71" t="s">
        <v>1491</v>
      </c>
      <c r="B8" s="71" t="s">
        <v>1768</v>
      </c>
      <c r="C8" s="71">
        <v>1695.1959999999999</v>
      </c>
      <c r="D8" s="71">
        <v>9.5999999999999988E-2</v>
      </c>
      <c r="E8" s="71">
        <v>0</v>
      </c>
      <c r="F8" s="71">
        <v>2.7959999999999998</v>
      </c>
      <c r="G8" s="71">
        <v>50.410999999999994</v>
      </c>
      <c r="H8" s="71">
        <v>25.582999999999998</v>
      </c>
      <c r="I8" s="71">
        <v>0</v>
      </c>
      <c r="J8" s="71">
        <v>0</v>
      </c>
      <c r="K8" s="71">
        <v>0</v>
      </c>
      <c r="L8" s="71">
        <v>0</v>
      </c>
      <c r="M8" s="71">
        <v>7.94</v>
      </c>
      <c r="N8" s="71">
        <v>0</v>
      </c>
      <c r="O8" s="71">
        <v>1.448</v>
      </c>
      <c r="P8" s="71">
        <v>48.025999999999996</v>
      </c>
      <c r="Q8" s="71">
        <v>44.882999999999996</v>
      </c>
      <c r="R8" s="71">
        <v>875.2</v>
      </c>
      <c r="S8" s="71">
        <v>36.191999999999993</v>
      </c>
      <c r="T8" s="71">
        <v>84.759799999999984</v>
      </c>
    </row>
    <row r="9" spans="1:20">
      <c r="A9" s="71" t="s">
        <v>6212</v>
      </c>
      <c r="B9" s="71" t="s">
        <v>1769</v>
      </c>
      <c r="C9" s="71">
        <v>365.23</v>
      </c>
      <c r="D9" s="71">
        <v>6.0999999999999999E-2</v>
      </c>
      <c r="E9" s="71">
        <v>0</v>
      </c>
      <c r="F9" s="71">
        <v>0.94</v>
      </c>
      <c r="G9" s="71">
        <v>27.363999999999997</v>
      </c>
      <c r="H9" s="71">
        <v>2.4209999999999998</v>
      </c>
      <c r="I9" s="71">
        <v>0</v>
      </c>
      <c r="J9" s="71">
        <v>0</v>
      </c>
      <c r="K9" s="71">
        <v>0</v>
      </c>
      <c r="L9" s="71">
        <v>0</v>
      </c>
      <c r="M9" s="71">
        <v>3.5229999999999997</v>
      </c>
      <c r="N9" s="71">
        <v>0</v>
      </c>
      <c r="O9" s="71">
        <v>0.67599999999999993</v>
      </c>
      <c r="P9" s="71">
        <v>1.6589999999999998</v>
      </c>
      <c r="Q9" s="71">
        <v>19.710999999999999</v>
      </c>
      <c r="R9" s="71">
        <v>218.5</v>
      </c>
      <c r="S9" s="71">
        <v>0.32199999999999995</v>
      </c>
      <c r="T9" s="71">
        <v>18.260999999999999</v>
      </c>
    </row>
    <row r="10" spans="1:20">
      <c r="A10" s="71" t="s">
        <v>2753</v>
      </c>
      <c r="B10" s="71" t="s">
        <v>5003</v>
      </c>
      <c r="C10" s="71">
        <v>2698.61</v>
      </c>
      <c r="D10" s="71">
        <v>9.799999999999999E-2</v>
      </c>
      <c r="E10" s="71">
        <v>0</v>
      </c>
      <c r="F10" s="71">
        <v>5.35</v>
      </c>
      <c r="G10" s="71">
        <v>113.83</v>
      </c>
      <c r="H10" s="71">
        <v>36.725000000000001</v>
      </c>
      <c r="I10" s="71">
        <v>0</v>
      </c>
      <c r="J10" s="71">
        <v>0</v>
      </c>
      <c r="K10" s="71">
        <v>0</v>
      </c>
      <c r="L10" s="71">
        <v>0</v>
      </c>
      <c r="M10" s="71">
        <v>14.433</v>
      </c>
      <c r="N10" s="71">
        <v>0.37899999999999995</v>
      </c>
      <c r="O10" s="71">
        <v>0</v>
      </c>
      <c r="P10" s="71">
        <v>32.656999999999996</v>
      </c>
      <c r="Q10" s="71">
        <v>135.86399999999998</v>
      </c>
      <c r="R10" s="71">
        <v>1459.7</v>
      </c>
      <c r="S10" s="71">
        <v>149.47799999999998</v>
      </c>
      <c r="T10" s="71">
        <v>134.93049999999999</v>
      </c>
    </row>
    <row r="11" spans="1:20">
      <c r="A11" s="71" t="s">
        <v>2840</v>
      </c>
      <c r="B11" s="71" t="s">
        <v>7181</v>
      </c>
      <c r="C11" s="71">
        <v>203.89699999999999</v>
      </c>
      <c r="D11" s="71">
        <v>0</v>
      </c>
      <c r="E11" s="71">
        <v>0</v>
      </c>
      <c r="F11" s="71">
        <v>0.42799999999999999</v>
      </c>
      <c r="G11" s="71">
        <v>0.94899999999999995</v>
      </c>
      <c r="H11" s="71">
        <v>0</v>
      </c>
      <c r="I11" s="71">
        <v>0</v>
      </c>
      <c r="J11" s="71">
        <v>0</v>
      </c>
      <c r="K11" s="71">
        <v>0</v>
      </c>
      <c r="L11" s="71">
        <v>0</v>
      </c>
      <c r="M11" s="71">
        <v>0</v>
      </c>
      <c r="N11" s="71">
        <v>0</v>
      </c>
      <c r="O11" s="71">
        <v>0</v>
      </c>
      <c r="P11" s="71">
        <v>0</v>
      </c>
      <c r="Q11" s="71">
        <v>0</v>
      </c>
      <c r="R11" s="71">
        <v>120.5</v>
      </c>
      <c r="S11" s="71">
        <v>1.6059999999999999</v>
      </c>
      <c r="T11" s="71">
        <v>0</v>
      </c>
    </row>
    <row r="12" spans="1:20">
      <c r="A12" s="71" t="s">
        <v>3080</v>
      </c>
      <c r="B12" s="71" t="s">
        <v>3853</v>
      </c>
      <c r="C12" s="71">
        <v>2284.5429999999997</v>
      </c>
      <c r="D12" s="71">
        <v>0.45299999999999996</v>
      </c>
      <c r="E12" s="71">
        <v>0</v>
      </c>
      <c r="F12" s="71">
        <v>2.0329999999999999</v>
      </c>
      <c r="G12" s="71">
        <v>38.387999999999998</v>
      </c>
      <c r="H12" s="71">
        <v>33.840000000000003</v>
      </c>
      <c r="I12" s="71">
        <v>0</v>
      </c>
      <c r="J12" s="71">
        <v>0</v>
      </c>
      <c r="K12" s="71">
        <v>0</v>
      </c>
      <c r="L12" s="71">
        <v>0</v>
      </c>
      <c r="M12" s="71">
        <v>2.0279999999999996</v>
      </c>
      <c r="N12" s="71">
        <v>1.5979999999999999</v>
      </c>
      <c r="O12" s="71">
        <v>0</v>
      </c>
      <c r="P12" s="71">
        <v>70.200999999999993</v>
      </c>
      <c r="Q12" s="71">
        <v>95.861999999999995</v>
      </c>
      <c r="R12" s="71">
        <v>1349.3</v>
      </c>
      <c r="S12" s="71">
        <v>128.94099999999997</v>
      </c>
      <c r="T12" s="71">
        <v>114.22699999999999</v>
      </c>
    </row>
    <row r="13" spans="1:20">
      <c r="A13" s="71" t="s">
        <v>2842</v>
      </c>
      <c r="B13" s="71" t="s">
        <v>5004</v>
      </c>
      <c r="C13" s="71">
        <v>7859.2759999999998</v>
      </c>
      <c r="D13" s="71">
        <v>1.1439999999999999</v>
      </c>
      <c r="E13" s="71">
        <v>0</v>
      </c>
      <c r="F13" s="71">
        <v>7.851</v>
      </c>
      <c r="G13" s="71">
        <v>365.51</v>
      </c>
      <c r="H13" s="71">
        <v>106.96799999999999</v>
      </c>
      <c r="I13" s="71">
        <v>0</v>
      </c>
      <c r="J13" s="71">
        <v>0</v>
      </c>
      <c r="K13" s="71">
        <v>3.9989999999999997</v>
      </c>
      <c r="L13" s="71">
        <v>0</v>
      </c>
      <c r="M13" s="71">
        <v>16.165999999999997</v>
      </c>
      <c r="N13" s="71">
        <v>4.9369999999999994</v>
      </c>
      <c r="O13" s="71">
        <v>20.013999999999999</v>
      </c>
      <c r="P13" s="71">
        <v>51.284999999999997</v>
      </c>
      <c r="Q13" s="71">
        <v>337.70599999999996</v>
      </c>
      <c r="R13" s="71">
        <v>6070.8</v>
      </c>
      <c r="S13" s="71">
        <v>985.79199999999992</v>
      </c>
      <c r="T13" s="71">
        <v>392.96379999999994</v>
      </c>
    </row>
    <row r="14" spans="1:20">
      <c r="A14" s="71" t="s">
        <v>1874</v>
      </c>
      <c r="B14" s="71" t="s">
        <v>3857</v>
      </c>
      <c r="C14" s="71">
        <v>1563.4739999999999</v>
      </c>
      <c r="D14" s="71">
        <v>0.124</v>
      </c>
      <c r="E14" s="71">
        <v>0</v>
      </c>
      <c r="F14" s="71">
        <v>2.1929999999999996</v>
      </c>
      <c r="G14" s="71">
        <v>43.722999999999999</v>
      </c>
      <c r="H14" s="71">
        <v>23.103999999999999</v>
      </c>
      <c r="I14" s="71">
        <v>0</v>
      </c>
      <c r="J14" s="71">
        <v>0.22599999999999998</v>
      </c>
      <c r="K14" s="71">
        <v>0</v>
      </c>
      <c r="L14" s="71">
        <v>0</v>
      </c>
      <c r="M14" s="71">
        <v>5.6659999999999995</v>
      </c>
      <c r="N14" s="71">
        <v>1.081</v>
      </c>
      <c r="O14" s="71">
        <v>0</v>
      </c>
      <c r="P14" s="71">
        <v>41.350999999999999</v>
      </c>
      <c r="Q14" s="71">
        <v>147.17599999999999</v>
      </c>
      <c r="R14" s="71">
        <v>825.5</v>
      </c>
      <c r="S14" s="71">
        <v>17.970999999999997</v>
      </c>
      <c r="T14" s="71">
        <v>78.173699999999997</v>
      </c>
    </row>
    <row r="15" spans="1:20">
      <c r="A15" s="71" t="s">
        <v>2844</v>
      </c>
      <c r="B15" s="71" t="s">
        <v>5005</v>
      </c>
      <c r="C15" s="71">
        <v>1724.21</v>
      </c>
      <c r="D15" s="71">
        <v>0.41599999999999998</v>
      </c>
      <c r="E15" s="71">
        <v>0</v>
      </c>
      <c r="F15" s="71">
        <v>2.8919999999999999</v>
      </c>
      <c r="G15" s="71">
        <v>41.491</v>
      </c>
      <c r="H15" s="71">
        <v>5.8889999999999993</v>
      </c>
      <c r="I15" s="71">
        <v>0</v>
      </c>
      <c r="J15" s="71">
        <v>3.4189999999999996</v>
      </c>
      <c r="K15" s="71">
        <v>0</v>
      </c>
      <c r="L15" s="71">
        <v>0</v>
      </c>
      <c r="M15" s="71">
        <v>11.016999999999999</v>
      </c>
      <c r="N15" s="71">
        <v>0.34599999999999997</v>
      </c>
      <c r="O15" s="71">
        <v>0.85799999999999998</v>
      </c>
      <c r="P15" s="71">
        <v>46.901999999999994</v>
      </c>
      <c r="Q15" s="71">
        <v>90.015000000000001</v>
      </c>
      <c r="R15" s="71">
        <v>1452.5</v>
      </c>
      <c r="S15" s="71">
        <v>304.25099999999998</v>
      </c>
      <c r="T15" s="71">
        <v>74</v>
      </c>
    </row>
    <row r="16" spans="1:20">
      <c r="A16" s="71" t="s">
        <v>2846</v>
      </c>
      <c r="B16" s="71" t="s">
        <v>5006</v>
      </c>
      <c r="C16" s="71">
        <v>435.73299999999995</v>
      </c>
      <c r="D16" s="71">
        <v>2.8999999999999998E-2</v>
      </c>
      <c r="E16" s="71">
        <v>0</v>
      </c>
      <c r="F16" s="71">
        <v>0.78799999999999992</v>
      </c>
      <c r="G16" s="71">
        <v>17.736999999999998</v>
      </c>
      <c r="H16" s="71">
        <v>3.7999999999999999E-2</v>
      </c>
      <c r="I16" s="71">
        <v>0</v>
      </c>
      <c r="J16" s="71">
        <v>1.895</v>
      </c>
      <c r="K16" s="71">
        <v>0</v>
      </c>
      <c r="L16" s="71">
        <v>0</v>
      </c>
      <c r="M16" s="71">
        <v>0.505</v>
      </c>
      <c r="N16" s="71">
        <v>0</v>
      </c>
      <c r="O16" s="71">
        <v>0</v>
      </c>
      <c r="P16" s="71">
        <v>24.933</v>
      </c>
      <c r="Q16" s="71">
        <v>17.68</v>
      </c>
      <c r="R16" s="71">
        <v>287.2</v>
      </c>
      <c r="S16" s="71">
        <v>0</v>
      </c>
      <c r="T16" s="71">
        <v>21.786649999999995</v>
      </c>
    </row>
    <row r="17" spans="1:20">
      <c r="A17" s="71" t="s">
        <v>2848</v>
      </c>
      <c r="B17" s="71" t="s">
        <v>5007</v>
      </c>
      <c r="C17" s="71">
        <v>1560.318</v>
      </c>
      <c r="D17" s="71">
        <v>9.2999999999999999E-2</v>
      </c>
      <c r="E17" s="71">
        <v>0</v>
      </c>
      <c r="F17" s="71">
        <v>1.7549999999999999</v>
      </c>
      <c r="G17" s="71">
        <v>58.693999999999996</v>
      </c>
      <c r="H17" s="71">
        <v>12.318</v>
      </c>
      <c r="I17" s="71">
        <v>0</v>
      </c>
      <c r="J17" s="71">
        <v>6.7999999999999991E-2</v>
      </c>
      <c r="K17" s="71">
        <v>0</v>
      </c>
      <c r="L17" s="71">
        <v>0</v>
      </c>
      <c r="M17" s="71">
        <v>11.895</v>
      </c>
      <c r="N17" s="71">
        <v>0.50199999999999989</v>
      </c>
      <c r="O17" s="71">
        <v>0.72199999999999998</v>
      </c>
      <c r="P17" s="71">
        <v>101.825</v>
      </c>
      <c r="Q17" s="71">
        <v>111.02699999999999</v>
      </c>
      <c r="R17" s="71">
        <v>789.7</v>
      </c>
      <c r="S17" s="71">
        <v>40.995999999999995</v>
      </c>
      <c r="T17" s="71">
        <v>78.015899999999988</v>
      </c>
    </row>
    <row r="18" spans="1:20">
      <c r="A18" s="71" t="s">
        <v>1225</v>
      </c>
      <c r="B18" s="71" t="s">
        <v>5008</v>
      </c>
      <c r="C18" s="71">
        <v>3079.0079999999998</v>
      </c>
      <c r="D18" s="71">
        <v>0.106</v>
      </c>
      <c r="E18" s="71">
        <v>0</v>
      </c>
      <c r="F18" s="71">
        <v>4.1759999999999993</v>
      </c>
      <c r="G18" s="71">
        <v>87.872</v>
      </c>
      <c r="H18" s="71">
        <v>27.896999999999998</v>
      </c>
      <c r="I18" s="71">
        <v>0</v>
      </c>
      <c r="J18" s="71">
        <v>0</v>
      </c>
      <c r="K18" s="71">
        <v>0</v>
      </c>
      <c r="L18" s="71">
        <v>0.98599999999999999</v>
      </c>
      <c r="M18" s="71">
        <v>0</v>
      </c>
      <c r="N18" s="71">
        <v>1.3219999999999998</v>
      </c>
      <c r="O18" s="71">
        <v>0.84399999999999997</v>
      </c>
      <c r="P18" s="71">
        <v>153.48699999999999</v>
      </c>
      <c r="Q18" s="71">
        <v>133.00199999999998</v>
      </c>
      <c r="R18" s="71">
        <v>1985.2</v>
      </c>
      <c r="S18" s="71">
        <v>108.07299999999999</v>
      </c>
      <c r="T18" s="71">
        <v>153.94999999999999</v>
      </c>
    </row>
    <row r="19" spans="1:20">
      <c r="A19" s="71" t="s">
        <v>1227</v>
      </c>
      <c r="B19" s="71" t="s">
        <v>4094</v>
      </c>
      <c r="C19" s="71">
        <v>494.988</v>
      </c>
      <c r="D19" s="71">
        <v>2.0999999999999998E-2</v>
      </c>
      <c r="E19" s="71">
        <v>0</v>
      </c>
      <c r="F19" s="71">
        <v>0.61299999999999999</v>
      </c>
      <c r="G19" s="71">
        <v>13.398999999999999</v>
      </c>
      <c r="H19" s="71">
        <v>5.0239999999999991</v>
      </c>
      <c r="I19" s="71">
        <v>0</v>
      </c>
      <c r="J19" s="71">
        <v>0</v>
      </c>
      <c r="K19" s="71">
        <v>0</v>
      </c>
      <c r="L19" s="71">
        <v>0</v>
      </c>
      <c r="M19" s="71">
        <v>0</v>
      </c>
      <c r="N19" s="71">
        <v>0.32</v>
      </c>
      <c r="O19" s="71">
        <v>0.33399999999999996</v>
      </c>
      <c r="P19" s="71">
        <v>8.4489999999999998</v>
      </c>
      <c r="Q19" s="71">
        <v>24.410999999999998</v>
      </c>
      <c r="R19" s="71">
        <v>155.69999999999999</v>
      </c>
      <c r="S19" s="71">
        <v>2.0469999999999997</v>
      </c>
      <c r="T19" s="71">
        <v>24.748999999999999</v>
      </c>
    </row>
    <row r="20" spans="1:20">
      <c r="A20" s="71" t="s">
        <v>1229</v>
      </c>
      <c r="B20" s="71" t="s">
        <v>4095</v>
      </c>
      <c r="C20" s="71">
        <v>801.47799999999995</v>
      </c>
      <c r="D20" s="71">
        <v>0</v>
      </c>
      <c r="E20" s="71">
        <v>0</v>
      </c>
      <c r="F20" s="71">
        <v>0.72399999999999998</v>
      </c>
      <c r="G20" s="71">
        <v>16.463999999999999</v>
      </c>
      <c r="H20" s="71">
        <v>1.5939999999999999</v>
      </c>
      <c r="I20" s="71">
        <v>0</v>
      </c>
      <c r="J20" s="71">
        <v>0</v>
      </c>
      <c r="K20" s="71">
        <v>0</v>
      </c>
      <c r="L20" s="71">
        <v>0</v>
      </c>
      <c r="M20" s="71">
        <v>0</v>
      </c>
      <c r="N20" s="71">
        <v>0</v>
      </c>
      <c r="O20" s="71">
        <v>0.92699999999999994</v>
      </c>
      <c r="P20" s="71">
        <v>11.026999999999999</v>
      </c>
      <c r="Q20" s="71">
        <v>44.183999999999997</v>
      </c>
      <c r="R20" s="71">
        <v>226.3</v>
      </c>
      <c r="S20" s="71">
        <v>0</v>
      </c>
      <c r="T20" s="71">
        <v>40.073899999999995</v>
      </c>
    </row>
    <row r="21" spans="1:20">
      <c r="A21" s="71" t="s">
        <v>1231</v>
      </c>
      <c r="B21" s="71" t="s">
        <v>4096</v>
      </c>
      <c r="C21" s="71">
        <v>63.236999999999995</v>
      </c>
      <c r="D21" s="71">
        <v>0</v>
      </c>
      <c r="E21" s="71">
        <v>0</v>
      </c>
      <c r="F21" s="71">
        <v>0.04</v>
      </c>
      <c r="G21" s="71">
        <v>4.2469999999999999</v>
      </c>
      <c r="H21" s="71">
        <v>0</v>
      </c>
      <c r="I21" s="71">
        <v>0</v>
      </c>
      <c r="J21" s="71">
        <v>0</v>
      </c>
      <c r="K21" s="71">
        <v>0</v>
      </c>
      <c r="L21" s="71">
        <v>0</v>
      </c>
      <c r="M21" s="71">
        <v>0</v>
      </c>
      <c r="N21" s="71">
        <v>0</v>
      </c>
      <c r="O21" s="71">
        <v>0</v>
      </c>
      <c r="P21" s="71">
        <v>1.4529999999999998</v>
      </c>
      <c r="Q21" s="71">
        <v>3.5259999999999998</v>
      </c>
      <c r="R21" s="71">
        <v>58</v>
      </c>
      <c r="S21" s="71">
        <v>0.99399999999999999</v>
      </c>
      <c r="T21" s="71">
        <v>0</v>
      </c>
    </row>
    <row r="22" spans="1:20">
      <c r="A22" s="71" t="s">
        <v>2360</v>
      </c>
      <c r="B22" s="71" t="s">
        <v>2004</v>
      </c>
      <c r="C22" s="71">
        <v>496.23500000000001</v>
      </c>
      <c r="D22" s="71">
        <v>0</v>
      </c>
      <c r="E22" s="71">
        <v>0</v>
      </c>
      <c r="F22" s="71">
        <v>0.62699999999999989</v>
      </c>
      <c r="G22" s="71">
        <v>14.571</v>
      </c>
      <c r="H22" s="71">
        <v>1.218</v>
      </c>
      <c r="I22" s="71">
        <v>0</v>
      </c>
      <c r="J22" s="71">
        <v>0</v>
      </c>
      <c r="K22" s="71">
        <v>0</v>
      </c>
      <c r="L22" s="71">
        <v>0</v>
      </c>
      <c r="M22" s="71">
        <v>0.81199999999999994</v>
      </c>
      <c r="N22" s="71">
        <v>0.17499999999999999</v>
      </c>
      <c r="O22" s="71">
        <v>0</v>
      </c>
      <c r="P22" s="71">
        <v>5.08</v>
      </c>
      <c r="Q22" s="71">
        <v>26.693999999999999</v>
      </c>
      <c r="R22" s="71">
        <v>239</v>
      </c>
      <c r="S22" s="71">
        <v>57.3</v>
      </c>
      <c r="T22" s="71">
        <v>24.811749999999996</v>
      </c>
    </row>
    <row r="23" spans="1:20">
      <c r="A23" s="71" t="s">
        <v>1233</v>
      </c>
      <c r="B23" s="71" t="s">
        <v>4097</v>
      </c>
      <c r="C23" s="71">
        <v>353.32</v>
      </c>
      <c r="D23" s="71">
        <v>0</v>
      </c>
      <c r="E23" s="71">
        <v>0</v>
      </c>
      <c r="F23" s="71">
        <v>0.72199999999999998</v>
      </c>
      <c r="G23" s="71">
        <v>9.0659999999999989</v>
      </c>
      <c r="H23" s="71">
        <v>1.083</v>
      </c>
      <c r="I23" s="71">
        <v>0</v>
      </c>
      <c r="J23" s="71">
        <v>0</v>
      </c>
      <c r="K23" s="71">
        <v>0</v>
      </c>
      <c r="L23" s="71">
        <v>0</v>
      </c>
      <c r="M23" s="71">
        <v>0</v>
      </c>
      <c r="N23" s="71">
        <v>0</v>
      </c>
      <c r="O23" s="71">
        <v>2.7E-2</v>
      </c>
      <c r="P23" s="71">
        <v>10.802</v>
      </c>
      <c r="Q23" s="71">
        <v>15.646999999999998</v>
      </c>
      <c r="R23" s="71">
        <v>182.8</v>
      </c>
      <c r="S23" s="71">
        <v>5.8419999999999996</v>
      </c>
      <c r="T23" s="71">
        <v>17.665999999999997</v>
      </c>
    </row>
    <row r="24" spans="1:20">
      <c r="A24" s="71" t="s">
        <v>3081</v>
      </c>
      <c r="B24" s="71" t="s">
        <v>6107</v>
      </c>
      <c r="C24" s="71">
        <v>482.49399999999997</v>
      </c>
      <c r="D24" s="71">
        <v>1.9E-2</v>
      </c>
      <c r="E24" s="71">
        <v>0</v>
      </c>
      <c r="F24" s="71">
        <v>0.60899999999999999</v>
      </c>
      <c r="G24" s="71">
        <v>19.553999999999998</v>
      </c>
      <c r="H24" s="71">
        <v>0</v>
      </c>
      <c r="I24" s="71">
        <v>0</v>
      </c>
      <c r="J24" s="71">
        <v>0</v>
      </c>
      <c r="K24" s="71">
        <v>0</v>
      </c>
      <c r="L24" s="71">
        <v>0</v>
      </c>
      <c r="M24" s="71">
        <v>2.4059999999999997</v>
      </c>
      <c r="N24" s="71">
        <v>0.60599999999999998</v>
      </c>
      <c r="O24" s="71">
        <v>0</v>
      </c>
      <c r="P24" s="71">
        <v>0</v>
      </c>
      <c r="Q24" s="71">
        <v>25.966999999999999</v>
      </c>
      <c r="R24" s="71">
        <v>397.3</v>
      </c>
      <c r="S24" s="71">
        <v>22.465</v>
      </c>
      <c r="T24" s="71">
        <v>24.124699999999997</v>
      </c>
    </row>
    <row r="25" spans="1:20">
      <c r="A25" s="71" t="s">
        <v>1235</v>
      </c>
      <c r="B25" s="71" t="s">
        <v>4098</v>
      </c>
      <c r="C25" s="71">
        <v>1205.809</v>
      </c>
      <c r="D25" s="71">
        <v>0.187</v>
      </c>
      <c r="E25" s="71">
        <v>0</v>
      </c>
      <c r="F25" s="71">
        <v>1.2189999999999999</v>
      </c>
      <c r="G25" s="71">
        <v>41.138999999999996</v>
      </c>
      <c r="H25" s="71">
        <v>5.0869999999999997</v>
      </c>
      <c r="I25" s="71">
        <v>0</v>
      </c>
      <c r="J25" s="71">
        <v>0</v>
      </c>
      <c r="K25" s="71">
        <v>0</v>
      </c>
      <c r="L25" s="71">
        <v>0</v>
      </c>
      <c r="M25" s="71">
        <v>4.9409999999999998</v>
      </c>
      <c r="N25" s="71">
        <v>0.44</v>
      </c>
      <c r="O25" s="71">
        <v>0</v>
      </c>
      <c r="P25" s="71">
        <v>3.9049999999999998</v>
      </c>
      <c r="Q25" s="71">
        <v>74.853999999999999</v>
      </c>
      <c r="R25" s="71">
        <v>839</v>
      </c>
      <c r="S25" s="71">
        <v>28.888999999999999</v>
      </c>
      <c r="T25" s="71">
        <v>60.29</v>
      </c>
    </row>
    <row r="26" spans="1:20">
      <c r="A26" s="71" t="s">
        <v>2999</v>
      </c>
      <c r="B26" s="71" t="s">
        <v>4099</v>
      </c>
      <c r="C26" s="71">
        <v>1443.463</v>
      </c>
      <c r="D26" s="71">
        <v>2.8999999999999998E-2</v>
      </c>
      <c r="E26" s="71">
        <v>0</v>
      </c>
      <c r="F26" s="71">
        <v>1.712</v>
      </c>
      <c r="G26" s="71">
        <v>32.886999999999993</v>
      </c>
      <c r="H26" s="71">
        <v>4.8679999999999994</v>
      </c>
      <c r="I26" s="71">
        <v>0</v>
      </c>
      <c r="J26" s="71">
        <v>1.1119999999999999</v>
      </c>
      <c r="K26" s="71">
        <v>0</v>
      </c>
      <c r="L26" s="71">
        <v>0</v>
      </c>
      <c r="M26" s="71">
        <v>1.5319999999999998</v>
      </c>
      <c r="N26" s="71">
        <v>0.755</v>
      </c>
      <c r="O26" s="71">
        <v>0</v>
      </c>
      <c r="P26" s="71">
        <v>29.767999999999997</v>
      </c>
      <c r="Q26" s="71">
        <v>88.814999999999998</v>
      </c>
      <c r="R26" s="71">
        <v>1061.5</v>
      </c>
      <c r="S26" s="71">
        <v>107.604</v>
      </c>
      <c r="T26" s="71">
        <v>72.172999999999988</v>
      </c>
    </row>
    <row r="27" spans="1:20">
      <c r="A27" s="71" t="s">
        <v>5127</v>
      </c>
      <c r="B27" s="71" t="s">
        <v>342</v>
      </c>
      <c r="C27" s="71">
        <v>3235.0449999999996</v>
      </c>
      <c r="D27" s="71">
        <v>0.16399999999999998</v>
      </c>
      <c r="E27" s="71">
        <v>0</v>
      </c>
      <c r="F27" s="71">
        <v>4.4379999999999997</v>
      </c>
      <c r="G27" s="71">
        <v>114.913</v>
      </c>
      <c r="H27" s="71">
        <v>26.262999999999998</v>
      </c>
      <c r="I27" s="71">
        <v>0</v>
      </c>
      <c r="J27" s="71">
        <v>0</v>
      </c>
      <c r="K27" s="71">
        <v>0</v>
      </c>
      <c r="L27" s="71">
        <v>0</v>
      </c>
      <c r="M27" s="71">
        <v>17.798999999999999</v>
      </c>
      <c r="N27" s="71">
        <v>0.77</v>
      </c>
      <c r="O27" s="71">
        <v>0</v>
      </c>
      <c r="P27" s="71">
        <v>74.856999999999999</v>
      </c>
      <c r="Q27" s="71">
        <v>129.99</v>
      </c>
      <c r="R27" s="71">
        <v>2249.5</v>
      </c>
      <c r="S27" s="71">
        <v>88.526999999999987</v>
      </c>
      <c r="T27" s="71">
        <v>161.75199999999998</v>
      </c>
    </row>
    <row r="28" spans="1:20">
      <c r="A28" s="71" t="s">
        <v>2563</v>
      </c>
      <c r="B28" s="71" t="s">
        <v>345</v>
      </c>
      <c r="C28" s="71">
        <v>1577.9769999999999</v>
      </c>
      <c r="D28" s="71">
        <v>0.33500000000000002</v>
      </c>
      <c r="E28" s="71">
        <v>0</v>
      </c>
      <c r="F28" s="71">
        <v>2.2439999999999998</v>
      </c>
      <c r="G28" s="71">
        <v>48.288999999999994</v>
      </c>
      <c r="H28" s="71">
        <v>4.7249999999999996</v>
      </c>
      <c r="I28" s="71">
        <v>0</v>
      </c>
      <c r="J28" s="71">
        <v>0</v>
      </c>
      <c r="K28" s="71">
        <v>0</v>
      </c>
      <c r="L28" s="71">
        <v>0</v>
      </c>
      <c r="M28" s="71">
        <v>2.5589999999999997</v>
      </c>
      <c r="N28" s="71">
        <v>1.47</v>
      </c>
      <c r="O28" s="71">
        <v>0</v>
      </c>
      <c r="P28" s="71">
        <v>23.834</v>
      </c>
      <c r="Q28" s="71">
        <v>63.092999999999996</v>
      </c>
      <c r="R28" s="71">
        <v>1348</v>
      </c>
      <c r="S28" s="71">
        <v>84.37299999999999</v>
      </c>
      <c r="T28" s="71">
        <v>78.898849999999996</v>
      </c>
    </row>
    <row r="29" spans="1:20">
      <c r="A29" s="71" t="s">
        <v>1237</v>
      </c>
      <c r="B29" s="71" t="s">
        <v>4100</v>
      </c>
      <c r="C29" s="71">
        <v>2068.5100000000002</v>
      </c>
      <c r="D29" s="71">
        <v>4.2999999999999997E-2</v>
      </c>
      <c r="E29" s="71">
        <v>0</v>
      </c>
      <c r="F29" s="71">
        <v>2.2939999999999996</v>
      </c>
      <c r="G29" s="71">
        <v>78.347999999999999</v>
      </c>
      <c r="H29" s="71">
        <v>7.35</v>
      </c>
      <c r="I29" s="71">
        <v>0</v>
      </c>
      <c r="J29" s="71">
        <v>5.165</v>
      </c>
      <c r="K29" s="71">
        <v>0</v>
      </c>
      <c r="L29" s="71">
        <v>0</v>
      </c>
      <c r="M29" s="71">
        <v>11.558</v>
      </c>
      <c r="N29" s="71">
        <v>0.81499999999999995</v>
      </c>
      <c r="O29" s="71">
        <v>0</v>
      </c>
      <c r="P29" s="71">
        <v>73.693999999999988</v>
      </c>
      <c r="Q29" s="71">
        <v>110.15799999999999</v>
      </c>
      <c r="R29" s="71">
        <v>742.5</v>
      </c>
      <c r="S29" s="71">
        <v>124.559</v>
      </c>
      <c r="T29" s="71">
        <v>103.42549999999999</v>
      </c>
    </row>
    <row r="30" spans="1:20">
      <c r="A30" s="71" t="s">
        <v>1239</v>
      </c>
      <c r="B30" s="71" t="s">
        <v>4101</v>
      </c>
      <c r="C30" s="71">
        <v>2433.6319999999996</v>
      </c>
      <c r="D30" s="71">
        <v>0.11099999999999999</v>
      </c>
      <c r="E30" s="71">
        <v>0</v>
      </c>
      <c r="F30" s="71">
        <v>2.5119999999999996</v>
      </c>
      <c r="G30" s="71">
        <v>97.37299999999999</v>
      </c>
      <c r="H30" s="71">
        <v>17.928999999999998</v>
      </c>
      <c r="I30" s="71">
        <v>0</v>
      </c>
      <c r="J30" s="71">
        <v>3.9079999999999999</v>
      </c>
      <c r="K30" s="71">
        <v>0</v>
      </c>
      <c r="L30" s="71">
        <v>2.27</v>
      </c>
      <c r="M30" s="71">
        <v>7.5329999999999995</v>
      </c>
      <c r="N30" s="71">
        <v>2.0289999999999999</v>
      </c>
      <c r="O30" s="71">
        <v>0</v>
      </c>
      <c r="P30" s="71">
        <v>68.823999999999998</v>
      </c>
      <c r="Q30" s="71">
        <v>156.089</v>
      </c>
      <c r="R30" s="71">
        <v>1254.7</v>
      </c>
      <c r="S30" s="71">
        <v>218.89399999999998</v>
      </c>
      <c r="T30" s="71">
        <v>121.68159999999999</v>
      </c>
    </row>
    <row r="31" spans="1:20">
      <c r="A31" s="71" t="s">
        <v>1241</v>
      </c>
      <c r="B31" s="71" t="s">
        <v>4102</v>
      </c>
      <c r="C31" s="71">
        <v>804.745</v>
      </c>
      <c r="D31" s="71">
        <v>0</v>
      </c>
      <c r="E31" s="71">
        <v>0</v>
      </c>
      <c r="F31" s="71">
        <v>0.88099999999999989</v>
      </c>
      <c r="G31" s="71">
        <v>28.056999999999999</v>
      </c>
      <c r="H31" s="71">
        <v>1.7109999999999999</v>
      </c>
      <c r="I31" s="71">
        <v>0</v>
      </c>
      <c r="J31" s="71">
        <v>4.7359999999999998</v>
      </c>
      <c r="K31" s="71">
        <v>0</v>
      </c>
      <c r="L31" s="71">
        <v>1.1709999999999998</v>
      </c>
      <c r="M31" s="71">
        <v>0.14699999999999999</v>
      </c>
      <c r="N31" s="71">
        <v>0</v>
      </c>
      <c r="O31" s="71">
        <v>0</v>
      </c>
      <c r="P31" s="71">
        <v>31.638999999999999</v>
      </c>
      <c r="Q31" s="71">
        <v>35.580999999999996</v>
      </c>
      <c r="R31" s="71">
        <v>383.2</v>
      </c>
      <c r="S31" s="71">
        <v>58.271999999999998</v>
      </c>
      <c r="T31" s="71">
        <v>40.236999999999995</v>
      </c>
    </row>
    <row r="32" spans="1:20">
      <c r="A32" s="71" t="s">
        <v>1243</v>
      </c>
      <c r="B32" s="71" t="s">
        <v>4103</v>
      </c>
      <c r="C32" s="71">
        <v>1389.3139999999999</v>
      </c>
      <c r="D32" s="71">
        <v>0.22099999999999997</v>
      </c>
      <c r="E32" s="71">
        <v>0</v>
      </c>
      <c r="F32" s="71">
        <v>5.0459999999999994</v>
      </c>
      <c r="G32" s="71">
        <v>27.476999999999997</v>
      </c>
      <c r="H32" s="71">
        <v>8.2509999999999994</v>
      </c>
      <c r="I32" s="71">
        <v>0</v>
      </c>
      <c r="J32" s="71">
        <v>0</v>
      </c>
      <c r="K32" s="71">
        <v>0</v>
      </c>
      <c r="L32" s="71">
        <v>0</v>
      </c>
      <c r="M32" s="71">
        <v>0</v>
      </c>
      <c r="N32" s="71">
        <v>0.84799999999999998</v>
      </c>
      <c r="O32" s="71">
        <v>1.1589999999999998</v>
      </c>
      <c r="P32" s="71">
        <v>52.042999999999999</v>
      </c>
      <c r="Q32" s="71">
        <v>53.812999999999995</v>
      </c>
      <c r="R32" s="71">
        <v>1164.3</v>
      </c>
      <c r="S32" s="71">
        <v>194.36599999999999</v>
      </c>
      <c r="T32" s="71">
        <v>69.465699999999984</v>
      </c>
    </row>
    <row r="33" spans="1:20">
      <c r="A33" s="71" t="s">
        <v>1245</v>
      </c>
      <c r="B33" s="71" t="s">
        <v>4104</v>
      </c>
      <c r="C33" s="71">
        <v>329.48699999999997</v>
      </c>
      <c r="D33" s="71">
        <v>3.2999999999999995E-2</v>
      </c>
      <c r="E33" s="71">
        <v>0</v>
      </c>
      <c r="F33" s="71">
        <v>0.92399999999999993</v>
      </c>
      <c r="G33" s="71">
        <v>23.524999999999999</v>
      </c>
      <c r="H33" s="71">
        <v>0.16399999999999998</v>
      </c>
      <c r="I33" s="71">
        <v>0</v>
      </c>
      <c r="J33" s="71">
        <v>0</v>
      </c>
      <c r="K33" s="71">
        <v>0</v>
      </c>
      <c r="L33" s="71">
        <v>0</v>
      </c>
      <c r="M33" s="71">
        <v>2.2639999999999998</v>
      </c>
      <c r="N33" s="71">
        <v>0</v>
      </c>
      <c r="O33" s="71">
        <v>15.2</v>
      </c>
      <c r="P33" s="71">
        <v>9.222999999999999</v>
      </c>
      <c r="Q33" s="71">
        <v>15.935</v>
      </c>
      <c r="R33" s="71">
        <v>164.5</v>
      </c>
      <c r="S33" s="71">
        <v>9.6289999999999996</v>
      </c>
      <c r="T33" s="71">
        <v>13</v>
      </c>
    </row>
    <row r="34" spans="1:20">
      <c r="A34" s="71" t="s">
        <v>2361</v>
      </c>
      <c r="B34" s="71" t="s">
        <v>7695</v>
      </c>
      <c r="C34" s="71">
        <v>2372.5159999999996</v>
      </c>
      <c r="D34" s="71">
        <v>0.23699999999999999</v>
      </c>
      <c r="E34" s="71">
        <v>0</v>
      </c>
      <c r="F34" s="71">
        <v>4.9309999999999992</v>
      </c>
      <c r="G34" s="71">
        <v>60.475000000000001</v>
      </c>
      <c r="H34" s="71">
        <v>21.812999999999999</v>
      </c>
      <c r="I34" s="71">
        <v>0</v>
      </c>
      <c r="J34" s="71">
        <v>0</v>
      </c>
      <c r="K34" s="71">
        <v>0</v>
      </c>
      <c r="L34" s="71">
        <v>0</v>
      </c>
      <c r="M34" s="71">
        <v>16.843</v>
      </c>
      <c r="N34" s="71">
        <v>0.29399999999999998</v>
      </c>
      <c r="O34" s="71">
        <v>9.15</v>
      </c>
      <c r="P34" s="71">
        <v>74.12</v>
      </c>
      <c r="Q34" s="71">
        <v>149.922</v>
      </c>
      <c r="R34" s="71">
        <v>1211.5</v>
      </c>
      <c r="S34" s="71">
        <v>76.977999999999994</v>
      </c>
      <c r="T34" s="71">
        <v>118.62579999999998</v>
      </c>
    </row>
    <row r="35" spans="1:20">
      <c r="A35" s="71" t="s">
        <v>948</v>
      </c>
      <c r="B35" s="71" t="s">
        <v>7697</v>
      </c>
      <c r="C35" s="71">
        <v>7381.1879999999992</v>
      </c>
      <c r="D35" s="71">
        <v>0.53599999999999992</v>
      </c>
      <c r="E35" s="71">
        <v>0</v>
      </c>
      <c r="F35" s="71">
        <v>13.827999999999999</v>
      </c>
      <c r="G35" s="71">
        <v>169.38499999999999</v>
      </c>
      <c r="H35" s="71">
        <v>68.943999999999988</v>
      </c>
      <c r="I35" s="71">
        <v>0</v>
      </c>
      <c r="J35" s="71">
        <v>0</v>
      </c>
      <c r="K35" s="71">
        <v>0</v>
      </c>
      <c r="L35" s="71">
        <v>0</v>
      </c>
      <c r="M35" s="71">
        <v>9.3069999999999986</v>
      </c>
      <c r="N35" s="71">
        <v>1.992</v>
      </c>
      <c r="O35" s="71">
        <v>14.195</v>
      </c>
      <c r="P35" s="71">
        <v>305.58299999999997</v>
      </c>
      <c r="Q35" s="71">
        <v>349.98899999999998</v>
      </c>
      <c r="R35" s="71">
        <v>4521</v>
      </c>
      <c r="S35" s="71">
        <v>590.68899999999996</v>
      </c>
      <c r="T35" s="71">
        <v>369.05899999999997</v>
      </c>
    </row>
    <row r="36" spans="1:20">
      <c r="A36" s="71" t="s">
        <v>1522</v>
      </c>
      <c r="B36" s="71" t="s">
        <v>1928</v>
      </c>
      <c r="C36" s="71">
        <v>3088.4369999999999</v>
      </c>
      <c r="D36" s="71">
        <v>0.104</v>
      </c>
      <c r="E36" s="71">
        <v>0</v>
      </c>
      <c r="F36" s="71">
        <v>4.9959999999999996</v>
      </c>
      <c r="G36" s="71">
        <v>71.631999999999991</v>
      </c>
      <c r="H36" s="71">
        <v>36.843999999999994</v>
      </c>
      <c r="I36" s="71">
        <v>0</v>
      </c>
      <c r="J36" s="71">
        <v>0</v>
      </c>
      <c r="K36" s="71">
        <v>0</v>
      </c>
      <c r="L36" s="71">
        <v>0</v>
      </c>
      <c r="M36" s="71">
        <v>1.5549999999999999</v>
      </c>
      <c r="N36" s="71">
        <v>0.7679999999999999</v>
      </c>
      <c r="O36" s="71">
        <v>5.9050000000000002</v>
      </c>
      <c r="P36" s="71">
        <v>84.430999999999997</v>
      </c>
      <c r="Q36" s="71">
        <v>111.068</v>
      </c>
      <c r="R36" s="71">
        <v>1919.2</v>
      </c>
      <c r="S36" s="71">
        <v>458.339</v>
      </c>
      <c r="T36" s="71">
        <v>154.42184999999998</v>
      </c>
    </row>
    <row r="37" spans="1:20">
      <c r="A37" s="71" t="s">
        <v>438</v>
      </c>
      <c r="B37" s="71" t="s">
        <v>2343</v>
      </c>
      <c r="C37" s="71">
        <v>1709.9059999999999</v>
      </c>
      <c r="D37" s="71">
        <v>0.105</v>
      </c>
      <c r="E37" s="71">
        <v>0</v>
      </c>
      <c r="F37" s="71">
        <v>2.8679999999999999</v>
      </c>
      <c r="G37" s="71">
        <v>47.707999999999998</v>
      </c>
      <c r="H37" s="71">
        <v>11.491</v>
      </c>
      <c r="I37" s="71">
        <v>0</v>
      </c>
      <c r="J37" s="71">
        <v>7.3</v>
      </c>
      <c r="K37" s="71">
        <v>0</v>
      </c>
      <c r="L37" s="71">
        <v>0</v>
      </c>
      <c r="M37" s="71">
        <v>3.0569999999999999</v>
      </c>
      <c r="N37" s="71">
        <v>4.0999999999999995E-2</v>
      </c>
      <c r="O37" s="71">
        <v>1.0129999999999999</v>
      </c>
      <c r="P37" s="71">
        <v>60.593999999999994</v>
      </c>
      <c r="Q37" s="71">
        <v>102.31</v>
      </c>
      <c r="R37" s="71">
        <v>949</v>
      </c>
      <c r="S37" s="71">
        <v>48.401999999999994</v>
      </c>
      <c r="T37" s="71">
        <v>85.495000000000005</v>
      </c>
    </row>
    <row r="38" spans="1:20">
      <c r="A38" s="71" t="s">
        <v>2565</v>
      </c>
      <c r="B38" s="71" t="s">
        <v>6074</v>
      </c>
      <c r="C38" s="71">
        <v>218.50399999999999</v>
      </c>
      <c r="D38" s="71">
        <v>0</v>
      </c>
      <c r="E38" s="71">
        <v>0</v>
      </c>
      <c r="F38" s="71">
        <v>0.45799999999999996</v>
      </c>
      <c r="G38" s="71">
        <v>4.68</v>
      </c>
      <c r="H38" s="71">
        <v>0</v>
      </c>
      <c r="I38" s="71">
        <v>0</v>
      </c>
      <c r="J38" s="71">
        <v>0</v>
      </c>
      <c r="K38" s="71">
        <v>0</v>
      </c>
      <c r="L38" s="71">
        <v>0</v>
      </c>
      <c r="M38" s="71">
        <v>0</v>
      </c>
      <c r="N38" s="71">
        <v>0</v>
      </c>
      <c r="O38" s="71">
        <v>0</v>
      </c>
      <c r="P38" s="71">
        <v>6.8559999999999999</v>
      </c>
      <c r="Q38" s="71">
        <v>0</v>
      </c>
      <c r="R38" s="71">
        <v>122.2</v>
      </c>
      <c r="S38" s="71">
        <v>30.463999999999999</v>
      </c>
      <c r="T38" s="71">
        <v>10.925000000000001</v>
      </c>
    </row>
    <row r="39" spans="1:20">
      <c r="A39" s="71" t="s">
        <v>1248</v>
      </c>
      <c r="B39" s="71" t="s">
        <v>4105</v>
      </c>
      <c r="C39" s="71">
        <v>579.64399999999989</v>
      </c>
      <c r="D39" s="71">
        <v>9.6999999999999989E-2</v>
      </c>
      <c r="E39" s="71">
        <v>0</v>
      </c>
      <c r="F39" s="71">
        <v>1.2489999999999999</v>
      </c>
      <c r="G39" s="71">
        <v>17.27</v>
      </c>
      <c r="H39" s="71">
        <v>3.2389999999999999</v>
      </c>
      <c r="I39" s="71">
        <v>0</v>
      </c>
      <c r="J39" s="71">
        <v>0</v>
      </c>
      <c r="K39" s="71">
        <v>0</v>
      </c>
      <c r="L39" s="71">
        <v>0</v>
      </c>
      <c r="M39" s="71">
        <v>0.69199999999999995</v>
      </c>
      <c r="N39" s="71">
        <v>0</v>
      </c>
      <c r="O39" s="71">
        <v>0</v>
      </c>
      <c r="P39" s="71">
        <v>9</v>
      </c>
      <c r="Q39" s="71">
        <v>57.738999999999997</v>
      </c>
      <c r="R39" s="71">
        <v>312.7</v>
      </c>
      <c r="S39" s="71">
        <v>13.017999999999999</v>
      </c>
      <c r="T39" s="71">
        <v>28.981999999999999</v>
      </c>
    </row>
    <row r="40" spans="1:20">
      <c r="A40" s="71" t="s">
        <v>7182</v>
      </c>
      <c r="B40" s="71" t="s">
        <v>7183</v>
      </c>
      <c r="C40" s="71">
        <v>215.35899999999998</v>
      </c>
      <c r="D40" s="71">
        <v>0</v>
      </c>
      <c r="E40" s="71">
        <v>0</v>
      </c>
      <c r="F40" s="71">
        <v>0.55500000000000005</v>
      </c>
      <c r="G40" s="71">
        <v>7.8869999999999996</v>
      </c>
      <c r="H40" s="71">
        <v>2.31</v>
      </c>
      <c r="I40" s="71">
        <v>0</v>
      </c>
      <c r="J40" s="71">
        <v>0</v>
      </c>
      <c r="K40" s="71">
        <v>0</v>
      </c>
      <c r="L40" s="71">
        <v>0</v>
      </c>
      <c r="M40" s="71">
        <v>0</v>
      </c>
      <c r="N40" s="71">
        <v>0</v>
      </c>
      <c r="O40" s="71">
        <v>0</v>
      </c>
      <c r="P40" s="71">
        <v>0</v>
      </c>
      <c r="Q40" s="71">
        <v>0</v>
      </c>
      <c r="R40" s="71">
        <v>190.3</v>
      </c>
      <c r="S40" s="71">
        <v>0</v>
      </c>
      <c r="T40" s="71">
        <v>0</v>
      </c>
    </row>
    <row r="41" spans="1:20">
      <c r="A41" s="71" t="s">
        <v>439</v>
      </c>
      <c r="B41" s="71" t="s">
        <v>7698</v>
      </c>
      <c r="C41" s="71">
        <v>3365.328</v>
      </c>
      <c r="D41" s="71">
        <v>9.799999999999999E-2</v>
      </c>
      <c r="E41" s="71">
        <v>0</v>
      </c>
      <c r="F41" s="71">
        <v>4.5619999999999994</v>
      </c>
      <c r="G41" s="71">
        <v>56.271999999999998</v>
      </c>
      <c r="H41" s="71">
        <v>14.52</v>
      </c>
      <c r="I41" s="71">
        <v>0</v>
      </c>
      <c r="J41" s="71">
        <v>0</v>
      </c>
      <c r="K41" s="71">
        <v>0</v>
      </c>
      <c r="L41" s="71">
        <v>0</v>
      </c>
      <c r="M41" s="71">
        <v>2.2519999999999998</v>
      </c>
      <c r="N41" s="71">
        <v>3.5159999999999996</v>
      </c>
      <c r="O41" s="71">
        <v>0</v>
      </c>
      <c r="P41" s="71">
        <v>109.43899999999999</v>
      </c>
      <c r="Q41" s="71">
        <v>164.57399999999998</v>
      </c>
      <c r="R41" s="71">
        <v>2793.2</v>
      </c>
      <c r="S41" s="71">
        <v>67.390999999999991</v>
      </c>
      <c r="T41" s="71">
        <v>168.26599999999999</v>
      </c>
    </row>
    <row r="42" spans="1:20">
      <c r="A42" s="71" t="s">
        <v>1250</v>
      </c>
      <c r="B42" s="71" t="s">
        <v>4106</v>
      </c>
      <c r="C42" s="71">
        <v>130.09799999999998</v>
      </c>
      <c r="D42" s="71">
        <v>0</v>
      </c>
      <c r="E42" s="71">
        <v>0</v>
      </c>
      <c r="F42" s="71">
        <v>0.16399999999999998</v>
      </c>
      <c r="G42" s="71">
        <v>0.46299999999999997</v>
      </c>
      <c r="H42" s="71">
        <v>0</v>
      </c>
      <c r="I42" s="71">
        <v>0</v>
      </c>
      <c r="J42" s="71">
        <v>0</v>
      </c>
      <c r="K42" s="71">
        <v>0</v>
      </c>
      <c r="L42" s="71">
        <v>0</v>
      </c>
      <c r="M42" s="71">
        <v>0</v>
      </c>
      <c r="N42" s="71">
        <v>0</v>
      </c>
      <c r="O42" s="71">
        <v>0</v>
      </c>
      <c r="P42" s="71">
        <v>4.1159999999999997</v>
      </c>
      <c r="Q42" s="71">
        <v>0</v>
      </c>
      <c r="R42" s="71">
        <v>89.3</v>
      </c>
      <c r="S42" s="71">
        <v>3.9569999999999999</v>
      </c>
      <c r="T42" s="71">
        <v>6.5048999999999992</v>
      </c>
    </row>
    <row r="43" spans="1:20">
      <c r="A43" s="71" t="s">
        <v>1252</v>
      </c>
      <c r="B43" s="71" t="s">
        <v>4107</v>
      </c>
      <c r="C43" s="71">
        <v>350.029</v>
      </c>
      <c r="D43" s="71">
        <v>0</v>
      </c>
      <c r="E43" s="71">
        <v>0</v>
      </c>
      <c r="F43" s="71">
        <v>0.53500000000000003</v>
      </c>
      <c r="G43" s="71">
        <v>13.972</v>
      </c>
      <c r="H43" s="71">
        <v>1.367</v>
      </c>
      <c r="I43" s="71">
        <v>0</v>
      </c>
      <c r="J43" s="71">
        <v>0</v>
      </c>
      <c r="K43" s="71">
        <v>0</v>
      </c>
      <c r="L43" s="71">
        <v>0</v>
      </c>
      <c r="M43" s="71">
        <v>0</v>
      </c>
      <c r="N43" s="71">
        <v>0.29699999999999999</v>
      </c>
      <c r="O43" s="71">
        <v>7.9009999999999998</v>
      </c>
      <c r="P43" s="71">
        <v>10.513999999999999</v>
      </c>
      <c r="Q43" s="71">
        <v>20.302</v>
      </c>
      <c r="R43" s="71">
        <v>264.7</v>
      </c>
      <c r="S43" s="71">
        <v>3.915</v>
      </c>
      <c r="T43" s="71">
        <v>17.500999999999998</v>
      </c>
    </row>
    <row r="44" spans="1:20">
      <c r="A44" s="71" t="s">
        <v>2399</v>
      </c>
      <c r="B44" s="71" t="s">
        <v>2341</v>
      </c>
      <c r="C44" s="71">
        <v>711.02699999999993</v>
      </c>
      <c r="D44" s="71">
        <v>0.15699999999999997</v>
      </c>
      <c r="E44" s="71">
        <v>0</v>
      </c>
      <c r="F44" s="71">
        <v>1.2789999999999999</v>
      </c>
      <c r="G44" s="71">
        <v>29.261999999999997</v>
      </c>
      <c r="H44" s="71">
        <v>3.0939999999999999</v>
      </c>
      <c r="I44" s="71">
        <v>0</v>
      </c>
      <c r="J44" s="71">
        <v>0</v>
      </c>
      <c r="K44" s="71">
        <v>0</v>
      </c>
      <c r="L44" s="71">
        <v>0</v>
      </c>
      <c r="M44" s="71">
        <v>0</v>
      </c>
      <c r="N44" s="71">
        <v>0</v>
      </c>
      <c r="O44" s="71">
        <v>0</v>
      </c>
      <c r="P44" s="71">
        <v>4.79</v>
      </c>
      <c r="Q44" s="71">
        <v>42.107999999999997</v>
      </c>
      <c r="R44" s="71">
        <v>514.5</v>
      </c>
      <c r="S44" s="71">
        <v>25.497999999999998</v>
      </c>
      <c r="T44" s="71">
        <v>35.550999999999995</v>
      </c>
    </row>
    <row r="45" spans="1:20">
      <c r="A45" s="71" t="s">
        <v>7184</v>
      </c>
      <c r="B45" s="71" t="s">
        <v>7185</v>
      </c>
      <c r="C45" s="71">
        <v>151.87</v>
      </c>
      <c r="D45" s="71">
        <v>0</v>
      </c>
      <c r="E45" s="71">
        <v>0</v>
      </c>
      <c r="F45" s="71">
        <v>0</v>
      </c>
      <c r="G45" s="71">
        <v>4.68</v>
      </c>
      <c r="H45" s="71">
        <v>1.1219999999999999</v>
      </c>
      <c r="I45" s="71">
        <v>0</v>
      </c>
      <c r="J45" s="71">
        <v>0</v>
      </c>
      <c r="K45" s="71">
        <v>0</v>
      </c>
      <c r="L45" s="71">
        <v>0</v>
      </c>
      <c r="M45" s="71">
        <v>0</v>
      </c>
      <c r="N45" s="71">
        <v>1.119</v>
      </c>
      <c r="O45" s="71">
        <v>0</v>
      </c>
      <c r="P45" s="71">
        <v>0</v>
      </c>
      <c r="Q45" s="71">
        <v>10.504</v>
      </c>
      <c r="R45" s="71">
        <v>75.3</v>
      </c>
      <c r="S45" s="71">
        <v>0</v>
      </c>
      <c r="T45" s="71">
        <v>0</v>
      </c>
    </row>
    <row r="46" spans="1:20">
      <c r="A46" s="71" t="s">
        <v>7186</v>
      </c>
      <c r="B46" s="71" t="s">
        <v>7187</v>
      </c>
      <c r="C46" s="71">
        <v>69.833999999999989</v>
      </c>
      <c r="D46" s="71">
        <v>0</v>
      </c>
      <c r="E46" s="71">
        <v>0</v>
      </c>
      <c r="F46" s="71">
        <v>0</v>
      </c>
      <c r="G46" s="71">
        <v>0</v>
      </c>
      <c r="H46" s="71">
        <v>0</v>
      </c>
      <c r="I46" s="71">
        <v>0</v>
      </c>
      <c r="J46" s="71">
        <v>0</v>
      </c>
      <c r="K46" s="71">
        <v>0</v>
      </c>
      <c r="L46" s="71">
        <v>0</v>
      </c>
      <c r="M46" s="71">
        <v>0</v>
      </c>
      <c r="N46" s="71">
        <v>3.9E-2</v>
      </c>
      <c r="O46" s="71">
        <v>0</v>
      </c>
      <c r="P46" s="71">
        <v>0</v>
      </c>
      <c r="Q46" s="71">
        <v>2.968</v>
      </c>
      <c r="R46" s="71">
        <v>50.2</v>
      </c>
      <c r="S46" s="71">
        <v>11.994</v>
      </c>
      <c r="T46" s="71">
        <v>0</v>
      </c>
    </row>
    <row r="47" spans="1:20">
      <c r="A47" s="71" t="s">
        <v>7188</v>
      </c>
      <c r="B47" s="71" t="s">
        <v>7189</v>
      </c>
      <c r="C47" s="71">
        <v>96.318999999999988</v>
      </c>
      <c r="D47" s="71">
        <v>0</v>
      </c>
      <c r="E47" s="71">
        <v>0</v>
      </c>
      <c r="F47" s="71">
        <v>0.23399999999999999</v>
      </c>
      <c r="G47" s="71">
        <v>5.37</v>
      </c>
      <c r="H47" s="71">
        <v>0</v>
      </c>
      <c r="I47" s="71">
        <v>0</v>
      </c>
      <c r="J47" s="71">
        <v>0</v>
      </c>
      <c r="K47" s="71">
        <v>0</v>
      </c>
      <c r="L47" s="71">
        <v>0</v>
      </c>
      <c r="M47" s="71">
        <v>0</v>
      </c>
      <c r="N47" s="71">
        <v>0</v>
      </c>
      <c r="O47" s="71">
        <v>0</v>
      </c>
      <c r="P47" s="71">
        <v>0</v>
      </c>
      <c r="Q47" s="71">
        <v>0</v>
      </c>
      <c r="R47" s="71">
        <v>107.5</v>
      </c>
      <c r="S47" s="71">
        <v>0.90199999999999991</v>
      </c>
      <c r="T47" s="71">
        <v>0</v>
      </c>
    </row>
    <row r="48" spans="1:20">
      <c r="A48" s="71" t="s">
        <v>7190</v>
      </c>
      <c r="B48" s="71" t="s">
        <v>7191</v>
      </c>
      <c r="C48" s="71">
        <v>66.784999999999997</v>
      </c>
      <c r="D48" s="71">
        <v>0</v>
      </c>
      <c r="E48" s="71">
        <v>8.0009999999999994</v>
      </c>
      <c r="F48" s="71">
        <v>0.23099999999999998</v>
      </c>
      <c r="G48" s="71">
        <v>0</v>
      </c>
      <c r="H48" s="71">
        <v>0</v>
      </c>
      <c r="I48" s="71">
        <v>0</v>
      </c>
      <c r="J48" s="71">
        <v>0</v>
      </c>
      <c r="K48" s="71">
        <v>0</v>
      </c>
      <c r="L48" s="71">
        <v>0</v>
      </c>
      <c r="M48" s="71">
        <v>0</v>
      </c>
      <c r="N48" s="71">
        <v>0</v>
      </c>
      <c r="O48" s="71">
        <v>31.573999999999998</v>
      </c>
      <c r="P48" s="71">
        <v>0</v>
      </c>
      <c r="Q48" s="71">
        <v>0</v>
      </c>
      <c r="R48" s="71">
        <v>65.2</v>
      </c>
      <c r="S48" s="71">
        <v>0</v>
      </c>
      <c r="T48" s="71">
        <v>0</v>
      </c>
    </row>
    <row r="49" spans="1:20">
      <c r="A49" s="71" t="s">
        <v>2566</v>
      </c>
      <c r="B49" s="71" t="s">
        <v>4108</v>
      </c>
      <c r="C49" s="71">
        <v>903.82799999999997</v>
      </c>
      <c r="D49" s="71">
        <v>5.1999999999999998E-2</v>
      </c>
      <c r="E49" s="71">
        <v>0</v>
      </c>
      <c r="F49" s="71">
        <v>1.946</v>
      </c>
      <c r="G49" s="71">
        <v>19.688999999999997</v>
      </c>
      <c r="H49" s="71">
        <v>4.1100000000000003</v>
      </c>
      <c r="I49" s="71">
        <v>0</v>
      </c>
      <c r="J49" s="71">
        <v>1.7619999999999998</v>
      </c>
      <c r="K49" s="71">
        <v>0</v>
      </c>
      <c r="L49" s="71">
        <v>0</v>
      </c>
      <c r="M49" s="71">
        <v>2.4249999999999998</v>
      </c>
      <c r="N49" s="71">
        <v>0</v>
      </c>
      <c r="O49" s="71">
        <v>7.5999999999999998E-2</v>
      </c>
      <c r="P49" s="71">
        <v>36.422999999999995</v>
      </c>
      <c r="Q49" s="71">
        <v>51.08</v>
      </c>
      <c r="R49" s="71">
        <v>323.5</v>
      </c>
      <c r="S49" s="71">
        <v>5.7859999999999996</v>
      </c>
      <c r="T49" s="71">
        <v>45.190999999999995</v>
      </c>
    </row>
    <row r="50" spans="1:20">
      <c r="A50" s="71" t="s">
        <v>947</v>
      </c>
      <c r="B50" s="71" t="s">
        <v>7696</v>
      </c>
      <c r="C50" s="71">
        <v>393.70599999999996</v>
      </c>
      <c r="D50" s="71">
        <v>0</v>
      </c>
      <c r="E50" s="71">
        <v>0</v>
      </c>
      <c r="F50" s="71">
        <v>0.44099999999999995</v>
      </c>
      <c r="G50" s="71">
        <v>8.0839999999999996</v>
      </c>
      <c r="H50" s="71">
        <v>0.121</v>
      </c>
      <c r="I50" s="71">
        <v>0</v>
      </c>
      <c r="J50" s="71">
        <v>3.8209999999999997</v>
      </c>
      <c r="K50" s="71">
        <v>0</v>
      </c>
      <c r="L50" s="71">
        <v>0</v>
      </c>
      <c r="M50" s="71">
        <v>0.7659999999999999</v>
      </c>
      <c r="N50" s="71">
        <v>0</v>
      </c>
      <c r="O50" s="71">
        <v>0.74099999999999999</v>
      </c>
      <c r="P50" s="71">
        <v>15.145</v>
      </c>
      <c r="Q50" s="71">
        <v>20.688999999999997</v>
      </c>
      <c r="R50" s="71">
        <v>286.2</v>
      </c>
      <c r="S50" s="71">
        <v>33.398999999999994</v>
      </c>
      <c r="T50" s="71">
        <v>19.684999999999999</v>
      </c>
    </row>
    <row r="51" spans="1:20">
      <c r="A51" s="71" t="s">
        <v>950</v>
      </c>
      <c r="B51" s="71" t="s">
        <v>7654</v>
      </c>
      <c r="C51" s="71">
        <v>7053.4679999999998</v>
      </c>
      <c r="D51" s="71">
        <v>0.60199999999999998</v>
      </c>
      <c r="E51" s="71">
        <v>0</v>
      </c>
      <c r="F51" s="71">
        <v>13.268999999999998</v>
      </c>
      <c r="G51" s="71">
        <v>205.78299999999999</v>
      </c>
      <c r="H51" s="71">
        <v>57.515999999999998</v>
      </c>
      <c r="I51" s="71">
        <v>0</v>
      </c>
      <c r="J51" s="71">
        <v>0</v>
      </c>
      <c r="K51" s="71">
        <v>0</v>
      </c>
      <c r="L51" s="71">
        <v>0</v>
      </c>
      <c r="M51" s="71">
        <v>18.072999999999997</v>
      </c>
      <c r="N51" s="71">
        <v>2.625</v>
      </c>
      <c r="O51" s="71">
        <v>3.2050000000000001</v>
      </c>
      <c r="P51" s="71">
        <v>229.02099999999999</v>
      </c>
      <c r="Q51" s="71">
        <v>229.22099999999998</v>
      </c>
      <c r="R51" s="71">
        <v>3324.5</v>
      </c>
      <c r="S51" s="71">
        <v>407.28799999999995</v>
      </c>
      <c r="T51" s="71">
        <v>352.67299999999994</v>
      </c>
    </row>
    <row r="52" spans="1:20">
      <c r="A52" s="71" t="s">
        <v>1869</v>
      </c>
      <c r="B52" s="71" t="s">
        <v>3848</v>
      </c>
      <c r="C52" s="71">
        <v>497.80199999999996</v>
      </c>
      <c r="D52" s="71">
        <v>0</v>
      </c>
      <c r="E52" s="71">
        <v>0</v>
      </c>
      <c r="F52" s="71">
        <v>0.60899999999999999</v>
      </c>
      <c r="G52" s="71">
        <v>10.417999999999999</v>
      </c>
      <c r="H52" s="71">
        <v>1.2959999999999998</v>
      </c>
      <c r="I52" s="71">
        <v>0</v>
      </c>
      <c r="J52" s="71">
        <v>2.2999999999999998</v>
      </c>
      <c r="K52" s="71">
        <v>0</v>
      </c>
      <c r="L52" s="71">
        <v>0</v>
      </c>
      <c r="M52" s="71">
        <v>0</v>
      </c>
      <c r="N52" s="71">
        <v>0.23699999999999999</v>
      </c>
      <c r="O52" s="71">
        <v>0</v>
      </c>
      <c r="P52" s="71">
        <v>7.71</v>
      </c>
      <c r="Q52" s="71">
        <v>27.662999999999997</v>
      </c>
      <c r="R52" s="71">
        <v>257.7</v>
      </c>
      <c r="S52" s="71">
        <v>20.345999999999997</v>
      </c>
      <c r="T52" s="71">
        <v>24.89</v>
      </c>
    </row>
    <row r="53" spans="1:20">
      <c r="A53" s="71" t="s">
        <v>6033</v>
      </c>
      <c r="B53" s="71" t="s">
        <v>1920</v>
      </c>
      <c r="C53" s="71">
        <v>31832.368999999999</v>
      </c>
      <c r="D53" s="71">
        <v>1.77</v>
      </c>
      <c r="E53" s="71">
        <v>0</v>
      </c>
      <c r="F53" s="71">
        <v>58.285999999999994</v>
      </c>
      <c r="G53" s="71">
        <v>1206.5650000000001</v>
      </c>
      <c r="H53" s="71">
        <v>403.65599999999995</v>
      </c>
      <c r="I53" s="71">
        <v>0</v>
      </c>
      <c r="J53" s="71">
        <v>0.59799999999999998</v>
      </c>
      <c r="K53" s="71">
        <v>0</v>
      </c>
      <c r="L53" s="71">
        <v>0</v>
      </c>
      <c r="M53" s="71">
        <v>17.364999999999998</v>
      </c>
      <c r="N53" s="71">
        <v>3.6969999999999996</v>
      </c>
      <c r="O53" s="71">
        <v>58.688999999999993</v>
      </c>
      <c r="P53" s="71">
        <v>564.78099999999995</v>
      </c>
      <c r="Q53" s="71">
        <v>1146.847</v>
      </c>
      <c r="R53" s="71">
        <v>18381</v>
      </c>
      <c r="S53" s="71">
        <v>1404.6219999999998</v>
      </c>
      <c r="T53" s="71">
        <v>1591.6179999999999</v>
      </c>
    </row>
    <row r="54" spans="1:20">
      <c r="A54" s="71" t="s">
        <v>2309</v>
      </c>
      <c r="B54" s="71" t="s">
        <v>367</v>
      </c>
      <c r="C54" s="71">
        <v>791</v>
      </c>
      <c r="D54" s="71">
        <v>0</v>
      </c>
      <c r="E54" s="71">
        <v>0</v>
      </c>
      <c r="F54" s="71">
        <v>1.4389999999999998</v>
      </c>
      <c r="G54" s="71">
        <v>23.277999999999999</v>
      </c>
      <c r="H54" s="71">
        <v>1.5959999999999999</v>
      </c>
      <c r="I54" s="71">
        <v>0</v>
      </c>
      <c r="J54" s="71">
        <v>4.78</v>
      </c>
      <c r="K54" s="71">
        <v>0</v>
      </c>
      <c r="L54" s="71">
        <v>0</v>
      </c>
      <c r="M54" s="71">
        <v>0.55000000000000004</v>
      </c>
      <c r="N54" s="71">
        <v>0</v>
      </c>
      <c r="O54" s="71">
        <v>0</v>
      </c>
      <c r="P54" s="71">
        <v>15.946</v>
      </c>
      <c r="Q54" s="71">
        <v>49.206999999999994</v>
      </c>
      <c r="R54" s="71">
        <v>383.3</v>
      </c>
      <c r="S54" s="71">
        <v>28.186999999999998</v>
      </c>
      <c r="T54" s="71">
        <v>39.549999999999997</v>
      </c>
    </row>
    <row r="55" spans="1:20">
      <c r="A55" s="71" t="s">
        <v>2384</v>
      </c>
      <c r="B55" s="71" t="s">
        <v>376</v>
      </c>
      <c r="C55" s="71">
        <v>1163.6849999999999</v>
      </c>
      <c r="D55" s="71">
        <v>2.3999999999999997E-2</v>
      </c>
      <c r="E55" s="71">
        <v>0</v>
      </c>
      <c r="F55" s="71">
        <v>0.72299999999999998</v>
      </c>
      <c r="G55" s="71">
        <v>36.893999999999998</v>
      </c>
      <c r="H55" s="71">
        <v>1.615</v>
      </c>
      <c r="I55" s="71">
        <v>0</v>
      </c>
      <c r="J55" s="71">
        <v>8.2349999999999994</v>
      </c>
      <c r="K55" s="71">
        <v>0</v>
      </c>
      <c r="L55" s="71">
        <v>0</v>
      </c>
      <c r="M55" s="71">
        <v>0</v>
      </c>
      <c r="N55" s="71">
        <v>0</v>
      </c>
      <c r="O55" s="71">
        <v>0</v>
      </c>
      <c r="P55" s="71">
        <v>21.055</v>
      </c>
      <c r="Q55" s="71">
        <v>66.831999999999994</v>
      </c>
      <c r="R55" s="71">
        <v>297</v>
      </c>
      <c r="S55" s="71">
        <v>56.015999999999998</v>
      </c>
      <c r="T55" s="71">
        <v>58.183999999999997</v>
      </c>
    </row>
    <row r="56" spans="1:20">
      <c r="A56" s="71" t="s">
        <v>2411</v>
      </c>
      <c r="B56" s="71" t="s">
        <v>5364</v>
      </c>
      <c r="C56" s="71">
        <v>7586.1879999999992</v>
      </c>
      <c r="D56" s="71">
        <v>2.2569999999999997</v>
      </c>
      <c r="E56" s="71">
        <v>0.66</v>
      </c>
      <c r="F56" s="71">
        <v>12.058999999999999</v>
      </c>
      <c r="G56" s="71">
        <v>429.97899999999998</v>
      </c>
      <c r="H56" s="71">
        <v>79.275000000000006</v>
      </c>
      <c r="I56" s="71">
        <v>0</v>
      </c>
      <c r="J56" s="71">
        <v>7.5999999999999998E-2</v>
      </c>
      <c r="K56" s="71">
        <v>0</v>
      </c>
      <c r="L56" s="71">
        <v>0</v>
      </c>
      <c r="M56" s="71">
        <v>21.850999999999999</v>
      </c>
      <c r="N56" s="71">
        <v>0</v>
      </c>
      <c r="O56" s="71">
        <v>0.104</v>
      </c>
      <c r="P56" s="71">
        <v>25.171999999999997</v>
      </c>
      <c r="Q56" s="71">
        <v>334.74</v>
      </c>
      <c r="R56" s="71">
        <v>4859</v>
      </c>
      <c r="S56" s="71">
        <v>481.11399999999998</v>
      </c>
      <c r="T56" s="71">
        <v>379.30899999999997</v>
      </c>
    </row>
    <row r="57" spans="1:20">
      <c r="A57" s="71" t="s">
        <v>2416</v>
      </c>
      <c r="B57" s="71" t="s">
        <v>5369</v>
      </c>
      <c r="C57" s="71">
        <v>1166.7079999999999</v>
      </c>
      <c r="D57" s="71">
        <v>2.3999999999999997E-2</v>
      </c>
      <c r="E57" s="71">
        <v>0</v>
      </c>
      <c r="F57" s="71">
        <v>1.1709999999999998</v>
      </c>
      <c r="G57" s="71">
        <v>48.785999999999994</v>
      </c>
      <c r="H57" s="71">
        <v>8.0919999999999987</v>
      </c>
      <c r="I57" s="71">
        <v>0</v>
      </c>
      <c r="J57" s="71">
        <v>0.6379999999999999</v>
      </c>
      <c r="K57" s="71">
        <v>0</v>
      </c>
      <c r="L57" s="71">
        <v>0</v>
      </c>
      <c r="M57" s="71">
        <v>4.0319999999999991</v>
      </c>
      <c r="N57" s="71">
        <v>0</v>
      </c>
      <c r="O57" s="71">
        <v>0</v>
      </c>
      <c r="P57" s="71">
        <v>60.541999999999994</v>
      </c>
      <c r="Q57" s="71">
        <v>63.852999999999994</v>
      </c>
      <c r="R57" s="71">
        <v>485.3</v>
      </c>
      <c r="S57" s="71">
        <v>14.195</v>
      </c>
      <c r="T57" s="71">
        <v>58.335000000000001</v>
      </c>
    </row>
    <row r="58" spans="1:20">
      <c r="A58" s="71" t="s">
        <v>1254</v>
      </c>
      <c r="B58" s="71" t="s">
        <v>7192</v>
      </c>
      <c r="C58" s="71">
        <v>283.74699999999996</v>
      </c>
      <c r="D58" s="71">
        <v>0</v>
      </c>
      <c r="E58" s="71">
        <v>0</v>
      </c>
      <c r="F58" s="71">
        <v>0.15</v>
      </c>
      <c r="G58" s="71">
        <v>8.9450000000000003</v>
      </c>
      <c r="H58" s="71">
        <v>1.6159999999999999</v>
      </c>
      <c r="I58" s="71">
        <v>0</v>
      </c>
      <c r="J58" s="71">
        <v>0</v>
      </c>
      <c r="K58" s="71">
        <v>0</v>
      </c>
      <c r="L58" s="71">
        <v>0</v>
      </c>
      <c r="M58" s="71">
        <v>0</v>
      </c>
      <c r="N58" s="71">
        <v>2.5919999999999996</v>
      </c>
      <c r="O58" s="71">
        <v>0</v>
      </c>
      <c r="P58" s="71">
        <v>0</v>
      </c>
      <c r="Q58" s="71">
        <v>31.305</v>
      </c>
      <c r="R58" s="71">
        <v>228.3</v>
      </c>
      <c r="S58" s="71">
        <v>3.4929999999999999</v>
      </c>
      <c r="T58" s="71">
        <v>0</v>
      </c>
    </row>
    <row r="59" spans="1:20">
      <c r="A59" s="71" t="s">
        <v>7193</v>
      </c>
      <c r="B59" s="71" t="s">
        <v>7194</v>
      </c>
      <c r="C59" s="71">
        <v>371.053</v>
      </c>
      <c r="D59" s="71">
        <v>0</v>
      </c>
      <c r="E59" s="71">
        <v>0</v>
      </c>
      <c r="F59" s="71">
        <v>1.7999999999999999E-2</v>
      </c>
      <c r="G59" s="71">
        <v>2.0139999999999998</v>
      </c>
      <c r="H59" s="71">
        <v>2.3109999999999999</v>
      </c>
      <c r="I59" s="71">
        <v>0</v>
      </c>
      <c r="J59" s="71">
        <v>0</v>
      </c>
      <c r="K59" s="71">
        <v>0</v>
      </c>
      <c r="L59" s="71">
        <v>0</v>
      </c>
      <c r="M59" s="71">
        <v>0</v>
      </c>
      <c r="N59" s="71">
        <v>0</v>
      </c>
      <c r="O59" s="71">
        <v>0</v>
      </c>
      <c r="P59" s="71">
        <v>0</v>
      </c>
      <c r="Q59" s="71">
        <v>12.571</v>
      </c>
      <c r="R59" s="71">
        <v>310.8</v>
      </c>
      <c r="S59" s="71">
        <v>5.1789999999999994</v>
      </c>
      <c r="T59" s="71">
        <v>0</v>
      </c>
    </row>
    <row r="60" spans="1:20">
      <c r="A60" s="71" t="s">
        <v>7195</v>
      </c>
      <c r="B60" s="71" t="s">
        <v>7196</v>
      </c>
      <c r="C60" s="71">
        <v>254.09299999999999</v>
      </c>
      <c r="D60" s="71">
        <v>0</v>
      </c>
      <c r="E60" s="71">
        <v>0</v>
      </c>
      <c r="F60" s="71">
        <v>0.17</v>
      </c>
      <c r="G60" s="71">
        <v>0</v>
      </c>
      <c r="H60" s="71">
        <v>0</v>
      </c>
      <c r="I60" s="71">
        <v>0</v>
      </c>
      <c r="J60" s="71">
        <v>0</v>
      </c>
      <c r="K60" s="71">
        <v>0</v>
      </c>
      <c r="L60" s="71">
        <v>0</v>
      </c>
      <c r="M60" s="71">
        <v>0</v>
      </c>
      <c r="N60" s="71">
        <v>0</v>
      </c>
      <c r="O60" s="71">
        <v>0</v>
      </c>
      <c r="P60" s="71">
        <v>0</v>
      </c>
      <c r="Q60" s="71">
        <v>0</v>
      </c>
      <c r="R60" s="71">
        <v>213.2</v>
      </c>
      <c r="S60" s="71">
        <v>46.725000000000001</v>
      </c>
      <c r="T60" s="71">
        <v>0</v>
      </c>
    </row>
    <row r="61" spans="1:20">
      <c r="A61" s="71" t="s">
        <v>7197</v>
      </c>
      <c r="B61" s="71" t="s">
        <v>7198</v>
      </c>
      <c r="C61" s="71">
        <v>579.15099999999995</v>
      </c>
      <c r="D61" s="71">
        <v>0</v>
      </c>
      <c r="E61" s="71">
        <v>0</v>
      </c>
      <c r="F61" s="71">
        <v>1.2759999999999998</v>
      </c>
      <c r="G61" s="71">
        <v>13.115</v>
      </c>
      <c r="H61" s="71">
        <v>3.9779999999999998</v>
      </c>
      <c r="I61" s="71">
        <v>0</v>
      </c>
      <c r="J61" s="71">
        <v>0</v>
      </c>
      <c r="K61" s="71">
        <v>0</v>
      </c>
      <c r="L61" s="71">
        <v>0</v>
      </c>
      <c r="M61" s="71">
        <v>0</v>
      </c>
      <c r="N61" s="71">
        <v>0</v>
      </c>
      <c r="O61" s="71">
        <v>0</v>
      </c>
      <c r="P61" s="71">
        <v>0</v>
      </c>
      <c r="Q61" s="71">
        <v>0</v>
      </c>
      <c r="R61" s="71">
        <v>510.2</v>
      </c>
      <c r="S61" s="71">
        <v>51.534999999999997</v>
      </c>
      <c r="T61" s="71">
        <v>0</v>
      </c>
    </row>
    <row r="62" spans="1:20">
      <c r="A62" s="71" t="s">
        <v>1256</v>
      </c>
      <c r="B62" s="71" t="s">
        <v>7199</v>
      </c>
      <c r="C62" s="71">
        <v>1617.6019999999999</v>
      </c>
      <c r="D62" s="71">
        <v>2.5999999999999999E-2</v>
      </c>
      <c r="E62" s="71">
        <v>0</v>
      </c>
      <c r="F62" s="71">
        <v>1.8829999999999998</v>
      </c>
      <c r="G62" s="71">
        <v>50.988</v>
      </c>
      <c r="H62" s="71">
        <v>10.463999999999999</v>
      </c>
      <c r="I62" s="71">
        <v>0</v>
      </c>
      <c r="J62" s="71">
        <v>0</v>
      </c>
      <c r="K62" s="71">
        <v>0</v>
      </c>
      <c r="L62" s="71">
        <v>0</v>
      </c>
      <c r="M62" s="71">
        <v>0</v>
      </c>
      <c r="N62" s="71">
        <v>0.17399999999999999</v>
      </c>
      <c r="O62" s="71">
        <v>0</v>
      </c>
      <c r="P62" s="71">
        <v>0</v>
      </c>
      <c r="Q62" s="71">
        <v>80.317999999999998</v>
      </c>
      <c r="R62" s="71">
        <v>1251.3</v>
      </c>
      <c r="S62" s="71">
        <v>69.69</v>
      </c>
      <c r="T62" s="71">
        <v>0</v>
      </c>
    </row>
    <row r="63" spans="1:20">
      <c r="A63" s="71" t="s">
        <v>7200</v>
      </c>
      <c r="B63" s="71" t="s">
        <v>7201</v>
      </c>
      <c r="C63" s="71">
        <v>926.11500000000001</v>
      </c>
      <c r="D63" s="71">
        <v>7.6999999999999999E-2</v>
      </c>
      <c r="E63" s="71">
        <v>0</v>
      </c>
      <c r="F63" s="71">
        <v>0</v>
      </c>
      <c r="G63" s="71">
        <v>8.8519999999999985</v>
      </c>
      <c r="H63" s="71">
        <v>1.607</v>
      </c>
      <c r="I63" s="71">
        <v>0</v>
      </c>
      <c r="J63" s="71">
        <v>0</v>
      </c>
      <c r="K63" s="71">
        <v>0</v>
      </c>
      <c r="L63" s="71">
        <v>0</v>
      </c>
      <c r="M63" s="71">
        <v>0</v>
      </c>
      <c r="N63" s="71">
        <v>5.3789999999999996</v>
      </c>
      <c r="O63" s="71">
        <v>0</v>
      </c>
      <c r="P63" s="71">
        <v>0</v>
      </c>
      <c r="Q63" s="71">
        <v>29.148</v>
      </c>
      <c r="R63" s="71">
        <v>391.3</v>
      </c>
      <c r="S63" s="71">
        <v>9.8389999999999986</v>
      </c>
      <c r="T63" s="71">
        <v>46.308</v>
      </c>
    </row>
    <row r="64" spans="1:20">
      <c r="A64" s="71" t="s">
        <v>7202</v>
      </c>
      <c r="B64" s="71" t="s">
        <v>7203</v>
      </c>
      <c r="C64" s="71">
        <v>255.13499999999999</v>
      </c>
      <c r="D64" s="71">
        <v>3.2999999999999995E-2</v>
      </c>
      <c r="E64" s="71">
        <v>0</v>
      </c>
      <c r="F64" s="71">
        <v>0.42699999999999999</v>
      </c>
      <c r="G64" s="71">
        <v>0.08</v>
      </c>
      <c r="H64" s="71">
        <v>2.8609999999999998</v>
      </c>
      <c r="I64" s="71">
        <v>0</v>
      </c>
      <c r="J64" s="71">
        <v>0</v>
      </c>
      <c r="K64" s="71">
        <v>0</v>
      </c>
      <c r="L64" s="71">
        <v>0</v>
      </c>
      <c r="M64" s="71">
        <v>8.3789999999999996</v>
      </c>
      <c r="N64" s="71">
        <v>0.09</v>
      </c>
      <c r="O64" s="71">
        <v>151.77000000000001</v>
      </c>
      <c r="P64" s="71">
        <v>0</v>
      </c>
      <c r="Q64" s="71">
        <v>3.5909999999999997</v>
      </c>
      <c r="R64" s="71">
        <v>375</v>
      </c>
      <c r="S64" s="71">
        <v>8.702</v>
      </c>
      <c r="T64" s="71">
        <v>0</v>
      </c>
    </row>
    <row r="65" spans="1:20">
      <c r="A65" s="71" t="s">
        <v>7204</v>
      </c>
      <c r="B65" s="71" t="s">
        <v>7205</v>
      </c>
      <c r="C65" s="71">
        <v>364.36</v>
      </c>
      <c r="D65" s="71">
        <v>0</v>
      </c>
      <c r="E65" s="71">
        <v>0</v>
      </c>
      <c r="F65" s="71">
        <v>7.4999999999999997E-2</v>
      </c>
      <c r="G65" s="71">
        <v>8.6889999999999983</v>
      </c>
      <c r="H65" s="71">
        <v>1.3559999999999999</v>
      </c>
      <c r="I65" s="71">
        <v>0</v>
      </c>
      <c r="J65" s="71">
        <v>0</v>
      </c>
      <c r="K65" s="71">
        <v>0</v>
      </c>
      <c r="L65" s="71">
        <v>0</v>
      </c>
      <c r="M65" s="71">
        <v>0</v>
      </c>
      <c r="N65" s="71">
        <v>0</v>
      </c>
      <c r="O65" s="71">
        <v>0</v>
      </c>
      <c r="P65" s="71">
        <v>0</v>
      </c>
      <c r="Q65" s="71">
        <v>0</v>
      </c>
      <c r="R65" s="71">
        <v>495.8</v>
      </c>
      <c r="S65" s="71">
        <v>31.526</v>
      </c>
      <c r="T65" s="71">
        <v>0</v>
      </c>
    </row>
    <row r="66" spans="1:20">
      <c r="A66" s="71" t="s">
        <v>7206</v>
      </c>
      <c r="B66" s="71" t="s">
        <v>7207</v>
      </c>
      <c r="C66" s="71">
        <v>50.200999999999993</v>
      </c>
      <c r="D66" s="71">
        <v>0</v>
      </c>
      <c r="E66" s="71">
        <v>0</v>
      </c>
      <c r="F66" s="71">
        <v>0</v>
      </c>
      <c r="G66" s="71">
        <v>0</v>
      </c>
      <c r="H66" s="71">
        <v>0</v>
      </c>
      <c r="I66" s="71">
        <v>0</v>
      </c>
      <c r="J66" s="71">
        <v>0</v>
      </c>
      <c r="K66" s="71">
        <v>0</v>
      </c>
      <c r="L66" s="71">
        <v>0</v>
      </c>
      <c r="M66" s="71">
        <v>0</v>
      </c>
      <c r="N66" s="71">
        <v>0.56099999999999994</v>
      </c>
      <c r="O66" s="71">
        <v>0</v>
      </c>
      <c r="P66" s="71">
        <v>0</v>
      </c>
      <c r="Q66" s="71">
        <v>4.5859999999999994</v>
      </c>
      <c r="R66" s="71">
        <v>51</v>
      </c>
      <c r="S66" s="71">
        <v>0</v>
      </c>
      <c r="T66" s="71">
        <v>0</v>
      </c>
    </row>
    <row r="67" spans="1:20">
      <c r="A67" s="71" t="s">
        <v>7208</v>
      </c>
      <c r="B67" s="71" t="s">
        <v>7209</v>
      </c>
      <c r="C67" s="71">
        <v>121.264</v>
      </c>
      <c r="D67" s="71">
        <v>0</v>
      </c>
      <c r="E67" s="71">
        <v>0</v>
      </c>
      <c r="F67" s="71">
        <v>0.14699999999999999</v>
      </c>
      <c r="G67" s="71">
        <v>0.31</v>
      </c>
      <c r="H67" s="71">
        <v>0</v>
      </c>
      <c r="I67" s="71">
        <v>0</v>
      </c>
      <c r="J67" s="71">
        <v>0</v>
      </c>
      <c r="K67" s="71">
        <v>0</v>
      </c>
      <c r="L67" s="71">
        <v>0</v>
      </c>
      <c r="M67" s="71">
        <v>0</v>
      </c>
      <c r="N67" s="71">
        <v>0</v>
      </c>
      <c r="O67" s="71">
        <v>0</v>
      </c>
      <c r="P67" s="71">
        <v>0</v>
      </c>
      <c r="Q67" s="71">
        <v>0</v>
      </c>
      <c r="R67" s="71">
        <v>117.2</v>
      </c>
      <c r="S67" s="71">
        <v>22.377999999999997</v>
      </c>
      <c r="T67" s="71">
        <v>0</v>
      </c>
    </row>
    <row r="68" spans="1:20">
      <c r="A68" s="71" t="s">
        <v>7210</v>
      </c>
      <c r="B68" s="71" t="s">
        <v>7211</v>
      </c>
      <c r="C68" s="71">
        <v>139.74799999999999</v>
      </c>
      <c r="D68" s="71">
        <v>0</v>
      </c>
      <c r="E68" s="71">
        <v>0</v>
      </c>
      <c r="F68" s="71">
        <v>0</v>
      </c>
      <c r="G68" s="71">
        <v>2.2809999999999997</v>
      </c>
      <c r="H68" s="71">
        <v>0</v>
      </c>
      <c r="I68" s="71">
        <v>0</v>
      </c>
      <c r="J68" s="71">
        <v>0</v>
      </c>
      <c r="K68" s="71">
        <v>0</v>
      </c>
      <c r="L68" s="71">
        <v>0</v>
      </c>
      <c r="M68" s="71">
        <v>1.4059999999999999</v>
      </c>
      <c r="N68" s="71">
        <v>0.16699999999999998</v>
      </c>
      <c r="O68" s="71">
        <v>5.0339999999999998</v>
      </c>
      <c r="P68" s="71">
        <v>0</v>
      </c>
      <c r="Q68" s="71">
        <v>11.757999999999999</v>
      </c>
      <c r="R68" s="71">
        <v>174.8</v>
      </c>
      <c r="S68" s="71">
        <v>0.15699999999999997</v>
      </c>
      <c r="T68" s="71">
        <v>0</v>
      </c>
    </row>
    <row r="69" spans="1:20">
      <c r="A69" s="71" t="s">
        <v>7212</v>
      </c>
      <c r="B69" s="71" t="s">
        <v>7213</v>
      </c>
      <c r="C69" s="71">
        <v>15.327</v>
      </c>
      <c r="D69" s="71">
        <v>0</v>
      </c>
      <c r="E69" s="71">
        <v>0</v>
      </c>
      <c r="F69" s="71">
        <v>2.7999999999999997E-2</v>
      </c>
      <c r="G69" s="71">
        <v>0</v>
      </c>
      <c r="H69" s="71">
        <v>0</v>
      </c>
      <c r="I69" s="71">
        <v>0</v>
      </c>
      <c r="J69" s="71">
        <v>0</v>
      </c>
      <c r="K69" s="71">
        <v>0</v>
      </c>
      <c r="L69" s="71">
        <v>0</v>
      </c>
      <c r="M69" s="71">
        <v>0</v>
      </c>
      <c r="N69" s="71">
        <v>0</v>
      </c>
      <c r="O69" s="71">
        <v>0</v>
      </c>
      <c r="P69" s="71">
        <v>0</v>
      </c>
      <c r="Q69" s="71">
        <v>0</v>
      </c>
      <c r="R69" s="71">
        <v>7.5</v>
      </c>
      <c r="S69" s="71">
        <v>0</v>
      </c>
      <c r="T69" s="71">
        <v>0</v>
      </c>
    </row>
    <row r="70" spans="1:20">
      <c r="A70" s="71" t="s">
        <v>7214</v>
      </c>
      <c r="B70" s="71" t="s">
        <v>7215</v>
      </c>
      <c r="C70" s="71">
        <v>163.75099999999998</v>
      </c>
      <c r="D70" s="71">
        <v>0</v>
      </c>
      <c r="E70" s="71">
        <v>0</v>
      </c>
      <c r="F70" s="71">
        <v>0</v>
      </c>
      <c r="G70" s="71">
        <v>0</v>
      </c>
      <c r="H70" s="71">
        <v>0</v>
      </c>
      <c r="I70" s="71">
        <v>0</v>
      </c>
      <c r="J70" s="71">
        <v>0</v>
      </c>
      <c r="K70" s="71">
        <v>0</v>
      </c>
      <c r="L70" s="71">
        <v>0</v>
      </c>
      <c r="M70" s="71">
        <v>0</v>
      </c>
      <c r="N70" s="71">
        <v>1.2969999999999999</v>
      </c>
      <c r="O70" s="71">
        <v>0</v>
      </c>
      <c r="P70" s="71">
        <v>0</v>
      </c>
      <c r="Q70" s="71">
        <v>4.0169999999999995</v>
      </c>
      <c r="R70" s="71">
        <v>231.7</v>
      </c>
      <c r="S70" s="71">
        <v>0.32299999999999995</v>
      </c>
      <c r="T70" s="71">
        <v>0</v>
      </c>
    </row>
    <row r="71" spans="1:20">
      <c r="A71" s="71" t="s">
        <v>7216</v>
      </c>
      <c r="B71" s="71" t="s">
        <v>7217</v>
      </c>
      <c r="C71" s="71">
        <v>348.76899999999995</v>
      </c>
      <c r="D71" s="71">
        <v>0</v>
      </c>
      <c r="E71" s="71">
        <v>0</v>
      </c>
      <c r="F71" s="71">
        <v>0.41599999999999998</v>
      </c>
      <c r="G71" s="71">
        <v>11.863</v>
      </c>
      <c r="H71" s="71">
        <v>0.15699999999999997</v>
      </c>
      <c r="I71" s="71">
        <v>0</v>
      </c>
      <c r="J71" s="71">
        <v>0</v>
      </c>
      <c r="K71" s="71">
        <v>0</v>
      </c>
      <c r="L71" s="71">
        <v>0</v>
      </c>
      <c r="M71" s="71">
        <v>0</v>
      </c>
      <c r="N71" s="71">
        <v>0.373</v>
      </c>
      <c r="O71" s="71">
        <v>0</v>
      </c>
      <c r="P71" s="71">
        <v>0</v>
      </c>
      <c r="Q71" s="71">
        <v>3.2250000000000001</v>
      </c>
      <c r="R71" s="71">
        <v>311.3</v>
      </c>
      <c r="S71" s="71">
        <v>6.0650000000000004</v>
      </c>
      <c r="T71" s="71">
        <v>0</v>
      </c>
    </row>
    <row r="72" spans="1:20">
      <c r="A72" s="71" t="s">
        <v>7218</v>
      </c>
      <c r="B72" s="71" t="s">
        <v>7219</v>
      </c>
      <c r="C72" s="71">
        <v>140.976</v>
      </c>
      <c r="D72" s="71">
        <v>0.13899999999999998</v>
      </c>
      <c r="E72" s="71">
        <v>0</v>
      </c>
      <c r="F72" s="71">
        <v>8.9999999999999993E-3</v>
      </c>
      <c r="G72" s="71">
        <v>6.6409999999999991</v>
      </c>
      <c r="H72" s="71">
        <v>0</v>
      </c>
      <c r="I72" s="71">
        <v>0</v>
      </c>
      <c r="J72" s="71">
        <v>0</v>
      </c>
      <c r="K72" s="71">
        <v>0</v>
      </c>
      <c r="L72" s="71">
        <v>0</v>
      </c>
      <c r="M72" s="71">
        <v>0</v>
      </c>
      <c r="N72" s="71">
        <v>0.47799999999999998</v>
      </c>
      <c r="O72" s="71">
        <v>0</v>
      </c>
      <c r="P72" s="71">
        <v>0</v>
      </c>
      <c r="Q72" s="71">
        <v>77.546999999999997</v>
      </c>
      <c r="R72" s="71">
        <v>187</v>
      </c>
      <c r="S72" s="71">
        <v>2.2779999999999996</v>
      </c>
      <c r="T72" s="71">
        <v>0</v>
      </c>
    </row>
    <row r="73" spans="1:20">
      <c r="A73" s="71" t="s">
        <v>7220</v>
      </c>
      <c r="B73" s="71" t="s">
        <v>7221</v>
      </c>
      <c r="C73" s="71">
        <v>321.33699999999999</v>
      </c>
      <c r="D73" s="71">
        <v>5.5999999999999994E-2</v>
      </c>
      <c r="E73" s="71">
        <v>0</v>
      </c>
      <c r="F73" s="71">
        <v>0</v>
      </c>
      <c r="G73" s="71">
        <v>9.7899999999999991</v>
      </c>
      <c r="H73" s="71">
        <v>4.3659999999999997</v>
      </c>
      <c r="I73" s="71">
        <v>0</v>
      </c>
      <c r="J73" s="71">
        <v>0</v>
      </c>
      <c r="K73" s="71">
        <v>0</v>
      </c>
      <c r="L73" s="71">
        <v>0</v>
      </c>
      <c r="M73" s="71">
        <v>0</v>
      </c>
      <c r="N73" s="71">
        <v>1.8459999999999999</v>
      </c>
      <c r="O73" s="71">
        <v>0</v>
      </c>
      <c r="P73" s="71">
        <v>0</v>
      </c>
      <c r="Q73" s="71">
        <v>11.375</v>
      </c>
      <c r="R73" s="71">
        <v>285.5</v>
      </c>
      <c r="S73" s="71">
        <v>7.4550000000000001</v>
      </c>
      <c r="T73" s="71">
        <v>0</v>
      </c>
    </row>
    <row r="74" spans="1:20">
      <c r="A74" s="71" t="s">
        <v>1258</v>
      </c>
      <c r="B74" s="71" t="s">
        <v>7222</v>
      </c>
      <c r="C74" s="71">
        <v>112.866</v>
      </c>
      <c r="D74" s="71">
        <v>0</v>
      </c>
      <c r="E74" s="71">
        <v>0</v>
      </c>
      <c r="F74" s="71">
        <v>0</v>
      </c>
      <c r="G74" s="71">
        <v>1.4119999999999999</v>
      </c>
      <c r="H74" s="71">
        <v>0</v>
      </c>
      <c r="I74" s="71">
        <v>0</v>
      </c>
      <c r="J74" s="71">
        <v>0</v>
      </c>
      <c r="K74" s="71">
        <v>0</v>
      </c>
      <c r="L74" s="71">
        <v>0</v>
      </c>
      <c r="M74" s="71">
        <v>0</v>
      </c>
      <c r="N74" s="71">
        <v>0</v>
      </c>
      <c r="O74" s="71">
        <v>0</v>
      </c>
      <c r="P74" s="71">
        <v>0</v>
      </c>
      <c r="Q74" s="71">
        <v>0</v>
      </c>
      <c r="R74" s="71">
        <v>107.5</v>
      </c>
      <c r="S74" s="71">
        <v>43.8</v>
      </c>
      <c r="T74" s="71">
        <v>0</v>
      </c>
    </row>
    <row r="75" spans="1:20">
      <c r="A75" s="71" t="s">
        <v>7223</v>
      </c>
      <c r="B75" s="71" t="s">
        <v>7224</v>
      </c>
      <c r="C75" s="71">
        <v>689.36500000000001</v>
      </c>
      <c r="D75" s="71">
        <v>0</v>
      </c>
      <c r="E75" s="71">
        <v>0</v>
      </c>
      <c r="F75" s="71">
        <v>0.57099999999999995</v>
      </c>
      <c r="G75" s="71">
        <v>4.1979999999999995</v>
      </c>
      <c r="H75" s="71">
        <v>0</v>
      </c>
      <c r="I75" s="71">
        <v>0</v>
      </c>
      <c r="J75" s="71">
        <v>0</v>
      </c>
      <c r="K75" s="71">
        <v>0</v>
      </c>
      <c r="L75" s="71">
        <v>0</v>
      </c>
      <c r="M75" s="71">
        <v>0</v>
      </c>
      <c r="N75" s="71">
        <v>0</v>
      </c>
      <c r="O75" s="71">
        <v>0</v>
      </c>
      <c r="P75" s="71">
        <v>0</v>
      </c>
      <c r="Q75" s="71">
        <v>7.4209999999999994</v>
      </c>
      <c r="R75" s="71">
        <v>364.7</v>
      </c>
      <c r="S75" s="71">
        <v>24.748999999999999</v>
      </c>
      <c r="T75" s="71">
        <v>0</v>
      </c>
    </row>
    <row r="76" spans="1:20">
      <c r="A76" s="71" t="s">
        <v>7225</v>
      </c>
      <c r="B76" s="71" t="s">
        <v>7226</v>
      </c>
      <c r="C76" s="71">
        <v>195.7</v>
      </c>
      <c r="D76" s="71">
        <v>0.41299999999999998</v>
      </c>
      <c r="E76" s="71">
        <v>0</v>
      </c>
      <c r="F76" s="71">
        <v>3.1999999999999994E-2</v>
      </c>
      <c r="G76" s="71">
        <v>8.9289999999999985</v>
      </c>
      <c r="H76" s="71">
        <v>0.36</v>
      </c>
      <c r="I76" s="71">
        <v>0</v>
      </c>
      <c r="J76" s="71">
        <v>0</v>
      </c>
      <c r="K76" s="71">
        <v>0</v>
      </c>
      <c r="L76" s="71">
        <v>0</v>
      </c>
      <c r="M76" s="71">
        <v>0</v>
      </c>
      <c r="N76" s="71">
        <v>1.4589999999999999</v>
      </c>
      <c r="O76" s="71">
        <v>0</v>
      </c>
      <c r="P76" s="71">
        <v>0</v>
      </c>
      <c r="Q76" s="71">
        <v>0</v>
      </c>
      <c r="R76" s="71">
        <v>169.8</v>
      </c>
      <c r="S76" s="71">
        <v>0</v>
      </c>
      <c r="T76" s="71">
        <v>0</v>
      </c>
    </row>
    <row r="77" spans="1:20">
      <c r="A77" s="71" t="s">
        <v>7227</v>
      </c>
      <c r="B77" s="71" t="s">
        <v>7228</v>
      </c>
      <c r="C77" s="71">
        <v>409.315</v>
      </c>
      <c r="D77" s="71">
        <v>0</v>
      </c>
      <c r="E77" s="71">
        <v>0</v>
      </c>
      <c r="F77" s="71">
        <v>0.46</v>
      </c>
      <c r="G77" s="71">
        <v>15.373999999999999</v>
      </c>
      <c r="H77" s="71">
        <v>1.5959999999999999</v>
      </c>
      <c r="I77" s="71">
        <v>0</v>
      </c>
      <c r="J77" s="71">
        <v>0</v>
      </c>
      <c r="K77" s="71">
        <v>0</v>
      </c>
      <c r="L77" s="71">
        <v>0</v>
      </c>
      <c r="M77" s="71">
        <v>0</v>
      </c>
      <c r="N77" s="71">
        <v>0.17099999999999999</v>
      </c>
      <c r="O77" s="71">
        <v>0</v>
      </c>
      <c r="P77" s="71">
        <v>0</v>
      </c>
      <c r="Q77" s="71">
        <v>0</v>
      </c>
      <c r="R77" s="71">
        <v>342.3</v>
      </c>
      <c r="S77" s="71">
        <v>17.588999999999999</v>
      </c>
      <c r="T77" s="71">
        <v>0</v>
      </c>
    </row>
    <row r="78" spans="1:20">
      <c r="A78" s="71" t="s">
        <v>7229</v>
      </c>
      <c r="B78" s="71" t="s">
        <v>7230</v>
      </c>
      <c r="C78" s="71">
        <v>100.625</v>
      </c>
      <c r="D78" s="71">
        <v>0</v>
      </c>
      <c r="E78" s="71">
        <v>0</v>
      </c>
      <c r="F78" s="71">
        <v>0</v>
      </c>
      <c r="G78" s="71">
        <v>4.0559999999999992</v>
      </c>
      <c r="H78" s="71">
        <v>0.6429999999999999</v>
      </c>
      <c r="I78" s="71">
        <v>0</v>
      </c>
      <c r="J78" s="71">
        <v>0</v>
      </c>
      <c r="K78" s="71">
        <v>0</v>
      </c>
      <c r="L78" s="71">
        <v>0</v>
      </c>
      <c r="M78" s="71">
        <v>0</v>
      </c>
      <c r="N78" s="71">
        <v>3.6999999999999998E-2</v>
      </c>
      <c r="O78" s="71">
        <v>0</v>
      </c>
      <c r="P78" s="71">
        <v>0</v>
      </c>
      <c r="Q78" s="71">
        <v>7.9389999999999992</v>
      </c>
      <c r="R78" s="71">
        <v>101.5</v>
      </c>
      <c r="S78" s="71">
        <v>12.258999999999999</v>
      </c>
      <c r="T78" s="71">
        <v>0</v>
      </c>
    </row>
    <row r="79" spans="1:20">
      <c r="A79" s="71" t="s">
        <v>7231</v>
      </c>
      <c r="B79" s="71" t="s">
        <v>7232</v>
      </c>
      <c r="C79" s="71">
        <v>175.32799999999997</v>
      </c>
      <c r="D79" s="71">
        <v>0</v>
      </c>
      <c r="E79" s="71">
        <v>0</v>
      </c>
      <c r="F79" s="71">
        <v>0.41699999999999998</v>
      </c>
      <c r="G79" s="71">
        <v>3.4109999999999996</v>
      </c>
      <c r="H79" s="71">
        <v>0</v>
      </c>
      <c r="I79" s="71">
        <v>0</v>
      </c>
      <c r="J79" s="71">
        <v>0</v>
      </c>
      <c r="K79" s="71">
        <v>0</v>
      </c>
      <c r="L79" s="71">
        <v>0</v>
      </c>
      <c r="M79" s="71">
        <v>0</v>
      </c>
      <c r="N79" s="71">
        <v>0</v>
      </c>
      <c r="O79" s="71">
        <v>0</v>
      </c>
      <c r="P79" s="71">
        <v>0</v>
      </c>
      <c r="Q79" s="71">
        <v>0</v>
      </c>
      <c r="R79" s="71">
        <v>109.3</v>
      </c>
      <c r="S79" s="71">
        <v>13.31</v>
      </c>
      <c r="T79" s="71">
        <v>0</v>
      </c>
    </row>
    <row r="80" spans="1:20">
      <c r="A80" s="71" t="s">
        <v>7233</v>
      </c>
      <c r="B80" s="71" t="s">
        <v>7234</v>
      </c>
      <c r="C80" s="71">
        <v>141.51399999999998</v>
      </c>
      <c r="D80" s="71">
        <v>4.1999999999999996E-2</v>
      </c>
      <c r="E80" s="71">
        <v>0</v>
      </c>
      <c r="F80" s="71">
        <v>8.3999999999999991E-2</v>
      </c>
      <c r="G80" s="71">
        <v>9.3129999999999988</v>
      </c>
      <c r="H80" s="71">
        <v>1.827</v>
      </c>
      <c r="I80" s="71">
        <v>0</v>
      </c>
      <c r="J80" s="71">
        <v>0</v>
      </c>
      <c r="K80" s="71">
        <v>0</v>
      </c>
      <c r="L80" s="71">
        <v>0</v>
      </c>
      <c r="M80" s="71">
        <v>0</v>
      </c>
      <c r="N80" s="71">
        <v>0</v>
      </c>
      <c r="O80" s="71">
        <v>0</v>
      </c>
      <c r="P80" s="71">
        <v>0</v>
      </c>
      <c r="Q80" s="71">
        <v>0</v>
      </c>
      <c r="R80" s="71">
        <v>118.8</v>
      </c>
      <c r="S80" s="71">
        <v>4.4999999999999998E-2</v>
      </c>
      <c r="T80" s="71">
        <v>3.8329999999999997</v>
      </c>
    </row>
    <row r="81" spans="1:20">
      <c r="A81" s="71" t="s">
        <v>7235</v>
      </c>
      <c r="B81" s="71" t="s">
        <v>7236</v>
      </c>
      <c r="C81" s="71">
        <v>225.42599999999999</v>
      </c>
      <c r="D81" s="71">
        <v>0</v>
      </c>
      <c r="E81" s="71">
        <v>0</v>
      </c>
      <c r="F81" s="71">
        <v>8.7999999999999995E-2</v>
      </c>
      <c r="G81" s="71">
        <v>5.2789999999999999</v>
      </c>
      <c r="H81" s="71">
        <v>0</v>
      </c>
      <c r="I81" s="71">
        <v>0</v>
      </c>
      <c r="J81" s="71">
        <v>0</v>
      </c>
      <c r="K81" s="71">
        <v>0</v>
      </c>
      <c r="L81" s="71">
        <v>0</v>
      </c>
      <c r="M81" s="71">
        <v>0</v>
      </c>
      <c r="N81" s="71">
        <v>0</v>
      </c>
      <c r="O81" s="71">
        <v>0</v>
      </c>
      <c r="P81" s="71">
        <v>0</v>
      </c>
      <c r="Q81" s="71">
        <v>0</v>
      </c>
      <c r="R81" s="71">
        <v>175.8</v>
      </c>
      <c r="S81" s="71">
        <v>19.87</v>
      </c>
      <c r="T81" s="71">
        <v>0</v>
      </c>
    </row>
    <row r="82" spans="1:20">
      <c r="A82" s="71" t="s">
        <v>7237</v>
      </c>
      <c r="C82" s="71">
        <v>203.85599999999999</v>
      </c>
      <c r="D82" s="71">
        <v>0</v>
      </c>
      <c r="E82" s="71">
        <v>0</v>
      </c>
      <c r="F82" s="71">
        <v>0</v>
      </c>
      <c r="G82" s="71">
        <v>0.38899999999999996</v>
      </c>
      <c r="H82" s="71">
        <v>0</v>
      </c>
      <c r="I82" s="71">
        <v>0</v>
      </c>
      <c r="J82" s="71">
        <v>0</v>
      </c>
      <c r="K82" s="71">
        <v>0</v>
      </c>
      <c r="L82" s="71">
        <v>0</v>
      </c>
      <c r="M82" s="71">
        <v>0</v>
      </c>
      <c r="N82" s="71">
        <v>0</v>
      </c>
      <c r="O82" s="71">
        <v>0</v>
      </c>
      <c r="P82" s="71">
        <v>0</v>
      </c>
      <c r="Q82" s="71">
        <v>0</v>
      </c>
      <c r="R82" s="71">
        <v>80.7</v>
      </c>
      <c r="S82" s="71">
        <v>0.84699999999999998</v>
      </c>
      <c r="T82" s="71">
        <v>4</v>
      </c>
    </row>
    <row r="83" spans="1:20">
      <c r="A83" s="71" t="s">
        <v>37</v>
      </c>
      <c r="B83" s="71" t="s">
        <v>4109</v>
      </c>
      <c r="C83" s="71">
        <v>4284.0549999999994</v>
      </c>
      <c r="D83" s="71">
        <v>0.58299999999999996</v>
      </c>
      <c r="E83" s="71">
        <v>0</v>
      </c>
      <c r="F83" s="71">
        <v>7.4639999999999995</v>
      </c>
      <c r="G83" s="71">
        <v>54.042999999999999</v>
      </c>
      <c r="H83" s="71">
        <v>20.882999999999999</v>
      </c>
      <c r="I83" s="71">
        <v>0</v>
      </c>
      <c r="J83" s="71">
        <v>4.1219999999999999</v>
      </c>
      <c r="K83" s="71">
        <v>0</v>
      </c>
      <c r="L83" s="71">
        <v>0.99</v>
      </c>
      <c r="M83" s="71">
        <v>7.6129999999999995</v>
      </c>
      <c r="N83" s="71">
        <v>7.8999999999999987E-2</v>
      </c>
      <c r="O83" s="71">
        <v>0.85199999999999998</v>
      </c>
      <c r="P83" s="71">
        <v>75.287999999999997</v>
      </c>
      <c r="Q83" s="71">
        <v>32.500999999999998</v>
      </c>
      <c r="R83" s="71">
        <v>845.3</v>
      </c>
      <c r="S83" s="71">
        <v>188.93599999999998</v>
      </c>
      <c r="T83" s="71">
        <v>214.20274999999995</v>
      </c>
    </row>
    <row r="84" spans="1:20">
      <c r="A84" s="71" t="s">
        <v>1860</v>
      </c>
      <c r="B84" s="71" t="s">
        <v>3918</v>
      </c>
      <c r="C84" s="71">
        <v>13135.353999999999</v>
      </c>
      <c r="D84" s="71">
        <v>0.82099999999999995</v>
      </c>
      <c r="E84" s="71">
        <v>0</v>
      </c>
      <c r="F84" s="71">
        <v>22.962999999999997</v>
      </c>
      <c r="G84" s="71">
        <v>287.14099999999996</v>
      </c>
      <c r="H84" s="71">
        <v>123.738</v>
      </c>
      <c r="I84" s="71">
        <v>0</v>
      </c>
      <c r="J84" s="71">
        <v>19.387999999999998</v>
      </c>
      <c r="K84" s="71">
        <v>0</v>
      </c>
      <c r="L84" s="71">
        <v>0</v>
      </c>
      <c r="M84" s="71">
        <v>7.726</v>
      </c>
      <c r="N84" s="71">
        <v>9.3509999999999991</v>
      </c>
      <c r="O84" s="71">
        <v>40.128999999999998</v>
      </c>
      <c r="P84" s="71">
        <v>444.28599999999994</v>
      </c>
      <c r="Q84" s="71">
        <v>468.68699999999995</v>
      </c>
      <c r="R84" s="71">
        <v>12168.8</v>
      </c>
      <c r="S84" s="71">
        <v>1524.3589999999999</v>
      </c>
      <c r="T84" s="71">
        <v>656.76769999999988</v>
      </c>
    </row>
    <row r="85" spans="1:20">
      <c r="A85" s="71" t="s">
        <v>1520</v>
      </c>
      <c r="B85" s="71" t="s">
        <v>1926</v>
      </c>
      <c r="C85" s="71">
        <v>10946.232999999998</v>
      </c>
      <c r="D85" s="71">
        <v>1.5259999999999998</v>
      </c>
      <c r="E85" s="71">
        <v>0</v>
      </c>
      <c r="F85" s="71">
        <v>22.396999999999998</v>
      </c>
      <c r="G85" s="71">
        <v>293.81399999999996</v>
      </c>
      <c r="H85" s="71">
        <v>72.572999999999993</v>
      </c>
      <c r="I85" s="71">
        <v>0</v>
      </c>
      <c r="J85" s="71">
        <v>0</v>
      </c>
      <c r="K85" s="71">
        <v>0</v>
      </c>
      <c r="L85" s="71">
        <v>0</v>
      </c>
      <c r="M85" s="71">
        <v>1.0019999999999998</v>
      </c>
      <c r="N85" s="71">
        <v>10.365</v>
      </c>
      <c r="O85" s="71">
        <v>0</v>
      </c>
      <c r="P85" s="71">
        <v>476.58</v>
      </c>
      <c r="Q85" s="71">
        <v>371.55899999999997</v>
      </c>
      <c r="R85" s="71">
        <v>11364.7</v>
      </c>
      <c r="S85" s="71">
        <v>1967.0229999999999</v>
      </c>
      <c r="T85" s="71">
        <v>547.31164999999987</v>
      </c>
    </row>
    <row r="86" spans="1:20">
      <c r="A86" s="71" t="s">
        <v>39</v>
      </c>
      <c r="B86" s="71" t="s">
        <v>4110</v>
      </c>
      <c r="C86" s="71">
        <v>1014.1819999999999</v>
      </c>
      <c r="D86" s="71">
        <v>0</v>
      </c>
      <c r="E86" s="71">
        <v>0</v>
      </c>
      <c r="F86" s="71">
        <v>2.4869999999999997</v>
      </c>
      <c r="G86" s="71">
        <v>32.020000000000003</v>
      </c>
      <c r="H86" s="71">
        <v>1.0979999999999999</v>
      </c>
      <c r="I86" s="71">
        <v>0</v>
      </c>
      <c r="J86" s="71">
        <v>3.9550000000000001</v>
      </c>
      <c r="K86" s="71">
        <v>0</v>
      </c>
      <c r="L86" s="71">
        <v>0.98099999999999998</v>
      </c>
      <c r="M86" s="71">
        <v>0</v>
      </c>
      <c r="N86" s="71">
        <v>0</v>
      </c>
      <c r="O86" s="71">
        <v>0</v>
      </c>
      <c r="P86" s="71">
        <v>16.780999999999999</v>
      </c>
      <c r="Q86" s="71">
        <v>10.486999999999998</v>
      </c>
      <c r="R86" s="71">
        <v>183.8</v>
      </c>
      <c r="S86" s="71">
        <v>2.0339999999999998</v>
      </c>
      <c r="T86" s="71">
        <v>50.708999999999996</v>
      </c>
    </row>
    <row r="87" spans="1:20">
      <c r="A87" s="71" t="s">
        <v>2386</v>
      </c>
      <c r="B87" s="71" t="s">
        <v>379</v>
      </c>
      <c r="C87" s="71">
        <v>50958.123999999996</v>
      </c>
      <c r="D87" s="71">
        <v>3.46</v>
      </c>
      <c r="E87" s="71">
        <v>13.145999999999999</v>
      </c>
      <c r="F87" s="71">
        <v>101.279</v>
      </c>
      <c r="G87" s="71">
        <v>1031.21</v>
      </c>
      <c r="H87" s="71">
        <v>445.74</v>
      </c>
      <c r="I87" s="71">
        <v>0</v>
      </c>
      <c r="J87" s="71">
        <v>31.21</v>
      </c>
      <c r="K87" s="71">
        <v>0</v>
      </c>
      <c r="L87" s="71">
        <v>0</v>
      </c>
      <c r="M87" s="71">
        <v>71.603999999999999</v>
      </c>
      <c r="N87" s="71">
        <v>43.44</v>
      </c>
      <c r="O87" s="71">
        <v>84.005999999999986</v>
      </c>
      <c r="P87" s="71">
        <v>1746.001</v>
      </c>
      <c r="Q87" s="71">
        <v>1881.2479999999998</v>
      </c>
      <c r="R87" s="71">
        <v>49561.8</v>
      </c>
      <c r="S87" s="71">
        <v>7436.7829999999994</v>
      </c>
      <c r="T87" s="71">
        <v>2547.9059999999999</v>
      </c>
    </row>
    <row r="88" spans="1:20">
      <c r="A88" s="71" t="s">
        <v>2403</v>
      </c>
      <c r="B88" s="71" t="s">
        <v>2347</v>
      </c>
      <c r="C88" s="71">
        <v>8813.8839999999982</v>
      </c>
      <c r="D88" s="71">
        <v>0.29099999999999998</v>
      </c>
      <c r="E88" s="71">
        <v>0</v>
      </c>
      <c r="F88" s="71">
        <v>13.736999999999998</v>
      </c>
      <c r="G88" s="71">
        <v>213.43099999999998</v>
      </c>
      <c r="H88" s="71">
        <v>55.781999999999996</v>
      </c>
      <c r="I88" s="71">
        <v>0</v>
      </c>
      <c r="J88" s="71">
        <v>0</v>
      </c>
      <c r="K88" s="71">
        <v>0</v>
      </c>
      <c r="L88" s="71">
        <v>0</v>
      </c>
      <c r="M88" s="71">
        <v>37.067999999999998</v>
      </c>
      <c r="N88" s="71">
        <v>3.8859999999999997</v>
      </c>
      <c r="O88" s="71">
        <v>0</v>
      </c>
      <c r="P88" s="71">
        <v>122.848</v>
      </c>
      <c r="Q88" s="71">
        <v>291.81399999999996</v>
      </c>
      <c r="R88" s="71">
        <v>9068.7000000000007</v>
      </c>
      <c r="S88" s="71">
        <v>1417.4</v>
      </c>
      <c r="T88" s="71">
        <v>440.69399999999996</v>
      </c>
    </row>
    <row r="89" spans="1:20">
      <c r="A89" s="71" t="s">
        <v>2402</v>
      </c>
      <c r="B89" s="71" t="s">
        <v>2346</v>
      </c>
      <c r="C89" s="71">
        <v>3131.9469999999997</v>
      </c>
      <c r="D89" s="71">
        <v>0.152</v>
      </c>
      <c r="E89" s="71">
        <v>0</v>
      </c>
      <c r="F89" s="71">
        <v>4.6500000000000004</v>
      </c>
      <c r="G89" s="71">
        <v>51.300999999999995</v>
      </c>
      <c r="H89" s="71">
        <v>23.565999999999999</v>
      </c>
      <c r="I89" s="71">
        <v>0</v>
      </c>
      <c r="J89" s="71">
        <v>0</v>
      </c>
      <c r="K89" s="71">
        <v>0</v>
      </c>
      <c r="L89" s="71">
        <v>0</v>
      </c>
      <c r="M89" s="71">
        <v>13.530999999999999</v>
      </c>
      <c r="N89" s="71">
        <v>0.93099999999999994</v>
      </c>
      <c r="O89" s="71">
        <v>0</v>
      </c>
      <c r="P89" s="71">
        <v>129.59</v>
      </c>
      <c r="Q89" s="71">
        <v>159.11099999999999</v>
      </c>
      <c r="R89" s="71">
        <v>2844</v>
      </c>
      <c r="S89" s="71">
        <v>245.363</v>
      </c>
      <c r="T89" s="71">
        <v>156.59699999999998</v>
      </c>
    </row>
    <row r="90" spans="1:20">
      <c r="A90" s="71" t="s">
        <v>6183</v>
      </c>
      <c r="B90" s="71" t="s">
        <v>1937</v>
      </c>
      <c r="C90" s="71">
        <v>55865.985999999997</v>
      </c>
      <c r="D90" s="71">
        <v>4.1519999999999992</v>
      </c>
      <c r="E90" s="71">
        <v>3.1489999999999996</v>
      </c>
      <c r="F90" s="71">
        <v>124.43899999999999</v>
      </c>
      <c r="G90" s="71">
        <v>1439.9369999999999</v>
      </c>
      <c r="H90" s="71">
        <v>405.976</v>
      </c>
      <c r="I90" s="71">
        <v>0</v>
      </c>
      <c r="J90" s="71">
        <v>13.526999999999999</v>
      </c>
      <c r="K90" s="71">
        <v>0</v>
      </c>
      <c r="L90" s="71">
        <v>2.78</v>
      </c>
      <c r="M90" s="71">
        <v>277.21099999999996</v>
      </c>
      <c r="N90" s="71">
        <v>9.5959999999999983</v>
      </c>
      <c r="O90" s="71">
        <v>14.656999999999998</v>
      </c>
      <c r="P90" s="71">
        <v>1552.2759999999998</v>
      </c>
      <c r="Q90" s="71">
        <v>2701.848</v>
      </c>
      <c r="R90" s="71">
        <v>25204.5</v>
      </c>
      <c r="S90" s="71">
        <v>2606.9029999999998</v>
      </c>
      <c r="T90" s="71">
        <v>2793.299</v>
      </c>
    </row>
    <row r="91" spans="1:20">
      <c r="A91" s="71" t="s">
        <v>1517</v>
      </c>
      <c r="B91" s="71" t="s">
        <v>3013</v>
      </c>
      <c r="C91" s="71">
        <v>7599.9869999999992</v>
      </c>
      <c r="D91" s="71">
        <v>1.2759999999999998</v>
      </c>
      <c r="E91" s="71">
        <v>0.11599999999999999</v>
      </c>
      <c r="F91" s="71">
        <v>12.901999999999999</v>
      </c>
      <c r="G91" s="71">
        <v>168.73399999999998</v>
      </c>
      <c r="H91" s="71">
        <v>75.185000000000002</v>
      </c>
      <c r="I91" s="71">
        <v>0</v>
      </c>
      <c r="J91" s="71">
        <v>0</v>
      </c>
      <c r="K91" s="71">
        <v>0</v>
      </c>
      <c r="L91" s="71">
        <v>0</v>
      </c>
      <c r="M91" s="71">
        <v>14.061999999999999</v>
      </c>
      <c r="N91" s="71">
        <v>3.0169999999999999</v>
      </c>
      <c r="O91" s="71">
        <v>40.604999999999997</v>
      </c>
      <c r="P91" s="71">
        <v>190.82299999999998</v>
      </c>
      <c r="Q91" s="71">
        <v>243.905</v>
      </c>
      <c r="R91" s="71">
        <v>4458.2</v>
      </c>
      <c r="S91" s="71">
        <v>326.97299999999996</v>
      </c>
      <c r="T91" s="71">
        <v>379.99899999999997</v>
      </c>
    </row>
    <row r="92" spans="1:20">
      <c r="A92" s="71" t="s">
        <v>3082</v>
      </c>
      <c r="B92" s="71" t="s">
        <v>2349</v>
      </c>
      <c r="C92" s="71">
        <v>9362.0379999999986</v>
      </c>
      <c r="D92" s="71">
        <v>0.17399999999999999</v>
      </c>
      <c r="E92" s="71">
        <v>0</v>
      </c>
      <c r="F92" s="71">
        <v>15.197999999999999</v>
      </c>
      <c r="G92" s="71">
        <v>215.80799999999999</v>
      </c>
      <c r="H92" s="71">
        <v>77.284999999999997</v>
      </c>
      <c r="I92" s="71">
        <v>0</v>
      </c>
      <c r="J92" s="71">
        <v>2.46</v>
      </c>
      <c r="K92" s="71">
        <v>0</v>
      </c>
      <c r="L92" s="71">
        <v>0</v>
      </c>
      <c r="M92" s="71">
        <v>23.594999999999999</v>
      </c>
      <c r="N92" s="71">
        <v>3.9009999999999998</v>
      </c>
      <c r="O92" s="71">
        <v>15.171999999999999</v>
      </c>
      <c r="P92" s="71">
        <v>326.17</v>
      </c>
      <c r="Q92" s="71">
        <v>446.95</v>
      </c>
      <c r="R92" s="71">
        <v>7975.7</v>
      </c>
      <c r="S92" s="71">
        <v>1208.1289999999999</v>
      </c>
      <c r="T92" s="71">
        <v>468.10189999999994</v>
      </c>
    </row>
    <row r="93" spans="1:20">
      <c r="A93" s="71" t="s">
        <v>41</v>
      </c>
      <c r="B93" s="71" t="s">
        <v>4111</v>
      </c>
      <c r="C93" s="71">
        <v>825.18499999999995</v>
      </c>
      <c r="D93" s="71">
        <v>3.9999999999999992E-3</v>
      </c>
      <c r="E93" s="71">
        <v>0</v>
      </c>
      <c r="F93" s="71">
        <v>1.885</v>
      </c>
      <c r="G93" s="71">
        <v>16.445</v>
      </c>
      <c r="H93" s="71">
        <v>4.7659999999999991</v>
      </c>
      <c r="I93" s="71">
        <v>0</v>
      </c>
      <c r="J93" s="71">
        <v>0.56199999999999994</v>
      </c>
      <c r="K93" s="71">
        <v>0</v>
      </c>
      <c r="L93" s="71">
        <v>0</v>
      </c>
      <c r="M93" s="71">
        <v>0.52399999999999991</v>
      </c>
      <c r="N93" s="71">
        <v>0</v>
      </c>
      <c r="O93" s="71">
        <v>0</v>
      </c>
      <c r="P93" s="71">
        <v>31.744</v>
      </c>
      <c r="Q93" s="71">
        <v>9.9929999999999986</v>
      </c>
      <c r="R93" s="71">
        <v>442.2</v>
      </c>
      <c r="S93" s="71">
        <v>21.015000000000001</v>
      </c>
      <c r="T93" s="71">
        <v>41.258999999999993</v>
      </c>
    </row>
    <row r="94" spans="1:20">
      <c r="A94" s="71" t="s">
        <v>43</v>
      </c>
      <c r="B94" s="71" t="s">
        <v>4112</v>
      </c>
      <c r="C94" s="71">
        <v>1150.4019999999998</v>
      </c>
      <c r="D94" s="71">
        <v>0.26599999999999996</v>
      </c>
      <c r="E94" s="71">
        <v>0</v>
      </c>
      <c r="F94" s="71">
        <v>2.39</v>
      </c>
      <c r="G94" s="71">
        <v>29.395</v>
      </c>
      <c r="H94" s="71">
        <v>16.516999999999999</v>
      </c>
      <c r="I94" s="71">
        <v>0</v>
      </c>
      <c r="J94" s="71">
        <v>0.82</v>
      </c>
      <c r="K94" s="71">
        <v>0</v>
      </c>
      <c r="L94" s="71">
        <v>0.999</v>
      </c>
      <c r="M94" s="71">
        <v>2.0979999999999999</v>
      </c>
      <c r="N94" s="71">
        <v>0</v>
      </c>
      <c r="O94" s="71">
        <v>0</v>
      </c>
      <c r="P94" s="71">
        <v>33.753999999999998</v>
      </c>
      <c r="Q94" s="71">
        <v>9.5669999999999984</v>
      </c>
      <c r="R94" s="71">
        <v>464.3</v>
      </c>
      <c r="S94" s="71">
        <v>49.643999999999998</v>
      </c>
      <c r="T94" s="71">
        <v>57.52</v>
      </c>
    </row>
    <row r="95" spans="1:20">
      <c r="A95" s="71" t="s">
        <v>6185</v>
      </c>
      <c r="B95" s="71" t="s">
        <v>1939</v>
      </c>
      <c r="C95" s="71">
        <v>73363.89899999999</v>
      </c>
      <c r="D95" s="71">
        <v>7.1359999999999992</v>
      </c>
      <c r="E95" s="71">
        <v>2.5159999999999996</v>
      </c>
      <c r="F95" s="71">
        <v>156.41799999999998</v>
      </c>
      <c r="G95" s="71">
        <v>1098.3139999999999</v>
      </c>
      <c r="H95" s="71">
        <v>787.06799999999998</v>
      </c>
      <c r="I95" s="71">
        <v>0</v>
      </c>
      <c r="J95" s="71">
        <v>102.80099999999999</v>
      </c>
      <c r="K95" s="71">
        <v>0</v>
      </c>
      <c r="L95" s="71">
        <v>0</v>
      </c>
      <c r="M95" s="71">
        <v>113.25099999999999</v>
      </c>
      <c r="N95" s="71">
        <v>21.852999999999998</v>
      </c>
      <c r="O95" s="71">
        <v>47.683</v>
      </c>
      <c r="P95" s="71">
        <v>3563.89</v>
      </c>
      <c r="Q95" s="71">
        <v>2746.6639999999998</v>
      </c>
      <c r="R95" s="71">
        <v>35614.699999999997</v>
      </c>
      <c r="S95" s="71">
        <v>3696.4539999999997</v>
      </c>
      <c r="T95" s="71">
        <v>3668.1949499999992</v>
      </c>
    </row>
    <row r="96" spans="1:20">
      <c r="A96" s="71" t="s">
        <v>6026</v>
      </c>
      <c r="B96" s="71" t="s">
        <v>1911</v>
      </c>
      <c r="C96" s="71">
        <v>18035.714999999997</v>
      </c>
      <c r="D96" s="71">
        <v>3.0389999999999997</v>
      </c>
      <c r="E96" s="71">
        <v>0</v>
      </c>
      <c r="F96" s="71">
        <v>24.372999999999998</v>
      </c>
      <c r="G96" s="71">
        <v>279.16500000000002</v>
      </c>
      <c r="H96" s="71">
        <v>193.21199999999999</v>
      </c>
      <c r="I96" s="71">
        <v>0</v>
      </c>
      <c r="J96" s="71">
        <v>1.2169999999999999</v>
      </c>
      <c r="K96" s="71">
        <v>0</v>
      </c>
      <c r="L96" s="71">
        <v>0</v>
      </c>
      <c r="M96" s="71">
        <v>30.691999999999997</v>
      </c>
      <c r="N96" s="71">
        <v>5.7369999999999992</v>
      </c>
      <c r="O96" s="71">
        <v>26.658999999999999</v>
      </c>
      <c r="P96" s="71">
        <v>575.29699999999991</v>
      </c>
      <c r="Q96" s="71">
        <v>838.51699999999994</v>
      </c>
      <c r="R96" s="71">
        <v>10742.3</v>
      </c>
      <c r="S96" s="71">
        <v>809.16499999999996</v>
      </c>
      <c r="T96" s="71">
        <v>901.78574999999989</v>
      </c>
    </row>
    <row r="97" spans="1:20">
      <c r="A97" s="71" t="s">
        <v>2404</v>
      </c>
      <c r="B97" s="71" t="s">
        <v>2348</v>
      </c>
      <c r="C97" s="71">
        <v>4507.3129999999992</v>
      </c>
      <c r="D97" s="71">
        <v>0.66500000000000004</v>
      </c>
      <c r="E97" s="71">
        <v>0.10199999999999999</v>
      </c>
      <c r="F97" s="71">
        <v>8.4469999999999992</v>
      </c>
      <c r="G97" s="71">
        <v>91.581999999999994</v>
      </c>
      <c r="H97" s="71">
        <v>42.335999999999999</v>
      </c>
      <c r="I97" s="71">
        <v>0</v>
      </c>
      <c r="J97" s="71">
        <v>0</v>
      </c>
      <c r="K97" s="71">
        <v>0</v>
      </c>
      <c r="L97" s="71">
        <v>1.1519999999999999</v>
      </c>
      <c r="M97" s="71">
        <v>8.4489999999999998</v>
      </c>
      <c r="N97" s="71">
        <v>2.15</v>
      </c>
      <c r="O97" s="71">
        <v>0</v>
      </c>
      <c r="P97" s="71">
        <v>206.19799999999998</v>
      </c>
      <c r="Q97" s="71">
        <v>201.142</v>
      </c>
      <c r="R97" s="71">
        <v>3890.3</v>
      </c>
      <c r="S97" s="71">
        <v>514.79099999999994</v>
      </c>
      <c r="T97" s="71">
        <v>225.36564999999993</v>
      </c>
    </row>
    <row r="98" spans="1:20">
      <c r="A98" s="71" t="s">
        <v>7238</v>
      </c>
      <c r="B98" s="71" t="s">
        <v>7239</v>
      </c>
      <c r="C98" s="71">
        <v>0</v>
      </c>
      <c r="D98" s="71">
        <v>0</v>
      </c>
      <c r="E98" s="71">
        <v>0</v>
      </c>
      <c r="F98" s="71">
        <v>0</v>
      </c>
      <c r="G98" s="71">
        <v>0</v>
      </c>
      <c r="H98" s="71">
        <v>0</v>
      </c>
      <c r="I98" s="71">
        <v>0</v>
      </c>
      <c r="J98" s="71">
        <v>0</v>
      </c>
      <c r="K98" s="71">
        <v>0</v>
      </c>
      <c r="L98" s="71">
        <v>0</v>
      </c>
      <c r="M98" s="71">
        <v>0</v>
      </c>
      <c r="N98" s="71">
        <v>0</v>
      </c>
      <c r="O98" s="71">
        <v>0</v>
      </c>
      <c r="P98" s="71">
        <v>0</v>
      </c>
      <c r="Q98" s="71">
        <v>0</v>
      </c>
      <c r="R98" s="71">
        <v>0</v>
      </c>
      <c r="S98" s="71">
        <v>0</v>
      </c>
      <c r="T98" s="71">
        <v>0</v>
      </c>
    </row>
    <row r="99" spans="1:20">
      <c r="A99" s="71" t="s">
        <v>45</v>
      </c>
      <c r="B99" s="71" t="s">
        <v>4113</v>
      </c>
      <c r="C99" s="71">
        <v>651.00099999999998</v>
      </c>
      <c r="D99" s="71">
        <v>1.7999999999999999E-2</v>
      </c>
      <c r="E99" s="71">
        <v>0</v>
      </c>
      <c r="F99" s="71">
        <v>1.07</v>
      </c>
      <c r="G99" s="71">
        <v>26.236999999999998</v>
      </c>
      <c r="H99" s="71">
        <v>5.5759999999999996</v>
      </c>
      <c r="I99" s="71">
        <v>0</v>
      </c>
      <c r="J99" s="71">
        <v>0</v>
      </c>
      <c r="K99" s="71">
        <v>0</v>
      </c>
      <c r="L99" s="71">
        <v>0</v>
      </c>
      <c r="M99" s="71">
        <v>3.9329999999999998</v>
      </c>
      <c r="N99" s="71">
        <v>0</v>
      </c>
      <c r="O99" s="71">
        <v>4.8809999999999993</v>
      </c>
      <c r="P99" s="71">
        <v>10.738999999999999</v>
      </c>
      <c r="Q99" s="71">
        <v>32.358999999999995</v>
      </c>
      <c r="R99" s="71">
        <v>192</v>
      </c>
      <c r="S99" s="71">
        <v>42.848999999999997</v>
      </c>
      <c r="T99" s="71">
        <v>32.549999999999997</v>
      </c>
    </row>
    <row r="100" spans="1:20">
      <c r="A100" s="71" t="s">
        <v>952</v>
      </c>
      <c r="B100" s="71" t="s">
        <v>7657</v>
      </c>
      <c r="C100" s="71">
        <v>937.98299999999995</v>
      </c>
      <c r="D100" s="71">
        <v>9.5000000000000001E-2</v>
      </c>
      <c r="E100" s="71">
        <v>0</v>
      </c>
      <c r="F100" s="71">
        <v>1.2269999999999999</v>
      </c>
      <c r="G100" s="71">
        <v>20.526999999999997</v>
      </c>
      <c r="H100" s="71">
        <v>2.8250000000000002</v>
      </c>
      <c r="I100" s="71">
        <v>0</v>
      </c>
      <c r="J100" s="71">
        <v>0</v>
      </c>
      <c r="K100" s="71">
        <v>0</v>
      </c>
      <c r="L100" s="71">
        <v>0</v>
      </c>
      <c r="M100" s="71">
        <v>1.8719999999999999</v>
      </c>
      <c r="N100" s="71">
        <v>0.32199999999999995</v>
      </c>
      <c r="O100" s="71">
        <v>0.86199999999999999</v>
      </c>
      <c r="P100" s="71">
        <v>36.786999999999999</v>
      </c>
      <c r="Q100" s="71">
        <v>38.985999999999997</v>
      </c>
      <c r="R100" s="71">
        <v>481.8</v>
      </c>
      <c r="S100" s="71">
        <v>42.108999999999995</v>
      </c>
      <c r="T100" s="71">
        <v>46.898999999999994</v>
      </c>
    </row>
    <row r="101" spans="1:20">
      <c r="A101" s="71" t="s">
        <v>47</v>
      </c>
      <c r="B101" s="71" t="s">
        <v>4114</v>
      </c>
      <c r="C101" s="71">
        <v>156.57199999999997</v>
      </c>
      <c r="D101" s="71">
        <v>0</v>
      </c>
      <c r="E101" s="71">
        <v>0</v>
      </c>
      <c r="F101" s="71">
        <v>0.32</v>
      </c>
      <c r="G101" s="71">
        <v>2.2749999999999999</v>
      </c>
      <c r="H101" s="71">
        <v>0.46199999999999997</v>
      </c>
      <c r="I101" s="71">
        <v>0</v>
      </c>
      <c r="J101" s="71">
        <v>0</v>
      </c>
      <c r="K101" s="71">
        <v>0</v>
      </c>
      <c r="L101" s="71">
        <v>0</v>
      </c>
      <c r="M101" s="71">
        <v>0</v>
      </c>
      <c r="N101" s="71">
        <v>0</v>
      </c>
      <c r="O101" s="71">
        <v>0</v>
      </c>
      <c r="P101" s="71">
        <v>7.8619999999999992</v>
      </c>
      <c r="Q101" s="71">
        <v>10.015999999999998</v>
      </c>
      <c r="R101" s="71">
        <v>63.6</v>
      </c>
      <c r="S101" s="71">
        <v>0</v>
      </c>
      <c r="T101" s="71">
        <v>7.8285999999999998</v>
      </c>
    </row>
    <row r="102" spans="1:20">
      <c r="A102" s="71" t="s">
        <v>740</v>
      </c>
      <c r="B102" s="71" t="s">
        <v>6115</v>
      </c>
      <c r="C102" s="71">
        <v>1125.4509999999998</v>
      </c>
      <c r="D102" s="71">
        <v>0</v>
      </c>
      <c r="E102" s="71">
        <v>0</v>
      </c>
      <c r="F102" s="71">
        <v>2.2659999999999996</v>
      </c>
      <c r="G102" s="71">
        <v>48.283999999999999</v>
      </c>
      <c r="H102" s="71">
        <v>6.2619999999999996</v>
      </c>
      <c r="I102" s="71">
        <v>0</v>
      </c>
      <c r="J102" s="71">
        <v>0</v>
      </c>
      <c r="K102" s="71">
        <v>0</v>
      </c>
      <c r="L102" s="71">
        <v>0</v>
      </c>
      <c r="M102" s="71">
        <v>0</v>
      </c>
      <c r="N102" s="71">
        <v>1.6999999999999998E-2</v>
      </c>
      <c r="O102" s="71">
        <v>0.875</v>
      </c>
      <c r="P102" s="71">
        <v>1.6479999999999999</v>
      </c>
      <c r="Q102" s="71">
        <v>53.991999999999997</v>
      </c>
      <c r="R102" s="71">
        <v>569.5</v>
      </c>
      <c r="S102" s="71">
        <v>72.24199999999999</v>
      </c>
      <c r="T102" s="71">
        <v>56.272549999999995</v>
      </c>
    </row>
    <row r="103" spans="1:20">
      <c r="A103" s="71" t="s">
        <v>49</v>
      </c>
      <c r="B103" s="71" t="s">
        <v>4115</v>
      </c>
      <c r="C103" s="71">
        <v>504.36699999999996</v>
      </c>
      <c r="D103" s="71">
        <v>0.16699999999999998</v>
      </c>
      <c r="E103" s="71">
        <v>0</v>
      </c>
      <c r="F103" s="71">
        <v>0.8879999999999999</v>
      </c>
      <c r="G103" s="71">
        <v>19.738</v>
      </c>
      <c r="H103" s="71">
        <v>1.0049999999999999</v>
      </c>
      <c r="I103" s="71">
        <v>0</v>
      </c>
      <c r="J103" s="71">
        <v>12.452999999999999</v>
      </c>
      <c r="K103" s="71">
        <v>0</v>
      </c>
      <c r="L103" s="71">
        <v>0</v>
      </c>
      <c r="M103" s="71">
        <v>0.57699999999999996</v>
      </c>
      <c r="N103" s="71">
        <v>0</v>
      </c>
      <c r="O103" s="71">
        <v>0</v>
      </c>
      <c r="P103" s="71">
        <v>0.64399999999999991</v>
      </c>
      <c r="Q103" s="71">
        <v>31.613</v>
      </c>
      <c r="R103" s="71">
        <v>297.2</v>
      </c>
      <c r="S103" s="71">
        <v>32.808999999999997</v>
      </c>
      <c r="T103" s="71">
        <v>25.218</v>
      </c>
    </row>
    <row r="104" spans="1:20">
      <c r="A104" s="71" t="s">
        <v>1337</v>
      </c>
      <c r="B104" s="71" t="s">
        <v>4116</v>
      </c>
      <c r="C104" s="71">
        <v>152.696</v>
      </c>
      <c r="D104" s="71">
        <v>0</v>
      </c>
      <c r="E104" s="71">
        <v>0</v>
      </c>
      <c r="F104" s="71">
        <v>0.32099999999999995</v>
      </c>
      <c r="G104" s="71">
        <v>7.077</v>
      </c>
      <c r="H104" s="71">
        <v>0.38699999999999996</v>
      </c>
      <c r="I104" s="71">
        <v>0</v>
      </c>
      <c r="J104" s="71">
        <v>3.9039999999999999</v>
      </c>
      <c r="K104" s="71">
        <v>0</v>
      </c>
      <c r="L104" s="71">
        <v>0</v>
      </c>
      <c r="M104" s="71">
        <v>1.7689999999999999</v>
      </c>
      <c r="N104" s="71">
        <v>0</v>
      </c>
      <c r="O104" s="71">
        <v>0</v>
      </c>
      <c r="P104" s="71">
        <v>7.8229999999999995</v>
      </c>
      <c r="Q104" s="71">
        <v>4.7379999999999995</v>
      </c>
      <c r="R104" s="71">
        <v>157</v>
      </c>
      <c r="S104" s="71">
        <v>22.712</v>
      </c>
      <c r="T104" s="71">
        <v>4</v>
      </c>
    </row>
    <row r="105" spans="1:20">
      <c r="A105" s="71" t="s">
        <v>1339</v>
      </c>
      <c r="B105" s="71" t="s">
        <v>4117</v>
      </c>
      <c r="C105" s="71">
        <v>587.41199999999992</v>
      </c>
      <c r="D105" s="71">
        <v>0</v>
      </c>
      <c r="E105" s="71">
        <v>0</v>
      </c>
      <c r="F105" s="71">
        <v>1.0469999999999999</v>
      </c>
      <c r="G105" s="71">
        <v>33.992999999999995</v>
      </c>
      <c r="H105" s="71">
        <v>0.42199999999999999</v>
      </c>
      <c r="I105" s="71">
        <v>0</v>
      </c>
      <c r="J105" s="71">
        <v>6.4159999999999995</v>
      </c>
      <c r="K105" s="71">
        <v>0</v>
      </c>
      <c r="L105" s="71">
        <v>0</v>
      </c>
      <c r="M105" s="71">
        <v>5.86</v>
      </c>
      <c r="N105" s="71">
        <v>0</v>
      </c>
      <c r="O105" s="71">
        <v>0</v>
      </c>
      <c r="P105" s="71">
        <v>3.27</v>
      </c>
      <c r="Q105" s="71">
        <v>31.401</v>
      </c>
      <c r="R105" s="71">
        <v>286.5</v>
      </c>
      <c r="S105" s="71">
        <v>34.200000000000003</v>
      </c>
      <c r="T105" s="71">
        <v>29.370599999999996</v>
      </c>
    </row>
    <row r="106" spans="1:20">
      <c r="A106" s="71" t="s">
        <v>2474</v>
      </c>
      <c r="B106" s="71" t="s">
        <v>329</v>
      </c>
      <c r="C106" s="71">
        <v>225.476</v>
      </c>
      <c r="D106" s="71">
        <v>0</v>
      </c>
      <c r="E106" s="71">
        <v>0</v>
      </c>
      <c r="F106" s="71">
        <v>0.12599999999999997</v>
      </c>
      <c r="G106" s="71">
        <v>2.4019999999999997</v>
      </c>
      <c r="H106" s="71">
        <v>0.57899999999999996</v>
      </c>
      <c r="I106" s="71">
        <v>0</v>
      </c>
      <c r="J106" s="71">
        <v>2.3009999999999997</v>
      </c>
      <c r="K106" s="71">
        <v>0</v>
      </c>
      <c r="L106" s="71">
        <v>0</v>
      </c>
      <c r="M106" s="71">
        <v>0.20399999999999999</v>
      </c>
      <c r="N106" s="71">
        <v>0</v>
      </c>
      <c r="O106" s="71">
        <v>0</v>
      </c>
      <c r="P106" s="71">
        <v>0.89899999999999991</v>
      </c>
      <c r="Q106" s="71">
        <v>13.046999999999999</v>
      </c>
      <c r="R106" s="71">
        <v>196.5</v>
      </c>
      <c r="S106" s="71">
        <v>30.584</v>
      </c>
      <c r="T106" s="71">
        <v>11.2738</v>
      </c>
    </row>
    <row r="107" spans="1:20">
      <c r="A107" s="71" t="s">
        <v>1341</v>
      </c>
      <c r="B107" s="71" t="s">
        <v>1663</v>
      </c>
      <c r="C107" s="71">
        <v>135.31799999999998</v>
      </c>
      <c r="D107" s="71">
        <v>1.7999999999999999E-2</v>
      </c>
      <c r="E107" s="71">
        <v>0</v>
      </c>
      <c r="F107" s="71">
        <v>0.14099999999999999</v>
      </c>
      <c r="G107" s="71">
        <v>6.1309999999999993</v>
      </c>
      <c r="H107" s="71">
        <v>0</v>
      </c>
      <c r="I107" s="71">
        <v>0</v>
      </c>
      <c r="J107" s="71">
        <v>2.7109999999999999</v>
      </c>
      <c r="K107" s="71">
        <v>0</v>
      </c>
      <c r="L107" s="71">
        <v>0</v>
      </c>
      <c r="M107" s="71">
        <v>1.9379999999999999</v>
      </c>
      <c r="N107" s="71">
        <v>0.20599999999999999</v>
      </c>
      <c r="O107" s="71">
        <v>0</v>
      </c>
      <c r="P107" s="71">
        <v>4.0329999999999995</v>
      </c>
      <c r="Q107" s="71">
        <v>9.51</v>
      </c>
      <c r="R107" s="71">
        <v>89.5</v>
      </c>
      <c r="S107" s="71">
        <v>3.87</v>
      </c>
      <c r="T107" s="71">
        <v>4</v>
      </c>
    </row>
    <row r="108" spans="1:20">
      <c r="A108" s="71" t="s">
        <v>1343</v>
      </c>
      <c r="B108" s="71" t="s">
        <v>1664</v>
      </c>
      <c r="C108" s="71">
        <v>266.93799999999999</v>
      </c>
      <c r="D108" s="71">
        <v>0</v>
      </c>
      <c r="E108" s="71">
        <v>0</v>
      </c>
      <c r="F108" s="71">
        <v>0.33399999999999996</v>
      </c>
      <c r="G108" s="71">
        <v>12.556999999999999</v>
      </c>
      <c r="H108" s="71">
        <v>0.81599999999999995</v>
      </c>
      <c r="I108" s="71">
        <v>0</v>
      </c>
      <c r="J108" s="71">
        <v>3.5150000000000001</v>
      </c>
      <c r="K108" s="71">
        <v>0</v>
      </c>
      <c r="L108" s="71">
        <v>0</v>
      </c>
      <c r="M108" s="71">
        <v>0</v>
      </c>
      <c r="N108" s="71">
        <v>0</v>
      </c>
      <c r="O108" s="71">
        <v>0</v>
      </c>
      <c r="P108" s="71">
        <v>1.5939999999999999</v>
      </c>
      <c r="Q108" s="71">
        <v>12.193</v>
      </c>
      <c r="R108" s="71">
        <v>193.2</v>
      </c>
      <c r="S108" s="71">
        <v>4.74</v>
      </c>
      <c r="T108" s="71">
        <v>13.346899999999998</v>
      </c>
    </row>
    <row r="109" spans="1:20">
      <c r="A109" s="71" t="s">
        <v>1345</v>
      </c>
      <c r="B109" s="71" t="s">
        <v>885</v>
      </c>
      <c r="C109" s="71">
        <v>93.591999999999999</v>
      </c>
      <c r="D109" s="71">
        <v>0</v>
      </c>
      <c r="E109" s="71">
        <v>0</v>
      </c>
      <c r="F109" s="71">
        <v>0.14199999999999999</v>
      </c>
      <c r="G109" s="71">
        <v>2.569</v>
      </c>
      <c r="H109" s="71">
        <v>0</v>
      </c>
      <c r="I109" s="71">
        <v>0</v>
      </c>
      <c r="J109" s="71">
        <v>0.65299999999999991</v>
      </c>
      <c r="K109" s="71">
        <v>0</v>
      </c>
      <c r="L109" s="71">
        <v>0</v>
      </c>
      <c r="M109" s="71">
        <v>0.16199999999999998</v>
      </c>
      <c r="N109" s="71">
        <v>0</v>
      </c>
      <c r="O109" s="71">
        <v>0</v>
      </c>
      <c r="P109" s="71">
        <v>4.8889999999999993</v>
      </c>
      <c r="Q109" s="71">
        <v>11.363</v>
      </c>
      <c r="R109" s="71">
        <v>70</v>
      </c>
      <c r="S109" s="71">
        <v>0</v>
      </c>
      <c r="T109" s="71">
        <v>2</v>
      </c>
    </row>
    <row r="110" spans="1:20">
      <c r="A110" s="71" t="s">
        <v>7240</v>
      </c>
      <c r="B110" s="71" t="s">
        <v>7241</v>
      </c>
      <c r="C110" s="71">
        <v>0</v>
      </c>
      <c r="D110" s="71">
        <v>0</v>
      </c>
      <c r="E110" s="71">
        <v>0</v>
      </c>
      <c r="F110" s="71">
        <v>0</v>
      </c>
      <c r="G110" s="71">
        <v>0</v>
      </c>
      <c r="H110" s="71">
        <v>0</v>
      </c>
      <c r="I110" s="71">
        <v>0</v>
      </c>
      <c r="J110" s="71">
        <v>0</v>
      </c>
      <c r="K110" s="71">
        <v>0</v>
      </c>
      <c r="L110" s="71">
        <v>0</v>
      </c>
      <c r="M110" s="71">
        <v>0</v>
      </c>
      <c r="N110" s="71">
        <v>0</v>
      </c>
      <c r="O110" s="71">
        <v>0</v>
      </c>
      <c r="P110" s="71">
        <v>0</v>
      </c>
      <c r="Q110" s="71">
        <v>0</v>
      </c>
      <c r="R110" s="71">
        <v>0</v>
      </c>
      <c r="S110" s="71">
        <v>0</v>
      </c>
      <c r="T110" s="71">
        <v>0</v>
      </c>
    </row>
    <row r="111" spans="1:20">
      <c r="A111" s="71" t="s">
        <v>963</v>
      </c>
      <c r="B111" s="71" t="s">
        <v>996</v>
      </c>
      <c r="C111" s="71">
        <v>812.20699999999999</v>
      </c>
      <c r="D111" s="71">
        <v>3.5000000000000003E-2</v>
      </c>
      <c r="E111" s="71">
        <v>0</v>
      </c>
      <c r="F111" s="71">
        <v>1.7719999999999998</v>
      </c>
      <c r="G111" s="71">
        <v>15.23</v>
      </c>
      <c r="H111" s="71">
        <v>10.898</v>
      </c>
      <c r="I111" s="71">
        <v>0</v>
      </c>
      <c r="J111" s="71">
        <v>4.0839999999999996</v>
      </c>
      <c r="K111" s="71">
        <v>0</v>
      </c>
      <c r="L111" s="71">
        <v>0</v>
      </c>
      <c r="M111" s="71">
        <v>4.7</v>
      </c>
      <c r="N111" s="71">
        <v>1.0039999999999998</v>
      </c>
      <c r="O111" s="71">
        <v>1.1619999999999999</v>
      </c>
      <c r="P111" s="71">
        <v>39.105999999999995</v>
      </c>
      <c r="Q111" s="71">
        <v>59.985999999999997</v>
      </c>
      <c r="R111" s="71">
        <v>469.7</v>
      </c>
      <c r="S111" s="71">
        <v>21.233999999999998</v>
      </c>
      <c r="T111" s="71">
        <v>40.61</v>
      </c>
    </row>
    <row r="112" spans="1:20">
      <c r="A112" s="71" t="s">
        <v>3083</v>
      </c>
      <c r="B112" s="71" t="s">
        <v>3850</v>
      </c>
      <c r="C112" s="71">
        <v>981.18599999999992</v>
      </c>
      <c r="D112" s="71">
        <v>0</v>
      </c>
      <c r="E112" s="71">
        <v>0</v>
      </c>
      <c r="F112" s="71">
        <v>2.0189999999999997</v>
      </c>
      <c r="G112" s="71">
        <v>43.222999999999999</v>
      </c>
      <c r="H112" s="71">
        <v>8.0259999999999998</v>
      </c>
      <c r="I112" s="71">
        <v>0</v>
      </c>
      <c r="J112" s="71">
        <v>7.5139999999999993</v>
      </c>
      <c r="K112" s="71">
        <v>0</v>
      </c>
      <c r="L112" s="71">
        <v>0</v>
      </c>
      <c r="M112" s="71">
        <v>4.7219999999999995</v>
      </c>
      <c r="N112" s="71">
        <v>0.6429999999999999</v>
      </c>
      <c r="O112" s="71">
        <v>0</v>
      </c>
      <c r="P112" s="71">
        <v>44.098999999999997</v>
      </c>
      <c r="Q112" s="71">
        <v>72.588999999999999</v>
      </c>
      <c r="R112" s="71">
        <v>588.5</v>
      </c>
      <c r="S112" s="71">
        <v>13.202</v>
      </c>
      <c r="T112" s="71">
        <v>49.058999999999997</v>
      </c>
    </row>
    <row r="113" spans="1:20">
      <c r="A113" s="71" t="s">
        <v>2568</v>
      </c>
      <c r="B113" s="71" t="s">
        <v>6070</v>
      </c>
      <c r="C113" s="71">
        <v>442.66199999999998</v>
      </c>
      <c r="D113" s="71">
        <v>0</v>
      </c>
      <c r="E113" s="71">
        <v>0</v>
      </c>
      <c r="F113" s="71">
        <v>1.3579999999999999</v>
      </c>
      <c r="G113" s="71">
        <v>13.991</v>
      </c>
      <c r="H113" s="71">
        <v>4.0159999999999991</v>
      </c>
      <c r="I113" s="71">
        <v>0</v>
      </c>
      <c r="J113" s="71">
        <v>3.9309999999999996</v>
      </c>
      <c r="K113" s="71">
        <v>0</v>
      </c>
      <c r="L113" s="71">
        <v>0</v>
      </c>
      <c r="M113" s="71">
        <v>0.39</v>
      </c>
      <c r="N113" s="71">
        <v>6.2E-2</v>
      </c>
      <c r="O113" s="71">
        <v>0</v>
      </c>
      <c r="P113" s="71">
        <v>16.855</v>
      </c>
      <c r="Q113" s="71">
        <v>23.244</v>
      </c>
      <c r="R113" s="71">
        <v>236.7</v>
      </c>
      <c r="S113" s="71">
        <v>0.97399999999999998</v>
      </c>
      <c r="T113" s="71">
        <v>22.132999999999999</v>
      </c>
    </row>
    <row r="114" spans="1:20">
      <c r="A114" s="71" t="s">
        <v>1349</v>
      </c>
      <c r="B114" s="71" t="s">
        <v>886</v>
      </c>
      <c r="C114" s="71">
        <v>1304.8839999999998</v>
      </c>
      <c r="D114" s="71">
        <v>8.7999999999999995E-2</v>
      </c>
      <c r="E114" s="71">
        <v>0.18799999999999997</v>
      </c>
      <c r="F114" s="71">
        <v>2.4849999999999999</v>
      </c>
      <c r="G114" s="71">
        <v>51.28</v>
      </c>
      <c r="H114" s="71">
        <v>21.155000000000001</v>
      </c>
      <c r="I114" s="71">
        <v>0</v>
      </c>
      <c r="J114" s="71">
        <v>0</v>
      </c>
      <c r="K114" s="71">
        <v>0</v>
      </c>
      <c r="L114" s="71">
        <v>0</v>
      </c>
      <c r="M114" s="71">
        <v>3.14</v>
      </c>
      <c r="N114" s="71">
        <v>0.96899999999999997</v>
      </c>
      <c r="O114" s="71">
        <v>0</v>
      </c>
      <c r="P114" s="71">
        <v>47.930999999999997</v>
      </c>
      <c r="Q114" s="71">
        <v>70.925999999999988</v>
      </c>
      <c r="R114" s="71">
        <v>653.29999999999995</v>
      </c>
      <c r="S114" s="71">
        <v>3.0759999999999996</v>
      </c>
      <c r="T114" s="71">
        <v>65.244</v>
      </c>
    </row>
    <row r="115" spans="1:20">
      <c r="A115" s="71" t="s">
        <v>6083</v>
      </c>
      <c r="B115" s="71" t="s">
        <v>887</v>
      </c>
      <c r="C115" s="71">
        <v>1066.7589999999998</v>
      </c>
      <c r="D115" s="71">
        <v>0</v>
      </c>
      <c r="E115" s="71">
        <v>0</v>
      </c>
      <c r="F115" s="71">
        <v>1.605</v>
      </c>
      <c r="G115" s="71">
        <v>35.583999999999996</v>
      </c>
      <c r="H115" s="71">
        <v>7.1539999999999999</v>
      </c>
      <c r="I115" s="71">
        <v>0</v>
      </c>
      <c r="J115" s="71">
        <v>1.3639999999999999</v>
      </c>
      <c r="K115" s="71">
        <v>0</v>
      </c>
      <c r="L115" s="71">
        <v>0</v>
      </c>
      <c r="M115" s="71">
        <v>4.6579999999999995</v>
      </c>
      <c r="N115" s="71">
        <v>0.183</v>
      </c>
      <c r="O115" s="71">
        <v>5.7999999999999996E-2</v>
      </c>
      <c r="P115" s="71">
        <v>27.587</v>
      </c>
      <c r="Q115" s="71">
        <v>63.571999999999996</v>
      </c>
      <c r="R115" s="71">
        <v>371.3</v>
      </c>
      <c r="S115" s="71">
        <v>1.9750000000000001</v>
      </c>
      <c r="T115" s="71">
        <v>53.337949999999992</v>
      </c>
    </row>
    <row r="116" spans="1:20">
      <c r="A116" s="71" t="s">
        <v>6085</v>
      </c>
      <c r="B116" s="71" t="s">
        <v>888</v>
      </c>
      <c r="C116" s="71">
        <v>5432.09</v>
      </c>
      <c r="D116" s="71">
        <v>0.82</v>
      </c>
      <c r="E116" s="71">
        <v>12.920999999999999</v>
      </c>
      <c r="F116" s="71">
        <v>12.406999999999998</v>
      </c>
      <c r="G116" s="71">
        <v>148.976</v>
      </c>
      <c r="H116" s="71">
        <v>69.349999999999994</v>
      </c>
      <c r="I116" s="71">
        <v>0</v>
      </c>
      <c r="J116" s="71">
        <v>0</v>
      </c>
      <c r="K116" s="71">
        <v>0</v>
      </c>
      <c r="L116" s="71">
        <v>0.31</v>
      </c>
      <c r="M116" s="71">
        <v>3.9569999999999999</v>
      </c>
      <c r="N116" s="71">
        <v>4.3219999999999992</v>
      </c>
      <c r="O116" s="71">
        <v>4.6369999999999996</v>
      </c>
      <c r="P116" s="71">
        <v>285.82099999999997</v>
      </c>
      <c r="Q116" s="71">
        <v>388.56299999999999</v>
      </c>
      <c r="R116" s="71">
        <v>3780.2</v>
      </c>
      <c r="S116" s="71">
        <v>92.712999999999994</v>
      </c>
      <c r="T116" s="71">
        <v>271.60399999999998</v>
      </c>
    </row>
    <row r="117" spans="1:20">
      <c r="A117" s="71" t="s">
        <v>1998</v>
      </c>
      <c r="B117" s="71" t="s">
        <v>889</v>
      </c>
      <c r="C117" s="71">
        <v>2584.0819999999999</v>
      </c>
      <c r="D117" s="71">
        <v>0.73</v>
      </c>
      <c r="E117" s="71">
        <v>0</v>
      </c>
      <c r="F117" s="71">
        <v>3.1850000000000001</v>
      </c>
      <c r="G117" s="71">
        <v>109.11799999999999</v>
      </c>
      <c r="H117" s="71">
        <v>28.316999999999997</v>
      </c>
      <c r="I117" s="71">
        <v>0</v>
      </c>
      <c r="J117" s="71">
        <v>0</v>
      </c>
      <c r="K117" s="71">
        <v>0</v>
      </c>
      <c r="L117" s="71">
        <v>0</v>
      </c>
      <c r="M117" s="71">
        <v>2.0169999999999999</v>
      </c>
      <c r="N117" s="71">
        <v>2.3849999999999998</v>
      </c>
      <c r="O117" s="71">
        <v>11.835999999999999</v>
      </c>
      <c r="P117" s="71">
        <v>56.007999999999996</v>
      </c>
      <c r="Q117" s="71">
        <v>256.21199999999999</v>
      </c>
      <c r="R117" s="71">
        <v>1914.3</v>
      </c>
      <c r="S117" s="71">
        <v>9.2879999999999985</v>
      </c>
      <c r="T117" s="71">
        <v>129.20399999999998</v>
      </c>
    </row>
    <row r="118" spans="1:20">
      <c r="A118" s="71" t="s">
        <v>2570</v>
      </c>
      <c r="B118" s="71" t="s">
        <v>1467</v>
      </c>
      <c r="C118" s="71">
        <v>551.06399999999996</v>
      </c>
      <c r="D118" s="71">
        <v>5.1999999999999998E-2</v>
      </c>
      <c r="E118" s="71">
        <v>0</v>
      </c>
      <c r="F118" s="71">
        <v>0.83099999999999996</v>
      </c>
      <c r="G118" s="71">
        <v>23.155999999999999</v>
      </c>
      <c r="H118" s="71">
        <v>0.11799999999999999</v>
      </c>
      <c r="I118" s="71">
        <v>0</v>
      </c>
      <c r="J118" s="71">
        <v>4.75</v>
      </c>
      <c r="K118" s="71">
        <v>0</v>
      </c>
      <c r="L118" s="71">
        <v>0</v>
      </c>
      <c r="M118" s="71">
        <v>0</v>
      </c>
      <c r="N118" s="71">
        <v>0.29799999999999999</v>
      </c>
      <c r="O118" s="71">
        <v>2.3439999999999999</v>
      </c>
      <c r="P118" s="71">
        <v>39.173999999999999</v>
      </c>
      <c r="Q118" s="71">
        <v>36.245999999999995</v>
      </c>
      <c r="R118" s="71">
        <v>293.3</v>
      </c>
      <c r="S118" s="71">
        <v>0</v>
      </c>
      <c r="T118" s="71">
        <v>27.552999999999997</v>
      </c>
    </row>
    <row r="119" spans="1:20">
      <c r="A119" s="71" t="s">
        <v>4076</v>
      </c>
      <c r="B119" s="71" t="s">
        <v>6061</v>
      </c>
      <c r="C119" s="71">
        <v>116.235</v>
      </c>
      <c r="D119" s="71">
        <v>6.699999999999999E-2</v>
      </c>
      <c r="E119" s="71">
        <v>0</v>
      </c>
      <c r="F119" s="71">
        <v>0.45199999999999996</v>
      </c>
      <c r="G119" s="71">
        <v>6.5939999999999994</v>
      </c>
      <c r="H119" s="71">
        <v>0</v>
      </c>
      <c r="I119" s="71">
        <v>0</v>
      </c>
      <c r="J119" s="71">
        <v>0.69299999999999995</v>
      </c>
      <c r="K119" s="71">
        <v>0</v>
      </c>
      <c r="L119" s="71">
        <v>0</v>
      </c>
      <c r="M119" s="71">
        <v>0</v>
      </c>
      <c r="N119" s="71">
        <v>0</v>
      </c>
      <c r="O119" s="71">
        <v>0</v>
      </c>
      <c r="P119" s="71">
        <v>10.091999999999999</v>
      </c>
      <c r="Q119" s="71">
        <v>0</v>
      </c>
      <c r="R119" s="71">
        <v>82.7</v>
      </c>
      <c r="S119" s="71">
        <v>0</v>
      </c>
      <c r="T119" s="71">
        <v>5.8117499999999991</v>
      </c>
    </row>
    <row r="120" spans="1:20">
      <c r="A120" s="71" t="s">
        <v>1963</v>
      </c>
      <c r="B120" s="71" t="s">
        <v>890</v>
      </c>
      <c r="C120" s="71">
        <v>382.59199999999998</v>
      </c>
      <c r="D120" s="71">
        <v>0</v>
      </c>
      <c r="E120" s="71">
        <v>0</v>
      </c>
      <c r="F120" s="71">
        <v>0.90799999999999992</v>
      </c>
      <c r="G120" s="71">
        <v>5.6719999999999997</v>
      </c>
      <c r="H120" s="71">
        <v>0</v>
      </c>
      <c r="I120" s="71">
        <v>0</v>
      </c>
      <c r="J120" s="71">
        <v>2.5469999999999997</v>
      </c>
      <c r="K120" s="71">
        <v>0</v>
      </c>
      <c r="L120" s="71">
        <v>0</v>
      </c>
      <c r="M120" s="71">
        <v>0</v>
      </c>
      <c r="N120" s="71">
        <v>0</v>
      </c>
      <c r="O120" s="71">
        <v>0</v>
      </c>
      <c r="P120" s="71">
        <v>16.718999999999998</v>
      </c>
      <c r="Q120" s="71">
        <v>0</v>
      </c>
      <c r="R120" s="71">
        <v>68.2</v>
      </c>
      <c r="S120" s="71">
        <v>1.04</v>
      </c>
      <c r="T120" s="71">
        <v>19.129599999999996</v>
      </c>
    </row>
    <row r="121" spans="1:20">
      <c r="A121" s="71" t="s">
        <v>2000</v>
      </c>
      <c r="B121" s="71" t="s">
        <v>891</v>
      </c>
      <c r="C121" s="71">
        <v>1912.0319999999999</v>
      </c>
      <c r="D121" s="71">
        <v>7.0999999999999994E-2</v>
      </c>
      <c r="E121" s="71">
        <v>0</v>
      </c>
      <c r="F121" s="71">
        <v>1.8069999999999999</v>
      </c>
      <c r="G121" s="71">
        <v>40.305</v>
      </c>
      <c r="H121" s="71">
        <v>10.77</v>
      </c>
      <c r="I121" s="71">
        <v>0</v>
      </c>
      <c r="J121" s="71">
        <v>0</v>
      </c>
      <c r="K121" s="71">
        <v>0</v>
      </c>
      <c r="L121" s="71">
        <v>0</v>
      </c>
      <c r="M121" s="71">
        <v>0.79199999999999993</v>
      </c>
      <c r="N121" s="71">
        <v>2.8999999999999998E-2</v>
      </c>
      <c r="O121" s="71">
        <v>2.8689999999999998</v>
      </c>
      <c r="P121" s="71">
        <v>40.137999999999998</v>
      </c>
      <c r="Q121" s="71">
        <v>80.185000000000002</v>
      </c>
      <c r="R121" s="71">
        <v>405.3</v>
      </c>
      <c r="S121" s="71">
        <v>41.093999999999994</v>
      </c>
      <c r="T121" s="71">
        <v>95.601599999999991</v>
      </c>
    </row>
    <row r="122" spans="1:20">
      <c r="A122" s="71" t="s">
        <v>2002</v>
      </c>
      <c r="B122" s="71" t="s">
        <v>3852</v>
      </c>
      <c r="C122" s="71">
        <v>82.658999999999992</v>
      </c>
      <c r="D122" s="71">
        <v>0</v>
      </c>
      <c r="E122" s="71">
        <v>0</v>
      </c>
      <c r="F122" s="71">
        <v>0.27799999999999997</v>
      </c>
      <c r="G122" s="71">
        <v>0.58399999999999996</v>
      </c>
      <c r="H122" s="71">
        <v>0</v>
      </c>
      <c r="I122" s="71">
        <v>0</v>
      </c>
      <c r="J122" s="71">
        <v>0</v>
      </c>
      <c r="K122" s="71">
        <v>0</v>
      </c>
      <c r="L122" s="71">
        <v>0</v>
      </c>
      <c r="M122" s="71">
        <v>0</v>
      </c>
      <c r="N122" s="71">
        <v>0</v>
      </c>
      <c r="O122" s="71">
        <v>0</v>
      </c>
      <c r="P122" s="71">
        <v>4.8550000000000004</v>
      </c>
      <c r="Q122" s="71">
        <v>0</v>
      </c>
      <c r="R122" s="71">
        <v>56</v>
      </c>
      <c r="S122" s="71">
        <v>2.9669999999999996</v>
      </c>
      <c r="T122" s="71">
        <v>3</v>
      </c>
    </row>
    <row r="123" spans="1:20">
      <c r="A123" s="71" t="s">
        <v>1964</v>
      </c>
      <c r="B123" s="71" t="s">
        <v>892</v>
      </c>
      <c r="C123" s="71">
        <v>103.56099999999999</v>
      </c>
      <c r="D123" s="71">
        <v>0</v>
      </c>
      <c r="E123" s="71">
        <v>0</v>
      </c>
      <c r="F123" s="71">
        <v>0.33399999999999996</v>
      </c>
      <c r="G123" s="71">
        <v>2.3409999999999997</v>
      </c>
      <c r="H123" s="71">
        <v>0.47499999999999998</v>
      </c>
      <c r="I123" s="71">
        <v>0</v>
      </c>
      <c r="J123" s="71">
        <v>1.446</v>
      </c>
      <c r="K123" s="71">
        <v>0</v>
      </c>
      <c r="L123" s="71">
        <v>0</v>
      </c>
      <c r="M123" s="71">
        <v>0</v>
      </c>
      <c r="N123" s="71">
        <v>0</v>
      </c>
      <c r="O123" s="71">
        <v>0</v>
      </c>
      <c r="P123" s="71">
        <v>1.6789999999999998</v>
      </c>
      <c r="Q123" s="71">
        <v>0</v>
      </c>
      <c r="R123" s="71">
        <v>62.5</v>
      </c>
      <c r="S123" s="71">
        <v>0</v>
      </c>
      <c r="T123" s="71">
        <v>4</v>
      </c>
    </row>
    <row r="124" spans="1:20">
      <c r="A124" s="71" t="s">
        <v>2136</v>
      </c>
      <c r="B124" s="71" t="s">
        <v>7679</v>
      </c>
      <c r="C124" s="71">
        <v>12294.741</v>
      </c>
      <c r="D124" s="71">
        <v>0.97</v>
      </c>
      <c r="E124" s="71">
        <v>0</v>
      </c>
      <c r="F124" s="71">
        <v>19.571999999999999</v>
      </c>
      <c r="G124" s="71">
        <v>176.07199999999997</v>
      </c>
      <c r="H124" s="71">
        <v>48.145999999999994</v>
      </c>
      <c r="I124" s="71">
        <v>0</v>
      </c>
      <c r="J124" s="71">
        <v>4.0379999999999994</v>
      </c>
      <c r="K124" s="71">
        <v>0</v>
      </c>
      <c r="L124" s="71">
        <v>0</v>
      </c>
      <c r="M124" s="71">
        <v>14.619</v>
      </c>
      <c r="N124" s="71">
        <v>4.069</v>
      </c>
      <c r="O124" s="71">
        <v>88.656999999999996</v>
      </c>
      <c r="P124" s="71">
        <v>626.029</v>
      </c>
      <c r="Q124" s="71">
        <v>380.46</v>
      </c>
      <c r="R124" s="71">
        <v>6481.7</v>
      </c>
      <c r="S124" s="71">
        <v>1170.2109999999998</v>
      </c>
      <c r="T124" s="71">
        <v>614.73699999999997</v>
      </c>
    </row>
    <row r="125" spans="1:20">
      <c r="A125" s="71" t="s">
        <v>2966</v>
      </c>
      <c r="B125" s="71" t="s">
        <v>893</v>
      </c>
      <c r="C125" s="71">
        <v>5932.7849999999999</v>
      </c>
      <c r="D125" s="71">
        <v>1.4129999999999998</v>
      </c>
      <c r="E125" s="71">
        <v>0</v>
      </c>
      <c r="F125" s="71">
        <v>12.420999999999999</v>
      </c>
      <c r="G125" s="71">
        <v>194.06699999999998</v>
      </c>
      <c r="H125" s="71">
        <v>60.4</v>
      </c>
      <c r="I125" s="71">
        <v>0</v>
      </c>
      <c r="J125" s="71">
        <v>0</v>
      </c>
      <c r="K125" s="71">
        <v>0</v>
      </c>
      <c r="L125" s="71">
        <v>0</v>
      </c>
      <c r="M125" s="71">
        <v>0</v>
      </c>
      <c r="N125" s="71">
        <v>1.72</v>
      </c>
      <c r="O125" s="71">
        <v>5.4509999999999996</v>
      </c>
      <c r="P125" s="71">
        <v>42.308</v>
      </c>
      <c r="Q125" s="71">
        <v>242.23899999999998</v>
      </c>
      <c r="R125" s="71">
        <v>3375.2</v>
      </c>
      <c r="S125" s="71">
        <v>369.18399999999997</v>
      </c>
      <c r="T125" s="71">
        <v>296.63899999999995</v>
      </c>
    </row>
    <row r="126" spans="1:20">
      <c r="A126" s="71" t="s">
        <v>3084</v>
      </c>
      <c r="B126" s="71" t="s">
        <v>992</v>
      </c>
      <c r="C126" s="71">
        <v>717.17</v>
      </c>
      <c r="D126" s="71">
        <v>0</v>
      </c>
      <c r="E126" s="71">
        <v>0</v>
      </c>
      <c r="F126" s="71">
        <v>1.236</v>
      </c>
      <c r="G126" s="71">
        <v>17.792999999999999</v>
      </c>
      <c r="H126" s="71">
        <v>3.87</v>
      </c>
      <c r="I126" s="71">
        <v>0</v>
      </c>
      <c r="J126" s="71">
        <v>0</v>
      </c>
      <c r="K126" s="71">
        <v>0</v>
      </c>
      <c r="L126" s="71">
        <v>1.0469999999999999</v>
      </c>
      <c r="M126" s="71">
        <v>0</v>
      </c>
      <c r="N126" s="71">
        <v>0</v>
      </c>
      <c r="O126" s="71">
        <v>0</v>
      </c>
      <c r="P126" s="71">
        <v>23.415999999999997</v>
      </c>
      <c r="Q126" s="71">
        <v>36.747</v>
      </c>
      <c r="R126" s="71">
        <v>216.5</v>
      </c>
      <c r="S126" s="71">
        <v>27.035</v>
      </c>
      <c r="T126" s="71">
        <v>35.858499999999992</v>
      </c>
    </row>
    <row r="127" spans="1:20">
      <c r="A127" s="71" t="s">
        <v>6252</v>
      </c>
      <c r="B127" s="71" t="s">
        <v>1571</v>
      </c>
      <c r="C127" s="71">
        <v>12226.07</v>
      </c>
      <c r="D127" s="71">
        <v>1.1200000000000001</v>
      </c>
      <c r="E127" s="71">
        <v>0</v>
      </c>
      <c r="F127" s="71">
        <v>22.285</v>
      </c>
      <c r="G127" s="71">
        <v>345.11599999999999</v>
      </c>
      <c r="H127" s="71">
        <v>169.56599999999997</v>
      </c>
      <c r="I127" s="71">
        <v>0</v>
      </c>
      <c r="J127" s="71">
        <v>0</v>
      </c>
      <c r="K127" s="71">
        <v>0</v>
      </c>
      <c r="L127" s="71">
        <v>0</v>
      </c>
      <c r="M127" s="71">
        <v>39.523999999999994</v>
      </c>
      <c r="N127" s="71">
        <v>6.6339999999999995</v>
      </c>
      <c r="O127" s="71">
        <v>4.2829999999999995</v>
      </c>
      <c r="P127" s="71">
        <v>254.285</v>
      </c>
      <c r="Q127" s="71">
        <v>407.75599999999997</v>
      </c>
      <c r="R127" s="71">
        <v>6787.3</v>
      </c>
      <c r="S127" s="71">
        <v>909.84</v>
      </c>
      <c r="T127" s="71">
        <v>611.30349999999987</v>
      </c>
    </row>
    <row r="128" spans="1:20">
      <c r="A128" s="71" t="s">
        <v>6254</v>
      </c>
      <c r="B128" s="71" t="s">
        <v>1572</v>
      </c>
      <c r="C128" s="71">
        <v>1959.51</v>
      </c>
      <c r="D128" s="71">
        <v>0</v>
      </c>
      <c r="E128" s="71">
        <v>0</v>
      </c>
      <c r="F128" s="71">
        <v>2.5039999999999996</v>
      </c>
      <c r="G128" s="71">
        <v>43.744</v>
      </c>
      <c r="H128" s="71">
        <v>27.500999999999998</v>
      </c>
      <c r="I128" s="71">
        <v>0</v>
      </c>
      <c r="J128" s="71">
        <v>0</v>
      </c>
      <c r="K128" s="71">
        <v>0</v>
      </c>
      <c r="L128" s="71">
        <v>0</v>
      </c>
      <c r="M128" s="71">
        <v>1.569</v>
      </c>
      <c r="N128" s="71">
        <v>0</v>
      </c>
      <c r="O128" s="71">
        <v>0</v>
      </c>
      <c r="P128" s="71">
        <v>22.815000000000001</v>
      </c>
      <c r="Q128" s="71">
        <v>82.420999999999992</v>
      </c>
      <c r="R128" s="71">
        <v>837.5</v>
      </c>
      <c r="S128" s="71">
        <v>48.57</v>
      </c>
      <c r="T128" s="71">
        <v>97.975499999999997</v>
      </c>
    </row>
    <row r="129" spans="1:20">
      <c r="A129" s="71" t="s">
        <v>233</v>
      </c>
      <c r="B129" s="71" t="s">
        <v>2640</v>
      </c>
      <c r="C129" s="71">
        <v>2873.1549999999997</v>
      </c>
      <c r="D129" s="71">
        <v>0.248</v>
      </c>
      <c r="E129" s="71">
        <v>0</v>
      </c>
      <c r="F129" s="71">
        <v>6.0119999999999996</v>
      </c>
      <c r="G129" s="71">
        <v>83.956999999999994</v>
      </c>
      <c r="H129" s="71">
        <v>17.786999999999999</v>
      </c>
      <c r="I129" s="71">
        <v>0</v>
      </c>
      <c r="J129" s="71">
        <v>0.36299999999999999</v>
      </c>
      <c r="K129" s="71">
        <v>0</v>
      </c>
      <c r="L129" s="71">
        <v>0</v>
      </c>
      <c r="M129" s="71">
        <v>10.87</v>
      </c>
      <c r="N129" s="71">
        <v>0.26399999999999996</v>
      </c>
      <c r="O129" s="71">
        <v>0</v>
      </c>
      <c r="P129" s="71">
        <v>62.577999999999996</v>
      </c>
      <c r="Q129" s="71">
        <v>108.81099999999999</v>
      </c>
      <c r="R129" s="71">
        <v>1387.2</v>
      </c>
      <c r="S129" s="71">
        <v>78.047999999999988</v>
      </c>
      <c r="T129" s="71">
        <v>143.65774999999999</v>
      </c>
    </row>
    <row r="130" spans="1:20">
      <c r="A130" s="71" t="s">
        <v>6195</v>
      </c>
      <c r="B130" s="71" t="s">
        <v>5293</v>
      </c>
      <c r="C130" s="71">
        <v>14626.93</v>
      </c>
      <c r="D130" s="71">
        <v>0.55799999999999994</v>
      </c>
      <c r="E130" s="71">
        <v>0</v>
      </c>
      <c r="F130" s="71">
        <v>20.511999999999997</v>
      </c>
      <c r="G130" s="71">
        <v>285.91399999999999</v>
      </c>
      <c r="H130" s="71">
        <v>110.35899999999999</v>
      </c>
      <c r="I130" s="71">
        <v>0</v>
      </c>
      <c r="J130" s="71">
        <v>1.395</v>
      </c>
      <c r="K130" s="71">
        <v>0</v>
      </c>
      <c r="L130" s="71">
        <v>7.5789999999999997</v>
      </c>
      <c r="M130" s="71">
        <v>8.5729999999999986</v>
      </c>
      <c r="N130" s="71">
        <v>2.2769999999999997</v>
      </c>
      <c r="O130" s="71">
        <v>9.4509999999999987</v>
      </c>
      <c r="P130" s="71">
        <v>342.74</v>
      </c>
      <c r="Q130" s="71">
        <v>572.30199999999991</v>
      </c>
      <c r="R130" s="71">
        <v>2923.2</v>
      </c>
      <c r="S130" s="71">
        <v>888.09</v>
      </c>
      <c r="T130" s="71">
        <v>731.34649999999988</v>
      </c>
    </row>
    <row r="131" spans="1:20">
      <c r="A131" s="71" t="s">
        <v>6256</v>
      </c>
      <c r="B131" s="71" t="s">
        <v>1573</v>
      </c>
      <c r="C131" s="71">
        <v>148.18</v>
      </c>
      <c r="D131" s="71">
        <v>0</v>
      </c>
      <c r="E131" s="71">
        <v>0</v>
      </c>
      <c r="F131" s="71">
        <v>0.45199999999999996</v>
      </c>
      <c r="G131" s="71">
        <v>4.8969999999999994</v>
      </c>
      <c r="H131" s="71">
        <v>0.69399999999999995</v>
      </c>
      <c r="I131" s="71">
        <v>0</v>
      </c>
      <c r="J131" s="71">
        <v>0</v>
      </c>
      <c r="K131" s="71">
        <v>0</v>
      </c>
      <c r="L131" s="71">
        <v>0</v>
      </c>
      <c r="M131" s="71">
        <v>0</v>
      </c>
      <c r="N131" s="71">
        <v>0</v>
      </c>
      <c r="O131" s="71">
        <v>0</v>
      </c>
      <c r="P131" s="71">
        <v>3.1569999999999996</v>
      </c>
      <c r="Q131" s="71">
        <v>0</v>
      </c>
      <c r="R131" s="71">
        <v>124.3</v>
      </c>
      <c r="S131" s="71">
        <v>1.94</v>
      </c>
      <c r="T131" s="71">
        <v>7.4089999999999998</v>
      </c>
    </row>
    <row r="132" spans="1:20">
      <c r="A132" s="71" t="s">
        <v>6258</v>
      </c>
      <c r="B132" s="71" t="s">
        <v>7242</v>
      </c>
      <c r="C132" s="71">
        <v>0</v>
      </c>
      <c r="D132" s="71">
        <v>0</v>
      </c>
      <c r="E132" s="71">
        <v>0</v>
      </c>
      <c r="F132" s="71">
        <v>0</v>
      </c>
      <c r="G132" s="71">
        <v>0</v>
      </c>
      <c r="H132" s="71">
        <v>0</v>
      </c>
      <c r="I132" s="71">
        <v>0</v>
      </c>
      <c r="J132" s="71">
        <v>0</v>
      </c>
      <c r="K132" s="71">
        <v>0</v>
      </c>
      <c r="L132" s="71">
        <v>0</v>
      </c>
      <c r="M132" s="71">
        <v>0</v>
      </c>
      <c r="N132" s="71">
        <v>0</v>
      </c>
      <c r="O132" s="71">
        <v>0</v>
      </c>
      <c r="P132" s="71">
        <v>0</v>
      </c>
      <c r="Q132" s="71">
        <v>0</v>
      </c>
      <c r="R132" s="71">
        <v>0</v>
      </c>
      <c r="S132" s="71">
        <v>0</v>
      </c>
      <c r="T132" s="71">
        <v>0</v>
      </c>
    </row>
    <row r="133" spans="1:20">
      <c r="A133" s="71" t="s">
        <v>7243</v>
      </c>
      <c r="B133" s="71" t="s">
        <v>7244</v>
      </c>
      <c r="C133" s="71">
        <v>263.47199999999998</v>
      </c>
      <c r="D133" s="71">
        <v>0</v>
      </c>
      <c r="E133" s="71">
        <v>0</v>
      </c>
      <c r="F133" s="71">
        <v>1.2999999999999999E-2</v>
      </c>
      <c r="G133" s="71">
        <v>10.895999999999999</v>
      </c>
      <c r="H133" s="71">
        <v>0</v>
      </c>
      <c r="I133" s="71">
        <v>0</v>
      </c>
      <c r="J133" s="71">
        <v>0.28899999999999998</v>
      </c>
      <c r="K133" s="71">
        <v>0</v>
      </c>
      <c r="L133" s="71">
        <v>0</v>
      </c>
      <c r="M133" s="71">
        <v>0</v>
      </c>
      <c r="N133" s="71">
        <v>0</v>
      </c>
      <c r="O133" s="71">
        <v>0</v>
      </c>
      <c r="P133" s="71">
        <v>0</v>
      </c>
      <c r="Q133" s="71">
        <v>6.8489999999999993</v>
      </c>
      <c r="R133" s="71">
        <v>293.2</v>
      </c>
      <c r="S133" s="71">
        <v>35.160999999999994</v>
      </c>
      <c r="T133" s="71">
        <v>0</v>
      </c>
    </row>
    <row r="134" spans="1:20">
      <c r="A134" s="71" t="s">
        <v>743</v>
      </c>
      <c r="B134" s="71" t="s">
        <v>6119</v>
      </c>
      <c r="C134" s="71">
        <v>8205.3719999999994</v>
      </c>
      <c r="D134" s="71">
        <v>0.55199999999999994</v>
      </c>
      <c r="E134" s="71">
        <v>0</v>
      </c>
      <c r="F134" s="71">
        <v>10.223999999999998</v>
      </c>
      <c r="G134" s="71">
        <v>153.95599999999999</v>
      </c>
      <c r="H134" s="71">
        <v>60.922999999999995</v>
      </c>
      <c r="I134" s="71">
        <v>0</v>
      </c>
      <c r="J134" s="71">
        <v>0</v>
      </c>
      <c r="K134" s="71">
        <v>0</v>
      </c>
      <c r="L134" s="71">
        <v>0</v>
      </c>
      <c r="M134" s="71">
        <v>7.0289999999999999</v>
      </c>
      <c r="N134" s="71">
        <v>2.4059999999999997</v>
      </c>
      <c r="O134" s="71">
        <v>0</v>
      </c>
      <c r="P134" s="71">
        <v>159.309</v>
      </c>
      <c r="Q134" s="71">
        <v>271.51399999999995</v>
      </c>
      <c r="R134" s="71">
        <v>2371.3000000000002</v>
      </c>
      <c r="S134" s="71">
        <v>389.64599999999996</v>
      </c>
      <c r="T134" s="71">
        <v>410.26859999999994</v>
      </c>
    </row>
    <row r="135" spans="1:20">
      <c r="A135" s="71" t="s">
        <v>960</v>
      </c>
      <c r="B135" s="71" t="s">
        <v>2143</v>
      </c>
      <c r="C135" s="71">
        <v>13486.072999999999</v>
      </c>
      <c r="D135" s="71">
        <v>1.0459999999999998</v>
      </c>
      <c r="E135" s="71">
        <v>0</v>
      </c>
      <c r="F135" s="71">
        <v>16.861999999999998</v>
      </c>
      <c r="G135" s="71">
        <v>219.58099999999999</v>
      </c>
      <c r="H135" s="71">
        <v>107.55799999999999</v>
      </c>
      <c r="I135" s="71">
        <v>0</v>
      </c>
      <c r="J135" s="71">
        <v>7.0829999999999993</v>
      </c>
      <c r="K135" s="71">
        <v>0</v>
      </c>
      <c r="L135" s="71">
        <v>0</v>
      </c>
      <c r="M135" s="71">
        <v>5.1019999999999994</v>
      </c>
      <c r="N135" s="71">
        <v>6.0229999999999997</v>
      </c>
      <c r="O135" s="71">
        <v>19.885999999999999</v>
      </c>
      <c r="P135" s="71">
        <v>190.86599999999999</v>
      </c>
      <c r="Q135" s="71">
        <v>572.86</v>
      </c>
      <c r="R135" s="71">
        <v>9205.7000000000007</v>
      </c>
      <c r="S135" s="71">
        <v>1720.0819999999999</v>
      </c>
      <c r="T135" s="71">
        <v>674.30364999999995</v>
      </c>
    </row>
    <row r="136" spans="1:20">
      <c r="A136" s="71" t="s">
        <v>7245</v>
      </c>
      <c r="B136" s="71" t="s">
        <v>7246</v>
      </c>
      <c r="C136" s="71">
        <v>0</v>
      </c>
      <c r="D136" s="71">
        <v>0</v>
      </c>
      <c r="E136" s="71">
        <v>0</v>
      </c>
      <c r="F136" s="71">
        <v>0</v>
      </c>
      <c r="G136" s="71">
        <v>0</v>
      </c>
      <c r="H136" s="71">
        <v>0</v>
      </c>
      <c r="I136" s="71">
        <v>0</v>
      </c>
      <c r="J136" s="71">
        <v>0</v>
      </c>
      <c r="K136" s="71">
        <v>0</v>
      </c>
      <c r="L136" s="71">
        <v>0</v>
      </c>
      <c r="M136" s="71">
        <v>0</v>
      </c>
      <c r="N136" s="71">
        <v>0</v>
      </c>
      <c r="O136" s="71">
        <v>0</v>
      </c>
      <c r="P136" s="71">
        <v>0</v>
      </c>
      <c r="Q136" s="71">
        <v>0</v>
      </c>
      <c r="R136" s="71">
        <v>0</v>
      </c>
      <c r="S136" s="71">
        <v>0</v>
      </c>
      <c r="T136" s="71">
        <v>0</v>
      </c>
    </row>
    <row r="137" spans="1:20">
      <c r="A137" s="71" t="s">
        <v>6260</v>
      </c>
      <c r="B137" s="71" t="s">
        <v>107</v>
      </c>
      <c r="C137" s="71">
        <v>174.68699999999998</v>
      </c>
      <c r="D137" s="71">
        <v>0</v>
      </c>
      <c r="E137" s="71">
        <v>0</v>
      </c>
      <c r="F137" s="71">
        <v>0.19899999999999998</v>
      </c>
      <c r="G137" s="71">
        <v>4.1569999999999991</v>
      </c>
      <c r="H137" s="71">
        <v>0</v>
      </c>
      <c r="I137" s="71">
        <v>0</v>
      </c>
      <c r="J137" s="71">
        <v>0</v>
      </c>
      <c r="K137" s="71">
        <v>0</v>
      </c>
      <c r="L137" s="71">
        <v>0</v>
      </c>
      <c r="M137" s="71">
        <v>0.59299999999999997</v>
      </c>
      <c r="N137" s="71">
        <v>0</v>
      </c>
      <c r="O137" s="71">
        <v>0</v>
      </c>
      <c r="P137" s="71">
        <v>5.327</v>
      </c>
      <c r="Q137" s="71">
        <v>0</v>
      </c>
      <c r="R137" s="71">
        <v>159.30000000000001</v>
      </c>
      <c r="S137" s="71">
        <v>78.277999999999992</v>
      </c>
      <c r="T137" s="71">
        <v>8.734</v>
      </c>
    </row>
    <row r="138" spans="1:20">
      <c r="A138" s="71" t="s">
        <v>6262</v>
      </c>
      <c r="B138" s="71" t="s">
        <v>108</v>
      </c>
      <c r="C138" s="71">
        <v>939.49399999999991</v>
      </c>
      <c r="D138" s="71">
        <v>0.35799999999999998</v>
      </c>
      <c r="E138" s="71">
        <v>0</v>
      </c>
      <c r="F138" s="71">
        <v>1.6329999999999998</v>
      </c>
      <c r="G138" s="71">
        <v>37.092999999999996</v>
      </c>
      <c r="H138" s="71">
        <v>6.2949999999999999</v>
      </c>
      <c r="I138" s="71">
        <v>0</v>
      </c>
      <c r="J138" s="71">
        <v>0</v>
      </c>
      <c r="K138" s="71">
        <v>0</v>
      </c>
      <c r="L138" s="71">
        <v>0</v>
      </c>
      <c r="M138" s="71">
        <v>0</v>
      </c>
      <c r="N138" s="71">
        <v>0.41899999999999998</v>
      </c>
      <c r="O138" s="71">
        <v>0</v>
      </c>
      <c r="P138" s="71">
        <v>17.290999999999997</v>
      </c>
      <c r="Q138" s="71">
        <v>57.28</v>
      </c>
      <c r="R138" s="71">
        <v>583.79999999999995</v>
      </c>
      <c r="S138" s="71">
        <v>55.035999999999994</v>
      </c>
      <c r="T138" s="71">
        <v>46.974699999999991</v>
      </c>
    </row>
    <row r="139" spans="1:20">
      <c r="A139" s="71" t="s">
        <v>6264</v>
      </c>
      <c r="B139" s="71" t="s">
        <v>3792</v>
      </c>
      <c r="C139" s="71">
        <v>57.533999999999999</v>
      </c>
      <c r="D139" s="71">
        <v>0</v>
      </c>
      <c r="E139" s="71">
        <v>0</v>
      </c>
      <c r="F139" s="71">
        <v>8.299999999999999E-2</v>
      </c>
      <c r="G139" s="71">
        <v>0.89699999999999991</v>
      </c>
      <c r="H139" s="71">
        <v>0</v>
      </c>
      <c r="I139" s="71">
        <v>0</v>
      </c>
      <c r="J139" s="71">
        <v>0</v>
      </c>
      <c r="K139" s="71">
        <v>0</v>
      </c>
      <c r="L139" s="71">
        <v>0</v>
      </c>
      <c r="M139" s="71">
        <v>0</v>
      </c>
      <c r="N139" s="71">
        <v>0</v>
      </c>
      <c r="O139" s="71">
        <v>0</v>
      </c>
      <c r="P139" s="71">
        <v>7.3929999999999998</v>
      </c>
      <c r="Q139" s="71">
        <v>0.92199999999999993</v>
      </c>
      <c r="R139" s="71">
        <v>43.7</v>
      </c>
      <c r="S139" s="71">
        <v>4.194</v>
      </c>
      <c r="T139" s="71">
        <v>1</v>
      </c>
    </row>
    <row r="140" spans="1:20">
      <c r="A140" s="71" t="s">
        <v>6266</v>
      </c>
      <c r="B140" s="71" t="s">
        <v>3793</v>
      </c>
      <c r="C140" s="71">
        <v>17.55</v>
      </c>
      <c r="D140" s="71">
        <v>0</v>
      </c>
      <c r="E140" s="71">
        <v>0</v>
      </c>
      <c r="F140" s="71">
        <v>2.5000000000000001E-2</v>
      </c>
      <c r="G140" s="71">
        <v>0.92399999999999993</v>
      </c>
      <c r="H140" s="71">
        <v>0</v>
      </c>
      <c r="I140" s="71">
        <v>0</v>
      </c>
      <c r="J140" s="71">
        <v>0</v>
      </c>
      <c r="K140" s="71">
        <v>0</v>
      </c>
      <c r="L140" s="71">
        <v>0</v>
      </c>
      <c r="M140" s="71">
        <v>0</v>
      </c>
      <c r="N140" s="71">
        <v>0</v>
      </c>
      <c r="O140" s="71">
        <v>0</v>
      </c>
      <c r="P140" s="71">
        <v>0</v>
      </c>
      <c r="Q140" s="71">
        <v>0</v>
      </c>
      <c r="R140" s="71">
        <v>3.3</v>
      </c>
      <c r="S140" s="71">
        <v>0</v>
      </c>
      <c r="T140" s="71">
        <v>0.87749999999999995</v>
      </c>
    </row>
    <row r="141" spans="1:20">
      <c r="A141" s="71" t="s">
        <v>6268</v>
      </c>
      <c r="B141" s="71" t="s">
        <v>3794</v>
      </c>
      <c r="C141" s="71">
        <v>201.93099999999998</v>
      </c>
      <c r="D141" s="71">
        <v>0</v>
      </c>
      <c r="E141" s="71">
        <v>0</v>
      </c>
      <c r="F141" s="71">
        <v>0.46599999999999997</v>
      </c>
      <c r="G141" s="71">
        <v>6.7729999999999997</v>
      </c>
      <c r="H141" s="71">
        <v>0</v>
      </c>
      <c r="I141" s="71">
        <v>0</v>
      </c>
      <c r="J141" s="71">
        <v>0</v>
      </c>
      <c r="K141" s="71">
        <v>0</v>
      </c>
      <c r="L141" s="71">
        <v>0</v>
      </c>
      <c r="M141" s="71">
        <v>0</v>
      </c>
      <c r="N141" s="71">
        <v>0</v>
      </c>
      <c r="O141" s="71">
        <v>0</v>
      </c>
      <c r="P141" s="71">
        <v>1.04</v>
      </c>
      <c r="Q141" s="71">
        <v>16.480999999999998</v>
      </c>
      <c r="R141" s="71">
        <v>112.3</v>
      </c>
      <c r="S141" s="71">
        <v>18.421999999999997</v>
      </c>
      <c r="T141" s="71">
        <v>10.096549999999999</v>
      </c>
    </row>
    <row r="142" spans="1:20">
      <c r="A142" s="71" t="s">
        <v>7247</v>
      </c>
      <c r="B142" s="71" t="s">
        <v>7248</v>
      </c>
      <c r="C142" s="71">
        <v>73.319999999999993</v>
      </c>
      <c r="D142" s="71">
        <v>0</v>
      </c>
      <c r="E142" s="71">
        <v>0</v>
      </c>
      <c r="F142" s="71">
        <v>4.8999999999999995E-2</v>
      </c>
      <c r="G142" s="71">
        <v>2.5939999999999999</v>
      </c>
      <c r="H142" s="71">
        <v>0</v>
      </c>
      <c r="I142" s="71">
        <v>0</v>
      </c>
      <c r="J142" s="71">
        <v>0</v>
      </c>
      <c r="K142" s="71">
        <v>0</v>
      </c>
      <c r="L142" s="71">
        <v>0</v>
      </c>
      <c r="M142" s="71">
        <v>0</v>
      </c>
      <c r="N142" s="71">
        <v>0</v>
      </c>
      <c r="O142" s="71">
        <v>0</v>
      </c>
      <c r="P142" s="71">
        <v>0</v>
      </c>
      <c r="Q142" s="71">
        <v>0</v>
      </c>
      <c r="R142" s="71">
        <v>0</v>
      </c>
      <c r="S142" s="71">
        <v>8.0069999999999997</v>
      </c>
      <c r="T142" s="71">
        <v>0</v>
      </c>
    </row>
    <row r="143" spans="1:20">
      <c r="A143" s="71" t="s">
        <v>6270</v>
      </c>
      <c r="B143" s="71" t="s">
        <v>3795</v>
      </c>
      <c r="C143" s="71">
        <v>1485.4319999999998</v>
      </c>
      <c r="D143" s="71">
        <v>0.58399999999999996</v>
      </c>
      <c r="E143" s="71">
        <v>0</v>
      </c>
      <c r="F143" s="71">
        <v>3.6229999999999998</v>
      </c>
      <c r="G143" s="71">
        <v>59.145000000000003</v>
      </c>
      <c r="H143" s="71">
        <v>16.407999999999998</v>
      </c>
      <c r="I143" s="71">
        <v>0</v>
      </c>
      <c r="J143" s="71">
        <v>0</v>
      </c>
      <c r="K143" s="71">
        <v>0</v>
      </c>
      <c r="L143" s="71">
        <v>0</v>
      </c>
      <c r="M143" s="71">
        <v>0</v>
      </c>
      <c r="N143" s="71">
        <v>0.53</v>
      </c>
      <c r="O143" s="71">
        <v>0</v>
      </c>
      <c r="P143" s="71">
        <v>24.167999999999999</v>
      </c>
      <c r="Q143" s="71">
        <v>61.988</v>
      </c>
      <c r="R143" s="71">
        <v>1434</v>
      </c>
      <c r="S143" s="71">
        <v>49.562999999999995</v>
      </c>
      <c r="T143" s="71">
        <v>74.271599999999992</v>
      </c>
    </row>
    <row r="144" spans="1:20">
      <c r="A144" s="71" t="s">
        <v>6272</v>
      </c>
      <c r="B144" s="71" t="s">
        <v>3796</v>
      </c>
      <c r="C144" s="71">
        <v>1076.7829999999999</v>
      </c>
      <c r="D144" s="71">
        <v>7.4999999999999997E-2</v>
      </c>
      <c r="E144" s="71">
        <v>0</v>
      </c>
      <c r="F144" s="71">
        <v>2.4089999999999998</v>
      </c>
      <c r="G144" s="71">
        <v>49.145000000000003</v>
      </c>
      <c r="H144" s="71">
        <v>5.4319999999999995</v>
      </c>
      <c r="I144" s="71">
        <v>0</v>
      </c>
      <c r="J144" s="71">
        <v>5.0879999999999992</v>
      </c>
      <c r="K144" s="71">
        <v>0</v>
      </c>
      <c r="L144" s="71">
        <v>0</v>
      </c>
      <c r="M144" s="71">
        <v>0.59299999999999997</v>
      </c>
      <c r="N144" s="71">
        <v>0</v>
      </c>
      <c r="O144" s="71">
        <v>14.130999999999998</v>
      </c>
      <c r="P144" s="71">
        <v>22.077999999999999</v>
      </c>
      <c r="Q144" s="71">
        <v>58.022999999999996</v>
      </c>
      <c r="R144" s="71">
        <v>605.20000000000005</v>
      </c>
      <c r="S144" s="71">
        <v>17.002999999999997</v>
      </c>
      <c r="T144" s="71">
        <v>53.838999999999999</v>
      </c>
    </row>
    <row r="145" spans="1:20">
      <c r="A145" s="71" t="s">
        <v>2291</v>
      </c>
      <c r="B145" s="71" t="s">
        <v>3797</v>
      </c>
      <c r="C145" s="71">
        <v>3259.875</v>
      </c>
      <c r="D145" s="71">
        <v>0.315</v>
      </c>
      <c r="E145" s="71">
        <v>0</v>
      </c>
      <c r="F145" s="71">
        <v>5.7409999999999997</v>
      </c>
      <c r="G145" s="71">
        <v>73.236999999999995</v>
      </c>
      <c r="H145" s="71">
        <v>28.024999999999999</v>
      </c>
      <c r="I145" s="71">
        <v>0</v>
      </c>
      <c r="J145" s="71">
        <v>0</v>
      </c>
      <c r="K145" s="71">
        <v>0</v>
      </c>
      <c r="L145" s="71">
        <v>0</v>
      </c>
      <c r="M145" s="71">
        <v>5.6689999999999996</v>
      </c>
      <c r="N145" s="71">
        <v>0.67899999999999994</v>
      </c>
      <c r="O145" s="71">
        <v>47.936</v>
      </c>
      <c r="P145" s="71">
        <v>86.241</v>
      </c>
      <c r="Q145" s="71">
        <v>138.26299999999998</v>
      </c>
      <c r="R145" s="71">
        <v>2201.3000000000002</v>
      </c>
      <c r="S145" s="71">
        <v>50.441999999999993</v>
      </c>
      <c r="T145" s="71">
        <v>162.99375000000001</v>
      </c>
    </row>
    <row r="146" spans="1:20">
      <c r="A146" s="71" t="s">
        <v>954</v>
      </c>
      <c r="B146" s="71" t="s">
        <v>7659</v>
      </c>
      <c r="C146" s="71">
        <v>227.63699999999997</v>
      </c>
      <c r="D146" s="71">
        <v>0.15</v>
      </c>
      <c r="E146" s="71">
        <v>0</v>
      </c>
      <c r="F146" s="71">
        <v>0.46799999999999997</v>
      </c>
      <c r="G146" s="71">
        <v>11.502999999999998</v>
      </c>
      <c r="H146" s="71">
        <v>0.184</v>
      </c>
      <c r="I146" s="71">
        <v>0</v>
      </c>
      <c r="J146" s="71">
        <v>3.2579999999999996</v>
      </c>
      <c r="K146" s="71">
        <v>0</v>
      </c>
      <c r="L146" s="71">
        <v>0</v>
      </c>
      <c r="M146" s="71">
        <v>0</v>
      </c>
      <c r="N146" s="71">
        <v>0</v>
      </c>
      <c r="O146" s="71">
        <v>12.792</v>
      </c>
      <c r="P146" s="71">
        <v>3.3689999999999998</v>
      </c>
      <c r="Q146" s="71">
        <v>7.9359999999999999</v>
      </c>
      <c r="R146" s="71">
        <v>170.5</v>
      </c>
      <c r="S146" s="71">
        <v>11.952</v>
      </c>
      <c r="T146" s="71">
        <v>11.381849999999998</v>
      </c>
    </row>
    <row r="147" spans="1:20">
      <c r="A147" s="71" t="s">
        <v>6166</v>
      </c>
      <c r="B147" s="71" t="s">
        <v>6071</v>
      </c>
      <c r="C147" s="71">
        <v>253.77099999999999</v>
      </c>
      <c r="D147" s="71">
        <v>0</v>
      </c>
      <c r="E147" s="71">
        <v>0</v>
      </c>
      <c r="F147" s="71">
        <v>0.40299999999999997</v>
      </c>
      <c r="G147" s="71">
        <v>10.943</v>
      </c>
      <c r="H147" s="71">
        <v>1.8769999999999998</v>
      </c>
      <c r="I147" s="71">
        <v>0</v>
      </c>
      <c r="J147" s="71">
        <v>0</v>
      </c>
      <c r="K147" s="71">
        <v>0</v>
      </c>
      <c r="L147" s="71">
        <v>0</v>
      </c>
      <c r="M147" s="71">
        <v>0</v>
      </c>
      <c r="N147" s="71">
        <v>0</v>
      </c>
      <c r="O147" s="71">
        <v>2.6389999999999998</v>
      </c>
      <c r="P147" s="71">
        <v>5.29</v>
      </c>
      <c r="Q147" s="71">
        <v>15.302</v>
      </c>
      <c r="R147" s="71">
        <v>155.69999999999999</v>
      </c>
      <c r="S147" s="71">
        <v>4.9089999999999998</v>
      </c>
      <c r="T147" s="71">
        <v>12.688549999999999</v>
      </c>
    </row>
    <row r="148" spans="1:20">
      <c r="A148" s="71" t="s">
        <v>864</v>
      </c>
      <c r="B148" s="71" t="s">
        <v>2011</v>
      </c>
      <c r="C148" s="71">
        <v>181.17899999999997</v>
      </c>
      <c r="D148" s="71">
        <v>0</v>
      </c>
      <c r="E148" s="71">
        <v>0</v>
      </c>
      <c r="F148" s="71">
        <v>0.25599999999999995</v>
      </c>
      <c r="G148" s="71">
        <v>9.3849999999999998</v>
      </c>
      <c r="H148" s="71">
        <v>0</v>
      </c>
      <c r="I148" s="71">
        <v>0</v>
      </c>
      <c r="J148" s="71">
        <v>1.2289999999999999</v>
      </c>
      <c r="K148" s="71">
        <v>0</v>
      </c>
      <c r="L148" s="71">
        <v>0</v>
      </c>
      <c r="M148" s="71">
        <v>0</v>
      </c>
      <c r="N148" s="71">
        <v>0</v>
      </c>
      <c r="O148" s="71">
        <v>0</v>
      </c>
      <c r="P148" s="71">
        <v>0.52500000000000002</v>
      </c>
      <c r="Q148" s="71">
        <v>19.590999999999998</v>
      </c>
      <c r="R148" s="71">
        <v>116.8</v>
      </c>
      <c r="S148" s="71">
        <v>0.96</v>
      </c>
      <c r="T148" s="71">
        <v>9.0589499999999994</v>
      </c>
    </row>
    <row r="149" spans="1:20">
      <c r="A149" s="71" t="s">
        <v>3085</v>
      </c>
      <c r="B149" s="71" t="s">
        <v>2141</v>
      </c>
      <c r="C149" s="71">
        <v>206.68899999999999</v>
      </c>
      <c r="D149" s="71">
        <v>0</v>
      </c>
      <c r="E149" s="71">
        <v>0</v>
      </c>
      <c r="F149" s="71">
        <v>0.20899999999999999</v>
      </c>
      <c r="G149" s="71">
        <v>5.41</v>
      </c>
      <c r="H149" s="71">
        <v>0</v>
      </c>
      <c r="I149" s="71">
        <v>0</v>
      </c>
      <c r="J149" s="71">
        <v>0</v>
      </c>
      <c r="K149" s="71">
        <v>0</v>
      </c>
      <c r="L149" s="71">
        <v>0</v>
      </c>
      <c r="M149" s="71">
        <v>0</v>
      </c>
      <c r="N149" s="71">
        <v>0</v>
      </c>
      <c r="O149" s="71">
        <v>4.4979999999999993</v>
      </c>
      <c r="P149" s="71">
        <v>6.7329999999999997</v>
      </c>
      <c r="Q149" s="71">
        <v>5.4249999999999998</v>
      </c>
      <c r="R149" s="71">
        <v>136.5</v>
      </c>
      <c r="S149" s="71">
        <v>0</v>
      </c>
      <c r="T149" s="71">
        <v>8</v>
      </c>
    </row>
    <row r="150" spans="1:20">
      <c r="A150" s="71" t="s">
        <v>1518</v>
      </c>
      <c r="B150" s="71" t="s">
        <v>3012</v>
      </c>
      <c r="C150" s="71">
        <v>1264.2819999999999</v>
      </c>
      <c r="D150" s="71">
        <v>0</v>
      </c>
      <c r="E150" s="71">
        <v>0</v>
      </c>
      <c r="F150" s="71">
        <v>2.6969999999999996</v>
      </c>
      <c r="G150" s="71">
        <v>35.581999999999994</v>
      </c>
      <c r="H150" s="71">
        <v>15.81</v>
      </c>
      <c r="I150" s="71">
        <v>0</v>
      </c>
      <c r="J150" s="71">
        <v>0</v>
      </c>
      <c r="K150" s="71">
        <v>0</v>
      </c>
      <c r="L150" s="71">
        <v>0</v>
      </c>
      <c r="M150" s="71">
        <v>2.78</v>
      </c>
      <c r="N150" s="71">
        <v>0.30599999999999999</v>
      </c>
      <c r="O150" s="71">
        <v>22.36</v>
      </c>
      <c r="P150" s="71">
        <v>27.308</v>
      </c>
      <c r="Q150" s="71">
        <v>57.570999999999998</v>
      </c>
      <c r="R150" s="71">
        <v>523.79999999999995</v>
      </c>
      <c r="S150" s="71">
        <v>14.205</v>
      </c>
      <c r="T150" s="71">
        <v>63.213999999999999</v>
      </c>
    </row>
    <row r="151" spans="1:20">
      <c r="A151" s="71" t="s">
        <v>7249</v>
      </c>
      <c r="B151" s="71" t="s">
        <v>7250</v>
      </c>
      <c r="C151" s="71">
        <v>331</v>
      </c>
      <c r="D151" s="71">
        <v>0</v>
      </c>
      <c r="E151" s="71">
        <v>0</v>
      </c>
      <c r="F151" s="71">
        <v>0</v>
      </c>
      <c r="G151" s="71">
        <v>0</v>
      </c>
      <c r="H151" s="71">
        <v>0</v>
      </c>
      <c r="I151" s="71">
        <v>0</v>
      </c>
      <c r="J151" s="71">
        <v>0</v>
      </c>
      <c r="K151" s="71">
        <v>0</v>
      </c>
      <c r="L151" s="71">
        <v>0</v>
      </c>
      <c r="M151" s="71">
        <v>0</v>
      </c>
      <c r="N151" s="71">
        <v>0</v>
      </c>
      <c r="O151" s="71">
        <v>0</v>
      </c>
      <c r="P151" s="71">
        <v>0</v>
      </c>
      <c r="Q151" s="71">
        <v>0</v>
      </c>
      <c r="R151" s="71">
        <v>0</v>
      </c>
      <c r="S151" s="71">
        <v>0</v>
      </c>
      <c r="T151" s="71">
        <v>0</v>
      </c>
    </row>
    <row r="152" spans="1:20">
      <c r="A152" s="71" t="s">
        <v>7251</v>
      </c>
      <c r="B152" s="71" t="s">
        <v>7250</v>
      </c>
      <c r="C152" s="71">
        <v>106</v>
      </c>
      <c r="D152" s="71">
        <v>0</v>
      </c>
      <c r="E152" s="71">
        <v>0</v>
      </c>
      <c r="F152" s="71">
        <v>0</v>
      </c>
      <c r="G152" s="71">
        <v>0</v>
      </c>
      <c r="H152" s="71">
        <v>0</v>
      </c>
      <c r="I152" s="71">
        <v>0</v>
      </c>
      <c r="J152" s="71">
        <v>0</v>
      </c>
      <c r="K152" s="71">
        <v>0</v>
      </c>
      <c r="L152" s="71">
        <v>0</v>
      </c>
      <c r="M152" s="71">
        <v>0</v>
      </c>
      <c r="N152" s="71">
        <v>0</v>
      </c>
      <c r="O152" s="71">
        <v>0</v>
      </c>
      <c r="P152" s="71">
        <v>0</v>
      </c>
      <c r="Q152" s="71">
        <v>0</v>
      </c>
      <c r="R152" s="71">
        <v>0</v>
      </c>
      <c r="S152" s="71">
        <v>0</v>
      </c>
      <c r="T152" s="71">
        <v>0</v>
      </c>
    </row>
    <row r="153" spans="1:20">
      <c r="A153" s="71" t="s">
        <v>2293</v>
      </c>
      <c r="B153" s="71" t="s">
        <v>3798</v>
      </c>
      <c r="C153" s="71">
        <v>1790.16</v>
      </c>
      <c r="D153" s="71">
        <v>0.20899999999999999</v>
      </c>
      <c r="E153" s="71">
        <v>0</v>
      </c>
      <c r="F153" s="71">
        <v>3.6709999999999998</v>
      </c>
      <c r="G153" s="71">
        <v>42.330999999999996</v>
      </c>
      <c r="H153" s="71">
        <v>20.462</v>
      </c>
      <c r="I153" s="71">
        <v>0</v>
      </c>
      <c r="J153" s="71">
        <v>0</v>
      </c>
      <c r="K153" s="71">
        <v>0</v>
      </c>
      <c r="L153" s="71">
        <v>0</v>
      </c>
      <c r="M153" s="71">
        <v>7.84</v>
      </c>
      <c r="N153" s="71">
        <v>0.35499999999999998</v>
      </c>
      <c r="O153" s="71">
        <v>1.2069999999999999</v>
      </c>
      <c r="P153" s="71">
        <v>70.030999999999992</v>
      </c>
      <c r="Q153" s="71">
        <v>103.89099999999999</v>
      </c>
      <c r="R153" s="71">
        <v>1000.5</v>
      </c>
      <c r="S153" s="71">
        <v>130.48299999999998</v>
      </c>
      <c r="T153" s="71">
        <v>89.507999999999996</v>
      </c>
    </row>
    <row r="154" spans="1:20">
      <c r="A154" s="71" t="s">
        <v>2295</v>
      </c>
      <c r="B154" s="71" t="s">
        <v>3799</v>
      </c>
      <c r="C154" s="71">
        <v>582.31099999999992</v>
      </c>
      <c r="D154" s="71">
        <v>9.999999999999998E-4</v>
      </c>
      <c r="E154" s="71">
        <v>0</v>
      </c>
      <c r="F154" s="71">
        <v>0.61099999999999999</v>
      </c>
      <c r="G154" s="71">
        <v>23.081</v>
      </c>
      <c r="H154" s="71">
        <v>1.6519999999999999</v>
      </c>
      <c r="I154" s="71">
        <v>0</v>
      </c>
      <c r="J154" s="71">
        <v>0</v>
      </c>
      <c r="K154" s="71">
        <v>0</v>
      </c>
      <c r="L154" s="71">
        <v>0</v>
      </c>
      <c r="M154" s="71">
        <v>0.90299999999999991</v>
      </c>
      <c r="N154" s="71">
        <v>0</v>
      </c>
      <c r="O154" s="71">
        <v>0</v>
      </c>
      <c r="P154" s="71">
        <v>13.998999999999999</v>
      </c>
      <c r="Q154" s="71">
        <v>29.927999999999997</v>
      </c>
      <c r="R154" s="71">
        <v>381</v>
      </c>
      <c r="S154" s="71">
        <v>9.7559999999999985</v>
      </c>
      <c r="T154" s="71">
        <v>29.115549999999995</v>
      </c>
    </row>
    <row r="155" spans="1:20">
      <c r="A155" s="71" t="s">
        <v>2297</v>
      </c>
      <c r="B155" s="71" t="s">
        <v>3800</v>
      </c>
      <c r="C155" s="71">
        <v>465.99399999999997</v>
      </c>
      <c r="D155" s="71">
        <v>0</v>
      </c>
      <c r="E155" s="71">
        <v>0</v>
      </c>
      <c r="F155" s="71">
        <v>0.81799999999999995</v>
      </c>
      <c r="G155" s="71">
        <v>21.8</v>
      </c>
      <c r="H155" s="71">
        <v>1.2659999999999998</v>
      </c>
      <c r="I155" s="71">
        <v>0</v>
      </c>
      <c r="J155" s="71">
        <v>8.6999999999999994E-2</v>
      </c>
      <c r="K155" s="71">
        <v>0</v>
      </c>
      <c r="L155" s="71">
        <v>0</v>
      </c>
      <c r="M155" s="71">
        <v>3.6419999999999999</v>
      </c>
      <c r="N155" s="71">
        <v>0</v>
      </c>
      <c r="O155" s="71">
        <v>0</v>
      </c>
      <c r="P155" s="71">
        <v>7.5129999999999999</v>
      </c>
      <c r="Q155" s="71">
        <v>21.186999999999998</v>
      </c>
      <c r="R155" s="71">
        <v>337.8</v>
      </c>
      <c r="S155" s="71">
        <v>19.415999999999997</v>
      </c>
      <c r="T155" s="71">
        <v>23.299699999999998</v>
      </c>
    </row>
    <row r="156" spans="1:20">
      <c r="A156" s="71" t="s">
        <v>978</v>
      </c>
      <c r="B156" s="71" t="s">
        <v>2148</v>
      </c>
      <c r="C156" s="71">
        <v>3026.0189999999998</v>
      </c>
      <c r="D156" s="71">
        <v>0.31899999999999995</v>
      </c>
      <c r="E156" s="71">
        <v>0</v>
      </c>
      <c r="F156" s="71">
        <v>4.4859999999999998</v>
      </c>
      <c r="G156" s="71">
        <v>75.178999999999988</v>
      </c>
      <c r="H156" s="71">
        <v>17.863999999999997</v>
      </c>
      <c r="I156" s="71">
        <v>0</v>
      </c>
      <c r="J156" s="71">
        <v>0</v>
      </c>
      <c r="K156" s="71">
        <v>0</v>
      </c>
      <c r="L156" s="71">
        <v>0</v>
      </c>
      <c r="M156" s="71">
        <v>17.407999999999998</v>
      </c>
      <c r="N156" s="71">
        <v>0.68899999999999995</v>
      </c>
      <c r="O156" s="71">
        <v>11.877999999999998</v>
      </c>
      <c r="P156" s="71">
        <v>207.36199999999999</v>
      </c>
      <c r="Q156" s="71">
        <v>161.13399999999999</v>
      </c>
      <c r="R156" s="71">
        <v>1427</v>
      </c>
      <c r="S156" s="71">
        <v>128.55000000000001</v>
      </c>
      <c r="T156" s="71">
        <v>151.30094999999997</v>
      </c>
    </row>
    <row r="157" spans="1:20">
      <c r="A157" s="71" t="s">
        <v>3003</v>
      </c>
      <c r="B157" s="71" t="s">
        <v>6063</v>
      </c>
      <c r="C157" s="71">
        <v>3614.9839999999999</v>
      </c>
      <c r="D157" s="71">
        <v>0.56999999999999995</v>
      </c>
      <c r="E157" s="71">
        <v>0</v>
      </c>
      <c r="F157" s="71">
        <v>7.2989999999999995</v>
      </c>
      <c r="G157" s="71">
        <v>84.37</v>
      </c>
      <c r="H157" s="71">
        <v>32.787999999999997</v>
      </c>
      <c r="I157" s="71">
        <v>0</v>
      </c>
      <c r="J157" s="71">
        <v>0</v>
      </c>
      <c r="K157" s="71">
        <v>0</v>
      </c>
      <c r="L157" s="71">
        <v>0</v>
      </c>
      <c r="M157" s="71">
        <v>11.585999999999999</v>
      </c>
      <c r="N157" s="71">
        <v>1.4</v>
      </c>
      <c r="O157" s="71">
        <v>1.155</v>
      </c>
      <c r="P157" s="71">
        <v>103.72799999999999</v>
      </c>
      <c r="Q157" s="71">
        <v>189.30399999999997</v>
      </c>
      <c r="R157" s="71">
        <v>2031.5</v>
      </c>
      <c r="S157" s="71">
        <v>371.68199999999996</v>
      </c>
      <c r="T157" s="71">
        <v>180.749</v>
      </c>
    </row>
    <row r="158" spans="1:20">
      <c r="A158" s="71" t="s">
        <v>2993</v>
      </c>
      <c r="B158" s="71" t="s">
        <v>196</v>
      </c>
      <c r="C158" s="71">
        <v>4198.2359999999999</v>
      </c>
      <c r="D158" s="71">
        <v>0.46899999999999997</v>
      </c>
      <c r="E158" s="71">
        <v>0</v>
      </c>
      <c r="F158" s="71">
        <v>8.7149999999999999</v>
      </c>
      <c r="G158" s="71">
        <v>180.31399999999999</v>
      </c>
      <c r="H158" s="71">
        <v>38.491</v>
      </c>
      <c r="I158" s="71">
        <v>0</v>
      </c>
      <c r="J158" s="71">
        <v>0</v>
      </c>
      <c r="K158" s="71">
        <v>0</v>
      </c>
      <c r="L158" s="71">
        <v>0</v>
      </c>
      <c r="M158" s="71">
        <v>3.7739999999999996</v>
      </c>
      <c r="N158" s="71">
        <v>4.0169999999999995</v>
      </c>
      <c r="O158" s="71">
        <v>29.166999999999998</v>
      </c>
      <c r="P158" s="71">
        <v>21.698999999999998</v>
      </c>
      <c r="Q158" s="71">
        <v>175.34099999999998</v>
      </c>
      <c r="R158" s="71">
        <v>2657</v>
      </c>
      <c r="S158" s="71">
        <v>199.83799999999999</v>
      </c>
      <c r="T158" s="71">
        <v>209.91179999999997</v>
      </c>
    </row>
    <row r="159" spans="1:20">
      <c r="A159" s="71" t="s">
        <v>518</v>
      </c>
      <c r="B159" s="71" t="s">
        <v>6056</v>
      </c>
      <c r="C159" s="71">
        <v>1465.5529999999999</v>
      </c>
      <c r="D159" s="71">
        <v>0.19699999999999998</v>
      </c>
      <c r="E159" s="71">
        <v>0</v>
      </c>
      <c r="F159" s="71">
        <v>1.742</v>
      </c>
      <c r="G159" s="71">
        <v>46.133999999999993</v>
      </c>
      <c r="H159" s="71">
        <v>4.2269999999999994</v>
      </c>
      <c r="I159" s="71">
        <v>0</v>
      </c>
      <c r="J159" s="71">
        <v>0</v>
      </c>
      <c r="K159" s="71">
        <v>0</v>
      </c>
      <c r="L159" s="71">
        <v>0</v>
      </c>
      <c r="M159" s="71">
        <v>2.9039999999999999</v>
      </c>
      <c r="N159" s="71">
        <v>0.85</v>
      </c>
      <c r="O159" s="71">
        <v>6.0629999999999997</v>
      </c>
      <c r="P159" s="71">
        <v>22.677999999999997</v>
      </c>
      <c r="Q159" s="71">
        <v>68.73899999999999</v>
      </c>
      <c r="R159" s="71">
        <v>1020.8</v>
      </c>
      <c r="S159" s="71">
        <v>132.29</v>
      </c>
      <c r="T159" s="71">
        <v>73.277649999999994</v>
      </c>
    </row>
    <row r="160" spans="1:20">
      <c r="A160" s="71" t="s">
        <v>2299</v>
      </c>
      <c r="B160" s="71" t="s">
        <v>3801</v>
      </c>
      <c r="C160" s="71">
        <v>192.2</v>
      </c>
      <c r="D160" s="71">
        <v>0</v>
      </c>
      <c r="E160" s="71">
        <v>0</v>
      </c>
      <c r="F160" s="71">
        <v>0.495</v>
      </c>
      <c r="G160" s="71">
        <v>3.6019999999999999</v>
      </c>
      <c r="H160" s="71">
        <v>0</v>
      </c>
      <c r="I160" s="71">
        <v>0</v>
      </c>
      <c r="J160" s="71">
        <v>0</v>
      </c>
      <c r="K160" s="71">
        <v>0</v>
      </c>
      <c r="L160" s="71">
        <v>0</v>
      </c>
      <c r="M160" s="71">
        <v>0</v>
      </c>
      <c r="N160" s="71">
        <v>0.16299999999999998</v>
      </c>
      <c r="O160" s="71">
        <v>0</v>
      </c>
      <c r="P160" s="71">
        <v>1.3019999999999998</v>
      </c>
      <c r="Q160" s="71">
        <v>4.1550000000000002</v>
      </c>
      <c r="R160" s="71">
        <v>157.5</v>
      </c>
      <c r="S160" s="71">
        <v>0.97199999999999998</v>
      </c>
      <c r="T160" s="71">
        <v>9.61</v>
      </c>
    </row>
    <row r="161" spans="1:20">
      <c r="A161" s="71" t="s">
        <v>3971</v>
      </c>
      <c r="B161" s="71" t="s">
        <v>3802</v>
      </c>
      <c r="C161" s="71">
        <v>3969.694</v>
      </c>
      <c r="D161" s="71">
        <v>0.33099999999999996</v>
      </c>
      <c r="E161" s="71">
        <v>0</v>
      </c>
      <c r="F161" s="71">
        <v>5.5629999999999997</v>
      </c>
      <c r="G161" s="71">
        <v>118.782</v>
      </c>
      <c r="H161" s="71">
        <v>37.750999999999998</v>
      </c>
      <c r="I161" s="71">
        <v>0</v>
      </c>
      <c r="J161" s="71">
        <v>0</v>
      </c>
      <c r="K161" s="71">
        <v>0</v>
      </c>
      <c r="L161" s="71">
        <v>0</v>
      </c>
      <c r="M161" s="71">
        <v>5.8219999999999992</v>
      </c>
      <c r="N161" s="71">
        <v>2.476</v>
      </c>
      <c r="O161" s="71">
        <v>4.4059999999999997</v>
      </c>
      <c r="P161" s="71">
        <v>109.193</v>
      </c>
      <c r="Q161" s="71">
        <v>133.01</v>
      </c>
      <c r="R161" s="71">
        <v>2491.8000000000002</v>
      </c>
      <c r="S161" s="71">
        <v>245.43899999999999</v>
      </c>
      <c r="T161" s="71">
        <v>198.48469999999998</v>
      </c>
    </row>
    <row r="162" spans="1:20">
      <c r="A162" s="71" t="s">
        <v>2161</v>
      </c>
      <c r="B162" s="71" t="s">
        <v>3803</v>
      </c>
      <c r="C162" s="71">
        <v>344.55399999999997</v>
      </c>
      <c r="D162" s="71">
        <v>0.16699999999999998</v>
      </c>
      <c r="E162" s="71">
        <v>0</v>
      </c>
      <c r="F162" s="71">
        <v>0.747</v>
      </c>
      <c r="G162" s="71">
        <v>8.9429999999999996</v>
      </c>
      <c r="H162" s="71">
        <v>0.66699999999999993</v>
      </c>
      <c r="I162" s="71">
        <v>0</v>
      </c>
      <c r="J162" s="71">
        <v>0.68199999999999994</v>
      </c>
      <c r="K162" s="71">
        <v>0</v>
      </c>
      <c r="L162" s="71">
        <v>0</v>
      </c>
      <c r="M162" s="71">
        <v>0</v>
      </c>
      <c r="N162" s="71">
        <v>0</v>
      </c>
      <c r="O162" s="71">
        <v>0</v>
      </c>
      <c r="P162" s="71">
        <v>6.726</v>
      </c>
      <c r="Q162" s="71">
        <v>33.977999999999994</v>
      </c>
      <c r="R162" s="71">
        <v>205.8</v>
      </c>
      <c r="S162" s="71">
        <v>2.3879999999999999</v>
      </c>
      <c r="T162" s="71">
        <v>17.227699999999995</v>
      </c>
    </row>
    <row r="163" spans="1:20">
      <c r="A163" s="71" t="s">
        <v>3086</v>
      </c>
      <c r="B163" s="71" t="s">
        <v>6117</v>
      </c>
      <c r="C163" s="71">
        <v>1396.32</v>
      </c>
      <c r="D163" s="71">
        <v>0.308</v>
      </c>
      <c r="E163" s="71">
        <v>0</v>
      </c>
      <c r="F163" s="71">
        <v>1.8129999999999999</v>
      </c>
      <c r="G163" s="71">
        <v>48.058</v>
      </c>
      <c r="H163" s="71">
        <v>7.0459999999999994</v>
      </c>
      <c r="I163" s="71">
        <v>0</v>
      </c>
      <c r="J163" s="71">
        <v>3.7559999999999998</v>
      </c>
      <c r="K163" s="71">
        <v>0</v>
      </c>
      <c r="L163" s="71">
        <v>0</v>
      </c>
      <c r="M163" s="71">
        <v>1.839</v>
      </c>
      <c r="N163" s="71">
        <v>0.47199999999999998</v>
      </c>
      <c r="O163" s="71">
        <v>12.13</v>
      </c>
      <c r="P163" s="71">
        <v>50.863</v>
      </c>
      <c r="Q163" s="71">
        <v>82.697999999999993</v>
      </c>
      <c r="R163" s="71">
        <v>675.2</v>
      </c>
      <c r="S163" s="71">
        <v>9.5459999999999994</v>
      </c>
      <c r="T163" s="71">
        <v>69.815999999999988</v>
      </c>
    </row>
    <row r="164" spans="1:20">
      <c r="A164" s="71" t="s">
        <v>2605</v>
      </c>
      <c r="B164" s="71" t="s">
        <v>3804</v>
      </c>
      <c r="C164" s="71">
        <v>315.02999999999997</v>
      </c>
      <c r="D164" s="71">
        <v>1.7999999999999999E-2</v>
      </c>
      <c r="E164" s="71">
        <v>0</v>
      </c>
      <c r="F164" s="71">
        <v>0.56299999999999994</v>
      </c>
      <c r="G164" s="71">
        <v>12.879</v>
      </c>
      <c r="H164" s="71">
        <v>1.91</v>
      </c>
      <c r="I164" s="71">
        <v>0</v>
      </c>
      <c r="J164" s="71">
        <v>0</v>
      </c>
      <c r="K164" s="71">
        <v>0</v>
      </c>
      <c r="L164" s="71">
        <v>0</v>
      </c>
      <c r="M164" s="71">
        <v>1.83</v>
      </c>
      <c r="N164" s="71">
        <v>0.22599999999999998</v>
      </c>
      <c r="O164" s="71">
        <v>0</v>
      </c>
      <c r="P164" s="71">
        <v>20.031999999999996</v>
      </c>
      <c r="Q164" s="71">
        <v>28.945</v>
      </c>
      <c r="R164" s="71">
        <v>167.2</v>
      </c>
      <c r="S164" s="71">
        <v>2.4359999999999999</v>
      </c>
      <c r="T164" s="71">
        <v>15.751499999999998</v>
      </c>
    </row>
    <row r="165" spans="1:20">
      <c r="A165" s="71" t="s">
        <v>4181</v>
      </c>
      <c r="B165" s="71" t="s">
        <v>3805</v>
      </c>
      <c r="C165" s="71">
        <v>457.04799999999994</v>
      </c>
      <c r="D165" s="71">
        <v>7.5999999999999998E-2</v>
      </c>
      <c r="E165" s="71">
        <v>0</v>
      </c>
      <c r="F165" s="71">
        <v>0.84799999999999998</v>
      </c>
      <c r="G165" s="71">
        <v>11.106</v>
      </c>
      <c r="H165" s="71">
        <v>3.26</v>
      </c>
      <c r="I165" s="71">
        <v>0</v>
      </c>
      <c r="J165" s="71">
        <v>0</v>
      </c>
      <c r="K165" s="71">
        <v>0</v>
      </c>
      <c r="L165" s="71">
        <v>0</v>
      </c>
      <c r="M165" s="71">
        <v>3.23</v>
      </c>
      <c r="N165" s="71">
        <v>0</v>
      </c>
      <c r="O165" s="71">
        <v>0</v>
      </c>
      <c r="P165" s="71">
        <v>33.677999999999997</v>
      </c>
      <c r="Q165" s="71">
        <v>20.415999999999997</v>
      </c>
      <c r="R165" s="71">
        <v>241.5</v>
      </c>
      <c r="S165" s="71">
        <v>7.8129999999999997</v>
      </c>
      <c r="T165" s="71">
        <v>22.851999999999997</v>
      </c>
    </row>
    <row r="166" spans="1:20">
      <c r="A166" s="71" t="s">
        <v>4183</v>
      </c>
      <c r="B166" s="71" t="s">
        <v>7252</v>
      </c>
      <c r="C166" s="71">
        <v>123.22399999999999</v>
      </c>
      <c r="D166" s="71">
        <v>0.16599999999999998</v>
      </c>
      <c r="E166" s="71">
        <v>0</v>
      </c>
      <c r="F166" s="71">
        <v>0</v>
      </c>
      <c r="G166" s="71">
        <v>3.2889999999999997</v>
      </c>
      <c r="H166" s="71">
        <v>0</v>
      </c>
      <c r="I166" s="71">
        <v>0</v>
      </c>
      <c r="J166" s="71">
        <v>0</v>
      </c>
      <c r="K166" s="71">
        <v>0</v>
      </c>
      <c r="L166" s="71">
        <v>0</v>
      </c>
      <c r="M166" s="71">
        <v>0</v>
      </c>
      <c r="N166" s="71">
        <v>0</v>
      </c>
      <c r="O166" s="71">
        <v>0</v>
      </c>
      <c r="P166" s="71">
        <v>0</v>
      </c>
      <c r="Q166" s="71">
        <v>0</v>
      </c>
      <c r="R166" s="71">
        <v>137.80000000000001</v>
      </c>
      <c r="S166" s="71">
        <v>88.270999999999987</v>
      </c>
      <c r="T166" s="71">
        <v>0</v>
      </c>
    </row>
    <row r="167" spans="1:20">
      <c r="A167" s="71" t="s">
        <v>959</v>
      </c>
      <c r="B167" s="71" t="s">
        <v>2142</v>
      </c>
      <c r="C167" s="71">
        <v>44515.706999999995</v>
      </c>
      <c r="D167" s="71">
        <v>4.9469999999999992</v>
      </c>
      <c r="E167" s="71">
        <v>0</v>
      </c>
      <c r="F167" s="71">
        <v>57.802</v>
      </c>
      <c r="G167" s="71">
        <v>1856.2679999999998</v>
      </c>
      <c r="H167" s="71">
        <v>400.62</v>
      </c>
      <c r="I167" s="71">
        <v>0</v>
      </c>
      <c r="J167" s="71">
        <v>0</v>
      </c>
      <c r="K167" s="71">
        <v>0</v>
      </c>
      <c r="L167" s="71">
        <v>0</v>
      </c>
      <c r="M167" s="71">
        <v>37.905999999999999</v>
      </c>
      <c r="N167" s="71">
        <v>13.225999999999999</v>
      </c>
      <c r="O167" s="71">
        <v>4.3639999999999999</v>
      </c>
      <c r="P167" s="71">
        <v>270.85199999999998</v>
      </c>
      <c r="Q167" s="71">
        <v>1986.4579999999999</v>
      </c>
      <c r="R167" s="71">
        <v>42209.5</v>
      </c>
      <c r="S167" s="71">
        <v>19035.216999999997</v>
      </c>
      <c r="T167" s="71">
        <v>2225.7849999999999</v>
      </c>
    </row>
    <row r="168" spans="1:20">
      <c r="A168" s="71" t="s">
        <v>1861</v>
      </c>
      <c r="B168" s="71" t="s">
        <v>3919</v>
      </c>
      <c r="C168" s="71">
        <v>15602.633999999998</v>
      </c>
      <c r="D168" s="71">
        <v>0.80899999999999994</v>
      </c>
      <c r="E168" s="71">
        <v>2.3779999999999997</v>
      </c>
      <c r="F168" s="71">
        <v>19.730999999999998</v>
      </c>
      <c r="G168" s="71">
        <v>294.33099999999996</v>
      </c>
      <c r="H168" s="71">
        <v>184.91399999999999</v>
      </c>
      <c r="I168" s="71">
        <v>0</v>
      </c>
      <c r="J168" s="71">
        <v>0.66699999999999993</v>
      </c>
      <c r="K168" s="71">
        <v>0</v>
      </c>
      <c r="L168" s="71">
        <v>0</v>
      </c>
      <c r="M168" s="71">
        <v>12.28</v>
      </c>
      <c r="N168" s="71">
        <v>8.25</v>
      </c>
      <c r="O168" s="71">
        <v>11.321999999999999</v>
      </c>
      <c r="P168" s="71">
        <v>241.82299999999998</v>
      </c>
      <c r="Q168" s="71">
        <v>813.00099999999998</v>
      </c>
      <c r="R168" s="71">
        <v>12809.5</v>
      </c>
      <c r="S168" s="71">
        <v>1842.03</v>
      </c>
      <c r="T168" s="71">
        <v>780.13169999999991</v>
      </c>
    </row>
    <row r="169" spans="1:20">
      <c r="A169" s="71" t="s">
        <v>6037</v>
      </c>
      <c r="B169" s="71" t="s">
        <v>2152</v>
      </c>
      <c r="C169" s="71">
        <v>2894.3919999999998</v>
      </c>
      <c r="D169" s="71">
        <v>0.30499999999999999</v>
      </c>
      <c r="E169" s="71">
        <v>0</v>
      </c>
      <c r="F169" s="71">
        <v>4.0669999999999993</v>
      </c>
      <c r="G169" s="71">
        <v>65.170999999999992</v>
      </c>
      <c r="H169" s="71">
        <v>17.465999999999998</v>
      </c>
      <c r="I169" s="71">
        <v>0</v>
      </c>
      <c r="J169" s="71">
        <v>0</v>
      </c>
      <c r="K169" s="71">
        <v>0</v>
      </c>
      <c r="L169" s="71">
        <v>0</v>
      </c>
      <c r="M169" s="71">
        <v>0</v>
      </c>
      <c r="N169" s="71">
        <v>0.34499999999999997</v>
      </c>
      <c r="O169" s="71">
        <v>0</v>
      </c>
      <c r="P169" s="71">
        <v>46.316999999999993</v>
      </c>
      <c r="Q169" s="71">
        <v>125.37599999999999</v>
      </c>
      <c r="R169" s="71">
        <v>2591.1999999999998</v>
      </c>
      <c r="S169" s="71">
        <v>363.86500000000001</v>
      </c>
      <c r="T169" s="71">
        <v>144.71959999999999</v>
      </c>
    </row>
    <row r="170" spans="1:20">
      <c r="A170" s="71" t="s">
        <v>2995</v>
      </c>
      <c r="B170" s="71" t="s">
        <v>201</v>
      </c>
      <c r="C170" s="71">
        <v>7837.71</v>
      </c>
      <c r="D170" s="71">
        <v>0.72699999999999998</v>
      </c>
      <c r="E170" s="71">
        <v>0</v>
      </c>
      <c r="F170" s="71">
        <v>8.77</v>
      </c>
      <c r="G170" s="71">
        <v>226.46699999999998</v>
      </c>
      <c r="H170" s="71">
        <v>50.001999999999995</v>
      </c>
      <c r="I170" s="71">
        <v>0</v>
      </c>
      <c r="J170" s="71">
        <v>0</v>
      </c>
      <c r="K170" s="71">
        <v>0</v>
      </c>
      <c r="L170" s="71">
        <v>0</v>
      </c>
      <c r="M170" s="71">
        <v>0</v>
      </c>
      <c r="N170" s="71">
        <v>3.4649999999999999</v>
      </c>
      <c r="O170" s="71">
        <v>0</v>
      </c>
      <c r="P170" s="71">
        <v>40.075000000000003</v>
      </c>
      <c r="Q170" s="71">
        <v>525.91</v>
      </c>
      <c r="R170" s="71">
        <v>6891.3</v>
      </c>
      <c r="S170" s="71">
        <v>1690.375</v>
      </c>
      <c r="T170" s="71">
        <v>391.88499999999999</v>
      </c>
    </row>
    <row r="171" spans="1:20">
      <c r="A171" s="71" t="s">
        <v>7643</v>
      </c>
      <c r="B171" s="71" t="s">
        <v>3806</v>
      </c>
      <c r="C171" s="71">
        <v>2361.9899999999998</v>
      </c>
      <c r="D171" s="71">
        <v>9.3999999999999986E-2</v>
      </c>
      <c r="E171" s="71">
        <v>0</v>
      </c>
      <c r="F171" s="71">
        <v>3.1</v>
      </c>
      <c r="G171" s="71">
        <v>56.053999999999995</v>
      </c>
      <c r="H171" s="71">
        <v>17.696999999999999</v>
      </c>
      <c r="I171" s="71">
        <v>0</v>
      </c>
      <c r="J171" s="71">
        <v>0</v>
      </c>
      <c r="K171" s="71">
        <v>0</v>
      </c>
      <c r="L171" s="71">
        <v>0</v>
      </c>
      <c r="M171" s="71">
        <v>2.081</v>
      </c>
      <c r="N171" s="71">
        <v>0.9</v>
      </c>
      <c r="O171" s="71">
        <v>0</v>
      </c>
      <c r="P171" s="71">
        <v>71.460999999999999</v>
      </c>
      <c r="Q171" s="71">
        <v>87.78</v>
      </c>
      <c r="R171" s="71">
        <v>2158.1999999999998</v>
      </c>
      <c r="S171" s="71">
        <v>526.47299999999996</v>
      </c>
      <c r="T171" s="71">
        <v>118.09949999999999</v>
      </c>
    </row>
    <row r="172" spans="1:20">
      <c r="A172" s="71" t="s">
        <v>3087</v>
      </c>
      <c r="B172" s="71" t="s">
        <v>361</v>
      </c>
      <c r="C172" s="71">
        <v>2114.8159999999998</v>
      </c>
      <c r="D172" s="71">
        <v>9.2999999999999999E-2</v>
      </c>
      <c r="E172" s="71">
        <v>0</v>
      </c>
      <c r="F172" s="71">
        <v>3.7029999999999998</v>
      </c>
      <c r="G172" s="71">
        <v>106.80799999999999</v>
      </c>
      <c r="H172" s="71">
        <v>11.787999999999998</v>
      </c>
      <c r="I172" s="71">
        <v>0</v>
      </c>
      <c r="J172" s="71">
        <v>3.29</v>
      </c>
      <c r="K172" s="71">
        <v>0</v>
      </c>
      <c r="L172" s="71">
        <v>1.0379999999999998</v>
      </c>
      <c r="M172" s="71">
        <v>0</v>
      </c>
      <c r="N172" s="71">
        <v>4.5999999999999999E-2</v>
      </c>
      <c r="O172" s="71">
        <v>0</v>
      </c>
      <c r="P172" s="71">
        <v>11.223999999999998</v>
      </c>
      <c r="Q172" s="71">
        <v>85.313999999999993</v>
      </c>
      <c r="R172" s="71">
        <v>1805</v>
      </c>
      <c r="S172" s="71">
        <v>279.31899999999996</v>
      </c>
      <c r="T172" s="71">
        <v>105.74079999999999</v>
      </c>
    </row>
    <row r="173" spans="1:20">
      <c r="A173" s="71" t="s">
        <v>2387</v>
      </c>
      <c r="B173" s="71" t="s">
        <v>380</v>
      </c>
      <c r="C173" s="71">
        <v>9631.0329999999994</v>
      </c>
      <c r="D173" s="71">
        <v>2.4979999999999998</v>
      </c>
      <c r="E173" s="71">
        <v>13.927</v>
      </c>
      <c r="F173" s="71">
        <v>9.3309999999999995</v>
      </c>
      <c r="G173" s="71">
        <v>208.64299999999997</v>
      </c>
      <c r="H173" s="71">
        <v>69.911999999999992</v>
      </c>
      <c r="I173" s="71">
        <v>0</v>
      </c>
      <c r="J173" s="71">
        <v>0</v>
      </c>
      <c r="K173" s="71">
        <v>0</v>
      </c>
      <c r="L173" s="71">
        <v>0</v>
      </c>
      <c r="M173" s="71">
        <v>0.77500000000000002</v>
      </c>
      <c r="N173" s="71">
        <v>1.82</v>
      </c>
      <c r="O173" s="71">
        <v>1.8919999999999999</v>
      </c>
      <c r="P173" s="71">
        <v>255.583</v>
      </c>
      <c r="Q173" s="71">
        <v>705.11299999999994</v>
      </c>
      <c r="R173" s="71">
        <v>9600</v>
      </c>
      <c r="S173" s="71">
        <v>1990.2339999999999</v>
      </c>
      <c r="T173" s="71">
        <v>481.55164999999994</v>
      </c>
    </row>
    <row r="174" spans="1:20">
      <c r="A174" s="71" t="s">
        <v>3088</v>
      </c>
      <c r="B174" s="71" t="s">
        <v>1459</v>
      </c>
      <c r="C174" s="71">
        <v>559.76599999999996</v>
      </c>
      <c r="D174" s="71">
        <v>4.0999999999999995E-2</v>
      </c>
      <c r="E174" s="71">
        <v>0</v>
      </c>
      <c r="F174" s="71">
        <v>0.93099999999999994</v>
      </c>
      <c r="G174" s="71">
        <v>10.988999999999999</v>
      </c>
      <c r="H174" s="71">
        <v>1.9159999999999999</v>
      </c>
      <c r="I174" s="71">
        <v>0</v>
      </c>
      <c r="J174" s="71">
        <v>0</v>
      </c>
      <c r="K174" s="71">
        <v>0</v>
      </c>
      <c r="L174" s="71">
        <v>0</v>
      </c>
      <c r="M174" s="71">
        <v>0</v>
      </c>
      <c r="N174" s="71">
        <v>0</v>
      </c>
      <c r="O174" s="71">
        <v>0</v>
      </c>
      <c r="P174" s="71">
        <v>2.9419999999999997</v>
      </c>
      <c r="Q174" s="71">
        <v>30.766999999999999</v>
      </c>
      <c r="R174" s="71">
        <v>604.9</v>
      </c>
      <c r="S174" s="71">
        <v>201.04299999999998</v>
      </c>
      <c r="T174" s="71">
        <v>19</v>
      </c>
    </row>
    <row r="175" spans="1:20">
      <c r="A175" s="71" t="s">
        <v>2393</v>
      </c>
      <c r="B175" s="71" t="s">
        <v>1460</v>
      </c>
      <c r="C175" s="71">
        <v>1116.127</v>
      </c>
      <c r="D175" s="71">
        <v>0</v>
      </c>
      <c r="E175" s="71">
        <v>0</v>
      </c>
      <c r="F175" s="71">
        <v>1.5229999999999999</v>
      </c>
      <c r="G175" s="71">
        <v>42.367999999999995</v>
      </c>
      <c r="H175" s="71">
        <v>6.0949999999999998</v>
      </c>
      <c r="I175" s="71">
        <v>0</v>
      </c>
      <c r="J175" s="71">
        <v>7.8999999999999987E-2</v>
      </c>
      <c r="K175" s="71">
        <v>0</v>
      </c>
      <c r="L175" s="71">
        <v>0</v>
      </c>
      <c r="M175" s="71">
        <v>0</v>
      </c>
      <c r="N175" s="71">
        <v>0</v>
      </c>
      <c r="O175" s="71">
        <v>0</v>
      </c>
      <c r="P175" s="71">
        <v>29.350999999999999</v>
      </c>
      <c r="Q175" s="71">
        <v>43.230999999999995</v>
      </c>
      <c r="R175" s="71">
        <v>1104.2</v>
      </c>
      <c r="S175" s="71">
        <v>181.26799999999997</v>
      </c>
      <c r="T175" s="71">
        <v>55.805999999999997</v>
      </c>
    </row>
    <row r="176" spans="1:20">
      <c r="A176" s="71" t="s">
        <v>7645</v>
      </c>
      <c r="B176" s="71" t="s">
        <v>7253</v>
      </c>
      <c r="C176" s="71">
        <v>2108.991</v>
      </c>
      <c r="D176" s="71">
        <v>0.16699999999999998</v>
      </c>
      <c r="E176" s="71">
        <v>0</v>
      </c>
      <c r="F176" s="71">
        <v>0.61399999999999999</v>
      </c>
      <c r="G176" s="71">
        <v>11.055</v>
      </c>
      <c r="H176" s="71">
        <v>4.0169999999999995</v>
      </c>
      <c r="I176" s="71">
        <v>0</v>
      </c>
      <c r="J176" s="71">
        <v>0</v>
      </c>
      <c r="K176" s="71">
        <v>0</v>
      </c>
      <c r="L176" s="71">
        <v>0</v>
      </c>
      <c r="M176" s="71">
        <v>2.6679999999999997</v>
      </c>
      <c r="N176" s="71">
        <v>0</v>
      </c>
      <c r="O176" s="71">
        <v>0</v>
      </c>
      <c r="P176" s="71">
        <v>13.238</v>
      </c>
      <c r="Q176" s="71">
        <v>373.69399999999996</v>
      </c>
      <c r="R176" s="71">
        <v>1282</v>
      </c>
      <c r="S176" s="71">
        <v>38.858999999999995</v>
      </c>
      <c r="T176" s="71">
        <v>105.44954999999999</v>
      </c>
    </row>
    <row r="177" spans="1:20">
      <c r="A177" s="71" t="s">
        <v>7647</v>
      </c>
      <c r="B177" s="71" t="s">
        <v>3807</v>
      </c>
      <c r="C177" s="71">
        <v>2266.2849999999999</v>
      </c>
      <c r="D177" s="71">
        <v>0.36299999999999999</v>
      </c>
      <c r="E177" s="71">
        <v>0</v>
      </c>
      <c r="F177" s="71">
        <v>4.5449999999999999</v>
      </c>
      <c r="G177" s="71">
        <v>76.946999999999989</v>
      </c>
      <c r="H177" s="71">
        <v>18.423999999999999</v>
      </c>
      <c r="I177" s="71">
        <v>0</v>
      </c>
      <c r="J177" s="71">
        <v>0.70399999999999996</v>
      </c>
      <c r="K177" s="71">
        <v>0</v>
      </c>
      <c r="L177" s="71">
        <v>0</v>
      </c>
      <c r="M177" s="71">
        <v>4.3889999999999993</v>
      </c>
      <c r="N177" s="71">
        <v>2.7509999999999999</v>
      </c>
      <c r="O177" s="71">
        <v>2.2489999999999997</v>
      </c>
      <c r="P177" s="71">
        <v>95.847999999999999</v>
      </c>
      <c r="Q177" s="71">
        <v>98.328999999999994</v>
      </c>
      <c r="R177" s="71">
        <v>1581.5</v>
      </c>
      <c r="S177" s="71">
        <v>291.06099999999998</v>
      </c>
      <c r="T177" s="71">
        <v>113.31399999999999</v>
      </c>
    </row>
    <row r="178" spans="1:20">
      <c r="A178" s="71" t="s">
        <v>7649</v>
      </c>
      <c r="B178" s="71" t="s">
        <v>3808</v>
      </c>
      <c r="C178" s="71">
        <v>130.98699999999999</v>
      </c>
      <c r="D178" s="71">
        <v>0</v>
      </c>
      <c r="E178" s="71">
        <v>0</v>
      </c>
      <c r="F178" s="71">
        <v>0.17099999999999999</v>
      </c>
      <c r="G178" s="71">
        <v>2.1529999999999996</v>
      </c>
      <c r="H178" s="71">
        <v>7.8E-2</v>
      </c>
      <c r="I178" s="71">
        <v>0</v>
      </c>
      <c r="J178" s="71">
        <v>0</v>
      </c>
      <c r="K178" s="71">
        <v>0</v>
      </c>
      <c r="L178" s="71">
        <v>0</v>
      </c>
      <c r="M178" s="71">
        <v>1.468</v>
      </c>
      <c r="N178" s="71">
        <v>0</v>
      </c>
      <c r="O178" s="71">
        <v>0</v>
      </c>
      <c r="P178" s="71">
        <v>4.359</v>
      </c>
      <c r="Q178" s="71">
        <v>5.1219999999999999</v>
      </c>
      <c r="R178" s="71">
        <v>60.8</v>
      </c>
      <c r="S178" s="71">
        <v>1.8939999999999999</v>
      </c>
      <c r="T178" s="71">
        <v>6.5489999999999995</v>
      </c>
    </row>
    <row r="179" spans="1:20">
      <c r="A179" s="71" t="s">
        <v>1786</v>
      </c>
      <c r="B179" s="71" t="s">
        <v>3809</v>
      </c>
      <c r="C179" s="71">
        <v>665.78099999999995</v>
      </c>
      <c r="D179" s="71">
        <v>4.7999999999999994E-2</v>
      </c>
      <c r="E179" s="71">
        <v>0</v>
      </c>
      <c r="F179" s="71">
        <v>1.01</v>
      </c>
      <c r="G179" s="71">
        <v>29.623999999999999</v>
      </c>
      <c r="H179" s="71">
        <v>4.4139999999999997</v>
      </c>
      <c r="I179" s="71">
        <v>0</v>
      </c>
      <c r="J179" s="71">
        <v>0</v>
      </c>
      <c r="K179" s="71">
        <v>0</v>
      </c>
      <c r="L179" s="71">
        <v>0</v>
      </c>
      <c r="M179" s="71">
        <v>1.855</v>
      </c>
      <c r="N179" s="71">
        <v>0</v>
      </c>
      <c r="O179" s="71">
        <v>0.18099999999999999</v>
      </c>
      <c r="P179" s="71">
        <v>11.241</v>
      </c>
      <c r="Q179" s="71">
        <v>42.415999999999997</v>
      </c>
      <c r="R179" s="71">
        <v>202.8</v>
      </c>
      <c r="S179" s="71">
        <v>5.1779999999999999</v>
      </c>
      <c r="T179" s="71">
        <v>33.288999999999994</v>
      </c>
    </row>
    <row r="180" spans="1:20">
      <c r="A180" s="71" t="s">
        <v>1788</v>
      </c>
      <c r="B180" s="71" t="s">
        <v>6208</v>
      </c>
      <c r="C180" s="71">
        <v>387.39</v>
      </c>
      <c r="D180" s="71">
        <v>0</v>
      </c>
      <c r="E180" s="71">
        <v>0</v>
      </c>
      <c r="F180" s="71">
        <v>0.40699999999999997</v>
      </c>
      <c r="G180" s="71">
        <v>13.561999999999999</v>
      </c>
      <c r="H180" s="71">
        <v>0</v>
      </c>
      <c r="I180" s="71">
        <v>0</v>
      </c>
      <c r="J180" s="71">
        <v>0</v>
      </c>
      <c r="K180" s="71">
        <v>0</v>
      </c>
      <c r="L180" s="71">
        <v>0</v>
      </c>
      <c r="M180" s="71">
        <v>1.1689999999999998</v>
      </c>
      <c r="N180" s="71">
        <v>0</v>
      </c>
      <c r="O180" s="71">
        <v>0</v>
      </c>
      <c r="P180" s="71">
        <v>13.081</v>
      </c>
      <c r="Q180" s="71">
        <v>25.648999999999997</v>
      </c>
      <c r="R180" s="71">
        <v>157.5</v>
      </c>
      <c r="S180" s="71">
        <v>0</v>
      </c>
      <c r="T180" s="71">
        <v>19.369499999999999</v>
      </c>
    </row>
    <row r="181" spans="1:20">
      <c r="A181" s="71" t="s">
        <v>1790</v>
      </c>
      <c r="B181" s="71" t="s">
        <v>6209</v>
      </c>
      <c r="C181" s="71">
        <v>1815.82</v>
      </c>
      <c r="D181" s="71">
        <v>0.255</v>
      </c>
      <c r="E181" s="71">
        <v>0</v>
      </c>
      <c r="F181" s="71">
        <v>3.3809999999999998</v>
      </c>
      <c r="G181" s="71">
        <v>68.780999999999992</v>
      </c>
      <c r="H181" s="71">
        <v>23.965</v>
      </c>
      <c r="I181" s="71">
        <v>0</v>
      </c>
      <c r="J181" s="71">
        <v>0</v>
      </c>
      <c r="K181" s="71">
        <v>0</v>
      </c>
      <c r="L181" s="71">
        <v>0</v>
      </c>
      <c r="M181" s="71">
        <v>11.484</v>
      </c>
      <c r="N181" s="71">
        <v>1.0939999999999999</v>
      </c>
      <c r="O181" s="71">
        <v>0.11299999999999999</v>
      </c>
      <c r="P181" s="71">
        <v>18.877999999999997</v>
      </c>
      <c r="Q181" s="71">
        <v>91.587999999999994</v>
      </c>
      <c r="R181" s="71">
        <v>1160.5</v>
      </c>
      <c r="S181" s="71">
        <v>21.305</v>
      </c>
      <c r="T181" s="71">
        <v>90.790999999999997</v>
      </c>
    </row>
    <row r="182" spans="1:20">
      <c r="A182" s="71" t="s">
        <v>1792</v>
      </c>
      <c r="B182" s="71" t="s">
        <v>6210</v>
      </c>
      <c r="C182" s="71">
        <v>147.71</v>
      </c>
      <c r="D182" s="71">
        <v>0</v>
      </c>
      <c r="E182" s="71">
        <v>0</v>
      </c>
      <c r="F182" s="71">
        <v>0.35599999999999998</v>
      </c>
      <c r="G182" s="71">
        <v>6.34</v>
      </c>
      <c r="H182" s="71">
        <v>0.27699999999999997</v>
      </c>
      <c r="I182" s="71">
        <v>0</v>
      </c>
      <c r="J182" s="71">
        <v>0</v>
      </c>
      <c r="K182" s="71">
        <v>0</v>
      </c>
      <c r="L182" s="71">
        <v>0</v>
      </c>
      <c r="M182" s="71">
        <v>0</v>
      </c>
      <c r="N182" s="71">
        <v>0</v>
      </c>
      <c r="O182" s="71">
        <v>0</v>
      </c>
      <c r="P182" s="71">
        <v>7.3229999999999995</v>
      </c>
      <c r="Q182" s="71">
        <v>5.2059999999999995</v>
      </c>
      <c r="R182" s="71">
        <v>120.8</v>
      </c>
      <c r="S182" s="71">
        <v>0</v>
      </c>
      <c r="T182" s="71">
        <v>7.3854999999999995</v>
      </c>
    </row>
    <row r="183" spans="1:20">
      <c r="A183" s="71" t="s">
        <v>2982</v>
      </c>
      <c r="B183" s="71" t="s">
        <v>6211</v>
      </c>
      <c r="C183" s="71">
        <v>893.51699999999994</v>
      </c>
      <c r="D183" s="71">
        <v>5.7999999999999996E-2</v>
      </c>
      <c r="E183" s="71">
        <v>0</v>
      </c>
      <c r="F183" s="71">
        <v>1.5119999999999998</v>
      </c>
      <c r="G183" s="71">
        <v>24.372999999999998</v>
      </c>
      <c r="H183" s="71">
        <v>3.1759999999999997</v>
      </c>
      <c r="I183" s="71">
        <v>0</v>
      </c>
      <c r="J183" s="71">
        <v>9.8999999999999991E-2</v>
      </c>
      <c r="K183" s="71">
        <v>0</v>
      </c>
      <c r="L183" s="71">
        <v>0</v>
      </c>
      <c r="M183" s="71">
        <v>9.3839999999999986</v>
      </c>
      <c r="N183" s="71">
        <v>0.38199999999999995</v>
      </c>
      <c r="O183" s="71">
        <v>0</v>
      </c>
      <c r="P183" s="71">
        <v>11.841999999999999</v>
      </c>
      <c r="Q183" s="71">
        <v>73.568999999999988</v>
      </c>
      <c r="R183" s="71">
        <v>586.70000000000005</v>
      </c>
      <c r="S183" s="71">
        <v>20.912999999999997</v>
      </c>
      <c r="T183" s="71">
        <v>44.675849999999997</v>
      </c>
    </row>
    <row r="184" spans="1:20">
      <c r="A184" s="71" t="s">
        <v>2984</v>
      </c>
      <c r="B184" s="71" t="s">
        <v>3813</v>
      </c>
      <c r="C184" s="71">
        <v>807.68</v>
      </c>
      <c r="D184" s="71">
        <v>1.6999999999999998E-2</v>
      </c>
      <c r="E184" s="71">
        <v>0</v>
      </c>
      <c r="F184" s="71">
        <v>1.569</v>
      </c>
      <c r="G184" s="71">
        <v>37.020999999999994</v>
      </c>
      <c r="H184" s="71">
        <v>7.7839999999999998</v>
      </c>
      <c r="I184" s="71">
        <v>0</v>
      </c>
      <c r="J184" s="71">
        <v>0.14699999999999999</v>
      </c>
      <c r="K184" s="71">
        <v>0</v>
      </c>
      <c r="L184" s="71">
        <v>0</v>
      </c>
      <c r="M184" s="71">
        <v>7.1449999999999996</v>
      </c>
      <c r="N184" s="71">
        <v>0.39099999999999996</v>
      </c>
      <c r="O184" s="71">
        <v>0</v>
      </c>
      <c r="P184" s="71">
        <v>30.046999999999997</v>
      </c>
      <c r="Q184" s="71">
        <v>50.021999999999998</v>
      </c>
      <c r="R184" s="71">
        <v>516.20000000000005</v>
      </c>
      <c r="S184" s="71">
        <v>15.847999999999999</v>
      </c>
      <c r="T184" s="71">
        <v>40.383999999999993</v>
      </c>
    </row>
    <row r="185" spans="1:20">
      <c r="A185" s="71" t="s">
        <v>965</v>
      </c>
      <c r="B185" s="71" t="s">
        <v>6077</v>
      </c>
      <c r="C185" s="71">
        <v>405.68399999999997</v>
      </c>
      <c r="D185" s="71">
        <v>0.13599999999999998</v>
      </c>
      <c r="E185" s="71">
        <v>0</v>
      </c>
      <c r="F185" s="71">
        <v>0.65599999999999992</v>
      </c>
      <c r="G185" s="71">
        <v>8.1659999999999986</v>
      </c>
      <c r="H185" s="71">
        <v>0.46199999999999997</v>
      </c>
      <c r="I185" s="71">
        <v>0</v>
      </c>
      <c r="J185" s="71">
        <v>0.26799999999999996</v>
      </c>
      <c r="K185" s="71">
        <v>0</v>
      </c>
      <c r="L185" s="71">
        <v>0</v>
      </c>
      <c r="M185" s="71">
        <v>8.2799999999999994</v>
      </c>
      <c r="N185" s="71">
        <v>0.186</v>
      </c>
      <c r="O185" s="71">
        <v>0</v>
      </c>
      <c r="P185" s="71">
        <v>47.857999999999997</v>
      </c>
      <c r="Q185" s="71">
        <v>14.526999999999999</v>
      </c>
      <c r="R185" s="71">
        <v>140.30000000000001</v>
      </c>
      <c r="S185" s="71">
        <v>0</v>
      </c>
      <c r="T185" s="71">
        <v>20.283999999999999</v>
      </c>
    </row>
    <row r="186" spans="1:20">
      <c r="A186" s="71" t="s">
        <v>6704</v>
      </c>
      <c r="B186" s="71" t="s">
        <v>3814</v>
      </c>
      <c r="C186" s="71">
        <v>1024.83</v>
      </c>
      <c r="D186" s="71">
        <v>0.44899999999999995</v>
      </c>
      <c r="E186" s="71">
        <v>0</v>
      </c>
      <c r="F186" s="71">
        <v>1.7969999999999999</v>
      </c>
      <c r="G186" s="71">
        <v>29.688999999999997</v>
      </c>
      <c r="H186" s="71">
        <v>6</v>
      </c>
      <c r="I186" s="71">
        <v>0</v>
      </c>
      <c r="J186" s="71">
        <v>0</v>
      </c>
      <c r="K186" s="71">
        <v>0</v>
      </c>
      <c r="L186" s="71">
        <v>0</v>
      </c>
      <c r="M186" s="71">
        <v>14.968999999999999</v>
      </c>
      <c r="N186" s="71">
        <v>1.1969999999999998</v>
      </c>
      <c r="O186" s="71">
        <v>2.0309999999999997</v>
      </c>
      <c r="P186" s="71">
        <v>51.090999999999994</v>
      </c>
      <c r="Q186" s="71">
        <v>69.648999999999987</v>
      </c>
      <c r="R186" s="71">
        <v>621.70000000000005</v>
      </c>
      <c r="S186" s="71">
        <v>2.4169999999999998</v>
      </c>
      <c r="T186" s="71">
        <v>51.241499999999995</v>
      </c>
    </row>
    <row r="187" spans="1:20">
      <c r="A187" s="71" t="s">
        <v>6706</v>
      </c>
      <c r="B187" s="71" t="s">
        <v>3815</v>
      </c>
      <c r="C187" s="71">
        <v>40.522999999999996</v>
      </c>
      <c r="D187" s="71">
        <v>0</v>
      </c>
      <c r="E187" s="71">
        <v>0</v>
      </c>
      <c r="F187" s="71">
        <v>0.309</v>
      </c>
      <c r="G187" s="71">
        <v>1.51</v>
      </c>
      <c r="H187" s="71">
        <v>0</v>
      </c>
      <c r="I187" s="71">
        <v>0</v>
      </c>
      <c r="J187" s="71">
        <v>0.64899999999999991</v>
      </c>
      <c r="K187" s="71">
        <v>0</v>
      </c>
      <c r="L187" s="71">
        <v>0</v>
      </c>
      <c r="M187" s="71">
        <v>0</v>
      </c>
      <c r="N187" s="71">
        <v>0</v>
      </c>
      <c r="O187" s="71">
        <v>0.19899999999999998</v>
      </c>
      <c r="P187" s="71">
        <v>0.30299999999999999</v>
      </c>
      <c r="Q187" s="71">
        <v>0</v>
      </c>
      <c r="R187" s="71">
        <v>41.3</v>
      </c>
      <c r="S187" s="71">
        <v>0</v>
      </c>
      <c r="T187" s="71">
        <v>2.0259999999999998</v>
      </c>
    </row>
    <row r="188" spans="1:20">
      <c r="A188" s="71" t="s">
        <v>690</v>
      </c>
      <c r="B188" s="71" t="s">
        <v>3816</v>
      </c>
      <c r="C188" s="71">
        <v>235.38399999999999</v>
      </c>
      <c r="D188" s="71">
        <v>3.1999999999999994E-2</v>
      </c>
      <c r="E188" s="71">
        <v>0</v>
      </c>
      <c r="F188" s="71">
        <v>0.38199999999999995</v>
      </c>
      <c r="G188" s="71">
        <v>9.8179999999999996</v>
      </c>
      <c r="H188" s="71">
        <v>3.3379999999999996</v>
      </c>
      <c r="I188" s="71">
        <v>0</v>
      </c>
      <c r="J188" s="71">
        <v>0.64899999999999991</v>
      </c>
      <c r="K188" s="71">
        <v>0</v>
      </c>
      <c r="L188" s="71">
        <v>0</v>
      </c>
      <c r="M188" s="71">
        <v>3.1919999999999997</v>
      </c>
      <c r="N188" s="71">
        <v>0</v>
      </c>
      <c r="O188" s="71">
        <v>0</v>
      </c>
      <c r="P188" s="71">
        <v>13.484999999999999</v>
      </c>
      <c r="Q188" s="71">
        <v>16.923999999999999</v>
      </c>
      <c r="R188" s="71">
        <v>122.2</v>
      </c>
      <c r="S188" s="71">
        <v>0</v>
      </c>
      <c r="T188" s="71">
        <v>9</v>
      </c>
    </row>
    <row r="189" spans="1:20">
      <c r="A189" s="71" t="s">
        <v>692</v>
      </c>
      <c r="B189" s="71" t="s">
        <v>3817</v>
      </c>
      <c r="C189" s="71">
        <v>1047.4769999999999</v>
      </c>
      <c r="D189" s="71">
        <v>4.1999999999999996E-2</v>
      </c>
      <c r="E189" s="71">
        <v>0</v>
      </c>
      <c r="F189" s="71">
        <v>1.6709999999999998</v>
      </c>
      <c r="G189" s="71">
        <v>22.23</v>
      </c>
      <c r="H189" s="71">
        <v>2.7469999999999999</v>
      </c>
      <c r="I189" s="71">
        <v>0</v>
      </c>
      <c r="J189" s="71">
        <v>0</v>
      </c>
      <c r="K189" s="71">
        <v>0</v>
      </c>
      <c r="L189" s="71">
        <v>0</v>
      </c>
      <c r="M189" s="71">
        <v>0</v>
      </c>
      <c r="N189" s="71">
        <v>0.74299999999999999</v>
      </c>
      <c r="O189" s="71">
        <v>0</v>
      </c>
      <c r="P189" s="71">
        <v>16.383999999999997</v>
      </c>
      <c r="Q189" s="71">
        <v>61.49</v>
      </c>
      <c r="R189" s="71">
        <v>915.5</v>
      </c>
      <c r="S189" s="71">
        <v>135.14099999999999</v>
      </c>
      <c r="T189" s="71">
        <v>44</v>
      </c>
    </row>
    <row r="190" spans="1:20">
      <c r="A190" s="71" t="s">
        <v>895</v>
      </c>
      <c r="B190" s="71" t="s">
        <v>3818</v>
      </c>
      <c r="C190" s="71">
        <v>321.25199999999995</v>
      </c>
      <c r="D190" s="71">
        <v>0</v>
      </c>
      <c r="E190" s="71">
        <v>0</v>
      </c>
      <c r="F190" s="71">
        <v>0.55899999999999994</v>
      </c>
      <c r="G190" s="71">
        <v>6.63</v>
      </c>
      <c r="H190" s="71">
        <v>0.90699999999999992</v>
      </c>
      <c r="I190" s="71">
        <v>0</v>
      </c>
      <c r="J190" s="71">
        <v>0</v>
      </c>
      <c r="K190" s="71">
        <v>0</v>
      </c>
      <c r="L190" s="71">
        <v>0</v>
      </c>
      <c r="M190" s="71">
        <v>0</v>
      </c>
      <c r="N190" s="71">
        <v>0</v>
      </c>
      <c r="O190" s="71">
        <v>0</v>
      </c>
      <c r="P190" s="71">
        <v>0.87799999999999989</v>
      </c>
      <c r="Q190" s="71">
        <v>12.89</v>
      </c>
      <c r="R190" s="71">
        <v>279.5</v>
      </c>
      <c r="S190" s="71">
        <v>33.015000000000001</v>
      </c>
      <c r="T190" s="71">
        <v>16.062599999999996</v>
      </c>
    </row>
    <row r="191" spans="1:20">
      <c r="A191" s="71" t="s">
        <v>6177</v>
      </c>
      <c r="B191" s="71" t="s">
        <v>506</v>
      </c>
      <c r="C191" s="71">
        <v>222.29899999999998</v>
      </c>
      <c r="D191" s="71">
        <v>0</v>
      </c>
      <c r="E191" s="71">
        <v>0</v>
      </c>
      <c r="F191" s="71">
        <v>0.38299999999999995</v>
      </c>
      <c r="G191" s="71">
        <v>1.571</v>
      </c>
      <c r="H191" s="71">
        <v>0</v>
      </c>
      <c r="I191" s="71">
        <v>0</v>
      </c>
      <c r="J191" s="71">
        <v>0</v>
      </c>
      <c r="K191" s="71">
        <v>0</v>
      </c>
      <c r="L191" s="71">
        <v>0</v>
      </c>
      <c r="M191" s="71">
        <v>0</v>
      </c>
      <c r="N191" s="71">
        <v>0</v>
      </c>
      <c r="O191" s="71">
        <v>0</v>
      </c>
      <c r="P191" s="71">
        <v>1.9450000000000001</v>
      </c>
      <c r="Q191" s="71">
        <v>16.595999999999997</v>
      </c>
      <c r="R191" s="71">
        <v>35</v>
      </c>
      <c r="S191" s="71">
        <v>2.9269999999999996</v>
      </c>
      <c r="T191" s="71">
        <v>11.114949999999999</v>
      </c>
    </row>
    <row r="192" spans="1:20">
      <c r="A192" s="71" t="s">
        <v>265</v>
      </c>
      <c r="B192" s="71" t="s">
        <v>7682</v>
      </c>
      <c r="C192" s="71">
        <v>1362.1769999999999</v>
      </c>
      <c r="D192" s="71">
        <v>5.1999999999999998E-2</v>
      </c>
      <c r="E192" s="71">
        <v>0</v>
      </c>
      <c r="F192" s="71">
        <v>2.3339999999999996</v>
      </c>
      <c r="G192" s="71">
        <v>34.897999999999996</v>
      </c>
      <c r="H192" s="71">
        <v>7.0039999999999996</v>
      </c>
      <c r="I192" s="71">
        <v>0</v>
      </c>
      <c r="J192" s="71">
        <v>0.79500000000000004</v>
      </c>
      <c r="K192" s="71">
        <v>0</v>
      </c>
      <c r="L192" s="71">
        <v>0</v>
      </c>
      <c r="M192" s="71">
        <v>5.6029999999999998</v>
      </c>
      <c r="N192" s="71">
        <v>0</v>
      </c>
      <c r="O192" s="71">
        <v>0</v>
      </c>
      <c r="P192" s="71">
        <v>8.2459999999999987</v>
      </c>
      <c r="Q192" s="71">
        <v>54.15</v>
      </c>
      <c r="R192" s="71">
        <v>727.3</v>
      </c>
      <c r="S192" s="71">
        <v>116.91</v>
      </c>
      <c r="T192" s="71">
        <v>68.10884999999999</v>
      </c>
    </row>
    <row r="193" spans="1:20">
      <c r="A193" s="71" t="s">
        <v>897</v>
      </c>
      <c r="B193" s="71" t="s">
        <v>3819</v>
      </c>
      <c r="C193" s="71">
        <v>3308.8689999999997</v>
      </c>
      <c r="D193" s="71">
        <v>0.44500000000000001</v>
      </c>
      <c r="E193" s="71">
        <v>0</v>
      </c>
      <c r="F193" s="71">
        <v>4.9539999999999997</v>
      </c>
      <c r="G193" s="71">
        <v>22.611999999999998</v>
      </c>
      <c r="H193" s="71">
        <v>24.337</v>
      </c>
      <c r="I193" s="71">
        <v>0</v>
      </c>
      <c r="J193" s="71">
        <v>0.71</v>
      </c>
      <c r="K193" s="71">
        <v>0</v>
      </c>
      <c r="L193" s="71">
        <v>0</v>
      </c>
      <c r="M193" s="71">
        <v>1.4109999999999998</v>
      </c>
      <c r="N193" s="71">
        <v>0.34799999999999998</v>
      </c>
      <c r="O193" s="71">
        <v>0</v>
      </c>
      <c r="P193" s="71">
        <v>56.41</v>
      </c>
      <c r="Q193" s="71">
        <v>108.812</v>
      </c>
      <c r="R193" s="71">
        <v>465.3</v>
      </c>
      <c r="S193" s="71">
        <v>63.046999999999997</v>
      </c>
      <c r="T193" s="71">
        <v>147</v>
      </c>
    </row>
    <row r="194" spans="1:20">
      <c r="A194" s="71" t="s">
        <v>899</v>
      </c>
      <c r="B194" s="71" t="s">
        <v>3820</v>
      </c>
      <c r="C194" s="71">
        <v>1136.3339999999998</v>
      </c>
      <c r="D194" s="71">
        <v>4.1999999999999996E-2</v>
      </c>
      <c r="E194" s="71">
        <v>0</v>
      </c>
      <c r="F194" s="71">
        <v>2.4329999999999998</v>
      </c>
      <c r="G194" s="71">
        <v>46.968999999999994</v>
      </c>
      <c r="H194" s="71">
        <v>7.1479999999999997</v>
      </c>
      <c r="I194" s="71">
        <v>0</v>
      </c>
      <c r="J194" s="71">
        <v>0.89500000000000002</v>
      </c>
      <c r="K194" s="71">
        <v>0</v>
      </c>
      <c r="L194" s="71">
        <v>0</v>
      </c>
      <c r="M194" s="71">
        <v>0.45299999999999996</v>
      </c>
      <c r="N194" s="71">
        <v>0</v>
      </c>
      <c r="O194" s="71">
        <v>0</v>
      </c>
      <c r="P194" s="71">
        <v>3.0939999999999999</v>
      </c>
      <c r="Q194" s="71">
        <v>68.568999999999988</v>
      </c>
      <c r="R194" s="71">
        <v>585.20000000000005</v>
      </c>
      <c r="S194" s="71">
        <v>112.72699999999999</v>
      </c>
      <c r="T194" s="71">
        <v>56.81669999999999</v>
      </c>
    </row>
    <row r="195" spans="1:20">
      <c r="A195" s="71" t="s">
        <v>901</v>
      </c>
      <c r="B195" s="71" t="s">
        <v>3821</v>
      </c>
      <c r="C195" s="71">
        <v>603.59899999999993</v>
      </c>
      <c r="D195" s="71">
        <v>0</v>
      </c>
      <c r="E195" s="71">
        <v>0</v>
      </c>
      <c r="F195" s="71">
        <v>0.83499999999999996</v>
      </c>
      <c r="G195" s="71">
        <v>17.63</v>
      </c>
      <c r="H195" s="71">
        <v>0</v>
      </c>
      <c r="I195" s="71">
        <v>0</v>
      </c>
      <c r="J195" s="71">
        <v>0.152</v>
      </c>
      <c r="K195" s="71">
        <v>0</v>
      </c>
      <c r="L195" s="71">
        <v>0</v>
      </c>
      <c r="M195" s="71">
        <v>4.4879999999999995</v>
      </c>
      <c r="N195" s="71">
        <v>0</v>
      </c>
      <c r="O195" s="71">
        <v>0</v>
      </c>
      <c r="P195" s="71">
        <v>13.109</v>
      </c>
      <c r="Q195" s="71">
        <v>23.058999999999997</v>
      </c>
      <c r="R195" s="71">
        <v>537.29999999999995</v>
      </c>
      <c r="S195" s="71">
        <v>95.918999999999997</v>
      </c>
      <c r="T195" s="71">
        <v>28</v>
      </c>
    </row>
    <row r="196" spans="1:20">
      <c r="A196" s="71" t="s">
        <v>6023</v>
      </c>
      <c r="B196" s="71" t="s">
        <v>1908</v>
      </c>
      <c r="C196" s="71">
        <v>4482.7379999999994</v>
      </c>
      <c r="D196" s="71">
        <v>0.69799999999999995</v>
      </c>
      <c r="E196" s="71">
        <v>0</v>
      </c>
      <c r="F196" s="71">
        <v>5.7649999999999997</v>
      </c>
      <c r="G196" s="71">
        <v>123.14599999999999</v>
      </c>
      <c r="H196" s="71">
        <v>45.610999999999997</v>
      </c>
      <c r="I196" s="71">
        <v>0</v>
      </c>
      <c r="J196" s="71">
        <v>0</v>
      </c>
      <c r="K196" s="71">
        <v>0</v>
      </c>
      <c r="L196" s="71">
        <v>0</v>
      </c>
      <c r="M196" s="71">
        <v>13.055</v>
      </c>
      <c r="N196" s="71">
        <v>1.91</v>
      </c>
      <c r="O196" s="71">
        <v>4.6550000000000002</v>
      </c>
      <c r="P196" s="71">
        <v>105.65799999999999</v>
      </c>
      <c r="Q196" s="71">
        <v>155.928</v>
      </c>
      <c r="R196" s="71">
        <v>3528.2</v>
      </c>
      <c r="S196" s="71">
        <v>828.84599999999989</v>
      </c>
      <c r="T196" s="71">
        <v>224.13689999999994</v>
      </c>
    </row>
    <row r="197" spans="1:20">
      <c r="A197" s="71" t="s">
        <v>2383</v>
      </c>
      <c r="B197" s="71" t="s">
        <v>374</v>
      </c>
      <c r="C197" s="71">
        <v>1780.7429999999999</v>
      </c>
      <c r="D197" s="71">
        <v>8.5999999999999993E-2</v>
      </c>
      <c r="E197" s="71">
        <v>0</v>
      </c>
      <c r="F197" s="71">
        <v>4.1809999999999992</v>
      </c>
      <c r="G197" s="71">
        <v>57.692999999999998</v>
      </c>
      <c r="H197" s="71">
        <v>18.779</v>
      </c>
      <c r="I197" s="71">
        <v>0</v>
      </c>
      <c r="J197" s="71">
        <v>0</v>
      </c>
      <c r="K197" s="71">
        <v>0</v>
      </c>
      <c r="L197" s="71">
        <v>0</v>
      </c>
      <c r="M197" s="71">
        <v>14.609</v>
      </c>
      <c r="N197" s="71">
        <v>0.62899999999999989</v>
      </c>
      <c r="O197" s="71">
        <v>1.7689999999999999</v>
      </c>
      <c r="P197" s="71">
        <v>14.508999999999999</v>
      </c>
      <c r="Q197" s="71">
        <v>75.248999999999995</v>
      </c>
      <c r="R197" s="71">
        <v>1044</v>
      </c>
      <c r="S197" s="71">
        <v>72.841999999999999</v>
      </c>
      <c r="T197" s="71">
        <v>89.036999999999992</v>
      </c>
    </row>
    <row r="198" spans="1:20">
      <c r="A198" s="71" t="s">
        <v>6180</v>
      </c>
      <c r="B198" s="71" t="s">
        <v>1934</v>
      </c>
      <c r="C198" s="71">
        <v>407.27199999999999</v>
      </c>
      <c r="D198" s="71">
        <v>4.7999999999999994E-2</v>
      </c>
      <c r="E198" s="71">
        <v>0</v>
      </c>
      <c r="F198" s="71">
        <v>0.755</v>
      </c>
      <c r="G198" s="71">
        <v>5.7</v>
      </c>
      <c r="H198" s="71">
        <v>0.89799999999999991</v>
      </c>
      <c r="I198" s="71">
        <v>0</v>
      </c>
      <c r="J198" s="71">
        <v>0</v>
      </c>
      <c r="K198" s="71">
        <v>0</v>
      </c>
      <c r="L198" s="71">
        <v>0</v>
      </c>
      <c r="M198" s="71">
        <v>2.5569999999999999</v>
      </c>
      <c r="N198" s="71">
        <v>4.5999999999999999E-2</v>
      </c>
      <c r="O198" s="71">
        <v>0</v>
      </c>
      <c r="P198" s="71">
        <v>7.7589999999999995</v>
      </c>
      <c r="Q198" s="71">
        <v>23.83</v>
      </c>
      <c r="R198" s="71">
        <v>407.7</v>
      </c>
      <c r="S198" s="71">
        <v>174.30099999999999</v>
      </c>
      <c r="T198" s="71">
        <v>20.363599999999998</v>
      </c>
    </row>
    <row r="199" spans="1:20">
      <c r="A199" s="71" t="s">
        <v>903</v>
      </c>
      <c r="B199" s="71" t="s">
        <v>3822</v>
      </c>
      <c r="C199" s="71">
        <v>310.27599999999995</v>
      </c>
      <c r="D199" s="71">
        <v>0</v>
      </c>
      <c r="E199" s="71">
        <v>0</v>
      </c>
      <c r="F199" s="71">
        <v>0.74099999999999999</v>
      </c>
      <c r="G199" s="71">
        <v>12.045999999999999</v>
      </c>
      <c r="H199" s="71">
        <v>1.1539999999999999</v>
      </c>
      <c r="I199" s="71">
        <v>0</v>
      </c>
      <c r="J199" s="71">
        <v>0.36599999999999999</v>
      </c>
      <c r="K199" s="71">
        <v>0</v>
      </c>
      <c r="L199" s="71">
        <v>0</v>
      </c>
      <c r="M199" s="71">
        <v>2.9369999999999998</v>
      </c>
      <c r="N199" s="71">
        <v>0</v>
      </c>
      <c r="O199" s="71">
        <v>0</v>
      </c>
      <c r="P199" s="71">
        <v>8.6850000000000005</v>
      </c>
      <c r="Q199" s="71">
        <v>8.9079999999999995</v>
      </c>
      <c r="R199" s="71">
        <v>207.2</v>
      </c>
      <c r="S199" s="71">
        <v>7.9469999999999992</v>
      </c>
      <c r="T199" s="71">
        <v>15.513799999999996</v>
      </c>
    </row>
    <row r="200" spans="1:20">
      <c r="A200" s="71" t="s">
        <v>736</v>
      </c>
      <c r="B200" s="71" t="s">
        <v>6109</v>
      </c>
      <c r="C200" s="71">
        <v>1114.0939999999998</v>
      </c>
      <c r="D200" s="71">
        <v>0.26199999999999996</v>
      </c>
      <c r="E200" s="71">
        <v>0</v>
      </c>
      <c r="F200" s="71">
        <v>1.98</v>
      </c>
      <c r="G200" s="71">
        <v>46.66</v>
      </c>
      <c r="H200" s="71">
        <v>8.8209999999999997</v>
      </c>
      <c r="I200" s="71">
        <v>0</v>
      </c>
      <c r="J200" s="71">
        <v>0</v>
      </c>
      <c r="K200" s="71">
        <v>0</v>
      </c>
      <c r="L200" s="71">
        <v>0</v>
      </c>
      <c r="M200" s="71">
        <v>5.2039999999999997</v>
      </c>
      <c r="N200" s="71">
        <v>0.40599999999999997</v>
      </c>
      <c r="O200" s="71">
        <v>0.93899999999999995</v>
      </c>
      <c r="P200" s="71">
        <v>15.518999999999998</v>
      </c>
      <c r="Q200" s="71">
        <v>102.59299999999999</v>
      </c>
      <c r="R200" s="71">
        <v>607.5</v>
      </c>
      <c r="S200" s="71">
        <v>32.400999999999996</v>
      </c>
      <c r="T200" s="71">
        <v>55.704699999999995</v>
      </c>
    </row>
    <row r="201" spans="1:20">
      <c r="A201" s="71" t="s">
        <v>5336</v>
      </c>
      <c r="B201" s="71" t="s">
        <v>3823</v>
      </c>
      <c r="C201" s="71">
        <v>107.22499999999999</v>
      </c>
      <c r="D201" s="71">
        <v>0</v>
      </c>
      <c r="E201" s="71">
        <v>0</v>
      </c>
      <c r="F201" s="71">
        <v>9.8999999999999991E-2</v>
      </c>
      <c r="G201" s="71">
        <v>2.6239999999999997</v>
      </c>
      <c r="H201" s="71">
        <v>8.199999999999999E-2</v>
      </c>
      <c r="I201" s="71">
        <v>0</v>
      </c>
      <c r="J201" s="71">
        <v>0</v>
      </c>
      <c r="K201" s="71">
        <v>0</v>
      </c>
      <c r="L201" s="71">
        <v>0</v>
      </c>
      <c r="M201" s="71">
        <v>0</v>
      </c>
      <c r="N201" s="71">
        <v>0</v>
      </c>
      <c r="O201" s="71">
        <v>0</v>
      </c>
      <c r="P201" s="71">
        <v>5.0009999999999994</v>
      </c>
      <c r="Q201" s="71">
        <v>6.4279999999999999</v>
      </c>
      <c r="R201" s="71">
        <v>66.8</v>
      </c>
      <c r="S201" s="71">
        <v>3.6919999999999997</v>
      </c>
      <c r="T201" s="71">
        <v>5.3609999999999998</v>
      </c>
    </row>
    <row r="202" spans="1:20">
      <c r="A202" s="71" t="s">
        <v>2117</v>
      </c>
      <c r="B202" s="71" t="s">
        <v>3824</v>
      </c>
      <c r="C202" s="71">
        <v>950.11599999999999</v>
      </c>
      <c r="D202" s="71">
        <v>6.7999999999999991E-2</v>
      </c>
      <c r="E202" s="71">
        <v>0</v>
      </c>
      <c r="F202" s="71">
        <v>1.7109999999999999</v>
      </c>
      <c r="G202" s="71">
        <v>36.901999999999994</v>
      </c>
      <c r="H202" s="71">
        <v>11.44</v>
      </c>
      <c r="I202" s="71">
        <v>0</v>
      </c>
      <c r="J202" s="71">
        <v>0</v>
      </c>
      <c r="K202" s="71">
        <v>0</v>
      </c>
      <c r="L202" s="71">
        <v>0</v>
      </c>
      <c r="M202" s="71">
        <v>3.7839999999999998</v>
      </c>
      <c r="N202" s="71">
        <v>0.11799999999999999</v>
      </c>
      <c r="O202" s="71">
        <v>1.333</v>
      </c>
      <c r="P202" s="71">
        <v>6.0219999999999994</v>
      </c>
      <c r="Q202" s="71">
        <v>54.575999999999993</v>
      </c>
      <c r="R202" s="71">
        <v>327.8</v>
      </c>
      <c r="S202" s="71">
        <v>1.9279999999999999</v>
      </c>
      <c r="T202" s="71">
        <v>47.505799999999994</v>
      </c>
    </row>
    <row r="203" spans="1:20">
      <c r="A203" s="71" t="s">
        <v>3089</v>
      </c>
      <c r="B203" s="71" t="s">
        <v>338</v>
      </c>
      <c r="C203" s="71">
        <v>456.50799999999998</v>
      </c>
      <c r="D203" s="71">
        <v>2.5999999999999999E-2</v>
      </c>
      <c r="E203" s="71">
        <v>0</v>
      </c>
      <c r="F203" s="71">
        <v>0.92500000000000004</v>
      </c>
      <c r="G203" s="71">
        <v>19.096999999999998</v>
      </c>
      <c r="H203" s="71">
        <v>0.93599999999999994</v>
      </c>
      <c r="I203" s="71">
        <v>0</v>
      </c>
      <c r="J203" s="71">
        <v>0</v>
      </c>
      <c r="K203" s="71">
        <v>0</v>
      </c>
      <c r="L203" s="71">
        <v>0</v>
      </c>
      <c r="M203" s="71">
        <v>0.6369999999999999</v>
      </c>
      <c r="N203" s="71">
        <v>0</v>
      </c>
      <c r="O203" s="71">
        <v>0.106</v>
      </c>
      <c r="P203" s="71">
        <v>4.33</v>
      </c>
      <c r="Q203" s="71">
        <v>33.790999999999997</v>
      </c>
      <c r="R203" s="71">
        <v>246.7</v>
      </c>
      <c r="S203" s="71">
        <v>2.9059999999999997</v>
      </c>
      <c r="T203" s="71">
        <v>22.824999999999999</v>
      </c>
    </row>
    <row r="204" spans="1:20">
      <c r="A204" s="71" t="s">
        <v>2119</v>
      </c>
      <c r="B204" s="71" t="s">
        <v>3825</v>
      </c>
      <c r="C204" s="71">
        <v>172.44199999999998</v>
      </c>
      <c r="D204" s="71">
        <v>0</v>
      </c>
      <c r="E204" s="71">
        <v>0</v>
      </c>
      <c r="F204" s="71">
        <v>0.153</v>
      </c>
      <c r="G204" s="71">
        <v>4.8469999999999995</v>
      </c>
      <c r="H204" s="71">
        <v>0.62599999999999989</v>
      </c>
      <c r="I204" s="71">
        <v>0</v>
      </c>
      <c r="J204" s="71">
        <v>0.68099999999999994</v>
      </c>
      <c r="K204" s="71">
        <v>0</v>
      </c>
      <c r="L204" s="71">
        <v>0</v>
      </c>
      <c r="M204" s="71">
        <v>1.117</v>
      </c>
      <c r="N204" s="71">
        <v>0</v>
      </c>
      <c r="O204" s="71">
        <v>0</v>
      </c>
      <c r="P204" s="71">
        <v>3.484</v>
      </c>
      <c r="Q204" s="71">
        <v>9.6789999999999985</v>
      </c>
      <c r="R204" s="71">
        <v>53.8</v>
      </c>
      <c r="S204" s="71">
        <v>0</v>
      </c>
      <c r="T204" s="71">
        <v>6</v>
      </c>
    </row>
    <row r="205" spans="1:20">
      <c r="A205" s="71" t="s">
        <v>2121</v>
      </c>
      <c r="B205" s="71" t="s">
        <v>2855</v>
      </c>
      <c r="C205" s="71">
        <v>136.34699999999998</v>
      </c>
      <c r="D205" s="71">
        <v>0</v>
      </c>
      <c r="E205" s="71">
        <v>0</v>
      </c>
      <c r="F205" s="71">
        <v>0.22899999999999998</v>
      </c>
      <c r="G205" s="71">
        <v>1.8179999999999998</v>
      </c>
      <c r="H205" s="71">
        <v>4.2999999999999997E-2</v>
      </c>
      <c r="I205" s="71">
        <v>0</v>
      </c>
      <c r="J205" s="71">
        <v>0</v>
      </c>
      <c r="K205" s="71">
        <v>0</v>
      </c>
      <c r="L205" s="71">
        <v>0</v>
      </c>
      <c r="M205" s="71">
        <v>0.39899999999999997</v>
      </c>
      <c r="N205" s="71">
        <v>0</v>
      </c>
      <c r="O205" s="71">
        <v>0</v>
      </c>
      <c r="P205" s="71">
        <v>12.335999999999999</v>
      </c>
      <c r="Q205" s="71">
        <v>11.8</v>
      </c>
      <c r="R205" s="71">
        <v>51.7</v>
      </c>
      <c r="S205" s="71">
        <v>0</v>
      </c>
      <c r="T205" s="71">
        <v>6.8169999999999993</v>
      </c>
    </row>
    <row r="206" spans="1:20">
      <c r="A206" s="71" t="s">
        <v>2123</v>
      </c>
      <c r="B206" s="71" t="s">
        <v>2856</v>
      </c>
      <c r="C206" s="71">
        <v>488.66099999999994</v>
      </c>
      <c r="D206" s="71">
        <v>0</v>
      </c>
      <c r="E206" s="71">
        <v>0</v>
      </c>
      <c r="F206" s="71">
        <v>0.7679999999999999</v>
      </c>
      <c r="G206" s="71">
        <v>25.495999999999999</v>
      </c>
      <c r="H206" s="71">
        <v>0</v>
      </c>
      <c r="I206" s="71">
        <v>0</v>
      </c>
      <c r="J206" s="71">
        <v>0</v>
      </c>
      <c r="K206" s="71">
        <v>0</v>
      </c>
      <c r="L206" s="71">
        <v>0</v>
      </c>
      <c r="M206" s="71">
        <v>0</v>
      </c>
      <c r="N206" s="71">
        <v>0.36499999999999999</v>
      </c>
      <c r="O206" s="71">
        <v>0</v>
      </c>
      <c r="P206" s="71">
        <v>1.9289999999999998</v>
      </c>
      <c r="Q206" s="71">
        <v>34.780999999999999</v>
      </c>
      <c r="R206" s="71">
        <v>496.6</v>
      </c>
      <c r="S206" s="71">
        <v>65.341999999999999</v>
      </c>
      <c r="T206" s="71">
        <v>24.433</v>
      </c>
    </row>
    <row r="207" spans="1:20">
      <c r="A207" s="71" t="s">
        <v>3130</v>
      </c>
      <c r="B207" s="71" t="s">
        <v>2857</v>
      </c>
      <c r="C207" s="71">
        <v>315.88399999999996</v>
      </c>
      <c r="D207" s="71">
        <v>0</v>
      </c>
      <c r="E207" s="71">
        <v>2.706</v>
      </c>
      <c r="F207" s="71">
        <v>0.78699999999999992</v>
      </c>
      <c r="G207" s="71">
        <v>6.2050000000000001</v>
      </c>
      <c r="H207" s="71">
        <v>0.78799999999999992</v>
      </c>
      <c r="I207" s="71">
        <v>0</v>
      </c>
      <c r="J207" s="71">
        <v>0</v>
      </c>
      <c r="K207" s="71">
        <v>0</v>
      </c>
      <c r="L207" s="71">
        <v>0</v>
      </c>
      <c r="M207" s="71">
        <v>0</v>
      </c>
      <c r="N207" s="71">
        <v>7.2999999999999995E-2</v>
      </c>
      <c r="O207" s="71">
        <v>4.9649999999999999</v>
      </c>
      <c r="P207" s="71">
        <v>1.1389999999999998</v>
      </c>
      <c r="Q207" s="71">
        <v>26.238</v>
      </c>
      <c r="R207" s="71">
        <v>162.19999999999999</v>
      </c>
      <c r="S207" s="71">
        <v>16.286999999999999</v>
      </c>
      <c r="T207" s="71">
        <v>15.793999999999999</v>
      </c>
    </row>
    <row r="208" spans="1:20">
      <c r="A208" s="71" t="s">
        <v>3132</v>
      </c>
      <c r="B208" s="71" t="s">
        <v>2858</v>
      </c>
      <c r="C208" s="71">
        <v>512.22199999999998</v>
      </c>
      <c r="D208" s="71">
        <v>0</v>
      </c>
      <c r="E208" s="71">
        <v>0</v>
      </c>
      <c r="F208" s="71">
        <v>0.96299999999999997</v>
      </c>
      <c r="G208" s="71">
        <v>13.039</v>
      </c>
      <c r="H208" s="71">
        <v>4.2869999999999999</v>
      </c>
      <c r="I208" s="71">
        <v>0</v>
      </c>
      <c r="J208" s="71">
        <v>0</v>
      </c>
      <c r="K208" s="71">
        <v>0</v>
      </c>
      <c r="L208" s="71">
        <v>0</v>
      </c>
      <c r="M208" s="71">
        <v>1.0469999999999999</v>
      </c>
      <c r="N208" s="71">
        <v>5.5E-2</v>
      </c>
      <c r="O208" s="71">
        <v>55.446999999999996</v>
      </c>
      <c r="P208" s="71">
        <v>2.125</v>
      </c>
      <c r="Q208" s="71">
        <v>11.222999999999999</v>
      </c>
      <c r="R208" s="71">
        <v>358.2</v>
      </c>
      <c r="S208" s="71">
        <v>31.376999999999999</v>
      </c>
      <c r="T208" s="71">
        <v>25.610999999999997</v>
      </c>
    </row>
    <row r="209" spans="1:20">
      <c r="A209" s="71" t="s">
        <v>1322</v>
      </c>
      <c r="B209" s="71" t="s">
        <v>2859</v>
      </c>
      <c r="C209" s="71">
        <v>262.83299999999997</v>
      </c>
      <c r="D209" s="71">
        <v>0</v>
      </c>
      <c r="E209" s="71">
        <v>0</v>
      </c>
      <c r="F209" s="71">
        <v>0.48799999999999999</v>
      </c>
      <c r="G209" s="71">
        <v>8.5939999999999994</v>
      </c>
      <c r="H209" s="71">
        <v>0.46899999999999997</v>
      </c>
      <c r="I209" s="71">
        <v>0</v>
      </c>
      <c r="J209" s="71">
        <v>5.1739999999999995</v>
      </c>
      <c r="K209" s="71">
        <v>0</v>
      </c>
      <c r="L209" s="71">
        <v>0</v>
      </c>
      <c r="M209" s="71">
        <v>0.84299999999999997</v>
      </c>
      <c r="N209" s="71">
        <v>0</v>
      </c>
      <c r="O209" s="71">
        <v>0.874</v>
      </c>
      <c r="P209" s="71">
        <v>3.2329999999999997</v>
      </c>
      <c r="Q209" s="71">
        <v>13.321</v>
      </c>
      <c r="R209" s="71">
        <v>152.5</v>
      </c>
      <c r="S209" s="71">
        <v>10.276999999999999</v>
      </c>
      <c r="T209" s="71">
        <v>13.141649999999997</v>
      </c>
    </row>
    <row r="210" spans="1:20">
      <c r="A210" s="71" t="s">
        <v>742</v>
      </c>
      <c r="B210" s="71" t="s">
        <v>6118</v>
      </c>
      <c r="C210" s="71">
        <v>952.3119999999999</v>
      </c>
      <c r="D210" s="71">
        <v>0</v>
      </c>
      <c r="E210" s="71">
        <v>0</v>
      </c>
      <c r="F210" s="71">
        <v>1.875</v>
      </c>
      <c r="G210" s="71">
        <v>27.453999999999997</v>
      </c>
      <c r="H210" s="71">
        <v>5.7029999999999994</v>
      </c>
      <c r="I210" s="71">
        <v>0</v>
      </c>
      <c r="J210" s="71">
        <v>0</v>
      </c>
      <c r="K210" s="71">
        <v>0</v>
      </c>
      <c r="L210" s="71">
        <v>0.97599999999999998</v>
      </c>
      <c r="M210" s="71">
        <v>0</v>
      </c>
      <c r="N210" s="71">
        <v>0.38</v>
      </c>
      <c r="O210" s="71">
        <v>0.44399999999999995</v>
      </c>
      <c r="P210" s="71">
        <v>11.906999999999998</v>
      </c>
      <c r="Q210" s="71">
        <v>41.850999999999999</v>
      </c>
      <c r="R210" s="71">
        <v>629.79999999999995</v>
      </c>
      <c r="S210" s="71">
        <v>18.117999999999999</v>
      </c>
      <c r="T210" s="71">
        <v>47.615599999999993</v>
      </c>
    </row>
    <row r="211" spans="1:20">
      <c r="A211" s="71" t="s">
        <v>440</v>
      </c>
      <c r="B211" s="71" t="s">
        <v>1457</v>
      </c>
      <c r="C211" s="71">
        <v>261.95399999999995</v>
      </c>
      <c r="D211" s="71">
        <v>0</v>
      </c>
      <c r="E211" s="71">
        <v>0</v>
      </c>
      <c r="F211" s="71">
        <v>0.52799999999999991</v>
      </c>
      <c r="G211" s="71">
        <v>10.937999999999999</v>
      </c>
      <c r="H211" s="71">
        <v>0.374</v>
      </c>
      <c r="I211" s="71">
        <v>0</v>
      </c>
      <c r="J211" s="71">
        <v>3.5979999999999999</v>
      </c>
      <c r="K211" s="71">
        <v>0</v>
      </c>
      <c r="L211" s="71">
        <v>0</v>
      </c>
      <c r="M211" s="71">
        <v>0.747</v>
      </c>
      <c r="N211" s="71">
        <v>0.38099999999999995</v>
      </c>
      <c r="O211" s="71">
        <v>1.8339999999999999</v>
      </c>
      <c r="P211" s="71">
        <v>7.4409999999999998</v>
      </c>
      <c r="Q211" s="71">
        <v>17.725999999999999</v>
      </c>
      <c r="R211" s="71">
        <v>209.5</v>
      </c>
      <c r="S211" s="71">
        <v>3.9589999999999996</v>
      </c>
      <c r="T211" s="71">
        <v>12</v>
      </c>
    </row>
    <row r="212" spans="1:20">
      <c r="A212" s="71" t="s">
        <v>1324</v>
      </c>
      <c r="B212" s="71" t="s">
        <v>2860</v>
      </c>
      <c r="C212" s="71">
        <v>171.94399999999999</v>
      </c>
      <c r="D212" s="71">
        <v>0</v>
      </c>
      <c r="E212" s="71">
        <v>0</v>
      </c>
      <c r="F212" s="71">
        <v>0.20299999999999999</v>
      </c>
      <c r="G212" s="71">
        <v>9.6329999999999991</v>
      </c>
      <c r="H212" s="71">
        <v>0.5169999999999999</v>
      </c>
      <c r="I212" s="71">
        <v>0</v>
      </c>
      <c r="J212" s="71">
        <v>0</v>
      </c>
      <c r="K212" s="71">
        <v>0</v>
      </c>
      <c r="L212" s="71">
        <v>0</v>
      </c>
      <c r="M212" s="71">
        <v>0</v>
      </c>
      <c r="N212" s="71">
        <v>0</v>
      </c>
      <c r="O212" s="71">
        <v>0</v>
      </c>
      <c r="P212" s="71">
        <v>6.3</v>
      </c>
      <c r="Q212" s="71">
        <v>8.7609999999999992</v>
      </c>
      <c r="R212" s="71">
        <v>123.5</v>
      </c>
      <c r="S212" s="71">
        <v>7.2879999999999994</v>
      </c>
      <c r="T212" s="71">
        <v>8.5969999999999995</v>
      </c>
    </row>
    <row r="213" spans="1:20">
      <c r="A213" s="71" t="s">
        <v>1326</v>
      </c>
      <c r="B213" s="71" t="s">
        <v>2861</v>
      </c>
      <c r="C213" s="71">
        <v>91.811999999999998</v>
      </c>
      <c r="D213" s="71">
        <v>0</v>
      </c>
      <c r="E213" s="71">
        <v>0</v>
      </c>
      <c r="F213" s="71">
        <v>3.7999999999999999E-2</v>
      </c>
      <c r="G213" s="71">
        <v>3.4769999999999999</v>
      </c>
      <c r="H213" s="71">
        <v>0.45899999999999996</v>
      </c>
      <c r="I213" s="71">
        <v>0</v>
      </c>
      <c r="J213" s="71">
        <v>0.57699999999999996</v>
      </c>
      <c r="K213" s="71">
        <v>0</v>
      </c>
      <c r="L213" s="71">
        <v>0</v>
      </c>
      <c r="M213" s="71">
        <v>0</v>
      </c>
      <c r="N213" s="71">
        <v>0.30499999999999999</v>
      </c>
      <c r="O213" s="71">
        <v>0</v>
      </c>
      <c r="P213" s="71">
        <v>3.5249999999999999</v>
      </c>
      <c r="Q213" s="71">
        <v>6.3550000000000004</v>
      </c>
      <c r="R213" s="71">
        <v>79</v>
      </c>
      <c r="S213" s="71">
        <v>0</v>
      </c>
      <c r="T213" s="71">
        <v>4.5905999999999993</v>
      </c>
    </row>
    <row r="214" spans="1:20">
      <c r="A214" s="71" t="s">
        <v>818</v>
      </c>
      <c r="B214" s="71" t="s">
        <v>7677</v>
      </c>
      <c r="C214" s="71">
        <v>15291.954</v>
      </c>
      <c r="D214" s="71">
        <v>0.98099999999999998</v>
      </c>
      <c r="E214" s="71">
        <v>0</v>
      </c>
      <c r="F214" s="71">
        <v>27.601999999999997</v>
      </c>
      <c r="G214" s="71">
        <v>371.19599999999997</v>
      </c>
      <c r="H214" s="71">
        <v>125.98099999999999</v>
      </c>
      <c r="I214" s="71">
        <v>0</v>
      </c>
      <c r="J214" s="71">
        <v>0</v>
      </c>
      <c r="K214" s="71">
        <v>0</v>
      </c>
      <c r="L214" s="71">
        <v>0</v>
      </c>
      <c r="M214" s="71">
        <v>0.49399999999999999</v>
      </c>
      <c r="N214" s="71">
        <v>0.27399999999999997</v>
      </c>
      <c r="O214" s="71">
        <v>4.9529999999999994</v>
      </c>
      <c r="P214" s="71">
        <v>354.95899999999995</v>
      </c>
      <c r="Q214" s="71">
        <v>491.69499999999999</v>
      </c>
      <c r="R214" s="71">
        <v>1387.2</v>
      </c>
      <c r="S214" s="71">
        <v>843.50399999999991</v>
      </c>
      <c r="T214" s="71">
        <v>764.59769999999992</v>
      </c>
    </row>
    <row r="215" spans="1:20">
      <c r="A215" s="71" t="s">
        <v>266</v>
      </c>
      <c r="B215" s="71" t="s">
        <v>7683</v>
      </c>
      <c r="C215" s="71">
        <v>1465.502</v>
      </c>
      <c r="D215" s="71">
        <v>5.5999999999999994E-2</v>
      </c>
      <c r="E215" s="71">
        <v>0</v>
      </c>
      <c r="F215" s="71">
        <v>1.5839999999999999</v>
      </c>
      <c r="G215" s="71">
        <v>51.503999999999998</v>
      </c>
      <c r="H215" s="71">
        <v>1.7839999999999998</v>
      </c>
      <c r="I215" s="71">
        <v>0</v>
      </c>
      <c r="J215" s="71">
        <v>3.3379999999999996</v>
      </c>
      <c r="K215" s="71">
        <v>0</v>
      </c>
      <c r="L215" s="71">
        <v>0</v>
      </c>
      <c r="M215" s="71">
        <v>0.31799999999999995</v>
      </c>
      <c r="N215" s="71">
        <v>0</v>
      </c>
      <c r="O215" s="71">
        <v>0</v>
      </c>
      <c r="P215" s="71">
        <v>21.156999999999996</v>
      </c>
      <c r="Q215" s="71">
        <v>50.206999999999994</v>
      </c>
      <c r="R215" s="71">
        <v>490.3</v>
      </c>
      <c r="S215" s="71">
        <v>109.75699999999999</v>
      </c>
      <c r="T215" s="71">
        <v>73.275000000000006</v>
      </c>
    </row>
    <row r="216" spans="1:20">
      <c r="A216" s="71" t="s">
        <v>441</v>
      </c>
      <c r="B216" s="71" t="s">
        <v>6104</v>
      </c>
      <c r="C216" s="71">
        <v>1426.7339999999999</v>
      </c>
      <c r="D216" s="71">
        <v>2.1999999999999999E-2</v>
      </c>
      <c r="E216" s="71">
        <v>0</v>
      </c>
      <c r="F216" s="71">
        <v>2.6919999999999997</v>
      </c>
      <c r="G216" s="71">
        <v>54.978999999999999</v>
      </c>
      <c r="H216" s="71">
        <v>5.3550000000000004</v>
      </c>
      <c r="I216" s="71">
        <v>0</v>
      </c>
      <c r="J216" s="71">
        <v>7.4249999999999998</v>
      </c>
      <c r="K216" s="71">
        <v>0</v>
      </c>
      <c r="L216" s="71">
        <v>0</v>
      </c>
      <c r="M216" s="71">
        <v>3.4029999999999996</v>
      </c>
      <c r="N216" s="71">
        <v>8.7999999999999995E-2</v>
      </c>
      <c r="O216" s="71">
        <v>0</v>
      </c>
      <c r="P216" s="71">
        <v>11.876999999999999</v>
      </c>
      <c r="Q216" s="71">
        <v>41.982999999999997</v>
      </c>
      <c r="R216" s="71">
        <v>380.3</v>
      </c>
      <c r="S216" s="71">
        <v>82.111999999999995</v>
      </c>
      <c r="T216" s="71">
        <v>71.336699999999993</v>
      </c>
    </row>
    <row r="217" spans="1:20">
      <c r="A217" s="71" t="s">
        <v>1526</v>
      </c>
      <c r="B217" s="71" t="s">
        <v>110</v>
      </c>
      <c r="C217" s="71">
        <v>1367.8779999999999</v>
      </c>
      <c r="D217" s="71">
        <v>6.3999999999999987E-2</v>
      </c>
      <c r="E217" s="71">
        <v>0</v>
      </c>
      <c r="F217" s="71">
        <v>1.78</v>
      </c>
      <c r="G217" s="71">
        <v>48.665999999999997</v>
      </c>
      <c r="H217" s="71">
        <v>5.2429999999999994</v>
      </c>
      <c r="I217" s="71">
        <v>0</v>
      </c>
      <c r="J217" s="71">
        <v>3.4129999999999998</v>
      </c>
      <c r="K217" s="71">
        <v>0</v>
      </c>
      <c r="L217" s="71">
        <v>0</v>
      </c>
      <c r="M217" s="71">
        <v>0</v>
      </c>
      <c r="N217" s="71">
        <v>0.20199999999999999</v>
      </c>
      <c r="O217" s="71">
        <v>0</v>
      </c>
      <c r="P217" s="71">
        <v>8.0279999999999987</v>
      </c>
      <c r="Q217" s="71">
        <v>39.076999999999998</v>
      </c>
      <c r="R217" s="71">
        <v>602.5</v>
      </c>
      <c r="S217" s="71">
        <v>103.12799999999999</v>
      </c>
      <c r="T217" s="71">
        <v>68.393899999999988</v>
      </c>
    </row>
    <row r="218" spans="1:20">
      <c r="A218" s="71" t="s">
        <v>1312</v>
      </c>
      <c r="B218" s="71" t="s">
        <v>117</v>
      </c>
      <c r="C218" s="71">
        <v>18973.589</v>
      </c>
      <c r="D218" s="71">
        <v>0.50099999999999989</v>
      </c>
      <c r="E218" s="71">
        <v>0</v>
      </c>
      <c r="F218" s="71">
        <v>36.517999999999994</v>
      </c>
      <c r="G218" s="71">
        <v>362.07099999999997</v>
      </c>
      <c r="H218" s="71">
        <v>115.93799999999999</v>
      </c>
      <c r="I218" s="71">
        <v>0</v>
      </c>
      <c r="J218" s="71">
        <v>0</v>
      </c>
      <c r="K218" s="71">
        <v>0</v>
      </c>
      <c r="L218" s="71">
        <v>0</v>
      </c>
      <c r="M218" s="71">
        <v>1.7849999999999999</v>
      </c>
      <c r="N218" s="71">
        <v>1.5479999999999998</v>
      </c>
      <c r="O218" s="71">
        <v>0</v>
      </c>
      <c r="P218" s="71">
        <v>50.967999999999996</v>
      </c>
      <c r="Q218" s="71">
        <v>405.68</v>
      </c>
      <c r="R218" s="71">
        <v>1841.7</v>
      </c>
      <c r="S218" s="71">
        <v>811.08699999999999</v>
      </c>
      <c r="T218" s="71">
        <v>948.67899999999997</v>
      </c>
    </row>
    <row r="219" spans="1:20">
      <c r="A219" s="71" t="s">
        <v>6168</v>
      </c>
      <c r="B219" s="71" t="s">
        <v>6076</v>
      </c>
      <c r="C219" s="71">
        <v>18530.575999999997</v>
      </c>
      <c r="D219" s="71">
        <v>0.69799999999999995</v>
      </c>
      <c r="E219" s="71">
        <v>0</v>
      </c>
      <c r="F219" s="71">
        <v>30.372</v>
      </c>
      <c r="G219" s="71">
        <v>411.33299999999997</v>
      </c>
      <c r="H219" s="71">
        <v>153.87899999999999</v>
      </c>
      <c r="I219" s="71">
        <v>0</v>
      </c>
      <c r="J219" s="71">
        <v>0</v>
      </c>
      <c r="K219" s="71">
        <v>0</v>
      </c>
      <c r="L219" s="71">
        <v>0</v>
      </c>
      <c r="M219" s="71">
        <v>16.755999999999997</v>
      </c>
      <c r="N219" s="71">
        <v>4.6479999999999997</v>
      </c>
      <c r="O219" s="71">
        <v>2.1859999999999999</v>
      </c>
      <c r="P219" s="71">
        <v>305.17299999999994</v>
      </c>
      <c r="Q219" s="71">
        <v>545.55599999999993</v>
      </c>
      <c r="R219" s="71">
        <v>4228.7</v>
      </c>
      <c r="S219" s="71">
        <v>1534.2719999999999</v>
      </c>
      <c r="T219" s="71">
        <v>926.52879999999993</v>
      </c>
    </row>
    <row r="220" spans="1:20">
      <c r="A220" s="71" t="s">
        <v>5913</v>
      </c>
      <c r="B220" s="71" t="s">
        <v>2862</v>
      </c>
      <c r="C220" s="71">
        <v>767.39499999999998</v>
      </c>
      <c r="D220" s="71">
        <v>0</v>
      </c>
      <c r="E220" s="71">
        <v>0</v>
      </c>
      <c r="F220" s="71">
        <v>1.486</v>
      </c>
      <c r="G220" s="71">
        <v>18.21</v>
      </c>
      <c r="H220" s="71">
        <v>4.9319999999999995</v>
      </c>
      <c r="I220" s="71">
        <v>0</v>
      </c>
      <c r="J220" s="71">
        <v>2.5659999999999998</v>
      </c>
      <c r="K220" s="71">
        <v>0</v>
      </c>
      <c r="L220" s="71">
        <v>0</v>
      </c>
      <c r="M220" s="71">
        <v>0.89899999999999991</v>
      </c>
      <c r="N220" s="71">
        <v>0</v>
      </c>
      <c r="O220" s="71">
        <v>0</v>
      </c>
      <c r="P220" s="71">
        <v>15.158999999999999</v>
      </c>
      <c r="Q220" s="71">
        <v>13.383999999999999</v>
      </c>
      <c r="R220" s="71">
        <v>191.3</v>
      </c>
      <c r="S220" s="71">
        <v>36.816999999999993</v>
      </c>
      <c r="T220" s="71">
        <v>38.369749999999996</v>
      </c>
    </row>
    <row r="221" spans="1:20">
      <c r="A221" s="71" t="s">
        <v>3546</v>
      </c>
      <c r="B221" s="71" t="s">
        <v>2863</v>
      </c>
      <c r="C221" s="71">
        <v>50159.752999999997</v>
      </c>
      <c r="D221" s="71">
        <v>1.9409999999999998</v>
      </c>
      <c r="E221" s="71">
        <v>0</v>
      </c>
      <c r="F221" s="71">
        <v>115.863</v>
      </c>
      <c r="G221" s="71">
        <v>1198.115</v>
      </c>
      <c r="H221" s="71">
        <v>418.57099999999997</v>
      </c>
      <c r="I221" s="71">
        <v>0</v>
      </c>
      <c r="J221" s="71">
        <v>9.5559999999999992</v>
      </c>
      <c r="K221" s="71">
        <v>0</v>
      </c>
      <c r="L221" s="71">
        <v>0</v>
      </c>
      <c r="M221" s="71">
        <v>40.340000000000003</v>
      </c>
      <c r="N221" s="71">
        <v>6.1569999999999991</v>
      </c>
      <c r="O221" s="71">
        <v>0</v>
      </c>
      <c r="P221" s="71">
        <v>1404.3429999999998</v>
      </c>
      <c r="Q221" s="71">
        <v>1502.4949999999999</v>
      </c>
      <c r="R221" s="71">
        <v>10089.799999999999</v>
      </c>
      <c r="S221" s="71">
        <v>5367.7079999999996</v>
      </c>
      <c r="T221" s="71">
        <v>2507.9876499999996</v>
      </c>
    </row>
    <row r="222" spans="1:20">
      <c r="A222" s="71" t="s">
        <v>5132</v>
      </c>
      <c r="B222" s="71" t="s">
        <v>352</v>
      </c>
      <c r="C222" s="71">
        <v>2326.973</v>
      </c>
      <c r="D222" s="71">
        <v>0.23499999999999999</v>
      </c>
      <c r="E222" s="71">
        <v>0</v>
      </c>
      <c r="F222" s="71">
        <v>5.2159999999999993</v>
      </c>
      <c r="G222" s="71">
        <v>89.137999999999991</v>
      </c>
      <c r="H222" s="71">
        <v>20.100999999999999</v>
      </c>
      <c r="I222" s="71">
        <v>0</v>
      </c>
      <c r="J222" s="71">
        <v>4.3619999999999992</v>
      </c>
      <c r="K222" s="71">
        <v>0</v>
      </c>
      <c r="L222" s="71">
        <v>0</v>
      </c>
      <c r="M222" s="71">
        <v>4.9939999999999998</v>
      </c>
      <c r="N222" s="71">
        <v>0.53699999999999992</v>
      </c>
      <c r="O222" s="71">
        <v>0</v>
      </c>
      <c r="P222" s="71">
        <v>8.375</v>
      </c>
      <c r="Q222" s="71">
        <v>124.16</v>
      </c>
      <c r="R222" s="71">
        <v>1106.7</v>
      </c>
      <c r="S222" s="71">
        <v>196.39899999999997</v>
      </c>
      <c r="T222" s="71">
        <v>116.34864999999999</v>
      </c>
    </row>
    <row r="223" spans="1:20">
      <c r="A223" s="71" t="s">
        <v>649</v>
      </c>
      <c r="B223" s="71" t="s">
        <v>354</v>
      </c>
      <c r="C223" s="71">
        <v>1745.4369999999999</v>
      </c>
      <c r="D223" s="71">
        <v>0.2</v>
      </c>
      <c r="E223" s="71">
        <v>0</v>
      </c>
      <c r="F223" s="71">
        <v>2.5249999999999999</v>
      </c>
      <c r="G223" s="71">
        <v>59.55</v>
      </c>
      <c r="H223" s="71">
        <v>3.9319999999999999</v>
      </c>
      <c r="I223" s="71">
        <v>0</v>
      </c>
      <c r="J223" s="71">
        <v>0.8819999999999999</v>
      </c>
      <c r="K223" s="71">
        <v>0</v>
      </c>
      <c r="L223" s="71">
        <v>0</v>
      </c>
      <c r="M223" s="71">
        <v>1.9359999999999999</v>
      </c>
      <c r="N223" s="71">
        <v>0</v>
      </c>
      <c r="O223" s="71">
        <v>0</v>
      </c>
      <c r="P223" s="71">
        <v>3.7519999999999998</v>
      </c>
      <c r="Q223" s="71">
        <v>50.485999999999997</v>
      </c>
      <c r="R223" s="71">
        <v>220.8</v>
      </c>
      <c r="S223" s="71">
        <v>160.52000000000001</v>
      </c>
      <c r="T223" s="71">
        <v>87.271849999999986</v>
      </c>
    </row>
    <row r="224" spans="1:20">
      <c r="A224" s="71" t="s">
        <v>861</v>
      </c>
      <c r="B224" s="71" t="s">
        <v>2008</v>
      </c>
      <c r="C224" s="71">
        <v>8540.4599999999991</v>
      </c>
      <c r="D224" s="71">
        <v>0.12799999999999997</v>
      </c>
      <c r="E224" s="71">
        <v>3.9999999999999992E-3</v>
      </c>
      <c r="F224" s="71">
        <v>11.912999999999998</v>
      </c>
      <c r="G224" s="71">
        <v>166.059</v>
      </c>
      <c r="H224" s="71">
        <v>42.972999999999999</v>
      </c>
      <c r="I224" s="71">
        <v>0</v>
      </c>
      <c r="J224" s="71">
        <v>9.552999999999999</v>
      </c>
      <c r="K224" s="71">
        <v>0</v>
      </c>
      <c r="L224" s="71">
        <v>0</v>
      </c>
      <c r="M224" s="71">
        <v>0</v>
      </c>
      <c r="N224" s="71">
        <v>0.83799999999999997</v>
      </c>
      <c r="O224" s="71">
        <v>0</v>
      </c>
      <c r="P224" s="71">
        <v>204.51499999999999</v>
      </c>
      <c r="Q224" s="71">
        <v>333.39299999999997</v>
      </c>
      <c r="R224" s="71">
        <v>1820.2</v>
      </c>
      <c r="S224" s="71">
        <v>581.44699999999989</v>
      </c>
      <c r="T224" s="71">
        <v>427.02299999999991</v>
      </c>
    </row>
    <row r="225" spans="1:20">
      <c r="A225" s="71" t="s">
        <v>956</v>
      </c>
      <c r="B225" s="71" t="s">
        <v>7661</v>
      </c>
      <c r="C225" s="71">
        <v>603.70699999999999</v>
      </c>
      <c r="D225" s="71">
        <v>1.6999999999999998E-2</v>
      </c>
      <c r="E225" s="71">
        <v>0</v>
      </c>
      <c r="F225" s="71">
        <v>0.58599999999999997</v>
      </c>
      <c r="G225" s="71">
        <v>24.866999999999997</v>
      </c>
      <c r="H225" s="71">
        <v>0.91599999999999993</v>
      </c>
      <c r="I225" s="71">
        <v>0</v>
      </c>
      <c r="J225" s="71">
        <v>1.466</v>
      </c>
      <c r="K225" s="71">
        <v>0</v>
      </c>
      <c r="L225" s="71">
        <v>0</v>
      </c>
      <c r="M225" s="71">
        <v>0</v>
      </c>
      <c r="N225" s="71">
        <v>0</v>
      </c>
      <c r="O225" s="71">
        <v>0</v>
      </c>
      <c r="P225" s="71">
        <v>11.406999999999998</v>
      </c>
      <c r="Q225" s="71">
        <v>32.831999999999994</v>
      </c>
      <c r="R225" s="71">
        <v>193.3</v>
      </c>
      <c r="S225" s="71">
        <v>26.456999999999997</v>
      </c>
      <c r="T225" s="71">
        <v>30.184999999999999</v>
      </c>
    </row>
    <row r="226" spans="1:20">
      <c r="A226" s="71" t="s">
        <v>236</v>
      </c>
      <c r="B226" s="71" t="s">
        <v>2643</v>
      </c>
      <c r="C226" s="71">
        <v>1353.7389999999998</v>
      </c>
      <c r="D226" s="71">
        <v>0.32899999999999996</v>
      </c>
      <c r="E226" s="71">
        <v>0</v>
      </c>
      <c r="F226" s="71">
        <v>1.718</v>
      </c>
      <c r="G226" s="71">
        <v>37.757999999999996</v>
      </c>
      <c r="H226" s="71">
        <v>7.3829999999999991</v>
      </c>
      <c r="I226" s="71">
        <v>0</v>
      </c>
      <c r="J226" s="71">
        <v>1.8969999999999998</v>
      </c>
      <c r="K226" s="71">
        <v>0</v>
      </c>
      <c r="L226" s="71">
        <v>0</v>
      </c>
      <c r="M226" s="71">
        <v>0</v>
      </c>
      <c r="N226" s="71">
        <v>0</v>
      </c>
      <c r="O226" s="71">
        <v>0</v>
      </c>
      <c r="P226" s="71">
        <v>42.156999999999996</v>
      </c>
      <c r="Q226" s="71">
        <v>63.203999999999994</v>
      </c>
      <c r="R226" s="71">
        <v>467</v>
      </c>
      <c r="S226" s="71">
        <v>27.088999999999999</v>
      </c>
      <c r="T226" s="71">
        <v>67.686949999999996</v>
      </c>
    </row>
    <row r="227" spans="1:20">
      <c r="A227" s="71" t="s">
        <v>3548</v>
      </c>
      <c r="B227" s="71" t="s">
        <v>2864</v>
      </c>
      <c r="C227" s="71">
        <v>1267.3459999999998</v>
      </c>
      <c r="D227" s="71">
        <v>0.39399999999999996</v>
      </c>
      <c r="E227" s="71">
        <v>0</v>
      </c>
      <c r="F227" s="71">
        <v>2.0389999999999997</v>
      </c>
      <c r="G227" s="71">
        <v>14.571</v>
      </c>
      <c r="H227" s="71">
        <v>3.1989999999999998</v>
      </c>
      <c r="I227" s="71">
        <v>0</v>
      </c>
      <c r="J227" s="71">
        <v>0.85599999999999998</v>
      </c>
      <c r="K227" s="71">
        <v>0</v>
      </c>
      <c r="L227" s="71">
        <v>0</v>
      </c>
      <c r="M227" s="71">
        <v>0</v>
      </c>
      <c r="N227" s="71">
        <v>0</v>
      </c>
      <c r="O227" s="71">
        <v>0</v>
      </c>
      <c r="P227" s="71">
        <v>1.8829999999999998</v>
      </c>
      <c r="Q227" s="71">
        <v>0</v>
      </c>
      <c r="R227" s="71">
        <v>46.8</v>
      </c>
      <c r="S227" s="71">
        <v>18.177999999999997</v>
      </c>
      <c r="T227" s="71">
        <v>63.366999999999997</v>
      </c>
    </row>
    <row r="228" spans="1:20">
      <c r="A228" s="71" t="s">
        <v>3550</v>
      </c>
      <c r="B228" s="71" t="s">
        <v>2865</v>
      </c>
      <c r="C228" s="71">
        <v>491.303</v>
      </c>
      <c r="D228" s="71">
        <v>0.04</v>
      </c>
      <c r="E228" s="71">
        <v>0</v>
      </c>
      <c r="F228" s="71">
        <v>0.84199999999999997</v>
      </c>
      <c r="G228" s="71">
        <v>11.109</v>
      </c>
      <c r="H228" s="71">
        <v>2.8969999999999998</v>
      </c>
      <c r="I228" s="71">
        <v>0</v>
      </c>
      <c r="J228" s="71">
        <v>0</v>
      </c>
      <c r="K228" s="71">
        <v>0</v>
      </c>
      <c r="L228" s="71">
        <v>0</v>
      </c>
      <c r="M228" s="71">
        <v>0.83299999999999996</v>
      </c>
      <c r="N228" s="71">
        <v>0</v>
      </c>
      <c r="O228" s="71">
        <v>0</v>
      </c>
      <c r="P228" s="71">
        <v>27.108999999999998</v>
      </c>
      <c r="Q228" s="71">
        <v>31.928999999999998</v>
      </c>
      <c r="R228" s="71">
        <v>343.8</v>
      </c>
      <c r="S228" s="71">
        <v>38.885999999999996</v>
      </c>
      <c r="T228" s="71">
        <v>24.565000000000001</v>
      </c>
    </row>
    <row r="229" spans="1:20">
      <c r="A229" s="71" t="s">
        <v>206</v>
      </c>
      <c r="B229" s="71" t="s">
        <v>2866</v>
      </c>
      <c r="C229" s="71">
        <v>116.50099999999999</v>
      </c>
      <c r="D229" s="71">
        <v>0</v>
      </c>
      <c r="E229" s="71">
        <v>0</v>
      </c>
      <c r="F229" s="71">
        <v>8.199999999999999E-2</v>
      </c>
      <c r="G229" s="71">
        <v>1.9429999999999998</v>
      </c>
      <c r="H229" s="71">
        <v>0</v>
      </c>
      <c r="I229" s="71">
        <v>0</v>
      </c>
      <c r="J229" s="71">
        <v>0</v>
      </c>
      <c r="K229" s="71">
        <v>0</v>
      </c>
      <c r="L229" s="71">
        <v>0</v>
      </c>
      <c r="M229" s="71">
        <v>0</v>
      </c>
      <c r="N229" s="71">
        <v>0</v>
      </c>
      <c r="O229" s="71">
        <v>0</v>
      </c>
      <c r="P229" s="71">
        <v>5.3519999999999994</v>
      </c>
      <c r="Q229" s="71">
        <v>12.04</v>
      </c>
      <c r="R229" s="71">
        <v>74.3</v>
      </c>
      <c r="S229" s="71">
        <v>0</v>
      </c>
      <c r="T229" s="71">
        <v>5.8250000000000002</v>
      </c>
    </row>
    <row r="230" spans="1:20">
      <c r="A230" s="71" t="s">
        <v>234</v>
      </c>
      <c r="B230" s="71" t="s">
        <v>2641</v>
      </c>
      <c r="C230" s="71">
        <v>1449.6579999999999</v>
      </c>
      <c r="D230" s="71">
        <v>0.19599999999999998</v>
      </c>
      <c r="E230" s="71">
        <v>0</v>
      </c>
      <c r="F230" s="71">
        <v>1.3089999999999999</v>
      </c>
      <c r="G230" s="71">
        <v>37.525999999999996</v>
      </c>
      <c r="H230" s="71">
        <v>14.885</v>
      </c>
      <c r="I230" s="71">
        <v>0</v>
      </c>
      <c r="J230" s="71">
        <v>0</v>
      </c>
      <c r="K230" s="71">
        <v>0</v>
      </c>
      <c r="L230" s="71">
        <v>0.97399999999999998</v>
      </c>
      <c r="M230" s="71">
        <v>4.5319999999999991</v>
      </c>
      <c r="N230" s="71">
        <v>0.57099999999999995</v>
      </c>
      <c r="O230" s="71">
        <v>0</v>
      </c>
      <c r="P230" s="71">
        <v>50.042999999999999</v>
      </c>
      <c r="Q230" s="71">
        <v>85.674999999999997</v>
      </c>
      <c r="R230" s="71">
        <v>702.7</v>
      </c>
      <c r="S230" s="71">
        <v>86.712999999999994</v>
      </c>
      <c r="T230" s="71">
        <v>44</v>
      </c>
    </row>
    <row r="231" spans="1:20">
      <c r="A231" s="71" t="s">
        <v>208</v>
      </c>
      <c r="B231" s="71" t="s">
        <v>2867</v>
      </c>
      <c r="C231" s="71">
        <v>1265.8979999999999</v>
      </c>
      <c r="D231" s="71">
        <v>3.3999999999999996E-2</v>
      </c>
      <c r="E231" s="71">
        <v>7.8E-2</v>
      </c>
      <c r="F231" s="71">
        <v>1.3089999999999999</v>
      </c>
      <c r="G231" s="71">
        <v>46.081999999999994</v>
      </c>
      <c r="H231" s="71">
        <v>7.1150000000000002</v>
      </c>
      <c r="I231" s="71">
        <v>0</v>
      </c>
      <c r="J231" s="71">
        <v>0</v>
      </c>
      <c r="K231" s="71">
        <v>0</v>
      </c>
      <c r="L231" s="71">
        <v>0</v>
      </c>
      <c r="M231" s="71">
        <v>3.2089999999999996</v>
      </c>
      <c r="N231" s="71">
        <v>0.44</v>
      </c>
      <c r="O231" s="71">
        <v>3.6379999999999999</v>
      </c>
      <c r="P231" s="71">
        <v>50.07</v>
      </c>
      <c r="Q231" s="71">
        <v>55.027999999999999</v>
      </c>
      <c r="R231" s="71">
        <v>922</v>
      </c>
      <c r="S231" s="71">
        <v>74.209999999999994</v>
      </c>
      <c r="T231" s="71">
        <v>63.294899999999991</v>
      </c>
    </row>
    <row r="232" spans="1:20">
      <c r="A232" s="71" t="s">
        <v>210</v>
      </c>
      <c r="B232" s="71" t="s">
        <v>2868</v>
      </c>
      <c r="C232" s="71">
        <v>567.19899999999996</v>
      </c>
      <c r="D232" s="71">
        <v>0</v>
      </c>
      <c r="E232" s="71">
        <v>0</v>
      </c>
      <c r="F232" s="71">
        <v>0.63500000000000001</v>
      </c>
      <c r="G232" s="71">
        <v>18.506999999999998</v>
      </c>
      <c r="H232" s="71">
        <v>3.3729999999999998</v>
      </c>
      <c r="I232" s="71">
        <v>0</v>
      </c>
      <c r="J232" s="71">
        <v>0</v>
      </c>
      <c r="K232" s="71">
        <v>0</v>
      </c>
      <c r="L232" s="71">
        <v>0</v>
      </c>
      <c r="M232" s="71">
        <v>5.4629999999999992</v>
      </c>
      <c r="N232" s="71">
        <v>0</v>
      </c>
      <c r="O232" s="71">
        <v>0</v>
      </c>
      <c r="P232" s="71">
        <v>20.036999999999999</v>
      </c>
      <c r="Q232" s="71">
        <v>38.655000000000001</v>
      </c>
      <c r="R232" s="71">
        <v>282</v>
      </c>
      <c r="S232" s="71">
        <v>50.215000000000003</v>
      </c>
      <c r="T232" s="71">
        <v>28.359949999999994</v>
      </c>
    </row>
    <row r="233" spans="1:20">
      <c r="A233" s="71" t="s">
        <v>7254</v>
      </c>
      <c r="B233" s="71" t="s">
        <v>7255</v>
      </c>
      <c r="C233" s="71">
        <v>103.883</v>
      </c>
      <c r="D233" s="71">
        <v>0</v>
      </c>
      <c r="E233" s="71">
        <v>0</v>
      </c>
      <c r="F233" s="71">
        <v>0</v>
      </c>
      <c r="G233" s="71">
        <v>3.1489999999999996</v>
      </c>
      <c r="H233" s="71">
        <v>0</v>
      </c>
      <c r="I233" s="71">
        <v>0</v>
      </c>
      <c r="J233" s="71">
        <v>0</v>
      </c>
      <c r="K233" s="71">
        <v>0</v>
      </c>
      <c r="L233" s="71">
        <v>0</v>
      </c>
      <c r="M233" s="71">
        <v>0</v>
      </c>
      <c r="N233" s="71">
        <v>0</v>
      </c>
      <c r="O233" s="71">
        <v>3.7749999999999999</v>
      </c>
      <c r="P233" s="71">
        <v>0</v>
      </c>
      <c r="Q233" s="71">
        <v>1.3719999999999999</v>
      </c>
      <c r="R233" s="71">
        <v>85</v>
      </c>
      <c r="S233" s="71">
        <v>0</v>
      </c>
      <c r="T233" s="71">
        <v>0</v>
      </c>
    </row>
    <row r="234" spans="1:20">
      <c r="A234" s="71" t="s">
        <v>7256</v>
      </c>
      <c r="B234" s="71" t="s">
        <v>7257</v>
      </c>
      <c r="C234" s="71">
        <v>198.29599999999999</v>
      </c>
      <c r="D234" s="71">
        <v>0</v>
      </c>
      <c r="E234" s="71">
        <v>0</v>
      </c>
      <c r="F234" s="71">
        <v>0.25199999999999995</v>
      </c>
      <c r="G234" s="71">
        <v>0</v>
      </c>
      <c r="H234" s="71">
        <v>0</v>
      </c>
      <c r="I234" s="71">
        <v>0</v>
      </c>
      <c r="J234" s="71">
        <v>3.6999999999999998E-2</v>
      </c>
      <c r="K234" s="71">
        <v>0</v>
      </c>
      <c r="L234" s="71">
        <v>0</v>
      </c>
      <c r="M234" s="71">
        <v>0.81199999999999994</v>
      </c>
      <c r="N234" s="71">
        <v>0</v>
      </c>
      <c r="O234" s="71">
        <v>155.66399999999999</v>
      </c>
      <c r="P234" s="71">
        <v>0</v>
      </c>
      <c r="Q234" s="71">
        <v>0</v>
      </c>
      <c r="R234" s="71">
        <v>217.7</v>
      </c>
      <c r="S234" s="71">
        <v>0.94699999999999995</v>
      </c>
      <c r="T234" s="71">
        <v>0</v>
      </c>
    </row>
    <row r="235" spans="1:20">
      <c r="A235" s="71" t="s">
        <v>212</v>
      </c>
      <c r="B235" s="71" t="s">
        <v>2869</v>
      </c>
      <c r="C235" s="71">
        <v>6443.27</v>
      </c>
      <c r="D235" s="71">
        <v>0.30499999999999999</v>
      </c>
      <c r="E235" s="71">
        <v>0</v>
      </c>
      <c r="F235" s="71">
        <v>9.6879999999999988</v>
      </c>
      <c r="G235" s="71">
        <v>183.821</v>
      </c>
      <c r="H235" s="71">
        <v>45.183</v>
      </c>
      <c r="I235" s="71">
        <v>0</v>
      </c>
      <c r="J235" s="71">
        <v>2.0819999999999999</v>
      </c>
      <c r="K235" s="71">
        <v>0</v>
      </c>
      <c r="L235" s="71">
        <v>0</v>
      </c>
      <c r="M235" s="71">
        <v>5.1999999999999998E-2</v>
      </c>
      <c r="N235" s="71">
        <v>2.62</v>
      </c>
      <c r="O235" s="71">
        <v>0.22899999999999998</v>
      </c>
      <c r="P235" s="71">
        <v>44.511999999999993</v>
      </c>
      <c r="Q235" s="71">
        <v>219.61399999999998</v>
      </c>
      <c r="R235" s="71">
        <v>2589.3000000000002</v>
      </c>
      <c r="S235" s="71">
        <v>442.50099999999998</v>
      </c>
      <c r="T235" s="71">
        <v>322.16299999999995</v>
      </c>
    </row>
    <row r="236" spans="1:20">
      <c r="A236" s="71" t="s">
        <v>214</v>
      </c>
      <c r="B236" s="71" t="s">
        <v>2870</v>
      </c>
      <c r="C236" s="71">
        <v>12654.565999999999</v>
      </c>
      <c r="D236" s="71">
        <v>3.2709999999999999</v>
      </c>
      <c r="E236" s="71">
        <v>0</v>
      </c>
      <c r="F236" s="71">
        <v>10.392999999999999</v>
      </c>
      <c r="G236" s="71">
        <v>319.76499999999999</v>
      </c>
      <c r="H236" s="71">
        <v>90.747</v>
      </c>
      <c r="I236" s="71">
        <v>0</v>
      </c>
      <c r="J236" s="71">
        <v>7.9469999999999992</v>
      </c>
      <c r="K236" s="71">
        <v>0</v>
      </c>
      <c r="L236" s="71">
        <v>0</v>
      </c>
      <c r="M236" s="71">
        <v>28.800999999999998</v>
      </c>
      <c r="N236" s="71">
        <v>3.7279999999999998</v>
      </c>
      <c r="O236" s="71">
        <v>12.078999999999999</v>
      </c>
      <c r="P236" s="71">
        <v>232.06</v>
      </c>
      <c r="Q236" s="71">
        <v>593.14699999999993</v>
      </c>
      <c r="R236" s="71">
        <v>3999.5</v>
      </c>
      <c r="S236" s="71">
        <v>412.69899999999996</v>
      </c>
      <c r="T236" s="71">
        <v>632.72799999999995</v>
      </c>
    </row>
    <row r="237" spans="1:20">
      <c r="A237" s="71" t="s">
        <v>2714</v>
      </c>
      <c r="B237" s="71" t="s">
        <v>2871</v>
      </c>
      <c r="C237" s="71">
        <v>1284.8109999999999</v>
      </c>
      <c r="D237" s="71">
        <v>0.01</v>
      </c>
      <c r="E237" s="71">
        <v>0</v>
      </c>
      <c r="F237" s="71">
        <v>1.8889999999999998</v>
      </c>
      <c r="G237" s="71">
        <v>27.688999999999997</v>
      </c>
      <c r="H237" s="71">
        <v>7.5809999999999995</v>
      </c>
      <c r="I237" s="71">
        <v>0</v>
      </c>
      <c r="J237" s="71">
        <v>0</v>
      </c>
      <c r="K237" s="71">
        <v>0</v>
      </c>
      <c r="L237" s="71">
        <v>0</v>
      </c>
      <c r="M237" s="71">
        <v>0</v>
      </c>
      <c r="N237" s="71">
        <v>0.56599999999999995</v>
      </c>
      <c r="O237" s="71">
        <v>7.9</v>
      </c>
      <c r="P237" s="71">
        <v>37.338999999999999</v>
      </c>
      <c r="Q237" s="71">
        <v>59.421999999999997</v>
      </c>
      <c r="R237" s="71">
        <v>848</v>
      </c>
      <c r="S237" s="71">
        <v>126.07199999999999</v>
      </c>
      <c r="T237" s="71">
        <v>64.240549999999985</v>
      </c>
    </row>
    <row r="238" spans="1:20">
      <c r="A238" s="71" t="s">
        <v>250</v>
      </c>
      <c r="B238" s="71" t="s">
        <v>995</v>
      </c>
      <c r="C238" s="71">
        <v>613.52199999999993</v>
      </c>
      <c r="D238" s="71">
        <v>1.9999999999999996E-3</v>
      </c>
      <c r="E238" s="71">
        <v>0</v>
      </c>
      <c r="F238" s="71">
        <v>1.1879999999999999</v>
      </c>
      <c r="G238" s="71">
        <v>15.552999999999999</v>
      </c>
      <c r="H238" s="71">
        <v>3.2319999999999998</v>
      </c>
      <c r="I238" s="71">
        <v>0</v>
      </c>
      <c r="J238" s="71">
        <v>0</v>
      </c>
      <c r="K238" s="71">
        <v>0</v>
      </c>
      <c r="L238" s="71">
        <v>0</v>
      </c>
      <c r="M238" s="71">
        <v>0.92099999999999993</v>
      </c>
      <c r="N238" s="71">
        <v>0.7679999999999999</v>
      </c>
      <c r="O238" s="71">
        <v>0</v>
      </c>
      <c r="P238" s="71">
        <v>9.8239999999999998</v>
      </c>
      <c r="Q238" s="71">
        <v>29.593999999999998</v>
      </c>
      <c r="R238" s="71">
        <v>363.2</v>
      </c>
      <c r="S238" s="71">
        <v>22.526</v>
      </c>
      <c r="T238" s="71">
        <v>21</v>
      </c>
    </row>
    <row r="239" spans="1:20">
      <c r="A239" s="71" t="s">
        <v>2162</v>
      </c>
      <c r="B239" s="71" t="s">
        <v>3915</v>
      </c>
      <c r="C239" s="71">
        <v>198.83099999999999</v>
      </c>
      <c r="D239" s="71">
        <v>1.3999999999999999E-2</v>
      </c>
      <c r="E239" s="71">
        <v>0</v>
      </c>
      <c r="F239" s="71">
        <v>0.13699999999999998</v>
      </c>
      <c r="G239" s="71">
        <v>5.7089999999999996</v>
      </c>
      <c r="H239" s="71">
        <v>0.17099999999999999</v>
      </c>
      <c r="I239" s="71">
        <v>0</v>
      </c>
      <c r="J239" s="71">
        <v>0</v>
      </c>
      <c r="K239" s="71">
        <v>0</v>
      </c>
      <c r="L239" s="71">
        <v>0</v>
      </c>
      <c r="M239" s="71">
        <v>0</v>
      </c>
      <c r="N239" s="71">
        <v>0.19</v>
      </c>
      <c r="O239" s="71">
        <v>0</v>
      </c>
      <c r="P239" s="71">
        <v>1.2069999999999999</v>
      </c>
      <c r="Q239" s="71">
        <v>7.7809999999999997</v>
      </c>
      <c r="R239" s="71">
        <v>148.80000000000001</v>
      </c>
      <c r="S239" s="71">
        <v>32.217999999999996</v>
      </c>
      <c r="T239" s="71">
        <v>9.9415499999999994</v>
      </c>
    </row>
    <row r="240" spans="1:20">
      <c r="A240" s="71" t="s">
        <v>2716</v>
      </c>
      <c r="B240" s="71" t="s">
        <v>2872</v>
      </c>
      <c r="C240" s="71">
        <v>128.59599999999998</v>
      </c>
      <c r="D240" s="71">
        <v>0</v>
      </c>
      <c r="E240" s="71">
        <v>0</v>
      </c>
      <c r="F240" s="71">
        <v>0.436</v>
      </c>
      <c r="G240" s="71">
        <v>6.0619999999999994</v>
      </c>
      <c r="H240" s="71">
        <v>0</v>
      </c>
      <c r="I240" s="71">
        <v>0</v>
      </c>
      <c r="J240" s="71">
        <v>0</v>
      </c>
      <c r="K240" s="71">
        <v>0</v>
      </c>
      <c r="L240" s="71">
        <v>0</v>
      </c>
      <c r="M240" s="71">
        <v>0</v>
      </c>
      <c r="N240" s="71">
        <v>0</v>
      </c>
      <c r="O240" s="71">
        <v>0.41799999999999998</v>
      </c>
      <c r="P240" s="71">
        <v>2.6150000000000002</v>
      </c>
      <c r="Q240" s="71">
        <v>6.2389999999999999</v>
      </c>
      <c r="R240" s="71">
        <v>85</v>
      </c>
      <c r="S240" s="71">
        <v>1.9369999999999998</v>
      </c>
      <c r="T240" s="71">
        <v>5</v>
      </c>
    </row>
    <row r="241" spans="1:20">
      <c r="A241" s="71" t="s">
        <v>2718</v>
      </c>
      <c r="B241" s="71" t="s">
        <v>2873</v>
      </c>
      <c r="C241" s="71">
        <v>283.291</v>
      </c>
      <c r="D241" s="71">
        <v>0</v>
      </c>
      <c r="E241" s="71">
        <v>0</v>
      </c>
      <c r="F241" s="71">
        <v>0.63099999999999989</v>
      </c>
      <c r="G241" s="71">
        <v>10.606</v>
      </c>
      <c r="H241" s="71">
        <v>0.70899999999999996</v>
      </c>
      <c r="I241" s="71">
        <v>0</v>
      </c>
      <c r="J241" s="71">
        <v>1.5319999999999998</v>
      </c>
      <c r="K241" s="71">
        <v>0</v>
      </c>
      <c r="L241" s="71">
        <v>0</v>
      </c>
      <c r="M241" s="71">
        <v>0.99099999999999999</v>
      </c>
      <c r="N241" s="71">
        <v>0.249</v>
      </c>
      <c r="O241" s="71">
        <v>0.8819999999999999</v>
      </c>
      <c r="P241" s="71">
        <v>4.7189999999999994</v>
      </c>
      <c r="Q241" s="71">
        <v>32.340999999999994</v>
      </c>
      <c r="R241" s="71">
        <v>176.5</v>
      </c>
      <c r="S241" s="71">
        <v>10.377999999999998</v>
      </c>
      <c r="T241" s="71">
        <v>14.164549999999998</v>
      </c>
    </row>
    <row r="242" spans="1:20">
      <c r="A242" s="71" t="s">
        <v>2720</v>
      </c>
      <c r="B242" s="71" t="s">
        <v>2874</v>
      </c>
      <c r="C242" s="71">
        <v>133.18699999999998</v>
      </c>
      <c r="D242" s="71">
        <v>3.2999999999999995E-2</v>
      </c>
      <c r="E242" s="71">
        <v>0</v>
      </c>
      <c r="F242" s="71">
        <v>6.7999999999999991E-2</v>
      </c>
      <c r="G242" s="71">
        <v>2.0449999999999999</v>
      </c>
      <c r="H242" s="71">
        <v>0.76</v>
      </c>
      <c r="I242" s="71">
        <v>0</v>
      </c>
      <c r="J242" s="71">
        <v>1.1269999999999998</v>
      </c>
      <c r="K242" s="71">
        <v>0</v>
      </c>
      <c r="L242" s="71">
        <v>0</v>
      </c>
      <c r="M242" s="71">
        <v>0</v>
      </c>
      <c r="N242" s="71">
        <v>0</v>
      </c>
      <c r="O242" s="71">
        <v>1.0629999999999999</v>
      </c>
      <c r="P242" s="71">
        <v>3.7109999999999999</v>
      </c>
      <c r="Q242" s="71">
        <v>6.2579999999999991</v>
      </c>
      <c r="R242" s="71">
        <v>87.2</v>
      </c>
      <c r="S242" s="71">
        <v>1.2529999999999999</v>
      </c>
      <c r="T242" s="71">
        <v>2</v>
      </c>
    </row>
    <row r="243" spans="1:20">
      <c r="A243" s="71" t="s">
        <v>1314</v>
      </c>
      <c r="B243" s="71" t="s">
        <v>119</v>
      </c>
      <c r="C243" s="71">
        <v>2764.0079999999998</v>
      </c>
      <c r="D243" s="71">
        <v>0</v>
      </c>
      <c r="E243" s="71">
        <v>0</v>
      </c>
      <c r="F243" s="71">
        <v>6.3689999999999998</v>
      </c>
      <c r="G243" s="71">
        <v>116.98</v>
      </c>
      <c r="H243" s="71">
        <v>17.364999999999998</v>
      </c>
      <c r="I243" s="71">
        <v>0</v>
      </c>
      <c r="J243" s="71">
        <v>0</v>
      </c>
      <c r="K243" s="71">
        <v>0</v>
      </c>
      <c r="L243" s="71">
        <v>0</v>
      </c>
      <c r="M243" s="71">
        <v>2.8729999999999998</v>
      </c>
      <c r="N243" s="71">
        <v>1.9869999999999999</v>
      </c>
      <c r="O243" s="71">
        <v>2.13</v>
      </c>
      <c r="P243" s="71">
        <v>52.94</v>
      </c>
      <c r="Q243" s="71">
        <v>125.17599999999999</v>
      </c>
      <c r="R243" s="71">
        <v>1874.7</v>
      </c>
      <c r="S243" s="71">
        <v>387.10199999999998</v>
      </c>
      <c r="T243" s="71">
        <v>138.19999999999999</v>
      </c>
    </row>
    <row r="244" spans="1:20">
      <c r="A244" s="71" t="s">
        <v>2722</v>
      </c>
      <c r="B244" s="71" t="s">
        <v>2875</v>
      </c>
      <c r="C244" s="71">
        <v>514.476</v>
      </c>
      <c r="D244" s="71">
        <v>0.02</v>
      </c>
      <c r="E244" s="71">
        <v>0</v>
      </c>
      <c r="F244" s="71">
        <v>0.69799999999999995</v>
      </c>
      <c r="G244" s="71">
        <v>23.075999999999997</v>
      </c>
      <c r="H244" s="71">
        <v>7.1689999999999996</v>
      </c>
      <c r="I244" s="71">
        <v>0</v>
      </c>
      <c r="J244" s="71">
        <v>0</v>
      </c>
      <c r="K244" s="71">
        <v>0</v>
      </c>
      <c r="L244" s="71">
        <v>0</v>
      </c>
      <c r="M244" s="71">
        <v>1</v>
      </c>
      <c r="N244" s="71">
        <v>0</v>
      </c>
      <c r="O244" s="71">
        <v>0</v>
      </c>
      <c r="P244" s="71">
        <v>6.6069999999999993</v>
      </c>
      <c r="Q244" s="71">
        <v>39.438999999999993</v>
      </c>
      <c r="R244" s="71">
        <v>112.3</v>
      </c>
      <c r="S244" s="71">
        <v>3.55</v>
      </c>
      <c r="T244" s="71">
        <v>25.723799999999997</v>
      </c>
    </row>
    <row r="245" spans="1:20">
      <c r="A245" s="71" t="s">
        <v>442</v>
      </c>
      <c r="B245" s="71" t="s">
        <v>5372</v>
      </c>
      <c r="C245" s="71">
        <v>620.70000000000005</v>
      </c>
      <c r="D245" s="71">
        <v>0.11099999999999999</v>
      </c>
      <c r="E245" s="71">
        <v>0</v>
      </c>
      <c r="F245" s="71">
        <v>0.86599999999999999</v>
      </c>
      <c r="G245" s="71">
        <v>24.386999999999997</v>
      </c>
      <c r="H245" s="71">
        <v>4.101</v>
      </c>
      <c r="I245" s="71">
        <v>0</v>
      </c>
      <c r="J245" s="71">
        <v>0.32099999999999995</v>
      </c>
      <c r="K245" s="71">
        <v>0</v>
      </c>
      <c r="L245" s="71">
        <v>0</v>
      </c>
      <c r="M245" s="71">
        <v>1.1929999999999998</v>
      </c>
      <c r="N245" s="71">
        <v>0.58399999999999996</v>
      </c>
      <c r="O245" s="71">
        <v>0</v>
      </c>
      <c r="P245" s="71">
        <v>18.442999999999998</v>
      </c>
      <c r="Q245" s="71">
        <v>49.236999999999995</v>
      </c>
      <c r="R245" s="71">
        <v>192.3</v>
      </c>
      <c r="S245" s="71">
        <v>21.326999999999998</v>
      </c>
      <c r="T245" s="71">
        <v>31.035</v>
      </c>
    </row>
    <row r="246" spans="1:20">
      <c r="A246" s="71" t="s">
        <v>7258</v>
      </c>
      <c r="B246" s="71" t="s">
        <v>7259</v>
      </c>
      <c r="C246" s="71">
        <v>323</v>
      </c>
      <c r="D246" s="71">
        <v>0</v>
      </c>
      <c r="E246" s="71">
        <v>0</v>
      </c>
      <c r="F246" s="71">
        <v>0</v>
      </c>
      <c r="G246" s="71">
        <v>0</v>
      </c>
      <c r="H246" s="71">
        <v>0</v>
      </c>
      <c r="I246" s="71">
        <v>0</v>
      </c>
      <c r="J246" s="71">
        <v>0</v>
      </c>
      <c r="K246" s="71">
        <v>0</v>
      </c>
      <c r="L246" s="71">
        <v>0</v>
      </c>
      <c r="M246" s="71">
        <v>0</v>
      </c>
      <c r="N246" s="71">
        <v>0</v>
      </c>
      <c r="O246" s="71">
        <v>0</v>
      </c>
      <c r="P246" s="71">
        <v>0</v>
      </c>
      <c r="Q246" s="71">
        <v>0</v>
      </c>
      <c r="R246" s="71">
        <v>0</v>
      </c>
      <c r="S246" s="71">
        <v>0</v>
      </c>
      <c r="T246" s="71">
        <v>0</v>
      </c>
    </row>
    <row r="247" spans="1:20">
      <c r="A247" s="71" t="s">
        <v>2724</v>
      </c>
      <c r="B247" s="71" t="s">
        <v>2876</v>
      </c>
      <c r="C247" s="71">
        <v>1002.077</v>
      </c>
      <c r="D247" s="71">
        <v>0.14299999999999999</v>
      </c>
      <c r="E247" s="71">
        <v>0</v>
      </c>
      <c r="F247" s="71">
        <v>0.83399999999999996</v>
      </c>
      <c r="G247" s="71">
        <v>35.102999999999994</v>
      </c>
      <c r="H247" s="71">
        <v>3.089</v>
      </c>
      <c r="I247" s="71">
        <v>0</v>
      </c>
      <c r="J247" s="71">
        <v>0</v>
      </c>
      <c r="K247" s="71">
        <v>0</v>
      </c>
      <c r="L247" s="71">
        <v>0</v>
      </c>
      <c r="M247" s="71">
        <v>3.8529999999999998</v>
      </c>
      <c r="N247" s="71">
        <v>3.5000000000000003E-2</v>
      </c>
      <c r="O247" s="71">
        <v>0</v>
      </c>
      <c r="P247" s="71">
        <v>13.927</v>
      </c>
      <c r="Q247" s="71">
        <v>59.274999999999999</v>
      </c>
      <c r="R247" s="71">
        <v>472.8</v>
      </c>
      <c r="S247" s="71">
        <v>13.782999999999999</v>
      </c>
      <c r="T247" s="71">
        <v>50.103849999999994</v>
      </c>
    </row>
    <row r="248" spans="1:20">
      <c r="A248" s="71" t="s">
        <v>5321</v>
      </c>
      <c r="B248" s="71" t="s">
        <v>2877</v>
      </c>
      <c r="C248" s="71">
        <v>366.58299999999997</v>
      </c>
      <c r="D248" s="71">
        <v>3.3999999999999996E-2</v>
      </c>
      <c r="E248" s="71">
        <v>0</v>
      </c>
      <c r="F248" s="71">
        <v>0.57599999999999996</v>
      </c>
      <c r="G248" s="71">
        <v>13.574999999999999</v>
      </c>
      <c r="H248" s="71">
        <v>3.3489999999999998</v>
      </c>
      <c r="I248" s="71">
        <v>0</v>
      </c>
      <c r="J248" s="71">
        <v>0</v>
      </c>
      <c r="K248" s="71">
        <v>0</v>
      </c>
      <c r="L248" s="71">
        <v>0</v>
      </c>
      <c r="M248" s="71">
        <v>2.4449999999999998</v>
      </c>
      <c r="N248" s="71">
        <v>0</v>
      </c>
      <c r="O248" s="71">
        <v>0</v>
      </c>
      <c r="P248" s="71">
        <v>2.4189999999999996</v>
      </c>
      <c r="Q248" s="71">
        <v>14.595999999999998</v>
      </c>
      <c r="R248" s="71">
        <v>110.2</v>
      </c>
      <c r="S248" s="71">
        <v>3.0589999999999997</v>
      </c>
      <c r="T248" s="71">
        <v>18.328999999999997</v>
      </c>
    </row>
    <row r="249" spans="1:20">
      <c r="A249" s="71" t="s">
        <v>5323</v>
      </c>
      <c r="B249" s="71" t="s">
        <v>2878</v>
      </c>
      <c r="C249" s="71">
        <v>491.64099999999996</v>
      </c>
      <c r="D249" s="71">
        <v>0</v>
      </c>
      <c r="E249" s="71">
        <v>0</v>
      </c>
      <c r="F249" s="71">
        <v>0.82799999999999996</v>
      </c>
      <c r="G249" s="71">
        <v>9.8159999999999989</v>
      </c>
      <c r="H249" s="71">
        <v>0.47699999999999998</v>
      </c>
      <c r="I249" s="71">
        <v>0</v>
      </c>
      <c r="J249" s="71">
        <v>0</v>
      </c>
      <c r="K249" s="71">
        <v>0</v>
      </c>
      <c r="L249" s="71">
        <v>0</v>
      </c>
      <c r="M249" s="71">
        <v>3.093</v>
      </c>
      <c r="N249" s="71">
        <v>0</v>
      </c>
      <c r="O249" s="71">
        <v>0</v>
      </c>
      <c r="P249" s="71">
        <v>7.8179999999999996</v>
      </c>
      <c r="Q249" s="71">
        <v>28.937999999999999</v>
      </c>
      <c r="R249" s="71">
        <v>23.5</v>
      </c>
      <c r="S249" s="71">
        <v>0</v>
      </c>
      <c r="T249" s="71">
        <v>24.581999999999997</v>
      </c>
    </row>
    <row r="250" spans="1:20">
      <c r="A250" s="71" t="s">
        <v>5325</v>
      </c>
      <c r="B250" s="71" t="s">
        <v>2879</v>
      </c>
      <c r="C250" s="71">
        <v>70.078999999999994</v>
      </c>
      <c r="D250" s="71">
        <v>0</v>
      </c>
      <c r="E250" s="71">
        <v>0</v>
      </c>
      <c r="F250" s="71">
        <v>7.0000000000000007E-2</v>
      </c>
      <c r="G250" s="71">
        <v>5.7129999999999992</v>
      </c>
      <c r="H250" s="71">
        <v>0</v>
      </c>
      <c r="I250" s="71">
        <v>0</v>
      </c>
      <c r="J250" s="71">
        <v>0</v>
      </c>
      <c r="K250" s="71">
        <v>0</v>
      </c>
      <c r="L250" s="71">
        <v>0</v>
      </c>
      <c r="M250" s="71">
        <v>0</v>
      </c>
      <c r="N250" s="71">
        <v>0</v>
      </c>
      <c r="O250" s="71">
        <v>0</v>
      </c>
      <c r="P250" s="71">
        <v>0</v>
      </c>
      <c r="Q250" s="71">
        <v>0</v>
      </c>
      <c r="R250" s="71">
        <v>53.3</v>
      </c>
      <c r="S250" s="71">
        <v>0</v>
      </c>
      <c r="T250" s="71">
        <v>2</v>
      </c>
    </row>
    <row r="251" spans="1:20">
      <c r="A251" s="71" t="s">
        <v>5327</v>
      </c>
      <c r="B251" s="71" t="s">
        <v>2880</v>
      </c>
      <c r="C251" s="71">
        <v>53.461999999999996</v>
      </c>
      <c r="D251" s="71">
        <v>7.5999999999999998E-2</v>
      </c>
      <c r="E251" s="71">
        <v>0</v>
      </c>
      <c r="F251" s="71">
        <v>5.6999999999999995E-2</v>
      </c>
      <c r="G251" s="71">
        <v>2.3659999999999997</v>
      </c>
      <c r="H251" s="71">
        <v>0</v>
      </c>
      <c r="I251" s="71">
        <v>0</v>
      </c>
      <c r="J251" s="71">
        <v>0</v>
      </c>
      <c r="K251" s="71">
        <v>0</v>
      </c>
      <c r="L251" s="71">
        <v>0</v>
      </c>
      <c r="M251" s="71">
        <v>0</v>
      </c>
      <c r="N251" s="71">
        <v>0</v>
      </c>
      <c r="O251" s="71">
        <v>0</v>
      </c>
      <c r="P251" s="71">
        <v>2.8979999999999997</v>
      </c>
      <c r="Q251" s="71">
        <v>0</v>
      </c>
      <c r="R251" s="71">
        <v>39.299999999999997</v>
      </c>
      <c r="S251" s="71">
        <v>3.0309999999999997</v>
      </c>
      <c r="T251" s="71">
        <v>2.6729999999999996</v>
      </c>
    </row>
    <row r="252" spans="1:20">
      <c r="A252" s="71" t="s">
        <v>5329</v>
      </c>
      <c r="B252" s="71" t="s">
        <v>2881</v>
      </c>
      <c r="C252" s="71">
        <v>289.26199999999994</v>
      </c>
      <c r="D252" s="71">
        <v>0</v>
      </c>
      <c r="E252" s="71">
        <v>0</v>
      </c>
      <c r="F252" s="71">
        <v>0.20599999999999999</v>
      </c>
      <c r="G252" s="71">
        <v>11.565</v>
      </c>
      <c r="H252" s="71">
        <v>0</v>
      </c>
      <c r="I252" s="71">
        <v>0</v>
      </c>
      <c r="J252" s="71">
        <v>0</v>
      </c>
      <c r="K252" s="71">
        <v>0</v>
      </c>
      <c r="L252" s="71">
        <v>0</v>
      </c>
      <c r="M252" s="71">
        <v>0</v>
      </c>
      <c r="N252" s="71">
        <v>0.24199999999999999</v>
      </c>
      <c r="O252" s="71">
        <v>0</v>
      </c>
      <c r="P252" s="71">
        <v>4.9329999999999998</v>
      </c>
      <c r="Q252" s="71">
        <v>14.235999999999999</v>
      </c>
      <c r="R252" s="71">
        <v>159.30000000000001</v>
      </c>
      <c r="S252" s="71">
        <v>18.081999999999997</v>
      </c>
      <c r="T252" s="71">
        <v>9</v>
      </c>
    </row>
    <row r="253" spans="1:20">
      <c r="A253" s="71" t="s">
        <v>5331</v>
      </c>
      <c r="B253" s="71" t="s">
        <v>2882</v>
      </c>
      <c r="C253" s="71">
        <v>2588.895</v>
      </c>
      <c r="D253" s="71">
        <v>0.13799999999999998</v>
      </c>
      <c r="E253" s="71">
        <v>0</v>
      </c>
      <c r="F253" s="71">
        <v>5.7869999999999999</v>
      </c>
      <c r="G253" s="71">
        <v>169.245</v>
      </c>
      <c r="H253" s="71">
        <v>21.344999999999999</v>
      </c>
      <c r="I253" s="71">
        <v>0</v>
      </c>
      <c r="J253" s="71">
        <v>2.6369999999999996</v>
      </c>
      <c r="K253" s="71">
        <v>0</v>
      </c>
      <c r="L253" s="71">
        <v>0</v>
      </c>
      <c r="M253" s="71">
        <v>14.781999999999998</v>
      </c>
      <c r="N253" s="71">
        <v>1.3019999999999998</v>
      </c>
      <c r="O253" s="71">
        <v>2.21</v>
      </c>
      <c r="P253" s="71">
        <v>17.812999999999999</v>
      </c>
      <c r="Q253" s="71">
        <v>144.92599999999999</v>
      </c>
      <c r="R253" s="71">
        <v>1108.8</v>
      </c>
      <c r="S253" s="71">
        <v>54.101999999999997</v>
      </c>
      <c r="T253" s="71">
        <v>129.44474999999997</v>
      </c>
    </row>
    <row r="254" spans="1:20">
      <c r="A254" s="71" t="s">
        <v>585</v>
      </c>
      <c r="B254" s="71" t="s">
        <v>3833</v>
      </c>
      <c r="C254" s="71">
        <v>169.083</v>
      </c>
      <c r="D254" s="71">
        <v>2.5999999999999999E-2</v>
      </c>
      <c r="E254" s="71">
        <v>0</v>
      </c>
      <c r="F254" s="71">
        <v>0.37799999999999995</v>
      </c>
      <c r="G254" s="71">
        <v>3.081</v>
      </c>
      <c r="H254" s="71">
        <v>0.22299999999999998</v>
      </c>
      <c r="I254" s="71">
        <v>0</v>
      </c>
      <c r="J254" s="71">
        <v>0.1</v>
      </c>
      <c r="K254" s="71">
        <v>0</v>
      </c>
      <c r="L254" s="71">
        <v>0</v>
      </c>
      <c r="M254" s="71">
        <v>0.70199999999999996</v>
      </c>
      <c r="N254" s="71">
        <v>0</v>
      </c>
      <c r="O254" s="71">
        <v>0</v>
      </c>
      <c r="P254" s="71">
        <v>21.01</v>
      </c>
      <c r="Q254" s="71">
        <v>6.5719999999999992</v>
      </c>
      <c r="R254" s="71">
        <v>65.8</v>
      </c>
      <c r="S254" s="71">
        <v>3.8439999999999999</v>
      </c>
      <c r="T254" s="71">
        <v>8.4539999999999988</v>
      </c>
    </row>
    <row r="255" spans="1:20">
      <c r="A255" s="71" t="s">
        <v>5333</v>
      </c>
      <c r="B255" s="71" t="s">
        <v>2883</v>
      </c>
      <c r="C255" s="71">
        <v>197.53099999999998</v>
      </c>
      <c r="D255" s="71">
        <v>0</v>
      </c>
      <c r="E255" s="71">
        <v>0</v>
      </c>
      <c r="F255" s="71">
        <v>0.36199999999999999</v>
      </c>
      <c r="G255" s="71">
        <v>8.3149999999999995</v>
      </c>
      <c r="H255" s="71">
        <v>0.26099999999999995</v>
      </c>
      <c r="I255" s="71">
        <v>0</v>
      </c>
      <c r="J255" s="71">
        <v>0</v>
      </c>
      <c r="K255" s="71">
        <v>0</v>
      </c>
      <c r="L255" s="71">
        <v>0</v>
      </c>
      <c r="M255" s="71">
        <v>0</v>
      </c>
      <c r="N255" s="71">
        <v>0.14499999999999999</v>
      </c>
      <c r="O255" s="71">
        <v>0</v>
      </c>
      <c r="P255" s="71">
        <v>0.93399999999999994</v>
      </c>
      <c r="Q255" s="71">
        <v>9.0500000000000007</v>
      </c>
      <c r="R255" s="71">
        <v>81.5</v>
      </c>
      <c r="S255" s="71">
        <v>1.9419999999999999</v>
      </c>
      <c r="T255" s="71">
        <v>2</v>
      </c>
    </row>
    <row r="256" spans="1:20">
      <c r="A256" s="71" t="s">
        <v>239</v>
      </c>
      <c r="B256" s="71" t="s">
        <v>2647</v>
      </c>
      <c r="C256" s="71">
        <v>6555.5359999999991</v>
      </c>
      <c r="D256" s="71">
        <v>0.52</v>
      </c>
      <c r="E256" s="71">
        <v>0</v>
      </c>
      <c r="F256" s="71">
        <v>12.638999999999999</v>
      </c>
      <c r="G256" s="71">
        <v>124.125</v>
      </c>
      <c r="H256" s="71">
        <v>63.616</v>
      </c>
      <c r="I256" s="71">
        <v>0</v>
      </c>
      <c r="J256" s="71">
        <v>0</v>
      </c>
      <c r="K256" s="71">
        <v>0</v>
      </c>
      <c r="L256" s="71">
        <v>0</v>
      </c>
      <c r="M256" s="71">
        <v>12.530999999999999</v>
      </c>
      <c r="N256" s="71">
        <v>2.2200000000000002</v>
      </c>
      <c r="O256" s="71">
        <v>28.165999999999997</v>
      </c>
      <c r="P256" s="71">
        <v>145.46699999999998</v>
      </c>
      <c r="Q256" s="71">
        <v>331.42599999999999</v>
      </c>
      <c r="R256" s="71">
        <v>3117.2</v>
      </c>
      <c r="S256" s="71">
        <v>59.258999999999993</v>
      </c>
      <c r="T256" s="71">
        <v>327.77679999999992</v>
      </c>
    </row>
    <row r="257" spans="1:20">
      <c r="A257" s="71" t="s">
        <v>5335</v>
      </c>
      <c r="B257" s="71" t="s">
        <v>2884</v>
      </c>
      <c r="C257" s="71">
        <v>227.244</v>
      </c>
      <c r="D257" s="71">
        <v>0</v>
      </c>
      <c r="E257" s="71">
        <v>0</v>
      </c>
      <c r="F257" s="71">
        <v>0.21099999999999999</v>
      </c>
      <c r="G257" s="71">
        <v>8.9779999999999998</v>
      </c>
      <c r="H257" s="71">
        <v>1.4489999999999998</v>
      </c>
      <c r="I257" s="71">
        <v>0</v>
      </c>
      <c r="J257" s="71">
        <v>0</v>
      </c>
      <c r="K257" s="71">
        <v>0</v>
      </c>
      <c r="L257" s="71">
        <v>0</v>
      </c>
      <c r="M257" s="71">
        <v>2.0739999999999998</v>
      </c>
      <c r="N257" s="71">
        <v>0</v>
      </c>
      <c r="O257" s="71">
        <v>0</v>
      </c>
      <c r="P257" s="71">
        <v>5.54</v>
      </c>
      <c r="Q257" s="71">
        <v>11.617999999999999</v>
      </c>
      <c r="R257" s="71">
        <v>165.3</v>
      </c>
      <c r="S257" s="71">
        <v>1.954</v>
      </c>
      <c r="T257" s="71">
        <v>11.361999999999998</v>
      </c>
    </row>
    <row r="258" spans="1:20">
      <c r="A258" s="71" t="s">
        <v>2450</v>
      </c>
      <c r="B258" s="71" t="s">
        <v>2885</v>
      </c>
      <c r="C258" s="71">
        <v>839.72299999999996</v>
      </c>
      <c r="D258" s="71">
        <v>0.14199999999999999</v>
      </c>
      <c r="E258" s="71">
        <v>0</v>
      </c>
      <c r="F258" s="71">
        <v>1.55</v>
      </c>
      <c r="G258" s="71">
        <v>17.402999999999999</v>
      </c>
      <c r="H258" s="71">
        <v>1.3769999999999998</v>
      </c>
      <c r="I258" s="71">
        <v>0</v>
      </c>
      <c r="J258" s="71">
        <v>0</v>
      </c>
      <c r="K258" s="71">
        <v>0</v>
      </c>
      <c r="L258" s="71">
        <v>0</v>
      </c>
      <c r="M258" s="71">
        <v>0</v>
      </c>
      <c r="N258" s="71">
        <v>0</v>
      </c>
      <c r="O258" s="71">
        <v>0</v>
      </c>
      <c r="P258" s="71">
        <v>34.700999999999993</v>
      </c>
      <c r="Q258" s="71">
        <v>27.002999999999997</v>
      </c>
      <c r="R258" s="71">
        <v>468</v>
      </c>
      <c r="S258" s="71">
        <v>90.22399999999999</v>
      </c>
      <c r="T258" s="71">
        <v>41.985999999999997</v>
      </c>
    </row>
    <row r="259" spans="1:20">
      <c r="A259" s="71" t="s">
        <v>2452</v>
      </c>
      <c r="B259" s="71" t="s">
        <v>2886</v>
      </c>
      <c r="C259" s="71">
        <v>744.20099999999991</v>
      </c>
      <c r="D259" s="71">
        <v>1.4999999999999999E-2</v>
      </c>
      <c r="E259" s="71">
        <v>0</v>
      </c>
      <c r="F259" s="71">
        <v>1.216</v>
      </c>
      <c r="G259" s="71">
        <v>23.128999999999998</v>
      </c>
      <c r="H259" s="71">
        <v>10.277999999999999</v>
      </c>
      <c r="I259" s="71">
        <v>0</v>
      </c>
      <c r="J259" s="71">
        <v>0</v>
      </c>
      <c r="K259" s="71">
        <v>0</v>
      </c>
      <c r="L259" s="71">
        <v>0</v>
      </c>
      <c r="M259" s="71">
        <v>1.194</v>
      </c>
      <c r="N259" s="71">
        <v>0.93899999999999995</v>
      </c>
      <c r="O259" s="71">
        <v>0</v>
      </c>
      <c r="P259" s="71">
        <v>2.3879999999999999</v>
      </c>
      <c r="Q259" s="71">
        <v>35.890999999999998</v>
      </c>
      <c r="R259" s="71">
        <v>433.7</v>
      </c>
      <c r="S259" s="71">
        <v>79.638999999999996</v>
      </c>
      <c r="T259" s="71">
        <v>37.21</v>
      </c>
    </row>
    <row r="260" spans="1:20">
      <c r="A260" s="71" t="s">
        <v>2454</v>
      </c>
      <c r="B260" s="71" t="s">
        <v>2887</v>
      </c>
      <c r="C260" s="71">
        <v>423.49899999999997</v>
      </c>
      <c r="D260" s="71">
        <v>1.4999999999999999E-2</v>
      </c>
      <c r="E260" s="71">
        <v>0</v>
      </c>
      <c r="F260" s="71">
        <v>0.59599999999999997</v>
      </c>
      <c r="G260" s="71">
        <v>28.506999999999998</v>
      </c>
      <c r="H260" s="71">
        <v>0.74399999999999999</v>
      </c>
      <c r="I260" s="71">
        <v>0</v>
      </c>
      <c r="J260" s="71">
        <v>2.8259999999999996</v>
      </c>
      <c r="K260" s="71">
        <v>0</v>
      </c>
      <c r="L260" s="71">
        <v>0</v>
      </c>
      <c r="M260" s="71">
        <v>0</v>
      </c>
      <c r="N260" s="71">
        <v>0.497</v>
      </c>
      <c r="O260" s="71">
        <v>0</v>
      </c>
      <c r="P260" s="71">
        <v>2.0579999999999998</v>
      </c>
      <c r="Q260" s="71">
        <v>28.097999999999999</v>
      </c>
      <c r="R260" s="71">
        <v>331.7</v>
      </c>
      <c r="S260" s="71">
        <v>21.576999999999998</v>
      </c>
      <c r="T260" s="71">
        <v>21.174949999999995</v>
      </c>
    </row>
    <row r="261" spans="1:20">
      <c r="A261" s="71" t="s">
        <v>2456</v>
      </c>
      <c r="B261" s="71" t="s">
        <v>2888</v>
      </c>
      <c r="C261" s="71">
        <v>330.42500000000001</v>
      </c>
      <c r="D261" s="71">
        <v>8.299999999999999E-2</v>
      </c>
      <c r="E261" s="71">
        <v>0</v>
      </c>
      <c r="F261" s="71">
        <v>1.194</v>
      </c>
      <c r="G261" s="71">
        <v>24.927999999999997</v>
      </c>
      <c r="H261" s="71">
        <v>2.8119999999999998</v>
      </c>
      <c r="I261" s="71">
        <v>0</v>
      </c>
      <c r="J261" s="71">
        <v>0</v>
      </c>
      <c r="K261" s="71">
        <v>0</v>
      </c>
      <c r="L261" s="71">
        <v>0</v>
      </c>
      <c r="M261" s="71">
        <v>0</v>
      </c>
      <c r="N261" s="71">
        <v>0.246</v>
      </c>
      <c r="O261" s="71">
        <v>1.75</v>
      </c>
      <c r="P261" s="71">
        <v>13.152999999999999</v>
      </c>
      <c r="Q261" s="71">
        <v>20.806999999999999</v>
      </c>
      <c r="R261" s="71">
        <v>343</v>
      </c>
      <c r="S261" s="71">
        <v>30.512999999999998</v>
      </c>
      <c r="T261" s="71">
        <v>16.520999999999997</v>
      </c>
    </row>
    <row r="262" spans="1:20">
      <c r="A262" s="71" t="s">
        <v>2458</v>
      </c>
      <c r="B262" s="71" t="s">
        <v>2889</v>
      </c>
      <c r="C262" s="71">
        <v>548.779</v>
      </c>
      <c r="D262" s="71">
        <v>0</v>
      </c>
      <c r="E262" s="71">
        <v>0</v>
      </c>
      <c r="F262" s="71">
        <v>1.7909999999999999</v>
      </c>
      <c r="G262" s="71">
        <v>26.065000000000001</v>
      </c>
      <c r="H262" s="71">
        <v>2.5150000000000001</v>
      </c>
      <c r="I262" s="71">
        <v>0</v>
      </c>
      <c r="J262" s="71">
        <v>3.4750000000000001</v>
      </c>
      <c r="K262" s="71">
        <v>0</v>
      </c>
      <c r="L262" s="71">
        <v>0</v>
      </c>
      <c r="M262" s="71">
        <v>0.72</v>
      </c>
      <c r="N262" s="71">
        <v>0.66799999999999993</v>
      </c>
      <c r="O262" s="71">
        <v>0</v>
      </c>
      <c r="P262" s="71">
        <v>31.923999999999999</v>
      </c>
      <c r="Q262" s="71">
        <v>24.388999999999999</v>
      </c>
      <c r="R262" s="71">
        <v>468.5</v>
      </c>
      <c r="S262" s="71">
        <v>13.780999999999999</v>
      </c>
      <c r="T262" s="71">
        <v>27.438949999999998</v>
      </c>
    </row>
    <row r="263" spans="1:20">
      <c r="A263" s="71" t="s">
        <v>2460</v>
      </c>
      <c r="B263" s="71" t="s">
        <v>2890</v>
      </c>
      <c r="C263" s="71">
        <v>555.25799999999992</v>
      </c>
      <c r="D263" s="71">
        <v>9.0999999999999998E-2</v>
      </c>
      <c r="E263" s="71">
        <v>0</v>
      </c>
      <c r="F263" s="71">
        <v>0.46099999999999997</v>
      </c>
      <c r="G263" s="71">
        <v>19.95</v>
      </c>
      <c r="H263" s="71">
        <v>1.3719999999999999</v>
      </c>
      <c r="I263" s="71">
        <v>0</v>
      </c>
      <c r="J263" s="71">
        <v>0</v>
      </c>
      <c r="K263" s="71">
        <v>0</v>
      </c>
      <c r="L263" s="71">
        <v>0</v>
      </c>
      <c r="M263" s="71">
        <v>0</v>
      </c>
      <c r="N263" s="71">
        <v>7.6999999999999999E-2</v>
      </c>
      <c r="O263" s="71">
        <v>0</v>
      </c>
      <c r="P263" s="71">
        <v>2.0950000000000002</v>
      </c>
      <c r="Q263" s="71">
        <v>14.081999999999999</v>
      </c>
      <c r="R263" s="71">
        <v>501.5</v>
      </c>
      <c r="S263" s="71">
        <v>58.607999999999997</v>
      </c>
      <c r="T263" s="71">
        <v>27.762899999999998</v>
      </c>
    </row>
    <row r="264" spans="1:20">
      <c r="A264" s="71" t="s">
        <v>2462</v>
      </c>
      <c r="B264" s="71" t="s">
        <v>2891</v>
      </c>
      <c r="C264" s="71">
        <v>1457.223</v>
      </c>
      <c r="D264" s="71">
        <v>3.9E-2</v>
      </c>
      <c r="E264" s="71">
        <v>0</v>
      </c>
      <c r="F264" s="71">
        <v>3.0669999999999997</v>
      </c>
      <c r="G264" s="71">
        <v>51.808</v>
      </c>
      <c r="H264" s="71">
        <v>12.507999999999999</v>
      </c>
      <c r="I264" s="71">
        <v>0</v>
      </c>
      <c r="J264" s="71">
        <v>0</v>
      </c>
      <c r="K264" s="71">
        <v>0</v>
      </c>
      <c r="L264" s="71">
        <v>0</v>
      </c>
      <c r="M264" s="71">
        <v>1.4339999999999999</v>
      </c>
      <c r="N264" s="71">
        <v>1.0489999999999999</v>
      </c>
      <c r="O264" s="71">
        <v>0</v>
      </c>
      <c r="P264" s="71">
        <v>31.258999999999997</v>
      </c>
      <c r="Q264" s="71">
        <v>73.557999999999993</v>
      </c>
      <c r="R264" s="71">
        <v>944.8</v>
      </c>
      <c r="S264" s="71">
        <v>99.277999999999992</v>
      </c>
      <c r="T264" s="71">
        <v>64</v>
      </c>
    </row>
    <row r="265" spans="1:20">
      <c r="A265" s="71" t="s">
        <v>2464</v>
      </c>
      <c r="B265" s="71" t="s">
        <v>2892</v>
      </c>
      <c r="C265" s="71">
        <v>140.25599999999997</v>
      </c>
      <c r="D265" s="71">
        <v>0</v>
      </c>
      <c r="E265" s="71">
        <v>0</v>
      </c>
      <c r="F265" s="71">
        <v>0.29899999999999999</v>
      </c>
      <c r="G265" s="71">
        <v>3.4339999999999997</v>
      </c>
      <c r="H265" s="71">
        <v>0.45599999999999996</v>
      </c>
      <c r="I265" s="71">
        <v>0</v>
      </c>
      <c r="J265" s="71">
        <v>0</v>
      </c>
      <c r="K265" s="71">
        <v>0</v>
      </c>
      <c r="L265" s="71">
        <v>0</v>
      </c>
      <c r="M265" s="71">
        <v>0</v>
      </c>
      <c r="N265" s="71">
        <v>0</v>
      </c>
      <c r="O265" s="71">
        <v>0</v>
      </c>
      <c r="P265" s="71">
        <v>3.0409999999999999</v>
      </c>
      <c r="Q265" s="71">
        <v>3.871</v>
      </c>
      <c r="R265" s="71">
        <v>85.5</v>
      </c>
      <c r="S265" s="71">
        <v>17.47</v>
      </c>
      <c r="T265" s="71">
        <v>7.0127999999999995</v>
      </c>
    </row>
    <row r="266" spans="1:20">
      <c r="A266" s="71" t="s">
        <v>7260</v>
      </c>
      <c r="B266" s="71" t="s">
        <v>7261</v>
      </c>
      <c r="C266" s="71">
        <v>0</v>
      </c>
      <c r="D266" s="71">
        <v>0</v>
      </c>
      <c r="E266" s="71">
        <v>0</v>
      </c>
      <c r="F266" s="71">
        <v>0</v>
      </c>
      <c r="G266" s="71">
        <v>0</v>
      </c>
      <c r="H266" s="71">
        <v>0</v>
      </c>
      <c r="I266" s="71">
        <v>0</v>
      </c>
      <c r="J266" s="71">
        <v>0</v>
      </c>
      <c r="K266" s="71">
        <v>0</v>
      </c>
      <c r="L266" s="71">
        <v>0</v>
      </c>
      <c r="M266" s="71">
        <v>0</v>
      </c>
      <c r="N266" s="71">
        <v>0</v>
      </c>
      <c r="O266" s="71">
        <v>0</v>
      </c>
      <c r="P266" s="71">
        <v>0</v>
      </c>
      <c r="Q266" s="71">
        <v>0</v>
      </c>
      <c r="R266" s="71">
        <v>0</v>
      </c>
      <c r="S266" s="71">
        <v>0</v>
      </c>
      <c r="T266" s="71">
        <v>0</v>
      </c>
    </row>
    <row r="267" spans="1:20">
      <c r="A267" s="71" t="s">
        <v>2466</v>
      </c>
      <c r="B267" s="71" t="s">
        <v>5302</v>
      </c>
      <c r="C267" s="71">
        <v>243.01399999999998</v>
      </c>
      <c r="D267" s="71">
        <v>0</v>
      </c>
      <c r="E267" s="71">
        <v>0</v>
      </c>
      <c r="F267" s="71">
        <v>0</v>
      </c>
      <c r="G267" s="71">
        <v>5.875</v>
      </c>
      <c r="H267" s="71">
        <v>0.96299999999999997</v>
      </c>
      <c r="I267" s="71">
        <v>0</v>
      </c>
      <c r="J267" s="71">
        <v>0</v>
      </c>
      <c r="K267" s="71">
        <v>0</v>
      </c>
      <c r="L267" s="71">
        <v>0</v>
      </c>
      <c r="M267" s="71">
        <v>0</v>
      </c>
      <c r="N267" s="71">
        <v>0</v>
      </c>
      <c r="O267" s="71">
        <v>0</v>
      </c>
      <c r="P267" s="71">
        <v>0</v>
      </c>
      <c r="Q267" s="71">
        <v>0</v>
      </c>
      <c r="R267" s="71">
        <v>168.7</v>
      </c>
      <c r="S267" s="71">
        <v>24.613999999999997</v>
      </c>
      <c r="T267" s="71">
        <v>0</v>
      </c>
    </row>
    <row r="268" spans="1:20">
      <c r="A268" s="71" t="s">
        <v>5303</v>
      </c>
      <c r="B268" s="71" t="s">
        <v>5304</v>
      </c>
      <c r="C268" s="71">
        <v>914.38099999999997</v>
      </c>
      <c r="D268" s="71">
        <v>0</v>
      </c>
      <c r="E268" s="71">
        <v>0</v>
      </c>
      <c r="F268" s="71">
        <v>1.0069999999999999</v>
      </c>
      <c r="G268" s="71">
        <v>7.55</v>
      </c>
      <c r="H268" s="71">
        <v>0</v>
      </c>
      <c r="I268" s="71">
        <v>0</v>
      </c>
      <c r="J268" s="71">
        <v>0</v>
      </c>
      <c r="K268" s="71">
        <v>0</v>
      </c>
      <c r="L268" s="71">
        <v>0</v>
      </c>
      <c r="M268" s="71">
        <v>0</v>
      </c>
      <c r="N268" s="71">
        <v>0</v>
      </c>
      <c r="O268" s="71">
        <v>0</v>
      </c>
      <c r="P268" s="71">
        <v>0</v>
      </c>
      <c r="Q268" s="71">
        <v>7.4509999999999996</v>
      </c>
      <c r="R268" s="71">
        <v>0</v>
      </c>
      <c r="S268" s="71">
        <v>12.462999999999999</v>
      </c>
      <c r="T268" s="71">
        <v>0</v>
      </c>
    </row>
    <row r="269" spans="1:20">
      <c r="A269" s="71" t="s">
        <v>7262</v>
      </c>
      <c r="B269" s="71" t="s">
        <v>7263</v>
      </c>
      <c r="C269" s="71">
        <v>1821.91</v>
      </c>
      <c r="D269" s="71">
        <v>1.5999999999999997E-2</v>
      </c>
      <c r="E269" s="71">
        <v>0</v>
      </c>
      <c r="F269" s="71">
        <v>0</v>
      </c>
      <c r="G269" s="71">
        <v>52.087999999999994</v>
      </c>
      <c r="H269" s="71">
        <v>15.122999999999999</v>
      </c>
      <c r="I269" s="71">
        <v>0</v>
      </c>
      <c r="J269" s="71">
        <v>0</v>
      </c>
      <c r="K269" s="71">
        <v>0</v>
      </c>
      <c r="L269" s="71">
        <v>0</v>
      </c>
      <c r="M269" s="71">
        <v>0.97099999999999997</v>
      </c>
      <c r="N269" s="71">
        <v>16.62</v>
      </c>
      <c r="O269" s="71">
        <v>0</v>
      </c>
      <c r="P269" s="71">
        <v>0</v>
      </c>
      <c r="Q269" s="71">
        <v>60.602999999999994</v>
      </c>
      <c r="R269" s="71">
        <v>1060.5</v>
      </c>
      <c r="S269" s="71">
        <v>199.946</v>
      </c>
      <c r="T269" s="71">
        <v>0</v>
      </c>
    </row>
    <row r="270" spans="1:20">
      <c r="A270" s="71" t="s">
        <v>7264</v>
      </c>
      <c r="B270" s="71" t="s">
        <v>7265</v>
      </c>
      <c r="C270" s="71">
        <v>121.605</v>
      </c>
      <c r="D270" s="71">
        <v>0</v>
      </c>
      <c r="E270" s="71">
        <v>0</v>
      </c>
      <c r="F270" s="71">
        <v>0.36399999999999999</v>
      </c>
      <c r="G270" s="71">
        <v>0.54899999999999993</v>
      </c>
      <c r="H270" s="71">
        <v>0</v>
      </c>
      <c r="I270" s="71">
        <v>0</v>
      </c>
      <c r="J270" s="71">
        <v>0</v>
      </c>
      <c r="K270" s="71">
        <v>0</v>
      </c>
      <c r="L270" s="71">
        <v>0</v>
      </c>
      <c r="M270" s="71">
        <v>0</v>
      </c>
      <c r="N270" s="71">
        <v>0</v>
      </c>
      <c r="O270" s="71">
        <v>0</v>
      </c>
      <c r="P270" s="71">
        <v>0</v>
      </c>
      <c r="Q270" s="71">
        <v>0</v>
      </c>
      <c r="R270" s="71">
        <v>117.3</v>
      </c>
      <c r="S270" s="71">
        <v>55.52</v>
      </c>
      <c r="T270" s="71">
        <v>0</v>
      </c>
    </row>
    <row r="271" spans="1:20">
      <c r="A271" s="71" t="s">
        <v>5305</v>
      </c>
      <c r="B271" s="71" t="s">
        <v>5306</v>
      </c>
      <c r="C271" s="71">
        <v>613.79199999999992</v>
      </c>
      <c r="D271" s="71">
        <v>0</v>
      </c>
      <c r="E271" s="71">
        <v>0</v>
      </c>
      <c r="F271" s="71">
        <v>0.25</v>
      </c>
      <c r="G271" s="71">
        <v>11.963999999999999</v>
      </c>
      <c r="H271" s="71">
        <v>4.4999999999999998E-2</v>
      </c>
      <c r="I271" s="71">
        <v>0</v>
      </c>
      <c r="J271" s="71">
        <v>0</v>
      </c>
      <c r="K271" s="71">
        <v>0</v>
      </c>
      <c r="L271" s="71">
        <v>0</v>
      </c>
      <c r="M271" s="71">
        <v>0</v>
      </c>
      <c r="N271" s="71">
        <v>0</v>
      </c>
      <c r="O271" s="71">
        <v>0</v>
      </c>
      <c r="P271" s="71">
        <v>0</v>
      </c>
      <c r="Q271" s="71">
        <v>6.2139999999999995</v>
      </c>
      <c r="R271" s="71">
        <v>413</v>
      </c>
      <c r="S271" s="71">
        <v>25.695999999999998</v>
      </c>
      <c r="T271" s="71">
        <v>0</v>
      </c>
    </row>
    <row r="272" spans="1:20">
      <c r="A272" s="71" t="s">
        <v>7266</v>
      </c>
      <c r="B272" s="71" t="s">
        <v>7267</v>
      </c>
      <c r="C272" s="71">
        <v>1898.2079999999999</v>
      </c>
      <c r="D272" s="71">
        <v>0.315</v>
      </c>
      <c r="E272" s="71">
        <v>0</v>
      </c>
      <c r="F272" s="71">
        <v>3.4329999999999998</v>
      </c>
      <c r="G272" s="71">
        <v>56.97</v>
      </c>
      <c r="H272" s="71">
        <v>2.7739999999999996</v>
      </c>
      <c r="I272" s="71">
        <v>0</v>
      </c>
      <c r="J272" s="71">
        <v>0</v>
      </c>
      <c r="K272" s="71">
        <v>0</v>
      </c>
      <c r="L272" s="71">
        <v>0</v>
      </c>
      <c r="M272" s="71">
        <v>0</v>
      </c>
      <c r="N272" s="71">
        <v>0</v>
      </c>
      <c r="O272" s="71">
        <v>0</v>
      </c>
      <c r="P272" s="71">
        <v>0</v>
      </c>
      <c r="Q272" s="71">
        <v>0</v>
      </c>
      <c r="R272" s="71">
        <v>795.5</v>
      </c>
      <c r="S272" s="71">
        <v>130.72</v>
      </c>
      <c r="T272" s="71">
        <v>93.031999999999996</v>
      </c>
    </row>
    <row r="273" spans="1:20">
      <c r="A273" s="71" t="s">
        <v>7268</v>
      </c>
      <c r="B273" s="71" t="s">
        <v>7269</v>
      </c>
      <c r="C273" s="71">
        <v>1079.2279999999998</v>
      </c>
      <c r="D273" s="71">
        <v>0</v>
      </c>
      <c r="E273" s="71">
        <v>0</v>
      </c>
      <c r="F273" s="71">
        <v>1.0459999999999998</v>
      </c>
      <c r="G273" s="71">
        <v>7.2539999999999996</v>
      </c>
      <c r="H273" s="71">
        <v>0.24099999999999999</v>
      </c>
      <c r="I273" s="71">
        <v>0</v>
      </c>
      <c r="J273" s="71">
        <v>0</v>
      </c>
      <c r="K273" s="71">
        <v>0</v>
      </c>
      <c r="L273" s="71">
        <v>0</v>
      </c>
      <c r="M273" s="71">
        <v>0</v>
      </c>
      <c r="N273" s="71">
        <v>0</v>
      </c>
      <c r="O273" s="71">
        <v>0</v>
      </c>
      <c r="P273" s="71">
        <v>0</v>
      </c>
      <c r="Q273" s="71">
        <v>0</v>
      </c>
      <c r="R273" s="71">
        <v>511.5</v>
      </c>
      <c r="S273" s="71">
        <v>79.193999999999988</v>
      </c>
      <c r="T273" s="71">
        <v>28.003999999999998</v>
      </c>
    </row>
    <row r="274" spans="1:20">
      <c r="A274" s="71" t="s">
        <v>7270</v>
      </c>
      <c r="B274" s="71" t="s">
        <v>7271</v>
      </c>
      <c r="C274" s="71">
        <v>104.211</v>
      </c>
      <c r="D274" s="71">
        <v>0</v>
      </c>
      <c r="E274" s="71">
        <v>0</v>
      </c>
      <c r="F274" s="71">
        <v>1.4999999999999999E-2</v>
      </c>
      <c r="G274" s="71">
        <v>2.2689999999999997</v>
      </c>
      <c r="H274" s="71">
        <v>0</v>
      </c>
      <c r="I274" s="71">
        <v>0</v>
      </c>
      <c r="J274" s="71">
        <v>0</v>
      </c>
      <c r="K274" s="71">
        <v>0</v>
      </c>
      <c r="L274" s="71">
        <v>0</v>
      </c>
      <c r="M274" s="71">
        <v>0</v>
      </c>
      <c r="N274" s="71">
        <v>0</v>
      </c>
      <c r="O274" s="71">
        <v>0</v>
      </c>
      <c r="P274" s="71">
        <v>0</v>
      </c>
      <c r="Q274" s="71">
        <v>0</v>
      </c>
      <c r="R274" s="71">
        <v>99.3</v>
      </c>
      <c r="S274" s="71">
        <v>29.334</v>
      </c>
      <c r="T274" s="71">
        <v>0</v>
      </c>
    </row>
    <row r="275" spans="1:20">
      <c r="A275" s="71" t="s">
        <v>7272</v>
      </c>
      <c r="B275" s="71" t="s">
        <v>7273</v>
      </c>
      <c r="C275" s="71">
        <v>365.45699999999999</v>
      </c>
      <c r="D275" s="71">
        <v>0</v>
      </c>
      <c r="E275" s="71">
        <v>0</v>
      </c>
      <c r="F275" s="71">
        <v>3.5999999999999997E-2</v>
      </c>
      <c r="G275" s="71">
        <v>11.113</v>
      </c>
      <c r="H275" s="71">
        <v>1.0049999999999999</v>
      </c>
      <c r="I275" s="71">
        <v>0</v>
      </c>
      <c r="J275" s="71">
        <v>0</v>
      </c>
      <c r="K275" s="71">
        <v>0</v>
      </c>
      <c r="L275" s="71">
        <v>0</v>
      </c>
      <c r="M275" s="71">
        <v>0</v>
      </c>
      <c r="N275" s="71">
        <v>0</v>
      </c>
      <c r="O275" s="71">
        <v>0</v>
      </c>
      <c r="P275" s="71">
        <v>0</v>
      </c>
      <c r="Q275" s="71">
        <v>0</v>
      </c>
      <c r="R275" s="71">
        <v>453.2</v>
      </c>
      <c r="S275" s="71">
        <v>2.0669999999999997</v>
      </c>
      <c r="T275" s="71">
        <v>0</v>
      </c>
    </row>
    <row r="276" spans="1:20">
      <c r="A276" s="71" t="s">
        <v>5307</v>
      </c>
      <c r="B276" s="71" t="s">
        <v>7274</v>
      </c>
      <c r="C276" s="71">
        <v>260.35799999999995</v>
      </c>
      <c r="D276" s="71">
        <v>0</v>
      </c>
      <c r="E276" s="71">
        <v>0</v>
      </c>
      <c r="F276" s="71">
        <v>9.799999999999999E-2</v>
      </c>
      <c r="G276" s="71">
        <v>0</v>
      </c>
      <c r="H276" s="71">
        <v>0</v>
      </c>
      <c r="I276" s="71">
        <v>0</v>
      </c>
      <c r="J276" s="71">
        <v>0</v>
      </c>
      <c r="K276" s="71">
        <v>0</v>
      </c>
      <c r="L276" s="71">
        <v>0</v>
      </c>
      <c r="M276" s="71">
        <v>0</v>
      </c>
      <c r="N276" s="71">
        <v>0</v>
      </c>
      <c r="O276" s="71">
        <v>0</v>
      </c>
      <c r="P276" s="71">
        <v>0</v>
      </c>
      <c r="Q276" s="71">
        <v>0</v>
      </c>
      <c r="R276" s="71">
        <v>339.2</v>
      </c>
      <c r="S276" s="71">
        <v>0</v>
      </c>
      <c r="T276" s="71">
        <v>0</v>
      </c>
    </row>
    <row r="277" spans="1:20">
      <c r="A277" s="71" t="s">
        <v>7275</v>
      </c>
      <c r="B277" s="71" t="s">
        <v>7276</v>
      </c>
      <c r="C277" s="71">
        <v>446.38199999999995</v>
      </c>
      <c r="D277" s="71">
        <v>0</v>
      </c>
      <c r="E277" s="71">
        <v>0</v>
      </c>
      <c r="F277" s="71">
        <v>8.299999999999999E-2</v>
      </c>
      <c r="G277" s="71">
        <v>12.367999999999999</v>
      </c>
      <c r="H277" s="71">
        <v>0</v>
      </c>
      <c r="I277" s="71">
        <v>0</v>
      </c>
      <c r="J277" s="71">
        <v>0</v>
      </c>
      <c r="K277" s="71">
        <v>0</v>
      </c>
      <c r="L277" s="71">
        <v>0</v>
      </c>
      <c r="M277" s="71">
        <v>0</v>
      </c>
      <c r="N277" s="71">
        <v>0</v>
      </c>
      <c r="O277" s="71">
        <v>0</v>
      </c>
      <c r="P277" s="71">
        <v>0</v>
      </c>
      <c r="Q277" s="71">
        <v>0</v>
      </c>
      <c r="R277" s="71">
        <v>432.5</v>
      </c>
      <c r="S277" s="71">
        <v>157.66999999999999</v>
      </c>
      <c r="T277" s="71">
        <v>0</v>
      </c>
    </row>
    <row r="278" spans="1:20">
      <c r="A278" s="71" t="s">
        <v>7277</v>
      </c>
      <c r="B278" s="71" t="s">
        <v>3253</v>
      </c>
      <c r="C278" s="71">
        <v>630.66199999999992</v>
      </c>
      <c r="D278" s="71">
        <v>0</v>
      </c>
      <c r="E278" s="71">
        <v>0</v>
      </c>
      <c r="F278" s="71">
        <v>0.19</v>
      </c>
      <c r="G278" s="71">
        <v>0</v>
      </c>
      <c r="H278" s="71">
        <v>0</v>
      </c>
      <c r="I278" s="71">
        <v>0</v>
      </c>
      <c r="J278" s="71">
        <v>0</v>
      </c>
      <c r="K278" s="71">
        <v>0</v>
      </c>
      <c r="L278" s="71">
        <v>0</v>
      </c>
      <c r="M278" s="71">
        <v>0</v>
      </c>
      <c r="N278" s="71">
        <v>0</v>
      </c>
      <c r="O278" s="71">
        <v>74.760999999999996</v>
      </c>
      <c r="P278" s="71">
        <v>0</v>
      </c>
      <c r="Q278" s="71">
        <v>0</v>
      </c>
      <c r="R278" s="71">
        <v>577.20000000000005</v>
      </c>
      <c r="S278" s="71">
        <v>29.864999999999998</v>
      </c>
      <c r="T278" s="71">
        <v>0</v>
      </c>
    </row>
    <row r="279" spans="1:20">
      <c r="A279" s="71" t="s">
        <v>3254</v>
      </c>
      <c r="B279" s="71" t="s">
        <v>3255</v>
      </c>
      <c r="C279" s="71">
        <v>947.06599999999992</v>
      </c>
      <c r="D279" s="71">
        <v>0</v>
      </c>
      <c r="E279" s="71">
        <v>0</v>
      </c>
      <c r="F279" s="71">
        <v>0.82599999999999996</v>
      </c>
      <c r="G279" s="71">
        <v>27.183</v>
      </c>
      <c r="H279" s="71">
        <v>3.8909999999999996</v>
      </c>
      <c r="I279" s="71">
        <v>0</v>
      </c>
      <c r="J279" s="71">
        <v>0</v>
      </c>
      <c r="K279" s="71">
        <v>0</v>
      </c>
      <c r="L279" s="71">
        <v>0</v>
      </c>
      <c r="M279" s="71">
        <v>0</v>
      </c>
      <c r="N279" s="71">
        <v>0</v>
      </c>
      <c r="O279" s="71">
        <v>0</v>
      </c>
      <c r="P279" s="71">
        <v>0</v>
      </c>
      <c r="Q279" s="71">
        <v>12.122999999999999</v>
      </c>
      <c r="R279" s="71">
        <v>1006.5</v>
      </c>
      <c r="S279" s="71">
        <v>128.04</v>
      </c>
      <c r="T279" s="71">
        <v>25.462999999999997</v>
      </c>
    </row>
    <row r="280" spans="1:20">
      <c r="A280" s="71" t="s">
        <v>5309</v>
      </c>
      <c r="B280" s="71" t="s">
        <v>3256</v>
      </c>
      <c r="C280" s="71">
        <v>849.21799999999996</v>
      </c>
      <c r="D280" s="71">
        <v>0</v>
      </c>
      <c r="E280" s="71">
        <v>0</v>
      </c>
      <c r="F280" s="71">
        <v>0.65599999999999992</v>
      </c>
      <c r="G280" s="71">
        <v>23.042999999999999</v>
      </c>
      <c r="H280" s="71">
        <v>0</v>
      </c>
      <c r="I280" s="71">
        <v>0</v>
      </c>
      <c r="J280" s="71">
        <v>0</v>
      </c>
      <c r="K280" s="71">
        <v>0</v>
      </c>
      <c r="L280" s="71">
        <v>0</v>
      </c>
      <c r="M280" s="71">
        <v>0</v>
      </c>
      <c r="N280" s="71">
        <v>0</v>
      </c>
      <c r="O280" s="71">
        <v>0</v>
      </c>
      <c r="P280" s="71">
        <v>0</v>
      </c>
      <c r="Q280" s="71">
        <v>0</v>
      </c>
      <c r="R280" s="71">
        <v>802</v>
      </c>
      <c r="S280" s="71">
        <v>0</v>
      </c>
      <c r="T280" s="71">
        <v>0</v>
      </c>
    </row>
    <row r="281" spans="1:20">
      <c r="A281" s="71" t="s">
        <v>5311</v>
      </c>
      <c r="B281" s="71" t="s">
        <v>5312</v>
      </c>
      <c r="C281" s="71">
        <v>401.12099999999998</v>
      </c>
      <c r="D281" s="71">
        <v>0.20499999999999999</v>
      </c>
      <c r="E281" s="71">
        <v>0</v>
      </c>
      <c r="F281" s="71">
        <v>1.6259999999999999</v>
      </c>
      <c r="G281" s="71">
        <v>4.0679999999999996</v>
      </c>
      <c r="H281" s="71">
        <v>0</v>
      </c>
      <c r="I281" s="71">
        <v>0</v>
      </c>
      <c r="J281" s="71">
        <v>0</v>
      </c>
      <c r="K281" s="71">
        <v>0</v>
      </c>
      <c r="L281" s="71">
        <v>0</v>
      </c>
      <c r="M281" s="71">
        <v>0</v>
      </c>
      <c r="N281" s="71">
        <v>0</v>
      </c>
      <c r="O281" s="71">
        <v>0</v>
      </c>
      <c r="P281" s="71">
        <v>0</v>
      </c>
      <c r="Q281" s="71">
        <v>0</v>
      </c>
      <c r="R281" s="71">
        <v>295.2</v>
      </c>
      <c r="S281" s="71">
        <v>0</v>
      </c>
      <c r="T281" s="71">
        <v>0</v>
      </c>
    </row>
    <row r="282" spans="1:20">
      <c r="A282" s="71" t="s">
        <v>5313</v>
      </c>
      <c r="B282" s="71" t="s">
        <v>5314</v>
      </c>
      <c r="C282" s="71">
        <v>72.11</v>
      </c>
      <c r="D282" s="71">
        <v>0</v>
      </c>
      <c r="E282" s="71">
        <v>0</v>
      </c>
      <c r="F282" s="71">
        <v>0</v>
      </c>
      <c r="G282" s="71">
        <v>0</v>
      </c>
      <c r="H282" s="71">
        <v>0</v>
      </c>
      <c r="I282" s="71">
        <v>0</v>
      </c>
      <c r="J282" s="71">
        <v>0</v>
      </c>
      <c r="K282" s="71">
        <v>0</v>
      </c>
      <c r="L282" s="71">
        <v>0</v>
      </c>
      <c r="M282" s="71">
        <v>0</v>
      </c>
      <c r="N282" s="71">
        <v>0</v>
      </c>
      <c r="O282" s="71">
        <v>0</v>
      </c>
      <c r="P282" s="71">
        <v>0</v>
      </c>
      <c r="Q282" s="71">
        <v>0</v>
      </c>
      <c r="R282" s="71">
        <v>135.19999999999999</v>
      </c>
      <c r="S282" s="71">
        <v>0</v>
      </c>
      <c r="T282" s="71">
        <v>0</v>
      </c>
    </row>
    <row r="283" spans="1:20">
      <c r="A283" s="71" t="s">
        <v>5315</v>
      </c>
      <c r="B283" s="71" t="s">
        <v>5316</v>
      </c>
      <c r="C283" s="71">
        <v>117.639</v>
      </c>
      <c r="D283" s="71">
        <v>0</v>
      </c>
      <c r="E283" s="71">
        <v>0</v>
      </c>
      <c r="F283" s="71">
        <v>1.2209999999999999</v>
      </c>
      <c r="G283" s="71">
        <v>24.638999999999999</v>
      </c>
      <c r="H283" s="71">
        <v>5.3489999999999993</v>
      </c>
      <c r="I283" s="71">
        <v>0</v>
      </c>
      <c r="J283" s="71">
        <v>0</v>
      </c>
      <c r="K283" s="71">
        <v>0</v>
      </c>
      <c r="L283" s="71">
        <v>0</v>
      </c>
      <c r="M283" s="71">
        <v>0</v>
      </c>
      <c r="N283" s="71">
        <v>0</v>
      </c>
      <c r="O283" s="71">
        <v>0</v>
      </c>
      <c r="P283" s="71">
        <v>0</v>
      </c>
      <c r="Q283" s="71">
        <v>0.61199999999999999</v>
      </c>
      <c r="R283" s="71">
        <v>31.5</v>
      </c>
      <c r="S283" s="71">
        <v>0</v>
      </c>
      <c r="T283" s="71">
        <v>0</v>
      </c>
    </row>
    <row r="284" spans="1:20">
      <c r="A284" s="71" t="s">
        <v>5317</v>
      </c>
      <c r="B284" s="71" t="s">
        <v>3257</v>
      </c>
      <c r="C284" s="71">
        <v>465.23599999999999</v>
      </c>
      <c r="D284" s="71">
        <v>0</v>
      </c>
      <c r="E284" s="71">
        <v>0</v>
      </c>
      <c r="F284" s="71">
        <v>9.3999999999999986E-2</v>
      </c>
      <c r="G284" s="71">
        <v>5.8209999999999997</v>
      </c>
      <c r="H284" s="71">
        <v>0</v>
      </c>
      <c r="I284" s="71">
        <v>0</v>
      </c>
      <c r="J284" s="71">
        <v>0</v>
      </c>
      <c r="K284" s="71">
        <v>0</v>
      </c>
      <c r="L284" s="71">
        <v>0</v>
      </c>
      <c r="M284" s="71">
        <v>0</v>
      </c>
      <c r="N284" s="71">
        <v>0</v>
      </c>
      <c r="O284" s="71">
        <v>0</v>
      </c>
      <c r="P284" s="71">
        <v>0</v>
      </c>
      <c r="Q284" s="71">
        <v>0</v>
      </c>
      <c r="R284" s="71">
        <v>409.8</v>
      </c>
      <c r="S284" s="71">
        <v>104.42899999999999</v>
      </c>
      <c r="T284" s="71">
        <v>0</v>
      </c>
    </row>
    <row r="285" spans="1:20">
      <c r="A285" s="71" t="s">
        <v>2096</v>
      </c>
      <c r="B285" s="71" t="s">
        <v>3258</v>
      </c>
      <c r="C285" s="71">
        <v>0</v>
      </c>
      <c r="D285" s="71">
        <v>0</v>
      </c>
      <c r="E285" s="71">
        <v>0</v>
      </c>
      <c r="F285" s="71">
        <v>0</v>
      </c>
      <c r="G285" s="71">
        <v>0</v>
      </c>
      <c r="H285" s="71">
        <v>0</v>
      </c>
      <c r="I285" s="71">
        <v>0</v>
      </c>
      <c r="J285" s="71">
        <v>0</v>
      </c>
      <c r="K285" s="71">
        <v>0</v>
      </c>
      <c r="L285" s="71">
        <v>0</v>
      </c>
      <c r="M285" s="71">
        <v>0</v>
      </c>
      <c r="N285" s="71">
        <v>0</v>
      </c>
      <c r="O285" s="71">
        <v>0</v>
      </c>
      <c r="P285" s="71">
        <v>0</v>
      </c>
      <c r="Q285" s="71">
        <v>0</v>
      </c>
      <c r="R285" s="71">
        <v>0</v>
      </c>
      <c r="S285" s="71">
        <v>0</v>
      </c>
      <c r="T285" s="71">
        <v>0</v>
      </c>
    </row>
    <row r="286" spans="1:20">
      <c r="A286" s="71" t="s">
        <v>2098</v>
      </c>
      <c r="B286" s="71" t="s">
        <v>2099</v>
      </c>
      <c r="C286" s="71">
        <v>723.33699999999999</v>
      </c>
      <c r="D286" s="71">
        <v>0</v>
      </c>
      <c r="E286" s="71">
        <v>0</v>
      </c>
      <c r="F286" s="71">
        <v>0.505</v>
      </c>
      <c r="G286" s="71">
        <v>30.891999999999999</v>
      </c>
      <c r="H286" s="71">
        <v>2.1969999999999996</v>
      </c>
      <c r="I286" s="71">
        <v>0</v>
      </c>
      <c r="J286" s="71">
        <v>1.5999999999999997E-2</v>
      </c>
      <c r="K286" s="71">
        <v>0</v>
      </c>
      <c r="L286" s="71">
        <v>0</v>
      </c>
      <c r="M286" s="71">
        <v>0</v>
      </c>
      <c r="N286" s="71">
        <v>2.5429999999999997</v>
      </c>
      <c r="O286" s="71">
        <v>0</v>
      </c>
      <c r="P286" s="71">
        <v>0</v>
      </c>
      <c r="Q286" s="71">
        <v>78.285999999999987</v>
      </c>
      <c r="R286" s="71">
        <v>678.8</v>
      </c>
      <c r="S286" s="71">
        <v>4.2709999999999999</v>
      </c>
      <c r="T286" s="71">
        <v>0</v>
      </c>
    </row>
    <row r="287" spans="1:20">
      <c r="A287" s="71" t="s">
        <v>2100</v>
      </c>
      <c r="B287" s="71" t="s">
        <v>3259</v>
      </c>
      <c r="C287" s="71">
        <v>228.45599999999999</v>
      </c>
      <c r="D287" s="71">
        <v>0</v>
      </c>
      <c r="E287" s="71">
        <v>0</v>
      </c>
      <c r="F287" s="71">
        <v>3.5999999999999997E-2</v>
      </c>
      <c r="G287" s="71">
        <v>6.8129999999999997</v>
      </c>
      <c r="H287" s="71">
        <v>0</v>
      </c>
      <c r="I287" s="71">
        <v>0</v>
      </c>
      <c r="J287" s="71">
        <v>0</v>
      </c>
      <c r="K287" s="71">
        <v>0</v>
      </c>
      <c r="L287" s="71">
        <v>0</v>
      </c>
      <c r="M287" s="71">
        <v>0</v>
      </c>
      <c r="N287" s="71">
        <v>0</v>
      </c>
      <c r="O287" s="71">
        <v>0</v>
      </c>
      <c r="P287" s="71">
        <v>0</v>
      </c>
      <c r="Q287" s="71">
        <v>0</v>
      </c>
      <c r="R287" s="71">
        <v>242.2</v>
      </c>
      <c r="S287" s="71">
        <v>22.161999999999999</v>
      </c>
      <c r="T287" s="71">
        <v>0</v>
      </c>
    </row>
    <row r="288" spans="1:20">
      <c r="A288" s="71" t="s">
        <v>3260</v>
      </c>
      <c r="B288" s="71" t="s">
        <v>3261</v>
      </c>
      <c r="C288" s="71">
        <v>1353.9089999999999</v>
      </c>
      <c r="D288" s="71">
        <v>0</v>
      </c>
      <c r="E288" s="71">
        <v>0</v>
      </c>
      <c r="F288" s="71">
        <v>0</v>
      </c>
      <c r="G288" s="71">
        <v>0</v>
      </c>
      <c r="H288" s="71">
        <v>0</v>
      </c>
      <c r="I288" s="71">
        <v>0</v>
      </c>
      <c r="J288" s="71">
        <v>0</v>
      </c>
      <c r="K288" s="71">
        <v>0</v>
      </c>
      <c r="L288" s="71">
        <v>0</v>
      </c>
      <c r="M288" s="71">
        <v>0</v>
      </c>
      <c r="N288" s="71">
        <v>11.061</v>
      </c>
      <c r="O288" s="71">
        <v>0</v>
      </c>
      <c r="P288" s="71">
        <v>0</v>
      </c>
      <c r="Q288" s="71">
        <v>263.43199999999996</v>
      </c>
      <c r="R288" s="71">
        <v>740.3</v>
      </c>
      <c r="S288" s="71">
        <v>76.407999999999987</v>
      </c>
      <c r="T288" s="71">
        <v>0</v>
      </c>
    </row>
    <row r="289" spans="1:20">
      <c r="A289" s="71" t="s">
        <v>3262</v>
      </c>
      <c r="B289" s="71" t="s">
        <v>3263</v>
      </c>
      <c r="C289" s="71">
        <v>876.54799999999989</v>
      </c>
      <c r="D289" s="71">
        <v>0.16899999999999998</v>
      </c>
      <c r="E289" s="71">
        <v>0</v>
      </c>
      <c r="F289" s="71">
        <v>1.448</v>
      </c>
      <c r="G289" s="71">
        <v>26.735999999999997</v>
      </c>
      <c r="H289" s="71">
        <v>5.4259999999999993</v>
      </c>
      <c r="I289" s="71">
        <v>0</v>
      </c>
      <c r="J289" s="71">
        <v>0</v>
      </c>
      <c r="K289" s="71">
        <v>0</v>
      </c>
      <c r="L289" s="71">
        <v>0</v>
      </c>
      <c r="M289" s="71">
        <v>0</v>
      </c>
      <c r="N289" s="71">
        <v>0</v>
      </c>
      <c r="O289" s="71">
        <v>0</v>
      </c>
      <c r="P289" s="71">
        <v>0</v>
      </c>
      <c r="Q289" s="71">
        <v>13.048999999999999</v>
      </c>
      <c r="R289" s="71">
        <v>779.5</v>
      </c>
      <c r="S289" s="71">
        <v>258.43299999999999</v>
      </c>
      <c r="T289" s="71">
        <v>0</v>
      </c>
    </row>
    <row r="290" spans="1:20">
      <c r="A290" s="71" t="s">
        <v>3264</v>
      </c>
      <c r="B290" s="71" t="s">
        <v>3265</v>
      </c>
      <c r="C290" s="71">
        <v>460.91699999999997</v>
      </c>
      <c r="D290" s="71">
        <v>0</v>
      </c>
      <c r="E290" s="71">
        <v>0</v>
      </c>
      <c r="F290" s="71">
        <v>0.37799999999999995</v>
      </c>
      <c r="G290" s="71">
        <v>5.5519999999999996</v>
      </c>
      <c r="H290" s="71">
        <v>0</v>
      </c>
      <c r="I290" s="71">
        <v>0</v>
      </c>
      <c r="J290" s="71">
        <v>0</v>
      </c>
      <c r="K290" s="71">
        <v>0</v>
      </c>
      <c r="L290" s="71">
        <v>0</v>
      </c>
      <c r="M290" s="71">
        <v>0</v>
      </c>
      <c r="N290" s="71">
        <v>0</v>
      </c>
      <c r="O290" s="71">
        <v>0</v>
      </c>
      <c r="P290" s="71">
        <v>0</v>
      </c>
      <c r="Q290" s="71">
        <v>0</v>
      </c>
      <c r="R290" s="71">
        <v>539.20000000000005</v>
      </c>
      <c r="S290" s="71">
        <v>188.14099999999999</v>
      </c>
      <c r="T290" s="71">
        <v>0</v>
      </c>
    </row>
    <row r="291" spans="1:20">
      <c r="A291" s="71" t="s">
        <v>3266</v>
      </c>
      <c r="B291" s="71" t="s">
        <v>3267</v>
      </c>
      <c r="C291" s="71">
        <v>509.435</v>
      </c>
      <c r="D291" s="71">
        <v>0</v>
      </c>
      <c r="E291" s="71">
        <v>0</v>
      </c>
      <c r="F291" s="71">
        <v>0.37599999999999995</v>
      </c>
      <c r="G291" s="71">
        <v>15.395999999999999</v>
      </c>
      <c r="H291" s="71">
        <v>1.952</v>
      </c>
      <c r="I291" s="71">
        <v>0</v>
      </c>
      <c r="J291" s="71">
        <v>0</v>
      </c>
      <c r="K291" s="71">
        <v>0</v>
      </c>
      <c r="L291" s="71">
        <v>0</v>
      </c>
      <c r="M291" s="71">
        <v>0</v>
      </c>
      <c r="N291" s="71">
        <v>0</v>
      </c>
      <c r="O291" s="71">
        <v>0</v>
      </c>
      <c r="P291" s="71">
        <v>0</v>
      </c>
      <c r="Q291" s="71">
        <v>0</v>
      </c>
      <c r="R291" s="71">
        <v>425.3</v>
      </c>
      <c r="S291" s="71">
        <v>3.3819999999999997</v>
      </c>
      <c r="T291" s="71">
        <v>0</v>
      </c>
    </row>
    <row r="292" spans="1:20">
      <c r="A292" s="71" t="s">
        <v>2102</v>
      </c>
      <c r="B292" s="71" t="s">
        <v>2103</v>
      </c>
      <c r="C292" s="71">
        <v>200.91</v>
      </c>
      <c r="D292" s="71">
        <v>0</v>
      </c>
      <c r="E292" s="71">
        <v>0</v>
      </c>
      <c r="F292" s="71">
        <v>0.23399999999999999</v>
      </c>
      <c r="G292" s="71">
        <v>2.7E-2</v>
      </c>
      <c r="H292" s="71">
        <v>0</v>
      </c>
      <c r="I292" s="71">
        <v>0</v>
      </c>
      <c r="J292" s="71">
        <v>0</v>
      </c>
      <c r="K292" s="71">
        <v>0</v>
      </c>
      <c r="L292" s="71">
        <v>0</v>
      </c>
      <c r="M292" s="71">
        <v>0</v>
      </c>
      <c r="N292" s="71">
        <v>0</v>
      </c>
      <c r="O292" s="71">
        <v>0</v>
      </c>
      <c r="P292" s="71">
        <v>0</v>
      </c>
      <c r="Q292" s="71">
        <v>14.265999999999998</v>
      </c>
      <c r="R292" s="71">
        <v>89.3</v>
      </c>
      <c r="S292" s="71">
        <v>5.9950000000000001</v>
      </c>
      <c r="T292" s="71">
        <v>0</v>
      </c>
    </row>
    <row r="293" spans="1:20">
      <c r="A293" s="71" t="s">
        <v>3268</v>
      </c>
      <c r="B293" s="71" t="s">
        <v>3269</v>
      </c>
      <c r="C293" s="71">
        <v>106.105</v>
      </c>
      <c r="D293" s="71">
        <v>0</v>
      </c>
      <c r="E293" s="71">
        <v>0</v>
      </c>
      <c r="F293" s="71">
        <v>0</v>
      </c>
      <c r="G293" s="71">
        <v>2.9550000000000001</v>
      </c>
      <c r="H293" s="71">
        <v>1.175</v>
      </c>
      <c r="I293" s="71">
        <v>0</v>
      </c>
      <c r="J293" s="71">
        <v>0</v>
      </c>
      <c r="K293" s="71">
        <v>0</v>
      </c>
      <c r="L293" s="71">
        <v>0</v>
      </c>
      <c r="M293" s="71">
        <v>0</v>
      </c>
      <c r="N293" s="71">
        <v>0</v>
      </c>
      <c r="O293" s="71">
        <v>0</v>
      </c>
      <c r="P293" s="71">
        <v>0</v>
      </c>
      <c r="Q293" s="71">
        <v>1.8959999999999999</v>
      </c>
      <c r="R293" s="71">
        <v>45.2</v>
      </c>
      <c r="S293" s="71">
        <v>5.5679999999999996</v>
      </c>
      <c r="T293" s="71">
        <v>0</v>
      </c>
    </row>
    <row r="294" spans="1:20">
      <c r="A294" s="71" t="s">
        <v>3270</v>
      </c>
      <c r="B294" s="71" t="s">
        <v>3271</v>
      </c>
      <c r="C294" s="71">
        <v>245.39</v>
      </c>
      <c r="D294" s="71">
        <v>0</v>
      </c>
      <c r="E294" s="71">
        <v>0</v>
      </c>
      <c r="F294" s="71">
        <v>0.21199999999999999</v>
      </c>
      <c r="G294" s="71">
        <v>11.450999999999999</v>
      </c>
      <c r="H294" s="71">
        <v>0.6329999999999999</v>
      </c>
      <c r="I294" s="71">
        <v>0</v>
      </c>
      <c r="J294" s="71">
        <v>0</v>
      </c>
      <c r="K294" s="71">
        <v>0</v>
      </c>
      <c r="L294" s="71">
        <v>0</v>
      </c>
      <c r="M294" s="71">
        <v>0</v>
      </c>
      <c r="N294" s="71">
        <v>1.694</v>
      </c>
      <c r="O294" s="71">
        <v>0</v>
      </c>
      <c r="P294" s="71">
        <v>0</v>
      </c>
      <c r="Q294" s="71">
        <v>36.542999999999999</v>
      </c>
      <c r="R294" s="71">
        <v>105.7</v>
      </c>
      <c r="S294" s="71">
        <v>20.942999999999998</v>
      </c>
      <c r="T294" s="71">
        <v>0</v>
      </c>
    </row>
    <row r="295" spans="1:20">
      <c r="A295" s="71" t="s">
        <v>3272</v>
      </c>
      <c r="B295" s="71" t="s">
        <v>3273</v>
      </c>
      <c r="C295" s="71">
        <v>289.10399999999998</v>
      </c>
      <c r="D295" s="71">
        <v>0</v>
      </c>
      <c r="E295" s="71">
        <v>0</v>
      </c>
      <c r="F295" s="71">
        <v>2.0999999999999998E-2</v>
      </c>
      <c r="G295" s="71">
        <v>3.1189999999999998</v>
      </c>
      <c r="H295" s="71">
        <v>0.83499999999999996</v>
      </c>
      <c r="I295" s="71">
        <v>0</v>
      </c>
      <c r="J295" s="71">
        <v>0</v>
      </c>
      <c r="K295" s="71">
        <v>0</v>
      </c>
      <c r="L295" s="71">
        <v>0</v>
      </c>
      <c r="M295" s="71">
        <v>0</v>
      </c>
      <c r="N295" s="71">
        <v>0</v>
      </c>
      <c r="O295" s="71">
        <v>0</v>
      </c>
      <c r="P295" s="71">
        <v>0</v>
      </c>
      <c r="Q295" s="71">
        <v>0</v>
      </c>
      <c r="R295" s="71">
        <v>273.2</v>
      </c>
      <c r="S295" s="71">
        <v>139.72</v>
      </c>
      <c r="T295" s="71">
        <v>0</v>
      </c>
    </row>
    <row r="296" spans="1:20">
      <c r="A296" s="71" t="s">
        <v>3274</v>
      </c>
      <c r="B296" s="71" t="s">
        <v>3275</v>
      </c>
      <c r="C296" s="71">
        <v>194.52399999999997</v>
      </c>
      <c r="D296" s="71">
        <v>0</v>
      </c>
      <c r="E296" s="71">
        <v>0</v>
      </c>
      <c r="F296" s="71">
        <v>0.19599999999999998</v>
      </c>
      <c r="G296" s="71">
        <v>0.71099999999999997</v>
      </c>
      <c r="H296" s="71">
        <v>0</v>
      </c>
      <c r="I296" s="71">
        <v>0</v>
      </c>
      <c r="J296" s="71">
        <v>0</v>
      </c>
      <c r="K296" s="71">
        <v>0</v>
      </c>
      <c r="L296" s="71">
        <v>0</v>
      </c>
      <c r="M296" s="71">
        <v>0</v>
      </c>
      <c r="N296" s="71">
        <v>0</v>
      </c>
      <c r="O296" s="71">
        <v>0</v>
      </c>
      <c r="P296" s="71">
        <v>0</v>
      </c>
      <c r="Q296" s="71">
        <v>0</v>
      </c>
      <c r="R296" s="71">
        <v>76.5</v>
      </c>
      <c r="S296" s="71">
        <v>0</v>
      </c>
      <c r="T296" s="71">
        <v>9.7259999999999991</v>
      </c>
    </row>
    <row r="297" spans="1:20">
      <c r="A297" s="71" t="s">
        <v>3276</v>
      </c>
      <c r="B297" s="71" t="s">
        <v>3277</v>
      </c>
      <c r="C297" s="71">
        <v>126.773</v>
      </c>
      <c r="D297" s="71">
        <v>0</v>
      </c>
      <c r="E297" s="71">
        <v>0</v>
      </c>
      <c r="F297" s="71">
        <v>2.5999999999999999E-2</v>
      </c>
      <c r="G297" s="71">
        <v>0</v>
      </c>
      <c r="H297" s="71">
        <v>0</v>
      </c>
      <c r="I297" s="71">
        <v>0</v>
      </c>
      <c r="J297" s="71">
        <v>0</v>
      </c>
      <c r="K297" s="71">
        <v>0</v>
      </c>
      <c r="L297" s="71">
        <v>0</v>
      </c>
      <c r="M297" s="71">
        <v>0</v>
      </c>
      <c r="N297" s="71">
        <v>0</v>
      </c>
      <c r="O297" s="71">
        <v>0</v>
      </c>
      <c r="P297" s="71">
        <v>0</v>
      </c>
      <c r="Q297" s="71">
        <v>0</v>
      </c>
      <c r="R297" s="71">
        <v>89.8</v>
      </c>
      <c r="S297" s="71">
        <v>14.872</v>
      </c>
      <c r="T297" s="71">
        <v>0</v>
      </c>
    </row>
    <row r="298" spans="1:20">
      <c r="A298" s="71" t="s">
        <v>3278</v>
      </c>
      <c r="C298" s="71">
        <v>110.369</v>
      </c>
      <c r="D298" s="71">
        <v>0</v>
      </c>
      <c r="E298" s="71">
        <v>0</v>
      </c>
      <c r="F298" s="71">
        <v>3.1E-2</v>
      </c>
      <c r="G298" s="71">
        <v>0.27599999999999997</v>
      </c>
      <c r="H298" s="71">
        <v>0</v>
      </c>
      <c r="I298" s="71">
        <v>0</v>
      </c>
      <c r="J298" s="71">
        <v>0</v>
      </c>
      <c r="K298" s="71">
        <v>0</v>
      </c>
      <c r="L298" s="71">
        <v>0</v>
      </c>
      <c r="M298" s="71">
        <v>0</v>
      </c>
      <c r="N298" s="71">
        <v>0</v>
      </c>
      <c r="O298" s="71">
        <v>0</v>
      </c>
      <c r="P298" s="71">
        <v>0</v>
      </c>
      <c r="Q298" s="71">
        <v>0</v>
      </c>
      <c r="R298" s="71">
        <v>0</v>
      </c>
      <c r="S298" s="71">
        <v>0.46799999999999997</v>
      </c>
      <c r="T298" s="71">
        <v>0</v>
      </c>
    </row>
    <row r="299" spans="1:20">
      <c r="A299" s="71" t="s">
        <v>2104</v>
      </c>
      <c r="B299" s="71" t="s">
        <v>2893</v>
      </c>
      <c r="C299" s="71">
        <v>24445.350999999999</v>
      </c>
      <c r="D299" s="71">
        <v>0.76</v>
      </c>
      <c r="E299" s="71">
        <v>3.9E-2</v>
      </c>
      <c r="F299" s="71">
        <v>46.363</v>
      </c>
      <c r="G299" s="71">
        <v>780.04299999999989</v>
      </c>
      <c r="H299" s="71">
        <v>171.672</v>
      </c>
      <c r="I299" s="71">
        <v>0</v>
      </c>
      <c r="J299" s="71">
        <v>0</v>
      </c>
      <c r="K299" s="71">
        <v>0</v>
      </c>
      <c r="L299" s="71">
        <v>0</v>
      </c>
      <c r="M299" s="71">
        <v>24.165999999999997</v>
      </c>
      <c r="N299" s="71">
        <v>12.838999999999999</v>
      </c>
      <c r="O299" s="71">
        <v>3.2369999999999997</v>
      </c>
      <c r="P299" s="71">
        <v>12.456999999999999</v>
      </c>
      <c r="Q299" s="71">
        <v>746.17499999999995</v>
      </c>
      <c r="R299" s="71">
        <v>13332.3</v>
      </c>
      <c r="S299" s="71">
        <v>5566.12</v>
      </c>
      <c r="T299" s="71">
        <v>1222.2675499999998</v>
      </c>
    </row>
    <row r="300" spans="1:20">
      <c r="A300" s="71" t="s">
        <v>2106</v>
      </c>
      <c r="B300" s="71" t="s">
        <v>2894</v>
      </c>
      <c r="C300" s="71">
        <v>7535.3279999999995</v>
      </c>
      <c r="D300" s="71">
        <v>0.65899999999999992</v>
      </c>
      <c r="E300" s="71">
        <v>0</v>
      </c>
      <c r="F300" s="71">
        <v>9.7200000000000006</v>
      </c>
      <c r="G300" s="71">
        <v>260.45899999999995</v>
      </c>
      <c r="H300" s="71">
        <v>51.163999999999994</v>
      </c>
      <c r="I300" s="71">
        <v>0</v>
      </c>
      <c r="J300" s="71">
        <v>0.13199999999999998</v>
      </c>
      <c r="K300" s="71">
        <v>0</v>
      </c>
      <c r="L300" s="71">
        <v>0</v>
      </c>
      <c r="M300" s="71">
        <v>0.19</v>
      </c>
      <c r="N300" s="71">
        <v>2.2850000000000001</v>
      </c>
      <c r="O300" s="71">
        <v>9.5509999999999984</v>
      </c>
      <c r="P300" s="71">
        <v>17.738</v>
      </c>
      <c r="Q300" s="71">
        <v>341.74599999999998</v>
      </c>
      <c r="R300" s="71">
        <v>3120.2</v>
      </c>
      <c r="S300" s="71">
        <v>287.995</v>
      </c>
      <c r="T300" s="71">
        <v>376.76599999999996</v>
      </c>
    </row>
    <row r="301" spans="1:20">
      <c r="A301" s="71" t="s">
        <v>2108</v>
      </c>
      <c r="B301" s="71" t="s">
        <v>2895</v>
      </c>
      <c r="C301" s="71">
        <v>147774.29999999999</v>
      </c>
      <c r="D301" s="71">
        <v>8.0659999999999989</v>
      </c>
      <c r="E301" s="71">
        <v>20.941999999999997</v>
      </c>
      <c r="F301" s="71">
        <v>140.44099999999997</v>
      </c>
      <c r="G301" s="71">
        <v>2736.7249999999999</v>
      </c>
      <c r="H301" s="71">
        <v>872.577</v>
      </c>
      <c r="I301" s="71">
        <v>0</v>
      </c>
      <c r="J301" s="71">
        <v>14.331</v>
      </c>
      <c r="K301" s="71">
        <v>0</v>
      </c>
      <c r="L301" s="71">
        <v>4</v>
      </c>
      <c r="M301" s="71">
        <v>38.954999999999998</v>
      </c>
      <c r="N301" s="71">
        <v>101.77399999999999</v>
      </c>
      <c r="O301" s="71">
        <v>4.2869999999999999</v>
      </c>
      <c r="P301" s="71">
        <v>2849.1919999999996</v>
      </c>
      <c r="Q301" s="71">
        <v>4987.1129999999994</v>
      </c>
      <c r="R301" s="71">
        <v>124524.8</v>
      </c>
      <c r="S301" s="71">
        <v>36411.79</v>
      </c>
      <c r="T301" s="71">
        <v>7388.7149999999992</v>
      </c>
    </row>
    <row r="302" spans="1:20">
      <c r="A302" s="71" t="s">
        <v>2110</v>
      </c>
      <c r="B302" s="71" t="s">
        <v>2896</v>
      </c>
      <c r="C302" s="71">
        <v>7897.5959999999995</v>
      </c>
      <c r="D302" s="71">
        <v>0.12899999999999998</v>
      </c>
      <c r="E302" s="71">
        <v>0</v>
      </c>
      <c r="F302" s="71">
        <v>16.077999999999999</v>
      </c>
      <c r="G302" s="71">
        <v>295.56199999999995</v>
      </c>
      <c r="H302" s="71">
        <v>44.122</v>
      </c>
      <c r="I302" s="71">
        <v>0</v>
      </c>
      <c r="J302" s="71">
        <v>3.1179999999999999</v>
      </c>
      <c r="K302" s="71">
        <v>0</v>
      </c>
      <c r="L302" s="71">
        <v>0</v>
      </c>
      <c r="M302" s="71">
        <v>6.3839999999999995</v>
      </c>
      <c r="N302" s="71">
        <v>3.6269999999999998</v>
      </c>
      <c r="O302" s="71">
        <v>40.844999999999999</v>
      </c>
      <c r="P302" s="71">
        <v>16.625</v>
      </c>
      <c r="Q302" s="71">
        <v>326.64799999999997</v>
      </c>
      <c r="R302" s="71">
        <v>3653.5</v>
      </c>
      <c r="S302" s="71">
        <v>361.72</v>
      </c>
      <c r="T302" s="71">
        <v>394.87979999999993</v>
      </c>
    </row>
    <row r="303" spans="1:20">
      <c r="A303" s="71" t="s">
        <v>2112</v>
      </c>
      <c r="B303" s="71" t="s">
        <v>2897</v>
      </c>
      <c r="C303" s="71">
        <v>11432.146999999999</v>
      </c>
      <c r="D303" s="71">
        <v>0.81199999999999994</v>
      </c>
      <c r="E303" s="71">
        <v>0</v>
      </c>
      <c r="F303" s="71">
        <v>16.883999999999997</v>
      </c>
      <c r="G303" s="71">
        <v>433.96799999999996</v>
      </c>
      <c r="H303" s="71">
        <v>100.03899999999999</v>
      </c>
      <c r="I303" s="71">
        <v>0</v>
      </c>
      <c r="J303" s="71">
        <v>0.56099999999999994</v>
      </c>
      <c r="K303" s="71">
        <v>0</v>
      </c>
      <c r="L303" s="71">
        <v>0</v>
      </c>
      <c r="M303" s="71">
        <v>3.6</v>
      </c>
      <c r="N303" s="71">
        <v>6.1659999999999995</v>
      </c>
      <c r="O303" s="71">
        <v>20.591999999999999</v>
      </c>
      <c r="P303" s="71">
        <v>64.77</v>
      </c>
      <c r="Q303" s="71">
        <v>720.11</v>
      </c>
      <c r="R303" s="71">
        <v>6252.3</v>
      </c>
      <c r="S303" s="71">
        <v>1149.4159999999999</v>
      </c>
      <c r="T303" s="71">
        <v>571.60699999999997</v>
      </c>
    </row>
    <row r="304" spans="1:20">
      <c r="A304" s="71" t="s">
        <v>1317</v>
      </c>
      <c r="B304" s="71" t="s">
        <v>122</v>
      </c>
      <c r="C304" s="71">
        <v>52838.503999999994</v>
      </c>
      <c r="D304" s="71">
        <v>1.39</v>
      </c>
      <c r="E304" s="71">
        <v>0</v>
      </c>
      <c r="F304" s="71">
        <v>77.297999999999988</v>
      </c>
      <c r="G304" s="71">
        <v>1284.357</v>
      </c>
      <c r="H304" s="71">
        <v>365.48</v>
      </c>
      <c r="I304" s="71">
        <v>0</v>
      </c>
      <c r="J304" s="71">
        <v>19.872</v>
      </c>
      <c r="K304" s="71">
        <v>0</v>
      </c>
      <c r="L304" s="71">
        <v>1.1469999999999998</v>
      </c>
      <c r="M304" s="71">
        <v>16.750999999999998</v>
      </c>
      <c r="N304" s="71">
        <v>23.233999999999998</v>
      </c>
      <c r="O304" s="71">
        <v>29.643999999999998</v>
      </c>
      <c r="P304" s="71">
        <v>950.61399999999992</v>
      </c>
      <c r="Q304" s="71">
        <v>2406.7729999999997</v>
      </c>
      <c r="R304" s="71">
        <v>24516.3</v>
      </c>
      <c r="S304" s="71">
        <v>10318.482999999998</v>
      </c>
      <c r="T304" s="71">
        <v>2641.9249999999997</v>
      </c>
    </row>
    <row r="305" spans="1:20">
      <c r="A305" s="71" t="s">
        <v>587</v>
      </c>
      <c r="B305" s="71" t="s">
        <v>4966</v>
      </c>
      <c r="C305" s="71">
        <v>22149.814999999999</v>
      </c>
      <c r="D305" s="71">
        <v>1.1639999999999999</v>
      </c>
      <c r="E305" s="71">
        <v>0</v>
      </c>
      <c r="F305" s="71">
        <v>53.79</v>
      </c>
      <c r="G305" s="71">
        <v>868.40199999999993</v>
      </c>
      <c r="H305" s="71">
        <v>178.34399999999999</v>
      </c>
      <c r="I305" s="71">
        <v>0</v>
      </c>
      <c r="J305" s="71">
        <v>0</v>
      </c>
      <c r="K305" s="71">
        <v>0</v>
      </c>
      <c r="L305" s="71">
        <v>0</v>
      </c>
      <c r="M305" s="71">
        <v>1.2009999999999998</v>
      </c>
      <c r="N305" s="71">
        <v>13.82</v>
      </c>
      <c r="O305" s="71">
        <v>3.5019999999999998</v>
      </c>
      <c r="P305" s="71">
        <v>22.901999999999997</v>
      </c>
      <c r="Q305" s="71">
        <v>594.15299999999991</v>
      </c>
      <c r="R305" s="71">
        <v>13188.3</v>
      </c>
      <c r="S305" s="71">
        <v>3749.0479999999998</v>
      </c>
      <c r="T305" s="71">
        <v>1107.4907499999999</v>
      </c>
    </row>
    <row r="306" spans="1:20">
      <c r="A306" s="71" t="s">
        <v>4569</v>
      </c>
      <c r="B306" s="71" t="s">
        <v>2898</v>
      </c>
      <c r="C306" s="71">
        <v>6013.8669999999993</v>
      </c>
      <c r="D306" s="71">
        <v>0.32699999999999996</v>
      </c>
      <c r="E306" s="71">
        <v>0</v>
      </c>
      <c r="F306" s="71">
        <v>10.648999999999999</v>
      </c>
      <c r="G306" s="71">
        <v>82.508999999999986</v>
      </c>
      <c r="H306" s="71">
        <v>28.491</v>
      </c>
      <c r="I306" s="71">
        <v>0</v>
      </c>
      <c r="J306" s="71">
        <v>0</v>
      </c>
      <c r="K306" s="71">
        <v>0</v>
      </c>
      <c r="L306" s="71">
        <v>0</v>
      </c>
      <c r="M306" s="71">
        <v>1.0009999999999999</v>
      </c>
      <c r="N306" s="71">
        <v>0</v>
      </c>
      <c r="O306" s="71">
        <v>0</v>
      </c>
      <c r="P306" s="71">
        <v>163.16099999999997</v>
      </c>
      <c r="Q306" s="71">
        <v>38.461999999999996</v>
      </c>
      <c r="R306" s="71">
        <v>0</v>
      </c>
      <c r="S306" s="71">
        <v>34.79</v>
      </c>
      <c r="T306" s="71">
        <v>300.69299999999998</v>
      </c>
    </row>
    <row r="307" spans="1:20">
      <c r="A307" s="71" t="s">
        <v>6021</v>
      </c>
      <c r="B307" s="71" t="s">
        <v>3860</v>
      </c>
      <c r="C307" s="71">
        <v>29846.628999999997</v>
      </c>
      <c r="D307" s="71">
        <v>1.081</v>
      </c>
      <c r="E307" s="71">
        <v>0</v>
      </c>
      <c r="F307" s="71">
        <v>48.745999999999995</v>
      </c>
      <c r="G307" s="71">
        <v>535.44500000000005</v>
      </c>
      <c r="H307" s="71">
        <v>199.04499999999999</v>
      </c>
      <c r="I307" s="71">
        <v>0</v>
      </c>
      <c r="J307" s="71">
        <v>25.228999999999999</v>
      </c>
      <c r="K307" s="71">
        <v>0</v>
      </c>
      <c r="L307" s="71">
        <v>0</v>
      </c>
      <c r="M307" s="71">
        <v>12.382</v>
      </c>
      <c r="N307" s="71">
        <v>5.8539999999999992</v>
      </c>
      <c r="O307" s="71">
        <v>13.005999999999998</v>
      </c>
      <c r="P307" s="71">
        <v>618.74</v>
      </c>
      <c r="Q307" s="71">
        <v>1082.079</v>
      </c>
      <c r="R307" s="71">
        <v>21466</v>
      </c>
      <c r="S307" s="71">
        <v>9847.1879999999983</v>
      </c>
      <c r="T307" s="71">
        <v>1492.3309999999999</v>
      </c>
    </row>
    <row r="308" spans="1:20">
      <c r="A308" s="71" t="s">
        <v>4571</v>
      </c>
      <c r="B308" s="71" t="s">
        <v>2899</v>
      </c>
      <c r="C308" s="71">
        <v>5345.8819999999996</v>
      </c>
      <c r="D308" s="71">
        <v>0.91500000000000004</v>
      </c>
      <c r="E308" s="71">
        <v>0.71499999999999997</v>
      </c>
      <c r="F308" s="71">
        <v>7.6979999999999995</v>
      </c>
      <c r="G308" s="71">
        <v>173.66499999999999</v>
      </c>
      <c r="H308" s="71">
        <v>26.401999999999997</v>
      </c>
      <c r="I308" s="71">
        <v>0</v>
      </c>
      <c r="J308" s="71">
        <v>0</v>
      </c>
      <c r="K308" s="71">
        <v>0</v>
      </c>
      <c r="L308" s="71">
        <v>0</v>
      </c>
      <c r="M308" s="71">
        <v>5.165</v>
      </c>
      <c r="N308" s="71">
        <v>0.40399999999999997</v>
      </c>
      <c r="O308" s="71">
        <v>0</v>
      </c>
      <c r="P308" s="71">
        <v>17.635999999999999</v>
      </c>
      <c r="Q308" s="71">
        <v>258.58799999999997</v>
      </c>
      <c r="R308" s="71">
        <v>3414.2</v>
      </c>
      <c r="S308" s="71">
        <v>235.595</v>
      </c>
      <c r="T308" s="71">
        <v>267.29399999999998</v>
      </c>
    </row>
    <row r="309" spans="1:20">
      <c r="A309" s="71" t="s">
        <v>6171</v>
      </c>
      <c r="B309" s="71" t="s">
        <v>496</v>
      </c>
      <c r="C309" s="71">
        <v>33560.495999999999</v>
      </c>
      <c r="D309" s="71">
        <v>1.2719999999999998</v>
      </c>
      <c r="E309" s="71">
        <v>0</v>
      </c>
      <c r="F309" s="71">
        <v>61.558999999999997</v>
      </c>
      <c r="G309" s="71">
        <v>1584.135</v>
      </c>
      <c r="H309" s="71">
        <v>321.85699999999997</v>
      </c>
      <c r="I309" s="71">
        <v>0</v>
      </c>
      <c r="J309" s="71">
        <v>0</v>
      </c>
      <c r="K309" s="71">
        <v>0</v>
      </c>
      <c r="L309" s="71">
        <v>2</v>
      </c>
      <c r="M309" s="71">
        <v>29.542999999999999</v>
      </c>
      <c r="N309" s="71">
        <v>10.218999999999999</v>
      </c>
      <c r="O309" s="71">
        <v>0</v>
      </c>
      <c r="P309" s="71">
        <v>62.247999999999998</v>
      </c>
      <c r="Q309" s="71">
        <v>1713.2979999999998</v>
      </c>
      <c r="R309" s="71">
        <v>16472.7</v>
      </c>
      <c r="S309" s="71">
        <v>4178.4129999999996</v>
      </c>
      <c r="T309" s="71">
        <v>1678.0247999999999</v>
      </c>
    </row>
    <row r="310" spans="1:20">
      <c r="A310" s="71" t="s">
        <v>4573</v>
      </c>
      <c r="B310" s="71" t="s">
        <v>2900</v>
      </c>
      <c r="C310" s="71">
        <v>32323.041999999998</v>
      </c>
      <c r="D310" s="71">
        <v>1.4279999999999999</v>
      </c>
      <c r="E310" s="71">
        <v>0</v>
      </c>
      <c r="F310" s="71">
        <v>90.913999999999987</v>
      </c>
      <c r="G310" s="71">
        <v>905.66</v>
      </c>
      <c r="H310" s="71">
        <v>237.96799999999999</v>
      </c>
      <c r="I310" s="71">
        <v>0</v>
      </c>
      <c r="J310" s="71">
        <v>3.9739999999999998</v>
      </c>
      <c r="K310" s="71">
        <v>0</v>
      </c>
      <c r="L310" s="71">
        <v>0</v>
      </c>
      <c r="M310" s="71">
        <v>39.688999999999993</v>
      </c>
      <c r="N310" s="71">
        <v>12.957999999999998</v>
      </c>
      <c r="O310" s="71">
        <v>0</v>
      </c>
      <c r="P310" s="71">
        <v>701.47199999999998</v>
      </c>
      <c r="Q310" s="71">
        <v>687.41199999999992</v>
      </c>
      <c r="R310" s="71">
        <v>15534.7</v>
      </c>
      <c r="S310" s="71">
        <v>5926.915</v>
      </c>
      <c r="T310" s="71">
        <v>1616.1519999999998</v>
      </c>
    </row>
    <row r="311" spans="1:20">
      <c r="A311" s="71" t="s">
        <v>4575</v>
      </c>
      <c r="B311" s="71" t="s">
        <v>2901</v>
      </c>
      <c r="C311" s="71">
        <v>514.07099999999991</v>
      </c>
      <c r="D311" s="71">
        <v>0</v>
      </c>
      <c r="E311" s="71">
        <v>0</v>
      </c>
      <c r="F311" s="71">
        <v>0.36099999999999999</v>
      </c>
      <c r="G311" s="71">
        <v>10.206</v>
      </c>
      <c r="H311" s="71">
        <v>0.11099999999999999</v>
      </c>
      <c r="I311" s="71">
        <v>0</v>
      </c>
      <c r="J311" s="71">
        <v>0</v>
      </c>
      <c r="K311" s="71">
        <v>0</v>
      </c>
      <c r="L311" s="71">
        <v>0</v>
      </c>
      <c r="M311" s="71">
        <v>0</v>
      </c>
      <c r="N311" s="71">
        <v>0</v>
      </c>
      <c r="O311" s="71">
        <v>0</v>
      </c>
      <c r="P311" s="71">
        <v>0.255</v>
      </c>
      <c r="Q311" s="71">
        <v>0</v>
      </c>
      <c r="R311" s="71">
        <v>56.8</v>
      </c>
      <c r="S311" s="71">
        <v>25.288999999999998</v>
      </c>
      <c r="T311" s="71">
        <v>25.703549999999996</v>
      </c>
    </row>
    <row r="312" spans="1:20">
      <c r="A312" s="71" t="s">
        <v>4577</v>
      </c>
      <c r="B312" s="71" t="s">
        <v>2902</v>
      </c>
      <c r="C312" s="71">
        <v>1810</v>
      </c>
      <c r="D312" s="71">
        <v>6.0999999999999999E-2</v>
      </c>
      <c r="E312" s="71">
        <v>0</v>
      </c>
      <c r="F312" s="71">
        <v>0.53899999999999992</v>
      </c>
      <c r="G312" s="71">
        <v>10.857999999999999</v>
      </c>
      <c r="H312" s="71">
        <v>4.9769999999999994</v>
      </c>
      <c r="I312" s="71">
        <v>0</v>
      </c>
      <c r="J312" s="71">
        <v>0</v>
      </c>
      <c r="K312" s="71">
        <v>0</v>
      </c>
      <c r="L312" s="71">
        <v>0</v>
      </c>
      <c r="M312" s="71">
        <v>0</v>
      </c>
      <c r="N312" s="71">
        <v>3.0739999999999998</v>
      </c>
      <c r="O312" s="71">
        <v>0</v>
      </c>
      <c r="P312" s="71">
        <v>4.1349999999999998</v>
      </c>
      <c r="Q312" s="71">
        <v>0</v>
      </c>
      <c r="R312" s="71">
        <v>2533.8000000000002</v>
      </c>
      <c r="S312" s="71">
        <v>67.551999999999992</v>
      </c>
      <c r="T312" s="71">
        <v>90.5</v>
      </c>
    </row>
    <row r="313" spans="1:20">
      <c r="A313" s="71" t="s">
        <v>4579</v>
      </c>
      <c r="B313" s="71" t="s">
        <v>2676</v>
      </c>
      <c r="C313" s="71">
        <v>9761.6979999999985</v>
      </c>
      <c r="D313" s="71">
        <v>1.0459999999999998</v>
      </c>
      <c r="E313" s="71">
        <v>0</v>
      </c>
      <c r="F313" s="71">
        <v>20.077999999999999</v>
      </c>
      <c r="G313" s="71">
        <v>205.34699999999998</v>
      </c>
      <c r="H313" s="71">
        <v>60.322999999999993</v>
      </c>
      <c r="I313" s="71">
        <v>0</v>
      </c>
      <c r="J313" s="71">
        <v>0</v>
      </c>
      <c r="K313" s="71">
        <v>0</v>
      </c>
      <c r="L313" s="71">
        <v>2.3250000000000002</v>
      </c>
      <c r="M313" s="71">
        <v>0</v>
      </c>
      <c r="N313" s="71">
        <v>0</v>
      </c>
      <c r="O313" s="71">
        <v>0</v>
      </c>
      <c r="P313" s="71">
        <v>47.623999999999995</v>
      </c>
      <c r="Q313" s="71">
        <v>220.24</v>
      </c>
      <c r="R313" s="71">
        <v>523.5</v>
      </c>
      <c r="S313" s="71">
        <v>552.04299999999989</v>
      </c>
      <c r="T313" s="71">
        <v>488.08489999999995</v>
      </c>
    </row>
    <row r="314" spans="1:20">
      <c r="A314" s="71" t="s">
        <v>3279</v>
      </c>
      <c r="B314" s="71" t="s">
        <v>3280</v>
      </c>
      <c r="C314" s="71">
        <v>0</v>
      </c>
      <c r="D314" s="71">
        <v>0</v>
      </c>
      <c r="E314" s="71">
        <v>0</v>
      </c>
      <c r="F314" s="71">
        <v>0</v>
      </c>
      <c r="G314" s="71">
        <v>0</v>
      </c>
      <c r="H314" s="71">
        <v>0</v>
      </c>
      <c r="I314" s="71">
        <v>0</v>
      </c>
      <c r="J314" s="71">
        <v>0</v>
      </c>
      <c r="K314" s="71">
        <v>0</v>
      </c>
      <c r="L314" s="71">
        <v>0</v>
      </c>
      <c r="M314" s="71">
        <v>0</v>
      </c>
      <c r="N314" s="71">
        <v>0</v>
      </c>
      <c r="O314" s="71">
        <v>0</v>
      </c>
      <c r="P314" s="71">
        <v>0</v>
      </c>
      <c r="Q314" s="71">
        <v>0</v>
      </c>
      <c r="R314" s="71">
        <v>0</v>
      </c>
      <c r="S314" s="71">
        <v>0</v>
      </c>
      <c r="T314" s="71">
        <v>0</v>
      </c>
    </row>
    <row r="315" spans="1:20">
      <c r="A315" s="71" t="s">
        <v>4581</v>
      </c>
      <c r="B315" s="71" t="s">
        <v>993</v>
      </c>
      <c r="C315" s="71">
        <v>163.30099999999999</v>
      </c>
      <c r="D315" s="71">
        <v>0</v>
      </c>
      <c r="E315" s="71">
        <v>0</v>
      </c>
      <c r="F315" s="71">
        <v>0.25599999999999995</v>
      </c>
      <c r="G315" s="71">
        <v>3.085</v>
      </c>
      <c r="H315" s="71">
        <v>0.42699999999999999</v>
      </c>
      <c r="I315" s="71">
        <v>0</v>
      </c>
      <c r="J315" s="71">
        <v>0</v>
      </c>
      <c r="K315" s="71">
        <v>0</v>
      </c>
      <c r="L315" s="71">
        <v>0</v>
      </c>
      <c r="M315" s="71">
        <v>0</v>
      </c>
      <c r="N315" s="71">
        <v>0</v>
      </c>
      <c r="O315" s="71">
        <v>0</v>
      </c>
      <c r="P315" s="71">
        <v>5.742</v>
      </c>
      <c r="Q315" s="71">
        <v>9.6169999999999991</v>
      </c>
      <c r="R315" s="71">
        <v>86.5</v>
      </c>
      <c r="S315" s="71">
        <v>14.228</v>
      </c>
      <c r="T315" s="71">
        <v>8.1649999999999991</v>
      </c>
    </row>
    <row r="316" spans="1:20">
      <c r="A316" s="71" t="s">
        <v>4582</v>
      </c>
      <c r="B316" s="71" t="s">
        <v>2677</v>
      </c>
      <c r="C316" s="71">
        <v>179.59599999999998</v>
      </c>
      <c r="D316" s="71">
        <v>0</v>
      </c>
      <c r="E316" s="71">
        <v>0</v>
      </c>
      <c r="F316" s="71">
        <v>0.5159999999999999</v>
      </c>
      <c r="G316" s="71">
        <v>2.7169999999999996</v>
      </c>
      <c r="H316" s="71">
        <v>0.44099999999999995</v>
      </c>
      <c r="I316" s="71">
        <v>0</v>
      </c>
      <c r="J316" s="71">
        <v>1.4039999999999999</v>
      </c>
      <c r="K316" s="71">
        <v>0</v>
      </c>
      <c r="L316" s="71">
        <v>0</v>
      </c>
      <c r="M316" s="71">
        <v>0</v>
      </c>
      <c r="N316" s="71">
        <v>0</v>
      </c>
      <c r="O316" s="71">
        <v>0</v>
      </c>
      <c r="P316" s="71">
        <v>4.87</v>
      </c>
      <c r="Q316" s="71">
        <v>8.6069999999999993</v>
      </c>
      <c r="R316" s="71">
        <v>113</v>
      </c>
      <c r="S316" s="71">
        <v>16.869</v>
      </c>
      <c r="T316" s="71">
        <v>8.9797999999999991</v>
      </c>
    </row>
    <row r="317" spans="1:20">
      <c r="A317" s="71" t="s">
        <v>4584</v>
      </c>
      <c r="B317" s="71" t="s">
        <v>2678</v>
      </c>
      <c r="C317" s="71">
        <v>1909.4949999999999</v>
      </c>
      <c r="D317" s="71">
        <v>0.16699999999999998</v>
      </c>
      <c r="E317" s="71">
        <v>0</v>
      </c>
      <c r="F317" s="71">
        <v>3.85</v>
      </c>
      <c r="G317" s="71">
        <v>39.138999999999996</v>
      </c>
      <c r="H317" s="71">
        <v>18.058999999999997</v>
      </c>
      <c r="I317" s="71">
        <v>0</v>
      </c>
      <c r="J317" s="71">
        <v>0</v>
      </c>
      <c r="K317" s="71">
        <v>0</v>
      </c>
      <c r="L317" s="71">
        <v>0</v>
      </c>
      <c r="M317" s="71">
        <v>7.0659999999999998</v>
      </c>
      <c r="N317" s="71">
        <v>3.0719999999999996</v>
      </c>
      <c r="O317" s="71">
        <v>2.976</v>
      </c>
      <c r="P317" s="71">
        <v>45.308999999999997</v>
      </c>
      <c r="Q317" s="71">
        <v>71.185000000000002</v>
      </c>
      <c r="R317" s="71">
        <v>1407.5</v>
      </c>
      <c r="S317" s="71">
        <v>98.965000000000003</v>
      </c>
      <c r="T317" s="71">
        <v>95.474749999999986</v>
      </c>
    </row>
    <row r="318" spans="1:20">
      <c r="A318" s="71" t="s">
        <v>4586</v>
      </c>
      <c r="B318" s="71" t="s">
        <v>2679</v>
      </c>
      <c r="C318" s="71">
        <v>197.62099999999998</v>
      </c>
      <c r="D318" s="71">
        <v>0</v>
      </c>
      <c r="E318" s="71">
        <v>0</v>
      </c>
      <c r="F318" s="71">
        <v>0.27699999999999997</v>
      </c>
      <c r="G318" s="71">
        <v>10.293999999999999</v>
      </c>
      <c r="H318" s="71">
        <v>0</v>
      </c>
      <c r="I318" s="71">
        <v>0</v>
      </c>
      <c r="J318" s="71">
        <v>0</v>
      </c>
      <c r="K318" s="71">
        <v>0</v>
      </c>
      <c r="L318" s="71">
        <v>0</v>
      </c>
      <c r="M318" s="71">
        <v>0</v>
      </c>
      <c r="N318" s="71">
        <v>7.0000000000000007E-2</v>
      </c>
      <c r="O318" s="71">
        <v>6.1779999999999999</v>
      </c>
      <c r="P318" s="71">
        <v>4.4829999999999997</v>
      </c>
      <c r="Q318" s="71">
        <v>6.8449999999999998</v>
      </c>
      <c r="R318" s="71">
        <v>151</v>
      </c>
      <c r="S318" s="71">
        <v>30.225000000000001</v>
      </c>
      <c r="T318" s="71">
        <v>6</v>
      </c>
    </row>
    <row r="319" spans="1:20">
      <c r="A319" s="71" t="s">
        <v>1865</v>
      </c>
      <c r="B319" s="71" t="s">
        <v>3843</v>
      </c>
      <c r="C319" s="71">
        <v>3728.5609999999997</v>
      </c>
      <c r="D319" s="71">
        <v>0.12</v>
      </c>
      <c r="E319" s="71">
        <v>2.347</v>
      </c>
      <c r="F319" s="71">
        <v>7.2589999999999995</v>
      </c>
      <c r="G319" s="71">
        <v>124.386</v>
      </c>
      <c r="H319" s="71">
        <v>23.427</v>
      </c>
      <c r="I319" s="71">
        <v>0</v>
      </c>
      <c r="J319" s="71">
        <v>0</v>
      </c>
      <c r="K319" s="71">
        <v>0</v>
      </c>
      <c r="L319" s="71">
        <v>0</v>
      </c>
      <c r="M319" s="71">
        <v>10.331</v>
      </c>
      <c r="N319" s="71">
        <v>1.4429999999999998</v>
      </c>
      <c r="O319" s="71">
        <v>0</v>
      </c>
      <c r="P319" s="71">
        <v>51.045000000000002</v>
      </c>
      <c r="Q319" s="71">
        <v>227.28399999999999</v>
      </c>
      <c r="R319" s="71">
        <v>3089.5</v>
      </c>
      <c r="S319" s="71">
        <v>463.57299999999998</v>
      </c>
      <c r="T319" s="71">
        <v>133</v>
      </c>
    </row>
    <row r="320" spans="1:20">
      <c r="A320" s="71" t="s">
        <v>5018</v>
      </c>
      <c r="B320" s="71" t="s">
        <v>2680</v>
      </c>
      <c r="C320" s="71">
        <v>154.23099999999999</v>
      </c>
      <c r="D320" s="71">
        <v>0</v>
      </c>
      <c r="E320" s="71">
        <v>0</v>
      </c>
      <c r="F320" s="71">
        <v>0.39299999999999996</v>
      </c>
      <c r="G320" s="71">
        <v>5.2839999999999998</v>
      </c>
      <c r="H320" s="71">
        <v>0</v>
      </c>
      <c r="I320" s="71">
        <v>0</v>
      </c>
      <c r="J320" s="71">
        <v>0</v>
      </c>
      <c r="K320" s="71">
        <v>0</v>
      </c>
      <c r="L320" s="71">
        <v>0</v>
      </c>
      <c r="M320" s="71">
        <v>0</v>
      </c>
      <c r="N320" s="71">
        <v>0</v>
      </c>
      <c r="O320" s="71">
        <v>0</v>
      </c>
      <c r="P320" s="71">
        <v>0</v>
      </c>
      <c r="Q320" s="71">
        <v>0</v>
      </c>
      <c r="R320" s="71">
        <v>121.5</v>
      </c>
      <c r="S320" s="71">
        <v>8.7200000000000006</v>
      </c>
      <c r="T320" s="71">
        <v>6</v>
      </c>
    </row>
    <row r="321" spans="1:20">
      <c r="A321" s="71" t="s">
        <v>5020</v>
      </c>
      <c r="B321" s="71" t="s">
        <v>2681</v>
      </c>
      <c r="C321" s="71">
        <v>833.18</v>
      </c>
      <c r="D321" s="71">
        <v>4.5999999999999999E-2</v>
      </c>
      <c r="E321" s="71">
        <v>0</v>
      </c>
      <c r="F321" s="71">
        <v>1.5389999999999999</v>
      </c>
      <c r="G321" s="71">
        <v>34.608999999999995</v>
      </c>
      <c r="H321" s="71">
        <v>13.177999999999999</v>
      </c>
      <c r="I321" s="71">
        <v>0</v>
      </c>
      <c r="J321" s="71">
        <v>0.62599999999999989</v>
      </c>
      <c r="K321" s="71">
        <v>0</v>
      </c>
      <c r="L321" s="71">
        <v>0</v>
      </c>
      <c r="M321" s="71">
        <v>1.4569999999999999</v>
      </c>
      <c r="N321" s="71">
        <v>0.27199999999999996</v>
      </c>
      <c r="O321" s="71">
        <v>0.77399999999999991</v>
      </c>
      <c r="P321" s="71">
        <v>13.040999999999999</v>
      </c>
      <c r="Q321" s="71">
        <v>67.582999999999998</v>
      </c>
      <c r="R321" s="71">
        <v>510.5</v>
      </c>
      <c r="S321" s="71">
        <v>6.6859999999999999</v>
      </c>
      <c r="T321" s="71">
        <v>41.658999999999992</v>
      </c>
    </row>
    <row r="322" spans="1:20">
      <c r="A322" s="71" t="s">
        <v>589</v>
      </c>
      <c r="B322" s="71" t="s">
        <v>109</v>
      </c>
      <c r="C322" s="71">
        <v>168.92299999999997</v>
      </c>
      <c r="D322" s="71">
        <v>5.3999999999999999E-2</v>
      </c>
      <c r="E322" s="71">
        <v>0</v>
      </c>
      <c r="F322" s="71">
        <v>0.85899999999999999</v>
      </c>
      <c r="G322" s="71">
        <v>12.640999999999998</v>
      </c>
      <c r="H322" s="71">
        <v>0</v>
      </c>
      <c r="I322" s="71">
        <v>0</v>
      </c>
      <c r="J322" s="71">
        <v>1.6839999999999999</v>
      </c>
      <c r="K322" s="71">
        <v>0</v>
      </c>
      <c r="L322" s="71">
        <v>0</v>
      </c>
      <c r="M322" s="71">
        <v>2.4889999999999999</v>
      </c>
      <c r="N322" s="71">
        <v>7.8E-2</v>
      </c>
      <c r="O322" s="71">
        <v>0</v>
      </c>
      <c r="P322" s="71">
        <v>0.156</v>
      </c>
      <c r="Q322" s="71">
        <v>4.6929999999999996</v>
      </c>
      <c r="R322" s="71">
        <v>142.80000000000001</v>
      </c>
      <c r="S322" s="71">
        <v>1.242</v>
      </c>
      <c r="T322" s="71">
        <v>4</v>
      </c>
    </row>
    <row r="323" spans="1:20">
      <c r="A323" s="71" t="s">
        <v>3281</v>
      </c>
      <c r="B323" s="71" t="s">
        <v>3282</v>
      </c>
      <c r="C323" s="71">
        <v>358.96599999999995</v>
      </c>
      <c r="D323" s="71">
        <v>0</v>
      </c>
      <c r="E323" s="71">
        <v>0</v>
      </c>
      <c r="F323" s="71">
        <v>0</v>
      </c>
      <c r="G323" s="71">
        <v>0</v>
      </c>
      <c r="H323" s="71">
        <v>0</v>
      </c>
      <c r="I323" s="71">
        <v>0</v>
      </c>
      <c r="J323" s="71">
        <v>0</v>
      </c>
      <c r="K323" s="71">
        <v>0</v>
      </c>
      <c r="L323" s="71">
        <v>0</v>
      </c>
      <c r="M323" s="71">
        <v>0</v>
      </c>
      <c r="N323" s="71">
        <v>0</v>
      </c>
      <c r="O323" s="71">
        <v>0</v>
      </c>
      <c r="P323" s="71">
        <v>0</v>
      </c>
      <c r="Q323" s="71">
        <v>0</v>
      </c>
      <c r="R323" s="71">
        <v>0</v>
      </c>
      <c r="S323" s="71">
        <v>0</v>
      </c>
      <c r="T323" s="71">
        <v>0</v>
      </c>
    </row>
    <row r="324" spans="1:20">
      <c r="A324" s="71" t="s">
        <v>3283</v>
      </c>
      <c r="B324" s="71" t="s">
        <v>3284</v>
      </c>
      <c r="C324" s="71">
        <v>282.84099999999995</v>
      </c>
      <c r="D324" s="71">
        <v>0</v>
      </c>
      <c r="E324" s="71">
        <v>0</v>
      </c>
      <c r="F324" s="71">
        <v>0.30099999999999999</v>
      </c>
      <c r="G324" s="71">
        <v>15.803999999999998</v>
      </c>
      <c r="H324" s="71">
        <v>0</v>
      </c>
      <c r="I324" s="71">
        <v>0</v>
      </c>
      <c r="J324" s="71">
        <v>0</v>
      </c>
      <c r="K324" s="71">
        <v>0</v>
      </c>
      <c r="L324" s="71">
        <v>0</v>
      </c>
      <c r="M324" s="71">
        <v>0</v>
      </c>
      <c r="N324" s="71">
        <v>0</v>
      </c>
      <c r="O324" s="71">
        <v>0</v>
      </c>
      <c r="P324" s="71">
        <v>0</v>
      </c>
      <c r="Q324" s="71">
        <v>0</v>
      </c>
      <c r="R324" s="71">
        <v>76.5</v>
      </c>
      <c r="S324" s="71">
        <v>6.8219999999999992</v>
      </c>
      <c r="T324" s="71">
        <v>0</v>
      </c>
    </row>
    <row r="325" spans="1:20">
      <c r="A325" s="71" t="s">
        <v>5022</v>
      </c>
      <c r="B325" s="71" t="s">
        <v>2682</v>
      </c>
      <c r="C325" s="71">
        <v>17112.937999999998</v>
      </c>
      <c r="D325" s="71">
        <v>1.373</v>
      </c>
      <c r="E325" s="71">
        <v>13.423999999999999</v>
      </c>
      <c r="F325" s="71">
        <v>32.497</v>
      </c>
      <c r="G325" s="71">
        <v>645.35299999999995</v>
      </c>
      <c r="H325" s="71">
        <v>141.10199999999998</v>
      </c>
      <c r="I325" s="71">
        <v>0</v>
      </c>
      <c r="J325" s="71">
        <v>2.359</v>
      </c>
      <c r="K325" s="71">
        <v>1.5859999999999999</v>
      </c>
      <c r="L325" s="71">
        <v>1.212</v>
      </c>
      <c r="M325" s="71">
        <v>11.135999999999999</v>
      </c>
      <c r="N325" s="71">
        <v>8.7189999999999994</v>
      </c>
      <c r="O325" s="71">
        <v>26.443999999999999</v>
      </c>
      <c r="P325" s="71">
        <v>33.083999999999996</v>
      </c>
      <c r="Q325" s="71">
        <v>752.97399999999993</v>
      </c>
      <c r="R325" s="71">
        <v>6762.3</v>
      </c>
      <c r="S325" s="71">
        <v>2478.2550000000001</v>
      </c>
      <c r="T325" s="71">
        <v>855.64689999999985</v>
      </c>
    </row>
    <row r="326" spans="1:20">
      <c r="A326" s="71" t="s">
        <v>2989</v>
      </c>
      <c r="B326" s="71" t="s">
        <v>190</v>
      </c>
      <c r="C326" s="71">
        <v>45170.712</v>
      </c>
      <c r="D326" s="71">
        <v>1.9609999999999999</v>
      </c>
      <c r="E326" s="71">
        <v>0</v>
      </c>
      <c r="F326" s="71">
        <v>85.36399999999999</v>
      </c>
      <c r="G326" s="71">
        <v>1383.751</v>
      </c>
      <c r="H326" s="71">
        <v>438.08299999999997</v>
      </c>
      <c r="I326" s="71">
        <v>0</v>
      </c>
      <c r="J326" s="71">
        <v>0</v>
      </c>
      <c r="K326" s="71">
        <v>0</v>
      </c>
      <c r="L326" s="71">
        <v>0</v>
      </c>
      <c r="M326" s="71">
        <v>33.488999999999997</v>
      </c>
      <c r="N326" s="71">
        <v>7.4459999999999997</v>
      </c>
      <c r="O326" s="71">
        <v>20.82</v>
      </c>
      <c r="P326" s="71">
        <v>166.18</v>
      </c>
      <c r="Q326" s="71">
        <v>1488.3209999999999</v>
      </c>
      <c r="R326" s="71">
        <v>8776.5</v>
      </c>
      <c r="S326" s="71">
        <v>4024.9189999999999</v>
      </c>
      <c r="T326" s="71">
        <v>2258.5355999999997</v>
      </c>
    </row>
    <row r="327" spans="1:20">
      <c r="A327" s="71" t="s">
        <v>5126</v>
      </c>
      <c r="B327" s="71" t="s">
        <v>341</v>
      </c>
      <c r="C327" s="71">
        <v>1447.2689999999998</v>
      </c>
      <c r="D327" s="71">
        <v>0.14699999999999999</v>
      </c>
      <c r="E327" s="71">
        <v>0</v>
      </c>
      <c r="F327" s="71">
        <v>2.2200000000000002</v>
      </c>
      <c r="G327" s="71">
        <v>47.457999999999998</v>
      </c>
      <c r="H327" s="71">
        <v>4.1109999999999998</v>
      </c>
      <c r="I327" s="71">
        <v>0</v>
      </c>
      <c r="J327" s="71">
        <v>3.3569999999999998</v>
      </c>
      <c r="K327" s="71">
        <v>0</v>
      </c>
      <c r="L327" s="71">
        <v>0</v>
      </c>
      <c r="M327" s="71">
        <v>3.198</v>
      </c>
      <c r="N327" s="71">
        <v>0</v>
      </c>
      <c r="O327" s="71">
        <v>0.245</v>
      </c>
      <c r="P327" s="71">
        <v>16.518999999999998</v>
      </c>
      <c r="Q327" s="71">
        <v>55.901999999999994</v>
      </c>
      <c r="R327" s="71">
        <v>644.79999999999995</v>
      </c>
      <c r="S327" s="71">
        <v>166.62699999999998</v>
      </c>
      <c r="T327" s="71">
        <v>72.363</v>
      </c>
    </row>
    <row r="328" spans="1:20">
      <c r="A328" s="71" t="s">
        <v>3090</v>
      </c>
      <c r="B328" s="71" t="s">
        <v>5640</v>
      </c>
      <c r="C328" s="71">
        <v>1288.424</v>
      </c>
      <c r="D328" s="71">
        <v>0</v>
      </c>
      <c r="E328" s="71">
        <v>0</v>
      </c>
      <c r="F328" s="71">
        <v>2.8339999999999996</v>
      </c>
      <c r="G328" s="71">
        <v>47.620999999999995</v>
      </c>
      <c r="H328" s="71">
        <v>2.59</v>
      </c>
      <c r="I328" s="71">
        <v>0</v>
      </c>
      <c r="J328" s="71">
        <v>4.9739999999999993</v>
      </c>
      <c r="K328" s="71">
        <v>0</v>
      </c>
      <c r="L328" s="71">
        <v>0</v>
      </c>
      <c r="M328" s="71">
        <v>6.2489999999999997</v>
      </c>
      <c r="N328" s="71">
        <v>0</v>
      </c>
      <c r="O328" s="71">
        <v>6.5999999999999989E-2</v>
      </c>
      <c r="P328" s="71">
        <v>21.276999999999997</v>
      </c>
      <c r="Q328" s="71">
        <v>50.835000000000001</v>
      </c>
      <c r="R328" s="71">
        <v>428.2</v>
      </c>
      <c r="S328" s="71">
        <v>73.150999999999996</v>
      </c>
      <c r="T328" s="71">
        <v>64.420999999999992</v>
      </c>
    </row>
    <row r="329" spans="1:20">
      <c r="A329" s="71" t="s">
        <v>5128</v>
      </c>
      <c r="B329" s="71" t="s">
        <v>343</v>
      </c>
      <c r="C329" s="71">
        <v>941.3119999999999</v>
      </c>
      <c r="D329" s="71">
        <v>0</v>
      </c>
      <c r="E329" s="71">
        <v>0</v>
      </c>
      <c r="F329" s="71">
        <v>2.2669999999999999</v>
      </c>
      <c r="G329" s="71">
        <v>23.781999999999996</v>
      </c>
      <c r="H329" s="71">
        <v>4.7639999999999993</v>
      </c>
      <c r="I329" s="71">
        <v>0</v>
      </c>
      <c r="J329" s="71">
        <v>3.335</v>
      </c>
      <c r="K329" s="71">
        <v>0</v>
      </c>
      <c r="L329" s="71">
        <v>0</v>
      </c>
      <c r="M329" s="71">
        <v>0.89399999999999991</v>
      </c>
      <c r="N329" s="71">
        <v>0</v>
      </c>
      <c r="O329" s="71">
        <v>0.8919999999999999</v>
      </c>
      <c r="P329" s="71">
        <v>20.410999999999998</v>
      </c>
      <c r="Q329" s="71">
        <v>31.638999999999999</v>
      </c>
      <c r="R329" s="71">
        <v>290.3</v>
      </c>
      <c r="S329" s="71">
        <v>23.943999999999999</v>
      </c>
      <c r="T329" s="71">
        <v>47.065599999999996</v>
      </c>
    </row>
    <row r="330" spans="1:20">
      <c r="A330" s="71" t="s">
        <v>270</v>
      </c>
      <c r="B330" s="71" t="s">
        <v>7690</v>
      </c>
      <c r="C330" s="71">
        <v>1272.2929999999999</v>
      </c>
      <c r="D330" s="71">
        <v>0.107</v>
      </c>
      <c r="E330" s="71">
        <v>0</v>
      </c>
      <c r="F330" s="71">
        <v>2.5950000000000002</v>
      </c>
      <c r="G330" s="71">
        <v>30.081999999999997</v>
      </c>
      <c r="H330" s="71">
        <v>0.95099999999999996</v>
      </c>
      <c r="I330" s="71">
        <v>0</v>
      </c>
      <c r="J330" s="71">
        <v>3.9159999999999999</v>
      </c>
      <c r="K330" s="71">
        <v>0</v>
      </c>
      <c r="L330" s="71">
        <v>0</v>
      </c>
      <c r="M330" s="71">
        <v>10.167999999999999</v>
      </c>
      <c r="N330" s="71">
        <v>0</v>
      </c>
      <c r="O330" s="71">
        <v>2.9329999999999998</v>
      </c>
      <c r="P330" s="71">
        <v>25.977999999999998</v>
      </c>
      <c r="Q330" s="71">
        <v>68.28</v>
      </c>
      <c r="R330" s="71">
        <v>338.7</v>
      </c>
      <c r="S330" s="71">
        <v>67.047999999999988</v>
      </c>
      <c r="T330" s="71">
        <v>63.61464999999999</v>
      </c>
    </row>
    <row r="331" spans="1:20">
      <c r="A331" s="71" t="s">
        <v>2391</v>
      </c>
      <c r="B331" s="71" t="s">
        <v>1456</v>
      </c>
      <c r="C331" s="71">
        <v>2255.145</v>
      </c>
      <c r="D331" s="71">
        <v>6.2E-2</v>
      </c>
      <c r="E331" s="71">
        <v>0</v>
      </c>
      <c r="F331" s="71">
        <v>5.4359999999999999</v>
      </c>
      <c r="G331" s="71">
        <v>80.162999999999997</v>
      </c>
      <c r="H331" s="71">
        <v>16.725000000000001</v>
      </c>
      <c r="I331" s="71">
        <v>0</v>
      </c>
      <c r="J331" s="71">
        <v>0</v>
      </c>
      <c r="K331" s="71">
        <v>0</v>
      </c>
      <c r="L331" s="71">
        <v>0</v>
      </c>
      <c r="M331" s="71">
        <v>7.5999999999999998E-2</v>
      </c>
      <c r="N331" s="71">
        <v>0.43</v>
      </c>
      <c r="O331" s="71">
        <v>0</v>
      </c>
      <c r="P331" s="71">
        <v>56.055999999999997</v>
      </c>
      <c r="Q331" s="71">
        <v>112.86699999999999</v>
      </c>
      <c r="R331" s="71">
        <v>835.3</v>
      </c>
      <c r="S331" s="71">
        <v>95.122</v>
      </c>
      <c r="T331" s="71">
        <v>112.75699999999999</v>
      </c>
    </row>
    <row r="332" spans="1:20">
      <c r="A332" s="71" t="s">
        <v>2746</v>
      </c>
      <c r="B332" s="71" t="s">
        <v>2683</v>
      </c>
      <c r="C332" s="71">
        <v>1554.069</v>
      </c>
      <c r="D332" s="71">
        <v>1.9E-2</v>
      </c>
      <c r="E332" s="71">
        <v>0</v>
      </c>
      <c r="F332" s="71">
        <v>4.0139999999999993</v>
      </c>
      <c r="G332" s="71">
        <v>31.459</v>
      </c>
      <c r="H332" s="71">
        <v>7.9619999999999997</v>
      </c>
      <c r="I332" s="71">
        <v>0</v>
      </c>
      <c r="J332" s="71">
        <v>0.48499999999999999</v>
      </c>
      <c r="K332" s="71">
        <v>0</v>
      </c>
      <c r="L332" s="71">
        <v>0</v>
      </c>
      <c r="M332" s="71">
        <v>0.52199999999999991</v>
      </c>
      <c r="N332" s="71">
        <v>0</v>
      </c>
      <c r="O332" s="71">
        <v>0.19799999999999998</v>
      </c>
      <c r="P332" s="71">
        <v>41.283999999999999</v>
      </c>
      <c r="Q332" s="71">
        <v>38.578999999999994</v>
      </c>
      <c r="R332" s="71">
        <v>123.3</v>
      </c>
      <c r="S332" s="71">
        <v>31.933999999999997</v>
      </c>
      <c r="T332" s="71">
        <v>77.702999999999989</v>
      </c>
    </row>
    <row r="333" spans="1:20">
      <c r="A333" s="71" t="s">
        <v>6186</v>
      </c>
      <c r="B333" s="71" t="s">
        <v>3831</v>
      </c>
      <c r="C333" s="71">
        <v>8345.9699999999993</v>
      </c>
      <c r="D333" s="71">
        <v>0.122</v>
      </c>
      <c r="E333" s="71">
        <v>0</v>
      </c>
      <c r="F333" s="71">
        <v>13.171999999999999</v>
      </c>
      <c r="G333" s="71">
        <v>286.90799999999996</v>
      </c>
      <c r="H333" s="71">
        <v>46.325999999999993</v>
      </c>
      <c r="I333" s="71">
        <v>0</v>
      </c>
      <c r="J333" s="71">
        <v>0</v>
      </c>
      <c r="K333" s="71">
        <v>0</v>
      </c>
      <c r="L333" s="71">
        <v>0</v>
      </c>
      <c r="M333" s="71">
        <v>0.71699999999999997</v>
      </c>
      <c r="N333" s="71">
        <v>1.0079999999999998</v>
      </c>
      <c r="O333" s="71">
        <v>15.414999999999999</v>
      </c>
      <c r="P333" s="71">
        <v>58.195</v>
      </c>
      <c r="Q333" s="71">
        <v>400.45</v>
      </c>
      <c r="R333" s="71">
        <v>1657.7</v>
      </c>
      <c r="S333" s="71">
        <v>352.33299999999997</v>
      </c>
      <c r="T333" s="71">
        <v>417.29799999999994</v>
      </c>
    </row>
    <row r="334" spans="1:20">
      <c r="A334" s="71" t="s">
        <v>6041</v>
      </c>
      <c r="B334" s="71" t="s">
        <v>185</v>
      </c>
      <c r="C334" s="71">
        <v>3714.0439999999999</v>
      </c>
      <c r="D334" s="71">
        <v>0.23899999999999999</v>
      </c>
      <c r="E334" s="71">
        <v>0</v>
      </c>
      <c r="F334" s="71">
        <v>8.1509999999999998</v>
      </c>
      <c r="G334" s="71">
        <v>105.032</v>
      </c>
      <c r="H334" s="71">
        <v>31.521999999999998</v>
      </c>
      <c r="I334" s="71">
        <v>0</v>
      </c>
      <c r="J334" s="71">
        <v>0.13899999999999998</v>
      </c>
      <c r="K334" s="71">
        <v>0</v>
      </c>
      <c r="L334" s="71">
        <v>0</v>
      </c>
      <c r="M334" s="71">
        <v>2.3719999999999999</v>
      </c>
      <c r="N334" s="71">
        <v>0</v>
      </c>
      <c r="O334" s="71">
        <v>0</v>
      </c>
      <c r="P334" s="71">
        <v>65.980999999999995</v>
      </c>
      <c r="Q334" s="71">
        <v>112.193</v>
      </c>
      <c r="R334" s="71">
        <v>828.8</v>
      </c>
      <c r="S334" s="71">
        <v>179.48699999999999</v>
      </c>
      <c r="T334" s="71">
        <v>185.702</v>
      </c>
    </row>
    <row r="335" spans="1:20">
      <c r="A335" s="71" t="s">
        <v>591</v>
      </c>
      <c r="B335" s="71" t="s">
        <v>194</v>
      </c>
      <c r="C335" s="71">
        <v>4308.9839999999995</v>
      </c>
      <c r="D335" s="71">
        <v>5.6999999999999995E-2</v>
      </c>
      <c r="E335" s="71">
        <v>0</v>
      </c>
      <c r="F335" s="71">
        <v>10.061999999999999</v>
      </c>
      <c r="G335" s="71">
        <v>141.19</v>
      </c>
      <c r="H335" s="71">
        <v>31.058</v>
      </c>
      <c r="I335" s="71">
        <v>0</v>
      </c>
      <c r="J335" s="71">
        <v>7.4999999999999997E-2</v>
      </c>
      <c r="K335" s="71">
        <v>0</v>
      </c>
      <c r="L335" s="71">
        <v>0</v>
      </c>
      <c r="M335" s="71">
        <v>7.61</v>
      </c>
      <c r="N335" s="71">
        <v>0.20099999999999998</v>
      </c>
      <c r="O335" s="71">
        <v>1.0179999999999998</v>
      </c>
      <c r="P335" s="71">
        <v>41.384999999999998</v>
      </c>
      <c r="Q335" s="71">
        <v>72.075999999999993</v>
      </c>
      <c r="R335" s="71">
        <v>1755</v>
      </c>
      <c r="S335" s="71">
        <v>555.88299999999992</v>
      </c>
      <c r="T335" s="71">
        <v>215.44899999999998</v>
      </c>
    </row>
    <row r="336" spans="1:20">
      <c r="A336" s="71" t="s">
        <v>443</v>
      </c>
      <c r="B336" s="71" t="s">
        <v>990</v>
      </c>
      <c r="C336" s="71">
        <v>1801.9169999999999</v>
      </c>
      <c r="D336" s="71">
        <v>0.33599999999999997</v>
      </c>
      <c r="E336" s="71">
        <v>0</v>
      </c>
      <c r="F336" s="71">
        <v>3.0609999999999999</v>
      </c>
      <c r="G336" s="71">
        <v>49.826999999999998</v>
      </c>
      <c r="H336" s="71">
        <v>15.73</v>
      </c>
      <c r="I336" s="71">
        <v>0</v>
      </c>
      <c r="J336" s="71">
        <v>3.58</v>
      </c>
      <c r="K336" s="71">
        <v>0</v>
      </c>
      <c r="L336" s="71">
        <v>0</v>
      </c>
      <c r="M336" s="71">
        <v>4.7619999999999996</v>
      </c>
      <c r="N336" s="71">
        <v>0.60399999999999998</v>
      </c>
      <c r="O336" s="71">
        <v>0</v>
      </c>
      <c r="P336" s="71">
        <v>51.866999999999997</v>
      </c>
      <c r="Q336" s="71">
        <v>95.136999999999986</v>
      </c>
      <c r="R336" s="71">
        <v>1143.8</v>
      </c>
      <c r="S336" s="71">
        <v>21.667999999999999</v>
      </c>
      <c r="T336" s="71">
        <v>90.095849999999984</v>
      </c>
    </row>
    <row r="337" spans="1:20">
      <c r="A337" s="71" t="s">
        <v>2748</v>
      </c>
      <c r="B337" s="71" t="s">
        <v>2684</v>
      </c>
      <c r="C337" s="71">
        <v>71.48599999999999</v>
      </c>
      <c r="D337" s="71">
        <v>0</v>
      </c>
      <c r="E337" s="71">
        <v>0</v>
      </c>
      <c r="F337" s="71">
        <v>0.153</v>
      </c>
      <c r="G337" s="71">
        <v>4.9739999999999993</v>
      </c>
      <c r="H337" s="71">
        <v>0</v>
      </c>
      <c r="I337" s="71">
        <v>0</v>
      </c>
      <c r="J337" s="71">
        <v>0.33099999999999996</v>
      </c>
      <c r="K337" s="71">
        <v>0</v>
      </c>
      <c r="L337" s="71">
        <v>0</v>
      </c>
      <c r="M337" s="71">
        <v>0</v>
      </c>
      <c r="N337" s="71">
        <v>0</v>
      </c>
      <c r="O337" s="71">
        <v>0</v>
      </c>
      <c r="P337" s="71">
        <v>2.1529999999999996</v>
      </c>
      <c r="Q337" s="71">
        <v>8.9209999999999994</v>
      </c>
      <c r="R337" s="71">
        <v>39.700000000000003</v>
      </c>
      <c r="S337" s="71">
        <v>0</v>
      </c>
      <c r="T337" s="71">
        <v>3.5739999999999998</v>
      </c>
    </row>
    <row r="338" spans="1:20">
      <c r="A338" s="71" t="s">
        <v>862</v>
      </c>
      <c r="B338" s="71" t="s">
        <v>2009</v>
      </c>
      <c r="C338" s="71">
        <v>1466.1469999999999</v>
      </c>
      <c r="D338" s="71">
        <v>5.0000000000000001E-3</v>
      </c>
      <c r="E338" s="71">
        <v>0</v>
      </c>
      <c r="F338" s="71">
        <v>2.8029999999999999</v>
      </c>
      <c r="G338" s="71">
        <v>52.048999999999999</v>
      </c>
      <c r="H338" s="71">
        <v>11.361999999999998</v>
      </c>
      <c r="I338" s="71">
        <v>0</v>
      </c>
      <c r="J338" s="71">
        <v>11.036</v>
      </c>
      <c r="K338" s="71">
        <v>0</v>
      </c>
      <c r="L338" s="71">
        <v>0</v>
      </c>
      <c r="M338" s="71">
        <v>2.5049999999999999</v>
      </c>
      <c r="N338" s="71">
        <v>0.16899999999999998</v>
      </c>
      <c r="O338" s="71">
        <v>5.484</v>
      </c>
      <c r="P338" s="71">
        <v>35.408999999999999</v>
      </c>
      <c r="Q338" s="71">
        <v>71.450999999999993</v>
      </c>
      <c r="R338" s="71">
        <v>923</v>
      </c>
      <c r="S338" s="71">
        <v>98.875999999999991</v>
      </c>
      <c r="T338" s="71">
        <v>73.306999999999988</v>
      </c>
    </row>
    <row r="339" spans="1:20">
      <c r="A339" s="71" t="s">
        <v>2750</v>
      </c>
      <c r="B339" s="71" t="s">
        <v>2685</v>
      </c>
      <c r="C339" s="71">
        <v>635.96199999999999</v>
      </c>
      <c r="D339" s="71">
        <v>1.0999999999999999E-2</v>
      </c>
      <c r="E339" s="71">
        <v>0</v>
      </c>
      <c r="F339" s="71">
        <v>1.371</v>
      </c>
      <c r="G339" s="71">
        <v>25.476999999999997</v>
      </c>
      <c r="H339" s="71">
        <v>0.16199999999999998</v>
      </c>
      <c r="I339" s="71">
        <v>0</v>
      </c>
      <c r="J339" s="71">
        <v>2.944</v>
      </c>
      <c r="K339" s="71">
        <v>0</v>
      </c>
      <c r="L339" s="71">
        <v>0</v>
      </c>
      <c r="M339" s="71">
        <v>0</v>
      </c>
      <c r="N339" s="71">
        <v>0</v>
      </c>
      <c r="O339" s="71">
        <v>0</v>
      </c>
      <c r="P339" s="71">
        <v>21.12</v>
      </c>
      <c r="Q339" s="71">
        <v>32.873999999999995</v>
      </c>
      <c r="R339" s="71">
        <v>364.3</v>
      </c>
      <c r="S339" s="71">
        <v>5.9829999999999997</v>
      </c>
      <c r="T339" s="71">
        <v>30</v>
      </c>
    </row>
    <row r="340" spans="1:20">
      <c r="A340" s="71" t="s">
        <v>3899</v>
      </c>
      <c r="B340" s="71" t="s">
        <v>2686</v>
      </c>
      <c r="C340" s="71">
        <v>49.253999999999998</v>
      </c>
      <c r="D340" s="71">
        <v>0</v>
      </c>
      <c r="E340" s="71">
        <v>0</v>
      </c>
      <c r="F340" s="71">
        <v>4.1999999999999996E-2</v>
      </c>
      <c r="G340" s="71">
        <v>0.47699999999999998</v>
      </c>
      <c r="H340" s="71">
        <v>0</v>
      </c>
      <c r="I340" s="71">
        <v>0</v>
      </c>
      <c r="J340" s="71">
        <v>0</v>
      </c>
      <c r="K340" s="71">
        <v>0</v>
      </c>
      <c r="L340" s="71">
        <v>0</v>
      </c>
      <c r="M340" s="71">
        <v>0</v>
      </c>
      <c r="N340" s="71">
        <v>0</v>
      </c>
      <c r="O340" s="71">
        <v>0</v>
      </c>
      <c r="P340" s="71">
        <v>1.9729999999999999</v>
      </c>
      <c r="Q340" s="71">
        <v>0</v>
      </c>
      <c r="R340" s="71">
        <v>32.700000000000003</v>
      </c>
      <c r="S340" s="71">
        <v>2.9550000000000001</v>
      </c>
      <c r="T340" s="71">
        <v>2.4626999999999994</v>
      </c>
    </row>
    <row r="341" spans="1:20">
      <c r="A341" s="71" t="s">
        <v>3604</v>
      </c>
      <c r="B341" s="71" t="s">
        <v>2687</v>
      </c>
      <c r="C341" s="71">
        <v>144.09399999999999</v>
      </c>
      <c r="D341" s="71">
        <v>0</v>
      </c>
      <c r="E341" s="71">
        <v>0</v>
      </c>
      <c r="F341" s="71">
        <v>0.33799999999999997</v>
      </c>
      <c r="G341" s="71">
        <v>1.591</v>
      </c>
      <c r="H341" s="71">
        <v>1.4229999999999998</v>
      </c>
      <c r="I341" s="71">
        <v>0</v>
      </c>
      <c r="J341" s="71">
        <v>0.22</v>
      </c>
      <c r="K341" s="71">
        <v>0</v>
      </c>
      <c r="L341" s="71">
        <v>0</v>
      </c>
      <c r="M341" s="71">
        <v>0</v>
      </c>
      <c r="N341" s="71">
        <v>0</v>
      </c>
      <c r="O341" s="71">
        <v>0</v>
      </c>
      <c r="P341" s="71">
        <v>7.7969999999999997</v>
      </c>
      <c r="Q341" s="71">
        <v>0</v>
      </c>
      <c r="R341" s="71">
        <v>48.2</v>
      </c>
      <c r="S341" s="71">
        <v>0</v>
      </c>
      <c r="T341" s="71">
        <v>4</v>
      </c>
    </row>
    <row r="342" spans="1:20">
      <c r="A342" s="71" t="s">
        <v>3166</v>
      </c>
      <c r="B342" s="71" t="s">
        <v>2688</v>
      </c>
      <c r="C342" s="71">
        <v>242.58699999999999</v>
      </c>
      <c r="D342" s="71">
        <v>0</v>
      </c>
      <c r="E342" s="71">
        <v>0</v>
      </c>
      <c r="F342" s="71">
        <v>0.39699999999999996</v>
      </c>
      <c r="G342" s="71">
        <v>3.1769999999999996</v>
      </c>
      <c r="H342" s="71">
        <v>2.2309999999999999</v>
      </c>
      <c r="I342" s="71">
        <v>0</v>
      </c>
      <c r="J342" s="71">
        <v>0</v>
      </c>
      <c r="K342" s="71">
        <v>0</v>
      </c>
      <c r="L342" s="71">
        <v>0</v>
      </c>
      <c r="M342" s="71">
        <v>0.35399999999999998</v>
      </c>
      <c r="N342" s="71">
        <v>0.14899999999999999</v>
      </c>
      <c r="O342" s="71">
        <v>0</v>
      </c>
      <c r="P342" s="71">
        <v>6.2939999999999996</v>
      </c>
      <c r="Q342" s="71">
        <v>17.790999999999997</v>
      </c>
      <c r="R342" s="71">
        <v>181.2</v>
      </c>
      <c r="S342" s="71">
        <v>0</v>
      </c>
      <c r="T342" s="71">
        <v>12.129</v>
      </c>
    </row>
    <row r="343" spans="1:20">
      <c r="A343" s="71" t="s">
        <v>3168</v>
      </c>
      <c r="B343" s="71" t="s">
        <v>2689</v>
      </c>
      <c r="C343" s="71">
        <v>123.77099999999999</v>
      </c>
      <c r="D343" s="71">
        <v>0</v>
      </c>
      <c r="E343" s="71">
        <v>0</v>
      </c>
      <c r="F343" s="71">
        <v>0.14399999999999999</v>
      </c>
      <c r="G343" s="71">
        <v>0</v>
      </c>
      <c r="H343" s="71">
        <v>0</v>
      </c>
      <c r="I343" s="71">
        <v>0</v>
      </c>
      <c r="J343" s="71">
        <v>0</v>
      </c>
      <c r="K343" s="71">
        <v>0</v>
      </c>
      <c r="L343" s="71">
        <v>0</v>
      </c>
      <c r="M343" s="71">
        <v>0.77699999999999991</v>
      </c>
      <c r="N343" s="71">
        <v>0</v>
      </c>
      <c r="O343" s="71">
        <v>0</v>
      </c>
      <c r="P343" s="71">
        <v>11.901999999999999</v>
      </c>
      <c r="Q343" s="71">
        <v>17.016999999999999</v>
      </c>
      <c r="R343" s="71">
        <v>124.8</v>
      </c>
      <c r="S343" s="71">
        <v>0</v>
      </c>
      <c r="T343" s="71">
        <v>6.1885499999999993</v>
      </c>
    </row>
    <row r="344" spans="1:20">
      <c r="A344" s="71" t="s">
        <v>3091</v>
      </c>
      <c r="B344" s="71" t="s">
        <v>6101</v>
      </c>
      <c r="C344" s="71">
        <v>2224.7279999999996</v>
      </c>
      <c r="D344" s="71">
        <v>0</v>
      </c>
      <c r="E344" s="71">
        <v>0</v>
      </c>
      <c r="F344" s="71">
        <v>2.7529999999999997</v>
      </c>
      <c r="G344" s="71">
        <v>45.417999999999999</v>
      </c>
      <c r="H344" s="71">
        <v>7.819</v>
      </c>
      <c r="I344" s="71">
        <v>0</v>
      </c>
      <c r="J344" s="71">
        <v>2.6359999999999997</v>
      </c>
      <c r="K344" s="71">
        <v>0</v>
      </c>
      <c r="L344" s="71">
        <v>0</v>
      </c>
      <c r="M344" s="71">
        <v>3.5739999999999998</v>
      </c>
      <c r="N344" s="71">
        <v>1.7350000000000001</v>
      </c>
      <c r="O344" s="71">
        <v>0</v>
      </c>
      <c r="P344" s="71">
        <v>53.930999999999997</v>
      </c>
      <c r="Q344" s="71">
        <v>109.36699999999999</v>
      </c>
      <c r="R344" s="71">
        <v>2016.7</v>
      </c>
      <c r="S344" s="71">
        <v>177.38</v>
      </c>
      <c r="T344" s="71">
        <v>111.23599999999999</v>
      </c>
    </row>
    <row r="345" spans="1:20">
      <c r="A345" s="71" t="s">
        <v>3171</v>
      </c>
      <c r="B345" s="71" t="s">
        <v>2690</v>
      </c>
      <c r="C345" s="71">
        <v>478.19599999999997</v>
      </c>
      <c r="D345" s="71">
        <v>0</v>
      </c>
      <c r="E345" s="71">
        <v>0</v>
      </c>
      <c r="F345" s="71">
        <v>0.5129999999999999</v>
      </c>
      <c r="G345" s="71">
        <v>18.600999999999999</v>
      </c>
      <c r="H345" s="71">
        <v>4.3099999999999996</v>
      </c>
      <c r="I345" s="71">
        <v>0</v>
      </c>
      <c r="J345" s="71">
        <v>0</v>
      </c>
      <c r="K345" s="71">
        <v>0</v>
      </c>
      <c r="L345" s="71">
        <v>0</v>
      </c>
      <c r="M345" s="71">
        <v>0.26399999999999996</v>
      </c>
      <c r="N345" s="71">
        <v>1.0999999999999999E-2</v>
      </c>
      <c r="O345" s="71">
        <v>0</v>
      </c>
      <c r="P345" s="71">
        <v>24.116</v>
      </c>
      <c r="Q345" s="71">
        <v>32.346999999999994</v>
      </c>
      <c r="R345" s="71">
        <v>295.8</v>
      </c>
      <c r="S345" s="71">
        <v>3.1869999999999998</v>
      </c>
      <c r="T345" s="71">
        <v>23.909799999999997</v>
      </c>
    </row>
    <row r="346" spans="1:20">
      <c r="A346" s="71" t="s">
        <v>593</v>
      </c>
      <c r="B346" s="71" t="s">
        <v>3841</v>
      </c>
      <c r="C346" s="71">
        <v>179.82499999999999</v>
      </c>
      <c r="D346" s="71">
        <v>0</v>
      </c>
      <c r="E346" s="71">
        <v>0</v>
      </c>
      <c r="F346" s="71">
        <v>9.3999999999999986E-2</v>
      </c>
      <c r="G346" s="71">
        <v>8.9239999999999995</v>
      </c>
      <c r="H346" s="71">
        <v>2.5639999999999996</v>
      </c>
      <c r="I346" s="71">
        <v>0</v>
      </c>
      <c r="J346" s="71">
        <v>0</v>
      </c>
      <c r="K346" s="71">
        <v>0</v>
      </c>
      <c r="L346" s="71">
        <v>0</v>
      </c>
      <c r="M346" s="71">
        <v>0</v>
      </c>
      <c r="N346" s="71">
        <v>0</v>
      </c>
      <c r="O346" s="71">
        <v>0</v>
      </c>
      <c r="P346" s="71">
        <v>2.0029999999999997</v>
      </c>
      <c r="Q346" s="71">
        <v>15.44</v>
      </c>
      <c r="R346" s="71">
        <v>128.30000000000001</v>
      </c>
      <c r="S346" s="71">
        <v>6.2569999999999997</v>
      </c>
      <c r="T346" s="71">
        <v>3</v>
      </c>
    </row>
    <row r="347" spans="1:20">
      <c r="A347" s="71" t="s">
        <v>3173</v>
      </c>
      <c r="B347" s="71" t="s">
        <v>2691</v>
      </c>
      <c r="C347" s="71">
        <v>47.94</v>
      </c>
      <c r="D347" s="71">
        <v>0</v>
      </c>
      <c r="E347" s="71">
        <v>0</v>
      </c>
      <c r="F347" s="71">
        <v>0.14399999999999999</v>
      </c>
      <c r="G347" s="71">
        <v>0.62699999999999989</v>
      </c>
      <c r="H347" s="71">
        <v>0</v>
      </c>
      <c r="I347" s="71">
        <v>0</v>
      </c>
      <c r="J347" s="71">
        <v>0</v>
      </c>
      <c r="K347" s="71">
        <v>0</v>
      </c>
      <c r="L347" s="71">
        <v>0</v>
      </c>
      <c r="M347" s="71">
        <v>0</v>
      </c>
      <c r="N347" s="71">
        <v>0</v>
      </c>
      <c r="O347" s="71">
        <v>0</v>
      </c>
      <c r="P347" s="71">
        <v>0</v>
      </c>
      <c r="Q347" s="71">
        <v>0</v>
      </c>
      <c r="R347" s="71">
        <v>48.3</v>
      </c>
      <c r="S347" s="71">
        <v>14.225999999999999</v>
      </c>
      <c r="T347" s="71">
        <v>0</v>
      </c>
    </row>
    <row r="348" spans="1:20">
      <c r="A348" s="71" t="s">
        <v>3175</v>
      </c>
      <c r="B348" s="71" t="s">
        <v>2692</v>
      </c>
      <c r="C348" s="71">
        <v>411.09799999999996</v>
      </c>
      <c r="D348" s="71">
        <v>1.2999999999999999E-2</v>
      </c>
      <c r="E348" s="71">
        <v>0</v>
      </c>
      <c r="F348" s="71">
        <v>0.43099999999999999</v>
      </c>
      <c r="G348" s="71">
        <v>9.8289999999999988</v>
      </c>
      <c r="H348" s="71">
        <v>0.44500000000000001</v>
      </c>
      <c r="I348" s="71">
        <v>0</v>
      </c>
      <c r="J348" s="71">
        <v>0</v>
      </c>
      <c r="K348" s="71">
        <v>0</v>
      </c>
      <c r="L348" s="71">
        <v>0</v>
      </c>
      <c r="M348" s="71">
        <v>0</v>
      </c>
      <c r="N348" s="71">
        <v>0.04</v>
      </c>
      <c r="O348" s="71">
        <v>0</v>
      </c>
      <c r="P348" s="71">
        <v>16.700999999999997</v>
      </c>
      <c r="Q348" s="71">
        <v>19.870999999999999</v>
      </c>
      <c r="R348" s="71">
        <v>470</v>
      </c>
      <c r="S348" s="71">
        <v>36.994999999999997</v>
      </c>
      <c r="T348" s="71">
        <v>20.554899999999996</v>
      </c>
    </row>
    <row r="349" spans="1:20">
      <c r="A349" s="71" t="s">
        <v>3092</v>
      </c>
      <c r="B349" s="71" t="s">
        <v>381</v>
      </c>
      <c r="C349" s="71">
        <v>1333.2959999999998</v>
      </c>
      <c r="D349" s="71">
        <v>3.5999999999999997E-2</v>
      </c>
      <c r="E349" s="71">
        <v>0</v>
      </c>
      <c r="F349" s="71">
        <v>1.42</v>
      </c>
      <c r="G349" s="71">
        <v>41.674999999999997</v>
      </c>
      <c r="H349" s="71">
        <v>3.0219999999999998</v>
      </c>
      <c r="I349" s="71">
        <v>0</v>
      </c>
      <c r="J349" s="71">
        <v>0</v>
      </c>
      <c r="K349" s="71">
        <v>0</v>
      </c>
      <c r="L349" s="71">
        <v>0</v>
      </c>
      <c r="M349" s="71">
        <v>0</v>
      </c>
      <c r="N349" s="71">
        <v>0</v>
      </c>
      <c r="O349" s="71">
        <v>0</v>
      </c>
      <c r="P349" s="71">
        <v>22.206999999999997</v>
      </c>
      <c r="Q349" s="71">
        <v>50.414999999999999</v>
      </c>
      <c r="R349" s="71">
        <v>1320.8</v>
      </c>
      <c r="S349" s="71">
        <v>108.89399999999999</v>
      </c>
      <c r="T349" s="71">
        <v>66.664799999999985</v>
      </c>
    </row>
    <row r="350" spans="1:20">
      <c r="A350" s="71" t="s">
        <v>673</v>
      </c>
      <c r="B350" s="71" t="s">
        <v>2693</v>
      </c>
      <c r="C350" s="71">
        <v>798.24299999999994</v>
      </c>
      <c r="D350" s="71">
        <v>3.3999999999999996E-2</v>
      </c>
      <c r="E350" s="71">
        <v>0</v>
      </c>
      <c r="F350" s="71">
        <v>1.2289999999999999</v>
      </c>
      <c r="G350" s="71">
        <v>17.382999999999999</v>
      </c>
      <c r="H350" s="71">
        <v>1.9809999999999999</v>
      </c>
      <c r="I350" s="71">
        <v>0</v>
      </c>
      <c r="J350" s="71">
        <v>0</v>
      </c>
      <c r="K350" s="71">
        <v>0</v>
      </c>
      <c r="L350" s="71">
        <v>0</v>
      </c>
      <c r="M350" s="71">
        <v>0</v>
      </c>
      <c r="N350" s="71">
        <v>0.218</v>
      </c>
      <c r="O350" s="71">
        <v>0</v>
      </c>
      <c r="P350" s="71">
        <v>22.305</v>
      </c>
      <c r="Q350" s="71">
        <v>55.31</v>
      </c>
      <c r="R350" s="71">
        <v>630.5</v>
      </c>
      <c r="S350" s="71">
        <v>20.323999999999998</v>
      </c>
      <c r="T350" s="71">
        <v>39.911999999999999</v>
      </c>
    </row>
    <row r="351" spans="1:20">
      <c r="A351" s="71" t="s">
        <v>322</v>
      </c>
      <c r="B351" s="71" t="s">
        <v>325</v>
      </c>
      <c r="C351" s="71">
        <v>793.08899999999994</v>
      </c>
      <c r="D351" s="71">
        <v>4.4999999999999998E-2</v>
      </c>
      <c r="E351" s="71">
        <v>0</v>
      </c>
      <c r="F351" s="71">
        <v>1.6319999999999999</v>
      </c>
      <c r="G351" s="71">
        <v>32.164999999999999</v>
      </c>
      <c r="H351" s="71">
        <v>3.145</v>
      </c>
      <c r="I351" s="71">
        <v>0</v>
      </c>
      <c r="J351" s="71">
        <v>0.70799999999999996</v>
      </c>
      <c r="K351" s="71">
        <v>0</v>
      </c>
      <c r="L351" s="71">
        <v>0</v>
      </c>
      <c r="M351" s="71">
        <v>0</v>
      </c>
      <c r="N351" s="71">
        <v>0.72399999999999998</v>
      </c>
      <c r="O351" s="71">
        <v>9.9350000000000005</v>
      </c>
      <c r="P351" s="71">
        <v>25.491</v>
      </c>
      <c r="Q351" s="71">
        <v>62.556999999999995</v>
      </c>
      <c r="R351" s="71">
        <v>512.70000000000005</v>
      </c>
      <c r="S351" s="71">
        <v>18.056999999999999</v>
      </c>
      <c r="T351" s="71">
        <v>39.653999999999996</v>
      </c>
    </row>
    <row r="352" spans="1:20">
      <c r="A352" s="71" t="s">
        <v>675</v>
      </c>
      <c r="B352" s="71" t="s">
        <v>7652</v>
      </c>
      <c r="C352" s="71">
        <v>1079.5669999999998</v>
      </c>
      <c r="D352" s="71">
        <v>0.20699999999999999</v>
      </c>
      <c r="E352" s="71">
        <v>0</v>
      </c>
      <c r="F352" s="71">
        <v>1.9450000000000001</v>
      </c>
      <c r="G352" s="71">
        <v>40.28</v>
      </c>
      <c r="H352" s="71">
        <v>4.0199999999999996</v>
      </c>
      <c r="I352" s="71">
        <v>0</v>
      </c>
      <c r="J352" s="71">
        <v>1.238</v>
      </c>
      <c r="K352" s="71">
        <v>0</v>
      </c>
      <c r="L352" s="71">
        <v>0</v>
      </c>
      <c r="M352" s="71">
        <v>4.6979999999999995</v>
      </c>
      <c r="N352" s="71">
        <v>0.53899999999999992</v>
      </c>
      <c r="O352" s="71">
        <v>3.8959999999999999</v>
      </c>
      <c r="P352" s="71">
        <v>25.478999999999999</v>
      </c>
      <c r="Q352" s="71">
        <v>35.805999999999997</v>
      </c>
      <c r="R352" s="71">
        <v>580.5</v>
      </c>
      <c r="S352" s="71">
        <v>41.198999999999998</v>
      </c>
      <c r="T352" s="71">
        <v>53.977999999999994</v>
      </c>
    </row>
    <row r="353" spans="1:20">
      <c r="A353" s="71" t="s">
        <v>677</v>
      </c>
      <c r="B353" s="71" t="s">
        <v>1259</v>
      </c>
      <c r="C353" s="71">
        <v>359.88599999999997</v>
      </c>
      <c r="D353" s="71">
        <v>1.7999999999999999E-2</v>
      </c>
      <c r="E353" s="71">
        <v>0</v>
      </c>
      <c r="F353" s="71">
        <v>0.91599999999999993</v>
      </c>
      <c r="G353" s="71">
        <v>14.440999999999999</v>
      </c>
      <c r="H353" s="71">
        <v>2.476</v>
      </c>
      <c r="I353" s="71">
        <v>0</v>
      </c>
      <c r="J353" s="71">
        <v>0</v>
      </c>
      <c r="K353" s="71">
        <v>0</v>
      </c>
      <c r="L353" s="71">
        <v>0</v>
      </c>
      <c r="M353" s="71">
        <v>1.3959999999999999</v>
      </c>
      <c r="N353" s="71">
        <v>7.8E-2</v>
      </c>
      <c r="O353" s="71">
        <v>0</v>
      </c>
      <c r="P353" s="71">
        <v>9.3819999999999997</v>
      </c>
      <c r="Q353" s="71">
        <v>26.385999999999999</v>
      </c>
      <c r="R353" s="71">
        <v>314.5</v>
      </c>
      <c r="S353" s="71">
        <v>26.347999999999999</v>
      </c>
      <c r="T353" s="71">
        <v>17.994</v>
      </c>
    </row>
    <row r="354" spans="1:20">
      <c r="A354" s="71" t="s">
        <v>679</v>
      </c>
      <c r="B354" s="71" t="s">
        <v>1260</v>
      </c>
      <c r="C354" s="71">
        <v>424.73899999999998</v>
      </c>
      <c r="D354" s="71">
        <v>5.8999999999999997E-2</v>
      </c>
      <c r="E354" s="71">
        <v>0</v>
      </c>
      <c r="F354" s="71">
        <v>1.0069999999999999</v>
      </c>
      <c r="G354" s="71">
        <v>21.706</v>
      </c>
      <c r="H354" s="71">
        <v>2.718</v>
      </c>
      <c r="I354" s="71">
        <v>0</v>
      </c>
      <c r="J354" s="71">
        <v>0</v>
      </c>
      <c r="K354" s="71">
        <v>0</v>
      </c>
      <c r="L354" s="71">
        <v>0</v>
      </c>
      <c r="M354" s="71">
        <v>5.8259999999999996</v>
      </c>
      <c r="N354" s="71">
        <v>0.23699999999999999</v>
      </c>
      <c r="O354" s="71">
        <v>0</v>
      </c>
      <c r="P354" s="71">
        <v>14.715999999999999</v>
      </c>
      <c r="Q354" s="71">
        <v>17.948999999999998</v>
      </c>
      <c r="R354" s="71">
        <v>349.2</v>
      </c>
      <c r="S354" s="71">
        <v>7.3489999999999993</v>
      </c>
      <c r="T354" s="71">
        <v>21.236949999999997</v>
      </c>
    </row>
    <row r="355" spans="1:20">
      <c r="A355" s="71" t="s">
        <v>2960</v>
      </c>
      <c r="B355" s="71" t="s">
        <v>1261</v>
      </c>
      <c r="C355" s="71">
        <v>235.119</v>
      </c>
      <c r="D355" s="71">
        <v>0</v>
      </c>
      <c r="E355" s="71">
        <v>0</v>
      </c>
      <c r="F355" s="71">
        <v>0.6419999999999999</v>
      </c>
      <c r="G355" s="71">
        <v>10.045999999999999</v>
      </c>
      <c r="H355" s="71">
        <v>0.81399999999999995</v>
      </c>
      <c r="I355" s="71">
        <v>0</v>
      </c>
      <c r="J355" s="71">
        <v>0</v>
      </c>
      <c r="K355" s="71">
        <v>0</v>
      </c>
      <c r="L355" s="71">
        <v>0</v>
      </c>
      <c r="M355" s="71">
        <v>0.90299999999999991</v>
      </c>
      <c r="N355" s="71">
        <v>0</v>
      </c>
      <c r="O355" s="71">
        <v>5.0359999999999996</v>
      </c>
      <c r="P355" s="71">
        <v>6.7029999999999994</v>
      </c>
      <c r="Q355" s="71">
        <v>15.035</v>
      </c>
      <c r="R355" s="71">
        <v>183.5</v>
      </c>
      <c r="S355" s="71">
        <v>7.4089999999999998</v>
      </c>
      <c r="T355" s="71">
        <v>11.755949999999999</v>
      </c>
    </row>
    <row r="356" spans="1:20">
      <c r="A356" s="71" t="s">
        <v>3285</v>
      </c>
      <c r="B356" s="71" t="s">
        <v>3286</v>
      </c>
      <c r="C356" s="71">
        <v>130.83500000000001</v>
      </c>
      <c r="D356" s="71">
        <v>0</v>
      </c>
      <c r="E356" s="71">
        <v>0</v>
      </c>
      <c r="F356" s="71">
        <v>0</v>
      </c>
      <c r="G356" s="71">
        <v>4.25</v>
      </c>
      <c r="H356" s="71">
        <v>1.101</v>
      </c>
      <c r="I356" s="71">
        <v>0</v>
      </c>
      <c r="J356" s="71">
        <v>0</v>
      </c>
      <c r="K356" s="71">
        <v>0</v>
      </c>
      <c r="L356" s="71">
        <v>0</v>
      </c>
      <c r="M356" s="71">
        <v>0</v>
      </c>
      <c r="N356" s="71">
        <v>2.351</v>
      </c>
      <c r="O356" s="71">
        <v>0</v>
      </c>
      <c r="P356" s="71">
        <v>0</v>
      </c>
      <c r="Q356" s="71">
        <v>7.415</v>
      </c>
      <c r="R356" s="71">
        <v>85.2</v>
      </c>
      <c r="S356" s="71">
        <v>0</v>
      </c>
      <c r="T356" s="71">
        <v>0</v>
      </c>
    </row>
    <row r="357" spans="1:20">
      <c r="A357" s="71" t="s">
        <v>1994</v>
      </c>
      <c r="B357" s="71" t="s">
        <v>1262</v>
      </c>
      <c r="C357" s="71">
        <v>23944.375999999997</v>
      </c>
      <c r="D357" s="71">
        <v>3.3250000000000002</v>
      </c>
      <c r="E357" s="71">
        <v>0</v>
      </c>
      <c r="F357" s="71">
        <v>32.363999999999997</v>
      </c>
      <c r="G357" s="71">
        <v>752.02</v>
      </c>
      <c r="H357" s="71">
        <v>229.88199999999998</v>
      </c>
      <c r="I357" s="71">
        <v>0</v>
      </c>
      <c r="J357" s="71">
        <v>0</v>
      </c>
      <c r="K357" s="71">
        <v>0</v>
      </c>
      <c r="L357" s="71">
        <v>0</v>
      </c>
      <c r="M357" s="71">
        <v>18.315999999999999</v>
      </c>
      <c r="N357" s="71">
        <v>10.311999999999999</v>
      </c>
      <c r="O357" s="71">
        <v>0</v>
      </c>
      <c r="P357" s="71">
        <v>79.012999999999991</v>
      </c>
      <c r="Q357" s="71">
        <v>988.86199999999997</v>
      </c>
      <c r="R357" s="71">
        <v>16418.2</v>
      </c>
      <c r="S357" s="71">
        <v>2657.99</v>
      </c>
      <c r="T357" s="71">
        <v>1197.2187999999999</v>
      </c>
    </row>
    <row r="358" spans="1:20">
      <c r="A358" s="71" t="s">
        <v>2735</v>
      </c>
      <c r="B358" s="71" t="s">
        <v>1263</v>
      </c>
      <c r="C358" s="71">
        <v>330.15299999999996</v>
      </c>
      <c r="D358" s="71">
        <v>0.10299999999999999</v>
      </c>
      <c r="E358" s="71">
        <v>0</v>
      </c>
      <c r="F358" s="71">
        <v>0.23399999999999999</v>
      </c>
      <c r="G358" s="71">
        <v>14.815999999999999</v>
      </c>
      <c r="H358" s="71">
        <v>1.6850000000000001</v>
      </c>
      <c r="I358" s="71">
        <v>0</v>
      </c>
      <c r="J358" s="71">
        <v>0</v>
      </c>
      <c r="K358" s="71">
        <v>0</v>
      </c>
      <c r="L358" s="71">
        <v>0</v>
      </c>
      <c r="M358" s="71">
        <v>1.4429999999999998</v>
      </c>
      <c r="N358" s="71">
        <v>0</v>
      </c>
      <c r="O358" s="71">
        <v>0</v>
      </c>
      <c r="P358" s="71">
        <v>3.0219999999999998</v>
      </c>
      <c r="Q358" s="71">
        <v>12.892999999999999</v>
      </c>
      <c r="R358" s="71">
        <v>331</v>
      </c>
      <c r="S358" s="71">
        <v>50.045000000000002</v>
      </c>
      <c r="T358" s="71">
        <v>16.507649999999995</v>
      </c>
    </row>
    <row r="359" spans="1:20">
      <c r="A359" s="71" t="s">
        <v>2737</v>
      </c>
      <c r="B359" s="71" t="s">
        <v>1264</v>
      </c>
      <c r="C359" s="71">
        <v>304.26099999999997</v>
      </c>
      <c r="D359" s="71">
        <v>0</v>
      </c>
      <c r="E359" s="71">
        <v>0</v>
      </c>
      <c r="F359" s="71">
        <v>0.67299999999999993</v>
      </c>
      <c r="G359" s="71">
        <v>9.4949999999999992</v>
      </c>
      <c r="H359" s="71">
        <v>0.82899999999999996</v>
      </c>
      <c r="I359" s="71">
        <v>0</v>
      </c>
      <c r="J359" s="71">
        <v>0</v>
      </c>
      <c r="K359" s="71">
        <v>0</v>
      </c>
      <c r="L359" s="71">
        <v>0</v>
      </c>
      <c r="M359" s="71">
        <v>1.9969999999999999</v>
      </c>
      <c r="N359" s="71">
        <v>0</v>
      </c>
      <c r="O359" s="71">
        <v>0</v>
      </c>
      <c r="P359" s="71">
        <v>24.622999999999998</v>
      </c>
      <c r="Q359" s="71">
        <v>22.71</v>
      </c>
      <c r="R359" s="71">
        <v>257.5</v>
      </c>
      <c r="S359" s="71">
        <v>0</v>
      </c>
      <c r="T359" s="71">
        <v>11</v>
      </c>
    </row>
    <row r="360" spans="1:20">
      <c r="A360" s="71" t="s">
        <v>3646</v>
      </c>
      <c r="B360" s="71" t="s">
        <v>3287</v>
      </c>
      <c r="C360" s="71">
        <v>238.178</v>
      </c>
      <c r="D360" s="71">
        <v>0</v>
      </c>
      <c r="E360" s="71">
        <v>0</v>
      </c>
      <c r="F360" s="71">
        <v>0.36599999999999999</v>
      </c>
      <c r="G360" s="71">
        <v>10.125</v>
      </c>
      <c r="H360" s="71">
        <v>0.115</v>
      </c>
      <c r="I360" s="71">
        <v>0</v>
      </c>
      <c r="J360" s="71">
        <v>0</v>
      </c>
      <c r="K360" s="71">
        <v>0</v>
      </c>
      <c r="L360" s="71">
        <v>0</v>
      </c>
      <c r="M360" s="71">
        <v>0</v>
      </c>
      <c r="N360" s="71">
        <v>0</v>
      </c>
      <c r="O360" s="71">
        <v>0</v>
      </c>
      <c r="P360" s="71">
        <v>0</v>
      </c>
      <c r="Q360" s="71">
        <v>8.1050000000000004</v>
      </c>
      <c r="R360" s="71">
        <v>295.8</v>
      </c>
      <c r="S360" s="71">
        <v>7.319</v>
      </c>
      <c r="T360" s="71">
        <v>0</v>
      </c>
    </row>
    <row r="361" spans="1:20">
      <c r="A361" s="71" t="s">
        <v>1976</v>
      </c>
      <c r="B361" s="71" t="s">
        <v>7691</v>
      </c>
      <c r="C361" s="71">
        <v>210.976</v>
      </c>
      <c r="D361" s="71">
        <v>0</v>
      </c>
      <c r="E361" s="71">
        <v>0</v>
      </c>
      <c r="F361" s="71">
        <v>0.27799999999999997</v>
      </c>
      <c r="G361" s="71">
        <v>10.685</v>
      </c>
      <c r="H361" s="71">
        <v>0</v>
      </c>
      <c r="I361" s="71">
        <v>0</v>
      </c>
      <c r="J361" s="71">
        <v>0.27</v>
      </c>
      <c r="K361" s="71">
        <v>0</v>
      </c>
      <c r="L361" s="71">
        <v>0</v>
      </c>
      <c r="M361" s="71">
        <v>0.40899999999999997</v>
      </c>
      <c r="N361" s="71">
        <v>0.48399999999999999</v>
      </c>
      <c r="O361" s="71">
        <v>0</v>
      </c>
      <c r="P361" s="71">
        <v>2.5019999999999998</v>
      </c>
      <c r="Q361" s="71">
        <v>11.117999999999999</v>
      </c>
      <c r="R361" s="71">
        <v>145.69999999999999</v>
      </c>
      <c r="S361" s="71">
        <v>10.898999999999999</v>
      </c>
      <c r="T361" s="71">
        <v>10.548799999999998</v>
      </c>
    </row>
    <row r="362" spans="1:20">
      <c r="A362" s="71" t="s">
        <v>3648</v>
      </c>
      <c r="B362" s="71" t="s">
        <v>1265</v>
      </c>
      <c r="C362" s="71">
        <v>5223.92</v>
      </c>
      <c r="D362" s="71">
        <v>0.29499999999999998</v>
      </c>
      <c r="E362" s="71">
        <v>0</v>
      </c>
      <c r="F362" s="71">
        <v>9.827</v>
      </c>
      <c r="G362" s="71">
        <v>279.10899999999998</v>
      </c>
      <c r="H362" s="71">
        <v>43.566999999999993</v>
      </c>
      <c r="I362" s="71">
        <v>0</v>
      </c>
      <c r="J362" s="71">
        <v>0</v>
      </c>
      <c r="K362" s="71">
        <v>0</v>
      </c>
      <c r="L362" s="71">
        <v>0</v>
      </c>
      <c r="M362" s="71">
        <v>0</v>
      </c>
      <c r="N362" s="71">
        <v>2.3789999999999996</v>
      </c>
      <c r="O362" s="71">
        <v>0</v>
      </c>
      <c r="P362" s="71">
        <v>52.207999999999998</v>
      </c>
      <c r="Q362" s="71">
        <v>343.541</v>
      </c>
      <c r="R362" s="71">
        <v>3299.7</v>
      </c>
      <c r="S362" s="71">
        <v>642.99</v>
      </c>
      <c r="T362" s="71">
        <v>261.19599999999991</v>
      </c>
    </row>
    <row r="363" spans="1:20">
      <c r="A363" s="71" t="s">
        <v>3650</v>
      </c>
      <c r="B363" s="71" t="s">
        <v>1266</v>
      </c>
      <c r="C363" s="71">
        <v>2034.404</v>
      </c>
      <c r="D363" s="71">
        <v>0.41299999999999998</v>
      </c>
      <c r="E363" s="71">
        <v>0</v>
      </c>
      <c r="F363" s="71">
        <v>4.7119999999999997</v>
      </c>
      <c r="G363" s="71">
        <v>102.31899999999999</v>
      </c>
      <c r="H363" s="71">
        <v>8.8579999999999988</v>
      </c>
      <c r="I363" s="71">
        <v>0</v>
      </c>
      <c r="J363" s="71">
        <v>12.68</v>
      </c>
      <c r="K363" s="71">
        <v>0</v>
      </c>
      <c r="L363" s="71">
        <v>0</v>
      </c>
      <c r="M363" s="71">
        <v>0</v>
      </c>
      <c r="N363" s="71">
        <v>1.0549999999999999</v>
      </c>
      <c r="O363" s="71">
        <v>0</v>
      </c>
      <c r="P363" s="71">
        <v>17.484999999999999</v>
      </c>
      <c r="Q363" s="71">
        <v>85.35</v>
      </c>
      <c r="R363" s="71">
        <v>1428.5</v>
      </c>
      <c r="S363" s="71">
        <v>247.05399999999997</v>
      </c>
      <c r="T363" s="71">
        <v>101.72</v>
      </c>
    </row>
    <row r="364" spans="1:20">
      <c r="A364" s="71" t="s">
        <v>3093</v>
      </c>
      <c r="B364" s="71" t="s">
        <v>1906</v>
      </c>
      <c r="C364" s="71">
        <v>621.68099999999993</v>
      </c>
      <c r="D364" s="71">
        <v>0</v>
      </c>
      <c r="E364" s="71">
        <v>0</v>
      </c>
      <c r="F364" s="71">
        <v>1.42</v>
      </c>
      <c r="G364" s="71">
        <v>23.752999999999997</v>
      </c>
      <c r="H364" s="71">
        <v>1.339</v>
      </c>
      <c r="I364" s="71">
        <v>0</v>
      </c>
      <c r="J364" s="71">
        <v>4.0350000000000001</v>
      </c>
      <c r="K364" s="71">
        <v>0</v>
      </c>
      <c r="L364" s="71">
        <v>0</v>
      </c>
      <c r="M364" s="71">
        <v>0.73899999999999999</v>
      </c>
      <c r="N364" s="71">
        <v>0.29799999999999999</v>
      </c>
      <c r="O364" s="71">
        <v>0</v>
      </c>
      <c r="P364" s="71">
        <v>17.831</v>
      </c>
      <c r="Q364" s="71">
        <v>27.434999999999999</v>
      </c>
      <c r="R364" s="71">
        <v>340.7</v>
      </c>
      <c r="S364" s="71">
        <v>44.258999999999993</v>
      </c>
      <c r="T364" s="71">
        <v>31.084</v>
      </c>
    </row>
    <row r="365" spans="1:20">
      <c r="A365" s="71" t="s">
        <v>7734</v>
      </c>
      <c r="B365" s="71" t="s">
        <v>1267</v>
      </c>
      <c r="C365" s="71">
        <v>5851.8239999999996</v>
      </c>
      <c r="D365" s="71">
        <v>0.41799999999999998</v>
      </c>
      <c r="E365" s="71">
        <v>0</v>
      </c>
      <c r="F365" s="71">
        <v>10.119999999999999</v>
      </c>
      <c r="G365" s="71">
        <v>273.89099999999996</v>
      </c>
      <c r="H365" s="71">
        <v>37.128999999999998</v>
      </c>
      <c r="I365" s="71">
        <v>0</v>
      </c>
      <c r="J365" s="71">
        <v>0</v>
      </c>
      <c r="K365" s="71">
        <v>0</v>
      </c>
      <c r="L365" s="71">
        <v>0</v>
      </c>
      <c r="M365" s="71">
        <v>7.5169999999999995</v>
      </c>
      <c r="N365" s="71">
        <v>2.1159999999999997</v>
      </c>
      <c r="O365" s="71">
        <v>3.6369999999999996</v>
      </c>
      <c r="P365" s="71">
        <v>20.192999999999998</v>
      </c>
      <c r="Q365" s="71">
        <v>190.98899999999998</v>
      </c>
      <c r="R365" s="71">
        <v>1152.7</v>
      </c>
      <c r="S365" s="71">
        <v>180.095</v>
      </c>
      <c r="T365" s="71">
        <v>292.59099999999995</v>
      </c>
    </row>
    <row r="366" spans="1:20">
      <c r="A366" s="71" t="s">
        <v>915</v>
      </c>
      <c r="B366" s="71" t="s">
        <v>1268</v>
      </c>
      <c r="C366" s="71">
        <v>200.58799999999999</v>
      </c>
      <c r="D366" s="71">
        <v>0</v>
      </c>
      <c r="E366" s="71">
        <v>0</v>
      </c>
      <c r="F366" s="71">
        <v>0.46799999999999997</v>
      </c>
      <c r="G366" s="71">
        <v>7.7829999999999995</v>
      </c>
      <c r="H366" s="71">
        <v>0</v>
      </c>
      <c r="I366" s="71">
        <v>0</v>
      </c>
      <c r="J366" s="71">
        <v>3.069</v>
      </c>
      <c r="K366" s="71">
        <v>0</v>
      </c>
      <c r="L366" s="71">
        <v>0</v>
      </c>
      <c r="M366" s="71">
        <v>0.37</v>
      </c>
      <c r="N366" s="71">
        <v>0.20399999999999999</v>
      </c>
      <c r="O366" s="71">
        <v>0</v>
      </c>
      <c r="P366" s="71">
        <v>11.696999999999999</v>
      </c>
      <c r="Q366" s="71">
        <v>8.1609999999999996</v>
      </c>
      <c r="R366" s="71">
        <v>161.5</v>
      </c>
      <c r="S366" s="71">
        <v>7.3139999999999992</v>
      </c>
      <c r="T366" s="71">
        <v>8</v>
      </c>
    </row>
    <row r="367" spans="1:20">
      <c r="A367" s="71" t="s">
        <v>1978</v>
      </c>
      <c r="B367" s="71" t="s">
        <v>3628</v>
      </c>
      <c r="C367" s="71">
        <v>1049.7650000000001</v>
      </c>
      <c r="D367" s="71">
        <v>0</v>
      </c>
      <c r="E367" s="71">
        <v>0</v>
      </c>
      <c r="F367" s="71">
        <v>2.1459999999999999</v>
      </c>
      <c r="G367" s="71">
        <v>49.814999999999998</v>
      </c>
      <c r="H367" s="71">
        <v>0</v>
      </c>
      <c r="I367" s="71">
        <v>0</v>
      </c>
      <c r="J367" s="71">
        <v>3.0289999999999999</v>
      </c>
      <c r="K367" s="71">
        <v>0</v>
      </c>
      <c r="L367" s="71">
        <v>0</v>
      </c>
      <c r="M367" s="71">
        <v>3.5589999999999997</v>
      </c>
      <c r="N367" s="71">
        <v>0.87</v>
      </c>
      <c r="O367" s="71">
        <v>0</v>
      </c>
      <c r="P367" s="71">
        <v>16.456999999999997</v>
      </c>
      <c r="Q367" s="71">
        <v>59.382999999999996</v>
      </c>
      <c r="R367" s="71">
        <v>441.8</v>
      </c>
      <c r="S367" s="71">
        <v>55.602999999999994</v>
      </c>
      <c r="T367" s="71">
        <v>52.488</v>
      </c>
    </row>
    <row r="368" spans="1:20">
      <c r="A368" s="71" t="s">
        <v>2767</v>
      </c>
      <c r="B368" s="71" t="s">
        <v>357</v>
      </c>
      <c r="C368" s="71">
        <v>4798.3119999999999</v>
      </c>
      <c r="D368" s="71">
        <v>0.64</v>
      </c>
      <c r="E368" s="71">
        <v>0</v>
      </c>
      <c r="F368" s="71">
        <v>8.125</v>
      </c>
      <c r="G368" s="71">
        <v>249.39099999999999</v>
      </c>
      <c r="H368" s="71">
        <v>42.907999999999994</v>
      </c>
      <c r="I368" s="71">
        <v>0</v>
      </c>
      <c r="J368" s="71">
        <v>0.34799999999999998</v>
      </c>
      <c r="K368" s="71">
        <v>0</v>
      </c>
      <c r="L368" s="71">
        <v>0</v>
      </c>
      <c r="M368" s="71">
        <v>8.1839999999999993</v>
      </c>
      <c r="N368" s="71">
        <v>0</v>
      </c>
      <c r="O368" s="71">
        <v>14.488</v>
      </c>
      <c r="P368" s="71">
        <v>9.31</v>
      </c>
      <c r="Q368" s="71">
        <v>244.208</v>
      </c>
      <c r="R368" s="71">
        <v>1241.8</v>
      </c>
      <c r="S368" s="71">
        <v>186.27799999999999</v>
      </c>
      <c r="T368" s="71">
        <v>239.91559999999998</v>
      </c>
    </row>
    <row r="369" spans="1:20">
      <c r="A369" s="71" t="s">
        <v>3555</v>
      </c>
      <c r="B369" s="71" t="s">
        <v>4063</v>
      </c>
      <c r="C369" s="71">
        <v>5871.7629999999999</v>
      </c>
      <c r="D369" s="71">
        <v>0.41099999999999998</v>
      </c>
      <c r="E369" s="71">
        <v>0</v>
      </c>
      <c r="F369" s="71">
        <v>12.385999999999999</v>
      </c>
      <c r="G369" s="71">
        <v>161.27500000000001</v>
      </c>
      <c r="H369" s="71">
        <v>39.730999999999995</v>
      </c>
      <c r="I369" s="71">
        <v>0</v>
      </c>
      <c r="J369" s="71">
        <v>0</v>
      </c>
      <c r="K369" s="71">
        <v>0</v>
      </c>
      <c r="L369" s="71">
        <v>0</v>
      </c>
      <c r="M369" s="71">
        <v>12.008999999999999</v>
      </c>
      <c r="N369" s="71">
        <v>2.9039999999999999</v>
      </c>
      <c r="O369" s="71">
        <v>20.637999999999998</v>
      </c>
      <c r="P369" s="71">
        <v>127.06699999999999</v>
      </c>
      <c r="Q369" s="71">
        <v>399.57599999999996</v>
      </c>
      <c r="R369" s="71">
        <v>2616</v>
      </c>
      <c r="S369" s="71">
        <v>345.45499999999998</v>
      </c>
      <c r="T369" s="71">
        <v>293.58799999999997</v>
      </c>
    </row>
    <row r="370" spans="1:20">
      <c r="A370" s="71" t="s">
        <v>3094</v>
      </c>
      <c r="B370" s="71" t="s">
        <v>6072</v>
      </c>
      <c r="C370" s="71">
        <v>919.85</v>
      </c>
      <c r="D370" s="71">
        <v>0.04</v>
      </c>
      <c r="E370" s="71">
        <v>0</v>
      </c>
      <c r="F370" s="71">
        <v>1.3959999999999999</v>
      </c>
      <c r="G370" s="71">
        <v>46.186</v>
      </c>
      <c r="H370" s="71">
        <v>0.39299999999999996</v>
      </c>
      <c r="I370" s="71">
        <v>0</v>
      </c>
      <c r="J370" s="71">
        <v>2.5059999999999998</v>
      </c>
      <c r="K370" s="71">
        <v>0</v>
      </c>
      <c r="L370" s="71">
        <v>0</v>
      </c>
      <c r="M370" s="71">
        <v>1.0189999999999999</v>
      </c>
      <c r="N370" s="71">
        <v>0.24199999999999999</v>
      </c>
      <c r="O370" s="71">
        <v>0</v>
      </c>
      <c r="P370" s="71">
        <v>51.945</v>
      </c>
      <c r="Q370" s="71">
        <v>43.170999999999999</v>
      </c>
      <c r="R370" s="71">
        <v>349.7</v>
      </c>
      <c r="S370" s="71">
        <v>62.342999999999996</v>
      </c>
      <c r="T370" s="71">
        <v>45.9925</v>
      </c>
    </row>
    <row r="371" spans="1:20">
      <c r="A371" s="71" t="s">
        <v>1781</v>
      </c>
      <c r="B371" s="71" t="s">
        <v>3288</v>
      </c>
      <c r="C371" s="71">
        <v>255.279</v>
      </c>
      <c r="D371" s="71">
        <v>0</v>
      </c>
      <c r="E371" s="71">
        <v>0</v>
      </c>
      <c r="F371" s="71">
        <v>0.11399999999999999</v>
      </c>
      <c r="G371" s="71">
        <v>0</v>
      </c>
      <c r="H371" s="71">
        <v>0</v>
      </c>
      <c r="I371" s="71">
        <v>0</v>
      </c>
      <c r="J371" s="71">
        <v>0</v>
      </c>
      <c r="K371" s="71">
        <v>0</v>
      </c>
      <c r="L371" s="71">
        <v>0</v>
      </c>
      <c r="M371" s="71">
        <v>0</v>
      </c>
      <c r="N371" s="71">
        <v>0</v>
      </c>
      <c r="O371" s="71">
        <v>0</v>
      </c>
      <c r="P371" s="71">
        <v>0</v>
      </c>
      <c r="Q371" s="71">
        <v>0</v>
      </c>
      <c r="R371" s="71">
        <v>93.8</v>
      </c>
      <c r="S371" s="71">
        <v>34.706999999999994</v>
      </c>
      <c r="T371" s="71">
        <v>0</v>
      </c>
    </row>
    <row r="372" spans="1:20">
      <c r="A372" s="71" t="s">
        <v>3289</v>
      </c>
      <c r="B372" s="71" t="s">
        <v>3290</v>
      </c>
      <c r="C372" s="71">
        <v>187.33699999999999</v>
      </c>
      <c r="D372" s="71">
        <v>1.7999999999999999E-2</v>
      </c>
      <c r="E372" s="71">
        <v>0</v>
      </c>
      <c r="F372" s="71">
        <v>5.0000000000000001E-3</v>
      </c>
      <c r="G372" s="71">
        <v>2.492</v>
      </c>
      <c r="H372" s="71">
        <v>0</v>
      </c>
      <c r="I372" s="71">
        <v>0</v>
      </c>
      <c r="J372" s="71">
        <v>0</v>
      </c>
      <c r="K372" s="71">
        <v>0</v>
      </c>
      <c r="L372" s="71">
        <v>0</v>
      </c>
      <c r="M372" s="71">
        <v>0</v>
      </c>
      <c r="N372" s="71">
        <v>0.83399999999999996</v>
      </c>
      <c r="O372" s="71">
        <v>0</v>
      </c>
      <c r="P372" s="71">
        <v>0</v>
      </c>
      <c r="Q372" s="71">
        <v>21.198999999999998</v>
      </c>
      <c r="R372" s="71">
        <v>167.7</v>
      </c>
      <c r="S372" s="71">
        <v>9.2309999999999999</v>
      </c>
      <c r="T372" s="71">
        <v>0</v>
      </c>
    </row>
    <row r="373" spans="1:20">
      <c r="A373" s="71" t="s">
        <v>3291</v>
      </c>
      <c r="B373" s="71" t="s">
        <v>3292</v>
      </c>
      <c r="C373" s="71">
        <v>388.53199999999998</v>
      </c>
      <c r="D373" s="71">
        <v>0.93799999999999994</v>
      </c>
      <c r="E373" s="71">
        <v>0</v>
      </c>
      <c r="F373" s="71">
        <v>1.2999999999999999E-2</v>
      </c>
      <c r="G373" s="71">
        <v>6.0779999999999994</v>
      </c>
      <c r="H373" s="71">
        <v>0</v>
      </c>
      <c r="I373" s="71">
        <v>0</v>
      </c>
      <c r="J373" s="71">
        <v>0</v>
      </c>
      <c r="K373" s="71">
        <v>0</v>
      </c>
      <c r="L373" s="71">
        <v>0</v>
      </c>
      <c r="M373" s="71">
        <v>0</v>
      </c>
      <c r="N373" s="71">
        <v>4.3859999999999992</v>
      </c>
      <c r="O373" s="71">
        <v>0</v>
      </c>
      <c r="P373" s="71">
        <v>0</v>
      </c>
      <c r="Q373" s="71">
        <v>24.904</v>
      </c>
      <c r="R373" s="71">
        <v>335.2</v>
      </c>
      <c r="S373" s="71">
        <v>14.168999999999999</v>
      </c>
      <c r="T373" s="71">
        <v>0</v>
      </c>
    </row>
    <row r="374" spans="1:20">
      <c r="A374" s="71" t="s">
        <v>3293</v>
      </c>
      <c r="B374" s="71" t="s">
        <v>3294</v>
      </c>
      <c r="C374" s="71">
        <v>426.29199999999997</v>
      </c>
      <c r="D374" s="71">
        <v>0</v>
      </c>
      <c r="E374" s="71">
        <v>0</v>
      </c>
      <c r="F374" s="71">
        <v>0.309</v>
      </c>
      <c r="G374" s="71">
        <v>4.8979999999999997</v>
      </c>
      <c r="H374" s="71">
        <v>0</v>
      </c>
      <c r="I374" s="71">
        <v>0</v>
      </c>
      <c r="J374" s="71">
        <v>0</v>
      </c>
      <c r="K374" s="71">
        <v>0</v>
      </c>
      <c r="L374" s="71">
        <v>0</v>
      </c>
      <c r="M374" s="71">
        <v>0</v>
      </c>
      <c r="N374" s="71">
        <v>0</v>
      </c>
      <c r="O374" s="71">
        <v>0</v>
      </c>
      <c r="P374" s="71">
        <v>0</v>
      </c>
      <c r="Q374" s="71">
        <v>0</v>
      </c>
      <c r="R374" s="71">
        <v>482.3</v>
      </c>
      <c r="S374" s="71">
        <v>130.00599999999997</v>
      </c>
      <c r="T374" s="71">
        <v>6</v>
      </c>
    </row>
    <row r="375" spans="1:20">
      <c r="A375" s="71" t="s">
        <v>741</v>
      </c>
      <c r="B375" s="71" t="s">
        <v>6116</v>
      </c>
      <c r="C375" s="71">
        <v>8758.3869999999988</v>
      </c>
      <c r="D375" s="71">
        <v>1.3149999999999999</v>
      </c>
      <c r="E375" s="71">
        <v>0</v>
      </c>
      <c r="F375" s="71">
        <v>15.441999999999998</v>
      </c>
      <c r="G375" s="71">
        <v>195.42599999999999</v>
      </c>
      <c r="H375" s="71">
        <v>50.901999999999994</v>
      </c>
      <c r="I375" s="71">
        <v>0</v>
      </c>
      <c r="J375" s="71">
        <v>0.45299999999999996</v>
      </c>
      <c r="K375" s="71">
        <v>0</v>
      </c>
      <c r="L375" s="71">
        <v>0</v>
      </c>
      <c r="M375" s="71">
        <v>0.11</v>
      </c>
      <c r="N375" s="71">
        <v>4.9789999999999992</v>
      </c>
      <c r="O375" s="71">
        <v>0</v>
      </c>
      <c r="P375" s="71">
        <v>44.106999999999999</v>
      </c>
      <c r="Q375" s="71">
        <v>334.83499999999998</v>
      </c>
      <c r="R375" s="71">
        <v>8227</v>
      </c>
      <c r="S375" s="71">
        <v>3088.328</v>
      </c>
      <c r="T375" s="71">
        <v>437.91899999999998</v>
      </c>
    </row>
    <row r="376" spans="1:20">
      <c r="A376" s="71" t="s">
        <v>4035</v>
      </c>
      <c r="B376" s="71" t="s">
        <v>1269</v>
      </c>
      <c r="C376" s="71">
        <v>58781.668999999994</v>
      </c>
      <c r="D376" s="71">
        <v>5.8079999999999998</v>
      </c>
      <c r="E376" s="71">
        <v>0.11699999999999999</v>
      </c>
      <c r="F376" s="71">
        <v>111.60299999999999</v>
      </c>
      <c r="G376" s="71">
        <v>701.45500000000004</v>
      </c>
      <c r="H376" s="71">
        <v>443.10199999999998</v>
      </c>
      <c r="I376" s="71">
        <v>0</v>
      </c>
      <c r="J376" s="71">
        <v>0.65099999999999991</v>
      </c>
      <c r="K376" s="71">
        <v>0</v>
      </c>
      <c r="L376" s="71">
        <v>0</v>
      </c>
      <c r="M376" s="71">
        <v>120.19199999999999</v>
      </c>
      <c r="N376" s="71">
        <v>31.861999999999998</v>
      </c>
      <c r="O376" s="71">
        <v>45.491</v>
      </c>
      <c r="P376" s="71">
        <v>996.7639999999999</v>
      </c>
      <c r="Q376" s="71">
        <v>2466.3869999999997</v>
      </c>
      <c r="R376" s="71">
        <v>44531.5</v>
      </c>
      <c r="S376" s="71">
        <v>12510.664999999999</v>
      </c>
      <c r="T376" s="71">
        <v>2939.0829999999996</v>
      </c>
    </row>
    <row r="377" spans="1:20">
      <c r="A377" s="71" t="s">
        <v>1524</v>
      </c>
      <c r="B377" s="71" t="s">
        <v>1930</v>
      </c>
      <c r="C377" s="71">
        <v>2469.17</v>
      </c>
      <c r="D377" s="71">
        <v>0</v>
      </c>
      <c r="E377" s="71">
        <v>0</v>
      </c>
      <c r="F377" s="71">
        <v>2.1029999999999998</v>
      </c>
      <c r="G377" s="71">
        <v>52.792999999999999</v>
      </c>
      <c r="H377" s="71">
        <v>22.728999999999999</v>
      </c>
      <c r="I377" s="71">
        <v>0</v>
      </c>
      <c r="J377" s="71">
        <v>0</v>
      </c>
      <c r="K377" s="71">
        <v>0</v>
      </c>
      <c r="L377" s="71">
        <v>0</v>
      </c>
      <c r="M377" s="71">
        <v>0</v>
      </c>
      <c r="N377" s="71">
        <v>2.6369999999999996</v>
      </c>
      <c r="O377" s="71">
        <v>1.1139999999999999</v>
      </c>
      <c r="P377" s="71">
        <v>44.833999999999996</v>
      </c>
      <c r="Q377" s="71">
        <v>110.672</v>
      </c>
      <c r="R377" s="71">
        <v>2569.1</v>
      </c>
      <c r="S377" s="71">
        <v>734.82099999999991</v>
      </c>
      <c r="T377" s="71">
        <v>123.45849999999999</v>
      </c>
    </row>
    <row r="378" spans="1:20">
      <c r="A378" s="71" t="s">
        <v>2388</v>
      </c>
      <c r="B378" s="71" t="s">
        <v>382</v>
      </c>
      <c r="C378" s="71">
        <v>3523.7869999999998</v>
      </c>
      <c r="D378" s="71">
        <v>0.32699999999999996</v>
      </c>
      <c r="E378" s="71">
        <v>0</v>
      </c>
      <c r="F378" s="71">
        <v>7.8129999999999997</v>
      </c>
      <c r="G378" s="71">
        <v>94.527999999999992</v>
      </c>
      <c r="H378" s="71">
        <v>22.841999999999999</v>
      </c>
      <c r="I378" s="71">
        <v>0</v>
      </c>
      <c r="J378" s="71">
        <v>0</v>
      </c>
      <c r="K378" s="71">
        <v>0</v>
      </c>
      <c r="L378" s="71">
        <v>0</v>
      </c>
      <c r="M378" s="71">
        <v>0</v>
      </c>
      <c r="N378" s="71">
        <v>2.8059999999999996</v>
      </c>
      <c r="O378" s="71">
        <v>0</v>
      </c>
      <c r="P378" s="71">
        <v>55.120999999999995</v>
      </c>
      <c r="Q378" s="71">
        <v>148.53799999999998</v>
      </c>
      <c r="R378" s="71">
        <v>3701.8</v>
      </c>
      <c r="S378" s="71">
        <v>1605.7259999999999</v>
      </c>
      <c r="T378" s="71">
        <v>155</v>
      </c>
    </row>
    <row r="379" spans="1:20">
      <c r="A379" s="71" t="s">
        <v>863</v>
      </c>
      <c r="B379" s="71" t="s">
        <v>2010</v>
      </c>
      <c r="C379" s="71">
        <v>42818.27</v>
      </c>
      <c r="D379" s="71">
        <v>6.7939999999999996</v>
      </c>
      <c r="E379" s="71">
        <v>0</v>
      </c>
      <c r="F379" s="71">
        <v>86.581999999999994</v>
      </c>
      <c r="G379" s="71">
        <v>1191.107</v>
      </c>
      <c r="H379" s="71">
        <v>380.06199999999995</v>
      </c>
      <c r="I379" s="71">
        <v>0</v>
      </c>
      <c r="J379" s="71">
        <v>0</v>
      </c>
      <c r="K379" s="71">
        <v>3.5999999999999997E-2</v>
      </c>
      <c r="L379" s="71">
        <v>0</v>
      </c>
      <c r="M379" s="71">
        <v>60.328999999999994</v>
      </c>
      <c r="N379" s="71">
        <v>23.646999999999998</v>
      </c>
      <c r="O379" s="71">
        <v>14.502999999999998</v>
      </c>
      <c r="P379" s="71">
        <v>474.90299999999996</v>
      </c>
      <c r="Q379" s="71">
        <v>1755.4779999999998</v>
      </c>
      <c r="R379" s="71">
        <v>37900.199999999997</v>
      </c>
      <c r="S379" s="71">
        <v>10560.144999999999</v>
      </c>
      <c r="T379" s="71">
        <v>2140.9134999999997</v>
      </c>
    </row>
    <row r="380" spans="1:20">
      <c r="A380" s="71" t="s">
        <v>268</v>
      </c>
      <c r="B380" s="71" t="s">
        <v>7685</v>
      </c>
      <c r="C380" s="71">
        <v>724.86399999999992</v>
      </c>
      <c r="D380" s="71">
        <v>1.2999999999999999E-2</v>
      </c>
      <c r="E380" s="71">
        <v>0</v>
      </c>
      <c r="F380" s="71">
        <v>1.62</v>
      </c>
      <c r="G380" s="71">
        <v>17.895</v>
      </c>
      <c r="H380" s="71">
        <v>2.5329999999999999</v>
      </c>
      <c r="I380" s="71">
        <v>0</v>
      </c>
      <c r="J380" s="71">
        <v>0</v>
      </c>
      <c r="K380" s="71">
        <v>0</v>
      </c>
      <c r="L380" s="71">
        <v>0</v>
      </c>
      <c r="M380" s="71">
        <v>0</v>
      </c>
      <c r="N380" s="71">
        <v>0.38099999999999995</v>
      </c>
      <c r="O380" s="71">
        <v>0</v>
      </c>
      <c r="P380" s="71">
        <v>24.382999999999999</v>
      </c>
      <c r="Q380" s="71">
        <v>17.262999999999998</v>
      </c>
      <c r="R380" s="71">
        <v>727.3</v>
      </c>
      <c r="S380" s="71">
        <v>159.53</v>
      </c>
      <c r="T380" s="71">
        <v>29</v>
      </c>
    </row>
    <row r="381" spans="1:20">
      <c r="A381" s="71" t="s">
        <v>981</v>
      </c>
      <c r="B381" s="71" t="s">
        <v>6099</v>
      </c>
      <c r="C381" s="71">
        <v>4821.4549999999999</v>
      </c>
      <c r="D381" s="71">
        <v>1.5429999999999999</v>
      </c>
      <c r="E381" s="71">
        <v>0</v>
      </c>
      <c r="F381" s="71">
        <v>6.2649999999999997</v>
      </c>
      <c r="G381" s="71">
        <v>113.25899999999999</v>
      </c>
      <c r="H381" s="71">
        <v>56.708999999999996</v>
      </c>
      <c r="I381" s="71">
        <v>0</v>
      </c>
      <c r="J381" s="71">
        <v>0</v>
      </c>
      <c r="K381" s="71">
        <v>0</v>
      </c>
      <c r="L381" s="71">
        <v>0</v>
      </c>
      <c r="M381" s="71">
        <v>0.28999999999999998</v>
      </c>
      <c r="N381" s="71">
        <v>3.5139999999999998</v>
      </c>
      <c r="O381" s="71">
        <v>0</v>
      </c>
      <c r="P381" s="71">
        <v>24.632999999999999</v>
      </c>
      <c r="Q381" s="71">
        <v>228.97399999999999</v>
      </c>
      <c r="R381" s="71">
        <v>4415</v>
      </c>
      <c r="S381" s="71">
        <v>1710.48</v>
      </c>
      <c r="T381" s="71">
        <v>241.07274999999998</v>
      </c>
    </row>
    <row r="382" spans="1:20">
      <c r="A382" s="71" t="s">
        <v>2414</v>
      </c>
      <c r="B382" s="71" t="s">
        <v>5367</v>
      </c>
      <c r="C382" s="71">
        <v>1148.7819999999999</v>
      </c>
      <c r="D382" s="71">
        <v>0</v>
      </c>
      <c r="E382" s="71">
        <v>0</v>
      </c>
      <c r="F382" s="71">
        <v>1.3039999999999998</v>
      </c>
      <c r="G382" s="71">
        <v>25.706999999999997</v>
      </c>
      <c r="H382" s="71">
        <v>1.875</v>
      </c>
      <c r="I382" s="71">
        <v>0</v>
      </c>
      <c r="J382" s="71">
        <v>0</v>
      </c>
      <c r="K382" s="71">
        <v>0</v>
      </c>
      <c r="L382" s="71">
        <v>0</v>
      </c>
      <c r="M382" s="71">
        <v>0</v>
      </c>
      <c r="N382" s="71">
        <v>0</v>
      </c>
      <c r="O382" s="71">
        <v>0</v>
      </c>
      <c r="P382" s="71">
        <v>2.6689999999999996</v>
      </c>
      <c r="Q382" s="71">
        <v>31.39</v>
      </c>
      <c r="R382" s="71">
        <v>1171.5</v>
      </c>
      <c r="S382" s="71">
        <v>327.66799999999995</v>
      </c>
      <c r="T382" s="71">
        <v>57.438999999999993</v>
      </c>
    </row>
    <row r="383" spans="1:20">
      <c r="A383" s="71" t="s">
        <v>2401</v>
      </c>
      <c r="B383" s="71" t="s">
        <v>2345</v>
      </c>
      <c r="C383" s="71">
        <v>34335.073999999993</v>
      </c>
      <c r="D383" s="71">
        <v>6.8009999999999993</v>
      </c>
      <c r="E383" s="71">
        <v>0</v>
      </c>
      <c r="F383" s="71">
        <v>66.245999999999995</v>
      </c>
      <c r="G383" s="71">
        <v>804.85</v>
      </c>
      <c r="H383" s="71">
        <v>251.64899999999997</v>
      </c>
      <c r="I383" s="71">
        <v>0</v>
      </c>
      <c r="J383" s="71">
        <v>0</v>
      </c>
      <c r="K383" s="71">
        <v>0</v>
      </c>
      <c r="L383" s="71">
        <v>0</v>
      </c>
      <c r="M383" s="71">
        <v>24.82</v>
      </c>
      <c r="N383" s="71">
        <v>13.686999999999999</v>
      </c>
      <c r="O383" s="71">
        <v>15.937999999999999</v>
      </c>
      <c r="P383" s="71">
        <v>277.78899999999999</v>
      </c>
      <c r="Q383" s="71">
        <v>1493.2279999999998</v>
      </c>
      <c r="R383" s="71">
        <v>26359.8</v>
      </c>
      <c r="S383" s="71">
        <v>7653.7969999999996</v>
      </c>
      <c r="T383" s="71">
        <v>1716.7536999999998</v>
      </c>
    </row>
    <row r="384" spans="1:20">
      <c r="A384" s="71" t="s">
        <v>3295</v>
      </c>
      <c r="B384" s="71" t="s">
        <v>3296</v>
      </c>
      <c r="C384" s="71">
        <v>0</v>
      </c>
      <c r="D384" s="71">
        <v>0</v>
      </c>
      <c r="E384" s="71">
        <v>0</v>
      </c>
      <c r="F384" s="71">
        <v>0</v>
      </c>
      <c r="G384" s="71">
        <v>0</v>
      </c>
      <c r="H384" s="71">
        <v>0</v>
      </c>
      <c r="I384" s="71">
        <v>0</v>
      </c>
      <c r="J384" s="71">
        <v>0</v>
      </c>
      <c r="K384" s="71">
        <v>0</v>
      </c>
      <c r="L384" s="71">
        <v>0</v>
      </c>
      <c r="M384" s="71">
        <v>0</v>
      </c>
      <c r="N384" s="71">
        <v>0</v>
      </c>
      <c r="O384" s="71">
        <v>0</v>
      </c>
      <c r="P384" s="71">
        <v>0</v>
      </c>
      <c r="Q384" s="71">
        <v>0</v>
      </c>
      <c r="R384" s="71">
        <v>0</v>
      </c>
      <c r="S384" s="71">
        <v>0</v>
      </c>
      <c r="T384" s="71">
        <v>0</v>
      </c>
    </row>
    <row r="385" spans="1:20">
      <c r="A385" s="71" t="s">
        <v>3297</v>
      </c>
      <c r="B385" s="71" t="s">
        <v>3298</v>
      </c>
      <c r="C385" s="71">
        <v>63.006999999999998</v>
      </c>
      <c r="D385" s="71">
        <v>0</v>
      </c>
      <c r="E385" s="71">
        <v>0</v>
      </c>
      <c r="F385" s="71">
        <v>0</v>
      </c>
      <c r="G385" s="71">
        <v>0.26799999999999996</v>
      </c>
      <c r="H385" s="71">
        <v>0</v>
      </c>
      <c r="I385" s="71">
        <v>0</v>
      </c>
      <c r="J385" s="71">
        <v>0</v>
      </c>
      <c r="K385" s="71">
        <v>0</v>
      </c>
      <c r="L385" s="71">
        <v>0</v>
      </c>
      <c r="M385" s="71">
        <v>0</v>
      </c>
      <c r="N385" s="71">
        <v>0</v>
      </c>
      <c r="O385" s="71">
        <v>0</v>
      </c>
      <c r="P385" s="71">
        <v>0</v>
      </c>
      <c r="Q385" s="71">
        <v>7.2029999999999994</v>
      </c>
      <c r="R385" s="71">
        <v>35.299999999999997</v>
      </c>
      <c r="S385" s="71">
        <v>4.7529999999999992</v>
      </c>
      <c r="T385" s="71">
        <v>0</v>
      </c>
    </row>
    <row r="386" spans="1:20">
      <c r="A386" s="71" t="s">
        <v>4037</v>
      </c>
      <c r="B386" s="71" t="s">
        <v>1270</v>
      </c>
      <c r="C386" s="71">
        <v>59.091999999999999</v>
      </c>
      <c r="D386" s="71">
        <v>0</v>
      </c>
      <c r="E386" s="71">
        <v>0</v>
      </c>
      <c r="F386" s="71">
        <v>0.06</v>
      </c>
      <c r="G386" s="71">
        <v>1.1709999999999998</v>
      </c>
      <c r="H386" s="71">
        <v>0</v>
      </c>
      <c r="I386" s="71">
        <v>0</v>
      </c>
      <c r="J386" s="71">
        <v>0</v>
      </c>
      <c r="K386" s="71">
        <v>0</v>
      </c>
      <c r="L386" s="71">
        <v>0</v>
      </c>
      <c r="M386" s="71">
        <v>0</v>
      </c>
      <c r="N386" s="71">
        <v>0</v>
      </c>
      <c r="O386" s="71">
        <v>0</v>
      </c>
      <c r="P386" s="71">
        <v>0</v>
      </c>
      <c r="Q386" s="71">
        <v>0</v>
      </c>
      <c r="R386" s="71">
        <v>45.3</v>
      </c>
      <c r="S386" s="71">
        <v>10.821</v>
      </c>
      <c r="T386" s="71">
        <v>1</v>
      </c>
    </row>
    <row r="387" spans="1:20">
      <c r="A387" s="71" t="s">
        <v>2140</v>
      </c>
      <c r="B387" s="71" t="s">
        <v>1271</v>
      </c>
      <c r="C387" s="71">
        <v>1243.8059999999998</v>
      </c>
      <c r="D387" s="71">
        <v>0</v>
      </c>
      <c r="E387" s="71">
        <v>0</v>
      </c>
      <c r="F387" s="71">
        <v>1.9209999999999998</v>
      </c>
      <c r="G387" s="71">
        <v>30.748999999999999</v>
      </c>
      <c r="H387" s="71">
        <v>6.5839999999999996</v>
      </c>
      <c r="I387" s="71">
        <v>0</v>
      </c>
      <c r="J387" s="71">
        <v>0</v>
      </c>
      <c r="K387" s="71">
        <v>0</v>
      </c>
      <c r="L387" s="71">
        <v>0</v>
      </c>
      <c r="M387" s="71">
        <v>0</v>
      </c>
      <c r="N387" s="71">
        <v>5.0000000000000001E-3</v>
      </c>
      <c r="O387" s="71">
        <v>0</v>
      </c>
      <c r="P387" s="71">
        <v>34.122</v>
      </c>
      <c r="Q387" s="71">
        <v>49.702999999999996</v>
      </c>
      <c r="R387" s="71">
        <v>953.3</v>
      </c>
      <c r="S387" s="71">
        <v>194.988</v>
      </c>
      <c r="T387" s="71">
        <v>62.19</v>
      </c>
    </row>
    <row r="388" spans="1:20">
      <c r="A388" s="71" t="s">
        <v>2408</v>
      </c>
      <c r="B388" s="71" t="s">
        <v>2355</v>
      </c>
      <c r="C388" s="71">
        <v>3281.377</v>
      </c>
      <c r="D388" s="71">
        <v>0.11099999999999999</v>
      </c>
      <c r="E388" s="71">
        <v>0</v>
      </c>
      <c r="F388" s="71">
        <v>5.1139999999999999</v>
      </c>
      <c r="G388" s="71">
        <v>74.186999999999998</v>
      </c>
      <c r="H388" s="71">
        <v>16.422999999999998</v>
      </c>
      <c r="I388" s="71">
        <v>0</v>
      </c>
      <c r="J388" s="71">
        <v>0</v>
      </c>
      <c r="K388" s="71">
        <v>0</v>
      </c>
      <c r="L388" s="71">
        <v>0</v>
      </c>
      <c r="M388" s="71">
        <v>0</v>
      </c>
      <c r="N388" s="71">
        <v>1.0589999999999999</v>
      </c>
      <c r="O388" s="71">
        <v>7.1679999999999993</v>
      </c>
      <c r="P388" s="71">
        <v>51.494999999999997</v>
      </c>
      <c r="Q388" s="71">
        <v>198.56</v>
      </c>
      <c r="R388" s="71">
        <v>1432.8</v>
      </c>
      <c r="S388" s="71">
        <v>157.52699999999999</v>
      </c>
      <c r="T388" s="71">
        <v>164.06884999999997</v>
      </c>
    </row>
    <row r="389" spans="1:20">
      <c r="A389" s="71" t="s">
        <v>2700</v>
      </c>
      <c r="B389" s="71" t="s">
        <v>1272</v>
      </c>
      <c r="C389" s="71">
        <v>74.260000000000005</v>
      </c>
      <c r="D389" s="71">
        <v>0</v>
      </c>
      <c r="E389" s="71">
        <v>0</v>
      </c>
      <c r="F389" s="71">
        <v>8.7999999999999995E-2</v>
      </c>
      <c r="G389" s="71">
        <v>0.90799999999999992</v>
      </c>
      <c r="H389" s="71">
        <v>0</v>
      </c>
      <c r="I389" s="71">
        <v>0</v>
      </c>
      <c r="J389" s="71">
        <v>0</v>
      </c>
      <c r="K389" s="71">
        <v>0</v>
      </c>
      <c r="L389" s="71">
        <v>0</v>
      </c>
      <c r="M389" s="71">
        <v>0</v>
      </c>
      <c r="N389" s="71">
        <v>0</v>
      </c>
      <c r="O389" s="71">
        <v>0</v>
      </c>
      <c r="P389" s="71">
        <v>0.97799999999999998</v>
      </c>
      <c r="Q389" s="71">
        <v>0</v>
      </c>
      <c r="R389" s="71">
        <v>18.2</v>
      </c>
      <c r="S389" s="71">
        <v>0.98899999999999999</v>
      </c>
      <c r="T389" s="71">
        <v>3</v>
      </c>
    </row>
    <row r="390" spans="1:20">
      <c r="A390" s="71" t="s">
        <v>2702</v>
      </c>
      <c r="B390" s="71" t="s">
        <v>1273</v>
      </c>
      <c r="C390" s="71">
        <v>189.09399999999999</v>
      </c>
      <c r="D390" s="71">
        <v>0</v>
      </c>
      <c r="E390" s="71">
        <v>0</v>
      </c>
      <c r="F390" s="71">
        <v>0.27299999999999996</v>
      </c>
      <c r="G390" s="71">
        <v>6.4629999999999992</v>
      </c>
      <c r="H390" s="71">
        <v>1.1779999999999999</v>
      </c>
      <c r="I390" s="71">
        <v>0</v>
      </c>
      <c r="J390" s="71">
        <v>0.10199999999999999</v>
      </c>
      <c r="K390" s="71">
        <v>0</v>
      </c>
      <c r="L390" s="71">
        <v>0</v>
      </c>
      <c r="M390" s="71">
        <v>0.56399999999999995</v>
      </c>
      <c r="N390" s="71">
        <v>0</v>
      </c>
      <c r="O390" s="71">
        <v>0</v>
      </c>
      <c r="P390" s="71">
        <v>4.7639999999999993</v>
      </c>
      <c r="Q390" s="71">
        <v>10.918999999999999</v>
      </c>
      <c r="R390" s="71">
        <v>86.5</v>
      </c>
      <c r="S390" s="71">
        <v>22.956999999999997</v>
      </c>
      <c r="T390" s="71">
        <v>8</v>
      </c>
    </row>
    <row r="391" spans="1:20">
      <c r="A391" s="71" t="s">
        <v>2828</v>
      </c>
      <c r="B391" s="71" t="s">
        <v>192</v>
      </c>
      <c r="C391" s="71">
        <v>234.81</v>
      </c>
      <c r="D391" s="71">
        <v>0</v>
      </c>
      <c r="E391" s="71">
        <v>0</v>
      </c>
      <c r="F391" s="71">
        <v>0.184</v>
      </c>
      <c r="G391" s="71">
        <v>7.6119999999999992</v>
      </c>
      <c r="H391" s="71">
        <v>0</v>
      </c>
      <c r="I391" s="71">
        <v>0</v>
      </c>
      <c r="J391" s="71">
        <v>0.67799999999999994</v>
      </c>
      <c r="K391" s="71">
        <v>0</v>
      </c>
      <c r="L391" s="71">
        <v>0</v>
      </c>
      <c r="M391" s="71">
        <v>0</v>
      </c>
      <c r="N391" s="71">
        <v>0</v>
      </c>
      <c r="O391" s="71">
        <v>0</v>
      </c>
      <c r="P391" s="71">
        <v>0.184</v>
      </c>
      <c r="Q391" s="71">
        <v>6.54</v>
      </c>
      <c r="R391" s="71">
        <v>175.2</v>
      </c>
      <c r="S391" s="71">
        <v>43.833999999999996</v>
      </c>
      <c r="T391" s="71">
        <v>11.740499999999999</v>
      </c>
    </row>
    <row r="392" spans="1:20">
      <c r="A392" s="71" t="s">
        <v>2704</v>
      </c>
      <c r="B392" s="71" t="s">
        <v>1274</v>
      </c>
      <c r="C392" s="71">
        <v>93.918999999999997</v>
      </c>
      <c r="D392" s="71">
        <v>0</v>
      </c>
      <c r="E392" s="71">
        <v>0</v>
      </c>
      <c r="F392" s="71">
        <v>0.14199999999999999</v>
      </c>
      <c r="G392" s="71">
        <v>1.5229999999999999</v>
      </c>
      <c r="H392" s="71">
        <v>0</v>
      </c>
      <c r="I392" s="71">
        <v>0</v>
      </c>
      <c r="J392" s="71">
        <v>0</v>
      </c>
      <c r="K392" s="71">
        <v>0</v>
      </c>
      <c r="L392" s="71">
        <v>0</v>
      </c>
      <c r="M392" s="71">
        <v>0</v>
      </c>
      <c r="N392" s="71">
        <v>0</v>
      </c>
      <c r="O392" s="71">
        <v>0</v>
      </c>
      <c r="P392" s="71">
        <v>0</v>
      </c>
      <c r="Q392" s="71">
        <v>0</v>
      </c>
      <c r="R392" s="71">
        <v>51</v>
      </c>
      <c r="S392" s="71">
        <v>0</v>
      </c>
      <c r="T392" s="71">
        <v>4.695949999999999</v>
      </c>
    </row>
    <row r="393" spans="1:20">
      <c r="A393" s="71" t="s">
        <v>2706</v>
      </c>
      <c r="B393" s="71" t="s">
        <v>1275</v>
      </c>
      <c r="C393" s="71">
        <v>408.75799999999998</v>
      </c>
      <c r="D393" s="71">
        <v>3.6999999999999998E-2</v>
      </c>
      <c r="E393" s="71">
        <v>0</v>
      </c>
      <c r="F393" s="71">
        <v>0.68799999999999994</v>
      </c>
      <c r="G393" s="71">
        <v>15.805</v>
      </c>
      <c r="H393" s="71">
        <v>0</v>
      </c>
      <c r="I393" s="71">
        <v>0</v>
      </c>
      <c r="J393" s="71">
        <v>0.28399999999999997</v>
      </c>
      <c r="K393" s="71">
        <v>0</v>
      </c>
      <c r="L393" s="71">
        <v>0</v>
      </c>
      <c r="M393" s="71">
        <v>2.33</v>
      </c>
      <c r="N393" s="71">
        <v>0</v>
      </c>
      <c r="O393" s="71">
        <v>0</v>
      </c>
      <c r="P393" s="71">
        <v>14.279</v>
      </c>
      <c r="Q393" s="71">
        <v>36.572999999999993</v>
      </c>
      <c r="R393" s="71">
        <v>368</v>
      </c>
      <c r="S393" s="71">
        <v>99.644999999999996</v>
      </c>
      <c r="T393" s="71">
        <v>20.437899999999996</v>
      </c>
    </row>
    <row r="394" spans="1:20">
      <c r="A394" s="71" t="s">
        <v>6162</v>
      </c>
      <c r="B394" s="71" t="s">
        <v>6066</v>
      </c>
      <c r="C394" s="71">
        <v>1218.4059999999999</v>
      </c>
      <c r="D394" s="71">
        <v>0</v>
      </c>
      <c r="E394" s="71">
        <v>0</v>
      </c>
      <c r="F394" s="71">
        <v>3.1509999999999998</v>
      </c>
      <c r="G394" s="71">
        <v>30.440999999999999</v>
      </c>
      <c r="H394" s="71">
        <v>12.555999999999999</v>
      </c>
      <c r="I394" s="71">
        <v>0</v>
      </c>
      <c r="J394" s="71">
        <v>3.6159999999999997</v>
      </c>
      <c r="K394" s="71">
        <v>0</v>
      </c>
      <c r="L394" s="71">
        <v>0</v>
      </c>
      <c r="M394" s="71">
        <v>13.831999999999999</v>
      </c>
      <c r="N394" s="71">
        <v>0.20899999999999999</v>
      </c>
      <c r="O394" s="71">
        <v>0</v>
      </c>
      <c r="P394" s="71">
        <v>48.536999999999999</v>
      </c>
      <c r="Q394" s="71">
        <v>78.405000000000001</v>
      </c>
      <c r="R394" s="71">
        <v>1076.5</v>
      </c>
      <c r="S394" s="71">
        <v>97.282999999999987</v>
      </c>
      <c r="T394" s="71">
        <v>23</v>
      </c>
    </row>
    <row r="395" spans="1:20">
      <c r="A395" s="71" t="s">
        <v>967</v>
      </c>
      <c r="B395" s="71" t="s">
        <v>4068</v>
      </c>
      <c r="C395" s="71">
        <v>136.01499999999999</v>
      </c>
      <c r="D395" s="71">
        <v>0</v>
      </c>
      <c r="E395" s="71">
        <v>0</v>
      </c>
      <c r="F395" s="71">
        <v>0.17</v>
      </c>
      <c r="G395" s="71">
        <v>0.56499999999999995</v>
      </c>
      <c r="H395" s="71">
        <v>0</v>
      </c>
      <c r="I395" s="71">
        <v>0</v>
      </c>
      <c r="J395" s="71">
        <v>0</v>
      </c>
      <c r="K395" s="71">
        <v>0</v>
      </c>
      <c r="L395" s="71">
        <v>0</v>
      </c>
      <c r="M395" s="71">
        <v>0</v>
      </c>
      <c r="N395" s="71">
        <v>0</v>
      </c>
      <c r="O395" s="71">
        <v>0</v>
      </c>
      <c r="P395" s="71">
        <v>2.9229999999999996</v>
      </c>
      <c r="Q395" s="71">
        <v>0</v>
      </c>
      <c r="R395" s="71">
        <v>27.8</v>
      </c>
      <c r="S395" s="71">
        <v>2.6859999999999999</v>
      </c>
      <c r="T395" s="71">
        <v>6.800749999999999</v>
      </c>
    </row>
    <row r="396" spans="1:20">
      <c r="A396" s="71" t="s">
        <v>2708</v>
      </c>
      <c r="B396" s="71" t="s">
        <v>1276</v>
      </c>
      <c r="C396" s="71">
        <v>840.66399999999999</v>
      </c>
      <c r="D396" s="71">
        <v>0</v>
      </c>
      <c r="E396" s="71">
        <v>0</v>
      </c>
      <c r="F396" s="71">
        <v>2.3759999999999999</v>
      </c>
      <c r="G396" s="71">
        <v>28.906999999999996</v>
      </c>
      <c r="H396" s="71">
        <v>11.475</v>
      </c>
      <c r="I396" s="71">
        <v>0</v>
      </c>
      <c r="J396" s="71">
        <v>1.0739999999999998</v>
      </c>
      <c r="K396" s="71">
        <v>0</v>
      </c>
      <c r="L396" s="71">
        <v>0</v>
      </c>
      <c r="M396" s="71">
        <v>8.0339999999999989</v>
      </c>
      <c r="N396" s="71">
        <v>0.30099999999999999</v>
      </c>
      <c r="O396" s="71">
        <v>0</v>
      </c>
      <c r="P396" s="71">
        <v>34.9</v>
      </c>
      <c r="Q396" s="71">
        <v>59.385999999999996</v>
      </c>
      <c r="R396" s="71">
        <v>418</v>
      </c>
      <c r="S396" s="71">
        <v>27.058999999999997</v>
      </c>
      <c r="T396" s="71">
        <v>42.032999999999994</v>
      </c>
    </row>
    <row r="397" spans="1:20">
      <c r="A397" s="71" t="s">
        <v>3299</v>
      </c>
      <c r="B397" s="71" t="s">
        <v>3300</v>
      </c>
      <c r="C397" s="71">
        <v>414</v>
      </c>
      <c r="D397" s="71">
        <v>0</v>
      </c>
      <c r="E397" s="71">
        <v>0</v>
      </c>
      <c r="F397" s="71">
        <v>0</v>
      </c>
      <c r="G397" s="71">
        <v>0</v>
      </c>
      <c r="H397" s="71">
        <v>0</v>
      </c>
      <c r="I397" s="71">
        <v>0</v>
      </c>
      <c r="J397" s="71">
        <v>0</v>
      </c>
      <c r="K397" s="71">
        <v>0</v>
      </c>
      <c r="L397" s="71">
        <v>0</v>
      </c>
      <c r="M397" s="71">
        <v>0</v>
      </c>
      <c r="N397" s="71">
        <v>0</v>
      </c>
      <c r="O397" s="71">
        <v>0</v>
      </c>
      <c r="P397" s="71">
        <v>0</v>
      </c>
      <c r="Q397" s="71">
        <v>0</v>
      </c>
      <c r="R397" s="71">
        <v>0</v>
      </c>
      <c r="S397" s="71">
        <v>0</v>
      </c>
      <c r="T397" s="71">
        <v>0</v>
      </c>
    </row>
    <row r="398" spans="1:20">
      <c r="A398" s="71" t="s">
        <v>2710</v>
      </c>
      <c r="B398" s="71" t="s">
        <v>1277</v>
      </c>
      <c r="C398" s="71">
        <v>1872.828</v>
      </c>
      <c r="D398" s="71">
        <v>0.29899999999999999</v>
      </c>
      <c r="E398" s="71">
        <v>0</v>
      </c>
      <c r="F398" s="71">
        <v>4.7919999999999998</v>
      </c>
      <c r="G398" s="71">
        <v>88.31</v>
      </c>
      <c r="H398" s="71">
        <v>9.4709999999999983</v>
      </c>
      <c r="I398" s="71">
        <v>0</v>
      </c>
      <c r="J398" s="71">
        <v>9.5629999999999988</v>
      </c>
      <c r="K398" s="71">
        <v>0</v>
      </c>
      <c r="L398" s="71">
        <v>0</v>
      </c>
      <c r="M398" s="71">
        <v>8.6389999999999993</v>
      </c>
      <c r="N398" s="71">
        <v>0.41899999999999998</v>
      </c>
      <c r="O398" s="71">
        <v>0</v>
      </c>
      <c r="P398" s="71">
        <v>3.4729999999999999</v>
      </c>
      <c r="Q398" s="71">
        <v>117.889</v>
      </c>
      <c r="R398" s="71">
        <v>1147.8</v>
      </c>
      <c r="S398" s="71">
        <v>99.002999999999986</v>
      </c>
      <c r="T398" s="71">
        <v>93.640999999999991</v>
      </c>
    </row>
    <row r="399" spans="1:20">
      <c r="A399" s="71" t="s">
        <v>2830</v>
      </c>
      <c r="B399" s="71" t="s">
        <v>2282</v>
      </c>
      <c r="C399" s="71">
        <v>270.99899999999997</v>
      </c>
      <c r="D399" s="71">
        <v>0</v>
      </c>
      <c r="E399" s="71">
        <v>0</v>
      </c>
      <c r="F399" s="71">
        <v>0.61299999999999999</v>
      </c>
      <c r="G399" s="71">
        <v>11.453999999999999</v>
      </c>
      <c r="H399" s="71">
        <v>1.0129999999999999</v>
      </c>
      <c r="I399" s="71">
        <v>0</v>
      </c>
      <c r="J399" s="71">
        <v>0</v>
      </c>
      <c r="K399" s="71">
        <v>0</v>
      </c>
      <c r="L399" s="71">
        <v>0</v>
      </c>
      <c r="M399" s="71">
        <v>0.33</v>
      </c>
      <c r="N399" s="71">
        <v>0</v>
      </c>
      <c r="O399" s="71">
        <v>0</v>
      </c>
      <c r="P399" s="71">
        <v>0</v>
      </c>
      <c r="Q399" s="71">
        <v>18.846999999999998</v>
      </c>
      <c r="R399" s="71">
        <v>130.80000000000001</v>
      </c>
      <c r="S399" s="71">
        <v>0.66</v>
      </c>
      <c r="T399" s="71">
        <v>12</v>
      </c>
    </row>
    <row r="400" spans="1:20">
      <c r="A400" s="71" t="s">
        <v>3095</v>
      </c>
      <c r="B400" s="71" t="s">
        <v>3014</v>
      </c>
      <c r="C400" s="71">
        <v>258.95</v>
      </c>
      <c r="D400" s="71">
        <v>0</v>
      </c>
      <c r="E400" s="71">
        <v>0</v>
      </c>
      <c r="F400" s="71">
        <v>0.65399999999999991</v>
      </c>
      <c r="G400" s="71">
        <v>12.938999999999998</v>
      </c>
      <c r="H400" s="71">
        <v>2.3959999999999999</v>
      </c>
      <c r="I400" s="71">
        <v>0</v>
      </c>
      <c r="J400" s="71">
        <v>0</v>
      </c>
      <c r="K400" s="71">
        <v>0</v>
      </c>
      <c r="L400" s="71">
        <v>0</v>
      </c>
      <c r="M400" s="71">
        <v>0</v>
      </c>
      <c r="N400" s="71">
        <v>0.34599999999999997</v>
      </c>
      <c r="O400" s="71">
        <v>0</v>
      </c>
      <c r="P400" s="71">
        <v>2.2659999999999996</v>
      </c>
      <c r="Q400" s="71">
        <v>14.09</v>
      </c>
      <c r="R400" s="71">
        <v>112.7</v>
      </c>
      <c r="S400" s="71">
        <v>5.5379999999999994</v>
      </c>
      <c r="T400" s="71">
        <v>12.9475</v>
      </c>
    </row>
    <row r="401" spans="1:20">
      <c r="A401" s="71" t="s">
        <v>2712</v>
      </c>
      <c r="B401" s="71" t="s">
        <v>1278</v>
      </c>
      <c r="C401" s="71">
        <v>611.52099999999996</v>
      </c>
      <c r="D401" s="71">
        <v>0.105</v>
      </c>
      <c r="E401" s="71">
        <v>0</v>
      </c>
      <c r="F401" s="71">
        <v>1.6739999999999999</v>
      </c>
      <c r="G401" s="71">
        <v>24.02</v>
      </c>
      <c r="H401" s="71">
        <v>1.8829999999999998</v>
      </c>
      <c r="I401" s="71">
        <v>0</v>
      </c>
      <c r="J401" s="71">
        <v>3.1959999999999997</v>
      </c>
      <c r="K401" s="71">
        <v>0</v>
      </c>
      <c r="L401" s="71">
        <v>0</v>
      </c>
      <c r="M401" s="71">
        <v>9.4559999999999995</v>
      </c>
      <c r="N401" s="71">
        <v>0</v>
      </c>
      <c r="O401" s="71">
        <v>0</v>
      </c>
      <c r="P401" s="71">
        <v>4.2229999999999999</v>
      </c>
      <c r="Q401" s="71">
        <v>32.888999999999996</v>
      </c>
      <c r="R401" s="71">
        <v>384.2</v>
      </c>
      <c r="S401" s="71">
        <v>13.845999999999998</v>
      </c>
      <c r="T401" s="71">
        <v>30.575999999999997</v>
      </c>
    </row>
    <row r="402" spans="1:20">
      <c r="A402" s="71" t="s">
        <v>2424</v>
      </c>
      <c r="B402" s="71" t="s">
        <v>1279</v>
      </c>
      <c r="C402" s="71">
        <v>783.50599999999997</v>
      </c>
      <c r="D402" s="71">
        <v>0</v>
      </c>
      <c r="E402" s="71">
        <v>0</v>
      </c>
      <c r="F402" s="71">
        <v>1.9969999999999999</v>
      </c>
      <c r="G402" s="71">
        <v>38.506999999999998</v>
      </c>
      <c r="H402" s="71">
        <v>1.839</v>
      </c>
      <c r="I402" s="71">
        <v>0</v>
      </c>
      <c r="J402" s="71">
        <v>1.819</v>
      </c>
      <c r="K402" s="71">
        <v>0</v>
      </c>
      <c r="L402" s="71">
        <v>0</v>
      </c>
      <c r="M402" s="71">
        <v>16.015000000000001</v>
      </c>
      <c r="N402" s="71">
        <v>0.505</v>
      </c>
      <c r="O402" s="71">
        <v>0</v>
      </c>
      <c r="P402" s="71">
        <v>3.9909999999999997</v>
      </c>
      <c r="Q402" s="71">
        <v>23.271999999999998</v>
      </c>
      <c r="R402" s="71">
        <v>376.2</v>
      </c>
      <c r="S402" s="71">
        <v>25.186999999999998</v>
      </c>
      <c r="T402" s="71">
        <v>39</v>
      </c>
    </row>
    <row r="403" spans="1:20">
      <c r="A403" s="71" t="s">
        <v>2426</v>
      </c>
      <c r="B403" s="71" t="s">
        <v>1280</v>
      </c>
      <c r="C403" s="71">
        <v>299.11399999999998</v>
      </c>
      <c r="D403" s="71">
        <v>0</v>
      </c>
      <c r="E403" s="71">
        <v>0</v>
      </c>
      <c r="F403" s="71">
        <v>0.73299999999999998</v>
      </c>
      <c r="G403" s="71">
        <v>22.012999999999998</v>
      </c>
      <c r="H403" s="71">
        <v>0.375</v>
      </c>
      <c r="I403" s="71">
        <v>0</v>
      </c>
      <c r="J403" s="71">
        <v>6.2999999999999987E-2</v>
      </c>
      <c r="K403" s="71">
        <v>0</v>
      </c>
      <c r="L403" s="71">
        <v>0</v>
      </c>
      <c r="M403" s="71">
        <v>4.0809999999999995</v>
      </c>
      <c r="N403" s="71">
        <v>0</v>
      </c>
      <c r="O403" s="71">
        <v>0</v>
      </c>
      <c r="P403" s="71">
        <v>0.19899999999999998</v>
      </c>
      <c r="Q403" s="71">
        <v>11.170999999999999</v>
      </c>
      <c r="R403" s="71">
        <v>152</v>
      </c>
      <c r="S403" s="71">
        <v>0</v>
      </c>
      <c r="T403" s="71">
        <v>14.955699999999998</v>
      </c>
    </row>
    <row r="404" spans="1:20">
      <c r="A404" s="71" t="s">
        <v>2428</v>
      </c>
      <c r="B404" s="71" t="s">
        <v>1281</v>
      </c>
      <c r="C404" s="71">
        <v>518.59299999999996</v>
      </c>
      <c r="D404" s="71">
        <v>0</v>
      </c>
      <c r="E404" s="71">
        <v>0</v>
      </c>
      <c r="F404" s="71">
        <v>1.0349999999999999</v>
      </c>
      <c r="G404" s="71">
        <v>28.601999999999997</v>
      </c>
      <c r="H404" s="71">
        <v>1.375</v>
      </c>
      <c r="I404" s="71">
        <v>0</v>
      </c>
      <c r="J404" s="71">
        <v>0.70599999999999996</v>
      </c>
      <c r="K404" s="71">
        <v>0</v>
      </c>
      <c r="L404" s="71">
        <v>0</v>
      </c>
      <c r="M404" s="71">
        <v>1.7129999999999999</v>
      </c>
      <c r="N404" s="71">
        <v>4.3999999999999997E-2</v>
      </c>
      <c r="O404" s="71">
        <v>0</v>
      </c>
      <c r="P404" s="71">
        <v>1.5679999999999998</v>
      </c>
      <c r="Q404" s="71">
        <v>23.230999999999998</v>
      </c>
      <c r="R404" s="71">
        <v>223.5</v>
      </c>
      <c r="S404" s="71">
        <v>11.488999999999999</v>
      </c>
      <c r="T404" s="71">
        <v>25.929649999999995</v>
      </c>
    </row>
    <row r="405" spans="1:20">
      <c r="A405" s="71" t="s">
        <v>2832</v>
      </c>
      <c r="B405" s="71" t="s">
        <v>377</v>
      </c>
      <c r="C405" s="71">
        <v>416.39099999999996</v>
      </c>
      <c r="D405" s="71">
        <v>0</v>
      </c>
      <c r="E405" s="71">
        <v>0</v>
      </c>
      <c r="F405" s="71">
        <v>0.91699999999999993</v>
      </c>
      <c r="G405" s="71">
        <v>23.297999999999998</v>
      </c>
      <c r="H405" s="71">
        <v>0</v>
      </c>
      <c r="I405" s="71">
        <v>0</v>
      </c>
      <c r="J405" s="71">
        <v>3.2529999999999997</v>
      </c>
      <c r="K405" s="71">
        <v>0</v>
      </c>
      <c r="L405" s="71">
        <v>0</v>
      </c>
      <c r="M405" s="71">
        <v>2.4229999999999996</v>
      </c>
      <c r="N405" s="71">
        <v>0</v>
      </c>
      <c r="O405" s="71">
        <v>0</v>
      </c>
      <c r="P405" s="71">
        <v>6.8999999999999992E-2</v>
      </c>
      <c r="Q405" s="71">
        <v>17.876999999999999</v>
      </c>
      <c r="R405" s="71">
        <v>207</v>
      </c>
      <c r="S405" s="71">
        <v>15.571999999999999</v>
      </c>
      <c r="T405" s="71">
        <v>20.819549999999996</v>
      </c>
    </row>
    <row r="406" spans="1:20">
      <c r="A406" s="71" t="s">
        <v>4923</v>
      </c>
      <c r="B406" s="71" t="s">
        <v>1282</v>
      </c>
      <c r="C406" s="71">
        <v>555.39799999999991</v>
      </c>
      <c r="D406" s="71">
        <v>0</v>
      </c>
      <c r="E406" s="71">
        <v>0</v>
      </c>
      <c r="F406" s="71">
        <v>0.65099999999999991</v>
      </c>
      <c r="G406" s="71">
        <v>6.5250000000000004</v>
      </c>
      <c r="H406" s="71">
        <v>3.0629999999999997</v>
      </c>
      <c r="I406" s="71">
        <v>0</v>
      </c>
      <c r="J406" s="71">
        <v>0</v>
      </c>
      <c r="K406" s="71">
        <v>0</v>
      </c>
      <c r="L406" s="71">
        <v>0</v>
      </c>
      <c r="M406" s="71">
        <v>0</v>
      </c>
      <c r="N406" s="71">
        <v>0.12899999999999998</v>
      </c>
      <c r="O406" s="71">
        <v>0</v>
      </c>
      <c r="P406" s="71">
        <v>19.927999999999997</v>
      </c>
      <c r="Q406" s="71">
        <v>15.376999999999999</v>
      </c>
      <c r="R406" s="71">
        <v>269.2</v>
      </c>
      <c r="S406" s="71">
        <v>65.561999999999998</v>
      </c>
      <c r="T406" s="71">
        <v>27.769899999999996</v>
      </c>
    </row>
    <row r="407" spans="1:20">
      <c r="A407" s="71" t="s">
        <v>4925</v>
      </c>
      <c r="B407" s="71" t="s">
        <v>1283</v>
      </c>
      <c r="C407" s="71">
        <v>1750.4949999999999</v>
      </c>
      <c r="D407" s="71">
        <v>0.28299999999999997</v>
      </c>
      <c r="E407" s="71">
        <v>0</v>
      </c>
      <c r="F407" s="71">
        <v>2.4239999999999999</v>
      </c>
      <c r="G407" s="71">
        <v>78.417999999999992</v>
      </c>
      <c r="H407" s="71">
        <v>10.188999999999998</v>
      </c>
      <c r="I407" s="71">
        <v>0</v>
      </c>
      <c r="J407" s="71">
        <v>0.39</v>
      </c>
      <c r="K407" s="71">
        <v>0</v>
      </c>
      <c r="L407" s="71">
        <v>0</v>
      </c>
      <c r="M407" s="71">
        <v>0</v>
      </c>
      <c r="N407" s="71">
        <v>9.5000000000000001E-2</v>
      </c>
      <c r="O407" s="71">
        <v>0</v>
      </c>
      <c r="P407" s="71">
        <v>5.859</v>
      </c>
      <c r="Q407" s="71">
        <v>78.198999999999998</v>
      </c>
      <c r="R407" s="71">
        <v>869.3</v>
      </c>
      <c r="S407" s="71">
        <v>119.413</v>
      </c>
      <c r="T407" s="71">
        <v>87.524749999999983</v>
      </c>
    </row>
    <row r="408" spans="1:20">
      <c r="A408" s="71" t="s">
        <v>4927</v>
      </c>
      <c r="B408" s="71" t="s">
        <v>1284</v>
      </c>
      <c r="C408" s="71">
        <v>700.01099999999997</v>
      </c>
      <c r="D408" s="71">
        <v>5.0000000000000001E-3</v>
      </c>
      <c r="E408" s="71">
        <v>0</v>
      </c>
      <c r="F408" s="71">
        <v>0.92799999999999994</v>
      </c>
      <c r="G408" s="71">
        <v>25.040999999999997</v>
      </c>
      <c r="H408" s="71">
        <v>1.4569999999999999</v>
      </c>
      <c r="I408" s="71">
        <v>0</v>
      </c>
      <c r="J408" s="71">
        <v>0</v>
      </c>
      <c r="K408" s="71">
        <v>0</v>
      </c>
      <c r="L408" s="71">
        <v>0</v>
      </c>
      <c r="M408" s="71">
        <v>2.4359999999999999</v>
      </c>
      <c r="N408" s="71">
        <v>0.106</v>
      </c>
      <c r="O408" s="71">
        <v>4.0009999999999994</v>
      </c>
      <c r="P408" s="71">
        <v>13.172999999999998</v>
      </c>
      <c r="Q408" s="71">
        <v>42.567999999999998</v>
      </c>
      <c r="R408" s="71">
        <v>374.8</v>
      </c>
      <c r="S408" s="71">
        <v>44.830999999999996</v>
      </c>
      <c r="T408" s="71">
        <v>35.000549999999997</v>
      </c>
    </row>
    <row r="409" spans="1:20">
      <c r="A409" s="71" t="s">
        <v>4929</v>
      </c>
      <c r="B409" s="71" t="s">
        <v>1285</v>
      </c>
      <c r="C409" s="71">
        <v>195.10299999999998</v>
      </c>
      <c r="D409" s="71">
        <v>0</v>
      </c>
      <c r="E409" s="71">
        <v>0</v>
      </c>
      <c r="F409" s="71">
        <v>0.11099999999999999</v>
      </c>
      <c r="G409" s="71">
        <v>5.944</v>
      </c>
      <c r="H409" s="71">
        <v>0.34</v>
      </c>
      <c r="I409" s="71">
        <v>0</v>
      </c>
      <c r="J409" s="71">
        <v>0</v>
      </c>
      <c r="K409" s="71">
        <v>0</v>
      </c>
      <c r="L409" s="71">
        <v>0</v>
      </c>
      <c r="M409" s="71">
        <v>2.2979999999999996</v>
      </c>
      <c r="N409" s="71">
        <v>0</v>
      </c>
      <c r="O409" s="71">
        <v>0</v>
      </c>
      <c r="P409" s="71">
        <v>2.3979999999999997</v>
      </c>
      <c r="Q409" s="71">
        <v>7.7149999999999999</v>
      </c>
      <c r="R409" s="71">
        <v>34</v>
      </c>
      <c r="S409" s="71">
        <v>2.7829999999999999</v>
      </c>
      <c r="T409" s="71">
        <v>9.7550000000000008</v>
      </c>
    </row>
    <row r="410" spans="1:20">
      <c r="A410" s="71" t="s">
        <v>4931</v>
      </c>
      <c r="B410" s="71" t="s">
        <v>1286</v>
      </c>
      <c r="C410" s="71">
        <v>226.24599999999998</v>
      </c>
      <c r="D410" s="71">
        <v>6.9999999999999993E-3</v>
      </c>
      <c r="E410" s="71">
        <v>0</v>
      </c>
      <c r="F410" s="71">
        <v>0.41799999999999998</v>
      </c>
      <c r="G410" s="71">
        <v>3.1569999999999996</v>
      </c>
      <c r="H410" s="71">
        <v>1.6019999999999999</v>
      </c>
      <c r="I410" s="71">
        <v>0</v>
      </c>
      <c r="J410" s="71">
        <v>0</v>
      </c>
      <c r="K410" s="71">
        <v>0</v>
      </c>
      <c r="L410" s="71">
        <v>0</v>
      </c>
      <c r="M410" s="71">
        <v>0</v>
      </c>
      <c r="N410" s="71">
        <v>0</v>
      </c>
      <c r="O410" s="71">
        <v>0</v>
      </c>
      <c r="P410" s="71">
        <v>3.3450000000000002</v>
      </c>
      <c r="Q410" s="71">
        <v>12.143999999999998</v>
      </c>
      <c r="R410" s="71">
        <v>71.7</v>
      </c>
      <c r="S410" s="71">
        <v>10.625</v>
      </c>
      <c r="T410" s="71">
        <v>11.311999999999999</v>
      </c>
    </row>
    <row r="411" spans="1:20">
      <c r="A411" s="71" t="s">
        <v>4933</v>
      </c>
      <c r="B411" s="71" t="s">
        <v>1287</v>
      </c>
      <c r="C411" s="71">
        <v>284.75899999999996</v>
      </c>
      <c r="D411" s="71">
        <v>0</v>
      </c>
      <c r="E411" s="71">
        <v>0</v>
      </c>
      <c r="F411" s="71">
        <v>0.44099999999999995</v>
      </c>
      <c r="G411" s="71">
        <v>8.9639999999999986</v>
      </c>
      <c r="H411" s="71">
        <v>1.4139999999999999</v>
      </c>
      <c r="I411" s="71">
        <v>0</v>
      </c>
      <c r="J411" s="71">
        <v>0</v>
      </c>
      <c r="K411" s="71">
        <v>0</v>
      </c>
      <c r="L411" s="71">
        <v>0</v>
      </c>
      <c r="M411" s="71">
        <v>0</v>
      </c>
      <c r="N411" s="71">
        <v>0.187</v>
      </c>
      <c r="O411" s="71">
        <v>0</v>
      </c>
      <c r="P411" s="71">
        <v>6.8739999999999997</v>
      </c>
      <c r="Q411" s="71">
        <v>19.843999999999998</v>
      </c>
      <c r="R411" s="71">
        <v>213.7</v>
      </c>
      <c r="S411" s="71">
        <v>5.3129999999999997</v>
      </c>
      <c r="T411" s="71">
        <v>14.237949999999996</v>
      </c>
    </row>
    <row r="412" spans="1:20">
      <c r="A412" s="71" t="s">
        <v>444</v>
      </c>
      <c r="B412" s="71" t="s">
        <v>370</v>
      </c>
      <c r="C412" s="71">
        <v>359.05199999999996</v>
      </c>
      <c r="D412" s="71">
        <v>0</v>
      </c>
      <c r="E412" s="71">
        <v>0</v>
      </c>
      <c r="F412" s="71">
        <v>0.84799999999999998</v>
      </c>
      <c r="G412" s="71">
        <v>2.99</v>
      </c>
      <c r="H412" s="71">
        <v>1.3379999999999999</v>
      </c>
      <c r="I412" s="71">
        <v>0</v>
      </c>
      <c r="J412" s="71">
        <v>0</v>
      </c>
      <c r="K412" s="71">
        <v>0</v>
      </c>
      <c r="L412" s="71">
        <v>0</v>
      </c>
      <c r="M412" s="71">
        <v>0</v>
      </c>
      <c r="N412" s="71">
        <v>0.187</v>
      </c>
      <c r="O412" s="71">
        <v>0.65</v>
      </c>
      <c r="P412" s="71">
        <v>52.595999999999997</v>
      </c>
      <c r="Q412" s="71">
        <v>26.975000000000001</v>
      </c>
      <c r="R412" s="71">
        <v>244.3</v>
      </c>
      <c r="S412" s="71">
        <v>8.0500000000000007</v>
      </c>
      <c r="T412" s="71">
        <v>17.952599999999997</v>
      </c>
    </row>
    <row r="413" spans="1:20">
      <c r="A413" s="71" t="s">
        <v>3558</v>
      </c>
      <c r="B413" s="71" t="s">
        <v>1288</v>
      </c>
      <c r="C413" s="71">
        <v>937.76199999999994</v>
      </c>
      <c r="D413" s="71">
        <v>0</v>
      </c>
      <c r="E413" s="71">
        <v>0</v>
      </c>
      <c r="F413" s="71">
        <v>2.4219999999999997</v>
      </c>
      <c r="G413" s="71">
        <v>28.066999999999997</v>
      </c>
      <c r="H413" s="71">
        <v>6.6159999999999997</v>
      </c>
      <c r="I413" s="71">
        <v>0</v>
      </c>
      <c r="J413" s="71">
        <v>0</v>
      </c>
      <c r="K413" s="71">
        <v>0</v>
      </c>
      <c r="L413" s="71">
        <v>0</v>
      </c>
      <c r="M413" s="71">
        <v>2.113</v>
      </c>
      <c r="N413" s="71">
        <v>0.59799999999999998</v>
      </c>
      <c r="O413" s="71">
        <v>5.6519999999999992</v>
      </c>
      <c r="P413" s="71">
        <v>6.6909999999999998</v>
      </c>
      <c r="Q413" s="71">
        <v>78.696999999999989</v>
      </c>
      <c r="R413" s="71">
        <v>696.7</v>
      </c>
      <c r="S413" s="71">
        <v>102.00099999999999</v>
      </c>
      <c r="T413" s="71">
        <v>46.887999999999998</v>
      </c>
    </row>
    <row r="414" spans="1:20">
      <c r="A414" s="71" t="s">
        <v>3560</v>
      </c>
      <c r="B414" s="71" t="s">
        <v>2909</v>
      </c>
      <c r="C414" s="71">
        <v>586.20399999999995</v>
      </c>
      <c r="D414" s="71">
        <v>2.5000000000000001E-2</v>
      </c>
      <c r="E414" s="71">
        <v>0</v>
      </c>
      <c r="F414" s="71">
        <v>1.732</v>
      </c>
      <c r="G414" s="71">
        <v>23.931999999999999</v>
      </c>
      <c r="H414" s="71">
        <v>1.2150000000000001</v>
      </c>
      <c r="I414" s="71">
        <v>0</v>
      </c>
      <c r="J414" s="71">
        <v>1.7069999999999999</v>
      </c>
      <c r="K414" s="71">
        <v>0</v>
      </c>
      <c r="L414" s="71">
        <v>0</v>
      </c>
      <c r="M414" s="71">
        <v>1.6869999999999998</v>
      </c>
      <c r="N414" s="71">
        <v>0.53799999999999992</v>
      </c>
      <c r="O414" s="71">
        <v>0</v>
      </c>
      <c r="P414" s="71">
        <v>3.226</v>
      </c>
      <c r="Q414" s="71">
        <v>22.936999999999998</v>
      </c>
      <c r="R414" s="71">
        <v>399.2</v>
      </c>
      <c r="S414" s="71">
        <v>26.86</v>
      </c>
      <c r="T414" s="71">
        <v>29.31</v>
      </c>
    </row>
    <row r="415" spans="1:20">
      <c r="A415" s="71" t="s">
        <v>3562</v>
      </c>
      <c r="B415" s="71" t="s">
        <v>2910</v>
      </c>
      <c r="C415" s="71">
        <v>263.41000000000003</v>
      </c>
      <c r="D415" s="71">
        <v>0</v>
      </c>
      <c r="E415" s="71">
        <v>0</v>
      </c>
      <c r="F415" s="71">
        <v>0.497</v>
      </c>
      <c r="G415" s="71">
        <v>12.86</v>
      </c>
      <c r="H415" s="71">
        <v>3.88</v>
      </c>
      <c r="I415" s="71">
        <v>0</v>
      </c>
      <c r="J415" s="71">
        <v>0</v>
      </c>
      <c r="K415" s="71">
        <v>0</v>
      </c>
      <c r="L415" s="71">
        <v>0</v>
      </c>
      <c r="M415" s="71">
        <v>0</v>
      </c>
      <c r="N415" s="71">
        <v>4.6999999999999993E-2</v>
      </c>
      <c r="O415" s="71">
        <v>0.16</v>
      </c>
      <c r="P415" s="71">
        <v>7.2279999999999998</v>
      </c>
      <c r="Q415" s="71">
        <v>13.515999999999998</v>
      </c>
      <c r="R415" s="71">
        <v>216.2</v>
      </c>
      <c r="S415" s="71">
        <v>4.867</v>
      </c>
      <c r="T415" s="71">
        <v>13.170499999999997</v>
      </c>
    </row>
    <row r="416" spans="1:20">
      <c r="A416" s="71" t="s">
        <v>3564</v>
      </c>
      <c r="B416" s="71" t="s">
        <v>2911</v>
      </c>
      <c r="C416" s="71">
        <v>18405.252999999997</v>
      </c>
      <c r="D416" s="71">
        <v>3.8889999999999998</v>
      </c>
      <c r="E416" s="71">
        <v>6.8909999999999991</v>
      </c>
      <c r="F416" s="71">
        <v>43.430999999999997</v>
      </c>
      <c r="G416" s="71">
        <v>606.79699999999991</v>
      </c>
      <c r="H416" s="71">
        <v>121.89899999999999</v>
      </c>
      <c r="I416" s="71">
        <v>0</v>
      </c>
      <c r="J416" s="71">
        <v>5.077</v>
      </c>
      <c r="K416" s="71">
        <v>0</v>
      </c>
      <c r="L416" s="71">
        <v>0</v>
      </c>
      <c r="M416" s="71">
        <v>14.925999999999998</v>
      </c>
      <c r="N416" s="71">
        <v>9.0549999999999997</v>
      </c>
      <c r="O416" s="71">
        <v>7.7319999999999993</v>
      </c>
      <c r="P416" s="71">
        <v>99.986999999999995</v>
      </c>
      <c r="Q416" s="71">
        <v>616.64199999999994</v>
      </c>
      <c r="R416" s="71">
        <v>8969.7999999999993</v>
      </c>
      <c r="S416" s="71">
        <v>2000.6139999999998</v>
      </c>
      <c r="T416" s="71">
        <v>920.26264999999989</v>
      </c>
    </row>
    <row r="417" spans="1:20">
      <c r="A417" s="71" t="s">
        <v>6179</v>
      </c>
      <c r="B417" s="71" t="s">
        <v>1932</v>
      </c>
      <c r="C417" s="71">
        <v>2450.9989999999998</v>
      </c>
      <c r="D417" s="71">
        <v>0.16899999999999998</v>
      </c>
      <c r="E417" s="71">
        <v>0</v>
      </c>
      <c r="F417" s="71">
        <v>3.5669999999999997</v>
      </c>
      <c r="G417" s="71">
        <v>63.119</v>
      </c>
      <c r="H417" s="71">
        <v>26.441999999999997</v>
      </c>
      <c r="I417" s="71">
        <v>0</v>
      </c>
      <c r="J417" s="71">
        <v>0</v>
      </c>
      <c r="K417" s="71">
        <v>0</v>
      </c>
      <c r="L417" s="71">
        <v>0</v>
      </c>
      <c r="M417" s="71">
        <v>5</v>
      </c>
      <c r="N417" s="71">
        <v>0</v>
      </c>
      <c r="O417" s="71">
        <v>0</v>
      </c>
      <c r="P417" s="71">
        <v>85.83</v>
      </c>
      <c r="Q417" s="71">
        <v>117.431</v>
      </c>
      <c r="R417" s="71">
        <v>766.5</v>
      </c>
      <c r="S417" s="71">
        <v>130.48299999999998</v>
      </c>
      <c r="T417" s="71">
        <v>122.54995</v>
      </c>
    </row>
    <row r="418" spans="1:20">
      <c r="A418" s="71" t="s">
        <v>1309</v>
      </c>
      <c r="B418" s="71" t="s">
        <v>114</v>
      </c>
      <c r="C418" s="71">
        <v>62857.958999999995</v>
      </c>
      <c r="D418" s="71">
        <v>3.206</v>
      </c>
      <c r="E418" s="71">
        <v>0</v>
      </c>
      <c r="F418" s="71">
        <v>92.031999999999996</v>
      </c>
      <c r="G418" s="71">
        <v>1470.549</v>
      </c>
      <c r="H418" s="71">
        <v>621.20299999999997</v>
      </c>
      <c r="I418" s="71">
        <v>0</v>
      </c>
      <c r="J418" s="71">
        <v>13.691999999999998</v>
      </c>
      <c r="K418" s="71">
        <v>0</v>
      </c>
      <c r="L418" s="71">
        <v>7.069</v>
      </c>
      <c r="M418" s="71">
        <v>20.28</v>
      </c>
      <c r="N418" s="71">
        <v>14.231</v>
      </c>
      <c r="O418" s="71">
        <v>65.745999999999995</v>
      </c>
      <c r="P418" s="71">
        <v>381.29699999999997</v>
      </c>
      <c r="Q418" s="71">
        <v>2393.8329999999996</v>
      </c>
      <c r="R418" s="71">
        <v>19563</v>
      </c>
      <c r="S418" s="71">
        <v>5954.3229999999994</v>
      </c>
      <c r="T418" s="71">
        <v>3142.8979499999996</v>
      </c>
    </row>
    <row r="419" spans="1:20">
      <c r="A419" s="71" t="s">
        <v>3566</v>
      </c>
      <c r="B419" s="71" t="s">
        <v>2912</v>
      </c>
      <c r="C419" s="71">
        <v>97.64</v>
      </c>
      <c r="D419" s="71">
        <v>0</v>
      </c>
      <c r="E419" s="71">
        <v>0</v>
      </c>
      <c r="F419" s="71">
        <v>0.38</v>
      </c>
      <c r="G419" s="71">
        <v>3.073</v>
      </c>
      <c r="H419" s="71">
        <v>0.40500000000000003</v>
      </c>
      <c r="I419" s="71">
        <v>0</v>
      </c>
      <c r="J419" s="71">
        <v>0</v>
      </c>
      <c r="K419" s="71">
        <v>0</v>
      </c>
      <c r="L419" s="71">
        <v>0</v>
      </c>
      <c r="M419" s="71">
        <v>0</v>
      </c>
      <c r="N419" s="71">
        <v>0</v>
      </c>
      <c r="O419" s="71">
        <v>0</v>
      </c>
      <c r="P419" s="71">
        <v>1.87</v>
      </c>
      <c r="Q419" s="71">
        <v>0</v>
      </c>
      <c r="R419" s="71">
        <v>114.5</v>
      </c>
      <c r="S419" s="71">
        <v>14.773999999999999</v>
      </c>
      <c r="T419" s="71">
        <v>1</v>
      </c>
    </row>
    <row r="420" spans="1:20">
      <c r="A420" s="71" t="s">
        <v>3568</v>
      </c>
      <c r="B420" s="71" t="s">
        <v>2913</v>
      </c>
      <c r="C420" s="71">
        <v>2884.194</v>
      </c>
      <c r="D420" s="71">
        <v>0.27599999999999997</v>
      </c>
      <c r="E420" s="71">
        <v>0</v>
      </c>
      <c r="F420" s="71">
        <v>3.7689999999999997</v>
      </c>
      <c r="G420" s="71">
        <v>49.988</v>
      </c>
      <c r="H420" s="71">
        <v>17.776</v>
      </c>
      <c r="I420" s="71">
        <v>0</v>
      </c>
      <c r="J420" s="71">
        <v>0.38699999999999996</v>
      </c>
      <c r="K420" s="71">
        <v>0</v>
      </c>
      <c r="L420" s="71">
        <v>0</v>
      </c>
      <c r="M420" s="71">
        <v>5.9999999999999993E-3</v>
      </c>
      <c r="N420" s="71">
        <v>0.13899999999999998</v>
      </c>
      <c r="O420" s="71">
        <v>0</v>
      </c>
      <c r="P420" s="71">
        <v>79.209999999999994</v>
      </c>
      <c r="Q420" s="71">
        <v>123.086</v>
      </c>
      <c r="R420" s="71">
        <v>1342.5</v>
      </c>
      <c r="S420" s="71">
        <v>314.29399999999998</v>
      </c>
      <c r="T420" s="71">
        <v>144.20969999999997</v>
      </c>
    </row>
    <row r="421" spans="1:20">
      <c r="A421" s="71" t="s">
        <v>1607</v>
      </c>
      <c r="B421" s="71" t="s">
        <v>2914</v>
      </c>
      <c r="C421" s="71">
        <v>1455.5650000000001</v>
      </c>
      <c r="D421" s="71">
        <v>9.2999999999999999E-2</v>
      </c>
      <c r="E421" s="71">
        <v>0</v>
      </c>
      <c r="F421" s="71">
        <v>2.85</v>
      </c>
      <c r="G421" s="71">
        <v>58.775999999999996</v>
      </c>
      <c r="H421" s="71">
        <v>7.2589999999999995</v>
      </c>
      <c r="I421" s="71">
        <v>0</v>
      </c>
      <c r="J421" s="71">
        <v>0.69699999999999995</v>
      </c>
      <c r="K421" s="71">
        <v>0</v>
      </c>
      <c r="L421" s="71">
        <v>0</v>
      </c>
      <c r="M421" s="71">
        <v>0.91699999999999993</v>
      </c>
      <c r="N421" s="71">
        <v>0.81099999999999994</v>
      </c>
      <c r="O421" s="71">
        <v>1.9709999999999999</v>
      </c>
      <c r="P421" s="71">
        <v>36.623999999999995</v>
      </c>
      <c r="Q421" s="71">
        <v>72.878999999999991</v>
      </c>
      <c r="R421" s="71">
        <v>693.2</v>
      </c>
      <c r="S421" s="71">
        <v>113.07299999999999</v>
      </c>
      <c r="T421" s="71">
        <v>72.777999999999992</v>
      </c>
    </row>
    <row r="422" spans="1:20">
      <c r="A422" s="71" t="s">
        <v>2482</v>
      </c>
      <c r="B422" s="71" t="s">
        <v>2915</v>
      </c>
      <c r="C422" s="71">
        <v>1660.9019999999998</v>
      </c>
      <c r="D422" s="71">
        <v>0.13</v>
      </c>
      <c r="E422" s="71">
        <v>0</v>
      </c>
      <c r="F422" s="71">
        <v>2.4950000000000001</v>
      </c>
      <c r="G422" s="71">
        <v>71.12</v>
      </c>
      <c r="H422" s="71">
        <v>10.683999999999999</v>
      </c>
      <c r="I422" s="71">
        <v>0</v>
      </c>
      <c r="J422" s="71">
        <v>0</v>
      </c>
      <c r="K422" s="71">
        <v>0</v>
      </c>
      <c r="L422" s="71">
        <v>0</v>
      </c>
      <c r="M422" s="71">
        <v>10.949</v>
      </c>
      <c r="N422" s="71">
        <v>0</v>
      </c>
      <c r="O422" s="71">
        <v>4.82</v>
      </c>
      <c r="P422" s="71">
        <v>32.152999999999999</v>
      </c>
      <c r="Q422" s="71">
        <v>67.855000000000004</v>
      </c>
      <c r="R422" s="71">
        <v>798.8</v>
      </c>
      <c r="S422" s="71">
        <v>83.002999999999986</v>
      </c>
      <c r="T422" s="71">
        <v>83.045000000000002</v>
      </c>
    </row>
    <row r="423" spans="1:20">
      <c r="A423" s="71" t="s">
        <v>2484</v>
      </c>
      <c r="B423" s="71" t="s">
        <v>2916</v>
      </c>
      <c r="C423" s="71">
        <v>1089.818</v>
      </c>
      <c r="D423" s="71">
        <v>0.20399999999999999</v>
      </c>
      <c r="E423" s="71">
        <v>0</v>
      </c>
      <c r="F423" s="71">
        <v>1.1509999999999998</v>
      </c>
      <c r="G423" s="71">
        <v>34.25</v>
      </c>
      <c r="H423" s="71">
        <v>8.35</v>
      </c>
      <c r="I423" s="71">
        <v>0</v>
      </c>
      <c r="J423" s="71">
        <v>0</v>
      </c>
      <c r="K423" s="71">
        <v>0</v>
      </c>
      <c r="L423" s="71">
        <v>0</v>
      </c>
      <c r="M423" s="71">
        <v>4.9950000000000001</v>
      </c>
      <c r="N423" s="71">
        <v>0</v>
      </c>
      <c r="O423" s="71">
        <v>0</v>
      </c>
      <c r="P423" s="71">
        <v>28.011999999999997</v>
      </c>
      <c r="Q423" s="71">
        <v>42.356999999999999</v>
      </c>
      <c r="R423" s="71">
        <v>469.5</v>
      </c>
      <c r="S423" s="71">
        <v>79.86</v>
      </c>
      <c r="T423" s="71">
        <v>54.490899999999996</v>
      </c>
    </row>
    <row r="424" spans="1:20">
      <c r="A424" s="71" t="s">
        <v>2486</v>
      </c>
      <c r="B424" s="71" t="s">
        <v>2917</v>
      </c>
      <c r="C424" s="71">
        <v>426.96499999999997</v>
      </c>
      <c r="D424" s="71">
        <v>0.16099999999999998</v>
      </c>
      <c r="E424" s="71">
        <v>0</v>
      </c>
      <c r="F424" s="71">
        <v>0.57099999999999995</v>
      </c>
      <c r="G424" s="71">
        <v>13.43</v>
      </c>
      <c r="H424" s="71">
        <v>2.718</v>
      </c>
      <c r="I424" s="71">
        <v>0</v>
      </c>
      <c r="J424" s="71">
        <v>0</v>
      </c>
      <c r="K424" s="71">
        <v>0</v>
      </c>
      <c r="L424" s="71">
        <v>0</v>
      </c>
      <c r="M424" s="71">
        <v>3.0409999999999999</v>
      </c>
      <c r="N424" s="71">
        <v>0</v>
      </c>
      <c r="O424" s="71">
        <v>0</v>
      </c>
      <c r="P424" s="71">
        <v>18.720999999999997</v>
      </c>
      <c r="Q424" s="71">
        <v>24.521999999999998</v>
      </c>
      <c r="R424" s="71">
        <v>167.5</v>
      </c>
      <c r="S424" s="71">
        <v>8.1219999999999999</v>
      </c>
      <c r="T424" s="71">
        <v>21.347999999999999</v>
      </c>
    </row>
    <row r="425" spans="1:20">
      <c r="A425" s="71" t="s">
        <v>2488</v>
      </c>
      <c r="B425" s="71" t="s">
        <v>2918</v>
      </c>
      <c r="C425" s="71">
        <v>148.119</v>
      </c>
      <c r="D425" s="71">
        <v>0</v>
      </c>
      <c r="E425" s="71">
        <v>0</v>
      </c>
      <c r="F425" s="71">
        <v>0.19</v>
      </c>
      <c r="G425" s="71">
        <v>0.72099999999999997</v>
      </c>
      <c r="H425" s="71">
        <v>0</v>
      </c>
      <c r="I425" s="71">
        <v>0</v>
      </c>
      <c r="J425" s="71">
        <v>0</v>
      </c>
      <c r="K425" s="71">
        <v>0</v>
      </c>
      <c r="L425" s="71">
        <v>0</v>
      </c>
      <c r="M425" s="71">
        <v>0</v>
      </c>
      <c r="N425" s="71">
        <v>0</v>
      </c>
      <c r="O425" s="71">
        <v>0</v>
      </c>
      <c r="P425" s="71">
        <v>9.48</v>
      </c>
      <c r="Q425" s="71">
        <v>0</v>
      </c>
      <c r="R425" s="71">
        <v>77.2</v>
      </c>
      <c r="S425" s="71">
        <v>0.89899999999999991</v>
      </c>
      <c r="T425" s="71">
        <v>7.4059499999999998</v>
      </c>
    </row>
    <row r="426" spans="1:20">
      <c r="A426" s="71" t="s">
        <v>2834</v>
      </c>
      <c r="B426" s="71" t="s">
        <v>1002</v>
      </c>
      <c r="C426" s="71">
        <v>766.61799999999994</v>
      </c>
      <c r="D426" s="71">
        <v>0</v>
      </c>
      <c r="E426" s="71">
        <v>0</v>
      </c>
      <c r="F426" s="71">
        <v>1.242</v>
      </c>
      <c r="G426" s="71">
        <v>27.258999999999997</v>
      </c>
      <c r="H426" s="71">
        <v>9.1019999999999985</v>
      </c>
      <c r="I426" s="71">
        <v>0</v>
      </c>
      <c r="J426" s="71">
        <v>0</v>
      </c>
      <c r="K426" s="71">
        <v>0</v>
      </c>
      <c r="L426" s="71">
        <v>0</v>
      </c>
      <c r="M426" s="71">
        <v>1.9769999999999999</v>
      </c>
      <c r="N426" s="71">
        <v>0.82099999999999995</v>
      </c>
      <c r="O426" s="71">
        <v>6.8719999999999999</v>
      </c>
      <c r="P426" s="71">
        <v>15.959</v>
      </c>
      <c r="Q426" s="71">
        <v>33.832999999999998</v>
      </c>
      <c r="R426" s="71">
        <v>617.70000000000005</v>
      </c>
      <c r="S426" s="71">
        <v>47.892999999999994</v>
      </c>
      <c r="T426" s="71">
        <v>38.330899999999993</v>
      </c>
    </row>
    <row r="427" spans="1:20">
      <c r="A427" s="71" t="s">
        <v>445</v>
      </c>
      <c r="B427" s="71" t="s">
        <v>5294</v>
      </c>
      <c r="C427" s="71">
        <v>2153.279</v>
      </c>
      <c r="D427" s="71">
        <v>1.0999999999999999E-2</v>
      </c>
      <c r="E427" s="71">
        <v>0</v>
      </c>
      <c r="F427" s="71">
        <v>3.121</v>
      </c>
      <c r="G427" s="71">
        <v>56.64</v>
      </c>
      <c r="H427" s="71">
        <v>17.605999999999998</v>
      </c>
      <c r="I427" s="71">
        <v>0</v>
      </c>
      <c r="J427" s="71">
        <v>0</v>
      </c>
      <c r="K427" s="71">
        <v>0</v>
      </c>
      <c r="L427" s="71">
        <v>0</v>
      </c>
      <c r="M427" s="71">
        <v>3.7619999999999996</v>
      </c>
      <c r="N427" s="71">
        <v>2.4429999999999996</v>
      </c>
      <c r="O427" s="71">
        <v>2.8019999999999996</v>
      </c>
      <c r="P427" s="71">
        <v>4.5239999999999991</v>
      </c>
      <c r="Q427" s="71">
        <v>85.97399999999999</v>
      </c>
      <c r="R427" s="71">
        <v>1962.5</v>
      </c>
      <c r="S427" s="71">
        <v>113.58</v>
      </c>
      <c r="T427" s="71">
        <v>107.66394999999999</v>
      </c>
    </row>
    <row r="428" spans="1:20">
      <c r="A428" s="71" t="s">
        <v>2490</v>
      </c>
      <c r="B428" s="71" t="s">
        <v>2919</v>
      </c>
      <c r="C428" s="71">
        <v>540.80199999999991</v>
      </c>
      <c r="D428" s="71">
        <v>0.33299999999999996</v>
      </c>
      <c r="E428" s="71">
        <v>0</v>
      </c>
      <c r="F428" s="71">
        <v>0.86199999999999999</v>
      </c>
      <c r="G428" s="71">
        <v>20.558</v>
      </c>
      <c r="H428" s="71">
        <v>2.5419999999999998</v>
      </c>
      <c r="I428" s="71">
        <v>0</v>
      </c>
      <c r="J428" s="71">
        <v>1.2549999999999999</v>
      </c>
      <c r="K428" s="71">
        <v>0</v>
      </c>
      <c r="L428" s="71">
        <v>0</v>
      </c>
      <c r="M428" s="71">
        <v>0</v>
      </c>
      <c r="N428" s="71">
        <v>2.3E-2</v>
      </c>
      <c r="O428" s="71">
        <v>0</v>
      </c>
      <c r="P428" s="71">
        <v>32.318999999999996</v>
      </c>
      <c r="Q428" s="71">
        <v>44.031999999999996</v>
      </c>
      <c r="R428" s="71">
        <v>420.7</v>
      </c>
      <c r="S428" s="71">
        <v>38.532999999999994</v>
      </c>
      <c r="T428" s="71">
        <v>27.04</v>
      </c>
    </row>
    <row r="429" spans="1:20">
      <c r="A429" s="71" t="s">
        <v>2492</v>
      </c>
      <c r="B429" s="71" t="s">
        <v>2920</v>
      </c>
      <c r="C429" s="71">
        <v>137.35799999999998</v>
      </c>
      <c r="D429" s="71">
        <v>0</v>
      </c>
      <c r="E429" s="71">
        <v>0</v>
      </c>
      <c r="F429" s="71">
        <v>0.14799999999999999</v>
      </c>
      <c r="G429" s="71">
        <v>4.5419999999999998</v>
      </c>
      <c r="H429" s="71">
        <v>0</v>
      </c>
      <c r="I429" s="71">
        <v>0</v>
      </c>
      <c r="J429" s="71">
        <v>0</v>
      </c>
      <c r="K429" s="71">
        <v>0</v>
      </c>
      <c r="L429" s="71">
        <v>0</v>
      </c>
      <c r="M429" s="71">
        <v>0</v>
      </c>
      <c r="N429" s="71">
        <v>0</v>
      </c>
      <c r="O429" s="71">
        <v>0</v>
      </c>
      <c r="P429" s="71">
        <v>6.2539999999999996</v>
      </c>
      <c r="Q429" s="71">
        <v>16.613999999999997</v>
      </c>
      <c r="R429" s="71">
        <v>90.7</v>
      </c>
      <c r="S429" s="71">
        <v>9.1629999999999985</v>
      </c>
      <c r="T429" s="71">
        <v>6.8678999999999997</v>
      </c>
    </row>
    <row r="430" spans="1:20">
      <c r="A430" s="71" t="s">
        <v>2494</v>
      </c>
      <c r="B430" s="71" t="s">
        <v>2921</v>
      </c>
      <c r="C430" s="71">
        <v>2060.7339999999999</v>
      </c>
      <c r="D430" s="71">
        <v>0.34499999999999997</v>
      </c>
      <c r="E430" s="71">
        <v>0</v>
      </c>
      <c r="F430" s="71">
        <v>4.4179999999999993</v>
      </c>
      <c r="G430" s="71">
        <v>76.710999999999999</v>
      </c>
      <c r="H430" s="71">
        <v>25.035</v>
      </c>
      <c r="I430" s="71">
        <v>0</v>
      </c>
      <c r="J430" s="71">
        <v>0</v>
      </c>
      <c r="K430" s="71">
        <v>0</v>
      </c>
      <c r="L430" s="71">
        <v>0</v>
      </c>
      <c r="M430" s="71">
        <v>0</v>
      </c>
      <c r="N430" s="71">
        <v>1.7849999999999999</v>
      </c>
      <c r="O430" s="71">
        <v>0</v>
      </c>
      <c r="P430" s="71">
        <v>24.841999999999999</v>
      </c>
      <c r="Q430" s="71">
        <v>73.040000000000006</v>
      </c>
      <c r="R430" s="71">
        <v>1285</v>
      </c>
      <c r="S430" s="71">
        <v>213.28299999999999</v>
      </c>
      <c r="T430" s="71">
        <v>103.0367</v>
      </c>
    </row>
    <row r="431" spans="1:20">
      <c r="A431" s="71" t="s">
        <v>3301</v>
      </c>
      <c r="B431" s="71" t="s">
        <v>3302</v>
      </c>
      <c r="C431" s="71">
        <v>0</v>
      </c>
      <c r="D431" s="71">
        <v>0</v>
      </c>
      <c r="E431" s="71">
        <v>0</v>
      </c>
      <c r="F431" s="71">
        <v>0</v>
      </c>
      <c r="G431" s="71">
        <v>0</v>
      </c>
      <c r="H431" s="71">
        <v>0</v>
      </c>
      <c r="I431" s="71">
        <v>0</v>
      </c>
      <c r="J431" s="71">
        <v>0</v>
      </c>
      <c r="K431" s="71">
        <v>0</v>
      </c>
      <c r="L431" s="71">
        <v>0</v>
      </c>
      <c r="M431" s="71">
        <v>0</v>
      </c>
      <c r="N431" s="71">
        <v>0</v>
      </c>
      <c r="O431" s="71">
        <v>0</v>
      </c>
      <c r="P431" s="71">
        <v>0</v>
      </c>
      <c r="Q431" s="71">
        <v>0</v>
      </c>
      <c r="R431" s="71">
        <v>0</v>
      </c>
      <c r="S431" s="71">
        <v>0</v>
      </c>
      <c r="T431" s="71">
        <v>0</v>
      </c>
    </row>
    <row r="432" spans="1:20">
      <c r="A432" s="71" t="s">
        <v>3303</v>
      </c>
      <c r="B432" s="71" t="s">
        <v>3304</v>
      </c>
      <c r="C432" s="71">
        <v>524.22</v>
      </c>
      <c r="D432" s="71">
        <v>0</v>
      </c>
      <c r="E432" s="71">
        <v>0</v>
      </c>
      <c r="F432" s="71">
        <v>1.6999999999999998E-2</v>
      </c>
      <c r="G432" s="71">
        <v>0</v>
      </c>
      <c r="H432" s="71">
        <v>0</v>
      </c>
      <c r="I432" s="71">
        <v>0</v>
      </c>
      <c r="J432" s="71">
        <v>0</v>
      </c>
      <c r="K432" s="71">
        <v>0</v>
      </c>
      <c r="L432" s="71">
        <v>0</v>
      </c>
      <c r="M432" s="71">
        <v>0</v>
      </c>
      <c r="N432" s="71">
        <v>0</v>
      </c>
      <c r="O432" s="71">
        <v>0</v>
      </c>
      <c r="P432" s="71">
        <v>0</v>
      </c>
      <c r="Q432" s="71">
        <v>0</v>
      </c>
      <c r="R432" s="71">
        <v>387.7</v>
      </c>
      <c r="S432" s="71">
        <v>0</v>
      </c>
      <c r="T432" s="71">
        <v>24.846999999999998</v>
      </c>
    </row>
    <row r="433" spans="1:20">
      <c r="A433" s="71" t="s">
        <v>2496</v>
      </c>
      <c r="B433" s="71" t="s">
        <v>3305</v>
      </c>
      <c r="C433" s="71">
        <v>232.13199999999998</v>
      </c>
      <c r="D433" s="71">
        <v>0</v>
      </c>
      <c r="E433" s="71">
        <v>0</v>
      </c>
      <c r="F433" s="71">
        <v>0.13500000000000001</v>
      </c>
      <c r="G433" s="71">
        <v>0.64599999999999991</v>
      </c>
      <c r="H433" s="71">
        <v>0</v>
      </c>
      <c r="I433" s="71">
        <v>0</v>
      </c>
      <c r="J433" s="71">
        <v>0</v>
      </c>
      <c r="K433" s="71">
        <v>0</v>
      </c>
      <c r="L433" s="71">
        <v>0</v>
      </c>
      <c r="M433" s="71">
        <v>0</v>
      </c>
      <c r="N433" s="71">
        <v>0</v>
      </c>
      <c r="O433" s="71">
        <v>0</v>
      </c>
      <c r="P433" s="71">
        <v>0</v>
      </c>
      <c r="Q433" s="71">
        <v>0</v>
      </c>
      <c r="R433" s="71">
        <v>180.5</v>
      </c>
      <c r="S433" s="71">
        <v>13.921999999999999</v>
      </c>
      <c r="T433" s="71">
        <v>0</v>
      </c>
    </row>
    <row r="434" spans="1:20">
      <c r="A434" s="71" t="s">
        <v>2498</v>
      </c>
      <c r="B434" s="71" t="s">
        <v>2922</v>
      </c>
      <c r="C434" s="71">
        <v>6686.4409999999998</v>
      </c>
      <c r="D434" s="71">
        <v>0.75599999999999989</v>
      </c>
      <c r="E434" s="71">
        <v>0</v>
      </c>
      <c r="F434" s="71">
        <v>9.5059999999999985</v>
      </c>
      <c r="G434" s="71">
        <v>140.99199999999999</v>
      </c>
      <c r="H434" s="71">
        <v>54.902999999999999</v>
      </c>
      <c r="I434" s="71">
        <v>0</v>
      </c>
      <c r="J434" s="71">
        <v>0</v>
      </c>
      <c r="K434" s="71">
        <v>0</v>
      </c>
      <c r="L434" s="71">
        <v>3.9929999999999999</v>
      </c>
      <c r="M434" s="71">
        <v>4.0029999999999992</v>
      </c>
      <c r="N434" s="71">
        <v>2.3439999999999999</v>
      </c>
      <c r="O434" s="71">
        <v>0</v>
      </c>
      <c r="P434" s="71">
        <v>182.92899999999997</v>
      </c>
      <c r="Q434" s="71">
        <v>211.33</v>
      </c>
      <c r="R434" s="71">
        <v>4478</v>
      </c>
      <c r="S434" s="71">
        <v>829.83899999999994</v>
      </c>
      <c r="T434" s="71">
        <v>277</v>
      </c>
    </row>
    <row r="435" spans="1:20">
      <c r="A435" s="71" t="s">
        <v>1670</v>
      </c>
      <c r="B435" s="71" t="s">
        <v>2923</v>
      </c>
      <c r="C435" s="71">
        <v>7990.56</v>
      </c>
      <c r="D435" s="71">
        <v>4.0389999999999997</v>
      </c>
      <c r="E435" s="71">
        <v>0.40099999999999997</v>
      </c>
      <c r="F435" s="71">
        <v>10.232999999999999</v>
      </c>
      <c r="G435" s="71">
        <v>151.50899999999999</v>
      </c>
      <c r="H435" s="71">
        <v>87.825999999999993</v>
      </c>
      <c r="I435" s="71">
        <v>0</v>
      </c>
      <c r="J435" s="71">
        <v>0</v>
      </c>
      <c r="K435" s="71">
        <v>0</v>
      </c>
      <c r="L435" s="71">
        <v>0</v>
      </c>
      <c r="M435" s="71">
        <v>18.413999999999998</v>
      </c>
      <c r="N435" s="71">
        <v>4.16</v>
      </c>
      <c r="O435" s="71">
        <v>0</v>
      </c>
      <c r="P435" s="71">
        <v>199.00299999999999</v>
      </c>
      <c r="Q435" s="71">
        <v>298.34799999999996</v>
      </c>
      <c r="R435" s="71">
        <v>6162.8</v>
      </c>
      <c r="S435" s="71">
        <v>928.80499999999995</v>
      </c>
      <c r="T435" s="71">
        <v>399.52799999999996</v>
      </c>
    </row>
    <row r="436" spans="1:20">
      <c r="A436" s="71" t="s">
        <v>1867</v>
      </c>
      <c r="B436" s="71" t="s">
        <v>3846</v>
      </c>
      <c r="C436" s="71">
        <v>227.76399999999998</v>
      </c>
      <c r="D436" s="71">
        <v>0</v>
      </c>
      <c r="E436" s="71">
        <v>0</v>
      </c>
      <c r="F436" s="71">
        <v>0.36499999999999999</v>
      </c>
      <c r="G436" s="71">
        <v>12.886999999999999</v>
      </c>
      <c r="H436" s="71">
        <v>7.5999999999999998E-2</v>
      </c>
      <c r="I436" s="71">
        <v>0</v>
      </c>
      <c r="J436" s="71">
        <v>0</v>
      </c>
      <c r="K436" s="71">
        <v>0</v>
      </c>
      <c r="L436" s="71">
        <v>0</v>
      </c>
      <c r="M436" s="71">
        <v>3.9429999999999996</v>
      </c>
      <c r="N436" s="71">
        <v>0</v>
      </c>
      <c r="O436" s="71">
        <v>0</v>
      </c>
      <c r="P436" s="71">
        <v>2.4509999999999996</v>
      </c>
      <c r="Q436" s="71">
        <v>8.9909999999999997</v>
      </c>
      <c r="R436" s="71">
        <v>125.8</v>
      </c>
      <c r="S436" s="71">
        <v>3.26</v>
      </c>
      <c r="T436" s="71">
        <v>5</v>
      </c>
    </row>
    <row r="437" spans="1:20">
      <c r="A437" s="71" t="s">
        <v>1672</v>
      </c>
      <c r="B437" s="71" t="s">
        <v>2924</v>
      </c>
      <c r="C437" s="71">
        <v>3518.3089999999997</v>
      </c>
      <c r="D437" s="71">
        <v>0.26299999999999996</v>
      </c>
      <c r="E437" s="71">
        <v>0</v>
      </c>
      <c r="F437" s="71">
        <v>5.9559999999999995</v>
      </c>
      <c r="G437" s="71">
        <v>72.748999999999995</v>
      </c>
      <c r="H437" s="71">
        <v>30.055999999999997</v>
      </c>
      <c r="I437" s="71">
        <v>0</v>
      </c>
      <c r="J437" s="71">
        <v>0</v>
      </c>
      <c r="K437" s="71">
        <v>0</v>
      </c>
      <c r="L437" s="71">
        <v>0</v>
      </c>
      <c r="M437" s="71">
        <v>3.218</v>
      </c>
      <c r="N437" s="71">
        <v>3.1179999999999999</v>
      </c>
      <c r="O437" s="71">
        <v>0</v>
      </c>
      <c r="P437" s="71">
        <v>131.965</v>
      </c>
      <c r="Q437" s="71">
        <v>131.31599999999997</v>
      </c>
      <c r="R437" s="71">
        <v>2680.3</v>
      </c>
      <c r="S437" s="71">
        <v>98.72399999999999</v>
      </c>
      <c r="T437" s="71">
        <v>175.91499999999999</v>
      </c>
    </row>
    <row r="438" spans="1:20">
      <c r="A438" s="71" t="s">
        <v>1674</v>
      </c>
      <c r="B438" s="71" t="s">
        <v>2925</v>
      </c>
      <c r="C438" s="71">
        <v>5394.0749999999998</v>
      </c>
      <c r="D438" s="71">
        <v>0.31299999999999994</v>
      </c>
      <c r="E438" s="71">
        <v>0</v>
      </c>
      <c r="F438" s="71">
        <v>7.8809999999999993</v>
      </c>
      <c r="G438" s="71">
        <v>76.91</v>
      </c>
      <c r="H438" s="71">
        <v>81.454999999999998</v>
      </c>
      <c r="I438" s="71">
        <v>0</v>
      </c>
      <c r="J438" s="71">
        <v>0.38299999999999995</v>
      </c>
      <c r="K438" s="71">
        <v>0</v>
      </c>
      <c r="L438" s="71">
        <v>0</v>
      </c>
      <c r="M438" s="71">
        <v>5.5159999999999991</v>
      </c>
      <c r="N438" s="71">
        <v>4.6669999999999998</v>
      </c>
      <c r="O438" s="71">
        <v>0</v>
      </c>
      <c r="P438" s="71">
        <v>97.296999999999997</v>
      </c>
      <c r="Q438" s="71">
        <v>222.05399999999997</v>
      </c>
      <c r="R438" s="71">
        <v>3468.8</v>
      </c>
      <c r="S438" s="71">
        <v>329.95699999999999</v>
      </c>
      <c r="T438" s="71">
        <v>269.70375000000001</v>
      </c>
    </row>
    <row r="439" spans="1:20">
      <c r="A439" s="71" t="s">
        <v>5048</v>
      </c>
      <c r="B439" s="71" t="s">
        <v>2926</v>
      </c>
      <c r="C439" s="71">
        <v>1108.6569999999999</v>
      </c>
      <c r="D439" s="71">
        <v>0.106</v>
      </c>
      <c r="E439" s="71">
        <v>0</v>
      </c>
      <c r="F439" s="71">
        <v>1.9059999999999999</v>
      </c>
      <c r="G439" s="71">
        <v>11.258999999999999</v>
      </c>
      <c r="H439" s="71">
        <v>4.7779999999999996</v>
      </c>
      <c r="I439" s="71">
        <v>0</v>
      </c>
      <c r="J439" s="71">
        <v>0</v>
      </c>
      <c r="K439" s="71">
        <v>0</v>
      </c>
      <c r="L439" s="71">
        <v>0.98199999999999998</v>
      </c>
      <c r="M439" s="71">
        <v>6.5000000000000002E-2</v>
      </c>
      <c r="N439" s="71">
        <v>1.097</v>
      </c>
      <c r="O439" s="71">
        <v>0</v>
      </c>
      <c r="P439" s="71">
        <v>100.05199999999999</v>
      </c>
      <c r="Q439" s="71">
        <v>47.026999999999994</v>
      </c>
      <c r="R439" s="71">
        <v>1148</v>
      </c>
      <c r="S439" s="71">
        <v>69.922999999999988</v>
      </c>
      <c r="T439" s="71">
        <v>55.432849999999995</v>
      </c>
    </row>
    <row r="440" spans="1:20">
      <c r="A440" s="71" t="s">
        <v>2392</v>
      </c>
      <c r="B440" s="71" t="s">
        <v>1458</v>
      </c>
      <c r="C440" s="71">
        <v>4235.6669999999995</v>
      </c>
      <c r="D440" s="71">
        <v>0.41</v>
      </c>
      <c r="E440" s="71">
        <v>0</v>
      </c>
      <c r="F440" s="71">
        <v>10.154</v>
      </c>
      <c r="G440" s="71">
        <v>90.376999999999995</v>
      </c>
      <c r="H440" s="71">
        <v>28.696999999999999</v>
      </c>
      <c r="I440" s="71">
        <v>0</v>
      </c>
      <c r="J440" s="71">
        <v>6.5999999999999989E-2</v>
      </c>
      <c r="K440" s="71">
        <v>0</v>
      </c>
      <c r="L440" s="71">
        <v>1.0459999999999998</v>
      </c>
      <c r="M440" s="71">
        <v>2.5389999999999997</v>
      </c>
      <c r="N440" s="71">
        <v>0.47599999999999998</v>
      </c>
      <c r="O440" s="71">
        <v>0</v>
      </c>
      <c r="P440" s="71">
        <v>34.745999999999995</v>
      </c>
      <c r="Q440" s="71">
        <v>200.70699999999999</v>
      </c>
      <c r="R440" s="71">
        <v>1298</v>
      </c>
      <c r="S440" s="71">
        <v>78.138999999999996</v>
      </c>
      <c r="T440" s="71">
        <v>211.78299999999999</v>
      </c>
    </row>
    <row r="441" spans="1:20">
      <c r="A441" s="71" t="s">
        <v>5050</v>
      </c>
      <c r="B441" s="71" t="s">
        <v>2927</v>
      </c>
      <c r="C441" s="71">
        <v>32824.894999999997</v>
      </c>
      <c r="D441" s="71">
        <v>1.4309999999999998</v>
      </c>
      <c r="E441" s="71">
        <v>0</v>
      </c>
      <c r="F441" s="71">
        <v>64.332999999999998</v>
      </c>
      <c r="G441" s="71">
        <v>714.17399999999998</v>
      </c>
      <c r="H441" s="71">
        <v>255.89500000000001</v>
      </c>
      <c r="I441" s="71">
        <v>0</v>
      </c>
      <c r="J441" s="71">
        <v>8.9009999999999998</v>
      </c>
      <c r="K441" s="71">
        <v>0</v>
      </c>
      <c r="L441" s="71">
        <v>0</v>
      </c>
      <c r="M441" s="71">
        <v>2.8050000000000002</v>
      </c>
      <c r="N441" s="71">
        <v>0</v>
      </c>
      <c r="O441" s="71">
        <v>9.7429999999999986</v>
      </c>
      <c r="P441" s="71">
        <v>357.79500000000002</v>
      </c>
      <c r="Q441" s="71">
        <v>955.07399999999996</v>
      </c>
      <c r="R441" s="71">
        <v>6144</v>
      </c>
      <c r="S441" s="71">
        <v>1818.9019999999998</v>
      </c>
      <c r="T441" s="71">
        <v>1641.2447499999998</v>
      </c>
    </row>
    <row r="442" spans="1:20">
      <c r="A442" s="71" t="s">
        <v>1311</v>
      </c>
      <c r="B442" s="71" t="s">
        <v>116</v>
      </c>
      <c r="C442" s="71">
        <v>5493.7179999999998</v>
      </c>
      <c r="D442" s="71">
        <v>0.80399999999999994</v>
      </c>
      <c r="E442" s="71">
        <v>0</v>
      </c>
      <c r="F442" s="71">
        <v>10.103</v>
      </c>
      <c r="G442" s="71">
        <v>160.655</v>
      </c>
      <c r="H442" s="71">
        <v>25.253999999999998</v>
      </c>
      <c r="I442" s="71">
        <v>0</v>
      </c>
      <c r="J442" s="71">
        <v>0.91799999999999993</v>
      </c>
      <c r="K442" s="71">
        <v>0</v>
      </c>
      <c r="L442" s="71">
        <v>4.2519999999999998</v>
      </c>
      <c r="M442" s="71">
        <v>6.0659999999999998</v>
      </c>
      <c r="N442" s="71">
        <v>0</v>
      </c>
      <c r="O442" s="71">
        <v>0</v>
      </c>
      <c r="P442" s="71">
        <v>4.4289999999999994</v>
      </c>
      <c r="Q442" s="71">
        <v>224.89899999999997</v>
      </c>
      <c r="R442" s="71">
        <v>184.7</v>
      </c>
      <c r="S442" s="71">
        <v>62.597999999999999</v>
      </c>
      <c r="T442" s="71">
        <v>274.68589999999995</v>
      </c>
    </row>
    <row r="443" spans="1:20">
      <c r="A443" s="71" t="s">
        <v>3222</v>
      </c>
      <c r="B443" s="71" t="s">
        <v>2928</v>
      </c>
      <c r="C443" s="71">
        <v>885.88099999999997</v>
      </c>
      <c r="D443" s="71">
        <v>0.16099999999999998</v>
      </c>
      <c r="E443" s="71">
        <v>0</v>
      </c>
      <c r="F443" s="71">
        <v>1.1889999999999998</v>
      </c>
      <c r="G443" s="71">
        <v>41.117999999999995</v>
      </c>
      <c r="H443" s="71">
        <v>0.98499999999999999</v>
      </c>
      <c r="I443" s="71">
        <v>0</v>
      </c>
      <c r="J443" s="71">
        <v>3.2539999999999996</v>
      </c>
      <c r="K443" s="71">
        <v>0</v>
      </c>
      <c r="L443" s="71">
        <v>0</v>
      </c>
      <c r="M443" s="71">
        <v>0.42199999999999999</v>
      </c>
      <c r="N443" s="71">
        <v>0.58799999999999997</v>
      </c>
      <c r="O443" s="71">
        <v>12.151</v>
      </c>
      <c r="P443" s="71">
        <v>0</v>
      </c>
      <c r="Q443" s="71">
        <v>31.35</v>
      </c>
      <c r="R443" s="71">
        <v>547.29999999999995</v>
      </c>
      <c r="S443" s="71">
        <v>37.812999999999995</v>
      </c>
      <c r="T443" s="71">
        <v>43</v>
      </c>
    </row>
    <row r="444" spans="1:20">
      <c r="A444" s="71" t="s">
        <v>3224</v>
      </c>
      <c r="B444" s="71" t="s">
        <v>2929</v>
      </c>
      <c r="C444" s="71">
        <v>147.13399999999999</v>
      </c>
      <c r="D444" s="71">
        <v>0</v>
      </c>
      <c r="E444" s="71">
        <v>0</v>
      </c>
      <c r="F444" s="71">
        <v>0.11</v>
      </c>
      <c r="G444" s="71">
        <v>6.4969999999999999</v>
      </c>
      <c r="H444" s="71">
        <v>0.14799999999999999</v>
      </c>
      <c r="I444" s="71">
        <v>0</v>
      </c>
      <c r="J444" s="71">
        <v>0</v>
      </c>
      <c r="K444" s="71">
        <v>0</v>
      </c>
      <c r="L444" s="71">
        <v>0</v>
      </c>
      <c r="M444" s="71">
        <v>1.4419999999999999</v>
      </c>
      <c r="N444" s="71">
        <v>0</v>
      </c>
      <c r="O444" s="71">
        <v>0</v>
      </c>
      <c r="P444" s="71">
        <v>3.6689999999999996</v>
      </c>
      <c r="Q444" s="71">
        <v>15.922999999999998</v>
      </c>
      <c r="R444" s="71">
        <v>123.3</v>
      </c>
      <c r="S444" s="71">
        <v>0</v>
      </c>
      <c r="T444" s="71">
        <v>7.3566999999999991</v>
      </c>
    </row>
    <row r="445" spans="1:20">
      <c r="A445" s="71" t="s">
        <v>3226</v>
      </c>
      <c r="B445" s="71" t="s">
        <v>2930</v>
      </c>
      <c r="C445" s="71">
        <v>27.605999999999998</v>
      </c>
      <c r="D445" s="71">
        <v>0</v>
      </c>
      <c r="E445" s="71">
        <v>0</v>
      </c>
      <c r="F445" s="71">
        <v>0</v>
      </c>
      <c r="G445" s="71">
        <v>0</v>
      </c>
      <c r="H445" s="71">
        <v>0.45199999999999996</v>
      </c>
      <c r="I445" s="71">
        <v>0</v>
      </c>
      <c r="J445" s="71">
        <v>0</v>
      </c>
      <c r="K445" s="71">
        <v>0</v>
      </c>
      <c r="L445" s="71">
        <v>0</v>
      </c>
      <c r="M445" s="71">
        <v>0</v>
      </c>
      <c r="N445" s="71">
        <v>0</v>
      </c>
      <c r="O445" s="71">
        <v>0</v>
      </c>
      <c r="P445" s="71">
        <v>0</v>
      </c>
      <c r="Q445" s="71">
        <v>0</v>
      </c>
      <c r="R445" s="71">
        <v>0</v>
      </c>
      <c r="S445" s="71">
        <v>0</v>
      </c>
      <c r="T445" s="71">
        <v>0</v>
      </c>
    </row>
    <row r="446" spans="1:20">
      <c r="A446" s="71" t="s">
        <v>3228</v>
      </c>
      <c r="B446" s="71" t="s">
        <v>2931</v>
      </c>
      <c r="C446" s="71">
        <v>2675.9759999999997</v>
      </c>
      <c r="D446" s="71">
        <v>0.01</v>
      </c>
      <c r="E446" s="71">
        <v>0</v>
      </c>
      <c r="F446" s="71">
        <v>2.4509999999999996</v>
      </c>
      <c r="G446" s="71">
        <v>77.276999999999987</v>
      </c>
      <c r="H446" s="71">
        <v>24.783999999999999</v>
      </c>
      <c r="I446" s="71">
        <v>0</v>
      </c>
      <c r="J446" s="71">
        <v>0.88</v>
      </c>
      <c r="K446" s="71">
        <v>0</v>
      </c>
      <c r="L446" s="71">
        <v>0</v>
      </c>
      <c r="M446" s="71">
        <v>7.3959999999999999</v>
      </c>
      <c r="N446" s="71">
        <v>0.32199999999999995</v>
      </c>
      <c r="O446" s="71">
        <v>0</v>
      </c>
      <c r="P446" s="71">
        <v>4.4719999999999995</v>
      </c>
      <c r="Q446" s="71">
        <v>163.20899999999997</v>
      </c>
      <c r="R446" s="71">
        <v>1277.7</v>
      </c>
      <c r="S446" s="71">
        <v>206.857</v>
      </c>
      <c r="T446" s="71">
        <v>133.79879999999997</v>
      </c>
    </row>
    <row r="447" spans="1:20">
      <c r="A447" s="71" t="s">
        <v>3230</v>
      </c>
      <c r="B447" s="71" t="s">
        <v>2932</v>
      </c>
      <c r="C447" s="71">
        <v>538.07299999999998</v>
      </c>
      <c r="D447" s="71">
        <v>0</v>
      </c>
      <c r="E447" s="71">
        <v>0</v>
      </c>
      <c r="F447" s="71">
        <v>0.35899999999999999</v>
      </c>
      <c r="G447" s="71">
        <v>26.665999999999997</v>
      </c>
      <c r="H447" s="71">
        <v>0</v>
      </c>
      <c r="I447" s="71">
        <v>0</v>
      </c>
      <c r="J447" s="71">
        <v>2.4359999999999999</v>
      </c>
      <c r="K447" s="71">
        <v>0</v>
      </c>
      <c r="L447" s="71">
        <v>0</v>
      </c>
      <c r="M447" s="71">
        <v>4.9429999999999996</v>
      </c>
      <c r="N447" s="71">
        <v>0</v>
      </c>
      <c r="O447" s="71">
        <v>0</v>
      </c>
      <c r="P447" s="71">
        <v>3.1749999999999998</v>
      </c>
      <c r="Q447" s="71">
        <v>26.866</v>
      </c>
      <c r="R447" s="71">
        <v>196.5</v>
      </c>
      <c r="S447" s="71">
        <v>11.42</v>
      </c>
      <c r="T447" s="71">
        <v>26.903649999999995</v>
      </c>
    </row>
    <row r="448" spans="1:20">
      <c r="A448" s="71" t="s">
        <v>3232</v>
      </c>
      <c r="B448" s="71" t="s">
        <v>3788</v>
      </c>
      <c r="C448" s="71">
        <v>278.10199999999998</v>
      </c>
      <c r="D448" s="71">
        <v>0</v>
      </c>
      <c r="E448" s="71">
        <v>0</v>
      </c>
      <c r="F448" s="71">
        <v>0.67799999999999994</v>
      </c>
      <c r="G448" s="71">
        <v>0.98699999999999999</v>
      </c>
      <c r="H448" s="71">
        <v>0</v>
      </c>
      <c r="I448" s="71">
        <v>0</v>
      </c>
      <c r="J448" s="71">
        <v>0.50299999999999989</v>
      </c>
      <c r="K448" s="71">
        <v>0</v>
      </c>
      <c r="L448" s="71">
        <v>0</v>
      </c>
      <c r="M448" s="71">
        <v>0</v>
      </c>
      <c r="N448" s="71">
        <v>0</v>
      </c>
      <c r="O448" s="71">
        <v>0</v>
      </c>
      <c r="P448" s="71">
        <v>19.510999999999999</v>
      </c>
      <c r="Q448" s="71">
        <v>15.322999999999999</v>
      </c>
      <c r="R448" s="71">
        <v>160.30000000000001</v>
      </c>
      <c r="S448" s="71">
        <v>24.722999999999999</v>
      </c>
      <c r="T448" s="71">
        <v>13.904999999999999</v>
      </c>
    </row>
    <row r="449" spans="1:20">
      <c r="A449" s="71" t="s">
        <v>1899</v>
      </c>
      <c r="B449" s="71" t="s">
        <v>3789</v>
      </c>
      <c r="C449" s="71">
        <v>1220.4009999999998</v>
      </c>
      <c r="D449" s="71">
        <v>7.0000000000000007E-2</v>
      </c>
      <c r="E449" s="71">
        <v>0</v>
      </c>
      <c r="F449" s="71">
        <v>1.9529999999999998</v>
      </c>
      <c r="G449" s="71">
        <v>37.825999999999993</v>
      </c>
      <c r="H449" s="71">
        <v>1.9509999999999998</v>
      </c>
      <c r="I449" s="71">
        <v>0</v>
      </c>
      <c r="J449" s="71">
        <v>0</v>
      </c>
      <c r="K449" s="71">
        <v>0</v>
      </c>
      <c r="L449" s="71">
        <v>0</v>
      </c>
      <c r="M449" s="71">
        <v>7.28</v>
      </c>
      <c r="N449" s="71">
        <v>0.11699999999999999</v>
      </c>
      <c r="O449" s="71">
        <v>7.4659999999999993</v>
      </c>
      <c r="P449" s="71">
        <v>41.595999999999997</v>
      </c>
      <c r="Q449" s="71">
        <v>61.122999999999998</v>
      </c>
      <c r="R449" s="71">
        <v>616.70000000000005</v>
      </c>
      <c r="S449" s="71">
        <v>26.161999999999999</v>
      </c>
      <c r="T449" s="71">
        <v>61.02</v>
      </c>
    </row>
    <row r="450" spans="1:20">
      <c r="A450" s="71" t="s">
        <v>1853</v>
      </c>
      <c r="B450" s="71" t="s">
        <v>4964</v>
      </c>
      <c r="C450" s="71">
        <v>2308.6459999999997</v>
      </c>
      <c r="D450" s="71">
        <v>0.246</v>
      </c>
      <c r="E450" s="71">
        <v>0</v>
      </c>
      <c r="F450" s="71">
        <v>1.825</v>
      </c>
      <c r="G450" s="71">
        <v>41.965999999999994</v>
      </c>
      <c r="H450" s="71">
        <v>16.401</v>
      </c>
      <c r="I450" s="71">
        <v>0</v>
      </c>
      <c r="J450" s="71">
        <v>0</v>
      </c>
      <c r="K450" s="71">
        <v>0</v>
      </c>
      <c r="L450" s="71">
        <v>0</v>
      </c>
      <c r="M450" s="71">
        <v>3.609</v>
      </c>
      <c r="N450" s="71">
        <v>2.4109999999999996</v>
      </c>
      <c r="O450" s="71">
        <v>0.70799999999999996</v>
      </c>
      <c r="P450" s="71">
        <v>87.845999999999989</v>
      </c>
      <c r="Q450" s="71">
        <v>130.73599999999999</v>
      </c>
      <c r="R450" s="71">
        <v>1649.2</v>
      </c>
      <c r="S450" s="71">
        <v>197.416</v>
      </c>
      <c r="T450" s="71">
        <v>115.43199999999999</v>
      </c>
    </row>
    <row r="451" spans="1:20">
      <c r="A451" s="71" t="s">
        <v>1901</v>
      </c>
      <c r="B451" s="71" t="s">
        <v>3790</v>
      </c>
      <c r="C451" s="71">
        <v>938.82099999999991</v>
      </c>
      <c r="D451" s="71">
        <v>3.9E-2</v>
      </c>
      <c r="E451" s="71">
        <v>0</v>
      </c>
      <c r="F451" s="71">
        <v>1.6019999999999999</v>
      </c>
      <c r="G451" s="71">
        <v>20.933</v>
      </c>
      <c r="H451" s="71">
        <v>4.2629999999999999</v>
      </c>
      <c r="I451" s="71">
        <v>0</v>
      </c>
      <c r="J451" s="71">
        <v>6.3999999999999987E-2</v>
      </c>
      <c r="K451" s="71">
        <v>0</v>
      </c>
      <c r="L451" s="71">
        <v>0</v>
      </c>
      <c r="M451" s="71">
        <v>0.12599999999999997</v>
      </c>
      <c r="N451" s="71">
        <v>1.216</v>
      </c>
      <c r="O451" s="71">
        <v>3.2879999999999998</v>
      </c>
      <c r="P451" s="71">
        <v>4.8569999999999993</v>
      </c>
      <c r="Q451" s="71">
        <v>38.948999999999998</v>
      </c>
      <c r="R451" s="71">
        <v>802.2</v>
      </c>
      <c r="S451" s="71">
        <v>91.600999999999999</v>
      </c>
      <c r="T451" s="71">
        <v>46.940999999999995</v>
      </c>
    </row>
    <row r="452" spans="1:20">
      <c r="A452" s="71" t="s">
        <v>1903</v>
      </c>
      <c r="B452" s="71" t="s">
        <v>3791</v>
      </c>
      <c r="C452" s="71">
        <v>212.52199999999999</v>
      </c>
      <c r="D452" s="71">
        <v>0</v>
      </c>
      <c r="E452" s="71">
        <v>0</v>
      </c>
      <c r="F452" s="71">
        <v>0.19500000000000001</v>
      </c>
      <c r="G452" s="71">
        <v>0.75099999999999989</v>
      </c>
      <c r="H452" s="71">
        <v>1.7919999999999998</v>
      </c>
      <c r="I452" s="71">
        <v>0</v>
      </c>
      <c r="J452" s="71">
        <v>0</v>
      </c>
      <c r="K452" s="71">
        <v>0</v>
      </c>
      <c r="L452" s="71">
        <v>0</v>
      </c>
      <c r="M452" s="71">
        <v>0</v>
      </c>
      <c r="N452" s="71">
        <v>0</v>
      </c>
      <c r="O452" s="71">
        <v>0</v>
      </c>
      <c r="P452" s="71">
        <v>17.305</v>
      </c>
      <c r="Q452" s="71">
        <v>12.818</v>
      </c>
      <c r="R452" s="71">
        <v>227.9</v>
      </c>
      <c r="S452" s="71">
        <v>13.35</v>
      </c>
      <c r="T452" s="71">
        <v>10.625999999999999</v>
      </c>
    </row>
    <row r="453" spans="1:20">
      <c r="A453" s="71" t="s">
        <v>52</v>
      </c>
      <c r="B453" s="71" t="s">
        <v>5666</v>
      </c>
      <c r="C453" s="71">
        <v>152.31399999999999</v>
      </c>
      <c r="D453" s="71">
        <v>0.16699999999999998</v>
      </c>
      <c r="E453" s="71">
        <v>0</v>
      </c>
      <c r="F453" s="71">
        <v>0.11</v>
      </c>
      <c r="G453" s="71">
        <v>5.1919999999999993</v>
      </c>
      <c r="H453" s="71">
        <v>0</v>
      </c>
      <c r="I453" s="71">
        <v>0</v>
      </c>
      <c r="J453" s="71">
        <v>0.622</v>
      </c>
      <c r="K453" s="71">
        <v>0</v>
      </c>
      <c r="L453" s="71">
        <v>0</v>
      </c>
      <c r="M453" s="71">
        <v>0</v>
      </c>
      <c r="N453" s="71">
        <v>0</v>
      </c>
      <c r="O453" s="71">
        <v>0</v>
      </c>
      <c r="P453" s="71">
        <v>4.7149999999999999</v>
      </c>
      <c r="Q453" s="71">
        <v>4.0979999999999999</v>
      </c>
      <c r="R453" s="71">
        <v>71.7</v>
      </c>
      <c r="S453" s="71">
        <v>0</v>
      </c>
      <c r="T453" s="71">
        <v>3</v>
      </c>
    </row>
    <row r="454" spans="1:20">
      <c r="A454" s="71" t="s">
        <v>54</v>
      </c>
      <c r="B454" s="71" t="s">
        <v>5667</v>
      </c>
      <c r="C454" s="71">
        <v>201.32299999999998</v>
      </c>
      <c r="D454" s="71">
        <v>0</v>
      </c>
      <c r="E454" s="71">
        <v>0</v>
      </c>
      <c r="F454" s="71">
        <v>0.28499999999999998</v>
      </c>
      <c r="G454" s="71">
        <v>5.34</v>
      </c>
      <c r="H454" s="71">
        <v>0.32399999999999995</v>
      </c>
      <c r="I454" s="71">
        <v>0</v>
      </c>
      <c r="J454" s="71">
        <v>0</v>
      </c>
      <c r="K454" s="71">
        <v>0</v>
      </c>
      <c r="L454" s="71">
        <v>0</v>
      </c>
      <c r="M454" s="71">
        <v>0</v>
      </c>
      <c r="N454" s="71">
        <v>0</v>
      </c>
      <c r="O454" s="71">
        <v>0</v>
      </c>
      <c r="P454" s="71">
        <v>2.7929999999999997</v>
      </c>
      <c r="Q454" s="71">
        <v>9.4350000000000005</v>
      </c>
      <c r="R454" s="71">
        <v>129.30000000000001</v>
      </c>
      <c r="S454" s="71">
        <v>1.341</v>
      </c>
      <c r="T454" s="71">
        <v>2</v>
      </c>
    </row>
    <row r="455" spans="1:20">
      <c r="A455" s="71" t="s">
        <v>6191</v>
      </c>
      <c r="B455" s="71" t="s">
        <v>3629</v>
      </c>
      <c r="C455" s="71">
        <v>3062.5619999999999</v>
      </c>
      <c r="D455" s="71">
        <v>0.23</v>
      </c>
      <c r="E455" s="71">
        <v>0</v>
      </c>
      <c r="F455" s="71">
        <v>4.4249999999999998</v>
      </c>
      <c r="G455" s="71">
        <v>73.322999999999993</v>
      </c>
      <c r="H455" s="71">
        <v>20.290999999999997</v>
      </c>
      <c r="I455" s="71">
        <v>0</v>
      </c>
      <c r="J455" s="71">
        <v>0.52500000000000002</v>
      </c>
      <c r="K455" s="71">
        <v>0</v>
      </c>
      <c r="L455" s="71">
        <v>0</v>
      </c>
      <c r="M455" s="71">
        <v>13.494</v>
      </c>
      <c r="N455" s="71">
        <v>2.41</v>
      </c>
      <c r="O455" s="71">
        <v>0</v>
      </c>
      <c r="P455" s="71">
        <v>88.833999999999989</v>
      </c>
      <c r="Q455" s="71">
        <v>101.026</v>
      </c>
      <c r="R455" s="71">
        <v>1719.8</v>
      </c>
      <c r="S455" s="71">
        <v>213.46199999999999</v>
      </c>
      <c r="T455" s="71">
        <v>153.12799999999999</v>
      </c>
    </row>
    <row r="456" spans="1:20">
      <c r="A456" s="71" t="s">
        <v>732</v>
      </c>
      <c r="B456" s="71" t="s">
        <v>5668</v>
      </c>
      <c r="C456" s="71">
        <v>33.866</v>
      </c>
      <c r="D456" s="71">
        <v>0</v>
      </c>
      <c r="E456" s="71">
        <v>0</v>
      </c>
      <c r="F456" s="71">
        <v>3.7999999999999999E-2</v>
      </c>
      <c r="G456" s="71">
        <v>0</v>
      </c>
      <c r="H456" s="71">
        <v>0</v>
      </c>
      <c r="I456" s="71">
        <v>0</v>
      </c>
      <c r="J456" s="71">
        <v>0</v>
      </c>
      <c r="K456" s="71">
        <v>0</v>
      </c>
      <c r="L456" s="71">
        <v>0</v>
      </c>
      <c r="M456" s="71">
        <v>0</v>
      </c>
      <c r="N456" s="71">
        <v>0</v>
      </c>
      <c r="O456" s="71">
        <v>0</v>
      </c>
      <c r="P456" s="71">
        <v>0</v>
      </c>
      <c r="Q456" s="71">
        <v>0</v>
      </c>
      <c r="R456" s="71">
        <v>6.2</v>
      </c>
      <c r="S456" s="71">
        <v>0</v>
      </c>
      <c r="T456" s="71">
        <v>1.6929999999999998</v>
      </c>
    </row>
    <row r="457" spans="1:20">
      <c r="A457" s="71" t="s">
        <v>949</v>
      </c>
      <c r="B457" s="71" t="s">
        <v>7653</v>
      </c>
      <c r="C457" s="71">
        <v>730.59399999999994</v>
      </c>
      <c r="D457" s="71">
        <v>0.122</v>
      </c>
      <c r="E457" s="71">
        <v>0</v>
      </c>
      <c r="F457" s="71">
        <v>2.1150000000000002</v>
      </c>
      <c r="G457" s="71">
        <v>36.390999999999998</v>
      </c>
      <c r="H457" s="71">
        <v>7.6879999999999997</v>
      </c>
      <c r="I457" s="71">
        <v>0</v>
      </c>
      <c r="J457" s="71">
        <v>0</v>
      </c>
      <c r="K457" s="71">
        <v>0</v>
      </c>
      <c r="L457" s="71">
        <v>0</v>
      </c>
      <c r="M457" s="71">
        <v>5.8139999999999992</v>
      </c>
      <c r="N457" s="71">
        <v>0</v>
      </c>
      <c r="O457" s="71">
        <v>0</v>
      </c>
      <c r="P457" s="71">
        <v>8.9239999999999995</v>
      </c>
      <c r="Q457" s="71">
        <v>33.857999999999997</v>
      </c>
      <c r="R457" s="71">
        <v>240.3</v>
      </c>
      <c r="S457" s="71">
        <v>2.4449999999999998</v>
      </c>
      <c r="T457" s="71">
        <v>36.529699999999998</v>
      </c>
    </row>
    <row r="458" spans="1:20">
      <c r="A458" s="71" t="s">
        <v>3980</v>
      </c>
      <c r="B458" s="71" t="s">
        <v>5669</v>
      </c>
      <c r="C458" s="71">
        <v>545.98099999999999</v>
      </c>
      <c r="D458" s="71">
        <v>1.3999999999999999E-2</v>
      </c>
      <c r="E458" s="71">
        <v>0</v>
      </c>
      <c r="F458" s="71">
        <v>0.68199999999999994</v>
      </c>
      <c r="G458" s="71">
        <v>20.193999999999999</v>
      </c>
      <c r="H458" s="71">
        <v>0.73</v>
      </c>
      <c r="I458" s="71">
        <v>0</v>
      </c>
      <c r="J458" s="71">
        <v>4.8439999999999994</v>
      </c>
      <c r="K458" s="71">
        <v>0</v>
      </c>
      <c r="L458" s="71">
        <v>0</v>
      </c>
      <c r="M458" s="71">
        <v>0</v>
      </c>
      <c r="N458" s="71">
        <v>0</v>
      </c>
      <c r="O458" s="71">
        <v>0</v>
      </c>
      <c r="P458" s="71">
        <v>0.40699999999999997</v>
      </c>
      <c r="Q458" s="71">
        <v>27.165999999999997</v>
      </c>
      <c r="R458" s="71">
        <v>199.2</v>
      </c>
      <c r="S458" s="71">
        <v>7.319</v>
      </c>
      <c r="T458" s="71">
        <v>27</v>
      </c>
    </row>
    <row r="459" spans="1:20">
      <c r="A459" s="71" t="s">
        <v>3982</v>
      </c>
      <c r="B459" s="71" t="s">
        <v>5670</v>
      </c>
      <c r="C459" s="71">
        <v>4148.1749999999993</v>
      </c>
      <c r="D459" s="71">
        <v>1.8159999999999998</v>
      </c>
      <c r="E459" s="71">
        <v>0</v>
      </c>
      <c r="F459" s="71">
        <v>12.042999999999999</v>
      </c>
      <c r="G459" s="71">
        <v>227.99099999999999</v>
      </c>
      <c r="H459" s="71">
        <v>58.983999999999995</v>
      </c>
      <c r="I459" s="71">
        <v>0</v>
      </c>
      <c r="J459" s="71">
        <v>0</v>
      </c>
      <c r="K459" s="71">
        <v>0</v>
      </c>
      <c r="L459" s="71">
        <v>0</v>
      </c>
      <c r="M459" s="71">
        <v>25.968</v>
      </c>
      <c r="N459" s="71">
        <v>0.72299999999999998</v>
      </c>
      <c r="O459" s="71">
        <v>0</v>
      </c>
      <c r="P459" s="71">
        <v>30.344999999999999</v>
      </c>
      <c r="Q459" s="71">
        <v>234.78299999999999</v>
      </c>
      <c r="R459" s="71">
        <v>2352.5</v>
      </c>
      <c r="S459" s="71">
        <v>137.04499999999999</v>
      </c>
      <c r="T459" s="71">
        <v>192</v>
      </c>
    </row>
    <row r="460" spans="1:20">
      <c r="A460" s="71" t="s">
        <v>1871</v>
      </c>
      <c r="B460" s="71" t="s">
        <v>3851</v>
      </c>
      <c r="C460" s="71">
        <v>958.47699999999998</v>
      </c>
      <c r="D460" s="71">
        <v>0.35399999999999998</v>
      </c>
      <c r="E460" s="71">
        <v>0</v>
      </c>
      <c r="F460" s="71">
        <v>2.2989999999999999</v>
      </c>
      <c r="G460" s="71">
        <v>46.39</v>
      </c>
      <c r="H460" s="71">
        <v>2.238</v>
      </c>
      <c r="I460" s="71">
        <v>0</v>
      </c>
      <c r="J460" s="71">
        <v>4.7509999999999994</v>
      </c>
      <c r="K460" s="71">
        <v>0</v>
      </c>
      <c r="L460" s="71">
        <v>0</v>
      </c>
      <c r="M460" s="71">
        <v>7.7559999999999993</v>
      </c>
      <c r="N460" s="71">
        <v>0</v>
      </c>
      <c r="O460" s="71">
        <v>0</v>
      </c>
      <c r="P460" s="71">
        <v>9.7739999999999991</v>
      </c>
      <c r="Q460" s="71">
        <v>61.208999999999996</v>
      </c>
      <c r="R460" s="71">
        <v>331</v>
      </c>
      <c r="S460" s="71">
        <v>28.168999999999997</v>
      </c>
      <c r="T460" s="71">
        <v>47.923849999999995</v>
      </c>
    </row>
    <row r="461" spans="1:20">
      <c r="A461" s="71" t="s">
        <v>3116</v>
      </c>
      <c r="B461" s="71" t="s">
        <v>5242</v>
      </c>
      <c r="C461" s="71">
        <v>5893.9989999999998</v>
      </c>
      <c r="D461" s="71">
        <v>1.3029999999999999</v>
      </c>
      <c r="E461" s="71">
        <v>1.4999999999999999E-2</v>
      </c>
      <c r="F461" s="71">
        <v>9.5350000000000001</v>
      </c>
      <c r="G461" s="71">
        <v>259.22699999999998</v>
      </c>
      <c r="H461" s="71">
        <v>71.497</v>
      </c>
      <c r="I461" s="71">
        <v>0</v>
      </c>
      <c r="J461" s="71">
        <v>0</v>
      </c>
      <c r="K461" s="71">
        <v>0</v>
      </c>
      <c r="L461" s="71">
        <v>0</v>
      </c>
      <c r="M461" s="71">
        <v>5.8879999999999999</v>
      </c>
      <c r="N461" s="71">
        <v>2.1189999999999998</v>
      </c>
      <c r="O461" s="71">
        <v>1.0619999999999998</v>
      </c>
      <c r="P461" s="71">
        <v>27.605</v>
      </c>
      <c r="Q461" s="71">
        <v>207.66199999999998</v>
      </c>
      <c r="R461" s="71">
        <v>3424.3</v>
      </c>
      <c r="S461" s="71">
        <v>695.2589999999999</v>
      </c>
      <c r="T461" s="71">
        <v>294.69994999999994</v>
      </c>
    </row>
    <row r="462" spans="1:20">
      <c r="A462" s="71" t="s">
        <v>3118</v>
      </c>
      <c r="B462" s="71" t="s">
        <v>5243</v>
      </c>
      <c r="C462" s="71">
        <v>162.26399999999998</v>
      </c>
      <c r="D462" s="71">
        <v>0</v>
      </c>
      <c r="E462" s="71">
        <v>0</v>
      </c>
      <c r="F462" s="71">
        <v>0.16799999999999998</v>
      </c>
      <c r="G462" s="71">
        <v>6.6550000000000002</v>
      </c>
      <c r="H462" s="71">
        <v>0</v>
      </c>
      <c r="I462" s="71">
        <v>0</v>
      </c>
      <c r="J462" s="71">
        <v>1.7429999999999999</v>
      </c>
      <c r="K462" s="71">
        <v>0</v>
      </c>
      <c r="L462" s="71">
        <v>0</v>
      </c>
      <c r="M462" s="71">
        <v>0</v>
      </c>
      <c r="N462" s="71">
        <v>0</v>
      </c>
      <c r="O462" s="71">
        <v>0</v>
      </c>
      <c r="P462" s="71">
        <v>0</v>
      </c>
      <c r="Q462" s="71">
        <v>0</v>
      </c>
      <c r="R462" s="71">
        <v>88</v>
      </c>
      <c r="S462" s="71">
        <v>16.048999999999999</v>
      </c>
      <c r="T462" s="71">
        <v>5</v>
      </c>
    </row>
    <row r="463" spans="1:20">
      <c r="A463" s="71" t="s">
        <v>2836</v>
      </c>
      <c r="B463" s="71" t="s">
        <v>5373</v>
      </c>
      <c r="C463" s="71">
        <v>1320.8459999999998</v>
      </c>
      <c r="D463" s="71">
        <v>0</v>
      </c>
      <c r="E463" s="71">
        <v>0</v>
      </c>
      <c r="F463" s="71">
        <v>2.4279999999999999</v>
      </c>
      <c r="G463" s="71">
        <v>52.115000000000002</v>
      </c>
      <c r="H463" s="71">
        <v>0.64500000000000002</v>
      </c>
      <c r="I463" s="71">
        <v>0</v>
      </c>
      <c r="J463" s="71">
        <v>4.444</v>
      </c>
      <c r="K463" s="71">
        <v>0</v>
      </c>
      <c r="L463" s="71">
        <v>0</v>
      </c>
      <c r="M463" s="71">
        <v>4.4659999999999993</v>
      </c>
      <c r="N463" s="71">
        <v>0</v>
      </c>
      <c r="O463" s="71">
        <v>0</v>
      </c>
      <c r="P463" s="71">
        <v>5.2619999999999996</v>
      </c>
      <c r="Q463" s="71">
        <v>55.127999999999993</v>
      </c>
      <c r="R463" s="71">
        <v>317.2</v>
      </c>
      <c r="S463" s="71">
        <v>38.241</v>
      </c>
      <c r="T463" s="71">
        <v>66.041999999999987</v>
      </c>
    </row>
    <row r="464" spans="1:20">
      <c r="A464" s="71" t="s">
        <v>2838</v>
      </c>
      <c r="B464" s="71" t="s">
        <v>4071</v>
      </c>
      <c r="C464" s="71">
        <v>1553.502</v>
      </c>
      <c r="D464" s="71">
        <v>0.18</v>
      </c>
      <c r="E464" s="71">
        <v>0</v>
      </c>
      <c r="F464" s="71">
        <v>3.331</v>
      </c>
      <c r="G464" s="71">
        <v>76.431999999999988</v>
      </c>
      <c r="H464" s="71">
        <v>7.7109999999999994</v>
      </c>
      <c r="I464" s="71">
        <v>0</v>
      </c>
      <c r="J464" s="71">
        <v>2.746</v>
      </c>
      <c r="K464" s="71">
        <v>0</v>
      </c>
      <c r="L464" s="71">
        <v>0</v>
      </c>
      <c r="M464" s="71">
        <v>7.9869999999999992</v>
      </c>
      <c r="N464" s="71">
        <v>0.214</v>
      </c>
      <c r="O464" s="71">
        <v>7.3999999999999996E-2</v>
      </c>
      <c r="P464" s="71">
        <v>12.366999999999999</v>
      </c>
      <c r="Q464" s="71">
        <v>89.026999999999987</v>
      </c>
      <c r="R464" s="71">
        <v>701.2</v>
      </c>
      <c r="S464" s="71">
        <v>32.077999999999996</v>
      </c>
      <c r="T464" s="71">
        <v>77.674999999999997</v>
      </c>
    </row>
    <row r="465" spans="1:20">
      <c r="A465" s="71" t="s">
        <v>5220</v>
      </c>
      <c r="B465" s="71" t="s">
        <v>5244</v>
      </c>
      <c r="C465" s="71">
        <v>752.02299999999991</v>
      </c>
      <c r="D465" s="71">
        <v>2.5000000000000001E-2</v>
      </c>
      <c r="E465" s="71">
        <v>0</v>
      </c>
      <c r="F465" s="71">
        <v>1.119</v>
      </c>
      <c r="G465" s="71">
        <v>50.483999999999995</v>
      </c>
      <c r="H465" s="71">
        <v>2.9449999999999998</v>
      </c>
      <c r="I465" s="71">
        <v>0</v>
      </c>
      <c r="J465" s="71">
        <v>5.9319999999999995</v>
      </c>
      <c r="K465" s="71">
        <v>0</v>
      </c>
      <c r="L465" s="71">
        <v>0</v>
      </c>
      <c r="M465" s="71">
        <v>5.9259999999999993</v>
      </c>
      <c r="N465" s="71">
        <v>9.5999999999999988E-2</v>
      </c>
      <c r="O465" s="71">
        <v>2.2729999999999997</v>
      </c>
      <c r="P465" s="71">
        <v>0.72699999999999998</v>
      </c>
      <c r="Q465" s="71">
        <v>39.308</v>
      </c>
      <c r="R465" s="71">
        <v>302</v>
      </c>
      <c r="S465" s="71">
        <v>5.98</v>
      </c>
      <c r="T465" s="71">
        <v>37.600999999999999</v>
      </c>
    </row>
    <row r="466" spans="1:20">
      <c r="A466" s="71" t="s">
        <v>5129</v>
      </c>
      <c r="B466" s="71" t="s">
        <v>347</v>
      </c>
      <c r="C466" s="71">
        <v>1241.2950000000001</v>
      </c>
      <c r="D466" s="71">
        <v>0</v>
      </c>
      <c r="E466" s="71">
        <v>0</v>
      </c>
      <c r="F466" s="71">
        <v>2.6389999999999998</v>
      </c>
      <c r="G466" s="71">
        <v>59.603999999999999</v>
      </c>
      <c r="H466" s="71">
        <v>5.617</v>
      </c>
      <c r="I466" s="71">
        <v>0</v>
      </c>
      <c r="J466" s="71">
        <v>1.2089999999999999</v>
      </c>
      <c r="K466" s="71">
        <v>0</v>
      </c>
      <c r="L466" s="71">
        <v>0</v>
      </c>
      <c r="M466" s="71">
        <v>5.1779999999999999</v>
      </c>
      <c r="N466" s="71">
        <v>0.66099999999999992</v>
      </c>
      <c r="O466" s="71">
        <v>0</v>
      </c>
      <c r="P466" s="71">
        <v>6.9969999999999999</v>
      </c>
      <c r="Q466" s="71">
        <v>60.061999999999998</v>
      </c>
      <c r="R466" s="71">
        <v>394.8</v>
      </c>
      <c r="S466" s="71">
        <v>10.705</v>
      </c>
      <c r="T466" s="71">
        <v>62.064749999999997</v>
      </c>
    </row>
    <row r="467" spans="1:20">
      <c r="A467" s="71" t="s">
        <v>5222</v>
      </c>
      <c r="B467" s="71" t="s">
        <v>3192</v>
      </c>
      <c r="C467" s="71">
        <v>818.95</v>
      </c>
      <c r="D467" s="71">
        <v>0</v>
      </c>
      <c r="E467" s="71">
        <v>0</v>
      </c>
      <c r="F467" s="71">
        <v>1.46</v>
      </c>
      <c r="G467" s="71">
        <v>29.053999999999998</v>
      </c>
      <c r="H467" s="71">
        <v>3.4709999999999996</v>
      </c>
      <c r="I467" s="71">
        <v>0</v>
      </c>
      <c r="J467" s="71">
        <v>6.7919999999999998</v>
      </c>
      <c r="K467" s="71">
        <v>0</v>
      </c>
      <c r="L467" s="71">
        <v>0</v>
      </c>
      <c r="M467" s="71">
        <v>4.8</v>
      </c>
      <c r="N467" s="71">
        <v>0</v>
      </c>
      <c r="O467" s="71">
        <v>0</v>
      </c>
      <c r="P467" s="71">
        <v>2.9259999999999997</v>
      </c>
      <c r="Q467" s="71">
        <v>42.438999999999993</v>
      </c>
      <c r="R467" s="71">
        <v>284.5</v>
      </c>
      <c r="S467" s="71">
        <v>3.327</v>
      </c>
      <c r="T467" s="71">
        <v>40.947499999999998</v>
      </c>
    </row>
    <row r="468" spans="1:20">
      <c r="A468" s="71" t="s">
        <v>1858</v>
      </c>
      <c r="B468" s="71" t="s">
        <v>3914</v>
      </c>
      <c r="C468" s="71">
        <v>810.7639999999999</v>
      </c>
      <c r="D468" s="71">
        <v>0.17099999999999999</v>
      </c>
      <c r="E468" s="71">
        <v>0</v>
      </c>
      <c r="F468" s="71">
        <v>1.4179999999999999</v>
      </c>
      <c r="G468" s="71">
        <v>47.2</v>
      </c>
      <c r="H468" s="71">
        <v>0.83299999999999996</v>
      </c>
      <c r="I468" s="71">
        <v>0</v>
      </c>
      <c r="J468" s="71">
        <v>3.0039999999999996</v>
      </c>
      <c r="K468" s="71">
        <v>0</v>
      </c>
      <c r="L468" s="71">
        <v>0</v>
      </c>
      <c r="M468" s="71">
        <v>4.8069999999999995</v>
      </c>
      <c r="N468" s="71">
        <v>0</v>
      </c>
      <c r="O468" s="71">
        <v>0</v>
      </c>
      <c r="P468" s="71">
        <v>8.8939999999999984</v>
      </c>
      <c r="Q468" s="71">
        <v>39.087999999999994</v>
      </c>
      <c r="R468" s="71">
        <v>225.3</v>
      </c>
      <c r="S468" s="71">
        <v>58.110999999999997</v>
      </c>
      <c r="T468" s="71">
        <v>40.537999999999997</v>
      </c>
    </row>
    <row r="469" spans="1:20">
      <c r="A469" s="71" t="s">
        <v>5224</v>
      </c>
      <c r="B469" s="71" t="s">
        <v>7160</v>
      </c>
      <c r="C469" s="71">
        <v>820.27</v>
      </c>
      <c r="D469" s="71">
        <v>0</v>
      </c>
      <c r="E469" s="71">
        <v>0</v>
      </c>
      <c r="F469" s="71">
        <v>1.351</v>
      </c>
      <c r="G469" s="71">
        <v>41.494999999999997</v>
      </c>
      <c r="H469" s="71">
        <v>1.0289999999999999</v>
      </c>
      <c r="I469" s="71">
        <v>0</v>
      </c>
      <c r="J469" s="71">
        <v>3.4409999999999998</v>
      </c>
      <c r="K469" s="71">
        <v>0</v>
      </c>
      <c r="L469" s="71">
        <v>0</v>
      </c>
      <c r="M469" s="71">
        <v>0.77899999999999991</v>
      </c>
      <c r="N469" s="71">
        <v>0</v>
      </c>
      <c r="O469" s="71">
        <v>2.2349999999999999</v>
      </c>
      <c r="P469" s="71">
        <v>9.0119999999999987</v>
      </c>
      <c r="Q469" s="71">
        <v>37.133999999999993</v>
      </c>
      <c r="R469" s="71">
        <v>262.2</v>
      </c>
      <c r="S469" s="71">
        <v>3.3159999999999998</v>
      </c>
      <c r="T469" s="71">
        <v>41.013499999999993</v>
      </c>
    </row>
    <row r="470" spans="1:20">
      <c r="A470" s="71" t="s">
        <v>5226</v>
      </c>
      <c r="B470" s="71" t="s">
        <v>3306</v>
      </c>
      <c r="C470" s="71">
        <v>131.97</v>
      </c>
      <c r="D470" s="71">
        <v>0</v>
      </c>
      <c r="E470" s="71">
        <v>0</v>
      </c>
      <c r="F470" s="71">
        <v>0</v>
      </c>
      <c r="G470" s="71">
        <v>0</v>
      </c>
      <c r="H470" s="71">
        <v>0</v>
      </c>
      <c r="I470" s="71">
        <v>0</v>
      </c>
      <c r="J470" s="71">
        <v>0</v>
      </c>
      <c r="K470" s="71">
        <v>0</v>
      </c>
      <c r="L470" s="71">
        <v>0</v>
      </c>
      <c r="M470" s="71">
        <v>0</v>
      </c>
      <c r="N470" s="71">
        <v>2.2939999999999996</v>
      </c>
      <c r="O470" s="71">
        <v>0</v>
      </c>
      <c r="P470" s="71">
        <v>0</v>
      </c>
      <c r="Q470" s="71">
        <v>42.585000000000001</v>
      </c>
      <c r="R470" s="71">
        <v>46.8</v>
      </c>
      <c r="S470" s="71">
        <v>0</v>
      </c>
      <c r="T470" s="71">
        <v>0</v>
      </c>
    </row>
    <row r="471" spans="1:20">
      <c r="A471" s="71" t="s">
        <v>5228</v>
      </c>
      <c r="B471" s="71" t="s">
        <v>7161</v>
      </c>
      <c r="C471" s="71">
        <v>2021.85</v>
      </c>
      <c r="D471" s="71">
        <v>0.20399999999999999</v>
      </c>
      <c r="E471" s="71">
        <v>23.098999999999997</v>
      </c>
      <c r="F471" s="71">
        <v>4.3619999999999992</v>
      </c>
      <c r="G471" s="71">
        <v>59.767999999999994</v>
      </c>
      <c r="H471" s="71">
        <v>23.006999999999998</v>
      </c>
      <c r="I471" s="71">
        <v>0</v>
      </c>
      <c r="J471" s="71">
        <v>5.0750000000000002</v>
      </c>
      <c r="K471" s="71">
        <v>0</v>
      </c>
      <c r="L471" s="71">
        <v>0</v>
      </c>
      <c r="M471" s="71">
        <v>7.8039999999999994</v>
      </c>
      <c r="N471" s="71">
        <v>1.3259999999999998</v>
      </c>
      <c r="O471" s="71">
        <v>30.51</v>
      </c>
      <c r="P471" s="71">
        <v>17.72</v>
      </c>
      <c r="Q471" s="71">
        <v>130.81899999999999</v>
      </c>
      <c r="R471" s="71">
        <v>1304.8</v>
      </c>
      <c r="S471" s="71">
        <v>40.006999999999998</v>
      </c>
      <c r="T471" s="71">
        <v>101.0925</v>
      </c>
    </row>
    <row r="472" spans="1:20">
      <c r="A472" s="71" t="s">
        <v>5230</v>
      </c>
      <c r="B472" s="71" t="s">
        <v>7162</v>
      </c>
      <c r="C472" s="71">
        <v>3409.23</v>
      </c>
      <c r="D472" s="71">
        <v>0.30599999999999999</v>
      </c>
      <c r="E472" s="71">
        <v>0</v>
      </c>
      <c r="F472" s="71">
        <v>5.2009999999999996</v>
      </c>
      <c r="G472" s="71">
        <v>99.99</v>
      </c>
      <c r="H472" s="71">
        <v>23.27</v>
      </c>
      <c r="I472" s="71">
        <v>0</v>
      </c>
      <c r="J472" s="71">
        <v>0</v>
      </c>
      <c r="K472" s="71">
        <v>0</v>
      </c>
      <c r="L472" s="71">
        <v>0</v>
      </c>
      <c r="M472" s="71">
        <v>0</v>
      </c>
      <c r="N472" s="71">
        <v>1.9369999999999998</v>
      </c>
      <c r="O472" s="71">
        <v>4.55</v>
      </c>
      <c r="P472" s="71">
        <v>36.683999999999997</v>
      </c>
      <c r="Q472" s="71">
        <v>176.62299999999999</v>
      </c>
      <c r="R472" s="71">
        <v>2087.6999999999998</v>
      </c>
      <c r="S472" s="71">
        <v>314.541</v>
      </c>
      <c r="T472" s="71">
        <v>170.46149999999997</v>
      </c>
    </row>
    <row r="473" spans="1:20">
      <c r="A473" s="71" t="s">
        <v>2994</v>
      </c>
      <c r="B473" s="71" t="s">
        <v>199</v>
      </c>
      <c r="C473" s="71">
        <v>7642.83</v>
      </c>
      <c r="D473" s="71">
        <v>0.19199999999999998</v>
      </c>
      <c r="E473" s="71">
        <v>14.085000000000001</v>
      </c>
      <c r="F473" s="71">
        <v>12.062999999999999</v>
      </c>
      <c r="G473" s="71">
        <v>206.96</v>
      </c>
      <c r="H473" s="71">
        <v>68.557999999999993</v>
      </c>
      <c r="I473" s="71">
        <v>0</v>
      </c>
      <c r="J473" s="71">
        <v>5.1589999999999998</v>
      </c>
      <c r="K473" s="71">
        <v>0</v>
      </c>
      <c r="L473" s="71">
        <v>0</v>
      </c>
      <c r="M473" s="71">
        <v>1.4650000000000001</v>
      </c>
      <c r="N473" s="71">
        <v>2.9389999999999996</v>
      </c>
      <c r="O473" s="71">
        <v>3.7979999999999996</v>
      </c>
      <c r="P473" s="71">
        <v>280.17699999999996</v>
      </c>
      <c r="Q473" s="71">
        <v>294.45399999999995</v>
      </c>
      <c r="R473" s="71">
        <v>5525.3</v>
      </c>
      <c r="S473" s="71">
        <v>889.16</v>
      </c>
      <c r="T473" s="71">
        <v>382.14099999999996</v>
      </c>
    </row>
    <row r="474" spans="1:20">
      <c r="A474" s="71" t="s">
        <v>7723</v>
      </c>
      <c r="B474" s="71" t="s">
        <v>7163</v>
      </c>
      <c r="C474" s="71">
        <v>4338.4629999999997</v>
      </c>
      <c r="D474" s="71">
        <v>0.59699999999999998</v>
      </c>
      <c r="E474" s="71">
        <v>0</v>
      </c>
      <c r="F474" s="71">
        <v>9.1289999999999996</v>
      </c>
      <c r="G474" s="71">
        <v>90.138999999999996</v>
      </c>
      <c r="H474" s="71">
        <v>32.981999999999999</v>
      </c>
      <c r="I474" s="71">
        <v>0</v>
      </c>
      <c r="J474" s="71">
        <v>0</v>
      </c>
      <c r="K474" s="71">
        <v>0</v>
      </c>
      <c r="L474" s="71">
        <v>0</v>
      </c>
      <c r="M474" s="71">
        <v>10.039999999999999</v>
      </c>
      <c r="N474" s="71">
        <v>1.702</v>
      </c>
      <c r="O474" s="71">
        <v>5.4119999999999999</v>
      </c>
      <c r="P474" s="71">
        <v>98.890999999999991</v>
      </c>
      <c r="Q474" s="71">
        <v>206.863</v>
      </c>
      <c r="R474" s="71">
        <v>1918.5</v>
      </c>
      <c r="S474" s="71">
        <v>271.90299999999996</v>
      </c>
      <c r="T474" s="71">
        <v>216.92299999999997</v>
      </c>
    </row>
    <row r="475" spans="1:20">
      <c r="A475" s="71" t="s">
        <v>221</v>
      </c>
      <c r="B475" s="71" t="s">
        <v>7164</v>
      </c>
      <c r="C475" s="71">
        <v>1197.9179999999999</v>
      </c>
      <c r="D475" s="71">
        <v>8.3999999999999991E-2</v>
      </c>
      <c r="E475" s="71">
        <v>0</v>
      </c>
      <c r="F475" s="71">
        <v>2.0659999999999998</v>
      </c>
      <c r="G475" s="71">
        <v>28.517999999999997</v>
      </c>
      <c r="H475" s="71">
        <v>10.893999999999998</v>
      </c>
      <c r="I475" s="71">
        <v>0</v>
      </c>
      <c r="J475" s="71">
        <v>2.3989999999999996</v>
      </c>
      <c r="K475" s="71">
        <v>0</v>
      </c>
      <c r="L475" s="71">
        <v>0</v>
      </c>
      <c r="M475" s="71">
        <v>8.0269999999999992</v>
      </c>
      <c r="N475" s="71">
        <v>0</v>
      </c>
      <c r="O475" s="71">
        <v>0</v>
      </c>
      <c r="P475" s="71">
        <v>27.335999999999999</v>
      </c>
      <c r="Q475" s="71">
        <v>58.858999999999995</v>
      </c>
      <c r="R475" s="71">
        <v>508.7</v>
      </c>
      <c r="S475" s="71">
        <v>42.457999999999998</v>
      </c>
      <c r="T475" s="71">
        <v>59.89589999999999</v>
      </c>
    </row>
    <row r="476" spans="1:20">
      <c r="A476" s="71" t="s">
        <v>2406</v>
      </c>
      <c r="B476" s="71" t="s">
        <v>2351</v>
      </c>
      <c r="C476" s="71">
        <v>1686.1519999999998</v>
      </c>
      <c r="D476" s="71">
        <v>0.24099999999999999</v>
      </c>
      <c r="E476" s="71">
        <v>0</v>
      </c>
      <c r="F476" s="71">
        <v>2.0079999999999996</v>
      </c>
      <c r="G476" s="71">
        <v>30.085000000000001</v>
      </c>
      <c r="H476" s="71">
        <v>7.3729999999999993</v>
      </c>
      <c r="I476" s="71">
        <v>0</v>
      </c>
      <c r="J476" s="71">
        <v>1.5569999999999999</v>
      </c>
      <c r="K476" s="71">
        <v>0</v>
      </c>
      <c r="L476" s="71">
        <v>0</v>
      </c>
      <c r="M476" s="71">
        <v>4.9349999999999996</v>
      </c>
      <c r="N476" s="71">
        <v>0</v>
      </c>
      <c r="O476" s="71">
        <v>4.3999999999999997E-2</v>
      </c>
      <c r="P476" s="71">
        <v>19.085000000000001</v>
      </c>
      <c r="Q476" s="71">
        <v>83.717999999999989</v>
      </c>
      <c r="R476" s="71">
        <v>434.2</v>
      </c>
      <c r="S476" s="71">
        <v>39.922999999999995</v>
      </c>
      <c r="T476" s="71">
        <v>84.307599999999994</v>
      </c>
    </row>
    <row r="477" spans="1:20">
      <c r="A477" s="71" t="s">
        <v>223</v>
      </c>
      <c r="B477" s="71" t="s">
        <v>7165</v>
      </c>
      <c r="C477" s="71">
        <v>1287.5379999999998</v>
      </c>
      <c r="D477" s="71">
        <v>3.1999999999999994E-2</v>
      </c>
      <c r="E477" s="71">
        <v>0</v>
      </c>
      <c r="F477" s="71">
        <v>2.2009999999999996</v>
      </c>
      <c r="G477" s="71">
        <v>21.776</v>
      </c>
      <c r="H477" s="71">
        <v>4.0169999999999995</v>
      </c>
      <c r="I477" s="71">
        <v>0</v>
      </c>
      <c r="J477" s="71">
        <v>1.6119999999999999</v>
      </c>
      <c r="K477" s="71">
        <v>0</v>
      </c>
      <c r="L477" s="71">
        <v>0</v>
      </c>
      <c r="M477" s="71">
        <v>0.6369999999999999</v>
      </c>
      <c r="N477" s="71">
        <v>0</v>
      </c>
      <c r="O477" s="71">
        <v>0.44399999999999995</v>
      </c>
      <c r="P477" s="71">
        <v>24.218</v>
      </c>
      <c r="Q477" s="71">
        <v>51.888999999999996</v>
      </c>
      <c r="R477" s="71">
        <v>377.2</v>
      </c>
      <c r="S477" s="71">
        <v>7.27</v>
      </c>
      <c r="T477" s="71">
        <v>64.376899999999992</v>
      </c>
    </row>
    <row r="478" spans="1:20">
      <c r="A478" s="71" t="s">
        <v>3307</v>
      </c>
      <c r="B478" s="71" t="s">
        <v>1020</v>
      </c>
      <c r="C478" s="71">
        <v>0</v>
      </c>
      <c r="D478" s="71">
        <v>0</v>
      </c>
      <c r="E478" s="71">
        <v>0</v>
      </c>
      <c r="F478" s="71">
        <v>0</v>
      </c>
      <c r="G478" s="71">
        <v>0</v>
      </c>
      <c r="H478" s="71">
        <v>0</v>
      </c>
      <c r="I478" s="71">
        <v>0</v>
      </c>
      <c r="J478" s="71">
        <v>0</v>
      </c>
      <c r="K478" s="71">
        <v>0</v>
      </c>
      <c r="L478" s="71">
        <v>0</v>
      </c>
      <c r="M478" s="71">
        <v>0</v>
      </c>
      <c r="N478" s="71">
        <v>0</v>
      </c>
      <c r="O478" s="71">
        <v>0</v>
      </c>
      <c r="P478" s="71">
        <v>0</v>
      </c>
      <c r="Q478" s="71">
        <v>0</v>
      </c>
      <c r="R478" s="71">
        <v>0</v>
      </c>
      <c r="S478" s="71">
        <v>0</v>
      </c>
      <c r="T478" s="71">
        <v>0</v>
      </c>
    </row>
    <row r="479" spans="1:20">
      <c r="A479" s="71" t="s">
        <v>225</v>
      </c>
      <c r="B479" s="71" t="s">
        <v>7166</v>
      </c>
      <c r="C479" s="71">
        <v>556.28199999999993</v>
      </c>
      <c r="D479" s="71">
        <v>0</v>
      </c>
      <c r="E479" s="71">
        <v>0</v>
      </c>
      <c r="F479" s="71">
        <v>0.53399999999999992</v>
      </c>
      <c r="G479" s="71">
        <v>14.29</v>
      </c>
      <c r="H479" s="71">
        <v>2.1579999999999999</v>
      </c>
      <c r="I479" s="71">
        <v>0</v>
      </c>
      <c r="J479" s="71">
        <v>0</v>
      </c>
      <c r="K479" s="71">
        <v>0</v>
      </c>
      <c r="L479" s="71">
        <v>0</v>
      </c>
      <c r="M479" s="71">
        <v>1.1489999999999998</v>
      </c>
      <c r="N479" s="71">
        <v>0</v>
      </c>
      <c r="O479" s="71">
        <v>0</v>
      </c>
      <c r="P479" s="71">
        <v>16.345999999999997</v>
      </c>
      <c r="Q479" s="71">
        <v>36.043999999999997</v>
      </c>
      <c r="R479" s="71">
        <v>221.7</v>
      </c>
      <c r="S479" s="71">
        <v>9.6329999999999991</v>
      </c>
      <c r="T479" s="71">
        <v>27.813999999999997</v>
      </c>
    </row>
    <row r="480" spans="1:20">
      <c r="A480" s="71" t="s">
        <v>227</v>
      </c>
      <c r="B480" s="71" t="s">
        <v>7167</v>
      </c>
      <c r="C480" s="71">
        <v>465.66699999999997</v>
      </c>
      <c r="D480" s="71">
        <v>0</v>
      </c>
      <c r="E480" s="71">
        <v>0</v>
      </c>
      <c r="F480" s="71">
        <v>0.68599999999999994</v>
      </c>
      <c r="G480" s="71">
        <v>13.981</v>
      </c>
      <c r="H480" s="71">
        <v>1.944</v>
      </c>
      <c r="I480" s="71">
        <v>0</v>
      </c>
      <c r="J480" s="71">
        <v>0</v>
      </c>
      <c r="K480" s="71">
        <v>0</v>
      </c>
      <c r="L480" s="71">
        <v>0</v>
      </c>
      <c r="M480" s="71">
        <v>0.90699999999999992</v>
      </c>
      <c r="N480" s="71">
        <v>0</v>
      </c>
      <c r="O480" s="71">
        <v>0</v>
      </c>
      <c r="P480" s="71">
        <v>10.651999999999999</v>
      </c>
      <c r="Q480" s="71">
        <v>25.527999999999999</v>
      </c>
      <c r="R480" s="71">
        <v>259.5</v>
      </c>
      <c r="S480" s="71">
        <v>0</v>
      </c>
      <c r="T480" s="71">
        <v>23.282999999999998</v>
      </c>
    </row>
    <row r="481" spans="1:20">
      <c r="A481" s="71" t="s">
        <v>229</v>
      </c>
      <c r="B481" s="71" t="s">
        <v>7168</v>
      </c>
      <c r="C481" s="71">
        <v>2701.3729999999996</v>
      </c>
      <c r="D481" s="71">
        <v>0.19500000000000001</v>
      </c>
      <c r="E481" s="71">
        <v>0</v>
      </c>
      <c r="F481" s="71">
        <v>2.83</v>
      </c>
      <c r="G481" s="71">
        <v>84.571999999999989</v>
      </c>
      <c r="H481" s="71">
        <v>15.510999999999999</v>
      </c>
      <c r="I481" s="71">
        <v>0</v>
      </c>
      <c r="J481" s="71">
        <v>0</v>
      </c>
      <c r="K481" s="71">
        <v>0</v>
      </c>
      <c r="L481" s="71">
        <v>0</v>
      </c>
      <c r="M481" s="71">
        <v>11.518999999999998</v>
      </c>
      <c r="N481" s="71">
        <v>0</v>
      </c>
      <c r="O481" s="71">
        <v>0</v>
      </c>
      <c r="P481" s="71">
        <v>3.1519999999999997</v>
      </c>
      <c r="Q481" s="71">
        <v>140.91799999999998</v>
      </c>
      <c r="R481" s="71">
        <v>1957</v>
      </c>
      <c r="S481" s="71">
        <v>201.06099999999998</v>
      </c>
      <c r="T481" s="71">
        <v>97</v>
      </c>
    </row>
    <row r="482" spans="1:20">
      <c r="A482" s="71" t="s">
        <v>4039</v>
      </c>
      <c r="B482" s="71" t="s">
        <v>7169</v>
      </c>
      <c r="C482" s="71">
        <v>148.41</v>
      </c>
      <c r="D482" s="71">
        <v>0</v>
      </c>
      <c r="E482" s="71">
        <v>0</v>
      </c>
      <c r="F482" s="71">
        <v>0.22899999999999998</v>
      </c>
      <c r="G482" s="71">
        <v>6.6879999999999997</v>
      </c>
      <c r="H482" s="71">
        <v>0.46</v>
      </c>
      <c r="I482" s="71">
        <v>0</v>
      </c>
      <c r="J482" s="71">
        <v>0</v>
      </c>
      <c r="K482" s="71">
        <v>0</v>
      </c>
      <c r="L482" s="71">
        <v>0</v>
      </c>
      <c r="M482" s="71">
        <v>1.8239999999999998</v>
      </c>
      <c r="N482" s="71">
        <v>0</v>
      </c>
      <c r="O482" s="71">
        <v>0</v>
      </c>
      <c r="P482" s="71">
        <v>0.95</v>
      </c>
      <c r="Q482" s="71">
        <v>7.3839999999999995</v>
      </c>
      <c r="R482" s="71">
        <v>106.2</v>
      </c>
      <c r="S482" s="71">
        <v>0</v>
      </c>
      <c r="T482" s="71">
        <v>5</v>
      </c>
    </row>
    <row r="483" spans="1:20">
      <c r="A483" s="71" t="s">
        <v>2396</v>
      </c>
      <c r="B483" s="71" t="s">
        <v>1463</v>
      </c>
      <c r="C483" s="71">
        <v>6962.6369999999997</v>
      </c>
      <c r="D483" s="71">
        <v>1.091</v>
      </c>
      <c r="E483" s="71">
        <v>3.855</v>
      </c>
      <c r="F483" s="71">
        <v>12.690999999999999</v>
      </c>
      <c r="G483" s="71">
        <v>192.58199999999999</v>
      </c>
      <c r="H483" s="71">
        <v>35.333999999999996</v>
      </c>
      <c r="I483" s="71">
        <v>0</v>
      </c>
      <c r="J483" s="71">
        <v>15.018999999999998</v>
      </c>
      <c r="K483" s="71">
        <v>0</v>
      </c>
      <c r="L483" s="71">
        <v>0</v>
      </c>
      <c r="M483" s="71">
        <v>19.48</v>
      </c>
      <c r="N483" s="71">
        <v>8.7479999999999993</v>
      </c>
      <c r="O483" s="71">
        <v>9.2729999999999997</v>
      </c>
      <c r="P483" s="71">
        <v>203.48899999999998</v>
      </c>
      <c r="Q483" s="71">
        <v>289.125</v>
      </c>
      <c r="R483" s="71">
        <v>5069.3</v>
      </c>
      <c r="S483" s="71">
        <v>537.21399999999994</v>
      </c>
      <c r="T483" s="71">
        <v>348.13184999999993</v>
      </c>
    </row>
    <row r="484" spans="1:20">
      <c r="A484" s="71" t="s">
        <v>2394</v>
      </c>
      <c r="B484" s="71" t="s">
        <v>1461</v>
      </c>
      <c r="C484" s="71">
        <v>8111.1339999999991</v>
      </c>
      <c r="D484" s="71">
        <v>1.4969999999999999</v>
      </c>
      <c r="E484" s="71">
        <v>0</v>
      </c>
      <c r="F484" s="71">
        <v>19.436999999999998</v>
      </c>
      <c r="G484" s="71">
        <v>209.61799999999999</v>
      </c>
      <c r="H484" s="71">
        <v>55.668999999999997</v>
      </c>
      <c r="I484" s="71">
        <v>0</v>
      </c>
      <c r="J484" s="71">
        <v>4.8869999999999996</v>
      </c>
      <c r="K484" s="71">
        <v>0</v>
      </c>
      <c r="L484" s="71">
        <v>0</v>
      </c>
      <c r="M484" s="71">
        <v>10.133999999999999</v>
      </c>
      <c r="N484" s="71">
        <v>1.8459999999999999</v>
      </c>
      <c r="O484" s="71">
        <v>6.9409999999999998</v>
      </c>
      <c r="P484" s="71">
        <v>171.08500000000001</v>
      </c>
      <c r="Q484" s="71">
        <v>340.37</v>
      </c>
      <c r="R484" s="71">
        <v>2099.8000000000002</v>
      </c>
      <c r="S484" s="71">
        <v>177.87899999999999</v>
      </c>
      <c r="T484" s="71">
        <v>399</v>
      </c>
    </row>
    <row r="485" spans="1:20">
      <c r="A485" s="71" t="s">
        <v>4042</v>
      </c>
      <c r="B485" s="71" t="s">
        <v>7170</v>
      </c>
      <c r="C485" s="71">
        <v>1382.4349999999999</v>
      </c>
      <c r="D485" s="71">
        <v>2.3E-2</v>
      </c>
      <c r="E485" s="71">
        <v>0</v>
      </c>
      <c r="F485" s="71">
        <v>2.4429999999999996</v>
      </c>
      <c r="G485" s="71">
        <v>41.796999999999997</v>
      </c>
      <c r="H485" s="71">
        <v>8.6989999999999998</v>
      </c>
      <c r="I485" s="71">
        <v>0</v>
      </c>
      <c r="J485" s="71">
        <v>0</v>
      </c>
      <c r="K485" s="71">
        <v>0</v>
      </c>
      <c r="L485" s="71">
        <v>0</v>
      </c>
      <c r="M485" s="71">
        <v>0</v>
      </c>
      <c r="N485" s="71">
        <v>6.8999999999999992E-2</v>
      </c>
      <c r="O485" s="71">
        <v>0</v>
      </c>
      <c r="P485" s="71">
        <v>18.382999999999999</v>
      </c>
      <c r="Q485" s="71">
        <v>35.772999999999996</v>
      </c>
      <c r="R485" s="71">
        <v>558</v>
      </c>
      <c r="S485" s="71">
        <v>18.184999999999999</v>
      </c>
      <c r="T485" s="71">
        <v>69.121749999999992</v>
      </c>
    </row>
    <row r="486" spans="1:20">
      <c r="A486" s="71" t="s">
        <v>3004</v>
      </c>
      <c r="B486" s="71" t="s">
        <v>6065</v>
      </c>
      <c r="C486" s="71">
        <v>1348.3619999999999</v>
      </c>
      <c r="D486" s="71">
        <v>1.1999999999999999E-2</v>
      </c>
      <c r="E486" s="71">
        <v>0</v>
      </c>
      <c r="F486" s="71">
        <v>2.0279999999999996</v>
      </c>
      <c r="G486" s="71">
        <v>38.811999999999998</v>
      </c>
      <c r="H486" s="71">
        <v>5.218</v>
      </c>
      <c r="I486" s="71">
        <v>0</v>
      </c>
      <c r="J486" s="71">
        <v>0</v>
      </c>
      <c r="K486" s="71">
        <v>0</v>
      </c>
      <c r="L486" s="71">
        <v>0</v>
      </c>
      <c r="M486" s="71">
        <v>0</v>
      </c>
      <c r="N486" s="71">
        <v>0.13899999999999998</v>
      </c>
      <c r="O486" s="71">
        <v>0</v>
      </c>
      <c r="P486" s="71">
        <v>22.434999999999999</v>
      </c>
      <c r="Q486" s="71">
        <v>49.642999999999994</v>
      </c>
      <c r="R486" s="71">
        <v>566.29999999999995</v>
      </c>
      <c r="S486" s="71">
        <v>42.866</v>
      </c>
      <c r="T486" s="71">
        <v>67.417999999999992</v>
      </c>
    </row>
    <row r="487" spans="1:20">
      <c r="A487" s="71" t="s">
        <v>4044</v>
      </c>
      <c r="B487" s="71" t="s">
        <v>5272</v>
      </c>
      <c r="C487" s="71">
        <v>746.30099999999993</v>
      </c>
      <c r="D487" s="71">
        <v>1.4999999999999999E-2</v>
      </c>
      <c r="E487" s="71">
        <v>0</v>
      </c>
      <c r="F487" s="71">
        <v>1.726</v>
      </c>
      <c r="G487" s="71">
        <v>36.568999999999996</v>
      </c>
      <c r="H487" s="71">
        <v>1.4389999999999998</v>
      </c>
      <c r="I487" s="71">
        <v>0</v>
      </c>
      <c r="J487" s="71">
        <v>0</v>
      </c>
      <c r="K487" s="71">
        <v>0</v>
      </c>
      <c r="L487" s="71">
        <v>0</v>
      </c>
      <c r="M487" s="71">
        <v>2.9189999999999996</v>
      </c>
      <c r="N487" s="71">
        <v>0.5119999999999999</v>
      </c>
      <c r="O487" s="71">
        <v>0</v>
      </c>
      <c r="P487" s="71">
        <v>7.7519999999999998</v>
      </c>
      <c r="Q487" s="71">
        <v>28.9</v>
      </c>
      <c r="R487" s="71">
        <v>470</v>
      </c>
      <c r="S487" s="71">
        <v>7.6909999999999998</v>
      </c>
      <c r="T487" s="71">
        <v>37.314999999999998</v>
      </c>
    </row>
    <row r="488" spans="1:20">
      <c r="A488" s="71" t="s">
        <v>4046</v>
      </c>
      <c r="B488" s="71" t="s">
        <v>5273</v>
      </c>
      <c r="C488" s="71">
        <v>136.61599999999999</v>
      </c>
      <c r="D488" s="71">
        <v>0</v>
      </c>
      <c r="E488" s="71">
        <v>0</v>
      </c>
      <c r="F488" s="71">
        <v>0.29399999999999998</v>
      </c>
      <c r="G488" s="71">
        <v>5.38</v>
      </c>
      <c r="H488" s="71">
        <v>0.40599999999999997</v>
      </c>
      <c r="I488" s="71">
        <v>0</v>
      </c>
      <c r="J488" s="71">
        <v>0</v>
      </c>
      <c r="K488" s="71">
        <v>0</v>
      </c>
      <c r="L488" s="71">
        <v>0</v>
      </c>
      <c r="M488" s="71">
        <v>0</v>
      </c>
      <c r="N488" s="71">
        <v>0</v>
      </c>
      <c r="O488" s="71">
        <v>0</v>
      </c>
      <c r="P488" s="71">
        <v>2.8869999999999996</v>
      </c>
      <c r="Q488" s="71">
        <v>15.27</v>
      </c>
      <c r="R488" s="71">
        <v>98</v>
      </c>
      <c r="S488" s="71">
        <v>6.2559999999999993</v>
      </c>
      <c r="T488" s="71">
        <v>6.8307999999999991</v>
      </c>
    </row>
    <row r="489" spans="1:20">
      <c r="A489" s="71" t="s">
        <v>5402</v>
      </c>
      <c r="B489" s="71" t="s">
        <v>5274</v>
      </c>
      <c r="C489" s="71">
        <v>571.81299999999999</v>
      </c>
      <c r="D489" s="71">
        <v>0</v>
      </c>
      <c r="E489" s="71">
        <v>0</v>
      </c>
      <c r="F489" s="71">
        <v>1.839</v>
      </c>
      <c r="G489" s="71">
        <v>24.535</v>
      </c>
      <c r="H489" s="71">
        <v>0</v>
      </c>
      <c r="I489" s="71">
        <v>0</v>
      </c>
      <c r="J489" s="71">
        <v>4.2939999999999996</v>
      </c>
      <c r="K489" s="71">
        <v>0</v>
      </c>
      <c r="L489" s="71">
        <v>0</v>
      </c>
      <c r="M489" s="71">
        <v>8.0639999999999983</v>
      </c>
      <c r="N489" s="71">
        <v>0.92599999999999993</v>
      </c>
      <c r="O489" s="71">
        <v>0</v>
      </c>
      <c r="P489" s="71">
        <v>5.6159999999999997</v>
      </c>
      <c r="Q489" s="71">
        <v>41.168999999999997</v>
      </c>
      <c r="R489" s="71">
        <v>478</v>
      </c>
      <c r="S489" s="71">
        <v>23.308999999999997</v>
      </c>
      <c r="T489" s="71">
        <v>28.590649999999997</v>
      </c>
    </row>
    <row r="490" spans="1:20">
      <c r="A490" s="71" t="s">
        <v>5404</v>
      </c>
      <c r="B490" s="71" t="s">
        <v>5275</v>
      </c>
      <c r="C490" s="71">
        <v>312.77999999999997</v>
      </c>
      <c r="D490" s="71">
        <v>5.9999999999999993E-3</v>
      </c>
      <c r="E490" s="71">
        <v>0</v>
      </c>
      <c r="F490" s="71">
        <v>1.18</v>
      </c>
      <c r="G490" s="71">
        <v>8.35</v>
      </c>
      <c r="H490" s="71">
        <v>0</v>
      </c>
      <c r="I490" s="71">
        <v>0</v>
      </c>
      <c r="J490" s="71">
        <v>2.2369999999999997</v>
      </c>
      <c r="K490" s="71">
        <v>0</v>
      </c>
      <c r="L490" s="71">
        <v>0</v>
      </c>
      <c r="M490" s="71">
        <v>2.3250000000000002</v>
      </c>
      <c r="N490" s="71">
        <v>0.59</v>
      </c>
      <c r="O490" s="71">
        <v>0</v>
      </c>
      <c r="P490" s="71">
        <v>1.9629999999999999</v>
      </c>
      <c r="Q490" s="71">
        <v>25.745000000000001</v>
      </c>
      <c r="R490" s="71">
        <v>233.2</v>
      </c>
      <c r="S490" s="71">
        <v>15.196</v>
      </c>
      <c r="T490" s="71">
        <v>15.638999999999998</v>
      </c>
    </row>
    <row r="491" spans="1:20">
      <c r="A491" s="71" t="s">
        <v>423</v>
      </c>
      <c r="B491" s="71" t="s">
        <v>5276</v>
      </c>
      <c r="C491" s="71">
        <v>5596.8159999999998</v>
      </c>
      <c r="D491" s="71">
        <v>0.505</v>
      </c>
      <c r="E491" s="71">
        <v>0</v>
      </c>
      <c r="F491" s="71">
        <v>12.058999999999999</v>
      </c>
      <c r="G491" s="71">
        <v>212.25199999999998</v>
      </c>
      <c r="H491" s="71">
        <v>44.411999999999999</v>
      </c>
      <c r="I491" s="71">
        <v>0</v>
      </c>
      <c r="J491" s="71">
        <v>0</v>
      </c>
      <c r="K491" s="71">
        <v>0</v>
      </c>
      <c r="L491" s="71">
        <v>0</v>
      </c>
      <c r="M491" s="71">
        <v>26.013999999999999</v>
      </c>
      <c r="N491" s="71">
        <v>0.97499999999999998</v>
      </c>
      <c r="O491" s="71">
        <v>2.6729999999999996</v>
      </c>
      <c r="P491" s="71">
        <v>112.06</v>
      </c>
      <c r="Q491" s="71">
        <v>292.40099999999995</v>
      </c>
      <c r="R491" s="71">
        <v>4138.5</v>
      </c>
      <c r="S491" s="71">
        <v>376.10599999999999</v>
      </c>
      <c r="T491" s="71">
        <v>279.84079999999994</v>
      </c>
    </row>
    <row r="492" spans="1:20">
      <c r="A492" s="71" t="s">
        <v>425</v>
      </c>
      <c r="B492" s="71" t="s">
        <v>5277</v>
      </c>
      <c r="C492" s="71">
        <v>499.952</v>
      </c>
      <c r="D492" s="71">
        <v>0</v>
      </c>
      <c r="E492" s="71">
        <v>0</v>
      </c>
      <c r="F492" s="71">
        <v>0.96499999999999997</v>
      </c>
      <c r="G492" s="71">
        <v>12.623999999999999</v>
      </c>
      <c r="H492" s="71">
        <v>3.0639999999999996</v>
      </c>
      <c r="I492" s="71">
        <v>0</v>
      </c>
      <c r="J492" s="71">
        <v>0</v>
      </c>
      <c r="K492" s="71">
        <v>0</v>
      </c>
      <c r="L492" s="71">
        <v>0</v>
      </c>
      <c r="M492" s="71">
        <v>0.13099999999999998</v>
      </c>
      <c r="N492" s="71">
        <v>9.2999999999999999E-2</v>
      </c>
      <c r="O492" s="71">
        <v>0</v>
      </c>
      <c r="P492" s="71">
        <v>34.045999999999999</v>
      </c>
      <c r="Q492" s="71">
        <v>31.872999999999998</v>
      </c>
      <c r="R492" s="71">
        <v>370.7</v>
      </c>
      <c r="S492" s="71">
        <v>53.777999999999999</v>
      </c>
      <c r="T492" s="71">
        <v>3</v>
      </c>
    </row>
    <row r="493" spans="1:20">
      <c r="A493" s="71" t="s">
        <v>427</v>
      </c>
      <c r="B493" s="71" t="s">
        <v>5278</v>
      </c>
      <c r="C493" s="71">
        <v>242.01</v>
      </c>
      <c r="D493" s="71">
        <v>2.5999999999999999E-2</v>
      </c>
      <c r="E493" s="71">
        <v>0</v>
      </c>
      <c r="F493" s="71">
        <v>0.12</v>
      </c>
      <c r="G493" s="71">
        <v>0.93899999999999995</v>
      </c>
      <c r="H493" s="71">
        <v>0</v>
      </c>
      <c r="I493" s="71">
        <v>0</v>
      </c>
      <c r="J493" s="71">
        <v>0</v>
      </c>
      <c r="K493" s="71">
        <v>0</v>
      </c>
      <c r="L493" s="71">
        <v>0</v>
      </c>
      <c r="M493" s="71">
        <v>0</v>
      </c>
      <c r="N493" s="71">
        <v>0</v>
      </c>
      <c r="O493" s="71">
        <v>0</v>
      </c>
      <c r="P493" s="71">
        <v>16.190000000000001</v>
      </c>
      <c r="Q493" s="71">
        <v>23.523</v>
      </c>
      <c r="R493" s="71">
        <v>180.5</v>
      </c>
      <c r="S493" s="71">
        <v>33.710999999999999</v>
      </c>
      <c r="T493" s="71">
        <v>12.100499999999998</v>
      </c>
    </row>
    <row r="494" spans="1:20">
      <c r="A494" s="71" t="s">
        <v>429</v>
      </c>
      <c r="B494" s="71" t="s">
        <v>5279</v>
      </c>
      <c r="C494" s="71">
        <v>830.04799999999989</v>
      </c>
      <c r="D494" s="71">
        <v>0.01</v>
      </c>
      <c r="E494" s="71">
        <v>0</v>
      </c>
      <c r="F494" s="71">
        <v>1.609</v>
      </c>
      <c r="G494" s="71">
        <v>28.085000000000001</v>
      </c>
      <c r="H494" s="71">
        <v>7.4339999999999993</v>
      </c>
      <c r="I494" s="71">
        <v>0</v>
      </c>
      <c r="J494" s="71">
        <v>0</v>
      </c>
      <c r="K494" s="71">
        <v>0</v>
      </c>
      <c r="L494" s="71">
        <v>0</v>
      </c>
      <c r="M494" s="71">
        <v>2.6539999999999999</v>
      </c>
      <c r="N494" s="71">
        <v>0.33899999999999997</v>
      </c>
      <c r="O494" s="71">
        <v>0.84799999999999998</v>
      </c>
      <c r="P494" s="71">
        <v>10.776999999999999</v>
      </c>
      <c r="Q494" s="71">
        <v>52.585000000000001</v>
      </c>
      <c r="R494" s="71">
        <v>466.2</v>
      </c>
      <c r="S494" s="71">
        <v>27.036999999999999</v>
      </c>
      <c r="T494" s="71">
        <v>41.501999999999995</v>
      </c>
    </row>
    <row r="495" spans="1:20">
      <c r="A495" s="71" t="s">
        <v>446</v>
      </c>
      <c r="B495" s="71" t="s">
        <v>3844</v>
      </c>
      <c r="C495" s="71">
        <v>658.73399999999992</v>
      </c>
      <c r="D495" s="71">
        <v>0</v>
      </c>
      <c r="E495" s="71">
        <v>0</v>
      </c>
      <c r="F495" s="71">
        <v>1.0029999999999999</v>
      </c>
      <c r="G495" s="71">
        <v>24.945999999999998</v>
      </c>
      <c r="H495" s="71">
        <v>3.4969999999999999</v>
      </c>
      <c r="I495" s="71">
        <v>0</v>
      </c>
      <c r="J495" s="71">
        <v>0</v>
      </c>
      <c r="K495" s="71">
        <v>0</v>
      </c>
      <c r="L495" s="71">
        <v>0</v>
      </c>
      <c r="M495" s="71">
        <v>0</v>
      </c>
      <c r="N495" s="71">
        <v>0</v>
      </c>
      <c r="O495" s="71">
        <v>4.6289999999999996</v>
      </c>
      <c r="P495" s="71">
        <v>2.6579999999999999</v>
      </c>
      <c r="Q495" s="71">
        <v>42.713999999999999</v>
      </c>
      <c r="R495" s="71">
        <v>428.2</v>
      </c>
      <c r="S495" s="71">
        <v>44.67</v>
      </c>
      <c r="T495" s="71">
        <v>32.936699999999995</v>
      </c>
    </row>
    <row r="496" spans="1:20">
      <c r="A496" s="71" t="s">
        <v>431</v>
      </c>
      <c r="B496" s="71" t="s">
        <v>5280</v>
      </c>
      <c r="C496" s="71">
        <v>387.45</v>
      </c>
      <c r="D496" s="71">
        <v>0</v>
      </c>
      <c r="E496" s="71">
        <v>0</v>
      </c>
      <c r="F496" s="71">
        <v>0.47899999999999998</v>
      </c>
      <c r="G496" s="71">
        <v>7.99</v>
      </c>
      <c r="H496" s="71">
        <v>0.39799999999999996</v>
      </c>
      <c r="I496" s="71">
        <v>0</v>
      </c>
      <c r="J496" s="71">
        <v>0</v>
      </c>
      <c r="K496" s="71">
        <v>0</v>
      </c>
      <c r="L496" s="71">
        <v>0</v>
      </c>
      <c r="M496" s="71">
        <v>0</v>
      </c>
      <c r="N496" s="71">
        <v>0</v>
      </c>
      <c r="O496" s="71">
        <v>0</v>
      </c>
      <c r="P496" s="71">
        <v>6.242</v>
      </c>
      <c r="Q496" s="71">
        <v>33.443999999999996</v>
      </c>
      <c r="R496" s="71">
        <v>252.7</v>
      </c>
      <c r="S496" s="71">
        <v>63.690999999999995</v>
      </c>
      <c r="T496" s="71">
        <v>19.372499999999999</v>
      </c>
    </row>
    <row r="497" spans="1:20">
      <c r="A497" s="71" t="s">
        <v>4945</v>
      </c>
      <c r="B497" s="71" t="s">
        <v>5281</v>
      </c>
      <c r="C497" s="71">
        <v>91.992999999999995</v>
      </c>
      <c r="D497" s="71">
        <v>0</v>
      </c>
      <c r="E497" s="71">
        <v>0</v>
      </c>
      <c r="F497" s="71">
        <v>8.299999999999999E-2</v>
      </c>
      <c r="G497" s="71">
        <v>4.1669999999999998</v>
      </c>
      <c r="H497" s="71">
        <v>0.39399999999999996</v>
      </c>
      <c r="I497" s="71">
        <v>0</v>
      </c>
      <c r="J497" s="71">
        <v>0</v>
      </c>
      <c r="K497" s="71">
        <v>0</v>
      </c>
      <c r="L497" s="71">
        <v>0</v>
      </c>
      <c r="M497" s="71">
        <v>0</v>
      </c>
      <c r="N497" s="71">
        <v>0</v>
      </c>
      <c r="O497" s="71">
        <v>0</v>
      </c>
      <c r="P497" s="71">
        <v>0.94499999999999995</v>
      </c>
      <c r="Q497" s="71">
        <v>0</v>
      </c>
      <c r="R497" s="71">
        <v>64.3</v>
      </c>
      <c r="S497" s="71">
        <v>16.700999999999997</v>
      </c>
      <c r="T497" s="71">
        <v>4.5996499999999996</v>
      </c>
    </row>
    <row r="498" spans="1:20">
      <c r="A498" s="71" t="s">
        <v>4947</v>
      </c>
      <c r="B498" s="71" t="s">
        <v>5282</v>
      </c>
      <c r="C498" s="71">
        <v>697.053</v>
      </c>
      <c r="D498" s="71">
        <v>0</v>
      </c>
      <c r="E498" s="71">
        <v>0</v>
      </c>
      <c r="F498" s="71">
        <v>0.48699999999999999</v>
      </c>
      <c r="G498" s="71">
        <v>11.840999999999999</v>
      </c>
      <c r="H498" s="71">
        <v>3.1759999999999997</v>
      </c>
      <c r="I498" s="71">
        <v>0</v>
      </c>
      <c r="J498" s="71">
        <v>0</v>
      </c>
      <c r="K498" s="71">
        <v>0</v>
      </c>
      <c r="L498" s="71">
        <v>0</v>
      </c>
      <c r="M498" s="71">
        <v>1.224</v>
      </c>
      <c r="N498" s="71">
        <v>0</v>
      </c>
      <c r="O498" s="71">
        <v>0</v>
      </c>
      <c r="P498" s="71">
        <v>24.273999999999997</v>
      </c>
      <c r="Q498" s="71">
        <v>39.905000000000001</v>
      </c>
      <c r="R498" s="71">
        <v>397.8</v>
      </c>
      <c r="S498" s="71">
        <v>142.89099999999999</v>
      </c>
      <c r="T498" s="71">
        <v>34.852649999999997</v>
      </c>
    </row>
    <row r="499" spans="1:20">
      <c r="A499" s="71" t="s">
        <v>4949</v>
      </c>
      <c r="B499" s="71" t="s">
        <v>5283</v>
      </c>
      <c r="C499" s="71">
        <v>203.76299999999998</v>
      </c>
      <c r="D499" s="71">
        <v>0</v>
      </c>
      <c r="E499" s="71">
        <v>0</v>
      </c>
      <c r="F499" s="71">
        <v>0.17799999999999999</v>
      </c>
      <c r="G499" s="71">
        <v>5.8979999999999997</v>
      </c>
      <c r="H499" s="71">
        <v>0.91199999999999992</v>
      </c>
      <c r="I499" s="71">
        <v>0</v>
      </c>
      <c r="J499" s="71">
        <v>0</v>
      </c>
      <c r="K499" s="71">
        <v>0</v>
      </c>
      <c r="L499" s="71">
        <v>0</v>
      </c>
      <c r="M499" s="71">
        <v>0</v>
      </c>
      <c r="N499" s="71">
        <v>4.6999999999999993E-2</v>
      </c>
      <c r="O499" s="71">
        <v>0</v>
      </c>
      <c r="P499" s="71">
        <v>4.2869999999999999</v>
      </c>
      <c r="Q499" s="71">
        <v>13.431999999999999</v>
      </c>
      <c r="R499" s="71">
        <v>150.80000000000001</v>
      </c>
      <c r="S499" s="71">
        <v>4.9569999999999999</v>
      </c>
      <c r="T499" s="71">
        <v>10.187999999999999</v>
      </c>
    </row>
    <row r="500" spans="1:20">
      <c r="A500" s="71" t="s">
        <v>4951</v>
      </c>
      <c r="B500" s="71" t="s">
        <v>5284</v>
      </c>
      <c r="C500" s="71">
        <v>561.48500000000001</v>
      </c>
      <c r="D500" s="71">
        <v>0</v>
      </c>
      <c r="E500" s="71">
        <v>0</v>
      </c>
      <c r="F500" s="71">
        <v>1.46</v>
      </c>
      <c r="G500" s="71">
        <v>32.952999999999996</v>
      </c>
      <c r="H500" s="71">
        <v>4.335</v>
      </c>
      <c r="I500" s="71">
        <v>0</v>
      </c>
      <c r="J500" s="71">
        <v>0</v>
      </c>
      <c r="K500" s="71">
        <v>0</v>
      </c>
      <c r="L500" s="71">
        <v>0</v>
      </c>
      <c r="M500" s="71">
        <v>5.1559999999999997</v>
      </c>
      <c r="N500" s="71">
        <v>0.35499999999999998</v>
      </c>
      <c r="O500" s="71">
        <v>0.29199999999999998</v>
      </c>
      <c r="P500" s="71">
        <v>0.84599999999999997</v>
      </c>
      <c r="Q500" s="71">
        <v>63.507999999999996</v>
      </c>
      <c r="R500" s="71">
        <v>365.2</v>
      </c>
      <c r="S500" s="71">
        <v>8.6239999999999988</v>
      </c>
      <c r="T500" s="71">
        <v>28.073999999999998</v>
      </c>
    </row>
    <row r="501" spans="1:20">
      <c r="A501" s="71" t="s">
        <v>1560</v>
      </c>
      <c r="B501" s="71" t="s">
        <v>5285</v>
      </c>
      <c r="C501" s="71">
        <v>1308.8939999999998</v>
      </c>
      <c r="D501" s="71">
        <v>0.41399999999999998</v>
      </c>
      <c r="E501" s="71">
        <v>0</v>
      </c>
      <c r="F501" s="71">
        <v>2.0559999999999996</v>
      </c>
      <c r="G501" s="71">
        <v>54.150999999999996</v>
      </c>
      <c r="H501" s="71">
        <v>6.9119999999999999</v>
      </c>
      <c r="I501" s="71">
        <v>0</v>
      </c>
      <c r="J501" s="71">
        <v>1.478</v>
      </c>
      <c r="K501" s="71">
        <v>0</v>
      </c>
      <c r="L501" s="71">
        <v>0</v>
      </c>
      <c r="M501" s="71">
        <v>0</v>
      </c>
      <c r="N501" s="71">
        <v>0.24399999999999999</v>
      </c>
      <c r="O501" s="71">
        <v>0</v>
      </c>
      <c r="P501" s="71">
        <v>7.0839999999999996</v>
      </c>
      <c r="Q501" s="71">
        <v>99.072999999999993</v>
      </c>
      <c r="R501" s="71">
        <v>622.70000000000005</v>
      </c>
      <c r="S501" s="71">
        <v>8.2789999999999999</v>
      </c>
      <c r="T501" s="71">
        <v>65.444699999999983</v>
      </c>
    </row>
    <row r="502" spans="1:20">
      <c r="A502" s="71" t="s">
        <v>2398</v>
      </c>
      <c r="B502" s="71" t="s">
        <v>1466</v>
      </c>
      <c r="C502" s="71">
        <v>2762.4869999999996</v>
      </c>
      <c r="D502" s="71">
        <v>1.2589999999999999</v>
      </c>
      <c r="E502" s="71">
        <v>0</v>
      </c>
      <c r="F502" s="71">
        <v>4.4009999999999998</v>
      </c>
      <c r="G502" s="71">
        <v>67.064999999999998</v>
      </c>
      <c r="H502" s="71">
        <v>49.290999999999997</v>
      </c>
      <c r="I502" s="71">
        <v>0</v>
      </c>
      <c r="J502" s="71">
        <v>0</v>
      </c>
      <c r="K502" s="71">
        <v>0</v>
      </c>
      <c r="L502" s="71">
        <v>0</v>
      </c>
      <c r="M502" s="71">
        <v>11.609</v>
      </c>
      <c r="N502" s="71">
        <v>0.95699999999999996</v>
      </c>
      <c r="O502" s="71">
        <v>0</v>
      </c>
      <c r="P502" s="71">
        <v>90.435000000000002</v>
      </c>
      <c r="Q502" s="71">
        <v>192.166</v>
      </c>
      <c r="R502" s="71">
        <v>1393</v>
      </c>
      <c r="S502" s="71">
        <v>23.430999999999997</v>
      </c>
      <c r="T502" s="71">
        <v>138.124</v>
      </c>
    </row>
    <row r="503" spans="1:20">
      <c r="A503" s="71" t="s">
        <v>1562</v>
      </c>
      <c r="B503" s="71" t="s">
        <v>5286</v>
      </c>
      <c r="C503" s="71">
        <v>1961.17</v>
      </c>
      <c r="D503" s="71">
        <v>0.53699999999999992</v>
      </c>
      <c r="E503" s="71">
        <v>0</v>
      </c>
      <c r="F503" s="71">
        <v>4.2429999999999994</v>
      </c>
      <c r="G503" s="71">
        <v>75.897999999999996</v>
      </c>
      <c r="H503" s="71">
        <v>12.718</v>
      </c>
      <c r="I503" s="71">
        <v>0</v>
      </c>
      <c r="J503" s="71">
        <v>0</v>
      </c>
      <c r="K503" s="71">
        <v>0</v>
      </c>
      <c r="L503" s="71">
        <v>0</v>
      </c>
      <c r="M503" s="71">
        <v>4.7539999999999996</v>
      </c>
      <c r="N503" s="71">
        <v>4.8999999999999995E-2</v>
      </c>
      <c r="O503" s="71">
        <v>0</v>
      </c>
      <c r="P503" s="71">
        <v>17.790999999999997</v>
      </c>
      <c r="Q503" s="71">
        <v>110.015</v>
      </c>
      <c r="R503" s="71">
        <v>753.5</v>
      </c>
      <c r="S503" s="71">
        <v>30.761999999999997</v>
      </c>
      <c r="T503" s="71">
        <v>98.058499999999995</v>
      </c>
    </row>
    <row r="504" spans="1:20">
      <c r="A504" s="71" t="s">
        <v>2997</v>
      </c>
      <c r="B504" s="71" t="s">
        <v>6057</v>
      </c>
      <c r="C504" s="71">
        <v>3370.0559999999996</v>
      </c>
      <c r="D504" s="71">
        <v>1.204</v>
      </c>
      <c r="E504" s="71">
        <v>0</v>
      </c>
      <c r="F504" s="71">
        <v>5.1029999999999998</v>
      </c>
      <c r="G504" s="71">
        <v>107.90299999999999</v>
      </c>
      <c r="H504" s="71">
        <v>26.127999999999997</v>
      </c>
      <c r="I504" s="71">
        <v>0</v>
      </c>
      <c r="J504" s="71">
        <v>1.448</v>
      </c>
      <c r="K504" s="71">
        <v>0</v>
      </c>
      <c r="L504" s="71">
        <v>0</v>
      </c>
      <c r="M504" s="71">
        <v>0.55799999999999994</v>
      </c>
      <c r="N504" s="71">
        <v>0.54399999999999993</v>
      </c>
      <c r="O504" s="71">
        <v>0</v>
      </c>
      <c r="P504" s="71">
        <v>4.1619999999999999</v>
      </c>
      <c r="Q504" s="71">
        <v>235.49199999999999</v>
      </c>
      <c r="R504" s="71">
        <v>1054.7</v>
      </c>
      <c r="S504" s="71">
        <v>11.126999999999999</v>
      </c>
      <c r="T504" s="71">
        <v>168.50279999999998</v>
      </c>
    </row>
    <row r="505" spans="1:20">
      <c r="A505" s="71" t="s">
        <v>856</v>
      </c>
      <c r="B505" s="71" t="s">
        <v>4066</v>
      </c>
      <c r="C505" s="71">
        <v>566.30199999999991</v>
      </c>
      <c r="D505" s="71">
        <v>1.3999999999999999E-2</v>
      </c>
      <c r="E505" s="71">
        <v>0</v>
      </c>
      <c r="F505" s="71">
        <v>1.2050000000000001</v>
      </c>
      <c r="G505" s="71">
        <v>29.910999999999998</v>
      </c>
      <c r="H505" s="71">
        <v>8.5999999999999993E-2</v>
      </c>
      <c r="I505" s="71">
        <v>0</v>
      </c>
      <c r="J505" s="71">
        <v>0.19899999999999998</v>
      </c>
      <c r="K505" s="71">
        <v>0</v>
      </c>
      <c r="L505" s="71">
        <v>0</v>
      </c>
      <c r="M505" s="71">
        <v>0</v>
      </c>
      <c r="N505" s="71">
        <v>9.799999999999999E-2</v>
      </c>
      <c r="O505" s="71">
        <v>0</v>
      </c>
      <c r="P505" s="71">
        <v>1.47</v>
      </c>
      <c r="Q505" s="71">
        <v>30.62</v>
      </c>
      <c r="R505" s="71">
        <v>324.5</v>
      </c>
      <c r="S505" s="71">
        <v>0</v>
      </c>
      <c r="T505" s="71">
        <v>28.315000000000001</v>
      </c>
    </row>
    <row r="506" spans="1:20">
      <c r="A506" s="71" t="s">
        <v>1021</v>
      </c>
      <c r="B506" s="71" t="s">
        <v>1022</v>
      </c>
      <c r="C506" s="71">
        <v>162.041</v>
      </c>
      <c r="D506" s="71">
        <v>0</v>
      </c>
      <c r="E506" s="71">
        <v>0</v>
      </c>
      <c r="F506" s="71">
        <v>0.40799999999999997</v>
      </c>
      <c r="G506" s="71">
        <v>0</v>
      </c>
      <c r="H506" s="71">
        <v>2.569</v>
      </c>
      <c r="I506" s="71">
        <v>0</v>
      </c>
      <c r="J506" s="71">
        <v>0</v>
      </c>
      <c r="K506" s="71">
        <v>0</v>
      </c>
      <c r="L506" s="71">
        <v>0</v>
      </c>
      <c r="M506" s="71">
        <v>0</v>
      </c>
      <c r="N506" s="71">
        <v>0</v>
      </c>
      <c r="O506" s="71">
        <v>0</v>
      </c>
      <c r="P506" s="71">
        <v>0</v>
      </c>
      <c r="Q506" s="71">
        <v>0</v>
      </c>
      <c r="R506" s="71">
        <v>196.7</v>
      </c>
      <c r="S506" s="71">
        <v>31.570999999999998</v>
      </c>
      <c r="T506" s="71">
        <v>7.87</v>
      </c>
    </row>
    <row r="507" spans="1:20">
      <c r="A507" s="71" t="s">
        <v>1023</v>
      </c>
      <c r="B507" s="71" t="s">
        <v>1024</v>
      </c>
      <c r="C507" s="71">
        <v>446.21</v>
      </c>
      <c r="D507" s="71">
        <v>0</v>
      </c>
      <c r="E507" s="71">
        <v>0</v>
      </c>
      <c r="F507" s="71">
        <v>0.82599999999999996</v>
      </c>
      <c r="G507" s="71">
        <v>2.9539999999999997</v>
      </c>
      <c r="H507" s="71">
        <v>0</v>
      </c>
      <c r="I507" s="71">
        <v>0</v>
      </c>
      <c r="J507" s="71">
        <v>0</v>
      </c>
      <c r="K507" s="71">
        <v>0</v>
      </c>
      <c r="L507" s="71">
        <v>0</v>
      </c>
      <c r="M507" s="71">
        <v>0</v>
      </c>
      <c r="N507" s="71">
        <v>0</v>
      </c>
      <c r="O507" s="71">
        <v>0</v>
      </c>
      <c r="P507" s="71">
        <v>0</v>
      </c>
      <c r="Q507" s="71">
        <v>0</v>
      </c>
      <c r="R507" s="71">
        <v>496</v>
      </c>
      <c r="S507" s="71">
        <v>401.25799999999998</v>
      </c>
      <c r="T507" s="71">
        <v>0</v>
      </c>
    </row>
    <row r="508" spans="1:20">
      <c r="A508" s="71" t="s">
        <v>1025</v>
      </c>
      <c r="B508" s="71" t="s">
        <v>1026</v>
      </c>
      <c r="C508" s="71">
        <v>131.87599999999998</v>
      </c>
      <c r="D508" s="71">
        <v>0</v>
      </c>
      <c r="E508" s="71">
        <v>0</v>
      </c>
      <c r="F508" s="71">
        <v>0.60299999999999998</v>
      </c>
      <c r="G508" s="71">
        <v>7.76</v>
      </c>
      <c r="H508" s="71">
        <v>0.69899999999999995</v>
      </c>
      <c r="I508" s="71">
        <v>0</v>
      </c>
      <c r="J508" s="71">
        <v>0</v>
      </c>
      <c r="K508" s="71">
        <v>0</v>
      </c>
      <c r="L508" s="71">
        <v>0</v>
      </c>
      <c r="M508" s="71">
        <v>0</v>
      </c>
      <c r="N508" s="71">
        <v>0</v>
      </c>
      <c r="O508" s="71">
        <v>0</v>
      </c>
      <c r="P508" s="71">
        <v>0</v>
      </c>
      <c r="Q508" s="71">
        <v>0</v>
      </c>
      <c r="R508" s="71">
        <v>0</v>
      </c>
      <c r="S508" s="71">
        <v>1.228</v>
      </c>
      <c r="T508" s="71">
        <v>0</v>
      </c>
    </row>
    <row r="509" spans="1:20">
      <c r="A509" s="71" t="s">
        <v>1027</v>
      </c>
      <c r="B509" s="71" t="s">
        <v>1028</v>
      </c>
      <c r="C509" s="71">
        <v>518.67099999999994</v>
      </c>
      <c r="D509" s="71">
        <v>0.18799999999999997</v>
      </c>
      <c r="E509" s="71">
        <v>0</v>
      </c>
      <c r="F509" s="71">
        <v>0.04</v>
      </c>
      <c r="G509" s="71">
        <v>9.8809999999999985</v>
      </c>
      <c r="H509" s="71">
        <v>0</v>
      </c>
      <c r="I509" s="71">
        <v>0</v>
      </c>
      <c r="J509" s="71">
        <v>0</v>
      </c>
      <c r="K509" s="71">
        <v>0</v>
      </c>
      <c r="L509" s="71">
        <v>0</v>
      </c>
      <c r="M509" s="71">
        <v>3.976</v>
      </c>
      <c r="N509" s="71">
        <v>2.4429999999999996</v>
      </c>
      <c r="O509" s="71">
        <v>8.85</v>
      </c>
      <c r="P509" s="71">
        <v>0</v>
      </c>
      <c r="Q509" s="71">
        <v>37.533999999999999</v>
      </c>
      <c r="R509" s="71">
        <v>466.8</v>
      </c>
      <c r="S509" s="71">
        <v>139.08399999999997</v>
      </c>
      <c r="T509" s="71">
        <v>0</v>
      </c>
    </row>
    <row r="510" spans="1:20">
      <c r="A510" s="71" t="s">
        <v>1564</v>
      </c>
      <c r="B510" s="71" t="s">
        <v>1029</v>
      </c>
      <c r="C510" s="71">
        <v>827.69</v>
      </c>
      <c r="D510" s="71">
        <v>0</v>
      </c>
      <c r="E510" s="71">
        <v>0</v>
      </c>
      <c r="F510" s="71">
        <v>0.28199999999999997</v>
      </c>
      <c r="G510" s="71">
        <v>0</v>
      </c>
      <c r="H510" s="71">
        <v>0</v>
      </c>
      <c r="I510" s="71">
        <v>0</v>
      </c>
      <c r="J510" s="71">
        <v>0</v>
      </c>
      <c r="K510" s="71">
        <v>0</v>
      </c>
      <c r="L510" s="71">
        <v>0</v>
      </c>
      <c r="M510" s="71">
        <v>0</v>
      </c>
      <c r="N510" s="71">
        <v>0</v>
      </c>
      <c r="O510" s="71">
        <v>0</v>
      </c>
      <c r="P510" s="71">
        <v>0</v>
      </c>
      <c r="Q510" s="71">
        <v>6.5069999999999997</v>
      </c>
      <c r="R510" s="71">
        <v>668.5</v>
      </c>
      <c r="S510" s="71">
        <v>0</v>
      </c>
      <c r="T510" s="71">
        <v>29.167999999999999</v>
      </c>
    </row>
    <row r="511" spans="1:20">
      <c r="A511" s="71" t="s">
        <v>1030</v>
      </c>
      <c r="B511" s="71" t="s">
        <v>1031</v>
      </c>
      <c r="C511" s="71">
        <v>780.49199999999996</v>
      </c>
      <c r="D511" s="71">
        <v>0</v>
      </c>
      <c r="E511" s="71">
        <v>0</v>
      </c>
      <c r="F511" s="71">
        <v>0.48699999999999999</v>
      </c>
      <c r="G511" s="71">
        <v>22.978999999999999</v>
      </c>
      <c r="H511" s="71">
        <v>0</v>
      </c>
      <c r="I511" s="71">
        <v>0</v>
      </c>
      <c r="J511" s="71">
        <v>0</v>
      </c>
      <c r="K511" s="71">
        <v>0</v>
      </c>
      <c r="L511" s="71">
        <v>0</v>
      </c>
      <c r="M511" s="71">
        <v>0.27099999999999996</v>
      </c>
      <c r="N511" s="71">
        <v>0</v>
      </c>
      <c r="O511" s="71">
        <v>0</v>
      </c>
      <c r="P511" s="71">
        <v>0</v>
      </c>
      <c r="Q511" s="71">
        <v>12.396999999999998</v>
      </c>
      <c r="R511" s="71">
        <v>883.2</v>
      </c>
      <c r="S511" s="71">
        <v>363.48099999999999</v>
      </c>
      <c r="T511" s="71">
        <v>0</v>
      </c>
    </row>
    <row r="512" spans="1:20">
      <c r="A512" s="71" t="s">
        <v>1032</v>
      </c>
      <c r="B512" s="71" t="s">
        <v>1033</v>
      </c>
      <c r="C512" s="71">
        <v>128.136</v>
      </c>
      <c r="D512" s="71">
        <v>0</v>
      </c>
      <c r="E512" s="71">
        <v>0</v>
      </c>
      <c r="F512" s="71">
        <v>0.44299999999999995</v>
      </c>
      <c r="G512" s="71">
        <v>3.2229999999999999</v>
      </c>
      <c r="H512" s="71">
        <v>0</v>
      </c>
      <c r="I512" s="71">
        <v>0</v>
      </c>
      <c r="J512" s="71">
        <v>0</v>
      </c>
      <c r="K512" s="71">
        <v>0</v>
      </c>
      <c r="L512" s="71">
        <v>0</v>
      </c>
      <c r="M512" s="71">
        <v>0</v>
      </c>
      <c r="N512" s="71">
        <v>0</v>
      </c>
      <c r="O512" s="71">
        <v>0</v>
      </c>
      <c r="P512" s="71">
        <v>0</v>
      </c>
      <c r="Q512" s="71">
        <v>0</v>
      </c>
      <c r="R512" s="71">
        <v>32.700000000000003</v>
      </c>
      <c r="S512" s="71">
        <v>1.5569999999999999</v>
      </c>
      <c r="T512" s="71">
        <v>0</v>
      </c>
    </row>
    <row r="513" spans="1:20">
      <c r="A513" s="71" t="s">
        <v>1566</v>
      </c>
      <c r="B513" s="71" t="s">
        <v>1567</v>
      </c>
      <c r="C513" s="71">
        <v>290.06099999999998</v>
      </c>
      <c r="D513" s="71">
        <v>0</v>
      </c>
      <c r="E513" s="71">
        <v>0</v>
      </c>
      <c r="F513" s="71">
        <v>0.36299999999999999</v>
      </c>
      <c r="G513" s="71">
        <v>13.321</v>
      </c>
      <c r="H513" s="71">
        <v>0</v>
      </c>
      <c r="I513" s="71">
        <v>0</v>
      </c>
      <c r="J513" s="71">
        <v>0</v>
      </c>
      <c r="K513" s="71">
        <v>0</v>
      </c>
      <c r="L513" s="71">
        <v>0</v>
      </c>
      <c r="M513" s="71">
        <v>0</v>
      </c>
      <c r="N513" s="71">
        <v>0</v>
      </c>
      <c r="O513" s="71">
        <v>0</v>
      </c>
      <c r="P513" s="71">
        <v>0</v>
      </c>
      <c r="Q513" s="71">
        <v>0</v>
      </c>
      <c r="R513" s="71">
        <v>104.5</v>
      </c>
      <c r="S513" s="71">
        <v>17.347999999999999</v>
      </c>
      <c r="T513" s="71">
        <v>0</v>
      </c>
    </row>
    <row r="514" spans="1:20">
      <c r="A514" s="71" t="s">
        <v>1034</v>
      </c>
      <c r="B514" s="71" t="s">
        <v>1035</v>
      </c>
      <c r="C514" s="71">
        <v>486.13799999999998</v>
      </c>
      <c r="D514" s="71">
        <v>0</v>
      </c>
      <c r="E514" s="71">
        <v>0</v>
      </c>
      <c r="F514" s="71">
        <v>0</v>
      </c>
      <c r="G514" s="71">
        <v>0</v>
      </c>
      <c r="H514" s="71">
        <v>0</v>
      </c>
      <c r="I514" s="71">
        <v>0</v>
      </c>
      <c r="J514" s="71">
        <v>0</v>
      </c>
      <c r="K514" s="71">
        <v>0</v>
      </c>
      <c r="L514" s="71">
        <v>0</v>
      </c>
      <c r="M514" s="71">
        <v>0</v>
      </c>
      <c r="N514" s="71">
        <v>0</v>
      </c>
      <c r="O514" s="71">
        <v>0</v>
      </c>
      <c r="P514" s="71">
        <v>0</v>
      </c>
      <c r="Q514" s="71">
        <v>0</v>
      </c>
      <c r="R514" s="71">
        <v>548.70000000000005</v>
      </c>
      <c r="S514" s="71">
        <v>28.017999999999997</v>
      </c>
      <c r="T514" s="71">
        <v>0</v>
      </c>
    </row>
    <row r="515" spans="1:20">
      <c r="A515" s="71" t="s">
        <v>1036</v>
      </c>
      <c r="B515" s="71" t="s">
        <v>1037</v>
      </c>
      <c r="C515" s="71">
        <v>648.61099999999999</v>
      </c>
      <c r="D515" s="71">
        <v>0</v>
      </c>
      <c r="E515" s="71">
        <v>0</v>
      </c>
      <c r="F515" s="71">
        <v>0</v>
      </c>
      <c r="G515" s="71">
        <v>0</v>
      </c>
      <c r="H515" s="71">
        <v>0</v>
      </c>
      <c r="I515" s="71">
        <v>0</v>
      </c>
      <c r="J515" s="71">
        <v>0</v>
      </c>
      <c r="K515" s="71">
        <v>0</v>
      </c>
      <c r="L515" s="71">
        <v>0</v>
      </c>
      <c r="M515" s="71">
        <v>0</v>
      </c>
      <c r="N515" s="71">
        <v>0</v>
      </c>
      <c r="O515" s="71">
        <v>68.25</v>
      </c>
      <c r="P515" s="71">
        <v>0</v>
      </c>
      <c r="Q515" s="71">
        <v>0</v>
      </c>
      <c r="R515" s="71">
        <v>726</v>
      </c>
      <c r="S515" s="71">
        <v>85.137999999999991</v>
      </c>
      <c r="T515" s="71">
        <v>0</v>
      </c>
    </row>
    <row r="516" spans="1:20">
      <c r="A516" s="71" t="s">
        <v>1038</v>
      </c>
      <c r="B516" s="71" t="s">
        <v>1039</v>
      </c>
      <c r="C516" s="71">
        <v>828.88</v>
      </c>
      <c r="D516" s="71">
        <v>0</v>
      </c>
      <c r="E516" s="71">
        <v>0</v>
      </c>
      <c r="F516" s="71">
        <v>0</v>
      </c>
      <c r="G516" s="71">
        <v>24.846999999999998</v>
      </c>
      <c r="H516" s="71">
        <v>7.5149999999999997</v>
      </c>
      <c r="I516" s="71">
        <v>0</v>
      </c>
      <c r="J516" s="71">
        <v>0</v>
      </c>
      <c r="K516" s="71">
        <v>0</v>
      </c>
      <c r="L516" s="71">
        <v>0</v>
      </c>
      <c r="M516" s="71">
        <v>0</v>
      </c>
      <c r="N516" s="71">
        <v>1.236</v>
      </c>
      <c r="O516" s="71">
        <v>0</v>
      </c>
      <c r="P516" s="71">
        <v>0</v>
      </c>
      <c r="Q516" s="71">
        <v>28.052</v>
      </c>
      <c r="R516" s="71">
        <v>674.2</v>
      </c>
      <c r="S516" s="71">
        <v>9.8719999999999999</v>
      </c>
      <c r="T516" s="71">
        <v>0</v>
      </c>
    </row>
    <row r="517" spans="1:20">
      <c r="A517" s="71" t="s">
        <v>1040</v>
      </c>
      <c r="B517" s="71" t="s">
        <v>1041</v>
      </c>
      <c r="C517" s="71">
        <v>1321.165</v>
      </c>
      <c r="D517" s="71">
        <v>0</v>
      </c>
      <c r="E517" s="71">
        <v>0</v>
      </c>
      <c r="F517" s="71">
        <v>1.093</v>
      </c>
      <c r="G517" s="71">
        <v>7.9069999999999991</v>
      </c>
      <c r="H517" s="71">
        <v>0</v>
      </c>
      <c r="I517" s="71">
        <v>0</v>
      </c>
      <c r="J517" s="71">
        <v>0</v>
      </c>
      <c r="K517" s="71">
        <v>0</v>
      </c>
      <c r="L517" s="71">
        <v>0</v>
      </c>
      <c r="M517" s="71">
        <v>0</v>
      </c>
      <c r="N517" s="71">
        <v>0</v>
      </c>
      <c r="O517" s="71">
        <v>0</v>
      </c>
      <c r="P517" s="71">
        <v>0</v>
      </c>
      <c r="Q517" s="71">
        <v>20.003999999999998</v>
      </c>
      <c r="R517" s="71">
        <v>632.70000000000005</v>
      </c>
      <c r="S517" s="71">
        <v>186.07599999999999</v>
      </c>
      <c r="T517" s="71">
        <v>0</v>
      </c>
    </row>
    <row r="518" spans="1:20">
      <c r="A518" s="71" t="s">
        <v>1568</v>
      </c>
      <c r="B518" s="71" t="s">
        <v>1569</v>
      </c>
      <c r="C518" s="71">
        <v>984.17699999999991</v>
      </c>
      <c r="D518" s="71">
        <v>0</v>
      </c>
      <c r="E518" s="71">
        <v>0</v>
      </c>
      <c r="F518" s="71">
        <v>0.61199999999999999</v>
      </c>
      <c r="G518" s="71">
        <v>9.4600000000000009</v>
      </c>
      <c r="H518" s="71">
        <v>0</v>
      </c>
      <c r="I518" s="71">
        <v>0</v>
      </c>
      <c r="J518" s="71">
        <v>0</v>
      </c>
      <c r="K518" s="71">
        <v>0</v>
      </c>
      <c r="L518" s="71">
        <v>0</v>
      </c>
      <c r="M518" s="71">
        <v>0</v>
      </c>
      <c r="N518" s="71">
        <v>0</v>
      </c>
      <c r="O518" s="71">
        <v>0</v>
      </c>
      <c r="P518" s="71">
        <v>0</v>
      </c>
      <c r="Q518" s="71">
        <v>0</v>
      </c>
      <c r="R518" s="71">
        <v>1076.3</v>
      </c>
      <c r="S518" s="71">
        <v>109.46199999999999</v>
      </c>
      <c r="T518" s="71">
        <v>2.9989999999999997</v>
      </c>
    </row>
    <row r="519" spans="1:20">
      <c r="A519" s="71" t="s">
        <v>1570</v>
      </c>
      <c r="B519" s="71" t="s">
        <v>1042</v>
      </c>
      <c r="C519" s="71">
        <v>150.261</v>
      </c>
      <c r="D519" s="71">
        <v>0</v>
      </c>
      <c r="E519" s="71">
        <v>0</v>
      </c>
      <c r="F519" s="71">
        <v>0.26799999999999996</v>
      </c>
      <c r="G519" s="71">
        <v>0.22</v>
      </c>
      <c r="H519" s="71">
        <v>0</v>
      </c>
      <c r="I519" s="71">
        <v>0</v>
      </c>
      <c r="J519" s="71">
        <v>0</v>
      </c>
      <c r="K519" s="71">
        <v>0</v>
      </c>
      <c r="L519" s="71">
        <v>0</v>
      </c>
      <c r="M519" s="71">
        <v>0</v>
      </c>
      <c r="N519" s="71">
        <v>0</v>
      </c>
      <c r="O519" s="71">
        <v>0.14699999999999999</v>
      </c>
      <c r="P519" s="71">
        <v>0</v>
      </c>
      <c r="Q519" s="71">
        <v>0</v>
      </c>
      <c r="R519" s="71">
        <v>157.5</v>
      </c>
      <c r="S519" s="71">
        <v>90.401999999999987</v>
      </c>
      <c r="T519" s="71">
        <v>0</v>
      </c>
    </row>
    <row r="520" spans="1:20">
      <c r="A520" s="71" t="s">
        <v>1043</v>
      </c>
      <c r="B520" s="71" t="s">
        <v>1044</v>
      </c>
      <c r="C520" s="71">
        <v>191.59899999999999</v>
      </c>
      <c r="D520" s="71">
        <v>0</v>
      </c>
      <c r="E520" s="71">
        <v>0</v>
      </c>
      <c r="F520" s="71">
        <v>0</v>
      </c>
      <c r="G520" s="71">
        <v>5.0469999999999997</v>
      </c>
      <c r="H520" s="71">
        <v>0</v>
      </c>
      <c r="I520" s="71">
        <v>0</v>
      </c>
      <c r="J520" s="71">
        <v>0</v>
      </c>
      <c r="K520" s="71">
        <v>0</v>
      </c>
      <c r="L520" s="71">
        <v>0</v>
      </c>
      <c r="M520" s="71">
        <v>0</v>
      </c>
      <c r="N520" s="71">
        <v>0</v>
      </c>
      <c r="O520" s="71">
        <v>0</v>
      </c>
      <c r="P520" s="71">
        <v>0</v>
      </c>
      <c r="Q520" s="71">
        <v>14.11</v>
      </c>
      <c r="R520" s="71">
        <v>0</v>
      </c>
      <c r="S520" s="71">
        <v>0</v>
      </c>
      <c r="T520" s="71">
        <v>0</v>
      </c>
    </row>
    <row r="521" spans="1:20">
      <c r="A521" s="71" t="s">
        <v>4921</v>
      </c>
      <c r="B521" s="71" t="s">
        <v>1045</v>
      </c>
      <c r="C521" s="71">
        <v>93.822999999999993</v>
      </c>
      <c r="D521" s="71">
        <v>0</v>
      </c>
      <c r="E521" s="71">
        <v>0</v>
      </c>
      <c r="F521" s="71">
        <v>0</v>
      </c>
      <c r="G521" s="71">
        <v>0</v>
      </c>
      <c r="H521" s="71">
        <v>0</v>
      </c>
      <c r="I521" s="71">
        <v>0</v>
      </c>
      <c r="J521" s="71">
        <v>0</v>
      </c>
      <c r="K521" s="71">
        <v>0</v>
      </c>
      <c r="L521" s="71">
        <v>0</v>
      </c>
      <c r="M521" s="71">
        <v>0</v>
      </c>
      <c r="N521" s="71">
        <v>0</v>
      </c>
      <c r="O521" s="71">
        <v>0</v>
      </c>
      <c r="P521" s="71">
        <v>0</v>
      </c>
      <c r="Q521" s="71">
        <v>38.090000000000003</v>
      </c>
      <c r="R521" s="71">
        <v>123</v>
      </c>
      <c r="S521" s="71">
        <v>2.2719999999999998</v>
      </c>
      <c r="T521" s="71">
        <v>0</v>
      </c>
    </row>
    <row r="522" spans="1:20">
      <c r="A522" s="71" t="s">
        <v>1046</v>
      </c>
      <c r="B522" s="71" t="s">
        <v>1047</v>
      </c>
      <c r="C522" s="71">
        <v>279.25699999999995</v>
      </c>
      <c r="D522" s="71">
        <v>0</v>
      </c>
      <c r="E522" s="71">
        <v>0</v>
      </c>
      <c r="F522" s="71">
        <v>0.56099999999999994</v>
      </c>
      <c r="G522" s="71">
        <v>0.86099999999999999</v>
      </c>
      <c r="H522" s="71">
        <v>0</v>
      </c>
      <c r="I522" s="71">
        <v>0</v>
      </c>
      <c r="J522" s="71">
        <v>0</v>
      </c>
      <c r="K522" s="71">
        <v>0</v>
      </c>
      <c r="L522" s="71">
        <v>0</v>
      </c>
      <c r="M522" s="71">
        <v>0</v>
      </c>
      <c r="N522" s="71">
        <v>0</v>
      </c>
      <c r="O522" s="71">
        <v>0</v>
      </c>
      <c r="P522" s="71">
        <v>0</v>
      </c>
      <c r="Q522" s="71">
        <v>0</v>
      </c>
      <c r="R522" s="71">
        <v>312.7</v>
      </c>
      <c r="S522" s="71">
        <v>268.75599999999997</v>
      </c>
      <c r="T522" s="71">
        <v>0</v>
      </c>
    </row>
    <row r="523" spans="1:20">
      <c r="A523" s="71" t="s">
        <v>1048</v>
      </c>
      <c r="B523" s="71" t="s">
        <v>1049</v>
      </c>
      <c r="C523" s="71">
        <v>562.40699999999993</v>
      </c>
      <c r="D523" s="71">
        <v>0</v>
      </c>
      <c r="E523" s="71">
        <v>0</v>
      </c>
      <c r="F523" s="71">
        <v>0.48799999999999999</v>
      </c>
      <c r="G523" s="71">
        <v>24.103999999999999</v>
      </c>
      <c r="H523" s="71">
        <v>2.6749999999999998</v>
      </c>
      <c r="I523" s="71">
        <v>0</v>
      </c>
      <c r="J523" s="71">
        <v>0</v>
      </c>
      <c r="K523" s="71">
        <v>0</v>
      </c>
      <c r="L523" s="71">
        <v>0</v>
      </c>
      <c r="M523" s="71">
        <v>0</v>
      </c>
      <c r="N523" s="71">
        <v>0</v>
      </c>
      <c r="O523" s="71">
        <v>0</v>
      </c>
      <c r="P523" s="71">
        <v>0</v>
      </c>
      <c r="Q523" s="71">
        <v>0</v>
      </c>
      <c r="R523" s="71">
        <v>167</v>
      </c>
      <c r="S523" s="71">
        <v>0</v>
      </c>
      <c r="T523" s="71">
        <v>0</v>
      </c>
    </row>
    <row r="524" spans="1:20">
      <c r="A524" s="71" t="s">
        <v>1050</v>
      </c>
      <c r="B524" s="71" t="s">
        <v>1051</v>
      </c>
      <c r="C524" s="71">
        <v>208.93199999999999</v>
      </c>
      <c r="D524" s="71">
        <v>0.17099999999999999</v>
      </c>
      <c r="E524" s="71">
        <v>0</v>
      </c>
      <c r="F524" s="71">
        <v>0.108</v>
      </c>
      <c r="G524" s="71">
        <v>6.0519999999999996</v>
      </c>
      <c r="H524" s="71">
        <v>0</v>
      </c>
      <c r="I524" s="71">
        <v>0</v>
      </c>
      <c r="J524" s="71">
        <v>0</v>
      </c>
      <c r="K524" s="71">
        <v>0</v>
      </c>
      <c r="L524" s="71">
        <v>0</v>
      </c>
      <c r="M524" s="71">
        <v>6.8449999999999998</v>
      </c>
      <c r="N524" s="71">
        <v>1.1739999999999999</v>
      </c>
      <c r="O524" s="71">
        <v>0</v>
      </c>
      <c r="P524" s="71">
        <v>0</v>
      </c>
      <c r="Q524" s="71">
        <v>0</v>
      </c>
      <c r="R524" s="71">
        <v>208.7</v>
      </c>
      <c r="S524" s="71">
        <v>0</v>
      </c>
      <c r="T524" s="71">
        <v>10.446999999999999</v>
      </c>
    </row>
    <row r="525" spans="1:20">
      <c r="A525" s="71" t="s">
        <v>1052</v>
      </c>
      <c r="B525" s="71" t="s">
        <v>1053</v>
      </c>
      <c r="C525" s="71">
        <v>51.378999999999998</v>
      </c>
      <c r="D525" s="71">
        <v>0</v>
      </c>
      <c r="E525" s="71">
        <v>0</v>
      </c>
      <c r="F525" s="71">
        <v>0</v>
      </c>
      <c r="G525" s="71">
        <v>1.0659999999999998</v>
      </c>
      <c r="H525" s="71">
        <v>0.5139999999999999</v>
      </c>
      <c r="I525" s="71">
        <v>0</v>
      </c>
      <c r="J525" s="71">
        <v>0</v>
      </c>
      <c r="K525" s="71">
        <v>0</v>
      </c>
      <c r="L525" s="71">
        <v>0</v>
      </c>
      <c r="M525" s="71">
        <v>0</v>
      </c>
      <c r="N525" s="71">
        <v>5.5E-2</v>
      </c>
      <c r="O525" s="71">
        <v>8.2159999999999993</v>
      </c>
      <c r="P525" s="71">
        <v>0</v>
      </c>
      <c r="Q525" s="71">
        <v>4.6629999999999994</v>
      </c>
      <c r="R525" s="71">
        <v>72</v>
      </c>
      <c r="S525" s="71">
        <v>0</v>
      </c>
      <c r="T525" s="71">
        <v>0</v>
      </c>
    </row>
    <row r="526" spans="1:20">
      <c r="A526" s="71" t="s">
        <v>5109</v>
      </c>
      <c r="B526" s="71" t="s">
        <v>1054</v>
      </c>
      <c r="C526" s="71">
        <v>349.86199999999997</v>
      </c>
      <c r="D526" s="71">
        <v>0</v>
      </c>
      <c r="E526" s="71">
        <v>0</v>
      </c>
      <c r="F526" s="71">
        <v>4.2999999999999997E-2</v>
      </c>
      <c r="G526" s="71">
        <v>0</v>
      </c>
      <c r="H526" s="71">
        <v>0</v>
      </c>
      <c r="I526" s="71">
        <v>0</v>
      </c>
      <c r="J526" s="71">
        <v>0</v>
      </c>
      <c r="K526" s="71">
        <v>0</v>
      </c>
      <c r="L526" s="71">
        <v>0</v>
      </c>
      <c r="M526" s="71">
        <v>0</v>
      </c>
      <c r="N526" s="71">
        <v>0</v>
      </c>
      <c r="O526" s="71">
        <v>0</v>
      </c>
      <c r="P526" s="71">
        <v>0</v>
      </c>
      <c r="Q526" s="71">
        <v>0</v>
      </c>
      <c r="R526" s="71">
        <v>478.2</v>
      </c>
      <c r="S526" s="71">
        <v>0</v>
      </c>
      <c r="T526" s="71">
        <v>0</v>
      </c>
    </row>
    <row r="527" spans="1:20">
      <c r="A527" s="71" t="s">
        <v>1055</v>
      </c>
      <c r="B527" s="71" t="s">
        <v>1056</v>
      </c>
      <c r="C527" s="71">
        <v>114.502</v>
      </c>
      <c r="D527" s="71">
        <v>0</v>
      </c>
      <c r="E527" s="71">
        <v>0</v>
      </c>
      <c r="F527" s="71">
        <v>1.2999999999999999E-2</v>
      </c>
      <c r="G527" s="71">
        <v>0</v>
      </c>
      <c r="H527" s="71">
        <v>0</v>
      </c>
      <c r="I527" s="71">
        <v>0</v>
      </c>
      <c r="J527" s="71">
        <v>0</v>
      </c>
      <c r="K527" s="71">
        <v>0</v>
      </c>
      <c r="L527" s="71">
        <v>0</v>
      </c>
      <c r="M527" s="71">
        <v>0</v>
      </c>
      <c r="N527" s="71">
        <v>0</v>
      </c>
      <c r="O527" s="71">
        <v>0</v>
      </c>
      <c r="P527" s="71">
        <v>0</v>
      </c>
      <c r="Q527" s="71">
        <v>0</v>
      </c>
      <c r="R527" s="71">
        <v>90.5</v>
      </c>
      <c r="S527" s="71">
        <v>0</v>
      </c>
      <c r="T527" s="71">
        <v>0</v>
      </c>
    </row>
    <row r="528" spans="1:20">
      <c r="A528" s="71" t="s">
        <v>1057</v>
      </c>
      <c r="B528" s="71" t="s">
        <v>1058</v>
      </c>
      <c r="C528" s="71">
        <v>572.37599999999998</v>
      </c>
      <c r="D528" s="71">
        <v>0</v>
      </c>
      <c r="E528" s="71">
        <v>0</v>
      </c>
      <c r="F528" s="71">
        <v>1.0529999999999999</v>
      </c>
      <c r="G528" s="71">
        <v>20.684999999999999</v>
      </c>
      <c r="H528" s="71">
        <v>3.585</v>
      </c>
      <c r="I528" s="71">
        <v>0</v>
      </c>
      <c r="J528" s="71">
        <v>0</v>
      </c>
      <c r="K528" s="71">
        <v>0</v>
      </c>
      <c r="L528" s="71">
        <v>0</v>
      </c>
      <c r="M528" s="71">
        <v>0</v>
      </c>
      <c r="N528" s="71">
        <v>0</v>
      </c>
      <c r="O528" s="71">
        <v>0</v>
      </c>
      <c r="P528" s="71">
        <v>0</v>
      </c>
      <c r="Q528" s="71">
        <v>0</v>
      </c>
      <c r="R528" s="71">
        <v>543</v>
      </c>
      <c r="S528" s="71">
        <v>110.34399999999999</v>
      </c>
      <c r="T528" s="71">
        <v>0</v>
      </c>
    </row>
    <row r="529" spans="1:20">
      <c r="A529" s="71" t="s">
        <v>1059</v>
      </c>
      <c r="B529" s="71" t="s">
        <v>1060</v>
      </c>
      <c r="C529" s="71">
        <v>90.392999999999986</v>
      </c>
      <c r="D529" s="71">
        <v>0</v>
      </c>
      <c r="E529" s="71">
        <v>0</v>
      </c>
      <c r="F529" s="71">
        <v>0</v>
      </c>
      <c r="G529" s="71">
        <v>0</v>
      </c>
      <c r="H529" s="71">
        <v>0</v>
      </c>
      <c r="I529" s="71">
        <v>0</v>
      </c>
      <c r="J529" s="71">
        <v>0</v>
      </c>
      <c r="K529" s="71">
        <v>0</v>
      </c>
      <c r="L529" s="71">
        <v>0</v>
      </c>
      <c r="M529" s="71">
        <v>0</v>
      </c>
      <c r="N529" s="71">
        <v>0</v>
      </c>
      <c r="O529" s="71">
        <v>0</v>
      </c>
      <c r="P529" s="71">
        <v>0</v>
      </c>
      <c r="Q529" s="71">
        <v>0</v>
      </c>
      <c r="R529" s="71">
        <v>81.3</v>
      </c>
      <c r="S529" s="71">
        <v>29.574999999999999</v>
      </c>
      <c r="T529" s="71">
        <v>0</v>
      </c>
    </row>
    <row r="530" spans="1:20">
      <c r="A530" s="71" t="s">
        <v>1061</v>
      </c>
      <c r="B530" s="71" t="s">
        <v>1062</v>
      </c>
      <c r="C530" s="71">
        <v>0</v>
      </c>
      <c r="D530" s="71">
        <v>0</v>
      </c>
      <c r="E530" s="71">
        <v>0</v>
      </c>
      <c r="F530" s="71">
        <v>0</v>
      </c>
      <c r="G530" s="71">
        <v>0</v>
      </c>
      <c r="H530" s="71">
        <v>0</v>
      </c>
      <c r="I530" s="71">
        <v>0</v>
      </c>
      <c r="J530" s="71">
        <v>0</v>
      </c>
      <c r="K530" s="71">
        <v>0</v>
      </c>
      <c r="L530" s="71">
        <v>0</v>
      </c>
      <c r="M530" s="71">
        <v>0</v>
      </c>
      <c r="N530" s="71">
        <v>0</v>
      </c>
      <c r="O530" s="71">
        <v>0</v>
      </c>
      <c r="P530" s="71">
        <v>0</v>
      </c>
      <c r="Q530" s="71">
        <v>0</v>
      </c>
      <c r="R530" s="71">
        <v>0</v>
      </c>
      <c r="S530" s="71">
        <v>0</v>
      </c>
      <c r="T530" s="71">
        <v>0</v>
      </c>
    </row>
    <row r="531" spans="1:20">
      <c r="A531" s="71" t="s">
        <v>5111</v>
      </c>
      <c r="B531" s="71" t="s">
        <v>5112</v>
      </c>
      <c r="C531" s="71">
        <v>266.63699999999994</v>
      </c>
      <c r="D531" s="71">
        <v>0</v>
      </c>
      <c r="E531" s="71">
        <v>0</v>
      </c>
      <c r="F531" s="71">
        <v>0</v>
      </c>
      <c r="G531" s="71">
        <v>0</v>
      </c>
      <c r="H531" s="71">
        <v>0</v>
      </c>
      <c r="I531" s="71">
        <v>0</v>
      </c>
      <c r="J531" s="71">
        <v>0</v>
      </c>
      <c r="K531" s="71">
        <v>0</v>
      </c>
      <c r="L531" s="71">
        <v>0</v>
      </c>
      <c r="M531" s="71">
        <v>0</v>
      </c>
      <c r="N531" s="71">
        <v>0</v>
      </c>
      <c r="O531" s="71">
        <v>0</v>
      </c>
      <c r="P531" s="71">
        <v>0</v>
      </c>
      <c r="Q531" s="71">
        <v>21.867999999999999</v>
      </c>
      <c r="R531" s="71">
        <v>235.8</v>
      </c>
      <c r="S531" s="71">
        <v>0</v>
      </c>
      <c r="T531" s="71">
        <v>0</v>
      </c>
    </row>
    <row r="532" spans="1:20">
      <c r="A532" s="71" t="s">
        <v>1063</v>
      </c>
      <c r="B532" s="71" t="s">
        <v>1064</v>
      </c>
      <c r="C532" s="71">
        <v>158.19499999999999</v>
      </c>
      <c r="D532" s="71">
        <v>0</v>
      </c>
      <c r="E532" s="71">
        <v>0</v>
      </c>
      <c r="F532" s="71">
        <v>8.199999999999999E-2</v>
      </c>
      <c r="G532" s="71">
        <v>0</v>
      </c>
      <c r="H532" s="71">
        <v>0</v>
      </c>
      <c r="I532" s="71">
        <v>0</v>
      </c>
      <c r="J532" s="71">
        <v>0</v>
      </c>
      <c r="K532" s="71">
        <v>0</v>
      </c>
      <c r="L532" s="71">
        <v>0</v>
      </c>
      <c r="M532" s="71">
        <v>0</v>
      </c>
      <c r="N532" s="71">
        <v>0</v>
      </c>
      <c r="O532" s="71">
        <v>0</v>
      </c>
      <c r="P532" s="71">
        <v>0</v>
      </c>
      <c r="Q532" s="71">
        <v>0</v>
      </c>
      <c r="R532" s="71">
        <v>265.5</v>
      </c>
      <c r="S532" s="71">
        <v>85.155999999999992</v>
      </c>
      <c r="T532" s="71">
        <v>0</v>
      </c>
    </row>
    <row r="533" spans="1:20">
      <c r="A533" s="71" t="s">
        <v>1065</v>
      </c>
      <c r="B533" s="71" t="s">
        <v>1066</v>
      </c>
      <c r="C533" s="71">
        <v>217.386</v>
      </c>
      <c r="D533" s="71">
        <v>0</v>
      </c>
      <c r="E533" s="71">
        <v>0</v>
      </c>
      <c r="F533" s="71">
        <v>1.9E-2</v>
      </c>
      <c r="G533" s="71">
        <v>0</v>
      </c>
      <c r="H533" s="71">
        <v>0</v>
      </c>
      <c r="I533" s="71">
        <v>0</v>
      </c>
      <c r="J533" s="71">
        <v>0</v>
      </c>
      <c r="K533" s="71">
        <v>0</v>
      </c>
      <c r="L533" s="71">
        <v>0</v>
      </c>
      <c r="M533" s="71">
        <v>0</v>
      </c>
      <c r="N533" s="71">
        <v>0</v>
      </c>
      <c r="O533" s="71">
        <v>1.2949999999999999</v>
      </c>
      <c r="P533" s="71">
        <v>0</v>
      </c>
      <c r="Q533" s="71">
        <v>11.28</v>
      </c>
      <c r="R533" s="71">
        <v>0</v>
      </c>
      <c r="S533" s="71">
        <v>0</v>
      </c>
      <c r="T533" s="71">
        <v>9.0739999999999998</v>
      </c>
    </row>
    <row r="534" spans="1:20">
      <c r="A534" s="71" t="s">
        <v>1067</v>
      </c>
      <c r="B534" s="71" t="s">
        <v>1068</v>
      </c>
      <c r="C534" s="71">
        <v>0</v>
      </c>
      <c r="D534" s="71">
        <v>0</v>
      </c>
      <c r="E534" s="71">
        <v>0</v>
      </c>
      <c r="F534" s="71">
        <v>0</v>
      </c>
      <c r="G534" s="71">
        <v>0</v>
      </c>
      <c r="H534" s="71">
        <v>0</v>
      </c>
      <c r="I534" s="71">
        <v>0</v>
      </c>
      <c r="J534" s="71">
        <v>0</v>
      </c>
      <c r="K534" s="71">
        <v>0</v>
      </c>
      <c r="L534" s="71">
        <v>0</v>
      </c>
      <c r="M534" s="71">
        <v>0</v>
      </c>
      <c r="N534" s="71">
        <v>0</v>
      </c>
      <c r="O534" s="71">
        <v>0</v>
      </c>
      <c r="P534" s="71">
        <v>0</v>
      </c>
      <c r="Q534" s="71">
        <v>0</v>
      </c>
      <c r="R534" s="71">
        <v>0</v>
      </c>
      <c r="S534" s="71">
        <v>0</v>
      </c>
      <c r="T534" s="71">
        <v>0</v>
      </c>
    </row>
    <row r="535" spans="1:20">
      <c r="A535" s="71" t="s">
        <v>5113</v>
      </c>
      <c r="B535" s="71" t="s">
        <v>1069</v>
      </c>
      <c r="C535" s="71">
        <v>173.10899999999998</v>
      </c>
      <c r="D535" s="71">
        <v>0</v>
      </c>
      <c r="E535" s="71">
        <v>0</v>
      </c>
      <c r="F535" s="71">
        <v>0</v>
      </c>
      <c r="G535" s="71">
        <v>0</v>
      </c>
      <c r="H535" s="71">
        <v>0</v>
      </c>
      <c r="I535" s="71">
        <v>0</v>
      </c>
      <c r="J535" s="71">
        <v>0</v>
      </c>
      <c r="K535" s="71">
        <v>0</v>
      </c>
      <c r="L535" s="71">
        <v>0</v>
      </c>
      <c r="M535" s="71">
        <v>0</v>
      </c>
      <c r="N535" s="71">
        <v>0.39599999999999996</v>
      </c>
      <c r="O535" s="71">
        <v>11.642999999999999</v>
      </c>
      <c r="P535" s="71">
        <v>0</v>
      </c>
      <c r="Q535" s="71">
        <v>41.785999999999994</v>
      </c>
      <c r="R535" s="71">
        <v>50.7</v>
      </c>
      <c r="S535" s="71">
        <v>0</v>
      </c>
      <c r="T535" s="71">
        <v>0</v>
      </c>
    </row>
    <row r="536" spans="1:20">
      <c r="A536" s="71" t="s">
        <v>1070</v>
      </c>
      <c r="B536" s="71" t="s">
        <v>1071</v>
      </c>
      <c r="C536" s="71">
        <v>740.89199999999994</v>
      </c>
      <c r="D536" s="71">
        <v>0</v>
      </c>
      <c r="E536" s="71">
        <v>0</v>
      </c>
      <c r="F536" s="71">
        <v>0.29299999999999998</v>
      </c>
      <c r="G536" s="71">
        <v>8.5429999999999993</v>
      </c>
      <c r="H536" s="71">
        <v>0.68699999999999994</v>
      </c>
      <c r="I536" s="71">
        <v>0</v>
      </c>
      <c r="J536" s="71">
        <v>0</v>
      </c>
      <c r="K536" s="71">
        <v>0</v>
      </c>
      <c r="L536" s="71">
        <v>0</v>
      </c>
      <c r="M536" s="71">
        <v>3.4829999999999997</v>
      </c>
      <c r="N536" s="71">
        <v>1.1079999999999999</v>
      </c>
      <c r="O536" s="71">
        <v>51.491</v>
      </c>
      <c r="P536" s="71">
        <v>0</v>
      </c>
      <c r="Q536" s="71">
        <v>32.183</v>
      </c>
      <c r="R536" s="71">
        <v>138.5</v>
      </c>
      <c r="S536" s="71">
        <v>190.874</v>
      </c>
      <c r="T536" s="71">
        <v>0</v>
      </c>
    </row>
    <row r="537" spans="1:20">
      <c r="A537" s="71" t="s">
        <v>1982</v>
      </c>
      <c r="B537" s="71" t="s">
        <v>1072</v>
      </c>
      <c r="C537" s="71">
        <v>485.68099999999998</v>
      </c>
      <c r="D537" s="71">
        <v>0</v>
      </c>
      <c r="E537" s="71">
        <v>0</v>
      </c>
      <c r="F537" s="71">
        <v>0.45599999999999996</v>
      </c>
      <c r="G537" s="71">
        <v>3.359</v>
      </c>
      <c r="H537" s="71">
        <v>0</v>
      </c>
      <c r="I537" s="71">
        <v>0</v>
      </c>
      <c r="J537" s="71">
        <v>0</v>
      </c>
      <c r="K537" s="71">
        <v>0</v>
      </c>
      <c r="L537" s="71">
        <v>0</v>
      </c>
      <c r="M537" s="71">
        <v>0</v>
      </c>
      <c r="N537" s="71">
        <v>0</v>
      </c>
      <c r="O537" s="71">
        <v>0</v>
      </c>
      <c r="P537" s="71">
        <v>0</v>
      </c>
      <c r="Q537" s="71">
        <v>0</v>
      </c>
      <c r="R537" s="71">
        <v>544.20000000000005</v>
      </c>
      <c r="S537" s="71">
        <v>25.84</v>
      </c>
      <c r="T537" s="71">
        <v>16.553999999999998</v>
      </c>
    </row>
    <row r="538" spans="1:20">
      <c r="A538" s="71" t="s">
        <v>1984</v>
      </c>
      <c r="B538" s="71" t="s">
        <v>1073</v>
      </c>
      <c r="C538" s="71">
        <v>78.547999999999988</v>
      </c>
      <c r="D538" s="71">
        <v>0</v>
      </c>
      <c r="E538" s="71">
        <v>0</v>
      </c>
      <c r="F538" s="71">
        <v>0</v>
      </c>
      <c r="G538" s="71">
        <v>0</v>
      </c>
      <c r="H538" s="71">
        <v>0</v>
      </c>
      <c r="I538" s="71">
        <v>0</v>
      </c>
      <c r="J538" s="71">
        <v>0</v>
      </c>
      <c r="K538" s="71">
        <v>0</v>
      </c>
      <c r="L538" s="71">
        <v>0</v>
      </c>
      <c r="M538" s="71">
        <v>0</v>
      </c>
      <c r="N538" s="71">
        <v>0.90199999999999991</v>
      </c>
      <c r="O538" s="71">
        <v>0</v>
      </c>
      <c r="P538" s="71">
        <v>0</v>
      </c>
      <c r="Q538" s="71">
        <v>53.457999999999998</v>
      </c>
      <c r="R538" s="71">
        <v>0</v>
      </c>
      <c r="S538" s="71">
        <v>1.716</v>
      </c>
      <c r="T538" s="71">
        <v>0</v>
      </c>
    </row>
    <row r="539" spans="1:20">
      <c r="A539" s="71" t="s">
        <v>1074</v>
      </c>
      <c r="B539" s="71" t="s">
        <v>1075</v>
      </c>
      <c r="C539" s="71">
        <v>497.99599999999998</v>
      </c>
      <c r="D539" s="71">
        <v>0</v>
      </c>
      <c r="E539" s="71">
        <v>0</v>
      </c>
      <c r="F539" s="71">
        <v>0</v>
      </c>
      <c r="G539" s="71">
        <v>0.46199999999999997</v>
      </c>
      <c r="H539" s="71">
        <v>4.6679999999999993</v>
      </c>
      <c r="I539" s="71">
        <v>0</v>
      </c>
      <c r="J539" s="71">
        <v>0</v>
      </c>
      <c r="K539" s="71">
        <v>0</v>
      </c>
      <c r="L539" s="71">
        <v>0</v>
      </c>
      <c r="M539" s="71">
        <v>0</v>
      </c>
      <c r="N539" s="71">
        <v>0</v>
      </c>
      <c r="O539" s="71">
        <v>0</v>
      </c>
      <c r="P539" s="71">
        <v>0</v>
      </c>
      <c r="Q539" s="71">
        <v>0</v>
      </c>
      <c r="R539" s="71">
        <v>628.5</v>
      </c>
      <c r="S539" s="71">
        <v>0</v>
      </c>
      <c r="T539" s="71">
        <v>0</v>
      </c>
    </row>
    <row r="540" spans="1:20">
      <c r="A540" s="71" t="s">
        <v>1076</v>
      </c>
      <c r="B540" s="71" t="s">
        <v>1077</v>
      </c>
      <c r="C540" s="71">
        <v>1022.622</v>
      </c>
      <c r="D540" s="71">
        <v>0</v>
      </c>
      <c r="E540" s="71">
        <v>0</v>
      </c>
      <c r="F540" s="71">
        <v>0.16</v>
      </c>
      <c r="G540" s="71">
        <v>8.5459999999999994</v>
      </c>
      <c r="H540" s="71">
        <v>0</v>
      </c>
      <c r="I540" s="71">
        <v>0</v>
      </c>
      <c r="J540" s="71">
        <v>0</v>
      </c>
      <c r="K540" s="71">
        <v>0</v>
      </c>
      <c r="L540" s="71">
        <v>0</v>
      </c>
      <c r="M540" s="71">
        <v>0</v>
      </c>
      <c r="N540" s="71">
        <v>0</v>
      </c>
      <c r="O540" s="71">
        <v>0</v>
      </c>
      <c r="P540" s="71">
        <v>0</v>
      </c>
      <c r="Q540" s="71">
        <v>7.8719999999999999</v>
      </c>
      <c r="R540" s="71">
        <v>746.2</v>
      </c>
      <c r="S540" s="71">
        <v>0</v>
      </c>
      <c r="T540" s="71">
        <v>44.252999999999993</v>
      </c>
    </row>
    <row r="541" spans="1:20">
      <c r="A541" s="71" t="s">
        <v>1986</v>
      </c>
      <c r="B541" s="71" t="s">
        <v>1987</v>
      </c>
      <c r="C541" s="71">
        <v>700.17099999999994</v>
      </c>
      <c r="D541" s="71">
        <v>0</v>
      </c>
      <c r="E541" s="71">
        <v>0</v>
      </c>
      <c r="F541" s="71">
        <v>0.13399999999999998</v>
      </c>
      <c r="G541" s="71">
        <v>4.3929999999999998</v>
      </c>
      <c r="H541" s="71">
        <v>8.0999999999999989E-2</v>
      </c>
      <c r="I541" s="71">
        <v>0</v>
      </c>
      <c r="J541" s="71">
        <v>0</v>
      </c>
      <c r="K541" s="71">
        <v>0</v>
      </c>
      <c r="L541" s="71">
        <v>0</v>
      </c>
      <c r="M541" s="71">
        <v>0</v>
      </c>
      <c r="N541" s="71">
        <v>0</v>
      </c>
      <c r="O541" s="71">
        <v>0</v>
      </c>
      <c r="P541" s="71">
        <v>0</v>
      </c>
      <c r="Q541" s="71">
        <v>14.550999999999998</v>
      </c>
      <c r="R541" s="71">
        <v>382.3</v>
      </c>
      <c r="S541" s="71">
        <v>38.49</v>
      </c>
      <c r="T541" s="71">
        <v>35.010999999999996</v>
      </c>
    </row>
    <row r="542" spans="1:20">
      <c r="A542" s="71" t="s">
        <v>1078</v>
      </c>
      <c r="B542" s="71" t="s">
        <v>1079</v>
      </c>
      <c r="C542" s="71">
        <v>330.46</v>
      </c>
      <c r="D542" s="71">
        <v>0</v>
      </c>
      <c r="E542" s="71">
        <v>0</v>
      </c>
      <c r="F542" s="71">
        <v>0.23099999999999998</v>
      </c>
      <c r="G542" s="71">
        <v>0</v>
      </c>
      <c r="H542" s="71">
        <v>0</v>
      </c>
      <c r="I542" s="71">
        <v>0</v>
      </c>
      <c r="J542" s="71">
        <v>0</v>
      </c>
      <c r="K542" s="71">
        <v>0</v>
      </c>
      <c r="L542" s="71">
        <v>0</v>
      </c>
      <c r="M542" s="71">
        <v>0</v>
      </c>
      <c r="N542" s="71">
        <v>0</v>
      </c>
      <c r="O542" s="71">
        <v>0</v>
      </c>
      <c r="P542" s="71">
        <v>0</v>
      </c>
      <c r="Q542" s="71">
        <v>0</v>
      </c>
      <c r="R542" s="71">
        <v>236.7</v>
      </c>
      <c r="S542" s="71">
        <v>0</v>
      </c>
      <c r="T542" s="71">
        <v>0</v>
      </c>
    </row>
    <row r="543" spans="1:20">
      <c r="A543" s="71" t="s">
        <v>1080</v>
      </c>
      <c r="B543" s="71" t="s">
        <v>1081</v>
      </c>
      <c r="C543" s="71">
        <v>284.62599999999998</v>
      </c>
      <c r="D543" s="71">
        <v>0</v>
      </c>
      <c r="E543" s="71">
        <v>0</v>
      </c>
      <c r="F543" s="71">
        <v>0.48699999999999999</v>
      </c>
      <c r="G543" s="71">
        <v>10.063999999999998</v>
      </c>
      <c r="H543" s="71">
        <v>0</v>
      </c>
      <c r="I543" s="71">
        <v>0</v>
      </c>
      <c r="J543" s="71">
        <v>0</v>
      </c>
      <c r="K543" s="71">
        <v>0</v>
      </c>
      <c r="L543" s="71">
        <v>0</v>
      </c>
      <c r="M543" s="71">
        <v>0</v>
      </c>
      <c r="N543" s="71">
        <v>0</v>
      </c>
      <c r="O543" s="71">
        <v>6.359</v>
      </c>
      <c r="P543" s="71">
        <v>0</v>
      </c>
      <c r="Q543" s="71">
        <v>0</v>
      </c>
      <c r="R543" s="71">
        <v>306.8</v>
      </c>
      <c r="S543" s="71">
        <v>0</v>
      </c>
      <c r="T543" s="71">
        <v>0</v>
      </c>
    </row>
    <row r="544" spans="1:20">
      <c r="A544" s="71" t="s">
        <v>1082</v>
      </c>
      <c r="B544" s="71" t="s">
        <v>1083</v>
      </c>
      <c r="C544" s="71">
        <v>682.88699999999994</v>
      </c>
      <c r="D544" s="71">
        <v>0</v>
      </c>
      <c r="E544" s="71">
        <v>0</v>
      </c>
      <c r="F544" s="71">
        <v>0.19899999999999998</v>
      </c>
      <c r="G544" s="71">
        <v>18.908999999999999</v>
      </c>
      <c r="H544" s="71">
        <v>2.1389999999999998</v>
      </c>
      <c r="I544" s="71">
        <v>0</v>
      </c>
      <c r="J544" s="71">
        <v>0</v>
      </c>
      <c r="K544" s="71">
        <v>0</v>
      </c>
      <c r="L544" s="71">
        <v>0</v>
      </c>
      <c r="M544" s="71">
        <v>0</v>
      </c>
      <c r="N544" s="71">
        <v>0</v>
      </c>
      <c r="O544" s="71">
        <v>0</v>
      </c>
      <c r="P544" s="71">
        <v>0</v>
      </c>
      <c r="Q544" s="71">
        <v>0</v>
      </c>
      <c r="R544" s="71">
        <v>602.29999999999995</v>
      </c>
      <c r="S544" s="71">
        <v>33.260999999999996</v>
      </c>
      <c r="T544" s="71">
        <v>0</v>
      </c>
    </row>
    <row r="545" spans="1:20">
      <c r="A545" s="71" t="s">
        <v>1084</v>
      </c>
      <c r="B545" s="71" t="s">
        <v>1085</v>
      </c>
      <c r="C545" s="71">
        <v>367.125</v>
      </c>
      <c r="D545" s="71">
        <v>0</v>
      </c>
      <c r="E545" s="71">
        <v>0</v>
      </c>
      <c r="F545" s="71">
        <v>5.5E-2</v>
      </c>
      <c r="G545" s="71">
        <v>13.187999999999999</v>
      </c>
      <c r="H545" s="71">
        <v>0.153</v>
      </c>
      <c r="I545" s="71">
        <v>0</v>
      </c>
      <c r="J545" s="71">
        <v>0</v>
      </c>
      <c r="K545" s="71">
        <v>0</v>
      </c>
      <c r="L545" s="71">
        <v>0</v>
      </c>
      <c r="M545" s="71">
        <v>0</v>
      </c>
      <c r="N545" s="71">
        <v>0</v>
      </c>
      <c r="O545" s="71">
        <v>0</v>
      </c>
      <c r="P545" s="71">
        <v>0</v>
      </c>
      <c r="Q545" s="71">
        <v>0</v>
      </c>
      <c r="R545" s="71">
        <v>426.5</v>
      </c>
      <c r="S545" s="71">
        <v>0</v>
      </c>
      <c r="T545" s="71">
        <v>0</v>
      </c>
    </row>
    <row r="546" spans="1:20">
      <c r="A546" s="71" t="s">
        <v>1086</v>
      </c>
      <c r="B546" s="71" t="s">
        <v>1087</v>
      </c>
      <c r="C546" s="71">
        <v>137.44899999999998</v>
      </c>
      <c r="D546" s="71">
        <v>0.01</v>
      </c>
      <c r="E546" s="71">
        <v>0</v>
      </c>
      <c r="F546" s="71">
        <v>0.13199999999999998</v>
      </c>
      <c r="G546" s="71">
        <v>23.876999999999999</v>
      </c>
      <c r="H546" s="71">
        <v>0</v>
      </c>
      <c r="I546" s="71">
        <v>0</v>
      </c>
      <c r="J546" s="71">
        <v>0</v>
      </c>
      <c r="K546" s="71">
        <v>0</v>
      </c>
      <c r="L546" s="71">
        <v>0</v>
      </c>
      <c r="M546" s="71">
        <v>0</v>
      </c>
      <c r="N546" s="71">
        <v>0</v>
      </c>
      <c r="O546" s="71">
        <v>0</v>
      </c>
      <c r="P546" s="71">
        <v>0</v>
      </c>
      <c r="Q546" s="71">
        <v>0</v>
      </c>
      <c r="R546" s="71">
        <v>137.19999999999999</v>
      </c>
      <c r="S546" s="71">
        <v>0</v>
      </c>
      <c r="T546" s="71">
        <v>0</v>
      </c>
    </row>
    <row r="547" spans="1:20">
      <c r="A547" s="71" t="s">
        <v>1088</v>
      </c>
      <c r="B547" s="71" t="s">
        <v>1089</v>
      </c>
      <c r="C547" s="71">
        <v>79.900000000000006</v>
      </c>
      <c r="D547" s="71">
        <v>0</v>
      </c>
      <c r="E547" s="71">
        <v>0</v>
      </c>
      <c r="F547" s="71">
        <v>1.3999999999999999E-2</v>
      </c>
      <c r="G547" s="71">
        <v>2.0379999999999998</v>
      </c>
      <c r="H547" s="71">
        <v>0</v>
      </c>
      <c r="I547" s="71">
        <v>0</v>
      </c>
      <c r="J547" s="71">
        <v>0</v>
      </c>
      <c r="K547" s="71">
        <v>0</v>
      </c>
      <c r="L547" s="71">
        <v>0</v>
      </c>
      <c r="M547" s="71">
        <v>0</v>
      </c>
      <c r="N547" s="71">
        <v>0</v>
      </c>
      <c r="O547" s="71">
        <v>0</v>
      </c>
      <c r="P547" s="71">
        <v>0</v>
      </c>
      <c r="Q547" s="71">
        <v>7.8319999999999999</v>
      </c>
      <c r="R547" s="71">
        <v>82.3</v>
      </c>
      <c r="S547" s="71">
        <v>15.441999999999998</v>
      </c>
      <c r="T547" s="71">
        <v>0</v>
      </c>
    </row>
    <row r="548" spans="1:20">
      <c r="A548" s="71" t="s">
        <v>1090</v>
      </c>
      <c r="B548" s="71" t="s">
        <v>1091</v>
      </c>
      <c r="C548" s="71">
        <v>330.55899999999997</v>
      </c>
      <c r="D548" s="71">
        <v>0</v>
      </c>
      <c r="E548" s="71">
        <v>0</v>
      </c>
      <c r="F548" s="71">
        <v>0.78899999999999992</v>
      </c>
      <c r="G548" s="71">
        <v>4.5819999999999999</v>
      </c>
      <c r="H548" s="71">
        <v>0</v>
      </c>
      <c r="I548" s="71">
        <v>0</v>
      </c>
      <c r="J548" s="71">
        <v>0</v>
      </c>
      <c r="K548" s="71">
        <v>0</v>
      </c>
      <c r="L548" s="71">
        <v>0</v>
      </c>
      <c r="M548" s="71">
        <v>0</v>
      </c>
      <c r="N548" s="71">
        <v>0</v>
      </c>
      <c r="O548" s="71">
        <v>0</v>
      </c>
      <c r="P548" s="71">
        <v>0</v>
      </c>
      <c r="Q548" s="71">
        <v>0</v>
      </c>
      <c r="R548" s="71">
        <v>427.5</v>
      </c>
      <c r="S548" s="71">
        <v>116.86499999999999</v>
      </c>
      <c r="T548" s="71">
        <v>0</v>
      </c>
    </row>
    <row r="549" spans="1:20">
      <c r="A549" s="71" t="s">
        <v>1092</v>
      </c>
      <c r="B549" s="71" t="s">
        <v>1093</v>
      </c>
      <c r="C549" s="71">
        <v>144.99599999999998</v>
      </c>
      <c r="D549" s="71">
        <v>0</v>
      </c>
      <c r="E549" s="71">
        <v>0</v>
      </c>
      <c r="F549" s="71">
        <v>0</v>
      </c>
      <c r="G549" s="71">
        <v>0</v>
      </c>
      <c r="H549" s="71">
        <v>0</v>
      </c>
      <c r="I549" s="71">
        <v>0</v>
      </c>
      <c r="J549" s="71">
        <v>0</v>
      </c>
      <c r="K549" s="71">
        <v>0</v>
      </c>
      <c r="L549" s="71">
        <v>0</v>
      </c>
      <c r="M549" s="71">
        <v>0</v>
      </c>
      <c r="N549" s="71">
        <v>4.4729999999999999</v>
      </c>
      <c r="O549" s="71">
        <v>0</v>
      </c>
      <c r="P549" s="71">
        <v>0</v>
      </c>
      <c r="Q549" s="71">
        <v>15.180999999999999</v>
      </c>
      <c r="R549" s="71">
        <v>161.5</v>
      </c>
      <c r="S549" s="71">
        <v>0.29299999999999998</v>
      </c>
      <c r="T549" s="71">
        <v>0</v>
      </c>
    </row>
    <row r="550" spans="1:20">
      <c r="A550" s="71" t="s">
        <v>1094</v>
      </c>
      <c r="B550" s="71" t="s">
        <v>1095</v>
      </c>
      <c r="C550" s="71">
        <v>101.67899999999999</v>
      </c>
      <c r="D550" s="71">
        <v>0</v>
      </c>
      <c r="E550" s="71">
        <v>0</v>
      </c>
      <c r="F550" s="71">
        <v>5.8999999999999997E-2</v>
      </c>
      <c r="G550" s="71">
        <v>0.20699999999999999</v>
      </c>
      <c r="H550" s="71">
        <v>0</v>
      </c>
      <c r="I550" s="71">
        <v>0</v>
      </c>
      <c r="J550" s="71">
        <v>0</v>
      </c>
      <c r="K550" s="71">
        <v>0</v>
      </c>
      <c r="L550" s="71">
        <v>0</v>
      </c>
      <c r="M550" s="71">
        <v>0</v>
      </c>
      <c r="N550" s="71">
        <v>0</v>
      </c>
      <c r="O550" s="71">
        <v>0</v>
      </c>
      <c r="P550" s="71">
        <v>0</v>
      </c>
      <c r="Q550" s="71">
        <v>0</v>
      </c>
      <c r="R550" s="71">
        <v>71.7</v>
      </c>
      <c r="S550" s="71">
        <v>0</v>
      </c>
      <c r="T550" s="71">
        <v>0</v>
      </c>
    </row>
    <row r="551" spans="1:20">
      <c r="A551" s="71" t="s">
        <v>1096</v>
      </c>
      <c r="B551" s="71" t="s">
        <v>1097</v>
      </c>
      <c r="C551" s="71">
        <v>204.36500000000001</v>
      </c>
      <c r="D551" s="71">
        <v>0</v>
      </c>
      <c r="E551" s="71">
        <v>0</v>
      </c>
      <c r="F551" s="71">
        <v>0.13500000000000001</v>
      </c>
      <c r="G551" s="71">
        <v>10.285</v>
      </c>
      <c r="H551" s="71">
        <v>0</v>
      </c>
      <c r="I551" s="71">
        <v>0</v>
      </c>
      <c r="J551" s="71">
        <v>0</v>
      </c>
      <c r="K551" s="71">
        <v>0</v>
      </c>
      <c r="L551" s="71">
        <v>0</v>
      </c>
      <c r="M551" s="71">
        <v>0</v>
      </c>
      <c r="N551" s="71">
        <v>0</v>
      </c>
      <c r="O551" s="71">
        <v>0</v>
      </c>
      <c r="P551" s="71">
        <v>0</v>
      </c>
      <c r="Q551" s="71">
        <v>0</v>
      </c>
      <c r="R551" s="71">
        <v>230.3</v>
      </c>
      <c r="S551" s="71">
        <v>164.53899999999999</v>
      </c>
      <c r="T551" s="71">
        <v>9.5</v>
      </c>
    </row>
    <row r="552" spans="1:20">
      <c r="A552" s="71" t="s">
        <v>1098</v>
      </c>
      <c r="C552" s="71">
        <v>186.14699999999999</v>
      </c>
      <c r="D552" s="71">
        <v>0</v>
      </c>
      <c r="E552" s="71">
        <v>0</v>
      </c>
      <c r="F552" s="71">
        <v>0</v>
      </c>
      <c r="G552" s="71">
        <v>0</v>
      </c>
      <c r="H552" s="71">
        <v>0</v>
      </c>
      <c r="I552" s="71">
        <v>0</v>
      </c>
      <c r="J552" s="71">
        <v>0</v>
      </c>
      <c r="K552" s="71">
        <v>0</v>
      </c>
      <c r="L552" s="71">
        <v>0</v>
      </c>
      <c r="M552" s="71">
        <v>0</v>
      </c>
      <c r="N552" s="71">
        <v>0</v>
      </c>
      <c r="O552" s="71">
        <v>0</v>
      </c>
      <c r="P552" s="71">
        <v>0</v>
      </c>
      <c r="Q552" s="71">
        <v>0</v>
      </c>
      <c r="R552" s="71">
        <v>118.7</v>
      </c>
      <c r="S552" s="71">
        <v>24.540999999999997</v>
      </c>
      <c r="T552" s="71">
        <v>9.3069999999999986</v>
      </c>
    </row>
    <row r="553" spans="1:20">
      <c r="A553" s="71" t="s">
        <v>819</v>
      </c>
      <c r="B553" s="71" t="s">
        <v>3901</v>
      </c>
      <c r="C553" s="71">
        <v>53493.006999999998</v>
      </c>
      <c r="D553" s="71">
        <v>2.9350000000000001</v>
      </c>
      <c r="E553" s="71">
        <v>0</v>
      </c>
      <c r="F553" s="71">
        <v>53.401999999999994</v>
      </c>
      <c r="G553" s="71">
        <v>925.69699999999989</v>
      </c>
      <c r="H553" s="71">
        <v>350.69</v>
      </c>
      <c r="I553" s="71">
        <v>0</v>
      </c>
      <c r="J553" s="71">
        <v>51.424999999999997</v>
      </c>
      <c r="K553" s="71">
        <v>0</v>
      </c>
      <c r="L553" s="71">
        <v>1.675</v>
      </c>
      <c r="M553" s="71">
        <v>36.986999999999995</v>
      </c>
      <c r="N553" s="71">
        <v>18.27</v>
      </c>
      <c r="O553" s="71">
        <v>61.103999999999999</v>
      </c>
      <c r="P553" s="71">
        <v>1186.7769999999998</v>
      </c>
      <c r="Q553" s="71">
        <v>1844.97</v>
      </c>
      <c r="R553" s="71">
        <v>45392.3</v>
      </c>
      <c r="S553" s="71">
        <v>13154.329</v>
      </c>
      <c r="T553" s="71">
        <v>2674.65</v>
      </c>
    </row>
    <row r="554" spans="1:20">
      <c r="A554" s="71" t="s">
        <v>3887</v>
      </c>
      <c r="B554" s="71" t="s">
        <v>1844</v>
      </c>
      <c r="C554" s="71">
        <v>43237.752999999997</v>
      </c>
      <c r="D554" s="71">
        <v>5.3039999999999994</v>
      </c>
      <c r="E554" s="71">
        <v>2.0259999999999998</v>
      </c>
      <c r="F554" s="71">
        <v>78.307999999999993</v>
      </c>
      <c r="G554" s="71">
        <v>910.7109999999999</v>
      </c>
      <c r="H554" s="71">
        <v>508.19699999999995</v>
      </c>
      <c r="I554" s="71">
        <v>0</v>
      </c>
      <c r="J554" s="71">
        <v>0.12799999999999997</v>
      </c>
      <c r="K554" s="71">
        <v>0</v>
      </c>
      <c r="L554" s="71">
        <v>21.267999999999997</v>
      </c>
      <c r="M554" s="71">
        <v>100.95399999999999</v>
      </c>
      <c r="N554" s="71">
        <v>18.790999999999997</v>
      </c>
      <c r="O554" s="71">
        <v>26.231999999999999</v>
      </c>
      <c r="P554" s="71">
        <v>1106.6469999999999</v>
      </c>
      <c r="Q554" s="71">
        <v>589.67099999999994</v>
      </c>
      <c r="R554" s="71">
        <v>30653.8</v>
      </c>
      <c r="S554" s="71">
        <v>12959.880999999999</v>
      </c>
      <c r="T554" s="71">
        <v>2096</v>
      </c>
    </row>
    <row r="555" spans="1:20">
      <c r="A555" s="71" t="s">
        <v>1988</v>
      </c>
      <c r="B555" s="71" t="s">
        <v>303</v>
      </c>
      <c r="C555" s="71">
        <v>7448.3919999999998</v>
      </c>
      <c r="D555" s="71">
        <v>1.0649999999999999</v>
      </c>
      <c r="E555" s="71">
        <v>0</v>
      </c>
      <c r="F555" s="71">
        <v>7.601</v>
      </c>
      <c r="G555" s="71">
        <v>263.57299999999998</v>
      </c>
      <c r="H555" s="71">
        <v>62.478999999999999</v>
      </c>
      <c r="I555" s="71">
        <v>0</v>
      </c>
      <c r="J555" s="71">
        <v>8.6750000000000007</v>
      </c>
      <c r="K555" s="71">
        <v>0</v>
      </c>
      <c r="L555" s="71">
        <v>16.223999999999997</v>
      </c>
      <c r="M555" s="71">
        <v>2.8059999999999996</v>
      </c>
      <c r="N555" s="71">
        <v>3.7719999999999998</v>
      </c>
      <c r="O555" s="71">
        <v>7.5159999999999991</v>
      </c>
      <c r="P555" s="71">
        <v>44.234999999999999</v>
      </c>
      <c r="Q555" s="71">
        <v>324.33199999999999</v>
      </c>
      <c r="R555" s="71">
        <v>5216</v>
      </c>
      <c r="S555" s="71">
        <v>1473.8029999999999</v>
      </c>
      <c r="T555" s="71">
        <v>347</v>
      </c>
    </row>
    <row r="556" spans="1:20">
      <c r="A556" s="71" t="s">
        <v>245</v>
      </c>
      <c r="B556" s="71" t="s">
        <v>1667</v>
      </c>
      <c r="C556" s="71">
        <v>4283.3889999999992</v>
      </c>
      <c r="D556" s="71">
        <v>0.83599999999999997</v>
      </c>
      <c r="E556" s="71">
        <v>0</v>
      </c>
      <c r="F556" s="71">
        <v>8.7719999999999985</v>
      </c>
      <c r="G556" s="71">
        <v>78.565999999999988</v>
      </c>
      <c r="H556" s="71">
        <v>31.848999999999997</v>
      </c>
      <c r="I556" s="71">
        <v>0</v>
      </c>
      <c r="J556" s="71">
        <v>7.2069999999999999</v>
      </c>
      <c r="K556" s="71">
        <v>0</v>
      </c>
      <c r="L556" s="71">
        <v>0</v>
      </c>
      <c r="M556" s="71">
        <v>11.042</v>
      </c>
      <c r="N556" s="71">
        <v>3.1E-2</v>
      </c>
      <c r="O556" s="71">
        <v>0</v>
      </c>
      <c r="P556" s="71">
        <v>121.258</v>
      </c>
      <c r="Q556" s="71">
        <v>114.15899999999999</v>
      </c>
      <c r="R556" s="71">
        <v>1966.2</v>
      </c>
      <c r="S556" s="71">
        <v>146.392</v>
      </c>
      <c r="T556" s="71">
        <v>214.16899999999998</v>
      </c>
    </row>
    <row r="557" spans="1:20">
      <c r="A557" s="71" t="s">
        <v>1990</v>
      </c>
      <c r="B557" s="71" t="s">
        <v>304</v>
      </c>
      <c r="C557" s="71">
        <v>81493.862999999998</v>
      </c>
      <c r="D557" s="71">
        <v>3.4550000000000001</v>
      </c>
      <c r="E557" s="71">
        <v>6.5000000000000002E-2</v>
      </c>
      <c r="F557" s="71">
        <v>136.52199999999999</v>
      </c>
      <c r="G557" s="71">
        <v>678.28599999999994</v>
      </c>
      <c r="H557" s="71">
        <v>616.726</v>
      </c>
      <c r="I557" s="71">
        <v>0</v>
      </c>
      <c r="J557" s="71">
        <v>30.234999999999999</v>
      </c>
      <c r="K557" s="71">
        <v>0</v>
      </c>
      <c r="L557" s="71">
        <v>0</v>
      </c>
      <c r="M557" s="71">
        <v>93.252999999999986</v>
      </c>
      <c r="N557" s="71">
        <v>18.302</v>
      </c>
      <c r="O557" s="71">
        <v>47.535999999999994</v>
      </c>
      <c r="P557" s="71">
        <v>2421.3589999999999</v>
      </c>
      <c r="Q557" s="71">
        <v>1713.8069999999998</v>
      </c>
      <c r="R557" s="71">
        <v>24649.7</v>
      </c>
      <c r="S557" s="71">
        <v>10301.000999999998</v>
      </c>
      <c r="T557" s="71">
        <v>4074.6929999999998</v>
      </c>
    </row>
    <row r="558" spans="1:20">
      <c r="A558" s="71" t="s">
        <v>2115</v>
      </c>
      <c r="B558" s="71" t="s">
        <v>305</v>
      </c>
      <c r="C558" s="71">
        <v>11545.356</v>
      </c>
      <c r="D558" s="71">
        <v>0.84899999999999998</v>
      </c>
      <c r="E558" s="71">
        <v>0</v>
      </c>
      <c r="F558" s="71">
        <v>20.766999999999999</v>
      </c>
      <c r="G558" s="71">
        <v>188.06699999999998</v>
      </c>
      <c r="H558" s="71">
        <v>70.766999999999996</v>
      </c>
      <c r="I558" s="71">
        <v>0</v>
      </c>
      <c r="J558" s="71">
        <v>3.1029999999999998</v>
      </c>
      <c r="K558" s="71">
        <v>0</v>
      </c>
      <c r="L558" s="71">
        <v>0</v>
      </c>
      <c r="M558" s="71">
        <v>2.6959999999999997</v>
      </c>
      <c r="N558" s="71">
        <v>2.875</v>
      </c>
      <c r="O558" s="71">
        <v>0</v>
      </c>
      <c r="P558" s="71">
        <v>510.66500000000002</v>
      </c>
      <c r="Q558" s="71">
        <v>312.64099999999996</v>
      </c>
      <c r="R558" s="71">
        <v>3973.2</v>
      </c>
      <c r="S558" s="71">
        <v>1012.8150000000001</v>
      </c>
      <c r="T558" s="71">
        <v>577.26779999999997</v>
      </c>
    </row>
    <row r="559" spans="1:20">
      <c r="A559" s="71" t="s">
        <v>6184</v>
      </c>
      <c r="B559" s="71" t="s">
        <v>1938</v>
      </c>
      <c r="C559" s="71">
        <v>8532.8629999999994</v>
      </c>
      <c r="D559" s="71">
        <v>1.4039999999999999</v>
      </c>
      <c r="E559" s="71">
        <v>0</v>
      </c>
      <c r="F559" s="71">
        <v>10.404999999999999</v>
      </c>
      <c r="G559" s="71">
        <v>279.779</v>
      </c>
      <c r="H559" s="71">
        <v>2.13</v>
      </c>
      <c r="I559" s="71">
        <v>0</v>
      </c>
      <c r="J559" s="71">
        <v>9.9489999999999998</v>
      </c>
      <c r="K559" s="71">
        <v>0</v>
      </c>
      <c r="L559" s="71">
        <v>19.475999999999999</v>
      </c>
      <c r="M559" s="71">
        <v>0</v>
      </c>
      <c r="N559" s="71">
        <v>4.8519999999999994</v>
      </c>
      <c r="O559" s="71">
        <v>0</v>
      </c>
      <c r="P559" s="71">
        <v>82.781999999999996</v>
      </c>
      <c r="Q559" s="71">
        <v>394.08699999999999</v>
      </c>
      <c r="R559" s="71">
        <v>8421.5</v>
      </c>
      <c r="S559" s="71">
        <v>1115.848</v>
      </c>
      <c r="T559" s="71">
        <v>338</v>
      </c>
    </row>
    <row r="560" spans="1:20">
      <c r="A560" s="71" t="s">
        <v>1315</v>
      </c>
      <c r="B560" s="71" t="s">
        <v>120</v>
      </c>
      <c r="C560" s="71">
        <v>19609.225999999999</v>
      </c>
      <c r="D560" s="71">
        <v>2.226</v>
      </c>
      <c r="E560" s="71">
        <v>0.75</v>
      </c>
      <c r="F560" s="71">
        <v>30.167999999999999</v>
      </c>
      <c r="G560" s="71">
        <v>501.58799999999997</v>
      </c>
      <c r="H560" s="71">
        <v>103.905</v>
      </c>
      <c r="I560" s="71">
        <v>0</v>
      </c>
      <c r="J560" s="71">
        <v>3.7039999999999997</v>
      </c>
      <c r="K560" s="71">
        <v>0</v>
      </c>
      <c r="L560" s="71">
        <v>9.3459999999999983</v>
      </c>
      <c r="M560" s="71">
        <v>62.888999999999996</v>
      </c>
      <c r="N560" s="71">
        <v>16.873999999999999</v>
      </c>
      <c r="O560" s="71">
        <v>0</v>
      </c>
      <c r="P560" s="71">
        <v>445.04699999999997</v>
      </c>
      <c r="Q560" s="71">
        <v>1052.4869999999999</v>
      </c>
      <c r="R560" s="71">
        <v>15988.8</v>
      </c>
      <c r="S560" s="71">
        <v>4494.1709999999994</v>
      </c>
      <c r="T560" s="71">
        <v>980.4609999999999</v>
      </c>
    </row>
    <row r="561" spans="1:20">
      <c r="A561" s="71" t="s">
        <v>5622</v>
      </c>
      <c r="B561" s="71" t="s">
        <v>306</v>
      </c>
      <c r="C561" s="71">
        <v>18533.111999999997</v>
      </c>
      <c r="D561" s="71">
        <v>1.175</v>
      </c>
      <c r="E561" s="71">
        <v>0</v>
      </c>
      <c r="F561" s="71">
        <v>31.791999999999998</v>
      </c>
      <c r="G561" s="71">
        <v>380.61899999999997</v>
      </c>
      <c r="H561" s="71">
        <v>161.95399999999998</v>
      </c>
      <c r="I561" s="71">
        <v>0</v>
      </c>
      <c r="J561" s="71">
        <v>4.5750000000000002</v>
      </c>
      <c r="K561" s="71">
        <v>0</v>
      </c>
      <c r="L561" s="71">
        <v>7.5549999999999997</v>
      </c>
      <c r="M561" s="71">
        <v>6.9569999999999999</v>
      </c>
      <c r="N561" s="71">
        <v>9.0919999999999987</v>
      </c>
      <c r="O561" s="71">
        <v>3.202</v>
      </c>
      <c r="P561" s="71">
        <v>207.95500000000001</v>
      </c>
      <c r="Q561" s="71">
        <v>687.245</v>
      </c>
      <c r="R561" s="71">
        <v>12522.8</v>
      </c>
      <c r="S561" s="71">
        <v>1993.866</v>
      </c>
      <c r="T561" s="71">
        <v>926.65559999999994</v>
      </c>
    </row>
    <row r="562" spans="1:20">
      <c r="A562" s="71" t="s">
        <v>5624</v>
      </c>
      <c r="B562" s="71" t="s">
        <v>95</v>
      </c>
      <c r="C562" s="71">
        <v>188257.77</v>
      </c>
      <c r="D562" s="71">
        <v>6.9179999999999993</v>
      </c>
      <c r="E562" s="71">
        <v>23.782999999999998</v>
      </c>
      <c r="F562" s="71">
        <v>264.95099999999996</v>
      </c>
      <c r="G562" s="71">
        <v>4250.2959999999994</v>
      </c>
      <c r="H562" s="71">
        <v>1862.18</v>
      </c>
      <c r="I562" s="71">
        <v>0</v>
      </c>
      <c r="J562" s="71">
        <v>43.052</v>
      </c>
      <c r="K562" s="71">
        <v>0</v>
      </c>
      <c r="L562" s="71">
        <v>117.85199999999999</v>
      </c>
      <c r="M562" s="71">
        <v>138.06199999999998</v>
      </c>
      <c r="N562" s="71">
        <v>86.970999999999989</v>
      </c>
      <c r="O562" s="71">
        <v>5.23</v>
      </c>
      <c r="P562" s="71">
        <v>2924.88</v>
      </c>
      <c r="Q562" s="71">
        <v>6333.02</v>
      </c>
      <c r="R562" s="71">
        <v>162593.5</v>
      </c>
      <c r="S562" s="71">
        <v>48298.616999999998</v>
      </c>
      <c r="T562" s="71">
        <v>9412.887999999999</v>
      </c>
    </row>
    <row r="563" spans="1:20">
      <c r="A563" s="71" t="s">
        <v>1873</v>
      </c>
      <c r="B563" s="71" t="s">
        <v>3856</v>
      </c>
      <c r="C563" s="71">
        <v>27767.81</v>
      </c>
      <c r="D563" s="71">
        <v>1.0169999999999999</v>
      </c>
      <c r="E563" s="71">
        <v>0</v>
      </c>
      <c r="F563" s="71">
        <v>54.247999999999998</v>
      </c>
      <c r="G563" s="71">
        <v>355.57</v>
      </c>
      <c r="H563" s="71">
        <v>268.464</v>
      </c>
      <c r="I563" s="71">
        <v>0</v>
      </c>
      <c r="J563" s="71">
        <v>8.0179999999999989</v>
      </c>
      <c r="K563" s="71">
        <v>0</v>
      </c>
      <c r="L563" s="71">
        <v>1</v>
      </c>
      <c r="M563" s="71">
        <v>26.192999999999998</v>
      </c>
      <c r="N563" s="71">
        <v>5.8079999999999998</v>
      </c>
      <c r="O563" s="71">
        <v>12.481999999999999</v>
      </c>
      <c r="P563" s="71">
        <v>728.17</v>
      </c>
      <c r="Q563" s="71">
        <v>703.81</v>
      </c>
      <c r="R563" s="71">
        <v>6583.5</v>
      </c>
      <c r="S563" s="71">
        <v>1690.5279999999998</v>
      </c>
      <c r="T563" s="71">
        <v>1388.3904999999997</v>
      </c>
    </row>
    <row r="564" spans="1:20">
      <c r="A564" s="71" t="s">
        <v>6028</v>
      </c>
      <c r="B564" s="71" t="s">
        <v>1913</v>
      </c>
      <c r="C564" s="71">
        <v>45596.261999999995</v>
      </c>
      <c r="D564" s="71">
        <v>2.3539999999999996</v>
      </c>
      <c r="E564" s="71">
        <v>0</v>
      </c>
      <c r="F564" s="71">
        <v>78.873999999999995</v>
      </c>
      <c r="G564" s="71">
        <v>726.07099999999991</v>
      </c>
      <c r="H564" s="71">
        <v>361.88499999999999</v>
      </c>
      <c r="I564" s="71">
        <v>0</v>
      </c>
      <c r="J564" s="71">
        <v>0</v>
      </c>
      <c r="K564" s="71">
        <v>0</v>
      </c>
      <c r="L564" s="71">
        <v>0</v>
      </c>
      <c r="M564" s="71">
        <v>15.321</v>
      </c>
      <c r="N564" s="71">
        <v>7.4649999999999999</v>
      </c>
      <c r="O564" s="71">
        <v>5.54</v>
      </c>
      <c r="P564" s="71">
        <v>748.7829999999999</v>
      </c>
      <c r="Q564" s="71">
        <v>1075.991</v>
      </c>
      <c r="R564" s="71">
        <v>9832.2999999999993</v>
      </c>
      <c r="S564" s="71">
        <v>4749.0839999999998</v>
      </c>
      <c r="T564" s="71">
        <v>2279.8129999999996</v>
      </c>
    </row>
    <row r="565" spans="1:20">
      <c r="A565" s="71" t="s">
        <v>6035</v>
      </c>
      <c r="B565" s="71" t="s">
        <v>1923</v>
      </c>
      <c r="C565" s="71">
        <v>37118.628999999994</v>
      </c>
      <c r="D565" s="71">
        <v>3.835</v>
      </c>
      <c r="E565" s="71">
        <v>0</v>
      </c>
      <c r="F565" s="71">
        <v>39.982999999999997</v>
      </c>
      <c r="G565" s="71">
        <v>601.77</v>
      </c>
      <c r="H565" s="71">
        <v>259.02299999999997</v>
      </c>
      <c r="I565" s="71">
        <v>0</v>
      </c>
      <c r="J565" s="71">
        <v>10.582999999999998</v>
      </c>
      <c r="K565" s="71">
        <v>0</v>
      </c>
      <c r="L565" s="71">
        <v>0</v>
      </c>
      <c r="M565" s="71">
        <v>92.146999999999991</v>
      </c>
      <c r="N565" s="71">
        <v>8.7209999999999983</v>
      </c>
      <c r="O565" s="71">
        <v>119.85899999999999</v>
      </c>
      <c r="P565" s="71">
        <v>878.37</v>
      </c>
      <c r="Q565" s="71">
        <v>1718.8609999999999</v>
      </c>
      <c r="R565" s="71">
        <v>10572.5</v>
      </c>
      <c r="S565" s="71">
        <v>3834.2419999999997</v>
      </c>
      <c r="T565" s="71">
        <v>1855.9309999999998</v>
      </c>
    </row>
    <row r="566" spans="1:20">
      <c r="A566" s="71" t="s">
        <v>5626</v>
      </c>
      <c r="B566" s="71" t="s">
        <v>96</v>
      </c>
      <c r="C566" s="71">
        <v>7315.1979999999994</v>
      </c>
      <c r="D566" s="71">
        <v>0.60199999999999998</v>
      </c>
      <c r="E566" s="71">
        <v>0</v>
      </c>
      <c r="F566" s="71">
        <v>11.605</v>
      </c>
      <c r="G566" s="71">
        <v>94.153999999999996</v>
      </c>
      <c r="H566" s="71">
        <v>43.000999999999998</v>
      </c>
      <c r="I566" s="71">
        <v>0</v>
      </c>
      <c r="J566" s="71">
        <v>3.6889999999999996</v>
      </c>
      <c r="K566" s="71">
        <v>0</v>
      </c>
      <c r="L566" s="71">
        <v>2</v>
      </c>
      <c r="M566" s="71">
        <v>2.6459999999999999</v>
      </c>
      <c r="N566" s="71">
        <v>3.3529999999999998</v>
      </c>
      <c r="O566" s="71">
        <v>3.7850000000000001</v>
      </c>
      <c r="P566" s="71">
        <v>298.35199999999998</v>
      </c>
      <c r="Q566" s="71">
        <v>228.97299999999998</v>
      </c>
      <c r="R566" s="71">
        <v>2883</v>
      </c>
      <c r="S566" s="71">
        <v>387.57599999999996</v>
      </c>
      <c r="T566" s="71">
        <v>365.75989999999996</v>
      </c>
    </row>
    <row r="567" spans="1:20">
      <c r="A567" s="71" t="s">
        <v>6194</v>
      </c>
      <c r="B567" s="71" t="s">
        <v>5292</v>
      </c>
      <c r="C567" s="71">
        <v>45530.508999999998</v>
      </c>
      <c r="D567" s="71">
        <v>2.7239999999999998</v>
      </c>
      <c r="E567" s="71">
        <v>0</v>
      </c>
      <c r="F567" s="71">
        <v>79.388999999999996</v>
      </c>
      <c r="G567" s="71">
        <v>758.72899999999993</v>
      </c>
      <c r="H567" s="71">
        <v>345.09099999999995</v>
      </c>
      <c r="I567" s="71">
        <v>0</v>
      </c>
      <c r="J567" s="71">
        <v>7.2949999999999999</v>
      </c>
      <c r="K567" s="71">
        <v>0</v>
      </c>
      <c r="L567" s="71">
        <v>3.9219999999999997</v>
      </c>
      <c r="M567" s="71">
        <v>5.3019999999999996</v>
      </c>
      <c r="N567" s="71">
        <v>19.991999999999997</v>
      </c>
      <c r="O567" s="71">
        <v>0.89399999999999991</v>
      </c>
      <c r="P567" s="71">
        <v>461.26799999999997</v>
      </c>
      <c r="Q567" s="71">
        <v>1553.87</v>
      </c>
      <c r="R567" s="71">
        <v>33749.300000000003</v>
      </c>
      <c r="S567" s="71">
        <v>10445.270999999999</v>
      </c>
      <c r="T567" s="71">
        <v>2276.5250000000001</v>
      </c>
    </row>
    <row r="568" spans="1:20">
      <c r="A568" s="71" t="s">
        <v>1539</v>
      </c>
      <c r="B568" s="71" t="s">
        <v>97</v>
      </c>
      <c r="C568" s="71">
        <v>28988.732999999997</v>
      </c>
      <c r="D568" s="71">
        <v>5.415</v>
      </c>
      <c r="E568" s="71">
        <v>0</v>
      </c>
      <c r="F568" s="71">
        <v>64.040000000000006</v>
      </c>
      <c r="G568" s="71">
        <v>701.49099999999999</v>
      </c>
      <c r="H568" s="71">
        <v>372.68699999999995</v>
      </c>
      <c r="I568" s="71">
        <v>0</v>
      </c>
      <c r="J568" s="71">
        <v>0</v>
      </c>
      <c r="K568" s="71">
        <v>0</v>
      </c>
      <c r="L568" s="71">
        <v>0</v>
      </c>
      <c r="M568" s="71">
        <v>33.236999999999995</v>
      </c>
      <c r="N568" s="71">
        <v>10.470999999999998</v>
      </c>
      <c r="O568" s="71">
        <v>118.29899999999999</v>
      </c>
      <c r="P568" s="71">
        <v>134.035</v>
      </c>
      <c r="Q568" s="71">
        <v>1120.4309999999998</v>
      </c>
      <c r="R568" s="71">
        <v>16984.7</v>
      </c>
      <c r="S568" s="71">
        <v>3698.3419999999996</v>
      </c>
      <c r="T568" s="71">
        <v>1449.4366499999999</v>
      </c>
    </row>
    <row r="569" spans="1:20">
      <c r="A569" s="71" t="s">
        <v>911</v>
      </c>
      <c r="B569" s="71" t="s">
        <v>98</v>
      </c>
      <c r="C569" s="71">
        <v>29808.185999999998</v>
      </c>
      <c r="D569" s="71">
        <v>2.6419999999999999</v>
      </c>
      <c r="E569" s="71">
        <v>16.497999999999998</v>
      </c>
      <c r="F569" s="71">
        <v>61.345999999999997</v>
      </c>
      <c r="G569" s="71">
        <v>685.5329999999999</v>
      </c>
      <c r="H569" s="71">
        <v>217.67599999999999</v>
      </c>
      <c r="I569" s="71">
        <v>0</v>
      </c>
      <c r="J569" s="71">
        <v>4.5149999999999997</v>
      </c>
      <c r="K569" s="71">
        <v>0</v>
      </c>
      <c r="L569" s="71">
        <v>0</v>
      </c>
      <c r="M569" s="71">
        <v>31.785</v>
      </c>
      <c r="N569" s="71">
        <v>12.525</v>
      </c>
      <c r="O569" s="71">
        <v>8.49</v>
      </c>
      <c r="P569" s="71">
        <v>1035.0259999999998</v>
      </c>
      <c r="Q569" s="71">
        <v>1362.9939999999999</v>
      </c>
      <c r="R569" s="71">
        <v>17860.7</v>
      </c>
      <c r="S569" s="71">
        <v>8445.7569999999996</v>
      </c>
      <c r="T569" s="71">
        <v>1490.4089999999999</v>
      </c>
    </row>
    <row r="570" spans="1:20">
      <c r="A570" s="71" t="s">
        <v>1428</v>
      </c>
      <c r="B570" s="71" t="s">
        <v>99</v>
      </c>
      <c r="C570" s="71">
        <v>8512.2529999999988</v>
      </c>
      <c r="D570" s="71">
        <v>0.5169999999999999</v>
      </c>
      <c r="E570" s="71">
        <v>0.182</v>
      </c>
      <c r="F570" s="71">
        <v>7.96</v>
      </c>
      <c r="G570" s="71">
        <v>102.65599999999999</v>
      </c>
      <c r="H570" s="71">
        <v>54.68</v>
      </c>
      <c r="I570" s="71">
        <v>0</v>
      </c>
      <c r="J570" s="71">
        <v>0.245</v>
      </c>
      <c r="K570" s="71">
        <v>0</v>
      </c>
      <c r="L570" s="71">
        <v>0</v>
      </c>
      <c r="M570" s="71">
        <v>5.4359999999999999</v>
      </c>
      <c r="N570" s="71">
        <v>0.72699999999999998</v>
      </c>
      <c r="O570" s="71">
        <v>8.7529999999999983</v>
      </c>
      <c r="P570" s="71">
        <v>199.30099999999999</v>
      </c>
      <c r="Q570" s="71">
        <v>317.96099999999996</v>
      </c>
      <c r="R570" s="71">
        <v>1836.8</v>
      </c>
      <c r="S570" s="71">
        <v>575.779</v>
      </c>
      <c r="T570" s="71">
        <v>425.61264999999997</v>
      </c>
    </row>
    <row r="571" spans="1:20">
      <c r="A571" s="71" t="s">
        <v>1430</v>
      </c>
      <c r="B571" s="71" t="s">
        <v>100</v>
      </c>
      <c r="C571" s="71">
        <v>4869.4289999999992</v>
      </c>
      <c r="D571" s="71">
        <v>0.30399999999999999</v>
      </c>
      <c r="E571" s="71">
        <v>0</v>
      </c>
      <c r="F571" s="71">
        <v>5.7189999999999994</v>
      </c>
      <c r="G571" s="71">
        <v>97.140999999999991</v>
      </c>
      <c r="H571" s="71">
        <v>27.677999999999997</v>
      </c>
      <c r="I571" s="71">
        <v>0</v>
      </c>
      <c r="J571" s="71">
        <v>9.593</v>
      </c>
      <c r="K571" s="71">
        <v>0</v>
      </c>
      <c r="L571" s="71">
        <v>0</v>
      </c>
      <c r="M571" s="71">
        <v>0.83099999999999996</v>
      </c>
      <c r="N571" s="71">
        <v>2.0239999999999996</v>
      </c>
      <c r="O571" s="71">
        <v>0</v>
      </c>
      <c r="P571" s="71">
        <v>115.11199999999999</v>
      </c>
      <c r="Q571" s="71">
        <v>208.90799999999999</v>
      </c>
      <c r="R571" s="71">
        <v>3712.7</v>
      </c>
      <c r="S571" s="71">
        <v>984.5329999999999</v>
      </c>
      <c r="T571" s="71">
        <v>243.47099999999998</v>
      </c>
    </row>
    <row r="572" spans="1:20">
      <c r="A572" s="71" t="s">
        <v>4971</v>
      </c>
      <c r="B572" s="71" t="s">
        <v>3854</v>
      </c>
      <c r="C572" s="71">
        <v>2824.6609999999996</v>
      </c>
      <c r="D572" s="71">
        <v>0.182</v>
      </c>
      <c r="E572" s="71">
        <v>0</v>
      </c>
      <c r="F572" s="71">
        <v>4.7659999999999991</v>
      </c>
      <c r="G572" s="71">
        <v>70.035999999999987</v>
      </c>
      <c r="H572" s="71">
        <v>14.507999999999999</v>
      </c>
      <c r="I572" s="71">
        <v>0</v>
      </c>
      <c r="J572" s="71">
        <v>0.62799999999999989</v>
      </c>
      <c r="K572" s="71">
        <v>0</v>
      </c>
      <c r="L572" s="71">
        <v>0</v>
      </c>
      <c r="M572" s="71">
        <v>2.6549999999999998</v>
      </c>
      <c r="N572" s="71">
        <v>0.44899999999999995</v>
      </c>
      <c r="O572" s="71">
        <v>0.11599999999999999</v>
      </c>
      <c r="P572" s="71">
        <v>41.986999999999995</v>
      </c>
      <c r="Q572" s="71">
        <v>132.869</v>
      </c>
      <c r="R572" s="71">
        <v>799.7</v>
      </c>
      <c r="S572" s="71">
        <v>71.887999999999991</v>
      </c>
      <c r="T572" s="71">
        <v>141.23299999999998</v>
      </c>
    </row>
    <row r="573" spans="1:20">
      <c r="A573" s="71" t="s">
        <v>1099</v>
      </c>
      <c r="B573" s="71" t="s">
        <v>1100</v>
      </c>
      <c r="C573" s="71">
        <v>0</v>
      </c>
      <c r="D573" s="71">
        <v>0</v>
      </c>
      <c r="E573" s="71">
        <v>0</v>
      </c>
      <c r="F573" s="71">
        <v>0</v>
      </c>
      <c r="G573" s="71">
        <v>0</v>
      </c>
      <c r="H573" s="71">
        <v>0</v>
      </c>
      <c r="I573" s="71">
        <v>0</v>
      </c>
      <c r="J573" s="71">
        <v>0</v>
      </c>
      <c r="K573" s="71">
        <v>0</v>
      </c>
      <c r="L573" s="71">
        <v>0</v>
      </c>
      <c r="M573" s="71">
        <v>0</v>
      </c>
      <c r="N573" s="71">
        <v>0</v>
      </c>
      <c r="O573" s="71">
        <v>0</v>
      </c>
      <c r="P573" s="71">
        <v>0</v>
      </c>
      <c r="Q573" s="71">
        <v>0</v>
      </c>
      <c r="R573" s="71">
        <v>0</v>
      </c>
      <c r="S573" s="71">
        <v>0</v>
      </c>
      <c r="T573" s="71">
        <v>0</v>
      </c>
    </row>
    <row r="574" spans="1:20">
      <c r="A574" s="71" t="s">
        <v>1432</v>
      </c>
      <c r="B574" s="71" t="s">
        <v>101</v>
      </c>
      <c r="C574" s="71">
        <v>215.26799999999997</v>
      </c>
      <c r="D574" s="71">
        <v>2.3999999999999997E-2</v>
      </c>
      <c r="E574" s="71">
        <v>0</v>
      </c>
      <c r="F574" s="71">
        <v>0.215</v>
      </c>
      <c r="G574" s="71">
        <v>12.641999999999999</v>
      </c>
      <c r="H574" s="71">
        <v>1.1339999999999999</v>
      </c>
      <c r="I574" s="71">
        <v>0</v>
      </c>
      <c r="J574" s="71">
        <v>0</v>
      </c>
      <c r="K574" s="71">
        <v>0</v>
      </c>
      <c r="L574" s="71">
        <v>0</v>
      </c>
      <c r="M574" s="71">
        <v>0</v>
      </c>
      <c r="N574" s="71">
        <v>0</v>
      </c>
      <c r="O574" s="71">
        <v>0</v>
      </c>
      <c r="P574" s="71">
        <v>5.8359999999999994</v>
      </c>
      <c r="Q574" s="71">
        <v>18.277999999999999</v>
      </c>
      <c r="R574" s="71">
        <v>226.7</v>
      </c>
      <c r="S574" s="71">
        <v>0</v>
      </c>
      <c r="T574" s="71">
        <v>10.763</v>
      </c>
    </row>
    <row r="575" spans="1:20">
      <c r="A575" s="71" t="s">
        <v>1434</v>
      </c>
      <c r="B575" s="71" t="s">
        <v>877</v>
      </c>
      <c r="C575" s="71">
        <v>5427.9709999999995</v>
      </c>
      <c r="D575" s="71">
        <v>0.73199999999999998</v>
      </c>
      <c r="E575" s="71">
        <v>0</v>
      </c>
      <c r="F575" s="71">
        <v>9.0339999999999989</v>
      </c>
      <c r="G575" s="71">
        <v>159.79</v>
      </c>
      <c r="H575" s="71">
        <v>41.686999999999998</v>
      </c>
      <c r="I575" s="71">
        <v>0</v>
      </c>
      <c r="J575" s="71">
        <v>9.0050000000000008</v>
      </c>
      <c r="K575" s="71">
        <v>0</v>
      </c>
      <c r="L575" s="71">
        <v>0</v>
      </c>
      <c r="M575" s="71">
        <v>7.7119999999999997</v>
      </c>
      <c r="N575" s="71">
        <v>3.07</v>
      </c>
      <c r="O575" s="71">
        <v>3.2909999999999999</v>
      </c>
      <c r="P575" s="71">
        <v>153.72199999999998</v>
      </c>
      <c r="Q575" s="71">
        <v>296.59699999999998</v>
      </c>
      <c r="R575" s="71">
        <v>3727.7</v>
      </c>
      <c r="S575" s="71">
        <v>474.66399999999999</v>
      </c>
      <c r="T575" s="71">
        <v>271.39854999999994</v>
      </c>
    </row>
    <row r="576" spans="1:20">
      <c r="A576" s="71" t="s">
        <v>1436</v>
      </c>
      <c r="B576" s="71" t="s">
        <v>878</v>
      </c>
      <c r="C576" s="71">
        <v>713.59299999999996</v>
      </c>
      <c r="D576" s="71">
        <v>4.2999999999999997E-2</v>
      </c>
      <c r="E576" s="71">
        <v>0</v>
      </c>
      <c r="F576" s="71">
        <v>1.4550000000000001</v>
      </c>
      <c r="G576" s="71">
        <v>23.212999999999997</v>
      </c>
      <c r="H576" s="71">
        <v>4.2909999999999995</v>
      </c>
      <c r="I576" s="71">
        <v>0</v>
      </c>
      <c r="J576" s="71">
        <v>0</v>
      </c>
      <c r="K576" s="71">
        <v>0</v>
      </c>
      <c r="L576" s="71">
        <v>0</v>
      </c>
      <c r="M576" s="71">
        <v>1.2869999999999999</v>
      </c>
      <c r="N576" s="71">
        <v>0</v>
      </c>
      <c r="O576" s="71">
        <v>0</v>
      </c>
      <c r="P576" s="71">
        <v>46.463999999999999</v>
      </c>
      <c r="Q576" s="71">
        <v>26.710999999999999</v>
      </c>
      <c r="R576" s="71">
        <v>453.7</v>
      </c>
      <c r="S576" s="71">
        <v>42.463999999999999</v>
      </c>
      <c r="T576" s="71">
        <v>35.679649999999995</v>
      </c>
    </row>
    <row r="577" spans="1:20">
      <c r="A577" s="71" t="s">
        <v>1438</v>
      </c>
      <c r="B577" s="71" t="s">
        <v>879</v>
      </c>
      <c r="C577" s="71">
        <v>3554.6669999999999</v>
      </c>
      <c r="D577" s="71">
        <v>0.4</v>
      </c>
      <c r="E577" s="71">
        <v>0</v>
      </c>
      <c r="F577" s="71">
        <v>5.9079999999999995</v>
      </c>
      <c r="G577" s="71">
        <v>93.6</v>
      </c>
      <c r="H577" s="71">
        <v>25.138999999999999</v>
      </c>
      <c r="I577" s="71">
        <v>0</v>
      </c>
      <c r="J577" s="71">
        <v>0.48599999999999999</v>
      </c>
      <c r="K577" s="71">
        <v>0</v>
      </c>
      <c r="L577" s="71">
        <v>0</v>
      </c>
      <c r="M577" s="71">
        <v>8.0649999999999995</v>
      </c>
      <c r="N577" s="71">
        <v>9.5000000000000001E-2</v>
      </c>
      <c r="O577" s="71">
        <v>0</v>
      </c>
      <c r="P577" s="71">
        <v>76.983999999999995</v>
      </c>
      <c r="Q577" s="71">
        <v>286.77</v>
      </c>
      <c r="R577" s="71">
        <v>1293</v>
      </c>
      <c r="S577" s="71">
        <v>62.321999999999996</v>
      </c>
      <c r="T577" s="71">
        <v>177.73299999999998</v>
      </c>
    </row>
    <row r="578" spans="1:20">
      <c r="A578" s="71" t="s">
        <v>2580</v>
      </c>
      <c r="B578" s="71" t="s">
        <v>880</v>
      </c>
      <c r="C578" s="71">
        <v>640.62899999999991</v>
      </c>
      <c r="D578" s="71">
        <v>0.10099999999999999</v>
      </c>
      <c r="E578" s="71">
        <v>0</v>
      </c>
      <c r="F578" s="71">
        <v>0.97599999999999998</v>
      </c>
      <c r="G578" s="71">
        <v>22.491</v>
      </c>
      <c r="H578" s="71">
        <v>1.613</v>
      </c>
      <c r="I578" s="71">
        <v>0</v>
      </c>
      <c r="J578" s="71">
        <v>0</v>
      </c>
      <c r="K578" s="71">
        <v>0</v>
      </c>
      <c r="L578" s="71">
        <v>0</v>
      </c>
      <c r="M578" s="71">
        <v>0.41299999999999998</v>
      </c>
      <c r="N578" s="71">
        <v>0.5109999999999999</v>
      </c>
      <c r="O578" s="71">
        <v>0</v>
      </c>
      <c r="P578" s="71">
        <v>8.4039999999999999</v>
      </c>
      <c r="Q578" s="71">
        <v>45.736999999999995</v>
      </c>
      <c r="R578" s="71">
        <v>262.5</v>
      </c>
      <c r="S578" s="71">
        <v>5.8729999999999993</v>
      </c>
      <c r="T578" s="71">
        <v>32.030999999999999</v>
      </c>
    </row>
    <row r="579" spans="1:20">
      <c r="A579" s="71" t="s">
        <v>2582</v>
      </c>
      <c r="B579" s="71" t="s">
        <v>881</v>
      </c>
      <c r="C579" s="71">
        <v>926.79799999999989</v>
      </c>
      <c r="D579" s="71">
        <v>2.8999999999999998E-2</v>
      </c>
      <c r="E579" s="71">
        <v>0</v>
      </c>
      <c r="F579" s="71">
        <v>1.6409999999999998</v>
      </c>
      <c r="G579" s="71">
        <v>39.755999999999993</v>
      </c>
      <c r="H579" s="71">
        <v>4.9409999999999998</v>
      </c>
      <c r="I579" s="71">
        <v>0</v>
      </c>
      <c r="J579" s="71">
        <v>0</v>
      </c>
      <c r="K579" s="71">
        <v>0</v>
      </c>
      <c r="L579" s="71">
        <v>0</v>
      </c>
      <c r="M579" s="71">
        <v>5.8789999999999996</v>
      </c>
      <c r="N579" s="71">
        <v>0</v>
      </c>
      <c r="O579" s="71">
        <v>1.347</v>
      </c>
      <c r="P579" s="71">
        <v>6.4429999999999996</v>
      </c>
      <c r="Q579" s="71">
        <v>69.702999999999989</v>
      </c>
      <c r="R579" s="71">
        <v>444</v>
      </c>
      <c r="S579" s="71">
        <v>7.367</v>
      </c>
      <c r="T579" s="71">
        <v>46.339899999999993</v>
      </c>
    </row>
    <row r="580" spans="1:20">
      <c r="A580" s="71" t="s">
        <v>2584</v>
      </c>
      <c r="B580" s="71" t="s">
        <v>834</v>
      </c>
      <c r="C580" s="71">
        <v>126.47</v>
      </c>
      <c r="D580" s="71">
        <v>0</v>
      </c>
      <c r="E580" s="71">
        <v>0</v>
      </c>
      <c r="F580" s="71">
        <v>0.11899999999999999</v>
      </c>
      <c r="G580" s="71">
        <v>1.829</v>
      </c>
      <c r="H580" s="71">
        <v>6.5000000000000002E-2</v>
      </c>
      <c r="I580" s="71">
        <v>0</v>
      </c>
      <c r="J580" s="71">
        <v>0</v>
      </c>
      <c r="K580" s="71">
        <v>0</v>
      </c>
      <c r="L580" s="71">
        <v>0</v>
      </c>
      <c r="M580" s="71">
        <v>0.6359999999999999</v>
      </c>
      <c r="N580" s="71">
        <v>0</v>
      </c>
      <c r="O580" s="71">
        <v>5.4649999999999999</v>
      </c>
      <c r="P580" s="71">
        <v>2.7559999999999998</v>
      </c>
      <c r="Q580" s="71">
        <v>8.6269999999999989</v>
      </c>
      <c r="R580" s="71">
        <v>50.3</v>
      </c>
      <c r="S580" s="71">
        <v>1.962</v>
      </c>
      <c r="T580" s="71">
        <v>6.3234999999999992</v>
      </c>
    </row>
    <row r="581" spans="1:20">
      <c r="A581" s="71" t="s">
        <v>1578</v>
      </c>
      <c r="B581" s="71" t="s">
        <v>835</v>
      </c>
      <c r="C581" s="71">
        <v>149.12899999999999</v>
      </c>
      <c r="D581" s="71">
        <v>0</v>
      </c>
      <c r="E581" s="71">
        <v>0</v>
      </c>
      <c r="F581" s="71">
        <v>0.30399999999999999</v>
      </c>
      <c r="G581" s="71">
        <v>2.964</v>
      </c>
      <c r="H581" s="71">
        <v>1.1579999999999999</v>
      </c>
      <c r="I581" s="71">
        <v>0</v>
      </c>
      <c r="J581" s="71">
        <v>0</v>
      </c>
      <c r="K581" s="71">
        <v>0</v>
      </c>
      <c r="L581" s="71">
        <v>0</v>
      </c>
      <c r="M581" s="71">
        <v>0</v>
      </c>
      <c r="N581" s="71">
        <v>0</v>
      </c>
      <c r="O581" s="71">
        <v>0</v>
      </c>
      <c r="P581" s="71">
        <v>8.1109999999999989</v>
      </c>
      <c r="Q581" s="71">
        <v>6.8650000000000002</v>
      </c>
      <c r="R581" s="71">
        <v>85</v>
      </c>
      <c r="S581" s="71">
        <v>22.515999999999998</v>
      </c>
      <c r="T581" s="71">
        <v>7.4559999999999995</v>
      </c>
    </row>
    <row r="582" spans="1:20">
      <c r="A582" s="71" t="s">
        <v>1580</v>
      </c>
      <c r="B582" s="71" t="s">
        <v>3838</v>
      </c>
      <c r="C582" s="71">
        <v>591.91699999999992</v>
      </c>
      <c r="D582" s="71">
        <v>9.2999999999999999E-2</v>
      </c>
      <c r="E582" s="71">
        <v>0</v>
      </c>
      <c r="F582" s="71">
        <v>1.873</v>
      </c>
      <c r="G582" s="71">
        <v>16.901999999999997</v>
      </c>
      <c r="H582" s="71">
        <v>3.1539999999999999</v>
      </c>
      <c r="I582" s="71">
        <v>0</v>
      </c>
      <c r="J582" s="71">
        <v>0</v>
      </c>
      <c r="K582" s="71">
        <v>0</v>
      </c>
      <c r="L582" s="71">
        <v>0</v>
      </c>
      <c r="M582" s="71">
        <v>0.47399999999999998</v>
      </c>
      <c r="N582" s="71">
        <v>0.47799999999999998</v>
      </c>
      <c r="O582" s="71">
        <v>0</v>
      </c>
      <c r="P582" s="71">
        <v>42.885999999999996</v>
      </c>
      <c r="Q582" s="71">
        <v>34.321999999999996</v>
      </c>
      <c r="R582" s="71">
        <v>457.8</v>
      </c>
      <c r="S582" s="71">
        <v>20.032999999999998</v>
      </c>
      <c r="T582" s="71">
        <v>29.595849999999995</v>
      </c>
    </row>
    <row r="583" spans="1:20">
      <c r="A583" s="71" t="s">
        <v>1582</v>
      </c>
      <c r="B583" s="71" t="s">
        <v>837</v>
      </c>
      <c r="C583" s="71">
        <v>164.61500000000001</v>
      </c>
      <c r="D583" s="71">
        <v>0</v>
      </c>
      <c r="E583" s="71">
        <v>0</v>
      </c>
      <c r="F583" s="71">
        <v>0.22599999999999998</v>
      </c>
      <c r="G583" s="71">
        <v>4.6119999999999992</v>
      </c>
      <c r="H583" s="71">
        <v>0.58799999999999997</v>
      </c>
      <c r="I583" s="71">
        <v>0</v>
      </c>
      <c r="J583" s="71">
        <v>0</v>
      </c>
      <c r="K583" s="71">
        <v>0</v>
      </c>
      <c r="L583" s="71">
        <v>0</v>
      </c>
      <c r="M583" s="71">
        <v>0</v>
      </c>
      <c r="N583" s="71">
        <v>0</v>
      </c>
      <c r="O583" s="71">
        <v>0</v>
      </c>
      <c r="P583" s="71">
        <v>4.234</v>
      </c>
      <c r="Q583" s="71">
        <v>15.263999999999999</v>
      </c>
      <c r="R583" s="71">
        <v>110.2</v>
      </c>
      <c r="S583" s="71">
        <v>4.2579999999999991</v>
      </c>
      <c r="T583" s="71">
        <v>8.2307499999999987</v>
      </c>
    </row>
    <row r="584" spans="1:20">
      <c r="A584" s="71" t="s">
        <v>1584</v>
      </c>
      <c r="B584" s="71" t="s">
        <v>838</v>
      </c>
      <c r="C584" s="71">
        <v>95.058999999999997</v>
      </c>
      <c r="D584" s="71">
        <v>0</v>
      </c>
      <c r="E584" s="71">
        <v>0</v>
      </c>
      <c r="F584" s="71">
        <v>0.21899999999999997</v>
      </c>
      <c r="G584" s="71">
        <v>0.60899999999999999</v>
      </c>
      <c r="H584" s="71">
        <v>0.88500000000000001</v>
      </c>
      <c r="I584" s="71">
        <v>0</v>
      </c>
      <c r="J584" s="71">
        <v>0</v>
      </c>
      <c r="K584" s="71">
        <v>0</v>
      </c>
      <c r="L584" s="71">
        <v>0</v>
      </c>
      <c r="M584" s="71">
        <v>0</v>
      </c>
      <c r="N584" s="71">
        <v>0</v>
      </c>
      <c r="O584" s="71">
        <v>0</v>
      </c>
      <c r="P584" s="71">
        <v>7.577</v>
      </c>
      <c r="Q584" s="71">
        <v>12.372</v>
      </c>
      <c r="R584" s="71">
        <v>77.5</v>
      </c>
      <c r="S584" s="71">
        <v>0</v>
      </c>
      <c r="T584" s="71">
        <v>4.7529499999999993</v>
      </c>
    </row>
    <row r="585" spans="1:20">
      <c r="A585" s="71" t="s">
        <v>1586</v>
      </c>
      <c r="B585" s="71" t="s">
        <v>1101</v>
      </c>
      <c r="C585" s="71">
        <v>92.775999999999996</v>
      </c>
      <c r="D585" s="71">
        <v>0</v>
      </c>
      <c r="E585" s="71">
        <v>0</v>
      </c>
      <c r="F585" s="71">
        <v>0</v>
      </c>
      <c r="G585" s="71">
        <v>3.5679999999999996</v>
      </c>
      <c r="H585" s="71">
        <v>0</v>
      </c>
      <c r="I585" s="71">
        <v>0</v>
      </c>
      <c r="J585" s="71">
        <v>0</v>
      </c>
      <c r="K585" s="71">
        <v>0</v>
      </c>
      <c r="L585" s="71">
        <v>0</v>
      </c>
      <c r="M585" s="71">
        <v>0</v>
      </c>
      <c r="N585" s="71">
        <v>0</v>
      </c>
      <c r="O585" s="71">
        <v>0</v>
      </c>
      <c r="P585" s="71">
        <v>0</v>
      </c>
      <c r="Q585" s="71">
        <v>9.2799999999999994</v>
      </c>
      <c r="R585" s="71">
        <v>47.8</v>
      </c>
      <c r="S585" s="71">
        <v>0</v>
      </c>
      <c r="T585" s="71">
        <v>0</v>
      </c>
    </row>
    <row r="586" spans="1:20">
      <c r="A586" s="71" t="s">
        <v>1102</v>
      </c>
      <c r="B586" s="71" t="s">
        <v>1103</v>
      </c>
      <c r="C586" s="71">
        <v>86.120999999999995</v>
      </c>
      <c r="D586" s="71">
        <v>0</v>
      </c>
      <c r="E586" s="71">
        <v>0</v>
      </c>
      <c r="F586" s="71">
        <v>0.16799999999999998</v>
      </c>
      <c r="G586" s="71">
        <v>0</v>
      </c>
      <c r="H586" s="71">
        <v>0</v>
      </c>
      <c r="I586" s="71">
        <v>0</v>
      </c>
      <c r="J586" s="71">
        <v>0</v>
      </c>
      <c r="K586" s="71">
        <v>0</v>
      </c>
      <c r="L586" s="71">
        <v>0</v>
      </c>
      <c r="M586" s="71">
        <v>0</v>
      </c>
      <c r="N586" s="71">
        <v>0</v>
      </c>
      <c r="O586" s="71">
        <v>0</v>
      </c>
      <c r="P586" s="71">
        <v>0</v>
      </c>
      <c r="Q586" s="71">
        <v>0</v>
      </c>
      <c r="R586" s="71">
        <v>66.2</v>
      </c>
      <c r="S586" s="71">
        <v>14.356</v>
      </c>
      <c r="T586" s="71">
        <v>0</v>
      </c>
    </row>
    <row r="587" spans="1:20">
      <c r="A587" s="71" t="s">
        <v>1588</v>
      </c>
      <c r="B587" s="71" t="s">
        <v>839</v>
      </c>
      <c r="C587" s="71">
        <v>6553.2589999999991</v>
      </c>
      <c r="D587" s="71">
        <v>0.49</v>
      </c>
      <c r="E587" s="71">
        <v>0</v>
      </c>
      <c r="F587" s="71">
        <v>13.327999999999999</v>
      </c>
      <c r="G587" s="71">
        <v>84.378999999999991</v>
      </c>
      <c r="H587" s="71">
        <v>37.483999999999995</v>
      </c>
      <c r="I587" s="71">
        <v>0</v>
      </c>
      <c r="J587" s="71">
        <v>1.4239999999999999</v>
      </c>
      <c r="K587" s="71">
        <v>0</v>
      </c>
      <c r="L587" s="71">
        <v>0</v>
      </c>
      <c r="M587" s="71">
        <v>3.145</v>
      </c>
      <c r="N587" s="71">
        <v>7.2750000000000004</v>
      </c>
      <c r="O587" s="71">
        <v>0</v>
      </c>
      <c r="P587" s="71">
        <v>241.595</v>
      </c>
      <c r="Q587" s="71">
        <v>225.76899999999998</v>
      </c>
      <c r="R587" s="71">
        <v>4732.8</v>
      </c>
      <c r="S587" s="71">
        <v>453.56</v>
      </c>
      <c r="T587" s="71">
        <v>327.66294999999991</v>
      </c>
    </row>
    <row r="588" spans="1:20">
      <c r="A588" s="71" t="s">
        <v>1292</v>
      </c>
      <c r="B588" s="71" t="s">
        <v>3010</v>
      </c>
      <c r="C588" s="71">
        <v>3403.4629999999997</v>
      </c>
      <c r="D588" s="71">
        <v>0.11399999999999999</v>
      </c>
      <c r="E588" s="71">
        <v>0</v>
      </c>
      <c r="F588" s="71">
        <v>4.8339999999999996</v>
      </c>
      <c r="G588" s="71">
        <v>96.293999999999997</v>
      </c>
      <c r="H588" s="71">
        <v>39.608999999999995</v>
      </c>
      <c r="I588" s="71">
        <v>0</v>
      </c>
      <c r="J588" s="71">
        <v>0</v>
      </c>
      <c r="K588" s="71">
        <v>0</v>
      </c>
      <c r="L588" s="71">
        <v>0</v>
      </c>
      <c r="M588" s="71">
        <v>2.5589999999999997</v>
      </c>
      <c r="N588" s="71">
        <v>0</v>
      </c>
      <c r="O588" s="71">
        <v>3.1919999999999997</v>
      </c>
      <c r="P588" s="71">
        <v>86.190999999999988</v>
      </c>
      <c r="Q588" s="71">
        <v>99.940999999999988</v>
      </c>
      <c r="R588" s="71">
        <v>357.3</v>
      </c>
      <c r="S588" s="71">
        <v>86.577999999999989</v>
      </c>
      <c r="T588" s="71">
        <v>170.17299999999997</v>
      </c>
    </row>
    <row r="589" spans="1:20">
      <c r="A589" s="71" t="s">
        <v>1590</v>
      </c>
      <c r="B589" s="71" t="s">
        <v>840</v>
      </c>
      <c r="C589" s="71">
        <v>1847.3909999999998</v>
      </c>
      <c r="D589" s="71">
        <v>0.41399999999999998</v>
      </c>
      <c r="E589" s="71">
        <v>0</v>
      </c>
      <c r="F589" s="71">
        <v>2.8279999999999998</v>
      </c>
      <c r="G589" s="71">
        <v>60.966999999999999</v>
      </c>
      <c r="H589" s="71">
        <v>18.623999999999999</v>
      </c>
      <c r="I589" s="71">
        <v>0</v>
      </c>
      <c r="J589" s="71">
        <v>0</v>
      </c>
      <c r="K589" s="71">
        <v>0</v>
      </c>
      <c r="L589" s="71">
        <v>0</v>
      </c>
      <c r="M589" s="71">
        <v>4.0359999999999996</v>
      </c>
      <c r="N589" s="71">
        <v>0</v>
      </c>
      <c r="O589" s="71">
        <v>1.9269999999999998</v>
      </c>
      <c r="P589" s="71">
        <v>16.312999999999999</v>
      </c>
      <c r="Q589" s="71">
        <v>87.168999999999997</v>
      </c>
      <c r="R589" s="71">
        <v>473.2</v>
      </c>
      <c r="S589" s="71">
        <v>62.075000000000003</v>
      </c>
      <c r="T589" s="71">
        <v>92.36954999999999</v>
      </c>
    </row>
    <row r="590" spans="1:20">
      <c r="A590" s="71" t="s">
        <v>1864</v>
      </c>
      <c r="B590" s="71" t="s">
        <v>3840</v>
      </c>
      <c r="C590" s="71">
        <v>10020.037999999999</v>
      </c>
      <c r="D590" s="71">
        <v>0.255</v>
      </c>
      <c r="E590" s="71">
        <v>0</v>
      </c>
      <c r="F590" s="71">
        <v>17.340999999999998</v>
      </c>
      <c r="G590" s="71">
        <v>233.46</v>
      </c>
      <c r="H590" s="71">
        <v>73.704999999999998</v>
      </c>
      <c r="I590" s="71">
        <v>0</v>
      </c>
      <c r="J590" s="71">
        <v>9.1999999999999998E-2</v>
      </c>
      <c r="K590" s="71">
        <v>0</v>
      </c>
      <c r="L590" s="71">
        <v>0</v>
      </c>
      <c r="M590" s="71">
        <v>16.197999999999997</v>
      </c>
      <c r="N590" s="71">
        <v>3.2609999999999997</v>
      </c>
      <c r="O590" s="71">
        <v>5.2529999999999992</v>
      </c>
      <c r="P590" s="71">
        <v>334.25599999999997</v>
      </c>
      <c r="Q590" s="71">
        <v>353.29500000000002</v>
      </c>
      <c r="R590" s="71">
        <v>4864.3</v>
      </c>
      <c r="S590" s="71">
        <v>954.59099999999989</v>
      </c>
      <c r="T590" s="71">
        <v>501.00189999999992</v>
      </c>
    </row>
    <row r="591" spans="1:20">
      <c r="A591" s="71" t="s">
        <v>1592</v>
      </c>
      <c r="B591" s="71" t="s">
        <v>841</v>
      </c>
      <c r="C591" s="71">
        <v>632.47</v>
      </c>
      <c r="D591" s="71">
        <v>0.02</v>
      </c>
      <c r="E591" s="71">
        <v>0</v>
      </c>
      <c r="F591" s="71">
        <v>0.7629999999999999</v>
      </c>
      <c r="G591" s="71">
        <v>16.53</v>
      </c>
      <c r="H591" s="71">
        <v>3.7519999999999998</v>
      </c>
      <c r="I591" s="71">
        <v>0</v>
      </c>
      <c r="J591" s="71">
        <v>0</v>
      </c>
      <c r="K591" s="71">
        <v>0</v>
      </c>
      <c r="L591" s="71">
        <v>0</v>
      </c>
      <c r="M591" s="71">
        <v>0</v>
      </c>
      <c r="N591" s="71">
        <v>0</v>
      </c>
      <c r="O591" s="71">
        <v>0.55500000000000005</v>
      </c>
      <c r="P591" s="71">
        <v>21.197999999999997</v>
      </c>
      <c r="Q591" s="71">
        <v>21.91</v>
      </c>
      <c r="R591" s="71">
        <v>256.8</v>
      </c>
      <c r="S591" s="71">
        <v>81.081999999999994</v>
      </c>
      <c r="T591" s="71">
        <v>27</v>
      </c>
    </row>
    <row r="592" spans="1:20">
      <c r="A592" s="71" t="s">
        <v>1594</v>
      </c>
      <c r="B592" s="71" t="s">
        <v>842</v>
      </c>
      <c r="C592" s="71">
        <v>3270.0229999999997</v>
      </c>
      <c r="D592" s="71">
        <v>0.03</v>
      </c>
      <c r="E592" s="71">
        <v>0</v>
      </c>
      <c r="F592" s="71">
        <v>5.91</v>
      </c>
      <c r="G592" s="71">
        <v>99.537999999999997</v>
      </c>
      <c r="H592" s="71">
        <v>21.64</v>
      </c>
      <c r="I592" s="71">
        <v>0</v>
      </c>
      <c r="J592" s="71">
        <v>0</v>
      </c>
      <c r="K592" s="71">
        <v>0</v>
      </c>
      <c r="L592" s="71">
        <v>0</v>
      </c>
      <c r="M592" s="71">
        <v>12.515000000000001</v>
      </c>
      <c r="N592" s="71">
        <v>0</v>
      </c>
      <c r="O592" s="71">
        <v>0</v>
      </c>
      <c r="P592" s="71">
        <v>27.600999999999999</v>
      </c>
      <c r="Q592" s="71">
        <v>191.48299999999998</v>
      </c>
      <c r="R592" s="71">
        <v>2160</v>
      </c>
      <c r="S592" s="71">
        <v>703.6579999999999</v>
      </c>
      <c r="T592" s="71">
        <v>163.50099999999998</v>
      </c>
    </row>
    <row r="593" spans="1:20">
      <c r="A593" s="71" t="s">
        <v>1596</v>
      </c>
      <c r="B593" s="71" t="s">
        <v>843</v>
      </c>
      <c r="C593" s="71">
        <v>2586.12</v>
      </c>
      <c r="D593" s="71">
        <v>0.60699999999999998</v>
      </c>
      <c r="E593" s="71">
        <v>0.32099999999999995</v>
      </c>
      <c r="F593" s="71">
        <v>4.8499999999999996</v>
      </c>
      <c r="G593" s="71">
        <v>91.564999999999998</v>
      </c>
      <c r="H593" s="71">
        <v>12.796999999999999</v>
      </c>
      <c r="I593" s="71">
        <v>0</v>
      </c>
      <c r="J593" s="71">
        <v>0</v>
      </c>
      <c r="K593" s="71">
        <v>0</v>
      </c>
      <c r="L593" s="71">
        <v>0</v>
      </c>
      <c r="M593" s="71">
        <v>9.1449999999999996</v>
      </c>
      <c r="N593" s="71">
        <v>9.5999999999999988E-2</v>
      </c>
      <c r="O593" s="71">
        <v>0.85299999999999998</v>
      </c>
      <c r="P593" s="71">
        <v>22.570999999999998</v>
      </c>
      <c r="Q593" s="71">
        <v>201.31399999999999</v>
      </c>
      <c r="R593" s="71">
        <v>1441.7</v>
      </c>
      <c r="S593" s="71">
        <v>72.369</v>
      </c>
      <c r="T593" s="71">
        <v>129.30599999999998</v>
      </c>
    </row>
    <row r="594" spans="1:20">
      <c r="A594" s="71" t="s">
        <v>1598</v>
      </c>
      <c r="B594" s="71" t="s">
        <v>844</v>
      </c>
      <c r="C594" s="71">
        <v>551.67999999999995</v>
      </c>
      <c r="D594" s="71">
        <v>0.308</v>
      </c>
      <c r="E594" s="71">
        <v>0</v>
      </c>
      <c r="F594" s="71">
        <v>0.92699999999999994</v>
      </c>
      <c r="G594" s="71">
        <v>18.373999999999999</v>
      </c>
      <c r="H594" s="71">
        <v>0.41399999999999998</v>
      </c>
      <c r="I594" s="71">
        <v>0</v>
      </c>
      <c r="J594" s="71">
        <v>1.5189999999999999</v>
      </c>
      <c r="K594" s="71">
        <v>0</v>
      </c>
      <c r="L594" s="71">
        <v>0</v>
      </c>
      <c r="M594" s="71">
        <v>2.4359999999999999</v>
      </c>
      <c r="N594" s="71">
        <v>2.8999999999999998E-2</v>
      </c>
      <c r="O594" s="71">
        <v>0</v>
      </c>
      <c r="P594" s="71">
        <v>5.74</v>
      </c>
      <c r="Q594" s="71">
        <v>22.74</v>
      </c>
      <c r="R594" s="71">
        <v>355.3</v>
      </c>
      <c r="S594" s="71">
        <v>14.228999999999999</v>
      </c>
      <c r="T594" s="71">
        <v>27.583999999999996</v>
      </c>
    </row>
    <row r="595" spans="1:20">
      <c r="A595" s="71" t="s">
        <v>1600</v>
      </c>
      <c r="B595" s="71" t="s">
        <v>845</v>
      </c>
      <c r="C595" s="71">
        <v>1495.1659999999999</v>
      </c>
      <c r="D595" s="71">
        <v>1.6999999999999998E-2</v>
      </c>
      <c r="E595" s="71">
        <v>0</v>
      </c>
      <c r="F595" s="71">
        <v>4.7429999999999994</v>
      </c>
      <c r="G595" s="71">
        <v>71.340999999999994</v>
      </c>
      <c r="H595" s="71">
        <v>8.3419999999999987</v>
      </c>
      <c r="I595" s="71">
        <v>0</v>
      </c>
      <c r="J595" s="71">
        <v>2.7129999999999996</v>
      </c>
      <c r="K595" s="71">
        <v>0</v>
      </c>
      <c r="L595" s="71">
        <v>0</v>
      </c>
      <c r="M595" s="71">
        <v>6.0209999999999999</v>
      </c>
      <c r="N595" s="71">
        <v>0</v>
      </c>
      <c r="O595" s="71">
        <v>0</v>
      </c>
      <c r="P595" s="71">
        <v>29.348999999999997</v>
      </c>
      <c r="Q595" s="71">
        <v>66.918999999999997</v>
      </c>
      <c r="R595" s="71">
        <v>1026.7</v>
      </c>
      <c r="S595" s="71">
        <v>17.209</v>
      </c>
      <c r="T595" s="71">
        <v>74.757999999999996</v>
      </c>
    </row>
    <row r="596" spans="1:20">
      <c r="A596" s="71" t="s">
        <v>5260</v>
      </c>
      <c r="B596" s="71" t="s">
        <v>846</v>
      </c>
      <c r="C596" s="71">
        <v>1080.5229999999999</v>
      </c>
      <c r="D596" s="71">
        <v>0</v>
      </c>
      <c r="E596" s="71">
        <v>0</v>
      </c>
      <c r="F596" s="71">
        <v>1.8439999999999999</v>
      </c>
      <c r="G596" s="71">
        <v>46.123999999999995</v>
      </c>
      <c r="H596" s="71">
        <v>4.6829999999999998</v>
      </c>
      <c r="I596" s="71">
        <v>0</v>
      </c>
      <c r="J596" s="71">
        <v>0</v>
      </c>
      <c r="K596" s="71">
        <v>0</v>
      </c>
      <c r="L596" s="71">
        <v>0</v>
      </c>
      <c r="M596" s="71">
        <v>7.7579999999999991</v>
      </c>
      <c r="N596" s="71">
        <v>0</v>
      </c>
      <c r="O596" s="71">
        <v>0</v>
      </c>
      <c r="P596" s="71">
        <v>23.225000000000001</v>
      </c>
      <c r="Q596" s="71">
        <v>57.141999999999996</v>
      </c>
      <c r="R596" s="71">
        <v>743</v>
      </c>
      <c r="S596" s="71">
        <v>54.026999999999994</v>
      </c>
      <c r="T596" s="71">
        <v>54.025999999999996</v>
      </c>
    </row>
    <row r="597" spans="1:20">
      <c r="A597" s="71" t="s">
        <v>2415</v>
      </c>
      <c r="B597" s="71" t="s">
        <v>5368</v>
      </c>
      <c r="C597" s="71">
        <v>242.16899999999998</v>
      </c>
      <c r="D597" s="71">
        <v>0</v>
      </c>
      <c r="E597" s="71">
        <v>0</v>
      </c>
      <c r="F597" s="71">
        <v>0.65899999999999992</v>
      </c>
      <c r="G597" s="71">
        <v>4.8359999999999994</v>
      </c>
      <c r="H597" s="71">
        <v>2.6619999999999999</v>
      </c>
      <c r="I597" s="71">
        <v>0</v>
      </c>
      <c r="J597" s="71">
        <v>1.0959999999999999</v>
      </c>
      <c r="K597" s="71">
        <v>0</v>
      </c>
      <c r="L597" s="71">
        <v>0</v>
      </c>
      <c r="M597" s="71">
        <v>0</v>
      </c>
      <c r="N597" s="71">
        <v>0</v>
      </c>
      <c r="O597" s="71">
        <v>0</v>
      </c>
      <c r="P597" s="71">
        <v>15.693</v>
      </c>
      <c r="Q597" s="71">
        <v>10.28</v>
      </c>
      <c r="R597" s="71">
        <v>151</v>
      </c>
      <c r="S597" s="71">
        <v>2.0779999999999998</v>
      </c>
      <c r="T597" s="71">
        <v>12.107999999999999</v>
      </c>
    </row>
    <row r="598" spans="1:20">
      <c r="A598" s="71" t="s">
        <v>4973</v>
      </c>
      <c r="B598" s="71" t="s">
        <v>328</v>
      </c>
      <c r="C598" s="71">
        <v>141.25099999999998</v>
      </c>
      <c r="D598" s="71">
        <v>0.16299999999999998</v>
      </c>
      <c r="E598" s="71">
        <v>0</v>
      </c>
      <c r="F598" s="71">
        <v>0.61099999999999999</v>
      </c>
      <c r="G598" s="71">
        <v>6.4050000000000002</v>
      </c>
      <c r="H598" s="71">
        <v>0.79799999999999993</v>
      </c>
      <c r="I598" s="71">
        <v>0</v>
      </c>
      <c r="J598" s="71">
        <v>0</v>
      </c>
      <c r="K598" s="71">
        <v>0</v>
      </c>
      <c r="L598" s="71">
        <v>0</v>
      </c>
      <c r="M598" s="71">
        <v>0</v>
      </c>
      <c r="N598" s="71">
        <v>0</v>
      </c>
      <c r="O598" s="71">
        <v>0</v>
      </c>
      <c r="P598" s="71">
        <v>1.0149999999999999</v>
      </c>
      <c r="Q598" s="71">
        <v>0</v>
      </c>
      <c r="R598" s="71">
        <v>104.8</v>
      </c>
      <c r="S598" s="71">
        <v>8.6519999999999992</v>
      </c>
      <c r="T598" s="71">
        <v>6</v>
      </c>
    </row>
    <row r="599" spans="1:20">
      <c r="A599" s="71" t="s">
        <v>5262</v>
      </c>
      <c r="B599" s="71" t="s">
        <v>847</v>
      </c>
      <c r="C599" s="71">
        <v>461.86399999999998</v>
      </c>
      <c r="D599" s="71">
        <v>9.2999999999999999E-2</v>
      </c>
      <c r="E599" s="71">
        <v>0</v>
      </c>
      <c r="F599" s="71">
        <v>0.62699999999999989</v>
      </c>
      <c r="G599" s="71">
        <v>16.532999999999998</v>
      </c>
      <c r="H599" s="71">
        <v>1.73</v>
      </c>
      <c r="I599" s="71">
        <v>0</v>
      </c>
      <c r="J599" s="71">
        <v>0.41299999999999998</v>
      </c>
      <c r="K599" s="71">
        <v>0</v>
      </c>
      <c r="L599" s="71">
        <v>0</v>
      </c>
      <c r="M599" s="71">
        <v>1.7229999999999999</v>
      </c>
      <c r="N599" s="71">
        <v>0</v>
      </c>
      <c r="O599" s="71">
        <v>0</v>
      </c>
      <c r="P599" s="71">
        <v>3.4669999999999996</v>
      </c>
      <c r="Q599" s="71">
        <v>17.043999999999997</v>
      </c>
      <c r="R599" s="71">
        <v>246.3</v>
      </c>
      <c r="S599" s="71">
        <v>3.5789999999999997</v>
      </c>
      <c r="T599" s="71">
        <v>18</v>
      </c>
    </row>
    <row r="600" spans="1:20">
      <c r="A600" s="71" t="s">
        <v>1104</v>
      </c>
      <c r="B600" s="71" t="s">
        <v>1105</v>
      </c>
      <c r="C600" s="71">
        <v>557.35799999999995</v>
      </c>
      <c r="D600" s="71">
        <v>0.05</v>
      </c>
      <c r="E600" s="71">
        <v>0</v>
      </c>
      <c r="F600" s="71">
        <v>0.309</v>
      </c>
      <c r="G600" s="71">
        <v>0.38699999999999996</v>
      </c>
      <c r="H600" s="71">
        <v>0</v>
      </c>
      <c r="I600" s="71">
        <v>0</v>
      </c>
      <c r="J600" s="71">
        <v>0</v>
      </c>
      <c r="K600" s="71">
        <v>0</v>
      </c>
      <c r="L600" s="71">
        <v>0</v>
      </c>
      <c r="M600" s="71">
        <v>0</v>
      </c>
      <c r="N600" s="71">
        <v>4.4659999999999993</v>
      </c>
      <c r="O600" s="71">
        <v>0</v>
      </c>
      <c r="P600" s="71">
        <v>0</v>
      </c>
      <c r="Q600" s="71">
        <v>66.533999999999992</v>
      </c>
      <c r="R600" s="71">
        <v>734.5</v>
      </c>
      <c r="S600" s="71">
        <v>169.23500000000001</v>
      </c>
      <c r="T600" s="71">
        <v>0</v>
      </c>
    </row>
    <row r="601" spans="1:20">
      <c r="A601" s="71" t="s">
        <v>5264</v>
      </c>
      <c r="B601" s="71" t="s">
        <v>1106</v>
      </c>
      <c r="C601" s="71">
        <v>292.81299999999999</v>
      </c>
      <c r="D601" s="71">
        <v>0</v>
      </c>
      <c r="E601" s="71">
        <v>0</v>
      </c>
      <c r="F601" s="71">
        <v>0.34899999999999998</v>
      </c>
      <c r="G601" s="71">
        <v>0</v>
      </c>
      <c r="H601" s="71">
        <v>0.29599999999999999</v>
      </c>
      <c r="I601" s="71">
        <v>0</v>
      </c>
      <c r="J601" s="71">
        <v>0</v>
      </c>
      <c r="K601" s="71">
        <v>0</v>
      </c>
      <c r="L601" s="71">
        <v>0</v>
      </c>
      <c r="M601" s="71">
        <v>0</v>
      </c>
      <c r="N601" s="71">
        <v>0</v>
      </c>
      <c r="O601" s="71">
        <v>0</v>
      </c>
      <c r="P601" s="71">
        <v>0</v>
      </c>
      <c r="Q601" s="71">
        <v>11.735999999999999</v>
      </c>
      <c r="R601" s="71">
        <v>200.8</v>
      </c>
      <c r="S601" s="71">
        <v>38.012999999999998</v>
      </c>
      <c r="T601" s="71">
        <v>1</v>
      </c>
    </row>
    <row r="602" spans="1:20">
      <c r="A602" s="71" t="s">
        <v>1107</v>
      </c>
      <c r="B602" s="71" t="s">
        <v>1108</v>
      </c>
      <c r="C602" s="71">
        <v>200.65599999999998</v>
      </c>
      <c r="D602" s="71">
        <v>0</v>
      </c>
      <c r="E602" s="71">
        <v>0</v>
      </c>
      <c r="F602" s="71">
        <v>0</v>
      </c>
      <c r="G602" s="71">
        <v>0</v>
      </c>
      <c r="H602" s="71">
        <v>0</v>
      </c>
      <c r="I602" s="71">
        <v>0</v>
      </c>
      <c r="J602" s="71">
        <v>0</v>
      </c>
      <c r="K602" s="71">
        <v>0</v>
      </c>
      <c r="L602" s="71">
        <v>0</v>
      </c>
      <c r="M602" s="71">
        <v>0</v>
      </c>
      <c r="N602" s="71">
        <v>0.154</v>
      </c>
      <c r="O602" s="71">
        <v>0</v>
      </c>
      <c r="P602" s="71">
        <v>0</v>
      </c>
      <c r="Q602" s="71">
        <v>0</v>
      </c>
      <c r="R602" s="71">
        <v>186</v>
      </c>
      <c r="S602" s="71">
        <v>7.1550000000000002</v>
      </c>
      <c r="T602" s="71">
        <v>0</v>
      </c>
    </row>
    <row r="603" spans="1:20">
      <c r="A603" s="71" t="s">
        <v>1109</v>
      </c>
      <c r="B603" s="71" t="s">
        <v>1110</v>
      </c>
      <c r="C603" s="71">
        <v>0</v>
      </c>
      <c r="D603" s="71">
        <v>0</v>
      </c>
      <c r="E603" s="71">
        <v>0</v>
      </c>
      <c r="F603" s="71">
        <v>0</v>
      </c>
      <c r="G603" s="71">
        <v>0</v>
      </c>
      <c r="H603" s="71">
        <v>0</v>
      </c>
      <c r="I603" s="71">
        <v>0</v>
      </c>
      <c r="J603" s="71">
        <v>0</v>
      </c>
      <c r="K603" s="71">
        <v>0</v>
      </c>
      <c r="L603" s="71">
        <v>0</v>
      </c>
      <c r="M603" s="71">
        <v>0</v>
      </c>
      <c r="N603" s="71">
        <v>0</v>
      </c>
      <c r="O603" s="71">
        <v>0</v>
      </c>
      <c r="P603" s="71">
        <v>0</v>
      </c>
      <c r="Q603" s="71">
        <v>0</v>
      </c>
      <c r="R603" s="71">
        <v>0</v>
      </c>
      <c r="S603" s="71">
        <v>0</v>
      </c>
      <c r="T603" s="71">
        <v>0</v>
      </c>
    </row>
    <row r="604" spans="1:20">
      <c r="A604" s="71" t="s">
        <v>776</v>
      </c>
      <c r="B604" s="71" t="s">
        <v>1111</v>
      </c>
      <c r="C604" s="71">
        <v>229.821</v>
      </c>
      <c r="D604" s="71">
        <v>0</v>
      </c>
      <c r="E604" s="71">
        <v>0</v>
      </c>
      <c r="F604" s="71">
        <v>0</v>
      </c>
      <c r="G604" s="71">
        <v>4.68</v>
      </c>
      <c r="H604" s="71">
        <v>1.3979999999999999</v>
      </c>
      <c r="I604" s="71">
        <v>0</v>
      </c>
      <c r="J604" s="71">
        <v>0</v>
      </c>
      <c r="K604" s="71">
        <v>0</v>
      </c>
      <c r="L604" s="71">
        <v>0</v>
      </c>
      <c r="M604" s="71">
        <v>0</v>
      </c>
      <c r="N604" s="71">
        <v>2.0999999999999998E-2</v>
      </c>
      <c r="O604" s="71">
        <v>0</v>
      </c>
      <c r="P604" s="71">
        <v>0</v>
      </c>
      <c r="Q604" s="71">
        <v>8.7569999999999997</v>
      </c>
      <c r="R604" s="71">
        <v>161</v>
      </c>
      <c r="S604" s="71">
        <v>136.90699999999998</v>
      </c>
      <c r="T604" s="71">
        <v>0</v>
      </c>
    </row>
    <row r="605" spans="1:20">
      <c r="A605" s="71" t="s">
        <v>778</v>
      </c>
      <c r="B605" s="71" t="s">
        <v>1112</v>
      </c>
      <c r="C605" s="71">
        <v>871.74599999999998</v>
      </c>
      <c r="D605" s="71">
        <v>0</v>
      </c>
      <c r="E605" s="71">
        <v>0</v>
      </c>
      <c r="F605" s="71">
        <v>0.54299999999999993</v>
      </c>
      <c r="G605" s="71">
        <v>2.6429999999999998</v>
      </c>
      <c r="H605" s="71">
        <v>0</v>
      </c>
      <c r="I605" s="71">
        <v>0</v>
      </c>
      <c r="J605" s="71">
        <v>0</v>
      </c>
      <c r="K605" s="71">
        <v>0</v>
      </c>
      <c r="L605" s="71">
        <v>0</v>
      </c>
      <c r="M605" s="71">
        <v>0</v>
      </c>
      <c r="N605" s="71">
        <v>0</v>
      </c>
      <c r="O605" s="71">
        <v>0</v>
      </c>
      <c r="P605" s="71">
        <v>0</v>
      </c>
      <c r="Q605" s="71">
        <v>0</v>
      </c>
      <c r="R605" s="71">
        <v>596.70000000000005</v>
      </c>
      <c r="S605" s="71">
        <v>204.08599999999998</v>
      </c>
      <c r="T605" s="71">
        <v>36.153999999999996</v>
      </c>
    </row>
    <row r="606" spans="1:20">
      <c r="A606" s="71" t="s">
        <v>1113</v>
      </c>
      <c r="B606" s="71" t="s">
        <v>1114</v>
      </c>
      <c r="C606" s="71">
        <v>255.29399999999998</v>
      </c>
      <c r="D606" s="71">
        <v>0</v>
      </c>
      <c r="E606" s="71">
        <v>0</v>
      </c>
      <c r="F606" s="71">
        <v>7.2999999999999995E-2</v>
      </c>
      <c r="G606" s="71">
        <v>3.7629999999999999</v>
      </c>
      <c r="H606" s="71">
        <v>7.8999999999999987E-2</v>
      </c>
      <c r="I606" s="71">
        <v>0</v>
      </c>
      <c r="J606" s="71">
        <v>0</v>
      </c>
      <c r="K606" s="71">
        <v>0</v>
      </c>
      <c r="L606" s="71">
        <v>0</v>
      </c>
      <c r="M606" s="71">
        <v>0</v>
      </c>
      <c r="N606" s="71">
        <v>0</v>
      </c>
      <c r="O606" s="71">
        <v>0</v>
      </c>
      <c r="P606" s="71">
        <v>0</v>
      </c>
      <c r="Q606" s="71">
        <v>0</v>
      </c>
      <c r="R606" s="71">
        <v>193.7</v>
      </c>
      <c r="S606" s="71">
        <v>63.698999999999998</v>
      </c>
      <c r="T606" s="71">
        <v>0</v>
      </c>
    </row>
    <row r="607" spans="1:20">
      <c r="A607" s="71" t="s">
        <v>2054</v>
      </c>
      <c r="B607" s="71" t="s">
        <v>3009</v>
      </c>
      <c r="C607" s="71">
        <v>11977.563999999998</v>
      </c>
      <c r="D607" s="71">
        <v>2.3250000000000002</v>
      </c>
      <c r="E607" s="71">
        <v>0</v>
      </c>
      <c r="F607" s="71">
        <v>11.005999999999998</v>
      </c>
      <c r="G607" s="71">
        <v>139.02799999999999</v>
      </c>
      <c r="H607" s="71">
        <v>107.55699999999999</v>
      </c>
      <c r="I607" s="71">
        <v>0</v>
      </c>
      <c r="J607" s="71">
        <v>0</v>
      </c>
      <c r="K607" s="71">
        <v>0</v>
      </c>
      <c r="L607" s="71">
        <v>0</v>
      </c>
      <c r="M607" s="71">
        <v>0</v>
      </c>
      <c r="N607" s="71">
        <v>5.78</v>
      </c>
      <c r="O607" s="71">
        <v>0.40299999999999997</v>
      </c>
      <c r="P607" s="71">
        <v>499.53899999999999</v>
      </c>
      <c r="Q607" s="71">
        <v>333.09699999999998</v>
      </c>
      <c r="R607" s="71">
        <v>11219.5</v>
      </c>
      <c r="S607" s="71">
        <v>5845.7209999999995</v>
      </c>
      <c r="T607" s="71">
        <v>598.87799999999993</v>
      </c>
    </row>
    <row r="608" spans="1:20">
      <c r="A608" s="71" t="s">
        <v>1519</v>
      </c>
      <c r="B608" s="71" t="s">
        <v>3015</v>
      </c>
      <c r="C608" s="71">
        <v>5183.933</v>
      </c>
      <c r="D608" s="71">
        <v>0.498</v>
      </c>
      <c r="E608" s="71">
        <v>0</v>
      </c>
      <c r="F608" s="71">
        <v>5.4739999999999993</v>
      </c>
      <c r="G608" s="71">
        <v>141.62099999999998</v>
      </c>
      <c r="H608" s="71">
        <v>41.678999999999995</v>
      </c>
      <c r="I608" s="71">
        <v>0</v>
      </c>
      <c r="J608" s="71">
        <v>0.73199999999999998</v>
      </c>
      <c r="K608" s="71">
        <v>0</v>
      </c>
      <c r="L608" s="71">
        <v>0</v>
      </c>
      <c r="M608" s="71">
        <v>0.66899999999999993</v>
      </c>
      <c r="N608" s="71">
        <v>4.4319999999999995</v>
      </c>
      <c r="O608" s="71">
        <v>5.9019999999999992</v>
      </c>
      <c r="P608" s="71">
        <v>23.043999999999997</v>
      </c>
      <c r="Q608" s="71">
        <v>199.12099999999998</v>
      </c>
      <c r="R608" s="71">
        <v>4964</v>
      </c>
      <c r="S608" s="71">
        <v>2236.1869999999999</v>
      </c>
      <c r="T608" s="71">
        <v>259.19664999999998</v>
      </c>
    </row>
    <row r="609" spans="1:20">
      <c r="A609" s="71" t="s">
        <v>1521</v>
      </c>
      <c r="B609" s="71" t="s">
        <v>1927</v>
      </c>
      <c r="C609" s="71">
        <v>25739.858999999997</v>
      </c>
      <c r="D609" s="71">
        <v>7.9619999999999997</v>
      </c>
      <c r="E609" s="71">
        <v>0</v>
      </c>
      <c r="F609" s="71">
        <v>29.613999999999997</v>
      </c>
      <c r="G609" s="71">
        <v>624.36699999999996</v>
      </c>
      <c r="H609" s="71">
        <v>176.601</v>
      </c>
      <c r="I609" s="71">
        <v>0</v>
      </c>
      <c r="J609" s="71">
        <v>0</v>
      </c>
      <c r="K609" s="71">
        <v>0</v>
      </c>
      <c r="L609" s="71">
        <v>0</v>
      </c>
      <c r="M609" s="71">
        <v>12.645999999999999</v>
      </c>
      <c r="N609" s="71">
        <v>12.361999999999998</v>
      </c>
      <c r="O609" s="71">
        <v>7.6999999999999999E-2</v>
      </c>
      <c r="P609" s="71">
        <v>285.30500000000001</v>
      </c>
      <c r="Q609" s="71">
        <v>1126.021</v>
      </c>
      <c r="R609" s="71">
        <v>22488.7</v>
      </c>
      <c r="S609" s="71">
        <v>7458.7119999999995</v>
      </c>
      <c r="T609" s="71">
        <v>1286.9929499999998</v>
      </c>
    </row>
    <row r="610" spans="1:20">
      <c r="A610" s="71" t="s">
        <v>1866</v>
      </c>
      <c r="B610" s="71" t="s">
        <v>3845</v>
      </c>
      <c r="C610" s="71">
        <v>2883.3909999999996</v>
      </c>
      <c r="D610" s="71">
        <v>0.14899999999999999</v>
      </c>
      <c r="E610" s="71">
        <v>0</v>
      </c>
      <c r="F610" s="71">
        <v>3.1119999999999997</v>
      </c>
      <c r="G610" s="71">
        <v>46.568999999999996</v>
      </c>
      <c r="H610" s="71">
        <v>14.065999999999999</v>
      </c>
      <c r="I610" s="71">
        <v>0</v>
      </c>
      <c r="J610" s="71">
        <v>0</v>
      </c>
      <c r="K610" s="71">
        <v>0</v>
      </c>
      <c r="L610" s="71">
        <v>0</v>
      </c>
      <c r="M610" s="71">
        <v>0</v>
      </c>
      <c r="N610" s="71">
        <v>1.8479999999999999</v>
      </c>
      <c r="O610" s="71">
        <v>0</v>
      </c>
      <c r="P610" s="71">
        <v>5.3279999999999994</v>
      </c>
      <c r="Q610" s="71">
        <v>162.69399999999999</v>
      </c>
      <c r="R610" s="71">
        <v>3170</v>
      </c>
      <c r="S610" s="71">
        <v>1510.231</v>
      </c>
      <c r="T610" s="71">
        <v>144.16954999999999</v>
      </c>
    </row>
    <row r="611" spans="1:20">
      <c r="A611" s="71" t="s">
        <v>6167</v>
      </c>
      <c r="B611" s="71" t="s">
        <v>6073</v>
      </c>
      <c r="C611" s="71">
        <v>22560.1</v>
      </c>
      <c r="D611" s="71">
        <v>3.2129999999999996</v>
      </c>
      <c r="E611" s="71">
        <v>0</v>
      </c>
      <c r="F611" s="71">
        <v>25.93</v>
      </c>
      <c r="G611" s="71">
        <v>274.11099999999999</v>
      </c>
      <c r="H611" s="71">
        <v>113.37899999999999</v>
      </c>
      <c r="I611" s="71">
        <v>0</v>
      </c>
      <c r="J611" s="71">
        <v>0</v>
      </c>
      <c r="K611" s="71">
        <v>0</v>
      </c>
      <c r="L611" s="71">
        <v>0</v>
      </c>
      <c r="M611" s="71">
        <v>11.722</v>
      </c>
      <c r="N611" s="71">
        <v>7.601</v>
      </c>
      <c r="O611" s="71">
        <v>11.040999999999999</v>
      </c>
      <c r="P611" s="71">
        <v>514.40899999999999</v>
      </c>
      <c r="Q611" s="71">
        <v>941.40699999999993</v>
      </c>
      <c r="R611" s="71">
        <v>15751.9</v>
      </c>
      <c r="S611" s="71">
        <v>7463.1209999999992</v>
      </c>
      <c r="T611" s="71">
        <v>1128.0050000000001</v>
      </c>
    </row>
    <row r="612" spans="1:20">
      <c r="A612" s="71" t="s">
        <v>6170</v>
      </c>
      <c r="B612" s="71" t="s">
        <v>495</v>
      </c>
      <c r="C612" s="71">
        <v>4890.1379999999999</v>
      </c>
      <c r="D612" s="71">
        <v>0.434</v>
      </c>
      <c r="E612" s="71">
        <v>0</v>
      </c>
      <c r="F612" s="71">
        <v>5.8909999999999991</v>
      </c>
      <c r="G612" s="71">
        <v>109.755</v>
      </c>
      <c r="H612" s="71">
        <v>31.443999999999999</v>
      </c>
      <c r="I612" s="71">
        <v>0</v>
      </c>
      <c r="J612" s="71">
        <v>0.45799999999999996</v>
      </c>
      <c r="K612" s="71">
        <v>0</v>
      </c>
      <c r="L612" s="71">
        <v>0</v>
      </c>
      <c r="M612" s="71">
        <v>7.8969999999999994</v>
      </c>
      <c r="N612" s="71">
        <v>6.4689999999999994</v>
      </c>
      <c r="O612" s="71">
        <v>0</v>
      </c>
      <c r="P612" s="71">
        <v>13.113</v>
      </c>
      <c r="Q612" s="71">
        <v>208.48</v>
      </c>
      <c r="R612" s="71">
        <v>4953</v>
      </c>
      <c r="S612" s="71">
        <v>1401.1039999999998</v>
      </c>
      <c r="T612" s="71">
        <v>244.50689999999997</v>
      </c>
    </row>
    <row r="613" spans="1:20">
      <c r="A613" s="71" t="s">
        <v>6176</v>
      </c>
      <c r="B613" s="71" t="s">
        <v>502</v>
      </c>
      <c r="C613" s="71">
        <v>13773.304999999998</v>
      </c>
      <c r="D613" s="71">
        <v>1.2009999999999998</v>
      </c>
      <c r="E613" s="71">
        <v>0</v>
      </c>
      <c r="F613" s="71">
        <v>9.6079999999999988</v>
      </c>
      <c r="G613" s="71">
        <v>303.90499999999997</v>
      </c>
      <c r="H613" s="71">
        <v>67.346999999999994</v>
      </c>
      <c r="I613" s="71">
        <v>0</v>
      </c>
      <c r="J613" s="71">
        <v>0</v>
      </c>
      <c r="K613" s="71">
        <v>0</v>
      </c>
      <c r="L613" s="71">
        <v>0</v>
      </c>
      <c r="M613" s="71">
        <v>1.0529999999999999</v>
      </c>
      <c r="N613" s="71">
        <v>6.0819999999999999</v>
      </c>
      <c r="O613" s="71">
        <v>0</v>
      </c>
      <c r="P613" s="71">
        <v>42.346999999999994</v>
      </c>
      <c r="Q613" s="71">
        <v>444.09899999999999</v>
      </c>
      <c r="R613" s="71">
        <v>12116.7</v>
      </c>
      <c r="S613" s="71">
        <v>4095.7169999999996</v>
      </c>
      <c r="T613" s="71">
        <v>688.66499999999996</v>
      </c>
    </row>
    <row r="614" spans="1:20">
      <c r="A614" s="71" t="s">
        <v>5125</v>
      </c>
      <c r="B614" s="71" t="s">
        <v>340</v>
      </c>
      <c r="C614" s="71">
        <v>25797.05</v>
      </c>
      <c r="D614" s="71">
        <v>2.9379999999999997</v>
      </c>
      <c r="E614" s="71">
        <v>0.71399999999999997</v>
      </c>
      <c r="F614" s="71">
        <v>30.443999999999999</v>
      </c>
      <c r="G614" s="71">
        <v>527.85199999999998</v>
      </c>
      <c r="H614" s="71">
        <v>134.05199999999999</v>
      </c>
      <c r="I614" s="71">
        <v>0</v>
      </c>
      <c r="J614" s="71">
        <v>0</v>
      </c>
      <c r="K614" s="71">
        <v>0</v>
      </c>
      <c r="L614" s="71">
        <v>0</v>
      </c>
      <c r="M614" s="71">
        <v>0</v>
      </c>
      <c r="N614" s="71">
        <v>13.199</v>
      </c>
      <c r="O614" s="71">
        <v>6.3689999999999998</v>
      </c>
      <c r="P614" s="71">
        <v>340.392</v>
      </c>
      <c r="Q614" s="71">
        <v>712.5329999999999</v>
      </c>
      <c r="R614" s="71">
        <v>23663.8</v>
      </c>
      <c r="S614" s="71">
        <v>9784.887999999999</v>
      </c>
      <c r="T614" s="71">
        <v>1289.8525</v>
      </c>
    </row>
    <row r="615" spans="1:20">
      <c r="A615" s="71" t="s">
        <v>648</v>
      </c>
      <c r="B615" s="71" t="s">
        <v>353</v>
      </c>
      <c r="C615" s="71">
        <v>1801.8339999999998</v>
      </c>
      <c r="D615" s="71">
        <v>0</v>
      </c>
      <c r="E615" s="71">
        <v>0</v>
      </c>
      <c r="F615" s="71">
        <v>0.56999999999999995</v>
      </c>
      <c r="G615" s="71">
        <v>21.361999999999998</v>
      </c>
      <c r="H615" s="71">
        <v>6.2729999999999997</v>
      </c>
      <c r="I615" s="71">
        <v>0</v>
      </c>
      <c r="J615" s="71">
        <v>1.0359999999999998</v>
      </c>
      <c r="K615" s="71">
        <v>0</v>
      </c>
      <c r="L615" s="71">
        <v>0</v>
      </c>
      <c r="M615" s="71">
        <v>8.0359999999999996</v>
      </c>
      <c r="N615" s="71">
        <v>1.7129999999999999</v>
      </c>
      <c r="O615" s="71">
        <v>0</v>
      </c>
      <c r="P615" s="71">
        <v>12.975999999999999</v>
      </c>
      <c r="Q615" s="71">
        <v>3.5639999999999996</v>
      </c>
      <c r="R615" s="71">
        <v>1987.7</v>
      </c>
      <c r="S615" s="71">
        <v>756.71399999999994</v>
      </c>
      <c r="T615" s="71">
        <v>90.091699999999989</v>
      </c>
    </row>
    <row r="616" spans="1:20">
      <c r="A616" s="71" t="s">
        <v>780</v>
      </c>
      <c r="B616" s="71" t="s">
        <v>848</v>
      </c>
      <c r="C616" s="71">
        <v>7266.5569999999998</v>
      </c>
      <c r="D616" s="71">
        <v>0.67399999999999993</v>
      </c>
      <c r="E616" s="71">
        <v>1.4269999999999998</v>
      </c>
      <c r="F616" s="71">
        <v>5.8579999999999997</v>
      </c>
      <c r="G616" s="71">
        <v>96.440999999999988</v>
      </c>
      <c r="H616" s="71">
        <v>49.776999999999994</v>
      </c>
      <c r="I616" s="71">
        <v>0</v>
      </c>
      <c r="J616" s="71">
        <v>0</v>
      </c>
      <c r="K616" s="71">
        <v>0</v>
      </c>
      <c r="L616" s="71">
        <v>0</v>
      </c>
      <c r="M616" s="71">
        <v>0</v>
      </c>
      <c r="N616" s="71">
        <v>1.5009999999999999</v>
      </c>
      <c r="O616" s="71">
        <v>0</v>
      </c>
      <c r="P616" s="71">
        <v>71.212999999999994</v>
      </c>
      <c r="Q616" s="71">
        <v>364.58199999999999</v>
      </c>
      <c r="R616" s="71">
        <v>4467.7</v>
      </c>
      <c r="S616" s="71">
        <v>1265.7759999999998</v>
      </c>
      <c r="T616" s="71">
        <v>363.32784999999996</v>
      </c>
    </row>
    <row r="617" spans="1:20">
      <c r="A617" s="71" t="s">
        <v>6038</v>
      </c>
      <c r="B617" s="71" t="s">
        <v>2153</v>
      </c>
      <c r="C617" s="71">
        <v>22259.673999999999</v>
      </c>
      <c r="D617" s="71">
        <v>6.2289999999999992</v>
      </c>
      <c r="E617" s="71">
        <v>0</v>
      </c>
      <c r="F617" s="71">
        <v>27.713999999999999</v>
      </c>
      <c r="G617" s="71">
        <v>626.005</v>
      </c>
      <c r="H617" s="71">
        <v>137.48399999999998</v>
      </c>
      <c r="I617" s="71">
        <v>0</v>
      </c>
      <c r="J617" s="71">
        <v>0</v>
      </c>
      <c r="K617" s="71">
        <v>0</v>
      </c>
      <c r="L617" s="71">
        <v>0</v>
      </c>
      <c r="M617" s="71">
        <v>0</v>
      </c>
      <c r="N617" s="71">
        <v>14.382</v>
      </c>
      <c r="O617" s="71">
        <v>0</v>
      </c>
      <c r="P617" s="71">
        <v>55.872</v>
      </c>
      <c r="Q617" s="71">
        <v>636.43899999999996</v>
      </c>
      <c r="R617" s="71">
        <v>21748.1</v>
      </c>
      <c r="S617" s="71">
        <v>9777.9219999999987</v>
      </c>
      <c r="T617" s="71">
        <v>1112.9836999999998</v>
      </c>
    </row>
    <row r="618" spans="1:20">
      <c r="A618" s="71" t="s">
        <v>3096</v>
      </c>
      <c r="B618" s="71" t="s">
        <v>4065</v>
      </c>
      <c r="C618" s="71">
        <v>14709.601999999999</v>
      </c>
      <c r="D618" s="71">
        <v>3.4369999999999998</v>
      </c>
      <c r="E618" s="71">
        <v>3.6749999999999998</v>
      </c>
      <c r="F618" s="71">
        <v>23.481999999999999</v>
      </c>
      <c r="G618" s="71">
        <v>364.09500000000003</v>
      </c>
      <c r="H618" s="71">
        <v>138.58199999999999</v>
      </c>
      <c r="I618" s="71">
        <v>0</v>
      </c>
      <c r="J618" s="71">
        <v>0</v>
      </c>
      <c r="K618" s="71">
        <v>0</v>
      </c>
      <c r="L618" s="71">
        <v>0</v>
      </c>
      <c r="M618" s="71">
        <v>13.258999999999999</v>
      </c>
      <c r="N618" s="71">
        <v>10.383999999999999</v>
      </c>
      <c r="O618" s="71">
        <v>2.3719999999999999</v>
      </c>
      <c r="P618" s="71">
        <v>135.06099999999998</v>
      </c>
      <c r="Q618" s="71">
        <v>631.05799999999999</v>
      </c>
      <c r="R618" s="71">
        <v>14195.2</v>
      </c>
      <c r="S618" s="71">
        <v>3420.2949999999996</v>
      </c>
      <c r="T618" s="71">
        <v>735.48</v>
      </c>
    </row>
    <row r="619" spans="1:20">
      <c r="A619" s="71" t="s">
        <v>6040</v>
      </c>
      <c r="B619" s="71" t="s">
        <v>184</v>
      </c>
      <c r="C619" s="71">
        <v>609.64699999999993</v>
      </c>
      <c r="D619" s="71">
        <v>0</v>
      </c>
      <c r="E619" s="71">
        <v>0</v>
      </c>
      <c r="F619" s="71">
        <v>0.432</v>
      </c>
      <c r="G619" s="71">
        <v>17.771999999999998</v>
      </c>
      <c r="H619" s="71">
        <v>2.9969999999999999</v>
      </c>
      <c r="I619" s="71">
        <v>0</v>
      </c>
      <c r="J619" s="71">
        <v>0.12</v>
      </c>
      <c r="K619" s="71">
        <v>0</v>
      </c>
      <c r="L619" s="71">
        <v>0</v>
      </c>
      <c r="M619" s="71">
        <v>0</v>
      </c>
      <c r="N619" s="71">
        <v>0</v>
      </c>
      <c r="O619" s="71">
        <v>0</v>
      </c>
      <c r="P619" s="71">
        <v>3.8849999999999998</v>
      </c>
      <c r="Q619" s="71">
        <v>20.840999999999998</v>
      </c>
      <c r="R619" s="71">
        <v>685</v>
      </c>
      <c r="S619" s="71">
        <v>173.55599999999998</v>
      </c>
      <c r="T619" s="71">
        <v>30.481999999999999</v>
      </c>
    </row>
    <row r="620" spans="1:20">
      <c r="A620" s="71" t="s">
        <v>3097</v>
      </c>
      <c r="B620" s="71" t="s">
        <v>503</v>
      </c>
      <c r="C620" s="71">
        <v>524.70699999999999</v>
      </c>
      <c r="D620" s="71">
        <v>5.0999999999999997E-2</v>
      </c>
      <c r="E620" s="71">
        <v>0</v>
      </c>
      <c r="F620" s="71">
        <v>0.65</v>
      </c>
      <c r="G620" s="71">
        <v>14.536999999999999</v>
      </c>
      <c r="H620" s="71">
        <v>2.6379999999999999</v>
      </c>
      <c r="I620" s="71">
        <v>0</v>
      </c>
      <c r="J620" s="71">
        <v>0</v>
      </c>
      <c r="K620" s="71">
        <v>0</v>
      </c>
      <c r="L620" s="71">
        <v>0</v>
      </c>
      <c r="M620" s="71">
        <v>0</v>
      </c>
      <c r="N620" s="71">
        <v>0</v>
      </c>
      <c r="O620" s="71">
        <v>0</v>
      </c>
      <c r="P620" s="71">
        <v>3.5939999999999999</v>
      </c>
      <c r="Q620" s="71">
        <v>0</v>
      </c>
      <c r="R620" s="71">
        <v>518.20000000000005</v>
      </c>
      <c r="S620" s="71">
        <v>209.226</v>
      </c>
      <c r="T620" s="71">
        <v>26.234999999999999</v>
      </c>
    </row>
    <row r="621" spans="1:20">
      <c r="A621" s="71" t="s">
        <v>2419</v>
      </c>
      <c r="B621" s="71" t="s">
        <v>5372</v>
      </c>
      <c r="C621" s="71">
        <v>3582.1579999999999</v>
      </c>
      <c r="D621" s="71">
        <v>3.6999999999999998E-2</v>
      </c>
      <c r="E621" s="71">
        <v>0</v>
      </c>
      <c r="F621" s="71">
        <v>5.3389999999999995</v>
      </c>
      <c r="G621" s="71">
        <v>65.010999999999996</v>
      </c>
      <c r="H621" s="71">
        <v>30.247</v>
      </c>
      <c r="I621" s="71">
        <v>0</v>
      </c>
      <c r="J621" s="71">
        <v>0.11</v>
      </c>
      <c r="K621" s="71">
        <v>0</v>
      </c>
      <c r="L621" s="71">
        <v>0</v>
      </c>
      <c r="M621" s="71">
        <v>0.61099999999999999</v>
      </c>
      <c r="N621" s="71">
        <v>0</v>
      </c>
      <c r="O621" s="71">
        <v>0</v>
      </c>
      <c r="P621" s="71">
        <v>50.619</v>
      </c>
      <c r="Q621" s="71">
        <v>89.443999999999988</v>
      </c>
      <c r="R621" s="71">
        <v>3423.7</v>
      </c>
      <c r="S621" s="71">
        <v>1943.7929999999999</v>
      </c>
      <c r="T621" s="71">
        <v>179.10789999999997</v>
      </c>
    </row>
    <row r="622" spans="1:20">
      <c r="A622" s="71" t="s">
        <v>1115</v>
      </c>
      <c r="B622" s="71" t="s">
        <v>1116</v>
      </c>
      <c r="C622" s="71">
        <v>228</v>
      </c>
      <c r="D622" s="71">
        <v>0</v>
      </c>
      <c r="E622" s="71">
        <v>0</v>
      </c>
      <c r="F622" s="71">
        <v>0</v>
      </c>
      <c r="G622" s="71">
        <v>0</v>
      </c>
      <c r="H622" s="71">
        <v>0</v>
      </c>
      <c r="I622" s="71">
        <v>0</v>
      </c>
      <c r="J622" s="71">
        <v>0</v>
      </c>
      <c r="K622" s="71">
        <v>0</v>
      </c>
      <c r="L622" s="71">
        <v>0</v>
      </c>
      <c r="M622" s="71">
        <v>0</v>
      </c>
      <c r="N622" s="71">
        <v>0</v>
      </c>
      <c r="O622" s="71">
        <v>0</v>
      </c>
      <c r="P622" s="71">
        <v>0</v>
      </c>
      <c r="Q622" s="71">
        <v>0</v>
      </c>
      <c r="R622" s="71">
        <v>0</v>
      </c>
      <c r="S622" s="71">
        <v>0</v>
      </c>
      <c r="T622" s="71">
        <v>0</v>
      </c>
    </row>
    <row r="623" spans="1:20">
      <c r="A623" s="71" t="s">
        <v>1117</v>
      </c>
      <c r="B623" s="71" t="s">
        <v>1118</v>
      </c>
      <c r="C623" s="71">
        <v>0</v>
      </c>
      <c r="D623" s="71">
        <v>0</v>
      </c>
      <c r="E623" s="71">
        <v>0</v>
      </c>
      <c r="F623" s="71">
        <v>0</v>
      </c>
      <c r="G623" s="71">
        <v>0</v>
      </c>
      <c r="H623" s="71">
        <v>0</v>
      </c>
      <c r="I623" s="71">
        <v>0</v>
      </c>
      <c r="J623" s="71">
        <v>0</v>
      </c>
      <c r="K623" s="71">
        <v>0</v>
      </c>
      <c r="L623" s="71">
        <v>0</v>
      </c>
      <c r="M623" s="71">
        <v>0</v>
      </c>
      <c r="N623" s="71">
        <v>0</v>
      </c>
      <c r="O623" s="71">
        <v>0</v>
      </c>
      <c r="P623" s="71">
        <v>0</v>
      </c>
      <c r="Q623" s="71">
        <v>0</v>
      </c>
      <c r="R623" s="71">
        <v>0</v>
      </c>
      <c r="S623" s="71">
        <v>0</v>
      </c>
      <c r="T623" s="71">
        <v>0</v>
      </c>
    </row>
    <row r="624" spans="1:20">
      <c r="A624" s="71" t="s">
        <v>2608</v>
      </c>
      <c r="B624" s="71" t="s">
        <v>324</v>
      </c>
      <c r="C624" s="71">
        <v>281.14299999999997</v>
      </c>
      <c r="D624" s="71">
        <v>0</v>
      </c>
      <c r="E624" s="71">
        <v>0</v>
      </c>
      <c r="F624" s="71">
        <v>0.54099999999999993</v>
      </c>
      <c r="G624" s="71">
        <v>9.1309999999999985</v>
      </c>
      <c r="H624" s="71">
        <v>0.34199999999999997</v>
      </c>
      <c r="I624" s="71">
        <v>0</v>
      </c>
      <c r="J624" s="71">
        <v>0</v>
      </c>
      <c r="K624" s="71">
        <v>0</v>
      </c>
      <c r="L624" s="71">
        <v>0</v>
      </c>
      <c r="M624" s="71">
        <v>2.04</v>
      </c>
      <c r="N624" s="71">
        <v>0</v>
      </c>
      <c r="O624" s="71">
        <v>0</v>
      </c>
      <c r="P624" s="71">
        <v>1.7539999999999998</v>
      </c>
      <c r="Q624" s="71">
        <v>14.883999999999999</v>
      </c>
      <c r="R624" s="71">
        <v>97.2</v>
      </c>
      <c r="S624" s="71">
        <v>3.8879999999999999</v>
      </c>
      <c r="T624" s="71">
        <v>14.056999999999999</v>
      </c>
    </row>
    <row r="625" spans="1:20">
      <c r="A625" s="71" t="s">
        <v>448</v>
      </c>
      <c r="B625" s="71" t="s">
        <v>6096</v>
      </c>
      <c r="C625" s="71">
        <v>217.52500000000001</v>
      </c>
      <c r="D625" s="71">
        <v>2.9999999999999996E-3</v>
      </c>
      <c r="E625" s="71">
        <v>0</v>
      </c>
      <c r="F625" s="71">
        <v>0.83299999999999996</v>
      </c>
      <c r="G625" s="71">
        <v>5.8019999999999996</v>
      </c>
      <c r="H625" s="71">
        <v>3.6509999999999998</v>
      </c>
      <c r="I625" s="71">
        <v>0</v>
      </c>
      <c r="J625" s="71">
        <v>0</v>
      </c>
      <c r="K625" s="71">
        <v>0</v>
      </c>
      <c r="L625" s="71">
        <v>0</v>
      </c>
      <c r="M625" s="71">
        <v>0.9</v>
      </c>
      <c r="N625" s="71">
        <v>0.13699999999999998</v>
      </c>
      <c r="O625" s="71">
        <v>0</v>
      </c>
      <c r="P625" s="71">
        <v>9.3889999999999993</v>
      </c>
      <c r="Q625" s="71">
        <v>14.01</v>
      </c>
      <c r="R625" s="71">
        <v>93.2</v>
      </c>
      <c r="S625" s="71">
        <v>4.3250000000000002</v>
      </c>
      <c r="T625" s="71">
        <v>6</v>
      </c>
    </row>
    <row r="626" spans="1:20">
      <c r="A626" s="71" t="s">
        <v>243</v>
      </c>
      <c r="B626" s="71" t="s">
        <v>5246</v>
      </c>
      <c r="C626" s="71">
        <v>271.87899999999996</v>
      </c>
      <c r="D626" s="71">
        <v>0.16399999999999998</v>
      </c>
      <c r="E626" s="71">
        <v>0</v>
      </c>
      <c r="F626" s="71">
        <v>0.36699999999999999</v>
      </c>
      <c r="G626" s="71">
        <v>7.8009999999999993</v>
      </c>
      <c r="H626" s="71">
        <v>1.5779999999999998</v>
      </c>
      <c r="I626" s="71">
        <v>0</v>
      </c>
      <c r="J626" s="71">
        <v>0</v>
      </c>
      <c r="K626" s="71">
        <v>0</v>
      </c>
      <c r="L626" s="71">
        <v>0</v>
      </c>
      <c r="M626" s="71">
        <v>0.93599999999999994</v>
      </c>
      <c r="N626" s="71">
        <v>0</v>
      </c>
      <c r="O626" s="71">
        <v>0</v>
      </c>
      <c r="P626" s="71">
        <v>4.9619999999999997</v>
      </c>
      <c r="Q626" s="71">
        <v>15.497</v>
      </c>
      <c r="R626" s="71">
        <v>129.30000000000001</v>
      </c>
      <c r="S626" s="71">
        <v>4.8550000000000004</v>
      </c>
      <c r="T626" s="71">
        <v>13.593949999999998</v>
      </c>
    </row>
    <row r="627" spans="1:20">
      <c r="A627" s="71" t="s">
        <v>1868</v>
      </c>
      <c r="B627" s="71" t="s">
        <v>3847</v>
      </c>
      <c r="C627" s="71">
        <v>1633.366</v>
      </c>
      <c r="D627" s="71">
        <v>0</v>
      </c>
      <c r="E627" s="71">
        <v>9.1999999999999998E-2</v>
      </c>
      <c r="F627" s="71">
        <v>2.5579999999999998</v>
      </c>
      <c r="G627" s="71">
        <v>70.583999999999989</v>
      </c>
      <c r="H627" s="71">
        <v>11.228999999999999</v>
      </c>
      <c r="I627" s="71">
        <v>0</v>
      </c>
      <c r="J627" s="71">
        <v>0</v>
      </c>
      <c r="K627" s="71">
        <v>0</v>
      </c>
      <c r="L627" s="71">
        <v>0</v>
      </c>
      <c r="M627" s="71">
        <v>0</v>
      </c>
      <c r="N627" s="71">
        <v>1.0779999999999998</v>
      </c>
      <c r="O627" s="71">
        <v>0</v>
      </c>
      <c r="P627" s="71">
        <v>45.046999999999997</v>
      </c>
      <c r="Q627" s="71">
        <v>92.977999999999994</v>
      </c>
      <c r="R627" s="71">
        <v>1271.7</v>
      </c>
      <c r="S627" s="71">
        <v>259.25299999999999</v>
      </c>
      <c r="T627" s="71">
        <v>81.667999999999992</v>
      </c>
    </row>
    <row r="628" spans="1:20">
      <c r="A628" s="71" t="s">
        <v>3098</v>
      </c>
      <c r="B628" s="71" t="s">
        <v>3852</v>
      </c>
      <c r="C628" s="71">
        <v>427.29399999999998</v>
      </c>
      <c r="D628" s="71">
        <v>0.33299999999999996</v>
      </c>
      <c r="E628" s="71">
        <v>0</v>
      </c>
      <c r="F628" s="71">
        <v>1.0179999999999998</v>
      </c>
      <c r="G628" s="71">
        <v>9.0639999999999983</v>
      </c>
      <c r="H628" s="71">
        <v>3.4369999999999998</v>
      </c>
      <c r="I628" s="71">
        <v>0</v>
      </c>
      <c r="J628" s="71">
        <v>0</v>
      </c>
      <c r="K628" s="71">
        <v>0</v>
      </c>
      <c r="L628" s="71">
        <v>0</v>
      </c>
      <c r="M628" s="71">
        <v>1.2819999999999998</v>
      </c>
      <c r="N628" s="71">
        <v>0</v>
      </c>
      <c r="O628" s="71">
        <v>0.15799999999999997</v>
      </c>
      <c r="P628" s="71">
        <v>12.023999999999999</v>
      </c>
      <c r="Q628" s="71">
        <v>27.758999999999997</v>
      </c>
      <c r="R628" s="71">
        <v>296.7</v>
      </c>
      <c r="S628" s="71">
        <v>3.7</v>
      </c>
      <c r="T628" s="71">
        <v>21.364699999999996</v>
      </c>
    </row>
    <row r="629" spans="1:20">
      <c r="A629" s="71" t="s">
        <v>6022</v>
      </c>
      <c r="B629" s="71" t="s">
        <v>1907</v>
      </c>
      <c r="C629" s="71">
        <v>638.0329999999999</v>
      </c>
      <c r="D629" s="71">
        <v>0</v>
      </c>
      <c r="E629" s="71">
        <v>0</v>
      </c>
      <c r="F629" s="71">
        <v>1.2169999999999999</v>
      </c>
      <c r="G629" s="71">
        <v>36.663999999999994</v>
      </c>
      <c r="H629" s="71">
        <v>0.90399999999999991</v>
      </c>
      <c r="I629" s="71">
        <v>0</v>
      </c>
      <c r="J629" s="71">
        <v>1.2509999999999999</v>
      </c>
      <c r="K629" s="71">
        <v>0</v>
      </c>
      <c r="L629" s="71">
        <v>0</v>
      </c>
      <c r="M629" s="71">
        <v>0</v>
      </c>
      <c r="N629" s="71">
        <v>0</v>
      </c>
      <c r="O629" s="71">
        <v>10.683999999999999</v>
      </c>
      <c r="P629" s="71">
        <v>0.98299999999999998</v>
      </c>
      <c r="Q629" s="71">
        <v>39.595999999999997</v>
      </c>
      <c r="R629" s="71">
        <v>444.5</v>
      </c>
      <c r="S629" s="71">
        <v>34.256999999999998</v>
      </c>
      <c r="T629" s="71">
        <v>10</v>
      </c>
    </row>
    <row r="630" spans="1:20">
      <c r="A630" s="71" t="s">
        <v>2610</v>
      </c>
      <c r="B630" s="71" t="s">
        <v>326</v>
      </c>
      <c r="C630" s="71">
        <v>67.37</v>
      </c>
      <c r="D630" s="71">
        <v>0</v>
      </c>
      <c r="E630" s="71">
        <v>0</v>
      </c>
      <c r="F630" s="71">
        <v>0.13599999999999998</v>
      </c>
      <c r="G630" s="71">
        <v>3.3169999999999997</v>
      </c>
      <c r="H630" s="71">
        <v>0</v>
      </c>
      <c r="I630" s="71">
        <v>0</v>
      </c>
      <c r="J630" s="71">
        <v>0</v>
      </c>
      <c r="K630" s="71">
        <v>0</v>
      </c>
      <c r="L630" s="71">
        <v>0</v>
      </c>
      <c r="M630" s="71">
        <v>0</v>
      </c>
      <c r="N630" s="71">
        <v>0</v>
      </c>
      <c r="O630" s="71">
        <v>0</v>
      </c>
      <c r="P630" s="71">
        <v>2.7909999999999999</v>
      </c>
      <c r="Q630" s="71">
        <v>0</v>
      </c>
      <c r="R630" s="71">
        <v>70.7</v>
      </c>
      <c r="S630" s="71">
        <v>10.453999999999999</v>
      </c>
      <c r="T630" s="71">
        <v>3</v>
      </c>
    </row>
    <row r="631" spans="1:20">
      <c r="A631" s="71" t="s">
        <v>2612</v>
      </c>
      <c r="B631" s="71" t="s">
        <v>504</v>
      </c>
      <c r="C631" s="71">
        <v>111.32199999999999</v>
      </c>
      <c r="D631" s="71">
        <v>0</v>
      </c>
      <c r="E631" s="71">
        <v>0</v>
      </c>
      <c r="F631" s="71">
        <v>0.41799999999999998</v>
      </c>
      <c r="G631" s="71">
        <v>2.8650000000000002</v>
      </c>
      <c r="H631" s="71">
        <v>0.28000000000000003</v>
      </c>
      <c r="I631" s="71">
        <v>0</v>
      </c>
      <c r="J631" s="71">
        <v>0</v>
      </c>
      <c r="K631" s="71">
        <v>0</v>
      </c>
      <c r="L631" s="71">
        <v>0</v>
      </c>
      <c r="M631" s="71">
        <v>0</v>
      </c>
      <c r="N631" s="71">
        <v>0</v>
      </c>
      <c r="O631" s="71">
        <v>0</v>
      </c>
      <c r="P631" s="71">
        <v>4.5759999999999996</v>
      </c>
      <c r="Q631" s="71">
        <v>0</v>
      </c>
      <c r="R631" s="71">
        <v>84</v>
      </c>
      <c r="S631" s="71">
        <v>0</v>
      </c>
      <c r="T631" s="71">
        <v>4</v>
      </c>
    </row>
    <row r="632" spans="1:20">
      <c r="A632" s="71" t="s">
        <v>782</v>
      </c>
      <c r="B632" s="71" t="s">
        <v>849</v>
      </c>
      <c r="C632" s="71">
        <v>1470.2449999999999</v>
      </c>
      <c r="D632" s="71">
        <v>0</v>
      </c>
      <c r="E632" s="71">
        <v>0</v>
      </c>
      <c r="F632" s="71">
        <v>2.0409999999999999</v>
      </c>
      <c r="G632" s="71">
        <v>36.788999999999994</v>
      </c>
      <c r="H632" s="71">
        <v>9.8049999999999997</v>
      </c>
      <c r="I632" s="71">
        <v>0</v>
      </c>
      <c r="J632" s="71">
        <v>0</v>
      </c>
      <c r="K632" s="71">
        <v>0</v>
      </c>
      <c r="L632" s="71">
        <v>0</v>
      </c>
      <c r="M632" s="71">
        <v>1.0739999999999998</v>
      </c>
      <c r="N632" s="71">
        <v>0.26799999999999996</v>
      </c>
      <c r="O632" s="71">
        <v>1.7989999999999999</v>
      </c>
      <c r="P632" s="71">
        <v>27.826999999999998</v>
      </c>
      <c r="Q632" s="71">
        <v>90.185000000000002</v>
      </c>
      <c r="R632" s="71">
        <v>820.8</v>
      </c>
      <c r="S632" s="71">
        <v>42.907999999999994</v>
      </c>
      <c r="T632" s="71">
        <v>73.511999999999986</v>
      </c>
    </row>
    <row r="633" spans="1:20">
      <c r="A633" s="71" t="s">
        <v>2614</v>
      </c>
      <c r="B633" s="71" t="s">
        <v>7686</v>
      </c>
      <c r="C633" s="71">
        <v>203.66099999999997</v>
      </c>
      <c r="D633" s="71">
        <v>0</v>
      </c>
      <c r="E633" s="71">
        <v>0</v>
      </c>
      <c r="F633" s="71">
        <v>0.23299999999999998</v>
      </c>
      <c r="G633" s="71">
        <v>4.8059999999999992</v>
      </c>
      <c r="H633" s="71">
        <v>0.78899999999999992</v>
      </c>
      <c r="I633" s="71">
        <v>0</v>
      </c>
      <c r="J633" s="71">
        <v>0</v>
      </c>
      <c r="K633" s="71">
        <v>0</v>
      </c>
      <c r="L633" s="71">
        <v>0</v>
      </c>
      <c r="M633" s="71">
        <v>0</v>
      </c>
      <c r="N633" s="71">
        <v>5.8999999999999997E-2</v>
      </c>
      <c r="O633" s="71">
        <v>0</v>
      </c>
      <c r="P633" s="71">
        <v>5.2050000000000001</v>
      </c>
      <c r="Q633" s="71">
        <v>9.7289999999999992</v>
      </c>
      <c r="R633" s="71">
        <v>109.2</v>
      </c>
      <c r="S633" s="71">
        <v>0.98899999999999999</v>
      </c>
      <c r="T633" s="71">
        <v>10.183</v>
      </c>
    </row>
    <row r="634" spans="1:20">
      <c r="A634" s="71" t="s">
        <v>2468</v>
      </c>
      <c r="B634" s="71" t="s">
        <v>7662</v>
      </c>
      <c r="C634" s="71">
        <v>305.67199999999997</v>
      </c>
      <c r="D634" s="71">
        <v>0</v>
      </c>
      <c r="E634" s="71">
        <v>0</v>
      </c>
      <c r="F634" s="71">
        <v>0.43799999999999994</v>
      </c>
      <c r="G634" s="71">
        <v>10.26</v>
      </c>
      <c r="H634" s="71">
        <v>0.14199999999999999</v>
      </c>
      <c r="I634" s="71">
        <v>0</v>
      </c>
      <c r="J634" s="71">
        <v>0</v>
      </c>
      <c r="K634" s="71">
        <v>0</v>
      </c>
      <c r="L634" s="71">
        <v>0</v>
      </c>
      <c r="M634" s="71">
        <v>0.82299999999999995</v>
      </c>
      <c r="N634" s="71">
        <v>0.22299999999999998</v>
      </c>
      <c r="O634" s="71">
        <v>0</v>
      </c>
      <c r="P634" s="71">
        <v>9.7219999999999995</v>
      </c>
      <c r="Q634" s="71">
        <v>11.525</v>
      </c>
      <c r="R634" s="71">
        <v>192.8</v>
      </c>
      <c r="S634" s="71">
        <v>5.7659999999999991</v>
      </c>
      <c r="T634" s="71">
        <v>15.283599999999998</v>
      </c>
    </row>
    <row r="635" spans="1:20">
      <c r="A635" s="71" t="s">
        <v>2616</v>
      </c>
      <c r="B635" s="71" t="s">
        <v>336</v>
      </c>
      <c r="C635" s="71">
        <v>182.54799999999997</v>
      </c>
      <c r="D635" s="71">
        <v>0</v>
      </c>
      <c r="E635" s="71">
        <v>0</v>
      </c>
      <c r="F635" s="71">
        <v>0.23</v>
      </c>
      <c r="G635" s="71">
        <v>5.492</v>
      </c>
      <c r="H635" s="71">
        <v>0.82499999999999996</v>
      </c>
      <c r="I635" s="71">
        <v>0</v>
      </c>
      <c r="J635" s="71">
        <v>0</v>
      </c>
      <c r="K635" s="71">
        <v>0</v>
      </c>
      <c r="L635" s="71">
        <v>0</v>
      </c>
      <c r="M635" s="71">
        <v>1.746</v>
      </c>
      <c r="N635" s="71">
        <v>0</v>
      </c>
      <c r="O635" s="71">
        <v>0</v>
      </c>
      <c r="P635" s="71">
        <v>5.0089999999999995</v>
      </c>
      <c r="Q635" s="71">
        <v>11.685</v>
      </c>
      <c r="R635" s="71">
        <v>134.30000000000001</v>
      </c>
      <c r="S635" s="71">
        <v>11.568</v>
      </c>
      <c r="T635" s="71">
        <v>1</v>
      </c>
    </row>
    <row r="636" spans="1:20">
      <c r="A636" s="71" t="s">
        <v>784</v>
      </c>
      <c r="B636" s="71" t="s">
        <v>850</v>
      </c>
      <c r="C636" s="71">
        <v>353.22799999999995</v>
      </c>
      <c r="D636" s="71">
        <v>0</v>
      </c>
      <c r="E636" s="71">
        <v>0</v>
      </c>
      <c r="F636" s="71">
        <v>0.5119999999999999</v>
      </c>
      <c r="G636" s="71">
        <v>19.802999999999997</v>
      </c>
      <c r="H636" s="71">
        <v>5.1999999999999998E-2</v>
      </c>
      <c r="I636" s="71">
        <v>0</v>
      </c>
      <c r="J636" s="71">
        <v>0</v>
      </c>
      <c r="K636" s="71">
        <v>0</v>
      </c>
      <c r="L636" s="71">
        <v>0</v>
      </c>
      <c r="M636" s="71">
        <v>3.5000000000000003E-2</v>
      </c>
      <c r="N636" s="71">
        <v>0</v>
      </c>
      <c r="O636" s="71">
        <v>0</v>
      </c>
      <c r="P636" s="71">
        <v>3.7939999999999996</v>
      </c>
      <c r="Q636" s="71">
        <v>32.055999999999997</v>
      </c>
      <c r="R636" s="71">
        <v>255</v>
      </c>
      <c r="S636" s="71">
        <v>6.694</v>
      </c>
      <c r="T636" s="71">
        <v>17.660999999999998</v>
      </c>
    </row>
    <row r="637" spans="1:20">
      <c r="A637" s="71" t="s">
        <v>786</v>
      </c>
      <c r="B637" s="71" t="s">
        <v>7109</v>
      </c>
      <c r="C637" s="71">
        <v>2670.7689999999998</v>
      </c>
      <c r="D637" s="71">
        <v>0.15899999999999997</v>
      </c>
      <c r="E637" s="71">
        <v>12.228999999999999</v>
      </c>
      <c r="F637" s="71">
        <v>4.2829999999999995</v>
      </c>
      <c r="G637" s="71">
        <v>112.57599999999999</v>
      </c>
      <c r="H637" s="71">
        <v>21.471999999999998</v>
      </c>
      <c r="I637" s="71">
        <v>0</v>
      </c>
      <c r="J637" s="71">
        <v>0</v>
      </c>
      <c r="K637" s="71">
        <v>0</v>
      </c>
      <c r="L637" s="71">
        <v>0</v>
      </c>
      <c r="M637" s="71">
        <v>18.725999999999999</v>
      </c>
      <c r="N637" s="71">
        <v>1.7849999999999999</v>
      </c>
      <c r="O637" s="71">
        <v>4.4309999999999992</v>
      </c>
      <c r="P637" s="71">
        <v>13.658999999999999</v>
      </c>
      <c r="Q637" s="71">
        <v>158.11399999999998</v>
      </c>
      <c r="R637" s="71">
        <v>1924.7</v>
      </c>
      <c r="S637" s="71">
        <v>82.474999999999994</v>
      </c>
      <c r="T637" s="71">
        <v>133.53799999999998</v>
      </c>
    </row>
    <row r="638" spans="1:20">
      <c r="A638" s="71" t="s">
        <v>788</v>
      </c>
      <c r="B638" s="71" t="s">
        <v>7110</v>
      </c>
      <c r="C638" s="71">
        <v>326.226</v>
      </c>
      <c r="D638" s="71">
        <v>0</v>
      </c>
      <c r="E638" s="71">
        <v>0</v>
      </c>
      <c r="F638" s="71">
        <v>0.42699999999999999</v>
      </c>
      <c r="G638" s="71">
        <v>11.273</v>
      </c>
      <c r="H638" s="71">
        <v>0</v>
      </c>
      <c r="I638" s="71">
        <v>0</v>
      </c>
      <c r="J638" s="71">
        <v>0</v>
      </c>
      <c r="K638" s="71">
        <v>0</v>
      </c>
      <c r="L638" s="71">
        <v>0</v>
      </c>
      <c r="M638" s="71">
        <v>0</v>
      </c>
      <c r="N638" s="71">
        <v>0</v>
      </c>
      <c r="O638" s="71">
        <v>0</v>
      </c>
      <c r="P638" s="71">
        <v>0.621</v>
      </c>
      <c r="Q638" s="71">
        <v>26.163999999999998</v>
      </c>
      <c r="R638" s="71">
        <v>172.2</v>
      </c>
      <c r="S638" s="71">
        <v>19.048999999999999</v>
      </c>
      <c r="T638" s="71">
        <v>16.311</v>
      </c>
    </row>
    <row r="639" spans="1:20">
      <c r="A639" s="71" t="s">
        <v>969</v>
      </c>
      <c r="B639" s="71" t="s">
        <v>2344</v>
      </c>
      <c r="C639" s="71">
        <v>370.68599999999998</v>
      </c>
      <c r="D639" s="71">
        <v>0</v>
      </c>
      <c r="E639" s="71">
        <v>0</v>
      </c>
      <c r="F639" s="71">
        <v>0.39699999999999996</v>
      </c>
      <c r="G639" s="71">
        <v>19.058</v>
      </c>
      <c r="H639" s="71">
        <v>0</v>
      </c>
      <c r="I639" s="71">
        <v>0</v>
      </c>
      <c r="J639" s="71">
        <v>0</v>
      </c>
      <c r="K639" s="71">
        <v>0</v>
      </c>
      <c r="L639" s="71">
        <v>0</v>
      </c>
      <c r="M639" s="71">
        <v>0</v>
      </c>
      <c r="N639" s="71">
        <v>0</v>
      </c>
      <c r="O639" s="71">
        <v>0</v>
      </c>
      <c r="P639" s="71">
        <v>8.3019999999999996</v>
      </c>
      <c r="Q639" s="71">
        <v>25.725999999999999</v>
      </c>
      <c r="R639" s="71">
        <v>219.8</v>
      </c>
      <c r="S639" s="71">
        <v>5.8309999999999995</v>
      </c>
      <c r="T639" s="71">
        <v>18.533999999999999</v>
      </c>
    </row>
    <row r="640" spans="1:20">
      <c r="A640" s="71" t="s">
        <v>790</v>
      </c>
      <c r="B640" s="71" t="s">
        <v>7111</v>
      </c>
      <c r="C640" s="71">
        <v>500.34399999999999</v>
      </c>
      <c r="D640" s="71">
        <v>0</v>
      </c>
      <c r="E640" s="71">
        <v>0</v>
      </c>
      <c r="F640" s="71">
        <v>0.85699999999999998</v>
      </c>
      <c r="G640" s="71">
        <v>15.793999999999999</v>
      </c>
      <c r="H640" s="71">
        <v>1.444</v>
      </c>
      <c r="I640" s="71">
        <v>0</v>
      </c>
      <c r="J640" s="71">
        <v>0</v>
      </c>
      <c r="K640" s="71">
        <v>0</v>
      </c>
      <c r="L640" s="71">
        <v>0</v>
      </c>
      <c r="M640" s="71">
        <v>0</v>
      </c>
      <c r="N640" s="71">
        <v>0.19500000000000001</v>
      </c>
      <c r="O640" s="71">
        <v>0</v>
      </c>
      <c r="P640" s="71">
        <v>2.6659999999999999</v>
      </c>
      <c r="Q640" s="71">
        <v>22.361999999999998</v>
      </c>
      <c r="R640" s="71">
        <v>253</v>
      </c>
      <c r="S640" s="71">
        <v>7.2139999999999995</v>
      </c>
      <c r="T640" s="71">
        <v>25.016999999999999</v>
      </c>
    </row>
    <row r="641" spans="1:20">
      <c r="A641" s="71" t="s">
        <v>792</v>
      </c>
      <c r="B641" s="71" t="s">
        <v>7112</v>
      </c>
      <c r="C641" s="71">
        <v>170.87199999999999</v>
      </c>
      <c r="D641" s="71">
        <v>2.3E-2</v>
      </c>
      <c r="E641" s="71">
        <v>0</v>
      </c>
      <c r="F641" s="71">
        <v>0.39299999999999996</v>
      </c>
      <c r="G641" s="71">
        <v>6.6929999999999996</v>
      </c>
      <c r="H641" s="71">
        <v>0</v>
      </c>
      <c r="I641" s="71">
        <v>0</v>
      </c>
      <c r="J641" s="71">
        <v>0</v>
      </c>
      <c r="K641" s="71">
        <v>0</v>
      </c>
      <c r="L641" s="71">
        <v>0</v>
      </c>
      <c r="M641" s="71">
        <v>0</v>
      </c>
      <c r="N641" s="71">
        <v>0.46199999999999997</v>
      </c>
      <c r="O641" s="71">
        <v>0</v>
      </c>
      <c r="P641" s="71">
        <v>0</v>
      </c>
      <c r="Q641" s="71">
        <v>13.135</v>
      </c>
      <c r="R641" s="71">
        <v>71</v>
      </c>
      <c r="S641" s="71">
        <v>1.6989999999999998</v>
      </c>
      <c r="T641" s="71">
        <v>8.5435999999999996</v>
      </c>
    </row>
    <row r="642" spans="1:20">
      <c r="A642" s="71" t="s">
        <v>794</v>
      </c>
      <c r="B642" s="71" t="s">
        <v>7113</v>
      </c>
      <c r="C642" s="71">
        <v>6330.8689999999997</v>
      </c>
      <c r="D642" s="71">
        <v>0.47499999999999998</v>
      </c>
      <c r="E642" s="71">
        <v>0</v>
      </c>
      <c r="F642" s="71">
        <v>14.241999999999999</v>
      </c>
      <c r="G642" s="71">
        <v>247.56699999999998</v>
      </c>
      <c r="H642" s="71">
        <v>57.263999999999996</v>
      </c>
      <c r="I642" s="71">
        <v>0</v>
      </c>
      <c r="J642" s="71">
        <v>0</v>
      </c>
      <c r="K642" s="71">
        <v>0</v>
      </c>
      <c r="L642" s="71">
        <v>0</v>
      </c>
      <c r="M642" s="71">
        <v>6.202</v>
      </c>
      <c r="N642" s="71">
        <v>2.4379999999999997</v>
      </c>
      <c r="O642" s="71">
        <v>13.446</v>
      </c>
      <c r="P642" s="71">
        <v>11.882</v>
      </c>
      <c r="Q642" s="71">
        <v>175.31299999999999</v>
      </c>
      <c r="R642" s="71">
        <v>2522</v>
      </c>
      <c r="S642" s="71">
        <v>363.87399999999997</v>
      </c>
      <c r="T642" s="71">
        <v>316.54299999999995</v>
      </c>
    </row>
    <row r="643" spans="1:20">
      <c r="A643" s="71" t="s">
        <v>2991</v>
      </c>
      <c r="B643" s="71" t="s">
        <v>193</v>
      </c>
      <c r="C643" s="71">
        <v>261.98199999999997</v>
      </c>
      <c r="D643" s="71">
        <v>0</v>
      </c>
      <c r="E643" s="71">
        <v>0</v>
      </c>
      <c r="F643" s="71">
        <v>0.58099999999999996</v>
      </c>
      <c r="G643" s="71">
        <v>3.2919999999999998</v>
      </c>
      <c r="H643" s="71">
        <v>1.3839999999999999</v>
      </c>
      <c r="I643" s="71">
        <v>0</v>
      </c>
      <c r="J643" s="71">
        <v>0.54099999999999993</v>
      </c>
      <c r="K643" s="71">
        <v>0</v>
      </c>
      <c r="L643" s="71">
        <v>0</v>
      </c>
      <c r="M643" s="71">
        <v>0</v>
      </c>
      <c r="N643" s="71">
        <v>0.371</v>
      </c>
      <c r="O643" s="71">
        <v>0</v>
      </c>
      <c r="P643" s="71">
        <v>16.824999999999999</v>
      </c>
      <c r="Q643" s="71">
        <v>14.085999999999999</v>
      </c>
      <c r="R643" s="71">
        <v>124.8</v>
      </c>
      <c r="S643" s="71">
        <v>0.185</v>
      </c>
      <c r="T643" s="71">
        <v>13.098999999999998</v>
      </c>
    </row>
    <row r="644" spans="1:20">
      <c r="A644" s="71" t="s">
        <v>2413</v>
      </c>
      <c r="B644" s="71" t="s">
        <v>5366</v>
      </c>
      <c r="C644" s="71">
        <v>576.05399999999997</v>
      </c>
      <c r="D644" s="71">
        <v>0</v>
      </c>
      <c r="E644" s="71">
        <v>0</v>
      </c>
      <c r="F644" s="71">
        <v>0.97199999999999998</v>
      </c>
      <c r="G644" s="71">
        <v>21.311</v>
      </c>
      <c r="H644" s="71">
        <v>2.3939999999999997</v>
      </c>
      <c r="I644" s="71">
        <v>0</v>
      </c>
      <c r="J644" s="71">
        <v>1.3959999999999999</v>
      </c>
      <c r="K644" s="71">
        <v>0</v>
      </c>
      <c r="L644" s="71">
        <v>0</v>
      </c>
      <c r="M644" s="71">
        <v>0</v>
      </c>
      <c r="N644" s="71">
        <v>0</v>
      </c>
      <c r="O644" s="71">
        <v>0.14199999999999999</v>
      </c>
      <c r="P644" s="71">
        <v>13.622999999999999</v>
      </c>
      <c r="Q644" s="71">
        <v>41.55</v>
      </c>
      <c r="R644" s="71">
        <v>135.80000000000001</v>
      </c>
      <c r="S644" s="71">
        <v>11.132999999999999</v>
      </c>
      <c r="T644" s="71">
        <v>26</v>
      </c>
    </row>
    <row r="645" spans="1:20">
      <c r="A645" s="71" t="s">
        <v>796</v>
      </c>
      <c r="B645" s="71" t="s">
        <v>7114</v>
      </c>
      <c r="C645" s="71">
        <v>3883.4809999999998</v>
      </c>
      <c r="D645" s="71">
        <v>0.49399999999999999</v>
      </c>
      <c r="E645" s="71">
        <v>0</v>
      </c>
      <c r="F645" s="71">
        <v>4.8729999999999993</v>
      </c>
      <c r="G645" s="71">
        <v>109.18799999999999</v>
      </c>
      <c r="H645" s="71">
        <v>45.623999999999995</v>
      </c>
      <c r="I645" s="71">
        <v>0</v>
      </c>
      <c r="J645" s="71">
        <v>0.34399999999999997</v>
      </c>
      <c r="K645" s="71">
        <v>0</v>
      </c>
      <c r="L645" s="71">
        <v>0</v>
      </c>
      <c r="M645" s="71">
        <v>4.5319999999999991</v>
      </c>
      <c r="N645" s="71">
        <v>1.43</v>
      </c>
      <c r="O645" s="71">
        <v>0.56999999999999995</v>
      </c>
      <c r="P645" s="71">
        <v>123.52199999999999</v>
      </c>
      <c r="Q645" s="71">
        <v>223.87799999999999</v>
      </c>
      <c r="R645" s="71">
        <v>2110.5</v>
      </c>
      <c r="S645" s="71">
        <v>278.53599999999994</v>
      </c>
      <c r="T645" s="71">
        <v>170</v>
      </c>
    </row>
    <row r="646" spans="1:20">
      <c r="A646" s="71" t="s">
        <v>2044</v>
      </c>
      <c r="B646" s="71" t="s">
        <v>991</v>
      </c>
      <c r="C646" s="71">
        <v>381.19799999999998</v>
      </c>
      <c r="D646" s="71">
        <v>0</v>
      </c>
      <c r="E646" s="71">
        <v>0</v>
      </c>
      <c r="F646" s="71">
        <v>0.54899999999999993</v>
      </c>
      <c r="G646" s="71">
        <v>22.695999999999998</v>
      </c>
      <c r="H646" s="71">
        <v>1.25</v>
      </c>
      <c r="I646" s="71">
        <v>0</v>
      </c>
      <c r="J646" s="71">
        <v>0.11399999999999999</v>
      </c>
      <c r="K646" s="71">
        <v>0</v>
      </c>
      <c r="L646" s="71">
        <v>0</v>
      </c>
      <c r="M646" s="71">
        <v>1.6309999999999998</v>
      </c>
      <c r="N646" s="71">
        <v>0.67899999999999994</v>
      </c>
      <c r="O646" s="71">
        <v>0</v>
      </c>
      <c r="P646" s="71">
        <v>5.2279999999999998</v>
      </c>
      <c r="Q646" s="71">
        <v>18.273</v>
      </c>
      <c r="R646" s="71">
        <v>168.3</v>
      </c>
      <c r="S646" s="71">
        <v>12.706999999999999</v>
      </c>
      <c r="T646" s="71">
        <v>19.059899999999995</v>
      </c>
    </row>
    <row r="647" spans="1:20">
      <c r="A647" s="71" t="s">
        <v>798</v>
      </c>
      <c r="B647" s="71" t="s">
        <v>7115</v>
      </c>
      <c r="C647" s="71">
        <v>399.43299999999999</v>
      </c>
      <c r="D647" s="71">
        <v>0.16699999999999998</v>
      </c>
      <c r="E647" s="71">
        <v>0</v>
      </c>
      <c r="F647" s="71">
        <v>0.749</v>
      </c>
      <c r="G647" s="71">
        <v>14.705</v>
      </c>
      <c r="H647" s="71">
        <v>2.7679999999999998</v>
      </c>
      <c r="I647" s="71">
        <v>0</v>
      </c>
      <c r="J647" s="71">
        <v>0.17699999999999999</v>
      </c>
      <c r="K647" s="71">
        <v>0</v>
      </c>
      <c r="L647" s="71">
        <v>0</v>
      </c>
      <c r="M647" s="71">
        <v>3.2269999999999999</v>
      </c>
      <c r="N647" s="71">
        <v>0</v>
      </c>
      <c r="O647" s="71">
        <v>0</v>
      </c>
      <c r="P647" s="71">
        <v>17.222999999999999</v>
      </c>
      <c r="Q647" s="71">
        <v>9.3919999999999995</v>
      </c>
      <c r="R647" s="71">
        <v>284</v>
      </c>
      <c r="S647" s="71">
        <v>37.641999999999996</v>
      </c>
      <c r="T647" s="71">
        <v>13</v>
      </c>
    </row>
    <row r="648" spans="1:20">
      <c r="A648" s="71" t="s">
        <v>2358</v>
      </c>
      <c r="B648" s="71" t="s">
        <v>499</v>
      </c>
      <c r="C648" s="71">
        <v>214.06899999999999</v>
      </c>
      <c r="D648" s="71">
        <v>0</v>
      </c>
      <c r="E648" s="71">
        <v>0</v>
      </c>
      <c r="F648" s="71">
        <v>0.24299999999999999</v>
      </c>
      <c r="G648" s="71">
        <v>8.8189999999999991</v>
      </c>
      <c r="H648" s="71">
        <v>0.12799999999999997</v>
      </c>
      <c r="I648" s="71">
        <v>0</v>
      </c>
      <c r="J648" s="71">
        <v>0.433</v>
      </c>
      <c r="K648" s="71">
        <v>0</v>
      </c>
      <c r="L648" s="71">
        <v>0</v>
      </c>
      <c r="M648" s="71">
        <v>2.4079999999999999</v>
      </c>
      <c r="N648" s="71">
        <v>0</v>
      </c>
      <c r="O648" s="71">
        <v>0</v>
      </c>
      <c r="P648" s="71">
        <v>11.677999999999999</v>
      </c>
      <c r="Q648" s="71">
        <v>18.852999999999998</v>
      </c>
      <c r="R648" s="71">
        <v>78.7</v>
      </c>
      <c r="S648" s="71">
        <v>20.594999999999999</v>
      </c>
      <c r="T648" s="71">
        <v>10.702999999999999</v>
      </c>
    </row>
    <row r="649" spans="1:20">
      <c r="A649" s="71" t="s">
        <v>800</v>
      </c>
      <c r="B649" s="71" t="s">
        <v>7116</v>
      </c>
      <c r="C649" s="71">
        <v>767.66499999999996</v>
      </c>
      <c r="D649" s="71">
        <v>8.8999999999999996E-2</v>
      </c>
      <c r="E649" s="71">
        <v>0</v>
      </c>
      <c r="F649" s="71">
        <v>1.3969999999999998</v>
      </c>
      <c r="G649" s="71">
        <v>30.250999999999998</v>
      </c>
      <c r="H649" s="71">
        <v>8.6839999999999993</v>
      </c>
      <c r="I649" s="71">
        <v>0</v>
      </c>
      <c r="J649" s="71">
        <v>0</v>
      </c>
      <c r="K649" s="71">
        <v>0</v>
      </c>
      <c r="L649" s="71">
        <v>0</v>
      </c>
      <c r="M649" s="71">
        <v>0.03</v>
      </c>
      <c r="N649" s="71">
        <v>0.79</v>
      </c>
      <c r="O649" s="71">
        <v>0</v>
      </c>
      <c r="P649" s="71">
        <v>19.506999999999998</v>
      </c>
      <c r="Q649" s="71">
        <v>39.055999999999997</v>
      </c>
      <c r="R649" s="71">
        <v>458.5</v>
      </c>
      <c r="S649" s="71">
        <v>96.47699999999999</v>
      </c>
      <c r="T649" s="71">
        <v>38.382999999999996</v>
      </c>
    </row>
    <row r="650" spans="1:20">
      <c r="A650" s="71" t="s">
        <v>802</v>
      </c>
      <c r="B650" s="71" t="s">
        <v>7117</v>
      </c>
      <c r="C650" s="71">
        <v>244.93299999999999</v>
      </c>
      <c r="D650" s="71">
        <v>0</v>
      </c>
      <c r="E650" s="71">
        <v>0</v>
      </c>
      <c r="F650" s="71">
        <v>0.28399999999999997</v>
      </c>
      <c r="G650" s="71">
        <v>17.713999999999999</v>
      </c>
      <c r="H650" s="71">
        <v>0.5179999999999999</v>
      </c>
      <c r="I650" s="71">
        <v>0</v>
      </c>
      <c r="J650" s="71">
        <v>0.73699999999999999</v>
      </c>
      <c r="K650" s="71">
        <v>0</v>
      </c>
      <c r="L650" s="71">
        <v>0</v>
      </c>
      <c r="M650" s="71">
        <v>3.1539999999999999</v>
      </c>
      <c r="N650" s="71">
        <v>0</v>
      </c>
      <c r="O650" s="71">
        <v>0</v>
      </c>
      <c r="P650" s="71">
        <v>2.4629999999999996</v>
      </c>
      <c r="Q650" s="71">
        <v>12.786999999999999</v>
      </c>
      <c r="R650" s="71">
        <v>152.30000000000001</v>
      </c>
      <c r="S650" s="71">
        <v>15.988</v>
      </c>
      <c r="T650" s="71">
        <v>12.246649999999999</v>
      </c>
    </row>
    <row r="651" spans="1:20">
      <c r="A651" s="71" t="s">
        <v>2046</v>
      </c>
      <c r="B651" s="71" t="s">
        <v>2357</v>
      </c>
      <c r="C651" s="71">
        <v>216.601</v>
      </c>
      <c r="D651" s="71">
        <v>6.8999999999999992E-2</v>
      </c>
      <c r="E651" s="71">
        <v>0</v>
      </c>
      <c r="F651" s="71">
        <v>0.11699999999999999</v>
      </c>
      <c r="G651" s="71">
        <v>5.7319999999999993</v>
      </c>
      <c r="H651" s="71">
        <v>0.60199999999999998</v>
      </c>
      <c r="I651" s="71">
        <v>0</v>
      </c>
      <c r="J651" s="71">
        <v>0.12899999999999998</v>
      </c>
      <c r="K651" s="71">
        <v>0</v>
      </c>
      <c r="L651" s="71">
        <v>0</v>
      </c>
      <c r="M651" s="71">
        <v>0</v>
      </c>
      <c r="N651" s="71">
        <v>0</v>
      </c>
      <c r="O651" s="71">
        <v>0</v>
      </c>
      <c r="P651" s="71">
        <v>15.636999999999999</v>
      </c>
      <c r="Q651" s="71">
        <v>13.556999999999999</v>
      </c>
      <c r="R651" s="71">
        <v>110.3</v>
      </c>
      <c r="S651" s="71">
        <v>16.190000000000001</v>
      </c>
      <c r="T651" s="71">
        <v>8</v>
      </c>
    </row>
    <row r="652" spans="1:20">
      <c r="A652" s="71" t="s">
        <v>804</v>
      </c>
      <c r="B652" s="71" t="s">
        <v>7118</v>
      </c>
      <c r="C652" s="71">
        <v>1444.78</v>
      </c>
      <c r="D652" s="71">
        <v>0.16699999999999998</v>
      </c>
      <c r="E652" s="71">
        <v>0</v>
      </c>
      <c r="F652" s="71">
        <v>0.96599999999999997</v>
      </c>
      <c r="G652" s="71">
        <v>52.073999999999998</v>
      </c>
      <c r="H652" s="71">
        <v>8.895999999999999</v>
      </c>
      <c r="I652" s="71">
        <v>0</v>
      </c>
      <c r="J652" s="71">
        <v>0</v>
      </c>
      <c r="K652" s="71">
        <v>0</v>
      </c>
      <c r="L652" s="71">
        <v>0</v>
      </c>
      <c r="M652" s="71">
        <v>3.238</v>
      </c>
      <c r="N652" s="71">
        <v>0.84599999999999997</v>
      </c>
      <c r="O652" s="71">
        <v>0</v>
      </c>
      <c r="P652" s="71">
        <v>9.7989999999999995</v>
      </c>
      <c r="Q652" s="71">
        <v>76.923999999999992</v>
      </c>
      <c r="R652" s="71">
        <v>1165.2</v>
      </c>
      <c r="S652" s="71">
        <v>69.595999999999989</v>
      </c>
      <c r="T652" s="71">
        <v>72.23899999999999</v>
      </c>
    </row>
    <row r="653" spans="1:20">
      <c r="A653" s="71" t="s">
        <v>806</v>
      </c>
      <c r="B653" s="71" t="s">
        <v>7119</v>
      </c>
      <c r="C653" s="71">
        <v>507.19199999999995</v>
      </c>
      <c r="D653" s="71">
        <v>0</v>
      </c>
      <c r="E653" s="71">
        <v>0</v>
      </c>
      <c r="F653" s="71">
        <v>0.85399999999999998</v>
      </c>
      <c r="G653" s="71">
        <v>26.54</v>
      </c>
      <c r="H653" s="71">
        <v>1.8889999999999998</v>
      </c>
      <c r="I653" s="71">
        <v>0</v>
      </c>
      <c r="J653" s="71">
        <v>0</v>
      </c>
      <c r="K653" s="71">
        <v>0</v>
      </c>
      <c r="L653" s="71">
        <v>0</v>
      </c>
      <c r="M653" s="71">
        <v>0.58699999999999997</v>
      </c>
      <c r="N653" s="71">
        <v>0</v>
      </c>
      <c r="O653" s="71">
        <v>0</v>
      </c>
      <c r="P653" s="71">
        <v>4.6749999999999998</v>
      </c>
      <c r="Q653" s="71">
        <v>34.098999999999997</v>
      </c>
      <c r="R653" s="71">
        <v>293.5</v>
      </c>
      <c r="S653" s="71">
        <v>0</v>
      </c>
      <c r="T653" s="71">
        <v>25.359599999999997</v>
      </c>
    </row>
    <row r="654" spans="1:20">
      <c r="A654" s="71" t="s">
        <v>808</v>
      </c>
      <c r="B654" s="71" t="s">
        <v>7120</v>
      </c>
      <c r="C654" s="71">
        <v>510.04500000000002</v>
      </c>
      <c r="D654" s="71">
        <v>0</v>
      </c>
      <c r="E654" s="71">
        <v>0</v>
      </c>
      <c r="F654" s="71">
        <v>0.69399999999999995</v>
      </c>
      <c r="G654" s="71">
        <v>12.757999999999999</v>
      </c>
      <c r="H654" s="71">
        <v>3.9429999999999996</v>
      </c>
      <c r="I654" s="71">
        <v>0</v>
      </c>
      <c r="J654" s="71">
        <v>0</v>
      </c>
      <c r="K654" s="71">
        <v>0</v>
      </c>
      <c r="L654" s="71">
        <v>0</v>
      </c>
      <c r="M654" s="71">
        <v>0.85799999999999998</v>
      </c>
      <c r="N654" s="71">
        <v>2.0999999999999998E-2</v>
      </c>
      <c r="O654" s="71">
        <v>0</v>
      </c>
      <c r="P654" s="71">
        <v>7.3339999999999996</v>
      </c>
      <c r="Q654" s="71">
        <v>44.217999999999996</v>
      </c>
      <c r="R654" s="71">
        <v>212</v>
      </c>
      <c r="S654" s="71">
        <v>4.7769999999999992</v>
      </c>
      <c r="T654" s="71">
        <v>25.501999999999999</v>
      </c>
    </row>
    <row r="655" spans="1:20">
      <c r="A655" s="71" t="s">
        <v>1119</v>
      </c>
      <c r="B655" s="71" t="s">
        <v>1120</v>
      </c>
      <c r="C655" s="71">
        <v>251</v>
      </c>
      <c r="D655" s="71">
        <v>0</v>
      </c>
      <c r="E655" s="71">
        <v>0</v>
      </c>
      <c r="F655" s="71">
        <v>0</v>
      </c>
      <c r="G655" s="71">
        <v>0</v>
      </c>
      <c r="H655" s="71">
        <v>0</v>
      </c>
      <c r="I655" s="71">
        <v>0</v>
      </c>
      <c r="J655" s="71">
        <v>0</v>
      </c>
      <c r="K655" s="71">
        <v>0</v>
      </c>
      <c r="L655" s="71">
        <v>0</v>
      </c>
      <c r="M655" s="71">
        <v>0</v>
      </c>
      <c r="N655" s="71">
        <v>0</v>
      </c>
      <c r="O655" s="71">
        <v>0</v>
      </c>
      <c r="P655" s="71">
        <v>0</v>
      </c>
      <c r="Q655" s="71">
        <v>0</v>
      </c>
      <c r="R655" s="71">
        <v>0</v>
      </c>
      <c r="S655" s="71">
        <v>0</v>
      </c>
      <c r="T655" s="71">
        <v>0</v>
      </c>
    </row>
    <row r="656" spans="1:20">
      <c r="A656" s="71" t="s">
        <v>810</v>
      </c>
      <c r="B656" s="71" t="s">
        <v>7121</v>
      </c>
      <c r="C656" s="71">
        <v>414.51299999999998</v>
      </c>
      <c r="D656" s="71">
        <v>0</v>
      </c>
      <c r="E656" s="71">
        <v>0</v>
      </c>
      <c r="F656" s="71">
        <v>0.70299999999999996</v>
      </c>
      <c r="G656" s="71">
        <v>16.848999999999997</v>
      </c>
      <c r="H656" s="71">
        <v>5.71</v>
      </c>
      <c r="I656" s="71">
        <v>0</v>
      </c>
      <c r="J656" s="71">
        <v>0</v>
      </c>
      <c r="K656" s="71">
        <v>0</v>
      </c>
      <c r="L656" s="71">
        <v>0</v>
      </c>
      <c r="M656" s="71">
        <v>0</v>
      </c>
      <c r="N656" s="71">
        <v>0</v>
      </c>
      <c r="O656" s="71">
        <v>0</v>
      </c>
      <c r="P656" s="71">
        <v>6.6759999999999993</v>
      </c>
      <c r="Q656" s="71">
        <v>27.471999999999998</v>
      </c>
      <c r="R656" s="71">
        <v>183.7</v>
      </c>
      <c r="S656" s="71">
        <v>16.779</v>
      </c>
      <c r="T656" s="71">
        <v>20.725649999999998</v>
      </c>
    </row>
    <row r="657" spans="1:20">
      <c r="A657" s="71" t="s">
        <v>667</v>
      </c>
      <c r="B657" s="71" t="s">
        <v>7122</v>
      </c>
      <c r="C657" s="71">
        <v>330.28699999999998</v>
      </c>
      <c r="D657" s="71">
        <v>2.5000000000000001E-2</v>
      </c>
      <c r="E657" s="71">
        <v>0</v>
      </c>
      <c r="F657" s="71">
        <v>0.70799999999999996</v>
      </c>
      <c r="G657" s="71">
        <v>12.154</v>
      </c>
      <c r="H657" s="71">
        <v>2.3809999999999998</v>
      </c>
      <c r="I657" s="71">
        <v>0</v>
      </c>
      <c r="J657" s="71">
        <v>0</v>
      </c>
      <c r="K657" s="71">
        <v>0</v>
      </c>
      <c r="L657" s="71">
        <v>0</v>
      </c>
      <c r="M657" s="71">
        <v>0.30099999999999999</v>
      </c>
      <c r="N657" s="71">
        <v>0</v>
      </c>
      <c r="O657" s="71">
        <v>0</v>
      </c>
      <c r="P657" s="71">
        <v>5.2689999999999992</v>
      </c>
      <c r="Q657" s="71">
        <v>15.832999999999998</v>
      </c>
      <c r="R657" s="71">
        <v>235.2</v>
      </c>
      <c r="S657" s="71">
        <v>1.103</v>
      </c>
      <c r="T657" s="71">
        <v>16.513999999999999</v>
      </c>
    </row>
    <row r="658" spans="1:20">
      <c r="A658" s="71" t="s">
        <v>1707</v>
      </c>
      <c r="B658" s="71" t="s">
        <v>3864</v>
      </c>
      <c r="C658" s="71">
        <v>3538.1729999999998</v>
      </c>
      <c r="D658" s="71">
        <v>0.40799999999999997</v>
      </c>
      <c r="E658" s="71">
        <v>0</v>
      </c>
      <c r="F658" s="71">
        <v>7.3409999999999993</v>
      </c>
      <c r="G658" s="71">
        <v>100.33199999999999</v>
      </c>
      <c r="H658" s="71">
        <v>28.96</v>
      </c>
      <c r="I658" s="71">
        <v>0</v>
      </c>
      <c r="J658" s="71">
        <v>0</v>
      </c>
      <c r="K658" s="71">
        <v>0</v>
      </c>
      <c r="L658" s="71">
        <v>0</v>
      </c>
      <c r="M658" s="71">
        <v>5.8929999999999998</v>
      </c>
      <c r="N658" s="71">
        <v>2.2239999999999998</v>
      </c>
      <c r="O658" s="71">
        <v>0.14799999999999999</v>
      </c>
      <c r="P658" s="71">
        <v>46.982999999999997</v>
      </c>
      <c r="Q658" s="71">
        <v>150.13099999999997</v>
      </c>
      <c r="R658" s="71">
        <v>2577.3000000000002</v>
      </c>
      <c r="S658" s="71">
        <v>54.581999999999994</v>
      </c>
      <c r="T658" s="71">
        <v>176.90864999999999</v>
      </c>
    </row>
    <row r="659" spans="1:20">
      <c r="A659" s="71" t="s">
        <v>1709</v>
      </c>
      <c r="B659" s="71" t="s">
        <v>3865</v>
      </c>
      <c r="C659" s="71">
        <v>730.13199999999995</v>
      </c>
      <c r="D659" s="71">
        <v>0.123</v>
      </c>
      <c r="E659" s="71">
        <v>0</v>
      </c>
      <c r="F659" s="71">
        <v>1.331</v>
      </c>
      <c r="G659" s="71">
        <v>13.431999999999999</v>
      </c>
      <c r="H659" s="71">
        <v>1.843</v>
      </c>
      <c r="I659" s="71">
        <v>0</v>
      </c>
      <c r="J659" s="71">
        <v>1.5379999999999998</v>
      </c>
      <c r="K659" s="71">
        <v>0</v>
      </c>
      <c r="L659" s="71">
        <v>0</v>
      </c>
      <c r="M659" s="71">
        <v>1.4019999999999999</v>
      </c>
      <c r="N659" s="71">
        <v>0</v>
      </c>
      <c r="O659" s="71">
        <v>0</v>
      </c>
      <c r="P659" s="71">
        <v>34.902999999999999</v>
      </c>
      <c r="Q659" s="71">
        <v>41.146999999999998</v>
      </c>
      <c r="R659" s="71">
        <v>336.5</v>
      </c>
      <c r="S659" s="71">
        <v>10.443</v>
      </c>
      <c r="T659" s="71">
        <v>36.506599999999992</v>
      </c>
    </row>
    <row r="660" spans="1:20">
      <c r="A660" s="71" t="s">
        <v>1711</v>
      </c>
      <c r="B660" s="71" t="s">
        <v>3866</v>
      </c>
      <c r="C660" s="71">
        <v>662.0379999999999</v>
      </c>
      <c r="D660" s="71">
        <v>0.151</v>
      </c>
      <c r="E660" s="71">
        <v>0</v>
      </c>
      <c r="F660" s="71">
        <v>1.097</v>
      </c>
      <c r="G660" s="71">
        <v>7.7959999999999994</v>
      </c>
      <c r="H660" s="71">
        <v>0.46299999999999997</v>
      </c>
      <c r="I660" s="71">
        <v>0</v>
      </c>
      <c r="J660" s="71">
        <v>2.3639999999999999</v>
      </c>
      <c r="K660" s="71">
        <v>0</v>
      </c>
      <c r="L660" s="71">
        <v>0</v>
      </c>
      <c r="M660" s="71">
        <v>0</v>
      </c>
      <c r="N660" s="71">
        <v>7.2999999999999995E-2</v>
      </c>
      <c r="O660" s="71">
        <v>0</v>
      </c>
      <c r="P660" s="71">
        <v>23.812999999999999</v>
      </c>
      <c r="Q660" s="71">
        <v>29.968</v>
      </c>
      <c r="R660" s="71">
        <v>238</v>
      </c>
      <c r="S660" s="71">
        <v>4.1789999999999994</v>
      </c>
      <c r="T660" s="71">
        <v>33.101899999999993</v>
      </c>
    </row>
    <row r="661" spans="1:20">
      <c r="A661" s="71" t="s">
        <v>1713</v>
      </c>
      <c r="B661" s="71" t="s">
        <v>3867</v>
      </c>
      <c r="C661" s="71">
        <v>535.42199999999991</v>
      </c>
      <c r="D661" s="71">
        <v>0.151</v>
      </c>
      <c r="E661" s="71">
        <v>0</v>
      </c>
      <c r="F661" s="71">
        <v>0.65</v>
      </c>
      <c r="G661" s="71">
        <v>11.892999999999999</v>
      </c>
      <c r="H661" s="71">
        <v>2.2089999999999996</v>
      </c>
      <c r="I661" s="71">
        <v>0</v>
      </c>
      <c r="J661" s="71">
        <v>0</v>
      </c>
      <c r="K661" s="71">
        <v>0</v>
      </c>
      <c r="L661" s="71">
        <v>0</v>
      </c>
      <c r="M661" s="71">
        <v>0</v>
      </c>
      <c r="N661" s="71">
        <v>0.11899999999999999</v>
      </c>
      <c r="O661" s="71">
        <v>0</v>
      </c>
      <c r="P661" s="71">
        <v>1.0389999999999999</v>
      </c>
      <c r="Q661" s="71">
        <v>14.072999999999999</v>
      </c>
      <c r="R661" s="71">
        <v>518.79999999999995</v>
      </c>
      <c r="S661" s="71">
        <v>248.36</v>
      </c>
      <c r="T661" s="71">
        <v>26.770999999999997</v>
      </c>
    </row>
    <row r="662" spans="1:20">
      <c r="A662" s="71" t="s">
        <v>1330</v>
      </c>
      <c r="B662" s="71" t="s">
        <v>3868</v>
      </c>
      <c r="C662" s="71">
        <v>148.80699999999999</v>
      </c>
      <c r="D662" s="71">
        <v>0</v>
      </c>
      <c r="E662" s="71">
        <v>0</v>
      </c>
      <c r="F662" s="71">
        <v>0.42499999999999999</v>
      </c>
      <c r="G662" s="71">
        <v>0</v>
      </c>
      <c r="H662" s="71">
        <v>8.5000000000000006E-2</v>
      </c>
      <c r="I662" s="71">
        <v>0</v>
      </c>
      <c r="J662" s="71">
        <v>0</v>
      </c>
      <c r="K662" s="71">
        <v>0</v>
      </c>
      <c r="L662" s="71">
        <v>0</v>
      </c>
      <c r="M662" s="71">
        <v>0.89399999999999991</v>
      </c>
      <c r="N662" s="71">
        <v>0</v>
      </c>
      <c r="O662" s="71">
        <v>0</v>
      </c>
      <c r="P662" s="71">
        <v>16.093</v>
      </c>
      <c r="Q662" s="71">
        <v>1.5649999999999999</v>
      </c>
      <c r="R662" s="71">
        <v>129.5</v>
      </c>
      <c r="S662" s="71">
        <v>7.3779999999999992</v>
      </c>
      <c r="T662" s="71">
        <v>7.44</v>
      </c>
    </row>
    <row r="663" spans="1:20">
      <c r="A663" s="71" t="s">
        <v>1332</v>
      </c>
      <c r="B663" s="71" t="s">
        <v>3869</v>
      </c>
      <c r="C663" s="71">
        <v>104.53</v>
      </c>
      <c r="D663" s="71">
        <v>0</v>
      </c>
      <c r="E663" s="71">
        <v>0</v>
      </c>
      <c r="F663" s="71">
        <v>0.20099999999999998</v>
      </c>
      <c r="G663" s="71">
        <v>2.948</v>
      </c>
      <c r="H663" s="71">
        <v>0</v>
      </c>
      <c r="I663" s="71">
        <v>0</v>
      </c>
      <c r="J663" s="71">
        <v>0</v>
      </c>
      <c r="K663" s="71">
        <v>0</v>
      </c>
      <c r="L663" s="71">
        <v>0</v>
      </c>
      <c r="M663" s="71">
        <v>0</v>
      </c>
      <c r="N663" s="71">
        <v>0</v>
      </c>
      <c r="O663" s="71">
        <v>0</v>
      </c>
      <c r="P663" s="71">
        <v>0.99299999999999999</v>
      </c>
      <c r="Q663" s="71">
        <v>3.99</v>
      </c>
      <c r="R663" s="71">
        <v>104.7</v>
      </c>
      <c r="S663" s="71">
        <v>20.100000000000001</v>
      </c>
      <c r="T663" s="71">
        <v>5.2264999999999997</v>
      </c>
    </row>
    <row r="664" spans="1:20">
      <c r="A664" s="71" t="s">
        <v>1121</v>
      </c>
      <c r="B664" s="71" t="s">
        <v>1122</v>
      </c>
      <c r="C664" s="71">
        <v>264.10199999999998</v>
      </c>
      <c r="D664" s="71">
        <v>0</v>
      </c>
      <c r="E664" s="71">
        <v>0</v>
      </c>
      <c r="F664" s="71">
        <v>0.51500000000000001</v>
      </c>
      <c r="G664" s="71">
        <v>14.215</v>
      </c>
      <c r="H664" s="71">
        <v>0</v>
      </c>
      <c r="I664" s="71">
        <v>0</v>
      </c>
      <c r="J664" s="71">
        <v>0</v>
      </c>
      <c r="K664" s="71">
        <v>0</v>
      </c>
      <c r="L664" s="71">
        <v>0</v>
      </c>
      <c r="M664" s="71">
        <v>0</v>
      </c>
      <c r="N664" s="71">
        <v>0</v>
      </c>
      <c r="O664" s="71">
        <v>0</v>
      </c>
      <c r="P664" s="71">
        <v>0</v>
      </c>
      <c r="Q664" s="71">
        <v>4.7439999999999998</v>
      </c>
      <c r="R664" s="71">
        <v>131.30000000000001</v>
      </c>
      <c r="S664" s="71">
        <v>22.942999999999998</v>
      </c>
      <c r="T664" s="71">
        <v>4.8329999999999993</v>
      </c>
    </row>
    <row r="665" spans="1:20">
      <c r="A665" s="71" t="s">
        <v>979</v>
      </c>
      <c r="B665" s="71" t="s">
        <v>6097</v>
      </c>
      <c r="C665" s="71">
        <v>1181.4000000000001</v>
      </c>
      <c r="D665" s="71">
        <v>3.3999999999999996E-2</v>
      </c>
      <c r="E665" s="71">
        <v>0</v>
      </c>
      <c r="F665" s="71">
        <v>1.9669999999999999</v>
      </c>
      <c r="G665" s="71">
        <v>58.808</v>
      </c>
      <c r="H665" s="71">
        <v>4.6519999999999992</v>
      </c>
      <c r="I665" s="71">
        <v>0</v>
      </c>
      <c r="J665" s="71">
        <v>0.44199999999999995</v>
      </c>
      <c r="K665" s="71">
        <v>0</v>
      </c>
      <c r="L665" s="71">
        <v>0</v>
      </c>
      <c r="M665" s="71">
        <v>4.4789999999999992</v>
      </c>
      <c r="N665" s="71">
        <v>0.11099999999999999</v>
      </c>
      <c r="O665" s="71">
        <v>0.36499999999999999</v>
      </c>
      <c r="P665" s="71">
        <v>3.7149999999999999</v>
      </c>
      <c r="Q665" s="71">
        <v>63.945999999999998</v>
      </c>
      <c r="R665" s="71">
        <v>404</v>
      </c>
      <c r="S665" s="71">
        <v>18.873999999999999</v>
      </c>
      <c r="T665" s="71">
        <v>59.07</v>
      </c>
    </row>
    <row r="666" spans="1:20">
      <c r="A666" s="71" t="s">
        <v>1334</v>
      </c>
      <c r="B666" s="71" t="s">
        <v>3870</v>
      </c>
      <c r="C666" s="71">
        <v>474.88</v>
      </c>
      <c r="D666" s="71">
        <v>0.14799999999999999</v>
      </c>
      <c r="E666" s="71">
        <v>0</v>
      </c>
      <c r="F666" s="71">
        <v>0.5139999999999999</v>
      </c>
      <c r="G666" s="71">
        <v>26.215999999999998</v>
      </c>
      <c r="H666" s="71">
        <v>2.1359999999999997</v>
      </c>
      <c r="I666" s="71">
        <v>0</v>
      </c>
      <c r="J666" s="71">
        <v>0.66699999999999993</v>
      </c>
      <c r="K666" s="71">
        <v>0</v>
      </c>
      <c r="L666" s="71">
        <v>0</v>
      </c>
      <c r="M666" s="71">
        <v>2.1859999999999999</v>
      </c>
      <c r="N666" s="71">
        <v>0</v>
      </c>
      <c r="O666" s="71">
        <v>0</v>
      </c>
      <c r="P666" s="71">
        <v>2.3719999999999999</v>
      </c>
      <c r="Q666" s="71">
        <v>25.273</v>
      </c>
      <c r="R666" s="71">
        <v>201.8</v>
      </c>
      <c r="S666" s="71">
        <v>7.0529999999999999</v>
      </c>
      <c r="T666" s="71">
        <v>23.743999999999996</v>
      </c>
    </row>
    <row r="667" spans="1:20">
      <c r="A667" s="71" t="s">
        <v>235</v>
      </c>
      <c r="B667" s="71" t="s">
        <v>2642</v>
      </c>
      <c r="C667" s="71">
        <v>1638.579</v>
      </c>
      <c r="D667" s="71">
        <v>3.9E-2</v>
      </c>
      <c r="E667" s="71">
        <v>0</v>
      </c>
      <c r="F667" s="71">
        <v>3.01</v>
      </c>
      <c r="G667" s="71">
        <v>88.443999999999988</v>
      </c>
      <c r="H667" s="71">
        <v>17.570999999999998</v>
      </c>
      <c r="I667" s="71">
        <v>0</v>
      </c>
      <c r="J667" s="71">
        <v>2.4589999999999996</v>
      </c>
      <c r="K667" s="71">
        <v>0</v>
      </c>
      <c r="L667" s="71">
        <v>0</v>
      </c>
      <c r="M667" s="71">
        <v>5.3379999999999992</v>
      </c>
      <c r="N667" s="71">
        <v>0.27899999999999997</v>
      </c>
      <c r="O667" s="71">
        <v>0</v>
      </c>
      <c r="P667" s="71">
        <v>23.869</v>
      </c>
      <c r="Q667" s="71">
        <v>72.652999999999992</v>
      </c>
      <c r="R667" s="71">
        <v>1083.5</v>
      </c>
      <c r="S667" s="71">
        <v>77.540000000000006</v>
      </c>
      <c r="T667" s="71">
        <v>81.928949999999986</v>
      </c>
    </row>
    <row r="668" spans="1:20">
      <c r="A668" s="71" t="s">
        <v>3961</v>
      </c>
      <c r="B668" s="71" t="s">
        <v>3871</v>
      </c>
      <c r="C668" s="71">
        <v>4723</v>
      </c>
      <c r="D668" s="71">
        <v>0.26699999999999996</v>
      </c>
      <c r="E668" s="71">
        <v>0</v>
      </c>
      <c r="F668" s="71">
        <v>8.2169999999999987</v>
      </c>
      <c r="G668" s="71">
        <v>129.08599999999998</v>
      </c>
      <c r="H668" s="71">
        <v>55.348999999999997</v>
      </c>
      <c r="I668" s="71">
        <v>0</v>
      </c>
      <c r="J668" s="71">
        <v>0</v>
      </c>
      <c r="K668" s="71">
        <v>0</v>
      </c>
      <c r="L668" s="71">
        <v>0</v>
      </c>
      <c r="M668" s="71">
        <v>3.42</v>
      </c>
      <c r="N668" s="71">
        <v>3.8069999999999999</v>
      </c>
      <c r="O668" s="71">
        <v>1.0019999999999998</v>
      </c>
      <c r="P668" s="71">
        <v>17.605</v>
      </c>
      <c r="Q668" s="71">
        <v>167.64399999999998</v>
      </c>
      <c r="R668" s="71">
        <v>2962.2</v>
      </c>
      <c r="S668" s="71">
        <v>424.80599999999998</v>
      </c>
      <c r="T668" s="71">
        <v>236.15</v>
      </c>
    </row>
    <row r="669" spans="1:20">
      <c r="A669" s="71" t="s">
        <v>2359</v>
      </c>
      <c r="B669" s="71" t="s">
        <v>198</v>
      </c>
      <c r="C669" s="71">
        <v>814.49899999999991</v>
      </c>
      <c r="D669" s="71">
        <v>1.1999999999999999E-2</v>
      </c>
      <c r="E669" s="71">
        <v>0</v>
      </c>
      <c r="F669" s="71">
        <v>0.8869999999999999</v>
      </c>
      <c r="G669" s="71">
        <v>43.897999999999996</v>
      </c>
      <c r="H669" s="71">
        <v>4.6679999999999993</v>
      </c>
      <c r="I669" s="71">
        <v>0</v>
      </c>
      <c r="J669" s="71">
        <v>5.2999999999999999E-2</v>
      </c>
      <c r="K669" s="71">
        <v>0</v>
      </c>
      <c r="L669" s="71">
        <v>0</v>
      </c>
      <c r="M669" s="71">
        <v>10.981999999999999</v>
      </c>
      <c r="N669" s="71">
        <v>0</v>
      </c>
      <c r="O669" s="71">
        <v>0</v>
      </c>
      <c r="P669" s="71">
        <v>6.87</v>
      </c>
      <c r="Q669" s="71">
        <v>64.721999999999994</v>
      </c>
      <c r="R669" s="71">
        <v>308</v>
      </c>
      <c r="S669" s="71">
        <v>1.1759999999999999</v>
      </c>
      <c r="T669" s="71">
        <v>40.724949999999993</v>
      </c>
    </row>
    <row r="670" spans="1:20">
      <c r="A670" s="71" t="s">
        <v>650</v>
      </c>
      <c r="B670" s="71" t="s">
        <v>355</v>
      </c>
      <c r="C670" s="71">
        <v>2469.0759999999996</v>
      </c>
      <c r="D670" s="71">
        <v>0.27399999999999997</v>
      </c>
      <c r="E670" s="71">
        <v>0</v>
      </c>
      <c r="F670" s="71">
        <v>6.0289999999999999</v>
      </c>
      <c r="G670" s="71">
        <v>127.735</v>
      </c>
      <c r="H670" s="71">
        <v>19.393999999999998</v>
      </c>
      <c r="I670" s="71">
        <v>0</v>
      </c>
      <c r="J670" s="71">
        <v>0</v>
      </c>
      <c r="K670" s="71">
        <v>0</v>
      </c>
      <c r="L670" s="71">
        <v>0</v>
      </c>
      <c r="M670" s="71">
        <v>12.427</v>
      </c>
      <c r="N670" s="71">
        <v>0.03</v>
      </c>
      <c r="O670" s="71">
        <v>0.85</v>
      </c>
      <c r="P670" s="71">
        <v>3.359</v>
      </c>
      <c r="Q670" s="71">
        <v>78.858999999999995</v>
      </c>
      <c r="R670" s="71">
        <v>1501.3</v>
      </c>
      <c r="S670" s="71">
        <v>61.645000000000003</v>
      </c>
      <c r="T670" s="71">
        <v>123.45379999999999</v>
      </c>
    </row>
    <row r="671" spans="1:20">
      <c r="A671" s="71" t="s">
        <v>2127</v>
      </c>
      <c r="B671" s="71" t="s">
        <v>2007</v>
      </c>
      <c r="C671" s="71">
        <v>583.20099999999991</v>
      </c>
      <c r="D671" s="71">
        <v>8.7999999999999995E-2</v>
      </c>
      <c r="E671" s="71">
        <v>0</v>
      </c>
      <c r="F671" s="71">
        <v>0.7669999999999999</v>
      </c>
      <c r="G671" s="71">
        <v>29.972999999999999</v>
      </c>
      <c r="H671" s="71">
        <v>3.3050000000000002</v>
      </c>
      <c r="I671" s="71">
        <v>0</v>
      </c>
      <c r="J671" s="71">
        <v>0.29799999999999999</v>
      </c>
      <c r="K671" s="71">
        <v>0</v>
      </c>
      <c r="L671" s="71">
        <v>0</v>
      </c>
      <c r="M671" s="71">
        <v>5.9459999999999997</v>
      </c>
      <c r="N671" s="71">
        <v>3.5000000000000003E-2</v>
      </c>
      <c r="O671" s="71">
        <v>0</v>
      </c>
      <c r="P671" s="71">
        <v>1.1609999999999998</v>
      </c>
      <c r="Q671" s="71">
        <v>25.183999999999997</v>
      </c>
      <c r="R671" s="71">
        <v>348.7</v>
      </c>
      <c r="S671" s="71">
        <v>11.129</v>
      </c>
      <c r="T671" s="71">
        <v>29.16</v>
      </c>
    </row>
    <row r="672" spans="1:20">
      <c r="A672" s="71" t="s">
        <v>3963</v>
      </c>
      <c r="B672" s="71" t="s">
        <v>3872</v>
      </c>
      <c r="C672" s="71">
        <v>321.86899999999997</v>
      </c>
      <c r="D672" s="71">
        <v>0</v>
      </c>
      <c r="E672" s="71">
        <v>0</v>
      </c>
      <c r="F672" s="71">
        <v>0.31899999999999995</v>
      </c>
      <c r="G672" s="71">
        <v>14.492999999999999</v>
      </c>
      <c r="H672" s="71">
        <v>0.28599999999999998</v>
      </c>
      <c r="I672" s="71">
        <v>0</v>
      </c>
      <c r="J672" s="71">
        <v>0.25899999999999995</v>
      </c>
      <c r="K672" s="71">
        <v>0</v>
      </c>
      <c r="L672" s="71">
        <v>0</v>
      </c>
      <c r="M672" s="71">
        <v>2.3569999999999998</v>
      </c>
      <c r="N672" s="71">
        <v>0</v>
      </c>
      <c r="O672" s="71">
        <v>4.1359999999999992</v>
      </c>
      <c r="P672" s="71">
        <v>5.069</v>
      </c>
      <c r="Q672" s="71">
        <v>21.684999999999999</v>
      </c>
      <c r="R672" s="71">
        <v>147.69999999999999</v>
      </c>
      <c r="S672" s="71">
        <v>7.3969999999999994</v>
      </c>
      <c r="T672" s="71">
        <v>16.093</v>
      </c>
    </row>
    <row r="673" spans="1:20">
      <c r="A673" s="71" t="s">
        <v>953</v>
      </c>
      <c r="B673" s="71" t="s">
        <v>7658</v>
      </c>
      <c r="C673" s="71">
        <v>549.05899999999997</v>
      </c>
      <c r="D673" s="71">
        <v>0</v>
      </c>
      <c r="E673" s="71">
        <v>0</v>
      </c>
      <c r="F673" s="71">
        <v>0.7619999999999999</v>
      </c>
      <c r="G673" s="71">
        <v>28.265000000000001</v>
      </c>
      <c r="H673" s="71">
        <v>3.7519999999999998</v>
      </c>
      <c r="I673" s="71">
        <v>0</v>
      </c>
      <c r="J673" s="71">
        <v>0.17199999999999999</v>
      </c>
      <c r="K673" s="71">
        <v>0</v>
      </c>
      <c r="L673" s="71">
        <v>0</v>
      </c>
      <c r="M673" s="71">
        <v>0</v>
      </c>
      <c r="N673" s="71">
        <v>0.24</v>
      </c>
      <c r="O673" s="71">
        <v>0</v>
      </c>
      <c r="P673" s="71">
        <v>1.5049999999999999</v>
      </c>
      <c r="Q673" s="71">
        <v>20.523</v>
      </c>
      <c r="R673" s="71">
        <v>215.5</v>
      </c>
      <c r="S673" s="71">
        <v>38.590000000000003</v>
      </c>
      <c r="T673" s="71">
        <v>27.452949999999998</v>
      </c>
    </row>
    <row r="674" spans="1:20">
      <c r="A674" s="71" t="s">
        <v>971</v>
      </c>
      <c r="B674" s="71" t="s">
        <v>7663</v>
      </c>
      <c r="C674" s="71">
        <v>475.21699999999998</v>
      </c>
      <c r="D674" s="71">
        <v>0.06</v>
      </c>
      <c r="E674" s="71">
        <v>0</v>
      </c>
      <c r="F674" s="71">
        <v>0.69399999999999995</v>
      </c>
      <c r="G674" s="71">
        <v>20.529</v>
      </c>
      <c r="H674" s="71">
        <v>1.712</v>
      </c>
      <c r="I674" s="71">
        <v>0</v>
      </c>
      <c r="J674" s="71">
        <v>0.23699999999999999</v>
      </c>
      <c r="K674" s="71">
        <v>0</v>
      </c>
      <c r="L674" s="71">
        <v>0</v>
      </c>
      <c r="M674" s="71">
        <v>3.7779999999999996</v>
      </c>
      <c r="N674" s="71">
        <v>0</v>
      </c>
      <c r="O674" s="71">
        <v>9.74</v>
      </c>
      <c r="P674" s="71">
        <v>1.3129999999999999</v>
      </c>
      <c r="Q674" s="71">
        <v>24.918999999999997</v>
      </c>
      <c r="R674" s="71">
        <v>239.3</v>
      </c>
      <c r="S674" s="71">
        <v>0</v>
      </c>
      <c r="T674" s="71">
        <v>23.760849999999998</v>
      </c>
    </row>
    <row r="675" spans="1:20">
      <c r="A675" s="71" t="s">
        <v>3965</v>
      </c>
      <c r="B675" s="71" t="s">
        <v>3873</v>
      </c>
      <c r="C675" s="71">
        <v>2615.9299999999998</v>
      </c>
      <c r="D675" s="71">
        <v>0.375</v>
      </c>
      <c r="E675" s="71">
        <v>0</v>
      </c>
      <c r="F675" s="71">
        <v>3.6069999999999998</v>
      </c>
      <c r="G675" s="71">
        <v>102.745</v>
      </c>
      <c r="H675" s="71">
        <v>21.686</v>
      </c>
      <c r="I675" s="71">
        <v>0</v>
      </c>
      <c r="J675" s="71">
        <v>0</v>
      </c>
      <c r="K675" s="71">
        <v>0</v>
      </c>
      <c r="L675" s="71">
        <v>0</v>
      </c>
      <c r="M675" s="71">
        <v>9.4039999999999999</v>
      </c>
      <c r="N675" s="71">
        <v>1.1219999999999999</v>
      </c>
      <c r="O675" s="71">
        <v>0.17399999999999999</v>
      </c>
      <c r="P675" s="71">
        <v>75.02</v>
      </c>
      <c r="Q675" s="71">
        <v>126.02500000000001</v>
      </c>
      <c r="R675" s="71">
        <v>1374</v>
      </c>
      <c r="S675" s="71">
        <v>156.30399999999997</v>
      </c>
      <c r="T675" s="71">
        <v>130.79649999999998</v>
      </c>
    </row>
    <row r="676" spans="1:20">
      <c r="A676" s="71" t="s">
        <v>3967</v>
      </c>
      <c r="B676" s="71" t="s">
        <v>3874</v>
      </c>
      <c r="C676" s="71">
        <v>790.0379999999999</v>
      </c>
      <c r="D676" s="71">
        <v>0</v>
      </c>
      <c r="E676" s="71">
        <v>0</v>
      </c>
      <c r="F676" s="71">
        <v>1.3079999999999998</v>
      </c>
      <c r="G676" s="71">
        <v>22.430999999999997</v>
      </c>
      <c r="H676" s="71">
        <v>12.055999999999999</v>
      </c>
      <c r="I676" s="71">
        <v>0</v>
      </c>
      <c r="J676" s="71">
        <v>0</v>
      </c>
      <c r="K676" s="71">
        <v>0</v>
      </c>
      <c r="L676" s="71">
        <v>0</v>
      </c>
      <c r="M676" s="71">
        <v>2.1239999999999997</v>
      </c>
      <c r="N676" s="71">
        <v>0.26599999999999996</v>
      </c>
      <c r="O676" s="71">
        <v>4.7909999999999995</v>
      </c>
      <c r="P676" s="71">
        <v>26.12</v>
      </c>
      <c r="Q676" s="71">
        <v>31.425000000000001</v>
      </c>
      <c r="R676" s="71">
        <v>408.2</v>
      </c>
      <c r="S676" s="71">
        <v>0</v>
      </c>
      <c r="T676" s="71">
        <v>39.501899999999992</v>
      </c>
    </row>
    <row r="677" spans="1:20">
      <c r="A677" s="71" t="s">
        <v>3969</v>
      </c>
      <c r="B677" s="71" t="s">
        <v>3056</v>
      </c>
      <c r="C677" s="71">
        <v>563.99399999999991</v>
      </c>
      <c r="D677" s="71">
        <v>2.3999999999999997E-2</v>
      </c>
      <c r="E677" s="71">
        <v>0</v>
      </c>
      <c r="F677" s="71">
        <v>0.95099999999999996</v>
      </c>
      <c r="G677" s="71">
        <v>25.63</v>
      </c>
      <c r="H677" s="71">
        <v>2.734</v>
      </c>
      <c r="I677" s="71">
        <v>0</v>
      </c>
      <c r="J677" s="71">
        <v>0</v>
      </c>
      <c r="K677" s="71">
        <v>0</v>
      </c>
      <c r="L677" s="71">
        <v>0</v>
      </c>
      <c r="M677" s="71">
        <v>2.7469999999999999</v>
      </c>
      <c r="N677" s="71">
        <v>0.33399999999999996</v>
      </c>
      <c r="O677" s="71">
        <v>0</v>
      </c>
      <c r="P677" s="71">
        <v>20.891999999999999</v>
      </c>
      <c r="Q677" s="71">
        <v>24.571999999999999</v>
      </c>
      <c r="R677" s="71">
        <v>409.8</v>
      </c>
      <c r="S677" s="71">
        <v>2.8739999999999997</v>
      </c>
      <c r="T677" s="71">
        <v>27</v>
      </c>
    </row>
    <row r="678" spans="1:20">
      <c r="A678" s="71" t="s">
        <v>757</v>
      </c>
      <c r="B678" s="71" t="s">
        <v>3057</v>
      </c>
      <c r="C678" s="71">
        <v>92.369</v>
      </c>
      <c r="D678" s="71">
        <v>0</v>
      </c>
      <c r="E678" s="71">
        <v>0</v>
      </c>
      <c r="F678" s="71">
        <v>0.20699999999999999</v>
      </c>
      <c r="G678" s="71">
        <v>1.1559999999999999</v>
      </c>
      <c r="H678" s="71">
        <v>0</v>
      </c>
      <c r="I678" s="71">
        <v>0</v>
      </c>
      <c r="J678" s="71">
        <v>0</v>
      </c>
      <c r="K678" s="71">
        <v>0</v>
      </c>
      <c r="L678" s="71">
        <v>0</v>
      </c>
      <c r="M678" s="71">
        <v>0</v>
      </c>
      <c r="N678" s="71">
        <v>0</v>
      </c>
      <c r="O678" s="71">
        <v>0</v>
      </c>
      <c r="P678" s="71">
        <v>3.5859999999999999</v>
      </c>
      <c r="Q678" s="71">
        <v>0</v>
      </c>
      <c r="R678" s="71">
        <v>55.5</v>
      </c>
      <c r="S678" s="71">
        <v>7.5809999999999995</v>
      </c>
      <c r="T678" s="71">
        <v>4.6179999999999994</v>
      </c>
    </row>
    <row r="679" spans="1:20">
      <c r="A679" s="71" t="s">
        <v>759</v>
      </c>
      <c r="B679" s="71" t="s">
        <v>3058</v>
      </c>
      <c r="C679" s="71">
        <v>346.31599999999997</v>
      </c>
      <c r="D679" s="71">
        <v>0</v>
      </c>
      <c r="E679" s="71">
        <v>0</v>
      </c>
      <c r="F679" s="71">
        <v>0.51500000000000001</v>
      </c>
      <c r="G679" s="71">
        <v>7.6319999999999997</v>
      </c>
      <c r="H679" s="71">
        <v>0.97499999999999998</v>
      </c>
      <c r="I679" s="71">
        <v>0</v>
      </c>
      <c r="J679" s="71">
        <v>0</v>
      </c>
      <c r="K679" s="71">
        <v>0</v>
      </c>
      <c r="L679" s="71">
        <v>0</v>
      </c>
      <c r="M679" s="71">
        <v>0.755</v>
      </c>
      <c r="N679" s="71">
        <v>0.26599999999999996</v>
      </c>
      <c r="O679" s="71">
        <v>6.4429999999999996</v>
      </c>
      <c r="P679" s="71">
        <v>2.5579999999999998</v>
      </c>
      <c r="Q679" s="71">
        <v>5.609</v>
      </c>
      <c r="R679" s="71">
        <v>150.69999999999999</v>
      </c>
      <c r="S679" s="71">
        <v>5.9469999999999992</v>
      </c>
      <c r="T679" s="71">
        <v>17.315799999999996</v>
      </c>
    </row>
    <row r="680" spans="1:20">
      <c r="A680" s="71" t="s">
        <v>69</v>
      </c>
      <c r="B680" s="71" t="s">
        <v>3059</v>
      </c>
      <c r="C680" s="71">
        <v>256.92899999999997</v>
      </c>
      <c r="D680" s="71">
        <v>0</v>
      </c>
      <c r="E680" s="71">
        <v>0</v>
      </c>
      <c r="F680" s="71">
        <v>0.74299999999999999</v>
      </c>
      <c r="G680" s="71">
        <v>6.9859999999999998</v>
      </c>
      <c r="H680" s="71">
        <v>1.958</v>
      </c>
      <c r="I680" s="71">
        <v>0</v>
      </c>
      <c r="J680" s="71">
        <v>0</v>
      </c>
      <c r="K680" s="71">
        <v>0</v>
      </c>
      <c r="L680" s="71">
        <v>0</v>
      </c>
      <c r="M680" s="71">
        <v>0</v>
      </c>
      <c r="N680" s="71">
        <v>0</v>
      </c>
      <c r="O680" s="71">
        <v>0</v>
      </c>
      <c r="P680" s="71">
        <v>2.234</v>
      </c>
      <c r="Q680" s="71">
        <v>19.578999999999997</v>
      </c>
      <c r="R680" s="71">
        <v>142.69999999999999</v>
      </c>
      <c r="S680" s="71">
        <v>0</v>
      </c>
      <c r="T680" s="71">
        <v>12.845999999999998</v>
      </c>
    </row>
    <row r="681" spans="1:20">
      <c r="A681" s="71" t="s">
        <v>71</v>
      </c>
      <c r="B681" s="71" t="s">
        <v>3060</v>
      </c>
      <c r="C681" s="71">
        <v>905.50799999999992</v>
      </c>
      <c r="D681" s="71">
        <v>7.0999999999999994E-2</v>
      </c>
      <c r="E681" s="71">
        <v>0</v>
      </c>
      <c r="F681" s="71">
        <v>1.7729999999999999</v>
      </c>
      <c r="G681" s="71">
        <v>27.087</v>
      </c>
      <c r="H681" s="71">
        <v>9.9659999999999993</v>
      </c>
      <c r="I681" s="71">
        <v>0</v>
      </c>
      <c r="J681" s="71">
        <v>0</v>
      </c>
      <c r="K681" s="71">
        <v>0</v>
      </c>
      <c r="L681" s="71">
        <v>0</v>
      </c>
      <c r="M681" s="71">
        <v>1.9689999999999999</v>
      </c>
      <c r="N681" s="71">
        <v>5.6999999999999995E-2</v>
      </c>
      <c r="O681" s="71">
        <v>0</v>
      </c>
      <c r="P681" s="71">
        <v>11.593</v>
      </c>
      <c r="Q681" s="71">
        <v>67.138999999999996</v>
      </c>
      <c r="R681" s="71">
        <v>425.5</v>
      </c>
      <c r="S681" s="71">
        <v>48.195</v>
      </c>
      <c r="T681" s="71">
        <v>45.274999999999999</v>
      </c>
    </row>
    <row r="682" spans="1:20">
      <c r="A682" s="71" t="s">
        <v>73</v>
      </c>
      <c r="B682" s="71" t="s">
        <v>3061</v>
      </c>
      <c r="C682" s="71">
        <v>370.63799999999998</v>
      </c>
      <c r="D682" s="71">
        <v>0</v>
      </c>
      <c r="E682" s="71">
        <v>0</v>
      </c>
      <c r="F682" s="71">
        <v>0.45</v>
      </c>
      <c r="G682" s="71">
        <v>10.247999999999999</v>
      </c>
      <c r="H682" s="71">
        <v>0.94699999999999995</v>
      </c>
      <c r="I682" s="71">
        <v>0</v>
      </c>
      <c r="J682" s="71">
        <v>0</v>
      </c>
      <c r="K682" s="71">
        <v>0</v>
      </c>
      <c r="L682" s="71">
        <v>0</v>
      </c>
      <c r="M682" s="71">
        <v>0</v>
      </c>
      <c r="N682" s="71">
        <v>0</v>
      </c>
      <c r="O682" s="71">
        <v>0</v>
      </c>
      <c r="P682" s="71">
        <v>4.0869999999999997</v>
      </c>
      <c r="Q682" s="71">
        <v>11.640999999999998</v>
      </c>
      <c r="R682" s="71">
        <v>176.5</v>
      </c>
      <c r="S682" s="71">
        <v>6.5819999999999999</v>
      </c>
      <c r="T682" s="71">
        <v>18.531899999999997</v>
      </c>
    </row>
    <row r="683" spans="1:20">
      <c r="A683" s="71" t="s">
        <v>75</v>
      </c>
      <c r="B683" s="71" t="s">
        <v>3062</v>
      </c>
      <c r="C683" s="71">
        <v>1367.9109999999998</v>
      </c>
      <c r="D683" s="71">
        <v>9.5999999999999988E-2</v>
      </c>
      <c r="E683" s="71">
        <v>0</v>
      </c>
      <c r="F683" s="71">
        <v>3.5639999999999996</v>
      </c>
      <c r="G683" s="71">
        <v>40.024999999999999</v>
      </c>
      <c r="H683" s="71">
        <v>5.91</v>
      </c>
      <c r="I683" s="71">
        <v>0</v>
      </c>
      <c r="J683" s="71">
        <v>1.7739999999999998</v>
      </c>
      <c r="K683" s="71">
        <v>0</v>
      </c>
      <c r="L683" s="71">
        <v>0.96399999999999997</v>
      </c>
      <c r="M683" s="71">
        <v>8.3359999999999985</v>
      </c>
      <c r="N683" s="71">
        <v>1.1319999999999999</v>
      </c>
      <c r="O683" s="71">
        <v>0</v>
      </c>
      <c r="P683" s="71">
        <v>23.53</v>
      </c>
      <c r="Q683" s="71">
        <v>55.707999999999998</v>
      </c>
      <c r="R683" s="71">
        <v>787.2</v>
      </c>
      <c r="S683" s="71">
        <v>98.244</v>
      </c>
      <c r="T683" s="71">
        <v>68.395549999999986</v>
      </c>
    </row>
    <row r="684" spans="1:20">
      <c r="A684" s="71" t="s">
        <v>1316</v>
      </c>
      <c r="B684" s="71" t="s">
        <v>121</v>
      </c>
      <c r="C684" s="71">
        <v>618.66399999999999</v>
      </c>
      <c r="D684" s="71">
        <v>0</v>
      </c>
      <c r="E684" s="71">
        <v>0</v>
      </c>
      <c r="F684" s="71">
        <v>1.0089999999999999</v>
      </c>
      <c r="G684" s="71">
        <v>13.087</v>
      </c>
      <c r="H684" s="71">
        <v>0.54899999999999993</v>
      </c>
      <c r="I684" s="71">
        <v>0</v>
      </c>
      <c r="J684" s="71">
        <v>0.73799999999999999</v>
      </c>
      <c r="K684" s="71">
        <v>0</v>
      </c>
      <c r="L684" s="71">
        <v>0</v>
      </c>
      <c r="M684" s="71">
        <v>1.212</v>
      </c>
      <c r="N684" s="71">
        <v>0.41</v>
      </c>
      <c r="O684" s="71">
        <v>0</v>
      </c>
      <c r="P684" s="71">
        <v>15.297999999999998</v>
      </c>
      <c r="Q684" s="71">
        <v>36.072999999999993</v>
      </c>
      <c r="R684" s="71">
        <v>316.5</v>
      </c>
      <c r="S684" s="71">
        <v>39.325999999999993</v>
      </c>
      <c r="T684" s="71">
        <v>30.933</v>
      </c>
    </row>
    <row r="685" spans="1:20">
      <c r="A685" s="71" t="s">
        <v>2600</v>
      </c>
      <c r="B685" s="71" t="s">
        <v>3063</v>
      </c>
      <c r="C685" s="71">
        <v>945.077</v>
      </c>
      <c r="D685" s="71">
        <v>1.7999999999999999E-2</v>
      </c>
      <c r="E685" s="71">
        <v>0</v>
      </c>
      <c r="F685" s="71">
        <v>2.3849999999999998</v>
      </c>
      <c r="G685" s="71">
        <v>18.504999999999999</v>
      </c>
      <c r="H685" s="71">
        <v>4.2639999999999993</v>
      </c>
      <c r="I685" s="71">
        <v>0</v>
      </c>
      <c r="J685" s="71">
        <v>3.6019999999999999</v>
      </c>
      <c r="K685" s="71">
        <v>0</v>
      </c>
      <c r="L685" s="71">
        <v>0.98299999999999998</v>
      </c>
      <c r="M685" s="71">
        <v>0</v>
      </c>
      <c r="N685" s="71">
        <v>0</v>
      </c>
      <c r="O685" s="71">
        <v>0</v>
      </c>
      <c r="P685" s="71">
        <v>13.075999999999999</v>
      </c>
      <c r="Q685" s="71">
        <v>40.637999999999998</v>
      </c>
      <c r="R685" s="71">
        <v>295.7</v>
      </c>
      <c r="S685" s="71">
        <v>25.061999999999998</v>
      </c>
      <c r="T685" s="71">
        <v>47.253849999999993</v>
      </c>
    </row>
    <row r="686" spans="1:20">
      <c r="A686" s="71" t="s">
        <v>7133</v>
      </c>
      <c r="B686" s="71" t="s">
        <v>3064</v>
      </c>
      <c r="C686" s="71">
        <v>287.37</v>
      </c>
      <c r="D686" s="71">
        <v>1.6999999999999998E-2</v>
      </c>
      <c r="E686" s="71">
        <v>0</v>
      </c>
      <c r="F686" s="71">
        <v>0.44699999999999995</v>
      </c>
      <c r="G686" s="71">
        <v>14.950999999999999</v>
      </c>
      <c r="H686" s="71">
        <v>0.16899999999999998</v>
      </c>
      <c r="I686" s="71">
        <v>0</v>
      </c>
      <c r="J686" s="71">
        <v>0</v>
      </c>
      <c r="K686" s="71">
        <v>0</v>
      </c>
      <c r="L686" s="71">
        <v>0</v>
      </c>
      <c r="M686" s="71">
        <v>3.5539999999999998</v>
      </c>
      <c r="N686" s="71">
        <v>0.25199999999999995</v>
      </c>
      <c r="O686" s="71">
        <v>0.19799999999999998</v>
      </c>
      <c r="P686" s="71">
        <v>20.021999999999998</v>
      </c>
      <c r="Q686" s="71">
        <v>11.484</v>
      </c>
      <c r="R686" s="71">
        <v>206.5</v>
      </c>
      <c r="S686" s="71">
        <v>0</v>
      </c>
      <c r="T686" s="71">
        <v>2</v>
      </c>
    </row>
    <row r="687" spans="1:20">
      <c r="A687" s="71" t="s">
        <v>961</v>
      </c>
      <c r="B687" s="71" t="s">
        <v>2145</v>
      </c>
      <c r="C687" s="71">
        <v>1418.4489999999998</v>
      </c>
      <c r="D687" s="71">
        <v>0.124</v>
      </c>
      <c r="E687" s="71">
        <v>0</v>
      </c>
      <c r="F687" s="71">
        <v>3.3109999999999999</v>
      </c>
      <c r="G687" s="71">
        <v>51.463999999999999</v>
      </c>
      <c r="H687" s="71">
        <v>0.52599999999999991</v>
      </c>
      <c r="I687" s="71">
        <v>0</v>
      </c>
      <c r="J687" s="71">
        <v>8.1209999999999987</v>
      </c>
      <c r="K687" s="71">
        <v>0</v>
      </c>
      <c r="L687" s="71">
        <v>0</v>
      </c>
      <c r="M687" s="71">
        <v>4.6779999999999999</v>
      </c>
      <c r="N687" s="71">
        <v>0.11599999999999999</v>
      </c>
      <c r="O687" s="71">
        <v>0</v>
      </c>
      <c r="P687" s="71">
        <v>1.4429999999999998</v>
      </c>
      <c r="Q687" s="71">
        <v>69.224999999999994</v>
      </c>
      <c r="R687" s="71">
        <v>645.79999999999995</v>
      </c>
      <c r="S687" s="71">
        <v>1.952</v>
      </c>
      <c r="T687" s="71">
        <v>60</v>
      </c>
    </row>
    <row r="688" spans="1:20">
      <c r="A688" s="71" t="s">
        <v>6024</v>
      </c>
      <c r="B688" s="71" t="s">
        <v>1909</v>
      </c>
      <c r="C688" s="71">
        <v>2746.86</v>
      </c>
      <c r="D688" s="71">
        <v>0.50599999999999989</v>
      </c>
      <c r="E688" s="71">
        <v>0</v>
      </c>
      <c r="F688" s="71">
        <v>4.5999999999999996</v>
      </c>
      <c r="G688" s="71">
        <v>108.61699999999999</v>
      </c>
      <c r="H688" s="71">
        <v>19.966999999999999</v>
      </c>
      <c r="I688" s="71">
        <v>0</v>
      </c>
      <c r="J688" s="71">
        <v>0</v>
      </c>
      <c r="K688" s="71">
        <v>0</v>
      </c>
      <c r="L688" s="71">
        <v>0</v>
      </c>
      <c r="M688" s="71">
        <v>15.027999999999999</v>
      </c>
      <c r="N688" s="71">
        <v>1.1869999999999998</v>
      </c>
      <c r="O688" s="71">
        <v>0</v>
      </c>
      <c r="P688" s="71">
        <v>19.005999999999997</v>
      </c>
      <c r="Q688" s="71">
        <v>178.61399999999998</v>
      </c>
      <c r="R688" s="71">
        <v>2056.3000000000002</v>
      </c>
      <c r="S688" s="71">
        <v>94.706999999999994</v>
      </c>
      <c r="T688" s="71">
        <v>137.34299999999999</v>
      </c>
    </row>
    <row r="689" spans="1:20">
      <c r="A689" s="71" t="s">
        <v>6034</v>
      </c>
      <c r="B689" s="71" t="s">
        <v>1922</v>
      </c>
      <c r="C689" s="71">
        <v>1447.5279999999998</v>
      </c>
      <c r="D689" s="71">
        <v>0.22899999999999998</v>
      </c>
      <c r="E689" s="71">
        <v>0</v>
      </c>
      <c r="F689" s="71">
        <v>3.47</v>
      </c>
      <c r="G689" s="71">
        <v>39.441999999999993</v>
      </c>
      <c r="H689" s="71">
        <v>10.978999999999999</v>
      </c>
      <c r="I689" s="71">
        <v>0</v>
      </c>
      <c r="J689" s="71">
        <v>0.5109999999999999</v>
      </c>
      <c r="K689" s="71">
        <v>0</v>
      </c>
      <c r="L689" s="71">
        <v>0</v>
      </c>
      <c r="M689" s="71">
        <v>0.88500000000000001</v>
      </c>
      <c r="N689" s="71">
        <v>7.4999999999999997E-2</v>
      </c>
      <c r="O689" s="71">
        <v>0</v>
      </c>
      <c r="P689" s="71">
        <v>42.967999999999996</v>
      </c>
      <c r="Q689" s="71">
        <v>69.42</v>
      </c>
      <c r="R689" s="71">
        <v>870.8</v>
      </c>
      <c r="S689" s="71">
        <v>18.226999999999997</v>
      </c>
      <c r="T689" s="71">
        <v>62</v>
      </c>
    </row>
    <row r="690" spans="1:20">
      <c r="A690" s="71" t="s">
        <v>7135</v>
      </c>
      <c r="B690" s="71" t="s">
        <v>3065</v>
      </c>
      <c r="C690" s="71">
        <v>405.03899999999999</v>
      </c>
      <c r="D690" s="71">
        <v>0</v>
      </c>
      <c r="E690" s="71">
        <v>0</v>
      </c>
      <c r="F690" s="71">
        <v>0.90599999999999992</v>
      </c>
      <c r="G690" s="71">
        <v>13.95</v>
      </c>
      <c r="H690" s="71">
        <v>2.0439999999999996</v>
      </c>
      <c r="I690" s="71">
        <v>0</v>
      </c>
      <c r="J690" s="71">
        <v>0</v>
      </c>
      <c r="K690" s="71">
        <v>0</v>
      </c>
      <c r="L690" s="71">
        <v>0</v>
      </c>
      <c r="M690" s="71">
        <v>0</v>
      </c>
      <c r="N690" s="71">
        <v>0.13799999999999998</v>
      </c>
      <c r="O690" s="71">
        <v>0</v>
      </c>
      <c r="P690" s="71">
        <v>8.956999999999999</v>
      </c>
      <c r="Q690" s="71">
        <v>26.535999999999998</v>
      </c>
      <c r="R690" s="71">
        <v>140.80000000000001</v>
      </c>
      <c r="S690" s="71">
        <v>0</v>
      </c>
      <c r="T690" s="71">
        <v>20.251949999999997</v>
      </c>
    </row>
    <row r="691" spans="1:20">
      <c r="A691" s="71" t="s">
        <v>7137</v>
      </c>
      <c r="B691" s="71" t="s">
        <v>3066</v>
      </c>
      <c r="C691" s="71">
        <v>337.04199999999997</v>
      </c>
      <c r="D691" s="71">
        <v>2.0999999999999998E-2</v>
      </c>
      <c r="E691" s="71">
        <v>0</v>
      </c>
      <c r="F691" s="71">
        <v>0.53599999999999992</v>
      </c>
      <c r="G691" s="71">
        <v>6.7429999999999994</v>
      </c>
      <c r="H691" s="71">
        <v>0.81099999999999994</v>
      </c>
      <c r="I691" s="71">
        <v>0</v>
      </c>
      <c r="J691" s="71">
        <v>0</v>
      </c>
      <c r="K691" s="71">
        <v>0</v>
      </c>
      <c r="L691" s="71">
        <v>0</v>
      </c>
      <c r="M691" s="71">
        <v>0</v>
      </c>
      <c r="N691" s="71">
        <v>0</v>
      </c>
      <c r="O691" s="71">
        <v>63.290999999999997</v>
      </c>
      <c r="P691" s="71">
        <v>17</v>
      </c>
      <c r="Q691" s="71">
        <v>8.9339999999999993</v>
      </c>
      <c r="R691" s="71">
        <v>207.8</v>
      </c>
      <c r="S691" s="71">
        <v>18.295999999999999</v>
      </c>
      <c r="T691" s="71">
        <v>16</v>
      </c>
    </row>
    <row r="692" spans="1:20">
      <c r="A692" s="71" t="s">
        <v>7139</v>
      </c>
      <c r="B692" s="71" t="s">
        <v>3067</v>
      </c>
      <c r="C692" s="71">
        <v>45.436</v>
      </c>
      <c r="D692" s="71">
        <v>0</v>
      </c>
      <c r="E692" s="71">
        <v>0</v>
      </c>
      <c r="F692" s="71">
        <v>3.6999999999999998E-2</v>
      </c>
      <c r="G692" s="71">
        <v>0.31399999999999995</v>
      </c>
      <c r="H692" s="71">
        <v>0</v>
      </c>
      <c r="I692" s="71">
        <v>0</v>
      </c>
      <c r="J692" s="71">
        <v>0</v>
      </c>
      <c r="K692" s="71">
        <v>0</v>
      </c>
      <c r="L692" s="71">
        <v>0</v>
      </c>
      <c r="M692" s="71">
        <v>0</v>
      </c>
      <c r="N692" s="71">
        <v>0</v>
      </c>
      <c r="O692" s="71">
        <v>0</v>
      </c>
      <c r="P692" s="71">
        <v>1.9139999999999999</v>
      </c>
      <c r="Q692" s="71">
        <v>0</v>
      </c>
      <c r="R692" s="71">
        <v>35.299999999999997</v>
      </c>
      <c r="S692" s="71">
        <v>2.9659999999999997</v>
      </c>
      <c r="T692" s="71">
        <v>2.2717999999999998</v>
      </c>
    </row>
    <row r="693" spans="1:20">
      <c r="A693" s="71" t="s">
        <v>1123</v>
      </c>
      <c r="B693" s="71" t="s">
        <v>1124</v>
      </c>
      <c r="C693" s="71">
        <v>59.314999999999998</v>
      </c>
      <c r="D693" s="71">
        <v>0</v>
      </c>
      <c r="E693" s="71">
        <v>0</v>
      </c>
      <c r="F693" s="71">
        <v>0</v>
      </c>
      <c r="G693" s="71">
        <v>0</v>
      </c>
      <c r="H693" s="71">
        <v>0</v>
      </c>
      <c r="I693" s="71">
        <v>0</v>
      </c>
      <c r="J693" s="71">
        <v>0</v>
      </c>
      <c r="K693" s="71">
        <v>0</v>
      </c>
      <c r="L693" s="71">
        <v>0</v>
      </c>
      <c r="M693" s="71">
        <v>0</v>
      </c>
      <c r="N693" s="71">
        <v>0</v>
      </c>
      <c r="O693" s="71">
        <v>0</v>
      </c>
      <c r="P693" s="71">
        <v>0</v>
      </c>
      <c r="Q693" s="71">
        <v>0</v>
      </c>
      <c r="R693" s="71">
        <v>0</v>
      </c>
      <c r="S693" s="71">
        <v>0</v>
      </c>
      <c r="T693" s="71">
        <v>0</v>
      </c>
    </row>
    <row r="694" spans="1:20">
      <c r="A694" s="71" t="s">
        <v>1125</v>
      </c>
      <c r="B694" s="71" t="s">
        <v>1126</v>
      </c>
      <c r="C694" s="71">
        <v>254.416</v>
      </c>
      <c r="D694" s="71">
        <v>0</v>
      </c>
      <c r="E694" s="71">
        <v>0</v>
      </c>
      <c r="F694" s="71">
        <v>0.218</v>
      </c>
      <c r="G694" s="71">
        <v>6.3929999999999998</v>
      </c>
      <c r="H694" s="71">
        <v>0.54699999999999993</v>
      </c>
      <c r="I694" s="71">
        <v>0</v>
      </c>
      <c r="J694" s="71">
        <v>0</v>
      </c>
      <c r="K694" s="71">
        <v>0</v>
      </c>
      <c r="L694" s="71">
        <v>0</v>
      </c>
      <c r="M694" s="71">
        <v>0</v>
      </c>
      <c r="N694" s="71">
        <v>0</v>
      </c>
      <c r="O694" s="71">
        <v>0</v>
      </c>
      <c r="P694" s="71">
        <v>0</v>
      </c>
      <c r="Q694" s="71">
        <v>0</v>
      </c>
      <c r="R694" s="71">
        <v>408.7</v>
      </c>
      <c r="S694" s="71">
        <v>6.5589999999999993</v>
      </c>
      <c r="T694" s="71">
        <v>0</v>
      </c>
    </row>
    <row r="695" spans="1:20">
      <c r="A695" s="71" t="s">
        <v>7141</v>
      </c>
      <c r="B695" s="71" t="s">
        <v>1127</v>
      </c>
      <c r="C695" s="71">
        <v>135.55500000000001</v>
      </c>
      <c r="D695" s="71">
        <v>6.8999999999999992E-2</v>
      </c>
      <c r="E695" s="71">
        <v>0</v>
      </c>
      <c r="F695" s="71">
        <v>2.5999999999999999E-2</v>
      </c>
      <c r="G695" s="71">
        <v>4.875</v>
      </c>
      <c r="H695" s="71">
        <v>0</v>
      </c>
      <c r="I695" s="71">
        <v>0</v>
      </c>
      <c r="J695" s="71">
        <v>0</v>
      </c>
      <c r="K695" s="71">
        <v>0</v>
      </c>
      <c r="L695" s="71">
        <v>0</v>
      </c>
      <c r="M695" s="71">
        <v>0</v>
      </c>
      <c r="N695" s="71">
        <v>3.9E-2</v>
      </c>
      <c r="O695" s="71">
        <v>0</v>
      </c>
      <c r="P695" s="71">
        <v>0</v>
      </c>
      <c r="Q695" s="71">
        <v>0</v>
      </c>
      <c r="R695" s="71">
        <v>154.5</v>
      </c>
      <c r="S695" s="71">
        <v>2.7329999999999997</v>
      </c>
      <c r="T695" s="71">
        <v>0</v>
      </c>
    </row>
    <row r="696" spans="1:20">
      <c r="A696" s="71" t="s">
        <v>7143</v>
      </c>
      <c r="B696" s="71" t="s">
        <v>1128</v>
      </c>
      <c r="C696" s="71">
        <v>269.69699999999995</v>
      </c>
      <c r="D696" s="71">
        <v>0</v>
      </c>
      <c r="E696" s="71">
        <v>0</v>
      </c>
      <c r="F696" s="71">
        <v>0.22599999999999998</v>
      </c>
      <c r="G696" s="71">
        <v>9.9389999999999983</v>
      </c>
      <c r="H696" s="71">
        <v>0</v>
      </c>
      <c r="I696" s="71">
        <v>0</v>
      </c>
      <c r="J696" s="71">
        <v>0</v>
      </c>
      <c r="K696" s="71">
        <v>0</v>
      </c>
      <c r="L696" s="71">
        <v>0</v>
      </c>
      <c r="M696" s="71">
        <v>0</v>
      </c>
      <c r="N696" s="71">
        <v>0</v>
      </c>
      <c r="O696" s="71">
        <v>0</v>
      </c>
      <c r="P696" s="71">
        <v>0</v>
      </c>
      <c r="Q696" s="71">
        <v>0</v>
      </c>
      <c r="R696" s="71">
        <v>284.8</v>
      </c>
      <c r="S696" s="71">
        <v>0</v>
      </c>
      <c r="T696" s="71">
        <v>0</v>
      </c>
    </row>
    <row r="697" spans="1:20">
      <c r="A697" s="71" t="s">
        <v>1129</v>
      </c>
      <c r="B697" s="71" t="s">
        <v>1130</v>
      </c>
      <c r="C697" s="71">
        <v>160.26299999999998</v>
      </c>
      <c r="D697" s="71">
        <v>0</v>
      </c>
      <c r="E697" s="71">
        <v>0</v>
      </c>
      <c r="F697" s="71">
        <v>0</v>
      </c>
      <c r="G697" s="71">
        <v>0</v>
      </c>
      <c r="H697" s="71">
        <v>0</v>
      </c>
      <c r="I697" s="71">
        <v>0</v>
      </c>
      <c r="J697" s="71">
        <v>0</v>
      </c>
      <c r="K697" s="71">
        <v>0</v>
      </c>
      <c r="L697" s="71">
        <v>0</v>
      </c>
      <c r="M697" s="71">
        <v>0</v>
      </c>
      <c r="N697" s="71">
        <v>2.2069999999999999</v>
      </c>
      <c r="O697" s="71">
        <v>0</v>
      </c>
      <c r="P697" s="71">
        <v>0</v>
      </c>
      <c r="Q697" s="71">
        <v>26.002999999999997</v>
      </c>
      <c r="R697" s="71">
        <v>194.2</v>
      </c>
      <c r="S697" s="71">
        <v>0</v>
      </c>
      <c r="T697" s="71">
        <v>0</v>
      </c>
    </row>
    <row r="698" spans="1:20">
      <c r="A698" s="71" t="s">
        <v>1131</v>
      </c>
      <c r="B698" s="71" t="s">
        <v>1132</v>
      </c>
      <c r="C698" s="71">
        <v>195.214</v>
      </c>
      <c r="D698" s="71">
        <v>0</v>
      </c>
      <c r="E698" s="71">
        <v>0</v>
      </c>
      <c r="F698" s="71">
        <v>0.28299999999999997</v>
      </c>
      <c r="G698" s="71">
        <v>6.2879999999999994</v>
      </c>
      <c r="H698" s="71">
        <v>0</v>
      </c>
      <c r="I698" s="71">
        <v>0</v>
      </c>
      <c r="J698" s="71">
        <v>0</v>
      </c>
      <c r="K698" s="71">
        <v>0</v>
      </c>
      <c r="L698" s="71">
        <v>0</v>
      </c>
      <c r="M698" s="71">
        <v>0</v>
      </c>
      <c r="N698" s="71">
        <v>0</v>
      </c>
      <c r="O698" s="71">
        <v>2.12</v>
      </c>
      <c r="P698" s="71">
        <v>0</v>
      </c>
      <c r="Q698" s="71">
        <v>0</v>
      </c>
      <c r="R698" s="71">
        <v>194.7</v>
      </c>
      <c r="S698" s="71">
        <v>0</v>
      </c>
      <c r="T698" s="71">
        <v>0</v>
      </c>
    </row>
    <row r="699" spans="1:20">
      <c r="A699" s="71" t="s">
        <v>6178</v>
      </c>
      <c r="B699" s="71" t="s">
        <v>3519</v>
      </c>
      <c r="C699" s="71">
        <v>4723.1899999999996</v>
      </c>
      <c r="D699" s="71">
        <v>0.77</v>
      </c>
      <c r="E699" s="71">
        <v>0</v>
      </c>
      <c r="F699" s="71">
        <v>8.6839999999999993</v>
      </c>
      <c r="G699" s="71">
        <v>178.94299999999998</v>
      </c>
      <c r="H699" s="71">
        <v>65.436999999999998</v>
      </c>
      <c r="I699" s="71">
        <v>0</v>
      </c>
      <c r="J699" s="71">
        <v>0</v>
      </c>
      <c r="K699" s="71">
        <v>0</v>
      </c>
      <c r="L699" s="71">
        <v>0</v>
      </c>
      <c r="M699" s="71">
        <v>17.015999999999998</v>
      </c>
      <c r="N699" s="71">
        <v>0.26299999999999996</v>
      </c>
      <c r="O699" s="71">
        <v>0</v>
      </c>
      <c r="P699" s="71">
        <v>6.2949999999999999</v>
      </c>
      <c r="Q699" s="71">
        <v>235.79799999999997</v>
      </c>
      <c r="R699" s="71">
        <v>1523.2</v>
      </c>
      <c r="S699" s="71">
        <v>107.122</v>
      </c>
      <c r="T699" s="71">
        <v>236.15949999999995</v>
      </c>
    </row>
    <row r="700" spans="1:20">
      <c r="A700" s="71" t="s">
        <v>7145</v>
      </c>
      <c r="B700" s="71" t="s">
        <v>3068</v>
      </c>
      <c r="C700" s="71">
        <v>8701.1429999999982</v>
      </c>
      <c r="D700" s="71">
        <v>2.4350000000000001</v>
      </c>
      <c r="E700" s="71">
        <v>4.3600000000000003</v>
      </c>
      <c r="F700" s="71">
        <v>13.54</v>
      </c>
      <c r="G700" s="71">
        <v>158.33099999999999</v>
      </c>
      <c r="H700" s="71">
        <v>58.647999999999996</v>
      </c>
      <c r="I700" s="71">
        <v>0</v>
      </c>
      <c r="J700" s="71">
        <v>4.1339999999999995</v>
      </c>
      <c r="K700" s="71">
        <v>0</v>
      </c>
      <c r="L700" s="71">
        <v>0</v>
      </c>
      <c r="M700" s="71">
        <v>19.388999999999999</v>
      </c>
      <c r="N700" s="71">
        <v>0.71799999999999997</v>
      </c>
      <c r="O700" s="71">
        <v>10.898</v>
      </c>
      <c r="P700" s="71">
        <v>146.79199999999997</v>
      </c>
      <c r="Q700" s="71">
        <v>377.46099999999996</v>
      </c>
      <c r="R700" s="71">
        <v>8471.2999999999993</v>
      </c>
      <c r="S700" s="71">
        <v>286.32599999999996</v>
      </c>
      <c r="T700" s="71">
        <v>193</v>
      </c>
    </row>
    <row r="701" spans="1:20">
      <c r="A701" s="71" t="s">
        <v>7147</v>
      </c>
      <c r="B701" s="71" t="s">
        <v>3069</v>
      </c>
      <c r="C701" s="71">
        <v>4399.3339999999998</v>
      </c>
      <c r="D701" s="71">
        <v>0.44399999999999995</v>
      </c>
      <c r="E701" s="71">
        <v>0</v>
      </c>
      <c r="F701" s="71">
        <v>7.2850000000000001</v>
      </c>
      <c r="G701" s="71">
        <v>100.26899999999999</v>
      </c>
      <c r="H701" s="71">
        <v>59.425999999999995</v>
      </c>
      <c r="I701" s="71">
        <v>0</v>
      </c>
      <c r="J701" s="71">
        <v>0</v>
      </c>
      <c r="K701" s="71">
        <v>0</v>
      </c>
      <c r="L701" s="71">
        <v>0.98199999999999998</v>
      </c>
      <c r="M701" s="71">
        <v>0</v>
      </c>
      <c r="N701" s="71">
        <v>0</v>
      </c>
      <c r="O701" s="71">
        <v>0</v>
      </c>
      <c r="P701" s="71">
        <v>53.238999999999997</v>
      </c>
      <c r="Q701" s="71">
        <v>280.59599999999995</v>
      </c>
      <c r="R701" s="71">
        <v>1285.2</v>
      </c>
      <c r="S701" s="71">
        <v>69.475999999999999</v>
      </c>
      <c r="T701" s="71">
        <v>192</v>
      </c>
    </row>
    <row r="702" spans="1:20">
      <c r="A702" s="71" t="s">
        <v>2808</v>
      </c>
      <c r="B702" s="71" t="s">
        <v>3054</v>
      </c>
      <c r="C702" s="71">
        <v>18138.272999999997</v>
      </c>
      <c r="D702" s="71">
        <v>5.2129999999999992</v>
      </c>
      <c r="E702" s="71">
        <v>17.959</v>
      </c>
      <c r="F702" s="71">
        <v>28.274999999999999</v>
      </c>
      <c r="G702" s="71">
        <v>264.077</v>
      </c>
      <c r="H702" s="71">
        <v>193.374</v>
      </c>
      <c r="I702" s="71">
        <v>0</v>
      </c>
      <c r="J702" s="71">
        <v>0.218</v>
      </c>
      <c r="K702" s="71">
        <v>0</v>
      </c>
      <c r="L702" s="71">
        <v>2.6379999999999999</v>
      </c>
      <c r="M702" s="71">
        <v>18.962999999999997</v>
      </c>
      <c r="N702" s="71">
        <v>6.0269999999999992</v>
      </c>
      <c r="O702" s="71">
        <v>8.5089999999999986</v>
      </c>
      <c r="P702" s="71">
        <v>496.97500000000002</v>
      </c>
      <c r="Q702" s="71">
        <v>565.74399999999991</v>
      </c>
      <c r="R702" s="71">
        <v>13271.7</v>
      </c>
      <c r="S702" s="71">
        <v>1046.0629999999999</v>
      </c>
      <c r="T702" s="71">
        <v>906.91364999999985</v>
      </c>
    </row>
    <row r="703" spans="1:20">
      <c r="A703" s="71" t="s">
        <v>2810</v>
      </c>
      <c r="B703" s="71" t="s">
        <v>6648</v>
      </c>
      <c r="C703" s="71">
        <v>238.392</v>
      </c>
      <c r="D703" s="71">
        <v>0</v>
      </c>
      <c r="E703" s="71">
        <v>0</v>
      </c>
      <c r="F703" s="71">
        <v>0.22500000000000001</v>
      </c>
      <c r="G703" s="71">
        <v>6.9349999999999996</v>
      </c>
      <c r="H703" s="71">
        <v>0.16899999999999998</v>
      </c>
      <c r="I703" s="71">
        <v>0</v>
      </c>
      <c r="J703" s="71">
        <v>0</v>
      </c>
      <c r="K703" s="71">
        <v>0</v>
      </c>
      <c r="L703" s="71">
        <v>0</v>
      </c>
      <c r="M703" s="71">
        <v>0.85099999999999998</v>
      </c>
      <c r="N703" s="71">
        <v>0</v>
      </c>
      <c r="O703" s="71">
        <v>0</v>
      </c>
      <c r="P703" s="71">
        <v>0.871</v>
      </c>
      <c r="Q703" s="71">
        <v>9.8069999999999986</v>
      </c>
      <c r="R703" s="71">
        <v>114.2</v>
      </c>
      <c r="S703" s="71">
        <v>1.6519999999999999</v>
      </c>
      <c r="T703" s="71">
        <v>11.919599999999999</v>
      </c>
    </row>
    <row r="704" spans="1:20">
      <c r="A704" s="71" t="s">
        <v>1859</v>
      </c>
      <c r="B704" s="71" t="s">
        <v>3916</v>
      </c>
      <c r="C704" s="71">
        <v>1711.7929999999999</v>
      </c>
      <c r="D704" s="71">
        <v>1.1709999999999998</v>
      </c>
      <c r="E704" s="71">
        <v>0</v>
      </c>
      <c r="F704" s="71">
        <v>3.0959999999999996</v>
      </c>
      <c r="G704" s="71">
        <v>45.825000000000003</v>
      </c>
      <c r="H704" s="71">
        <v>15.71</v>
      </c>
      <c r="I704" s="71">
        <v>0</v>
      </c>
      <c r="J704" s="71">
        <v>0</v>
      </c>
      <c r="K704" s="71">
        <v>0</v>
      </c>
      <c r="L704" s="71">
        <v>0</v>
      </c>
      <c r="M704" s="71">
        <v>7.125</v>
      </c>
      <c r="N704" s="71">
        <v>0.11699999999999999</v>
      </c>
      <c r="O704" s="71">
        <v>0</v>
      </c>
      <c r="P704" s="71">
        <v>27.288999999999998</v>
      </c>
      <c r="Q704" s="71">
        <v>121.255</v>
      </c>
      <c r="R704" s="71">
        <v>513</v>
      </c>
      <c r="S704" s="71">
        <v>36.510999999999996</v>
      </c>
      <c r="T704" s="71">
        <v>85.589649999999992</v>
      </c>
    </row>
    <row r="705" spans="1:20">
      <c r="A705" s="71" t="s">
        <v>1133</v>
      </c>
      <c r="B705" s="71" t="s">
        <v>1134</v>
      </c>
      <c r="C705" s="71">
        <v>208.61</v>
      </c>
      <c r="D705" s="71">
        <v>0</v>
      </c>
      <c r="E705" s="71">
        <v>0</v>
      </c>
      <c r="F705" s="71">
        <v>0</v>
      </c>
      <c r="G705" s="71">
        <v>0</v>
      </c>
      <c r="H705" s="71">
        <v>0</v>
      </c>
      <c r="I705" s="71">
        <v>0</v>
      </c>
      <c r="J705" s="71">
        <v>0</v>
      </c>
      <c r="K705" s="71">
        <v>0</v>
      </c>
      <c r="L705" s="71">
        <v>0</v>
      </c>
      <c r="M705" s="71">
        <v>0</v>
      </c>
      <c r="N705" s="71">
        <v>0</v>
      </c>
      <c r="O705" s="71">
        <v>0</v>
      </c>
      <c r="P705" s="71">
        <v>0</v>
      </c>
      <c r="Q705" s="71">
        <v>0</v>
      </c>
      <c r="R705" s="71">
        <v>0</v>
      </c>
      <c r="S705" s="71">
        <v>0</v>
      </c>
      <c r="T705" s="71">
        <v>0</v>
      </c>
    </row>
    <row r="706" spans="1:20">
      <c r="A706" s="71" t="s">
        <v>2812</v>
      </c>
      <c r="B706" s="71" t="s">
        <v>6649</v>
      </c>
      <c r="C706" s="71">
        <v>1004.332</v>
      </c>
      <c r="D706" s="71">
        <v>3.6999999999999998E-2</v>
      </c>
      <c r="E706" s="71">
        <v>0</v>
      </c>
      <c r="F706" s="71">
        <v>1.454</v>
      </c>
      <c r="G706" s="71">
        <v>36.780999999999999</v>
      </c>
      <c r="H706" s="71">
        <v>5.3619999999999992</v>
      </c>
      <c r="I706" s="71">
        <v>0</v>
      </c>
      <c r="J706" s="71">
        <v>0</v>
      </c>
      <c r="K706" s="71">
        <v>0</v>
      </c>
      <c r="L706" s="71">
        <v>0</v>
      </c>
      <c r="M706" s="71">
        <v>0</v>
      </c>
      <c r="N706" s="71">
        <v>7.8E-2</v>
      </c>
      <c r="O706" s="71">
        <v>0</v>
      </c>
      <c r="P706" s="71">
        <v>15.091999999999999</v>
      </c>
      <c r="Q706" s="71">
        <v>88.437999999999988</v>
      </c>
      <c r="R706" s="71">
        <v>872.5</v>
      </c>
      <c r="S706" s="71">
        <v>179.94499999999999</v>
      </c>
      <c r="T706" s="71">
        <v>50.216599999999993</v>
      </c>
    </row>
    <row r="707" spans="1:20">
      <c r="A707" s="71" t="s">
        <v>820</v>
      </c>
      <c r="B707" s="71" t="s">
        <v>1843</v>
      </c>
      <c r="C707" s="71">
        <v>5072.0679999999993</v>
      </c>
      <c r="D707" s="71">
        <v>0.6379999999999999</v>
      </c>
      <c r="E707" s="71">
        <v>0</v>
      </c>
      <c r="F707" s="71">
        <v>9.270999999999999</v>
      </c>
      <c r="G707" s="71">
        <v>130.44099999999997</v>
      </c>
      <c r="H707" s="71">
        <v>37.192999999999998</v>
      </c>
      <c r="I707" s="71">
        <v>0</v>
      </c>
      <c r="J707" s="71">
        <v>0</v>
      </c>
      <c r="K707" s="71">
        <v>0</v>
      </c>
      <c r="L707" s="71">
        <v>0</v>
      </c>
      <c r="M707" s="71">
        <v>0</v>
      </c>
      <c r="N707" s="71">
        <v>4.9289999999999994</v>
      </c>
      <c r="O707" s="71">
        <v>0</v>
      </c>
      <c r="P707" s="71">
        <v>55.645000000000003</v>
      </c>
      <c r="Q707" s="71">
        <v>233.47799999999998</v>
      </c>
      <c r="R707" s="71">
        <v>4040.7</v>
      </c>
      <c r="S707" s="71">
        <v>236.101</v>
      </c>
      <c r="T707" s="71">
        <v>253.60299999999998</v>
      </c>
    </row>
    <row r="708" spans="1:20">
      <c r="A708" s="71" t="s">
        <v>127</v>
      </c>
      <c r="B708" s="71" t="s">
        <v>7655</v>
      </c>
      <c r="C708" s="71">
        <v>566.255</v>
      </c>
      <c r="D708" s="71">
        <v>0</v>
      </c>
      <c r="E708" s="71">
        <v>0</v>
      </c>
      <c r="F708" s="71">
        <v>0.79899999999999993</v>
      </c>
      <c r="G708" s="71">
        <v>16.567999999999998</v>
      </c>
      <c r="H708" s="71">
        <v>4.351</v>
      </c>
      <c r="I708" s="71">
        <v>0</v>
      </c>
      <c r="J708" s="71">
        <v>0</v>
      </c>
      <c r="K708" s="71">
        <v>0</v>
      </c>
      <c r="L708" s="71">
        <v>0</v>
      </c>
      <c r="M708" s="71">
        <v>0</v>
      </c>
      <c r="N708" s="71">
        <v>0</v>
      </c>
      <c r="O708" s="71">
        <v>0</v>
      </c>
      <c r="P708" s="71">
        <v>11.197999999999999</v>
      </c>
      <c r="Q708" s="71">
        <v>28.184999999999999</v>
      </c>
      <c r="R708" s="71">
        <v>471.8</v>
      </c>
      <c r="S708" s="71">
        <v>55.055</v>
      </c>
      <c r="T708" s="71">
        <v>28.312749999999998</v>
      </c>
    </row>
    <row r="709" spans="1:20">
      <c r="A709" s="71" t="s">
        <v>6189</v>
      </c>
      <c r="B709" s="71" t="s">
        <v>3625</v>
      </c>
      <c r="C709" s="71">
        <v>1563.2089999999998</v>
      </c>
      <c r="D709" s="71">
        <v>0</v>
      </c>
      <c r="E709" s="71">
        <v>0</v>
      </c>
      <c r="F709" s="71">
        <v>2.5829999999999997</v>
      </c>
      <c r="G709" s="71">
        <v>61.413999999999994</v>
      </c>
      <c r="H709" s="71">
        <v>3.0759999999999996</v>
      </c>
      <c r="I709" s="71">
        <v>0</v>
      </c>
      <c r="J709" s="71">
        <v>0</v>
      </c>
      <c r="K709" s="71">
        <v>0</v>
      </c>
      <c r="L709" s="71">
        <v>0</v>
      </c>
      <c r="M709" s="71">
        <v>0</v>
      </c>
      <c r="N709" s="71">
        <v>0</v>
      </c>
      <c r="O709" s="71">
        <v>0</v>
      </c>
      <c r="P709" s="71">
        <v>16.783999999999999</v>
      </c>
      <c r="Q709" s="71">
        <v>76.085999999999999</v>
      </c>
      <c r="R709" s="71">
        <v>1031.7</v>
      </c>
      <c r="S709" s="71">
        <v>40.869</v>
      </c>
      <c r="T709" s="71">
        <v>78.16</v>
      </c>
    </row>
    <row r="710" spans="1:20">
      <c r="A710" s="71" t="s">
        <v>5130</v>
      </c>
      <c r="B710" s="71" t="s">
        <v>349</v>
      </c>
      <c r="C710" s="71">
        <v>787.7</v>
      </c>
      <c r="D710" s="71">
        <v>0.24</v>
      </c>
      <c r="E710" s="71">
        <v>0</v>
      </c>
      <c r="F710" s="71">
        <v>1.29</v>
      </c>
      <c r="G710" s="71">
        <v>29.602999999999998</v>
      </c>
      <c r="H710" s="71">
        <v>5.1819999999999995</v>
      </c>
      <c r="I710" s="71">
        <v>0</v>
      </c>
      <c r="J710" s="71">
        <v>0</v>
      </c>
      <c r="K710" s="71">
        <v>0</v>
      </c>
      <c r="L710" s="71">
        <v>0</v>
      </c>
      <c r="M710" s="71">
        <v>0</v>
      </c>
      <c r="N710" s="71">
        <v>0</v>
      </c>
      <c r="O710" s="71">
        <v>0</v>
      </c>
      <c r="P710" s="71">
        <v>29.97</v>
      </c>
      <c r="Q710" s="71">
        <v>35.623999999999995</v>
      </c>
      <c r="R710" s="71">
        <v>663.5</v>
      </c>
      <c r="S710" s="71">
        <v>93.405999999999992</v>
      </c>
      <c r="T710" s="71">
        <v>39.384999999999998</v>
      </c>
    </row>
    <row r="711" spans="1:20">
      <c r="A711" s="71" t="s">
        <v>2815</v>
      </c>
      <c r="B711" s="71" t="s">
        <v>6650</v>
      </c>
      <c r="C711" s="71">
        <v>76.643999999999991</v>
      </c>
      <c r="D711" s="71">
        <v>0</v>
      </c>
      <c r="E711" s="71">
        <v>0</v>
      </c>
      <c r="F711" s="71">
        <v>0.24199999999999999</v>
      </c>
      <c r="G711" s="71">
        <v>0.46899999999999997</v>
      </c>
      <c r="H711" s="71">
        <v>0</v>
      </c>
      <c r="I711" s="71">
        <v>0</v>
      </c>
      <c r="J711" s="71">
        <v>0</v>
      </c>
      <c r="K711" s="71">
        <v>0</v>
      </c>
      <c r="L711" s="71">
        <v>0</v>
      </c>
      <c r="M711" s="71">
        <v>0</v>
      </c>
      <c r="N711" s="71">
        <v>0</v>
      </c>
      <c r="O711" s="71">
        <v>0</v>
      </c>
      <c r="P711" s="71">
        <v>0</v>
      </c>
      <c r="Q711" s="71">
        <v>0</v>
      </c>
      <c r="R711" s="71">
        <v>47.3</v>
      </c>
      <c r="S711" s="71">
        <v>4.6550000000000002</v>
      </c>
      <c r="T711" s="71">
        <v>3.8319999999999999</v>
      </c>
    </row>
    <row r="712" spans="1:20">
      <c r="A712" s="71" t="s">
        <v>3888</v>
      </c>
      <c r="B712" s="71" t="s">
        <v>7678</v>
      </c>
      <c r="C712" s="71">
        <v>3103.2559999999999</v>
      </c>
      <c r="D712" s="71">
        <v>0</v>
      </c>
      <c r="E712" s="71">
        <v>0</v>
      </c>
      <c r="F712" s="71">
        <v>5.0479999999999992</v>
      </c>
      <c r="G712" s="71">
        <v>72.86</v>
      </c>
      <c r="H712" s="71">
        <v>7.38</v>
      </c>
      <c r="I712" s="71">
        <v>0</v>
      </c>
      <c r="J712" s="71">
        <v>0</v>
      </c>
      <c r="K712" s="71">
        <v>0</v>
      </c>
      <c r="L712" s="71">
        <v>0</v>
      </c>
      <c r="M712" s="71">
        <v>0</v>
      </c>
      <c r="N712" s="71">
        <v>1.2669999999999999</v>
      </c>
      <c r="O712" s="71">
        <v>9.1300000000000008</v>
      </c>
      <c r="P712" s="71">
        <v>109.30500000000001</v>
      </c>
      <c r="Q712" s="71">
        <v>122.28599999999999</v>
      </c>
      <c r="R712" s="71">
        <v>1818</v>
      </c>
      <c r="S712" s="71">
        <v>182.34399999999999</v>
      </c>
      <c r="T712" s="71">
        <v>155.16279999999998</v>
      </c>
    </row>
    <row r="713" spans="1:20">
      <c r="A713" s="71" t="s">
        <v>977</v>
      </c>
      <c r="B713" s="71" t="s">
        <v>2147</v>
      </c>
      <c r="C713" s="71">
        <v>7575.87</v>
      </c>
      <c r="D713" s="71">
        <v>0.25199999999999995</v>
      </c>
      <c r="E713" s="71">
        <v>0</v>
      </c>
      <c r="F713" s="71">
        <v>9.5409999999999986</v>
      </c>
      <c r="G713" s="71">
        <v>135.46699999999998</v>
      </c>
      <c r="H713" s="71">
        <v>38.052</v>
      </c>
      <c r="I713" s="71">
        <v>0</v>
      </c>
      <c r="J713" s="71">
        <v>0</v>
      </c>
      <c r="K713" s="71">
        <v>0</v>
      </c>
      <c r="L713" s="71">
        <v>0</v>
      </c>
      <c r="M713" s="71">
        <v>0</v>
      </c>
      <c r="N713" s="71">
        <v>0.73599999999999999</v>
      </c>
      <c r="O713" s="71">
        <v>10.75</v>
      </c>
      <c r="P713" s="71">
        <v>235.94699999999997</v>
      </c>
      <c r="Q713" s="71">
        <v>411.541</v>
      </c>
      <c r="R713" s="71">
        <v>1841</v>
      </c>
      <c r="S713" s="71">
        <v>98.898999999999987</v>
      </c>
      <c r="T713" s="71">
        <v>378.79299999999995</v>
      </c>
    </row>
    <row r="714" spans="1:20">
      <c r="A714" s="71" t="s">
        <v>739</v>
      </c>
      <c r="B714" s="71" t="s">
        <v>6113</v>
      </c>
      <c r="C714" s="71">
        <v>6001.86</v>
      </c>
      <c r="D714" s="71">
        <v>8.299999999999999E-2</v>
      </c>
      <c r="E714" s="71">
        <v>0</v>
      </c>
      <c r="F714" s="71">
        <v>11.348999999999998</v>
      </c>
      <c r="G714" s="71">
        <v>151.38199999999998</v>
      </c>
      <c r="H714" s="71">
        <v>56.515000000000001</v>
      </c>
      <c r="I714" s="71">
        <v>0</v>
      </c>
      <c r="J714" s="71">
        <v>0</v>
      </c>
      <c r="K714" s="71">
        <v>0</v>
      </c>
      <c r="L714" s="71">
        <v>0</v>
      </c>
      <c r="M714" s="71">
        <v>1.218</v>
      </c>
      <c r="N714" s="71">
        <v>3.5859999999999999</v>
      </c>
      <c r="O714" s="71">
        <v>2.1289999999999996</v>
      </c>
      <c r="P714" s="71">
        <v>153.87899999999999</v>
      </c>
      <c r="Q714" s="71">
        <v>275.20299999999997</v>
      </c>
      <c r="R714" s="71">
        <v>3502.7</v>
      </c>
      <c r="S714" s="71">
        <v>840.10299999999995</v>
      </c>
      <c r="T714" s="71">
        <v>300.09299999999996</v>
      </c>
    </row>
    <row r="715" spans="1:20">
      <c r="A715" s="71" t="s">
        <v>1855</v>
      </c>
      <c r="B715" s="71" t="s">
        <v>4968</v>
      </c>
      <c r="C715" s="71">
        <v>1062.654</v>
      </c>
      <c r="D715" s="71">
        <v>0</v>
      </c>
      <c r="E715" s="71">
        <v>0</v>
      </c>
      <c r="F715" s="71">
        <v>3.2919999999999998</v>
      </c>
      <c r="G715" s="71">
        <v>32.640999999999998</v>
      </c>
      <c r="H715" s="71">
        <v>5.3229999999999995</v>
      </c>
      <c r="I715" s="71">
        <v>0</v>
      </c>
      <c r="J715" s="71">
        <v>0</v>
      </c>
      <c r="K715" s="71">
        <v>0</v>
      </c>
      <c r="L715" s="71">
        <v>0</v>
      </c>
      <c r="M715" s="71">
        <v>2.1879999999999997</v>
      </c>
      <c r="N715" s="71">
        <v>7.8999999999999987E-2</v>
      </c>
      <c r="O715" s="71">
        <v>0</v>
      </c>
      <c r="P715" s="71">
        <v>22.736999999999998</v>
      </c>
      <c r="Q715" s="71">
        <v>43.730999999999995</v>
      </c>
      <c r="R715" s="71">
        <v>442.3</v>
      </c>
      <c r="S715" s="71">
        <v>29.093</v>
      </c>
      <c r="T715" s="71">
        <v>52</v>
      </c>
    </row>
    <row r="716" spans="1:20">
      <c r="A716" s="71" t="s">
        <v>6025</v>
      </c>
      <c r="B716" s="71" t="s">
        <v>1910</v>
      </c>
      <c r="C716" s="71">
        <v>4226.8729999999996</v>
      </c>
      <c r="D716" s="71">
        <v>0.34299999999999997</v>
      </c>
      <c r="E716" s="71">
        <v>0</v>
      </c>
      <c r="F716" s="71">
        <v>7.0039999999999996</v>
      </c>
      <c r="G716" s="71">
        <v>115.315</v>
      </c>
      <c r="H716" s="71">
        <v>17.270999999999997</v>
      </c>
      <c r="I716" s="71">
        <v>0</v>
      </c>
      <c r="J716" s="71">
        <v>0</v>
      </c>
      <c r="K716" s="71">
        <v>0</v>
      </c>
      <c r="L716" s="71">
        <v>0</v>
      </c>
      <c r="M716" s="71">
        <v>3.3869999999999996</v>
      </c>
      <c r="N716" s="71">
        <v>3.0089999999999999</v>
      </c>
      <c r="O716" s="71">
        <v>8.6409999999999982</v>
      </c>
      <c r="P716" s="71">
        <v>91.623999999999995</v>
      </c>
      <c r="Q716" s="71">
        <v>157.75799999999998</v>
      </c>
      <c r="R716" s="71">
        <v>1961.2</v>
      </c>
      <c r="S716" s="71">
        <v>171.27</v>
      </c>
      <c r="T716" s="71">
        <v>211.34364999999997</v>
      </c>
    </row>
    <row r="717" spans="1:20">
      <c r="A717" s="71" t="s">
        <v>2817</v>
      </c>
      <c r="B717" s="71" t="s">
        <v>6651</v>
      </c>
      <c r="C717" s="71">
        <v>762.47</v>
      </c>
      <c r="D717" s="71">
        <v>0</v>
      </c>
      <c r="E717" s="71">
        <v>0</v>
      </c>
      <c r="F717" s="71">
        <v>2.1539999999999999</v>
      </c>
      <c r="G717" s="71">
        <v>24.145</v>
      </c>
      <c r="H717" s="71">
        <v>3.1569999999999996</v>
      </c>
      <c r="I717" s="71">
        <v>0</v>
      </c>
      <c r="J717" s="71">
        <v>0</v>
      </c>
      <c r="K717" s="71">
        <v>0</v>
      </c>
      <c r="L717" s="71">
        <v>0</v>
      </c>
      <c r="M717" s="71">
        <v>1.7609999999999999</v>
      </c>
      <c r="N717" s="71">
        <v>0.02</v>
      </c>
      <c r="O717" s="71">
        <v>6.4019999999999992</v>
      </c>
      <c r="P717" s="71">
        <v>52.369</v>
      </c>
      <c r="Q717" s="71">
        <v>34.577999999999996</v>
      </c>
      <c r="R717" s="71">
        <v>650.29999999999995</v>
      </c>
      <c r="S717" s="71">
        <v>145.892</v>
      </c>
      <c r="T717" s="71">
        <v>38.123499999999993</v>
      </c>
    </row>
    <row r="718" spans="1:20">
      <c r="A718" s="71" t="s">
        <v>128</v>
      </c>
      <c r="B718" s="71" t="s">
        <v>362</v>
      </c>
      <c r="C718" s="71">
        <v>850.59099999999989</v>
      </c>
      <c r="D718" s="71">
        <v>0</v>
      </c>
      <c r="E718" s="71">
        <v>0</v>
      </c>
      <c r="F718" s="71">
        <v>2.9249999999999998</v>
      </c>
      <c r="G718" s="71">
        <v>29.959</v>
      </c>
      <c r="H718" s="71">
        <v>5.6609999999999996</v>
      </c>
      <c r="I718" s="71">
        <v>0</v>
      </c>
      <c r="J718" s="71">
        <v>0</v>
      </c>
      <c r="K718" s="71">
        <v>0</v>
      </c>
      <c r="L718" s="71">
        <v>0</v>
      </c>
      <c r="M718" s="71">
        <v>1.3259999999999998</v>
      </c>
      <c r="N718" s="71">
        <v>0.311</v>
      </c>
      <c r="O718" s="71">
        <v>0.14000000000000001</v>
      </c>
      <c r="P718" s="71">
        <v>22.375</v>
      </c>
      <c r="Q718" s="71">
        <v>31.348999999999997</v>
      </c>
      <c r="R718" s="71">
        <v>354.3</v>
      </c>
      <c r="S718" s="71">
        <v>9.4959999999999987</v>
      </c>
      <c r="T718" s="71">
        <v>42.529549999999993</v>
      </c>
    </row>
    <row r="719" spans="1:20">
      <c r="A719" s="71" t="s">
        <v>3551</v>
      </c>
      <c r="B719" s="71" t="s">
        <v>7131</v>
      </c>
      <c r="C719" s="71">
        <v>1588.1659999999999</v>
      </c>
      <c r="D719" s="71">
        <v>0.49099999999999999</v>
      </c>
      <c r="E719" s="71">
        <v>0</v>
      </c>
      <c r="F719" s="71">
        <v>4.0379999999999994</v>
      </c>
      <c r="G719" s="71">
        <v>76.483999999999995</v>
      </c>
      <c r="H719" s="71">
        <v>9.5859999999999985</v>
      </c>
      <c r="I719" s="71">
        <v>0</v>
      </c>
      <c r="J719" s="71">
        <v>0</v>
      </c>
      <c r="K719" s="71">
        <v>0</v>
      </c>
      <c r="L719" s="71">
        <v>0</v>
      </c>
      <c r="M719" s="71">
        <v>0.248</v>
      </c>
      <c r="N719" s="71">
        <v>0.83099999999999996</v>
      </c>
      <c r="O719" s="71">
        <v>0</v>
      </c>
      <c r="P719" s="71">
        <v>36.197999999999993</v>
      </c>
      <c r="Q719" s="71">
        <v>80.751999999999995</v>
      </c>
      <c r="R719" s="71">
        <v>1263.3</v>
      </c>
      <c r="S719" s="71">
        <v>163.827</v>
      </c>
      <c r="T719" s="71">
        <v>79.407999999999987</v>
      </c>
    </row>
    <row r="720" spans="1:20">
      <c r="A720" s="71" t="s">
        <v>1851</v>
      </c>
      <c r="B720" s="71" t="s">
        <v>126</v>
      </c>
      <c r="C720" s="71">
        <v>1319</v>
      </c>
      <c r="D720" s="71">
        <v>0.14499999999999999</v>
      </c>
      <c r="E720" s="71">
        <v>0</v>
      </c>
      <c r="F720" s="71">
        <v>2.9419999999999997</v>
      </c>
      <c r="G720" s="71">
        <v>59.253999999999998</v>
      </c>
      <c r="H720" s="71">
        <v>17.162999999999997</v>
      </c>
      <c r="I720" s="71">
        <v>0</v>
      </c>
      <c r="J720" s="71">
        <v>0</v>
      </c>
      <c r="K720" s="71">
        <v>0</v>
      </c>
      <c r="L720" s="71">
        <v>0</v>
      </c>
      <c r="M720" s="71">
        <v>0.39599999999999996</v>
      </c>
      <c r="N720" s="71">
        <v>0</v>
      </c>
      <c r="O720" s="71">
        <v>1.6159999999999999</v>
      </c>
      <c r="P720" s="71">
        <v>35.855999999999995</v>
      </c>
      <c r="Q720" s="71">
        <v>66.608999999999995</v>
      </c>
      <c r="R720" s="71">
        <v>608.79999999999995</v>
      </c>
      <c r="S720" s="71">
        <v>62.372999999999998</v>
      </c>
      <c r="T720" s="71">
        <v>65.95</v>
      </c>
    </row>
    <row r="721" spans="1:20">
      <c r="A721" s="71" t="s">
        <v>267</v>
      </c>
      <c r="B721" s="71" t="s">
        <v>7684</v>
      </c>
      <c r="C721" s="71">
        <v>683.61199999999997</v>
      </c>
      <c r="D721" s="71">
        <v>0</v>
      </c>
      <c r="E721" s="71">
        <v>0</v>
      </c>
      <c r="F721" s="71">
        <v>1.2029999999999998</v>
      </c>
      <c r="G721" s="71">
        <v>15.156999999999998</v>
      </c>
      <c r="H721" s="71">
        <v>12.83</v>
      </c>
      <c r="I721" s="71">
        <v>0</v>
      </c>
      <c r="J721" s="71">
        <v>0</v>
      </c>
      <c r="K721" s="71">
        <v>0</v>
      </c>
      <c r="L721" s="71">
        <v>0</v>
      </c>
      <c r="M721" s="71">
        <v>3.855</v>
      </c>
      <c r="N721" s="71">
        <v>0.5</v>
      </c>
      <c r="O721" s="71">
        <v>1.2919999999999998</v>
      </c>
      <c r="P721" s="71">
        <v>43.232999999999997</v>
      </c>
      <c r="Q721" s="71">
        <v>39.288999999999994</v>
      </c>
      <c r="R721" s="71">
        <v>449.7</v>
      </c>
      <c r="S721" s="71">
        <v>52.252999999999993</v>
      </c>
      <c r="T721" s="71">
        <v>34.180599999999991</v>
      </c>
    </row>
    <row r="722" spans="1:20">
      <c r="A722" s="71" t="s">
        <v>2819</v>
      </c>
      <c r="B722" s="71" t="s">
        <v>6652</v>
      </c>
      <c r="C722" s="71">
        <v>461.40599999999995</v>
      </c>
      <c r="D722" s="71">
        <v>8.299999999999999E-2</v>
      </c>
      <c r="E722" s="71">
        <v>0</v>
      </c>
      <c r="F722" s="71">
        <v>0.96399999999999997</v>
      </c>
      <c r="G722" s="71">
        <v>19.817999999999998</v>
      </c>
      <c r="H722" s="71">
        <v>6.3999999999999987E-2</v>
      </c>
      <c r="I722" s="71">
        <v>0</v>
      </c>
      <c r="J722" s="71">
        <v>0</v>
      </c>
      <c r="K722" s="71">
        <v>0</v>
      </c>
      <c r="L722" s="71">
        <v>0</v>
      </c>
      <c r="M722" s="71">
        <v>4.1449999999999996</v>
      </c>
      <c r="N722" s="71">
        <v>2.8999999999999998E-2</v>
      </c>
      <c r="O722" s="71">
        <v>0</v>
      </c>
      <c r="P722" s="71">
        <v>24.744</v>
      </c>
      <c r="Q722" s="71">
        <v>22.398999999999997</v>
      </c>
      <c r="R722" s="71">
        <v>337.3</v>
      </c>
      <c r="S722" s="71">
        <v>14.707999999999998</v>
      </c>
      <c r="T722" s="71">
        <v>23.07</v>
      </c>
    </row>
    <row r="723" spans="1:20">
      <c r="A723" s="71" t="s">
        <v>1863</v>
      </c>
      <c r="B723" s="71" t="s">
        <v>3839</v>
      </c>
      <c r="C723" s="71">
        <v>691.58899999999994</v>
      </c>
      <c r="D723" s="71">
        <v>4.2999999999999997E-2</v>
      </c>
      <c r="E723" s="71">
        <v>0</v>
      </c>
      <c r="F723" s="71">
        <v>1.2949999999999999</v>
      </c>
      <c r="G723" s="71">
        <v>21.66</v>
      </c>
      <c r="H723" s="71">
        <v>4.9429999999999996</v>
      </c>
      <c r="I723" s="71">
        <v>0</v>
      </c>
      <c r="J723" s="71">
        <v>0</v>
      </c>
      <c r="K723" s="71">
        <v>0</v>
      </c>
      <c r="L723" s="71">
        <v>0</v>
      </c>
      <c r="M723" s="71">
        <v>0</v>
      </c>
      <c r="N723" s="71">
        <v>0.14000000000000001</v>
      </c>
      <c r="O723" s="71">
        <v>1.7789999999999999</v>
      </c>
      <c r="P723" s="71">
        <v>41.398999999999994</v>
      </c>
      <c r="Q723" s="71">
        <v>51.757999999999996</v>
      </c>
      <c r="R723" s="71">
        <v>422.5</v>
      </c>
      <c r="S723" s="71">
        <v>4.2929999999999993</v>
      </c>
      <c r="T723" s="71">
        <v>30</v>
      </c>
    </row>
    <row r="724" spans="1:20">
      <c r="A724" s="71" t="s">
        <v>449</v>
      </c>
      <c r="B724" s="71" t="s">
        <v>6155</v>
      </c>
      <c r="C724" s="71">
        <v>117.765</v>
      </c>
      <c r="D724" s="71">
        <v>0</v>
      </c>
      <c r="E724" s="71">
        <v>0</v>
      </c>
      <c r="F724" s="71">
        <v>0.20699999999999999</v>
      </c>
      <c r="G724" s="71">
        <v>8.4759999999999991</v>
      </c>
      <c r="H724" s="71">
        <v>0.41099999999999998</v>
      </c>
      <c r="I724" s="71">
        <v>0</v>
      </c>
      <c r="J724" s="71">
        <v>0</v>
      </c>
      <c r="K724" s="71">
        <v>0</v>
      </c>
      <c r="L724" s="71">
        <v>0</v>
      </c>
      <c r="M724" s="71">
        <v>0.68099999999999994</v>
      </c>
      <c r="N724" s="71">
        <v>0</v>
      </c>
      <c r="O724" s="71">
        <v>0</v>
      </c>
      <c r="P724" s="71">
        <v>2.1719999999999997</v>
      </c>
      <c r="Q724" s="71">
        <v>9.59</v>
      </c>
      <c r="R724" s="71">
        <v>114.8</v>
      </c>
      <c r="S724" s="71">
        <v>0</v>
      </c>
      <c r="T724" s="71">
        <v>5.8879999999999999</v>
      </c>
    </row>
    <row r="725" spans="1:20">
      <c r="A725" s="71" t="s">
        <v>5138</v>
      </c>
      <c r="B725" s="71" t="s">
        <v>2354</v>
      </c>
      <c r="C725" s="71">
        <v>625.28499999999997</v>
      </c>
      <c r="D725" s="71">
        <v>0.16699999999999998</v>
      </c>
      <c r="E725" s="71">
        <v>0</v>
      </c>
      <c r="F725" s="71">
        <v>0.80500000000000005</v>
      </c>
      <c r="G725" s="71">
        <v>13.792999999999999</v>
      </c>
      <c r="H725" s="71">
        <v>1.496</v>
      </c>
      <c r="I725" s="71">
        <v>0</v>
      </c>
      <c r="J725" s="71">
        <v>0</v>
      </c>
      <c r="K725" s="71">
        <v>0</v>
      </c>
      <c r="L725" s="71">
        <v>0</v>
      </c>
      <c r="M725" s="71">
        <v>0.97399999999999998</v>
      </c>
      <c r="N725" s="71">
        <v>0.55599999999999994</v>
      </c>
      <c r="O725" s="71">
        <v>0</v>
      </c>
      <c r="P725" s="71">
        <v>43.68</v>
      </c>
      <c r="Q725" s="71">
        <v>47.195</v>
      </c>
      <c r="R725" s="71">
        <v>459</v>
      </c>
      <c r="S725" s="71">
        <v>18.18</v>
      </c>
      <c r="T725" s="71">
        <v>31.263999999999999</v>
      </c>
    </row>
    <row r="726" spans="1:20">
      <c r="A726" s="71" t="s">
        <v>6027</v>
      </c>
      <c r="B726" s="71" t="s">
        <v>1912</v>
      </c>
      <c r="C726" s="71">
        <v>922.28199999999993</v>
      </c>
      <c r="D726" s="71">
        <v>8.0999999999999989E-2</v>
      </c>
      <c r="E726" s="71">
        <v>0</v>
      </c>
      <c r="F726" s="71">
        <v>1.1689999999999998</v>
      </c>
      <c r="G726" s="71">
        <v>32.545999999999999</v>
      </c>
      <c r="H726" s="71">
        <v>7.5719999999999992</v>
      </c>
      <c r="I726" s="71">
        <v>0</v>
      </c>
      <c r="J726" s="71">
        <v>0</v>
      </c>
      <c r="K726" s="71">
        <v>0</v>
      </c>
      <c r="L726" s="71">
        <v>0</v>
      </c>
      <c r="M726" s="71">
        <v>3.4319999999999999</v>
      </c>
      <c r="N726" s="71">
        <v>0.88</v>
      </c>
      <c r="O726" s="71">
        <v>0</v>
      </c>
      <c r="P726" s="71">
        <v>11.957999999999998</v>
      </c>
      <c r="Q726" s="71">
        <v>60.511999999999993</v>
      </c>
      <c r="R726" s="71">
        <v>624.20000000000005</v>
      </c>
      <c r="S726" s="71">
        <v>14.920999999999999</v>
      </c>
      <c r="T726" s="71">
        <v>46.113999999999997</v>
      </c>
    </row>
    <row r="727" spans="1:20">
      <c r="A727" s="71" t="s">
        <v>450</v>
      </c>
      <c r="B727" s="71" t="s">
        <v>1917</v>
      </c>
      <c r="C727" s="71">
        <v>722.90599999999995</v>
      </c>
      <c r="D727" s="71">
        <v>0.187</v>
      </c>
      <c r="E727" s="71">
        <v>0</v>
      </c>
      <c r="F727" s="71">
        <v>1.6559999999999999</v>
      </c>
      <c r="G727" s="71">
        <v>22.036999999999999</v>
      </c>
      <c r="H727" s="71">
        <v>5.6039999999999992</v>
      </c>
      <c r="I727" s="71">
        <v>0</v>
      </c>
      <c r="J727" s="71">
        <v>0</v>
      </c>
      <c r="K727" s="71">
        <v>0</v>
      </c>
      <c r="L727" s="71">
        <v>0</v>
      </c>
      <c r="M727" s="71">
        <v>0</v>
      </c>
      <c r="N727" s="71">
        <v>0.56399999999999995</v>
      </c>
      <c r="O727" s="71">
        <v>0</v>
      </c>
      <c r="P727" s="71">
        <v>26.271999999999998</v>
      </c>
      <c r="Q727" s="71">
        <v>48.056999999999995</v>
      </c>
      <c r="R727" s="71">
        <v>616</v>
      </c>
      <c r="S727" s="71">
        <v>9.2739999999999991</v>
      </c>
      <c r="T727" s="71">
        <v>36.145000000000003</v>
      </c>
    </row>
    <row r="728" spans="1:20">
      <c r="A728" s="71" t="s">
        <v>516</v>
      </c>
      <c r="B728" s="71" t="s">
        <v>6653</v>
      </c>
      <c r="C728" s="71">
        <v>276.31399999999996</v>
      </c>
      <c r="D728" s="71">
        <v>0</v>
      </c>
      <c r="E728" s="71">
        <v>0</v>
      </c>
      <c r="F728" s="71">
        <v>0.26199999999999996</v>
      </c>
      <c r="G728" s="71">
        <v>8.8000000000000007</v>
      </c>
      <c r="H728" s="71">
        <v>1.6839999999999999</v>
      </c>
      <c r="I728" s="71">
        <v>0</v>
      </c>
      <c r="J728" s="71">
        <v>0</v>
      </c>
      <c r="K728" s="71">
        <v>0</v>
      </c>
      <c r="L728" s="71">
        <v>0</v>
      </c>
      <c r="M728" s="71">
        <v>0</v>
      </c>
      <c r="N728" s="71">
        <v>0.39899999999999997</v>
      </c>
      <c r="O728" s="71">
        <v>0</v>
      </c>
      <c r="P728" s="71">
        <v>8.206999999999999</v>
      </c>
      <c r="Q728" s="71">
        <v>14.475</v>
      </c>
      <c r="R728" s="71">
        <v>218.3</v>
      </c>
      <c r="S728" s="71">
        <v>1.873</v>
      </c>
      <c r="T728" s="71">
        <v>13.815699999999998</v>
      </c>
    </row>
    <row r="729" spans="1:20">
      <c r="A729" s="71" t="s">
        <v>1525</v>
      </c>
      <c r="B729" s="71" t="s">
        <v>1931</v>
      </c>
      <c r="C729" s="71">
        <v>321.60399999999998</v>
      </c>
      <c r="D729" s="71">
        <v>0</v>
      </c>
      <c r="E729" s="71">
        <v>0</v>
      </c>
      <c r="F729" s="71">
        <v>0.25799999999999995</v>
      </c>
      <c r="G729" s="71">
        <v>3.5479999999999996</v>
      </c>
      <c r="H729" s="71">
        <v>1.0419999999999998</v>
      </c>
      <c r="I729" s="71">
        <v>0</v>
      </c>
      <c r="J729" s="71">
        <v>0</v>
      </c>
      <c r="K729" s="71">
        <v>0</v>
      </c>
      <c r="L729" s="71">
        <v>0</v>
      </c>
      <c r="M729" s="71">
        <v>0</v>
      </c>
      <c r="N729" s="71">
        <v>0</v>
      </c>
      <c r="O729" s="71">
        <v>0</v>
      </c>
      <c r="P729" s="71">
        <v>16.768999999999998</v>
      </c>
      <c r="Q729" s="71">
        <v>19.350000000000001</v>
      </c>
      <c r="R729" s="71">
        <v>67.7</v>
      </c>
      <c r="S729" s="71">
        <v>0.995</v>
      </c>
      <c r="T729" s="71">
        <v>16.079999999999998</v>
      </c>
    </row>
    <row r="730" spans="1:20">
      <c r="A730" s="71" t="s">
        <v>244</v>
      </c>
      <c r="B730" s="71" t="s">
        <v>1665</v>
      </c>
      <c r="C730" s="71">
        <v>1962.0569999999998</v>
      </c>
      <c r="D730" s="71">
        <v>5.2999999999999999E-2</v>
      </c>
      <c r="E730" s="71">
        <v>0</v>
      </c>
      <c r="F730" s="71">
        <v>2.7439999999999998</v>
      </c>
      <c r="G730" s="71">
        <v>48.34</v>
      </c>
      <c r="H730" s="71">
        <v>15.635</v>
      </c>
      <c r="I730" s="71">
        <v>0</v>
      </c>
      <c r="J730" s="71">
        <v>0</v>
      </c>
      <c r="K730" s="71">
        <v>0</v>
      </c>
      <c r="L730" s="71">
        <v>0</v>
      </c>
      <c r="M730" s="71">
        <v>1.2469999999999999</v>
      </c>
      <c r="N730" s="71">
        <v>0.54099999999999993</v>
      </c>
      <c r="O730" s="71">
        <v>3.3179999999999996</v>
      </c>
      <c r="P730" s="71">
        <v>27.164999999999999</v>
      </c>
      <c r="Q730" s="71">
        <v>125.145</v>
      </c>
      <c r="R730" s="71">
        <v>461.2</v>
      </c>
      <c r="S730" s="71">
        <v>56.532999999999994</v>
      </c>
      <c r="T730" s="71">
        <v>80</v>
      </c>
    </row>
    <row r="731" spans="1:20">
      <c r="A731" s="71" t="s">
        <v>1308</v>
      </c>
      <c r="B731" s="71" t="s">
        <v>113</v>
      </c>
      <c r="C731" s="71">
        <v>5039.3669999999993</v>
      </c>
      <c r="D731" s="71">
        <v>0.17699999999999999</v>
      </c>
      <c r="E731" s="71">
        <v>0</v>
      </c>
      <c r="F731" s="71">
        <v>9.5109999999999992</v>
      </c>
      <c r="G731" s="71">
        <v>120.00599999999999</v>
      </c>
      <c r="H731" s="71">
        <v>23.173999999999999</v>
      </c>
      <c r="I731" s="71">
        <v>0</v>
      </c>
      <c r="J731" s="71">
        <v>0</v>
      </c>
      <c r="K731" s="71">
        <v>0</v>
      </c>
      <c r="L731" s="71">
        <v>0</v>
      </c>
      <c r="M731" s="71">
        <v>8.5309999999999988</v>
      </c>
      <c r="N731" s="71">
        <v>0.8</v>
      </c>
      <c r="O731" s="71">
        <v>0</v>
      </c>
      <c r="P731" s="71">
        <v>88.363</v>
      </c>
      <c r="Q731" s="71">
        <v>157.50899999999999</v>
      </c>
      <c r="R731" s="71">
        <v>754.5</v>
      </c>
      <c r="S731" s="71">
        <v>117.48699999999999</v>
      </c>
      <c r="T731" s="71">
        <v>204</v>
      </c>
    </row>
    <row r="732" spans="1:20">
      <c r="A732" s="71" t="s">
        <v>6029</v>
      </c>
      <c r="B732" s="71" t="s">
        <v>1914</v>
      </c>
      <c r="C732" s="71">
        <v>3261.2159999999999</v>
      </c>
      <c r="D732" s="71">
        <v>0.50099999999999989</v>
      </c>
      <c r="E732" s="71">
        <v>4.0999999999999995E-2</v>
      </c>
      <c r="F732" s="71">
        <v>5.4069999999999991</v>
      </c>
      <c r="G732" s="71">
        <v>66.793999999999997</v>
      </c>
      <c r="H732" s="71">
        <v>19.537999999999997</v>
      </c>
      <c r="I732" s="71">
        <v>0</v>
      </c>
      <c r="J732" s="71">
        <v>0</v>
      </c>
      <c r="K732" s="71">
        <v>0</v>
      </c>
      <c r="L732" s="71">
        <v>0</v>
      </c>
      <c r="M732" s="71">
        <v>7.3819999999999997</v>
      </c>
      <c r="N732" s="71">
        <v>3.7479999999999998</v>
      </c>
      <c r="O732" s="71">
        <v>3.7709999999999999</v>
      </c>
      <c r="P732" s="71">
        <v>141.33099999999999</v>
      </c>
      <c r="Q732" s="71">
        <v>131.26299999999998</v>
      </c>
      <c r="R732" s="71">
        <v>1793.3</v>
      </c>
      <c r="S732" s="71">
        <v>407.30199999999996</v>
      </c>
      <c r="T732" s="71">
        <v>160</v>
      </c>
    </row>
    <row r="733" spans="1:20">
      <c r="A733" s="71" t="s">
        <v>6031</v>
      </c>
      <c r="B733" s="71" t="s">
        <v>1916</v>
      </c>
      <c r="C733" s="71">
        <v>1571.6949999999999</v>
      </c>
      <c r="D733" s="71">
        <v>0.25199999999999995</v>
      </c>
      <c r="E733" s="71">
        <v>0</v>
      </c>
      <c r="F733" s="71">
        <v>3.984</v>
      </c>
      <c r="G733" s="71">
        <v>90.466999999999999</v>
      </c>
      <c r="H733" s="71">
        <v>13.725999999999999</v>
      </c>
      <c r="I733" s="71">
        <v>0</v>
      </c>
      <c r="J733" s="71">
        <v>1.7579999999999998</v>
      </c>
      <c r="K733" s="71">
        <v>0</v>
      </c>
      <c r="L733" s="71">
        <v>0</v>
      </c>
      <c r="M733" s="71">
        <v>0.7639999999999999</v>
      </c>
      <c r="N733" s="71">
        <v>0</v>
      </c>
      <c r="O733" s="71">
        <v>0</v>
      </c>
      <c r="P733" s="71">
        <v>0.28000000000000003</v>
      </c>
      <c r="Q733" s="71">
        <v>76.385999999999996</v>
      </c>
      <c r="R733" s="71">
        <v>813</v>
      </c>
      <c r="S733" s="71">
        <v>37.835999999999999</v>
      </c>
      <c r="T733" s="71">
        <v>61</v>
      </c>
    </row>
    <row r="734" spans="1:20">
      <c r="A734" s="71" t="s">
        <v>5628</v>
      </c>
      <c r="B734" s="71" t="s">
        <v>6654</v>
      </c>
      <c r="C734" s="71">
        <v>3014.232</v>
      </c>
      <c r="D734" s="71">
        <v>0.30399999999999999</v>
      </c>
      <c r="E734" s="71">
        <v>0</v>
      </c>
      <c r="F734" s="71">
        <v>5.984</v>
      </c>
      <c r="G734" s="71">
        <v>113.77199999999999</v>
      </c>
      <c r="H734" s="71">
        <v>17.024999999999999</v>
      </c>
      <c r="I734" s="71">
        <v>0</v>
      </c>
      <c r="J734" s="71">
        <v>0</v>
      </c>
      <c r="K734" s="71">
        <v>0</v>
      </c>
      <c r="L734" s="71">
        <v>0.8869999999999999</v>
      </c>
      <c r="M734" s="71">
        <v>10.234999999999999</v>
      </c>
      <c r="N734" s="71">
        <v>1.2779999999999998</v>
      </c>
      <c r="O734" s="71">
        <v>0.45699999999999996</v>
      </c>
      <c r="P734" s="71">
        <v>77.084999999999994</v>
      </c>
      <c r="Q734" s="71">
        <v>147.31599999999997</v>
      </c>
      <c r="R734" s="71">
        <v>1797</v>
      </c>
      <c r="S734" s="71">
        <v>34.31</v>
      </c>
      <c r="T734" s="71">
        <v>150.71159999999998</v>
      </c>
    </row>
    <row r="735" spans="1:20">
      <c r="A735" s="71" t="s">
        <v>5630</v>
      </c>
      <c r="B735" s="71" t="s">
        <v>6655</v>
      </c>
      <c r="C735" s="71">
        <v>4056.5969999999998</v>
      </c>
      <c r="D735" s="71">
        <v>0.68299999999999994</v>
      </c>
      <c r="E735" s="71">
        <v>0</v>
      </c>
      <c r="F735" s="71">
        <v>7.7819999999999991</v>
      </c>
      <c r="G735" s="71">
        <v>98.711999999999989</v>
      </c>
      <c r="H735" s="71">
        <v>44.51</v>
      </c>
      <c r="I735" s="71">
        <v>0</v>
      </c>
      <c r="J735" s="71">
        <v>1.851</v>
      </c>
      <c r="K735" s="71">
        <v>0</v>
      </c>
      <c r="L735" s="71">
        <v>0</v>
      </c>
      <c r="M735" s="71">
        <v>4.867</v>
      </c>
      <c r="N735" s="71">
        <v>2.0099999999999998</v>
      </c>
      <c r="O735" s="71">
        <v>27.385999999999999</v>
      </c>
      <c r="P735" s="71">
        <v>141.83699999999999</v>
      </c>
      <c r="Q735" s="71">
        <v>164.89599999999999</v>
      </c>
      <c r="R735" s="71">
        <v>2736.5</v>
      </c>
      <c r="S735" s="71">
        <v>605.53599999999994</v>
      </c>
      <c r="T735" s="71">
        <v>202.82984999999999</v>
      </c>
    </row>
    <row r="736" spans="1:20">
      <c r="A736" s="71" t="s">
        <v>2395</v>
      </c>
      <c r="B736" s="71" t="s">
        <v>1462</v>
      </c>
      <c r="C736" s="71">
        <v>844.57899999999995</v>
      </c>
      <c r="D736" s="71">
        <v>0.12799999999999997</v>
      </c>
      <c r="E736" s="71">
        <v>0</v>
      </c>
      <c r="F736" s="71">
        <v>1.3479999999999999</v>
      </c>
      <c r="G736" s="71">
        <v>47.812999999999995</v>
      </c>
      <c r="H736" s="71">
        <v>7.8849999999999998</v>
      </c>
      <c r="I736" s="71">
        <v>0</v>
      </c>
      <c r="J736" s="71">
        <v>0.92799999999999994</v>
      </c>
      <c r="K736" s="71">
        <v>0</v>
      </c>
      <c r="L736" s="71">
        <v>0</v>
      </c>
      <c r="M736" s="71">
        <v>0</v>
      </c>
      <c r="N736" s="71">
        <v>2.8999999999999998E-2</v>
      </c>
      <c r="O736" s="71">
        <v>0</v>
      </c>
      <c r="P736" s="71">
        <v>4.8819999999999997</v>
      </c>
      <c r="Q736" s="71">
        <v>58.160999999999994</v>
      </c>
      <c r="R736" s="71">
        <v>265.5</v>
      </c>
      <c r="S736" s="71">
        <v>9</v>
      </c>
      <c r="T736" s="71">
        <v>41</v>
      </c>
    </row>
    <row r="737" spans="1:20">
      <c r="A737" s="71" t="s">
        <v>5632</v>
      </c>
      <c r="B737" s="71" t="s">
        <v>6656</v>
      </c>
      <c r="C737" s="71">
        <v>5727.8059999999996</v>
      </c>
      <c r="D737" s="71">
        <v>0.29799999999999999</v>
      </c>
      <c r="E737" s="71">
        <v>13.09</v>
      </c>
      <c r="F737" s="71">
        <v>8.8669999999999991</v>
      </c>
      <c r="G737" s="71">
        <v>84.571999999999989</v>
      </c>
      <c r="H737" s="71">
        <v>44.344999999999999</v>
      </c>
      <c r="I737" s="71">
        <v>0</v>
      </c>
      <c r="J737" s="71">
        <v>0</v>
      </c>
      <c r="K737" s="71">
        <v>0</v>
      </c>
      <c r="L737" s="71">
        <v>0</v>
      </c>
      <c r="M737" s="71">
        <v>14.585999999999999</v>
      </c>
      <c r="N737" s="71">
        <v>0.50599999999999989</v>
      </c>
      <c r="O737" s="71">
        <v>31.024999999999999</v>
      </c>
      <c r="P737" s="71">
        <v>258.59599999999995</v>
      </c>
      <c r="Q737" s="71">
        <v>310.41000000000003</v>
      </c>
      <c r="R737" s="71">
        <v>1046.3</v>
      </c>
      <c r="S737" s="71">
        <v>205.07499999999999</v>
      </c>
      <c r="T737" s="71">
        <v>286.39</v>
      </c>
    </row>
    <row r="738" spans="1:20">
      <c r="A738" s="71" t="s">
        <v>6147</v>
      </c>
      <c r="B738" s="71" t="s">
        <v>6657</v>
      </c>
      <c r="C738" s="71">
        <v>1147.9000000000001</v>
      </c>
      <c r="D738" s="71">
        <v>7.8E-2</v>
      </c>
      <c r="E738" s="71">
        <v>0</v>
      </c>
      <c r="F738" s="71">
        <v>0.79099999999999993</v>
      </c>
      <c r="G738" s="71">
        <v>44.247999999999998</v>
      </c>
      <c r="H738" s="71">
        <v>4.3250000000000002</v>
      </c>
      <c r="I738" s="71">
        <v>0</v>
      </c>
      <c r="J738" s="71">
        <v>0</v>
      </c>
      <c r="K738" s="71">
        <v>0</v>
      </c>
      <c r="L738" s="71">
        <v>0</v>
      </c>
      <c r="M738" s="71">
        <v>3.2819999999999996</v>
      </c>
      <c r="N738" s="71">
        <v>0</v>
      </c>
      <c r="O738" s="71">
        <v>0</v>
      </c>
      <c r="P738" s="71">
        <v>1.3839999999999999</v>
      </c>
      <c r="Q738" s="71">
        <v>42.607999999999997</v>
      </c>
      <c r="R738" s="71">
        <v>701</v>
      </c>
      <c r="S738" s="71">
        <v>154</v>
      </c>
      <c r="T738" s="71">
        <v>57.395000000000003</v>
      </c>
    </row>
    <row r="739" spans="1:20">
      <c r="A739" s="71" t="s">
        <v>1417</v>
      </c>
      <c r="B739" s="71" t="s">
        <v>6658</v>
      </c>
      <c r="C739" s="71">
        <v>67.158999999999992</v>
      </c>
      <c r="D739" s="71">
        <v>0</v>
      </c>
      <c r="E739" s="71">
        <v>0</v>
      </c>
      <c r="F739" s="71">
        <v>4.7999999999999994E-2</v>
      </c>
      <c r="G739" s="71">
        <v>1.0009999999999999</v>
      </c>
      <c r="H739" s="71">
        <v>0</v>
      </c>
      <c r="I739" s="71">
        <v>0</v>
      </c>
      <c r="J739" s="71">
        <v>0</v>
      </c>
      <c r="K739" s="71">
        <v>0</v>
      </c>
      <c r="L739" s="71">
        <v>0</v>
      </c>
      <c r="M739" s="71">
        <v>0</v>
      </c>
      <c r="N739" s="71">
        <v>0</v>
      </c>
      <c r="O739" s="71">
        <v>0</v>
      </c>
      <c r="P739" s="71">
        <v>4.6969999999999992</v>
      </c>
      <c r="Q739" s="71">
        <v>0</v>
      </c>
      <c r="R739" s="71">
        <v>54.5</v>
      </c>
      <c r="S739" s="71">
        <v>2.1469999999999998</v>
      </c>
      <c r="T739" s="71">
        <v>3</v>
      </c>
    </row>
    <row r="740" spans="1:20">
      <c r="A740" s="71" t="s">
        <v>1419</v>
      </c>
      <c r="B740" s="71" t="s">
        <v>6659</v>
      </c>
      <c r="C740" s="71">
        <v>117.30500000000001</v>
      </c>
      <c r="D740" s="71">
        <v>0</v>
      </c>
      <c r="E740" s="71">
        <v>0</v>
      </c>
      <c r="F740" s="71">
        <v>0.21</v>
      </c>
      <c r="G740" s="71">
        <v>4.6219999999999999</v>
      </c>
      <c r="H740" s="71">
        <v>0.20899999999999999</v>
      </c>
      <c r="I740" s="71">
        <v>0</v>
      </c>
      <c r="J740" s="71">
        <v>0</v>
      </c>
      <c r="K740" s="71">
        <v>0</v>
      </c>
      <c r="L740" s="71">
        <v>0</v>
      </c>
      <c r="M740" s="71">
        <v>0</v>
      </c>
      <c r="N740" s="71">
        <v>0</v>
      </c>
      <c r="O740" s="71">
        <v>0</v>
      </c>
      <c r="P740" s="71">
        <v>0.99199999999999999</v>
      </c>
      <c r="Q740" s="71">
        <v>9.84</v>
      </c>
      <c r="R740" s="71">
        <v>48.2</v>
      </c>
      <c r="S740" s="71">
        <v>0.90500000000000003</v>
      </c>
      <c r="T740" s="71">
        <v>5.8650000000000002</v>
      </c>
    </row>
    <row r="741" spans="1:20">
      <c r="A741" s="71" t="s">
        <v>2469</v>
      </c>
      <c r="B741" s="71" t="s">
        <v>6105</v>
      </c>
      <c r="C741" s="71">
        <v>529.47199999999998</v>
      </c>
      <c r="D741" s="71">
        <v>4.5999999999999999E-2</v>
      </c>
      <c r="E741" s="71">
        <v>0</v>
      </c>
      <c r="F741" s="71">
        <v>0.87799999999999989</v>
      </c>
      <c r="G741" s="71">
        <v>12.675999999999998</v>
      </c>
      <c r="H741" s="71">
        <v>3.2889999999999997</v>
      </c>
      <c r="I741" s="71">
        <v>0</v>
      </c>
      <c r="J741" s="71">
        <v>0</v>
      </c>
      <c r="K741" s="71">
        <v>0</v>
      </c>
      <c r="L741" s="71">
        <v>0.96199999999999997</v>
      </c>
      <c r="M741" s="71">
        <v>0</v>
      </c>
      <c r="N741" s="71">
        <v>0.60499999999999998</v>
      </c>
      <c r="O741" s="71">
        <v>2.3819999999999997</v>
      </c>
      <c r="P741" s="71">
        <v>12.865</v>
      </c>
      <c r="Q741" s="71">
        <v>24.848999999999997</v>
      </c>
      <c r="R741" s="71">
        <v>335</v>
      </c>
      <c r="S741" s="71">
        <v>51.646999999999998</v>
      </c>
      <c r="T741" s="71">
        <v>26.473599999999998</v>
      </c>
    </row>
    <row r="742" spans="1:20">
      <c r="A742" s="71" t="s">
        <v>1421</v>
      </c>
      <c r="B742" s="71" t="s">
        <v>6660</v>
      </c>
      <c r="C742" s="71">
        <v>193.172</v>
      </c>
      <c r="D742" s="71">
        <v>0</v>
      </c>
      <c r="E742" s="71">
        <v>0</v>
      </c>
      <c r="F742" s="71">
        <v>0.27399999999999997</v>
      </c>
      <c r="G742" s="71">
        <v>2.7709999999999999</v>
      </c>
      <c r="H742" s="71">
        <v>0</v>
      </c>
      <c r="I742" s="71">
        <v>0</v>
      </c>
      <c r="J742" s="71">
        <v>0</v>
      </c>
      <c r="K742" s="71">
        <v>0</v>
      </c>
      <c r="L742" s="71">
        <v>0</v>
      </c>
      <c r="M742" s="71">
        <v>0</v>
      </c>
      <c r="N742" s="71">
        <v>0</v>
      </c>
      <c r="O742" s="71">
        <v>0</v>
      </c>
      <c r="P742" s="71">
        <v>2.0479999999999996</v>
      </c>
      <c r="Q742" s="71">
        <v>0</v>
      </c>
      <c r="R742" s="71">
        <v>59.5</v>
      </c>
      <c r="S742" s="71">
        <v>27.677</v>
      </c>
      <c r="T742" s="71">
        <v>9.6585999999999981</v>
      </c>
    </row>
    <row r="743" spans="1:20">
      <c r="A743" s="71" t="s">
        <v>1423</v>
      </c>
      <c r="B743" s="71" t="s">
        <v>6661</v>
      </c>
      <c r="C743" s="71">
        <v>4459.4539999999997</v>
      </c>
      <c r="D743" s="71">
        <v>0.42299999999999999</v>
      </c>
      <c r="E743" s="71">
        <v>0</v>
      </c>
      <c r="F743" s="71">
        <v>5.6409999999999991</v>
      </c>
      <c r="G743" s="71">
        <v>156.62899999999999</v>
      </c>
      <c r="H743" s="71">
        <v>33.578999999999994</v>
      </c>
      <c r="I743" s="71">
        <v>0</v>
      </c>
      <c r="J743" s="71">
        <v>0.35099999999999998</v>
      </c>
      <c r="K743" s="71">
        <v>0</v>
      </c>
      <c r="L743" s="71">
        <v>0</v>
      </c>
      <c r="M743" s="71">
        <v>6.1269999999999998</v>
      </c>
      <c r="N743" s="71">
        <v>3.742</v>
      </c>
      <c r="O743" s="71">
        <v>6.0519999999999996</v>
      </c>
      <c r="P743" s="71">
        <v>12.12</v>
      </c>
      <c r="Q743" s="71">
        <v>231.57799999999997</v>
      </c>
      <c r="R743" s="71">
        <v>2288.6999999999998</v>
      </c>
      <c r="S743" s="71">
        <v>144.255</v>
      </c>
      <c r="T743" s="71">
        <v>222.97269999999997</v>
      </c>
    </row>
    <row r="744" spans="1:20">
      <c r="A744" s="71" t="s">
        <v>1425</v>
      </c>
      <c r="B744" s="71" t="s">
        <v>6662</v>
      </c>
      <c r="C744" s="71">
        <v>1359.4569999999999</v>
      </c>
      <c r="D744" s="71">
        <v>0.20799999999999999</v>
      </c>
      <c r="E744" s="71">
        <v>0</v>
      </c>
      <c r="F744" s="71">
        <v>2.1109999999999998</v>
      </c>
      <c r="G744" s="71">
        <v>17.233999999999998</v>
      </c>
      <c r="H744" s="71">
        <v>8.0219999999999985</v>
      </c>
      <c r="I744" s="71">
        <v>0</v>
      </c>
      <c r="J744" s="71">
        <v>0</v>
      </c>
      <c r="K744" s="71">
        <v>0</v>
      </c>
      <c r="L744" s="71">
        <v>0</v>
      </c>
      <c r="M744" s="71">
        <v>0.96</v>
      </c>
      <c r="N744" s="71">
        <v>0.72799999999999998</v>
      </c>
      <c r="O744" s="71">
        <v>13.734</v>
      </c>
      <c r="P744" s="71">
        <v>19.032999999999998</v>
      </c>
      <c r="Q744" s="71">
        <v>108.33799999999999</v>
      </c>
      <c r="R744" s="71">
        <v>1022.7</v>
      </c>
      <c r="S744" s="71">
        <v>112.395</v>
      </c>
      <c r="T744" s="71">
        <v>67.972849999999994</v>
      </c>
    </row>
    <row r="745" spans="1:20">
      <c r="A745" s="71" t="s">
        <v>7151</v>
      </c>
      <c r="B745" s="71" t="s">
        <v>6663</v>
      </c>
      <c r="C745" s="71">
        <v>17.425999999999998</v>
      </c>
      <c r="D745" s="71">
        <v>0</v>
      </c>
      <c r="E745" s="71">
        <v>0</v>
      </c>
      <c r="F745" s="71">
        <v>0</v>
      </c>
      <c r="G745" s="71">
        <v>0</v>
      </c>
      <c r="H745" s="71">
        <v>0</v>
      </c>
      <c r="I745" s="71">
        <v>0</v>
      </c>
      <c r="J745" s="71">
        <v>0</v>
      </c>
      <c r="K745" s="71">
        <v>0</v>
      </c>
      <c r="L745" s="71">
        <v>0</v>
      </c>
      <c r="M745" s="71">
        <v>0</v>
      </c>
      <c r="N745" s="71">
        <v>0</v>
      </c>
      <c r="O745" s="71">
        <v>0</v>
      </c>
      <c r="P745" s="71">
        <v>0</v>
      </c>
      <c r="Q745" s="71">
        <v>0</v>
      </c>
      <c r="R745" s="71">
        <v>0</v>
      </c>
      <c r="S745" s="71">
        <v>1.9289999999999998</v>
      </c>
      <c r="T745" s="71">
        <v>0</v>
      </c>
    </row>
    <row r="746" spans="1:20">
      <c r="A746" s="71" t="s">
        <v>7153</v>
      </c>
      <c r="B746" s="71" t="s">
        <v>6664</v>
      </c>
      <c r="C746" s="71">
        <v>666.28499999999997</v>
      </c>
      <c r="D746" s="71">
        <v>0</v>
      </c>
      <c r="E746" s="71">
        <v>0</v>
      </c>
      <c r="F746" s="71">
        <v>1.0419999999999998</v>
      </c>
      <c r="G746" s="71">
        <v>20.817999999999998</v>
      </c>
      <c r="H746" s="71">
        <v>2.2400000000000002</v>
      </c>
      <c r="I746" s="71">
        <v>0</v>
      </c>
      <c r="J746" s="71">
        <v>0</v>
      </c>
      <c r="K746" s="71">
        <v>0</v>
      </c>
      <c r="L746" s="71">
        <v>0</v>
      </c>
      <c r="M746" s="71">
        <v>0.90099999999999991</v>
      </c>
      <c r="N746" s="71">
        <v>0.2</v>
      </c>
      <c r="O746" s="71">
        <v>3.0119999999999996</v>
      </c>
      <c r="P746" s="71">
        <v>19.918999999999997</v>
      </c>
      <c r="Q746" s="71">
        <v>33.617999999999995</v>
      </c>
      <c r="R746" s="71">
        <v>385.5</v>
      </c>
      <c r="S746" s="71">
        <v>22.318999999999999</v>
      </c>
      <c r="T746" s="71">
        <v>33.313999999999993</v>
      </c>
    </row>
    <row r="747" spans="1:20">
      <c r="A747" s="71" t="s">
        <v>1833</v>
      </c>
      <c r="B747" s="71" t="s">
        <v>6665</v>
      </c>
      <c r="C747" s="71">
        <v>92.925999999999988</v>
      </c>
      <c r="D747" s="71">
        <v>0</v>
      </c>
      <c r="E747" s="71">
        <v>0</v>
      </c>
      <c r="F747" s="71">
        <v>0.09</v>
      </c>
      <c r="G747" s="71">
        <v>1.8719999999999999</v>
      </c>
      <c r="H747" s="71">
        <v>0</v>
      </c>
      <c r="I747" s="71">
        <v>0</v>
      </c>
      <c r="J747" s="71">
        <v>0</v>
      </c>
      <c r="K747" s="71">
        <v>0</v>
      </c>
      <c r="L747" s="71">
        <v>0</v>
      </c>
      <c r="M747" s="71">
        <v>0</v>
      </c>
      <c r="N747" s="71">
        <v>0</v>
      </c>
      <c r="O747" s="71">
        <v>0</v>
      </c>
      <c r="P747" s="71">
        <v>6.835</v>
      </c>
      <c r="Q747" s="71">
        <v>6.9929999999999994</v>
      </c>
      <c r="R747" s="71">
        <v>30.8</v>
      </c>
      <c r="S747" s="71">
        <v>6.8659999999999997</v>
      </c>
      <c r="T747" s="71">
        <v>4</v>
      </c>
    </row>
    <row r="748" spans="1:20">
      <c r="A748" s="71" t="s">
        <v>1835</v>
      </c>
      <c r="B748" s="71" t="s">
        <v>6666</v>
      </c>
      <c r="C748" s="71">
        <v>594.72799999999995</v>
      </c>
      <c r="D748" s="71">
        <v>0.29299999999999998</v>
      </c>
      <c r="E748" s="71">
        <v>0</v>
      </c>
      <c r="F748" s="71">
        <v>1.1059999999999999</v>
      </c>
      <c r="G748" s="71">
        <v>9.645999999999999</v>
      </c>
      <c r="H748" s="71">
        <v>3.0119999999999996</v>
      </c>
      <c r="I748" s="71">
        <v>0</v>
      </c>
      <c r="J748" s="71">
        <v>0</v>
      </c>
      <c r="K748" s="71">
        <v>0</v>
      </c>
      <c r="L748" s="71">
        <v>0</v>
      </c>
      <c r="M748" s="71">
        <v>4.8909999999999991</v>
      </c>
      <c r="N748" s="71">
        <v>0</v>
      </c>
      <c r="O748" s="71">
        <v>0</v>
      </c>
      <c r="P748" s="71">
        <v>43.65</v>
      </c>
      <c r="Q748" s="71">
        <v>19.046999999999997</v>
      </c>
      <c r="R748" s="71">
        <v>423.7</v>
      </c>
      <c r="S748" s="71">
        <v>37.354999999999997</v>
      </c>
      <c r="T748" s="71">
        <v>29.735999999999997</v>
      </c>
    </row>
    <row r="749" spans="1:20">
      <c r="A749" s="71" t="s">
        <v>510</v>
      </c>
      <c r="B749" s="71" t="s">
        <v>1921</v>
      </c>
      <c r="C749" s="71">
        <v>3821.7759999999998</v>
      </c>
      <c r="D749" s="71">
        <v>5.1999999999999998E-2</v>
      </c>
      <c r="E749" s="71">
        <v>0</v>
      </c>
      <c r="F749" s="71">
        <v>8.1059999999999999</v>
      </c>
      <c r="G749" s="71">
        <v>97.130999999999986</v>
      </c>
      <c r="H749" s="71">
        <v>48.235999999999997</v>
      </c>
      <c r="I749" s="71">
        <v>0</v>
      </c>
      <c r="J749" s="71">
        <v>0</v>
      </c>
      <c r="K749" s="71">
        <v>0</v>
      </c>
      <c r="L749" s="71">
        <v>0</v>
      </c>
      <c r="M749" s="71">
        <v>6.0169999999999995</v>
      </c>
      <c r="N749" s="71">
        <v>3.2759999999999998</v>
      </c>
      <c r="O749" s="71">
        <v>0</v>
      </c>
      <c r="P749" s="71">
        <v>130.607</v>
      </c>
      <c r="Q749" s="71">
        <v>177.69499999999999</v>
      </c>
      <c r="R749" s="71">
        <v>3135.2</v>
      </c>
      <c r="S749" s="71">
        <v>250.761</v>
      </c>
      <c r="T749" s="71">
        <v>191.08879999999999</v>
      </c>
    </row>
    <row r="750" spans="1:20">
      <c r="A750" s="71" t="s">
        <v>3530</v>
      </c>
      <c r="B750" s="71" t="s">
        <v>6667</v>
      </c>
      <c r="C750" s="71">
        <v>532.80499999999995</v>
      </c>
      <c r="D750" s="71">
        <v>0</v>
      </c>
      <c r="E750" s="71">
        <v>0</v>
      </c>
      <c r="F750" s="71">
        <v>0.7639999999999999</v>
      </c>
      <c r="G750" s="71">
        <v>10.531999999999998</v>
      </c>
      <c r="H750" s="71">
        <v>1.7849999999999999</v>
      </c>
      <c r="I750" s="71">
        <v>0</v>
      </c>
      <c r="J750" s="71">
        <v>0</v>
      </c>
      <c r="K750" s="71">
        <v>0</v>
      </c>
      <c r="L750" s="71">
        <v>0</v>
      </c>
      <c r="M750" s="71">
        <v>0</v>
      </c>
      <c r="N750" s="71">
        <v>0</v>
      </c>
      <c r="O750" s="71">
        <v>0</v>
      </c>
      <c r="P750" s="71">
        <v>11.105</v>
      </c>
      <c r="Q750" s="71">
        <v>0</v>
      </c>
      <c r="R750" s="71">
        <v>388.8</v>
      </c>
      <c r="S750" s="71">
        <v>28.857999999999997</v>
      </c>
      <c r="T750" s="71">
        <v>26.64</v>
      </c>
    </row>
    <row r="751" spans="1:20">
      <c r="A751" s="71" t="s">
        <v>3532</v>
      </c>
      <c r="B751" s="71" t="s">
        <v>6668</v>
      </c>
      <c r="C751" s="71">
        <v>466.17500000000001</v>
      </c>
      <c r="D751" s="71">
        <v>0</v>
      </c>
      <c r="E751" s="71">
        <v>0</v>
      </c>
      <c r="F751" s="71">
        <v>0.436</v>
      </c>
      <c r="G751" s="71">
        <v>11.542</v>
      </c>
      <c r="H751" s="71">
        <v>1.55</v>
      </c>
      <c r="I751" s="71">
        <v>0</v>
      </c>
      <c r="J751" s="71">
        <v>0</v>
      </c>
      <c r="K751" s="71">
        <v>0</v>
      </c>
      <c r="L751" s="71">
        <v>0</v>
      </c>
      <c r="M751" s="71">
        <v>0</v>
      </c>
      <c r="N751" s="71">
        <v>0</v>
      </c>
      <c r="O751" s="71">
        <v>0</v>
      </c>
      <c r="P751" s="71">
        <v>27.558999999999997</v>
      </c>
      <c r="Q751" s="71">
        <v>32.703999999999994</v>
      </c>
      <c r="R751" s="71">
        <v>297</v>
      </c>
      <c r="S751" s="71">
        <v>28.053999999999998</v>
      </c>
      <c r="T751" s="71">
        <v>23.30875</v>
      </c>
    </row>
    <row r="752" spans="1:20">
      <c r="A752" s="71" t="s">
        <v>3534</v>
      </c>
      <c r="B752" s="71" t="s">
        <v>6669</v>
      </c>
      <c r="C752" s="71">
        <v>300.12899999999996</v>
      </c>
      <c r="D752" s="71">
        <v>8.9999999999999993E-3</v>
      </c>
      <c r="E752" s="71">
        <v>0</v>
      </c>
      <c r="F752" s="71">
        <v>0.182</v>
      </c>
      <c r="G752" s="71">
        <v>0</v>
      </c>
      <c r="H752" s="71">
        <v>0</v>
      </c>
      <c r="I752" s="71">
        <v>0</v>
      </c>
      <c r="J752" s="71">
        <v>0</v>
      </c>
      <c r="K752" s="71">
        <v>0</v>
      </c>
      <c r="L752" s="71">
        <v>0</v>
      </c>
      <c r="M752" s="71">
        <v>0</v>
      </c>
      <c r="N752" s="71">
        <v>0.65500000000000003</v>
      </c>
      <c r="O752" s="71">
        <v>0</v>
      </c>
      <c r="P752" s="71">
        <v>29.956999999999997</v>
      </c>
      <c r="Q752" s="71">
        <v>36.131999999999998</v>
      </c>
      <c r="R752" s="71">
        <v>133.30000000000001</v>
      </c>
      <c r="S752" s="71">
        <v>11.508999999999999</v>
      </c>
      <c r="T752" s="71">
        <v>15.005999999999998</v>
      </c>
    </row>
    <row r="753" spans="1:20">
      <c r="A753" s="71" t="s">
        <v>511</v>
      </c>
      <c r="B753" s="71" t="s">
        <v>5639</v>
      </c>
      <c r="C753" s="71">
        <v>270.31599999999997</v>
      </c>
      <c r="D753" s="71">
        <v>8.5000000000000006E-2</v>
      </c>
      <c r="E753" s="71">
        <v>0</v>
      </c>
      <c r="F753" s="71">
        <v>0.89</v>
      </c>
      <c r="G753" s="71">
        <v>14.865</v>
      </c>
      <c r="H753" s="71">
        <v>1.9079999999999999</v>
      </c>
      <c r="I753" s="71">
        <v>0</v>
      </c>
      <c r="J753" s="71">
        <v>0</v>
      </c>
      <c r="K753" s="71">
        <v>0</v>
      </c>
      <c r="L753" s="71">
        <v>0</v>
      </c>
      <c r="M753" s="71">
        <v>0</v>
      </c>
      <c r="N753" s="71">
        <v>0.12799999999999997</v>
      </c>
      <c r="O753" s="71">
        <v>0</v>
      </c>
      <c r="P753" s="71">
        <v>7.2229999999999999</v>
      </c>
      <c r="Q753" s="71">
        <v>23.452999999999999</v>
      </c>
      <c r="R753" s="71">
        <v>182.7</v>
      </c>
      <c r="S753" s="71">
        <v>14.52</v>
      </c>
      <c r="T753" s="71">
        <v>13.515799999999997</v>
      </c>
    </row>
    <row r="754" spans="1:20">
      <c r="A754" s="71" t="s">
        <v>3539</v>
      </c>
      <c r="B754" s="71" t="s">
        <v>6670</v>
      </c>
      <c r="C754" s="71">
        <v>414.52699999999999</v>
      </c>
      <c r="D754" s="71">
        <v>0</v>
      </c>
      <c r="E754" s="71">
        <v>0</v>
      </c>
      <c r="F754" s="71">
        <v>0.69499999999999995</v>
      </c>
      <c r="G754" s="71">
        <v>11.466999999999999</v>
      </c>
      <c r="H754" s="71">
        <v>0.97</v>
      </c>
      <c r="I754" s="71">
        <v>0</v>
      </c>
      <c r="J754" s="71">
        <v>0</v>
      </c>
      <c r="K754" s="71">
        <v>0</v>
      </c>
      <c r="L754" s="71">
        <v>0</v>
      </c>
      <c r="M754" s="71">
        <v>0.44500000000000001</v>
      </c>
      <c r="N754" s="71">
        <v>9.5000000000000001E-2</v>
      </c>
      <c r="O754" s="71">
        <v>0</v>
      </c>
      <c r="P754" s="71">
        <v>6.5829999999999993</v>
      </c>
      <c r="Q754" s="71">
        <v>29.235999999999997</v>
      </c>
      <c r="R754" s="71">
        <v>286.8</v>
      </c>
      <c r="S754" s="71">
        <v>16.106999999999999</v>
      </c>
      <c r="T754" s="71">
        <v>20.725999999999999</v>
      </c>
    </row>
    <row r="755" spans="1:20">
      <c r="A755" s="71" t="s">
        <v>3541</v>
      </c>
      <c r="B755" s="71" t="s">
        <v>6671</v>
      </c>
      <c r="C755" s="71">
        <v>76.313999999999993</v>
      </c>
      <c r="D755" s="71">
        <v>0</v>
      </c>
      <c r="E755" s="71">
        <v>0</v>
      </c>
      <c r="F755" s="71">
        <v>0.106</v>
      </c>
      <c r="G755" s="71">
        <v>1.5389999999999999</v>
      </c>
      <c r="H755" s="71">
        <v>0</v>
      </c>
      <c r="I755" s="71">
        <v>0</v>
      </c>
      <c r="J755" s="71">
        <v>0</v>
      </c>
      <c r="K755" s="71">
        <v>0</v>
      </c>
      <c r="L755" s="71">
        <v>0</v>
      </c>
      <c r="M755" s="71">
        <v>0</v>
      </c>
      <c r="N755" s="71">
        <v>0</v>
      </c>
      <c r="O755" s="71">
        <v>0</v>
      </c>
      <c r="P755" s="71">
        <v>5.7839999999999998</v>
      </c>
      <c r="Q755" s="71">
        <v>2.7289999999999996</v>
      </c>
      <c r="R755" s="71">
        <v>46</v>
      </c>
      <c r="S755" s="71">
        <v>1.7709999999999999</v>
      </c>
      <c r="T755" s="71">
        <v>3.8156999999999996</v>
      </c>
    </row>
    <row r="756" spans="1:20">
      <c r="A756" s="71" t="s">
        <v>3543</v>
      </c>
      <c r="B756" s="71" t="s">
        <v>278</v>
      </c>
      <c r="C756" s="71">
        <v>829.82099999999991</v>
      </c>
      <c r="D756" s="71">
        <v>0</v>
      </c>
      <c r="E756" s="71">
        <v>0</v>
      </c>
      <c r="F756" s="71">
        <v>1.3119999999999998</v>
      </c>
      <c r="G756" s="71">
        <v>28.796999999999997</v>
      </c>
      <c r="H756" s="71">
        <v>1.3159999999999998</v>
      </c>
      <c r="I756" s="71">
        <v>0</v>
      </c>
      <c r="J756" s="71">
        <v>4.976</v>
      </c>
      <c r="K756" s="71">
        <v>0</v>
      </c>
      <c r="L756" s="71">
        <v>0</v>
      </c>
      <c r="M756" s="71">
        <v>0</v>
      </c>
      <c r="N756" s="71">
        <v>0.40399999999999997</v>
      </c>
      <c r="O756" s="71">
        <v>0</v>
      </c>
      <c r="P756" s="71">
        <v>2.915</v>
      </c>
      <c r="Q756" s="71">
        <v>42.101999999999997</v>
      </c>
      <c r="R756" s="71">
        <v>417.3</v>
      </c>
      <c r="S756" s="71">
        <v>43.828999999999994</v>
      </c>
      <c r="T756" s="71">
        <v>27</v>
      </c>
    </row>
    <row r="757" spans="1:20">
      <c r="A757" s="71" t="s">
        <v>129</v>
      </c>
      <c r="B757" s="71" t="s">
        <v>372</v>
      </c>
      <c r="C757" s="71">
        <v>215.87799999999999</v>
      </c>
      <c r="D757" s="71">
        <v>0</v>
      </c>
      <c r="E757" s="71">
        <v>0</v>
      </c>
      <c r="F757" s="71">
        <v>0.54299999999999993</v>
      </c>
      <c r="G757" s="71">
        <v>8.3949999999999996</v>
      </c>
      <c r="H757" s="71">
        <v>0.246</v>
      </c>
      <c r="I757" s="71">
        <v>0</v>
      </c>
      <c r="J757" s="71">
        <v>0.99</v>
      </c>
      <c r="K757" s="71">
        <v>0</v>
      </c>
      <c r="L757" s="71">
        <v>0</v>
      </c>
      <c r="M757" s="71">
        <v>0</v>
      </c>
      <c r="N757" s="71">
        <v>0</v>
      </c>
      <c r="O757" s="71">
        <v>0</v>
      </c>
      <c r="P757" s="71">
        <v>6.7549999999999999</v>
      </c>
      <c r="Q757" s="71">
        <v>14.911999999999999</v>
      </c>
      <c r="R757" s="71">
        <v>136.30000000000001</v>
      </c>
      <c r="S757" s="71">
        <v>0</v>
      </c>
      <c r="T757" s="71">
        <v>10.793899999999999</v>
      </c>
    </row>
    <row r="758" spans="1:20">
      <c r="A758" s="71" t="s">
        <v>6193</v>
      </c>
      <c r="B758" s="71" t="s">
        <v>3891</v>
      </c>
      <c r="C758" s="71">
        <v>3590.058</v>
      </c>
      <c r="D758" s="71">
        <v>0.434</v>
      </c>
      <c r="E758" s="71">
        <v>0.14000000000000001</v>
      </c>
      <c r="F758" s="71">
        <v>9.847999999999999</v>
      </c>
      <c r="G758" s="71">
        <v>129.80099999999999</v>
      </c>
      <c r="H758" s="71">
        <v>23.230999999999998</v>
      </c>
      <c r="I758" s="71">
        <v>0</v>
      </c>
      <c r="J758" s="71">
        <v>0</v>
      </c>
      <c r="K758" s="71">
        <v>0</v>
      </c>
      <c r="L758" s="71">
        <v>0</v>
      </c>
      <c r="M758" s="71">
        <v>5.1159999999999997</v>
      </c>
      <c r="N758" s="71">
        <v>2.0469999999999997</v>
      </c>
      <c r="O758" s="71">
        <v>3.7569999999999997</v>
      </c>
      <c r="P758" s="71">
        <v>31.367999999999999</v>
      </c>
      <c r="Q758" s="71">
        <v>175.529</v>
      </c>
      <c r="R758" s="71">
        <v>2669.3</v>
      </c>
      <c r="S758" s="71">
        <v>112.43899999999999</v>
      </c>
      <c r="T758" s="71">
        <v>179.50289999999998</v>
      </c>
    </row>
    <row r="759" spans="1:20">
      <c r="A759" s="71" t="s">
        <v>2674</v>
      </c>
      <c r="B759" s="71" t="s">
        <v>279</v>
      </c>
      <c r="C759" s="71">
        <v>3019.9879999999998</v>
      </c>
      <c r="D759" s="71">
        <v>0.107</v>
      </c>
      <c r="E759" s="71">
        <v>0</v>
      </c>
      <c r="F759" s="71">
        <v>7.5539999999999994</v>
      </c>
      <c r="G759" s="71">
        <v>105.12</v>
      </c>
      <c r="H759" s="71">
        <v>23.556999999999999</v>
      </c>
      <c r="I759" s="71">
        <v>0</v>
      </c>
      <c r="J759" s="71">
        <v>0</v>
      </c>
      <c r="K759" s="71">
        <v>0</v>
      </c>
      <c r="L759" s="71">
        <v>0</v>
      </c>
      <c r="M759" s="71">
        <v>13.393999999999998</v>
      </c>
      <c r="N759" s="71">
        <v>0.436</v>
      </c>
      <c r="O759" s="71">
        <v>4.5889999999999995</v>
      </c>
      <c r="P759" s="71">
        <v>52.500999999999998</v>
      </c>
      <c r="Q759" s="71">
        <v>214.16899999999998</v>
      </c>
      <c r="R759" s="71">
        <v>1106.7</v>
      </c>
      <c r="S759" s="71">
        <v>29.515999999999998</v>
      </c>
      <c r="T759" s="71">
        <v>150.999</v>
      </c>
    </row>
    <row r="760" spans="1:20">
      <c r="A760" s="71" t="s">
        <v>512</v>
      </c>
      <c r="B760" s="71" t="s">
        <v>348</v>
      </c>
      <c r="C760" s="71">
        <v>1021.1719999999999</v>
      </c>
      <c r="D760" s="71">
        <v>0</v>
      </c>
      <c r="E760" s="71">
        <v>0</v>
      </c>
      <c r="F760" s="71">
        <v>1.718</v>
      </c>
      <c r="G760" s="71">
        <v>47.7</v>
      </c>
      <c r="H760" s="71">
        <v>0.79399999999999993</v>
      </c>
      <c r="I760" s="71">
        <v>0</v>
      </c>
      <c r="J760" s="71">
        <v>6.2279999999999998</v>
      </c>
      <c r="K760" s="71">
        <v>0</v>
      </c>
      <c r="L760" s="71">
        <v>0</v>
      </c>
      <c r="M760" s="71">
        <v>0</v>
      </c>
      <c r="N760" s="71">
        <v>0.35899999999999999</v>
      </c>
      <c r="O760" s="71">
        <v>0</v>
      </c>
      <c r="P760" s="71">
        <v>18.143999999999998</v>
      </c>
      <c r="Q760" s="71">
        <v>98.98599999999999</v>
      </c>
      <c r="R760" s="71">
        <v>640.29999999999995</v>
      </c>
      <c r="S760" s="71">
        <v>25.898</v>
      </c>
      <c r="T760" s="71">
        <v>51.058599999999991</v>
      </c>
    </row>
    <row r="761" spans="1:20">
      <c r="A761" s="71" t="s">
        <v>600</v>
      </c>
      <c r="B761" s="71" t="s">
        <v>280</v>
      </c>
      <c r="C761" s="71">
        <v>186.21099999999998</v>
      </c>
      <c r="D761" s="71">
        <v>0</v>
      </c>
      <c r="E761" s="71">
        <v>0</v>
      </c>
      <c r="F761" s="71">
        <v>0.315</v>
      </c>
      <c r="G761" s="71">
        <v>5.9059999999999997</v>
      </c>
      <c r="H761" s="71">
        <v>0</v>
      </c>
      <c r="I761" s="71">
        <v>0</v>
      </c>
      <c r="J761" s="71">
        <v>0</v>
      </c>
      <c r="K761" s="71">
        <v>0</v>
      </c>
      <c r="L761" s="71">
        <v>0</v>
      </c>
      <c r="M761" s="71">
        <v>0</v>
      </c>
      <c r="N761" s="71">
        <v>0.22399999999999998</v>
      </c>
      <c r="O761" s="71">
        <v>0</v>
      </c>
      <c r="P761" s="71">
        <v>4.9739999999999993</v>
      </c>
      <c r="Q761" s="71">
        <v>11.421999999999999</v>
      </c>
      <c r="R761" s="71">
        <v>139.5</v>
      </c>
      <c r="S761" s="71">
        <v>50.78</v>
      </c>
      <c r="T761" s="71">
        <v>9.3105499999999992</v>
      </c>
    </row>
    <row r="762" spans="1:20">
      <c r="A762" s="71" t="s">
        <v>602</v>
      </c>
      <c r="B762" s="71" t="s">
        <v>281</v>
      </c>
      <c r="C762" s="71">
        <v>1374.1289999999999</v>
      </c>
      <c r="D762" s="71">
        <v>0.15699999999999997</v>
      </c>
      <c r="E762" s="71">
        <v>0</v>
      </c>
      <c r="F762" s="71">
        <v>2.8109999999999999</v>
      </c>
      <c r="G762" s="71">
        <v>43.921999999999997</v>
      </c>
      <c r="H762" s="71">
        <v>2.0499999999999998</v>
      </c>
      <c r="I762" s="71">
        <v>0</v>
      </c>
      <c r="J762" s="71">
        <v>0</v>
      </c>
      <c r="K762" s="71">
        <v>0</v>
      </c>
      <c r="L762" s="71">
        <v>0</v>
      </c>
      <c r="M762" s="71">
        <v>0</v>
      </c>
      <c r="N762" s="71">
        <v>0.91599999999999993</v>
      </c>
      <c r="O762" s="71">
        <v>0</v>
      </c>
      <c r="P762" s="71">
        <v>57.822999999999993</v>
      </c>
      <c r="Q762" s="71">
        <v>61.105999999999995</v>
      </c>
      <c r="R762" s="71">
        <v>1012.2</v>
      </c>
      <c r="S762" s="71">
        <v>65.188999999999993</v>
      </c>
      <c r="T762" s="71">
        <v>68.705999999999989</v>
      </c>
    </row>
    <row r="763" spans="1:20">
      <c r="A763" s="71" t="s">
        <v>6188</v>
      </c>
      <c r="B763" s="71" t="s">
        <v>3836</v>
      </c>
      <c r="C763" s="71">
        <v>658.72500000000002</v>
      </c>
      <c r="D763" s="71">
        <v>0</v>
      </c>
      <c r="E763" s="71">
        <v>0</v>
      </c>
      <c r="F763" s="71">
        <v>1.4989999999999999</v>
      </c>
      <c r="G763" s="71">
        <v>20.79</v>
      </c>
      <c r="H763" s="71">
        <v>4.1959999999999997</v>
      </c>
      <c r="I763" s="71">
        <v>0</v>
      </c>
      <c r="J763" s="71">
        <v>0</v>
      </c>
      <c r="K763" s="71">
        <v>0</v>
      </c>
      <c r="L763" s="71">
        <v>0</v>
      </c>
      <c r="M763" s="71">
        <v>1.4109999999999998</v>
      </c>
      <c r="N763" s="71">
        <v>6.7999999999999991E-2</v>
      </c>
      <c r="O763" s="71">
        <v>0</v>
      </c>
      <c r="P763" s="71">
        <v>23.750999999999998</v>
      </c>
      <c r="Q763" s="71">
        <v>36.020000000000003</v>
      </c>
      <c r="R763" s="71">
        <v>561.29999999999995</v>
      </c>
      <c r="S763" s="71">
        <v>107.848</v>
      </c>
      <c r="T763" s="71">
        <v>32.936</v>
      </c>
    </row>
    <row r="764" spans="1:20">
      <c r="A764" s="71" t="s">
        <v>2016</v>
      </c>
      <c r="B764" s="71" t="s">
        <v>282</v>
      </c>
      <c r="C764" s="71">
        <v>105.41699999999999</v>
      </c>
      <c r="D764" s="71">
        <v>0</v>
      </c>
      <c r="E764" s="71">
        <v>0</v>
      </c>
      <c r="F764" s="71">
        <v>0.19599999999999998</v>
      </c>
      <c r="G764" s="71">
        <v>2.7709999999999999</v>
      </c>
      <c r="H764" s="71">
        <v>4.2999999999999997E-2</v>
      </c>
      <c r="I764" s="71">
        <v>0</v>
      </c>
      <c r="J764" s="71">
        <v>0</v>
      </c>
      <c r="K764" s="71">
        <v>0</v>
      </c>
      <c r="L764" s="71">
        <v>0</v>
      </c>
      <c r="M764" s="71">
        <v>0</v>
      </c>
      <c r="N764" s="71">
        <v>0</v>
      </c>
      <c r="O764" s="71">
        <v>0</v>
      </c>
      <c r="P764" s="71">
        <v>1.0549999999999999</v>
      </c>
      <c r="Q764" s="71">
        <v>0.13899999999999998</v>
      </c>
      <c r="R764" s="71">
        <v>101.5</v>
      </c>
      <c r="S764" s="71">
        <v>0.81899999999999995</v>
      </c>
      <c r="T764" s="71">
        <v>2</v>
      </c>
    </row>
    <row r="765" spans="1:20">
      <c r="A765" s="71" t="s">
        <v>2018</v>
      </c>
      <c r="B765" s="71" t="s">
        <v>283</v>
      </c>
      <c r="C765" s="71">
        <v>362.392</v>
      </c>
      <c r="D765" s="71">
        <v>0</v>
      </c>
      <c r="E765" s="71">
        <v>0</v>
      </c>
      <c r="F765" s="71">
        <v>1.0449999999999999</v>
      </c>
      <c r="G765" s="71">
        <v>18.850999999999999</v>
      </c>
      <c r="H765" s="71">
        <v>1.7959999999999998</v>
      </c>
      <c r="I765" s="71">
        <v>0</v>
      </c>
      <c r="J765" s="71">
        <v>0</v>
      </c>
      <c r="K765" s="71">
        <v>0</v>
      </c>
      <c r="L765" s="71">
        <v>0</v>
      </c>
      <c r="M765" s="71">
        <v>0</v>
      </c>
      <c r="N765" s="71">
        <v>1.1309999999999998</v>
      </c>
      <c r="O765" s="71">
        <v>0</v>
      </c>
      <c r="P765" s="71">
        <v>13.484999999999999</v>
      </c>
      <c r="Q765" s="71">
        <v>25.366999999999997</v>
      </c>
      <c r="R765" s="71">
        <v>254.2</v>
      </c>
      <c r="S765" s="71">
        <v>42.335999999999999</v>
      </c>
      <c r="T765" s="71">
        <v>18.119599999999998</v>
      </c>
    </row>
    <row r="766" spans="1:20">
      <c r="A766" s="71" t="s">
        <v>2020</v>
      </c>
      <c r="B766" s="71" t="s">
        <v>284</v>
      </c>
      <c r="C766" s="71">
        <v>350.74599999999998</v>
      </c>
      <c r="D766" s="71">
        <v>0</v>
      </c>
      <c r="E766" s="71">
        <v>0</v>
      </c>
      <c r="F766" s="71">
        <v>0.59399999999999997</v>
      </c>
      <c r="G766" s="71">
        <v>18.914999999999999</v>
      </c>
      <c r="H766" s="71">
        <v>0</v>
      </c>
      <c r="I766" s="71">
        <v>0</v>
      </c>
      <c r="J766" s="71">
        <v>0</v>
      </c>
      <c r="K766" s="71">
        <v>0</v>
      </c>
      <c r="L766" s="71">
        <v>0</v>
      </c>
      <c r="M766" s="71">
        <v>0</v>
      </c>
      <c r="N766" s="71">
        <v>0.105</v>
      </c>
      <c r="O766" s="71">
        <v>0</v>
      </c>
      <c r="P766" s="71">
        <v>2.2959999999999998</v>
      </c>
      <c r="Q766" s="71">
        <v>21.14</v>
      </c>
      <c r="R766" s="71">
        <v>237.5</v>
      </c>
      <c r="S766" s="71">
        <v>23.306999999999999</v>
      </c>
      <c r="T766" s="71">
        <v>17.536999999999999</v>
      </c>
    </row>
    <row r="767" spans="1:20">
      <c r="A767" s="71" t="s">
        <v>2022</v>
      </c>
      <c r="B767" s="71" t="s">
        <v>1135</v>
      </c>
      <c r="C767" s="71">
        <v>26.078999999999997</v>
      </c>
      <c r="D767" s="71">
        <v>0</v>
      </c>
      <c r="E767" s="71">
        <v>0</v>
      </c>
      <c r="F767" s="71">
        <v>7.3999999999999996E-2</v>
      </c>
      <c r="G767" s="71">
        <v>0.78599999999999992</v>
      </c>
      <c r="H767" s="71">
        <v>0</v>
      </c>
      <c r="I767" s="71">
        <v>0</v>
      </c>
      <c r="J767" s="71">
        <v>0</v>
      </c>
      <c r="K767" s="71">
        <v>0</v>
      </c>
      <c r="L767" s="71">
        <v>0</v>
      </c>
      <c r="M767" s="71">
        <v>0</v>
      </c>
      <c r="N767" s="71">
        <v>0</v>
      </c>
      <c r="O767" s="71">
        <v>5.3609999999999998</v>
      </c>
      <c r="P767" s="71">
        <v>0</v>
      </c>
      <c r="Q767" s="71">
        <v>1.478</v>
      </c>
      <c r="R767" s="71">
        <v>109.7</v>
      </c>
      <c r="S767" s="71">
        <v>0</v>
      </c>
      <c r="T767" s="71">
        <v>0</v>
      </c>
    </row>
    <row r="768" spans="1:20">
      <c r="A768" s="71" t="s">
        <v>2024</v>
      </c>
      <c r="B768" s="71" t="s">
        <v>285</v>
      </c>
      <c r="C768" s="71">
        <v>3127.962</v>
      </c>
      <c r="D768" s="71">
        <v>2.3999999999999997E-2</v>
      </c>
      <c r="E768" s="71">
        <v>0</v>
      </c>
      <c r="F768" s="71">
        <v>5.2889999999999997</v>
      </c>
      <c r="G768" s="71">
        <v>105.435</v>
      </c>
      <c r="H768" s="71">
        <v>31.765999999999998</v>
      </c>
      <c r="I768" s="71">
        <v>0</v>
      </c>
      <c r="J768" s="71">
        <v>0.5119999999999999</v>
      </c>
      <c r="K768" s="71">
        <v>0</v>
      </c>
      <c r="L768" s="71">
        <v>0</v>
      </c>
      <c r="M768" s="71">
        <v>12.725</v>
      </c>
      <c r="N768" s="71">
        <v>0.53199999999999992</v>
      </c>
      <c r="O768" s="71">
        <v>14.01</v>
      </c>
      <c r="P768" s="71">
        <v>100.014</v>
      </c>
      <c r="Q768" s="71">
        <v>172.17099999999999</v>
      </c>
      <c r="R768" s="71">
        <v>1481.8</v>
      </c>
      <c r="S768" s="71">
        <v>82.940999999999988</v>
      </c>
      <c r="T768" s="71">
        <v>137</v>
      </c>
    </row>
    <row r="769" spans="1:20">
      <c r="A769" s="71" t="s">
        <v>2026</v>
      </c>
      <c r="B769" s="71" t="s">
        <v>286</v>
      </c>
      <c r="C769" s="71">
        <v>293.90499999999997</v>
      </c>
      <c r="D769" s="71">
        <v>0</v>
      </c>
      <c r="E769" s="71">
        <v>0</v>
      </c>
      <c r="F769" s="71">
        <v>0.59099999999999997</v>
      </c>
      <c r="G769" s="71">
        <v>16.183</v>
      </c>
      <c r="H769" s="71">
        <v>1.3109999999999999</v>
      </c>
      <c r="I769" s="71">
        <v>0</v>
      </c>
      <c r="J769" s="71">
        <v>0</v>
      </c>
      <c r="K769" s="71">
        <v>0</v>
      </c>
      <c r="L769" s="71">
        <v>0</v>
      </c>
      <c r="M769" s="71">
        <v>0.96599999999999997</v>
      </c>
      <c r="N769" s="71">
        <v>0.44599999999999995</v>
      </c>
      <c r="O769" s="71">
        <v>13.946999999999999</v>
      </c>
      <c r="P769" s="71">
        <v>1.5379999999999998</v>
      </c>
      <c r="Q769" s="71">
        <v>22.012999999999998</v>
      </c>
      <c r="R769" s="71">
        <v>213.7</v>
      </c>
      <c r="S769" s="71">
        <v>28.418999999999997</v>
      </c>
      <c r="T769" s="71">
        <v>14.695</v>
      </c>
    </row>
    <row r="770" spans="1:20">
      <c r="A770" s="71" t="s">
        <v>242</v>
      </c>
      <c r="B770" s="71" t="s">
        <v>2650</v>
      </c>
      <c r="C770" s="71">
        <v>1123.723</v>
      </c>
      <c r="D770" s="71">
        <v>0.108</v>
      </c>
      <c r="E770" s="71">
        <v>0</v>
      </c>
      <c r="F770" s="71">
        <v>1.9489999999999998</v>
      </c>
      <c r="G770" s="71">
        <v>29.547999999999998</v>
      </c>
      <c r="H770" s="71">
        <v>8.1639999999999997</v>
      </c>
      <c r="I770" s="71">
        <v>0</v>
      </c>
      <c r="J770" s="71">
        <v>0</v>
      </c>
      <c r="K770" s="71">
        <v>0</v>
      </c>
      <c r="L770" s="71">
        <v>0</v>
      </c>
      <c r="M770" s="71">
        <v>0</v>
      </c>
      <c r="N770" s="71">
        <v>1.8049999999999999</v>
      </c>
      <c r="O770" s="71">
        <v>0</v>
      </c>
      <c r="P770" s="71">
        <v>16.581999999999997</v>
      </c>
      <c r="Q770" s="71">
        <v>37.150999999999996</v>
      </c>
      <c r="R770" s="71">
        <v>1011.3</v>
      </c>
      <c r="S770" s="71">
        <v>222.58799999999999</v>
      </c>
      <c r="T770" s="71">
        <v>56.186</v>
      </c>
    </row>
    <row r="771" spans="1:20">
      <c r="A771" s="71" t="s">
        <v>2028</v>
      </c>
      <c r="B771" s="71" t="s">
        <v>287</v>
      </c>
      <c r="C771" s="71">
        <v>910.10599999999999</v>
      </c>
      <c r="D771" s="71">
        <v>0</v>
      </c>
      <c r="E771" s="71">
        <v>0</v>
      </c>
      <c r="F771" s="71">
        <v>1.49</v>
      </c>
      <c r="G771" s="71">
        <v>25.19</v>
      </c>
      <c r="H771" s="71">
        <v>2.4129999999999998</v>
      </c>
      <c r="I771" s="71">
        <v>0</v>
      </c>
      <c r="J771" s="71">
        <v>5.7450000000000001</v>
      </c>
      <c r="K771" s="71">
        <v>0</v>
      </c>
      <c r="L771" s="71">
        <v>0</v>
      </c>
      <c r="M771" s="71">
        <v>8.8389999999999986</v>
      </c>
      <c r="N771" s="71">
        <v>6.3999999999999987E-2</v>
      </c>
      <c r="O771" s="71">
        <v>0</v>
      </c>
      <c r="P771" s="71">
        <v>38.781999999999996</v>
      </c>
      <c r="Q771" s="71">
        <v>69.263999999999996</v>
      </c>
      <c r="R771" s="71">
        <v>354.8</v>
      </c>
      <c r="S771" s="71">
        <v>4.6119999999999992</v>
      </c>
      <c r="T771" s="71">
        <v>45.505000000000003</v>
      </c>
    </row>
    <row r="772" spans="1:20">
      <c r="A772" s="71" t="s">
        <v>2030</v>
      </c>
      <c r="B772" s="71" t="s">
        <v>288</v>
      </c>
      <c r="C772" s="71">
        <v>298.36199999999997</v>
      </c>
      <c r="D772" s="71">
        <v>0.10199999999999999</v>
      </c>
      <c r="E772" s="71">
        <v>0</v>
      </c>
      <c r="F772" s="71">
        <v>0.46399999999999997</v>
      </c>
      <c r="G772" s="71">
        <v>9.2889999999999997</v>
      </c>
      <c r="H772" s="71">
        <v>2.5000000000000001E-2</v>
      </c>
      <c r="I772" s="71">
        <v>0</v>
      </c>
      <c r="J772" s="71">
        <v>2.1629999999999998</v>
      </c>
      <c r="K772" s="71">
        <v>0</v>
      </c>
      <c r="L772" s="71">
        <v>0</v>
      </c>
      <c r="M772" s="71">
        <v>2.2479999999999998</v>
      </c>
      <c r="N772" s="71">
        <v>0</v>
      </c>
      <c r="O772" s="71">
        <v>0</v>
      </c>
      <c r="P772" s="71">
        <v>6.9419999999999993</v>
      </c>
      <c r="Q772" s="71">
        <v>21.404</v>
      </c>
      <c r="R772" s="71">
        <v>160</v>
      </c>
      <c r="S772" s="71">
        <v>14.276</v>
      </c>
      <c r="T772" s="71">
        <v>14.917999999999999</v>
      </c>
    </row>
    <row r="773" spans="1:20">
      <c r="A773" s="71" t="s">
        <v>2032</v>
      </c>
      <c r="B773" s="71" t="s">
        <v>289</v>
      </c>
      <c r="C773" s="71">
        <v>509.76199999999994</v>
      </c>
      <c r="D773" s="71">
        <v>0</v>
      </c>
      <c r="E773" s="71">
        <v>0</v>
      </c>
      <c r="F773" s="71">
        <v>1.4769999999999999</v>
      </c>
      <c r="G773" s="71">
        <v>13.250999999999999</v>
      </c>
      <c r="H773" s="71">
        <v>5.6989999999999998</v>
      </c>
      <c r="I773" s="71">
        <v>0</v>
      </c>
      <c r="J773" s="71">
        <v>1.8059999999999998</v>
      </c>
      <c r="K773" s="71">
        <v>0</v>
      </c>
      <c r="L773" s="71">
        <v>0</v>
      </c>
      <c r="M773" s="71">
        <v>0</v>
      </c>
      <c r="N773" s="71">
        <v>0</v>
      </c>
      <c r="O773" s="71">
        <v>0</v>
      </c>
      <c r="P773" s="71">
        <v>13.976999999999999</v>
      </c>
      <c r="Q773" s="71">
        <v>33.066999999999993</v>
      </c>
      <c r="R773" s="71">
        <v>219</v>
      </c>
      <c r="S773" s="71">
        <v>6.7289999999999992</v>
      </c>
      <c r="T773" s="71">
        <v>25.488</v>
      </c>
    </row>
    <row r="774" spans="1:20">
      <c r="A774" s="71" t="s">
        <v>2034</v>
      </c>
      <c r="B774" s="71" t="s">
        <v>290</v>
      </c>
      <c r="C774" s="71">
        <v>92.866</v>
      </c>
      <c r="D774" s="71">
        <v>0</v>
      </c>
      <c r="E774" s="71">
        <v>0</v>
      </c>
      <c r="F774" s="71">
        <v>0.23699999999999999</v>
      </c>
      <c r="G774" s="71">
        <v>4.8659999999999997</v>
      </c>
      <c r="H774" s="71">
        <v>0</v>
      </c>
      <c r="I774" s="71">
        <v>0</v>
      </c>
      <c r="J774" s="71">
        <v>0</v>
      </c>
      <c r="K774" s="71">
        <v>0</v>
      </c>
      <c r="L774" s="71">
        <v>0</v>
      </c>
      <c r="M774" s="71">
        <v>0</v>
      </c>
      <c r="N774" s="71">
        <v>0</v>
      </c>
      <c r="O774" s="71">
        <v>0</v>
      </c>
      <c r="P774" s="71">
        <v>1.1409999999999998</v>
      </c>
      <c r="Q774" s="71">
        <v>0</v>
      </c>
      <c r="R774" s="71">
        <v>36.799999999999997</v>
      </c>
      <c r="S774" s="71">
        <v>0</v>
      </c>
      <c r="T774" s="71">
        <v>2</v>
      </c>
    </row>
    <row r="775" spans="1:20">
      <c r="A775" s="71" t="s">
        <v>2036</v>
      </c>
      <c r="B775" s="71" t="s">
        <v>291</v>
      </c>
      <c r="C775" s="71">
        <v>92.344999999999999</v>
      </c>
      <c r="D775" s="71">
        <v>0</v>
      </c>
      <c r="E775" s="71">
        <v>0</v>
      </c>
      <c r="F775" s="71">
        <v>0.152</v>
      </c>
      <c r="G775" s="71">
        <v>1.853</v>
      </c>
      <c r="H775" s="71">
        <v>0</v>
      </c>
      <c r="I775" s="71">
        <v>0</v>
      </c>
      <c r="J775" s="71">
        <v>0.622</v>
      </c>
      <c r="K775" s="71">
        <v>0</v>
      </c>
      <c r="L775" s="71">
        <v>0</v>
      </c>
      <c r="M775" s="71">
        <v>0</v>
      </c>
      <c r="N775" s="71">
        <v>0</v>
      </c>
      <c r="O775" s="71">
        <v>0</v>
      </c>
      <c r="P775" s="71">
        <v>1.9419999999999999</v>
      </c>
      <c r="Q775" s="71">
        <v>0</v>
      </c>
      <c r="R775" s="71">
        <v>30.8</v>
      </c>
      <c r="S775" s="71">
        <v>1</v>
      </c>
      <c r="T775" s="71">
        <v>4.617</v>
      </c>
    </row>
    <row r="776" spans="1:20">
      <c r="A776" s="71" t="s">
        <v>308</v>
      </c>
      <c r="B776" s="71" t="s">
        <v>292</v>
      </c>
      <c r="C776" s="71">
        <v>72.416999999999987</v>
      </c>
      <c r="D776" s="71">
        <v>0</v>
      </c>
      <c r="E776" s="71">
        <v>0</v>
      </c>
      <c r="F776" s="71">
        <v>7.0000000000000007E-2</v>
      </c>
      <c r="G776" s="71">
        <v>2.5499999999999998</v>
      </c>
      <c r="H776" s="71">
        <v>0</v>
      </c>
      <c r="I776" s="71">
        <v>0</v>
      </c>
      <c r="J776" s="71">
        <v>0</v>
      </c>
      <c r="K776" s="71">
        <v>0</v>
      </c>
      <c r="L776" s="71">
        <v>0</v>
      </c>
      <c r="M776" s="71">
        <v>0</v>
      </c>
      <c r="N776" s="71">
        <v>0</v>
      </c>
      <c r="O776" s="71">
        <v>0</v>
      </c>
      <c r="P776" s="71">
        <v>0</v>
      </c>
      <c r="Q776" s="71">
        <v>0</v>
      </c>
      <c r="R776" s="71">
        <v>17.8</v>
      </c>
      <c r="S776" s="71">
        <v>0</v>
      </c>
      <c r="T776" s="71">
        <v>2</v>
      </c>
    </row>
    <row r="777" spans="1:20">
      <c r="A777" s="71" t="s">
        <v>310</v>
      </c>
      <c r="B777" s="71" t="s">
        <v>293</v>
      </c>
      <c r="C777" s="71">
        <v>1699.0279999999998</v>
      </c>
      <c r="D777" s="71">
        <v>0</v>
      </c>
      <c r="E777" s="71">
        <v>0</v>
      </c>
      <c r="F777" s="71">
        <v>2.1769999999999996</v>
      </c>
      <c r="G777" s="71">
        <v>36.395999999999994</v>
      </c>
      <c r="H777" s="71">
        <v>7.0709999999999997</v>
      </c>
      <c r="I777" s="71">
        <v>0</v>
      </c>
      <c r="J777" s="71">
        <v>0.51899999999999991</v>
      </c>
      <c r="K777" s="71">
        <v>0</v>
      </c>
      <c r="L777" s="71">
        <v>2.0249999999999999</v>
      </c>
      <c r="M777" s="71">
        <v>4.2769999999999992</v>
      </c>
      <c r="N777" s="71">
        <v>1.06</v>
      </c>
      <c r="O777" s="71">
        <v>3.0829999999999997</v>
      </c>
      <c r="P777" s="71">
        <v>28.146999999999998</v>
      </c>
      <c r="Q777" s="71">
        <v>79.81</v>
      </c>
      <c r="R777" s="71">
        <v>1009.3</v>
      </c>
      <c r="S777" s="71">
        <v>196.75</v>
      </c>
      <c r="T777" s="71">
        <v>84.950999999999993</v>
      </c>
    </row>
    <row r="778" spans="1:20">
      <c r="A778" s="71" t="s">
        <v>312</v>
      </c>
      <c r="B778" s="71" t="s">
        <v>294</v>
      </c>
      <c r="C778" s="71">
        <v>912.73</v>
      </c>
      <c r="D778" s="71">
        <v>8.299999999999999E-2</v>
      </c>
      <c r="E778" s="71">
        <v>0</v>
      </c>
      <c r="F778" s="71">
        <v>1.5229999999999999</v>
      </c>
      <c r="G778" s="71">
        <v>12.648999999999999</v>
      </c>
      <c r="H778" s="71">
        <v>6.1659999999999995</v>
      </c>
      <c r="I778" s="71">
        <v>0</v>
      </c>
      <c r="J778" s="71">
        <v>0</v>
      </c>
      <c r="K778" s="71">
        <v>0</v>
      </c>
      <c r="L778" s="71">
        <v>0</v>
      </c>
      <c r="M778" s="71">
        <v>2.1879999999999997</v>
      </c>
      <c r="N778" s="71">
        <v>0</v>
      </c>
      <c r="O778" s="71">
        <v>12.824</v>
      </c>
      <c r="P778" s="71">
        <v>5.5750000000000002</v>
      </c>
      <c r="Q778" s="71">
        <v>80.805000000000007</v>
      </c>
      <c r="R778" s="71">
        <v>420.8</v>
      </c>
      <c r="S778" s="71">
        <v>31.023999999999997</v>
      </c>
      <c r="T778" s="71">
        <v>45.636499999999991</v>
      </c>
    </row>
    <row r="779" spans="1:20">
      <c r="A779" s="71" t="s">
        <v>314</v>
      </c>
      <c r="B779" s="71" t="s">
        <v>295</v>
      </c>
      <c r="C779" s="71">
        <v>183.63799999999998</v>
      </c>
      <c r="D779" s="71">
        <v>0</v>
      </c>
      <c r="E779" s="71">
        <v>0</v>
      </c>
      <c r="F779" s="71">
        <v>0.61299999999999999</v>
      </c>
      <c r="G779" s="71">
        <v>2.9279999999999999</v>
      </c>
      <c r="H779" s="71">
        <v>0</v>
      </c>
      <c r="I779" s="71">
        <v>0</v>
      </c>
      <c r="J779" s="71">
        <v>0</v>
      </c>
      <c r="K779" s="71">
        <v>0</v>
      </c>
      <c r="L779" s="71">
        <v>0</v>
      </c>
      <c r="M779" s="71">
        <v>2.3999999999999997E-2</v>
      </c>
      <c r="N779" s="71">
        <v>0</v>
      </c>
      <c r="O779" s="71">
        <v>6.4409999999999998</v>
      </c>
      <c r="P779" s="71">
        <v>16.431999999999999</v>
      </c>
      <c r="Q779" s="71">
        <v>3.5429999999999997</v>
      </c>
      <c r="R779" s="71">
        <v>132.19999999999999</v>
      </c>
      <c r="S779" s="71">
        <v>15.414</v>
      </c>
      <c r="T779" s="71">
        <v>9.1818999999999988</v>
      </c>
    </row>
    <row r="780" spans="1:20">
      <c r="A780" s="71" t="s">
        <v>1136</v>
      </c>
      <c r="B780" s="71" t="s">
        <v>1137</v>
      </c>
      <c r="C780" s="71">
        <v>357</v>
      </c>
      <c r="D780" s="71">
        <v>0</v>
      </c>
      <c r="E780" s="71">
        <v>0</v>
      </c>
      <c r="F780" s="71">
        <v>0</v>
      </c>
      <c r="G780" s="71">
        <v>0</v>
      </c>
      <c r="H780" s="71">
        <v>0</v>
      </c>
      <c r="I780" s="71">
        <v>0</v>
      </c>
      <c r="J780" s="71">
        <v>0</v>
      </c>
      <c r="K780" s="71">
        <v>0</v>
      </c>
      <c r="L780" s="71">
        <v>0</v>
      </c>
      <c r="M780" s="71">
        <v>0</v>
      </c>
      <c r="N780" s="71">
        <v>0</v>
      </c>
      <c r="O780" s="71">
        <v>0</v>
      </c>
      <c r="P780" s="71">
        <v>0</v>
      </c>
      <c r="Q780" s="71">
        <v>0</v>
      </c>
      <c r="R780" s="71">
        <v>0</v>
      </c>
      <c r="S780" s="71">
        <v>0</v>
      </c>
      <c r="T780" s="71">
        <v>0</v>
      </c>
    </row>
    <row r="781" spans="1:20">
      <c r="A781" s="71" t="s">
        <v>316</v>
      </c>
      <c r="B781" s="71" t="s">
        <v>296</v>
      </c>
      <c r="C781" s="71">
        <v>735.31299999999999</v>
      </c>
      <c r="D781" s="71">
        <v>4.7999999999999994E-2</v>
      </c>
      <c r="E781" s="71">
        <v>0</v>
      </c>
      <c r="F781" s="71">
        <v>1.085</v>
      </c>
      <c r="G781" s="71">
        <v>31.414999999999999</v>
      </c>
      <c r="H781" s="71">
        <v>4.9489999999999998</v>
      </c>
      <c r="I781" s="71">
        <v>0</v>
      </c>
      <c r="J781" s="71">
        <v>0</v>
      </c>
      <c r="K781" s="71">
        <v>0</v>
      </c>
      <c r="L781" s="71">
        <v>0</v>
      </c>
      <c r="M781" s="71">
        <v>4.7309999999999999</v>
      </c>
      <c r="N781" s="71">
        <v>0</v>
      </c>
      <c r="O781" s="71">
        <v>0</v>
      </c>
      <c r="P781" s="71">
        <v>7.8659999999999997</v>
      </c>
      <c r="Q781" s="71">
        <v>50.125</v>
      </c>
      <c r="R781" s="71">
        <v>395</v>
      </c>
      <c r="S781" s="71">
        <v>79.773999999999987</v>
      </c>
      <c r="T781" s="71">
        <v>35.920999999999999</v>
      </c>
    </row>
    <row r="782" spans="1:20">
      <c r="A782" s="71" t="s">
        <v>318</v>
      </c>
      <c r="B782" s="71" t="s">
        <v>297</v>
      </c>
      <c r="C782" s="71">
        <v>669.40599999999995</v>
      </c>
      <c r="D782" s="71">
        <v>0</v>
      </c>
      <c r="E782" s="71">
        <v>0</v>
      </c>
      <c r="F782" s="71">
        <v>0.94499999999999995</v>
      </c>
      <c r="G782" s="71">
        <v>28.456</v>
      </c>
      <c r="H782" s="71">
        <v>5.6659999999999995</v>
      </c>
      <c r="I782" s="71">
        <v>0</v>
      </c>
      <c r="J782" s="71">
        <v>0</v>
      </c>
      <c r="K782" s="71">
        <v>0</v>
      </c>
      <c r="L782" s="71">
        <v>0</v>
      </c>
      <c r="M782" s="71">
        <v>5.6129999999999995</v>
      </c>
      <c r="N782" s="71">
        <v>0</v>
      </c>
      <c r="O782" s="71">
        <v>0</v>
      </c>
      <c r="P782" s="71">
        <v>5.819</v>
      </c>
      <c r="Q782" s="71">
        <v>31.234999999999999</v>
      </c>
      <c r="R782" s="71">
        <v>265.3</v>
      </c>
      <c r="S782" s="71">
        <v>13.918999999999999</v>
      </c>
      <c r="T782" s="71">
        <v>33.47</v>
      </c>
    </row>
    <row r="783" spans="1:20">
      <c r="A783" s="71" t="s">
        <v>320</v>
      </c>
      <c r="B783" s="71" t="s">
        <v>298</v>
      </c>
      <c r="C783" s="71">
        <v>506.04599999999999</v>
      </c>
      <c r="D783" s="71">
        <v>0</v>
      </c>
      <c r="E783" s="71">
        <v>0</v>
      </c>
      <c r="F783" s="71">
        <v>0.62899999999999989</v>
      </c>
      <c r="G783" s="71">
        <v>13.26</v>
      </c>
      <c r="H783" s="71">
        <v>3.2850000000000001</v>
      </c>
      <c r="I783" s="71">
        <v>0</v>
      </c>
      <c r="J783" s="71">
        <v>0</v>
      </c>
      <c r="K783" s="71">
        <v>0</v>
      </c>
      <c r="L783" s="71">
        <v>0</v>
      </c>
      <c r="M783" s="71">
        <v>1.1950000000000001</v>
      </c>
      <c r="N783" s="71">
        <v>0</v>
      </c>
      <c r="O783" s="71">
        <v>0</v>
      </c>
      <c r="P783" s="71">
        <v>12.257</v>
      </c>
      <c r="Q783" s="71">
        <v>37.994</v>
      </c>
      <c r="R783" s="71">
        <v>225.5</v>
      </c>
      <c r="S783" s="71">
        <v>3.7309999999999999</v>
      </c>
      <c r="T783" s="71">
        <v>25.302</v>
      </c>
    </row>
    <row r="784" spans="1:20">
      <c r="A784" s="71" t="s">
        <v>2319</v>
      </c>
      <c r="B784" s="71" t="s">
        <v>299</v>
      </c>
      <c r="C784" s="71">
        <v>223.78199999999998</v>
      </c>
      <c r="D784" s="71">
        <v>0.26399999999999996</v>
      </c>
      <c r="E784" s="71">
        <v>0</v>
      </c>
      <c r="F784" s="71">
        <v>0.309</v>
      </c>
      <c r="G784" s="71">
        <v>9.6509999999999998</v>
      </c>
      <c r="H784" s="71">
        <v>2.1139999999999999</v>
      </c>
      <c r="I784" s="71">
        <v>0</v>
      </c>
      <c r="J784" s="71">
        <v>0</v>
      </c>
      <c r="K784" s="71">
        <v>0</v>
      </c>
      <c r="L784" s="71">
        <v>0</v>
      </c>
      <c r="M784" s="71">
        <v>0.62799999999999989</v>
      </c>
      <c r="N784" s="71">
        <v>0</v>
      </c>
      <c r="O784" s="71">
        <v>0.38199999999999995</v>
      </c>
      <c r="P784" s="71">
        <v>1.9950000000000001</v>
      </c>
      <c r="Q784" s="71">
        <v>8.0109999999999992</v>
      </c>
      <c r="R784" s="71">
        <v>150.69999999999999</v>
      </c>
      <c r="S784" s="71">
        <v>1</v>
      </c>
      <c r="T784" s="71">
        <v>7</v>
      </c>
    </row>
    <row r="785" spans="1:20">
      <c r="A785" s="71" t="s">
        <v>2321</v>
      </c>
      <c r="B785" s="71" t="s">
        <v>300</v>
      </c>
      <c r="C785" s="71">
        <v>662.98099999999999</v>
      </c>
      <c r="D785" s="71">
        <v>0.105</v>
      </c>
      <c r="E785" s="71">
        <v>0</v>
      </c>
      <c r="F785" s="71">
        <v>0.79399999999999993</v>
      </c>
      <c r="G785" s="71">
        <v>25.291999999999998</v>
      </c>
      <c r="H785" s="71">
        <v>2.8329999999999997</v>
      </c>
      <c r="I785" s="71">
        <v>0</v>
      </c>
      <c r="J785" s="71">
        <v>0</v>
      </c>
      <c r="K785" s="71">
        <v>0</v>
      </c>
      <c r="L785" s="71">
        <v>0</v>
      </c>
      <c r="M785" s="71">
        <v>4.4739999999999993</v>
      </c>
      <c r="N785" s="71">
        <v>0</v>
      </c>
      <c r="O785" s="71">
        <v>0</v>
      </c>
      <c r="P785" s="71">
        <v>12.893999999999998</v>
      </c>
      <c r="Q785" s="71">
        <v>26.904</v>
      </c>
      <c r="R785" s="71">
        <v>344.8</v>
      </c>
      <c r="S785" s="71">
        <v>38.535999999999994</v>
      </c>
      <c r="T785" s="71">
        <v>33.148999999999994</v>
      </c>
    </row>
    <row r="786" spans="1:20">
      <c r="A786" s="71" t="s">
        <v>3178</v>
      </c>
      <c r="B786" s="71" t="s">
        <v>6114</v>
      </c>
      <c r="C786" s="71">
        <v>3189.9479999999999</v>
      </c>
      <c r="D786" s="71">
        <v>0.85499999999999998</v>
      </c>
      <c r="E786" s="71">
        <v>0</v>
      </c>
      <c r="F786" s="71">
        <v>7.3219999999999992</v>
      </c>
      <c r="G786" s="71">
        <v>97.41</v>
      </c>
      <c r="H786" s="71">
        <v>25.600999999999999</v>
      </c>
      <c r="I786" s="71">
        <v>0</v>
      </c>
      <c r="J786" s="71">
        <v>0</v>
      </c>
      <c r="K786" s="71">
        <v>0</v>
      </c>
      <c r="L786" s="71">
        <v>0</v>
      </c>
      <c r="M786" s="71">
        <v>3.5109999999999997</v>
      </c>
      <c r="N786" s="71">
        <v>1.5609999999999999</v>
      </c>
      <c r="O786" s="71">
        <v>0</v>
      </c>
      <c r="P786" s="71">
        <v>29.43</v>
      </c>
      <c r="Q786" s="71">
        <v>136.69899999999998</v>
      </c>
      <c r="R786" s="71">
        <v>2289.1999999999998</v>
      </c>
      <c r="S786" s="71">
        <v>441.96099999999996</v>
      </c>
      <c r="T786" s="71">
        <v>159.49699999999999</v>
      </c>
    </row>
    <row r="787" spans="1:20">
      <c r="A787" s="71" t="s">
        <v>249</v>
      </c>
      <c r="B787" s="71" t="s">
        <v>994</v>
      </c>
      <c r="C787" s="71">
        <v>4577.9739999999993</v>
      </c>
      <c r="D787" s="71">
        <v>0.72499999999999998</v>
      </c>
      <c r="E787" s="71">
        <v>0</v>
      </c>
      <c r="F787" s="71">
        <v>9.2929999999999993</v>
      </c>
      <c r="G787" s="71">
        <v>120.746</v>
      </c>
      <c r="H787" s="71">
        <v>23.255999999999997</v>
      </c>
      <c r="I787" s="71">
        <v>0</v>
      </c>
      <c r="J787" s="71">
        <v>0</v>
      </c>
      <c r="K787" s="71">
        <v>0</v>
      </c>
      <c r="L787" s="71">
        <v>0</v>
      </c>
      <c r="M787" s="71">
        <v>0</v>
      </c>
      <c r="N787" s="71">
        <v>2.0099999999999998</v>
      </c>
      <c r="O787" s="71">
        <v>0</v>
      </c>
      <c r="P787" s="71">
        <v>22.296999999999997</v>
      </c>
      <c r="Q787" s="71">
        <v>209.32</v>
      </c>
      <c r="R787" s="71">
        <v>2398.5</v>
      </c>
      <c r="S787" s="71">
        <v>207.61099999999999</v>
      </c>
      <c r="T787" s="71">
        <v>171</v>
      </c>
    </row>
    <row r="788" spans="1:20">
      <c r="A788" s="71" t="s">
        <v>2323</v>
      </c>
      <c r="B788" s="71" t="s">
        <v>301</v>
      </c>
      <c r="C788" s="71">
        <v>136.85899999999998</v>
      </c>
      <c r="D788" s="71">
        <v>0</v>
      </c>
      <c r="E788" s="71">
        <v>0</v>
      </c>
      <c r="F788" s="71">
        <v>0.47699999999999998</v>
      </c>
      <c r="G788" s="71">
        <v>4.24</v>
      </c>
      <c r="H788" s="71">
        <v>0</v>
      </c>
      <c r="I788" s="71">
        <v>0</v>
      </c>
      <c r="J788" s="71">
        <v>0.57099999999999995</v>
      </c>
      <c r="K788" s="71">
        <v>0</v>
      </c>
      <c r="L788" s="71">
        <v>0</v>
      </c>
      <c r="M788" s="71">
        <v>0</v>
      </c>
      <c r="N788" s="71">
        <v>0</v>
      </c>
      <c r="O788" s="71">
        <v>0</v>
      </c>
      <c r="P788" s="71">
        <v>2.9009999999999998</v>
      </c>
      <c r="Q788" s="71">
        <v>0</v>
      </c>
      <c r="R788" s="71">
        <v>70.2</v>
      </c>
      <c r="S788" s="71">
        <v>17.782999999999998</v>
      </c>
      <c r="T788" s="71">
        <v>6.8429499999999992</v>
      </c>
    </row>
    <row r="789" spans="1:20">
      <c r="A789" s="71" t="s">
        <v>513</v>
      </c>
      <c r="B789" s="71" t="s">
        <v>3917</v>
      </c>
      <c r="C789" s="71">
        <v>1174.6769999999999</v>
      </c>
      <c r="D789" s="71">
        <v>2.0999999999999998E-2</v>
      </c>
      <c r="E789" s="71">
        <v>0</v>
      </c>
      <c r="F789" s="71">
        <v>1.8659999999999999</v>
      </c>
      <c r="G789" s="71">
        <v>29.931999999999999</v>
      </c>
      <c r="H789" s="71">
        <v>1.1729999999999998</v>
      </c>
      <c r="I789" s="71">
        <v>0</v>
      </c>
      <c r="J789" s="71">
        <v>4.9400000000000004</v>
      </c>
      <c r="K789" s="71">
        <v>0</v>
      </c>
      <c r="L789" s="71">
        <v>0</v>
      </c>
      <c r="M789" s="71">
        <v>1.4039999999999999</v>
      </c>
      <c r="N789" s="71">
        <v>0</v>
      </c>
      <c r="O789" s="71">
        <v>0</v>
      </c>
      <c r="P789" s="71">
        <v>24.81</v>
      </c>
      <c r="Q789" s="71">
        <v>57.968999999999994</v>
      </c>
      <c r="R789" s="71">
        <v>689.5</v>
      </c>
      <c r="S789" s="71">
        <v>24.88</v>
      </c>
      <c r="T789" s="71">
        <v>52</v>
      </c>
    </row>
    <row r="790" spans="1:20">
      <c r="A790" s="71" t="s">
        <v>1872</v>
      </c>
      <c r="B790" s="71" t="s">
        <v>3855</v>
      </c>
      <c r="C790" s="71">
        <v>566.12</v>
      </c>
      <c r="D790" s="71">
        <v>0.01</v>
      </c>
      <c r="E790" s="71">
        <v>0</v>
      </c>
      <c r="F790" s="71">
        <v>1.7129999999999999</v>
      </c>
      <c r="G790" s="71">
        <v>20.16</v>
      </c>
      <c r="H790" s="71">
        <v>0.46799999999999997</v>
      </c>
      <c r="I790" s="71">
        <v>0</v>
      </c>
      <c r="J790" s="71">
        <v>1.847</v>
      </c>
      <c r="K790" s="71">
        <v>0</v>
      </c>
      <c r="L790" s="71">
        <v>0</v>
      </c>
      <c r="M790" s="71">
        <v>0</v>
      </c>
      <c r="N790" s="71">
        <v>0.436</v>
      </c>
      <c r="O790" s="71">
        <v>0</v>
      </c>
      <c r="P790" s="71">
        <v>13.898</v>
      </c>
      <c r="Q790" s="71">
        <v>26.046999999999997</v>
      </c>
      <c r="R790" s="71">
        <v>398.5</v>
      </c>
      <c r="S790" s="71">
        <v>0</v>
      </c>
      <c r="T790" s="71">
        <v>28.305999999999994</v>
      </c>
    </row>
    <row r="791" spans="1:20">
      <c r="A791" s="71" t="s">
        <v>2325</v>
      </c>
      <c r="B791" s="71" t="s">
        <v>302</v>
      </c>
      <c r="C791" s="71">
        <v>2097.5969999999998</v>
      </c>
      <c r="D791" s="71">
        <v>0</v>
      </c>
      <c r="E791" s="71">
        <v>0</v>
      </c>
      <c r="F791" s="71">
        <v>3.742</v>
      </c>
      <c r="G791" s="71">
        <v>32.720999999999997</v>
      </c>
      <c r="H791" s="71">
        <v>8.4979999999999993</v>
      </c>
      <c r="I791" s="71">
        <v>0</v>
      </c>
      <c r="J791" s="71">
        <v>0</v>
      </c>
      <c r="K791" s="71">
        <v>0</v>
      </c>
      <c r="L791" s="71">
        <v>0</v>
      </c>
      <c r="M791" s="71">
        <v>0</v>
      </c>
      <c r="N791" s="71">
        <v>0</v>
      </c>
      <c r="O791" s="71">
        <v>0</v>
      </c>
      <c r="P791" s="71">
        <v>38.715000000000003</v>
      </c>
      <c r="Q791" s="71">
        <v>103.874</v>
      </c>
      <c r="R791" s="71">
        <v>1503</v>
      </c>
      <c r="S791" s="71">
        <v>221.23500000000001</v>
      </c>
      <c r="T791" s="71">
        <v>104.87984999999999</v>
      </c>
    </row>
    <row r="792" spans="1:20">
      <c r="A792" s="71" t="s">
        <v>2327</v>
      </c>
      <c r="B792" s="71" t="s">
        <v>2163</v>
      </c>
      <c r="C792" s="71">
        <v>1832.5729999999999</v>
      </c>
      <c r="D792" s="71">
        <v>0.22599999999999998</v>
      </c>
      <c r="E792" s="71">
        <v>0</v>
      </c>
      <c r="F792" s="71">
        <v>2.8439999999999999</v>
      </c>
      <c r="G792" s="71">
        <v>39.905000000000001</v>
      </c>
      <c r="H792" s="71">
        <v>8.359</v>
      </c>
      <c r="I792" s="71">
        <v>0</v>
      </c>
      <c r="J792" s="71">
        <v>0</v>
      </c>
      <c r="K792" s="71">
        <v>0</v>
      </c>
      <c r="L792" s="71">
        <v>0</v>
      </c>
      <c r="M792" s="71">
        <v>0</v>
      </c>
      <c r="N792" s="71">
        <v>0.49099999999999999</v>
      </c>
      <c r="O792" s="71">
        <v>0</v>
      </c>
      <c r="P792" s="71">
        <v>14.847</v>
      </c>
      <c r="Q792" s="71">
        <v>92.141999999999996</v>
      </c>
      <c r="R792" s="71">
        <v>638.70000000000005</v>
      </c>
      <c r="S792" s="71">
        <v>7.8289999999999997</v>
      </c>
      <c r="T792" s="71">
        <v>89</v>
      </c>
    </row>
    <row r="793" spans="1:20">
      <c r="A793" s="71" t="s">
        <v>5236</v>
      </c>
      <c r="B793" s="71" t="s">
        <v>2646</v>
      </c>
      <c r="C793" s="71">
        <v>266.98500000000001</v>
      </c>
      <c r="D793" s="71">
        <v>0</v>
      </c>
      <c r="E793" s="71">
        <v>0</v>
      </c>
      <c r="F793" s="71">
        <v>0.61799999999999999</v>
      </c>
      <c r="G793" s="71">
        <v>10.437999999999999</v>
      </c>
      <c r="H793" s="71">
        <v>0.94799999999999995</v>
      </c>
      <c r="I793" s="71">
        <v>0</v>
      </c>
      <c r="J793" s="71">
        <v>0</v>
      </c>
      <c r="K793" s="71">
        <v>0</v>
      </c>
      <c r="L793" s="71">
        <v>0</v>
      </c>
      <c r="M793" s="71">
        <v>0.28399999999999997</v>
      </c>
      <c r="N793" s="71">
        <v>0.375</v>
      </c>
      <c r="O793" s="71">
        <v>0.58099999999999996</v>
      </c>
      <c r="P793" s="71">
        <v>11.206</v>
      </c>
      <c r="Q793" s="71">
        <v>14.686999999999999</v>
      </c>
      <c r="R793" s="71">
        <v>242.7</v>
      </c>
      <c r="S793" s="71">
        <v>37.821999999999996</v>
      </c>
      <c r="T793" s="71">
        <v>10</v>
      </c>
    </row>
    <row r="794" spans="1:20">
      <c r="A794" s="71" t="s">
        <v>7700</v>
      </c>
      <c r="B794" s="71" t="s">
        <v>2164</v>
      </c>
      <c r="C794" s="71">
        <v>1474.0079999999998</v>
      </c>
      <c r="D794" s="71">
        <v>0.40099999999999997</v>
      </c>
      <c r="E794" s="71">
        <v>0</v>
      </c>
      <c r="F794" s="71">
        <v>2.75</v>
      </c>
      <c r="G794" s="71">
        <v>58.472999999999999</v>
      </c>
      <c r="H794" s="71">
        <v>17.498999999999999</v>
      </c>
      <c r="I794" s="71">
        <v>0</v>
      </c>
      <c r="J794" s="71">
        <v>0</v>
      </c>
      <c r="K794" s="71">
        <v>0</v>
      </c>
      <c r="L794" s="71">
        <v>0</v>
      </c>
      <c r="M794" s="71">
        <v>5.6569999999999991</v>
      </c>
      <c r="N794" s="71">
        <v>0.38299999999999995</v>
      </c>
      <c r="O794" s="71">
        <v>0.75399999999999989</v>
      </c>
      <c r="P794" s="71">
        <v>14.81</v>
      </c>
      <c r="Q794" s="71">
        <v>87.116</v>
      </c>
      <c r="R794" s="71">
        <v>935.2</v>
      </c>
      <c r="S794" s="71">
        <v>68.142999999999986</v>
      </c>
      <c r="T794" s="71">
        <v>73.7</v>
      </c>
    </row>
    <row r="795" spans="1:20">
      <c r="A795" s="71" t="s">
        <v>7702</v>
      </c>
      <c r="B795" s="71" t="s">
        <v>2165</v>
      </c>
      <c r="C795" s="71">
        <v>2092.6759999999999</v>
      </c>
      <c r="D795" s="71">
        <v>0.28199999999999997</v>
      </c>
      <c r="E795" s="71">
        <v>5.0999999999999997E-2</v>
      </c>
      <c r="F795" s="71">
        <v>3.823</v>
      </c>
      <c r="G795" s="71">
        <v>56.433999999999997</v>
      </c>
      <c r="H795" s="71">
        <v>24.972999999999999</v>
      </c>
      <c r="I795" s="71">
        <v>0</v>
      </c>
      <c r="J795" s="71">
        <v>0</v>
      </c>
      <c r="K795" s="71">
        <v>0</v>
      </c>
      <c r="L795" s="71">
        <v>0</v>
      </c>
      <c r="M795" s="71">
        <v>11.084</v>
      </c>
      <c r="N795" s="71">
        <v>1.1789999999999998</v>
      </c>
      <c r="O795" s="71">
        <v>59.51</v>
      </c>
      <c r="P795" s="71">
        <v>59.08</v>
      </c>
      <c r="Q795" s="71">
        <v>84.646999999999991</v>
      </c>
      <c r="R795" s="71">
        <v>1711.5</v>
      </c>
      <c r="S795" s="71">
        <v>145.34299999999999</v>
      </c>
      <c r="T795" s="71">
        <v>104.63379999999999</v>
      </c>
    </row>
    <row r="796" spans="1:20">
      <c r="A796" s="71" t="s">
        <v>7704</v>
      </c>
      <c r="B796" s="71" t="s">
        <v>2166</v>
      </c>
      <c r="C796" s="71">
        <v>343.20499999999998</v>
      </c>
      <c r="D796" s="71">
        <v>0</v>
      </c>
      <c r="E796" s="71">
        <v>0</v>
      </c>
      <c r="F796" s="71">
        <v>0.38099999999999995</v>
      </c>
      <c r="G796" s="71">
        <v>9.1029999999999998</v>
      </c>
      <c r="H796" s="71">
        <v>0.46</v>
      </c>
      <c r="I796" s="71">
        <v>0</v>
      </c>
      <c r="J796" s="71">
        <v>0</v>
      </c>
      <c r="K796" s="71">
        <v>0</v>
      </c>
      <c r="L796" s="71">
        <v>0</v>
      </c>
      <c r="M796" s="71">
        <v>0.09</v>
      </c>
      <c r="N796" s="71">
        <v>0</v>
      </c>
      <c r="O796" s="71">
        <v>0</v>
      </c>
      <c r="P796" s="71">
        <v>13.857999999999999</v>
      </c>
      <c r="Q796" s="71">
        <v>31.027999999999999</v>
      </c>
      <c r="R796" s="71">
        <v>255.2</v>
      </c>
      <c r="S796" s="71">
        <v>90.122</v>
      </c>
      <c r="T796" s="71">
        <v>17.16</v>
      </c>
    </row>
    <row r="797" spans="1:20">
      <c r="A797" s="71" t="s">
        <v>5634</v>
      </c>
      <c r="B797" s="71" t="s">
        <v>2167</v>
      </c>
      <c r="C797" s="71">
        <v>148.65299999999999</v>
      </c>
      <c r="D797" s="71">
        <v>0</v>
      </c>
      <c r="E797" s="71">
        <v>0</v>
      </c>
      <c r="F797" s="71">
        <v>0.115</v>
      </c>
      <c r="G797" s="71">
        <v>7.04</v>
      </c>
      <c r="H797" s="71">
        <v>0.315</v>
      </c>
      <c r="I797" s="71">
        <v>0</v>
      </c>
      <c r="J797" s="71">
        <v>0</v>
      </c>
      <c r="K797" s="71">
        <v>0</v>
      </c>
      <c r="L797" s="71">
        <v>0</v>
      </c>
      <c r="M797" s="71">
        <v>0</v>
      </c>
      <c r="N797" s="71">
        <v>0</v>
      </c>
      <c r="O797" s="71">
        <v>0</v>
      </c>
      <c r="P797" s="71">
        <v>0.19099999999999998</v>
      </c>
      <c r="Q797" s="71">
        <v>6.6759999999999993</v>
      </c>
      <c r="R797" s="71">
        <v>93.8</v>
      </c>
      <c r="S797" s="71">
        <v>16.866</v>
      </c>
      <c r="T797" s="71">
        <v>7.4326499999999998</v>
      </c>
    </row>
    <row r="798" spans="1:20">
      <c r="A798" s="71" t="s">
        <v>5636</v>
      </c>
      <c r="B798" s="71" t="s">
        <v>2168</v>
      </c>
      <c r="C798" s="71">
        <v>102.925</v>
      </c>
      <c r="D798" s="71">
        <v>0</v>
      </c>
      <c r="E798" s="71">
        <v>0</v>
      </c>
      <c r="F798" s="71">
        <v>0</v>
      </c>
      <c r="G798" s="71">
        <v>2.0629999999999997</v>
      </c>
      <c r="H798" s="71">
        <v>0</v>
      </c>
      <c r="I798" s="71">
        <v>0</v>
      </c>
      <c r="J798" s="71">
        <v>0</v>
      </c>
      <c r="K798" s="71">
        <v>0</v>
      </c>
      <c r="L798" s="71">
        <v>0</v>
      </c>
      <c r="M798" s="71">
        <v>0</v>
      </c>
      <c r="N798" s="71">
        <v>0</v>
      </c>
      <c r="O798" s="71">
        <v>0</v>
      </c>
      <c r="P798" s="71">
        <v>8.9019999999999992</v>
      </c>
      <c r="Q798" s="71">
        <v>3.1689999999999996</v>
      </c>
      <c r="R798" s="71">
        <v>74.3</v>
      </c>
      <c r="S798" s="71">
        <v>0</v>
      </c>
      <c r="T798" s="71">
        <v>5.1459999999999999</v>
      </c>
    </row>
    <row r="799" spans="1:20">
      <c r="A799" s="71" t="s">
        <v>4016</v>
      </c>
      <c r="B799" s="71" t="s">
        <v>2169</v>
      </c>
      <c r="C799" s="71">
        <v>62.314999999999998</v>
      </c>
      <c r="D799" s="71">
        <v>0</v>
      </c>
      <c r="E799" s="71">
        <v>0</v>
      </c>
      <c r="F799" s="71">
        <v>0.122</v>
      </c>
      <c r="G799" s="71">
        <v>1.357</v>
      </c>
      <c r="H799" s="71">
        <v>0</v>
      </c>
      <c r="I799" s="71">
        <v>0</v>
      </c>
      <c r="J799" s="71">
        <v>0</v>
      </c>
      <c r="K799" s="71">
        <v>0</v>
      </c>
      <c r="L799" s="71">
        <v>0</v>
      </c>
      <c r="M799" s="71">
        <v>0</v>
      </c>
      <c r="N799" s="71">
        <v>0</v>
      </c>
      <c r="O799" s="71">
        <v>0</v>
      </c>
      <c r="P799" s="71">
        <v>1.468</v>
      </c>
      <c r="Q799" s="71">
        <v>0</v>
      </c>
      <c r="R799" s="71">
        <v>38.799999999999997</v>
      </c>
      <c r="S799" s="71">
        <v>1.944</v>
      </c>
      <c r="T799" s="71">
        <v>3.1157499999999998</v>
      </c>
    </row>
    <row r="800" spans="1:20">
      <c r="A800" s="71" t="s">
        <v>4018</v>
      </c>
      <c r="B800" s="71" t="s">
        <v>2170</v>
      </c>
      <c r="C800" s="71">
        <v>1092.43</v>
      </c>
      <c r="D800" s="71">
        <v>5.6999999999999995E-2</v>
      </c>
      <c r="E800" s="71">
        <v>0</v>
      </c>
      <c r="F800" s="71">
        <v>1.361</v>
      </c>
      <c r="G800" s="71">
        <v>31.251999999999999</v>
      </c>
      <c r="H800" s="71">
        <v>5.9159999999999995</v>
      </c>
      <c r="I800" s="71">
        <v>0</v>
      </c>
      <c r="J800" s="71">
        <v>0</v>
      </c>
      <c r="K800" s="71">
        <v>0</v>
      </c>
      <c r="L800" s="71">
        <v>0</v>
      </c>
      <c r="M800" s="71">
        <v>4.8119999999999994</v>
      </c>
      <c r="N800" s="71">
        <v>0.16599999999999998</v>
      </c>
      <c r="O800" s="71">
        <v>0</v>
      </c>
      <c r="P800" s="71">
        <v>8.8209999999999997</v>
      </c>
      <c r="Q800" s="71">
        <v>42.937999999999995</v>
      </c>
      <c r="R800" s="71">
        <v>594.29999999999995</v>
      </c>
      <c r="S800" s="71">
        <v>22.44</v>
      </c>
      <c r="T800" s="71">
        <v>54.62149999999999</v>
      </c>
    </row>
    <row r="801" spans="1:20">
      <c r="A801" s="71" t="s">
        <v>4020</v>
      </c>
      <c r="B801" s="71" t="s">
        <v>5648</v>
      </c>
      <c r="C801" s="71">
        <v>623.79299999999989</v>
      </c>
      <c r="D801" s="71">
        <v>2.7E-2</v>
      </c>
      <c r="E801" s="71">
        <v>0</v>
      </c>
      <c r="F801" s="71">
        <v>1.742</v>
      </c>
      <c r="G801" s="71">
        <v>14.505000000000001</v>
      </c>
      <c r="H801" s="71">
        <v>4.4329999999999998</v>
      </c>
      <c r="I801" s="71">
        <v>0</v>
      </c>
      <c r="J801" s="71">
        <v>0</v>
      </c>
      <c r="K801" s="71">
        <v>0</v>
      </c>
      <c r="L801" s="71">
        <v>0</v>
      </c>
      <c r="M801" s="71">
        <v>2.8779999999999997</v>
      </c>
      <c r="N801" s="71">
        <v>0</v>
      </c>
      <c r="O801" s="71">
        <v>0</v>
      </c>
      <c r="P801" s="71">
        <v>19.950999999999997</v>
      </c>
      <c r="Q801" s="71">
        <v>31.155000000000001</v>
      </c>
      <c r="R801" s="71">
        <v>275.2</v>
      </c>
      <c r="S801" s="71">
        <v>17.180999999999997</v>
      </c>
      <c r="T801" s="71">
        <v>31.189649999999997</v>
      </c>
    </row>
    <row r="802" spans="1:20">
      <c r="A802" s="71" t="s">
        <v>4022</v>
      </c>
      <c r="B802" s="71" t="s">
        <v>5649</v>
      </c>
      <c r="C802" s="71">
        <v>1733.5339999999999</v>
      </c>
      <c r="D802" s="71">
        <v>0.10199999999999999</v>
      </c>
      <c r="E802" s="71">
        <v>0</v>
      </c>
      <c r="F802" s="71">
        <v>2.9529999999999998</v>
      </c>
      <c r="G802" s="71">
        <v>68.071999999999989</v>
      </c>
      <c r="H802" s="71">
        <v>13.664</v>
      </c>
      <c r="I802" s="71">
        <v>0</v>
      </c>
      <c r="J802" s="71">
        <v>0</v>
      </c>
      <c r="K802" s="71">
        <v>0</v>
      </c>
      <c r="L802" s="71">
        <v>1.1399999999999999</v>
      </c>
      <c r="M802" s="71">
        <v>0</v>
      </c>
      <c r="N802" s="71">
        <v>0</v>
      </c>
      <c r="O802" s="71">
        <v>0</v>
      </c>
      <c r="P802" s="71">
        <v>70.461999999999989</v>
      </c>
      <c r="Q802" s="71">
        <v>95.760999999999996</v>
      </c>
      <c r="R802" s="71">
        <v>963.2</v>
      </c>
      <c r="S802" s="71">
        <v>46.058999999999997</v>
      </c>
      <c r="T802" s="71">
        <v>86.676699999999997</v>
      </c>
    </row>
    <row r="803" spans="1:20">
      <c r="A803" s="71" t="s">
        <v>1138</v>
      </c>
      <c r="C803" s="71">
        <v>0</v>
      </c>
      <c r="D803" s="71">
        <v>0</v>
      </c>
      <c r="E803" s="71">
        <v>0</v>
      </c>
      <c r="F803" s="71">
        <v>0</v>
      </c>
      <c r="G803" s="71">
        <v>0</v>
      </c>
      <c r="H803" s="71">
        <v>0</v>
      </c>
      <c r="I803" s="71">
        <v>0</v>
      </c>
      <c r="J803" s="71">
        <v>0</v>
      </c>
      <c r="K803" s="71">
        <v>0</v>
      </c>
      <c r="L803" s="71">
        <v>0</v>
      </c>
      <c r="M803" s="71">
        <v>0</v>
      </c>
      <c r="N803" s="71">
        <v>0</v>
      </c>
      <c r="O803" s="71">
        <v>0</v>
      </c>
      <c r="P803" s="71">
        <v>0</v>
      </c>
      <c r="Q803" s="71">
        <v>0</v>
      </c>
      <c r="R803" s="71">
        <v>0</v>
      </c>
      <c r="S803" s="71">
        <v>0</v>
      </c>
      <c r="T803" s="71">
        <v>0</v>
      </c>
    </row>
    <row r="804" spans="1:20">
      <c r="A804" s="71" t="s">
        <v>1139</v>
      </c>
      <c r="B804" s="71" t="s">
        <v>1140</v>
      </c>
      <c r="C804" s="71">
        <v>114.05799999999999</v>
      </c>
      <c r="D804" s="71">
        <v>8.9999999999999993E-3</v>
      </c>
      <c r="E804" s="71">
        <v>0</v>
      </c>
      <c r="F804" s="71">
        <v>0</v>
      </c>
      <c r="G804" s="71">
        <v>0</v>
      </c>
      <c r="H804" s="71">
        <v>0</v>
      </c>
      <c r="I804" s="71">
        <v>0</v>
      </c>
      <c r="J804" s="71">
        <v>0</v>
      </c>
      <c r="K804" s="71">
        <v>0</v>
      </c>
      <c r="L804" s="71">
        <v>0</v>
      </c>
      <c r="M804" s="71">
        <v>0</v>
      </c>
      <c r="N804" s="71">
        <v>2.1989999999999998</v>
      </c>
      <c r="O804" s="71">
        <v>0</v>
      </c>
      <c r="P804" s="71">
        <v>0</v>
      </c>
      <c r="Q804" s="71">
        <v>11.061999999999999</v>
      </c>
      <c r="R804" s="71">
        <v>98.3</v>
      </c>
      <c r="S804" s="71">
        <v>0</v>
      </c>
      <c r="T804" s="71">
        <v>0</v>
      </c>
    </row>
    <row r="805" spans="1:20">
      <c r="A805" s="71" t="s">
        <v>4024</v>
      </c>
      <c r="B805" s="71" t="s">
        <v>4025</v>
      </c>
      <c r="C805" s="71">
        <v>149.15799999999999</v>
      </c>
      <c r="D805" s="71">
        <v>0</v>
      </c>
      <c r="E805" s="71">
        <v>0</v>
      </c>
      <c r="F805" s="71">
        <v>0.307</v>
      </c>
      <c r="G805" s="71">
        <v>3.4829999999999997</v>
      </c>
      <c r="H805" s="71">
        <v>0</v>
      </c>
      <c r="I805" s="71">
        <v>0</v>
      </c>
      <c r="J805" s="71">
        <v>0</v>
      </c>
      <c r="K805" s="71">
        <v>0</v>
      </c>
      <c r="L805" s="71">
        <v>0</v>
      </c>
      <c r="M805" s="71">
        <v>0</v>
      </c>
      <c r="N805" s="71">
        <v>0</v>
      </c>
      <c r="O805" s="71">
        <v>0</v>
      </c>
      <c r="P805" s="71">
        <v>0</v>
      </c>
      <c r="Q805" s="71">
        <v>0</v>
      </c>
      <c r="R805" s="71">
        <v>188</v>
      </c>
      <c r="S805" s="71">
        <v>0</v>
      </c>
      <c r="T805" s="71">
        <v>7.4579999999999993</v>
      </c>
    </row>
    <row r="806" spans="1:20">
      <c r="A806" s="71" t="s">
        <v>1141</v>
      </c>
      <c r="B806" s="71" t="s">
        <v>1142</v>
      </c>
      <c r="C806" s="71">
        <v>127.50299999999999</v>
      </c>
      <c r="D806" s="71">
        <v>0</v>
      </c>
      <c r="E806" s="71">
        <v>0</v>
      </c>
      <c r="F806" s="71">
        <v>5.0000000000000001E-3</v>
      </c>
      <c r="G806" s="71">
        <v>5.3459999999999992</v>
      </c>
      <c r="H806" s="71">
        <v>1.2759999999999998</v>
      </c>
      <c r="I806" s="71">
        <v>0</v>
      </c>
      <c r="J806" s="71">
        <v>0</v>
      </c>
      <c r="K806" s="71">
        <v>0</v>
      </c>
      <c r="L806" s="71">
        <v>0</v>
      </c>
      <c r="M806" s="71">
        <v>0</v>
      </c>
      <c r="N806" s="71">
        <v>2.5069999999999997</v>
      </c>
      <c r="O806" s="71">
        <v>0</v>
      </c>
      <c r="P806" s="71">
        <v>0</v>
      </c>
      <c r="Q806" s="71">
        <v>2.7850000000000001</v>
      </c>
      <c r="R806" s="71">
        <v>180.8</v>
      </c>
      <c r="S806" s="71">
        <v>0</v>
      </c>
      <c r="T806" s="71">
        <v>0</v>
      </c>
    </row>
    <row r="807" spans="1:20">
      <c r="A807" s="71" t="s">
        <v>4026</v>
      </c>
      <c r="B807" s="71" t="s">
        <v>1143</v>
      </c>
      <c r="C807" s="71">
        <v>88.263999999999996</v>
      </c>
      <c r="D807" s="71">
        <v>0</v>
      </c>
      <c r="E807" s="71">
        <v>0</v>
      </c>
      <c r="F807" s="71">
        <v>0</v>
      </c>
      <c r="G807" s="71">
        <v>1.337</v>
      </c>
      <c r="H807" s="71">
        <v>0</v>
      </c>
      <c r="I807" s="71">
        <v>0</v>
      </c>
      <c r="J807" s="71">
        <v>0</v>
      </c>
      <c r="K807" s="71">
        <v>0</v>
      </c>
      <c r="L807" s="71">
        <v>0</v>
      </c>
      <c r="M807" s="71">
        <v>0</v>
      </c>
      <c r="N807" s="71">
        <v>0</v>
      </c>
      <c r="O807" s="71">
        <v>0</v>
      </c>
      <c r="P807" s="71">
        <v>0</v>
      </c>
      <c r="Q807" s="71">
        <v>0</v>
      </c>
      <c r="R807" s="71">
        <v>48.3</v>
      </c>
      <c r="S807" s="71">
        <v>11.853</v>
      </c>
      <c r="T807" s="71">
        <v>0</v>
      </c>
    </row>
    <row r="808" spans="1:20">
      <c r="A808" s="71" t="s">
        <v>2996</v>
      </c>
      <c r="B808" s="71" t="s">
        <v>202</v>
      </c>
      <c r="C808" s="71">
        <v>26254.968999999997</v>
      </c>
      <c r="D808" s="71">
        <v>1.448</v>
      </c>
      <c r="E808" s="71">
        <v>15.216999999999999</v>
      </c>
      <c r="F808" s="71">
        <v>58.406999999999996</v>
      </c>
      <c r="G808" s="71">
        <v>971.84799999999996</v>
      </c>
      <c r="H808" s="71">
        <v>273.125</v>
      </c>
      <c r="I808" s="71">
        <v>0</v>
      </c>
      <c r="J808" s="71">
        <v>0</v>
      </c>
      <c r="K808" s="71">
        <v>3.8959999999999999</v>
      </c>
      <c r="L808" s="71">
        <v>0</v>
      </c>
      <c r="M808" s="71">
        <v>44.893999999999998</v>
      </c>
      <c r="N808" s="71">
        <v>9.1289999999999996</v>
      </c>
      <c r="O808" s="71">
        <v>32.558</v>
      </c>
      <c r="P808" s="71">
        <v>171.11</v>
      </c>
      <c r="Q808" s="71">
        <v>953.04499999999996</v>
      </c>
      <c r="R808" s="71">
        <v>16889</v>
      </c>
      <c r="S808" s="71">
        <v>402.94199999999995</v>
      </c>
      <c r="T808" s="71">
        <v>1312.7479999999998</v>
      </c>
    </row>
    <row r="809" spans="1:20">
      <c r="A809" s="71" t="s">
        <v>4028</v>
      </c>
      <c r="B809" s="71" t="s">
        <v>5650</v>
      </c>
      <c r="C809" s="71">
        <v>699.94399999999996</v>
      </c>
      <c r="D809" s="71">
        <v>2.3999999999999997E-2</v>
      </c>
      <c r="E809" s="71">
        <v>0</v>
      </c>
      <c r="F809" s="71">
        <v>2.0350000000000001</v>
      </c>
      <c r="G809" s="71">
        <v>28.823999999999998</v>
      </c>
      <c r="H809" s="71">
        <v>0.63099999999999989</v>
      </c>
      <c r="I809" s="71">
        <v>0</v>
      </c>
      <c r="J809" s="71">
        <v>9.5409999999999986</v>
      </c>
      <c r="K809" s="71">
        <v>0</v>
      </c>
      <c r="L809" s="71">
        <v>0</v>
      </c>
      <c r="M809" s="71">
        <v>2.6929999999999996</v>
      </c>
      <c r="N809" s="71">
        <v>0.62899999999999989</v>
      </c>
      <c r="O809" s="71">
        <v>0</v>
      </c>
      <c r="P809" s="71">
        <v>24.227999999999998</v>
      </c>
      <c r="Q809" s="71">
        <v>24.927999999999997</v>
      </c>
      <c r="R809" s="71">
        <v>450.2</v>
      </c>
      <c r="S809" s="71">
        <v>10.754</v>
      </c>
      <c r="T809" s="71">
        <v>34.997</v>
      </c>
    </row>
    <row r="810" spans="1:20">
      <c r="A810" s="71" t="s">
        <v>4030</v>
      </c>
      <c r="B810" s="71" t="s">
        <v>5651</v>
      </c>
      <c r="C810" s="71">
        <v>1266.3579999999999</v>
      </c>
      <c r="D810" s="71">
        <v>0.36</v>
      </c>
      <c r="E810" s="71">
        <v>0</v>
      </c>
      <c r="F810" s="71">
        <v>4.0439999999999996</v>
      </c>
      <c r="G810" s="71">
        <v>43.116</v>
      </c>
      <c r="H810" s="71">
        <v>11.463999999999999</v>
      </c>
      <c r="I810" s="71">
        <v>0</v>
      </c>
      <c r="J810" s="71">
        <v>0</v>
      </c>
      <c r="K810" s="71">
        <v>0</v>
      </c>
      <c r="L810" s="71">
        <v>0</v>
      </c>
      <c r="M810" s="71">
        <v>5.3009999999999993</v>
      </c>
      <c r="N810" s="71">
        <v>1.4969999999999999</v>
      </c>
      <c r="O810" s="71">
        <v>1.7879999999999998</v>
      </c>
      <c r="P810" s="71">
        <v>18.023999999999997</v>
      </c>
      <c r="Q810" s="71">
        <v>73.283999999999992</v>
      </c>
      <c r="R810" s="71">
        <v>996.5</v>
      </c>
      <c r="S810" s="71">
        <v>78.527999999999992</v>
      </c>
      <c r="T810" s="71">
        <v>63.317899999999995</v>
      </c>
    </row>
    <row r="811" spans="1:20">
      <c r="A811" s="71" t="s">
        <v>2903</v>
      </c>
      <c r="B811" s="71" t="s">
        <v>203</v>
      </c>
      <c r="C811" s="71">
        <v>2575.7139999999999</v>
      </c>
      <c r="D811" s="71">
        <v>0.14699999999999999</v>
      </c>
      <c r="E811" s="71">
        <v>0</v>
      </c>
      <c r="F811" s="71">
        <v>5.5869999999999997</v>
      </c>
      <c r="G811" s="71">
        <v>160.36799999999999</v>
      </c>
      <c r="H811" s="71">
        <v>21.640999999999998</v>
      </c>
      <c r="I811" s="71">
        <v>0</v>
      </c>
      <c r="J811" s="71">
        <v>0</v>
      </c>
      <c r="K811" s="71">
        <v>0</v>
      </c>
      <c r="L811" s="71">
        <v>0</v>
      </c>
      <c r="M811" s="71">
        <v>19.094999999999999</v>
      </c>
      <c r="N811" s="71">
        <v>1.083</v>
      </c>
      <c r="O811" s="71">
        <v>0</v>
      </c>
      <c r="P811" s="71">
        <v>2.1179999999999999</v>
      </c>
      <c r="Q811" s="71">
        <v>119.36699999999999</v>
      </c>
      <c r="R811" s="71">
        <v>1195.8</v>
      </c>
      <c r="S811" s="71">
        <v>64.447999999999993</v>
      </c>
      <c r="T811" s="71">
        <v>128.78569999999999</v>
      </c>
    </row>
    <row r="812" spans="1:20">
      <c r="A812" s="71" t="s">
        <v>1310</v>
      </c>
      <c r="B812" s="71" t="s">
        <v>115</v>
      </c>
      <c r="C812" s="71">
        <v>5621.6439999999993</v>
      </c>
      <c r="D812" s="71">
        <v>0.34699999999999998</v>
      </c>
      <c r="E812" s="71">
        <v>0</v>
      </c>
      <c r="F812" s="71">
        <v>13.23</v>
      </c>
      <c r="G812" s="71">
        <v>110.12</v>
      </c>
      <c r="H812" s="71">
        <v>42.84</v>
      </c>
      <c r="I812" s="71">
        <v>0</v>
      </c>
      <c r="J812" s="71">
        <v>0</v>
      </c>
      <c r="K812" s="71">
        <v>0</v>
      </c>
      <c r="L812" s="71">
        <v>0</v>
      </c>
      <c r="M812" s="71">
        <v>4.1609999999999996</v>
      </c>
      <c r="N812" s="71">
        <v>1.3239999999999998</v>
      </c>
      <c r="O812" s="71">
        <v>11.275</v>
      </c>
      <c r="P812" s="71">
        <v>65.685000000000002</v>
      </c>
      <c r="Q812" s="71">
        <v>324.48500000000001</v>
      </c>
      <c r="R812" s="71">
        <v>2049</v>
      </c>
      <c r="S812" s="71">
        <v>116.803</v>
      </c>
      <c r="T812" s="71">
        <v>281.08199999999999</v>
      </c>
    </row>
    <row r="813" spans="1:20">
      <c r="A813" s="71" t="s">
        <v>4032</v>
      </c>
      <c r="B813" s="71" t="s">
        <v>5652</v>
      </c>
      <c r="C813" s="71">
        <v>1079.127</v>
      </c>
      <c r="D813" s="71">
        <v>0.19099999999999998</v>
      </c>
      <c r="E813" s="71">
        <v>0</v>
      </c>
      <c r="F813" s="71">
        <v>3.2579999999999996</v>
      </c>
      <c r="G813" s="71">
        <v>28.598999999999997</v>
      </c>
      <c r="H813" s="71">
        <v>7.9469999999999992</v>
      </c>
      <c r="I813" s="71">
        <v>0</v>
      </c>
      <c r="J813" s="71">
        <v>0</v>
      </c>
      <c r="K813" s="71">
        <v>0</v>
      </c>
      <c r="L813" s="71">
        <v>0</v>
      </c>
      <c r="M813" s="71">
        <v>5.3639999999999999</v>
      </c>
      <c r="N813" s="71">
        <v>2.0269999999999997</v>
      </c>
      <c r="O813" s="71">
        <v>22.594999999999999</v>
      </c>
      <c r="P813" s="71">
        <v>36.655000000000001</v>
      </c>
      <c r="Q813" s="71">
        <v>57.903999999999996</v>
      </c>
      <c r="R813" s="71">
        <v>888.7</v>
      </c>
      <c r="S813" s="71">
        <v>30.594999999999999</v>
      </c>
      <c r="T813" s="71">
        <v>53.955999999999996</v>
      </c>
    </row>
    <row r="814" spans="1:20">
      <c r="A814" s="71" t="s">
        <v>2397</v>
      </c>
      <c r="B814" s="71" t="s">
        <v>1464</v>
      </c>
      <c r="C814" s="71">
        <v>1244.3150000000001</v>
      </c>
      <c r="D814" s="71">
        <v>4.2999999999999997E-2</v>
      </c>
      <c r="E814" s="71">
        <v>0</v>
      </c>
      <c r="F814" s="71">
        <v>2.6429999999999998</v>
      </c>
      <c r="G814" s="71">
        <v>36.617999999999995</v>
      </c>
      <c r="H814" s="71">
        <v>7.13</v>
      </c>
      <c r="I814" s="71">
        <v>0</v>
      </c>
      <c r="J814" s="71">
        <v>0</v>
      </c>
      <c r="K814" s="71">
        <v>0</v>
      </c>
      <c r="L814" s="71">
        <v>0</v>
      </c>
      <c r="M814" s="71">
        <v>0.52899999999999991</v>
      </c>
      <c r="N814" s="71">
        <v>0.52799999999999991</v>
      </c>
      <c r="O814" s="71">
        <v>0</v>
      </c>
      <c r="P814" s="71">
        <v>29.675999999999998</v>
      </c>
      <c r="Q814" s="71">
        <v>102.78</v>
      </c>
      <c r="R814" s="71">
        <v>538.70000000000005</v>
      </c>
      <c r="S814" s="71">
        <v>22.761999999999997</v>
      </c>
      <c r="T814" s="71">
        <v>62.215749999999993</v>
      </c>
    </row>
    <row r="815" spans="1:20">
      <c r="A815" s="71" t="s">
        <v>669</v>
      </c>
      <c r="B815" s="71" t="s">
        <v>5653</v>
      </c>
      <c r="C815" s="71">
        <v>793.46799999999996</v>
      </c>
      <c r="D815" s="71">
        <v>9.799999999999999E-2</v>
      </c>
      <c r="E815" s="71">
        <v>0</v>
      </c>
      <c r="F815" s="71">
        <v>1.732</v>
      </c>
      <c r="G815" s="71">
        <v>36.257999999999996</v>
      </c>
      <c r="H815" s="71">
        <v>1.1629999999999998</v>
      </c>
      <c r="I815" s="71">
        <v>0</v>
      </c>
      <c r="J815" s="71">
        <v>3.1589999999999998</v>
      </c>
      <c r="K815" s="71">
        <v>0</v>
      </c>
      <c r="L815" s="71">
        <v>0</v>
      </c>
      <c r="M815" s="71">
        <v>0</v>
      </c>
      <c r="N815" s="71">
        <v>0.78399999999999992</v>
      </c>
      <c r="O815" s="71">
        <v>0</v>
      </c>
      <c r="P815" s="71">
        <v>19.155999999999999</v>
      </c>
      <c r="Q815" s="71">
        <v>40.965999999999994</v>
      </c>
      <c r="R815" s="71">
        <v>363.8</v>
      </c>
      <c r="S815" s="71">
        <v>16.663999999999998</v>
      </c>
      <c r="T815" s="71">
        <v>39.672999999999995</v>
      </c>
    </row>
    <row r="816" spans="1:20">
      <c r="A816" s="71" t="s">
        <v>1144</v>
      </c>
      <c r="B816" s="71" t="s">
        <v>1145</v>
      </c>
      <c r="C816" s="71">
        <v>0</v>
      </c>
      <c r="D816" s="71">
        <v>0</v>
      </c>
      <c r="E816" s="71">
        <v>0</v>
      </c>
      <c r="F816" s="71">
        <v>0</v>
      </c>
      <c r="G816" s="71">
        <v>0</v>
      </c>
      <c r="H816" s="71">
        <v>0</v>
      </c>
      <c r="I816" s="71">
        <v>0</v>
      </c>
      <c r="J816" s="71">
        <v>0</v>
      </c>
      <c r="K816" s="71">
        <v>0</v>
      </c>
      <c r="L816" s="71">
        <v>0</v>
      </c>
      <c r="M816" s="71">
        <v>0</v>
      </c>
      <c r="N816" s="71">
        <v>0</v>
      </c>
      <c r="O816" s="71">
        <v>0</v>
      </c>
      <c r="P816" s="71">
        <v>0</v>
      </c>
      <c r="Q816" s="71">
        <v>0</v>
      </c>
      <c r="R816" s="71">
        <v>0</v>
      </c>
      <c r="S816" s="71">
        <v>0</v>
      </c>
      <c r="T816" s="71">
        <v>0</v>
      </c>
    </row>
    <row r="817" spans="1:20">
      <c r="A817" s="71" t="s">
        <v>4151</v>
      </c>
      <c r="B817" s="71" t="s">
        <v>5654</v>
      </c>
      <c r="C817" s="71">
        <v>348.49799999999999</v>
      </c>
      <c r="D817" s="71">
        <v>0</v>
      </c>
      <c r="E817" s="71">
        <v>0</v>
      </c>
      <c r="F817" s="71">
        <v>0.69599999999999995</v>
      </c>
      <c r="G817" s="71">
        <v>6.5039999999999996</v>
      </c>
      <c r="H817" s="71">
        <v>0</v>
      </c>
      <c r="I817" s="71">
        <v>0</v>
      </c>
      <c r="J817" s="71">
        <v>0</v>
      </c>
      <c r="K817" s="71">
        <v>0</v>
      </c>
      <c r="L817" s="71">
        <v>0</v>
      </c>
      <c r="M817" s="71">
        <v>0</v>
      </c>
      <c r="N817" s="71">
        <v>3.2999999999999995E-2</v>
      </c>
      <c r="O817" s="71">
        <v>0</v>
      </c>
      <c r="P817" s="71">
        <v>18.991999999999997</v>
      </c>
      <c r="Q817" s="71">
        <v>17.202999999999999</v>
      </c>
      <c r="R817" s="71">
        <v>282.5</v>
      </c>
      <c r="S817" s="71">
        <v>21.216999999999999</v>
      </c>
      <c r="T817" s="71">
        <v>17.424899999999997</v>
      </c>
    </row>
    <row r="818" spans="1:20">
      <c r="A818" s="71" t="s">
        <v>4153</v>
      </c>
      <c r="B818" s="71" t="s">
        <v>3100</v>
      </c>
      <c r="C818" s="71">
        <v>630.63499999999999</v>
      </c>
      <c r="D818" s="71">
        <v>0.16699999999999998</v>
      </c>
      <c r="E818" s="71">
        <v>0</v>
      </c>
      <c r="F818" s="71">
        <v>0.78599999999999992</v>
      </c>
      <c r="G818" s="71">
        <v>26.910999999999998</v>
      </c>
      <c r="H818" s="71">
        <v>4.2909999999999995</v>
      </c>
      <c r="I818" s="71">
        <v>0</v>
      </c>
      <c r="J818" s="71">
        <v>1.3519999999999999</v>
      </c>
      <c r="K818" s="71">
        <v>0</v>
      </c>
      <c r="L818" s="71">
        <v>0</v>
      </c>
      <c r="M818" s="71">
        <v>0</v>
      </c>
      <c r="N818" s="71">
        <v>0.51</v>
      </c>
      <c r="O818" s="71">
        <v>0</v>
      </c>
      <c r="P818" s="71">
        <v>8.1769999999999996</v>
      </c>
      <c r="Q818" s="71">
        <v>53.366999999999997</v>
      </c>
      <c r="R818" s="71">
        <v>479.3</v>
      </c>
      <c r="S818" s="71">
        <v>32.965000000000003</v>
      </c>
      <c r="T818" s="71">
        <v>31.531749999999999</v>
      </c>
    </row>
    <row r="819" spans="1:20">
      <c r="A819" s="71" t="s">
        <v>4155</v>
      </c>
      <c r="B819" s="71" t="s">
        <v>3101</v>
      </c>
      <c r="C819" s="71">
        <v>187.517</v>
      </c>
      <c r="D819" s="71">
        <v>8.299999999999999E-2</v>
      </c>
      <c r="E819" s="71">
        <v>0</v>
      </c>
      <c r="F819" s="71">
        <v>0.65199999999999991</v>
      </c>
      <c r="G819" s="71">
        <v>6.2559999999999993</v>
      </c>
      <c r="H819" s="71">
        <v>0</v>
      </c>
      <c r="I819" s="71">
        <v>0</v>
      </c>
      <c r="J819" s="71">
        <v>0.67</v>
      </c>
      <c r="K819" s="71">
        <v>0</v>
      </c>
      <c r="L819" s="71">
        <v>0</v>
      </c>
      <c r="M819" s="71">
        <v>0</v>
      </c>
      <c r="N819" s="71">
        <v>0</v>
      </c>
      <c r="O819" s="71">
        <v>0</v>
      </c>
      <c r="P819" s="71">
        <v>2.6079999999999997</v>
      </c>
      <c r="Q819" s="71">
        <v>11.68</v>
      </c>
      <c r="R819" s="71">
        <v>111.5</v>
      </c>
      <c r="S819" s="71">
        <v>16.235999999999997</v>
      </c>
      <c r="T819" s="71">
        <v>7</v>
      </c>
    </row>
    <row r="820" spans="1:20">
      <c r="A820" s="71" t="s">
        <v>4157</v>
      </c>
      <c r="B820" s="71" t="s">
        <v>3102</v>
      </c>
      <c r="C820" s="71">
        <v>161.685</v>
      </c>
      <c r="D820" s="71">
        <v>3.9999999999999992E-3</v>
      </c>
      <c r="E820" s="71">
        <v>0</v>
      </c>
      <c r="F820" s="71">
        <v>0.36199999999999999</v>
      </c>
      <c r="G820" s="71">
        <v>4.3229999999999995</v>
      </c>
      <c r="H820" s="71">
        <v>0.93599999999999994</v>
      </c>
      <c r="I820" s="71">
        <v>0</v>
      </c>
      <c r="J820" s="71">
        <v>0</v>
      </c>
      <c r="K820" s="71">
        <v>0</v>
      </c>
      <c r="L820" s="71">
        <v>0</v>
      </c>
      <c r="M820" s="71">
        <v>0</v>
      </c>
      <c r="N820" s="71">
        <v>0.24199999999999999</v>
      </c>
      <c r="O820" s="71">
        <v>0</v>
      </c>
      <c r="P820" s="71">
        <v>5.3489999999999993</v>
      </c>
      <c r="Q820" s="71">
        <v>6.4869999999999992</v>
      </c>
      <c r="R820" s="71">
        <v>128.80000000000001</v>
      </c>
      <c r="S820" s="71">
        <v>14.138999999999999</v>
      </c>
      <c r="T820" s="71">
        <v>8.0839999999999996</v>
      </c>
    </row>
    <row r="821" spans="1:20">
      <c r="A821" s="71" t="s">
        <v>3000</v>
      </c>
      <c r="B821" s="71" t="s">
        <v>6059</v>
      </c>
      <c r="C821" s="71">
        <v>2036.126</v>
      </c>
      <c r="D821" s="71">
        <v>0.17199999999999999</v>
      </c>
      <c r="E821" s="71">
        <v>0</v>
      </c>
      <c r="F821" s="71">
        <v>1.9769999999999999</v>
      </c>
      <c r="G821" s="71">
        <v>64.093999999999994</v>
      </c>
      <c r="H821" s="71">
        <v>11.911</v>
      </c>
      <c r="I821" s="71">
        <v>0</v>
      </c>
      <c r="J821" s="71">
        <v>0</v>
      </c>
      <c r="K821" s="71">
        <v>0</v>
      </c>
      <c r="L821" s="71">
        <v>0</v>
      </c>
      <c r="M821" s="71">
        <v>0.64699999999999991</v>
      </c>
      <c r="N821" s="71">
        <v>0.79299999999999993</v>
      </c>
      <c r="O821" s="71">
        <v>0</v>
      </c>
      <c r="P821" s="71">
        <v>36.251999999999995</v>
      </c>
      <c r="Q821" s="71">
        <v>184.91299999999998</v>
      </c>
      <c r="R821" s="71">
        <v>1355</v>
      </c>
      <c r="S821" s="71">
        <v>228.66899999999998</v>
      </c>
      <c r="T821" s="71">
        <v>74</v>
      </c>
    </row>
    <row r="822" spans="1:20">
      <c r="A822" s="71" t="s">
        <v>4159</v>
      </c>
      <c r="B822" s="71" t="s">
        <v>3103</v>
      </c>
      <c r="C822" s="71">
        <v>320.77999999999997</v>
      </c>
      <c r="D822" s="71">
        <v>0</v>
      </c>
      <c r="E822" s="71">
        <v>0</v>
      </c>
      <c r="F822" s="71">
        <v>0.29899999999999999</v>
      </c>
      <c r="G822" s="71">
        <v>7.694</v>
      </c>
      <c r="H822" s="71">
        <v>0</v>
      </c>
      <c r="I822" s="71">
        <v>0</v>
      </c>
      <c r="J822" s="71">
        <v>0</v>
      </c>
      <c r="K822" s="71">
        <v>0</v>
      </c>
      <c r="L822" s="71">
        <v>0</v>
      </c>
      <c r="M822" s="71">
        <v>1.7649999999999999</v>
      </c>
      <c r="N822" s="71">
        <v>0</v>
      </c>
      <c r="O822" s="71">
        <v>0</v>
      </c>
      <c r="P822" s="71">
        <v>4.8859999999999992</v>
      </c>
      <c r="Q822" s="71">
        <v>27.21</v>
      </c>
      <c r="R822" s="71">
        <v>211.7</v>
      </c>
      <c r="S822" s="71">
        <v>3.6889999999999996</v>
      </c>
      <c r="T822" s="71">
        <v>16.038999999999998</v>
      </c>
    </row>
    <row r="823" spans="1:20">
      <c r="A823" s="71" t="s">
        <v>4161</v>
      </c>
      <c r="B823" s="71" t="s">
        <v>3104</v>
      </c>
      <c r="C823" s="71">
        <v>1267.4649999999999</v>
      </c>
      <c r="D823" s="71">
        <v>6.3999999999999987E-2</v>
      </c>
      <c r="E823" s="71">
        <v>0</v>
      </c>
      <c r="F823" s="71">
        <v>2.3879999999999999</v>
      </c>
      <c r="G823" s="71">
        <v>52.363</v>
      </c>
      <c r="H823" s="71">
        <v>11.851999999999999</v>
      </c>
      <c r="I823" s="71">
        <v>0</v>
      </c>
      <c r="J823" s="71">
        <v>2.0429999999999997</v>
      </c>
      <c r="K823" s="71">
        <v>0</v>
      </c>
      <c r="L823" s="71">
        <v>0</v>
      </c>
      <c r="M823" s="71">
        <v>5.4639999999999995</v>
      </c>
      <c r="N823" s="71">
        <v>0.71099999999999997</v>
      </c>
      <c r="O823" s="71">
        <v>0</v>
      </c>
      <c r="P823" s="71">
        <v>40.685000000000002</v>
      </c>
      <c r="Q823" s="71">
        <v>42.331999999999994</v>
      </c>
      <c r="R823" s="71">
        <v>975.8</v>
      </c>
      <c r="S823" s="71">
        <v>9.01</v>
      </c>
      <c r="T823" s="71">
        <v>63.372999999999998</v>
      </c>
    </row>
    <row r="824" spans="1:20">
      <c r="A824" s="71" t="s">
        <v>4163</v>
      </c>
      <c r="B824" s="71" t="s">
        <v>3105</v>
      </c>
      <c r="C824" s="71">
        <v>712.6869999999999</v>
      </c>
      <c r="D824" s="71">
        <v>4.0999999999999995E-2</v>
      </c>
      <c r="E824" s="71">
        <v>0</v>
      </c>
      <c r="F824" s="71">
        <v>0.89500000000000002</v>
      </c>
      <c r="G824" s="71">
        <v>25.823999999999998</v>
      </c>
      <c r="H824" s="71">
        <v>2.694</v>
      </c>
      <c r="I824" s="71">
        <v>0</v>
      </c>
      <c r="J824" s="71">
        <v>1.86</v>
      </c>
      <c r="K824" s="71">
        <v>0</v>
      </c>
      <c r="L824" s="71">
        <v>0</v>
      </c>
      <c r="M824" s="71">
        <v>0</v>
      </c>
      <c r="N824" s="71">
        <v>0</v>
      </c>
      <c r="O824" s="71">
        <v>0</v>
      </c>
      <c r="P824" s="71">
        <v>16.082999999999998</v>
      </c>
      <c r="Q824" s="71">
        <v>47.120999999999995</v>
      </c>
      <c r="R824" s="71">
        <v>442.8</v>
      </c>
      <c r="S824" s="71">
        <v>27.475999999999999</v>
      </c>
      <c r="T824" s="71">
        <v>35.633999999999993</v>
      </c>
    </row>
    <row r="825" spans="1:20">
      <c r="A825" s="71" t="s">
        <v>4165</v>
      </c>
      <c r="B825" s="71" t="s">
        <v>3106</v>
      </c>
      <c r="C825" s="71">
        <v>224.47899999999998</v>
      </c>
      <c r="D825" s="71">
        <v>0</v>
      </c>
      <c r="E825" s="71">
        <v>0</v>
      </c>
      <c r="F825" s="71">
        <v>0.249</v>
      </c>
      <c r="G825" s="71">
        <v>5.6179999999999994</v>
      </c>
      <c r="H825" s="71">
        <v>0.46899999999999997</v>
      </c>
      <c r="I825" s="71">
        <v>0</v>
      </c>
      <c r="J825" s="71">
        <v>5.1999999999999998E-2</v>
      </c>
      <c r="K825" s="71">
        <v>0</v>
      </c>
      <c r="L825" s="71">
        <v>0</v>
      </c>
      <c r="M825" s="71">
        <v>0</v>
      </c>
      <c r="N825" s="71">
        <v>0</v>
      </c>
      <c r="O825" s="71">
        <v>0</v>
      </c>
      <c r="P825" s="71">
        <v>4.8829999999999991</v>
      </c>
      <c r="Q825" s="71">
        <v>11.29</v>
      </c>
      <c r="R825" s="71">
        <v>95.8</v>
      </c>
      <c r="S825" s="71">
        <v>14.646999999999998</v>
      </c>
      <c r="T825" s="71">
        <v>6</v>
      </c>
    </row>
    <row r="826" spans="1:20">
      <c r="A826" s="71" t="s">
        <v>4167</v>
      </c>
      <c r="B826" s="71" t="s">
        <v>3107</v>
      </c>
      <c r="C826" s="71">
        <v>572.40499999999997</v>
      </c>
      <c r="D826" s="71">
        <v>0.01</v>
      </c>
      <c r="E826" s="71">
        <v>0</v>
      </c>
      <c r="F826" s="71">
        <v>0.40699999999999997</v>
      </c>
      <c r="G826" s="71">
        <v>28.28</v>
      </c>
      <c r="H826" s="71">
        <v>2.6819999999999999</v>
      </c>
      <c r="I826" s="71">
        <v>0</v>
      </c>
      <c r="J826" s="71">
        <v>0</v>
      </c>
      <c r="K826" s="71">
        <v>0</v>
      </c>
      <c r="L826" s="71">
        <v>0</v>
      </c>
      <c r="M826" s="71">
        <v>0.85099999999999998</v>
      </c>
      <c r="N826" s="71">
        <v>6.5000000000000002E-2</v>
      </c>
      <c r="O826" s="71">
        <v>0</v>
      </c>
      <c r="P826" s="71">
        <v>3.7469999999999999</v>
      </c>
      <c r="Q826" s="71">
        <v>50.645000000000003</v>
      </c>
      <c r="R826" s="71">
        <v>350.5</v>
      </c>
      <c r="S826" s="71">
        <v>18.664999999999999</v>
      </c>
      <c r="T826" s="71">
        <v>28.62</v>
      </c>
    </row>
    <row r="827" spans="1:20">
      <c r="A827" s="71" t="s">
        <v>4169</v>
      </c>
      <c r="B827" s="71" t="s">
        <v>3108</v>
      </c>
      <c r="C827" s="71">
        <v>3825.5649999999996</v>
      </c>
      <c r="D827" s="71">
        <v>0.55899999999999994</v>
      </c>
      <c r="E827" s="71">
        <v>0</v>
      </c>
      <c r="F827" s="71">
        <v>6.3709999999999996</v>
      </c>
      <c r="G827" s="71">
        <v>87.96</v>
      </c>
      <c r="H827" s="71">
        <v>32.622999999999998</v>
      </c>
      <c r="I827" s="71">
        <v>0</v>
      </c>
      <c r="J827" s="71">
        <v>0</v>
      </c>
      <c r="K827" s="71">
        <v>0</v>
      </c>
      <c r="L827" s="71">
        <v>0.98799999999999999</v>
      </c>
      <c r="M827" s="71">
        <v>3.1669999999999998</v>
      </c>
      <c r="N827" s="71">
        <v>3.2079999999999997</v>
      </c>
      <c r="O827" s="71">
        <v>2.1819999999999999</v>
      </c>
      <c r="P827" s="71">
        <v>127.45099999999999</v>
      </c>
      <c r="Q827" s="71">
        <v>187.71199999999999</v>
      </c>
      <c r="R827" s="71">
        <v>2829</v>
      </c>
      <c r="S827" s="71">
        <v>233.66899999999998</v>
      </c>
      <c r="T827" s="71">
        <v>191.27799999999999</v>
      </c>
    </row>
    <row r="828" spans="1:20">
      <c r="A828" s="71" t="s">
        <v>4171</v>
      </c>
      <c r="B828" s="71" t="s">
        <v>713</v>
      </c>
      <c r="C828" s="71">
        <v>837.05</v>
      </c>
      <c r="D828" s="71">
        <v>0</v>
      </c>
      <c r="E828" s="71">
        <v>0</v>
      </c>
      <c r="F828" s="71">
        <v>0.94899999999999995</v>
      </c>
      <c r="G828" s="71">
        <v>32.585000000000001</v>
      </c>
      <c r="H828" s="71">
        <v>3.9929999999999999</v>
      </c>
      <c r="I828" s="71">
        <v>0</v>
      </c>
      <c r="J828" s="71">
        <v>0</v>
      </c>
      <c r="K828" s="71">
        <v>0</v>
      </c>
      <c r="L828" s="71">
        <v>0</v>
      </c>
      <c r="M828" s="71">
        <v>0</v>
      </c>
      <c r="N828" s="71">
        <v>4.0999999999999995E-2</v>
      </c>
      <c r="O828" s="71">
        <v>0</v>
      </c>
      <c r="P828" s="71">
        <v>1.22</v>
      </c>
      <c r="Q828" s="71">
        <v>42.032999999999994</v>
      </c>
      <c r="R828" s="71">
        <v>550.70000000000005</v>
      </c>
      <c r="S828" s="71">
        <v>51.336999999999996</v>
      </c>
      <c r="T828" s="71">
        <v>41.852499999999999</v>
      </c>
    </row>
    <row r="829" spans="1:20">
      <c r="A829" s="71" t="s">
        <v>2055</v>
      </c>
      <c r="B829" s="71" t="s">
        <v>714</v>
      </c>
      <c r="C829" s="71">
        <v>52.076999999999998</v>
      </c>
      <c r="D829" s="71">
        <v>0</v>
      </c>
      <c r="E829" s="71">
        <v>0</v>
      </c>
      <c r="F829" s="71">
        <v>0.29299999999999998</v>
      </c>
      <c r="G829" s="71">
        <v>3.0019999999999998</v>
      </c>
      <c r="H829" s="71">
        <v>0.73799999999999999</v>
      </c>
      <c r="I829" s="71">
        <v>0</v>
      </c>
      <c r="J829" s="71">
        <v>0</v>
      </c>
      <c r="K829" s="71">
        <v>0</v>
      </c>
      <c r="L829" s="71">
        <v>0</v>
      </c>
      <c r="M829" s="71">
        <v>0</v>
      </c>
      <c r="N829" s="71">
        <v>0</v>
      </c>
      <c r="O829" s="71">
        <v>0</v>
      </c>
      <c r="P829" s="71">
        <v>1.9009999999999998</v>
      </c>
      <c r="Q829" s="71">
        <v>0</v>
      </c>
      <c r="R829" s="71">
        <v>48</v>
      </c>
      <c r="S829" s="71">
        <v>0</v>
      </c>
      <c r="T829" s="71">
        <v>2.6038499999999996</v>
      </c>
    </row>
    <row r="830" spans="1:20">
      <c r="A830" s="71" t="s">
        <v>2057</v>
      </c>
      <c r="B830" s="71" t="s">
        <v>715</v>
      </c>
      <c r="C830" s="71">
        <v>1524.029</v>
      </c>
      <c r="D830" s="71">
        <v>4.6999999999999993E-2</v>
      </c>
      <c r="E830" s="71">
        <v>0</v>
      </c>
      <c r="F830" s="71">
        <v>1.7709999999999999</v>
      </c>
      <c r="G830" s="71">
        <v>30.536999999999999</v>
      </c>
      <c r="H830" s="71">
        <v>8.9700000000000006</v>
      </c>
      <c r="I830" s="71">
        <v>0</v>
      </c>
      <c r="J830" s="71">
        <v>0</v>
      </c>
      <c r="K830" s="71">
        <v>0</v>
      </c>
      <c r="L830" s="71">
        <v>0</v>
      </c>
      <c r="M830" s="71">
        <v>0</v>
      </c>
      <c r="N830" s="71">
        <v>0.91399999999999992</v>
      </c>
      <c r="O830" s="71">
        <v>0</v>
      </c>
      <c r="P830" s="71">
        <v>29.720999999999997</v>
      </c>
      <c r="Q830" s="71">
        <v>55.677</v>
      </c>
      <c r="R830" s="71">
        <v>1119.3</v>
      </c>
      <c r="S830" s="71">
        <v>189.726</v>
      </c>
      <c r="T830" s="71">
        <v>76.200999999999993</v>
      </c>
    </row>
    <row r="831" spans="1:20">
      <c r="A831" s="71" t="s">
        <v>2059</v>
      </c>
      <c r="B831" s="71" t="s">
        <v>716</v>
      </c>
      <c r="C831" s="71">
        <v>916.02299999999991</v>
      </c>
      <c r="D831" s="71">
        <v>0.04</v>
      </c>
      <c r="E831" s="71">
        <v>0</v>
      </c>
      <c r="F831" s="71">
        <v>1.736</v>
      </c>
      <c r="G831" s="71">
        <v>59.413999999999994</v>
      </c>
      <c r="H831" s="71">
        <v>5.5229999999999997</v>
      </c>
      <c r="I831" s="71">
        <v>0</v>
      </c>
      <c r="J831" s="71">
        <v>0</v>
      </c>
      <c r="K831" s="71">
        <v>0</v>
      </c>
      <c r="L831" s="71">
        <v>1.0129999999999999</v>
      </c>
      <c r="M831" s="71">
        <v>0.25699999999999995</v>
      </c>
      <c r="N831" s="71">
        <v>0.54899999999999993</v>
      </c>
      <c r="O831" s="71">
        <v>0.5179999999999999</v>
      </c>
      <c r="P831" s="71">
        <v>7.109</v>
      </c>
      <c r="Q831" s="71">
        <v>27.271999999999998</v>
      </c>
      <c r="R831" s="71">
        <v>556</v>
      </c>
      <c r="S831" s="71">
        <v>2.8959999999999999</v>
      </c>
      <c r="T831" s="71">
        <v>45.800999999999995</v>
      </c>
    </row>
    <row r="832" spans="1:20">
      <c r="A832" s="71" t="s">
        <v>1814</v>
      </c>
      <c r="B832" s="71" t="s">
        <v>3011</v>
      </c>
      <c r="C832" s="71">
        <v>12839.930999999999</v>
      </c>
      <c r="D832" s="71">
        <v>1.6909999999999998</v>
      </c>
      <c r="E832" s="71">
        <v>0</v>
      </c>
      <c r="F832" s="71">
        <v>12.516999999999999</v>
      </c>
      <c r="G832" s="71">
        <v>166.83099999999999</v>
      </c>
      <c r="H832" s="71">
        <v>87.352999999999994</v>
      </c>
      <c r="I832" s="71">
        <v>0</v>
      </c>
      <c r="J832" s="71">
        <v>0.109</v>
      </c>
      <c r="K832" s="71">
        <v>0</v>
      </c>
      <c r="L832" s="71">
        <v>1.0679999999999998</v>
      </c>
      <c r="M832" s="71">
        <v>14.683</v>
      </c>
      <c r="N832" s="71">
        <v>6.7959999999999994</v>
      </c>
      <c r="O832" s="71">
        <v>0</v>
      </c>
      <c r="P832" s="71">
        <v>352.51099999999997</v>
      </c>
      <c r="Q832" s="71">
        <v>588.15499999999997</v>
      </c>
      <c r="R832" s="71">
        <v>12320.5</v>
      </c>
      <c r="S832" s="71">
        <v>4336.3979999999992</v>
      </c>
      <c r="T832" s="71">
        <v>641.99654999999996</v>
      </c>
    </row>
    <row r="833" spans="1:20">
      <c r="A833" s="71" t="s">
        <v>958</v>
      </c>
      <c r="B833" s="71" t="s">
        <v>7665</v>
      </c>
      <c r="C833" s="71">
        <v>1242.425</v>
      </c>
      <c r="D833" s="71">
        <v>0.06</v>
      </c>
      <c r="E833" s="71">
        <v>0</v>
      </c>
      <c r="F833" s="71">
        <v>2.7939999999999996</v>
      </c>
      <c r="G833" s="71">
        <v>29.395999999999997</v>
      </c>
      <c r="H833" s="71">
        <v>17.280999999999999</v>
      </c>
      <c r="I833" s="71">
        <v>0</v>
      </c>
      <c r="J833" s="71">
        <v>0</v>
      </c>
      <c r="K833" s="71">
        <v>0</v>
      </c>
      <c r="L833" s="71">
        <v>0</v>
      </c>
      <c r="M833" s="71">
        <v>3.867</v>
      </c>
      <c r="N833" s="71">
        <v>0.85299999999999998</v>
      </c>
      <c r="O833" s="71">
        <v>11.16</v>
      </c>
      <c r="P833" s="71">
        <v>69.852999999999994</v>
      </c>
      <c r="Q833" s="71">
        <v>77.11</v>
      </c>
      <c r="R833" s="71">
        <v>845.8</v>
      </c>
      <c r="S833" s="71">
        <v>23.055</v>
      </c>
      <c r="T833" s="71">
        <v>62.120999999999995</v>
      </c>
    </row>
    <row r="834" spans="1:20">
      <c r="A834" s="71" t="s">
        <v>2061</v>
      </c>
      <c r="B834" s="71" t="s">
        <v>717</v>
      </c>
      <c r="C834" s="71">
        <v>177.83799999999999</v>
      </c>
      <c r="D834" s="71">
        <v>0</v>
      </c>
      <c r="E834" s="71">
        <v>0</v>
      </c>
      <c r="F834" s="71">
        <v>0.24199999999999999</v>
      </c>
      <c r="G834" s="71">
        <v>6.5519999999999996</v>
      </c>
      <c r="H834" s="71">
        <v>0</v>
      </c>
      <c r="I834" s="71">
        <v>0</v>
      </c>
      <c r="J834" s="71">
        <v>0</v>
      </c>
      <c r="K834" s="71">
        <v>0</v>
      </c>
      <c r="L834" s="71">
        <v>0</v>
      </c>
      <c r="M834" s="71">
        <v>0</v>
      </c>
      <c r="N834" s="71">
        <v>0.26599999999999996</v>
      </c>
      <c r="O834" s="71">
        <v>0</v>
      </c>
      <c r="P834" s="71">
        <v>9.2819999999999983</v>
      </c>
      <c r="Q834" s="71">
        <v>10.276</v>
      </c>
      <c r="R834" s="71">
        <v>125</v>
      </c>
      <c r="S834" s="71">
        <v>0</v>
      </c>
      <c r="T834" s="71">
        <v>7</v>
      </c>
    </row>
    <row r="835" spans="1:20">
      <c r="A835" s="71" t="s">
        <v>1845</v>
      </c>
      <c r="B835" s="71" t="s">
        <v>197</v>
      </c>
      <c r="C835" s="71">
        <v>107.17099999999999</v>
      </c>
      <c r="D835" s="71">
        <v>0</v>
      </c>
      <c r="E835" s="71">
        <v>0</v>
      </c>
      <c r="F835" s="71">
        <v>0.36</v>
      </c>
      <c r="G835" s="71">
        <v>4.593</v>
      </c>
      <c r="H835" s="71">
        <v>0.44</v>
      </c>
      <c r="I835" s="71">
        <v>0</v>
      </c>
      <c r="J835" s="71">
        <v>0</v>
      </c>
      <c r="K835" s="71">
        <v>0</v>
      </c>
      <c r="L835" s="71">
        <v>0</v>
      </c>
      <c r="M835" s="71">
        <v>0.80599999999999994</v>
      </c>
      <c r="N835" s="71">
        <v>0</v>
      </c>
      <c r="O835" s="71">
        <v>0.92199999999999993</v>
      </c>
      <c r="P835" s="71">
        <v>5.9709999999999992</v>
      </c>
      <c r="Q835" s="71">
        <v>10.348999999999998</v>
      </c>
      <c r="R835" s="71">
        <v>83.3</v>
      </c>
      <c r="S835" s="71">
        <v>0</v>
      </c>
      <c r="T835" s="71">
        <v>4</v>
      </c>
    </row>
    <row r="836" spans="1:20">
      <c r="A836" s="71" t="s">
        <v>1146</v>
      </c>
      <c r="B836" s="71" t="s">
        <v>1147</v>
      </c>
      <c r="C836" s="71">
        <v>140.21099999999998</v>
      </c>
      <c r="D836" s="71">
        <v>0</v>
      </c>
      <c r="E836" s="71">
        <v>0</v>
      </c>
      <c r="F836" s="71">
        <v>0.57399999999999995</v>
      </c>
      <c r="G836" s="71">
        <v>6.99</v>
      </c>
      <c r="H836" s="71">
        <v>0</v>
      </c>
      <c r="I836" s="71">
        <v>0</v>
      </c>
      <c r="J836" s="71">
        <v>0</v>
      </c>
      <c r="K836" s="71">
        <v>0</v>
      </c>
      <c r="L836" s="71">
        <v>0</v>
      </c>
      <c r="M836" s="71">
        <v>0</v>
      </c>
      <c r="N836" s="71">
        <v>0</v>
      </c>
      <c r="O836" s="71">
        <v>0</v>
      </c>
      <c r="P836" s="71">
        <v>0</v>
      </c>
      <c r="Q836" s="71">
        <v>0</v>
      </c>
      <c r="R836" s="71">
        <v>159.5</v>
      </c>
      <c r="S836" s="71">
        <v>57.55</v>
      </c>
      <c r="T836" s="71">
        <v>0</v>
      </c>
    </row>
    <row r="837" spans="1:20">
      <c r="A837" s="71" t="s">
        <v>1148</v>
      </c>
      <c r="B837" s="71" t="s">
        <v>1149</v>
      </c>
      <c r="C837" s="71">
        <v>177.04499999999999</v>
      </c>
      <c r="D837" s="71">
        <v>2.0999999999999998E-2</v>
      </c>
      <c r="E837" s="71">
        <v>0</v>
      </c>
      <c r="F837" s="71">
        <v>0.248</v>
      </c>
      <c r="G837" s="71">
        <v>2.7539999999999996</v>
      </c>
      <c r="H837" s="71">
        <v>0</v>
      </c>
      <c r="I837" s="71">
        <v>0</v>
      </c>
      <c r="J837" s="71">
        <v>0</v>
      </c>
      <c r="K837" s="71">
        <v>0</v>
      </c>
      <c r="L837" s="71">
        <v>0</v>
      </c>
      <c r="M837" s="71">
        <v>0</v>
      </c>
      <c r="N837" s="71">
        <v>0</v>
      </c>
      <c r="O837" s="71">
        <v>0</v>
      </c>
      <c r="P837" s="71">
        <v>0</v>
      </c>
      <c r="Q837" s="71">
        <v>0</v>
      </c>
      <c r="R837" s="71">
        <v>173.7</v>
      </c>
      <c r="S837" s="71">
        <v>0</v>
      </c>
      <c r="T837" s="71">
        <v>0</v>
      </c>
    </row>
    <row r="838" spans="1:20">
      <c r="A838" s="71" t="s">
        <v>2063</v>
      </c>
      <c r="B838" s="71" t="s">
        <v>1150</v>
      </c>
      <c r="C838" s="71">
        <v>235.68199999999999</v>
      </c>
      <c r="D838" s="71">
        <v>1.0999999999999999E-2</v>
      </c>
      <c r="E838" s="71">
        <v>0</v>
      </c>
      <c r="F838" s="71">
        <v>3.1999999999999994E-2</v>
      </c>
      <c r="G838" s="71">
        <v>11.648</v>
      </c>
      <c r="H838" s="71">
        <v>1.0119999999999998</v>
      </c>
      <c r="I838" s="71">
        <v>0</v>
      </c>
      <c r="J838" s="71">
        <v>0</v>
      </c>
      <c r="K838" s="71">
        <v>0</v>
      </c>
      <c r="L838" s="71">
        <v>0</v>
      </c>
      <c r="M838" s="71">
        <v>0</v>
      </c>
      <c r="N838" s="71">
        <v>6.8999999999999992E-2</v>
      </c>
      <c r="O838" s="71">
        <v>0</v>
      </c>
      <c r="P838" s="71">
        <v>0</v>
      </c>
      <c r="Q838" s="71">
        <v>20.105</v>
      </c>
      <c r="R838" s="71">
        <v>110.5</v>
      </c>
      <c r="S838" s="71">
        <v>24.280999999999999</v>
      </c>
      <c r="T838" s="71">
        <v>0</v>
      </c>
    </row>
    <row r="839" spans="1:20">
      <c r="A839" s="71" t="s">
        <v>5237</v>
      </c>
      <c r="B839" s="71" t="s">
        <v>1666</v>
      </c>
      <c r="C839" s="71">
        <v>600.3069999999999</v>
      </c>
      <c r="D839" s="71">
        <v>0</v>
      </c>
      <c r="E839" s="71">
        <v>0</v>
      </c>
      <c r="F839" s="71">
        <v>1.0149999999999999</v>
      </c>
      <c r="G839" s="71">
        <v>19.408999999999999</v>
      </c>
      <c r="H839" s="71">
        <v>0</v>
      </c>
      <c r="I839" s="71">
        <v>0</v>
      </c>
      <c r="J839" s="71">
        <v>2.101</v>
      </c>
      <c r="K839" s="71">
        <v>0</v>
      </c>
      <c r="L839" s="71">
        <v>0</v>
      </c>
      <c r="M839" s="71">
        <v>0.75299999999999989</v>
      </c>
      <c r="N839" s="71">
        <v>0</v>
      </c>
      <c r="O839" s="71">
        <v>0</v>
      </c>
      <c r="P839" s="71">
        <v>2.069</v>
      </c>
      <c r="Q839" s="71">
        <v>31.832999999999998</v>
      </c>
      <c r="R839" s="71">
        <v>97.8</v>
      </c>
      <c r="S839" s="71">
        <v>8.1349999999999998</v>
      </c>
      <c r="T839" s="71">
        <v>30.015000000000001</v>
      </c>
    </row>
    <row r="840" spans="1:20">
      <c r="A840" s="71" t="s">
        <v>2065</v>
      </c>
      <c r="B840" s="71" t="s">
        <v>2855</v>
      </c>
      <c r="C840" s="71">
        <v>5804.3439999999991</v>
      </c>
      <c r="D840" s="71">
        <v>0.33899999999999997</v>
      </c>
      <c r="E840" s="71">
        <v>0</v>
      </c>
      <c r="F840" s="71">
        <v>11.302999999999999</v>
      </c>
      <c r="G840" s="71">
        <v>127.465</v>
      </c>
      <c r="H840" s="71">
        <v>43.218999999999994</v>
      </c>
      <c r="I840" s="71">
        <v>0</v>
      </c>
      <c r="J840" s="71">
        <v>0</v>
      </c>
      <c r="K840" s="71">
        <v>0</v>
      </c>
      <c r="L840" s="71">
        <v>0</v>
      </c>
      <c r="M840" s="71">
        <v>4.84</v>
      </c>
      <c r="N840" s="71">
        <v>2.2000000000000002</v>
      </c>
      <c r="O840" s="71">
        <v>0</v>
      </c>
      <c r="P840" s="71">
        <v>110.36099999999999</v>
      </c>
      <c r="Q840" s="71">
        <v>175.45899999999997</v>
      </c>
      <c r="R840" s="71">
        <v>1242</v>
      </c>
      <c r="S840" s="71">
        <v>83.667999999999992</v>
      </c>
      <c r="T840" s="71">
        <v>290.21699999999998</v>
      </c>
    </row>
    <row r="841" spans="1:20">
      <c r="A841" s="71" t="s">
        <v>2905</v>
      </c>
      <c r="B841" s="71" t="s">
        <v>2155</v>
      </c>
      <c r="C841" s="71">
        <v>2376.529</v>
      </c>
      <c r="D841" s="71">
        <v>7.3999999999999996E-2</v>
      </c>
      <c r="E841" s="71">
        <v>0</v>
      </c>
      <c r="F841" s="71">
        <v>4.3909999999999991</v>
      </c>
      <c r="G841" s="71">
        <v>73.662999999999997</v>
      </c>
      <c r="H841" s="71">
        <v>17.298999999999999</v>
      </c>
      <c r="I841" s="71">
        <v>0</v>
      </c>
      <c r="J841" s="71">
        <v>0</v>
      </c>
      <c r="K841" s="71">
        <v>0</v>
      </c>
      <c r="L841" s="71">
        <v>0</v>
      </c>
      <c r="M841" s="71">
        <v>4.9539999999999997</v>
      </c>
      <c r="N841" s="71">
        <v>2.4279999999999999</v>
      </c>
      <c r="O841" s="71">
        <v>1.323</v>
      </c>
      <c r="P841" s="71">
        <v>28.156999999999996</v>
      </c>
      <c r="Q841" s="71">
        <v>82.165000000000006</v>
      </c>
      <c r="R841" s="71">
        <v>2164.5</v>
      </c>
      <c r="S841" s="71">
        <v>243.9</v>
      </c>
      <c r="T841" s="71">
        <v>118.82599999999999</v>
      </c>
    </row>
    <row r="842" spans="1:20">
      <c r="A842" s="71" t="s">
        <v>5238</v>
      </c>
      <c r="B842" s="71" t="s">
        <v>200</v>
      </c>
      <c r="C842" s="71">
        <v>1536.569</v>
      </c>
      <c r="D842" s="71">
        <v>3.5000000000000003E-2</v>
      </c>
      <c r="E842" s="71">
        <v>0</v>
      </c>
      <c r="F842" s="71">
        <v>4.9509999999999996</v>
      </c>
      <c r="G842" s="71">
        <v>68.956999999999994</v>
      </c>
      <c r="H842" s="71">
        <v>18.535</v>
      </c>
      <c r="I842" s="71">
        <v>0</v>
      </c>
      <c r="J842" s="71">
        <v>2.71</v>
      </c>
      <c r="K842" s="71">
        <v>0</v>
      </c>
      <c r="L842" s="71">
        <v>0</v>
      </c>
      <c r="M842" s="71">
        <v>4.2039999999999997</v>
      </c>
      <c r="N842" s="71">
        <v>0.14499999999999999</v>
      </c>
      <c r="O842" s="71">
        <v>0</v>
      </c>
      <c r="P842" s="71">
        <v>33.67</v>
      </c>
      <c r="Q842" s="71">
        <v>92.677999999999997</v>
      </c>
      <c r="R842" s="71">
        <v>299.8</v>
      </c>
      <c r="S842" s="71">
        <v>16.55</v>
      </c>
      <c r="T842" s="71">
        <v>76.827999999999989</v>
      </c>
    </row>
    <row r="843" spans="1:20">
      <c r="A843" s="71" t="s">
        <v>6163</v>
      </c>
      <c r="B843" s="71" t="s">
        <v>6067</v>
      </c>
      <c r="C843" s="71">
        <v>599.94099999999992</v>
      </c>
      <c r="D843" s="71">
        <v>0</v>
      </c>
      <c r="E843" s="71">
        <v>0</v>
      </c>
      <c r="F843" s="71">
        <v>1.5</v>
      </c>
      <c r="G843" s="71">
        <v>14.550999999999998</v>
      </c>
      <c r="H843" s="71">
        <v>1.5109999999999999</v>
      </c>
      <c r="I843" s="71">
        <v>0</v>
      </c>
      <c r="J843" s="71">
        <v>0.52899999999999991</v>
      </c>
      <c r="K843" s="71">
        <v>0</v>
      </c>
      <c r="L843" s="71">
        <v>0</v>
      </c>
      <c r="M843" s="71">
        <v>0.60599999999999998</v>
      </c>
      <c r="N843" s="71">
        <v>0.8919999999999999</v>
      </c>
      <c r="O843" s="71">
        <v>0</v>
      </c>
      <c r="P843" s="71">
        <v>33.96</v>
      </c>
      <c r="Q843" s="71">
        <v>41.276999999999994</v>
      </c>
      <c r="R843" s="71">
        <v>367.5</v>
      </c>
      <c r="S843" s="71">
        <v>10.686999999999999</v>
      </c>
      <c r="T843" s="71">
        <v>29.997</v>
      </c>
    </row>
    <row r="844" spans="1:20">
      <c r="A844" s="71" t="s">
        <v>2470</v>
      </c>
      <c r="B844" s="71" t="s">
        <v>6075</v>
      </c>
      <c r="C844" s="71">
        <v>1125.7959999999998</v>
      </c>
      <c r="D844" s="71">
        <v>0</v>
      </c>
      <c r="E844" s="71">
        <v>0</v>
      </c>
      <c r="F844" s="71">
        <v>2.4629999999999996</v>
      </c>
      <c r="G844" s="71">
        <v>44.902999999999999</v>
      </c>
      <c r="H844" s="71">
        <v>5.59</v>
      </c>
      <c r="I844" s="71">
        <v>0</v>
      </c>
      <c r="J844" s="71">
        <v>0</v>
      </c>
      <c r="K844" s="71">
        <v>0</v>
      </c>
      <c r="L844" s="71">
        <v>0</v>
      </c>
      <c r="M844" s="71">
        <v>6.0489999999999995</v>
      </c>
      <c r="N844" s="71">
        <v>0.64899999999999991</v>
      </c>
      <c r="O844" s="71">
        <v>4.7999999999999994E-2</v>
      </c>
      <c r="P844" s="71">
        <v>24.274999999999999</v>
      </c>
      <c r="Q844" s="71">
        <v>38.041999999999994</v>
      </c>
      <c r="R844" s="71">
        <v>756.3</v>
      </c>
      <c r="S844" s="71">
        <v>149.47899999999998</v>
      </c>
      <c r="T844" s="71">
        <v>56.289799999999993</v>
      </c>
    </row>
    <row r="845" spans="1:20">
      <c r="A845" s="71" t="s">
        <v>973</v>
      </c>
      <c r="B845" s="71" t="s">
        <v>718</v>
      </c>
      <c r="C845" s="71">
        <v>733.72399999999993</v>
      </c>
      <c r="D845" s="71">
        <v>0</v>
      </c>
      <c r="E845" s="71">
        <v>0</v>
      </c>
      <c r="F845" s="71">
        <v>1.474</v>
      </c>
      <c r="G845" s="71">
        <v>40.215000000000003</v>
      </c>
      <c r="H845" s="71">
        <v>1.077</v>
      </c>
      <c r="I845" s="71">
        <v>0</v>
      </c>
      <c r="J845" s="71">
        <v>6.1429999999999998</v>
      </c>
      <c r="K845" s="71">
        <v>0</v>
      </c>
      <c r="L845" s="71">
        <v>0</v>
      </c>
      <c r="M845" s="71">
        <v>2.0150000000000001</v>
      </c>
      <c r="N845" s="71">
        <v>0</v>
      </c>
      <c r="O845" s="71">
        <v>0</v>
      </c>
      <c r="P845" s="71">
        <v>7.9279999999999999</v>
      </c>
      <c r="Q845" s="71">
        <v>21.401</v>
      </c>
      <c r="R845" s="71">
        <v>403</v>
      </c>
      <c r="S845" s="71">
        <v>9.0569999999999986</v>
      </c>
      <c r="T845" s="71">
        <v>27</v>
      </c>
    </row>
    <row r="846" spans="1:20">
      <c r="A846" s="71" t="s">
        <v>2769</v>
      </c>
      <c r="B846" s="71" t="s">
        <v>359</v>
      </c>
      <c r="C846" s="71">
        <v>542.96699999999998</v>
      </c>
      <c r="D846" s="71">
        <v>7.8999999999999987E-2</v>
      </c>
      <c r="E846" s="71">
        <v>0</v>
      </c>
      <c r="F846" s="71">
        <v>1.0629999999999999</v>
      </c>
      <c r="G846" s="71">
        <v>21.545000000000002</v>
      </c>
      <c r="H846" s="71">
        <v>4.2009999999999996</v>
      </c>
      <c r="I846" s="71">
        <v>0</v>
      </c>
      <c r="J846" s="71">
        <v>0.21199999999999999</v>
      </c>
      <c r="K846" s="71">
        <v>0</v>
      </c>
      <c r="L846" s="71">
        <v>0</v>
      </c>
      <c r="M846" s="71">
        <v>6.1379999999999999</v>
      </c>
      <c r="N846" s="71">
        <v>0</v>
      </c>
      <c r="O846" s="71">
        <v>0</v>
      </c>
      <c r="P846" s="71">
        <v>21.466999999999999</v>
      </c>
      <c r="Q846" s="71">
        <v>27.267999999999997</v>
      </c>
      <c r="R846" s="71">
        <v>193</v>
      </c>
      <c r="S846" s="71">
        <v>0</v>
      </c>
      <c r="T846" s="71">
        <v>27.148</v>
      </c>
    </row>
    <row r="847" spans="1:20">
      <c r="A847" s="71" t="s">
        <v>3553</v>
      </c>
      <c r="B847" s="71" t="s">
        <v>4060</v>
      </c>
      <c r="C847" s="71">
        <v>14187.09</v>
      </c>
      <c r="D847" s="71">
        <v>0.74199999999999999</v>
      </c>
      <c r="E847" s="71">
        <v>0</v>
      </c>
      <c r="F847" s="71">
        <v>25.045000000000002</v>
      </c>
      <c r="G847" s="71">
        <v>478.88899999999995</v>
      </c>
      <c r="H847" s="71">
        <v>112.812</v>
      </c>
      <c r="I847" s="71">
        <v>0</v>
      </c>
      <c r="J847" s="71">
        <v>2.8739999999999997</v>
      </c>
      <c r="K847" s="71">
        <v>0</v>
      </c>
      <c r="L847" s="71">
        <v>0</v>
      </c>
      <c r="M847" s="71">
        <v>37.841999999999999</v>
      </c>
      <c r="N847" s="71">
        <v>8.5509999999999984</v>
      </c>
      <c r="O847" s="71">
        <v>9.3769999999999989</v>
      </c>
      <c r="P847" s="71">
        <v>366.267</v>
      </c>
      <c r="Q847" s="71">
        <v>566.16699999999992</v>
      </c>
      <c r="R847" s="71">
        <v>12850</v>
      </c>
      <c r="S847" s="71">
        <v>1620.9079999999999</v>
      </c>
      <c r="T847" s="71">
        <v>709.35449999999992</v>
      </c>
    </row>
    <row r="848" spans="1:20">
      <c r="A848" s="71" t="s">
        <v>3556</v>
      </c>
      <c r="B848" s="71" t="s">
        <v>4067</v>
      </c>
      <c r="C848" s="71">
        <v>1438.925</v>
      </c>
      <c r="D848" s="71">
        <v>0.36699999999999999</v>
      </c>
      <c r="E848" s="71">
        <v>0</v>
      </c>
      <c r="F848" s="71">
        <v>3.39</v>
      </c>
      <c r="G848" s="71">
        <v>55.770999999999994</v>
      </c>
      <c r="H848" s="71">
        <v>4.2379999999999995</v>
      </c>
      <c r="I848" s="71">
        <v>0</v>
      </c>
      <c r="J848" s="71">
        <v>2.7929999999999997</v>
      </c>
      <c r="K848" s="71">
        <v>0</v>
      </c>
      <c r="L848" s="71">
        <v>0</v>
      </c>
      <c r="M848" s="71">
        <v>1.6489999999999998</v>
      </c>
      <c r="N848" s="71">
        <v>0.14499999999999999</v>
      </c>
      <c r="O848" s="71">
        <v>36.372999999999998</v>
      </c>
      <c r="P848" s="71">
        <v>26.283999999999999</v>
      </c>
      <c r="Q848" s="71">
        <v>98.431999999999988</v>
      </c>
      <c r="R848" s="71">
        <v>553.79999999999995</v>
      </c>
      <c r="S848" s="71">
        <v>26.152999999999999</v>
      </c>
      <c r="T848" s="71">
        <v>68</v>
      </c>
    </row>
    <row r="849" spans="1:20">
      <c r="A849" s="71" t="s">
        <v>5052</v>
      </c>
      <c r="B849" s="71" t="s">
        <v>719</v>
      </c>
      <c r="C849" s="71">
        <v>724.4319999999999</v>
      </c>
      <c r="D849" s="71">
        <v>0</v>
      </c>
      <c r="E849" s="71">
        <v>0</v>
      </c>
      <c r="F849" s="71">
        <v>2.5019999999999998</v>
      </c>
      <c r="G849" s="71">
        <v>27.253999999999998</v>
      </c>
      <c r="H849" s="71">
        <v>9.3949999999999996</v>
      </c>
      <c r="I849" s="71">
        <v>0</v>
      </c>
      <c r="J849" s="71">
        <v>0.48499999999999999</v>
      </c>
      <c r="K849" s="71">
        <v>0</v>
      </c>
      <c r="L849" s="71">
        <v>0</v>
      </c>
      <c r="M849" s="71">
        <v>0</v>
      </c>
      <c r="N849" s="71">
        <v>0</v>
      </c>
      <c r="O849" s="71">
        <v>109.05500000000001</v>
      </c>
      <c r="P849" s="71">
        <v>14.492999999999999</v>
      </c>
      <c r="Q849" s="71">
        <v>23.857999999999997</v>
      </c>
      <c r="R849" s="71">
        <v>300</v>
      </c>
      <c r="S849" s="71">
        <v>0</v>
      </c>
      <c r="T849" s="71">
        <v>33</v>
      </c>
    </row>
    <row r="850" spans="1:20">
      <c r="A850" s="71" t="s">
        <v>5054</v>
      </c>
      <c r="B850" s="71" t="s">
        <v>720</v>
      </c>
      <c r="C850" s="71">
        <v>842.45699999999999</v>
      </c>
      <c r="D850" s="71">
        <v>0</v>
      </c>
      <c r="E850" s="71">
        <v>0</v>
      </c>
      <c r="F850" s="71">
        <v>2.6359999999999997</v>
      </c>
      <c r="G850" s="71">
        <v>43.013999999999996</v>
      </c>
      <c r="H850" s="71">
        <v>1.8639999999999999</v>
      </c>
      <c r="I850" s="71">
        <v>0</v>
      </c>
      <c r="J850" s="71">
        <v>0.8819999999999999</v>
      </c>
      <c r="K850" s="71">
        <v>0</v>
      </c>
      <c r="L850" s="71">
        <v>0</v>
      </c>
      <c r="M850" s="71">
        <v>0.94799999999999995</v>
      </c>
      <c r="N850" s="71">
        <v>0</v>
      </c>
      <c r="O850" s="71">
        <v>26.440999999999999</v>
      </c>
      <c r="P850" s="71">
        <v>38.921999999999997</v>
      </c>
      <c r="Q850" s="71">
        <v>47.311999999999998</v>
      </c>
      <c r="R850" s="71">
        <v>407</v>
      </c>
      <c r="S850" s="71">
        <v>24.747</v>
      </c>
      <c r="T850" s="71">
        <v>42.122849999999993</v>
      </c>
    </row>
    <row r="851" spans="1:20">
      <c r="A851" s="71" t="s">
        <v>737</v>
      </c>
      <c r="B851" s="71" t="s">
        <v>6110</v>
      </c>
      <c r="C851" s="71">
        <v>1873.58</v>
      </c>
      <c r="D851" s="71">
        <v>0.13799999999999998</v>
      </c>
      <c r="E851" s="71">
        <v>0</v>
      </c>
      <c r="F851" s="71">
        <v>4.43</v>
      </c>
      <c r="G851" s="71">
        <v>109.90799999999999</v>
      </c>
      <c r="H851" s="71">
        <v>10.908999999999999</v>
      </c>
      <c r="I851" s="71">
        <v>0</v>
      </c>
      <c r="J851" s="71">
        <v>2.2719999999999998</v>
      </c>
      <c r="K851" s="71">
        <v>0</v>
      </c>
      <c r="L851" s="71">
        <v>0</v>
      </c>
      <c r="M851" s="71">
        <v>0.56999999999999995</v>
      </c>
      <c r="N851" s="71">
        <v>0.13500000000000001</v>
      </c>
      <c r="O851" s="71">
        <v>0.65500000000000003</v>
      </c>
      <c r="P851" s="71">
        <v>31.613</v>
      </c>
      <c r="Q851" s="71">
        <v>54.461999999999996</v>
      </c>
      <c r="R851" s="71">
        <v>406</v>
      </c>
      <c r="S851" s="71">
        <v>17.712999999999997</v>
      </c>
      <c r="T851" s="71">
        <v>93.678999999999988</v>
      </c>
    </row>
    <row r="852" spans="1:20">
      <c r="A852" s="71" t="s">
        <v>237</v>
      </c>
      <c r="B852" s="71" t="s">
        <v>2644</v>
      </c>
      <c r="C852" s="71">
        <v>2508.1969999999997</v>
      </c>
      <c r="D852" s="71">
        <v>0.13799999999999998</v>
      </c>
      <c r="E852" s="71">
        <v>0</v>
      </c>
      <c r="F852" s="71">
        <v>3.9159999999999999</v>
      </c>
      <c r="G852" s="71">
        <v>89.587999999999994</v>
      </c>
      <c r="H852" s="71">
        <v>29.017999999999997</v>
      </c>
      <c r="I852" s="71">
        <v>0</v>
      </c>
      <c r="J852" s="71">
        <v>0</v>
      </c>
      <c r="K852" s="71">
        <v>0</v>
      </c>
      <c r="L852" s="71">
        <v>0</v>
      </c>
      <c r="M852" s="71">
        <v>10.935</v>
      </c>
      <c r="N852" s="71">
        <v>0.94299999999999995</v>
      </c>
      <c r="O852" s="71">
        <v>4.1900000000000004</v>
      </c>
      <c r="P852" s="71">
        <v>42.705999999999996</v>
      </c>
      <c r="Q852" s="71">
        <v>71.694999999999993</v>
      </c>
      <c r="R852" s="71">
        <v>1845.7</v>
      </c>
      <c r="S852" s="71">
        <v>88.350999999999999</v>
      </c>
      <c r="T852" s="71">
        <v>125.40984999999999</v>
      </c>
    </row>
    <row r="853" spans="1:20">
      <c r="A853" s="71" t="s">
        <v>2307</v>
      </c>
      <c r="B853" s="71" t="s">
        <v>365</v>
      </c>
      <c r="C853" s="71">
        <v>2043.9309999999998</v>
      </c>
      <c r="D853" s="71">
        <v>2.1999999999999999E-2</v>
      </c>
      <c r="E853" s="71">
        <v>0</v>
      </c>
      <c r="F853" s="71">
        <v>3.5619999999999998</v>
      </c>
      <c r="G853" s="71">
        <v>70.298999999999992</v>
      </c>
      <c r="H853" s="71">
        <v>19.276999999999997</v>
      </c>
      <c r="I853" s="71">
        <v>0</v>
      </c>
      <c r="J853" s="71">
        <v>0.64399999999999991</v>
      </c>
      <c r="K853" s="71">
        <v>0</v>
      </c>
      <c r="L853" s="71">
        <v>0</v>
      </c>
      <c r="M853" s="71">
        <v>0</v>
      </c>
      <c r="N853" s="71">
        <v>0</v>
      </c>
      <c r="O853" s="71">
        <v>0.51</v>
      </c>
      <c r="P853" s="71">
        <v>56.104999999999997</v>
      </c>
      <c r="Q853" s="71">
        <v>58.287999999999997</v>
      </c>
      <c r="R853" s="71">
        <v>538</v>
      </c>
      <c r="S853" s="71">
        <v>16.45</v>
      </c>
      <c r="T853" s="71">
        <v>102.19654999999999</v>
      </c>
    </row>
    <row r="854" spans="1:20">
      <c r="A854" s="71" t="s">
        <v>957</v>
      </c>
      <c r="B854" s="71" t="s">
        <v>7664</v>
      </c>
      <c r="C854" s="71">
        <v>434.37899999999996</v>
      </c>
      <c r="D854" s="71">
        <v>2.3999999999999997E-2</v>
      </c>
      <c r="E854" s="71">
        <v>0</v>
      </c>
      <c r="F854" s="71">
        <v>0.67899999999999994</v>
      </c>
      <c r="G854" s="71">
        <v>19.295999999999999</v>
      </c>
      <c r="H854" s="71">
        <v>0.8819999999999999</v>
      </c>
      <c r="I854" s="71">
        <v>0</v>
      </c>
      <c r="J854" s="71">
        <v>0</v>
      </c>
      <c r="K854" s="71">
        <v>0</v>
      </c>
      <c r="L854" s="71">
        <v>0</v>
      </c>
      <c r="M854" s="71">
        <v>0</v>
      </c>
      <c r="N854" s="71">
        <v>0</v>
      </c>
      <c r="O854" s="71">
        <v>0.83</v>
      </c>
      <c r="P854" s="71">
        <v>15.116999999999999</v>
      </c>
      <c r="Q854" s="71">
        <v>19.225000000000001</v>
      </c>
      <c r="R854" s="71">
        <v>208.2</v>
      </c>
      <c r="S854" s="71">
        <v>5.2579999999999991</v>
      </c>
      <c r="T854" s="71">
        <v>21.718949999999996</v>
      </c>
    </row>
    <row r="855" spans="1:20">
      <c r="A855" s="71" t="s">
        <v>5056</v>
      </c>
      <c r="B855" s="71" t="s">
        <v>721</v>
      </c>
      <c r="C855" s="71">
        <v>108.56599999999999</v>
      </c>
      <c r="D855" s="71">
        <v>0</v>
      </c>
      <c r="E855" s="71">
        <v>0</v>
      </c>
      <c r="F855" s="71">
        <v>0.247</v>
      </c>
      <c r="G855" s="71">
        <v>3.6559999999999997</v>
      </c>
      <c r="H855" s="71">
        <v>0.26599999999999996</v>
      </c>
      <c r="I855" s="71">
        <v>0</v>
      </c>
      <c r="J855" s="71">
        <v>0</v>
      </c>
      <c r="K855" s="71">
        <v>0</v>
      </c>
      <c r="L855" s="71">
        <v>0</v>
      </c>
      <c r="M855" s="71">
        <v>0</v>
      </c>
      <c r="N855" s="71">
        <v>0</v>
      </c>
      <c r="O855" s="71">
        <v>0</v>
      </c>
      <c r="P855" s="71">
        <v>0.97899999999999998</v>
      </c>
      <c r="Q855" s="71">
        <v>0</v>
      </c>
      <c r="R855" s="71">
        <v>65.3</v>
      </c>
      <c r="S855" s="71">
        <v>1.4169999999999998</v>
      </c>
      <c r="T855" s="71">
        <v>5.4279999999999999</v>
      </c>
    </row>
    <row r="856" spans="1:20">
      <c r="A856" s="71" t="s">
        <v>5137</v>
      </c>
      <c r="B856" s="71" t="s">
        <v>722</v>
      </c>
      <c r="C856" s="71">
        <v>138.94899999999998</v>
      </c>
      <c r="D856" s="71">
        <v>0</v>
      </c>
      <c r="E856" s="71">
        <v>0</v>
      </c>
      <c r="F856" s="71">
        <v>0.27799999999999997</v>
      </c>
      <c r="G856" s="71">
        <v>5.9929999999999994</v>
      </c>
      <c r="H856" s="71">
        <v>0.46599999999999997</v>
      </c>
      <c r="I856" s="71">
        <v>0</v>
      </c>
      <c r="J856" s="71">
        <v>0.498</v>
      </c>
      <c r="K856" s="71">
        <v>0</v>
      </c>
      <c r="L856" s="71">
        <v>0</v>
      </c>
      <c r="M856" s="71">
        <v>0</v>
      </c>
      <c r="N856" s="71">
        <v>0</v>
      </c>
      <c r="O856" s="71">
        <v>0</v>
      </c>
      <c r="P856" s="71">
        <v>0.98899999999999999</v>
      </c>
      <c r="Q856" s="71">
        <v>0</v>
      </c>
      <c r="R856" s="71">
        <v>105.7</v>
      </c>
      <c r="S856" s="71">
        <v>1.9629999999999999</v>
      </c>
      <c r="T856" s="71">
        <v>6.9469999999999992</v>
      </c>
    </row>
    <row r="857" spans="1:20">
      <c r="A857" s="71" t="s">
        <v>1151</v>
      </c>
      <c r="B857" s="71" t="s">
        <v>1152</v>
      </c>
      <c r="C857" s="71">
        <v>638</v>
      </c>
      <c r="D857" s="71">
        <v>0</v>
      </c>
      <c r="E857" s="71">
        <v>0</v>
      </c>
      <c r="F857" s="71">
        <v>0</v>
      </c>
      <c r="G857" s="71">
        <v>0</v>
      </c>
      <c r="H857" s="71">
        <v>0</v>
      </c>
      <c r="I857" s="71">
        <v>0</v>
      </c>
      <c r="J857" s="71">
        <v>0</v>
      </c>
      <c r="K857" s="71">
        <v>0</v>
      </c>
      <c r="L857" s="71">
        <v>0</v>
      </c>
      <c r="M857" s="71">
        <v>0</v>
      </c>
      <c r="N857" s="71">
        <v>0</v>
      </c>
      <c r="O857" s="71">
        <v>0</v>
      </c>
      <c r="P857" s="71">
        <v>0</v>
      </c>
      <c r="Q857" s="71">
        <v>0</v>
      </c>
      <c r="R857" s="71">
        <v>0</v>
      </c>
      <c r="S857" s="71">
        <v>0</v>
      </c>
      <c r="T857" s="71">
        <v>0</v>
      </c>
    </row>
    <row r="858" spans="1:20">
      <c r="A858" s="71" t="s">
        <v>1153</v>
      </c>
      <c r="B858" s="71" t="s">
        <v>1152</v>
      </c>
      <c r="C858" s="71">
        <v>0</v>
      </c>
      <c r="D858" s="71">
        <v>0</v>
      </c>
      <c r="E858" s="71">
        <v>0</v>
      </c>
      <c r="F858" s="71">
        <v>0</v>
      </c>
      <c r="G858" s="71">
        <v>0</v>
      </c>
      <c r="H858" s="71">
        <v>0</v>
      </c>
      <c r="I858" s="71">
        <v>0</v>
      </c>
      <c r="J858" s="71">
        <v>0</v>
      </c>
      <c r="K858" s="71">
        <v>0</v>
      </c>
      <c r="L858" s="71">
        <v>0</v>
      </c>
      <c r="M858" s="71">
        <v>0</v>
      </c>
      <c r="N858" s="71">
        <v>0</v>
      </c>
      <c r="O858" s="71">
        <v>0</v>
      </c>
      <c r="P858" s="71">
        <v>0</v>
      </c>
      <c r="Q858" s="71">
        <v>0</v>
      </c>
      <c r="R858" s="71">
        <v>0</v>
      </c>
      <c r="S858" s="71">
        <v>0</v>
      </c>
      <c r="T858" s="71">
        <v>0</v>
      </c>
    </row>
    <row r="859" spans="1:20">
      <c r="A859" s="71" t="s">
        <v>1154</v>
      </c>
      <c r="B859" s="71" t="s">
        <v>1155</v>
      </c>
      <c r="C859" s="71">
        <v>0</v>
      </c>
      <c r="D859" s="71">
        <v>0</v>
      </c>
      <c r="E859" s="71">
        <v>0</v>
      </c>
      <c r="F859" s="71">
        <v>0</v>
      </c>
      <c r="G859" s="71">
        <v>0</v>
      </c>
      <c r="H859" s="71">
        <v>0</v>
      </c>
      <c r="I859" s="71">
        <v>0</v>
      </c>
      <c r="J859" s="71">
        <v>0</v>
      </c>
      <c r="K859" s="71">
        <v>0</v>
      </c>
      <c r="L859" s="71">
        <v>0</v>
      </c>
      <c r="M859" s="71">
        <v>0</v>
      </c>
      <c r="N859" s="71">
        <v>0</v>
      </c>
      <c r="O859" s="71">
        <v>0</v>
      </c>
      <c r="P859" s="71">
        <v>0</v>
      </c>
      <c r="Q859" s="71">
        <v>0</v>
      </c>
      <c r="R859" s="71">
        <v>0</v>
      </c>
      <c r="S859" s="71">
        <v>0</v>
      </c>
      <c r="T859" s="71">
        <v>0</v>
      </c>
    </row>
    <row r="860" spans="1:20">
      <c r="A860" s="71" t="s">
        <v>4568</v>
      </c>
      <c r="B860" s="71" t="s">
        <v>723</v>
      </c>
      <c r="C860" s="71">
        <v>162.55599999999998</v>
      </c>
      <c r="D860" s="71">
        <v>0</v>
      </c>
      <c r="E860" s="71">
        <v>0</v>
      </c>
      <c r="F860" s="71">
        <v>0.21099999999999999</v>
      </c>
      <c r="G860" s="71">
        <v>3.1929999999999996</v>
      </c>
      <c r="H860" s="71">
        <v>0</v>
      </c>
      <c r="I860" s="71">
        <v>0</v>
      </c>
      <c r="J860" s="71">
        <v>0</v>
      </c>
      <c r="K860" s="71">
        <v>0</v>
      </c>
      <c r="L860" s="71">
        <v>0</v>
      </c>
      <c r="M860" s="71">
        <v>0.66199999999999992</v>
      </c>
      <c r="N860" s="71">
        <v>0</v>
      </c>
      <c r="O860" s="71">
        <v>0</v>
      </c>
      <c r="P860" s="71">
        <v>0</v>
      </c>
      <c r="Q860" s="71">
        <v>7.4469999999999992</v>
      </c>
      <c r="R860" s="71">
        <v>88</v>
      </c>
      <c r="S860" s="71">
        <v>6.7329999999999997</v>
      </c>
      <c r="T860" s="71">
        <v>8.1277999999999988</v>
      </c>
    </row>
    <row r="861" spans="1:20">
      <c r="A861" s="71" t="s">
        <v>2053</v>
      </c>
      <c r="B861" s="71" t="s">
        <v>999</v>
      </c>
      <c r="C861" s="71">
        <v>1785.1869999999999</v>
      </c>
      <c r="D861" s="71">
        <v>0.21899999999999997</v>
      </c>
      <c r="E861" s="71">
        <v>0</v>
      </c>
      <c r="F861" s="71">
        <v>3.7279999999999998</v>
      </c>
      <c r="G861" s="71">
        <v>55.706999999999994</v>
      </c>
      <c r="H861" s="71">
        <v>12.456</v>
      </c>
      <c r="I861" s="71">
        <v>0</v>
      </c>
      <c r="J861" s="71">
        <v>2.3319999999999999</v>
      </c>
      <c r="K861" s="71">
        <v>0</v>
      </c>
      <c r="L861" s="71">
        <v>0</v>
      </c>
      <c r="M861" s="71">
        <v>4.8039999999999994</v>
      </c>
      <c r="N861" s="71">
        <v>0.37599999999999995</v>
      </c>
      <c r="O861" s="71">
        <v>0</v>
      </c>
      <c r="P861" s="71">
        <v>41.186</v>
      </c>
      <c r="Q861" s="71">
        <v>97.138999999999996</v>
      </c>
      <c r="R861" s="71">
        <v>1174.3</v>
      </c>
      <c r="S861" s="71">
        <v>49.543999999999997</v>
      </c>
      <c r="T861" s="71">
        <v>89.258999999999986</v>
      </c>
    </row>
    <row r="862" spans="1:20">
      <c r="A862" s="71" t="s">
        <v>1846</v>
      </c>
      <c r="B862" s="71" t="s">
        <v>1001</v>
      </c>
      <c r="C862" s="71">
        <v>298.21499999999997</v>
      </c>
      <c r="D862" s="71">
        <v>0</v>
      </c>
      <c r="E862" s="71">
        <v>0</v>
      </c>
      <c r="F862" s="71">
        <v>0.92299999999999993</v>
      </c>
      <c r="G862" s="71">
        <v>10.831</v>
      </c>
      <c r="H862" s="71">
        <v>0.38399999999999995</v>
      </c>
      <c r="I862" s="71">
        <v>0</v>
      </c>
      <c r="J862" s="71">
        <v>0</v>
      </c>
      <c r="K862" s="71">
        <v>0</v>
      </c>
      <c r="L862" s="71">
        <v>0</v>
      </c>
      <c r="M862" s="71">
        <v>0.749</v>
      </c>
      <c r="N862" s="71">
        <v>0</v>
      </c>
      <c r="O862" s="71">
        <v>0</v>
      </c>
      <c r="P862" s="71">
        <v>8.1869999999999994</v>
      </c>
      <c r="Q862" s="71">
        <v>18.690999999999999</v>
      </c>
      <c r="R862" s="71">
        <v>163.80000000000001</v>
      </c>
      <c r="S862" s="71">
        <v>1.079</v>
      </c>
      <c r="T862" s="71">
        <v>14.910749999999998</v>
      </c>
    </row>
    <row r="863" spans="1:20">
      <c r="A863" s="71" t="s">
        <v>5239</v>
      </c>
      <c r="B863" s="71" t="s">
        <v>505</v>
      </c>
      <c r="C863" s="71">
        <v>1109.0309999999999</v>
      </c>
      <c r="D863" s="71">
        <v>0</v>
      </c>
      <c r="E863" s="71">
        <v>0</v>
      </c>
      <c r="F863" s="71">
        <v>1.6179999999999999</v>
      </c>
      <c r="G863" s="71">
        <v>24.876999999999999</v>
      </c>
      <c r="H863" s="71">
        <v>8.1789999999999985</v>
      </c>
      <c r="I863" s="71">
        <v>0</v>
      </c>
      <c r="J863" s="71">
        <v>0</v>
      </c>
      <c r="K863" s="71">
        <v>0</v>
      </c>
      <c r="L863" s="71">
        <v>0</v>
      </c>
      <c r="M863" s="71">
        <v>1.111</v>
      </c>
      <c r="N863" s="71">
        <v>0.35099999999999998</v>
      </c>
      <c r="O863" s="71">
        <v>0</v>
      </c>
      <c r="P863" s="71">
        <v>48.568999999999996</v>
      </c>
      <c r="Q863" s="71">
        <v>47.022999999999996</v>
      </c>
      <c r="R863" s="71">
        <v>1003</v>
      </c>
      <c r="S863" s="71">
        <v>81.555000000000007</v>
      </c>
      <c r="T863" s="71">
        <v>55.45154999999999</v>
      </c>
    </row>
    <row r="864" spans="1:20">
      <c r="A864" s="71" t="s">
        <v>1870</v>
      </c>
      <c r="B864" s="71" t="s">
        <v>3849</v>
      </c>
      <c r="C864" s="71">
        <v>2023.001</v>
      </c>
      <c r="D864" s="71">
        <v>0</v>
      </c>
      <c r="E864" s="71">
        <v>0.23</v>
      </c>
      <c r="F864" s="71">
        <v>3.444</v>
      </c>
      <c r="G864" s="71">
        <v>30.552999999999997</v>
      </c>
      <c r="H864" s="71">
        <v>11.98</v>
      </c>
      <c r="I864" s="71">
        <v>0</v>
      </c>
      <c r="J864" s="71">
        <v>0</v>
      </c>
      <c r="K864" s="71">
        <v>0</v>
      </c>
      <c r="L864" s="71">
        <v>0</v>
      </c>
      <c r="M864" s="71">
        <v>3.7189999999999999</v>
      </c>
      <c r="N864" s="71">
        <v>0</v>
      </c>
      <c r="O864" s="71">
        <v>3.6999999999999998E-2</v>
      </c>
      <c r="P864" s="71">
        <v>50.436999999999998</v>
      </c>
      <c r="Q864" s="71">
        <v>83.015000000000001</v>
      </c>
      <c r="R864" s="71">
        <v>1193.5</v>
      </c>
      <c r="S864" s="71">
        <v>60.067999999999998</v>
      </c>
      <c r="T864" s="71">
        <v>101.15</v>
      </c>
    </row>
    <row r="865" spans="1:20">
      <c r="A865" s="71" t="s">
        <v>6169</v>
      </c>
      <c r="B865" s="71" t="s">
        <v>6079</v>
      </c>
      <c r="C865" s="71">
        <v>2783.6849999999999</v>
      </c>
      <c r="D865" s="71">
        <v>0.44399999999999995</v>
      </c>
      <c r="E865" s="71">
        <v>0</v>
      </c>
      <c r="F865" s="71">
        <v>3.851</v>
      </c>
      <c r="G865" s="71">
        <v>29.704999999999998</v>
      </c>
      <c r="H865" s="71">
        <v>20.475999999999999</v>
      </c>
      <c r="I865" s="71">
        <v>0</v>
      </c>
      <c r="J865" s="71">
        <v>1.7589999999999999</v>
      </c>
      <c r="K865" s="71">
        <v>0</v>
      </c>
      <c r="L865" s="71">
        <v>1.0329999999999999</v>
      </c>
      <c r="M865" s="71">
        <v>7.0019999999999998</v>
      </c>
      <c r="N865" s="71">
        <v>1.482</v>
      </c>
      <c r="O865" s="71">
        <v>0</v>
      </c>
      <c r="P865" s="71">
        <v>103.94799999999999</v>
      </c>
      <c r="Q865" s="71">
        <v>127.26299999999999</v>
      </c>
      <c r="R865" s="71">
        <v>1507.2</v>
      </c>
      <c r="S865" s="71">
        <v>167.72299999999998</v>
      </c>
      <c r="T865" s="71">
        <v>139.184</v>
      </c>
    </row>
    <row r="866" spans="1:20">
      <c r="A866" s="71" t="s">
        <v>574</v>
      </c>
      <c r="B866" s="71" t="s">
        <v>724</v>
      </c>
      <c r="C866" s="71">
        <v>333.541</v>
      </c>
      <c r="D866" s="71">
        <v>0.12699999999999997</v>
      </c>
      <c r="E866" s="71">
        <v>0</v>
      </c>
      <c r="F866" s="71">
        <v>0.65599999999999992</v>
      </c>
      <c r="G866" s="71">
        <v>20.2</v>
      </c>
      <c r="H866" s="71">
        <v>1.5719999999999998</v>
      </c>
      <c r="I866" s="71">
        <v>0</v>
      </c>
      <c r="J866" s="71">
        <v>0</v>
      </c>
      <c r="K866" s="71">
        <v>0</v>
      </c>
      <c r="L866" s="71">
        <v>0</v>
      </c>
      <c r="M866" s="71">
        <v>0</v>
      </c>
      <c r="N866" s="71">
        <v>0.23299999999999998</v>
      </c>
      <c r="O866" s="71">
        <v>0.872</v>
      </c>
      <c r="P866" s="71">
        <v>9.843</v>
      </c>
      <c r="Q866" s="71">
        <v>13.64</v>
      </c>
      <c r="R866" s="71">
        <v>249.3</v>
      </c>
      <c r="S866" s="71">
        <v>17.084</v>
      </c>
      <c r="T866" s="71">
        <v>16.677</v>
      </c>
    </row>
    <row r="867" spans="1:20">
      <c r="A867" s="71" t="s">
        <v>1156</v>
      </c>
      <c r="B867" s="71" t="s">
        <v>1157</v>
      </c>
      <c r="C867" s="71">
        <v>154.38999999999999</v>
      </c>
      <c r="D867" s="71">
        <v>0</v>
      </c>
      <c r="E867" s="71">
        <v>0</v>
      </c>
      <c r="F867" s="71">
        <v>0</v>
      </c>
      <c r="G867" s="71">
        <v>2.3639999999999999</v>
      </c>
      <c r="H867" s="71">
        <v>0</v>
      </c>
      <c r="I867" s="71">
        <v>0</v>
      </c>
      <c r="J867" s="71">
        <v>0</v>
      </c>
      <c r="K867" s="71">
        <v>0</v>
      </c>
      <c r="L867" s="71">
        <v>0</v>
      </c>
      <c r="M867" s="71">
        <v>0</v>
      </c>
      <c r="N867" s="71">
        <v>1.7759999999999998</v>
      </c>
      <c r="O867" s="71">
        <v>0</v>
      </c>
      <c r="P867" s="71">
        <v>0</v>
      </c>
      <c r="Q867" s="71">
        <v>11.401</v>
      </c>
      <c r="R867" s="71">
        <v>96.7</v>
      </c>
      <c r="S867" s="71">
        <v>0</v>
      </c>
      <c r="T867" s="71">
        <v>0</v>
      </c>
    </row>
    <row r="868" spans="1:20">
      <c r="A868" s="71" t="s">
        <v>1158</v>
      </c>
      <c r="B868" s="71" t="s">
        <v>1159</v>
      </c>
      <c r="C868" s="71">
        <v>467.39799999999997</v>
      </c>
      <c r="D868" s="71">
        <v>0</v>
      </c>
      <c r="E868" s="71">
        <v>0</v>
      </c>
      <c r="F868" s="71">
        <v>1.1469999999999998</v>
      </c>
      <c r="G868" s="71">
        <v>9.6409999999999982</v>
      </c>
      <c r="H868" s="71">
        <v>0</v>
      </c>
      <c r="I868" s="71">
        <v>0</v>
      </c>
      <c r="J868" s="71">
        <v>0</v>
      </c>
      <c r="K868" s="71">
        <v>0</v>
      </c>
      <c r="L868" s="71">
        <v>0</v>
      </c>
      <c r="M868" s="71">
        <v>0</v>
      </c>
      <c r="N868" s="71">
        <v>0</v>
      </c>
      <c r="O868" s="71">
        <v>0</v>
      </c>
      <c r="P868" s="71">
        <v>0</v>
      </c>
      <c r="Q868" s="71">
        <v>0</v>
      </c>
      <c r="R868" s="71">
        <v>409.3</v>
      </c>
      <c r="S868" s="71">
        <v>56.424999999999997</v>
      </c>
      <c r="T868" s="71">
        <v>0</v>
      </c>
    </row>
    <row r="869" spans="1:20">
      <c r="A869" s="71" t="s">
        <v>576</v>
      </c>
      <c r="B869" s="71" t="s">
        <v>1160</v>
      </c>
      <c r="C869" s="71">
        <v>371.565</v>
      </c>
      <c r="D869" s="71">
        <v>0</v>
      </c>
      <c r="E869" s="71">
        <v>0</v>
      </c>
      <c r="F869" s="71">
        <v>3.9E-2</v>
      </c>
      <c r="G869" s="71">
        <v>8.968</v>
      </c>
      <c r="H869" s="71">
        <v>0</v>
      </c>
      <c r="I869" s="71">
        <v>0</v>
      </c>
      <c r="J869" s="71">
        <v>0</v>
      </c>
      <c r="K869" s="71">
        <v>0</v>
      </c>
      <c r="L869" s="71">
        <v>0</v>
      </c>
      <c r="M869" s="71">
        <v>0</v>
      </c>
      <c r="N869" s="71">
        <v>0.84299999999999997</v>
      </c>
      <c r="O869" s="71">
        <v>0</v>
      </c>
      <c r="P869" s="71">
        <v>0</v>
      </c>
      <c r="Q869" s="71">
        <v>0</v>
      </c>
      <c r="R869" s="71">
        <v>212.2</v>
      </c>
      <c r="S869" s="71">
        <v>142.88399999999999</v>
      </c>
      <c r="T869" s="71">
        <v>0</v>
      </c>
    </row>
    <row r="870" spans="1:20">
      <c r="A870" s="71" t="s">
        <v>6172</v>
      </c>
      <c r="B870" s="71" t="s">
        <v>497</v>
      </c>
      <c r="C870" s="71">
        <v>19037.538999999997</v>
      </c>
      <c r="D870" s="71">
        <v>1.0609999999999999</v>
      </c>
      <c r="E870" s="71">
        <v>4.2969999999999997</v>
      </c>
      <c r="F870" s="71">
        <v>28.35</v>
      </c>
      <c r="G870" s="71">
        <v>398.27</v>
      </c>
      <c r="H870" s="71">
        <v>116.113</v>
      </c>
      <c r="I870" s="71">
        <v>0</v>
      </c>
      <c r="J870" s="71">
        <v>21.548999999999999</v>
      </c>
      <c r="K870" s="71">
        <v>0</v>
      </c>
      <c r="L870" s="71">
        <v>0</v>
      </c>
      <c r="M870" s="71">
        <v>13.625999999999999</v>
      </c>
      <c r="N870" s="71">
        <v>9.3839999999999986</v>
      </c>
      <c r="O870" s="71">
        <v>3.0489999999999999</v>
      </c>
      <c r="P870" s="71">
        <v>252.27500000000001</v>
      </c>
      <c r="Q870" s="71">
        <v>705.66199999999992</v>
      </c>
      <c r="R870" s="71">
        <v>10948.2</v>
      </c>
      <c r="S870" s="71">
        <v>1412.2269999999999</v>
      </c>
      <c r="T870" s="71">
        <v>951.87694999999997</v>
      </c>
    </row>
    <row r="871" spans="1:20">
      <c r="A871" s="71" t="s">
        <v>578</v>
      </c>
      <c r="B871" s="71" t="s">
        <v>725</v>
      </c>
      <c r="C871" s="71">
        <v>1452.502</v>
      </c>
      <c r="D871" s="71">
        <v>0</v>
      </c>
      <c r="E871" s="71">
        <v>0</v>
      </c>
      <c r="F871" s="71">
        <v>1.7519999999999998</v>
      </c>
      <c r="G871" s="71">
        <v>28.768999999999998</v>
      </c>
      <c r="H871" s="71">
        <v>5.4419999999999993</v>
      </c>
      <c r="I871" s="71">
        <v>0</v>
      </c>
      <c r="J871" s="71">
        <v>1.6</v>
      </c>
      <c r="K871" s="71">
        <v>0</v>
      </c>
      <c r="L871" s="71">
        <v>0</v>
      </c>
      <c r="M871" s="71">
        <v>0</v>
      </c>
      <c r="N871" s="71">
        <v>0</v>
      </c>
      <c r="O871" s="71">
        <v>0</v>
      </c>
      <c r="P871" s="71">
        <v>24.385000000000002</v>
      </c>
      <c r="Q871" s="71">
        <v>59.363</v>
      </c>
      <c r="R871" s="71">
        <v>480</v>
      </c>
      <c r="S871" s="71">
        <v>57.366</v>
      </c>
      <c r="T871" s="71">
        <v>72.625</v>
      </c>
    </row>
    <row r="872" spans="1:20">
      <c r="A872" s="71" t="s">
        <v>1161</v>
      </c>
      <c r="B872" s="71" t="s">
        <v>1162</v>
      </c>
      <c r="C872" s="71">
        <v>0</v>
      </c>
      <c r="D872" s="71">
        <v>0</v>
      </c>
      <c r="E872" s="71">
        <v>0</v>
      </c>
      <c r="F872" s="71">
        <v>0</v>
      </c>
      <c r="G872" s="71">
        <v>0</v>
      </c>
      <c r="H872" s="71">
        <v>0</v>
      </c>
      <c r="I872" s="71">
        <v>0</v>
      </c>
      <c r="J872" s="71">
        <v>0</v>
      </c>
      <c r="K872" s="71">
        <v>0</v>
      </c>
      <c r="L872" s="71">
        <v>0</v>
      </c>
      <c r="M872" s="71">
        <v>0</v>
      </c>
      <c r="N872" s="71">
        <v>0</v>
      </c>
      <c r="O872" s="71">
        <v>0</v>
      </c>
      <c r="P872" s="71">
        <v>0</v>
      </c>
      <c r="Q872" s="71">
        <v>0</v>
      </c>
      <c r="R872" s="71">
        <v>0</v>
      </c>
      <c r="S872" s="71">
        <v>0</v>
      </c>
      <c r="T872" s="71">
        <v>0</v>
      </c>
    </row>
    <row r="873" spans="1:20">
      <c r="A873" s="71" t="s">
        <v>980</v>
      </c>
      <c r="B873" s="71" t="s">
        <v>6098</v>
      </c>
      <c r="C873" s="71">
        <v>1498.877</v>
      </c>
      <c r="D873" s="71">
        <v>4.6999999999999993E-2</v>
      </c>
      <c r="E873" s="71">
        <v>0</v>
      </c>
      <c r="F873" s="71">
        <v>2.9609999999999999</v>
      </c>
      <c r="G873" s="71">
        <v>45.330999999999996</v>
      </c>
      <c r="H873" s="71">
        <v>8.2039999999999988</v>
      </c>
      <c r="I873" s="71">
        <v>0</v>
      </c>
      <c r="J873" s="71">
        <v>0</v>
      </c>
      <c r="K873" s="71">
        <v>0</v>
      </c>
      <c r="L873" s="71">
        <v>0</v>
      </c>
      <c r="M873" s="71">
        <v>1.7369999999999999</v>
      </c>
      <c r="N873" s="71">
        <v>0.21899999999999997</v>
      </c>
      <c r="O873" s="71">
        <v>0.66699999999999993</v>
      </c>
      <c r="P873" s="71">
        <v>45.721999999999994</v>
      </c>
      <c r="Q873" s="71">
        <v>116.142</v>
      </c>
      <c r="R873" s="71">
        <v>1111.8</v>
      </c>
      <c r="S873" s="71">
        <v>82.951999999999998</v>
      </c>
      <c r="T873" s="71">
        <v>74.943849999999983</v>
      </c>
    </row>
    <row r="874" spans="1:20">
      <c r="A874" s="71" t="s">
        <v>3972</v>
      </c>
      <c r="B874" s="71" t="s">
        <v>726</v>
      </c>
      <c r="C874" s="71">
        <v>152.48399999999998</v>
      </c>
      <c r="D874" s="71">
        <v>0</v>
      </c>
      <c r="E874" s="71">
        <v>0</v>
      </c>
      <c r="F874" s="71">
        <v>0.23299999999999998</v>
      </c>
      <c r="G874" s="71">
        <v>6.915</v>
      </c>
      <c r="H874" s="71">
        <v>0.35299999999999998</v>
      </c>
      <c r="I874" s="71">
        <v>0</v>
      </c>
      <c r="J874" s="71">
        <v>0</v>
      </c>
      <c r="K874" s="71">
        <v>0</v>
      </c>
      <c r="L874" s="71">
        <v>0</v>
      </c>
      <c r="M874" s="71">
        <v>0</v>
      </c>
      <c r="N874" s="71">
        <v>0</v>
      </c>
      <c r="O874" s="71">
        <v>0</v>
      </c>
      <c r="P874" s="71">
        <v>8.7779999999999987</v>
      </c>
      <c r="Q874" s="71">
        <v>0</v>
      </c>
      <c r="R874" s="71">
        <v>102.8</v>
      </c>
      <c r="S874" s="71">
        <v>0</v>
      </c>
      <c r="T874" s="71">
        <v>7.6239999999999997</v>
      </c>
    </row>
    <row r="875" spans="1:20">
      <c r="A875" s="71" t="s">
        <v>6173</v>
      </c>
      <c r="B875" s="71" t="s">
        <v>727</v>
      </c>
      <c r="C875" s="71">
        <v>386.74</v>
      </c>
      <c r="D875" s="71">
        <v>0.13299999999999998</v>
      </c>
      <c r="E875" s="71">
        <v>0</v>
      </c>
      <c r="F875" s="71">
        <v>0.66099999999999992</v>
      </c>
      <c r="G875" s="71">
        <v>21.253999999999998</v>
      </c>
      <c r="H875" s="71">
        <v>3.0639999999999996</v>
      </c>
      <c r="I875" s="71">
        <v>0</v>
      </c>
      <c r="J875" s="71">
        <v>0</v>
      </c>
      <c r="K875" s="71">
        <v>0</v>
      </c>
      <c r="L875" s="71">
        <v>0</v>
      </c>
      <c r="M875" s="71">
        <v>0</v>
      </c>
      <c r="N875" s="71">
        <v>0.12699999999999997</v>
      </c>
      <c r="O875" s="71">
        <v>0</v>
      </c>
      <c r="P875" s="71">
        <v>6.92</v>
      </c>
      <c r="Q875" s="71">
        <v>23.098999999999997</v>
      </c>
      <c r="R875" s="71">
        <v>179.7</v>
      </c>
      <c r="S875" s="71">
        <v>7.2209999999999992</v>
      </c>
      <c r="T875" s="71">
        <v>19.336999999999996</v>
      </c>
    </row>
    <row r="876" spans="1:20">
      <c r="A876" s="71" t="s">
        <v>3974</v>
      </c>
      <c r="B876" s="71" t="s">
        <v>728</v>
      </c>
      <c r="C876" s="71">
        <v>1798.4989999999998</v>
      </c>
      <c r="D876" s="71">
        <v>0.30499999999999999</v>
      </c>
      <c r="E876" s="71">
        <v>0</v>
      </c>
      <c r="F876" s="71">
        <v>2.7129999999999996</v>
      </c>
      <c r="G876" s="71">
        <v>62.99</v>
      </c>
      <c r="H876" s="71">
        <v>11.215999999999999</v>
      </c>
      <c r="I876" s="71">
        <v>0</v>
      </c>
      <c r="J876" s="71">
        <v>0</v>
      </c>
      <c r="K876" s="71">
        <v>0</v>
      </c>
      <c r="L876" s="71">
        <v>0</v>
      </c>
      <c r="M876" s="71">
        <v>3.0539999999999998</v>
      </c>
      <c r="N876" s="71">
        <v>0.46500000000000002</v>
      </c>
      <c r="O876" s="71">
        <v>28.845999999999997</v>
      </c>
      <c r="P876" s="71">
        <v>43.835000000000001</v>
      </c>
      <c r="Q876" s="71">
        <v>90.010999999999996</v>
      </c>
      <c r="R876" s="71">
        <v>993.7</v>
      </c>
      <c r="S876" s="71">
        <v>78.545999999999992</v>
      </c>
      <c r="T876" s="71">
        <v>89.924949999999995</v>
      </c>
    </row>
    <row r="877" spans="1:20">
      <c r="A877" s="71" t="s">
        <v>814</v>
      </c>
      <c r="B877" s="71" t="s">
        <v>729</v>
      </c>
      <c r="C877" s="71">
        <v>499.86599999999999</v>
      </c>
      <c r="D877" s="71">
        <v>0</v>
      </c>
      <c r="E877" s="71">
        <v>0</v>
      </c>
      <c r="F877" s="71">
        <v>0.36399999999999999</v>
      </c>
      <c r="G877" s="71">
        <v>19.520999999999997</v>
      </c>
      <c r="H877" s="71">
        <v>8.1829999999999998</v>
      </c>
      <c r="I877" s="71">
        <v>0</v>
      </c>
      <c r="J877" s="71">
        <v>0</v>
      </c>
      <c r="K877" s="71">
        <v>0</v>
      </c>
      <c r="L877" s="71">
        <v>0</v>
      </c>
      <c r="M877" s="71">
        <v>1.3019999999999998</v>
      </c>
      <c r="N877" s="71">
        <v>2.7999999999999997E-2</v>
      </c>
      <c r="O877" s="71">
        <v>0</v>
      </c>
      <c r="P877" s="71">
        <v>15.297999999999998</v>
      </c>
      <c r="Q877" s="71">
        <v>39.880999999999993</v>
      </c>
      <c r="R877" s="71">
        <v>232.8</v>
      </c>
      <c r="S877" s="71">
        <v>29.911999999999999</v>
      </c>
      <c r="T877" s="71">
        <v>24.992999999999999</v>
      </c>
    </row>
    <row r="878" spans="1:20">
      <c r="A878" s="71" t="s">
        <v>4587</v>
      </c>
      <c r="B878" s="71" t="s">
        <v>2144</v>
      </c>
      <c r="C878" s="71">
        <v>203.28399999999999</v>
      </c>
      <c r="D878" s="71">
        <v>1.2999999999999999E-2</v>
      </c>
      <c r="E878" s="71">
        <v>0</v>
      </c>
      <c r="F878" s="71">
        <v>0.22399999999999998</v>
      </c>
      <c r="G878" s="71">
        <v>11.574999999999999</v>
      </c>
      <c r="H878" s="71">
        <v>6.0999999999999999E-2</v>
      </c>
      <c r="I878" s="71">
        <v>0</v>
      </c>
      <c r="J878" s="71">
        <v>0</v>
      </c>
      <c r="K878" s="71">
        <v>0</v>
      </c>
      <c r="L878" s="71">
        <v>0</v>
      </c>
      <c r="M878" s="71">
        <v>0.39199999999999996</v>
      </c>
      <c r="N878" s="71">
        <v>0</v>
      </c>
      <c r="O878" s="71">
        <v>0</v>
      </c>
      <c r="P878" s="71">
        <v>11.568</v>
      </c>
      <c r="Q878" s="71">
        <v>11.152999999999999</v>
      </c>
      <c r="R878" s="71">
        <v>150.80000000000001</v>
      </c>
      <c r="S878" s="71">
        <v>7.2649999999999997</v>
      </c>
      <c r="T878" s="71">
        <v>10.164</v>
      </c>
    </row>
    <row r="879" spans="1:20">
      <c r="A879" s="71" t="s">
        <v>1852</v>
      </c>
      <c r="B879" s="71" t="s">
        <v>4963</v>
      </c>
      <c r="C879" s="71">
        <v>600.74699999999996</v>
      </c>
      <c r="D879" s="71">
        <v>0</v>
      </c>
      <c r="E879" s="71">
        <v>0</v>
      </c>
      <c r="F879" s="71">
        <v>1.2109999999999999</v>
      </c>
      <c r="G879" s="71">
        <v>18.82</v>
      </c>
      <c r="H879" s="71">
        <v>2.8079999999999998</v>
      </c>
      <c r="I879" s="71">
        <v>0</v>
      </c>
      <c r="J879" s="71">
        <v>0</v>
      </c>
      <c r="K879" s="71">
        <v>0</v>
      </c>
      <c r="L879" s="71">
        <v>0</v>
      </c>
      <c r="M879" s="71">
        <v>0.31899999999999995</v>
      </c>
      <c r="N879" s="71">
        <v>0.39399999999999996</v>
      </c>
      <c r="O879" s="71">
        <v>53.16</v>
      </c>
      <c r="P879" s="71">
        <v>4.6129999999999995</v>
      </c>
      <c r="Q879" s="71">
        <v>50.34</v>
      </c>
      <c r="R879" s="71">
        <v>280.7</v>
      </c>
      <c r="S879" s="71">
        <v>20.9</v>
      </c>
      <c r="T879" s="71">
        <v>12</v>
      </c>
    </row>
    <row r="880" spans="1:20">
      <c r="A880" s="71" t="s">
        <v>141</v>
      </c>
      <c r="B880" s="71" t="s">
        <v>730</v>
      </c>
      <c r="C880" s="71">
        <v>110.77</v>
      </c>
      <c r="D880" s="71">
        <v>0</v>
      </c>
      <c r="E880" s="71">
        <v>0</v>
      </c>
      <c r="F880" s="71">
        <v>0.26699999999999996</v>
      </c>
      <c r="G880" s="71">
        <v>5.452</v>
      </c>
      <c r="H880" s="71">
        <v>0.84499999999999997</v>
      </c>
      <c r="I880" s="71">
        <v>0</v>
      </c>
      <c r="J880" s="71">
        <v>0</v>
      </c>
      <c r="K880" s="71">
        <v>0</v>
      </c>
      <c r="L880" s="71">
        <v>0</v>
      </c>
      <c r="M880" s="71">
        <v>0</v>
      </c>
      <c r="N880" s="71">
        <v>0</v>
      </c>
      <c r="O880" s="71">
        <v>8.6469999999999985</v>
      </c>
      <c r="P880" s="71">
        <v>0</v>
      </c>
      <c r="Q880" s="71">
        <v>12.658999999999999</v>
      </c>
      <c r="R880" s="71">
        <v>110.8</v>
      </c>
      <c r="S880" s="71">
        <v>4.5309999999999997</v>
      </c>
      <c r="T880" s="71">
        <v>5.5384999999999991</v>
      </c>
    </row>
    <row r="881" spans="1:20">
      <c r="A881" s="71" t="s">
        <v>143</v>
      </c>
      <c r="B881" s="71" t="s">
        <v>524</v>
      </c>
      <c r="C881" s="71">
        <v>93.566999999999993</v>
      </c>
      <c r="D881" s="71">
        <v>0</v>
      </c>
      <c r="E881" s="71">
        <v>0</v>
      </c>
      <c r="F881" s="71">
        <v>0.13500000000000001</v>
      </c>
      <c r="G881" s="71">
        <v>3.7329999999999997</v>
      </c>
      <c r="H881" s="71">
        <v>0.33699999999999997</v>
      </c>
      <c r="I881" s="71">
        <v>0</v>
      </c>
      <c r="J881" s="71">
        <v>0</v>
      </c>
      <c r="K881" s="71">
        <v>0</v>
      </c>
      <c r="L881" s="71">
        <v>0</v>
      </c>
      <c r="M881" s="71">
        <v>0</v>
      </c>
      <c r="N881" s="71">
        <v>1.9E-2</v>
      </c>
      <c r="O881" s="71">
        <v>16.515000000000001</v>
      </c>
      <c r="P881" s="71">
        <v>0.91</v>
      </c>
      <c r="Q881" s="71">
        <v>13.241</v>
      </c>
      <c r="R881" s="71">
        <v>93.8</v>
      </c>
      <c r="S881" s="71">
        <v>12.768999999999998</v>
      </c>
      <c r="T881" s="71">
        <v>0</v>
      </c>
    </row>
    <row r="882" spans="1:20">
      <c r="A882" s="71" t="s">
        <v>1847</v>
      </c>
      <c r="B882" s="71" t="s">
        <v>351</v>
      </c>
      <c r="C882" s="71">
        <v>100.70299999999999</v>
      </c>
      <c r="D882" s="71">
        <v>0</v>
      </c>
      <c r="E882" s="71">
        <v>0</v>
      </c>
      <c r="F882" s="71">
        <v>4.3999999999999997E-2</v>
      </c>
      <c r="G882" s="71">
        <v>2.0979999999999999</v>
      </c>
      <c r="H882" s="71">
        <v>0</v>
      </c>
      <c r="I882" s="71">
        <v>0</v>
      </c>
      <c r="J882" s="71">
        <v>0</v>
      </c>
      <c r="K882" s="71">
        <v>0</v>
      </c>
      <c r="L882" s="71">
        <v>0</v>
      </c>
      <c r="M882" s="71">
        <v>0.77500000000000002</v>
      </c>
      <c r="N882" s="71">
        <v>0</v>
      </c>
      <c r="O882" s="71">
        <v>1.2389999999999999</v>
      </c>
      <c r="P882" s="71">
        <v>1.6259999999999999</v>
      </c>
      <c r="Q882" s="71">
        <v>11.677</v>
      </c>
      <c r="R882" s="71">
        <v>69.3</v>
      </c>
      <c r="S882" s="71">
        <v>0.99099999999999999</v>
      </c>
      <c r="T882" s="71">
        <v>3</v>
      </c>
    </row>
    <row r="883" spans="1:20">
      <c r="A883" s="71" t="s">
        <v>145</v>
      </c>
      <c r="B883" s="71" t="s">
        <v>525</v>
      </c>
      <c r="C883" s="71">
        <v>945.15599999999995</v>
      </c>
      <c r="D883" s="71">
        <v>2.7E-2</v>
      </c>
      <c r="E883" s="71">
        <v>0</v>
      </c>
      <c r="F883" s="71">
        <v>1.492</v>
      </c>
      <c r="G883" s="71">
        <v>31.89</v>
      </c>
      <c r="H883" s="71">
        <v>8.3619999999999983</v>
      </c>
      <c r="I883" s="71">
        <v>0</v>
      </c>
      <c r="J883" s="71">
        <v>0</v>
      </c>
      <c r="K883" s="71">
        <v>0</v>
      </c>
      <c r="L883" s="71">
        <v>0</v>
      </c>
      <c r="M883" s="71">
        <v>0.84499999999999997</v>
      </c>
      <c r="N883" s="71">
        <v>1.1489999999999998</v>
      </c>
      <c r="O883" s="71">
        <v>0</v>
      </c>
      <c r="P883" s="71">
        <v>17.183</v>
      </c>
      <c r="Q883" s="71">
        <v>66.328999999999994</v>
      </c>
      <c r="R883" s="71">
        <v>669.8</v>
      </c>
      <c r="S883" s="71">
        <v>21.869</v>
      </c>
      <c r="T883" s="71">
        <v>47.257799999999996</v>
      </c>
    </row>
    <row r="884" spans="1:20">
      <c r="A884" s="71" t="s">
        <v>147</v>
      </c>
      <c r="B884" s="71" t="s">
        <v>526</v>
      </c>
      <c r="C884" s="71">
        <v>155.19899999999998</v>
      </c>
      <c r="D884" s="71">
        <v>0</v>
      </c>
      <c r="E884" s="71">
        <v>0</v>
      </c>
      <c r="F884" s="71">
        <v>9.3999999999999986E-2</v>
      </c>
      <c r="G884" s="71">
        <v>1.4319999999999999</v>
      </c>
      <c r="H884" s="71">
        <v>0.15799999999999997</v>
      </c>
      <c r="I884" s="71">
        <v>0</v>
      </c>
      <c r="J884" s="71">
        <v>0</v>
      </c>
      <c r="K884" s="71">
        <v>0</v>
      </c>
      <c r="L884" s="71">
        <v>0</v>
      </c>
      <c r="M884" s="71">
        <v>0</v>
      </c>
      <c r="N884" s="71">
        <v>0.152</v>
      </c>
      <c r="O884" s="71">
        <v>7.8999999999999987E-2</v>
      </c>
      <c r="P884" s="71">
        <v>16.521999999999998</v>
      </c>
      <c r="Q884" s="71">
        <v>10.437999999999999</v>
      </c>
      <c r="R884" s="71">
        <v>135.80000000000001</v>
      </c>
      <c r="S884" s="71">
        <v>3.4729999999999999</v>
      </c>
      <c r="T884" s="71">
        <v>6</v>
      </c>
    </row>
    <row r="885" spans="1:20">
      <c r="A885" s="71" t="s">
        <v>149</v>
      </c>
      <c r="B885" s="71" t="s">
        <v>527</v>
      </c>
      <c r="C885" s="71">
        <v>186.09599999999998</v>
      </c>
      <c r="D885" s="71">
        <v>0</v>
      </c>
      <c r="E885" s="71">
        <v>0</v>
      </c>
      <c r="F885" s="71">
        <v>0.371</v>
      </c>
      <c r="G885" s="71">
        <v>4.4159999999999995</v>
      </c>
      <c r="H885" s="71">
        <v>0</v>
      </c>
      <c r="I885" s="71">
        <v>0</v>
      </c>
      <c r="J885" s="71">
        <v>0</v>
      </c>
      <c r="K885" s="71">
        <v>0</v>
      </c>
      <c r="L885" s="71">
        <v>0</v>
      </c>
      <c r="M885" s="71">
        <v>0</v>
      </c>
      <c r="N885" s="71">
        <v>0</v>
      </c>
      <c r="O885" s="71">
        <v>0</v>
      </c>
      <c r="P885" s="71">
        <v>5.8469999999999995</v>
      </c>
      <c r="Q885" s="71">
        <v>12.23</v>
      </c>
      <c r="R885" s="71">
        <v>80.8</v>
      </c>
      <c r="S885" s="71">
        <v>0</v>
      </c>
      <c r="T885" s="71">
        <v>9.3047999999999984</v>
      </c>
    </row>
    <row r="886" spans="1:20">
      <c r="A886" s="71" t="s">
        <v>1956</v>
      </c>
      <c r="B886" s="71" t="s">
        <v>528</v>
      </c>
      <c r="C886" s="71">
        <v>1483.3109999999999</v>
      </c>
      <c r="D886" s="71">
        <v>0.30199999999999999</v>
      </c>
      <c r="E886" s="71">
        <v>0</v>
      </c>
      <c r="F886" s="71">
        <v>1.84</v>
      </c>
      <c r="G886" s="71">
        <v>34.414999999999999</v>
      </c>
      <c r="H886" s="71">
        <v>15.867999999999999</v>
      </c>
      <c r="I886" s="71">
        <v>0</v>
      </c>
      <c r="J886" s="71">
        <v>0</v>
      </c>
      <c r="K886" s="71">
        <v>0</v>
      </c>
      <c r="L886" s="71">
        <v>0</v>
      </c>
      <c r="M886" s="71">
        <v>15.206</v>
      </c>
      <c r="N886" s="71">
        <v>1.4650000000000001</v>
      </c>
      <c r="O886" s="71">
        <v>0.17399999999999999</v>
      </c>
      <c r="P886" s="71">
        <v>43.693999999999996</v>
      </c>
      <c r="Q886" s="71">
        <v>58.626999999999995</v>
      </c>
      <c r="R886" s="71">
        <v>786</v>
      </c>
      <c r="S886" s="71">
        <v>38.781999999999996</v>
      </c>
      <c r="T886" s="71">
        <v>74.165549999999996</v>
      </c>
    </row>
    <row r="887" spans="1:20">
      <c r="A887" s="71" t="s">
        <v>1958</v>
      </c>
      <c r="B887" s="71" t="s">
        <v>529</v>
      </c>
      <c r="C887" s="71">
        <v>819.07799999999997</v>
      </c>
      <c r="D887" s="71">
        <v>0.105</v>
      </c>
      <c r="E887" s="71">
        <v>0</v>
      </c>
      <c r="F887" s="71">
        <v>0.98799999999999999</v>
      </c>
      <c r="G887" s="71">
        <v>41.531999999999996</v>
      </c>
      <c r="H887" s="71">
        <v>5.6529999999999996</v>
      </c>
      <c r="I887" s="71">
        <v>0</v>
      </c>
      <c r="J887" s="71">
        <v>0.66799999999999993</v>
      </c>
      <c r="K887" s="71">
        <v>0</v>
      </c>
      <c r="L887" s="71">
        <v>0</v>
      </c>
      <c r="M887" s="71">
        <v>7.6779999999999999</v>
      </c>
      <c r="N887" s="71">
        <v>5.6999999999999995E-2</v>
      </c>
      <c r="O887" s="71">
        <v>1.3869999999999998</v>
      </c>
      <c r="P887" s="71">
        <v>16.747</v>
      </c>
      <c r="Q887" s="71">
        <v>34.802999999999997</v>
      </c>
      <c r="R887" s="71">
        <v>460.2</v>
      </c>
      <c r="S887" s="71">
        <v>70.247</v>
      </c>
      <c r="T887" s="71">
        <v>40.953899999999997</v>
      </c>
    </row>
    <row r="888" spans="1:20">
      <c r="A888" s="71" t="s">
        <v>1960</v>
      </c>
      <c r="B888" s="71" t="s">
        <v>530</v>
      </c>
      <c r="C888" s="71">
        <v>137.75199999999998</v>
      </c>
      <c r="D888" s="71">
        <v>0</v>
      </c>
      <c r="E888" s="71">
        <v>0</v>
      </c>
      <c r="F888" s="71">
        <v>0.13299999999999998</v>
      </c>
      <c r="G888" s="71">
        <v>5.7119999999999997</v>
      </c>
      <c r="H888" s="71">
        <v>0</v>
      </c>
      <c r="I888" s="71">
        <v>0</v>
      </c>
      <c r="J888" s="71">
        <v>0.66</v>
      </c>
      <c r="K888" s="71">
        <v>0</v>
      </c>
      <c r="L888" s="71">
        <v>0</v>
      </c>
      <c r="M888" s="71">
        <v>1.645</v>
      </c>
      <c r="N888" s="71">
        <v>0</v>
      </c>
      <c r="O888" s="71">
        <v>0</v>
      </c>
      <c r="P888" s="71">
        <v>4.5809999999999995</v>
      </c>
      <c r="Q888" s="71">
        <v>15.366999999999999</v>
      </c>
      <c r="R888" s="71">
        <v>65</v>
      </c>
      <c r="S888" s="71">
        <v>0</v>
      </c>
      <c r="T888" s="71">
        <v>5</v>
      </c>
    </row>
    <row r="889" spans="1:20">
      <c r="A889" s="71" t="s">
        <v>2039</v>
      </c>
      <c r="B889" s="71" t="s">
        <v>531</v>
      </c>
      <c r="C889" s="71">
        <v>75.306999999999988</v>
      </c>
      <c r="D889" s="71">
        <v>0</v>
      </c>
      <c r="E889" s="71">
        <v>0</v>
      </c>
      <c r="F889" s="71">
        <v>8.0999999999999989E-2</v>
      </c>
      <c r="G889" s="71">
        <v>1.6889999999999998</v>
      </c>
      <c r="H889" s="71">
        <v>0.86299999999999999</v>
      </c>
      <c r="I889" s="71">
        <v>0</v>
      </c>
      <c r="J889" s="71">
        <v>0</v>
      </c>
      <c r="K889" s="71">
        <v>0</v>
      </c>
      <c r="L889" s="71">
        <v>0</v>
      </c>
      <c r="M889" s="71">
        <v>0</v>
      </c>
      <c r="N889" s="71">
        <v>0</v>
      </c>
      <c r="O889" s="71">
        <v>0</v>
      </c>
      <c r="P889" s="71">
        <v>1.0589999999999999</v>
      </c>
      <c r="Q889" s="71">
        <v>0</v>
      </c>
      <c r="R889" s="71">
        <v>45.2</v>
      </c>
      <c r="S889" s="71">
        <v>3.5429999999999997</v>
      </c>
      <c r="T889" s="71">
        <v>2</v>
      </c>
    </row>
    <row r="890" spans="1:20">
      <c r="A890" s="71" t="s">
        <v>2041</v>
      </c>
      <c r="B890" s="71" t="s">
        <v>532</v>
      </c>
      <c r="C890" s="71">
        <v>122.46599999999999</v>
      </c>
      <c r="D890" s="71">
        <v>0</v>
      </c>
      <c r="E890" s="71">
        <v>0</v>
      </c>
      <c r="F890" s="71">
        <v>0.14299999999999999</v>
      </c>
      <c r="G890" s="71">
        <v>7.98</v>
      </c>
      <c r="H890" s="71">
        <v>0</v>
      </c>
      <c r="I890" s="71">
        <v>0</v>
      </c>
      <c r="J890" s="71">
        <v>0.70399999999999996</v>
      </c>
      <c r="K890" s="71">
        <v>0</v>
      </c>
      <c r="L890" s="71">
        <v>0</v>
      </c>
      <c r="M890" s="71">
        <v>0.5159999999999999</v>
      </c>
      <c r="N890" s="71">
        <v>0</v>
      </c>
      <c r="O890" s="71">
        <v>0.44199999999999995</v>
      </c>
      <c r="P890" s="71">
        <v>6.4349999999999996</v>
      </c>
      <c r="Q890" s="71">
        <v>5.3629999999999995</v>
      </c>
      <c r="R890" s="71">
        <v>60.3</v>
      </c>
      <c r="S890" s="71">
        <v>2.9449999999999998</v>
      </c>
      <c r="T890" s="71">
        <v>6</v>
      </c>
    </row>
    <row r="891" spans="1:20">
      <c r="A891" s="71" t="s">
        <v>1825</v>
      </c>
      <c r="B891" s="71" t="s">
        <v>533</v>
      </c>
      <c r="C891" s="71">
        <v>168.88299999999998</v>
      </c>
      <c r="D891" s="71">
        <v>0.22500000000000001</v>
      </c>
      <c r="E891" s="71">
        <v>0</v>
      </c>
      <c r="F891" s="71">
        <v>0.11899999999999999</v>
      </c>
      <c r="G891" s="71">
        <v>1.2879999999999998</v>
      </c>
      <c r="H891" s="71">
        <v>2.5000000000000001E-2</v>
      </c>
      <c r="I891" s="71">
        <v>0</v>
      </c>
      <c r="J891" s="71">
        <v>0</v>
      </c>
      <c r="K891" s="71">
        <v>0</v>
      </c>
      <c r="L891" s="71">
        <v>0</v>
      </c>
      <c r="M891" s="71">
        <v>0</v>
      </c>
      <c r="N891" s="71">
        <v>0</v>
      </c>
      <c r="O891" s="71">
        <v>0</v>
      </c>
      <c r="P891" s="71">
        <v>17.188999999999997</v>
      </c>
      <c r="Q891" s="71">
        <v>6.85</v>
      </c>
      <c r="R891" s="71">
        <v>83.7</v>
      </c>
      <c r="S891" s="71">
        <v>0</v>
      </c>
      <c r="T891" s="71">
        <v>8.4439999999999991</v>
      </c>
    </row>
    <row r="892" spans="1:20">
      <c r="A892" s="71" t="s">
        <v>1827</v>
      </c>
      <c r="B892" s="71" t="s">
        <v>534</v>
      </c>
      <c r="C892" s="71">
        <v>277.30500000000001</v>
      </c>
      <c r="D892" s="71">
        <v>0</v>
      </c>
      <c r="E892" s="71">
        <v>0</v>
      </c>
      <c r="F892" s="71">
        <v>0.45099999999999996</v>
      </c>
      <c r="G892" s="71">
        <v>10.760999999999999</v>
      </c>
      <c r="H892" s="71">
        <v>0.92699999999999994</v>
      </c>
      <c r="I892" s="71">
        <v>0</v>
      </c>
      <c r="J892" s="71">
        <v>1.216</v>
      </c>
      <c r="K892" s="71">
        <v>0</v>
      </c>
      <c r="L892" s="71">
        <v>0</v>
      </c>
      <c r="M892" s="71">
        <v>0</v>
      </c>
      <c r="N892" s="71">
        <v>2.3E-2</v>
      </c>
      <c r="O892" s="71">
        <v>0</v>
      </c>
      <c r="P892" s="71">
        <v>4.3119999999999994</v>
      </c>
      <c r="Q892" s="71">
        <v>15.125999999999999</v>
      </c>
      <c r="R892" s="71">
        <v>123.5</v>
      </c>
      <c r="S892" s="71">
        <v>3.5629999999999997</v>
      </c>
      <c r="T892" s="71">
        <v>13.865</v>
      </c>
    </row>
    <row r="893" spans="1:20">
      <c r="A893" s="71" t="s">
        <v>1163</v>
      </c>
      <c r="B893" s="71" t="s">
        <v>1164</v>
      </c>
      <c r="C893" s="71">
        <v>266.178</v>
      </c>
      <c r="D893" s="71">
        <v>0</v>
      </c>
      <c r="E893" s="71">
        <v>0</v>
      </c>
      <c r="F893" s="71">
        <v>0</v>
      </c>
      <c r="G893" s="71">
        <v>10.702999999999999</v>
      </c>
      <c r="H893" s="71">
        <v>0</v>
      </c>
      <c r="I893" s="71">
        <v>0</v>
      </c>
      <c r="J893" s="71">
        <v>0</v>
      </c>
      <c r="K893" s="71">
        <v>0</v>
      </c>
      <c r="L893" s="71">
        <v>0</v>
      </c>
      <c r="M893" s="71">
        <v>0</v>
      </c>
      <c r="N893" s="71">
        <v>0</v>
      </c>
      <c r="O893" s="71">
        <v>0</v>
      </c>
      <c r="P893" s="71">
        <v>0</v>
      </c>
      <c r="Q893" s="71">
        <v>0</v>
      </c>
      <c r="R893" s="71">
        <v>31.2</v>
      </c>
      <c r="S893" s="71">
        <v>0</v>
      </c>
      <c r="T893" s="71">
        <v>0</v>
      </c>
    </row>
    <row r="894" spans="1:20">
      <c r="A894" s="71" t="s">
        <v>238</v>
      </c>
      <c r="B894" s="71" t="s">
        <v>2645</v>
      </c>
      <c r="C894" s="71">
        <v>38484.424999999996</v>
      </c>
      <c r="D894" s="71">
        <v>1.972</v>
      </c>
      <c r="E894" s="71">
        <v>0</v>
      </c>
      <c r="F894" s="71">
        <v>68.481999999999999</v>
      </c>
      <c r="G894" s="71">
        <v>602.67399999999998</v>
      </c>
      <c r="H894" s="71">
        <v>465.988</v>
      </c>
      <c r="I894" s="71">
        <v>0</v>
      </c>
      <c r="J894" s="71">
        <v>11.308</v>
      </c>
      <c r="K894" s="71">
        <v>0</v>
      </c>
      <c r="L894" s="71">
        <v>14.414</v>
      </c>
      <c r="M894" s="71">
        <v>90.556999999999988</v>
      </c>
      <c r="N894" s="71">
        <v>10.252999999999998</v>
      </c>
      <c r="O894" s="71">
        <v>1.4289999999999998</v>
      </c>
      <c r="P894" s="71">
        <v>675.23799999999994</v>
      </c>
      <c r="Q894" s="71">
        <v>1384.1109999999999</v>
      </c>
      <c r="R894" s="71">
        <v>12648.5</v>
      </c>
      <c r="S894" s="71">
        <v>3197.9709999999995</v>
      </c>
      <c r="T894" s="71">
        <v>1924.2209999999998</v>
      </c>
    </row>
    <row r="895" spans="1:20">
      <c r="A895" s="71" t="s">
        <v>1829</v>
      </c>
      <c r="B895" s="71" t="s">
        <v>535</v>
      </c>
      <c r="C895" s="71">
        <v>5047.2609999999995</v>
      </c>
      <c r="D895" s="71">
        <v>0.70899999999999996</v>
      </c>
      <c r="E895" s="71">
        <v>0</v>
      </c>
      <c r="F895" s="71">
        <v>6.3650000000000002</v>
      </c>
      <c r="G895" s="71">
        <v>95.550999999999988</v>
      </c>
      <c r="H895" s="71">
        <v>62.198999999999998</v>
      </c>
      <c r="I895" s="71">
        <v>0</v>
      </c>
      <c r="J895" s="71">
        <v>0</v>
      </c>
      <c r="K895" s="71">
        <v>0</v>
      </c>
      <c r="L895" s="71">
        <v>2.7739999999999996</v>
      </c>
      <c r="M895" s="71">
        <v>12.744</v>
      </c>
      <c r="N895" s="71">
        <v>0</v>
      </c>
      <c r="O895" s="71">
        <v>1.325</v>
      </c>
      <c r="P895" s="71">
        <v>103.67299999999999</v>
      </c>
      <c r="Q895" s="71">
        <v>205.41399999999999</v>
      </c>
      <c r="R895" s="71">
        <v>1224</v>
      </c>
      <c r="S895" s="71">
        <v>119.07199999999999</v>
      </c>
      <c r="T895" s="71">
        <v>248</v>
      </c>
    </row>
    <row r="896" spans="1:20">
      <c r="A896" s="71" t="s">
        <v>859</v>
      </c>
      <c r="B896" s="71" t="s">
        <v>2003</v>
      </c>
      <c r="C896" s="71">
        <v>4947.7939999999999</v>
      </c>
      <c r="D896" s="71">
        <v>0.44899999999999995</v>
      </c>
      <c r="E896" s="71">
        <v>0</v>
      </c>
      <c r="F896" s="71">
        <v>5.5469999999999997</v>
      </c>
      <c r="G896" s="71">
        <v>85.298999999999992</v>
      </c>
      <c r="H896" s="71">
        <v>41.641999999999996</v>
      </c>
      <c r="I896" s="71">
        <v>0</v>
      </c>
      <c r="J896" s="71">
        <v>0</v>
      </c>
      <c r="K896" s="71">
        <v>0</v>
      </c>
      <c r="L896" s="71">
        <v>0</v>
      </c>
      <c r="M896" s="71">
        <v>16.691999999999997</v>
      </c>
      <c r="N896" s="71">
        <v>0</v>
      </c>
      <c r="O896" s="71">
        <v>3.577</v>
      </c>
      <c r="P896" s="71">
        <v>115.11799999999999</v>
      </c>
      <c r="Q896" s="71">
        <v>206.755</v>
      </c>
      <c r="R896" s="71">
        <v>2621.7</v>
      </c>
      <c r="S896" s="71">
        <v>553.55899999999997</v>
      </c>
      <c r="T896" s="71">
        <v>247.38969999999998</v>
      </c>
    </row>
    <row r="897" spans="1:20">
      <c r="A897" s="71" t="s">
        <v>3001</v>
      </c>
      <c r="B897" s="71" t="s">
        <v>6060</v>
      </c>
      <c r="C897" s="71">
        <v>9405.1479999999992</v>
      </c>
      <c r="D897" s="71">
        <v>1.39</v>
      </c>
      <c r="E897" s="71">
        <v>0</v>
      </c>
      <c r="F897" s="71">
        <v>15.815</v>
      </c>
      <c r="G897" s="71">
        <v>231.88299999999998</v>
      </c>
      <c r="H897" s="71">
        <v>124.351</v>
      </c>
      <c r="I897" s="71">
        <v>0</v>
      </c>
      <c r="J897" s="71">
        <v>0</v>
      </c>
      <c r="K897" s="71">
        <v>0</v>
      </c>
      <c r="L897" s="71">
        <v>2.6850000000000001</v>
      </c>
      <c r="M897" s="71">
        <v>17.007999999999999</v>
      </c>
      <c r="N897" s="71">
        <v>0</v>
      </c>
      <c r="O897" s="71">
        <v>0</v>
      </c>
      <c r="P897" s="71">
        <v>252.77699999999999</v>
      </c>
      <c r="Q897" s="71">
        <v>421.05</v>
      </c>
      <c r="R897" s="71">
        <v>3679.8</v>
      </c>
      <c r="S897" s="71">
        <v>792.7</v>
      </c>
      <c r="T897" s="71">
        <v>470.25699999999995</v>
      </c>
    </row>
    <row r="898" spans="1:20">
      <c r="A898" s="71" t="s">
        <v>2405</v>
      </c>
      <c r="B898" s="71" t="s">
        <v>2350</v>
      </c>
      <c r="C898" s="71">
        <v>2972.7389999999996</v>
      </c>
      <c r="D898" s="71">
        <v>0.28999999999999998</v>
      </c>
      <c r="E898" s="71">
        <v>0</v>
      </c>
      <c r="F898" s="71">
        <v>3.4689999999999999</v>
      </c>
      <c r="G898" s="71">
        <v>33.984999999999999</v>
      </c>
      <c r="H898" s="71">
        <v>10.921999999999999</v>
      </c>
      <c r="I898" s="71">
        <v>0</v>
      </c>
      <c r="J898" s="71">
        <v>5.0999999999999997E-2</v>
      </c>
      <c r="K898" s="71">
        <v>0</v>
      </c>
      <c r="L898" s="71">
        <v>2.2439999999999998</v>
      </c>
      <c r="M898" s="71">
        <v>3.8159999999999998</v>
      </c>
      <c r="N898" s="71">
        <v>1.2789999999999999</v>
      </c>
      <c r="O898" s="71">
        <v>0</v>
      </c>
      <c r="P898" s="71">
        <v>69.465999999999994</v>
      </c>
      <c r="Q898" s="71">
        <v>122.69099999999999</v>
      </c>
      <c r="R898" s="71">
        <v>1959.2</v>
      </c>
      <c r="S898" s="71">
        <v>173.83399999999997</v>
      </c>
      <c r="T898" s="71">
        <v>148.63694999999998</v>
      </c>
    </row>
    <row r="899" spans="1:20">
      <c r="A899" s="71" t="s">
        <v>2907</v>
      </c>
      <c r="B899" s="71" t="s">
        <v>1933</v>
      </c>
      <c r="C899" s="71">
        <v>7364.6009999999997</v>
      </c>
      <c r="D899" s="71">
        <v>0.82699999999999996</v>
      </c>
      <c r="E899" s="71">
        <v>0</v>
      </c>
      <c r="F899" s="71">
        <v>12.54</v>
      </c>
      <c r="G899" s="71">
        <v>284.291</v>
      </c>
      <c r="H899" s="71">
        <v>47.494</v>
      </c>
      <c r="I899" s="71">
        <v>0</v>
      </c>
      <c r="J899" s="71">
        <v>12.06</v>
      </c>
      <c r="K899" s="71">
        <v>0</v>
      </c>
      <c r="L899" s="71">
        <v>0</v>
      </c>
      <c r="M899" s="71">
        <v>0</v>
      </c>
      <c r="N899" s="71">
        <v>1.4989999999999999</v>
      </c>
      <c r="O899" s="71">
        <v>7.1469999999999994</v>
      </c>
      <c r="P899" s="71">
        <v>18.657999999999998</v>
      </c>
      <c r="Q899" s="71">
        <v>370.50299999999999</v>
      </c>
      <c r="R899" s="71">
        <v>4118</v>
      </c>
      <c r="S899" s="71">
        <v>878.93099999999993</v>
      </c>
      <c r="T899" s="71">
        <v>349</v>
      </c>
    </row>
    <row r="900" spans="1:20">
      <c r="A900" s="71" t="s">
        <v>1222</v>
      </c>
      <c r="B900" s="71" t="s">
        <v>536</v>
      </c>
      <c r="C900" s="71">
        <v>3801.5239999999999</v>
      </c>
      <c r="D900" s="71">
        <v>0.30199999999999999</v>
      </c>
      <c r="E900" s="71">
        <v>0</v>
      </c>
      <c r="F900" s="71">
        <v>4.4329999999999998</v>
      </c>
      <c r="G900" s="71">
        <v>120.72499999999999</v>
      </c>
      <c r="H900" s="71">
        <v>18.29</v>
      </c>
      <c r="I900" s="71">
        <v>0</v>
      </c>
      <c r="J900" s="71">
        <v>0</v>
      </c>
      <c r="K900" s="71">
        <v>0</v>
      </c>
      <c r="L900" s="71">
        <v>0</v>
      </c>
      <c r="M900" s="71">
        <v>8.0219999999999985</v>
      </c>
      <c r="N900" s="71">
        <v>2.4500000000000002</v>
      </c>
      <c r="O900" s="71">
        <v>0.81499999999999995</v>
      </c>
      <c r="P900" s="71">
        <v>6.0919999999999996</v>
      </c>
      <c r="Q900" s="71">
        <v>177.375</v>
      </c>
      <c r="R900" s="71">
        <v>2582.8000000000002</v>
      </c>
      <c r="S900" s="71">
        <v>886.09199999999998</v>
      </c>
      <c r="T900" s="71">
        <v>190.07599999999999</v>
      </c>
    </row>
    <row r="901" spans="1:20">
      <c r="A901" s="71" t="s">
        <v>1224</v>
      </c>
      <c r="B901" s="71" t="s">
        <v>537</v>
      </c>
      <c r="C901" s="71">
        <v>504.12699999999995</v>
      </c>
      <c r="D901" s="71">
        <v>6.9999999999999993E-3</v>
      </c>
      <c r="E901" s="71">
        <v>0</v>
      </c>
      <c r="F901" s="71">
        <v>0.61599999999999999</v>
      </c>
      <c r="G901" s="71">
        <v>15.905999999999999</v>
      </c>
      <c r="H901" s="71">
        <v>0.44399999999999995</v>
      </c>
      <c r="I901" s="71">
        <v>0</v>
      </c>
      <c r="J901" s="71">
        <v>0</v>
      </c>
      <c r="K901" s="71">
        <v>0</v>
      </c>
      <c r="L901" s="71">
        <v>0</v>
      </c>
      <c r="M901" s="71">
        <v>0</v>
      </c>
      <c r="N901" s="71">
        <v>0.20499999999999999</v>
      </c>
      <c r="O901" s="71">
        <v>0</v>
      </c>
      <c r="P901" s="71">
        <v>7.4999999999999997E-2</v>
      </c>
      <c r="Q901" s="71">
        <v>38.938999999999993</v>
      </c>
      <c r="R901" s="71">
        <v>295.5</v>
      </c>
      <c r="S901" s="71">
        <v>75.011999999999986</v>
      </c>
      <c r="T901" s="71">
        <v>25.206</v>
      </c>
    </row>
    <row r="902" spans="1:20">
      <c r="A902" s="71" t="s">
        <v>5375</v>
      </c>
      <c r="B902" s="71" t="s">
        <v>538</v>
      </c>
      <c r="C902" s="71">
        <v>1369.106</v>
      </c>
      <c r="D902" s="71">
        <v>2.1999999999999999E-2</v>
      </c>
      <c r="E902" s="71">
        <v>0</v>
      </c>
      <c r="F902" s="71">
        <v>3.0550000000000002</v>
      </c>
      <c r="G902" s="71">
        <v>30.12</v>
      </c>
      <c r="H902" s="71">
        <v>11.822999999999999</v>
      </c>
      <c r="I902" s="71">
        <v>0</v>
      </c>
      <c r="J902" s="71">
        <v>1.385</v>
      </c>
      <c r="K902" s="71">
        <v>0</v>
      </c>
      <c r="L902" s="71">
        <v>0</v>
      </c>
      <c r="M902" s="71">
        <v>0</v>
      </c>
      <c r="N902" s="71">
        <v>0.97299999999999998</v>
      </c>
      <c r="O902" s="71">
        <v>0</v>
      </c>
      <c r="P902" s="71">
        <v>43.900999999999996</v>
      </c>
      <c r="Q902" s="71">
        <v>53.465000000000003</v>
      </c>
      <c r="R902" s="71">
        <v>970.8</v>
      </c>
      <c r="S902" s="71">
        <v>49.875999999999998</v>
      </c>
      <c r="T902" s="71">
        <v>68.454999999999998</v>
      </c>
    </row>
    <row r="903" spans="1:20">
      <c r="A903" s="71" t="s">
        <v>5377</v>
      </c>
      <c r="B903" s="71" t="s">
        <v>539</v>
      </c>
      <c r="C903" s="71">
        <v>906.30799999999999</v>
      </c>
      <c r="D903" s="71">
        <v>0.14499999999999999</v>
      </c>
      <c r="E903" s="71">
        <v>0</v>
      </c>
      <c r="F903" s="71">
        <v>1.865</v>
      </c>
      <c r="G903" s="71">
        <v>17.947999999999997</v>
      </c>
      <c r="H903" s="71">
        <v>5.7989999999999995</v>
      </c>
      <c r="I903" s="71">
        <v>0</v>
      </c>
      <c r="J903" s="71">
        <v>0</v>
      </c>
      <c r="K903" s="71">
        <v>0</v>
      </c>
      <c r="L903" s="71">
        <v>0</v>
      </c>
      <c r="M903" s="71">
        <v>0.872</v>
      </c>
      <c r="N903" s="71">
        <v>0.75299999999999989</v>
      </c>
      <c r="O903" s="71">
        <v>0.61099999999999999</v>
      </c>
      <c r="P903" s="71">
        <v>46.661999999999999</v>
      </c>
      <c r="Q903" s="71">
        <v>46.454999999999998</v>
      </c>
      <c r="R903" s="71">
        <v>555.29999999999995</v>
      </c>
      <c r="S903" s="71">
        <v>12.997</v>
      </c>
      <c r="T903" s="71">
        <v>45.314999999999998</v>
      </c>
    </row>
    <row r="904" spans="1:20">
      <c r="A904" s="71" t="s">
        <v>5379</v>
      </c>
      <c r="B904" s="71" t="s">
        <v>540</v>
      </c>
      <c r="C904" s="71">
        <v>153.03099999999998</v>
      </c>
      <c r="D904" s="71">
        <v>0</v>
      </c>
      <c r="E904" s="71">
        <v>0</v>
      </c>
      <c r="F904" s="71">
        <v>0.38299999999999995</v>
      </c>
      <c r="G904" s="71">
        <v>4.92</v>
      </c>
      <c r="H904" s="71">
        <v>0.42699999999999999</v>
      </c>
      <c r="I904" s="71">
        <v>0</v>
      </c>
      <c r="J904" s="71">
        <v>0</v>
      </c>
      <c r="K904" s="71">
        <v>0</v>
      </c>
      <c r="L904" s="71">
        <v>0</v>
      </c>
      <c r="M904" s="71">
        <v>0.7569999999999999</v>
      </c>
      <c r="N904" s="71">
        <v>8.5999999999999993E-2</v>
      </c>
      <c r="O904" s="71">
        <v>0</v>
      </c>
      <c r="P904" s="71">
        <v>1.944</v>
      </c>
      <c r="Q904" s="71">
        <v>8.2939999999999987</v>
      </c>
      <c r="R904" s="71">
        <v>124.3</v>
      </c>
      <c r="S904" s="71">
        <v>8.2109999999999985</v>
      </c>
      <c r="T904" s="71">
        <v>7.6515499999999994</v>
      </c>
    </row>
    <row r="905" spans="1:20">
      <c r="A905" s="71" t="s">
        <v>642</v>
      </c>
      <c r="B905" s="71" t="s">
        <v>6111</v>
      </c>
      <c r="C905" s="71">
        <v>318.37299999999999</v>
      </c>
      <c r="D905" s="71">
        <v>0.16699999999999998</v>
      </c>
      <c r="E905" s="71">
        <v>0</v>
      </c>
      <c r="F905" s="71">
        <v>0.50299999999999989</v>
      </c>
      <c r="G905" s="71">
        <v>12.525</v>
      </c>
      <c r="H905" s="71">
        <v>0</v>
      </c>
      <c r="I905" s="71">
        <v>0</v>
      </c>
      <c r="J905" s="71">
        <v>0.69299999999999995</v>
      </c>
      <c r="K905" s="71">
        <v>0</v>
      </c>
      <c r="L905" s="71">
        <v>0</v>
      </c>
      <c r="M905" s="71">
        <v>3.117</v>
      </c>
      <c r="N905" s="71">
        <v>7.2999999999999995E-2</v>
      </c>
      <c r="O905" s="71">
        <v>0</v>
      </c>
      <c r="P905" s="71">
        <v>10.82</v>
      </c>
      <c r="Q905" s="71">
        <v>14.261999999999999</v>
      </c>
      <c r="R905" s="71">
        <v>221.7</v>
      </c>
      <c r="S905" s="71">
        <v>14.981</v>
      </c>
      <c r="T905" s="71">
        <v>15.918649999999998</v>
      </c>
    </row>
    <row r="906" spans="1:20">
      <c r="A906" s="71" t="s">
        <v>2618</v>
      </c>
      <c r="B906" s="71" t="s">
        <v>541</v>
      </c>
      <c r="C906" s="71">
        <v>461.36899999999997</v>
      </c>
      <c r="D906" s="71">
        <v>1.0999999999999999E-2</v>
      </c>
      <c r="E906" s="71">
        <v>0</v>
      </c>
      <c r="F906" s="71">
        <v>0.82499999999999996</v>
      </c>
      <c r="G906" s="71">
        <v>19.975999999999999</v>
      </c>
      <c r="H906" s="71">
        <v>4.9249999999999998</v>
      </c>
      <c r="I906" s="71">
        <v>0</v>
      </c>
      <c r="J906" s="71">
        <v>0</v>
      </c>
      <c r="K906" s="71">
        <v>0</v>
      </c>
      <c r="L906" s="71">
        <v>0</v>
      </c>
      <c r="M906" s="71">
        <v>9.8709999999999987</v>
      </c>
      <c r="N906" s="71">
        <v>0.16399999999999998</v>
      </c>
      <c r="O906" s="71">
        <v>0</v>
      </c>
      <c r="P906" s="71">
        <v>12.845000000000001</v>
      </c>
      <c r="Q906" s="71">
        <v>30.004999999999999</v>
      </c>
      <c r="R906" s="71">
        <v>252.7</v>
      </c>
      <c r="S906" s="71">
        <v>9.0669999999999984</v>
      </c>
      <c r="T906" s="71">
        <v>23.067999999999998</v>
      </c>
    </row>
    <row r="907" spans="1:20">
      <c r="A907" s="71" t="s">
        <v>644</v>
      </c>
      <c r="B907" s="71" t="s">
        <v>123</v>
      </c>
      <c r="C907" s="71">
        <v>638.60500000000002</v>
      </c>
      <c r="D907" s="71">
        <v>0.27899999999999997</v>
      </c>
      <c r="E907" s="71">
        <v>0</v>
      </c>
      <c r="F907" s="71">
        <v>1.2289999999999999</v>
      </c>
      <c r="G907" s="71">
        <v>14.648999999999999</v>
      </c>
      <c r="H907" s="71">
        <v>5.9</v>
      </c>
      <c r="I907" s="71">
        <v>0</v>
      </c>
      <c r="J907" s="71">
        <v>4.04</v>
      </c>
      <c r="K907" s="71">
        <v>0</v>
      </c>
      <c r="L907" s="71">
        <v>0</v>
      </c>
      <c r="M907" s="71">
        <v>4.5469999999999997</v>
      </c>
      <c r="N907" s="71">
        <v>0</v>
      </c>
      <c r="O907" s="71">
        <v>4.7409999999999997</v>
      </c>
      <c r="P907" s="71">
        <v>14.061</v>
      </c>
      <c r="Q907" s="71">
        <v>56.986999999999995</v>
      </c>
      <c r="R907" s="71">
        <v>358.5</v>
      </c>
      <c r="S907" s="71">
        <v>16.395</v>
      </c>
      <c r="T907" s="71">
        <v>31.93</v>
      </c>
    </row>
    <row r="908" spans="1:20">
      <c r="A908" s="71" t="s">
        <v>2620</v>
      </c>
      <c r="B908" s="71" t="s">
        <v>542</v>
      </c>
      <c r="C908" s="71">
        <v>6049.4919999999993</v>
      </c>
      <c r="D908" s="71">
        <v>0.17099999999999999</v>
      </c>
      <c r="E908" s="71">
        <v>0</v>
      </c>
      <c r="F908" s="71">
        <v>5.7039999999999997</v>
      </c>
      <c r="G908" s="71">
        <v>134.40299999999999</v>
      </c>
      <c r="H908" s="71">
        <v>22.755999999999997</v>
      </c>
      <c r="I908" s="71">
        <v>0</v>
      </c>
      <c r="J908" s="71">
        <v>8.113999999999999</v>
      </c>
      <c r="K908" s="71">
        <v>0</v>
      </c>
      <c r="L908" s="71">
        <v>0</v>
      </c>
      <c r="M908" s="71">
        <v>1.1339999999999999</v>
      </c>
      <c r="N908" s="71">
        <v>5.2409999999999997</v>
      </c>
      <c r="O908" s="71">
        <v>1.7959999999999998</v>
      </c>
      <c r="P908" s="71">
        <v>52.927999999999997</v>
      </c>
      <c r="Q908" s="71">
        <v>374.33499999999998</v>
      </c>
      <c r="R908" s="71">
        <v>4512</v>
      </c>
      <c r="S908" s="71">
        <v>880.77099999999996</v>
      </c>
      <c r="T908" s="71">
        <v>302.47459999999995</v>
      </c>
    </row>
    <row r="909" spans="1:20">
      <c r="A909" s="71" t="s">
        <v>4588</v>
      </c>
      <c r="B909" s="71" t="s">
        <v>2006</v>
      </c>
      <c r="C909" s="71">
        <v>794.26299999999992</v>
      </c>
      <c r="D909" s="71">
        <v>0.16699999999999998</v>
      </c>
      <c r="E909" s="71">
        <v>18.988999999999997</v>
      </c>
      <c r="F909" s="71">
        <v>1.6919999999999999</v>
      </c>
      <c r="G909" s="71">
        <v>22.360999999999997</v>
      </c>
      <c r="H909" s="71">
        <v>2.3450000000000002</v>
      </c>
      <c r="I909" s="71">
        <v>0</v>
      </c>
      <c r="J909" s="71">
        <v>1.1359999999999999</v>
      </c>
      <c r="K909" s="71">
        <v>0</v>
      </c>
      <c r="L909" s="71">
        <v>0</v>
      </c>
      <c r="M909" s="71">
        <v>7.7850000000000001</v>
      </c>
      <c r="N909" s="71">
        <v>4.6999999999999993E-2</v>
      </c>
      <c r="O909" s="71">
        <v>0</v>
      </c>
      <c r="P909" s="71">
        <v>22.116999999999997</v>
      </c>
      <c r="Q909" s="71">
        <v>48.192999999999998</v>
      </c>
      <c r="R909" s="71">
        <v>471</v>
      </c>
      <c r="S909" s="71">
        <v>2.4129999999999998</v>
      </c>
      <c r="T909" s="71">
        <v>39.712999999999994</v>
      </c>
    </row>
    <row r="910" spans="1:20">
      <c r="A910" s="71" t="s">
        <v>2622</v>
      </c>
      <c r="B910" s="71" t="s">
        <v>543</v>
      </c>
      <c r="C910" s="71">
        <v>686.32099999999991</v>
      </c>
      <c r="D910" s="71">
        <v>0.10299999999999999</v>
      </c>
      <c r="E910" s="71">
        <v>0</v>
      </c>
      <c r="F910" s="71">
        <v>1.7569999999999999</v>
      </c>
      <c r="G910" s="71">
        <v>16.962</v>
      </c>
      <c r="H910" s="71">
        <v>8.2409999999999997</v>
      </c>
      <c r="I910" s="71">
        <v>0</v>
      </c>
      <c r="J910" s="71">
        <v>3.1709999999999998</v>
      </c>
      <c r="K910" s="71">
        <v>0</v>
      </c>
      <c r="L910" s="71">
        <v>0</v>
      </c>
      <c r="M910" s="71">
        <v>1.363</v>
      </c>
      <c r="N910" s="71">
        <v>0.65099999999999991</v>
      </c>
      <c r="O910" s="71">
        <v>0</v>
      </c>
      <c r="P910" s="71">
        <v>10.59</v>
      </c>
      <c r="Q910" s="71">
        <v>48.010999999999996</v>
      </c>
      <c r="R910" s="71">
        <v>337.2</v>
      </c>
      <c r="S910" s="71">
        <v>19.513999999999999</v>
      </c>
      <c r="T910" s="71">
        <v>34.315999999999995</v>
      </c>
    </row>
    <row r="911" spans="1:20">
      <c r="A911" s="71" t="s">
        <v>2624</v>
      </c>
      <c r="B911" s="71" t="s">
        <v>544</v>
      </c>
      <c r="C911" s="71">
        <v>308.20099999999996</v>
      </c>
      <c r="D911" s="71">
        <v>0</v>
      </c>
      <c r="E911" s="71">
        <v>0.28299999999999997</v>
      </c>
      <c r="F911" s="71">
        <v>0.435</v>
      </c>
      <c r="G911" s="71">
        <v>13.401999999999999</v>
      </c>
      <c r="H911" s="71">
        <v>0</v>
      </c>
      <c r="I911" s="71">
        <v>0</v>
      </c>
      <c r="J911" s="71">
        <v>0</v>
      </c>
      <c r="K911" s="71">
        <v>0</v>
      </c>
      <c r="L911" s="71">
        <v>0</v>
      </c>
      <c r="M911" s="71">
        <v>3.5509999999999997</v>
      </c>
      <c r="N911" s="71">
        <v>0</v>
      </c>
      <c r="O911" s="71">
        <v>1.486</v>
      </c>
      <c r="P911" s="71">
        <v>3.8839999999999999</v>
      </c>
      <c r="Q911" s="71">
        <v>27.366999999999997</v>
      </c>
      <c r="R911" s="71">
        <v>209.8</v>
      </c>
      <c r="S911" s="71">
        <v>14.702</v>
      </c>
      <c r="T911" s="71">
        <v>15.41</v>
      </c>
    </row>
    <row r="912" spans="1:20">
      <c r="A912" s="71" t="s">
        <v>1523</v>
      </c>
      <c r="B912" s="71" t="s">
        <v>1929</v>
      </c>
      <c r="C912" s="71">
        <v>139.815</v>
      </c>
      <c r="D912" s="71">
        <v>0</v>
      </c>
      <c r="E912" s="71">
        <v>0</v>
      </c>
      <c r="F912" s="71">
        <v>0.65699999999999992</v>
      </c>
      <c r="G912" s="71">
        <v>4.1679999999999993</v>
      </c>
      <c r="H912" s="71">
        <v>0</v>
      </c>
      <c r="I912" s="71">
        <v>0</v>
      </c>
      <c r="J912" s="71">
        <v>2.0269999999999997</v>
      </c>
      <c r="K912" s="71">
        <v>0</v>
      </c>
      <c r="L912" s="71">
        <v>0</v>
      </c>
      <c r="M912" s="71">
        <v>0</v>
      </c>
      <c r="N912" s="71">
        <v>0</v>
      </c>
      <c r="O912" s="71">
        <v>0</v>
      </c>
      <c r="P912" s="71">
        <v>3.214</v>
      </c>
      <c r="Q912" s="71">
        <v>0</v>
      </c>
      <c r="R912" s="71">
        <v>94</v>
      </c>
      <c r="S912" s="71">
        <v>0</v>
      </c>
      <c r="T912" s="71">
        <v>6.9907499999999994</v>
      </c>
    </row>
    <row r="913" spans="1:20">
      <c r="A913" s="71" t="s">
        <v>2626</v>
      </c>
      <c r="B913" s="71" t="s">
        <v>545</v>
      </c>
      <c r="C913" s="71">
        <v>333.35699999999997</v>
      </c>
      <c r="D913" s="71">
        <v>0</v>
      </c>
      <c r="E913" s="71">
        <v>0</v>
      </c>
      <c r="F913" s="71">
        <v>0.61199999999999999</v>
      </c>
      <c r="G913" s="71">
        <v>7.7279999999999998</v>
      </c>
      <c r="H913" s="71">
        <v>0.45899999999999996</v>
      </c>
      <c r="I913" s="71">
        <v>0</v>
      </c>
      <c r="J913" s="71">
        <v>0.68099999999999994</v>
      </c>
      <c r="K913" s="71">
        <v>0</v>
      </c>
      <c r="L913" s="71">
        <v>0</v>
      </c>
      <c r="M913" s="71">
        <v>0.57599999999999996</v>
      </c>
      <c r="N913" s="71">
        <v>9.2999999999999999E-2</v>
      </c>
      <c r="O913" s="71">
        <v>0</v>
      </c>
      <c r="P913" s="71">
        <v>5.6469999999999994</v>
      </c>
      <c r="Q913" s="71">
        <v>20.036999999999999</v>
      </c>
      <c r="R913" s="71">
        <v>123.3</v>
      </c>
      <c r="S913" s="71">
        <v>9.4539999999999988</v>
      </c>
      <c r="T913" s="71">
        <v>16.667849999999998</v>
      </c>
    </row>
    <row r="914" spans="1:20">
      <c r="A914" s="71" t="s">
        <v>2628</v>
      </c>
      <c r="B914" s="71" t="s">
        <v>546</v>
      </c>
      <c r="C914" s="71">
        <v>832.71799999999996</v>
      </c>
      <c r="D914" s="71">
        <v>1.1999999999999999E-2</v>
      </c>
      <c r="E914" s="71">
        <v>0</v>
      </c>
      <c r="F914" s="71">
        <v>0.44899999999999995</v>
      </c>
      <c r="G914" s="71">
        <v>28.761999999999997</v>
      </c>
      <c r="H914" s="71">
        <v>3.4449999999999998</v>
      </c>
      <c r="I914" s="71">
        <v>0</v>
      </c>
      <c r="J914" s="71">
        <v>0</v>
      </c>
      <c r="K914" s="71">
        <v>0</v>
      </c>
      <c r="L914" s="71">
        <v>0</v>
      </c>
      <c r="M914" s="71">
        <v>5.5209999999999999</v>
      </c>
      <c r="N914" s="71">
        <v>0</v>
      </c>
      <c r="O914" s="71">
        <v>6.1869999999999994</v>
      </c>
      <c r="P914" s="71">
        <v>29.145</v>
      </c>
      <c r="Q914" s="71">
        <v>66.805000000000007</v>
      </c>
      <c r="R914" s="71">
        <v>497.3</v>
      </c>
      <c r="S914" s="71">
        <v>17.190000000000001</v>
      </c>
      <c r="T914" s="71">
        <v>41.635899999999992</v>
      </c>
    </row>
    <row r="915" spans="1:20">
      <c r="A915" s="71" t="s">
        <v>241</v>
      </c>
      <c r="B915" s="71" t="s">
        <v>2649</v>
      </c>
      <c r="C915" s="71">
        <v>5174.4839999999995</v>
      </c>
      <c r="D915" s="71">
        <v>0.36899999999999999</v>
      </c>
      <c r="E915" s="71">
        <v>0</v>
      </c>
      <c r="F915" s="71">
        <v>8.3699999999999992</v>
      </c>
      <c r="G915" s="71">
        <v>108.74299999999999</v>
      </c>
      <c r="H915" s="71">
        <v>43.69</v>
      </c>
      <c r="I915" s="71">
        <v>0</v>
      </c>
      <c r="J915" s="71">
        <v>0</v>
      </c>
      <c r="K915" s="71">
        <v>0</v>
      </c>
      <c r="L915" s="71">
        <v>0</v>
      </c>
      <c r="M915" s="71">
        <v>9.0089999999999986</v>
      </c>
      <c r="N915" s="71">
        <v>2.8069999999999999</v>
      </c>
      <c r="O915" s="71">
        <v>49.787999999999997</v>
      </c>
      <c r="P915" s="71">
        <v>104.265</v>
      </c>
      <c r="Q915" s="71">
        <v>389.97699999999998</v>
      </c>
      <c r="R915" s="71">
        <v>3602</v>
      </c>
      <c r="S915" s="71">
        <v>625.41399999999999</v>
      </c>
      <c r="T915" s="71">
        <v>258.72399999999999</v>
      </c>
    </row>
    <row r="916" spans="1:20">
      <c r="A916" s="71" t="s">
        <v>248</v>
      </c>
      <c r="B916" s="71" t="s">
        <v>993</v>
      </c>
      <c r="C916" s="71">
        <v>429.52599999999995</v>
      </c>
      <c r="D916" s="71">
        <v>7.8E-2</v>
      </c>
      <c r="E916" s="71">
        <v>0</v>
      </c>
      <c r="F916" s="71">
        <v>0.66599999999999993</v>
      </c>
      <c r="G916" s="71">
        <v>16.927999999999997</v>
      </c>
      <c r="H916" s="71">
        <v>0.85799999999999998</v>
      </c>
      <c r="I916" s="71">
        <v>0</v>
      </c>
      <c r="J916" s="71">
        <v>0</v>
      </c>
      <c r="K916" s="71">
        <v>0</v>
      </c>
      <c r="L916" s="71">
        <v>0</v>
      </c>
      <c r="M916" s="71">
        <v>1.38</v>
      </c>
      <c r="N916" s="71">
        <v>0</v>
      </c>
      <c r="O916" s="71">
        <v>0</v>
      </c>
      <c r="P916" s="71">
        <v>1.2649999999999999</v>
      </c>
      <c r="Q916" s="71">
        <v>24.244</v>
      </c>
      <c r="R916" s="71">
        <v>251.7</v>
      </c>
      <c r="S916" s="71">
        <v>15.306999999999999</v>
      </c>
      <c r="T916" s="71">
        <v>21.475999999999999</v>
      </c>
    </row>
    <row r="917" spans="1:20">
      <c r="A917" s="71" t="s">
        <v>5084</v>
      </c>
      <c r="B917" s="71" t="s">
        <v>547</v>
      </c>
      <c r="C917" s="71">
        <v>344.83299999999997</v>
      </c>
      <c r="D917" s="71">
        <v>0.122</v>
      </c>
      <c r="E917" s="71">
        <v>0</v>
      </c>
      <c r="F917" s="71">
        <v>0.65</v>
      </c>
      <c r="G917" s="71">
        <v>8.8019999999999996</v>
      </c>
      <c r="H917" s="71">
        <v>8.0999999999999989E-2</v>
      </c>
      <c r="I917" s="71">
        <v>0</v>
      </c>
      <c r="J917" s="71">
        <v>0</v>
      </c>
      <c r="K917" s="71">
        <v>0</v>
      </c>
      <c r="L917" s="71">
        <v>0</v>
      </c>
      <c r="M917" s="71">
        <v>2.8619999999999997</v>
      </c>
      <c r="N917" s="71">
        <v>0</v>
      </c>
      <c r="O917" s="71">
        <v>5.9989999999999997</v>
      </c>
      <c r="P917" s="71">
        <v>15.263</v>
      </c>
      <c r="Q917" s="71">
        <v>21.411999999999999</v>
      </c>
      <c r="R917" s="71">
        <v>234.8</v>
      </c>
      <c r="S917" s="71">
        <v>21.855</v>
      </c>
      <c r="T917" s="71">
        <v>17.241649999999996</v>
      </c>
    </row>
    <row r="918" spans="1:20">
      <c r="A918" s="71" t="s">
        <v>2534</v>
      </c>
      <c r="B918" s="71" t="s">
        <v>1919</v>
      </c>
      <c r="C918" s="71">
        <v>648.97099999999989</v>
      </c>
      <c r="D918" s="71">
        <v>0</v>
      </c>
      <c r="E918" s="71">
        <v>0</v>
      </c>
      <c r="F918" s="71">
        <v>0.77099999999999991</v>
      </c>
      <c r="G918" s="71">
        <v>23.843</v>
      </c>
      <c r="H918" s="71">
        <v>6.2759999999999998</v>
      </c>
      <c r="I918" s="71">
        <v>0</v>
      </c>
      <c r="J918" s="71">
        <v>8.5999999999999993E-2</v>
      </c>
      <c r="K918" s="71">
        <v>0</v>
      </c>
      <c r="L918" s="71">
        <v>0</v>
      </c>
      <c r="M918" s="71">
        <v>0.40199999999999997</v>
      </c>
      <c r="N918" s="71">
        <v>0.5169999999999999</v>
      </c>
      <c r="O918" s="71">
        <v>0</v>
      </c>
      <c r="P918" s="71">
        <v>26.013999999999999</v>
      </c>
      <c r="Q918" s="71">
        <v>35.17</v>
      </c>
      <c r="R918" s="71">
        <v>437.2</v>
      </c>
      <c r="S918" s="71">
        <v>18.488</v>
      </c>
      <c r="T918" s="71">
        <v>32.44854999999999</v>
      </c>
    </row>
    <row r="919" spans="1:20">
      <c r="A919" s="71" t="s">
        <v>1165</v>
      </c>
      <c r="B919" s="71" t="s">
        <v>1166</v>
      </c>
      <c r="C919" s="71">
        <v>188</v>
      </c>
      <c r="D919" s="71">
        <v>0</v>
      </c>
      <c r="E919" s="71">
        <v>0</v>
      </c>
      <c r="F919" s="71">
        <v>0</v>
      </c>
      <c r="G919" s="71">
        <v>0</v>
      </c>
      <c r="H919" s="71">
        <v>0</v>
      </c>
      <c r="I919" s="71">
        <v>0</v>
      </c>
      <c r="J919" s="71">
        <v>0</v>
      </c>
      <c r="K919" s="71">
        <v>0</v>
      </c>
      <c r="L919" s="71">
        <v>0</v>
      </c>
      <c r="M919" s="71">
        <v>0</v>
      </c>
      <c r="N919" s="71">
        <v>0</v>
      </c>
      <c r="O919" s="71">
        <v>0</v>
      </c>
      <c r="P919" s="71">
        <v>0</v>
      </c>
      <c r="Q919" s="71">
        <v>0</v>
      </c>
      <c r="R919" s="71">
        <v>0</v>
      </c>
      <c r="S919" s="71">
        <v>0</v>
      </c>
      <c r="T919" s="71">
        <v>0</v>
      </c>
    </row>
    <row r="920" spans="1:20">
      <c r="A920" s="71" t="s">
        <v>5086</v>
      </c>
      <c r="B920" s="71" t="s">
        <v>548</v>
      </c>
      <c r="C920" s="71">
        <v>668.11199999999997</v>
      </c>
      <c r="D920" s="71">
        <v>0</v>
      </c>
      <c r="E920" s="71">
        <v>0</v>
      </c>
      <c r="F920" s="71">
        <v>0.84299999999999997</v>
      </c>
      <c r="G920" s="71">
        <v>18.093999999999998</v>
      </c>
      <c r="H920" s="71">
        <v>3.363</v>
      </c>
      <c r="I920" s="71">
        <v>0</v>
      </c>
      <c r="J920" s="71">
        <v>0</v>
      </c>
      <c r="K920" s="71">
        <v>0</v>
      </c>
      <c r="L920" s="71">
        <v>0</v>
      </c>
      <c r="M920" s="71">
        <v>1.2979999999999998</v>
      </c>
      <c r="N920" s="71">
        <v>0</v>
      </c>
      <c r="O920" s="71">
        <v>8.7889999999999997</v>
      </c>
      <c r="P920" s="71">
        <v>14.155999999999999</v>
      </c>
      <c r="Q920" s="71">
        <v>24.883999999999997</v>
      </c>
      <c r="R920" s="71">
        <v>237</v>
      </c>
      <c r="S920" s="71">
        <v>11.161999999999999</v>
      </c>
      <c r="T920" s="71">
        <v>33</v>
      </c>
    </row>
    <row r="921" spans="1:20">
      <c r="A921" s="71" t="s">
        <v>2768</v>
      </c>
      <c r="B921" s="71" t="s">
        <v>358</v>
      </c>
      <c r="C921" s="71">
        <v>639.86599999999999</v>
      </c>
      <c r="D921" s="71">
        <v>0</v>
      </c>
      <c r="E921" s="71">
        <v>0</v>
      </c>
      <c r="F921" s="71">
        <v>0.57999999999999996</v>
      </c>
      <c r="G921" s="71">
        <v>23.795000000000002</v>
      </c>
      <c r="H921" s="71">
        <v>0.78</v>
      </c>
      <c r="I921" s="71">
        <v>0</v>
      </c>
      <c r="J921" s="71">
        <v>0</v>
      </c>
      <c r="K921" s="71">
        <v>0</v>
      </c>
      <c r="L921" s="71">
        <v>0</v>
      </c>
      <c r="M921" s="71">
        <v>6.2759999999999998</v>
      </c>
      <c r="N921" s="71">
        <v>0</v>
      </c>
      <c r="O921" s="71">
        <v>0</v>
      </c>
      <c r="P921" s="71">
        <v>21.130999999999997</v>
      </c>
      <c r="Q921" s="71">
        <v>36.062999999999995</v>
      </c>
      <c r="R921" s="71">
        <v>389</v>
      </c>
      <c r="S921" s="71">
        <v>63.853999999999999</v>
      </c>
      <c r="T921" s="71">
        <v>31.992999999999999</v>
      </c>
    </row>
    <row r="922" spans="1:20">
      <c r="A922" s="71" t="s">
        <v>5088</v>
      </c>
      <c r="B922" s="71" t="s">
        <v>549</v>
      </c>
      <c r="C922" s="71">
        <v>359.303</v>
      </c>
      <c r="D922" s="71">
        <v>0</v>
      </c>
      <c r="E922" s="71">
        <v>0</v>
      </c>
      <c r="F922" s="71">
        <v>0.78399999999999992</v>
      </c>
      <c r="G922" s="71">
        <v>19.100000000000001</v>
      </c>
      <c r="H922" s="71">
        <v>3.38</v>
      </c>
      <c r="I922" s="71">
        <v>0</v>
      </c>
      <c r="J922" s="71">
        <v>0</v>
      </c>
      <c r="K922" s="71">
        <v>0</v>
      </c>
      <c r="L922" s="71">
        <v>0</v>
      </c>
      <c r="M922" s="71">
        <v>0</v>
      </c>
      <c r="N922" s="71">
        <v>0</v>
      </c>
      <c r="O922" s="71">
        <v>0</v>
      </c>
      <c r="P922" s="71">
        <v>4.4709999999999992</v>
      </c>
      <c r="Q922" s="71">
        <v>31.869</v>
      </c>
      <c r="R922" s="71">
        <v>306.3</v>
      </c>
      <c r="S922" s="71">
        <v>0</v>
      </c>
      <c r="T922" s="71">
        <v>15</v>
      </c>
    </row>
    <row r="923" spans="1:20">
      <c r="A923" s="71" t="s">
        <v>6181</v>
      </c>
      <c r="B923" s="71" t="s">
        <v>1936</v>
      </c>
      <c r="C923" s="71">
        <v>1143.0999999999999</v>
      </c>
      <c r="D923" s="71">
        <v>0.46099999999999997</v>
      </c>
      <c r="E923" s="71">
        <v>0</v>
      </c>
      <c r="F923" s="71">
        <v>2.6319999999999997</v>
      </c>
      <c r="G923" s="71">
        <v>42.924999999999997</v>
      </c>
      <c r="H923" s="71">
        <v>14.93</v>
      </c>
      <c r="I923" s="71">
        <v>0</v>
      </c>
      <c r="J923" s="71">
        <v>0</v>
      </c>
      <c r="K923" s="71">
        <v>0</v>
      </c>
      <c r="L923" s="71">
        <v>0</v>
      </c>
      <c r="M923" s="71">
        <v>1.829</v>
      </c>
      <c r="N923" s="71">
        <v>0.42599999999999999</v>
      </c>
      <c r="O923" s="71">
        <v>0</v>
      </c>
      <c r="P923" s="71">
        <v>39.957999999999998</v>
      </c>
      <c r="Q923" s="71">
        <v>68.488</v>
      </c>
      <c r="R923" s="71">
        <v>889.7</v>
      </c>
      <c r="S923" s="71">
        <v>1.5759999999999998</v>
      </c>
      <c r="T923" s="71">
        <v>57.155000000000001</v>
      </c>
    </row>
    <row r="924" spans="1:20">
      <c r="A924" s="71" t="s">
        <v>1848</v>
      </c>
      <c r="B924" s="71" t="s">
        <v>1000</v>
      </c>
      <c r="C924" s="71">
        <v>704.19799999999998</v>
      </c>
      <c r="D924" s="71">
        <v>0</v>
      </c>
      <c r="E924" s="71">
        <v>0</v>
      </c>
      <c r="F924" s="71">
        <v>0.96399999999999997</v>
      </c>
      <c r="G924" s="71">
        <v>18.441999999999997</v>
      </c>
      <c r="H924" s="71">
        <v>3.04</v>
      </c>
      <c r="I924" s="71">
        <v>0</v>
      </c>
      <c r="J924" s="71">
        <v>0</v>
      </c>
      <c r="K924" s="71">
        <v>0</v>
      </c>
      <c r="L924" s="71">
        <v>0</v>
      </c>
      <c r="M924" s="71">
        <v>1.458</v>
      </c>
      <c r="N924" s="71">
        <v>0.27599999999999997</v>
      </c>
      <c r="O924" s="71">
        <v>0</v>
      </c>
      <c r="P924" s="71">
        <v>15.078999999999999</v>
      </c>
      <c r="Q924" s="71">
        <v>46.03</v>
      </c>
      <c r="R924" s="71">
        <v>431.7</v>
      </c>
      <c r="S924" s="71">
        <v>0.71299999999999997</v>
      </c>
      <c r="T924" s="71">
        <v>35.209899999999998</v>
      </c>
    </row>
    <row r="925" spans="1:20">
      <c r="A925" s="71" t="s">
        <v>2471</v>
      </c>
      <c r="B925" s="71" t="s">
        <v>369</v>
      </c>
      <c r="C925" s="71">
        <v>303.95699999999999</v>
      </c>
      <c r="D925" s="71">
        <v>0</v>
      </c>
      <c r="E925" s="71">
        <v>0</v>
      </c>
      <c r="F925" s="71">
        <v>0.33699999999999997</v>
      </c>
      <c r="G925" s="71">
        <v>5.4429999999999996</v>
      </c>
      <c r="H925" s="71">
        <v>0</v>
      </c>
      <c r="I925" s="71">
        <v>0</v>
      </c>
      <c r="J925" s="71">
        <v>0.69</v>
      </c>
      <c r="K925" s="71">
        <v>0</v>
      </c>
      <c r="L925" s="71">
        <v>0</v>
      </c>
      <c r="M925" s="71">
        <v>0</v>
      </c>
      <c r="N925" s="71">
        <v>5.5999999999999994E-2</v>
      </c>
      <c r="O925" s="71">
        <v>0</v>
      </c>
      <c r="P925" s="71">
        <v>22.170999999999999</v>
      </c>
      <c r="Q925" s="71">
        <v>25.718999999999998</v>
      </c>
      <c r="R925" s="71">
        <v>200.5</v>
      </c>
      <c r="S925" s="71">
        <v>22.355</v>
      </c>
      <c r="T925" s="71">
        <v>5</v>
      </c>
    </row>
    <row r="926" spans="1:20">
      <c r="A926" s="71" t="s">
        <v>6044</v>
      </c>
      <c r="B926" s="71" t="s">
        <v>550</v>
      </c>
      <c r="C926" s="71">
        <v>2081.0259999999998</v>
      </c>
      <c r="D926" s="71">
        <v>0.39699999999999996</v>
      </c>
      <c r="E926" s="71">
        <v>0</v>
      </c>
      <c r="F926" s="71">
        <v>4.7289999999999992</v>
      </c>
      <c r="G926" s="71">
        <v>75.245999999999995</v>
      </c>
      <c r="H926" s="71">
        <v>8.1529999999999987</v>
      </c>
      <c r="I926" s="71">
        <v>0</v>
      </c>
      <c r="J926" s="71">
        <v>0</v>
      </c>
      <c r="K926" s="71">
        <v>0</v>
      </c>
      <c r="L926" s="71">
        <v>0</v>
      </c>
      <c r="M926" s="71">
        <v>1.3779999999999999</v>
      </c>
      <c r="N926" s="71">
        <v>1.621</v>
      </c>
      <c r="O926" s="71">
        <v>0.85499999999999998</v>
      </c>
      <c r="P926" s="71">
        <v>87.515000000000001</v>
      </c>
      <c r="Q926" s="71">
        <v>69.355999999999995</v>
      </c>
      <c r="R926" s="71">
        <v>1510.7</v>
      </c>
      <c r="S926" s="71">
        <v>19.802999999999997</v>
      </c>
      <c r="T926" s="71">
        <v>104.05099999999999</v>
      </c>
    </row>
    <row r="927" spans="1:20">
      <c r="A927" s="71" t="s">
        <v>6046</v>
      </c>
      <c r="B927" s="71" t="s">
        <v>551</v>
      </c>
      <c r="C927" s="71">
        <v>126.916</v>
      </c>
      <c r="D927" s="71">
        <v>0</v>
      </c>
      <c r="E927" s="71">
        <v>0</v>
      </c>
      <c r="F927" s="71">
        <v>0.309</v>
      </c>
      <c r="G927" s="71">
        <v>5.7719999999999994</v>
      </c>
      <c r="H927" s="71">
        <v>0.46500000000000002</v>
      </c>
      <c r="I927" s="71">
        <v>0</v>
      </c>
      <c r="J927" s="71">
        <v>0</v>
      </c>
      <c r="K927" s="71">
        <v>0</v>
      </c>
      <c r="L927" s="71">
        <v>0</v>
      </c>
      <c r="M927" s="71">
        <v>0</v>
      </c>
      <c r="N927" s="71">
        <v>0.183</v>
      </c>
      <c r="O927" s="71">
        <v>0</v>
      </c>
      <c r="P927" s="71">
        <v>2.1539999999999999</v>
      </c>
      <c r="Q927" s="71">
        <v>8.6629999999999985</v>
      </c>
      <c r="R927" s="71">
        <v>76</v>
      </c>
      <c r="S927" s="71">
        <v>9.4859999999999989</v>
      </c>
      <c r="T927" s="71">
        <v>6.3457999999999997</v>
      </c>
    </row>
    <row r="928" spans="1:20">
      <c r="A928" s="71" t="s">
        <v>4185</v>
      </c>
      <c r="B928" s="71" t="s">
        <v>552</v>
      </c>
      <c r="C928" s="71">
        <v>193.09399999999999</v>
      </c>
      <c r="D928" s="71">
        <v>0</v>
      </c>
      <c r="E928" s="71">
        <v>0</v>
      </c>
      <c r="F928" s="71">
        <v>0.28000000000000003</v>
      </c>
      <c r="G928" s="71">
        <v>10.646999999999998</v>
      </c>
      <c r="H928" s="71">
        <v>0.95199999999999996</v>
      </c>
      <c r="I928" s="71">
        <v>0</v>
      </c>
      <c r="J928" s="71">
        <v>0</v>
      </c>
      <c r="K928" s="71">
        <v>0</v>
      </c>
      <c r="L928" s="71">
        <v>0</v>
      </c>
      <c r="M928" s="71">
        <v>1.2329999999999999</v>
      </c>
      <c r="N928" s="71">
        <v>0</v>
      </c>
      <c r="O928" s="71">
        <v>0</v>
      </c>
      <c r="P928" s="71">
        <v>2.5479999999999996</v>
      </c>
      <c r="Q928" s="71">
        <v>13.315</v>
      </c>
      <c r="R928" s="71">
        <v>77.2</v>
      </c>
      <c r="S928" s="71">
        <v>2.9709999999999996</v>
      </c>
      <c r="T928" s="71">
        <v>9.6546999999999983</v>
      </c>
    </row>
    <row r="929" spans="1:20">
      <c r="A929" s="71" t="s">
        <v>1167</v>
      </c>
      <c r="B929" s="71" t="s">
        <v>1168</v>
      </c>
      <c r="C929" s="71">
        <v>160.077</v>
      </c>
      <c r="D929" s="71">
        <v>0</v>
      </c>
      <c r="E929" s="71">
        <v>0</v>
      </c>
      <c r="F929" s="71">
        <v>0</v>
      </c>
      <c r="G929" s="71">
        <v>3.7250000000000001</v>
      </c>
      <c r="H929" s="71">
        <v>0</v>
      </c>
      <c r="I929" s="71">
        <v>0</v>
      </c>
      <c r="J929" s="71">
        <v>0</v>
      </c>
      <c r="K929" s="71">
        <v>0</v>
      </c>
      <c r="L929" s="71">
        <v>0</v>
      </c>
      <c r="M929" s="71">
        <v>0</v>
      </c>
      <c r="N929" s="71">
        <v>1.2969999999999999</v>
      </c>
      <c r="O929" s="71">
        <v>0</v>
      </c>
      <c r="P929" s="71">
        <v>0</v>
      </c>
      <c r="Q929" s="71">
        <v>27.605999999999998</v>
      </c>
      <c r="R929" s="71">
        <v>153.69999999999999</v>
      </c>
      <c r="S929" s="71">
        <v>0.14799999999999999</v>
      </c>
      <c r="T929" s="71">
        <v>0</v>
      </c>
    </row>
    <row r="930" spans="1:20">
      <c r="A930" s="71" t="s">
        <v>1169</v>
      </c>
      <c r="B930" s="71" t="s">
        <v>1170</v>
      </c>
      <c r="C930" s="71">
        <v>201.26899999999998</v>
      </c>
      <c r="D930" s="71">
        <v>0</v>
      </c>
      <c r="E930" s="71">
        <v>0</v>
      </c>
      <c r="F930" s="71">
        <v>0.50199999999999989</v>
      </c>
      <c r="G930" s="71">
        <v>4.5839999999999996</v>
      </c>
      <c r="H930" s="71">
        <v>0</v>
      </c>
      <c r="I930" s="71">
        <v>0</v>
      </c>
      <c r="J930" s="71">
        <v>0</v>
      </c>
      <c r="K930" s="71">
        <v>0</v>
      </c>
      <c r="L930" s="71">
        <v>0</v>
      </c>
      <c r="M930" s="71">
        <v>0</v>
      </c>
      <c r="N930" s="71">
        <v>0</v>
      </c>
      <c r="O930" s="71">
        <v>0</v>
      </c>
      <c r="P930" s="71">
        <v>0</v>
      </c>
      <c r="Q930" s="71">
        <v>0</v>
      </c>
      <c r="R930" s="71">
        <v>0</v>
      </c>
      <c r="S930" s="71">
        <v>0.97699999999999998</v>
      </c>
      <c r="T930" s="71">
        <v>0</v>
      </c>
    </row>
    <row r="931" spans="1:20">
      <c r="A931" s="71" t="s">
        <v>1171</v>
      </c>
      <c r="B931" s="71" t="s">
        <v>1172</v>
      </c>
      <c r="C931" s="71">
        <v>0</v>
      </c>
      <c r="D931" s="71">
        <v>0</v>
      </c>
      <c r="E931" s="71">
        <v>0</v>
      </c>
      <c r="F931" s="71">
        <v>0</v>
      </c>
      <c r="G931" s="71">
        <v>0</v>
      </c>
      <c r="H931" s="71">
        <v>0</v>
      </c>
      <c r="I931" s="71">
        <v>0</v>
      </c>
      <c r="J931" s="71">
        <v>0</v>
      </c>
      <c r="K931" s="71">
        <v>0</v>
      </c>
      <c r="L931" s="71">
        <v>0</v>
      </c>
      <c r="M931" s="71">
        <v>0</v>
      </c>
      <c r="N931" s="71">
        <v>0</v>
      </c>
      <c r="O931" s="71">
        <v>0</v>
      </c>
      <c r="P931" s="71">
        <v>0</v>
      </c>
      <c r="Q931" s="71">
        <v>0</v>
      </c>
      <c r="R931" s="71">
        <v>0</v>
      </c>
      <c r="S931" s="71">
        <v>0</v>
      </c>
      <c r="T931" s="71">
        <v>0</v>
      </c>
    </row>
    <row r="932" spans="1:20">
      <c r="A932" s="71" t="s">
        <v>1173</v>
      </c>
      <c r="B932" s="71" t="s">
        <v>1174</v>
      </c>
      <c r="C932" s="71">
        <v>157.61500000000001</v>
      </c>
      <c r="D932" s="71">
        <v>0.32500000000000001</v>
      </c>
      <c r="E932" s="71">
        <v>0</v>
      </c>
      <c r="F932" s="71">
        <v>0</v>
      </c>
      <c r="G932" s="71">
        <v>4.7389999999999999</v>
      </c>
      <c r="H932" s="71">
        <v>0.95199999999999996</v>
      </c>
      <c r="I932" s="71">
        <v>0</v>
      </c>
      <c r="J932" s="71">
        <v>0</v>
      </c>
      <c r="K932" s="71">
        <v>0</v>
      </c>
      <c r="L932" s="71">
        <v>0</v>
      </c>
      <c r="M932" s="71">
        <v>0</v>
      </c>
      <c r="N932" s="71">
        <v>0.98699999999999999</v>
      </c>
      <c r="O932" s="71">
        <v>0</v>
      </c>
      <c r="P932" s="71">
        <v>0</v>
      </c>
      <c r="Q932" s="71">
        <v>14.289</v>
      </c>
      <c r="R932" s="71">
        <v>118.3</v>
      </c>
      <c r="S932" s="71">
        <v>0</v>
      </c>
      <c r="T932" s="71">
        <v>0</v>
      </c>
    </row>
    <row r="933" spans="1:20">
      <c r="A933" s="71" t="s">
        <v>1175</v>
      </c>
      <c r="C933" s="71">
        <v>55.766999999999996</v>
      </c>
      <c r="D933" s="71">
        <v>0</v>
      </c>
      <c r="E933" s="71">
        <v>0</v>
      </c>
      <c r="F933" s="71">
        <v>1.6999999999999998E-2</v>
      </c>
      <c r="G933" s="71">
        <v>0</v>
      </c>
      <c r="H933" s="71">
        <v>0</v>
      </c>
      <c r="I933" s="71">
        <v>0</v>
      </c>
      <c r="J933" s="71">
        <v>0</v>
      </c>
      <c r="K933" s="71">
        <v>0</v>
      </c>
      <c r="L933" s="71">
        <v>0</v>
      </c>
      <c r="M933" s="71">
        <v>0</v>
      </c>
      <c r="N933" s="71">
        <v>0</v>
      </c>
      <c r="O933" s="71">
        <v>0</v>
      </c>
      <c r="P933" s="71">
        <v>0</v>
      </c>
      <c r="Q933" s="71">
        <v>0</v>
      </c>
      <c r="R933" s="71">
        <v>0</v>
      </c>
      <c r="S933" s="71">
        <v>0.60499999999999998</v>
      </c>
      <c r="T933" s="71">
        <v>0</v>
      </c>
    </row>
    <row r="934" spans="1:20">
      <c r="A934" s="71" t="s">
        <v>6689</v>
      </c>
      <c r="B934" s="71" t="s">
        <v>553</v>
      </c>
      <c r="C934" s="71">
        <v>325.50299999999999</v>
      </c>
      <c r="D934" s="71">
        <v>0</v>
      </c>
      <c r="E934" s="71">
        <v>0</v>
      </c>
      <c r="F934" s="71">
        <v>0.67299999999999993</v>
      </c>
      <c r="G934" s="71">
        <v>8.02</v>
      </c>
      <c r="H934" s="71">
        <v>0.90799999999999992</v>
      </c>
      <c r="I934" s="71">
        <v>0</v>
      </c>
      <c r="J934" s="71">
        <v>1.952</v>
      </c>
      <c r="K934" s="71">
        <v>0</v>
      </c>
      <c r="L934" s="71">
        <v>0</v>
      </c>
      <c r="M934" s="71">
        <v>0</v>
      </c>
      <c r="N934" s="71">
        <v>0</v>
      </c>
      <c r="O934" s="71">
        <v>0</v>
      </c>
      <c r="P934" s="71">
        <v>5.48</v>
      </c>
      <c r="Q934" s="71">
        <v>14.821999999999999</v>
      </c>
      <c r="R934" s="71">
        <v>178.3</v>
      </c>
      <c r="S934" s="71">
        <v>13.664</v>
      </c>
      <c r="T934" s="71">
        <v>16.274999999999999</v>
      </c>
    </row>
    <row r="935" spans="1:20">
      <c r="A935" s="71" t="s">
        <v>6691</v>
      </c>
      <c r="B935" s="71" t="s">
        <v>554</v>
      </c>
      <c r="C935" s="71">
        <v>1127.6469999999999</v>
      </c>
      <c r="D935" s="71">
        <v>0.24099999999999999</v>
      </c>
      <c r="E935" s="71">
        <v>0</v>
      </c>
      <c r="F935" s="71">
        <v>1.43</v>
      </c>
      <c r="G935" s="71">
        <v>25.636999999999997</v>
      </c>
      <c r="H935" s="71">
        <v>8.7489999999999988</v>
      </c>
      <c r="I935" s="71">
        <v>0</v>
      </c>
      <c r="J935" s="71">
        <v>0</v>
      </c>
      <c r="K935" s="71">
        <v>0</v>
      </c>
      <c r="L935" s="71">
        <v>0</v>
      </c>
      <c r="M935" s="71">
        <v>0</v>
      </c>
      <c r="N935" s="71">
        <v>0</v>
      </c>
      <c r="O935" s="71">
        <v>0</v>
      </c>
      <c r="P935" s="71">
        <v>39.228999999999999</v>
      </c>
      <c r="Q935" s="71">
        <v>67.007999999999996</v>
      </c>
      <c r="R935" s="71">
        <v>750.8</v>
      </c>
      <c r="S935" s="71">
        <v>79.034999999999997</v>
      </c>
      <c r="T935" s="71">
        <v>55</v>
      </c>
    </row>
    <row r="936" spans="1:20">
      <c r="A936" s="71" t="s">
        <v>6693</v>
      </c>
      <c r="B936" s="71" t="s">
        <v>555</v>
      </c>
      <c r="C936" s="71">
        <v>3673.2729999999997</v>
      </c>
      <c r="D936" s="71">
        <v>0.307</v>
      </c>
      <c r="E936" s="71">
        <v>0</v>
      </c>
      <c r="F936" s="71">
        <v>5.1349999999999998</v>
      </c>
      <c r="G936" s="71">
        <v>106.815</v>
      </c>
      <c r="H936" s="71">
        <v>34.318999999999996</v>
      </c>
      <c r="I936" s="71">
        <v>0</v>
      </c>
      <c r="J936" s="71">
        <v>0</v>
      </c>
      <c r="K936" s="71">
        <v>0</v>
      </c>
      <c r="L936" s="71">
        <v>0</v>
      </c>
      <c r="M936" s="71">
        <v>4.8469999999999995</v>
      </c>
      <c r="N936" s="71">
        <v>1.206</v>
      </c>
      <c r="O936" s="71">
        <v>0</v>
      </c>
      <c r="P936" s="71">
        <v>10.164</v>
      </c>
      <c r="Q936" s="71">
        <v>158.041</v>
      </c>
      <c r="R936" s="71">
        <v>1538.2</v>
      </c>
      <c r="S936" s="71">
        <v>74.995999999999995</v>
      </c>
      <c r="T936" s="71">
        <v>183.66364999999999</v>
      </c>
    </row>
    <row r="937" spans="1:20">
      <c r="A937" s="71" t="s">
        <v>240</v>
      </c>
      <c r="B937" s="71" t="s">
        <v>2648</v>
      </c>
      <c r="C937" s="71">
        <v>36167.708999999995</v>
      </c>
      <c r="D937" s="71">
        <v>4.9879999999999995</v>
      </c>
      <c r="E937" s="71">
        <v>1.8239999999999998</v>
      </c>
      <c r="F937" s="71">
        <v>66.16</v>
      </c>
      <c r="G937" s="71">
        <v>1529.6119999999999</v>
      </c>
      <c r="H937" s="71">
        <v>331.99899999999997</v>
      </c>
      <c r="I937" s="71">
        <v>0</v>
      </c>
      <c r="J937" s="71">
        <v>30.082999999999998</v>
      </c>
      <c r="K937" s="71">
        <v>0</v>
      </c>
      <c r="L937" s="71">
        <v>0</v>
      </c>
      <c r="M937" s="71">
        <v>116.952</v>
      </c>
      <c r="N937" s="71">
        <v>10.968999999999999</v>
      </c>
      <c r="O937" s="71">
        <v>50.814999999999998</v>
      </c>
      <c r="P937" s="71">
        <v>210.214</v>
      </c>
      <c r="Q937" s="71">
        <v>1353.0909999999999</v>
      </c>
      <c r="R937" s="71">
        <v>24680.3</v>
      </c>
      <c r="S937" s="71">
        <v>2682.2939999999999</v>
      </c>
      <c r="T937" s="71">
        <v>1808.385</v>
      </c>
    </row>
    <row r="938" spans="1:20">
      <c r="A938" s="71" t="s">
        <v>6695</v>
      </c>
      <c r="B938" s="71" t="s">
        <v>556</v>
      </c>
      <c r="C938" s="71">
        <v>262.38699999999994</v>
      </c>
      <c r="D938" s="71">
        <v>0</v>
      </c>
      <c r="E938" s="71">
        <v>0</v>
      </c>
      <c r="F938" s="71">
        <v>0.33899999999999997</v>
      </c>
      <c r="G938" s="71">
        <v>7.5369999999999999</v>
      </c>
      <c r="H938" s="71">
        <v>1.1879999999999999</v>
      </c>
      <c r="I938" s="71">
        <v>0</v>
      </c>
      <c r="J938" s="71">
        <v>0</v>
      </c>
      <c r="K938" s="71">
        <v>0</v>
      </c>
      <c r="L938" s="71">
        <v>0</v>
      </c>
      <c r="M938" s="71">
        <v>0</v>
      </c>
      <c r="N938" s="71">
        <v>0</v>
      </c>
      <c r="O938" s="71">
        <v>0</v>
      </c>
      <c r="P938" s="71">
        <v>0</v>
      </c>
      <c r="Q938" s="71">
        <v>0</v>
      </c>
      <c r="R938" s="71">
        <v>254</v>
      </c>
      <c r="S938" s="71">
        <v>37.525999999999996</v>
      </c>
      <c r="T938" s="71">
        <v>13.119</v>
      </c>
    </row>
    <row r="939" spans="1:20">
      <c r="A939" s="71" t="s">
        <v>745</v>
      </c>
      <c r="B939" s="71" t="s">
        <v>557</v>
      </c>
      <c r="C939" s="71">
        <v>223.80699999999999</v>
      </c>
      <c r="D939" s="71">
        <v>0</v>
      </c>
      <c r="E939" s="71">
        <v>0</v>
      </c>
      <c r="F939" s="71">
        <v>0.40099999999999997</v>
      </c>
      <c r="G939" s="71">
        <v>4.6529999999999996</v>
      </c>
      <c r="H939" s="71">
        <v>0</v>
      </c>
      <c r="I939" s="71">
        <v>0</v>
      </c>
      <c r="J939" s="71">
        <v>0</v>
      </c>
      <c r="K939" s="71">
        <v>0</v>
      </c>
      <c r="L939" s="71">
        <v>0</v>
      </c>
      <c r="M939" s="71">
        <v>0</v>
      </c>
      <c r="N939" s="71">
        <v>0</v>
      </c>
      <c r="O939" s="71">
        <v>0</v>
      </c>
      <c r="P939" s="71">
        <v>1.0479999999999998</v>
      </c>
      <c r="Q939" s="71">
        <v>0</v>
      </c>
      <c r="R939" s="71">
        <v>38.5</v>
      </c>
      <c r="S939" s="71">
        <v>3.12</v>
      </c>
      <c r="T939" s="71">
        <v>11.19</v>
      </c>
    </row>
    <row r="940" spans="1:20">
      <c r="A940" s="71" t="s">
        <v>747</v>
      </c>
      <c r="B940" s="71" t="s">
        <v>558</v>
      </c>
      <c r="C940" s="71">
        <v>526.16199999999992</v>
      </c>
      <c r="D940" s="71">
        <v>3.3999999999999996E-2</v>
      </c>
      <c r="E940" s="71">
        <v>0</v>
      </c>
      <c r="F940" s="71">
        <v>0.40899999999999997</v>
      </c>
      <c r="G940" s="71">
        <v>27.28</v>
      </c>
      <c r="H940" s="71">
        <v>5.3759999999999994</v>
      </c>
      <c r="I940" s="71">
        <v>0</v>
      </c>
      <c r="J940" s="71">
        <v>0</v>
      </c>
      <c r="K940" s="71">
        <v>0</v>
      </c>
      <c r="L940" s="71">
        <v>0</v>
      </c>
      <c r="M940" s="71">
        <v>0</v>
      </c>
      <c r="N940" s="71">
        <v>4.0999999999999995E-2</v>
      </c>
      <c r="O940" s="71">
        <v>0</v>
      </c>
      <c r="P940" s="71">
        <v>13.51</v>
      </c>
      <c r="Q940" s="71">
        <v>16.802999999999997</v>
      </c>
      <c r="R940" s="71">
        <v>201</v>
      </c>
      <c r="S940" s="71">
        <v>5.1889999999999992</v>
      </c>
      <c r="T940" s="71">
        <v>26.308</v>
      </c>
    </row>
    <row r="941" spans="1:20">
      <c r="A941" s="71" t="s">
        <v>2308</v>
      </c>
      <c r="B941" s="71" t="s">
        <v>366</v>
      </c>
      <c r="C941" s="71">
        <v>3435.9209999999998</v>
      </c>
      <c r="D941" s="71">
        <v>0.55299999999999994</v>
      </c>
      <c r="E941" s="71">
        <v>0</v>
      </c>
      <c r="F941" s="71">
        <v>8.7809999999999988</v>
      </c>
      <c r="G941" s="71">
        <v>196.76599999999999</v>
      </c>
      <c r="H941" s="71">
        <v>27.975000000000001</v>
      </c>
      <c r="I941" s="71">
        <v>0</v>
      </c>
      <c r="J941" s="71">
        <v>0</v>
      </c>
      <c r="K941" s="71">
        <v>0</v>
      </c>
      <c r="L941" s="71">
        <v>0</v>
      </c>
      <c r="M941" s="71">
        <v>2.855</v>
      </c>
      <c r="N941" s="71">
        <v>3.6619999999999999</v>
      </c>
      <c r="O941" s="71">
        <v>0</v>
      </c>
      <c r="P941" s="71">
        <v>6.4959999999999996</v>
      </c>
      <c r="Q941" s="71">
        <v>151.87799999999999</v>
      </c>
      <c r="R941" s="71">
        <v>3828.3</v>
      </c>
      <c r="S941" s="71">
        <v>132.446</v>
      </c>
      <c r="T941" s="71">
        <v>169.29899999999998</v>
      </c>
    </row>
    <row r="942" spans="1:20">
      <c r="A942" s="71" t="s">
        <v>749</v>
      </c>
      <c r="B942" s="71" t="s">
        <v>559</v>
      </c>
      <c r="C942" s="71">
        <v>3148.5719999999997</v>
      </c>
      <c r="D942" s="71">
        <v>0.48299999999999998</v>
      </c>
      <c r="E942" s="71">
        <v>0</v>
      </c>
      <c r="F942" s="71">
        <v>6.1619999999999999</v>
      </c>
      <c r="G942" s="71">
        <v>112.101</v>
      </c>
      <c r="H942" s="71">
        <v>22.245999999999999</v>
      </c>
      <c r="I942" s="71">
        <v>0</v>
      </c>
      <c r="J942" s="71">
        <v>0</v>
      </c>
      <c r="K942" s="71">
        <v>0</v>
      </c>
      <c r="L942" s="71">
        <v>0</v>
      </c>
      <c r="M942" s="71">
        <v>2.4779999999999998</v>
      </c>
      <c r="N942" s="71">
        <v>0.22</v>
      </c>
      <c r="O942" s="71">
        <v>0</v>
      </c>
      <c r="P942" s="71">
        <v>6.4829999999999997</v>
      </c>
      <c r="Q942" s="71">
        <v>122.8</v>
      </c>
      <c r="R942" s="71">
        <v>1830.2</v>
      </c>
      <c r="S942" s="71">
        <v>115.764</v>
      </c>
      <c r="T942" s="71">
        <v>102</v>
      </c>
    </row>
    <row r="943" spans="1:20">
      <c r="A943" s="71" t="s">
        <v>2953</v>
      </c>
      <c r="B943" s="71" t="s">
        <v>560</v>
      </c>
      <c r="C943" s="71">
        <v>814.53199999999993</v>
      </c>
      <c r="D943" s="71">
        <v>0.46699999999999997</v>
      </c>
      <c r="E943" s="71">
        <v>0</v>
      </c>
      <c r="F943" s="71">
        <v>1.1889999999999998</v>
      </c>
      <c r="G943" s="71">
        <v>25.671999999999997</v>
      </c>
      <c r="H943" s="71">
        <v>3.0950000000000002</v>
      </c>
      <c r="I943" s="71">
        <v>0</v>
      </c>
      <c r="J943" s="71">
        <v>0</v>
      </c>
      <c r="K943" s="71">
        <v>0</v>
      </c>
      <c r="L943" s="71">
        <v>0</v>
      </c>
      <c r="M943" s="71">
        <v>0</v>
      </c>
      <c r="N943" s="71">
        <v>0.187</v>
      </c>
      <c r="O943" s="71">
        <v>0</v>
      </c>
      <c r="P943" s="71">
        <v>5.7169999999999996</v>
      </c>
      <c r="Q943" s="71">
        <v>37.900999999999996</v>
      </c>
      <c r="R943" s="71">
        <v>740</v>
      </c>
      <c r="S943" s="71">
        <v>25.622999999999998</v>
      </c>
      <c r="T943" s="71">
        <v>39</v>
      </c>
    </row>
    <row r="944" spans="1:20">
      <c r="A944" s="71" t="s">
        <v>2955</v>
      </c>
      <c r="B944" s="71" t="s">
        <v>561</v>
      </c>
      <c r="C944" s="71">
        <v>4937.7049999999999</v>
      </c>
      <c r="D944" s="71">
        <v>0.77500000000000002</v>
      </c>
      <c r="E944" s="71">
        <v>0</v>
      </c>
      <c r="F944" s="71">
        <v>9.847999999999999</v>
      </c>
      <c r="G944" s="71">
        <v>118.797</v>
      </c>
      <c r="H944" s="71">
        <v>38.132999999999996</v>
      </c>
      <c r="I944" s="71">
        <v>0</v>
      </c>
      <c r="J944" s="71">
        <v>0</v>
      </c>
      <c r="K944" s="71">
        <v>0</v>
      </c>
      <c r="L944" s="71">
        <v>0</v>
      </c>
      <c r="M944" s="71">
        <v>0</v>
      </c>
      <c r="N944" s="71">
        <v>0.83499999999999996</v>
      </c>
      <c r="O944" s="71">
        <v>0</v>
      </c>
      <c r="P944" s="71">
        <v>121.18199999999999</v>
      </c>
      <c r="Q944" s="71">
        <v>150.315</v>
      </c>
      <c r="R944" s="71">
        <v>2351.8000000000002</v>
      </c>
      <c r="S944" s="71">
        <v>123.854</v>
      </c>
      <c r="T944" s="71">
        <v>246.88499999999999</v>
      </c>
    </row>
    <row r="945" spans="1:20">
      <c r="A945" s="71" t="s">
        <v>2957</v>
      </c>
      <c r="B945" s="71" t="s">
        <v>562</v>
      </c>
      <c r="C945" s="71">
        <v>1781.4259999999999</v>
      </c>
      <c r="D945" s="71">
        <v>0.13500000000000001</v>
      </c>
      <c r="E945" s="71">
        <v>0</v>
      </c>
      <c r="F945" s="71">
        <v>3.569</v>
      </c>
      <c r="G945" s="71">
        <v>89.447999999999993</v>
      </c>
      <c r="H945" s="71">
        <v>16.691999999999997</v>
      </c>
      <c r="I945" s="71">
        <v>0</v>
      </c>
      <c r="J945" s="71">
        <v>0.218</v>
      </c>
      <c r="K945" s="71">
        <v>0</v>
      </c>
      <c r="L945" s="71">
        <v>0</v>
      </c>
      <c r="M945" s="71">
        <v>12.976999999999999</v>
      </c>
      <c r="N945" s="71">
        <v>1.1359999999999999</v>
      </c>
      <c r="O945" s="71">
        <v>0</v>
      </c>
      <c r="P945" s="71">
        <v>7.9739999999999993</v>
      </c>
      <c r="Q945" s="71">
        <v>61.373999999999995</v>
      </c>
      <c r="R945" s="71">
        <v>1720.7</v>
      </c>
      <c r="S945" s="71">
        <v>88.741</v>
      </c>
      <c r="T945" s="71">
        <v>89.070999999999998</v>
      </c>
    </row>
    <row r="946" spans="1:20">
      <c r="A946" s="71" t="s">
        <v>1176</v>
      </c>
      <c r="B946" s="71" t="s">
        <v>1177</v>
      </c>
      <c r="C946" s="71">
        <v>0</v>
      </c>
      <c r="D946" s="71">
        <v>0</v>
      </c>
      <c r="E946" s="71">
        <v>0</v>
      </c>
      <c r="F946" s="71">
        <v>0</v>
      </c>
      <c r="G946" s="71">
        <v>0</v>
      </c>
      <c r="H946" s="71">
        <v>0</v>
      </c>
      <c r="I946" s="71">
        <v>0</v>
      </c>
      <c r="J946" s="71">
        <v>0</v>
      </c>
      <c r="K946" s="71">
        <v>0</v>
      </c>
      <c r="L946" s="71">
        <v>0</v>
      </c>
      <c r="M946" s="71">
        <v>0</v>
      </c>
      <c r="N946" s="71">
        <v>0</v>
      </c>
      <c r="O946" s="71">
        <v>0</v>
      </c>
      <c r="P946" s="71">
        <v>0</v>
      </c>
      <c r="Q946" s="71">
        <v>0</v>
      </c>
      <c r="R946" s="71">
        <v>0</v>
      </c>
      <c r="S946" s="71">
        <v>0</v>
      </c>
      <c r="T946" s="71">
        <v>0</v>
      </c>
    </row>
    <row r="947" spans="1:20">
      <c r="A947" s="71" t="s">
        <v>5123</v>
      </c>
      <c r="B947" s="71" t="s">
        <v>337</v>
      </c>
      <c r="C947" s="71">
        <v>1938.09</v>
      </c>
      <c r="D947" s="71">
        <v>0</v>
      </c>
      <c r="E947" s="71">
        <v>0</v>
      </c>
      <c r="F947" s="71">
        <v>0.97399999999999998</v>
      </c>
      <c r="G947" s="71">
        <v>42.957999999999998</v>
      </c>
      <c r="H947" s="71">
        <v>15.343999999999999</v>
      </c>
      <c r="I947" s="71">
        <v>0</v>
      </c>
      <c r="J947" s="71">
        <v>6.8999999999999992E-2</v>
      </c>
      <c r="K947" s="71">
        <v>0</v>
      </c>
      <c r="L947" s="71">
        <v>0</v>
      </c>
      <c r="M947" s="71">
        <v>0</v>
      </c>
      <c r="N947" s="71">
        <v>1.4550000000000001</v>
      </c>
      <c r="O947" s="71">
        <v>0</v>
      </c>
      <c r="P947" s="71">
        <v>44.022999999999996</v>
      </c>
      <c r="Q947" s="71">
        <v>91.385000000000005</v>
      </c>
      <c r="R947" s="71">
        <v>1230.3</v>
      </c>
      <c r="S947" s="71">
        <v>375.65499999999997</v>
      </c>
      <c r="T947" s="71">
        <v>96.904499999999985</v>
      </c>
    </row>
    <row r="948" spans="1:20">
      <c r="A948" s="71" t="s">
        <v>7156</v>
      </c>
      <c r="B948" s="71" t="s">
        <v>1178</v>
      </c>
      <c r="C948" s="71">
        <v>332.45299999999997</v>
      </c>
      <c r="D948" s="71">
        <v>0</v>
      </c>
      <c r="E948" s="71">
        <v>0</v>
      </c>
      <c r="F948" s="71">
        <v>0.21</v>
      </c>
      <c r="G948" s="71">
        <v>0.77799999999999991</v>
      </c>
      <c r="H948" s="71">
        <v>0</v>
      </c>
      <c r="I948" s="71">
        <v>0</v>
      </c>
      <c r="J948" s="71">
        <v>0</v>
      </c>
      <c r="K948" s="71">
        <v>0</v>
      </c>
      <c r="L948" s="71">
        <v>0</v>
      </c>
      <c r="M948" s="71">
        <v>0</v>
      </c>
      <c r="N948" s="71">
        <v>0</v>
      </c>
      <c r="O948" s="71">
        <v>46.753999999999998</v>
      </c>
      <c r="P948" s="71">
        <v>5.0409999999999995</v>
      </c>
      <c r="Q948" s="71">
        <v>33.698999999999998</v>
      </c>
      <c r="R948" s="71">
        <v>263.2</v>
      </c>
      <c r="S948" s="71">
        <v>7.8879999999999999</v>
      </c>
      <c r="T948" s="71">
        <v>16.622649999999997</v>
      </c>
    </row>
    <row r="949" spans="1:20">
      <c r="A949" s="71" t="s">
        <v>4119</v>
      </c>
      <c r="B949" s="71" t="s">
        <v>563</v>
      </c>
      <c r="C949" s="71">
        <v>275.11</v>
      </c>
      <c r="D949" s="71">
        <v>0</v>
      </c>
      <c r="E949" s="71">
        <v>0</v>
      </c>
      <c r="F949" s="71">
        <v>0.31899999999999995</v>
      </c>
      <c r="G949" s="71">
        <v>14.696999999999999</v>
      </c>
      <c r="H949" s="71">
        <v>0.61</v>
      </c>
      <c r="I949" s="71">
        <v>0</v>
      </c>
      <c r="J949" s="71">
        <v>0</v>
      </c>
      <c r="K949" s="71">
        <v>0</v>
      </c>
      <c r="L949" s="71">
        <v>0</v>
      </c>
      <c r="M949" s="71">
        <v>0</v>
      </c>
      <c r="N949" s="71">
        <v>0</v>
      </c>
      <c r="O949" s="71">
        <v>0</v>
      </c>
      <c r="P949" s="71">
        <v>4.726</v>
      </c>
      <c r="Q949" s="71">
        <v>33.208999999999996</v>
      </c>
      <c r="R949" s="71">
        <v>134.5</v>
      </c>
      <c r="S949" s="71">
        <v>4.8739999999999997</v>
      </c>
      <c r="T949" s="71">
        <v>13.755499999999996</v>
      </c>
    </row>
    <row r="950" spans="1:20">
      <c r="A950" s="71" t="s">
        <v>4121</v>
      </c>
      <c r="B950" s="71" t="s">
        <v>564</v>
      </c>
      <c r="C950" s="71">
        <v>124.55799999999999</v>
      </c>
      <c r="D950" s="71">
        <v>0</v>
      </c>
      <c r="E950" s="71">
        <v>0</v>
      </c>
      <c r="F950" s="71">
        <v>0.26199999999999996</v>
      </c>
      <c r="G950" s="71">
        <v>4.5759999999999996</v>
      </c>
      <c r="H950" s="71">
        <v>4.0999999999999995E-2</v>
      </c>
      <c r="I950" s="71">
        <v>0</v>
      </c>
      <c r="J950" s="71">
        <v>0</v>
      </c>
      <c r="K950" s="71">
        <v>0</v>
      </c>
      <c r="L950" s="71">
        <v>0</v>
      </c>
      <c r="M950" s="71">
        <v>0</v>
      </c>
      <c r="N950" s="71">
        <v>0</v>
      </c>
      <c r="O950" s="71">
        <v>0</v>
      </c>
      <c r="P950" s="71">
        <v>1.0069999999999999</v>
      </c>
      <c r="Q950" s="71">
        <v>9.5909999999999993</v>
      </c>
      <c r="R950" s="71">
        <v>87.7</v>
      </c>
      <c r="S950" s="71">
        <v>1.9969999999999999</v>
      </c>
      <c r="T950" s="71">
        <v>6.2278999999999991</v>
      </c>
    </row>
    <row r="951" spans="1:20">
      <c r="A951" s="71" t="s">
        <v>4123</v>
      </c>
      <c r="B951" s="71" t="s">
        <v>565</v>
      </c>
      <c r="C951" s="71">
        <v>82.820999999999998</v>
      </c>
      <c r="D951" s="71">
        <v>0</v>
      </c>
      <c r="E951" s="71">
        <v>0</v>
      </c>
      <c r="F951" s="71">
        <v>0.29499999999999998</v>
      </c>
      <c r="G951" s="71">
        <v>1.9109999999999998</v>
      </c>
      <c r="H951" s="71">
        <v>0</v>
      </c>
      <c r="I951" s="71">
        <v>0</v>
      </c>
      <c r="J951" s="71">
        <v>0</v>
      </c>
      <c r="K951" s="71">
        <v>0</v>
      </c>
      <c r="L951" s="71">
        <v>0</v>
      </c>
      <c r="M951" s="71">
        <v>0</v>
      </c>
      <c r="N951" s="71">
        <v>0</v>
      </c>
      <c r="O951" s="71">
        <v>0</v>
      </c>
      <c r="P951" s="71">
        <v>0</v>
      </c>
      <c r="Q951" s="71">
        <v>0</v>
      </c>
      <c r="R951" s="71">
        <v>48.7</v>
      </c>
      <c r="S951" s="71">
        <v>1.9029999999999998</v>
      </c>
      <c r="T951" s="71">
        <v>1</v>
      </c>
    </row>
    <row r="952" spans="1:20">
      <c r="A952" s="71" t="s">
        <v>5032</v>
      </c>
      <c r="B952" s="71" t="s">
        <v>7666</v>
      </c>
      <c r="C952" s="71">
        <v>2376.87</v>
      </c>
      <c r="D952" s="71">
        <v>6.699999999999999E-2</v>
      </c>
      <c r="E952" s="71">
        <v>0</v>
      </c>
      <c r="F952" s="71">
        <v>3.9889999999999999</v>
      </c>
      <c r="G952" s="71">
        <v>87.67</v>
      </c>
      <c r="H952" s="71">
        <v>22.991999999999997</v>
      </c>
      <c r="I952" s="71">
        <v>0</v>
      </c>
      <c r="J952" s="71">
        <v>0</v>
      </c>
      <c r="K952" s="71">
        <v>0</v>
      </c>
      <c r="L952" s="71">
        <v>0</v>
      </c>
      <c r="M952" s="71">
        <v>13.241999999999999</v>
      </c>
      <c r="N952" s="71">
        <v>3.2999999999999995E-2</v>
      </c>
      <c r="O952" s="71">
        <v>0</v>
      </c>
      <c r="P952" s="71">
        <v>2.5000000000000001E-2</v>
      </c>
      <c r="Q952" s="71">
        <v>118.15299999999999</v>
      </c>
      <c r="R952" s="71">
        <v>852.8</v>
      </c>
      <c r="S952" s="71">
        <v>54.517999999999994</v>
      </c>
      <c r="T952" s="71">
        <v>118.84349999999999</v>
      </c>
    </row>
    <row r="953" spans="1:20">
      <c r="A953" s="71" t="s">
        <v>4125</v>
      </c>
      <c r="B953" s="71" t="s">
        <v>566</v>
      </c>
      <c r="C953" s="71">
        <v>1541.5919999999999</v>
      </c>
      <c r="D953" s="71">
        <v>0.38</v>
      </c>
      <c r="E953" s="71">
        <v>0</v>
      </c>
      <c r="F953" s="71">
        <v>2.4059999999999997</v>
      </c>
      <c r="G953" s="71">
        <v>38.992999999999995</v>
      </c>
      <c r="H953" s="71">
        <v>18.206</v>
      </c>
      <c r="I953" s="71">
        <v>0</v>
      </c>
      <c r="J953" s="71">
        <v>0</v>
      </c>
      <c r="K953" s="71">
        <v>0</v>
      </c>
      <c r="L953" s="71">
        <v>0</v>
      </c>
      <c r="M953" s="71">
        <v>0.69899999999999995</v>
      </c>
      <c r="N953" s="71">
        <v>0.44599999999999995</v>
      </c>
      <c r="O953" s="71">
        <v>0</v>
      </c>
      <c r="P953" s="71">
        <v>39.483999999999995</v>
      </c>
      <c r="Q953" s="71">
        <v>82.153999999999996</v>
      </c>
      <c r="R953" s="71">
        <v>545.29999999999995</v>
      </c>
      <c r="S953" s="71">
        <v>17.523999999999997</v>
      </c>
      <c r="T953" s="71">
        <v>77.079599999999985</v>
      </c>
    </row>
    <row r="954" spans="1:20">
      <c r="A954" s="71" t="s">
        <v>4127</v>
      </c>
      <c r="B954" s="71" t="s">
        <v>567</v>
      </c>
      <c r="C954" s="71">
        <v>2508.779</v>
      </c>
      <c r="D954" s="71">
        <v>0.61699999999999999</v>
      </c>
      <c r="E954" s="71">
        <v>0</v>
      </c>
      <c r="F954" s="71">
        <v>5.1619999999999999</v>
      </c>
      <c r="G954" s="71">
        <v>85.460999999999999</v>
      </c>
      <c r="H954" s="71">
        <v>41.238999999999997</v>
      </c>
      <c r="I954" s="71">
        <v>0</v>
      </c>
      <c r="J954" s="71">
        <v>0</v>
      </c>
      <c r="K954" s="71">
        <v>0</v>
      </c>
      <c r="L954" s="71">
        <v>0</v>
      </c>
      <c r="M954" s="71">
        <v>10.597</v>
      </c>
      <c r="N954" s="71">
        <v>2.4239999999999999</v>
      </c>
      <c r="O954" s="71">
        <v>0</v>
      </c>
      <c r="P954" s="71">
        <v>24.138999999999999</v>
      </c>
      <c r="Q954" s="71">
        <v>100.687</v>
      </c>
      <c r="R954" s="71">
        <v>2260.6999999999998</v>
      </c>
      <c r="S954" s="71">
        <v>23.693999999999999</v>
      </c>
      <c r="T954" s="71">
        <v>125.43894999999999</v>
      </c>
    </row>
    <row r="955" spans="1:20">
      <c r="A955" s="71" t="s">
        <v>5033</v>
      </c>
      <c r="B955" s="71" t="s">
        <v>4059</v>
      </c>
      <c r="C955" s="71">
        <v>4558.6439999999993</v>
      </c>
      <c r="D955" s="71">
        <v>1.5129999999999999</v>
      </c>
      <c r="E955" s="71">
        <v>0</v>
      </c>
      <c r="F955" s="71">
        <v>7.6159999999999997</v>
      </c>
      <c r="G955" s="71">
        <v>198.75</v>
      </c>
      <c r="H955" s="71">
        <v>77.303999999999988</v>
      </c>
      <c r="I955" s="71">
        <v>0</v>
      </c>
      <c r="J955" s="71">
        <v>0</v>
      </c>
      <c r="K955" s="71">
        <v>0</v>
      </c>
      <c r="L955" s="71">
        <v>0</v>
      </c>
      <c r="M955" s="71">
        <v>9.1789999999999985</v>
      </c>
      <c r="N955" s="71">
        <v>1.6869999999999998</v>
      </c>
      <c r="O955" s="71">
        <v>0</v>
      </c>
      <c r="P955" s="71">
        <v>137.04899999999998</v>
      </c>
      <c r="Q955" s="71">
        <v>262.15699999999998</v>
      </c>
      <c r="R955" s="71">
        <v>2721.8</v>
      </c>
      <c r="S955" s="71">
        <v>19.911999999999999</v>
      </c>
      <c r="T955" s="71">
        <v>227.93199999999999</v>
      </c>
    </row>
    <row r="956" spans="1:20">
      <c r="A956" s="71" t="s">
        <v>4129</v>
      </c>
      <c r="B956" s="71" t="s">
        <v>1621</v>
      </c>
      <c r="C956" s="71">
        <v>3451.7189999999996</v>
      </c>
      <c r="D956" s="71">
        <v>0.67899999999999994</v>
      </c>
      <c r="E956" s="71">
        <v>0</v>
      </c>
      <c r="F956" s="71">
        <v>5.48</v>
      </c>
      <c r="G956" s="71">
        <v>97.070999999999998</v>
      </c>
      <c r="H956" s="71">
        <v>34.094999999999999</v>
      </c>
      <c r="I956" s="71">
        <v>0</v>
      </c>
      <c r="J956" s="71">
        <v>0</v>
      </c>
      <c r="K956" s="71">
        <v>0</v>
      </c>
      <c r="L956" s="71">
        <v>0</v>
      </c>
      <c r="M956" s="71">
        <v>2.7779999999999996</v>
      </c>
      <c r="N956" s="71">
        <v>0.60399999999999998</v>
      </c>
      <c r="O956" s="71">
        <v>15.328999999999999</v>
      </c>
      <c r="P956" s="71">
        <v>141.47799999999998</v>
      </c>
      <c r="Q956" s="71">
        <v>223.83099999999999</v>
      </c>
      <c r="R956" s="71">
        <v>1243.2</v>
      </c>
      <c r="S956" s="71">
        <v>29.188999999999997</v>
      </c>
      <c r="T956" s="71">
        <v>172.58595</v>
      </c>
    </row>
    <row r="957" spans="1:20">
      <c r="A957" s="71" t="s">
        <v>1179</v>
      </c>
      <c r="B957" s="71" t="s">
        <v>1180</v>
      </c>
      <c r="C957" s="71">
        <v>0</v>
      </c>
      <c r="D957" s="71">
        <v>0</v>
      </c>
      <c r="E957" s="71">
        <v>0</v>
      </c>
      <c r="F957" s="71">
        <v>0</v>
      </c>
      <c r="G957" s="71">
        <v>0</v>
      </c>
      <c r="H957" s="71">
        <v>0</v>
      </c>
      <c r="I957" s="71">
        <v>0</v>
      </c>
      <c r="J957" s="71">
        <v>0</v>
      </c>
      <c r="K957" s="71">
        <v>0</v>
      </c>
      <c r="L957" s="71">
        <v>0</v>
      </c>
      <c r="M957" s="71">
        <v>0</v>
      </c>
      <c r="N957" s="71">
        <v>0</v>
      </c>
      <c r="O957" s="71">
        <v>0</v>
      </c>
      <c r="P957" s="71">
        <v>0</v>
      </c>
      <c r="Q957" s="71">
        <v>0</v>
      </c>
      <c r="R957" s="71">
        <v>0</v>
      </c>
      <c r="S957" s="71">
        <v>0</v>
      </c>
      <c r="T957" s="71">
        <v>0</v>
      </c>
    </row>
    <row r="958" spans="1:20">
      <c r="A958" s="71" t="s">
        <v>4131</v>
      </c>
      <c r="B958" s="71" t="s">
        <v>1622</v>
      </c>
      <c r="C958" s="71">
        <v>180.83799999999999</v>
      </c>
      <c r="D958" s="71">
        <v>0</v>
      </c>
      <c r="E958" s="71">
        <v>0</v>
      </c>
      <c r="F958" s="71">
        <v>0.16799999999999998</v>
      </c>
      <c r="G958" s="71">
        <v>8.6289999999999996</v>
      </c>
      <c r="H958" s="71">
        <v>0</v>
      </c>
      <c r="I958" s="71">
        <v>0</v>
      </c>
      <c r="J958" s="71">
        <v>0</v>
      </c>
      <c r="K958" s="71">
        <v>0</v>
      </c>
      <c r="L958" s="71">
        <v>0</v>
      </c>
      <c r="M958" s="71">
        <v>0.76500000000000001</v>
      </c>
      <c r="N958" s="71">
        <v>0</v>
      </c>
      <c r="O958" s="71">
        <v>0</v>
      </c>
      <c r="P958" s="71">
        <v>2.88</v>
      </c>
      <c r="Q958" s="71">
        <v>10.321999999999999</v>
      </c>
      <c r="R958" s="71">
        <v>94.5</v>
      </c>
      <c r="S958" s="71">
        <v>1</v>
      </c>
      <c r="T958" s="71">
        <v>9.0418999999999983</v>
      </c>
    </row>
    <row r="959" spans="1:20">
      <c r="A959" s="71" t="s">
        <v>4133</v>
      </c>
      <c r="B959" s="71" t="s">
        <v>1623</v>
      </c>
      <c r="C959" s="71">
        <v>308.94699999999995</v>
      </c>
      <c r="D959" s="71">
        <v>0</v>
      </c>
      <c r="E959" s="71">
        <v>0</v>
      </c>
      <c r="F959" s="71">
        <v>0.34699999999999998</v>
      </c>
      <c r="G959" s="71">
        <v>13.486999999999998</v>
      </c>
      <c r="H959" s="71">
        <v>0</v>
      </c>
      <c r="I959" s="71">
        <v>0</v>
      </c>
      <c r="J959" s="71">
        <v>0</v>
      </c>
      <c r="K959" s="71">
        <v>0</v>
      </c>
      <c r="L959" s="71">
        <v>0</v>
      </c>
      <c r="M959" s="71">
        <v>3.6709999999999998</v>
      </c>
      <c r="N959" s="71">
        <v>0</v>
      </c>
      <c r="O959" s="71">
        <v>0</v>
      </c>
      <c r="P959" s="71">
        <v>0</v>
      </c>
      <c r="Q959" s="71">
        <v>19.008999999999997</v>
      </c>
      <c r="R959" s="71">
        <v>205.8</v>
      </c>
      <c r="S959" s="71">
        <v>2.9619999999999997</v>
      </c>
      <c r="T959" s="71">
        <v>15.446999999999999</v>
      </c>
    </row>
    <row r="960" spans="1:20">
      <c r="A960" s="71" t="s">
        <v>6175</v>
      </c>
      <c r="B960" s="71" t="s">
        <v>501</v>
      </c>
      <c r="C960" s="71">
        <v>3420.2289999999998</v>
      </c>
      <c r="D960" s="71">
        <v>0.40899999999999997</v>
      </c>
      <c r="E960" s="71">
        <v>0</v>
      </c>
      <c r="F960" s="71">
        <v>8.3679999999999986</v>
      </c>
      <c r="G960" s="71">
        <v>150.905</v>
      </c>
      <c r="H960" s="71">
        <v>43.235999999999997</v>
      </c>
      <c r="I960" s="71">
        <v>0</v>
      </c>
      <c r="J960" s="71">
        <v>0</v>
      </c>
      <c r="K960" s="71">
        <v>0</v>
      </c>
      <c r="L960" s="71">
        <v>0</v>
      </c>
      <c r="M960" s="71">
        <v>3.9489999999999998</v>
      </c>
      <c r="N960" s="71">
        <v>2.8069999999999999</v>
      </c>
      <c r="O960" s="71">
        <v>0</v>
      </c>
      <c r="P960" s="71">
        <v>35.67</v>
      </c>
      <c r="Q960" s="71">
        <v>197.48599999999999</v>
      </c>
      <c r="R960" s="71">
        <v>2251.5</v>
      </c>
      <c r="S960" s="71">
        <v>250.86099999999999</v>
      </c>
      <c r="T960" s="71">
        <v>154</v>
      </c>
    </row>
    <row r="961" spans="1:20">
      <c r="A961" s="71" t="s">
        <v>4135</v>
      </c>
      <c r="B961" s="71" t="s">
        <v>1624</v>
      </c>
      <c r="C961" s="71">
        <v>463.08799999999997</v>
      </c>
      <c r="D961" s="71">
        <v>0</v>
      </c>
      <c r="E961" s="71">
        <v>0</v>
      </c>
      <c r="F961" s="71">
        <v>0.52299999999999991</v>
      </c>
      <c r="G961" s="71">
        <v>15.96</v>
      </c>
      <c r="H961" s="71">
        <v>0</v>
      </c>
      <c r="I961" s="71">
        <v>0</v>
      </c>
      <c r="J961" s="71">
        <v>0</v>
      </c>
      <c r="K961" s="71">
        <v>0</v>
      </c>
      <c r="L961" s="71">
        <v>0</v>
      </c>
      <c r="M961" s="71">
        <v>2.1079999999999997</v>
      </c>
      <c r="N961" s="71">
        <v>0</v>
      </c>
      <c r="O961" s="71">
        <v>0</v>
      </c>
      <c r="P961" s="71">
        <v>2.6309999999999998</v>
      </c>
      <c r="Q961" s="71">
        <v>30.486999999999998</v>
      </c>
      <c r="R961" s="71">
        <v>225.3</v>
      </c>
      <c r="S961" s="71">
        <v>15.632</v>
      </c>
      <c r="T961" s="71">
        <v>23.154</v>
      </c>
    </row>
    <row r="962" spans="1:20">
      <c r="A962" s="71" t="s">
        <v>4137</v>
      </c>
      <c r="B962" s="71" t="s">
        <v>1625</v>
      </c>
      <c r="C962" s="71">
        <v>171.50699999999998</v>
      </c>
      <c r="D962" s="71">
        <v>0</v>
      </c>
      <c r="E962" s="71">
        <v>0</v>
      </c>
      <c r="F962" s="71">
        <v>0.30499999999999999</v>
      </c>
      <c r="G962" s="71">
        <v>6.4259999999999993</v>
      </c>
      <c r="H962" s="71">
        <v>0</v>
      </c>
      <c r="I962" s="71">
        <v>0</v>
      </c>
      <c r="J962" s="71">
        <v>0</v>
      </c>
      <c r="K962" s="71">
        <v>0</v>
      </c>
      <c r="L962" s="71">
        <v>0</v>
      </c>
      <c r="M962" s="71">
        <v>3.1739999999999999</v>
      </c>
      <c r="N962" s="71">
        <v>0</v>
      </c>
      <c r="O962" s="71">
        <v>0</v>
      </c>
      <c r="P962" s="71">
        <v>0.44099999999999995</v>
      </c>
      <c r="Q962" s="71">
        <v>5.718</v>
      </c>
      <c r="R962" s="71">
        <v>111.5</v>
      </c>
      <c r="S962" s="71">
        <v>14.257</v>
      </c>
      <c r="T962" s="71">
        <v>8.5749999999999993</v>
      </c>
    </row>
    <row r="963" spans="1:20">
      <c r="A963" s="71" t="s">
        <v>4139</v>
      </c>
      <c r="B963" s="71" t="s">
        <v>1626</v>
      </c>
      <c r="C963" s="71">
        <v>88.484999999999999</v>
      </c>
      <c r="D963" s="71">
        <v>0</v>
      </c>
      <c r="E963" s="71">
        <v>0</v>
      </c>
      <c r="F963" s="71">
        <v>0.182</v>
      </c>
      <c r="G963" s="71">
        <v>3.5319999999999996</v>
      </c>
      <c r="H963" s="71">
        <v>0</v>
      </c>
      <c r="I963" s="71">
        <v>0</v>
      </c>
      <c r="J963" s="71">
        <v>0</v>
      </c>
      <c r="K963" s="71">
        <v>0</v>
      </c>
      <c r="L963" s="71">
        <v>0</v>
      </c>
      <c r="M963" s="71">
        <v>0</v>
      </c>
      <c r="N963" s="71">
        <v>0</v>
      </c>
      <c r="O963" s="71">
        <v>0</v>
      </c>
      <c r="P963" s="71">
        <v>0.41599999999999998</v>
      </c>
      <c r="Q963" s="71">
        <v>0</v>
      </c>
      <c r="R963" s="71">
        <v>64.7</v>
      </c>
      <c r="S963" s="71">
        <v>6.7579999999999991</v>
      </c>
      <c r="T963" s="71">
        <v>2</v>
      </c>
    </row>
    <row r="964" spans="1:20">
      <c r="A964" s="71" t="s">
        <v>1181</v>
      </c>
      <c r="B964" s="71" t="s">
        <v>1182</v>
      </c>
      <c r="C964" s="71">
        <v>142.51499999999999</v>
      </c>
      <c r="D964" s="71">
        <v>0</v>
      </c>
      <c r="E964" s="71">
        <v>0</v>
      </c>
      <c r="F964" s="71">
        <v>0</v>
      </c>
      <c r="G964" s="71">
        <v>7.6429999999999998</v>
      </c>
      <c r="H964" s="71">
        <v>0.21899999999999997</v>
      </c>
      <c r="I964" s="71">
        <v>0</v>
      </c>
      <c r="J964" s="71">
        <v>0</v>
      </c>
      <c r="K964" s="71">
        <v>0</v>
      </c>
      <c r="L964" s="71">
        <v>0</v>
      </c>
      <c r="M964" s="71">
        <v>6.93</v>
      </c>
      <c r="N964" s="71">
        <v>0</v>
      </c>
      <c r="O964" s="71">
        <v>0</v>
      </c>
      <c r="P964" s="71">
        <v>0</v>
      </c>
      <c r="Q964" s="71">
        <v>24.168999999999997</v>
      </c>
      <c r="R964" s="71">
        <v>82.7</v>
      </c>
      <c r="S964" s="71">
        <v>0</v>
      </c>
      <c r="T964" s="71">
        <v>0</v>
      </c>
    </row>
    <row r="965" spans="1:20">
      <c r="A965" s="71" t="s">
        <v>4141</v>
      </c>
      <c r="B965" s="71" t="s">
        <v>1627</v>
      </c>
      <c r="C965" s="71">
        <v>486.82</v>
      </c>
      <c r="D965" s="71">
        <v>0.109</v>
      </c>
      <c r="E965" s="71">
        <v>0</v>
      </c>
      <c r="F965" s="71">
        <v>1.7469999999999999</v>
      </c>
      <c r="G965" s="71">
        <v>13.87</v>
      </c>
      <c r="H965" s="71">
        <v>3.3779999999999997</v>
      </c>
      <c r="I965" s="71">
        <v>0</v>
      </c>
      <c r="J965" s="71">
        <v>0</v>
      </c>
      <c r="K965" s="71">
        <v>0</v>
      </c>
      <c r="L965" s="71">
        <v>0</v>
      </c>
      <c r="M965" s="71">
        <v>1.1829999999999998</v>
      </c>
      <c r="N965" s="71">
        <v>0</v>
      </c>
      <c r="O965" s="71">
        <v>0</v>
      </c>
      <c r="P965" s="71">
        <v>11.427</v>
      </c>
      <c r="Q965" s="71">
        <v>14.895</v>
      </c>
      <c r="R965" s="71">
        <v>254.7</v>
      </c>
      <c r="S965" s="71">
        <v>9.4409999999999989</v>
      </c>
      <c r="T965" s="71">
        <v>19</v>
      </c>
    </row>
    <row r="966" spans="1:20">
      <c r="A966" s="71" t="s">
        <v>4143</v>
      </c>
      <c r="B966" s="71" t="s">
        <v>1628</v>
      </c>
      <c r="C966" s="71">
        <v>2600.7629999999999</v>
      </c>
      <c r="D966" s="71">
        <v>0.496</v>
      </c>
      <c r="E966" s="71">
        <v>0</v>
      </c>
      <c r="F966" s="71">
        <v>6.2079999999999993</v>
      </c>
      <c r="G966" s="71">
        <v>41.875999999999998</v>
      </c>
      <c r="H966" s="71">
        <v>29.666999999999998</v>
      </c>
      <c r="I966" s="71">
        <v>0</v>
      </c>
      <c r="J966" s="71">
        <v>0</v>
      </c>
      <c r="K966" s="71">
        <v>0</v>
      </c>
      <c r="L966" s="71">
        <v>0</v>
      </c>
      <c r="M966" s="71">
        <v>14.265999999999998</v>
      </c>
      <c r="N966" s="71">
        <v>0.41299999999999998</v>
      </c>
      <c r="O966" s="71">
        <v>0</v>
      </c>
      <c r="P966" s="71">
        <v>67.17</v>
      </c>
      <c r="Q966" s="71">
        <v>99.751999999999995</v>
      </c>
      <c r="R966" s="71">
        <v>1286.2</v>
      </c>
      <c r="S966" s="71">
        <v>83.850999999999999</v>
      </c>
      <c r="T966" s="71">
        <v>130.03799999999998</v>
      </c>
    </row>
    <row r="967" spans="1:20">
      <c r="A967" s="71" t="s">
        <v>1318</v>
      </c>
      <c r="B967" s="71" t="s">
        <v>124</v>
      </c>
      <c r="C967" s="71">
        <v>292.63</v>
      </c>
      <c r="D967" s="71">
        <v>0</v>
      </c>
      <c r="E967" s="71">
        <v>0</v>
      </c>
      <c r="F967" s="71">
        <v>0.72599999999999998</v>
      </c>
      <c r="G967" s="71">
        <v>15.321</v>
      </c>
      <c r="H967" s="71">
        <v>0</v>
      </c>
      <c r="I967" s="71">
        <v>0</v>
      </c>
      <c r="J967" s="71">
        <v>0</v>
      </c>
      <c r="K967" s="71">
        <v>0</v>
      </c>
      <c r="L967" s="71">
        <v>0</v>
      </c>
      <c r="M967" s="71">
        <v>3.5479999999999996</v>
      </c>
      <c r="N967" s="71">
        <v>0</v>
      </c>
      <c r="O967" s="71">
        <v>0</v>
      </c>
      <c r="P967" s="71">
        <v>8.4189999999999987</v>
      </c>
      <c r="Q967" s="71">
        <v>15.302</v>
      </c>
      <c r="R967" s="71">
        <v>136.30000000000001</v>
      </c>
      <c r="S967" s="71">
        <v>3.3009999999999997</v>
      </c>
      <c r="T967" s="71">
        <v>14.631499999999999</v>
      </c>
    </row>
    <row r="968" spans="1:20">
      <c r="A968" s="71" t="s">
        <v>2536</v>
      </c>
      <c r="B968" s="71" t="s">
        <v>344</v>
      </c>
      <c r="C968" s="71">
        <v>472.73099999999999</v>
      </c>
      <c r="D968" s="71">
        <v>5.1999999999999998E-2</v>
      </c>
      <c r="E968" s="71">
        <v>0</v>
      </c>
      <c r="F968" s="71">
        <v>0.93</v>
      </c>
      <c r="G968" s="71">
        <v>17.462</v>
      </c>
      <c r="H968" s="71">
        <v>1.337</v>
      </c>
      <c r="I968" s="71">
        <v>0</v>
      </c>
      <c r="J968" s="71">
        <v>0</v>
      </c>
      <c r="K968" s="71">
        <v>0</v>
      </c>
      <c r="L968" s="71">
        <v>0</v>
      </c>
      <c r="M968" s="71">
        <v>0</v>
      </c>
      <c r="N968" s="71">
        <v>0.124</v>
      </c>
      <c r="O968" s="71">
        <v>0</v>
      </c>
      <c r="P968" s="71">
        <v>10.09</v>
      </c>
      <c r="Q968" s="71">
        <v>20.738999999999997</v>
      </c>
      <c r="R968" s="71">
        <v>322.7</v>
      </c>
      <c r="S968" s="71">
        <v>16.256999999999998</v>
      </c>
      <c r="T968" s="71">
        <v>23.636549999999996</v>
      </c>
    </row>
    <row r="969" spans="1:20">
      <c r="A969" s="71" t="s">
        <v>2407</v>
      </c>
      <c r="B969" s="71" t="s">
        <v>2352</v>
      </c>
      <c r="C969" s="71">
        <v>3243.0719999999997</v>
      </c>
      <c r="D969" s="71">
        <v>3.5000000000000003E-2</v>
      </c>
      <c r="E969" s="71">
        <v>0</v>
      </c>
      <c r="F969" s="71">
        <v>5.7879999999999994</v>
      </c>
      <c r="G969" s="71">
        <v>91.968999999999994</v>
      </c>
      <c r="H969" s="71">
        <v>42.941999999999993</v>
      </c>
      <c r="I969" s="71">
        <v>0</v>
      </c>
      <c r="J969" s="71">
        <v>0</v>
      </c>
      <c r="K969" s="71">
        <v>0</v>
      </c>
      <c r="L969" s="71">
        <v>0</v>
      </c>
      <c r="M969" s="71">
        <v>4.2639999999999993</v>
      </c>
      <c r="N969" s="71">
        <v>0.65799999999999992</v>
      </c>
      <c r="O969" s="71">
        <v>4.6389999999999993</v>
      </c>
      <c r="P969" s="71">
        <v>69.328999999999994</v>
      </c>
      <c r="Q969" s="71">
        <v>157.65799999999999</v>
      </c>
      <c r="R969" s="71">
        <v>1474.2</v>
      </c>
      <c r="S969" s="71">
        <v>73.23299999999999</v>
      </c>
      <c r="T969" s="71">
        <v>162.15359999999998</v>
      </c>
    </row>
    <row r="970" spans="1:20">
      <c r="A970" s="71" t="s">
        <v>5034</v>
      </c>
      <c r="B970" s="71" t="s">
        <v>4064</v>
      </c>
      <c r="C970" s="71">
        <v>6688.116</v>
      </c>
      <c r="D970" s="71">
        <v>0.26099999999999995</v>
      </c>
      <c r="E970" s="71">
        <v>0</v>
      </c>
      <c r="F970" s="71">
        <v>11.248999999999999</v>
      </c>
      <c r="G970" s="71">
        <v>236.46</v>
      </c>
      <c r="H970" s="71">
        <v>67.898999999999987</v>
      </c>
      <c r="I970" s="71">
        <v>0</v>
      </c>
      <c r="J970" s="71">
        <v>0</v>
      </c>
      <c r="K970" s="71">
        <v>0</v>
      </c>
      <c r="L970" s="71">
        <v>0</v>
      </c>
      <c r="M970" s="71">
        <v>3.0659999999999998</v>
      </c>
      <c r="N970" s="71">
        <v>0.17499999999999999</v>
      </c>
      <c r="O970" s="71">
        <v>5.0909999999999993</v>
      </c>
      <c r="P970" s="71">
        <v>21.980999999999998</v>
      </c>
      <c r="Q970" s="71">
        <v>307.80199999999996</v>
      </c>
      <c r="R970" s="71">
        <v>2689.7</v>
      </c>
      <c r="S970" s="71">
        <v>361.44499999999999</v>
      </c>
      <c r="T970" s="71">
        <v>334.40579999999994</v>
      </c>
    </row>
    <row r="971" spans="1:20">
      <c r="A971" s="71" t="s">
        <v>6174</v>
      </c>
      <c r="B971" s="71" t="s">
        <v>500</v>
      </c>
      <c r="C971" s="71">
        <v>732.87599999999998</v>
      </c>
      <c r="D971" s="71">
        <v>2.3E-2</v>
      </c>
      <c r="E971" s="71">
        <v>0</v>
      </c>
      <c r="F971" s="71">
        <v>0.82499999999999996</v>
      </c>
      <c r="G971" s="71">
        <v>45.045000000000002</v>
      </c>
      <c r="H971" s="71">
        <v>2.8179999999999996</v>
      </c>
      <c r="I971" s="71">
        <v>0</v>
      </c>
      <c r="J971" s="71">
        <v>0</v>
      </c>
      <c r="K971" s="71">
        <v>0</v>
      </c>
      <c r="L971" s="71">
        <v>0</v>
      </c>
      <c r="M971" s="71">
        <v>1.45</v>
      </c>
      <c r="N971" s="71">
        <v>0</v>
      </c>
      <c r="O971" s="71">
        <v>0</v>
      </c>
      <c r="P971" s="71">
        <v>4.5989999999999993</v>
      </c>
      <c r="Q971" s="71">
        <v>48.575000000000003</v>
      </c>
      <c r="R971" s="71">
        <v>280.7</v>
      </c>
      <c r="S971" s="71">
        <v>24.846999999999998</v>
      </c>
      <c r="T971" s="71">
        <v>36.643799999999992</v>
      </c>
    </row>
    <row r="972" spans="1:20">
      <c r="A972" s="71" t="s">
        <v>4145</v>
      </c>
      <c r="B972" s="71" t="s">
        <v>1629</v>
      </c>
      <c r="C972" s="71">
        <v>3801.6609999999996</v>
      </c>
      <c r="D972" s="71">
        <v>0.13599999999999998</v>
      </c>
      <c r="E972" s="71">
        <v>0</v>
      </c>
      <c r="F972" s="71">
        <v>7.359</v>
      </c>
      <c r="G972" s="71">
        <v>106.765</v>
      </c>
      <c r="H972" s="71">
        <v>25.2</v>
      </c>
      <c r="I972" s="71">
        <v>0</v>
      </c>
      <c r="J972" s="71">
        <v>0</v>
      </c>
      <c r="K972" s="71">
        <v>0</v>
      </c>
      <c r="L972" s="71">
        <v>0</v>
      </c>
      <c r="M972" s="71">
        <v>2.5459999999999998</v>
      </c>
      <c r="N972" s="71">
        <v>0</v>
      </c>
      <c r="O972" s="71">
        <v>0</v>
      </c>
      <c r="P972" s="71">
        <v>3.2889999999999997</v>
      </c>
      <c r="Q972" s="71">
        <v>120.136</v>
      </c>
      <c r="R972" s="71">
        <v>396.2</v>
      </c>
      <c r="S972" s="71">
        <v>66.801999999999992</v>
      </c>
      <c r="T972" s="71">
        <v>190.083</v>
      </c>
    </row>
    <row r="973" spans="1:20">
      <c r="A973" s="71" t="s">
        <v>6196</v>
      </c>
      <c r="B973" s="71" t="s">
        <v>5295</v>
      </c>
      <c r="C973" s="71">
        <v>961.64699999999993</v>
      </c>
      <c r="D973" s="71">
        <v>6.3999999999999987E-2</v>
      </c>
      <c r="E973" s="71">
        <v>0</v>
      </c>
      <c r="F973" s="71">
        <v>1.5209999999999999</v>
      </c>
      <c r="G973" s="71">
        <v>39.448999999999998</v>
      </c>
      <c r="H973" s="71">
        <v>4.8099999999999996</v>
      </c>
      <c r="I973" s="71">
        <v>0</v>
      </c>
      <c r="J973" s="71">
        <v>0</v>
      </c>
      <c r="K973" s="71">
        <v>0</v>
      </c>
      <c r="L973" s="71">
        <v>0</v>
      </c>
      <c r="M973" s="71">
        <v>1.825</v>
      </c>
      <c r="N973" s="71">
        <v>0</v>
      </c>
      <c r="O973" s="71">
        <v>0</v>
      </c>
      <c r="P973" s="71">
        <v>21.256999999999998</v>
      </c>
      <c r="Q973" s="71">
        <v>43.686</v>
      </c>
      <c r="R973" s="71">
        <v>220.3</v>
      </c>
      <c r="S973" s="71">
        <v>12.781999999999998</v>
      </c>
      <c r="T973" s="71">
        <v>48.081999999999994</v>
      </c>
    </row>
    <row r="974" spans="1:20">
      <c r="A974" s="71" t="s">
        <v>6131</v>
      </c>
      <c r="B974" s="71" t="s">
        <v>7667</v>
      </c>
      <c r="C974" s="71">
        <v>681.89299999999992</v>
      </c>
      <c r="D974" s="71">
        <v>2.5000000000000001E-2</v>
      </c>
      <c r="E974" s="71">
        <v>0</v>
      </c>
      <c r="F974" s="71">
        <v>1.077</v>
      </c>
      <c r="G974" s="71">
        <v>29.927</v>
      </c>
      <c r="H974" s="71">
        <v>3.4989999999999997</v>
      </c>
      <c r="I974" s="71">
        <v>0</v>
      </c>
      <c r="J974" s="71">
        <v>0.65099999999999991</v>
      </c>
      <c r="K974" s="71">
        <v>0</v>
      </c>
      <c r="L974" s="71">
        <v>0</v>
      </c>
      <c r="M974" s="71">
        <v>4.5999999999999999E-2</v>
      </c>
      <c r="N974" s="71">
        <v>0.33399999999999996</v>
      </c>
      <c r="O974" s="71">
        <v>0</v>
      </c>
      <c r="P974" s="71">
        <v>2.54</v>
      </c>
      <c r="Q974" s="71">
        <v>32.721999999999994</v>
      </c>
      <c r="R974" s="71">
        <v>68.3</v>
      </c>
      <c r="S974" s="71">
        <v>3.8439999999999999</v>
      </c>
      <c r="T974" s="71">
        <v>34.094649999999994</v>
      </c>
    </row>
    <row r="975" spans="1:20">
      <c r="A975" s="71" t="s">
        <v>254</v>
      </c>
      <c r="B975" s="71" t="s">
        <v>1630</v>
      </c>
      <c r="C975" s="71">
        <v>176.11199999999999</v>
      </c>
      <c r="D975" s="71">
        <v>0</v>
      </c>
      <c r="E975" s="71">
        <v>0</v>
      </c>
      <c r="F975" s="71">
        <v>0.39199999999999996</v>
      </c>
      <c r="G975" s="71">
        <v>6.41</v>
      </c>
      <c r="H975" s="71">
        <v>1.3439999999999999</v>
      </c>
      <c r="I975" s="71">
        <v>0</v>
      </c>
      <c r="J975" s="71">
        <v>0</v>
      </c>
      <c r="K975" s="71">
        <v>0</v>
      </c>
      <c r="L975" s="71">
        <v>0</v>
      </c>
      <c r="M975" s="71">
        <v>0</v>
      </c>
      <c r="N975" s="71">
        <v>0</v>
      </c>
      <c r="O975" s="71">
        <v>0</v>
      </c>
      <c r="P975" s="71">
        <v>0.42699999999999999</v>
      </c>
      <c r="Q975" s="71">
        <v>0</v>
      </c>
      <c r="R975" s="71">
        <v>74.7</v>
      </c>
      <c r="S975" s="71">
        <v>1.857</v>
      </c>
      <c r="T975" s="71">
        <v>8.8055999999999983</v>
      </c>
    </row>
    <row r="976" spans="1:20">
      <c r="A976" s="71" t="s">
        <v>256</v>
      </c>
      <c r="B976" s="71" t="s">
        <v>1631</v>
      </c>
      <c r="C976" s="71">
        <v>467.51</v>
      </c>
      <c r="D976" s="71">
        <v>0</v>
      </c>
      <c r="E976" s="71">
        <v>0</v>
      </c>
      <c r="F976" s="71">
        <v>0.90299999999999991</v>
      </c>
      <c r="G976" s="71">
        <v>12.199</v>
      </c>
      <c r="H976" s="71">
        <v>0.72199999999999998</v>
      </c>
      <c r="I976" s="71">
        <v>0</v>
      </c>
      <c r="J976" s="71">
        <v>0</v>
      </c>
      <c r="K976" s="71">
        <v>0</v>
      </c>
      <c r="L976" s="71">
        <v>0</v>
      </c>
      <c r="M976" s="71">
        <v>0</v>
      </c>
      <c r="N976" s="71">
        <v>0</v>
      </c>
      <c r="O976" s="71">
        <v>0</v>
      </c>
      <c r="P976" s="71">
        <v>7.1419999999999995</v>
      </c>
      <c r="Q976" s="71">
        <v>12.539</v>
      </c>
      <c r="R976" s="71">
        <v>479.2</v>
      </c>
      <c r="S976" s="71">
        <v>95.778999999999996</v>
      </c>
      <c r="T976" s="71">
        <v>23.375499999999999</v>
      </c>
    </row>
    <row r="977" spans="1:20">
      <c r="A977" s="71" t="s">
        <v>258</v>
      </c>
      <c r="B977" s="71" t="s">
        <v>1632</v>
      </c>
      <c r="C977" s="71">
        <v>479.55799999999999</v>
      </c>
      <c r="D977" s="71">
        <v>0</v>
      </c>
      <c r="E977" s="71">
        <v>0</v>
      </c>
      <c r="F977" s="71">
        <v>0.82</v>
      </c>
      <c r="G977" s="71">
        <v>17.692999999999998</v>
      </c>
      <c r="H977" s="71">
        <v>0.79299999999999993</v>
      </c>
      <c r="I977" s="71">
        <v>0</v>
      </c>
      <c r="J977" s="71">
        <v>0.105</v>
      </c>
      <c r="K977" s="71">
        <v>0</v>
      </c>
      <c r="L977" s="71">
        <v>0</v>
      </c>
      <c r="M977" s="71">
        <v>0</v>
      </c>
      <c r="N977" s="71">
        <v>0</v>
      </c>
      <c r="O977" s="71">
        <v>0.86199999999999999</v>
      </c>
      <c r="P977" s="71">
        <v>4.4050000000000002</v>
      </c>
      <c r="Q977" s="71">
        <v>18.704999999999998</v>
      </c>
      <c r="R977" s="71">
        <v>276.8</v>
      </c>
      <c r="S977" s="71">
        <v>51.826999999999998</v>
      </c>
      <c r="T977" s="71">
        <v>23.977899999999998</v>
      </c>
    </row>
    <row r="978" spans="1:20">
      <c r="A978" s="71" t="s">
        <v>260</v>
      </c>
      <c r="B978" s="71" t="s">
        <v>1633</v>
      </c>
      <c r="C978" s="71">
        <v>1157.8629999999998</v>
      </c>
      <c r="D978" s="71">
        <v>0</v>
      </c>
      <c r="E978" s="71">
        <v>0</v>
      </c>
      <c r="F978" s="71">
        <v>1.55</v>
      </c>
      <c r="G978" s="71">
        <v>27.85</v>
      </c>
      <c r="H978" s="71">
        <v>5.6829999999999998</v>
      </c>
      <c r="I978" s="71">
        <v>0</v>
      </c>
      <c r="J978" s="71">
        <v>0</v>
      </c>
      <c r="K978" s="71">
        <v>0</v>
      </c>
      <c r="L978" s="71">
        <v>0</v>
      </c>
      <c r="M978" s="71">
        <v>0</v>
      </c>
      <c r="N978" s="71">
        <v>2.5999999999999999E-2</v>
      </c>
      <c r="O978" s="71">
        <v>0</v>
      </c>
      <c r="P978" s="71">
        <v>30.603999999999999</v>
      </c>
      <c r="Q978" s="71">
        <v>86.781999999999996</v>
      </c>
      <c r="R978" s="71">
        <v>991.2</v>
      </c>
      <c r="S978" s="71">
        <v>185.38</v>
      </c>
      <c r="T978" s="71">
        <v>57.892999999999994</v>
      </c>
    </row>
    <row r="979" spans="1:20">
      <c r="A979" s="71" t="s">
        <v>262</v>
      </c>
      <c r="B979" s="71" t="s">
        <v>1634</v>
      </c>
      <c r="C979" s="71">
        <v>122.309</v>
      </c>
      <c r="D979" s="71">
        <v>0</v>
      </c>
      <c r="E979" s="71">
        <v>0</v>
      </c>
      <c r="F979" s="71">
        <v>0.105</v>
      </c>
      <c r="G979" s="71">
        <v>3.6419999999999999</v>
      </c>
      <c r="H979" s="71">
        <v>0</v>
      </c>
      <c r="I979" s="71">
        <v>0</v>
      </c>
      <c r="J979" s="71">
        <v>0</v>
      </c>
      <c r="K979" s="71">
        <v>0</v>
      </c>
      <c r="L979" s="71">
        <v>0</v>
      </c>
      <c r="M979" s="71">
        <v>0</v>
      </c>
      <c r="N979" s="71">
        <v>0</v>
      </c>
      <c r="O979" s="71">
        <v>0</v>
      </c>
      <c r="P979" s="71">
        <v>0.94599999999999995</v>
      </c>
      <c r="Q979" s="71">
        <v>8.4139999999999997</v>
      </c>
      <c r="R979" s="71">
        <v>139.30000000000001</v>
      </c>
      <c r="S979" s="71">
        <v>17.343999999999998</v>
      </c>
      <c r="T979" s="71">
        <v>6</v>
      </c>
    </row>
    <row r="980" spans="1:20">
      <c r="A980" s="71" t="s">
        <v>872</v>
      </c>
      <c r="B980" s="71" t="s">
        <v>397</v>
      </c>
      <c r="C980" s="71">
        <v>114.98099999999999</v>
      </c>
      <c r="D980" s="71">
        <v>0</v>
      </c>
      <c r="E980" s="71">
        <v>0</v>
      </c>
      <c r="F980" s="71">
        <v>0.2</v>
      </c>
      <c r="G980" s="71">
        <v>3.4529999999999998</v>
      </c>
      <c r="H980" s="71">
        <v>8.6999999999999994E-2</v>
      </c>
      <c r="I980" s="71">
        <v>0</v>
      </c>
      <c r="J980" s="71">
        <v>0</v>
      </c>
      <c r="K980" s="71">
        <v>0</v>
      </c>
      <c r="L980" s="71">
        <v>0</v>
      </c>
      <c r="M980" s="71">
        <v>0</v>
      </c>
      <c r="N980" s="71">
        <v>0</v>
      </c>
      <c r="O980" s="71">
        <v>0</v>
      </c>
      <c r="P980" s="71">
        <v>1.6469999999999998</v>
      </c>
      <c r="Q980" s="71">
        <v>6.4819999999999993</v>
      </c>
      <c r="R980" s="71">
        <v>83.7</v>
      </c>
      <c r="S980" s="71">
        <v>16.254999999999999</v>
      </c>
      <c r="T980" s="71">
        <v>4</v>
      </c>
    </row>
    <row r="981" spans="1:20">
      <c r="A981" s="71" t="s">
        <v>874</v>
      </c>
      <c r="B981" s="71" t="s">
        <v>398</v>
      </c>
      <c r="C981" s="71">
        <v>2047.1619999999998</v>
      </c>
      <c r="D981" s="71">
        <v>8.0999999999999989E-2</v>
      </c>
      <c r="E981" s="71">
        <v>0</v>
      </c>
      <c r="F981" s="71">
        <v>1.9729999999999999</v>
      </c>
      <c r="G981" s="71">
        <v>40.180999999999997</v>
      </c>
      <c r="H981" s="71">
        <v>10.155999999999999</v>
      </c>
      <c r="I981" s="71">
        <v>0</v>
      </c>
      <c r="J981" s="71">
        <v>0.40599999999999997</v>
      </c>
      <c r="K981" s="71">
        <v>0</v>
      </c>
      <c r="L981" s="71">
        <v>0</v>
      </c>
      <c r="M981" s="71">
        <v>8.8919999999999995</v>
      </c>
      <c r="N981" s="71">
        <v>1.1839999999999999</v>
      </c>
      <c r="O981" s="71">
        <v>0</v>
      </c>
      <c r="P981" s="71">
        <v>40.933</v>
      </c>
      <c r="Q981" s="71">
        <v>82.73299999999999</v>
      </c>
      <c r="R981" s="71">
        <v>1477.3</v>
      </c>
      <c r="S981" s="71">
        <v>202.03</v>
      </c>
      <c r="T981" s="71">
        <v>102.35799999999999</v>
      </c>
    </row>
    <row r="982" spans="1:20">
      <c r="A982" s="71" t="s">
        <v>876</v>
      </c>
      <c r="B982" s="71" t="s">
        <v>399</v>
      </c>
      <c r="C982" s="71">
        <v>524.42999999999995</v>
      </c>
      <c r="D982" s="71">
        <v>0.15</v>
      </c>
      <c r="E982" s="71">
        <v>0</v>
      </c>
      <c r="F982" s="71">
        <v>0.71699999999999997</v>
      </c>
      <c r="G982" s="71">
        <v>9.109</v>
      </c>
      <c r="H982" s="71">
        <v>1.0369999999999999</v>
      </c>
      <c r="I982" s="71">
        <v>0</v>
      </c>
      <c r="J982" s="71">
        <v>0</v>
      </c>
      <c r="K982" s="71">
        <v>0</v>
      </c>
      <c r="L982" s="71">
        <v>0</v>
      </c>
      <c r="M982" s="71">
        <v>0</v>
      </c>
      <c r="N982" s="71">
        <v>0</v>
      </c>
      <c r="O982" s="71">
        <v>32.293999999999997</v>
      </c>
      <c r="P982" s="71">
        <v>24.985999999999997</v>
      </c>
      <c r="Q982" s="71">
        <v>32.196999999999996</v>
      </c>
      <c r="R982" s="71">
        <v>161.19999999999999</v>
      </c>
      <c r="S982" s="71">
        <v>26.475000000000001</v>
      </c>
      <c r="T982" s="71">
        <v>26.220999999999997</v>
      </c>
    </row>
    <row r="983" spans="1:20">
      <c r="A983" s="71" t="s">
        <v>3040</v>
      </c>
      <c r="B983" s="71" t="s">
        <v>400</v>
      </c>
      <c r="C983" s="71">
        <v>432.36199999999997</v>
      </c>
      <c r="D983" s="71">
        <v>0</v>
      </c>
      <c r="E983" s="71">
        <v>0</v>
      </c>
      <c r="F983" s="71">
        <v>0.56699999999999995</v>
      </c>
      <c r="G983" s="71">
        <v>25.780999999999999</v>
      </c>
      <c r="H983" s="71">
        <v>3.0939999999999999</v>
      </c>
      <c r="I983" s="71">
        <v>0</v>
      </c>
      <c r="J983" s="71">
        <v>0</v>
      </c>
      <c r="K983" s="71">
        <v>0</v>
      </c>
      <c r="L983" s="71">
        <v>0</v>
      </c>
      <c r="M983" s="71">
        <v>1.5669999999999999</v>
      </c>
      <c r="N983" s="71">
        <v>0</v>
      </c>
      <c r="O983" s="71">
        <v>0.91699999999999993</v>
      </c>
      <c r="P983" s="71">
        <v>15.808</v>
      </c>
      <c r="Q983" s="71">
        <v>18.055999999999997</v>
      </c>
      <c r="R983" s="71">
        <v>255.8</v>
      </c>
      <c r="S983" s="71">
        <v>0</v>
      </c>
      <c r="T983" s="71">
        <v>21.617999999999999</v>
      </c>
    </row>
    <row r="984" spans="1:20">
      <c r="A984" s="71" t="s">
        <v>3042</v>
      </c>
      <c r="B984" s="71" t="s">
        <v>401</v>
      </c>
      <c r="C984" s="71">
        <v>288.41500000000002</v>
      </c>
      <c r="D984" s="71">
        <v>0</v>
      </c>
      <c r="E984" s="71">
        <v>0</v>
      </c>
      <c r="F984" s="71">
        <v>0.5129999999999999</v>
      </c>
      <c r="G984" s="71">
        <v>4.3319999999999999</v>
      </c>
      <c r="H984" s="71">
        <v>0.95</v>
      </c>
      <c r="I984" s="71">
        <v>0</v>
      </c>
      <c r="J984" s="71">
        <v>0</v>
      </c>
      <c r="K984" s="71">
        <v>0</v>
      </c>
      <c r="L984" s="71">
        <v>0</v>
      </c>
      <c r="M984" s="71">
        <v>2.79</v>
      </c>
      <c r="N984" s="71">
        <v>0</v>
      </c>
      <c r="O984" s="71">
        <v>0</v>
      </c>
      <c r="P984" s="71">
        <v>30.610999999999997</v>
      </c>
      <c r="Q984" s="71">
        <v>5.6579999999999995</v>
      </c>
      <c r="R984" s="71">
        <v>230.5</v>
      </c>
      <c r="S984" s="71">
        <v>22.712</v>
      </c>
      <c r="T984" s="71">
        <v>13</v>
      </c>
    </row>
    <row r="985" spans="1:20">
      <c r="A985" s="71" t="s">
        <v>709</v>
      </c>
      <c r="B985" s="71" t="s">
        <v>402</v>
      </c>
      <c r="C985" s="71">
        <v>1027.5229999999999</v>
      </c>
      <c r="D985" s="71">
        <v>0</v>
      </c>
      <c r="E985" s="71">
        <v>0</v>
      </c>
      <c r="F985" s="71">
        <v>1.9869999999999999</v>
      </c>
      <c r="G985" s="71">
        <v>40.170999999999999</v>
      </c>
      <c r="H985" s="71">
        <v>15.401999999999999</v>
      </c>
      <c r="I985" s="71">
        <v>0</v>
      </c>
      <c r="J985" s="71">
        <v>0</v>
      </c>
      <c r="K985" s="71">
        <v>0</v>
      </c>
      <c r="L985" s="71">
        <v>0</v>
      </c>
      <c r="M985" s="71">
        <v>4.3729999999999993</v>
      </c>
      <c r="N985" s="71">
        <v>0.28000000000000003</v>
      </c>
      <c r="O985" s="71">
        <v>4.9249999999999998</v>
      </c>
      <c r="P985" s="71">
        <v>35.727999999999994</v>
      </c>
      <c r="Q985" s="71">
        <v>52.755000000000003</v>
      </c>
      <c r="R985" s="71">
        <v>770.5</v>
      </c>
      <c r="S985" s="71">
        <v>99.518999999999991</v>
      </c>
      <c r="T985" s="71">
        <v>51.375999999999998</v>
      </c>
    </row>
    <row r="986" spans="1:20">
      <c r="A986" s="71" t="s">
        <v>3044</v>
      </c>
      <c r="B986" s="71" t="s">
        <v>403</v>
      </c>
      <c r="C986" s="71">
        <v>220.60399999999998</v>
      </c>
      <c r="D986" s="71">
        <v>0</v>
      </c>
      <c r="E986" s="71">
        <v>0</v>
      </c>
      <c r="F986" s="71">
        <v>0.155</v>
      </c>
      <c r="G986" s="71">
        <v>10.962</v>
      </c>
      <c r="H986" s="71">
        <v>1.5079999999999998</v>
      </c>
      <c r="I986" s="71">
        <v>0</v>
      </c>
      <c r="J986" s="71">
        <v>0.42199999999999999</v>
      </c>
      <c r="K986" s="71">
        <v>0</v>
      </c>
      <c r="L986" s="71">
        <v>0</v>
      </c>
      <c r="M986" s="71">
        <v>0.48399999999999999</v>
      </c>
      <c r="N986" s="71">
        <v>4.1999999999999996E-2</v>
      </c>
      <c r="O986" s="71">
        <v>0</v>
      </c>
      <c r="P986" s="71">
        <v>5.0229999999999997</v>
      </c>
      <c r="Q986" s="71">
        <v>11.472</v>
      </c>
      <c r="R986" s="71">
        <v>210</v>
      </c>
      <c r="S986" s="71">
        <v>9.7279999999999998</v>
      </c>
      <c r="T986" s="71">
        <v>8</v>
      </c>
    </row>
    <row r="987" spans="1:20">
      <c r="A987" s="71" t="s">
        <v>2992</v>
      </c>
      <c r="B987" s="71" t="s">
        <v>195</v>
      </c>
      <c r="C987" s="71">
        <v>3741.77</v>
      </c>
      <c r="D987" s="71">
        <v>0.65599999999999992</v>
      </c>
      <c r="E987" s="71">
        <v>0.46500000000000002</v>
      </c>
      <c r="F987" s="71">
        <v>6.1189999999999998</v>
      </c>
      <c r="G987" s="71">
        <v>133.05000000000001</v>
      </c>
      <c r="H987" s="71">
        <v>49.384999999999998</v>
      </c>
      <c r="I987" s="71">
        <v>0</v>
      </c>
      <c r="J987" s="71">
        <v>0</v>
      </c>
      <c r="K987" s="71">
        <v>0</v>
      </c>
      <c r="L987" s="71">
        <v>1.6279999999999999</v>
      </c>
      <c r="M987" s="71">
        <v>23.065999999999999</v>
      </c>
      <c r="N987" s="71">
        <v>0</v>
      </c>
      <c r="O987" s="71">
        <v>0.82599999999999996</v>
      </c>
      <c r="P987" s="71">
        <v>114.946</v>
      </c>
      <c r="Q987" s="71">
        <v>150.32199999999997</v>
      </c>
      <c r="R987" s="71">
        <v>2247.3000000000002</v>
      </c>
      <c r="S987" s="71">
        <v>175.98699999999999</v>
      </c>
      <c r="T987" s="71">
        <v>160</v>
      </c>
    </row>
    <row r="988" spans="1:20">
      <c r="A988" s="71" t="s">
        <v>3046</v>
      </c>
      <c r="B988" s="71" t="s">
        <v>404</v>
      </c>
      <c r="C988" s="71">
        <v>825.45099999999991</v>
      </c>
      <c r="D988" s="71">
        <v>0</v>
      </c>
      <c r="E988" s="71">
        <v>0</v>
      </c>
      <c r="F988" s="71">
        <v>2.0659999999999998</v>
      </c>
      <c r="G988" s="71">
        <v>46.757999999999996</v>
      </c>
      <c r="H988" s="71">
        <v>5.9979999999999993</v>
      </c>
      <c r="I988" s="71">
        <v>0</v>
      </c>
      <c r="J988" s="71">
        <v>0</v>
      </c>
      <c r="K988" s="71">
        <v>0</v>
      </c>
      <c r="L988" s="71">
        <v>0</v>
      </c>
      <c r="M988" s="71">
        <v>8.7779999999999987</v>
      </c>
      <c r="N988" s="71">
        <v>0.37</v>
      </c>
      <c r="O988" s="71">
        <v>0</v>
      </c>
      <c r="P988" s="71">
        <v>27.765999999999998</v>
      </c>
      <c r="Q988" s="71">
        <v>33.206999999999994</v>
      </c>
      <c r="R988" s="71">
        <v>562.20000000000005</v>
      </c>
      <c r="S988" s="71">
        <v>0.25199999999999995</v>
      </c>
      <c r="T988" s="71">
        <v>41.272549999999995</v>
      </c>
    </row>
    <row r="989" spans="1:20">
      <c r="A989" s="71" t="s">
        <v>1183</v>
      </c>
      <c r="B989" s="71" t="s">
        <v>1184</v>
      </c>
      <c r="C989" s="71">
        <v>119.833</v>
      </c>
      <c r="D989" s="71">
        <v>0</v>
      </c>
      <c r="E989" s="71">
        <v>0</v>
      </c>
      <c r="F989" s="71">
        <v>0</v>
      </c>
      <c r="G989" s="71">
        <v>0</v>
      </c>
      <c r="H989" s="71">
        <v>0</v>
      </c>
      <c r="I989" s="71">
        <v>0</v>
      </c>
      <c r="J989" s="71">
        <v>0</v>
      </c>
      <c r="K989" s="71">
        <v>0</v>
      </c>
      <c r="L989" s="71">
        <v>0</v>
      </c>
      <c r="M989" s="71">
        <v>0</v>
      </c>
      <c r="N989" s="71">
        <v>2.1589999999999998</v>
      </c>
      <c r="O989" s="71">
        <v>0</v>
      </c>
      <c r="P989" s="71">
        <v>0</v>
      </c>
      <c r="Q989" s="71">
        <v>15.748999999999999</v>
      </c>
      <c r="R989" s="71">
        <v>84.8</v>
      </c>
      <c r="S989" s="71">
        <v>0</v>
      </c>
      <c r="T989" s="71">
        <v>0</v>
      </c>
    </row>
    <row r="990" spans="1:20">
      <c r="A990" s="71" t="s">
        <v>264</v>
      </c>
      <c r="B990" s="71" t="s">
        <v>7681</v>
      </c>
      <c r="C990" s="71">
        <v>27263.460999999999</v>
      </c>
      <c r="D990" s="71">
        <v>4.1209999999999996</v>
      </c>
      <c r="E990" s="71">
        <v>0</v>
      </c>
      <c r="F990" s="71">
        <v>46.882999999999996</v>
      </c>
      <c r="G990" s="71">
        <v>647.16999999999996</v>
      </c>
      <c r="H990" s="71">
        <v>300.82799999999997</v>
      </c>
      <c r="I990" s="71">
        <v>0</v>
      </c>
      <c r="J990" s="71">
        <v>1.2489999999999999</v>
      </c>
      <c r="K990" s="71">
        <v>0</v>
      </c>
      <c r="L990" s="71">
        <v>0</v>
      </c>
      <c r="M990" s="71">
        <v>54.88</v>
      </c>
      <c r="N990" s="71">
        <v>15.825999999999999</v>
      </c>
      <c r="O990" s="71">
        <v>10.74</v>
      </c>
      <c r="P990" s="71">
        <v>996.79299999999989</v>
      </c>
      <c r="Q990" s="71">
        <v>1177.0609999999999</v>
      </c>
      <c r="R990" s="71">
        <v>17697.2</v>
      </c>
      <c r="S990" s="71">
        <v>2419.2639999999997</v>
      </c>
      <c r="T990" s="71">
        <v>1363.1729999999998</v>
      </c>
    </row>
    <row r="991" spans="1:20">
      <c r="A991" s="71" t="s">
        <v>2306</v>
      </c>
      <c r="B991" s="71" t="s">
        <v>363</v>
      </c>
      <c r="C991" s="71">
        <v>1281.174</v>
      </c>
      <c r="D991" s="71">
        <v>0.2</v>
      </c>
      <c r="E991" s="71">
        <v>0</v>
      </c>
      <c r="F991" s="71">
        <v>2.0309999999999997</v>
      </c>
      <c r="G991" s="71">
        <v>30.151</v>
      </c>
      <c r="H991" s="71">
        <v>5.2439999999999998</v>
      </c>
      <c r="I991" s="71">
        <v>0</v>
      </c>
      <c r="J991" s="71">
        <v>0</v>
      </c>
      <c r="K991" s="71">
        <v>0</v>
      </c>
      <c r="L991" s="71">
        <v>0</v>
      </c>
      <c r="M991" s="71">
        <v>2.9509999999999996</v>
      </c>
      <c r="N991" s="71">
        <v>0.65299999999999991</v>
      </c>
      <c r="O991" s="71">
        <v>4.7559999999999993</v>
      </c>
      <c r="P991" s="71">
        <v>47.477999999999994</v>
      </c>
      <c r="Q991" s="71">
        <v>62.623999999999995</v>
      </c>
      <c r="R991" s="71">
        <v>698.2</v>
      </c>
      <c r="S991" s="71">
        <v>11.523999999999999</v>
      </c>
      <c r="T991" s="71">
        <v>64.058699999999988</v>
      </c>
    </row>
    <row r="992" spans="1:20">
      <c r="A992" s="71" t="s">
        <v>3048</v>
      </c>
      <c r="B992" s="71" t="s">
        <v>2898</v>
      </c>
      <c r="C992" s="71">
        <v>797.1579999999999</v>
      </c>
      <c r="D992" s="71">
        <v>0</v>
      </c>
      <c r="E992" s="71">
        <v>0</v>
      </c>
      <c r="F992" s="71">
        <v>1.3539999999999999</v>
      </c>
      <c r="G992" s="71">
        <v>25.405000000000001</v>
      </c>
      <c r="H992" s="71">
        <v>2.91</v>
      </c>
      <c r="I992" s="71">
        <v>0</v>
      </c>
      <c r="J992" s="71">
        <v>0</v>
      </c>
      <c r="K992" s="71">
        <v>0</v>
      </c>
      <c r="L992" s="71">
        <v>0</v>
      </c>
      <c r="M992" s="71">
        <v>4.6050000000000004</v>
      </c>
      <c r="N992" s="71">
        <v>0.47699999999999998</v>
      </c>
      <c r="O992" s="71">
        <v>1.8939999999999999</v>
      </c>
      <c r="P992" s="71">
        <v>18.155000000000001</v>
      </c>
      <c r="Q992" s="71">
        <v>40.098999999999997</v>
      </c>
      <c r="R992" s="71">
        <v>557.79999999999995</v>
      </c>
      <c r="S992" s="71">
        <v>25.788999999999998</v>
      </c>
      <c r="T992" s="71">
        <v>39.857899999999994</v>
      </c>
    </row>
    <row r="993" spans="1:20">
      <c r="A993" s="71" t="s">
        <v>3049</v>
      </c>
      <c r="B993" s="71" t="s">
        <v>405</v>
      </c>
      <c r="C993" s="71">
        <v>849.77599999999995</v>
      </c>
      <c r="D993" s="71">
        <v>4.7999999999999994E-2</v>
      </c>
      <c r="E993" s="71">
        <v>0</v>
      </c>
      <c r="F993" s="71">
        <v>1.2269999999999999</v>
      </c>
      <c r="G993" s="71">
        <v>28.605999999999998</v>
      </c>
      <c r="H993" s="71">
        <v>2.6189999999999998</v>
      </c>
      <c r="I993" s="71">
        <v>0</v>
      </c>
      <c r="J993" s="71">
        <v>0</v>
      </c>
      <c r="K993" s="71">
        <v>0</v>
      </c>
      <c r="L993" s="71">
        <v>0</v>
      </c>
      <c r="M993" s="71">
        <v>0</v>
      </c>
      <c r="N993" s="71">
        <v>6.9999999999999993E-3</v>
      </c>
      <c r="O993" s="71">
        <v>0</v>
      </c>
      <c r="P993" s="71">
        <v>11.188999999999998</v>
      </c>
      <c r="Q993" s="71">
        <v>14.130999999999998</v>
      </c>
      <c r="R993" s="71">
        <v>160.69999999999999</v>
      </c>
      <c r="S993" s="71">
        <v>0.97699999999999998</v>
      </c>
      <c r="T993" s="71">
        <v>42.488799999999991</v>
      </c>
    </row>
    <row r="994" spans="1:20">
      <c r="A994" s="71" t="s">
        <v>1185</v>
      </c>
      <c r="B994" s="71" t="s">
        <v>1186</v>
      </c>
      <c r="C994" s="71">
        <v>0</v>
      </c>
      <c r="D994" s="71">
        <v>0</v>
      </c>
      <c r="E994" s="71">
        <v>0</v>
      </c>
      <c r="F994" s="71">
        <v>0</v>
      </c>
      <c r="G994" s="71">
        <v>0</v>
      </c>
      <c r="H994" s="71">
        <v>0</v>
      </c>
      <c r="I994" s="71">
        <v>0</v>
      </c>
      <c r="J994" s="71">
        <v>0</v>
      </c>
      <c r="K994" s="71">
        <v>0</v>
      </c>
      <c r="L994" s="71">
        <v>0</v>
      </c>
      <c r="M994" s="71">
        <v>0</v>
      </c>
      <c r="N994" s="71">
        <v>0</v>
      </c>
      <c r="O994" s="71">
        <v>0</v>
      </c>
      <c r="P994" s="71">
        <v>0</v>
      </c>
      <c r="Q994" s="71">
        <v>0</v>
      </c>
      <c r="R994" s="71">
        <v>0</v>
      </c>
      <c r="S994" s="71">
        <v>0</v>
      </c>
      <c r="T994" s="71">
        <v>0</v>
      </c>
    </row>
    <row r="995" spans="1:20">
      <c r="A995" s="71" t="s">
        <v>5035</v>
      </c>
      <c r="B995" s="71" t="s">
        <v>6064</v>
      </c>
      <c r="C995" s="71">
        <v>407.75699999999995</v>
      </c>
      <c r="D995" s="71">
        <v>3.1E-2</v>
      </c>
      <c r="E995" s="71">
        <v>0</v>
      </c>
      <c r="F995" s="71">
        <v>0.58499999999999996</v>
      </c>
      <c r="G995" s="71">
        <v>15.111999999999998</v>
      </c>
      <c r="H995" s="71">
        <v>2.3050000000000002</v>
      </c>
      <c r="I995" s="71">
        <v>0</v>
      </c>
      <c r="J995" s="71">
        <v>0</v>
      </c>
      <c r="K995" s="71">
        <v>0</v>
      </c>
      <c r="L995" s="71">
        <v>0</v>
      </c>
      <c r="M995" s="71">
        <v>0</v>
      </c>
      <c r="N995" s="71">
        <v>0.5139999999999999</v>
      </c>
      <c r="O995" s="71">
        <v>0</v>
      </c>
      <c r="P995" s="71">
        <v>1.7819999999999998</v>
      </c>
      <c r="Q995" s="71">
        <v>6.1729999999999992</v>
      </c>
      <c r="R995" s="71">
        <v>327.8</v>
      </c>
      <c r="S995" s="71">
        <v>33.835000000000001</v>
      </c>
      <c r="T995" s="71">
        <v>20.387849999999997</v>
      </c>
    </row>
    <row r="996" spans="1:20">
      <c r="A996" s="71" t="s">
        <v>5131</v>
      </c>
      <c r="B996" s="71" t="s">
        <v>350</v>
      </c>
      <c r="C996" s="71">
        <v>1411.62</v>
      </c>
      <c r="D996" s="71">
        <v>0</v>
      </c>
      <c r="E996" s="71">
        <v>0</v>
      </c>
      <c r="F996" s="71">
        <v>0.84199999999999997</v>
      </c>
      <c r="G996" s="71">
        <v>24.262999999999998</v>
      </c>
      <c r="H996" s="71">
        <v>6.8359999999999994</v>
      </c>
      <c r="I996" s="71">
        <v>0</v>
      </c>
      <c r="J996" s="71">
        <v>0</v>
      </c>
      <c r="K996" s="71">
        <v>0</v>
      </c>
      <c r="L996" s="71">
        <v>0</v>
      </c>
      <c r="M996" s="71">
        <v>0</v>
      </c>
      <c r="N996" s="71">
        <v>0.624</v>
      </c>
      <c r="O996" s="71">
        <v>0</v>
      </c>
      <c r="P996" s="71">
        <v>22.752999999999997</v>
      </c>
      <c r="Q996" s="71">
        <v>23.401999999999997</v>
      </c>
      <c r="R996" s="71">
        <v>1477.2</v>
      </c>
      <c r="S996" s="71">
        <v>775.54</v>
      </c>
      <c r="T996" s="71">
        <v>70.580999999999989</v>
      </c>
    </row>
    <row r="997" spans="1:20">
      <c r="A997" s="71" t="s">
        <v>5231</v>
      </c>
      <c r="B997" s="71" t="s">
        <v>406</v>
      </c>
      <c r="C997" s="71">
        <v>1515.9589999999998</v>
      </c>
      <c r="D997" s="71">
        <v>0</v>
      </c>
      <c r="E997" s="71">
        <v>0</v>
      </c>
      <c r="F997" s="71">
        <v>1.635</v>
      </c>
      <c r="G997" s="71">
        <v>80.392999999999986</v>
      </c>
      <c r="H997" s="71">
        <v>8.5589999999999993</v>
      </c>
      <c r="I997" s="71">
        <v>0</v>
      </c>
      <c r="J997" s="71">
        <v>0</v>
      </c>
      <c r="K997" s="71">
        <v>0</v>
      </c>
      <c r="L997" s="71">
        <v>0</v>
      </c>
      <c r="M997" s="71">
        <v>0</v>
      </c>
      <c r="N997" s="71">
        <v>0</v>
      </c>
      <c r="O997" s="71">
        <v>2.2989999999999999</v>
      </c>
      <c r="P997" s="71">
        <v>6.4959999999999996</v>
      </c>
      <c r="Q997" s="71">
        <v>87.960999999999999</v>
      </c>
      <c r="R997" s="71">
        <v>855.8</v>
      </c>
      <c r="S997" s="71">
        <v>63.791999999999994</v>
      </c>
      <c r="T997" s="71">
        <v>75.797949999999986</v>
      </c>
    </row>
    <row r="998" spans="1:20">
      <c r="A998" s="71" t="s">
        <v>3109</v>
      </c>
      <c r="B998" s="71" t="s">
        <v>407</v>
      </c>
      <c r="C998" s="71">
        <v>7663.4109999999991</v>
      </c>
      <c r="D998" s="71">
        <v>0.91599999999999993</v>
      </c>
      <c r="E998" s="71">
        <v>9.2729999999999997</v>
      </c>
      <c r="F998" s="71">
        <v>11.537999999999998</v>
      </c>
      <c r="G998" s="71">
        <v>235.16499999999999</v>
      </c>
      <c r="H998" s="71">
        <v>56.813999999999993</v>
      </c>
      <c r="I998" s="71">
        <v>0</v>
      </c>
      <c r="J998" s="71">
        <v>0</v>
      </c>
      <c r="K998" s="71">
        <v>0</v>
      </c>
      <c r="L998" s="71">
        <v>0</v>
      </c>
      <c r="M998" s="71">
        <v>14.518999999999998</v>
      </c>
      <c r="N998" s="71">
        <v>2.09</v>
      </c>
      <c r="O998" s="71">
        <v>22.43</v>
      </c>
      <c r="P998" s="71">
        <v>69.782999999999987</v>
      </c>
      <c r="Q998" s="71">
        <v>333.56399999999996</v>
      </c>
      <c r="R998" s="71">
        <v>2033.5</v>
      </c>
      <c r="S998" s="71">
        <v>34.933999999999997</v>
      </c>
      <c r="T998" s="71">
        <v>383.17054999999993</v>
      </c>
    </row>
    <row r="999" spans="1:20">
      <c r="A999" s="71" t="s">
        <v>3111</v>
      </c>
      <c r="B999" s="71" t="s">
        <v>3193</v>
      </c>
      <c r="C999" s="71">
        <v>692.40199999999993</v>
      </c>
      <c r="D999" s="71">
        <v>0</v>
      </c>
      <c r="E999" s="71">
        <v>0</v>
      </c>
      <c r="F999" s="71">
        <v>1.077</v>
      </c>
      <c r="G999" s="71">
        <v>23.687999999999999</v>
      </c>
      <c r="H999" s="71">
        <v>0.08</v>
      </c>
      <c r="I999" s="71">
        <v>0</v>
      </c>
      <c r="J999" s="71">
        <v>0</v>
      </c>
      <c r="K999" s="71">
        <v>0</v>
      </c>
      <c r="L999" s="71">
        <v>0</v>
      </c>
      <c r="M999" s="71">
        <v>3.7969999999999997</v>
      </c>
      <c r="N999" s="71">
        <v>0</v>
      </c>
      <c r="O999" s="71">
        <v>0</v>
      </c>
      <c r="P999" s="71">
        <v>20.573999999999998</v>
      </c>
      <c r="Q999" s="71">
        <v>21.603999999999999</v>
      </c>
      <c r="R999" s="71">
        <v>404.3</v>
      </c>
      <c r="S999" s="71">
        <v>109.57</v>
      </c>
      <c r="T999" s="71">
        <v>34.619999999999997</v>
      </c>
    </row>
    <row r="1000" spans="1:20">
      <c r="A1000" s="71" t="s">
        <v>1187</v>
      </c>
      <c r="B1000" s="71" t="s">
        <v>1188</v>
      </c>
      <c r="C1000" s="71">
        <v>80.422999999999988</v>
      </c>
      <c r="D1000" s="71">
        <v>2.7E-2</v>
      </c>
      <c r="E1000" s="71">
        <v>0</v>
      </c>
      <c r="F1000" s="71">
        <v>0.22</v>
      </c>
      <c r="G1000" s="71">
        <v>0</v>
      </c>
      <c r="H1000" s="71">
        <v>0</v>
      </c>
      <c r="I1000" s="71">
        <v>0</v>
      </c>
      <c r="J1000" s="71">
        <v>0</v>
      </c>
      <c r="K1000" s="71">
        <v>0</v>
      </c>
      <c r="L1000" s="71">
        <v>0</v>
      </c>
      <c r="M1000" s="71">
        <v>0</v>
      </c>
      <c r="N1000" s="71">
        <v>0</v>
      </c>
      <c r="O1000" s="71">
        <v>42.732999999999997</v>
      </c>
      <c r="P1000" s="71">
        <v>0</v>
      </c>
      <c r="Q1000" s="71">
        <v>5.1239999999999997</v>
      </c>
      <c r="R1000" s="71">
        <v>53.2</v>
      </c>
      <c r="S1000" s="71">
        <v>1.2729999999999999</v>
      </c>
      <c r="T1000" s="71">
        <v>0</v>
      </c>
    </row>
    <row r="1001" spans="1:20">
      <c r="A1001" s="71" t="s">
        <v>3113</v>
      </c>
      <c r="B1001" s="71" t="s">
        <v>3194</v>
      </c>
      <c r="C1001" s="71">
        <v>235.81399999999999</v>
      </c>
      <c r="D1001" s="71">
        <v>0</v>
      </c>
      <c r="E1001" s="71">
        <v>0</v>
      </c>
      <c r="F1001" s="71">
        <v>0.40199999999999997</v>
      </c>
      <c r="G1001" s="71">
        <v>11.827</v>
      </c>
      <c r="H1001" s="71">
        <v>1.3419999999999999</v>
      </c>
      <c r="I1001" s="71">
        <v>0</v>
      </c>
      <c r="J1001" s="71">
        <v>0</v>
      </c>
      <c r="K1001" s="71">
        <v>0</v>
      </c>
      <c r="L1001" s="71">
        <v>0</v>
      </c>
      <c r="M1001" s="71">
        <v>2.71</v>
      </c>
      <c r="N1001" s="71">
        <v>0</v>
      </c>
      <c r="O1001" s="71">
        <v>0</v>
      </c>
      <c r="P1001" s="71">
        <v>6.8679999999999994</v>
      </c>
      <c r="Q1001" s="71">
        <v>9.6919999999999984</v>
      </c>
      <c r="R1001" s="71">
        <v>165</v>
      </c>
      <c r="S1001" s="71">
        <v>9.3109999999999999</v>
      </c>
      <c r="T1001" s="71">
        <v>11.790699999999999</v>
      </c>
    </row>
    <row r="1002" spans="1:20">
      <c r="A1002" s="71" t="s">
        <v>975</v>
      </c>
      <c r="B1002" s="71" t="s">
        <v>7692</v>
      </c>
      <c r="C1002" s="71">
        <v>405.12</v>
      </c>
      <c r="D1002" s="71">
        <v>0</v>
      </c>
      <c r="E1002" s="71">
        <v>0</v>
      </c>
      <c r="F1002" s="71">
        <v>0.93699999999999994</v>
      </c>
      <c r="G1002" s="71">
        <v>17.406999999999996</v>
      </c>
      <c r="H1002" s="71">
        <v>0.34099999999999997</v>
      </c>
      <c r="I1002" s="71">
        <v>0</v>
      </c>
      <c r="J1002" s="71">
        <v>2.0079999999999996</v>
      </c>
      <c r="K1002" s="71">
        <v>0</v>
      </c>
      <c r="L1002" s="71">
        <v>0</v>
      </c>
      <c r="M1002" s="71">
        <v>2.3159999999999998</v>
      </c>
      <c r="N1002" s="71">
        <v>2.3E-2</v>
      </c>
      <c r="O1002" s="71">
        <v>0</v>
      </c>
      <c r="P1002" s="71">
        <v>5.3739999999999997</v>
      </c>
      <c r="Q1002" s="71">
        <v>13.437999999999999</v>
      </c>
      <c r="R1002" s="71">
        <v>258.8</v>
      </c>
      <c r="S1002" s="71">
        <v>19.312999999999999</v>
      </c>
      <c r="T1002" s="71">
        <v>20.255999999999997</v>
      </c>
    </row>
    <row r="1003" spans="1:20">
      <c r="A1003" s="71" t="s">
        <v>2771</v>
      </c>
      <c r="B1003" s="71" t="s">
        <v>364</v>
      </c>
      <c r="C1003" s="71">
        <v>685.17899999999997</v>
      </c>
      <c r="D1003" s="71">
        <v>6.9999999999999993E-3</v>
      </c>
      <c r="E1003" s="71">
        <v>0</v>
      </c>
      <c r="F1003" s="71">
        <v>1.3659999999999999</v>
      </c>
      <c r="G1003" s="71">
        <v>28.145999999999997</v>
      </c>
      <c r="H1003" s="71">
        <v>3.1419999999999999</v>
      </c>
      <c r="I1003" s="71">
        <v>0</v>
      </c>
      <c r="J1003" s="71">
        <v>1.7689999999999999</v>
      </c>
      <c r="K1003" s="71">
        <v>0</v>
      </c>
      <c r="L1003" s="71">
        <v>0</v>
      </c>
      <c r="M1003" s="71">
        <v>1.4789999999999999</v>
      </c>
      <c r="N1003" s="71">
        <v>0.65599999999999992</v>
      </c>
      <c r="O1003" s="71">
        <v>0</v>
      </c>
      <c r="P1003" s="71">
        <v>11.205</v>
      </c>
      <c r="Q1003" s="71">
        <v>53.186999999999998</v>
      </c>
      <c r="R1003" s="71">
        <v>379</v>
      </c>
      <c r="S1003" s="71">
        <v>26.565000000000001</v>
      </c>
      <c r="T1003" s="71">
        <v>34.258949999999992</v>
      </c>
    </row>
    <row r="1004" spans="1:20">
      <c r="A1004" s="71" t="s">
        <v>2821</v>
      </c>
      <c r="B1004" s="71" t="s">
        <v>3195</v>
      </c>
      <c r="C1004" s="71">
        <v>877.18099999999993</v>
      </c>
      <c r="D1004" s="71">
        <v>0.25699999999999995</v>
      </c>
      <c r="E1004" s="71">
        <v>0</v>
      </c>
      <c r="F1004" s="71">
        <v>2.1779999999999999</v>
      </c>
      <c r="G1004" s="71">
        <v>40.022999999999996</v>
      </c>
      <c r="H1004" s="71">
        <v>14.984</v>
      </c>
      <c r="I1004" s="71">
        <v>0</v>
      </c>
      <c r="J1004" s="71">
        <v>0.65500000000000003</v>
      </c>
      <c r="K1004" s="71">
        <v>0</v>
      </c>
      <c r="L1004" s="71">
        <v>0</v>
      </c>
      <c r="M1004" s="71">
        <v>3.7619999999999996</v>
      </c>
      <c r="N1004" s="71">
        <v>0.97399999999999998</v>
      </c>
      <c r="O1004" s="71">
        <v>0</v>
      </c>
      <c r="P1004" s="71">
        <v>18.290999999999997</v>
      </c>
      <c r="Q1004" s="71">
        <v>56.833999999999996</v>
      </c>
      <c r="R1004" s="71">
        <v>749.7</v>
      </c>
      <c r="S1004" s="71">
        <v>59.055</v>
      </c>
      <c r="T1004" s="71">
        <v>43.858999999999995</v>
      </c>
    </row>
    <row r="1005" spans="1:20">
      <c r="A1005" s="71" t="s">
        <v>4589</v>
      </c>
      <c r="B1005" s="71" t="s">
        <v>998</v>
      </c>
      <c r="C1005" s="71">
        <v>465.81599999999997</v>
      </c>
      <c r="D1005" s="71">
        <v>0.14499999999999999</v>
      </c>
      <c r="E1005" s="71">
        <v>0</v>
      </c>
      <c r="F1005" s="71">
        <v>1.1639999999999999</v>
      </c>
      <c r="G1005" s="71">
        <v>18.827999999999999</v>
      </c>
      <c r="H1005" s="71">
        <v>0.434</v>
      </c>
      <c r="I1005" s="71">
        <v>0</v>
      </c>
      <c r="J1005" s="71">
        <v>0.52399999999999991</v>
      </c>
      <c r="K1005" s="71">
        <v>0</v>
      </c>
      <c r="L1005" s="71">
        <v>0</v>
      </c>
      <c r="M1005" s="71">
        <v>0.8859999999999999</v>
      </c>
      <c r="N1005" s="71">
        <v>0.44099999999999995</v>
      </c>
      <c r="O1005" s="71">
        <v>0</v>
      </c>
      <c r="P1005" s="71">
        <v>17.11</v>
      </c>
      <c r="Q1005" s="71">
        <v>30.186</v>
      </c>
      <c r="R1005" s="71">
        <v>272.7</v>
      </c>
      <c r="S1005" s="71">
        <v>3.8050000000000002</v>
      </c>
      <c r="T1005" s="71">
        <v>23.290799999999997</v>
      </c>
    </row>
    <row r="1006" spans="1:20">
      <c r="A1006" s="71" t="s">
        <v>2572</v>
      </c>
      <c r="B1006" s="71" t="s">
        <v>3196</v>
      </c>
      <c r="C1006" s="71">
        <v>2072.7259999999997</v>
      </c>
      <c r="D1006" s="71">
        <v>0.36899999999999999</v>
      </c>
      <c r="E1006" s="71">
        <v>0</v>
      </c>
      <c r="F1006" s="71">
        <v>4.29</v>
      </c>
      <c r="G1006" s="71">
        <v>13.27</v>
      </c>
      <c r="H1006" s="71">
        <v>25.488</v>
      </c>
      <c r="I1006" s="71">
        <v>0</v>
      </c>
      <c r="J1006" s="71">
        <v>0</v>
      </c>
      <c r="K1006" s="71">
        <v>0</v>
      </c>
      <c r="L1006" s="71">
        <v>0</v>
      </c>
      <c r="M1006" s="71">
        <v>1.1339999999999999</v>
      </c>
      <c r="N1006" s="71">
        <v>0.85</v>
      </c>
      <c r="O1006" s="71">
        <v>0</v>
      </c>
      <c r="P1006" s="71">
        <v>140.52599999999998</v>
      </c>
      <c r="Q1006" s="71">
        <v>84.252999999999986</v>
      </c>
      <c r="R1006" s="71">
        <v>1631.7</v>
      </c>
      <c r="S1006" s="71">
        <v>137.39299999999997</v>
      </c>
      <c r="T1006" s="71">
        <v>103.636</v>
      </c>
    </row>
    <row r="1007" spans="1:20">
      <c r="A1007" s="71" t="s">
        <v>1507</v>
      </c>
      <c r="B1007" s="71" t="s">
        <v>7694</v>
      </c>
      <c r="C1007" s="71">
        <v>175.47899999999998</v>
      </c>
      <c r="D1007" s="71">
        <v>0</v>
      </c>
      <c r="E1007" s="71">
        <v>0</v>
      </c>
      <c r="F1007" s="71">
        <v>0.45199999999999996</v>
      </c>
      <c r="G1007" s="71">
        <v>8.2669999999999995</v>
      </c>
      <c r="H1007" s="71">
        <v>0.76500000000000001</v>
      </c>
      <c r="I1007" s="71">
        <v>0</v>
      </c>
      <c r="J1007" s="71">
        <v>0</v>
      </c>
      <c r="K1007" s="71">
        <v>0</v>
      </c>
      <c r="L1007" s="71">
        <v>0</v>
      </c>
      <c r="M1007" s="71">
        <v>0</v>
      </c>
      <c r="N1007" s="71">
        <v>0</v>
      </c>
      <c r="O1007" s="71">
        <v>0</v>
      </c>
      <c r="P1007" s="71">
        <v>0.95</v>
      </c>
      <c r="Q1007" s="71">
        <v>7.1079999999999997</v>
      </c>
      <c r="R1007" s="71">
        <v>138</v>
      </c>
      <c r="S1007" s="71">
        <v>9.036999999999999</v>
      </c>
      <c r="T1007" s="71">
        <v>8.7739499999999992</v>
      </c>
    </row>
    <row r="1008" spans="1:20">
      <c r="A1008" s="71" t="s">
        <v>2574</v>
      </c>
      <c r="B1008" s="71" t="s">
        <v>3197</v>
      </c>
      <c r="C1008" s="71">
        <v>173.142</v>
      </c>
      <c r="D1008" s="71">
        <v>4.7999999999999994E-2</v>
      </c>
      <c r="E1008" s="71">
        <v>0</v>
      </c>
      <c r="F1008" s="71">
        <v>0.26899999999999996</v>
      </c>
      <c r="G1008" s="71">
        <v>9.5919999999999987</v>
      </c>
      <c r="H1008" s="71">
        <v>0.76899999999999991</v>
      </c>
      <c r="I1008" s="71">
        <v>0</v>
      </c>
      <c r="J1008" s="71">
        <v>0</v>
      </c>
      <c r="K1008" s="71">
        <v>0</v>
      </c>
      <c r="L1008" s="71">
        <v>0</v>
      </c>
      <c r="M1008" s="71">
        <v>0.45799999999999996</v>
      </c>
      <c r="N1008" s="71">
        <v>0</v>
      </c>
      <c r="O1008" s="71">
        <v>0</v>
      </c>
      <c r="P1008" s="71">
        <v>4.9339999999999993</v>
      </c>
      <c r="Q1008" s="71">
        <v>1.5189999999999999</v>
      </c>
      <c r="R1008" s="71">
        <v>98.2</v>
      </c>
      <c r="S1008" s="71">
        <v>3.82</v>
      </c>
      <c r="T1008" s="71">
        <v>8.6569999999999983</v>
      </c>
    </row>
    <row r="1009" spans="1:20">
      <c r="A1009" s="71" t="s">
        <v>2576</v>
      </c>
      <c r="B1009" s="71" t="s">
        <v>3198</v>
      </c>
      <c r="C1009" s="71">
        <v>513.654</v>
      </c>
      <c r="D1009" s="71">
        <v>0.20099999999999998</v>
      </c>
      <c r="E1009" s="71">
        <v>0</v>
      </c>
      <c r="F1009" s="71">
        <v>0.73399999999999999</v>
      </c>
      <c r="G1009" s="71">
        <v>26.436</v>
      </c>
      <c r="H1009" s="71">
        <v>3.2629999999999999</v>
      </c>
      <c r="I1009" s="71">
        <v>0</v>
      </c>
      <c r="J1009" s="71">
        <v>0</v>
      </c>
      <c r="K1009" s="71">
        <v>0</v>
      </c>
      <c r="L1009" s="71">
        <v>0</v>
      </c>
      <c r="M1009" s="71">
        <v>1.1379999999999999</v>
      </c>
      <c r="N1009" s="71">
        <v>0.11599999999999999</v>
      </c>
      <c r="O1009" s="71">
        <v>0.78699999999999992</v>
      </c>
      <c r="P1009" s="71">
        <v>16.548999999999999</v>
      </c>
      <c r="Q1009" s="71">
        <v>25.593</v>
      </c>
      <c r="R1009" s="71">
        <v>275</v>
      </c>
      <c r="S1009" s="71">
        <v>3.1239999999999997</v>
      </c>
      <c r="T1009" s="71">
        <v>25.682699999999997</v>
      </c>
    </row>
    <row r="1010" spans="1:20">
      <c r="A1010" s="71" t="s">
        <v>2578</v>
      </c>
      <c r="B1010" s="71" t="s">
        <v>3199</v>
      </c>
      <c r="C1010" s="71">
        <v>720.84899999999993</v>
      </c>
      <c r="D1010" s="71">
        <v>1.2999999999999999E-2</v>
      </c>
      <c r="E1010" s="71">
        <v>0</v>
      </c>
      <c r="F1010" s="71">
        <v>1.0119999999999998</v>
      </c>
      <c r="G1010" s="71">
        <v>23.12</v>
      </c>
      <c r="H1010" s="71">
        <v>6.2929999999999993</v>
      </c>
      <c r="I1010" s="71">
        <v>0</v>
      </c>
      <c r="J1010" s="71">
        <v>0</v>
      </c>
      <c r="K1010" s="71">
        <v>0</v>
      </c>
      <c r="L1010" s="71">
        <v>0</v>
      </c>
      <c r="M1010" s="71">
        <v>6.0389999999999997</v>
      </c>
      <c r="N1010" s="71">
        <v>0.79500000000000004</v>
      </c>
      <c r="O1010" s="71">
        <v>0</v>
      </c>
      <c r="P1010" s="71">
        <v>23.988999999999997</v>
      </c>
      <c r="Q1010" s="71">
        <v>23.291999999999998</v>
      </c>
      <c r="R1010" s="71">
        <v>408.8</v>
      </c>
      <c r="S1010" s="71">
        <v>22.19</v>
      </c>
      <c r="T1010" s="71">
        <v>36.041999999999994</v>
      </c>
    </row>
    <row r="1011" spans="1:20">
      <c r="A1011" s="71" t="s">
        <v>158</v>
      </c>
      <c r="B1011" s="71" t="s">
        <v>3200</v>
      </c>
      <c r="C1011" s="71">
        <v>154.80799999999999</v>
      </c>
      <c r="D1011" s="71">
        <v>0</v>
      </c>
      <c r="E1011" s="71">
        <v>0</v>
      </c>
      <c r="F1011" s="71">
        <v>0.123</v>
      </c>
      <c r="G1011" s="71">
        <v>0.94</v>
      </c>
      <c r="H1011" s="71">
        <v>0.92</v>
      </c>
      <c r="I1011" s="71">
        <v>0</v>
      </c>
      <c r="J1011" s="71">
        <v>0</v>
      </c>
      <c r="K1011" s="71">
        <v>0</v>
      </c>
      <c r="L1011" s="71">
        <v>0</v>
      </c>
      <c r="M1011" s="71">
        <v>0</v>
      </c>
      <c r="N1011" s="71">
        <v>0</v>
      </c>
      <c r="O1011" s="71">
        <v>0</v>
      </c>
      <c r="P1011" s="71">
        <v>3.5389999999999997</v>
      </c>
      <c r="Q1011" s="71">
        <v>6.6219999999999999</v>
      </c>
      <c r="R1011" s="71">
        <v>54.2</v>
      </c>
      <c r="S1011" s="71">
        <v>0</v>
      </c>
      <c r="T1011" s="71">
        <v>6</v>
      </c>
    </row>
    <row r="1012" spans="1:20">
      <c r="A1012" s="71" t="s">
        <v>5211</v>
      </c>
      <c r="B1012" s="71" t="s">
        <v>3201</v>
      </c>
      <c r="C1012" s="71">
        <v>432.29699999999997</v>
      </c>
      <c r="D1012" s="71">
        <v>0</v>
      </c>
      <c r="E1012" s="71">
        <v>0</v>
      </c>
      <c r="F1012" s="71">
        <v>0.57499999999999996</v>
      </c>
      <c r="G1012" s="71">
        <v>11.275</v>
      </c>
      <c r="H1012" s="71">
        <v>2.2659999999999996</v>
      </c>
      <c r="I1012" s="71">
        <v>0</v>
      </c>
      <c r="J1012" s="71">
        <v>0</v>
      </c>
      <c r="K1012" s="71">
        <v>0</v>
      </c>
      <c r="L1012" s="71">
        <v>0</v>
      </c>
      <c r="M1012" s="71">
        <v>0.27199999999999996</v>
      </c>
      <c r="N1012" s="71">
        <v>0</v>
      </c>
      <c r="O1012" s="71">
        <v>0</v>
      </c>
      <c r="P1012" s="71">
        <v>14.21</v>
      </c>
      <c r="Q1012" s="71">
        <v>22.55</v>
      </c>
      <c r="R1012" s="71">
        <v>212.7</v>
      </c>
      <c r="S1012" s="71">
        <v>0.8859999999999999</v>
      </c>
      <c r="T1012" s="71">
        <v>21.614849999999997</v>
      </c>
    </row>
    <row r="1013" spans="1:20">
      <c r="A1013" s="71" t="s">
        <v>5213</v>
      </c>
      <c r="B1013" s="71" t="s">
        <v>3202</v>
      </c>
      <c r="C1013" s="71">
        <v>213.21199999999999</v>
      </c>
      <c r="D1013" s="71">
        <v>0</v>
      </c>
      <c r="E1013" s="71">
        <v>0</v>
      </c>
      <c r="F1013" s="71">
        <v>0.26199999999999996</v>
      </c>
      <c r="G1013" s="71">
        <v>8.0589999999999993</v>
      </c>
      <c r="H1013" s="71">
        <v>2.0179999999999998</v>
      </c>
      <c r="I1013" s="71">
        <v>0</v>
      </c>
      <c r="J1013" s="71">
        <v>0</v>
      </c>
      <c r="K1013" s="71">
        <v>0</v>
      </c>
      <c r="L1013" s="71">
        <v>0</v>
      </c>
      <c r="M1013" s="71">
        <v>1.123</v>
      </c>
      <c r="N1013" s="71">
        <v>0</v>
      </c>
      <c r="O1013" s="71">
        <v>0</v>
      </c>
      <c r="P1013" s="71">
        <v>5.859</v>
      </c>
      <c r="Q1013" s="71">
        <v>14.398999999999999</v>
      </c>
      <c r="R1013" s="71">
        <v>227.2</v>
      </c>
      <c r="S1013" s="71">
        <v>0.96199999999999997</v>
      </c>
      <c r="T1013" s="71">
        <v>6</v>
      </c>
    </row>
    <row r="1014" spans="1:20">
      <c r="A1014" s="71" t="s">
        <v>5215</v>
      </c>
      <c r="B1014" s="71" t="s">
        <v>3203</v>
      </c>
      <c r="C1014" s="71">
        <v>949.8</v>
      </c>
      <c r="D1014" s="71">
        <v>0</v>
      </c>
      <c r="E1014" s="71">
        <v>0</v>
      </c>
      <c r="F1014" s="71">
        <v>1.0619999999999998</v>
      </c>
      <c r="G1014" s="71">
        <v>17.643999999999998</v>
      </c>
      <c r="H1014" s="71">
        <v>4.6019999999999994</v>
      </c>
      <c r="I1014" s="71">
        <v>0</v>
      </c>
      <c r="J1014" s="71">
        <v>0</v>
      </c>
      <c r="K1014" s="71">
        <v>0</v>
      </c>
      <c r="L1014" s="71">
        <v>0</v>
      </c>
      <c r="M1014" s="71">
        <v>4.4749999999999996</v>
      </c>
      <c r="N1014" s="71">
        <v>0</v>
      </c>
      <c r="O1014" s="71">
        <v>0</v>
      </c>
      <c r="P1014" s="71">
        <v>25</v>
      </c>
      <c r="Q1014" s="71">
        <v>42.598999999999997</v>
      </c>
      <c r="R1014" s="71">
        <v>426</v>
      </c>
      <c r="S1014" s="71">
        <v>12.411999999999999</v>
      </c>
      <c r="T1014" s="71">
        <v>47.49</v>
      </c>
    </row>
    <row r="1015" spans="1:20">
      <c r="A1015" s="71" t="s">
        <v>5217</v>
      </c>
      <c r="B1015" s="71" t="s">
        <v>3204</v>
      </c>
      <c r="C1015" s="71">
        <v>1079.991</v>
      </c>
      <c r="D1015" s="71">
        <v>0</v>
      </c>
      <c r="E1015" s="71">
        <v>0</v>
      </c>
      <c r="F1015" s="71">
        <v>1.7569999999999999</v>
      </c>
      <c r="G1015" s="71">
        <v>31.410999999999998</v>
      </c>
      <c r="H1015" s="71">
        <v>19.712</v>
      </c>
      <c r="I1015" s="71">
        <v>0</v>
      </c>
      <c r="J1015" s="71">
        <v>0</v>
      </c>
      <c r="K1015" s="71">
        <v>0</v>
      </c>
      <c r="L1015" s="71">
        <v>0</v>
      </c>
      <c r="M1015" s="71">
        <v>1.8019999999999998</v>
      </c>
      <c r="N1015" s="71">
        <v>0.25899999999999995</v>
      </c>
      <c r="O1015" s="71">
        <v>0</v>
      </c>
      <c r="P1015" s="71">
        <v>39.962999999999994</v>
      </c>
      <c r="Q1015" s="71">
        <v>45.757999999999996</v>
      </c>
      <c r="R1015" s="71">
        <v>1108.7</v>
      </c>
      <c r="S1015" s="71">
        <v>91.007999999999996</v>
      </c>
      <c r="T1015" s="71">
        <v>53.999549999999992</v>
      </c>
    </row>
    <row r="1016" spans="1:20">
      <c r="A1016" s="71" t="s">
        <v>5219</v>
      </c>
      <c r="B1016" s="71" t="s">
        <v>3205</v>
      </c>
      <c r="C1016" s="71">
        <v>396.30399999999997</v>
      </c>
      <c r="D1016" s="71">
        <v>0</v>
      </c>
      <c r="E1016" s="71">
        <v>0</v>
      </c>
      <c r="F1016" s="71">
        <v>0.49099999999999999</v>
      </c>
      <c r="G1016" s="71">
        <v>2.1669999999999998</v>
      </c>
      <c r="H1016" s="71">
        <v>0</v>
      </c>
      <c r="I1016" s="71">
        <v>0</v>
      </c>
      <c r="J1016" s="71">
        <v>0</v>
      </c>
      <c r="K1016" s="71">
        <v>0</v>
      </c>
      <c r="L1016" s="71">
        <v>0</v>
      </c>
      <c r="M1016" s="71">
        <v>0.85899999999999999</v>
      </c>
      <c r="N1016" s="71">
        <v>0</v>
      </c>
      <c r="O1016" s="71">
        <v>0</v>
      </c>
      <c r="P1016" s="71">
        <v>43.073999999999998</v>
      </c>
      <c r="Q1016" s="71">
        <v>10.527999999999999</v>
      </c>
      <c r="R1016" s="71">
        <v>374</v>
      </c>
      <c r="S1016" s="71">
        <v>58.865000000000002</v>
      </c>
      <c r="T1016" s="71">
        <v>19.815000000000001</v>
      </c>
    </row>
    <row r="1017" spans="1:20">
      <c r="A1017" s="71" t="s">
        <v>2125</v>
      </c>
      <c r="B1017" s="71" t="s">
        <v>3206</v>
      </c>
      <c r="C1017" s="71">
        <v>10725.243999999999</v>
      </c>
      <c r="D1017" s="71">
        <v>0.51</v>
      </c>
      <c r="E1017" s="71">
        <v>0</v>
      </c>
      <c r="F1017" s="71">
        <v>17.033999999999999</v>
      </c>
      <c r="G1017" s="71">
        <v>293.49199999999996</v>
      </c>
      <c r="H1017" s="71">
        <v>66.526999999999987</v>
      </c>
      <c r="I1017" s="71">
        <v>0</v>
      </c>
      <c r="J1017" s="71">
        <v>0</v>
      </c>
      <c r="K1017" s="71">
        <v>0</v>
      </c>
      <c r="L1017" s="71">
        <v>0</v>
      </c>
      <c r="M1017" s="71">
        <v>0</v>
      </c>
      <c r="N1017" s="71">
        <v>1.2539999999999998</v>
      </c>
      <c r="O1017" s="71">
        <v>3.9629999999999996</v>
      </c>
      <c r="P1017" s="71">
        <v>54.347999999999999</v>
      </c>
      <c r="Q1017" s="71">
        <v>319.42199999999997</v>
      </c>
      <c r="R1017" s="71">
        <v>1965.7</v>
      </c>
      <c r="S1017" s="71">
        <v>602.3309999999999</v>
      </c>
      <c r="T1017" s="71">
        <v>536.26199999999994</v>
      </c>
    </row>
    <row r="1018" spans="1:20">
      <c r="A1018" s="71" t="s">
        <v>870</v>
      </c>
      <c r="B1018" s="71" t="s">
        <v>373</v>
      </c>
      <c r="C1018" s="71">
        <v>3106.5</v>
      </c>
      <c r="D1018" s="71">
        <v>0.17299999999999999</v>
      </c>
      <c r="E1018" s="71">
        <v>0</v>
      </c>
      <c r="F1018" s="71">
        <v>3.948</v>
      </c>
      <c r="G1018" s="71">
        <v>112.69499999999999</v>
      </c>
      <c r="H1018" s="71">
        <v>15.135</v>
      </c>
      <c r="I1018" s="71">
        <v>0</v>
      </c>
      <c r="J1018" s="71">
        <v>0</v>
      </c>
      <c r="K1018" s="71">
        <v>0</v>
      </c>
      <c r="L1018" s="71">
        <v>0</v>
      </c>
      <c r="M1018" s="71">
        <v>2.7129999999999996</v>
      </c>
      <c r="N1018" s="71">
        <v>0.31799999999999995</v>
      </c>
      <c r="O1018" s="71">
        <v>0.39500000000000002</v>
      </c>
      <c r="P1018" s="71">
        <v>9.1439999999999984</v>
      </c>
      <c r="Q1018" s="71">
        <v>147.53399999999999</v>
      </c>
      <c r="R1018" s="71">
        <v>1160</v>
      </c>
      <c r="S1018" s="71">
        <v>262.42699999999996</v>
      </c>
      <c r="T1018" s="71">
        <v>155.32499999999999</v>
      </c>
    </row>
    <row r="1019" spans="1:20">
      <c r="A1019" s="71" t="s">
        <v>5615</v>
      </c>
      <c r="B1019" s="71" t="s">
        <v>3207</v>
      </c>
      <c r="C1019" s="71">
        <v>964.11</v>
      </c>
      <c r="D1019" s="71">
        <v>0.05</v>
      </c>
      <c r="E1019" s="71">
        <v>0</v>
      </c>
      <c r="F1019" s="71">
        <v>1.6879999999999999</v>
      </c>
      <c r="G1019" s="71">
        <v>23.267999999999997</v>
      </c>
      <c r="H1019" s="71">
        <v>5.3009999999999993</v>
      </c>
      <c r="I1019" s="71">
        <v>0</v>
      </c>
      <c r="J1019" s="71">
        <v>0</v>
      </c>
      <c r="K1019" s="71">
        <v>0</v>
      </c>
      <c r="L1019" s="71">
        <v>0</v>
      </c>
      <c r="M1019" s="71">
        <v>0.94899999999999995</v>
      </c>
      <c r="N1019" s="71">
        <v>0.25</v>
      </c>
      <c r="O1019" s="71">
        <v>0.6409999999999999</v>
      </c>
      <c r="P1019" s="71">
        <v>26.56</v>
      </c>
      <c r="Q1019" s="71">
        <v>74.897999999999996</v>
      </c>
      <c r="R1019" s="71">
        <v>577.70000000000005</v>
      </c>
      <c r="S1019" s="71">
        <v>22.252999999999997</v>
      </c>
      <c r="T1019" s="71">
        <v>48.205499999999994</v>
      </c>
    </row>
    <row r="1020" spans="1:20">
      <c r="A1020" s="71" t="s">
        <v>4590</v>
      </c>
      <c r="B1020" s="71" t="s">
        <v>498</v>
      </c>
      <c r="C1020" s="71">
        <v>411.56199999999995</v>
      </c>
      <c r="D1020" s="71">
        <v>0</v>
      </c>
      <c r="E1020" s="71">
        <v>0</v>
      </c>
      <c r="F1020" s="71">
        <v>0.54399999999999993</v>
      </c>
      <c r="G1020" s="71">
        <v>13.366999999999999</v>
      </c>
      <c r="H1020" s="71">
        <v>2.1039999999999996</v>
      </c>
      <c r="I1020" s="71">
        <v>0</v>
      </c>
      <c r="J1020" s="71">
        <v>0</v>
      </c>
      <c r="K1020" s="71">
        <v>0</v>
      </c>
      <c r="L1020" s="71">
        <v>0</v>
      </c>
      <c r="M1020" s="71">
        <v>0</v>
      </c>
      <c r="N1020" s="71">
        <v>0.23</v>
      </c>
      <c r="O1020" s="71">
        <v>0</v>
      </c>
      <c r="P1020" s="71">
        <v>10.527999999999999</v>
      </c>
      <c r="Q1020" s="71">
        <v>20.164999999999999</v>
      </c>
      <c r="R1020" s="71">
        <v>200</v>
      </c>
      <c r="S1020" s="71">
        <v>44.252999999999993</v>
      </c>
      <c r="T1020" s="71">
        <v>20.577999999999999</v>
      </c>
    </row>
    <row r="1021" spans="1:20">
      <c r="A1021" s="71" t="s">
        <v>860</v>
      </c>
      <c r="B1021" s="71" t="s">
        <v>2005</v>
      </c>
      <c r="C1021" s="71">
        <v>620.92999999999995</v>
      </c>
      <c r="D1021" s="71">
        <v>0</v>
      </c>
      <c r="E1021" s="71">
        <v>0</v>
      </c>
      <c r="F1021" s="71">
        <v>1.1969999999999998</v>
      </c>
      <c r="G1021" s="71">
        <v>17.642999999999997</v>
      </c>
      <c r="H1021" s="71">
        <v>2.581</v>
      </c>
      <c r="I1021" s="71">
        <v>0</v>
      </c>
      <c r="J1021" s="71">
        <v>0</v>
      </c>
      <c r="K1021" s="71">
        <v>0</v>
      </c>
      <c r="L1021" s="71">
        <v>0</v>
      </c>
      <c r="M1021" s="71">
        <v>0.64500000000000002</v>
      </c>
      <c r="N1021" s="71">
        <v>0.65099999999999991</v>
      </c>
      <c r="O1021" s="71">
        <v>0</v>
      </c>
      <c r="P1021" s="71">
        <v>12.052</v>
      </c>
      <c r="Q1021" s="71">
        <v>25.548999999999999</v>
      </c>
      <c r="R1021" s="71">
        <v>454.5</v>
      </c>
      <c r="S1021" s="71">
        <v>23.795000000000002</v>
      </c>
      <c r="T1021" s="71">
        <v>31.045999999999999</v>
      </c>
    </row>
    <row r="1022" spans="1:20">
      <c r="A1022" s="71" t="s">
        <v>4591</v>
      </c>
      <c r="B1022" s="71" t="s">
        <v>3834</v>
      </c>
      <c r="C1022" s="71">
        <v>72.882999999999996</v>
      </c>
      <c r="D1022" s="71">
        <v>0</v>
      </c>
      <c r="E1022" s="71">
        <v>0</v>
      </c>
      <c r="F1022" s="71">
        <v>0.14899999999999999</v>
      </c>
      <c r="G1022" s="71">
        <v>4.1759999999999993</v>
      </c>
      <c r="H1022" s="71">
        <v>0</v>
      </c>
      <c r="I1022" s="71">
        <v>0</v>
      </c>
      <c r="J1022" s="71">
        <v>0.57099999999999995</v>
      </c>
      <c r="K1022" s="71">
        <v>0</v>
      </c>
      <c r="L1022" s="71">
        <v>0</v>
      </c>
      <c r="M1022" s="71">
        <v>0</v>
      </c>
      <c r="N1022" s="71">
        <v>0</v>
      </c>
      <c r="O1022" s="71">
        <v>0</v>
      </c>
      <c r="P1022" s="71">
        <v>4.1449999999999996</v>
      </c>
      <c r="Q1022" s="71">
        <v>0</v>
      </c>
      <c r="R1022" s="71">
        <v>63.3</v>
      </c>
      <c r="S1022" s="71">
        <v>0</v>
      </c>
      <c r="T1022" s="71">
        <v>3</v>
      </c>
    </row>
    <row r="1023" spans="1:20">
      <c r="A1023" s="71" t="s">
        <v>5617</v>
      </c>
      <c r="B1023" s="71" t="s">
        <v>3208</v>
      </c>
      <c r="C1023" s="71">
        <v>3327.9929999999999</v>
      </c>
      <c r="D1023" s="71">
        <v>0.44599999999999995</v>
      </c>
      <c r="E1023" s="71">
        <v>0</v>
      </c>
      <c r="F1023" s="71">
        <v>5.5389999999999997</v>
      </c>
      <c r="G1023" s="71">
        <v>128.39599999999999</v>
      </c>
      <c r="H1023" s="71">
        <v>17.427</v>
      </c>
      <c r="I1023" s="71">
        <v>0</v>
      </c>
      <c r="J1023" s="71">
        <v>4.7119999999999997</v>
      </c>
      <c r="K1023" s="71">
        <v>0</v>
      </c>
      <c r="L1023" s="71">
        <v>0</v>
      </c>
      <c r="M1023" s="71">
        <v>3.2469999999999999</v>
      </c>
      <c r="N1023" s="71">
        <v>2.4069999999999996</v>
      </c>
      <c r="O1023" s="71">
        <v>0.122</v>
      </c>
      <c r="P1023" s="71">
        <v>10.720999999999998</v>
      </c>
      <c r="Q1023" s="71">
        <v>183.07199999999997</v>
      </c>
      <c r="R1023" s="71">
        <v>1911.3</v>
      </c>
      <c r="S1023" s="71">
        <v>233.89299999999997</v>
      </c>
      <c r="T1023" s="71">
        <v>166.39964999999998</v>
      </c>
    </row>
    <row r="1024" spans="1:20">
      <c r="A1024" s="71" t="s">
        <v>3150</v>
      </c>
      <c r="B1024" s="71" t="s">
        <v>3209</v>
      </c>
      <c r="C1024" s="71">
        <v>151.60799999999998</v>
      </c>
      <c r="D1024" s="71">
        <v>0</v>
      </c>
      <c r="E1024" s="71">
        <v>0.82599999999999996</v>
      </c>
      <c r="F1024" s="71">
        <v>0.26399999999999996</v>
      </c>
      <c r="G1024" s="71">
        <v>9.9849999999999994</v>
      </c>
      <c r="H1024" s="71">
        <v>3.2999999999999995E-2</v>
      </c>
      <c r="I1024" s="71">
        <v>0</v>
      </c>
      <c r="J1024" s="71">
        <v>0.32899999999999996</v>
      </c>
      <c r="K1024" s="71">
        <v>0</v>
      </c>
      <c r="L1024" s="71">
        <v>0</v>
      </c>
      <c r="M1024" s="71">
        <v>0.06</v>
      </c>
      <c r="N1024" s="71">
        <v>0.16299999999999998</v>
      </c>
      <c r="O1024" s="71">
        <v>3.8619999999999997</v>
      </c>
      <c r="P1024" s="71">
        <v>3.9469999999999996</v>
      </c>
      <c r="Q1024" s="71">
        <v>11.393999999999998</v>
      </c>
      <c r="R1024" s="71">
        <v>157.30000000000001</v>
      </c>
      <c r="S1024" s="71">
        <v>6.16</v>
      </c>
      <c r="T1024" s="71">
        <v>2</v>
      </c>
    </row>
    <row r="1025" spans="1:20">
      <c r="A1025" s="71" t="s">
        <v>3152</v>
      </c>
      <c r="B1025" s="71" t="s">
        <v>3210</v>
      </c>
      <c r="C1025" s="71">
        <v>227.57899999999998</v>
      </c>
      <c r="D1025" s="71">
        <v>0</v>
      </c>
      <c r="E1025" s="71">
        <v>0</v>
      </c>
      <c r="F1025" s="71">
        <v>0.39</v>
      </c>
      <c r="G1025" s="71">
        <v>10.670999999999999</v>
      </c>
      <c r="H1025" s="71">
        <v>0.47699999999999998</v>
      </c>
      <c r="I1025" s="71">
        <v>0</v>
      </c>
      <c r="J1025" s="71">
        <v>0.38599999999999995</v>
      </c>
      <c r="K1025" s="71">
        <v>0</v>
      </c>
      <c r="L1025" s="71">
        <v>0</v>
      </c>
      <c r="M1025" s="71">
        <v>0</v>
      </c>
      <c r="N1025" s="71">
        <v>7.5999999999999998E-2</v>
      </c>
      <c r="O1025" s="71">
        <v>0</v>
      </c>
      <c r="P1025" s="71">
        <v>6.7039999999999997</v>
      </c>
      <c r="Q1025" s="71">
        <v>5.7969999999999997</v>
      </c>
      <c r="R1025" s="71">
        <v>174.7</v>
      </c>
      <c r="S1025" s="71">
        <v>8.411999999999999</v>
      </c>
      <c r="T1025" s="71">
        <v>11.37895</v>
      </c>
    </row>
    <row r="1026" spans="1:20">
      <c r="A1026" s="71" t="s">
        <v>1949</v>
      </c>
      <c r="B1026" s="71" t="s">
        <v>327</v>
      </c>
      <c r="C1026" s="71">
        <v>386.17</v>
      </c>
      <c r="D1026" s="71">
        <v>0</v>
      </c>
      <c r="E1026" s="71">
        <v>0</v>
      </c>
      <c r="F1026" s="71">
        <v>0.311</v>
      </c>
      <c r="G1026" s="71">
        <v>20.941999999999997</v>
      </c>
      <c r="H1026" s="71">
        <v>0</v>
      </c>
      <c r="I1026" s="71">
        <v>0</v>
      </c>
      <c r="J1026" s="71">
        <v>0</v>
      </c>
      <c r="K1026" s="71">
        <v>0</v>
      </c>
      <c r="L1026" s="71">
        <v>0</v>
      </c>
      <c r="M1026" s="71">
        <v>1.1299999999999999</v>
      </c>
      <c r="N1026" s="71">
        <v>0</v>
      </c>
      <c r="O1026" s="71">
        <v>0</v>
      </c>
      <c r="P1026" s="71">
        <v>2.1469999999999998</v>
      </c>
      <c r="Q1026" s="71">
        <v>20.605</v>
      </c>
      <c r="R1026" s="71">
        <v>183.5</v>
      </c>
      <c r="S1026" s="71">
        <v>2.9419999999999997</v>
      </c>
      <c r="T1026" s="71">
        <v>19.308</v>
      </c>
    </row>
    <row r="1027" spans="1:20">
      <c r="A1027" s="71" t="s">
        <v>1951</v>
      </c>
      <c r="B1027" s="71" t="s">
        <v>3627</v>
      </c>
      <c r="C1027" s="71">
        <v>497.70799999999997</v>
      </c>
      <c r="D1027" s="71">
        <v>0.17299999999999999</v>
      </c>
      <c r="E1027" s="71">
        <v>0</v>
      </c>
      <c r="F1027" s="71">
        <v>0.94199999999999995</v>
      </c>
      <c r="G1027" s="71">
        <v>18.606999999999999</v>
      </c>
      <c r="H1027" s="71">
        <v>2.5049999999999999</v>
      </c>
      <c r="I1027" s="71">
        <v>0</v>
      </c>
      <c r="J1027" s="71">
        <v>1.103</v>
      </c>
      <c r="K1027" s="71">
        <v>0</v>
      </c>
      <c r="L1027" s="71">
        <v>0</v>
      </c>
      <c r="M1027" s="71">
        <v>0.91699999999999993</v>
      </c>
      <c r="N1027" s="71">
        <v>0</v>
      </c>
      <c r="O1027" s="71">
        <v>0.56099999999999994</v>
      </c>
      <c r="P1027" s="71">
        <v>7.2969999999999997</v>
      </c>
      <c r="Q1027" s="71">
        <v>24.02</v>
      </c>
      <c r="R1027" s="71">
        <v>290.7</v>
      </c>
      <c r="S1027" s="71">
        <v>0.96899999999999997</v>
      </c>
      <c r="T1027" s="71">
        <v>24.885000000000002</v>
      </c>
    </row>
    <row r="1028" spans="1:20">
      <c r="A1028" s="71" t="s">
        <v>3154</v>
      </c>
      <c r="B1028" s="71" t="s">
        <v>3211</v>
      </c>
      <c r="C1028" s="71">
        <v>1154.2589999999998</v>
      </c>
      <c r="D1028" s="71">
        <v>0</v>
      </c>
      <c r="E1028" s="71">
        <v>0</v>
      </c>
      <c r="F1028" s="71">
        <v>1.48</v>
      </c>
      <c r="G1028" s="71">
        <v>31.267999999999997</v>
      </c>
      <c r="H1028" s="71">
        <v>4.5439999999999996</v>
      </c>
      <c r="I1028" s="71">
        <v>0</v>
      </c>
      <c r="J1028" s="71">
        <v>0.8</v>
      </c>
      <c r="K1028" s="71">
        <v>0</v>
      </c>
      <c r="L1028" s="71">
        <v>0</v>
      </c>
      <c r="M1028" s="71">
        <v>0</v>
      </c>
      <c r="N1028" s="71">
        <v>0</v>
      </c>
      <c r="O1028" s="71">
        <v>0</v>
      </c>
      <c r="P1028" s="71">
        <v>20.793999999999997</v>
      </c>
      <c r="Q1028" s="71">
        <v>28.761999999999997</v>
      </c>
      <c r="R1028" s="71">
        <v>754.5</v>
      </c>
      <c r="S1028" s="71">
        <v>75.775000000000006</v>
      </c>
      <c r="T1028" s="71">
        <v>57.712949999999992</v>
      </c>
    </row>
    <row r="1029" spans="1:20">
      <c r="A1029" s="71" t="s">
        <v>3883</v>
      </c>
      <c r="B1029" s="71" t="s">
        <v>6100</v>
      </c>
      <c r="C1029" s="71">
        <v>524.37799999999993</v>
      </c>
      <c r="D1029" s="71">
        <v>0</v>
      </c>
      <c r="E1029" s="71">
        <v>0</v>
      </c>
      <c r="F1029" s="71">
        <v>0.623</v>
      </c>
      <c r="G1029" s="71">
        <v>16.725000000000001</v>
      </c>
      <c r="H1029" s="71">
        <v>1.5039999999999998</v>
      </c>
      <c r="I1029" s="71">
        <v>0</v>
      </c>
      <c r="J1029" s="71">
        <v>0</v>
      </c>
      <c r="K1029" s="71">
        <v>0</v>
      </c>
      <c r="L1029" s="71">
        <v>0</v>
      </c>
      <c r="M1029" s="71">
        <v>2.6469999999999998</v>
      </c>
      <c r="N1029" s="71">
        <v>0</v>
      </c>
      <c r="O1029" s="71">
        <v>0</v>
      </c>
      <c r="P1029" s="71">
        <v>16.820999999999998</v>
      </c>
      <c r="Q1029" s="71">
        <v>23.46</v>
      </c>
      <c r="R1029" s="71">
        <v>371.2</v>
      </c>
      <c r="S1029" s="71">
        <v>151.685</v>
      </c>
      <c r="T1029" s="71">
        <v>26.218899999999998</v>
      </c>
    </row>
    <row r="1030" spans="1:20">
      <c r="A1030" s="71" t="s">
        <v>3156</v>
      </c>
      <c r="B1030" s="71" t="s">
        <v>3212</v>
      </c>
      <c r="C1030" s="71">
        <v>704.10699999999997</v>
      </c>
      <c r="D1030" s="71">
        <v>0</v>
      </c>
      <c r="E1030" s="71">
        <v>0</v>
      </c>
      <c r="F1030" s="71">
        <v>1.3989999999999998</v>
      </c>
      <c r="G1030" s="71">
        <v>19.058999999999997</v>
      </c>
      <c r="H1030" s="71">
        <v>7.4279999999999999</v>
      </c>
      <c r="I1030" s="71">
        <v>0</v>
      </c>
      <c r="J1030" s="71">
        <v>0</v>
      </c>
      <c r="K1030" s="71">
        <v>0</v>
      </c>
      <c r="L1030" s="71">
        <v>0</v>
      </c>
      <c r="M1030" s="71">
        <v>0</v>
      </c>
      <c r="N1030" s="71">
        <v>0.27899999999999997</v>
      </c>
      <c r="O1030" s="71">
        <v>0</v>
      </c>
      <c r="P1030" s="71">
        <v>18.642999999999997</v>
      </c>
      <c r="Q1030" s="71">
        <v>42.120999999999995</v>
      </c>
      <c r="R1030" s="71">
        <v>517.5</v>
      </c>
      <c r="S1030" s="71">
        <v>33.64</v>
      </c>
      <c r="T1030" s="71">
        <v>35.204999999999998</v>
      </c>
    </row>
    <row r="1031" spans="1:20">
      <c r="A1031" s="71" t="s">
        <v>3158</v>
      </c>
      <c r="B1031" s="71" t="s">
        <v>3213</v>
      </c>
      <c r="C1031" s="71">
        <v>892.61299999999994</v>
      </c>
      <c r="D1031" s="71">
        <v>2.5999999999999999E-2</v>
      </c>
      <c r="E1031" s="71">
        <v>0</v>
      </c>
      <c r="F1031" s="71">
        <v>0.98499999999999999</v>
      </c>
      <c r="G1031" s="71">
        <v>40.065999999999995</v>
      </c>
      <c r="H1031" s="71">
        <v>7.1479999999999997</v>
      </c>
      <c r="I1031" s="71">
        <v>0</v>
      </c>
      <c r="J1031" s="71">
        <v>0</v>
      </c>
      <c r="K1031" s="71">
        <v>0</v>
      </c>
      <c r="L1031" s="71">
        <v>0</v>
      </c>
      <c r="M1031" s="71">
        <v>0.65899999999999992</v>
      </c>
      <c r="N1031" s="71">
        <v>0.25299999999999995</v>
      </c>
      <c r="O1031" s="71">
        <v>0</v>
      </c>
      <c r="P1031" s="71">
        <v>22.953999999999997</v>
      </c>
      <c r="Q1031" s="71">
        <v>43.061999999999998</v>
      </c>
      <c r="R1031" s="71">
        <v>595.79999999999995</v>
      </c>
      <c r="S1031" s="71">
        <v>9.0169999999999995</v>
      </c>
      <c r="T1031" s="71">
        <v>44.630649999999996</v>
      </c>
    </row>
    <row r="1032" spans="1:20">
      <c r="A1032" s="71" t="s">
        <v>3160</v>
      </c>
      <c r="B1032" s="71" t="s">
        <v>3214</v>
      </c>
      <c r="C1032" s="71">
        <v>569.91599999999994</v>
      </c>
      <c r="D1032" s="71">
        <v>0.13399999999999998</v>
      </c>
      <c r="E1032" s="71">
        <v>0</v>
      </c>
      <c r="F1032" s="71">
        <v>0.82899999999999996</v>
      </c>
      <c r="G1032" s="71">
        <v>18.162999999999997</v>
      </c>
      <c r="H1032" s="71">
        <v>1.4239999999999999</v>
      </c>
      <c r="I1032" s="71">
        <v>0</v>
      </c>
      <c r="J1032" s="71">
        <v>0.67799999999999994</v>
      </c>
      <c r="K1032" s="71">
        <v>0</v>
      </c>
      <c r="L1032" s="71">
        <v>0</v>
      </c>
      <c r="M1032" s="71">
        <v>0.35699999999999998</v>
      </c>
      <c r="N1032" s="71">
        <v>0.55699999999999994</v>
      </c>
      <c r="O1032" s="71">
        <v>0</v>
      </c>
      <c r="P1032" s="71">
        <v>28.786999999999999</v>
      </c>
      <c r="Q1032" s="71">
        <v>28.84</v>
      </c>
      <c r="R1032" s="71">
        <v>414.7</v>
      </c>
      <c r="S1032" s="71">
        <v>2.589</v>
      </c>
      <c r="T1032" s="71">
        <v>28.495799999999999</v>
      </c>
    </row>
    <row r="1033" spans="1:20">
      <c r="A1033" s="71" t="s">
        <v>3162</v>
      </c>
      <c r="B1033" s="71" t="s">
        <v>3215</v>
      </c>
      <c r="C1033" s="71">
        <v>887.80799999999999</v>
      </c>
      <c r="D1033" s="71">
        <v>4.4999999999999998E-2</v>
      </c>
      <c r="E1033" s="71">
        <v>0</v>
      </c>
      <c r="F1033" s="71">
        <v>1.55</v>
      </c>
      <c r="G1033" s="71">
        <v>17.796999999999997</v>
      </c>
      <c r="H1033" s="71">
        <v>15.940999999999999</v>
      </c>
      <c r="I1033" s="71">
        <v>0</v>
      </c>
      <c r="J1033" s="71">
        <v>0</v>
      </c>
      <c r="K1033" s="71">
        <v>0</v>
      </c>
      <c r="L1033" s="71">
        <v>0.96499999999999997</v>
      </c>
      <c r="M1033" s="71">
        <v>0</v>
      </c>
      <c r="N1033" s="71">
        <v>0.51500000000000001</v>
      </c>
      <c r="O1033" s="71">
        <v>0</v>
      </c>
      <c r="P1033" s="71">
        <v>21.552999999999997</v>
      </c>
      <c r="Q1033" s="71">
        <v>76.87299999999999</v>
      </c>
      <c r="R1033" s="71">
        <v>827.7</v>
      </c>
      <c r="S1033" s="71">
        <v>44.603999999999999</v>
      </c>
      <c r="T1033" s="71">
        <v>44.39</v>
      </c>
    </row>
    <row r="1034" spans="1:20">
      <c r="A1034" s="71" t="s">
        <v>569</v>
      </c>
      <c r="B1034" s="71" t="s">
        <v>3216</v>
      </c>
      <c r="C1034" s="71">
        <v>420.62599999999998</v>
      </c>
      <c r="D1034" s="71">
        <v>0</v>
      </c>
      <c r="E1034" s="71">
        <v>0.19</v>
      </c>
      <c r="F1034" s="71">
        <v>0.59599999999999997</v>
      </c>
      <c r="G1034" s="71">
        <v>22.748999999999999</v>
      </c>
      <c r="H1034" s="71">
        <v>1.9950000000000001</v>
      </c>
      <c r="I1034" s="71">
        <v>0</v>
      </c>
      <c r="J1034" s="71">
        <v>0</v>
      </c>
      <c r="K1034" s="71">
        <v>0</v>
      </c>
      <c r="L1034" s="71">
        <v>0</v>
      </c>
      <c r="M1034" s="71">
        <v>1.7649999999999999</v>
      </c>
      <c r="N1034" s="71">
        <v>0.35099999999999998</v>
      </c>
      <c r="O1034" s="71">
        <v>0.54199999999999993</v>
      </c>
      <c r="P1034" s="71">
        <v>17.896999999999998</v>
      </c>
      <c r="Q1034" s="71">
        <v>26.181999999999999</v>
      </c>
      <c r="R1034" s="71">
        <v>364.2</v>
      </c>
      <c r="S1034" s="71">
        <v>6.234</v>
      </c>
      <c r="T1034" s="71">
        <v>21.030999999999999</v>
      </c>
    </row>
    <row r="1035" spans="1:20">
      <c r="A1035" s="71" t="s">
        <v>571</v>
      </c>
      <c r="B1035" s="71" t="s">
        <v>3217</v>
      </c>
      <c r="C1035" s="71">
        <v>1641.232</v>
      </c>
      <c r="D1035" s="71">
        <v>0</v>
      </c>
      <c r="E1035" s="71">
        <v>0</v>
      </c>
      <c r="F1035" s="71">
        <v>4.2659999999999991</v>
      </c>
      <c r="G1035" s="71">
        <v>59.173999999999999</v>
      </c>
      <c r="H1035" s="71">
        <v>29.463999999999999</v>
      </c>
      <c r="I1035" s="71">
        <v>0</v>
      </c>
      <c r="J1035" s="71">
        <v>0</v>
      </c>
      <c r="K1035" s="71">
        <v>0</v>
      </c>
      <c r="L1035" s="71">
        <v>0.19899999999999998</v>
      </c>
      <c r="M1035" s="71">
        <v>3.2809999999999997</v>
      </c>
      <c r="N1035" s="71">
        <v>1.0189999999999999</v>
      </c>
      <c r="O1035" s="71">
        <v>0</v>
      </c>
      <c r="P1035" s="71">
        <v>32.31</v>
      </c>
      <c r="Q1035" s="71">
        <v>108.97099999999999</v>
      </c>
      <c r="R1035" s="71">
        <v>1137.8</v>
      </c>
      <c r="S1035" s="71">
        <v>16.918999999999997</v>
      </c>
      <c r="T1035" s="71">
        <v>82.061599999999984</v>
      </c>
    </row>
    <row r="1036" spans="1:20">
      <c r="A1036" s="71" t="s">
        <v>3181</v>
      </c>
      <c r="B1036" s="71" t="s">
        <v>3596</v>
      </c>
      <c r="C1036" s="71">
        <v>1713.0509999999999</v>
      </c>
      <c r="D1036" s="71">
        <v>0.22299999999999998</v>
      </c>
      <c r="E1036" s="71">
        <v>0</v>
      </c>
      <c r="F1036" s="71">
        <v>3.4659999999999997</v>
      </c>
      <c r="G1036" s="71">
        <v>50.888999999999996</v>
      </c>
      <c r="H1036" s="71">
        <v>19.666999999999998</v>
      </c>
      <c r="I1036" s="71">
        <v>0</v>
      </c>
      <c r="J1036" s="71">
        <v>0</v>
      </c>
      <c r="K1036" s="71">
        <v>0</v>
      </c>
      <c r="L1036" s="71">
        <v>0.92899999999999994</v>
      </c>
      <c r="M1036" s="71">
        <v>7.718</v>
      </c>
      <c r="N1036" s="71">
        <v>0.52500000000000002</v>
      </c>
      <c r="O1036" s="71">
        <v>0</v>
      </c>
      <c r="P1036" s="71">
        <v>51.632999999999996</v>
      </c>
      <c r="Q1036" s="71">
        <v>101.23299999999999</v>
      </c>
      <c r="R1036" s="71">
        <v>1209.2</v>
      </c>
      <c r="S1036" s="71">
        <v>90.272999999999996</v>
      </c>
      <c r="T1036" s="71">
        <v>85.652549999999991</v>
      </c>
    </row>
    <row r="1037" spans="1:20">
      <c r="A1037" s="71" t="s">
        <v>2071</v>
      </c>
      <c r="B1037" s="71" t="s">
        <v>7687</v>
      </c>
      <c r="C1037" s="71">
        <v>1977.3239999999998</v>
      </c>
      <c r="D1037" s="71">
        <v>4.0999999999999995E-2</v>
      </c>
      <c r="E1037" s="71">
        <v>0</v>
      </c>
      <c r="F1037" s="71">
        <v>2.4709999999999996</v>
      </c>
      <c r="G1037" s="71">
        <v>63.225999999999999</v>
      </c>
      <c r="H1037" s="71">
        <v>20.326999999999998</v>
      </c>
      <c r="I1037" s="71">
        <v>0</v>
      </c>
      <c r="J1037" s="71">
        <v>0</v>
      </c>
      <c r="K1037" s="71">
        <v>0</v>
      </c>
      <c r="L1037" s="71">
        <v>0</v>
      </c>
      <c r="M1037" s="71">
        <v>0.435</v>
      </c>
      <c r="N1037" s="71">
        <v>1.5459999999999998</v>
      </c>
      <c r="O1037" s="71">
        <v>0</v>
      </c>
      <c r="P1037" s="71">
        <v>107.48299999999999</v>
      </c>
      <c r="Q1037" s="71">
        <v>80.301999999999992</v>
      </c>
      <c r="R1037" s="71">
        <v>1507.8</v>
      </c>
      <c r="S1037" s="71">
        <v>123.21599999999999</v>
      </c>
      <c r="T1037" s="71">
        <v>98.866</v>
      </c>
    </row>
    <row r="1038" spans="1:20">
      <c r="A1038" s="71" t="s">
        <v>3183</v>
      </c>
      <c r="B1038" s="71" t="s">
        <v>3597</v>
      </c>
      <c r="C1038" s="71">
        <v>4055.1849999999999</v>
      </c>
      <c r="D1038" s="71">
        <v>0.29199999999999998</v>
      </c>
      <c r="E1038" s="71">
        <v>0</v>
      </c>
      <c r="F1038" s="71">
        <v>4.8969999999999994</v>
      </c>
      <c r="G1038" s="71">
        <v>155.98599999999999</v>
      </c>
      <c r="H1038" s="71">
        <v>24.151999999999997</v>
      </c>
      <c r="I1038" s="71">
        <v>0</v>
      </c>
      <c r="J1038" s="71">
        <v>0</v>
      </c>
      <c r="K1038" s="71">
        <v>0</v>
      </c>
      <c r="L1038" s="71">
        <v>0</v>
      </c>
      <c r="M1038" s="71">
        <v>3.0329999999999999</v>
      </c>
      <c r="N1038" s="71">
        <v>1.8109999999999999</v>
      </c>
      <c r="O1038" s="71">
        <v>0</v>
      </c>
      <c r="P1038" s="71">
        <v>13.645</v>
      </c>
      <c r="Q1038" s="71">
        <v>143.78899999999999</v>
      </c>
      <c r="R1038" s="71">
        <v>1476.8</v>
      </c>
      <c r="S1038" s="71">
        <v>78.055000000000007</v>
      </c>
      <c r="T1038" s="71">
        <v>202.75899999999999</v>
      </c>
    </row>
    <row r="1039" spans="1:20">
      <c r="A1039" s="71" t="s">
        <v>924</v>
      </c>
      <c r="B1039" s="71" t="s">
        <v>3598</v>
      </c>
      <c r="C1039" s="71">
        <v>2066.94</v>
      </c>
      <c r="D1039" s="71">
        <v>0.28599999999999998</v>
      </c>
      <c r="E1039" s="71">
        <v>0</v>
      </c>
      <c r="F1039" s="71">
        <v>3.4009999999999998</v>
      </c>
      <c r="G1039" s="71">
        <v>84.88</v>
      </c>
      <c r="H1039" s="71">
        <v>29.686</v>
      </c>
      <c r="I1039" s="71">
        <v>0</v>
      </c>
      <c r="J1039" s="71">
        <v>0.82799999999999996</v>
      </c>
      <c r="K1039" s="71">
        <v>0</v>
      </c>
      <c r="L1039" s="71">
        <v>0</v>
      </c>
      <c r="M1039" s="71">
        <v>1.0959999999999999</v>
      </c>
      <c r="N1039" s="71">
        <v>0</v>
      </c>
      <c r="O1039" s="71">
        <v>0</v>
      </c>
      <c r="P1039" s="71">
        <v>6.7239999999999993</v>
      </c>
      <c r="Q1039" s="71">
        <v>95.673999999999992</v>
      </c>
      <c r="R1039" s="71">
        <v>975.7</v>
      </c>
      <c r="S1039" s="71">
        <v>103.66099999999999</v>
      </c>
      <c r="T1039" s="71">
        <v>103.34699999999999</v>
      </c>
    </row>
    <row r="1040" spans="1:20">
      <c r="A1040" s="71" t="s">
        <v>6165</v>
      </c>
      <c r="B1040" s="71" t="s">
        <v>6069</v>
      </c>
      <c r="C1040" s="71">
        <v>1790.7689999999998</v>
      </c>
      <c r="D1040" s="71">
        <v>0.22</v>
      </c>
      <c r="E1040" s="71">
        <v>0</v>
      </c>
      <c r="F1040" s="71">
        <v>3.823</v>
      </c>
      <c r="G1040" s="71">
        <v>51.152999999999999</v>
      </c>
      <c r="H1040" s="71">
        <v>12.027999999999999</v>
      </c>
      <c r="I1040" s="71">
        <v>0</v>
      </c>
      <c r="J1040" s="71">
        <v>0</v>
      </c>
      <c r="K1040" s="71">
        <v>0</v>
      </c>
      <c r="L1040" s="71">
        <v>0</v>
      </c>
      <c r="M1040" s="71">
        <v>0.9</v>
      </c>
      <c r="N1040" s="71">
        <v>2.597</v>
      </c>
      <c r="O1040" s="71">
        <v>0</v>
      </c>
      <c r="P1040" s="71">
        <v>7.5619999999999994</v>
      </c>
      <c r="Q1040" s="71">
        <v>65.599999999999994</v>
      </c>
      <c r="R1040" s="71">
        <v>1606</v>
      </c>
      <c r="S1040" s="71">
        <v>49.952999999999996</v>
      </c>
      <c r="T1040" s="71">
        <v>86.475999999999999</v>
      </c>
    </row>
    <row r="1041" spans="1:20">
      <c r="A1041" s="71" t="s">
        <v>6187</v>
      </c>
      <c r="B1041" s="71" t="s">
        <v>3832</v>
      </c>
      <c r="C1041" s="71">
        <v>1088.1479999999999</v>
      </c>
      <c r="D1041" s="71">
        <v>1.5999999999999997E-2</v>
      </c>
      <c r="E1041" s="71">
        <v>0</v>
      </c>
      <c r="F1041" s="71">
        <v>1.1859999999999999</v>
      </c>
      <c r="G1041" s="71">
        <v>23.797999999999998</v>
      </c>
      <c r="H1041" s="71">
        <v>3.4389999999999996</v>
      </c>
      <c r="I1041" s="71">
        <v>0</v>
      </c>
      <c r="J1041" s="71">
        <v>0.72499999999999998</v>
      </c>
      <c r="K1041" s="71">
        <v>0</v>
      </c>
      <c r="L1041" s="71">
        <v>0</v>
      </c>
      <c r="M1041" s="71">
        <v>1.5</v>
      </c>
      <c r="N1041" s="71">
        <v>0.91199999999999992</v>
      </c>
      <c r="O1041" s="71">
        <v>0</v>
      </c>
      <c r="P1041" s="71">
        <v>43.212999999999994</v>
      </c>
      <c r="Q1041" s="71">
        <v>48.206999999999994</v>
      </c>
      <c r="R1041" s="71">
        <v>800</v>
      </c>
      <c r="S1041" s="71">
        <v>44.670999999999999</v>
      </c>
      <c r="T1041" s="71">
        <v>54.406999999999996</v>
      </c>
    </row>
    <row r="1042" spans="1:20">
      <c r="A1042" s="71" t="s">
        <v>1837</v>
      </c>
      <c r="B1042" s="71" t="s">
        <v>1468</v>
      </c>
      <c r="C1042" s="71">
        <v>2005.6029999999998</v>
      </c>
      <c r="D1042" s="71">
        <v>0.214</v>
      </c>
      <c r="E1042" s="71">
        <v>5.7999999999999996E-2</v>
      </c>
      <c r="F1042" s="71">
        <v>3.714</v>
      </c>
      <c r="G1042" s="71">
        <v>45.531999999999996</v>
      </c>
      <c r="H1042" s="71">
        <v>24.375</v>
      </c>
      <c r="I1042" s="71">
        <v>0</v>
      </c>
      <c r="J1042" s="71">
        <v>0</v>
      </c>
      <c r="K1042" s="71">
        <v>0</v>
      </c>
      <c r="L1042" s="71">
        <v>0</v>
      </c>
      <c r="M1042" s="71">
        <v>0.81799999999999995</v>
      </c>
      <c r="N1042" s="71">
        <v>1.1609999999999998</v>
      </c>
      <c r="O1042" s="71">
        <v>4.5999999999999999E-2</v>
      </c>
      <c r="P1042" s="71">
        <v>65.981999999999999</v>
      </c>
      <c r="Q1042" s="71">
        <v>116.095</v>
      </c>
      <c r="R1042" s="71">
        <v>1508.8</v>
      </c>
      <c r="S1042" s="71">
        <v>41.741999999999997</v>
      </c>
      <c r="T1042" s="71">
        <v>100.28</v>
      </c>
    </row>
    <row r="1043" spans="1:20">
      <c r="A1043" s="71" t="s">
        <v>3884</v>
      </c>
      <c r="B1043" s="71" t="s">
        <v>5362</v>
      </c>
      <c r="C1043" s="71">
        <v>1312.0759999999998</v>
      </c>
      <c r="D1043" s="71">
        <v>0</v>
      </c>
      <c r="E1043" s="71">
        <v>7.3739999999999997</v>
      </c>
      <c r="F1043" s="71">
        <v>2.2039999999999997</v>
      </c>
      <c r="G1043" s="71">
        <v>33.133999999999993</v>
      </c>
      <c r="H1043" s="71">
        <v>7.5369999999999999</v>
      </c>
      <c r="I1043" s="71">
        <v>0</v>
      </c>
      <c r="J1043" s="71">
        <v>0.214</v>
      </c>
      <c r="K1043" s="71">
        <v>0</v>
      </c>
      <c r="L1043" s="71">
        <v>0</v>
      </c>
      <c r="M1043" s="71">
        <v>0.28699999999999998</v>
      </c>
      <c r="N1043" s="71">
        <v>1.2529999999999999</v>
      </c>
      <c r="O1043" s="71">
        <v>1.853</v>
      </c>
      <c r="P1043" s="71">
        <v>106.48099999999999</v>
      </c>
      <c r="Q1043" s="71">
        <v>44.51</v>
      </c>
      <c r="R1043" s="71">
        <v>1153.2</v>
      </c>
      <c r="S1043" s="71">
        <v>64.596999999999994</v>
      </c>
      <c r="T1043" s="71">
        <v>65.603799999999993</v>
      </c>
    </row>
    <row r="1044" spans="1:20">
      <c r="A1044" s="71" t="s">
        <v>2390</v>
      </c>
      <c r="B1044" s="71" t="s">
        <v>1455</v>
      </c>
      <c r="C1044" s="71">
        <v>706.89399999999989</v>
      </c>
      <c r="D1044" s="71">
        <v>0</v>
      </c>
      <c r="E1044" s="71">
        <v>0</v>
      </c>
      <c r="F1044" s="71">
        <v>1.329</v>
      </c>
      <c r="G1044" s="71">
        <v>21.896999999999998</v>
      </c>
      <c r="H1044" s="71">
        <v>6.9189999999999996</v>
      </c>
      <c r="I1044" s="71">
        <v>0</v>
      </c>
      <c r="J1044" s="71">
        <v>0.29699999999999999</v>
      </c>
      <c r="K1044" s="71">
        <v>0</v>
      </c>
      <c r="L1044" s="71">
        <v>0</v>
      </c>
      <c r="M1044" s="71">
        <v>7.4179999999999993</v>
      </c>
      <c r="N1044" s="71">
        <v>0</v>
      </c>
      <c r="O1044" s="71">
        <v>2.6019999999999999</v>
      </c>
      <c r="P1044" s="71">
        <v>17.750999999999998</v>
      </c>
      <c r="Q1044" s="71">
        <v>65.981999999999999</v>
      </c>
      <c r="R1044" s="71">
        <v>477.5</v>
      </c>
      <c r="S1044" s="71">
        <v>61.204999999999998</v>
      </c>
      <c r="T1044" s="71">
        <v>35.344699999999996</v>
      </c>
    </row>
    <row r="1045" spans="1:20">
      <c r="A1045" s="71" t="s">
        <v>926</v>
      </c>
      <c r="B1045" s="71" t="s">
        <v>3599</v>
      </c>
      <c r="C1045" s="71">
        <v>177.09399999999999</v>
      </c>
      <c r="D1045" s="71">
        <v>0</v>
      </c>
      <c r="E1045" s="71">
        <v>0</v>
      </c>
      <c r="F1045" s="71">
        <v>0.45199999999999996</v>
      </c>
      <c r="G1045" s="71">
        <v>5.9789999999999992</v>
      </c>
      <c r="H1045" s="71">
        <v>0.47399999999999998</v>
      </c>
      <c r="I1045" s="71">
        <v>0</v>
      </c>
      <c r="J1045" s="71">
        <v>0</v>
      </c>
      <c r="K1045" s="71">
        <v>0</v>
      </c>
      <c r="L1045" s="71">
        <v>0</v>
      </c>
      <c r="M1045" s="71">
        <v>1.589</v>
      </c>
      <c r="N1045" s="71">
        <v>3.9999999999999992E-3</v>
      </c>
      <c r="O1045" s="71">
        <v>4.1669999999999998</v>
      </c>
      <c r="P1045" s="71">
        <v>14.972</v>
      </c>
      <c r="Q1045" s="71">
        <v>9.6309999999999985</v>
      </c>
      <c r="R1045" s="71">
        <v>115</v>
      </c>
      <c r="S1045" s="71">
        <v>3.9289999999999998</v>
      </c>
      <c r="T1045" s="71">
        <v>4</v>
      </c>
    </row>
    <row r="1046" spans="1:20">
      <c r="A1046" s="71" t="s">
        <v>928</v>
      </c>
      <c r="B1046" s="71" t="s">
        <v>1840</v>
      </c>
      <c r="C1046" s="71">
        <v>127.78899999999999</v>
      </c>
      <c r="D1046" s="71">
        <v>0</v>
      </c>
      <c r="E1046" s="71">
        <v>0</v>
      </c>
      <c r="F1046" s="71">
        <v>0.22399999999999998</v>
      </c>
      <c r="G1046" s="71">
        <v>4.2479999999999993</v>
      </c>
      <c r="H1046" s="71">
        <v>0.77299999999999991</v>
      </c>
      <c r="I1046" s="71">
        <v>0</v>
      </c>
      <c r="J1046" s="71">
        <v>0</v>
      </c>
      <c r="K1046" s="71">
        <v>0</v>
      </c>
      <c r="L1046" s="71">
        <v>0</v>
      </c>
      <c r="M1046" s="71">
        <v>1.5129999999999999</v>
      </c>
      <c r="N1046" s="71">
        <v>0</v>
      </c>
      <c r="O1046" s="71">
        <v>6.4749999999999996</v>
      </c>
      <c r="P1046" s="71">
        <v>5.3029999999999999</v>
      </c>
      <c r="Q1046" s="71">
        <v>3.04</v>
      </c>
      <c r="R1046" s="71">
        <v>90.2</v>
      </c>
      <c r="S1046" s="71">
        <v>7.4950000000000001</v>
      </c>
      <c r="T1046" s="71">
        <v>6</v>
      </c>
    </row>
    <row r="1047" spans="1:20">
      <c r="A1047" s="71" t="s">
        <v>1189</v>
      </c>
      <c r="B1047" s="71" t="s">
        <v>1190</v>
      </c>
      <c r="C1047" s="71">
        <v>338</v>
      </c>
      <c r="D1047" s="71">
        <v>0</v>
      </c>
      <c r="E1047" s="71">
        <v>0</v>
      </c>
      <c r="F1047" s="71">
        <v>0</v>
      </c>
      <c r="G1047" s="71">
        <v>0</v>
      </c>
      <c r="H1047" s="71">
        <v>0</v>
      </c>
      <c r="I1047" s="71">
        <v>0</v>
      </c>
      <c r="J1047" s="71">
        <v>0</v>
      </c>
      <c r="K1047" s="71">
        <v>0</v>
      </c>
      <c r="L1047" s="71">
        <v>0</v>
      </c>
      <c r="M1047" s="71">
        <v>0</v>
      </c>
      <c r="N1047" s="71">
        <v>0</v>
      </c>
      <c r="O1047" s="71">
        <v>0</v>
      </c>
      <c r="P1047" s="71">
        <v>0</v>
      </c>
      <c r="Q1047" s="71">
        <v>0</v>
      </c>
      <c r="R1047" s="71">
        <v>0</v>
      </c>
      <c r="S1047" s="71">
        <v>0</v>
      </c>
      <c r="T1047" s="71">
        <v>0</v>
      </c>
    </row>
    <row r="1048" spans="1:20">
      <c r="A1048" s="71" t="s">
        <v>930</v>
      </c>
      <c r="B1048" s="71" t="s">
        <v>1841</v>
      </c>
      <c r="C1048" s="71">
        <v>552.35599999999999</v>
      </c>
      <c r="D1048" s="71">
        <v>0</v>
      </c>
      <c r="E1048" s="71">
        <v>0</v>
      </c>
      <c r="F1048" s="71">
        <v>0.54599999999999993</v>
      </c>
      <c r="G1048" s="71">
        <v>11.680999999999999</v>
      </c>
      <c r="H1048" s="71">
        <v>1.3809999999999998</v>
      </c>
      <c r="I1048" s="71">
        <v>0</v>
      </c>
      <c r="J1048" s="71">
        <v>0</v>
      </c>
      <c r="K1048" s="71">
        <v>0</v>
      </c>
      <c r="L1048" s="71">
        <v>0</v>
      </c>
      <c r="M1048" s="71">
        <v>0.47599999999999998</v>
      </c>
      <c r="N1048" s="71">
        <v>0.30399999999999999</v>
      </c>
      <c r="O1048" s="71">
        <v>0</v>
      </c>
      <c r="P1048" s="71">
        <v>10.603</v>
      </c>
      <c r="Q1048" s="71">
        <v>35.341999999999999</v>
      </c>
      <c r="R1048" s="71">
        <v>319.7</v>
      </c>
      <c r="S1048" s="71">
        <v>49.406999999999996</v>
      </c>
      <c r="T1048" s="71">
        <v>21</v>
      </c>
    </row>
    <row r="1049" spans="1:20">
      <c r="A1049" s="71" t="s">
        <v>932</v>
      </c>
      <c r="B1049" s="71" t="s">
        <v>1842</v>
      </c>
      <c r="C1049" s="71">
        <v>163.714</v>
      </c>
      <c r="D1049" s="71">
        <v>3.6999999999999998E-2</v>
      </c>
      <c r="E1049" s="71">
        <v>0</v>
      </c>
      <c r="F1049" s="71">
        <v>0.09</v>
      </c>
      <c r="G1049" s="71">
        <v>6.9139999999999997</v>
      </c>
      <c r="H1049" s="71">
        <v>0.49399999999999999</v>
      </c>
      <c r="I1049" s="71">
        <v>0</v>
      </c>
      <c r="J1049" s="71">
        <v>0</v>
      </c>
      <c r="K1049" s="71">
        <v>0</v>
      </c>
      <c r="L1049" s="71">
        <v>0</v>
      </c>
      <c r="M1049" s="71">
        <v>0.36199999999999999</v>
      </c>
      <c r="N1049" s="71">
        <v>0.25299999999999995</v>
      </c>
      <c r="O1049" s="71">
        <v>0</v>
      </c>
      <c r="P1049" s="71">
        <v>9.770999999999999</v>
      </c>
      <c r="Q1049" s="71">
        <v>9.4219999999999988</v>
      </c>
      <c r="R1049" s="71">
        <v>104.8</v>
      </c>
      <c r="S1049" s="71">
        <v>8.1969999999999992</v>
      </c>
      <c r="T1049" s="71">
        <v>8.1856999999999989</v>
      </c>
    </row>
    <row r="1050" spans="1:20">
      <c r="A1050" s="71" t="s">
        <v>934</v>
      </c>
      <c r="B1050" s="71" t="s">
        <v>0</v>
      </c>
      <c r="C1050" s="71">
        <v>2368.4929999999999</v>
      </c>
      <c r="D1050" s="71">
        <v>0.13599999999999998</v>
      </c>
      <c r="E1050" s="71">
        <v>0</v>
      </c>
      <c r="F1050" s="71">
        <v>6.0619999999999994</v>
      </c>
      <c r="G1050" s="71">
        <v>86.805999999999997</v>
      </c>
      <c r="H1050" s="71">
        <v>19.642999999999997</v>
      </c>
      <c r="I1050" s="71">
        <v>0</v>
      </c>
      <c r="J1050" s="71">
        <v>0</v>
      </c>
      <c r="K1050" s="71">
        <v>0</v>
      </c>
      <c r="L1050" s="71">
        <v>0</v>
      </c>
      <c r="M1050" s="71">
        <v>0</v>
      </c>
      <c r="N1050" s="71">
        <v>1.6729999999999998</v>
      </c>
      <c r="O1050" s="71">
        <v>0</v>
      </c>
      <c r="P1050" s="71">
        <v>96.947999999999993</v>
      </c>
      <c r="Q1050" s="71">
        <v>180.85399999999998</v>
      </c>
      <c r="R1050" s="71">
        <v>1340.3</v>
      </c>
      <c r="S1050" s="71">
        <v>96.792999999999992</v>
      </c>
      <c r="T1050" s="71">
        <v>118.42464999999999</v>
      </c>
    </row>
    <row r="1051" spans="1:20">
      <c r="A1051" s="71" t="s">
        <v>936</v>
      </c>
      <c r="B1051" s="71" t="s">
        <v>1</v>
      </c>
      <c r="C1051" s="71">
        <v>238.15799999999999</v>
      </c>
      <c r="D1051" s="71">
        <v>0</v>
      </c>
      <c r="E1051" s="71">
        <v>0</v>
      </c>
      <c r="F1051" s="71">
        <v>0.28000000000000003</v>
      </c>
      <c r="G1051" s="71">
        <v>2.44</v>
      </c>
      <c r="H1051" s="71">
        <v>0</v>
      </c>
      <c r="I1051" s="71">
        <v>0</v>
      </c>
      <c r="J1051" s="71">
        <v>0</v>
      </c>
      <c r="K1051" s="71">
        <v>0</v>
      </c>
      <c r="L1051" s="71">
        <v>0</v>
      </c>
      <c r="M1051" s="71">
        <v>0.85199999999999998</v>
      </c>
      <c r="N1051" s="71">
        <v>0</v>
      </c>
      <c r="O1051" s="71">
        <v>0</v>
      </c>
      <c r="P1051" s="71">
        <v>3.2919999999999998</v>
      </c>
      <c r="Q1051" s="71">
        <v>11.835000000000001</v>
      </c>
      <c r="R1051" s="71">
        <v>129</v>
      </c>
      <c r="S1051" s="71">
        <v>7.9069999999999991</v>
      </c>
      <c r="T1051" s="71">
        <v>11.9079</v>
      </c>
    </row>
    <row r="1052" spans="1:20">
      <c r="A1052" s="71" t="s">
        <v>5145</v>
      </c>
      <c r="B1052" s="71" t="s">
        <v>2</v>
      </c>
      <c r="C1052" s="71">
        <v>541.93499999999995</v>
      </c>
      <c r="D1052" s="71">
        <v>0</v>
      </c>
      <c r="E1052" s="71">
        <v>0</v>
      </c>
      <c r="F1052" s="71">
        <v>0.66</v>
      </c>
      <c r="G1052" s="71">
        <v>15.907999999999999</v>
      </c>
      <c r="H1052" s="71">
        <v>0.90500000000000003</v>
      </c>
      <c r="I1052" s="71">
        <v>0</v>
      </c>
      <c r="J1052" s="71">
        <v>0</v>
      </c>
      <c r="K1052" s="71">
        <v>0</v>
      </c>
      <c r="L1052" s="71">
        <v>0</v>
      </c>
      <c r="M1052" s="71">
        <v>1.1399999999999999</v>
      </c>
      <c r="N1052" s="71">
        <v>0</v>
      </c>
      <c r="O1052" s="71">
        <v>4.6369999999999996</v>
      </c>
      <c r="P1052" s="71">
        <v>21.866</v>
      </c>
      <c r="Q1052" s="71">
        <v>36.088999999999999</v>
      </c>
      <c r="R1052" s="71">
        <v>286.2</v>
      </c>
      <c r="S1052" s="71">
        <v>10.066999999999998</v>
      </c>
      <c r="T1052" s="71">
        <v>27.096749999999997</v>
      </c>
    </row>
    <row r="1053" spans="1:20">
      <c r="A1053" s="71" t="s">
        <v>2950</v>
      </c>
      <c r="B1053" s="71" t="s">
        <v>3</v>
      </c>
      <c r="C1053" s="71">
        <v>71.691999999999993</v>
      </c>
      <c r="D1053" s="71">
        <v>0</v>
      </c>
      <c r="E1053" s="71">
        <v>0</v>
      </c>
      <c r="F1053" s="71">
        <v>0.20599999999999999</v>
      </c>
      <c r="G1053" s="71">
        <v>1.4159999999999999</v>
      </c>
      <c r="H1053" s="71">
        <v>0.37</v>
      </c>
      <c r="I1053" s="71">
        <v>0</v>
      </c>
      <c r="J1053" s="71">
        <v>0</v>
      </c>
      <c r="K1053" s="71">
        <v>0</v>
      </c>
      <c r="L1053" s="71">
        <v>0</v>
      </c>
      <c r="M1053" s="71">
        <v>0</v>
      </c>
      <c r="N1053" s="71">
        <v>0.115</v>
      </c>
      <c r="O1053" s="71">
        <v>0</v>
      </c>
      <c r="P1053" s="71">
        <v>16.636999999999997</v>
      </c>
      <c r="Q1053" s="71">
        <v>3.0939999999999999</v>
      </c>
      <c r="R1053" s="71">
        <v>55.2</v>
      </c>
      <c r="S1053" s="71">
        <v>0</v>
      </c>
      <c r="T1053" s="71">
        <v>3.5845999999999996</v>
      </c>
    </row>
    <row r="1054" spans="1:20">
      <c r="A1054" s="71" t="s">
        <v>2952</v>
      </c>
      <c r="B1054" s="71" t="s">
        <v>4</v>
      </c>
      <c r="C1054" s="71">
        <v>2259.3969999999999</v>
      </c>
      <c r="D1054" s="71">
        <v>6.2999999999999987E-2</v>
      </c>
      <c r="E1054" s="71">
        <v>0</v>
      </c>
      <c r="F1054" s="71">
        <v>4.1139999999999999</v>
      </c>
      <c r="G1054" s="71">
        <v>55.343999999999994</v>
      </c>
      <c r="H1054" s="71">
        <v>14.616999999999999</v>
      </c>
      <c r="I1054" s="71">
        <v>0</v>
      </c>
      <c r="J1054" s="71">
        <v>0</v>
      </c>
      <c r="K1054" s="71">
        <v>0</v>
      </c>
      <c r="L1054" s="71">
        <v>0</v>
      </c>
      <c r="M1054" s="71">
        <v>19.503999999999998</v>
      </c>
      <c r="N1054" s="71">
        <v>0.67299999999999993</v>
      </c>
      <c r="O1054" s="71">
        <v>2.5989999999999998</v>
      </c>
      <c r="P1054" s="71">
        <v>32.463999999999999</v>
      </c>
      <c r="Q1054" s="71">
        <v>125.684</v>
      </c>
      <c r="R1054" s="71">
        <v>1682.3</v>
      </c>
      <c r="S1054" s="71">
        <v>367.11899999999997</v>
      </c>
      <c r="T1054" s="71">
        <v>112.96984999999999</v>
      </c>
    </row>
    <row r="1055" spans="1:20">
      <c r="A1055" s="71" t="s">
        <v>2526</v>
      </c>
      <c r="B1055" s="71" t="s">
        <v>5</v>
      </c>
      <c r="C1055" s="71">
        <v>624.81099999999992</v>
      </c>
      <c r="D1055" s="71">
        <v>1.2999999999999999E-2</v>
      </c>
      <c r="E1055" s="71">
        <v>0</v>
      </c>
      <c r="F1055" s="71">
        <v>0.96599999999999997</v>
      </c>
      <c r="G1055" s="71">
        <v>30.552</v>
      </c>
      <c r="H1055" s="71">
        <v>1.619</v>
      </c>
      <c r="I1055" s="71">
        <v>0</v>
      </c>
      <c r="J1055" s="71">
        <v>0</v>
      </c>
      <c r="K1055" s="71">
        <v>0</v>
      </c>
      <c r="L1055" s="71">
        <v>0</v>
      </c>
      <c r="M1055" s="71">
        <v>4.5059999999999993</v>
      </c>
      <c r="N1055" s="71">
        <v>0.36699999999999999</v>
      </c>
      <c r="O1055" s="71">
        <v>3.6839999999999997</v>
      </c>
      <c r="P1055" s="71">
        <v>6.3169999999999993</v>
      </c>
      <c r="Q1055" s="71">
        <v>29.625999999999998</v>
      </c>
      <c r="R1055" s="71">
        <v>367.7</v>
      </c>
      <c r="S1055" s="71">
        <v>31.770999999999997</v>
      </c>
      <c r="T1055" s="71">
        <v>31.240549999999995</v>
      </c>
    </row>
    <row r="1056" spans="1:20">
      <c r="A1056" s="71" t="s">
        <v>3885</v>
      </c>
      <c r="B1056" s="71" t="s">
        <v>1465</v>
      </c>
      <c r="C1056" s="71">
        <v>705.93599999999992</v>
      </c>
      <c r="D1056" s="71">
        <v>0</v>
      </c>
      <c r="E1056" s="71">
        <v>0</v>
      </c>
      <c r="F1056" s="71">
        <v>1.0379999999999998</v>
      </c>
      <c r="G1056" s="71">
        <v>27.716999999999999</v>
      </c>
      <c r="H1056" s="71">
        <v>0.45500000000000002</v>
      </c>
      <c r="I1056" s="71">
        <v>0</v>
      </c>
      <c r="J1056" s="71">
        <v>0</v>
      </c>
      <c r="K1056" s="71">
        <v>0</v>
      </c>
      <c r="L1056" s="71">
        <v>0</v>
      </c>
      <c r="M1056" s="71">
        <v>0.91699999999999993</v>
      </c>
      <c r="N1056" s="71">
        <v>0.59899999999999998</v>
      </c>
      <c r="O1056" s="71">
        <v>3.2389999999999999</v>
      </c>
      <c r="P1056" s="71">
        <v>17.796999999999997</v>
      </c>
      <c r="Q1056" s="71">
        <v>39.097999999999999</v>
      </c>
      <c r="R1056" s="71">
        <v>409.3</v>
      </c>
      <c r="S1056" s="71">
        <v>27.343999999999998</v>
      </c>
      <c r="T1056" s="71">
        <v>35.296799999999998</v>
      </c>
    </row>
    <row r="1057" spans="1:20">
      <c r="A1057" s="71" t="s">
        <v>2528</v>
      </c>
      <c r="B1057" s="71" t="s">
        <v>6</v>
      </c>
      <c r="C1057" s="71">
        <v>386.404</v>
      </c>
      <c r="D1057" s="71">
        <v>0.14199999999999999</v>
      </c>
      <c r="E1057" s="71">
        <v>0</v>
      </c>
      <c r="F1057" s="71">
        <v>1.2659999999999998</v>
      </c>
      <c r="G1057" s="71">
        <v>13.76</v>
      </c>
      <c r="H1057" s="71">
        <v>5.4659999999999993</v>
      </c>
      <c r="I1057" s="71">
        <v>0</v>
      </c>
      <c r="J1057" s="71">
        <v>0</v>
      </c>
      <c r="K1057" s="71">
        <v>0</v>
      </c>
      <c r="L1057" s="71">
        <v>0</v>
      </c>
      <c r="M1057" s="71">
        <v>2.5979999999999999</v>
      </c>
      <c r="N1057" s="71">
        <v>0.375</v>
      </c>
      <c r="O1057" s="71">
        <v>0</v>
      </c>
      <c r="P1057" s="71">
        <v>6.2819999999999991</v>
      </c>
      <c r="Q1057" s="71">
        <v>17.656999999999996</v>
      </c>
      <c r="R1057" s="71">
        <v>334.2</v>
      </c>
      <c r="S1057" s="71">
        <v>61.866</v>
      </c>
      <c r="T1057" s="71">
        <v>19.32</v>
      </c>
    </row>
    <row r="1058" spans="1:20">
      <c r="A1058" s="71" t="s">
        <v>2530</v>
      </c>
      <c r="B1058" s="71" t="s">
        <v>7</v>
      </c>
      <c r="C1058" s="71">
        <v>543.85500000000002</v>
      </c>
      <c r="D1058" s="71">
        <v>0</v>
      </c>
      <c r="E1058" s="71">
        <v>0</v>
      </c>
      <c r="F1058" s="71">
        <v>1.3079999999999998</v>
      </c>
      <c r="G1058" s="71">
        <v>24.66</v>
      </c>
      <c r="H1058" s="71">
        <v>0.374</v>
      </c>
      <c r="I1058" s="71">
        <v>0</v>
      </c>
      <c r="J1058" s="71">
        <v>0</v>
      </c>
      <c r="K1058" s="71">
        <v>0</v>
      </c>
      <c r="L1058" s="71">
        <v>0</v>
      </c>
      <c r="M1058" s="71">
        <v>0</v>
      </c>
      <c r="N1058" s="71">
        <v>0.26699999999999996</v>
      </c>
      <c r="O1058" s="71">
        <v>0.41399999999999998</v>
      </c>
      <c r="P1058" s="71">
        <v>11.497</v>
      </c>
      <c r="Q1058" s="71">
        <v>41.207999999999998</v>
      </c>
      <c r="R1058" s="71">
        <v>386.7</v>
      </c>
      <c r="S1058" s="71">
        <v>11.325999999999999</v>
      </c>
      <c r="T1058" s="71">
        <v>24</v>
      </c>
    </row>
    <row r="1059" spans="1:20">
      <c r="A1059" s="71" t="s">
        <v>2532</v>
      </c>
      <c r="B1059" s="71" t="s">
        <v>8</v>
      </c>
      <c r="C1059" s="71">
        <v>60.725000000000001</v>
      </c>
      <c r="D1059" s="71">
        <v>0</v>
      </c>
      <c r="E1059" s="71">
        <v>0</v>
      </c>
      <c r="F1059" s="71">
        <v>0.37</v>
      </c>
      <c r="G1059" s="71">
        <v>2.3019999999999996</v>
      </c>
      <c r="H1059" s="71">
        <v>0</v>
      </c>
      <c r="I1059" s="71">
        <v>0</v>
      </c>
      <c r="J1059" s="71">
        <v>0</v>
      </c>
      <c r="K1059" s="71">
        <v>0</v>
      </c>
      <c r="L1059" s="71">
        <v>0</v>
      </c>
      <c r="M1059" s="71">
        <v>0</v>
      </c>
      <c r="N1059" s="71">
        <v>0</v>
      </c>
      <c r="O1059" s="71">
        <v>0</v>
      </c>
      <c r="P1059" s="71">
        <v>4.53</v>
      </c>
      <c r="Q1059" s="71">
        <v>0</v>
      </c>
      <c r="R1059" s="71">
        <v>43.8</v>
      </c>
      <c r="S1059" s="71">
        <v>1.3979999999999999</v>
      </c>
      <c r="T1059" s="71">
        <v>1</v>
      </c>
    </row>
    <row r="1060" spans="1:20">
      <c r="A1060" s="71" t="s">
        <v>2316</v>
      </c>
      <c r="B1060" s="71" t="s">
        <v>9</v>
      </c>
      <c r="C1060" s="71">
        <v>121.715</v>
      </c>
      <c r="D1060" s="71">
        <v>0</v>
      </c>
      <c r="E1060" s="71">
        <v>0</v>
      </c>
      <c r="F1060" s="71">
        <v>5.5999999999999994E-2</v>
      </c>
      <c r="G1060" s="71">
        <v>5.7949999999999999</v>
      </c>
      <c r="H1060" s="71">
        <v>0</v>
      </c>
      <c r="I1060" s="71">
        <v>0</v>
      </c>
      <c r="J1060" s="71">
        <v>0</v>
      </c>
      <c r="K1060" s="71">
        <v>0</v>
      </c>
      <c r="L1060" s="71">
        <v>0</v>
      </c>
      <c r="M1060" s="71">
        <v>0</v>
      </c>
      <c r="N1060" s="71">
        <v>0</v>
      </c>
      <c r="O1060" s="71">
        <v>0</v>
      </c>
      <c r="P1060" s="71">
        <v>3.226</v>
      </c>
      <c r="Q1060" s="71">
        <v>0</v>
      </c>
      <c r="R1060" s="71">
        <v>114.2</v>
      </c>
      <c r="S1060" s="71">
        <v>17.503999999999998</v>
      </c>
      <c r="T1060" s="71">
        <v>6.0857499999999991</v>
      </c>
    </row>
    <row r="1061" spans="1:20">
      <c r="A1061" s="71" t="s">
        <v>5105</v>
      </c>
      <c r="B1061" s="71" t="s">
        <v>10</v>
      </c>
      <c r="C1061" s="71">
        <v>581.36599999999999</v>
      </c>
      <c r="D1061" s="71">
        <v>3.9999999999999992E-3</v>
      </c>
      <c r="E1061" s="71">
        <v>0</v>
      </c>
      <c r="F1061" s="71">
        <v>0.58799999999999997</v>
      </c>
      <c r="G1061" s="71">
        <v>10.95</v>
      </c>
      <c r="H1061" s="71">
        <v>3.4729999999999999</v>
      </c>
      <c r="I1061" s="71">
        <v>0</v>
      </c>
      <c r="J1061" s="71">
        <v>0</v>
      </c>
      <c r="K1061" s="71">
        <v>0</v>
      </c>
      <c r="L1061" s="71">
        <v>0</v>
      </c>
      <c r="M1061" s="71">
        <v>0</v>
      </c>
      <c r="N1061" s="71">
        <v>0</v>
      </c>
      <c r="O1061" s="71">
        <v>0</v>
      </c>
      <c r="P1061" s="71">
        <v>7.0809999999999995</v>
      </c>
      <c r="Q1061" s="71">
        <v>40.036999999999999</v>
      </c>
      <c r="R1061" s="71">
        <v>419.5</v>
      </c>
      <c r="S1061" s="71">
        <v>73.95</v>
      </c>
      <c r="T1061" s="71">
        <v>29.067999999999998</v>
      </c>
    </row>
    <row r="1062" spans="1:20">
      <c r="A1062" s="71" t="s">
        <v>1191</v>
      </c>
      <c r="B1062" s="71" t="s">
        <v>1192</v>
      </c>
      <c r="C1062" s="71">
        <v>198.39099999999999</v>
      </c>
      <c r="D1062" s="71">
        <v>0</v>
      </c>
      <c r="E1062" s="71">
        <v>0</v>
      </c>
      <c r="F1062" s="71">
        <v>1.087</v>
      </c>
      <c r="G1062" s="71">
        <v>8.1729999999999983</v>
      </c>
      <c r="H1062" s="71">
        <v>0</v>
      </c>
      <c r="I1062" s="71">
        <v>0</v>
      </c>
      <c r="J1062" s="71">
        <v>0</v>
      </c>
      <c r="K1062" s="71">
        <v>0</v>
      </c>
      <c r="L1062" s="71">
        <v>0</v>
      </c>
      <c r="M1062" s="71">
        <v>0</v>
      </c>
      <c r="N1062" s="71">
        <v>0</v>
      </c>
      <c r="O1062" s="71">
        <v>0</v>
      </c>
      <c r="P1062" s="71">
        <v>0</v>
      </c>
      <c r="Q1062" s="71">
        <v>0</v>
      </c>
      <c r="R1062" s="71">
        <v>102.2</v>
      </c>
      <c r="S1062" s="71">
        <v>0</v>
      </c>
      <c r="T1062" s="71">
        <v>0</v>
      </c>
    </row>
    <row r="1063" spans="1:20">
      <c r="A1063" s="71" t="s">
        <v>5107</v>
      </c>
      <c r="B1063" s="71" t="s">
        <v>1193</v>
      </c>
      <c r="C1063" s="71">
        <v>135.05500000000001</v>
      </c>
      <c r="D1063" s="71">
        <v>0</v>
      </c>
      <c r="E1063" s="71">
        <v>0.107</v>
      </c>
      <c r="F1063" s="71">
        <v>4.1999999999999996E-2</v>
      </c>
      <c r="G1063" s="71">
        <v>5.9529999999999994</v>
      </c>
      <c r="H1063" s="71">
        <v>0.27500000000000002</v>
      </c>
      <c r="I1063" s="71">
        <v>0</v>
      </c>
      <c r="J1063" s="71">
        <v>0</v>
      </c>
      <c r="K1063" s="71">
        <v>0</v>
      </c>
      <c r="L1063" s="71">
        <v>0</v>
      </c>
      <c r="M1063" s="71">
        <v>0</v>
      </c>
      <c r="N1063" s="71">
        <v>1.222</v>
      </c>
      <c r="O1063" s="71">
        <v>0</v>
      </c>
      <c r="P1063" s="71">
        <v>0</v>
      </c>
      <c r="Q1063" s="71">
        <v>0</v>
      </c>
      <c r="R1063" s="71">
        <v>108.8</v>
      </c>
      <c r="S1063" s="71">
        <v>16.72</v>
      </c>
      <c r="T1063" s="71">
        <v>0</v>
      </c>
    </row>
    <row r="1064" spans="1:20">
      <c r="A1064" s="71" t="s">
        <v>3380</v>
      </c>
      <c r="B1064" s="71" t="s">
        <v>3381</v>
      </c>
      <c r="C1064" s="71">
        <v>96.016999999999996</v>
      </c>
      <c r="D1064" s="71">
        <v>0</v>
      </c>
      <c r="E1064" s="71">
        <v>0</v>
      </c>
      <c r="F1064" s="71">
        <v>0.24099999999999999</v>
      </c>
      <c r="G1064" s="71">
        <v>0.106</v>
      </c>
      <c r="H1064" s="71">
        <v>0</v>
      </c>
      <c r="I1064" s="71">
        <v>0</v>
      </c>
      <c r="J1064" s="71">
        <v>0</v>
      </c>
      <c r="K1064" s="71">
        <v>0</v>
      </c>
      <c r="L1064" s="71">
        <v>0</v>
      </c>
      <c r="M1064" s="71">
        <v>0</v>
      </c>
      <c r="N1064" s="71">
        <v>0</v>
      </c>
      <c r="O1064" s="71">
        <v>69.691999999999993</v>
      </c>
      <c r="P1064" s="71">
        <v>0</v>
      </c>
      <c r="Q1064" s="71">
        <v>0</v>
      </c>
      <c r="R1064" s="71">
        <v>0</v>
      </c>
      <c r="S1064" s="71">
        <v>0.215</v>
      </c>
      <c r="T1064" s="71">
        <v>0</v>
      </c>
    </row>
    <row r="1065" spans="1:20">
      <c r="A1065" s="71" t="s">
        <v>5036</v>
      </c>
      <c r="B1065" s="71" t="s">
        <v>7689</v>
      </c>
      <c r="C1065" s="71">
        <v>839.77199999999993</v>
      </c>
      <c r="D1065" s="71">
        <v>0</v>
      </c>
      <c r="E1065" s="71">
        <v>0</v>
      </c>
      <c r="F1065" s="71">
        <v>1.1409999999999998</v>
      </c>
      <c r="G1065" s="71">
        <v>22.808999999999997</v>
      </c>
      <c r="H1065" s="71">
        <v>8.1759999999999984</v>
      </c>
      <c r="I1065" s="71">
        <v>0</v>
      </c>
      <c r="J1065" s="71">
        <v>0</v>
      </c>
      <c r="K1065" s="71">
        <v>0</v>
      </c>
      <c r="L1065" s="71">
        <v>0</v>
      </c>
      <c r="M1065" s="71">
        <v>0</v>
      </c>
      <c r="N1065" s="71">
        <v>0</v>
      </c>
      <c r="O1065" s="71">
        <v>0.83499999999999996</v>
      </c>
      <c r="P1065" s="71">
        <v>5.8719999999999999</v>
      </c>
      <c r="Q1065" s="71">
        <v>65.943999999999988</v>
      </c>
      <c r="R1065" s="71">
        <v>608.5</v>
      </c>
      <c r="S1065" s="71">
        <v>9.4419999999999984</v>
      </c>
      <c r="T1065" s="71">
        <v>41.988599999999998</v>
      </c>
    </row>
    <row r="1066" spans="1:20">
      <c r="A1066" s="71" t="s">
        <v>2430</v>
      </c>
      <c r="B1066" s="71" t="s">
        <v>11</v>
      </c>
      <c r="C1066" s="71">
        <v>1555.577</v>
      </c>
      <c r="D1066" s="71">
        <v>0.27299999999999996</v>
      </c>
      <c r="E1066" s="71">
        <v>0</v>
      </c>
      <c r="F1066" s="71">
        <v>2.867</v>
      </c>
      <c r="G1066" s="71">
        <v>48.136999999999993</v>
      </c>
      <c r="H1066" s="71">
        <v>6.984</v>
      </c>
      <c r="I1066" s="71">
        <v>0</v>
      </c>
      <c r="J1066" s="71">
        <v>0</v>
      </c>
      <c r="K1066" s="71">
        <v>0</v>
      </c>
      <c r="L1066" s="71">
        <v>0</v>
      </c>
      <c r="M1066" s="71">
        <v>7.1459999999999999</v>
      </c>
      <c r="N1066" s="71">
        <v>0</v>
      </c>
      <c r="O1066" s="71">
        <v>0</v>
      </c>
      <c r="P1066" s="71">
        <v>16.360999999999997</v>
      </c>
      <c r="Q1066" s="71">
        <v>62.952999999999996</v>
      </c>
      <c r="R1066" s="71">
        <v>621.70000000000005</v>
      </c>
      <c r="S1066" s="71">
        <v>15.587999999999999</v>
      </c>
      <c r="T1066" s="71">
        <v>72</v>
      </c>
    </row>
    <row r="1067" spans="1:20">
      <c r="A1067" s="71" t="s">
        <v>2432</v>
      </c>
      <c r="B1067" s="71" t="s">
        <v>12</v>
      </c>
      <c r="C1067" s="71">
        <v>3171.61</v>
      </c>
      <c r="D1067" s="71">
        <v>0.17799999999999999</v>
      </c>
      <c r="E1067" s="71">
        <v>0</v>
      </c>
      <c r="F1067" s="71">
        <v>5.0449999999999999</v>
      </c>
      <c r="G1067" s="71">
        <v>72.557999999999993</v>
      </c>
      <c r="H1067" s="71">
        <v>20.22</v>
      </c>
      <c r="I1067" s="71">
        <v>0</v>
      </c>
      <c r="J1067" s="71">
        <v>2.0299999999999998</v>
      </c>
      <c r="K1067" s="71">
        <v>0</v>
      </c>
      <c r="L1067" s="71">
        <v>0</v>
      </c>
      <c r="M1067" s="71">
        <v>21.3</v>
      </c>
      <c r="N1067" s="71">
        <v>0</v>
      </c>
      <c r="O1067" s="71">
        <v>0.19500000000000001</v>
      </c>
      <c r="P1067" s="71">
        <v>62.576999999999998</v>
      </c>
      <c r="Q1067" s="71">
        <v>185.04</v>
      </c>
      <c r="R1067" s="71">
        <v>1235</v>
      </c>
      <c r="S1067" s="71">
        <v>91.412999999999997</v>
      </c>
      <c r="T1067" s="71">
        <v>156</v>
      </c>
    </row>
    <row r="1068" spans="1:20">
      <c r="A1068" s="71" t="s">
        <v>5339</v>
      </c>
      <c r="B1068" s="71" t="s">
        <v>13</v>
      </c>
      <c r="C1068" s="71">
        <v>961.3359999999999</v>
      </c>
      <c r="D1068" s="71">
        <v>0.16500000000000001</v>
      </c>
      <c r="E1068" s="71">
        <v>0</v>
      </c>
      <c r="F1068" s="71">
        <v>1.63</v>
      </c>
      <c r="G1068" s="71">
        <v>19.898999999999997</v>
      </c>
      <c r="H1068" s="71">
        <v>6.8869999999999996</v>
      </c>
      <c r="I1068" s="71">
        <v>0</v>
      </c>
      <c r="J1068" s="71">
        <v>0</v>
      </c>
      <c r="K1068" s="71">
        <v>0</v>
      </c>
      <c r="L1068" s="71">
        <v>0</v>
      </c>
      <c r="M1068" s="71">
        <v>0</v>
      </c>
      <c r="N1068" s="71">
        <v>0</v>
      </c>
      <c r="O1068" s="71">
        <v>0.83599999999999997</v>
      </c>
      <c r="P1068" s="71">
        <v>10.877999999999998</v>
      </c>
      <c r="Q1068" s="71">
        <v>68.356999999999999</v>
      </c>
      <c r="R1068" s="71">
        <v>603</v>
      </c>
      <c r="S1068" s="71">
        <v>17.093</v>
      </c>
      <c r="T1068" s="71">
        <v>48.066799999999994</v>
      </c>
    </row>
    <row r="1069" spans="1:20">
      <c r="A1069" s="71" t="s">
        <v>5341</v>
      </c>
      <c r="B1069" s="71" t="s">
        <v>14</v>
      </c>
      <c r="C1069" s="71">
        <v>16639.324999999997</v>
      </c>
      <c r="D1069" s="71">
        <v>1.7609999999999999</v>
      </c>
      <c r="E1069" s="71">
        <v>4.8069999999999995</v>
      </c>
      <c r="F1069" s="71">
        <v>27.473999999999997</v>
      </c>
      <c r="G1069" s="71">
        <v>585.84299999999996</v>
      </c>
      <c r="H1069" s="71">
        <v>158.47899999999998</v>
      </c>
      <c r="I1069" s="71">
        <v>0</v>
      </c>
      <c r="J1069" s="71">
        <v>41.201999999999998</v>
      </c>
      <c r="K1069" s="71">
        <v>0</v>
      </c>
      <c r="L1069" s="71">
        <v>0</v>
      </c>
      <c r="M1069" s="71">
        <v>51.491</v>
      </c>
      <c r="N1069" s="71">
        <v>3.597</v>
      </c>
      <c r="O1069" s="71">
        <v>45.427999999999997</v>
      </c>
      <c r="P1069" s="71">
        <v>57.210999999999999</v>
      </c>
      <c r="Q1069" s="71">
        <v>801.97099999999989</v>
      </c>
      <c r="R1069" s="71">
        <v>10444</v>
      </c>
      <c r="S1069" s="71">
        <v>2528.0769999999998</v>
      </c>
      <c r="T1069" s="71">
        <v>831.96599999999989</v>
      </c>
    </row>
    <row r="1070" spans="1:20">
      <c r="A1070" s="71" t="s">
        <v>858</v>
      </c>
      <c r="B1070" s="71" t="s">
        <v>4070</v>
      </c>
      <c r="C1070" s="71">
        <v>4068.5179999999996</v>
      </c>
      <c r="D1070" s="71">
        <v>0.32099999999999995</v>
      </c>
      <c r="E1070" s="71">
        <v>0</v>
      </c>
      <c r="F1070" s="71">
        <v>6.0779999999999994</v>
      </c>
      <c r="G1070" s="71">
        <v>64.350999999999999</v>
      </c>
      <c r="H1070" s="71">
        <v>31.540999999999997</v>
      </c>
      <c r="I1070" s="71">
        <v>0</v>
      </c>
      <c r="J1070" s="71">
        <v>0.28099999999999997</v>
      </c>
      <c r="K1070" s="71">
        <v>0</v>
      </c>
      <c r="L1070" s="71">
        <v>1.0189999999999999</v>
      </c>
      <c r="M1070" s="71">
        <v>0.71</v>
      </c>
      <c r="N1070" s="71">
        <v>0.46899999999999997</v>
      </c>
      <c r="O1070" s="71">
        <v>0</v>
      </c>
      <c r="P1070" s="71">
        <v>28.090999999999998</v>
      </c>
      <c r="Q1070" s="71">
        <v>154.333</v>
      </c>
      <c r="R1070" s="71">
        <v>1305.7</v>
      </c>
      <c r="S1070" s="71">
        <v>87.521999999999991</v>
      </c>
      <c r="T1070" s="71">
        <v>203.42589999999998</v>
      </c>
    </row>
    <row r="1071" spans="1:20">
      <c r="A1071" s="71" t="s">
        <v>5343</v>
      </c>
      <c r="B1071" s="71" t="s">
        <v>6106</v>
      </c>
      <c r="C1071" s="71">
        <v>2866.6809999999996</v>
      </c>
      <c r="D1071" s="71">
        <v>0.49099999999999999</v>
      </c>
      <c r="E1071" s="71">
        <v>0</v>
      </c>
      <c r="F1071" s="71">
        <v>4.0919999999999996</v>
      </c>
      <c r="G1071" s="71">
        <v>47.627999999999993</v>
      </c>
      <c r="H1071" s="71">
        <v>17.260999999999999</v>
      </c>
      <c r="I1071" s="71">
        <v>0</v>
      </c>
      <c r="J1071" s="71">
        <v>1.1879999999999999</v>
      </c>
      <c r="K1071" s="71">
        <v>0</v>
      </c>
      <c r="L1071" s="71">
        <v>0</v>
      </c>
      <c r="M1071" s="71">
        <v>9.0329999999999995</v>
      </c>
      <c r="N1071" s="71">
        <v>0.27399999999999997</v>
      </c>
      <c r="O1071" s="71">
        <v>0.36899999999999999</v>
      </c>
      <c r="P1071" s="71">
        <v>49.872</v>
      </c>
      <c r="Q1071" s="71">
        <v>186.35199999999998</v>
      </c>
      <c r="R1071" s="71">
        <v>1737</v>
      </c>
      <c r="S1071" s="71">
        <v>311.52499999999998</v>
      </c>
      <c r="T1071" s="71">
        <v>143.33399999999997</v>
      </c>
    </row>
    <row r="1072" spans="1:20">
      <c r="A1072" s="71" t="s">
        <v>5344</v>
      </c>
      <c r="B1072" s="71" t="s">
        <v>15</v>
      </c>
      <c r="C1072" s="71">
        <v>900.37299999999993</v>
      </c>
      <c r="D1072" s="71">
        <v>7.0000000000000007E-2</v>
      </c>
      <c r="E1072" s="71">
        <v>0</v>
      </c>
      <c r="F1072" s="71">
        <v>1.855</v>
      </c>
      <c r="G1072" s="71">
        <v>25.806999999999999</v>
      </c>
      <c r="H1072" s="71">
        <v>4.7059999999999995</v>
      </c>
      <c r="I1072" s="71">
        <v>0</v>
      </c>
      <c r="J1072" s="71">
        <v>0</v>
      </c>
      <c r="K1072" s="71">
        <v>0</v>
      </c>
      <c r="L1072" s="71">
        <v>0</v>
      </c>
      <c r="M1072" s="71">
        <v>7.5329999999999995</v>
      </c>
      <c r="N1072" s="71">
        <v>0.83499999999999996</v>
      </c>
      <c r="O1072" s="71">
        <v>0</v>
      </c>
      <c r="P1072" s="71">
        <v>16.355</v>
      </c>
      <c r="Q1072" s="71">
        <v>49.046999999999997</v>
      </c>
      <c r="R1072" s="71">
        <v>502.5</v>
      </c>
      <c r="S1072" s="71">
        <v>46.56</v>
      </c>
      <c r="T1072" s="71">
        <v>45.018649999999994</v>
      </c>
    </row>
    <row r="1073" spans="1:20">
      <c r="A1073" s="71" t="s">
        <v>3382</v>
      </c>
      <c r="B1073" s="71" t="s">
        <v>3383</v>
      </c>
      <c r="C1073" s="71">
        <v>124.068</v>
      </c>
      <c r="D1073" s="71">
        <v>0</v>
      </c>
      <c r="E1073" s="71">
        <v>0</v>
      </c>
      <c r="F1073" s="71">
        <v>0</v>
      </c>
      <c r="G1073" s="71">
        <v>0.72499999999999998</v>
      </c>
      <c r="H1073" s="71">
        <v>0</v>
      </c>
      <c r="I1073" s="71">
        <v>0</v>
      </c>
      <c r="J1073" s="71">
        <v>0</v>
      </c>
      <c r="K1073" s="71">
        <v>0</v>
      </c>
      <c r="L1073" s="71">
        <v>0</v>
      </c>
      <c r="M1073" s="71">
        <v>0</v>
      </c>
      <c r="N1073" s="71">
        <v>1.9429999999999998</v>
      </c>
      <c r="O1073" s="71">
        <v>0</v>
      </c>
      <c r="P1073" s="71">
        <v>0</v>
      </c>
      <c r="Q1073" s="71">
        <v>24.02</v>
      </c>
      <c r="R1073" s="71">
        <v>70</v>
      </c>
      <c r="S1073" s="71">
        <v>0</v>
      </c>
      <c r="T1073" s="71">
        <v>0</v>
      </c>
    </row>
    <row r="1074" spans="1:20">
      <c r="A1074" s="71" t="s">
        <v>5346</v>
      </c>
      <c r="B1074" s="71" t="s">
        <v>16</v>
      </c>
      <c r="C1074" s="71">
        <v>1593.2329999999999</v>
      </c>
      <c r="D1074" s="71">
        <v>2.5000000000000001E-2</v>
      </c>
      <c r="E1074" s="71">
        <v>0</v>
      </c>
      <c r="F1074" s="71">
        <v>2.1459999999999999</v>
      </c>
      <c r="G1074" s="71">
        <v>34.573999999999998</v>
      </c>
      <c r="H1074" s="71">
        <v>17.588999999999999</v>
      </c>
      <c r="I1074" s="71">
        <v>0</v>
      </c>
      <c r="J1074" s="71">
        <v>0</v>
      </c>
      <c r="K1074" s="71">
        <v>0</v>
      </c>
      <c r="L1074" s="71">
        <v>0</v>
      </c>
      <c r="M1074" s="71">
        <v>4.1789999999999994</v>
      </c>
      <c r="N1074" s="71">
        <v>0</v>
      </c>
      <c r="O1074" s="71">
        <v>0.622</v>
      </c>
      <c r="P1074" s="71">
        <v>59.012999999999998</v>
      </c>
      <c r="Q1074" s="71">
        <v>97.369</v>
      </c>
      <c r="R1074" s="71">
        <v>758</v>
      </c>
      <c r="S1074" s="71">
        <v>120.57199999999999</v>
      </c>
      <c r="T1074" s="71">
        <v>79.661649999999995</v>
      </c>
    </row>
    <row r="1075" spans="1:20">
      <c r="A1075" s="71" t="s">
        <v>2770</v>
      </c>
      <c r="B1075" s="71" t="s">
        <v>360</v>
      </c>
      <c r="C1075" s="71">
        <v>9127.4269999999997</v>
      </c>
      <c r="D1075" s="71">
        <v>1.7789999999999999</v>
      </c>
      <c r="E1075" s="71">
        <v>0</v>
      </c>
      <c r="F1075" s="71">
        <v>14.566999999999998</v>
      </c>
      <c r="G1075" s="71">
        <v>369.04199999999997</v>
      </c>
      <c r="H1075" s="71">
        <v>81.200999999999993</v>
      </c>
      <c r="I1075" s="71">
        <v>0</v>
      </c>
      <c r="J1075" s="71">
        <v>0</v>
      </c>
      <c r="K1075" s="71">
        <v>0</v>
      </c>
      <c r="L1075" s="71">
        <v>0</v>
      </c>
      <c r="M1075" s="71">
        <v>19.375</v>
      </c>
      <c r="N1075" s="71">
        <v>2.605</v>
      </c>
      <c r="O1075" s="71">
        <v>0</v>
      </c>
      <c r="P1075" s="71">
        <v>12.081</v>
      </c>
      <c r="Q1075" s="71">
        <v>384.37199999999996</v>
      </c>
      <c r="R1075" s="71">
        <v>8941.2000000000007</v>
      </c>
      <c r="S1075" s="71">
        <v>4597.8419999999996</v>
      </c>
      <c r="T1075" s="71">
        <v>456.37099999999998</v>
      </c>
    </row>
    <row r="1076" spans="1:20">
      <c r="A1076" s="71" t="s">
        <v>5348</v>
      </c>
      <c r="B1076" s="71" t="s">
        <v>1718</v>
      </c>
      <c r="C1076" s="71">
        <v>237.386</v>
      </c>
      <c r="D1076" s="71">
        <v>0</v>
      </c>
      <c r="E1076" s="71">
        <v>0</v>
      </c>
      <c r="F1076" s="71">
        <v>0.35099999999999998</v>
      </c>
      <c r="G1076" s="71">
        <v>6.319</v>
      </c>
      <c r="H1076" s="71">
        <v>2.3689999999999998</v>
      </c>
      <c r="I1076" s="71">
        <v>0</v>
      </c>
      <c r="J1076" s="71">
        <v>0</v>
      </c>
      <c r="K1076" s="71">
        <v>0</v>
      </c>
      <c r="L1076" s="71">
        <v>0</v>
      </c>
      <c r="M1076" s="71">
        <v>0</v>
      </c>
      <c r="N1076" s="71">
        <v>0</v>
      </c>
      <c r="O1076" s="71">
        <v>0</v>
      </c>
      <c r="P1076" s="71">
        <v>14.962999999999999</v>
      </c>
      <c r="Q1076" s="71">
        <v>7.9169999999999998</v>
      </c>
      <c r="R1076" s="71">
        <v>207.2</v>
      </c>
      <c r="S1076" s="71">
        <v>38.68</v>
      </c>
      <c r="T1076" s="71">
        <v>11.869</v>
      </c>
    </row>
    <row r="1077" spans="1:20">
      <c r="A1077" s="71" t="s">
        <v>3886</v>
      </c>
      <c r="B1077" s="71" t="s">
        <v>368</v>
      </c>
      <c r="C1077" s="71">
        <v>5911.1009999999997</v>
      </c>
      <c r="D1077" s="71">
        <v>2.2869999999999999</v>
      </c>
      <c r="E1077" s="71">
        <v>0</v>
      </c>
      <c r="F1077" s="71">
        <v>7.3569999999999993</v>
      </c>
      <c r="G1077" s="71">
        <v>114.35599999999999</v>
      </c>
      <c r="H1077" s="71">
        <v>14.693999999999999</v>
      </c>
      <c r="I1077" s="71">
        <v>0</v>
      </c>
      <c r="J1077" s="71">
        <v>0</v>
      </c>
      <c r="K1077" s="71">
        <v>0</v>
      </c>
      <c r="L1077" s="71">
        <v>0</v>
      </c>
      <c r="M1077" s="71">
        <v>10.994</v>
      </c>
      <c r="N1077" s="71">
        <v>0</v>
      </c>
      <c r="O1077" s="71">
        <v>0</v>
      </c>
      <c r="P1077" s="71">
        <v>60.034999999999997</v>
      </c>
      <c r="Q1077" s="71">
        <v>242.45599999999999</v>
      </c>
      <c r="R1077" s="71">
        <v>5841.4</v>
      </c>
      <c r="S1077" s="71">
        <v>2825.0379999999996</v>
      </c>
      <c r="T1077" s="71">
        <v>295.55500000000001</v>
      </c>
    </row>
    <row r="1078" spans="1:20">
      <c r="A1078" s="71" t="s">
        <v>5350</v>
      </c>
      <c r="B1078" s="71" t="s">
        <v>1719</v>
      </c>
      <c r="C1078" s="71">
        <v>1510.5809999999999</v>
      </c>
      <c r="D1078" s="71">
        <v>0.28099999999999997</v>
      </c>
      <c r="E1078" s="71">
        <v>0</v>
      </c>
      <c r="F1078" s="71">
        <v>2.9319999999999999</v>
      </c>
      <c r="G1078" s="71">
        <v>40.135999999999996</v>
      </c>
      <c r="H1078" s="71">
        <v>12.446</v>
      </c>
      <c r="I1078" s="71">
        <v>0</v>
      </c>
      <c r="J1078" s="71">
        <v>1.39</v>
      </c>
      <c r="K1078" s="71">
        <v>0</v>
      </c>
      <c r="L1078" s="71">
        <v>0</v>
      </c>
      <c r="M1078" s="71">
        <v>6.2459999999999996</v>
      </c>
      <c r="N1078" s="71">
        <v>0.17</v>
      </c>
      <c r="O1078" s="71">
        <v>3.22</v>
      </c>
      <c r="P1078" s="71">
        <v>37.632999999999996</v>
      </c>
      <c r="Q1078" s="71">
        <v>69.651999999999987</v>
      </c>
      <c r="R1078" s="71">
        <v>962</v>
      </c>
      <c r="S1078" s="71">
        <v>93.391999999999996</v>
      </c>
      <c r="T1078" s="71">
        <v>75.528999999999996</v>
      </c>
    </row>
    <row r="1079" spans="1:20">
      <c r="A1079" s="71" t="s">
        <v>3139</v>
      </c>
      <c r="B1079" s="71" t="s">
        <v>1720</v>
      </c>
      <c r="C1079" s="71">
        <v>240.67299999999997</v>
      </c>
      <c r="D1079" s="71">
        <v>0</v>
      </c>
      <c r="E1079" s="71">
        <v>0</v>
      </c>
      <c r="F1079" s="71">
        <v>0.18099999999999999</v>
      </c>
      <c r="G1079" s="71">
        <v>8.8769999999999989</v>
      </c>
      <c r="H1079" s="71">
        <v>0</v>
      </c>
      <c r="I1079" s="71">
        <v>0</v>
      </c>
      <c r="J1079" s="71">
        <v>1.3319999999999999</v>
      </c>
      <c r="K1079" s="71">
        <v>0</v>
      </c>
      <c r="L1079" s="71">
        <v>0</v>
      </c>
      <c r="M1079" s="71">
        <v>0</v>
      </c>
      <c r="N1079" s="71">
        <v>0</v>
      </c>
      <c r="O1079" s="71">
        <v>0</v>
      </c>
      <c r="P1079" s="71">
        <v>5.8729999999999993</v>
      </c>
      <c r="Q1079" s="71">
        <v>23.545000000000002</v>
      </c>
      <c r="R1079" s="71">
        <v>116.2</v>
      </c>
      <c r="S1079" s="71">
        <v>3.5439999999999996</v>
      </c>
      <c r="T1079" s="71">
        <v>12.03365</v>
      </c>
    </row>
    <row r="1080" spans="1:20">
      <c r="A1080" s="71" t="s">
        <v>1530</v>
      </c>
      <c r="B1080" s="71" t="s">
        <v>1721</v>
      </c>
      <c r="C1080" s="71">
        <v>216.55799999999999</v>
      </c>
      <c r="D1080" s="71">
        <v>0</v>
      </c>
      <c r="E1080" s="71">
        <v>0</v>
      </c>
      <c r="F1080" s="71">
        <v>0.29799999999999999</v>
      </c>
      <c r="G1080" s="71">
        <v>7.8969999999999994</v>
      </c>
      <c r="H1080" s="71">
        <v>0</v>
      </c>
      <c r="I1080" s="71">
        <v>0</v>
      </c>
      <c r="J1080" s="71">
        <v>0</v>
      </c>
      <c r="K1080" s="71">
        <v>0</v>
      </c>
      <c r="L1080" s="71">
        <v>0</v>
      </c>
      <c r="M1080" s="71">
        <v>1.61</v>
      </c>
      <c r="N1080" s="71">
        <v>0.16599999999999998</v>
      </c>
      <c r="O1080" s="71">
        <v>0</v>
      </c>
      <c r="P1080" s="71">
        <v>3.73</v>
      </c>
      <c r="Q1080" s="71">
        <v>26.088999999999999</v>
      </c>
      <c r="R1080" s="71">
        <v>101.3</v>
      </c>
      <c r="S1080" s="71">
        <v>0.11599999999999999</v>
      </c>
      <c r="T1080" s="71">
        <v>10</v>
      </c>
    </row>
    <row r="1081" spans="1:20">
      <c r="A1081" s="71" t="s">
        <v>1532</v>
      </c>
      <c r="B1081" s="71" t="s">
        <v>1722</v>
      </c>
      <c r="C1081" s="71">
        <v>934.66799999999989</v>
      </c>
      <c r="D1081" s="71">
        <v>0</v>
      </c>
      <c r="E1081" s="71">
        <v>0.155</v>
      </c>
      <c r="F1081" s="71">
        <v>1.4059999999999999</v>
      </c>
      <c r="G1081" s="71">
        <v>25.693999999999999</v>
      </c>
      <c r="H1081" s="71">
        <v>4.9319999999999995</v>
      </c>
      <c r="I1081" s="71">
        <v>0</v>
      </c>
      <c r="J1081" s="71">
        <v>0</v>
      </c>
      <c r="K1081" s="71">
        <v>0</v>
      </c>
      <c r="L1081" s="71">
        <v>0</v>
      </c>
      <c r="M1081" s="71">
        <v>1.821</v>
      </c>
      <c r="N1081" s="71">
        <v>1.4119999999999999</v>
      </c>
      <c r="O1081" s="71">
        <v>1.7749999999999999</v>
      </c>
      <c r="P1081" s="71">
        <v>30.702999999999999</v>
      </c>
      <c r="Q1081" s="71">
        <v>70.673999999999992</v>
      </c>
      <c r="R1081" s="71">
        <v>475</v>
      </c>
      <c r="S1081" s="71">
        <v>113.18199999999999</v>
      </c>
      <c r="T1081" s="71">
        <v>46.732999999999997</v>
      </c>
    </row>
    <row r="1082" spans="1:20">
      <c r="A1082" s="71" t="s">
        <v>624</v>
      </c>
      <c r="B1082" s="71" t="s">
        <v>1723</v>
      </c>
      <c r="C1082" s="71">
        <v>215.12699999999998</v>
      </c>
      <c r="D1082" s="71">
        <v>0</v>
      </c>
      <c r="E1082" s="71">
        <v>0</v>
      </c>
      <c r="F1082" s="71">
        <v>0.45099999999999996</v>
      </c>
      <c r="G1082" s="71">
        <v>10.72</v>
      </c>
      <c r="H1082" s="71">
        <v>0.59</v>
      </c>
      <c r="I1082" s="71">
        <v>0</v>
      </c>
      <c r="J1082" s="71">
        <v>0</v>
      </c>
      <c r="K1082" s="71">
        <v>0</v>
      </c>
      <c r="L1082" s="71">
        <v>0</v>
      </c>
      <c r="M1082" s="71">
        <v>0</v>
      </c>
      <c r="N1082" s="71">
        <v>0</v>
      </c>
      <c r="O1082" s="71">
        <v>0</v>
      </c>
      <c r="P1082" s="71">
        <v>0.90500000000000003</v>
      </c>
      <c r="Q1082" s="71">
        <v>20.901999999999997</v>
      </c>
      <c r="R1082" s="71">
        <v>108.7</v>
      </c>
      <c r="S1082" s="71">
        <v>7.7839999999999998</v>
      </c>
      <c r="T1082" s="71">
        <v>9</v>
      </c>
    </row>
    <row r="1083" spans="1:20">
      <c r="A1083" s="71" t="s">
        <v>626</v>
      </c>
      <c r="B1083" s="71" t="s">
        <v>1724</v>
      </c>
      <c r="C1083" s="71">
        <v>1024.5819999999999</v>
      </c>
      <c r="D1083" s="71">
        <v>0</v>
      </c>
      <c r="E1083" s="71">
        <v>0</v>
      </c>
      <c r="F1083" s="71">
        <v>1.6679999999999999</v>
      </c>
      <c r="G1083" s="71">
        <v>46.545999999999999</v>
      </c>
      <c r="H1083" s="71">
        <v>3.4279999999999999</v>
      </c>
      <c r="I1083" s="71">
        <v>0</v>
      </c>
      <c r="J1083" s="71">
        <v>1.478</v>
      </c>
      <c r="K1083" s="71">
        <v>0</v>
      </c>
      <c r="L1083" s="71">
        <v>0</v>
      </c>
      <c r="M1083" s="71">
        <v>0</v>
      </c>
      <c r="N1083" s="71">
        <v>0.95299999999999996</v>
      </c>
      <c r="O1083" s="71">
        <v>0</v>
      </c>
      <c r="P1083" s="71">
        <v>2.2000000000000002</v>
      </c>
      <c r="Q1083" s="71">
        <v>69.998999999999995</v>
      </c>
      <c r="R1083" s="71">
        <v>747.3</v>
      </c>
      <c r="S1083" s="71">
        <v>53.601999999999997</v>
      </c>
      <c r="T1083" s="71">
        <v>51.228999999999999</v>
      </c>
    </row>
    <row r="1084" spans="1:20">
      <c r="A1084" s="71" t="s">
        <v>628</v>
      </c>
      <c r="B1084" s="71" t="s">
        <v>1725</v>
      </c>
      <c r="C1084" s="71">
        <v>225.779</v>
      </c>
      <c r="D1084" s="71">
        <v>0</v>
      </c>
      <c r="E1084" s="71">
        <v>0</v>
      </c>
      <c r="F1084" s="71">
        <v>0.40799999999999997</v>
      </c>
      <c r="G1084" s="71">
        <v>6.4989999999999997</v>
      </c>
      <c r="H1084" s="71">
        <v>0</v>
      </c>
      <c r="I1084" s="71">
        <v>0</v>
      </c>
      <c r="J1084" s="71">
        <v>0</v>
      </c>
      <c r="K1084" s="71">
        <v>0</v>
      </c>
      <c r="L1084" s="71">
        <v>0</v>
      </c>
      <c r="M1084" s="71">
        <v>0</v>
      </c>
      <c r="N1084" s="71">
        <v>0</v>
      </c>
      <c r="O1084" s="71">
        <v>0</v>
      </c>
      <c r="P1084" s="71">
        <v>0</v>
      </c>
      <c r="Q1084" s="71">
        <v>19.421999999999997</v>
      </c>
      <c r="R1084" s="71">
        <v>190.3</v>
      </c>
      <c r="S1084" s="71">
        <v>5.8169999999999993</v>
      </c>
      <c r="T1084" s="71">
        <v>11.28895</v>
      </c>
    </row>
    <row r="1085" spans="1:20">
      <c r="A1085" s="71" t="s">
        <v>630</v>
      </c>
      <c r="B1085" s="71" t="s">
        <v>3384</v>
      </c>
      <c r="C1085" s="71">
        <v>214.61199999999999</v>
      </c>
      <c r="D1085" s="71">
        <v>0</v>
      </c>
      <c r="E1085" s="71">
        <v>0</v>
      </c>
      <c r="F1085" s="71">
        <v>0.5069999999999999</v>
      </c>
      <c r="G1085" s="71">
        <v>12.035</v>
      </c>
      <c r="H1085" s="71">
        <v>0</v>
      </c>
      <c r="I1085" s="71">
        <v>0</v>
      </c>
      <c r="J1085" s="71">
        <v>0</v>
      </c>
      <c r="K1085" s="71">
        <v>0</v>
      </c>
      <c r="L1085" s="71">
        <v>0</v>
      </c>
      <c r="M1085" s="71">
        <v>0</v>
      </c>
      <c r="N1085" s="71">
        <v>0</v>
      </c>
      <c r="O1085" s="71">
        <v>0</v>
      </c>
      <c r="P1085" s="71">
        <v>0</v>
      </c>
      <c r="Q1085" s="71">
        <v>0</v>
      </c>
      <c r="R1085" s="71">
        <v>0</v>
      </c>
      <c r="S1085" s="71">
        <v>0</v>
      </c>
      <c r="T1085" s="71">
        <v>0</v>
      </c>
    </row>
    <row r="1086" spans="1:20">
      <c r="A1086" s="71" t="s">
        <v>3184</v>
      </c>
      <c r="B1086" s="71" t="s">
        <v>3385</v>
      </c>
      <c r="C1086" s="71">
        <v>343.98500000000001</v>
      </c>
      <c r="D1086" s="71">
        <v>0</v>
      </c>
      <c r="E1086" s="71">
        <v>0</v>
      </c>
      <c r="F1086" s="71">
        <v>0.58199999999999996</v>
      </c>
      <c r="G1086" s="71">
        <v>4.5979999999999999</v>
      </c>
      <c r="H1086" s="71">
        <v>0</v>
      </c>
      <c r="I1086" s="71">
        <v>0</v>
      </c>
      <c r="J1086" s="71">
        <v>0</v>
      </c>
      <c r="K1086" s="71">
        <v>0</v>
      </c>
      <c r="L1086" s="71">
        <v>0</v>
      </c>
      <c r="M1086" s="71">
        <v>0</v>
      </c>
      <c r="N1086" s="71">
        <v>0</v>
      </c>
      <c r="O1086" s="71">
        <v>0</v>
      </c>
      <c r="P1086" s="71">
        <v>0</v>
      </c>
      <c r="Q1086" s="71">
        <v>0</v>
      </c>
      <c r="R1086" s="71">
        <v>58.5</v>
      </c>
      <c r="S1086" s="71">
        <v>10.673999999999999</v>
      </c>
      <c r="T1086" s="71">
        <v>0</v>
      </c>
    </row>
    <row r="1087" spans="1:20">
      <c r="A1087" s="71" t="s">
        <v>2790</v>
      </c>
      <c r="B1087" s="71" t="s">
        <v>3386</v>
      </c>
      <c r="C1087" s="71">
        <v>78.080999999999989</v>
      </c>
      <c r="D1087" s="71">
        <v>8.3999999999999991E-2</v>
      </c>
      <c r="E1087" s="71">
        <v>0</v>
      </c>
      <c r="F1087" s="71">
        <v>0</v>
      </c>
      <c r="G1087" s="71">
        <v>4.4189999999999996</v>
      </c>
      <c r="H1087" s="71">
        <v>1.7999999999999999E-2</v>
      </c>
      <c r="I1087" s="71">
        <v>0</v>
      </c>
      <c r="J1087" s="71">
        <v>0</v>
      </c>
      <c r="K1087" s="71">
        <v>0</v>
      </c>
      <c r="L1087" s="71">
        <v>0</v>
      </c>
      <c r="M1087" s="71">
        <v>0</v>
      </c>
      <c r="N1087" s="71">
        <v>0.25599999999999995</v>
      </c>
      <c r="O1087" s="71">
        <v>0</v>
      </c>
      <c r="P1087" s="71">
        <v>0</v>
      </c>
      <c r="Q1087" s="71">
        <v>13.877999999999998</v>
      </c>
      <c r="R1087" s="71">
        <v>59.8</v>
      </c>
      <c r="S1087" s="71">
        <v>1.57</v>
      </c>
      <c r="T1087" s="71">
        <v>0</v>
      </c>
    </row>
    <row r="1088" spans="1:20">
      <c r="A1088" s="71" t="s">
        <v>3387</v>
      </c>
      <c r="B1088" s="71" t="s">
        <v>3388</v>
      </c>
      <c r="C1088" s="71">
        <v>586.99099999999999</v>
      </c>
      <c r="D1088" s="71">
        <v>9.8999999999999991E-2</v>
      </c>
      <c r="E1088" s="71">
        <v>0</v>
      </c>
      <c r="F1088" s="71">
        <v>9.999999999999998E-4</v>
      </c>
      <c r="G1088" s="71">
        <v>18.588999999999999</v>
      </c>
      <c r="H1088" s="71">
        <v>3.1739999999999999</v>
      </c>
      <c r="I1088" s="71">
        <v>0</v>
      </c>
      <c r="J1088" s="71">
        <v>0</v>
      </c>
      <c r="K1088" s="71">
        <v>0</v>
      </c>
      <c r="L1088" s="71">
        <v>0</v>
      </c>
      <c r="M1088" s="71">
        <v>0.35799999999999998</v>
      </c>
      <c r="N1088" s="71">
        <v>4.8859999999999992</v>
      </c>
      <c r="O1088" s="71">
        <v>0</v>
      </c>
      <c r="P1088" s="71">
        <v>0</v>
      </c>
      <c r="Q1088" s="71">
        <v>23.327999999999999</v>
      </c>
      <c r="R1088" s="71">
        <v>585.20000000000005</v>
      </c>
      <c r="S1088" s="71">
        <v>62.518999999999998</v>
      </c>
      <c r="T1088" s="71">
        <v>0</v>
      </c>
    </row>
    <row r="1089" spans="1:20">
      <c r="A1089" s="71" t="s">
        <v>3389</v>
      </c>
      <c r="B1089" s="71" t="s">
        <v>3390</v>
      </c>
      <c r="C1089" s="71">
        <v>254.27500000000001</v>
      </c>
      <c r="D1089" s="71">
        <v>0</v>
      </c>
      <c r="E1089" s="71">
        <v>0</v>
      </c>
      <c r="F1089" s="71">
        <v>0</v>
      </c>
      <c r="G1089" s="71">
        <v>0</v>
      </c>
      <c r="H1089" s="71">
        <v>0</v>
      </c>
      <c r="I1089" s="71">
        <v>0</v>
      </c>
      <c r="J1089" s="71">
        <v>0</v>
      </c>
      <c r="K1089" s="71">
        <v>0</v>
      </c>
      <c r="L1089" s="71">
        <v>0</v>
      </c>
      <c r="M1089" s="71">
        <v>0</v>
      </c>
      <c r="N1089" s="71">
        <v>4.4239999999999995</v>
      </c>
      <c r="O1089" s="71">
        <v>0</v>
      </c>
      <c r="P1089" s="71">
        <v>0</v>
      </c>
      <c r="Q1089" s="71">
        <v>35.428999999999995</v>
      </c>
      <c r="R1089" s="71">
        <v>0</v>
      </c>
      <c r="S1089" s="71">
        <v>0</v>
      </c>
      <c r="T1089" s="71">
        <v>0</v>
      </c>
    </row>
    <row r="1090" spans="1:20">
      <c r="A1090" s="71" t="s">
        <v>7159</v>
      </c>
      <c r="B1090" s="71" t="s">
        <v>3391</v>
      </c>
      <c r="C1090" s="71">
        <v>122.42699999999999</v>
      </c>
      <c r="D1090" s="71">
        <v>0</v>
      </c>
      <c r="E1090" s="71">
        <v>0</v>
      </c>
      <c r="F1090" s="71">
        <v>0</v>
      </c>
      <c r="G1090" s="71">
        <v>0</v>
      </c>
      <c r="H1090" s="71">
        <v>0</v>
      </c>
      <c r="I1090" s="71">
        <v>0</v>
      </c>
      <c r="J1090" s="71">
        <v>0</v>
      </c>
      <c r="K1090" s="71">
        <v>0</v>
      </c>
      <c r="L1090" s="71">
        <v>0</v>
      </c>
      <c r="M1090" s="71">
        <v>0</v>
      </c>
      <c r="N1090" s="71">
        <v>0</v>
      </c>
      <c r="O1090" s="71">
        <v>0</v>
      </c>
      <c r="P1090" s="71">
        <v>0</v>
      </c>
      <c r="Q1090" s="71">
        <v>0</v>
      </c>
      <c r="R1090" s="71">
        <v>85.2</v>
      </c>
      <c r="S1090" s="71">
        <v>7.6079999999999997</v>
      </c>
      <c r="T1090" s="71">
        <v>0</v>
      </c>
    </row>
    <row r="1091" spans="1:20">
      <c r="A1091" s="71" t="s">
        <v>3392</v>
      </c>
      <c r="B1091" s="71" t="s">
        <v>3393</v>
      </c>
      <c r="C1091" s="71">
        <v>294.63399999999996</v>
      </c>
      <c r="D1091" s="71">
        <v>0</v>
      </c>
      <c r="E1091" s="71">
        <v>0</v>
      </c>
      <c r="F1091" s="71">
        <v>0.107</v>
      </c>
      <c r="G1091" s="71">
        <v>2.0479999999999996</v>
      </c>
      <c r="H1091" s="71">
        <v>0</v>
      </c>
      <c r="I1091" s="71">
        <v>0</v>
      </c>
      <c r="J1091" s="71">
        <v>0</v>
      </c>
      <c r="K1091" s="71">
        <v>0</v>
      </c>
      <c r="L1091" s="71">
        <v>0</v>
      </c>
      <c r="M1091" s="71">
        <v>0</v>
      </c>
      <c r="N1091" s="71">
        <v>0</v>
      </c>
      <c r="O1091" s="71">
        <v>0</v>
      </c>
      <c r="P1091" s="71">
        <v>0</v>
      </c>
      <c r="Q1091" s="71">
        <v>0</v>
      </c>
      <c r="R1091" s="71">
        <v>160.80000000000001</v>
      </c>
      <c r="S1091" s="71">
        <v>0</v>
      </c>
      <c r="T1091" s="71">
        <v>6.8909999999999991</v>
      </c>
    </row>
    <row r="1092" spans="1:20">
      <c r="A1092" s="71" t="s">
        <v>3394</v>
      </c>
      <c r="B1092" s="71" t="s">
        <v>3395</v>
      </c>
      <c r="C1092" s="71">
        <v>343.85899999999998</v>
      </c>
      <c r="D1092" s="71">
        <v>0.11</v>
      </c>
      <c r="E1092" s="71">
        <v>0</v>
      </c>
      <c r="F1092" s="71">
        <v>0.28599999999999998</v>
      </c>
      <c r="G1092" s="71">
        <v>7.3009999999999993</v>
      </c>
      <c r="H1092" s="71">
        <v>0</v>
      </c>
      <c r="I1092" s="71">
        <v>0</v>
      </c>
      <c r="J1092" s="71">
        <v>0</v>
      </c>
      <c r="K1092" s="71">
        <v>0</v>
      </c>
      <c r="L1092" s="71">
        <v>0</v>
      </c>
      <c r="M1092" s="71">
        <v>0</v>
      </c>
      <c r="N1092" s="71">
        <v>0</v>
      </c>
      <c r="O1092" s="71">
        <v>0</v>
      </c>
      <c r="P1092" s="71">
        <v>0</v>
      </c>
      <c r="Q1092" s="71">
        <v>0</v>
      </c>
      <c r="R1092" s="71">
        <v>64.8</v>
      </c>
      <c r="S1092" s="71">
        <v>0</v>
      </c>
      <c r="T1092" s="71">
        <v>14.157999999999999</v>
      </c>
    </row>
    <row r="1093" spans="1:20">
      <c r="A1093" s="71" t="s">
        <v>3396</v>
      </c>
      <c r="B1093" s="71" t="s">
        <v>3397</v>
      </c>
      <c r="C1093" s="71">
        <v>315.41699999999997</v>
      </c>
      <c r="D1093" s="71">
        <v>0</v>
      </c>
      <c r="E1093" s="71">
        <v>0</v>
      </c>
      <c r="F1093" s="71">
        <v>0.95899999999999996</v>
      </c>
      <c r="G1093" s="71">
        <v>4.5829999999999993</v>
      </c>
      <c r="H1093" s="71">
        <v>0</v>
      </c>
      <c r="I1093" s="71">
        <v>0</v>
      </c>
      <c r="J1093" s="71">
        <v>0</v>
      </c>
      <c r="K1093" s="71">
        <v>0</v>
      </c>
      <c r="L1093" s="71">
        <v>0</v>
      </c>
      <c r="M1093" s="71">
        <v>0</v>
      </c>
      <c r="N1093" s="71">
        <v>0</v>
      </c>
      <c r="O1093" s="71">
        <v>0</v>
      </c>
      <c r="P1093" s="71">
        <v>0</v>
      </c>
      <c r="Q1093" s="71">
        <v>0</v>
      </c>
      <c r="R1093" s="71">
        <v>0</v>
      </c>
      <c r="S1093" s="71">
        <v>0</v>
      </c>
      <c r="T1093" s="71">
        <v>0</v>
      </c>
    </row>
    <row r="1094" spans="1:20">
      <c r="A1094" s="71" t="s">
        <v>3398</v>
      </c>
      <c r="B1094" s="71" t="s">
        <v>3399</v>
      </c>
      <c r="C1094" s="71">
        <v>153.68299999999999</v>
      </c>
      <c r="D1094" s="71">
        <v>0</v>
      </c>
      <c r="E1094" s="71">
        <v>0</v>
      </c>
      <c r="F1094" s="71">
        <v>0.08</v>
      </c>
      <c r="G1094" s="71">
        <v>0.33099999999999996</v>
      </c>
      <c r="H1094" s="71">
        <v>0</v>
      </c>
      <c r="I1094" s="71">
        <v>0</v>
      </c>
      <c r="J1094" s="71">
        <v>0</v>
      </c>
      <c r="K1094" s="71">
        <v>0</v>
      </c>
      <c r="L1094" s="71">
        <v>0</v>
      </c>
      <c r="M1094" s="71">
        <v>0</v>
      </c>
      <c r="N1094" s="71">
        <v>0</v>
      </c>
      <c r="O1094" s="71">
        <v>0</v>
      </c>
      <c r="P1094" s="71">
        <v>0</v>
      </c>
      <c r="Q1094" s="71">
        <v>0</v>
      </c>
      <c r="R1094" s="71">
        <v>214.3</v>
      </c>
      <c r="S1094" s="71">
        <v>20.683999999999997</v>
      </c>
      <c r="T1094" s="71">
        <v>0</v>
      </c>
    </row>
    <row r="1095" spans="1:20">
      <c r="A1095" s="71" t="s">
        <v>3400</v>
      </c>
      <c r="B1095" s="71" t="s">
        <v>3401</v>
      </c>
      <c r="C1095" s="71">
        <v>114.37299999999999</v>
      </c>
      <c r="D1095" s="71">
        <v>0</v>
      </c>
      <c r="E1095" s="71">
        <v>0</v>
      </c>
      <c r="F1095" s="71">
        <v>0</v>
      </c>
      <c r="G1095" s="71">
        <v>1.3379999999999999</v>
      </c>
      <c r="H1095" s="71">
        <v>0</v>
      </c>
      <c r="I1095" s="71">
        <v>0</v>
      </c>
      <c r="J1095" s="71">
        <v>0</v>
      </c>
      <c r="K1095" s="71">
        <v>0</v>
      </c>
      <c r="L1095" s="71">
        <v>0</v>
      </c>
      <c r="M1095" s="71">
        <v>0</v>
      </c>
      <c r="N1095" s="71">
        <v>1.1709999999999998</v>
      </c>
      <c r="O1095" s="71">
        <v>0</v>
      </c>
      <c r="P1095" s="71">
        <v>0</v>
      </c>
      <c r="Q1095" s="71">
        <v>10</v>
      </c>
      <c r="R1095" s="71">
        <v>68.5</v>
      </c>
      <c r="S1095" s="71">
        <v>0</v>
      </c>
      <c r="T1095" s="71">
        <v>0</v>
      </c>
    </row>
    <row r="1096" spans="1:20">
      <c r="A1096" s="71" t="s">
        <v>269</v>
      </c>
      <c r="B1096" s="71" t="s">
        <v>7688</v>
      </c>
      <c r="C1096" s="71">
        <v>58160.617999999995</v>
      </c>
      <c r="D1096" s="71">
        <v>0.73899999999999999</v>
      </c>
      <c r="E1096" s="71">
        <v>0</v>
      </c>
      <c r="F1096" s="71">
        <v>100.48</v>
      </c>
      <c r="G1096" s="71">
        <v>1656.3429999999998</v>
      </c>
      <c r="H1096" s="71">
        <v>378.95499999999998</v>
      </c>
      <c r="I1096" s="71">
        <v>0</v>
      </c>
      <c r="J1096" s="71">
        <v>0</v>
      </c>
      <c r="K1096" s="71">
        <v>0</v>
      </c>
      <c r="L1096" s="71">
        <v>0</v>
      </c>
      <c r="M1096" s="71">
        <v>22.877999999999997</v>
      </c>
      <c r="N1096" s="71">
        <v>26.995000000000001</v>
      </c>
      <c r="O1096" s="71">
        <v>26.780999999999999</v>
      </c>
      <c r="P1096" s="71">
        <v>190.089</v>
      </c>
      <c r="Q1096" s="71">
        <v>2488.54</v>
      </c>
      <c r="R1096" s="71">
        <v>31267</v>
      </c>
      <c r="S1096" s="71">
        <v>9492.3379999999997</v>
      </c>
      <c r="T1096" s="71">
        <v>2908.0308999999997</v>
      </c>
    </row>
    <row r="1097" spans="1:20">
      <c r="A1097" s="71" t="s">
        <v>951</v>
      </c>
      <c r="B1097" s="71" t="s">
        <v>7656</v>
      </c>
      <c r="C1097" s="71">
        <v>20878.427</v>
      </c>
      <c r="D1097" s="71">
        <v>0.39399999999999996</v>
      </c>
      <c r="E1097" s="71">
        <v>0</v>
      </c>
      <c r="F1097" s="71">
        <v>45.314999999999998</v>
      </c>
      <c r="G1097" s="71">
        <v>575.04399999999998</v>
      </c>
      <c r="H1097" s="71">
        <v>197.32499999999999</v>
      </c>
      <c r="I1097" s="71">
        <v>0</v>
      </c>
      <c r="J1097" s="71">
        <v>0</v>
      </c>
      <c r="K1097" s="71">
        <v>0</v>
      </c>
      <c r="L1097" s="71">
        <v>0</v>
      </c>
      <c r="M1097" s="71">
        <v>14.54</v>
      </c>
      <c r="N1097" s="71">
        <v>7.1229999999999993</v>
      </c>
      <c r="O1097" s="71">
        <v>4.6719999999999997</v>
      </c>
      <c r="P1097" s="71">
        <v>363.25899999999996</v>
      </c>
      <c r="Q1097" s="71">
        <v>793.90699999999993</v>
      </c>
      <c r="R1097" s="71">
        <v>9576.2000000000007</v>
      </c>
      <c r="S1097" s="71">
        <v>2238.92</v>
      </c>
      <c r="T1097" s="71">
        <v>1043.9209999999998</v>
      </c>
    </row>
    <row r="1098" spans="1:20">
      <c r="A1098" s="71" t="s">
        <v>409</v>
      </c>
      <c r="B1098" s="71" t="s">
        <v>1726</v>
      </c>
      <c r="C1098" s="71">
        <v>3967.3919999999998</v>
      </c>
      <c r="D1098" s="71">
        <v>0</v>
      </c>
      <c r="E1098" s="71">
        <v>0</v>
      </c>
      <c r="F1098" s="71">
        <v>8.59</v>
      </c>
      <c r="G1098" s="71">
        <v>81.078999999999994</v>
      </c>
      <c r="H1098" s="71">
        <v>62.232999999999997</v>
      </c>
      <c r="I1098" s="71">
        <v>0</v>
      </c>
      <c r="J1098" s="71">
        <v>0</v>
      </c>
      <c r="K1098" s="71">
        <v>0</v>
      </c>
      <c r="L1098" s="71">
        <v>0</v>
      </c>
      <c r="M1098" s="71">
        <v>0.91199999999999992</v>
      </c>
      <c r="N1098" s="71">
        <v>3.6850000000000001</v>
      </c>
      <c r="O1098" s="71">
        <v>2.1439999999999997</v>
      </c>
      <c r="P1098" s="71">
        <v>90.380999999999986</v>
      </c>
      <c r="Q1098" s="71">
        <v>137.60599999999999</v>
      </c>
      <c r="R1098" s="71">
        <v>2940.2</v>
      </c>
      <c r="S1098" s="71">
        <v>622.30999999999995</v>
      </c>
      <c r="T1098" s="71">
        <v>198.36959999999999</v>
      </c>
    </row>
    <row r="1099" spans="1:20">
      <c r="A1099" s="71" t="s">
        <v>3996</v>
      </c>
      <c r="B1099" s="71" t="s">
        <v>1727</v>
      </c>
      <c r="C1099" s="71">
        <v>73377.685999999987</v>
      </c>
      <c r="D1099" s="71">
        <v>6.0619999999999994</v>
      </c>
      <c r="E1099" s="71">
        <v>5.8289999999999997</v>
      </c>
      <c r="F1099" s="71">
        <v>97.11399999999999</v>
      </c>
      <c r="G1099" s="71">
        <v>1955.886</v>
      </c>
      <c r="H1099" s="71">
        <v>510.45899999999995</v>
      </c>
      <c r="I1099" s="71">
        <v>0</v>
      </c>
      <c r="J1099" s="71">
        <v>103.282</v>
      </c>
      <c r="K1099" s="71">
        <v>0</v>
      </c>
      <c r="L1099" s="71">
        <v>0</v>
      </c>
      <c r="M1099" s="71">
        <v>43.825999999999993</v>
      </c>
      <c r="N1099" s="71">
        <v>50.827999999999996</v>
      </c>
      <c r="O1099" s="71">
        <v>31.221999999999998</v>
      </c>
      <c r="P1099" s="71">
        <v>246.738</v>
      </c>
      <c r="Q1099" s="71">
        <v>2631.23</v>
      </c>
      <c r="R1099" s="71">
        <v>59222.3</v>
      </c>
      <c r="S1099" s="71">
        <v>18179.474999999999</v>
      </c>
      <c r="T1099" s="71">
        <v>3668.8839999999996</v>
      </c>
    </row>
    <row r="1100" spans="1:20">
      <c r="A1100" s="71" t="s">
        <v>3998</v>
      </c>
      <c r="B1100" s="71" t="s">
        <v>1728</v>
      </c>
      <c r="C1100" s="71">
        <v>13272.945</v>
      </c>
      <c r="D1100" s="71">
        <v>1.0419999999999998</v>
      </c>
      <c r="E1100" s="71">
        <v>0</v>
      </c>
      <c r="F1100" s="71">
        <v>14.526</v>
      </c>
      <c r="G1100" s="71">
        <v>199.69499999999999</v>
      </c>
      <c r="H1100" s="71">
        <v>53.6</v>
      </c>
      <c r="I1100" s="71">
        <v>0</v>
      </c>
      <c r="J1100" s="71">
        <v>0</v>
      </c>
      <c r="K1100" s="71">
        <v>0</v>
      </c>
      <c r="L1100" s="71">
        <v>1.0479999999999998</v>
      </c>
      <c r="M1100" s="71">
        <v>3.9289999999999998</v>
      </c>
      <c r="N1100" s="71">
        <v>0</v>
      </c>
      <c r="O1100" s="71">
        <v>0.66599999999999993</v>
      </c>
      <c r="P1100" s="71">
        <v>246.83699999999999</v>
      </c>
      <c r="Q1100" s="71">
        <v>377.65599999999995</v>
      </c>
      <c r="R1100" s="71">
        <v>1671.3</v>
      </c>
      <c r="S1100" s="71">
        <v>724.49599999999998</v>
      </c>
      <c r="T1100" s="71">
        <v>663.64699999999993</v>
      </c>
    </row>
    <row r="1101" spans="1:20">
      <c r="A1101" s="71" t="s">
        <v>6030</v>
      </c>
      <c r="B1101" s="71" t="s">
        <v>1915</v>
      </c>
      <c r="C1101" s="71">
        <v>23790.281999999999</v>
      </c>
      <c r="D1101" s="71">
        <v>0.16599999999999998</v>
      </c>
      <c r="E1101" s="71">
        <v>0</v>
      </c>
      <c r="F1101" s="71">
        <v>33.844999999999999</v>
      </c>
      <c r="G1101" s="71">
        <v>278.90099999999995</v>
      </c>
      <c r="H1101" s="71">
        <v>183.52500000000001</v>
      </c>
      <c r="I1101" s="71">
        <v>0</v>
      </c>
      <c r="J1101" s="71">
        <v>0</v>
      </c>
      <c r="K1101" s="71">
        <v>0</v>
      </c>
      <c r="L1101" s="71">
        <v>0</v>
      </c>
      <c r="M1101" s="71">
        <v>3.5950000000000002</v>
      </c>
      <c r="N1101" s="71">
        <v>2.9969999999999999</v>
      </c>
      <c r="O1101" s="71">
        <v>0</v>
      </c>
      <c r="P1101" s="71">
        <v>453.76899999999995</v>
      </c>
      <c r="Q1101" s="71">
        <v>747.702</v>
      </c>
      <c r="R1101" s="71">
        <v>3186.2</v>
      </c>
      <c r="S1101" s="71">
        <v>739.4609999999999</v>
      </c>
      <c r="T1101" s="71">
        <v>1189.5139999999999</v>
      </c>
    </row>
    <row r="1102" spans="1:20">
      <c r="A1102" s="71" t="s">
        <v>3002</v>
      </c>
      <c r="B1102" s="71" t="s">
        <v>6062</v>
      </c>
      <c r="C1102" s="71">
        <v>24356.260999999999</v>
      </c>
      <c r="D1102" s="71">
        <v>0.5119999999999999</v>
      </c>
      <c r="E1102" s="71">
        <v>0</v>
      </c>
      <c r="F1102" s="71">
        <v>36.400999999999996</v>
      </c>
      <c r="G1102" s="71">
        <v>465.39899999999994</v>
      </c>
      <c r="H1102" s="71">
        <v>228.75399999999999</v>
      </c>
      <c r="I1102" s="71">
        <v>0</v>
      </c>
      <c r="J1102" s="71">
        <v>0</v>
      </c>
      <c r="K1102" s="71">
        <v>0</v>
      </c>
      <c r="L1102" s="71">
        <v>0</v>
      </c>
      <c r="M1102" s="71">
        <v>16.096999999999998</v>
      </c>
      <c r="N1102" s="71">
        <v>2.6139999999999999</v>
      </c>
      <c r="O1102" s="71">
        <v>40.700000000000003</v>
      </c>
      <c r="P1102" s="71">
        <v>420.21499999999997</v>
      </c>
      <c r="Q1102" s="71">
        <v>1238.6379999999999</v>
      </c>
      <c r="R1102" s="71">
        <v>6505.5</v>
      </c>
      <c r="S1102" s="71">
        <v>1664.0809999999999</v>
      </c>
      <c r="T1102" s="71">
        <v>1217.8129999999999</v>
      </c>
    </row>
    <row r="1103" spans="1:20">
      <c r="A1103" s="71" t="s">
        <v>2986</v>
      </c>
      <c r="B1103" s="71" t="s">
        <v>186</v>
      </c>
      <c r="C1103" s="71">
        <v>2406.4079999999999</v>
      </c>
      <c r="D1103" s="71">
        <v>3.6999999999999998E-2</v>
      </c>
      <c r="E1103" s="71">
        <v>0</v>
      </c>
      <c r="F1103" s="71">
        <v>5.1339999999999995</v>
      </c>
      <c r="G1103" s="71">
        <v>60.953999999999994</v>
      </c>
      <c r="H1103" s="71">
        <v>12.648999999999999</v>
      </c>
      <c r="I1103" s="71">
        <v>0</v>
      </c>
      <c r="J1103" s="71">
        <v>0</v>
      </c>
      <c r="K1103" s="71">
        <v>0</v>
      </c>
      <c r="L1103" s="71">
        <v>0</v>
      </c>
      <c r="M1103" s="71">
        <v>0</v>
      </c>
      <c r="N1103" s="71">
        <v>1.7350000000000001</v>
      </c>
      <c r="O1103" s="71">
        <v>1.7829999999999999</v>
      </c>
      <c r="P1103" s="71">
        <v>33.159999999999997</v>
      </c>
      <c r="Q1103" s="71">
        <v>61.295000000000002</v>
      </c>
      <c r="R1103" s="71">
        <v>2105.3000000000002</v>
      </c>
      <c r="S1103" s="71">
        <v>336.36899999999997</v>
      </c>
      <c r="T1103" s="71">
        <v>119</v>
      </c>
    </row>
    <row r="1104" spans="1:20">
      <c r="A1104" s="71" t="s">
        <v>246</v>
      </c>
      <c r="B1104" s="71" t="s">
        <v>1668</v>
      </c>
      <c r="C1104" s="71">
        <v>12765.285</v>
      </c>
      <c r="D1104" s="71">
        <v>0.70599999999999996</v>
      </c>
      <c r="E1104" s="71">
        <v>0</v>
      </c>
      <c r="F1104" s="71">
        <v>22.587</v>
      </c>
      <c r="G1104" s="71">
        <v>341.62899999999996</v>
      </c>
      <c r="H1104" s="71">
        <v>118.437</v>
      </c>
      <c r="I1104" s="71">
        <v>0</v>
      </c>
      <c r="J1104" s="71">
        <v>0</v>
      </c>
      <c r="K1104" s="71">
        <v>0</v>
      </c>
      <c r="L1104" s="71">
        <v>2.5639999999999996</v>
      </c>
      <c r="M1104" s="71">
        <v>3.6659999999999999</v>
      </c>
      <c r="N1104" s="71">
        <v>3.9859999999999998</v>
      </c>
      <c r="O1104" s="71">
        <v>34.811</v>
      </c>
      <c r="P1104" s="71">
        <v>114.96299999999999</v>
      </c>
      <c r="Q1104" s="71">
        <v>272.87199999999996</v>
      </c>
      <c r="R1104" s="71">
        <v>4314.2</v>
      </c>
      <c r="S1104" s="71">
        <v>705.22199999999998</v>
      </c>
      <c r="T1104" s="71">
        <v>638.2639999999999</v>
      </c>
    </row>
    <row r="1105" spans="1:20">
      <c r="A1105" s="71" t="s">
        <v>6032</v>
      </c>
      <c r="B1105" s="71" t="s">
        <v>1918</v>
      </c>
      <c r="C1105" s="71">
        <v>2700.7089999999998</v>
      </c>
      <c r="D1105" s="71">
        <v>0.13</v>
      </c>
      <c r="E1105" s="71">
        <v>0</v>
      </c>
      <c r="F1105" s="71">
        <v>2.2999999999999998</v>
      </c>
      <c r="G1105" s="71">
        <v>88.698999999999998</v>
      </c>
      <c r="H1105" s="71">
        <v>8.8149999999999995</v>
      </c>
      <c r="I1105" s="71">
        <v>0</v>
      </c>
      <c r="J1105" s="71">
        <v>0</v>
      </c>
      <c r="K1105" s="71">
        <v>0</v>
      </c>
      <c r="L1105" s="71">
        <v>0</v>
      </c>
      <c r="M1105" s="71">
        <v>1.9750000000000001</v>
      </c>
      <c r="N1105" s="71">
        <v>0.93299999999999994</v>
      </c>
      <c r="O1105" s="71">
        <v>9.6269999999999989</v>
      </c>
      <c r="P1105" s="71">
        <v>6.3079999999999998</v>
      </c>
      <c r="Q1105" s="71">
        <v>104.36399999999999</v>
      </c>
      <c r="R1105" s="71">
        <v>810.7</v>
      </c>
      <c r="S1105" s="71">
        <v>108.374</v>
      </c>
      <c r="T1105" s="71">
        <v>135.035</v>
      </c>
    </row>
    <row r="1106" spans="1:20">
      <c r="A1106" s="71" t="s">
        <v>946</v>
      </c>
      <c r="B1106" s="71" t="s">
        <v>7693</v>
      </c>
      <c r="C1106" s="71">
        <v>5468.95</v>
      </c>
      <c r="D1106" s="71">
        <v>0.58199999999999996</v>
      </c>
      <c r="E1106" s="71">
        <v>0</v>
      </c>
      <c r="F1106" s="71">
        <v>11.558999999999999</v>
      </c>
      <c r="G1106" s="71">
        <v>168.03299999999999</v>
      </c>
      <c r="H1106" s="71">
        <v>63.571999999999996</v>
      </c>
      <c r="I1106" s="71">
        <v>0</v>
      </c>
      <c r="J1106" s="71">
        <v>3.4309999999999996</v>
      </c>
      <c r="K1106" s="71">
        <v>0</v>
      </c>
      <c r="L1106" s="71">
        <v>0</v>
      </c>
      <c r="M1106" s="71">
        <v>2.68</v>
      </c>
      <c r="N1106" s="71">
        <v>1.0169999999999999</v>
      </c>
      <c r="O1106" s="71">
        <v>7.4039999999999999</v>
      </c>
      <c r="P1106" s="71">
        <v>111.127</v>
      </c>
      <c r="Q1106" s="71">
        <v>198.75599999999997</v>
      </c>
      <c r="R1106" s="71">
        <v>2107.3000000000002</v>
      </c>
      <c r="S1106" s="71">
        <v>110.45399999999999</v>
      </c>
      <c r="T1106" s="71">
        <v>273.44699999999995</v>
      </c>
    </row>
    <row r="1107" spans="1:20">
      <c r="A1107" s="71" t="s">
        <v>1875</v>
      </c>
      <c r="B1107" s="71" t="s">
        <v>3858</v>
      </c>
      <c r="C1107" s="71">
        <v>18731.464</v>
      </c>
      <c r="D1107" s="71">
        <v>1.8179999999999998</v>
      </c>
      <c r="E1107" s="71">
        <v>0.187</v>
      </c>
      <c r="F1107" s="71">
        <v>30.578999999999997</v>
      </c>
      <c r="G1107" s="71">
        <v>524.0379999999999</v>
      </c>
      <c r="H1107" s="71">
        <v>166.69699999999997</v>
      </c>
      <c r="I1107" s="71">
        <v>0</v>
      </c>
      <c r="J1107" s="71">
        <v>0</v>
      </c>
      <c r="K1107" s="71">
        <v>0</v>
      </c>
      <c r="L1107" s="71">
        <v>0</v>
      </c>
      <c r="M1107" s="71">
        <v>1.7989999999999999</v>
      </c>
      <c r="N1107" s="71">
        <v>6.7750000000000004</v>
      </c>
      <c r="O1107" s="71">
        <v>11.976999999999999</v>
      </c>
      <c r="P1107" s="71">
        <v>52.418999999999997</v>
      </c>
      <c r="Q1107" s="71">
        <v>587.0379999999999</v>
      </c>
      <c r="R1107" s="71">
        <v>7492.8</v>
      </c>
      <c r="S1107" s="71">
        <v>1747.4419999999998</v>
      </c>
      <c r="T1107" s="71">
        <v>936.57299999999998</v>
      </c>
    </row>
    <row r="1108" spans="1:20">
      <c r="A1108" s="71" t="s">
        <v>6682</v>
      </c>
      <c r="B1108" s="71" t="s">
        <v>6103</v>
      </c>
      <c r="C1108" s="71">
        <v>3007.2389999999996</v>
      </c>
      <c r="D1108" s="71">
        <v>0.22699999999999998</v>
      </c>
      <c r="E1108" s="71">
        <v>0</v>
      </c>
      <c r="F1108" s="71">
        <v>4.6019999999999994</v>
      </c>
      <c r="G1108" s="71">
        <v>63.488999999999997</v>
      </c>
      <c r="H1108" s="71">
        <v>22.68</v>
      </c>
      <c r="I1108" s="71">
        <v>0</v>
      </c>
      <c r="J1108" s="71">
        <v>0</v>
      </c>
      <c r="K1108" s="71">
        <v>0</v>
      </c>
      <c r="L1108" s="71">
        <v>0</v>
      </c>
      <c r="M1108" s="71">
        <v>0</v>
      </c>
      <c r="N1108" s="71">
        <v>1.1100000000000001</v>
      </c>
      <c r="O1108" s="71">
        <v>1.0519999999999998</v>
      </c>
      <c r="P1108" s="71">
        <v>29.491</v>
      </c>
      <c r="Q1108" s="71">
        <v>103.81299999999999</v>
      </c>
      <c r="R1108" s="71">
        <v>2628.2</v>
      </c>
      <c r="S1108" s="71">
        <v>654.12699999999995</v>
      </c>
      <c r="T1108" s="71">
        <v>150.36194999999998</v>
      </c>
    </row>
    <row r="1109" spans="1:20">
      <c r="A1109" s="71" t="s">
        <v>4002</v>
      </c>
      <c r="B1109" s="71" t="s">
        <v>1729</v>
      </c>
      <c r="C1109" s="71">
        <v>10280.323999999999</v>
      </c>
      <c r="D1109" s="71">
        <v>0.25799999999999995</v>
      </c>
      <c r="E1109" s="71">
        <v>0</v>
      </c>
      <c r="F1109" s="71">
        <v>19.140999999999998</v>
      </c>
      <c r="G1109" s="71">
        <v>246.91299999999998</v>
      </c>
      <c r="H1109" s="71">
        <v>45.423999999999999</v>
      </c>
      <c r="I1109" s="71">
        <v>0</v>
      </c>
      <c r="J1109" s="71">
        <v>4.2429999999999994</v>
      </c>
      <c r="K1109" s="71">
        <v>0</v>
      </c>
      <c r="L1109" s="71">
        <v>0</v>
      </c>
      <c r="M1109" s="71">
        <v>1.4650000000000001</v>
      </c>
      <c r="N1109" s="71">
        <v>2.2589999999999999</v>
      </c>
      <c r="O1109" s="71">
        <v>1.2529999999999999</v>
      </c>
      <c r="P1109" s="71">
        <v>20.866999999999997</v>
      </c>
      <c r="Q1109" s="71">
        <v>215.44799999999998</v>
      </c>
      <c r="R1109" s="71">
        <v>2732.5</v>
      </c>
      <c r="S1109" s="71">
        <v>476.51499999999999</v>
      </c>
      <c r="T1109" s="71">
        <v>514.01599999999996</v>
      </c>
    </row>
    <row r="1110" spans="1:20">
      <c r="A1110" s="71" t="s">
        <v>6681</v>
      </c>
      <c r="B1110" s="71" t="s">
        <v>6102</v>
      </c>
      <c r="C1110" s="71">
        <v>7243.6519999999991</v>
      </c>
      <c r="D1110" s="71">
        <v>0.23399999999999999</v>
      </c>
      <c r="E1110" s="71">
        <v>0</v>
      </c>
      <c r="F1110" s="71">
        <v>11.693</v>
      </c>
      <c r="G1110" s="71">
        <v>260.35399999999998</v>
      </c>
      <c r="H1110" s="71">
        <v>46.577999999999996</v>
      </c>
      <c r="I1110" s="71">
        <v>0</v>
      </c>
      <c r="J1110" s="71">
        <v>0</v>
      </c>
      <c r="K1110" s="71">
        <v>0</v>
      </c>
      <c r="L1110" s="71">
        <v>0</v>
      </c>
      <c r="M1110" s="71">
        <v>0.87699999999999989</v>
      </c>
      <c r="N1110" s="71">
        <v>0</v>
      </c>
      <c r="O1110" s="71">
        <v>3.2999999999999995E-2</v>
      </c>
      <c r="P1110" s="71">
        <v>15.893999999999998</v>
      </c>
      <c r="Q1110" s="71">
        <v>77.11699999999999</v>
      </c>
      <c r="R1110" s="71">
        <v>121</v>
      </c>
      <c r="S1110" s="71">
        <v>19.137999999999998</v>
      </c>
      <c r="T1110" s="71">
        <v>362.18259999999992</v>
      </c>
    </row>
    <row r="1111" spans="1:20">
      <c r="A1111" s="71" t="s">
        <v>857</v>
      </c>
      <c r="B1111" s="71" t="s">
        <v>4069</v>
      </c>
      <c r="C1111" s="71">
        <v>4758.9079999999994</v>
      </c>
      <c r="D1111" s="71">
        <v>2.7999999999999997E-2</v>
      </c>
      <c r="E1111" s="71">
        <v>0</v>
      </c>
      <c r="F1111" s="71">
        <v>7.3729999999999993</v>
      </c>
      <c r="G1111" s="71">
        <v>107.089</v>
      </c>
      <c r="H1111" s="71">
        <v>38.622</v>
      </c>
      <c r="I1111" s="71">
        <v>0</v>
      </c>
      <c r="J1111" s="71">
        <v>0</v>
      </c>
      <c r="K1111" s="71">
        <v>0</v>
      </c>
      <c r="L1111" s="71">
        <v>0</v>
      </c>
      <c r="M1111" s="71">
        <v>2.0739999999999998</v>
      </c>
      <c r="N1111" s="71">
        <v>3.0429999999999997</v>
      </c>
      <c r="O1111" s="71">
        <v>0</v>
      </c>
      <c r="P1111" s="71">
        <v>110.43199999999999</v>
      </c>
      <c r="Q1111" s="71">
        <v>150.96799999999999</v>
      </c>
      <c r="R1111" s="71">
        <v>2190</v>
      </c>
      <c r="S1111" s="71">
        <v>264.24899999999997</v>
      </c>
      <c r="T1111" s="71">
        <v>237.94499999999999</v>
      </c>
    </row>
    <row r="1112" spans="1:20">
      <c r="A1112" s="71" t="s">
        <v>3402</v>
      </c>
      <c r="B1112" s="71" t="s">
        <v>3403</v>
      </c>
      <c r="C1112" s="71">
        <v>0</v>
      </c>
      <c r="D1112" s="71">
        <v>0</v>
      </c>
      <c r="E1112" s="71">
        <v>0</v>
      </c>
      <c r="F1112" s="71">
        <v>0</v>
      </c>
      <c r="G1112" s="71">
        <v>0</v>
      </c>
      <c r="H1112" s="71">
        <v>0</v>
      </c>
      <c r="I1112" s="71">
        <v>0</v>
      </c>
      <c r="J1112" s="71">
        <v>0</v>
      </c>
      <c r="K1112" s="71">
        <v>0</v>
      </c>
      <c r="L1112" s="71">
        <v>0</v>
      </c>
      <c r="M1112" s="71">
        <v>0</v>
      </c>
      <c r="N1112" s="71">
        <v>0</v>
      </c>
      <c r="O1112" s="71">
        <v>0</v>
      </c>
      <c r="P1112" s="71">
        <v>0</v>
      </c>
      <c r="Q1112" s="71">
        <v>0</v>
      </c>
      <c r="R1112" s="71">
        <v>0</v>
      </c>
      <c r="S1112" s="71">
        <v>0</v>
      </c>
      <c r="T1112" s="71">
        <v>0</v>
      </c>
    </row>
    <row r="1113" spans="1:20">
      <c r="A1113" s="71" t="s">
        <v>4004</v>
      </c>
      <c r="B1113" s="71" t="s">
        <v>3404</v>
      </c>
      <c r="C1113" s="71">
        <v>173.19899999999998</v>
      </c>
      <c r="D1113" s="71">
        <v>0</v>
      </c>
      <c r="E1113" s="71">
        <v>0</v>
      </c>
      <c r="F1113" s="71">
        <v>0</v>
      </c>
      <c r="G1113" s="71">
        <v>3.79</v>
      </c>
      <c r="H1113" s="71">
        <v>0</v>
      </c>
      <c r="I1113" s="71">
        <v>0</v>
      </c>
      <c r="J1113" s="71">
        <v>0</v>
      </c>
      <c r="K1113" s="71">
        <v>0</v>
      </c>
      <c r="L1113" s="71">
        <v>0</v>
      </c>
      <c r="M1113" s="71">
        <v>0.72399999999999998</v>
      </c>
      <c r="N1113" s="71">
        <v>0</v>
      </c>
      <c r="O1113" s="71">
        <v>0</v>
      </c>
      <c r="P1113" s="71">
        <v>0</v>
      </c>
      <c r="Q1113" s="71">
        <v>0</v>
      </c>
      <c r="R1113" s="71">
        <v>97.5</v>
      </c>
      <c r="S1113" s="71">
        <v>2.581</v>
      </c>
      <c r="T1113" s="71">
        <v>0</v>
      </c>
    </row>
    <row r="1114" spans="1:20">
      <c r="A1114" s="71" t="s">
        <v>4006</v>
      </c>
      <c r="B1114" s="71" t="s">
        <v>1730</v>
      </c>
      <c r="C1114" s="71">
        <v>15327.460999999999</v>
      </c>
      <c r="D1114" s="71">
        <v>0.42799999999999999</v>
      </c>
      <c r="E1114" s="71">
        <v>0.65199999999999991</v>
      </c>
      <c r="F1114" s="71">
        <v>36.002999999999993</v>
      </c>
      <c r="G1114" s="71">
        <v>600.57299999999998</v>
      </c>
      <c r="H1114" s="71">
        <v>215.21599999999998</v>
      </c>
      <c r="I1114" s="71">
        <v>0</v>
      </c>
      <c r="J1114" s="71">
        <v>42.936</v>
      </c>
      <c r="K1114" s="71">
        <v>3.2250000000000001</v>
      </c>
      <c r="L1114" s="71">
        <v>0</v>
      </c>
      <c r="M1114" s="71">
        <v>65.777999999999992</v>
      </c>
      <c r="N1114" s="71">
        <v>7.0179999999999998</v>
      </c>
      <c r="O1114" s="71">
        <v>24.38</v>
      </c>
      <c r="P1114" s="71">
        <v>328.70699999999999</v>
      </c>
      <c r="Q1114" s="71">
        <v>617.78</v>
      </c>
      <c r="R1114" s="71">
        <v>9997</v>
      </c>
      <c r="S1114" s="71">
        <v>406.58799999999997</v>
      </c>
      <c r="T1114" s="71">
        <v>766.37299999999993</v>
      </c>
    </row>
    <row r="1115" spans="1:20">
      <c r="A1115" s="71" t="s">
        <v>4008</v>
      </c>
      <c r="B1115" s="71" t="s">
        <v>1731</v>
      </c>
      <c r="C1115" s="71">
        <v>1215.9569999999999</v>
      </c>
      <c r="D1115" s="71">
        <v>4.7999999999999994E-2</v>
      </c>
      <c r="E1115" s="71">
        <v>0</v>
      </c>
      <c r="F1115" s="71">
        <v>2.3019999999999996</v>
      </c>
      <c r="G1115" s="71">
        <v>77.233999999999995</v>
      </c>
      <c r="H1115" s="71">
        <v>10.039</v>
      </c>
      <c r="I1115" s="71">
        <v>0</v>
      </c>
      <c r="J1115" s="71">
        <v>0</v>
      </c>
      <c r="K1115" s="71">
        <v>0</v>
      </c>
      <c r="L1115" s="71">
        <v>0</v>
      </c>
      <c r="M1115" s="71">
        <v>1.591</v>
      </c>
      <c r="N1115" s="71">
        <v>0.75</v>
      </c>
      <c r="O1115" s="71">
        <v>0</v>
      </c>
      <c r="P1115" s="71">
        <v>22.483999999999998</v>
      </c>
      <c r="Q1115" s="71">
        <v>68.320999999999998</v>
      </c>
      <c r="R1115" s="71">
        <v>719.7</v>
      </c>
      <c r="S1115" s="71">
        <v>23.06</v>
      </c>
      <c r="T1115" s="71">
        <v>60.797849999999997</v>
      </c>
    </row>
    <row r="1116" spans="1:20">
      <c r="A1116" s="71" t="s">
        <v>4010</v>
      </c>
      <c r="B1116" s="71" t="s">
        <v>1732</v>
      </c>
      <c r="C1116" s="71">
        <v>146.09099999999998</v>
      </c>
      <c r="D1116" s="71">
        <v>0</v>
      </c>
      <c r="E1116" s="71">
        <v>0</v>
      </c>
      <c r="F1116" s="71">
        <v>0.15699999999999997</v>
      </c>
      <c r="G1116" s="71">
        <v>6.8569999999999993</v>
      </c>
      <c r="H1116" s="71">
        <v>0</v>
      </c>
      <c r="I1116" s="71">
        <v>0</v>
      </c>
      <c r="J1116" s="71">
        <v>0</v>
      </c>
      <c r="K1116" s="71">
        <v>0</v>
      </c>
      <c r="L1116" s="71">
        <v>0</v>
      </c>
      <c r="M1116" s="71">
        <v>0</v>
      </c>
      <c r="N1116" s="71">
        <v>0</v>
      </c>
      <c r="O1116" s="71">
        <v>0.33399999999999996</v>
      </c>
      <c r="P1116" s="71">
        <v>0</v>
      </c>
      <c r="Q1116" s="71">
        <v>9.9869999999999983</v>
      </c>
      <c r="R1116" s="71">
        <v>80.5</v>
      </c>
      <c r="S1116" s="71">
        <v>8.4309999999999992</v>
      </c>
      <c r="T1116" s="71">
        <v>7.304549999999999</v>
      </c>
    </row>
    <row r="1117" spans="1:20">
      <c r="A1117" s="71" t="s">
        <v>4012</v>
      </c>
      <c r="B1117" s="71" t="s">
        <v>1733</v>
      </c>
      <c r="C1117" s="71">
        <v>943.71399999999994</v>
      </c>
      <c r="D1117" s="71">
        <v>0</v>
      </c>
      <c r="E1117" s="71">
        <v>0</v>
      </c>
      <c r="F1117" s="71">
        <v>1.8789999999999998</v>
      </c>
      <c r="G1117" s="71">
        <v>18.832999999999998</v>
      </c>
      <c r="H1117" s="71">
        <v>5.952</v>
      </c>
      <c r="I1117" s="71">
        <v>0</v>
      </c>
      <c r="J1117" s="71">
        <v>0</v>
      </c>
      <c r="K1117" s="71">
        <v>0</v>
      </c>
      <c r="L1117" s="71">
        <v>0</v>
      </c>
      <c r="M1117" s="71">
        <v>0</v>
      </c>
      <c r="N1117" s="71">
        <v>0.44199999999999995</v>
      </c>
      <c r="O1117" s="71">
        <v>0</v>
      </c>
      <c r="P1117" s="71">
        <v>44.283999999999999</v>
      </c>
      <c r="Q1117" s="71">
        <v>44.872999999999998</v>
      </c>
      <c r="R1117" s="71">
        <v>327.3</v>
      </c>
      <c r="S1117" s="71">
        <v>1.1999999999999999E-2</v>
      </c>
      <c r="T1117" s="71">
        <v>47.185699999999997</v>
      </c>
    </row>
    <row r="1118" spans="1:20">
      <c r="A1118" s="71" t="s">
        <v>4014</v>
      </c>
      <c r="B1118" s="71" t="s">
        <v>2008</v>
      </c>
      <c r="C1118" s="71">
        <v>2851.58</v>
      </c>
      <c r="D1118" s="71">
        <v>0.25</v>
      </c>
      <c r="E1118" s="71">
        <v>0</v>
      </c>
      <c r="F1118" s="71">
        <v>3.8019999999999996</v>
      </c>
      <c r="G1118" s="71">
        <v>47.015999999999998</v>
      </c>
      <c r="H1118" s="71">
        <v>14.186999999999999</v>
      </c>
      <c r="I1118" s="71">
        <v>0</v>
      </c>
      <c r="J1118" s="71">
        <v>0</v>
      </c>
      <c r="K1118" s="71">
        <v>0</v>
      </c>
      <c r="L1118" s="71">
        <v>0</v>
      </c>
      <c r="M1118" s="71">
        <v>5.2679999999999998</v>
      </c>
      <c r="N1118" s="71">
        <v>0</v>
      </c>
      <c r="O1118" s="71">
        <v>1.6269999999999998</v>
      </c>
      <c r="P1118" s="71">
        <v>99.067999999999998</v>
      </c>
      <c r="Q1118" s="71">
        <v>100.07</v>
      </c>
      <c r="R1118" s="71">
        <v>303.3</v>
      </c>
      <c r="S1118" s="71">
        <v>5.9239999999999995</v>
      </c>
      <c r="T1118" s="71">
        <v>142.57899999999998</v>
      </c>
    </row>
    <row r="1119" spans="1:20">
      <c r="A1119" s="71" t="s">
        <v>3405</v>
      </c>
      <c r="B1119" s="71" t="s">
        <v>3406</v>
      </c>
      <c r="C1119" s="71">
        <v>0</v>
      </c>
      <c r="D1119" s="71">
        <v>0</v>
      </c>
      <c r="E1119" s="71">
        <v>0</v>
      </c>
      <c r="F1119" s="71">
        <v>0</v>
      </c>
      <c r="G1119" s="71">
        <v>0</v>
      </c>
      <c r="H1119" s="71">
        <v>0</v>
      </c>
      <c r="I1119" s="71">
        <v>0</v>
      </c>
      <c r="J1119" s="71">
        <v>0</v>
      </c>
      <c r="K1119" s="71">
        <v>0</v>
      </c>
      <c r="L1119" s="71">
        <v>0</v>
      </c>
      <c r="M1119" s="71">
        <v>0</v>
      </c>
      <c r="N1119" s="71">
        <v>0</v>
      </c>
      <c r="O1119" s="71">
        <v>0</v>
      </c>
      <c r="P1119" s="71">
        <v>0</v>
      </c>
      <c r="Q1119" s="71">
        <v>0</v>
      </c>
      <c r="R1119" s="71">
        <v>0</v>
      </c>
      <c r="S1119" s="71">
        <v>0</v>
      </c>
      <c r="T1119" s="71">
        <v>0</v>
      </c>
    </row>
    <row r="1120" spans="1:20">
      <c r="A1120" s="71" t="s">
        <v>4015</v>
      </c>
      <c r="B1120" s="71" t="s">
        <v>1734</v>
      </c>
      <c r="C1120" s="71">
        <v>134.34099999999998</v>
      </c>
      <c r="D1120" s="71">
        <v>0</v>
      </c>
      <c r="E1120" s="71">
        <v>0</v>
      </c>
      <c r="F1120" s="71">
        <v>0.26899999999999996</v>
      </c>
      <c r="G1120" s="71">
        <v>2.839</v>
      </c>
      <c r="H1120" s="71">
        <v>1.6289999999999998</v>
      </c>
      <c r="I1120" s="71">
        <v>0</v>
      </c>
      <c r="J1120" s="71">
        <v>0</v>
      </c>
      <c r="K1120" s="71">
        <v>0</v>
      </c>
      <c r="L1120" s="71">
        <v>0</v>
      </c>
      <c r="M1120" s="71">
        <v>0</v>
      </c>
      <c r="N1120" s="71">
        <v>0</v>
      </c>
      <c r="O1120" s="71">
        <v>0</v>
      </c>
      <c r="P1120" s="71">
        <v>4.7979999999999992</v>
      </c>
      <c r="Q1120" s="71">
        <v>9.1050000000000004</v>
      </c>
      <c r="R1120" s="71">
        <v>83.2</v>
      </c>
      <c r="S1120" s="71">
        <v>8.0139999999999993</v>
      </c>
      <c r="T1120" s="71">
        <v>5</v>
      </c>
    </row>
    <row r="1121" spans="1:20">
      <c r="A1121" s="71" t="s">
        <v>6120</v>
      </c>
      <c r="B1121" s="71" t="s">
        <v>1735</v>
      </c>
      <c r="C1121" s="71">
        <v>1713.972</v>
      </c>
      <c r="D1121" s="71">
        <v>0.35799999999999998</v>
      </c>
      <c r="E1121" s="71">
        <v>0</v>
      </c>
      <c r="F1121" s="71">
        <v>3.4809999999999999</v>
      </c>
      <c r="G1121" s="71">
        <v>60.520999999999994</v>
      </c>
      <c r="H1121" s="71">
        <v>9.91</v>
      </c>
      <c r="I1121" s="71">
        <v>0</v>
      </c>
      <c r="J1121" s="71">
        <v>0</v>
      </c>
      <c r="K1121" s="71">
        <v>0</v>
      </c>
      <c r="L1121" s="71">
        <v>0</v>
      </c>
      <c r="M1121" s="71">
        <v>0</v>
      </c>
      <c r="N1121" s="71">
        <v>1.9129999999999998</v>
      </c>
      <c r="O1121" s="71">
        <v>0</v>
      </c>
      <c r="P1121" s="71">
        <v>36.108999999999995</v>
      </c>
      <c r="Q1121" s="71">
        <v>131.34699999999998</v>
      </c>
      <c r="R1121" s="71">
        <v>1462.2</v>
      </c>
      <c r="S1121" s="71">
        <v>89.061999999999998</v>
      </c>
      <c r="T1121" s="71">
        <v>85.698599999999985</v>
      </c>
    </row>
    <row r="1122" spans="1:20">
      <c r="A1122" s="71" t="s">
        <v>6679</v>
      </c>
      <c r="B1122" s="71" t="s">
        <v>6078</v>
      </c>
      <c r="C1122" s="71">
        <v>294.94699999999995</v>
      </c>
      <c r="D1122" s="71">
        <v>0</v>
      </c>
      <c r="E1122" s="71">
        <v>0</v>
      </c>
      <c r="F1122" s="71">
        <v>0.22500000000000001</v>
      </c>
      <c r="G1122" s="71">
        <v>1.6969999999999998</v>
      </c>
      <c r="H1122" s="71">
        <v>0</v>
      </c>
      <c r="I1122" s="71">
        <v>0</v>
      </c>
      <c r="J1122" s="71">
        <v>0</v>
      </c>
      <c r="K1122" s="71">
        <v>0</v>
      </c>
      <c r="L1122" s="71">
        <v>0</v>
      </c>
      <c r="M1122" s="71">
        <v>0</v>
      </c>
      <c r="N1122" s="71">
        <v>0.32</v>
      </c>
      <c r="O1122" s="71">
        <v>0</v>
      </c>
      <c r="P1122" s="71">
        <v>13.603999999999999</v>
      </c>
      <c r="Q1122" s="71">
        <v>19.943999999999999</v>
      </c>
      <c r="R1122" s="71">
        <v>239.2</v>
      </c>
      <c r="S1122" s="71">
        <v>27.875</v>
      </c>
      <c r="T1122" s="71">
        <v>14.747</v>
      </c>
    </row>
    <row r="1123" spans="1:20">
      <c r="A1123" s="71" t="s">
        <v>6122</v>
      </c>
      <c r="B1123" s="71" t="s">
        <v>1736</v>
      </c>
      <c r="C1123" s="71">
        <v>224.43899999999999</v>
      </c>
      <c r="D1123" s="71">
        <v>0</v>
      </c>
      <c r="E1123" s="71">
        <v>0</v>
      </c>
      <c r="F1123" s="71">
        <v>0.28199999999999997</v>
      </c>
      <c r="G1123" s="71">
        <v>5.7059999999999995</v>
      </c>
      <c r="H1123" s="71">
        <v>0</v>
      </c>
      <c r="I1123" s="71">
        <v>0</v>
      </c>
      <c r="J1123" s="71">
        <v>0.41699999999999998</v>
      </c>
      <c r="K1123" s="71">
        <v>0</v>
      </c>
      <c r="L1123" s="71">
        <v>0</v>
      </c>
      <c r="M1123" s="71">
        <v>0</v>
      </c>
      <c r="N1123" s="71">
        <v>4.8999999999999995E-2</v>
      </c>
      <c r="O1123" s="71">
        <v>1.7979999999999998</v>
      </c>
      <c r="P1123" s="71">
        <v>2.8659999999999997</v>
      </c>
      <c r="Q1123" s="71">
        <v>18.655999999999999</v>
      </c>
      <c r="R1123" s="71">
        <v>125.7</v>
      </c>
      <c r="S1123" s="71">
        <v>15.445</v>
      </c>
      <c r="T1123" s="71">
        <v>9</v>
      </c>
    </row>
    <row r="1124" spans="1:20">
      <c r="A1124" s="71" t="s">
        <v>1801</v>
      </c>
      <c r="B1124" s="71" t="s">
        <v>1737</v>
      </c>
      <c r="C1124" s="71">
        <v>201.91199999999998</v>
      </c>
      <c r="D1124" s="71">
        <v>0</v>
      </c>
      <c r="E1124" s="71">
        <v>0</v>
      </c>
      <c r="F1124" s="71">
        <v>0.36</v>
      </c>
      <c r="G1124" s="71">
        <v>4.1259999999999994</v>
      </c>
      <c r="H1124" s="71">
        <v>1.0359999999999998</v>
      </c>
      <c r="I1124" s="71">
        <v>0</v>
      </c>
      <c r="J1124" s="71">
        <v>0</v>
      </c>
      <c r="K1124" s="71">
        <v>0</v>
      </c>
      <c r="L1124" s="71">
        <v>0</v>
      </c>
      <c r="M1124" s="71">
        <v>0</v>
      </c>
      <c r="N1124" s="71">
        <v>0</v>
      </c>
      <c r="O1124" s="71">
        <v>0</v>
      </c>
      <c r="P1124" s="71">
        <v>7.2729999999999997</v>
      </c>
      <c r="Q1124" s="71">
        <v>20.225000000000001</v>
      </c>
      <c r="R1124" s="71">
        <v>110.7</v>
      </c>
      <c r="S1124" s="71">
        <v>2</v>
      </c>
      <c r="T1124" s="71">
        <v>10.095599999999999</v>
      </c>
    </row>
    <row r="1125" spans="1:20">
      <c r="A1125" s="71" t="s">
        <v>1803</v>
      </c>
      <c r="B1125" s="71" t="s">
        <v>1738</v>
      </c>
      <c r="C1125" s="71">
        <v>104.30399999999999</v>
      </c>
      <c r="D1125" s="71">
        <v>0</v>
      </c>
      <c r="E1125" s="71">
        <v>0</v>
      </c>
      <c r="F1125" s="71">
        <v>0.13599999999999998</v>
      </c>
      <c r="G1125" s="71">
        <v>3.7589999999999999</v>
      </c>
      <c r="H1125" s="71">
        <v>0</v>
      </c>
      <c r="I1125" s="71">
        <v>0</v>
      </c>
      <c r="J1125" s="71">
        <v>0</v>
      </c>
      <c r="K1125" s="71">
        <v>0</v>
      </c>
      <c r="L1125" s="71">
        <v>0</v>
      </c>
      <c r="M1125" s="71">
        <v>6.2999999999999987E-2</v>
      </c>
      <c r="N1125" s="71">
        <v>0</v>
      </c>
      <c r="O1125" s="71">
        <v>0</v>
      </c>
      <c r="P1125" s="71">
        <v>1.9550000000000001</v>
      </c>
      <c r="Q1125" s="71">
        <v>10.335000000000001</v>
      </c>
      <c r="R1125" s="71">
        <v>57.3</v>
      </c>
      <c r="S1125" s="71">
        <v>1.5649999999999999</v>
      </c>
      <c r="T1125" s="71">
        <v>5.2149999999999999</v>
      </c>
    </row>
    <row r="1126" spans="1:20">
      <c r="A1126" s="71" t="s">
        <v>1805</v>
      </c>
      <c r="B1126" s="71" t="s">
        <v>1739</v>
      </c>
      <c r="C1126" s="71">
        <v>4750.5849999999991</v>
      </c>
      <c r="D1126" s="71">
        <v>0.40500000000000003</v>
      </c>
      <c r="E1126" s="71">
        <v>0</v>
      </c>
      <c r="F1126" s="71">
        <v>9.8939999999999984</v>
      </c>
      <c r="G1126" s="71">
        <v>116.303</v>
      </c>
      <c r="H1126" s="71">
        <v>43.119</v>
      </c>
      <c r="I1126" s="71">
        <v>0</v>
      </c>
      <c r="J1126" s="71">
        <v>0.70799999999999996</v>
      </c>
      <c r="K1126" s="71">
        <v>0</v>
      </c>
      <c r="L1126" s="71">
        <v>0</v>
      </c>
      <c r="M1126" s="71">
        <v>1.0039999999999998</v>
      </c>
      <c r="N1126" s="71">
        <v>4.5959999999999992</v>
      </c>
      <c r="O1126" s="71">
        <v>0</v>
      </c>
      <c r="P1126" s="71">
        <v>225.94399999999999</v>
      </c>
      <c r="Q1126" s="71">
        <v>391.851</v>
      </c>
      <c r="R1126" s="71">
        <v>4058</v>
      </c>
      <c r="S1126" s="71">
        <v>1335.415</v>
      </c>
      <c r="T1126" s="71">
        <v>237.529</v>
      </c>
    </row>
    <row r="1127" spans="1:20">
      <c r="A1127" s="71" t="s">
        <v>1807</v>
      </c>
      <c r="B1127" s="71" t="s">
        <v>1740</v>
      </c>
      <c r="C1127" s="71">
        <v>131.875</v>
      </c>
      <c r="D1127" s="71">
        <v>0</v>
      </c>
      <c r="E1127" s="71">
        <v>0</v>
      </c>
      <c r="F1127" s="71">
        <v>3.3999999999999996E-2</v>
      </c>
      <c r="G1127" s="71">
        <v>0.57799999999999996</v>
      </c>
      <c r="H1127" s="71">
        <v>0</v>
      </c>
      <c r="I1127" s="71">
        <v>0</v>
      </c>
      <c r="J1127" s="71">
        <v>0</v>
      </c>
      <c r="K1127" s="71">
        <v>0</v>
      </c>
      <c r="L1127" s="71">
        <v>0</v>
      </c>
      <c r="M1127" s="71">
        <v>0</v>
      </c>
      <c r="N1127" s="71">
        <v>0</v>
      </c>
      <c r="O1127" s="71">
        <v>0</v>
      </c>
      <c r="P1127" s="71">
        <v>8.2539999999999996</v>
      </c>
      <c r="Q1127" s="71">
        <v>0</v>
      </c>
      <c r="R1127" s="71">
        <v>123</v>
      </c>
      <c r="S1127" s="71">
        <v>60.564999999999998</v>
      </c>
      <c r="T1127" s="71">
        <v>4</v>
      </c>
    </row>
    <row r="1128" spans="1:20">
      <c r="A1128" s="71" t="s">
        <v>5037</v>
      </c>
      <c r="B1128" s="71" t="s">
        <v>6106</v>
      </c>
      <c r="C1128" s="71">
        <v>810.05799999999999</v>
      </c>
      <c r="D1128" s="71">
        <v>0.311</v>
      </c>
      <c r="E1128" s="71">
        <v>0</v>
      </c>
      <c r="F1128" s="71">
        <v>1.724</v>
      </c>
      <c r="G1128" s="71">
        <v>21.806999999999999</v>
      </c>
      <c r="H1128" s="71">
        <v>0.75099999999999989</v>
      </c>
      <c r="I1128" s="71">
        <v>0</v>
      </c>
      <c r="J1128" s="71">
        <v>2.5299999999999998</v>
      </c>
      <c r="K1128" s="71">
        <v>0</v>
      </c>
      <c r="L1128" s="71">
        <v>0</v>
      </c>
      <c r="M1128" s="71">
        <v>2.3139999999999996</v>
      </c>
      <c r="N1128" s="71">
        <v>6.2999999999999987E-2</v>
      </c>
      <c r="O1128" s="71">
        <v>0</v>
      </c>
      <c r="P1128" s="71">
        <v>18.646999999999998</v>
      </c>
      <c r="Q1128" s="71">
        <v>61.476999999999997</v>
      </c>
      <c r="R1128" s="71">
        <v>345.8</v>
      </c>
      <c r="S1128" s="71">
        <v>61.172999999999995</v>
      </c>
      <c r="T1128" s="71">
        <v>40.502899999999997</v>
      </c>
    </row>
    <row r="1129" spans="1:20">
      <c r="A1129" s="71" t="s">
        <v>1809</v>
      </c>
      <c r="B1129" s="71" t="s">
        <v>1741</v>
      </c>
      <c r="C1129" s="71">
        <v>417.37</v>
      </c>
      <c r="D1129" s="71">
        <v>2.5999999999999999E-2</v>
      </c>
      <c r="E1129" s="71">
        <v>0</v>
      </c>
      <c r="F1129" s="71">
        <v>1.103</v>
      </c>
      <c r="G1129" s="71">
        <v>7.7669999999999995</v>
      </c>
      <c r="H1129" s="71">
        <v>0.51</v>
      </c>
      <c r="I1129" s="71">
        <v>0</v>
      </c>
      <c r="J1129" s="71">
        <v>2.218</v>
      </c>
      <c r="K1129" s="71">
        <v>0</v>
      </c>
      <c r="L1129" s="71">
        <v>0</v>
      </c>
      <c r="M1129" s="71">
        <v>0</v>
      </c>
      <c r="N1129" s="71">
        <v>0</v>
      </c>
      <c r="O1129" s="71">
        <v>0</v>
      </c>
      <c r="P1129" s="71">
        <v>12.365</v>
      </c>
      <c r="Q1129" s="71">
        <v>0</v>
      </c>
      <c r="R1129" s="71">
        <v>217.8</v>
      </c>
      <c r="S1129" s="71">
        <v>121.101</v>
      </c>
      <c r="T1129" s="71">
        <v>19</v>
      </c>
    </row>
    <row r="1130" spans="1:20">
      <c r="A1130" s="71" t="s">
        <v>3407</v>
      </c>
      <c r="B1130" s="71" t="s">
        <v>3408</v>
      </c>
      <c r="C1130" s="71">
        <v>0</v>
      </c>
      <c r="D1130" s="71">
        <v>0</v>
      </c>
      <c r="E1130" s="71">
        <v>0</v>
      </c>
      <c r="F1130" s="71">
        <v>0</v>
      </c>
      <c r="G1130" s="71">
        <v>0</v>
      </c>
      <c r="H1130" s="71">
        <v>0</v>
      </c>
      <c r="I1130" s="71">
        <v>0</v>
      </c>
      <c r="J1130" s="71">
        <v>0</v>
      </c>
      <c r="K1130" s="71">
        <v>0</v>
      </c>
      <c r="L1130" s="71">
        <v>0</v>
      </c>
      <c r="M1130" s="71">
        <v>0</v>
      </c>
      <c r="N1130" s="71">
        <v>0</v>
      </c>
      <c r="O1130" s="71">
        <v>0</v>
      </c>
      <c r="P1130" s="71">
        <v>0</v>
      </c>
      <c r="Q1130" s="71">
        <v>0</v>
      </c>
      <c r="R1130" s="71">
        <v>0</v>
      </c>
      <c r="S1130" s="71">
        <v>0</v>
      </c>
      <c r="T1130" s="71">
        <v>0</v>
      </c>
    </row>
    <row r="1131" spans="1:20">
      <c r="A1131" s="71" t="s">
        <v>1697</v>
      </c>
      <c r="B1131" s="71" t="s">
        <v>1742</v>
      </c>
      <c r="C1131" s="71">
        <v>370.08399999999995</v>
      </c>
      <c r="D1131" s="71">
        <v>0</v>
      </c>
      <c r="E1131" s="71">
        <v>0</v>
      </c>
      <c r="F1131" s="71">
        <v>0.50599999999999989</v>
      </c>
      <c r="G1131" s="71">
        <v>14.67</v>
      </c>
      <c r="H1131" s="71">
        <v>0.23</v>
      </c>
      <c r="I1131" s="71">
        <v>0</v>
      </c>
      <c r="J1131" s="71">
        <v>6.4709999999999992</v>
      </c>
      <c r="K1131" s="71">
        <v>0</v>
      </c>
      <c r="L1131" s="71">
        <v>0</v>
      </c>
      <c r="M1131" s="71">
        <v>0.81899999999999995</v>
      </c>
      <c r="N1131" s="71">
        <v>0</v>
      </c>
      <c r="O1131" s="71">
        <v>0</v>
      </c>
      <c r="P1131" s="71">
        <v>4.2139999999999995</v>
      </c>
      <c r="Q1131" s="71">
        <v>10.955</v>
      </c>
      <c r="R1131" s="71">
        <v>124.2</v>
      </c>
      <c r="S1131" s="71">
        <v>4.7409999999999997</v>
      </c>
      <c r="T1131" s="71">
        <v>18.503999999999998</v>
      </c>
    </row>
    <row r="1132" spans="1:20">
      <c r="A1132" s="71" t="s">
        <v>2385</v>
      </c>
      <c r="B1132" s="71" t="s">
        <v>378</v>
      </c>
      <c r="C1132" s="71">
        <v>13602.25</v>
      </c>
      <c r="D1132" s="71">
        <v>0.86399999999999999</v>
      </c>
      <c r="E1132" s="71">
        <v>0</v>
      </c>
      <c r="F1132" s="71">
        <v>17.385000000000002</v>
      </c>
      <c r="G1132" s="71">
        <v>313.07399999999996</v>
      </c>
      <c r="H1132" s="71">
        <v>185.72699999999998</v>
      </c>
      <c r="I1132" s="71">
        <v>0</v>
      </c>
      <c r="J1132" s="71">
        <v>0</v>
      </c>
      <c r="K1132" s="71">
        <v>0</v>
      </c>
      <c r="L1132" s="71">
        <v>0</v>
      </c>
      <c r="M1132" s="71">
        <v>10.433</v>
      </c>
      <c r="N1132" s="71">
        <v>6.7189999999999994</v>
      </c>
      <c r="O1132" s="71">
        <v>14.581999999999999</v>
      </c>
      <c r="P1132" s="71">
        <v>459.70799999999997</v>
      </c>
      <c r="Q1132" s="71">
        <v>620.33799999999997</v>
      </c>
      <c r="R1132" s="71">
        <v>7829.8</v>
      </c>
      <c r="S1132" s="71">
        <v>698.57500000000005</v>
      </c>
      <c r="T1132" s="71">
        <v>680.11249999999995</v>
      </c>
    </row>
    <row r="1133" spans="1:20">
      <c r="A1133" s="71" t="s">
        <v>1699</v>
      </c>
      <c r="B1133" s="71" t="s">
        <v>1743</v>
      </c>
      <c r="C1133" s="71">
        <v>312.79399999999998</v>
      </c>
      <c r="D1133" s="71">
        <v>0.16699999999999998</v>
      </c>
      <c r="E1133" s="71">
        <v>0</v>
      </c>
      <c r="F1133" s="71">
        <v>0.42599999999999999</v>
      </c>
      <c r="G1133" s="71">
        <v>12.75</v>
      </c>
      <c r="H1133" s="71">
        <v>2.0979999999999999</v>
      </c>
      <c r="I1133" s="71">
        <v>0</v>
      </c>
      <c r="J1133" s="71">
        <v>1.6769999999999998</v>
      </c>
      <c r="K1133" s="71">
        <v>18.244</v>
      </c>
      <c r="L1133" s="71">
        <v>0</v>
      </c>
      <c r="M1133" s="71">
        <v>0</v>
      </c>
      <c r="N1133" s="71">
        <v>3.6999999999999998E-2</v>
      </c>
      <c r="O1133" s="71">
        <v>0</v>
      </c>
      <c r="P1133" s="71">
        <v>8.4639999999999986</v>
      </c>
      <c r="Q1133" s="71">
        <v>14.363999999999999</v>
      </c>
      <c r="R1133" s="71">
        <v>144.19999999999999</v>
      </c>
      <c r="S1133" s="71">
        <v>1</v>
      </c>
      <c r="T1133" s="71">
        <v>4</v>
      </c>
    </row>
    <row r="1134" spans="1:20">
      <c r="A1134" s="71" t="s">
        <v>3554</v>
      </c>
      <c r="B1134" s="71" t="s">
        <v>4061</v>
      </c>
      <c r="C1134" s="71">
        <v>926.48299999999995</v>
      </c>
      <c r="D1134" s="71">
        <v>5.1999999999999998E-2</v>
      </c>
      <c r="E1134" s="71">
        <v>0</v>
      </c>
      <c r="F1134" s="71">
        <v>1.2909999999999999</v>
      </c>
      <c r="G1134" s="71">
        <v>18.798999999999999</v>
      </c>
      <c r="H1134" s="71">
        <v>2.8079999999999998</v>
      </c>
      <c r="I1134" s="71">
        <v>0</v>
      </c>
      <c r="J1134" s="71">
        <v>4.4859999999999998</v>
      </c>
      <c r="K1134" s="71">
        <v>0</v>
      </c>
      <c r="L1134" s="71">
        <v>0</v>
      </c>
      <c r="M1134" s="71">
        <v>0.14399999999999999</v>
      </c>
      <c r="N1134" s="71">
        <v>0.121</v>
      </c>
      <c r="O1134" s="71">
        <v>2.2779999999999996</v>
      </c>
      <c r="P1134" s="71">
        <v>26.516999999999999</v>
      </c>
      <c r="Q1134" s="71">
        <v>55.431999999999995</v>
      </c>
      <c r="R1134" s="71">
        <v>279.7</v>
      </c>
      <c r="S1134" s="71">
        <v>16.651</v>
      </c>
      <c r="T1134" s="71">
        <v>46.323999999999998</v>
      </c>
    </row>
    <row r="1135" spans="1:20">
      <c r="A1135" s="71" t="s">
        <v>1857</v>
      </c>
      <c r="B1135" s="71" t="s">
        <v>3913</v>
      </c>
      <c r="C1135" s="71">
        <v>1136.3719999999998</v>
      </c>
      <c r="D1135" s="71">
        <v>1.6999999999999998E-2</v>
      </c>
      <c r="E1135" s="71">
        <v>0</v>
      </c>
      <c r="F1135" s="71">
        <v>2.41</v>
      </c>
      <c r="G1135" s="71">
        <v>25.970999999999997</v>
      </c>
      <c r="H1135" s="71">
        <v>17.225999999999999</v>
      </c>
      <c r="I1135" s="71">
        <v>0</v>
      </c>
      <c r="J1135" s="71">
        <v>0</v>
      </c>
      <c r="K1135" s="71">
        <v>0</v>
      </c>
      <c r="L1135" s="71">
        <v>0</v>
      </c>
      <c r="M1135" s="71">
        <v>1.07</v>
      </c>
      <c r="N1135" s="71">
        <v>0.41099999999999998</v>
      </c>
      <c r="O1135" s="71">
        <v>2.5069999999999997</v>
      </c>
      <c r="P1135" s="71">
        <v>68.902999999999992</v>
      </c>
      <c r="Q1135" s="71">
        <v>38.013999999999996</v>
      </c>
      <c r="R1135" s="71">
        <v>753</v>
      </c>
      <c r="S1135" s="71">
        <v>42.193999999999996</v>
      </c>
      <c r="T1135" s="71">
        <v>56.818599999999996</v>
      </c>
    </row>
    <row r="1136" spans="1:20">
      <c r="A1136" s="71" t="s">
        <v>7288</v>
      </c>
      <c r="B1136" s="71" t="s">
        <v>7132</v>
      </c>
      <c r="C1136" s="71">
        <v>274.32199999999995</v>
      </c>
      <c r="D1136" s="71">
        <v>6.9999999999999993E-3</v>
      </c>
      <c r="E1136" s="71">
        <v>0</v>
      </c>
      <c r="F1136" s="71">
        <v>0.67500000000000004</v>
      </c>
      <c r="G1136" s="71">
        <v>10.228999999999999</v>
      </c>
      <c r="H1136" s="71">
        <v>1.333</v>
      </c>
      <c r="I1136" s="71">
        <v>0</v>
      </c>
      <c r="J1136" s="71">
        <v>2.7369999999999997</v>
      </c>
      <c r="K1136" s="71">
        <v>0</v>
      </c>
      <c r="L1136" s="71">
        <v>0</v>
      </c>
      <c r="M1136" s="71">
        <v>0</v>
      </c>
      <c r="N1136" s="71">
        <v>0</v>
      </c>
      <c r="O1136" s="71">
        <v>0.26899999999999996</v>
      </c>
      <c r="P1136" s="71">
        <v>7.1119999999999992</v>
      </c>
      <c r="Q1136" s="71">
        <v>4.5369999999999999</v>
      </c>
      <c r="R1136" s="71">
        <v>181.8</v>
      </c>
      <c r="S1136" s="71">
        <v>23.265999999999998</v>
      </c>
      <c r="T1136" s="71">
        <v>12</v>
      </c>
    </row>
    <row r="1137" spans="1:20">
      <c r="A1137" s="71" t="s">
        <v>3409</v>
      </c>
      <c r="B1137" s="71" t="s">
        <v>3410</v>
      </c>
      <c r="C1137" s="71">
        <v>0</v>
      </c>
      <c r="D1137" s="71">
        <v>0</v>
      </c>
      <c r="E1137" s="71">
        <v>0</v>
      </c>
      <c r="F1137" s="71">
        <v>0</v>
      </c>
      <c r="G1137" s="71">
        <v>0</v>
      </c>
      <c r="H1137" s="71">
        <v>0</v>
      </c>
      <c r="I1137" s="71">
        <v>0</v>
      </c>
      <c r="J1137" s="71">
        <v>0</v>
      </c>
      <c r="K1137" s="71">
        <v>0</v>
      </c>
      <c r="L1137" s="71">
        <v>0</v>
      </c>
      <c r="M1137" s="71">
        <v>0</v>
      </c>
      <c r="N1137" s="71">
        <v>0</v>
      </c>
      <c r="O1137" s="71">
        <v>0</v>
      </c>
      <c r="P1137" s="71">
        <v>0</v>
      </c>
      <c r="Q1137" s="71">
        <v>0</v>
      </c>
      <c r="R1137" s="71">
        <v>0</v>
      </c>
      <c r="S1137" s="71">
        <v>0</v>
      </c>
      <c r="T1137" s="71">
        <v>0</v>
      </c>
    </row>
    <row r="1138" spans="1:20">
      <c r="A1138" s="71" t="s">
        <v>3411</v>
      </c>
      <c r="B1138" s="71" t="s">
        <v>3412</v>
      </c>
      <c r="C1138" s="71">
        <v>327.48899999999998</v>
      </c>
      <c r="D1138" s="71">
        <v>5.0999999999999997E-2</v>
      </c>
      <c r="E1138" s="71">
        <v>0</v>
      </c>
      <c r="F1138" s="71">
        <v>0</v>
      </c>
      <c r="G1138" s="71">
        <v>3.9689999999999999</v>
      </c>
      <c r="H1138" s="71">
        <v>0</v>
      </c>
      <c r="I1138" s="71">
        <v>0</v>
      </c>
      <c r="J1138" s="71">
        <v>0</v>
      </c>
      <c r="K1138" s="71">
        <v>0</v>
      </c>
      <c r="L1138" s="71">
        <v>0</v>
      </c>
      <c r="M1138" s="71">
        <v>0</v>
      </c>
      <c r="N1138" s="71">
        <v>1.4809999999999999</v>
      </c>
      <c r="O1138" s="71">
        <v>0</v>
      </c>
      <c r="P1138" s="71">
        <v>0</v>
      </c>
      <c r="Q1138" s="71">
        <v>24.907999999999998</v>
      </c>
      <c r="R1138" s="71">
        <v>128.30000000000001</v>
      </c>
      <c r="S1138" s="71">
        <v>2.6489999999999996</v>
      </c>
      <c r="T1138" s="71">
        <v>0</v>
      </c>
    </row>
    <row r="1139" spans="1:20">
      <c r="A1139" s="71" t="s">
        <v>3413</v>
      </c>
      <c r="B1139" s="71" t="s">
        <v>3414</v>
      </c>
      <c r="C1139" s="71">
        <v>0</v>
      </c>
      <c r="D1139" s="71">
        <v>0</v>
      </c>
      <c r="E1139" s="71">
        <v>0</v>
      </c>
      <c r="F1139" s="71">
        <v>0</v>
      </c>
      <c r="G1139" s="71">
        <v>0</v>
      </c>
      <c r="H1139" s="71">
        <v>0</v>
      </c>
      <c r="I1139" s="71">
        <v>0</v>
      </c>
      <c r="J1139" s="71">
        <v>0</v>
      </c>
      <c r="K1139" s="71">
        <v>0</v>
      </c>
      <c r="L1139" s="71">
        <v>0</v>
      </c>
      <c r="M1139" s="71">
        <v>0</v>
      </c>
      <c r="N1139" s="71">
        <v>0</v>
      </c>
      <c r="O1139" s="71">
        <v>0</v>
      </c>
      <c r="P1139" s="71">
        <v>0</v>
      </c>
      <c r="Q1139" s="71">
        <v>0</v>
      </c>
      <c r="R1139" s="71">
        <v>0</v>
      </c>
      <c r="S1139" s="71">
        <v>0</v>
      </c>
      <c r="T1139" s="71">
        <v>0</v>
      </c>
    </row>
    <row r="1140" spans="1:20">
      <c r="A1140" s="71" t="s">
        <v>3415</v>
      </c>
      <c r="B1140" s="71" t="s">
        <v>3416</v>
      </c>
      <c r="C1140" s="71">
        <v>139.56</v>
      </c>
      <c r="D1140" s="71">
        <v>0</v>
      </c>
      <c r="E1140" s="71">
        <v>0</v>
      </c>
      <c r="F1140" s="71">
        <v>0.16500000000000001</v>
      </c>
      <c r="G1140" s="71">
        <v>7.4649999999999999</v>
      </c>
      <c r="H1140" s="71">
        <v>0</v>
      </c>
      <c r="I1140" s="71">
        <v>0</v>
      </c>
      <c r="J1140" s="71">
        <v>0</v>
      </c>
      <c r="K1140" s="71">
        <v>0</v>
      </c>
      <c r="L1140" s="71">
        <v>0</v>
      </c>
      <c r="M1140" s="71">
        <v>0</v>
      </c>
      <c r="N1140" s="71">
        <v>0</v>
      </c>
      <c r="O1140" s="71">
        <v>0</v>
      </c>
      <c r="P1140" s="71">
        <v>0</v>
      </c>
      <c r="Q1140" s="71">
        <v>0</v>
      </c>
      <c r="R1140" s="71">
        <v>63</v>
      </c>
      <c r="S1140" s="71">
        <v>0</v>
      </c>
      <c r="T1140" s="71">
        <v>0</v>
      </c>
    </row>
    <row r="1141" spans="1:20">
      <c r="A1141" s="71" t="s">
        <v>3417</v>
      </c>
      <c r="B1141" s="71" t="s">
        <v>3418</v>
      </c>
      <c r="C1141" s="71">
        <v>421.82399999999996</v>
      </c>
      <c r="D1141" s="71">
        <v>0</v>
      </c>
      <c r="E1141" s="71">
        <v>0</v>
      </c>
      <c r="F1141" s="71">
        <v>0.48899999999999999</v>
      </c>
      <c r="G1141" s="71">
        <v>11.917999999999999</v>
      </c>
      <c r="H1141" s="71">
        <v>1.5179999999999998</v>
      </c>
      <c r="I1141" s="71">
        <v>0</v>
      </c>
      <c r="J1141" s="71">
        <v>0</v>
      </c>
      <c r="K1141" s="71">
        <v>0</v>
      </c>
      <c r="L1141" s="71">
        <v>0</v>
      </c>
      <c r="M1141" s="71">
        <v>0</v>
      </c>
      <c r="N1141" s="71">
        <v>0</v>
      </c>
      <c r="O1141" s="71">
        <v>0</v>
      </c>
      <c r="P1141" s="71">
        <v>0</v>
      </c>
      <c r="Q1141" s="71">
        <v>0.92199999999999993</v>
      </c>
      <c r="R1141" s="71">
        <v>119.5</v>
      </c>
      <c r="S1141" s="71">
        <v>8.9049999999999994</v>
      </c>
      <c r="T1141" s="71">
        <v>11.831999999999999</v>
      </c>
    </row>
    <row r="1142" spans="1:20">
      <c r="A1142" s="71" t="s">
        <v>3419</v>
      </c>
      <c r="B1142" s="71" t="s">
        <v>3420</v>
      </c>
      <c r="C1142" s="71">
        <v>111.562</v>
      </c>
      <c r="D1142" s="71">
        <v>0</v>
      </c>
      <c r="E1142" s="71">
        <v>0</v>
      </c>
      <c r="F1142" s="71">
        <v>0.115</v>
      </c>
      <c r="G1142" s="71">
        <v>3.0429999999999997</v>
      </c>
      <c r="H1142" s="71">
        <v>5.8999999999999997E-2</v>
      </c>
      <c r="I1142" s="71">
        <v>0</v>
      </c>
      <c r="J1142" s="71">
        <v>0</v>
      </c>
      <c r="K1142" s="71">
        <v>0</v>
      </c>
      <c r="L1142" s="71">
        <v>0</v>
      </c>
      <c r="M1142" s="71">
        <v>0</v>
      </c>
      <c r="N1142" s="71">
        <v>0</v>
      </c>
      <c r="O1142" s="71">
        <v>0</v>
      </c>
      <c r="P1142" s="71">
        <v>0</v>
      </c>
      <c r="Q1142" s="71">
        <v>0</v>
      </c>
      <c r="R1142" s="71">
        <v>76</v>
      </c>
      <c r="S1142" s="71">
        <v>0</v>
      </c>
      <c r="T1142" s="71">
        <v>0</v>
      </c>
    </row>
    <row r="1143" spans="1:20">
      <c r="A1143" s="71" t="s">
        <v>3421</v>
      </c>
      <c r="B1143" s="71" t="s">
        <v>3422</v>
      </c>
      <c r="C1143" s="71">
        <v>965.86500000000001</v>
      </c>
      <c r="D1143" s="71">
        <v>0</v>
      </c>
      <c r="E1143" s="71">
        <v>0</v>
      </c>
      <c r="F1143" s="71">
        <v>1.2999999999999999E-2</v>
      </c>
      <c r="G1143" s="71">
        <v>0</v>
      </c>
      <c r="H1143" s="71">
        <v>0</v>
      </c>
      <c r="I1143" s="71">
        <v>0</v>
      </c>
      <c r="J1143" s="71">
        <v>0</v>
      </c>
      <c r="K1143" s="71">
        <v>0</v>
      </c>
      <c r="L1143" s="71">
        <v>0</v>
      </c>
      <c r="M1143" s="71">
        <v>0</v>
      </c>
      <c r="N1143" s="71">
        <v>0</v>
      </c>
      <c r="O1143" s="71">
        <v>583.34899999999993</v>
      </c>
      <c r="P1143" s="71">
        <v>0</v>
      </c>
      <c r="Q1143" s="71">
        <v>0</v>
      </c>
      <c r="R1143" s="71">
        <v>1083.3</v>
      </c>
      <c r="S1143" s="71">
        <v>0</v>
      </c>
      <c r="T1143" s="71">
        <v>0</v>
      </c>
    </row>
    <row r="1144" spans="1:20">
      <c r="A1144" s="71" t="s">
        <v>3423</v>
      </c>
      <c r="B1144" s="71" t="s">
        <v>3424</v>
      </c>
      <c r="C1144" s="71">
        <v>114.491</v>
      </c>
      <c r="D1144" s="71">
        <v>0</v>
      </c>
      <c r="E1144" s="71">
        <v>0</v>
      </c>
      <c r="F1144" s="71">
        <v>6.2E-2</v>
      </c>
      <c r="G1144" s="71">
        <v>2.5759999999999996</v>
      </c>
      <c r="H1144" s="71">
        <v>0</v>
      </c>
      <c r="I1144" s="71">
        <v>0</v>
      </c>
      <c r="J1144" s="71">
        <v>0</v>
      </c>
      <c r="K1144" s="71">
        <v>0</v>
      </c>
      <c r="L1144" s="71">
        <v>0</v>
      </c>
      <c r="M1144" s="71">
        <v>0</v>
      </c>
      <c r="N1144" s="71">
        <v>0</v>
      </c>
      <c r="O1144" s="71">
        <v>0</v>
      </c>
      <c r="P1144" s="71">
        <v>0</v>
      </c>
      <c r="Q1144" s="71">
        <v>0</v>
      </c>
      <c r="R1144" s="71">
        <v>129.30000000000001</v>
      </c>
      <c r="S1144" s="71">
        <v>0</v>
      </c>
      <c r="T1144" s="71">
        <v>0</v>
      </c>
    </row>
    <row r="1145" spans="1:20">
      <c r="A1145" s="71" t="s">
        <v>3425</v>
      </c>
      <c r="B1145" s="71" t="s">
        <v>3426</v>
      </c>
      <c r="C1145" s="71">
        <v>34.127999999999993</v>
      </c>
      <c r="D1145" s="71">
        <v>0</v>
      </c>
      <c r="E1145" s="71">
        <v>0</v>
      </c>
      <c r="F1145" s="71">
        <v>0</v>
      </c>
      <c r="G1145" s="71">
        <v>0</v>
      </c>
      <c r="H1145" s="71">
        <v>0</v>
      </c>
      <c r="I1145" s="71">
        <v>0</v>
      </c>
      <c r="J1145" s="71">
        <v>0</v>
      </c>
      <c r="K1145" s="71">
        <v>0</v>
      </c>
      <c r="L1145" s="71">
        <v>0</v>
      </c>
      <c r="M1145" s="71">
        <v>0</v>
      </c>
      <c r="N1145" s="71">
        <v>0.125</v>
      </c>
      <c r="O1145" s="71">
        <v>0</v>
      </c>
      <c r="P1145" s="71">
        <v>0</v>
      </c>
      <c r="Q1145" s="71">
        <v>10.9</v>
      </c>
      <c r="R1145" s="71">
        <v>36.5</v>
      </c>
      <c r="S1145" s="71">
        <v>0</v>
      </c>
      <c r="T1145" s="71">
        <v>0</v>
      </c>
    </row>
    <row r="1146" spans="1:20">
      <c r="A1146" s="71" t="s">
        <v>7127</v>
      </c>
      <c r="B1146" s="71" t="s">
        <v>3427</v>
      </c>
      <c r="C1146" s="71">
        <v>251.45500000000001</v>
      </c>
      <c r="D1146" s="71">
        <v>0</v>
      </c>
      <c r="E1146" s="71">
        <v>0</v>
      </c>
      <c r="F1146" s="71">
        <v>0.11399999999999999</v>
      </c>
      <c r="G1146" s="71">
        <v>0.38399999999999995</v>
      </c>
      <c r="H1146" s="71">
        <v>0</v>
      </c>
      <c r="I1146" s="71">
        <v>0</v>
      </c>
      <c r="J1146" s="71">
        <v>0</v>
      </c>
      <c r="K1146" s="71">
        <v>0</v>
      </c>
      <c r="L1146" s="71">
        <v>0</v>
      </c>
      <c r="M1146" s="71">
        <v>0</v>
      </c>
      <c r="N1146" s="71">
        <v>0</v>
      </c>
      <c r="O1146" s="71">
        <v>0</v>
      </c>
      <c r="P1146" s="71">
        <v>0</v>
      </c>
      <c r="Q1146" s="71">
        <v>0</v>
      </c>
      <c r="R1146" s="71">
        <v>0</v>
      </c>
      <c r="S1146" s="71">
        <v>0</v>
      </c>
      <c r="T1146" s="71">
        <v>3.3650000000000002</v>
      </c>
    </row>
    <row r="1147" spans="1:20">
      <c r="A1147" s="71" t="s">
        <v>3428</v>
      </c>
      <c r="B1147" s="71" t="s">
        <v>3429</v>
      </c>
      <c r="C1147" s="71">
        <v>242.03199999999998</v>
      </c>
      <c r="D1147" s="71">
        <v>0</v>
      </c>
      <c r="E1147" s="71">
        <v>0</v>
      </c>
      <c r="F1147" s="71">
        <v>4.1999999999999996E-2</v>
      </c>
      <c r="G1147" s="71">
        <v>3.9139999999999997</v>
      </c>
      <c r="H1147" s="71">
        <v>0.17299999999999999</v>
      </c>
      <c r="I1147" s="71">
        <v>0</v>
      </c>
      <c r="J1147" s="71">
        <v>0</v>
      </c>
      <c r="K1147" s="71">
        <v>0</v>
      </c>
      <c r="L1147" s="71">
        <v>0</v>
      </c>
      <c r="M1147" s="71">
        <v>0</v>
      </c>
      <c r="N1147" s="71">
        <v>0</v>
      </c>
      <c r="O1147" s="71">
        <v>0</v>
      </c>
      <c r="P1147" s="71">
        <v>0</v>
      </c>
      <c r="Q1147" s="71">
        <v>7.4829999999999997</v>
      </c>
      <c r="R1147" s="71">
        <v>133</v>
      </c>
      <c r="S1147" s="71">
        <v>23.526</v>
      </c>
      <c r="T1147" s="71">
        <v>12.101999999999999</v>
      </c>
    </row>
    <row r="1148" spans="1:20">
      <c r="A1148" s="71" t="s">
        <v>3430</v>
      </c>
      <c r="B1148" s="71" t="s">
        <v>3431</v>
      </c>
      <c r="C1148" s="71">
        <v>150.40699999999998</v>
      </c>
      <c r="D1148" s="71">
        <v>0</v>
      </c>
      <c r="E1148" s="71">
        <v>0</v>
      </c>
      <c r="F1148" s="71">
        <v>0.40500000000000003</v>
      </c>
      <c r="G1148" s="71">
        <v>6.6779999999999999</v>
      </c>
      <c r="H1148" s="71">
        <v>0</v>
      </c>
      <c r="I1148" s="71">
        <v>0</v>
      </c>
      <c r="J1148" s="71">
        <v>0</v>
      </c>
      <c r="K1148" s="71">
        <v>0</v>
      </c>
      <c r="L1148" s="71">
        <v>0</v>
      </c>
      <c r="M1148" s="71">
        <v>0</v>
      </c>
      <c r="N1148" s="71">
        <v>0</v>
      </c>
      <c r="O1148" s="71">
        <v>0</v>
      </c>
      <c r="P1148" s="71">
        <v>0</v>
      </c>
      <c r="Q1148" s="71">
        <v>0</v>
      </c>
      <c r="R1148" s="71">
        <v>84.7</v>
      </c>
      <c r="S1148" s="71">
        <v>4.9349999999999996</v>
      </c>
      <c r="T1148" s="71">
        <v>7.52</v>
      </c>
    </row>
    <row r="1149" spans="1:20">
      <c r="A1149" s="71" t="s">
        <v>3432</v>
      </c>
      <c r="B1149" s="71" t="s">
        <v>3433</v>
      </c>
      <c r="C1149" s="71">
        <v>235.226</v>
      </c>
      <c r="D1149" s="71">
        <v>0</v>
      </c>
      <c r="E1149" s="71">
        <v>0</v>
      </c>
      <c r="F1149" s="71">
        <v>0</v>
      </c>
      <c r="G1149" s="71">
        <v>8.1109999999999989</v>
      </c>
      <c r="H1149" s="71">
        <v>5.4369999999999994</v>
      </c>
      <c r="I1149" s="71">
        <v>0</v>
      </c>
      <c r="J1149" s="71">
        <v>0</v>
      </c>
      <c r="K1149" s="71">
        <v>0</v>
      </c>
      <c r="L1149" s="71">
        <v>0</v>
      </c>
      <c r="M1149" s="71">
        <v>0</v>
      </c>
      <c r="N1149" s="71">
        <v>0.97399999999999998</v>
      </c>
      <c r="O1149" s="71">
        <v>0</v>
      </c>
      <c r="P1149" s="71">
        <v>0</v>
      </c>
      <c r="Q1149" s="71">
        <v>12.883999999999999</v>
      </c>
      <c r="R1149" s="71">
        <v>270.2</v>
      </c>
      <c r="S1149" s="71">
        <v>30.543999999999997</v>
      </c>
      <c r="T1149" s="71">
        <v>0</v>
      </c>
    </row>
    <row r="1150" spans="1:20">
      <c r="A1150" s="71" t="s">
        <v>3434</v>
      </c>
      <c r="B1150" s="71" t="s">
        <v>3435</v>
      </c>
      <c r="C1150" s="71">
        <v>161.69399999999999</v>
      </c>
      <c r="D1150" s="71">
        <v>0</v>
      </c>
      <c r="E1150" s="71">
        <v>0</v>
      </c>
      <c r="F1150" s="71">
        <v>0.48299999999999998</v>
      </c>
      <c r="G1150" s="71">
        <v>1.5939999999999999</v>
      </c>
      <c r="H1150" s="71">
        <v>0</v>
      </c>
      <c r="I1150" s="71">
        <v>0</v>
      </c>
      <c r="J1150" s="71">
        <v>0</v>
      </c>
      <c r="K1150" s="71">
        <v>0</v>
      </c>
      <c r="L1150" s="71">
        <v>0</v>
      </c>
      <c r="M1150" s="71">
        <v>0</v>
      </c>
      <c r="N1150" s="71">
        <v>0</v>
      </c>
      <c r="O1150" s="71">
        <v>0</v>
      </c>
      <c r="P1150" s="71">
        <v>0</v>
      </c>
      <c r="Q1150" s="71">
        <v>0</v>
      </c>
      <c r="R1150" s="71">
        <v>118.5</v>
      </c>
      <c r="S1150" s="71">
        <v>9.4469999999999992</v>
      </c>
      <c r="T1150" s="71">
        <v>7.5</v>
      </c>
    </row>
    <row r="1151" spans="1:20">
      <c r="A1151" s="71" t="s">
        <v>3436</v>
      </c>
      <c r="B1151" s="71" t="s">
        <v>3437</v>
      </c>
      <c r="C1151" s="71">
        <v>252.15</v>
      </c>
      <c r="D1151" s="71">
        <v>0</v>
      </c>
      <c r="E1151" s="71">
        <v>0</v>
      </c>
      <c r="F1151" s="71">
        <v>0.16500000000000001</v>
      </c>
      <c r="G1151" s="71">
        <v>0</v>
      </c>
      <c r="H1151" s="71">
        <v>0</v>
      </c>
      <c r="I1151" s="71">
        <v>0</v>
      </c>
      <c r="J1151" s="71">
        <v>0</v>
      </c>
      <c r="K1151" s="71">
        <v>0</v>
      </c>
      <c r="L1151" s="71">
        <v>0</v>
      </c>
      <c r="M1151" s="71">
        <v>0</v>
      </c>
      <c r="N1151" s="71">
        <v>0</v>
      </c>
      <c r="O1151" s="71">
        <v>0</v>
      </c>
      <c r="P1151" s="71">
        <v>0</v>
      </c>
      <c r="Q1151" s="71">
        <v>0</v>
      </c>
      <c r="R1151" s="71">
        <v>179.3</v>
      </c>
      <c r="S1151" s="71">
        <v>48.85</v>
      </c>
      <c r="T1151" s="71">
        <v>0</v>
      </c>
    </row>
    <row r="1152" spans="1:20">
      <c r="A1152" s="71" t="s">
        <v>3438</v>
      </c>
      <c r="C1152" s="71">
        <v>129.97899999999998</v>
      </c>
      <c r="D1152" s="71">
        <v>0</v>
      </c>
      <c r="E1152" s="71">
        <v>0</v>
      </c>
      <c r="F1152" s="71">
        <v>0.22399999999999998</v>
      </c>
      <c r="G1152" s="71">
        <v>1.1489999999999998</v>
      </c>
      <c r="H1152" s="71">
        <v>0.39299999999999996</v>
      </c>
      <c r="I1152" s="71">
        <v>0</v>
      </c>
      <c r="J1152" s="71">
        <v>0</v>
      </c>
      <c r="K1152" s="71">
        <v>0</v>
      </c>
      <c r="L1152" s="71">
        <v>0</v>
      </c>
      <c r="M1152" s="71">
        <v>0</v>
      </c>
      <c r="N1152" s="71">
        <v>0</v>
      </c>
      <c r="O1152" s="71">
        <v>0</v>
      </c>
      <c r="P1152" s="71">
        <v>0</v>
      </c>
      <c r="Q1152" s="71">
        <v>0</v>
      </c>
      <c r="R1152" s="71">
        <v>0</v>
      </c>
      <c r="S1152" s="71">
        <v>0</v>
      </c>
      <c r="T1152" s="71">
        <v>0</v>
      </c>
    </row>
    <row r="1153" spans="1:20">
      <c r="A1153" s="71" t="s">
        <v>2791</v>
      </c>
      <c r="B1153" s="71" t="s">
        <v>1744</v>
      </c>
      <c r="C1153" s="71">
        <v>73507.316999999995</v>
      </c>
      <c r="D1153" s="71">
        <v>7.5229999999999997</v>
      </c>
      <c r="E1153" s="71">
        <v>26.244</v>
      </c>
      <c r="F1153" s="71">
        <v>118.11</v>
      </c>
      <c r="G1153" s="71">
        <v>1823.761</v>
      </c>
      <c r="H1153" s="71">
        <v>866.95899999999995</v>
      </c>
      <c r="I1153" s="71">
        <v>0</v>
      </c>
      <c r="J1153" s="71">
        <v>35.412999999999997</v>
      </c>
      <c r="K1153" s="71">
        <v>0</v>
      </c>
      <c r="L1153" s="71">
        <v>0.10199999999999999</v>
      </c>
      <c r="M1153" s="71">
        <v>77.731999999999999</v>
      </c>
      <c r="N1153" s="71">
        <v>23.952999999999999</v>
      </c>
      <c r="O1153" s="71">
        <v>126.49299999999999</v>
      </c>
      <c r="P1153" s="71">
        <v>2045.0029999999999</v>
      </c>
      <c r="Q1153" s="71">
        <v>1590.348</v>
      </c>
      <c r="R1153" s="71">
        <v>47903.199999999997</v>
      </c>
      <c r="S1153" s="71">
        <v>16504.182999999997</v>
      </c>
      <c r="T1153" s="71">
        <v>3675.3658499999997</v>
      </c>
    </row>
    <row r="1154" spans="1:20">
      <c r="A1154" s="71" t="s">
        <v>5124</v>
      </c>
      <c r="B1154" s="71" t="s">
        <v>339</v>
      </c>
      <c r="C1154" s="71">
        <v>17617.584999999999</v>
      </c>
      <c r="D1154" s="71">
        <v>1.2109999999999999</v>
      </c>
      <c r="E1154" s="71">
        <v>0.121</v>
      </c>
      <c r="F1154" s="71">
        <v>29.58</v>
      </c>
      <c r="G1154" s="71">
        <v>471.08</v>
      </c>
      <c r="H1154" s="71">
        <v>130.46299999999999</v>
      </c>
      <c r="I1154" s="71">
        <v>0</v>
      </c>
      <c r="J1154" s="71">
        <v>4.1999999999999996E-2</v>
      </c>
      <c r="K1154" s="71">
        <v>0</v>
      </c>
      <c r="L1154" s="71">
        <v>0</v>
      </c>
      <c r="M1154" s="71">
        <v>95.837999999999994</v>
      </c>
      <c r="N1154" s="71">
        <v>5.8819999999999997</v>
      </c>
      <c r="O1154" s="71">
        <v>19.798999999999999</v>
      </c>
      <c r="P1154" s="71">
        <v>139.91799999999998</v>
      </c>
      <c r="Q1154" s="71">
        <v>270.77299999999997</v>
      </c>
      <c r="R1154" s="71">
        <v>7119.5</v>
      </c>
      <c r="S1154" s="71">
        <v>2028.9649999999999</v>
      </c>
      <c r="T1154" s="71">
        <v>880.87899999999991</v>
      </c>
    </row>
    <row r="1155" spans="1:20">
      <c r="A1155" s="71" t="s">
        <v>3439</v>
      </c>
      <c r="B1155" s="71" t="s">
        <v>3440</v>
      </c>
      <c r="C1155" s="71">
        <v>134.16999999999999</v>
      </c>
      <c r="D1155" s="71">
        <v>0</v>
      </c>
      <c r="E1155" s="71">
        <v>0</v>
      </c>
      <c r="F1155" s="71">
        <v>0</v>
      </c>
      <c r="G1155" s="71">
        <v>0</v>
      </c>
      <c r="H1155" s="71">
        <v>0</v>
      </c>
      <c r="I1155" s="71">
        <v>0</v>
      </c>
      <c r="J1155" s="71">
        <v>0</v>
      </c>
      <c r="K1155" s="71">
        <v>0</v>
      </c>
      <c r="L1155" s="71">
        <v>0</v>
      </c>
      <c r="M1155" s="71">
        <v>0</v>
      </c>
      <c r="N1155" s="71">
        <v>0</v>
      </c>
      <c r="O1155" s="71">
        <v>0</v>
      </c>
      <c r="P1155" s="71">
        <v>0</v>
      </c>
      <c r="Q1155" s="71">
        <v>0</v>
      </c>
      <c r="R1155" s="71">
        <v>0</v>
      </c>
      <c r="S1155" s="71">
        <v>0</v>
      </c>
      <c r="T1155" s="71">
        <v>0</v>
      </c>
    </row>
    <row r="1156" spans="1:20">
      <c r="A1156" s="71" t="s">
        <v>3441</v>
      </c>
      <c r="B1156" s="71" t="s">
        <v>3442</v>
      </c>
      <c r="C1156" s="71">
        <v>367.44</v>
      </c>
      <c r="D1156" s="71">
        <v>0</v>
      </c>
      <c r="E1156" s="71">
        <v>0</v>
      </c>
      <c r="F1156" s="71">
        <v>0</v>
      </c>
      <c r="G1156" s="71">
        <v>0</v>
      </c>
      <c r="H1156" s="71">
        <v>0</v>
      </c>
      <c r="I1156" s="71">
        <v>0</v>
      </c>
      <c r="J1156" s="71">
        <v>0</v>
      </c>
      <c r="K1156" s="71">
        <v>0</v>
      </c>
      <c r="L1156" s="71">
        <v>0</v>
      </c>
      <c r="M1156" s="71">
        <v>0</v>
      </c>
      <c r="N1156" s="71">
        <v>0</v>
      </c>
      <c r="O1156" s="71">
        <v>0</v>
      </c>
      <c r="P1156" s="71">
        <v>0</v>
      </c>
      <c r="Q1156" s="71">
        <v>0</v>
      </c>
      <c r="R1156" s="71">
        <v>0</v>
      </c>
      <c r="S1156" s="71">
        <v>0</v>
      </c>
      <c r="T1156" s="71">
        <v>0</v>
      </c>
    </row>
    <row r="1157" spans="1:20">
      <c r="A1157" s="71" t="s">
        <v>2793</v>
      </c>
      <c r="B1157" s="71" t="s">
        <v>1745</v>
      </c>
      <c r="C1157" s="71">
        <v>4060.3939999999998</v>
      </c>
      <c r="D1157" s="71">
        <v>4.4999999999999998E-2</v>
      </c>
      <c r="E1157" s="71">
        <v>0</v>
      </c>
      <c r="F1157" s="71">
        <v>5.0979999999999999</v>
      </c>
      <c r="G1157" s="71">
        <v>118.19499999999999</v>
      </c>
      <c r="H1157" s="71">
        <v>36.100999999999999</v>
      </c>
      <c r="I1157" s="71">
        <v>0</v>
      </c>
      <c r="J1157" s="71">
        <v>0</v>
      </c>
      <c r="K1157" s="71">
        <v>0</v>
      </c>
      <c r="L1157" s="71">
        <v>0</v>
      </c>
      <c r="M1157" s="71">
        <v>7.0039999999999996</v>
      </c>
      <c r="N1157" s="71">
        <v>1.7649999999999999</v>
      </c>
      <c r="O1157" s="71">
        <v>0</v>
      </c>
      <c r="P1157" s="71">
        <v>129.39099999999999</v>
      </c>
      <c r="Q1157" s="71">
        <v>110.45299999999999</v>
      </c>
      <c r="R1157" s="71">
        <v>2817.8</v>
      </c>
      <c r="S1157" s="71">
        <v>876.61099999999999</v>
      </c>
      <c r="T1157" s="71">
        <v>97</v>
      </c>
    </row>
    <row r="1158" spans="1:20">
      <c r="A1158" s="71" t="s">
        <v>2795</v>
      </c>
      <c r="B1158" s="71" t="s">
        <v>1746</v>
      </c>
      <c r="C1158" s="71">
        <v>6907.2619999999997</v>
      </c>
      <c r="D1158" s="71">
        <v>0.37599999999999995</v>
      </c>
      <c r="E1158" s="71">
        <v>0</v>
      </c>
      <c r="F1158" s="71">
        <v>9.7079999999999984</v>
      </c>
      <c r="G1158" s="71">
        <v>133.59199999999998</v>
      </c>
      <c r="H1158" s="71">
        <v>59.77</v>
      </c>
      <c r="I1158" s="71">
        <v>0</v>
      </c>
      <c r="J1158" s="71">
        <v>0.70499999999999996</v>
      </c>
      <c r="K1158" s="71">
        <v>0</v>
      </c>
      <c r="L1158" s="71">
        <v>0.98099999999999998</v>
      </c>
      <c r="M1158" s="71">
        <v>7.8150000000000004</v>
      </c>
      <c r="N1158" s="71">
        <v>0</v>
      </c>
      <c r="O1158" s="71">
        <v>0.12599999999999997</v>
      </c>
      <c r="P1158" s="71">
        <v>204.12</v>
      </c>
      <c r="Q1158" s="71">
        <v>110.63500000000001</v>
      </c>
      <c r="R1158" s="71">
        <v>96</v>
      </c>
      <c r="S1158" s="71">
        <v>85.671999999999997</v>
      </c>
      <c r="T1158" s="71">
        <v>345.363</v>
      </c>
    </row>
    <row r="1159" spans="1:20">
      <c r="A1159" s="71" t="s">
        <v>2052</v>
      </c>
      <c r="B1159" s="71" t="s">
        <v>997</v>
      </c>
      <c r="C1159" s="71">
        <v>7574.5929999999998</v>
      </c>
      <c r="D1159" s="71">
        <v>0.67</v>
      </c>
      <c r="E1159" s="71">
        <v>2.1969999999999996</v>
      </c>
      <c r="F1159" s="71">
        <v>15.63</v>
      </c>
      <c r="G1159" s="71">
        <v>190.02</v>
      </c>
      <c r="H1159" s="71">
        <v>57.151999999999994</v>
      </c>
      <c r="I1159" s="71">
        <v>0</v>
      </c>
      <c r="J1159" s="71">
        <v>0</v>
      </c>
      <c r="K1159" s="71">
        <v>0</v>
      </c>
      <c r="L1159" s="71">
        <v>0</v>
      </c>
      <c r="M1159" s="71">
        <v>10.167999999999999</v>
      </c>
      <c r="N1159" s="71">
        <v>5.1619999999999999</v>
      </c>
      <c r="O1159" s="71">
        <v>8.0989999999999984</v>
      </c>
      <c r="P1159" s="71">
        <v>313.03199999999998</v>
      </c>
      <c r="Q1159" s="71">
        <v>238.53299999999999</v>
      </c>
      <c r="R1159" s="71">
        <v>5787.3</v>
      </c>
      <c r="S1159" s="71">
        <v>1712.38</v>
      </c>
      <c r="T1159" s="71">
        <v>378.72964999999994</v>
      </c>
    </row>
    <row r="1160" spans="1:20">
      <c r="A1160" s="71" t="s">
        <v>2797</v>
      </c>
      <c r="B1160" s="71" t="s">
        <v>1747</v>
      </c>
      <c r="C1160" s="71">
        <v>1128.3169999999998</v>
      </c>
      <c r="D1160" s="71">
        <v>0</v>
      </c>
      <c r="E1160" s="71">
        <v>0</v>
      </c>
      <c r="F1160" s="71">
        <v>2.0150000000000001</v>
      </c>
      <c r="G1160" s="71">
        <v>15.445</v>
      </c>
      <c r="H1160" s="71">
        <v>9.9829999999999988</v>
      </c>
      <c r="I1160" s="71">
        <v>0</v>
      </c>
      <c r="J1160" s="71">
        <v>0</v>
      </c>
      <c r="K1160" s="71">
        <v>0</v>
      </c>
      <c r="L1160" s="71">
        <v>2.5099999999999998</v>
      </c>
      <c r="M1160" s="71">
        <v>0</v>
      </c>
      <c r="N1160" s="71">
        <v>0</v>
      </c>
      <c r="O1160" s="71">
        <v>0</v>
      </c>
      <c r="P1160" s="71">
        <v>43.94</v>
      </c>
      <c r="Q1160" s="71">
        <v>34.213999999999999</v>
      </c>
      <c r="R1160" s="71">
        <v>289</v>
      </c>
      <c r="S1160" s="71">
        <v>61.872</v>
      </c>
      <c r="T1160" s="71">
        <v>56.415849999999992</v>
      </c>
    </row>
    <row r="1161" spans="1:20">
      <c r="A1161" s="71" t="s">
        <v>2799</v>
      </c>
      <c r="B1161" s="71" t="s">
        <v>1748</v>
      </c>
      <c r="C1161" s="71">
        <v>5064.3189999999995</v>
      </c>
      <c r="D1161" s="71">
        <v>0.28499999999999998</v>
      </c>
      <c r="E1161" s="71">
        <v>0</v>
      </c>
      <c r="F1161" s="71">
        <v>6.7869999999999999</v>
      </c>
      <c r="G1161" s="71">
        <v>111.496</v>
      </c>
      <c r="H1161" s="71">
        <v>35.366</v>
      </c>
      <c r="I1161" s="71">
        <v>0</v>
      </c>
      <c r="J1161" s="71">
        <v>2.4649999999999999</v>
      </c>
      <c r="K1161" s="71">
        <v>0</v>
      </c>
      <c r="L1161" s="71">
        <v>1.2519999999999998</v>
      </c>
      <c r="M1161" s="71">
        <v>7.6689999999999996</v>
      </c>
      <c r="N1161" s="71">
        <v>0</v>
      </c>
      <c r="O1161" s="71">
        <v>0</v>
      </c>
      <c r="P1161" s="71">
        <v>62.937999999999995</v>
      </c>
      <c r="Q1161" s="71">
        <v>152.65599999999998</v>
      </c>
      <c r="R1161" s="71">
        <v>628.20000000000005</v>
      </c>
      <c r="S1161" s="71">
        <v>217.26299999999998</v>
      </c>
      <c r="T1161" s="71">
        <v>253.21594999999996</v>
      </c>
    </row>
    <row r="1162" spans="1:20">
      <c r="A1162" s="71" t="s">
        <v>3443</v>
      </c>
      <c r="B1162" s="71" t="s">
        <v>3444</v>
      </c>
      <c r="C1162" s="71">
        <v>0</v>
      </c>
      <c r="D1162" s="71">
        <v>0</v>
      </c>
      <c r="E1162" s="71">
        <v>0</v>
      </c>
      <c r="F1162" s="71">
        <v>0</v>
      </c>
      <c r="G1162" s="71">
        <v>0</v>
      </c>
      <c r="H1162" s="71">
        <v>0</v>
      </c>
      <c r="I1162" s="71">
        <v>0</v>
      </c>
      <c r="J1162" s="71">
        <v>0</v>
      </c>
      <c r="K1162" s="71">
        <v>0</v>
      </c>
      <c r="L1162" s="71">
        <v>0</v>
      </c>
      <c r="M1162" s="71">
        <v>0</v>
      </c>
      <c r="N1162" s="71">
        <v>0</v>
      </c>
      <c r="O1162" s="71">
        <v>0</v>
      </c>
      <c r="P1162" s="71">
        <v>0</v>
      </c>
      <c r="Q1162" s="71">
        <v>0</v>
      </c>
      <c r="R1162" s="71">
        <v>0</v>
      </c>
      <c r="S1162" s="71">
        <v>0</v>
      </c>
      <c r="T1162" s="71">
        <v>0</v>
      </c>
    </row>
    <row r="1163" spans="1:20">
      <c r="A1163" s="71" t="s">
        <v>2801</v>
      </c>
      <c r="B1163" s="71" t="s">
        <v>1749</v>
      </c>
      <c r="C1163" s="71">
        <v>635.16599999999994</v>
      </c>
      <c r="D1163" s="71">
        <v>0</v>
      </c>
      <c r="E1163" s="71">
        <v>0</v>
      </c>
      <c r="F1163" s="71">
        <v>0.75399999999999989</v>
      </c>
      <c r="G1163" s="71">
        <v>26.480999999999998</v>
      </c>
      <c r="H1163" s="71">
        <v>3.9119999999999999</v>
      </c>
      <c r="I1163" s="71">
        <v>0</v>
      </c>
      <c r="J1163" s="71">
        <v>0</v>
      </c>
      <c r="K1163" s="71">
        <v>0</v>
      </c>
      <c r="L1163" s="71">
        <v>0</v>
      </c>
      <c r="M1163" s="71">
        <v>0</v>
      </c>
      <c r="N1163" s="71">
        <v>0</v>
      </c>
      <c r="O1163" s="71">
        <v>3.1179999999999999</v>
      </c>
      <c r="P1163" s="71">
        <v>1.84</v>
      </c>
      <c r="Q1163" s="71">
        <v>52.020999999999994</v>
      </c>
      <c r="R1163" s="71">
        <v>367</v>
      </c>
      <c r="S1163" s="71">
        <v>13.883999999999999</v>
      </c>
      <c r="T1163" s="71">
        <v>31</v>
      </c>
    </row>
    <row r="1164" spans="1:20">
      <c r="A1164" s="71" t="s">
        <v>2803</v>
      </c>
      <c r="B1164" s="71" t="s">
        <v>1750</v>
      </c>
      <c r="C1164" s="71">
        <v>1087.183</v>
      </c>
      <c r="D1164" s="71">
        <v>0</v>
      </c>
      <c r="E1164" s="71">
        <v>0</v>
      </c>
      <c r="F1164" s="71">
        <v>1.5559999999999998</v>
      </c>
      <c r="G1164" s="71">
        <v>40.436</v>
      </c>
      <c r="H1164" s="71">
        <v>4.7409999999999997</v>
      </c>
      <c r="I1164" s="71">
        <v>0</v>
      </c>
      <c r="J1164" s="71">
        <v>0</v>
      </c>
      <c r="K1164" s="71">
        <v>0</v>
      </c>
      <c r="L1164" s="71">
        <v>0</v>
      </c>
      <c r="M1164" s="71">
        <v>0</v>
      </c>
      <c r="N1164" s="71">
        <v>0.55599999999999994</v>
      </c>
      <c r="O1164" s="71">
        <v>0</v>
      </c>
      <c r="P1164" s="71">
        <v>19.404</v>
      </c>
      <c r="Q1164" s="71">
        <v>46.181999999999995</v>
      </c>
      <c r="R1164" s="71">
        <v>853</v>
      </c>
      <c r="S1164" s="71">
        <v>65.697999999999993</v>
      </c>
      <c r="T1164" s="71">
        <v>54.358999999999995</v>
      </c>
    </row>
    <row r="1165" spans="1:20">
      <c r="A1165" s="71" t="s">
        <v>2805</v>
      </c>
      <c r="B1165" s="71" t="s">
        <v>297</v>
      </c>
      <c r="C1165" s="71">
        <v>150.55500000000001</v>
      </c>
      <c r="D1165" s="71">
        <v>0</v>
      </c>
      <c r="E1165" s="71">
        <v>0</v>
      </c>
      <c r="F1165" s="71">
        <v>0.27</v>
      </c>
      <c r="G1165" s="71">
        <v>9.097999999999999</v>
      </c>
      <c r="H1165" s="71">
        <v>0.7</v>
      </c>
      <c r="I1165" s="71">
        <v>0</v>
      </c>
      <c r="J1165" s="71">
        <v>0</v>
      </c>
      <c r="K1165" s="71">
        <v>0</v>
      </c>
      <c r="L1165" s="71">
        <v>0</v>
      </c>
      <c r="M1165" s="71">
        <v>0</v>
      </c>
      <c r="N1165" s="71">
        <v>0</v>
      </c>
      <c r="O1165" s="71">
        <v>0</v>
      </c>
      <c r="P1165" s="71">
        <v>0.91500000000000004</v>
      </c>
      <c r="Q1165" s="71">
        <v>11.848999999999998</v>
      </c>
      <c r="R1165" s="71">
        <v>98.5</v>
      </c>
      <c r="S1165" s="71">
        <v>0</v>
      </c>
      <c r="T1165" s="71">
        <v>7.5277499999999993</v>
      </c>
    </row>
    <row r="1166" spans="1:20">
      <c r="A1166" s="71" t="s">
        <v>2806</v>
      </c>
      <c r="B1166" s="71" t="s">
        <v>1751</v>
      </c>
      <c r="C1166" s="71">
        <v>185.38799999999998</v>
      </c>
      <c r="D1166" s="71">
        <v>0</v>
      </c>
      <c r="E1166" s="71">
        <v>0</v>
      </c>
      <c r="F1166" s="71">
        <v>0.435</v>
      </c>
      <c r="G1166" s="71">
        <v>10.795</v>
      </c>
      <c r="H1166" s="71">
        <v>1.7559999999999998</v>
      </c>
      <c r="I1166" s="71">
        <v>0</v>
      </c>
      <c r="J1166" s="71">
        <v>0</v>
      </c>
      <c r="K1166" s="71">
        <v>0</v>
      </c>
      <c r="L1166" s="71">
        <v>0</v>
      </c>
      <c r="M1166" s="71">
        <v>0</v>
      </c>
      <c r="N1166" s="71">
        <v>0</v>
      </c>
      <c r="O1166" s="71">
        <v>0</v>
      </c>
      <c r="P1166" s="71">
        <v>1.0559999999999998</v>
      </c>
      <c r="Q1166" s="71">
        <v>9.1339999999999986</v>
      </c>
      <c r="R1166" s="71">
        <v>129.30000000000001</v>
      </c>
      <c r="S1166" s="71">
        <v>0</v>
      </c>
      <c r="T1166" s="71">
        <v>9.2689999999999984</v>
      </c>
    </row>
    <row r="1167" spans="1:20">
      <c r="A1167" s="71" t="s">
        <v>232</v>
      </c>
      <c r="B1167" s="71" t="s">
        <v>2639</v>
      </c>
      <c r="C1167" s="71">
        <v>519.80499999999995</v>
      </c>
      <c r="D1167" s="71">
        <v>5.8999999999999997E-2</v>
      </c>
      <c r="E1167" s="71">
        <v>0</v>
      </c>
      <c r="F1167" s="71">
        <v>0.86</v>
      </c>
      <c r="G1167" s="71">
        <v>15.49</v>
      </c>
      <c r="H1167" s="71">
        <v>1.825</v>
      </c>
      <c r="I1167" s="71">
        <v>0</v>
      </c>
      <c r="J1167" s="71">
        <v>0.70799999999999996</v>
      </c>
      <c r="K1167" s="71">
        <v>0</v>
      </c>
      <c r="L1167" s="71">
        <v>0</v>
      </c>
      <c r="M1167" s="71">
        <v>5.3789999999999996</v>
      </c>
      <c r="N1167" s="71">
        <v>0.13099999999999998</v>
      </c>
      <c r="O1167" s="71">
        <v>0</v>
      </c>
      <c r="P1167" s="71">
        <v>16.809999999999999</v>
      </c>
      <c r="Q1167" s="71">
        <v>29.883999999999997</v>
      </c>
      <c r="R1167" s="71">
        <v>316.5</v>
      </c>
      <c r="S1167" s="71">
        <v>0</v>
      </c>
      <c r="T1167" s="71">
        <v>25.99</v>
      </c>
    </row>
    <row r="1168" spans="1:20">
      <c r="A1168" s="71" t="s">
        <v>3572</v>
      </c>
      <c r="B1168" s="71" t="s">
        <v>1752</v>
      </c>
      <c r="C1168" s="71">
        <v>1269.3929999999998</v>
      </c>
      <c r="D1168" s="71">
        <v>0.46899999999999997</v>
      </c>
      <c r="E1168" s="71">
        <v>0</v>
      </c>
      <c r="F1168" s="71">
        <v>2.7959999999999998</v>
      </c>
      <c r="G1168" s="71">
        <v>52.808999999999997</v>
      </c>
      <c r="H1168" s="71">
        <v>14.235999999999999</v>
      </c>
      <c r="I1168" s="71">
        <v>0</v>
      </c>
      <c r="J1168" s="71">
        <v>0</v>
      </c>
      <c r="K1168" s="71">
        <v>0</v>
      </c>
      <c r="L1168" s="71">
        <v>0</v>
      </c>
      <c r="M1168" s="71">
        <v>6.55</v>
      </c>
      <c r="N1168" s="71">
        <v>0.154</v>
      </c>
      <c r="O1168" s="71">
        <v>36.946999999999996</v>
      </c>
      <c r="P1168" s="71">
        <v>25.986999999999998</v>
      </c>
      <c r="Q1168" s="71">
        <v>83.48</v>
      </c>
      <c r="R1168" s="71">
        <v>877</v>
      </c>
      <c r="S1168" s="71">
        <v>17.946999999999999</v>
      </c>
      <c r="T1168" s="71">
        <v>63.469649999999994</v>
      </c>
    </row>
    <row r="1169" spans="1:20">
      <c r="A1169" s="71" t="s">
        <v>3574</v>
      </c>
      <c r="B1169" s="71" t="s">
        <v>7623</v>
      </c>
      <c r="C1169" s="71">
        <v>1054.6879999999999</v>
      </c>
      <c r="D1169" s="71">
        <v>0.12899999999999998</v>
      </c>
      <c r="E1169" s="71">
        <v>0</v>
      </c>
      <c r="F1169" s="71">
        <v>1.4469999999999998</v>
      </c>
      <c r="G1169" s="71">
        <v>26.006999999999998</v>
      </c>
      <c r="H1169" s="71">
        <v>1.3119999999999998</v>
      </c>
      <c r="I1169" s="71">
        <v>0</v>
      </c>
      <c r="J1169" s="71">
        <v>0</v>
      </c>
      <c r="K1169" s="71">
        <v>0</v>
      </c>
      <c r="L1169" s="71">
        <v>0</v>
      </c>
      <c r="M1169" s="71">
        <v>3.9729999999999999</v>
      </c>
      <c r="N1169" s="71">
        <v>3.9E-2</v>
      </c>
      <c r="O1169" s="71">
        <v>0.46099999999999997</v>
      </c>
      <c r="P1169" s="71">
        <v>30.648999999999997</v>
      </c>
      <c r="Q1169" s="71">
        <v>56.965000000000003</v>
      </c>
      <c r="R1169" s="71">
        <v>593.29999999999995</v>
      </c>
      <c r="S1169" s="71">
        <v>0</v>
      </c>
      <c r="T1169" s="71">
        <v>52.733999999999995</v>
      </c>
    </row>
    <row r="1170" spans="1:20">
      <c r="A1170" s="71" t="s">
        <v>4072</v>
      </c>
      <c r="B1170" s="71" t="s">
        <v>2353</v>
      </c>
      <c r="C1170" s="71">
        <v>410.52099999999996</v>
      </c>
      <c r="D1170" s="71">
        <v>1.3999999999999999E-2</v>
      </c>
      <c r="E1170" s="71">
        <v>0</v>
      </c>
      <c r="F1170" s="71">
        <v>0.74099999999999999</v>
      </c>
      <c r="G1170" s="71">
        <v>13.097999999999999</v>
      </c>
      <c r="H1170" s="71">
        <v>0.433</v>
      </c>
      <c r="I1170" s="71">
        <v>0</v>
      </c>
      <c r="J1170" s="71">
        <v>0</v>
      </c>
      <c r="K1170" s="71">
        <v>0</v>
      </c>
      <c r="L1170" s="71">
        <v>0</v>
      </c>
      <c r="M1170" s="71">
        <v>1.7639999999999998</v>
      </c>
      <c r="N1170" s="71">
        <v>0.32500000000000001</v>
      </c>
      <c r="O1170" s="71">
        <v>0</v>
      </c>
      <c r="P1170" s="71">
        <v>19.850999999999999</v>
      </c>
      <c r="Q1170" s="71">
        <v>24.591999999999999</v>
      </c>
      <c r="R1170" s="71">
        <v>231.3</v>
      </c>
      <c r="S1170" s="71">
        <v>0</v>
      </c>
      <c r="T1170" s="71">
        <v>17</v>
      </c>
    </row>
    <row r="1171" spans="1:20">
      <c r="A1171" s="71" t="s">
        <v>735</v>
      </c>
      <c r="B1171" s="71" t="s">
        <v>6108</v>
      </c>
      <c r="C1171" s="71">
        <v>169.96299999999999</v>
      </c>
      <c r="D1171" s="71">
        <v>0</v>
      </c>
      <c r="E1171" s="71">
        <v>0</v>
      </c>
      <c r="F1171" s="71">
        <v>0.3</v>
      </c>
      <c r="G1171" s="71">
        <v>5.3139999999999992</v>
      </c>
      <c r="H1171" s="71">
        <v>0.55099999999999993</v>
      </c>
      <c r="I1171" s="71">
        <v>0</v>
      </c>
      <c r="J1171" s="71">
        <v>0.64500000000000002</v>
      </c>
      <c r="K1171" s="71">
        <v>0</v>
      </c>
      <c r="L1171" s="71">
        <v>0</v>
      </c>
      <c r="M1171" s="71">
        <v>1.5259999999999998</v>
      </c>
      <c r="N1171" s="71">
        <v>0</v>
      </c>
      <c r="O1171" s="71">
        <v>4.0719999999999992</v>
      </c>
      <c r="P1171" s="71">
        <v>9.0500000000000007</v>
      </c>
      <c r="Q1171" s="71">
        <v>11.036999999999999</v>
      </c>
      <c r="R1171" s="71">
        <v>81.5</v>
      </c>
      <c r="S1171" s="71">
        <v>0</v>
      </c>
      <c r="T1171" s="71">
        <v>2</v>
      </c>
    </row>
    <row r="1172" spans="1:20">
      <c r="A1172" s="71" t="s">
        <v>3576</v>
      </c>
      <c r="B1172" s="71" t="s">
        <v>400</v>
      </c>
      <c r="C1172" s="71">
        <v>667.48799999999994</v>
      </c>
      <c r="D1172" s="71">
        <v>2.9999999999999996E-3</v>
      </c>
      <c r="E1172" s="71">
        <v>0</v>
      </c>
      <c r="F1172" s="71">
        <v>1.1579999999999999</v>
      </c>
      <c r="G1172" s="71">
        <v>29.055999999999997</v>
      </c>
      <c r="H1172" s="71">
        <v>5.01</v>
      </c>
      <c r="I1172" s="71">
        <v>0</v>
      </c>
      <c r="J1172" s="71">
        <v>1.57</v>
      </c>
      <c r="K1172" s="71">
        <v>0</v>
      </c>
      <c r="L1172" s="71">
        <v>0</v>
      </c>
      <c r="M1172" s="71">
        <v>1.1000000000000001</v>
      </c>
      <c r="N1172" s="71">
        <v>0</v>
      </c>
      <c r="O1172" s="71">
        <v>2.1619999999999999</v>
      </c>
      <c r="P1172" s="71">
        <v>3.2639999999999998</v>
      </c>
      <c r="Q1172" s="71">
        <v>30.625999999999998</v>
      </c>
      <c r="R1172" s="71">
        <v>437.7</v>
      </c>
      <c r="S1172" s="71">
        <v>13.322999999999999</v>
      </c>
      <c r="T1172" s="71">
        <v>33.373999999999995</v>
      </c>
    </row>
    <row r="1173" spans="1:20">
      <c r="A1173" s="71" t="s">
        <v>3577</v>
      </c>
      <c r="B1173" s="71" t="s">
        <v>7624</v>
      </c>
      <c r="C1173" s="71">
        <v>2105.08</v>
      </c>
      <c r="D1173" s="71">
        <v>0.34299999999999997</v>
      </c>
      <c r="E1173" s="71">
        <v>0</v>
      </c>
      <c r="F1173" s="71">
        <v>3.31</v>
      </c>
      <c r="G1173" s="71">
        <v>48.015000000000001</v>
      </c>
      <c r="H1173" s="71">
        <v>10.798999999999999</v>
      </c>
      <c r="I1173" s="71">
        <v>0</v>
      </c>
      <c r="J1173" s="71">
        <v>2.5439999999999996</v>
      </c>
      <c r="K1173" s="71">
        <v>0</v>
      </c>
      <c r="L1173" s="71">
        <v>0</v>
      </c>
      <c r="M1173" s="71">
        <v>13.110999999999999</v>
      </c>
      <c r="N1173" s="71">
        <v>1.339</v>
      </c>
      <c r="O1173" s="71">
        <v>2.0350000000000001</v>
      </c>
      <c r="P1173" s="71">
        <v>72.393999999999991</v>
      </c>
      <c r="Q1173" s="71">
        <v>92.760999999999996</v>
      </c>
      <c r="R1173" s="71">
        <v>1273</v>
      </c>
      <c r="S1173" s="71">
        <v>78.734999999999999</v>
      </c>
      <c r="T1173" s="71">
        <v>105.25399999999999</v>
      </c>
    </row>
    <row r="1174" spans="1:20">
      <c r="A1174" s="71" t="s">
        <v>6190</v>
      </c>
      <c r="B1174" s="71" t="s">
        <v>3626</v>
      </c>
      <c r="C1174" s="71">
        <v>789.31599999999992</v>
      </c>
      <c r="D1174" s="71">
        <v>0.31799999999999995</v>
      </c>
      <c r="E1174" s="71">
        <v>0</v>
      </c>
      <c r="F1174" s="71">
        <v>1.4509999999999998</v>
      </c>
      <c r="G1174" s="71">
        <v>36.415999999999997</v>
      </c>
      <c r="H1174" s="71">
        <v>8.6609999999999996</v>
      </c>
      <c r="I1174" s="71">
        <v>0</v>
      </c>
      <c r="J1174" s="71">
        <v>0</v>
      </c>
      <c r="K1174" s="71">
        <v>0</v>
      </c>
      <c r="L1174" s="71">
        <v>0</v>
      </c>
      <c r="M1174" s="71">
        <v>0.38</v>
      </c>
      <c r="N1174" s="71">
        <v>0.58399999999999996</v>
      </c>
      <c r="O1174" s="71">
        <v>0</v>
      </c>
      <c r="P1174" s="71">
        <v>17.744</v>
      </c>
      <c r="Q1174" s="71">
        <v>25.417999999999999</v>
      </c>
      <c r="R1174" s="71">
        <v>467.5</v>
      </c>
      <c r="S1174" s="71">
        <v>19.181999999999999</v>
      </c>
      <c r="T1174" s="71">
        <v>39.465799999999994</v>
      </c>
    </row>
    <row r="1175" spans="1:20">
      <c r="A1175" s="71" t="s">
        <v>3580</v>
      </c>
      <c r="B1175" s="71" t="s">
        <v>7625</v>
      </c>
      <c r="C1175" s="71">
        <v>291.863</v>
      </c>
      <c r="D1175" s="71">
        <v>0</v>
      </c>
      <c r="E1175" s="71">
        <v>0</v>
      </c>
      <c r="F1175" s="71">
        <v>0.5169999999999999</v>
      </c>
      <c r="G1175" s="71">
        <v>11.492999999999999</v>
      </c>
      <c r="H1175" s="71">
        <v>0.8879999999999999</v>
      </c>
      <c r="I1175" s="71">
        <v>0</v>
      </c>
      <c r="J1175" s="71">
        <v>0</v>
      </c>
      <c r="K1175" s="71">
        <v>0</v>
      </c>
      <c r="L1175" s="71">
        <v>0</v>
      </c>
      <c r="M1175" s="71">
        <v>1.1999999999999999E-2</v>
      </c>
      <c r="N1175" s="71">
        <v>0.20099999999999998</v>
      </c>
      <c r="O1175" s="71">
        <v>0</v>
      </c>
      <c r="P1175" s="71">
        <v>8.1509999999999998</v>
      </c>
      <c r="Q1175" s="71">
        <v>14.960999999999999</v>
      </c>
      <c r="R1175" s="71">
        <v>189.5</v>
      </c>
      <c r="S1175" s="71">
        <v>2.2109999999999999</v>
      </c>
      <c r="T1175" s="71">
        <v>14.593</v>
      </c>
    </row>
    <row r="1176" spans="1:20">
      <c r="A1176" s="71" t="s">
        <v>1862</v>
      </c>
      <c r="B1176" s="71" t="s">
        <v>3837</v>
      </c>
      <c r="C1176" s="71">
        <v>932.01199999999994</v>
      </c>
      <c r="D1176" s="71">
        <v>0.02</v>
      </c>
      <c r="E1176" s="71">
        <v>0</v>
      </c>
      <c r="F1176" s="71">
        <v>1.5009999999999999</v>
      </c>
      <c r="G1176" s="71">
        <v>20.811999999999998</v>
      </c>
      <c r="H1176" s="71">
        <v>5.5589999999999993</v>
      </c>
      <c r="I1176" s="71">
        <v>0</v>
      </c>
      <c r="J1176" s="71">
        <v>0</v>
      </c>
      <c r="K1176" s="71">
        <v>0</v>
      </c>
      <c r="L1176" s="71">
        <v>0</v>
      </c>
      <c r="M1176" s="71">
        <v>4.4400000000000004</v>
      </c>
      <c r="N1176" s="71">
        <v>0</v>
      </c>
      <c r="O1176" s="71">
        <v>0.76500000000000001</v>
      </c>
      <c r="P1176" s="71">
        <v>29.895999999999997</v>
      </c>
      <c r="Q1176" s="71">
        <v>72.213999999999999</v>
      </c>
      <c r="R1176" s="71">
        <v>439.2</v>
      </c>
      <c r="S1176" s="71">
        <v>37.501999999999995</v>
      </c>
      <c r="T1176" s="71">
        <v>46.600599999999993</v>
      </c>
    </row>
    <row r="1177" spans="1:20">
      <c r="A1177" s="71" t="s">
        <v>3582</v>
      </c>
      <c r="B1177" s="71" t="s">
        <v>7626</v>
      </c>
      <c r="C1177" s="71">
        <v>888.26499999999999</v>
      </c>
      <c r="D1177" s="71">
        <v>0</v>
      </c>
      <c r="E1177" s="71">
        <v>0</v>
      </c>
      <c r="F1177" s="71">
        <v>0.77699999999999991</v>
      </c>
      <c r="G1177" s="71">
        <v>22.265999999999998</v>
      </c>
      <c r="H1177" s="71">
        <v>2.9739999999999998</v>
      </c>
      <c r="I1177" s="71">
        <v>0</v>
      </c>
      <c r="J1177" s="71">
        <v>0</v>
      </c>
      <c r="K1177" s="71">
        <v>0</v>
      </c>
      <c r="L1177" s="71">
        <v>0</v>
      </c>
      <c r="M1177" s="71">
        <v>3.4169999999999998</v>
      </c>
      <c r="N1177" s="71">
        <v>0</v>
      </c>
      <c r="O1177" s="71">
        <v>0</v>
      </c>
      <c r="P1177" s="71">
        <v>35.625999999999998</v>
      </c>
      <c r="Q1177" s="71">
        <v>38.99</v>
      </c>
      <c r="R1177" s="71">
        <v>256.2</v>
      </c>
      <c r="S1177" s="71">
        <v>9.4089999999999989</v>
      </c>
      <c r="T1177" s="71">
        <v>44.412999999999997</v>
      </c>
    </row>
    <row r="1178" spans="1:20">
      <c r="A1178" s="71" t="s">
        <v>3584</v>
      </c>
      <c r="B1178" s="71" t="s">
        <v>7627</v>
      </c>
      <c r="C1178" s="71">
        <v>715.91799999999989</v>
      </c>
      <c r="D1178" s="71">
        <v>0.12</v>
      </c>
      <c r="E1178" s="71">
        <v>0</v>
      </c>
      <c r="F1178" s="71">
        <v>0.84599999999999997</v>
      </c>
      <c r="G1178" s="71">
        <v>10.988</v>
      </c>
      <c r="H1178" s="71">
        <v>2.7650000000000001</v>
      </c>
      <c r="I1178" s="71">
        <v>0</v>
      </c>
      <c r="J1178" s="71">
        <v>0</v>
      </c>
      <c r="K1178" s="71">
        <v>0</v>
      </c>
      <c r="L1178" s="71">
        <v>0</v>
      </c>
      <c r="M1178" s="71">
        <v>1.8869999999999998</v>
      </c>
      <c r="N1178" s="71">
        <v>0</v>
      </c>
      <c r="O1178" s="71">
        <v>0.44299999999999995</v>
      </c>
      <c r="P1178" s="71">
        <v>15.978</v>
      </c>
      <c r="Q1178" s="71">
        <v>37.726999999999997</v>
      </c>
      <c r="R1178" s="71">
        <v>297.7</v>
      </c>
      <c r="S1178" s="71">
        <v>1.02</v>
      </c>
      <c r="T1178" s="71">
        <v>35.795899999999996</v>
      </c>
    </row>
    <row r="1179" spans="1:20">
      <c r="A1179" s="71" t="s">
        <v>3586</v>
      </c>
      <c r="B1179" s="71" t="s">
        <v>7628</v>
      </c>
      <c r="C1179" s="71">
        <v>433.35899999999998</v>
      </c>
      <c r="D1179" s="71">
        <v>0</v>
      </c>
      <c r="E1179" s="71">
        <v>0</v>
      </c>
      <c r="F1179" s="71">
        <v>0.94799999999999995</v>
      </c>
      <c r="G1179" s="71">
        <v>16.337999999999997</v>
      </c>
      <c r="H1179" s="71">
        <v>3.4669999999999996</v>
      </c>
      <c r="I1179" s="71">
        <v>0</v>
      </c>
      <c r="J1179" s="71">
        <v>0</v>
      </c>
      <c r="K1179" s="71">
        <v>0</v>
      </c>
      <c r="L1179" s="71">
        <v>0</v>
      </c>
      <c r="M1179" s="71">
        <v>0</v>
      </c>
      <c r="N1179" s="71">
        <v>0</v>
      </c>
      <c r="O1179" s="71">
        <v>0</v>
      </c>
      <c r="P1179" s="71">
        <v>21.413999999999998</v>
      </c>
      <c r="Q1179" s="71">
        <v>24.860999999999997</v>
      </c>
      <c r="R1179" s="71">
        <v>327.8</v>
      </c>
      <c r="S1179" s="71">
        <v>26.805</v>
      </c>
      <c r="T1179" s="71">
        <v>17</v>
      </c>
    </row>
    <row r="1180" spans="1:20">
      <c r="A1180" s="71" t="s">
        <v>3588</v>
      </c>
      <c r="B1180" s="71" t="s">
        <v>7629</v>
      </c>
      <c r="C1180" s="71">
        <v>204.85599999999999</v>
      </c>
      <c r="D1180" s="71">
        <v>0.16699999999999998</v>
      </c>
      <c r="E1180" s="71">
        <v>0</v>
      </c>
      <c r="F1180" s="71">
        <v>0.5179999999999999</v>
      </c>
      <c r="G1180" s="71">
        <v>9.2200000000000006</v>
      </c>
      <c r="H1180" s="71">
        <v>0</v>
      </c>
      <c r="I1180" s="71">
        <v>0</v>
      </c>
      <c r="J1180" s="71">
        <v>0</v>
      </c>
      <c r="K1180" s="71">
        <v>0</v>
      </c>
      <c r="L1180" s="71">
        <v>0</v>
      </c>
      <c r="M1180" s="71">
        <v>0</v>
      </c>
      <c r="N1180" s="71">
        <v>0</v>
      </c>
      <c r="O1180" s="71">
        <v>0</v>
      </c>
      <c r="P1180" s="71">
        <v>4.3339999999999996</v>
      </c>
      <c r="Q1180" s="71">
        <v>15.436999999999999</v>
      </c>
      <c r="R1180" s="71">
        <v>131.5</v>
      </c>
      <c r="S1180" s="71">
        <v>7</v>
      </c>
      <c r="T1180" s="71">
        <v>10.242799999999999</v>
      </c>
    </row>
    <row r="1181" spans="1:20">
      <c r="A1181" s="71" t="s">
        <v>3445</v>
      </c>
      <c r="B1181" s="71" t="s">
        <v>3446</v>
      </c>
      <c r="C1181" s="71">
        <v>135.13799999999998</v>
      </c>
      <c r="D1181" s="71">
        <v>0</v>
      </c>
      <c r="E1181" s="71">
        <v>0</v>
      </c>
      <c r="F1181" s="71">
        <v>3.5999999999999997E-2</v>
      </c>
      <c r="G1181" s="71">
        <v>2.464</v>
      </c>
      <c r="H1181" s="71">
        <v>0</v>
      </c>
      <c r="I1181" s="71">
        <v>0</v>
      </c>
      <c r="J1181" s="71">
        <v>0</v>
      </c>
      <c r="K1181" s="71">
        <v>0</v>
      </c>
      <c r="L1181" s="71">
        <v>0</v>
      </c>
      <c r="M1181" s="71">
        <v>5.3009999999999993</v>
      </c>
      <c r="N1181" s="71">
        <v>0.13799999999999998</v>
      </c>
      <c r="O1181" s="71">
        <v>0</v>
      </c>
      <c r="P1181" s="71">
        <v>0</v>
      </c>
      <c r="Q1181" s="71">
        <v>0.91899999999999993</v>
      </c>
      <c r="R1181" s="71">
        <v>115</v>
      </c>
      <c r="S1181" s="71">
        <v>8.1979999999999986</v>
      </c>
      <c r="T1181" s="71">
        <v>2</v>
      </c>
    </row>
    <row r="1182" spans="1:20">
      <c r="A1182" s="71" t="s">
        <v>6036</v>
      </c>
      <c r="B1182" s="71" t="s">
        <v>5638</v>
      </c>
      <c r="C1182" s="71">
        <v>256.71199999999999</v>
      </c>
      <c r="D1182" s="71">
        <v>0</v>
      </c>
      <c r="E1182" s="71">
        <v>0</v>
      </c>
      <c r="F1182" s="71">
        <v>0.45899999999999996</v>
      </c>
      <c r="G1182" s="71">
        <v>2.8929999999999998</v>
      </c>
      <c r="H1182" s="71">
        <v>0</v>
      </c>
      <c r="I1182" s="71">
        <v>0</v>
      </c>
      <c r="J1182" s="71">
        <v>0</v>
      </c>
      <c r="K1182" s="71">
        <v>0</v>
      </c>
      <c r="L1182" s="71">
        <v>0</v>
      </c>
      <c r="M1182" s="71">
        <v>0</v>
      </c>
      <c r="N1182" s="71">
        <v>0</v>
      </c>
      <c r="O1182" s="71">
        <v>0</v>
      </c>
      <c r="P1182" s="71">
        <v>1.581</v>
      </c>
      <c r="Q1182" s="71">
        <v>6.4029999999999996</v>
      </c>
      <c r="R1182" s="71">
        <v>115.3</v>
      </c>
      <c r="S1182" s="71">
        <v>7.6839999999999993</v>
      </c>
      <c r="T1182" s="71">
        <v>12.835599999999998</v>
      </c>
    </row>
    <row r="1183" spans="1:20">
      <c r="A1183" s="71" t="s">
        <v>2472</v>
      </c>
      <c r="B1183" s="71" t="s">
        <v>375</v>
      </c>
      <c r="C1183" s="71">
        <v>511.19</v>
      </c>
      <c r="D1183" s="71">
        <v>0</v>
      </c>
      <c r="E1183" s="71">
        <v>0</v>
      </c>
      <c r="F1183" s="71">
        <v>1.0069999999999999</v>
      </c>
      <c r="G1183" s="71">
        <v>11.082999999999998</v>
      </c>
      <c r="H1183" s="71">
        <v>1.9809999999999999</v>
      </c>
      <c r="I1183" s="71">
        <v>0</v>
      </c>
      <c r="J1183" s="71">
        <v>0</v>
      </c>
      <c r="K1183" s="71">
        <v>0</v>
      </c>
      <c r="L1183" s="71">
        <v>0</v>
      </c>
      <c r="M1183" s="71">
        <v>2.8239999999999998</v>
      </c>
      <c r="N1183" s="71">
        <v>0</v>
      </c>
      <c r="O1183" s="71">
        <v>0</v>
      </c>
      <c r="P1183" s="71">
        <v>20.97</v>
      </c>
      <c r="Q1183" s="71">
        <v>23.096999999999998</v>
      </c>
      <c r="R1183" s="71">
        <v>402</v>
      </c>
      <c r="S1183" s="71">
        <v>43.431999999999995</v>
      </c>
      <c r="T1183" s="71">
        <v>25.558999999999997</v>
      </c>
    </row>
    <row r="1184" spans="1:20">
      <c r="A1184" s="71" t="s">
        <v>2418</v>
      </c>
      <c r="B1184" s="71" t="s">
        <v>5371</v>
      </c>
      <c r="C1184" s="71">
        <v>4669.18</v>
      </c>
      <c r="D1184" s="71">
        <v>7.0000000000000007E-2</v>
      </c>
      <c r="E1184" s="71">
        <v>0</v>
      </c>
      <c r="F1184" s="71">
        <v>7.2249999999999996</v>
      </c>
      <c r="G1184" s="71">
        <v>143.15199999999999</v>
      </c>
      <c r="H1184" s="71">
        <v>36.320999999999998</v>
      </c>
      <c r="I1184" s="71">
        <v>0</v>
      </c>
      <c r="J1184" s="71">
        <v>0</v>
      </c>
      <c r="K1184" s="71">
        <v>0</v>
      </c>
      <c r="L1184" s="71">
        <v>0</v>
      </c>
      <c r="M1184" s="71">
        <v>0.14199999999999999</v>
      </c>
      <c r="N1184" s="71">
        <v>2.9219999999999997</v>
      </c>
      <c r="O1184" s="71">
        <v>0</v>
      </c>
      <c r="P1184" s="71">
        <v>12.552999999999999</v>
      </c>
      <c r="Q1184" s="71">
        <v>244.18299999999999</v>
      </c>
      <c r="R1184" s="71">
        <v>3960.5</v>
      </c>
      <c r="S1184" s="71">
        <v>279.26599999999996</v>
      </c>
      <c r="T1184" s="71">
        <v>233.45899999999995</v>
      </c>
    </row>
    <row r="1185" spans="1:20">
      <c r="A1185" s="71" t="s">
        <v>3590</v>
      </c>
      <c r="B1185" s="71" t="s">
        <v>7630</v>
      </c>
      <c r="C1185" s="71">
        <v>180.21199999999999</v>
      </c>
      <c r="D1185" s="71">
        <v>0</v>
      </c>
      <c r="E1185" s="71">
        <v>0</v>
      </c>
      <c r="F1185" s="71">
        <v>0.248</v>
      </c>
      <c r="G1185" s="71">
        <v>5.1439999999999992</v>
      </c>
      <c r="H1185" s="71">
        <v>0</v>
      </c>
      <c r="I1185" s="71">
        <v>0</v>
      </c>
      <c r="J1185" s="71">
        <v>0</v>
      </c>
      <c r="K1185" s="71">
        <v>0</v>
      </c>
      <c r="L1185" s="71">
        <v>0</v>
      </c>
      <c r="M1185" s="71">
        <v>0</v>
      </c>
      <c r="N1185" s="71">
        <v>0</v>
      </c>
      <c r="O1185" s="71">
        <v>0.58899999999999997</v>
      </c>
      <c r="P1185" s="71">
        <v>9.456999999999999</v>
      </c>
      <c r="Q1185" s="71">
        <v>10.43</v>
      </c>
      <c r="R1185" s="71">
        <v>90.5</v>
      </c>
      <c r="S1185" s="71">
        <v>4.3839999999999995</v>
      </c>
      <c r="T1185" s="71">
        <v>9.0105999999999984</v>
      </c>
    </row>
    <row r="1186" spans="1:20">
      <c r="A1186" s="71" t="s">
        <v>3592</v>
      </c>
      <c r="B1186" s="71" t="s">
        <v>3447</v>
      </c>
      <c r="C1186" s="71">
        <v>78.185999999999993</v>
      </c>
      <c r="D1186" s="71">
        <v>0</v>
      </c>
      <c r="E1186" s="71">
        <v>0</v>
      </c>
      <c r="F1186" s="71">
        <v>0</v>
      </c>
      <c r="G1186" s="71">
        <v>0.77099999999999991</v>
      </c>
      <c r="H1186" s="71">
        <v>0</v>
      </c>
      <c r="I1186" s="71">
        <v>0</v>
      </c>
      <c r="J1186" s="71">
        <v>0</v>
      </c>
      <c r="K1186" s="71">
        <v>0</v>
      </c>
      <c r="L1186" s="71">
        <v>0</v>
      </c>
      <c r="M1186" s="71">
        <v>0</v>
      </c>
      <c r="N1186" s="71">
        <v>0</v>
      </c>
      <c r="O1186" s="71">
        <v>0</v>
      </c>
      <c r="P1186" s="71">
        <v>0</v>
      </c>
      <c r="Q1186" s="71">
        <v>0</v>
      </c>
      <c r="R1186" s="71">
        <v>51.7</v>
      </c>
      <c r="S1186" s="71">
        <v>34.825000000000003</v>
      </c>
      <c r="T1186" s="71">
        <v>0</v>
      </c>
    </row>
    <row r="1187" spans="1:20">
      <c r="A1187" s="71" t="s">
        <v>2389</v>
      </c>
      <c r="B1187" s="71" t="s">
        <v>383</v>
      </c>
      <c r="C1187" s="71">
        <v>9651.7589999999982</v>
      </c>
      <c r="D1187" s="71">
        <v>2.2250000000000001</v>
      </c>
      <c r="E1187" s="71">
        <v>0</v>
      </c>
      <c r="F1187" s="71">
        <v>13.837999999999999</v>
      </c>
      <c r="G1187" s="71">
        <v>353.53399999999999</v>
      </c>
      <c r="H1187" s="71">
        <v>54.101999999999997</v>
      </c>
      <c r="I1187" s="71">
        <v>0</v>
      </c>
      <c r="J1187" s="71">
        <v>1.825</v>
      </c>
      <c r="K1187" s="71">
        <v>0</v>
      </c>
      <c r="L1187" s="71">
        <v>0</v>
      </c>
      <c r="M1187" s="71">
        <v>4.984</v>
      </c>
      <c r="N1187" s="71">
        <v>2.2949999999999999</v>
      </c>
      <c r="O1187" s="71">
        <v>2.2389999999999999</v>
      </c>
      <c r="P1187" s="71">
        <v>123.89599999999999</v>
      </c>
      <c r="Q1187" s="71">
        <v>504.83199999999999</v>
      </c>
      <c r="R1187" s="71">
        <v>8009</v>
      </c>
      <c r="S1187" s="71">
        <v>1506.4739999999999</v>
      </c>
      <c r="T1187" s="71">
        <v>482.58794999999992</v>
      </c>
    </row>
    <row r="1188" spans="1:20">
      <c r="A1188" s="71" t="s">
        <v>3594</v>
      </c>
      <c r="B1188" s="71" t="s">
        <v>7631</v>
      </c>
      <c r="C1188" s="71">
        <v>186.15299999999999</v>
      </c>
      <c r="D1188" s="71">
        <v>0</v>
      </c>
      <c r="E1188" s="71">
        <v>0</v>
      </c>
      <c r="F1188" s="71">
        <v>0.115</v>
      </c>
      <c r="G1188" s="71">
        <v>4.7869999999999999</v>
      </c>
      <c r="H1188" s="71">
        <v>0.70599999999999996</v>
      </c>
      <c r="I1188" s="71">
        <v>0</v>
      </c>
      <c r="J1188" s="71">
        <v>0</v>
      </c>
      <c r="K1188" s="71">
        <v>0</v>
      </c>
      <c r="L1188" s="71">
        <v>0</v>
      </c>
      <c r="M1188" s="71">
        <v>0</v>
      </c>
      <c r="N1188" s="71">
        <v>0</v>
      </c>
      <c r="O1188" s="71">
        <v>0</v>
      </c>
      <c r="P1188" s="71">
        <v>5.2859999999999996</v>
      </c>
      <c r="Q1188" s="71">
        <v>1.948</v>
      </c>
      <c r="R1188" s="71">
        <v>48.3</v>
      </c>
      <c r="S1188" s="71">
        <v>0.97299999999999998</v>
      </c>
      <c r="T1188" s="71">
        <v>9.3076499999999989</v>
      </c>
    </row>
    <row r="1189" spans="1:20">
      <c r="A1189" s="71" t="s">
        <v>5319</v>
      </c>
      <c r="B1189" s="71" t="s">
        <v>6240</v>
      </c>
      <c r="C1189" s="71">
        <v>47.428999999999995</v>
      </c>
      <c r="D1189" s="71">
        <v>0</v>
      </c>
      <c r="E1189" s="71">
        <v>0</v>
      </c>
      <c r="F1189" s="71">
        <v>0</v>
      </c>
      <c r="G1189" s="71">
        <v>0</v>
      </c>
      <c r="H1189" s="71">
        <v>0</v>
      </c>
      <c r="I1189" s="71">
        <v>0</v>
      </c>
      <c r="J1189" s="71">
        <v>0</v>
      </c>
      <c r="K1189" s="71">
        <v>0</v>
      </c>
      <c r="L1189" s="71">
        <v>0</v>
      </c>
      <c r="M1189" s="71">
        <v>0</v>
      </c>
      <c r="N1189" s="71">
        <v>0</v>
      </c>
      <c r="O1189" s="71">
        <v>6.4950000000000001</v>
      </c>
      <c r="P1189" s="71">
        <v>0</v>
      </c>
      <c r="Q1189" s="71">
        <v>0.73499999999999999</v>
      </c>
      <c r="R1189" s="71">
        <v>43.3</v>
      </c>
      <c r="S1189" s="71">
        <v>0</v>
      </c>
      <c r="T1189" s="71">
        <v>0</v>
      </c>
    </row>
    <row r="1190" spans="1:20">
      <c r="A1190" s="71" t="s">
        <v>6241</v>
      </c>
      <c r="B1190" s="71" t="s">
        <v>7632</v>
      </c>
      <c r="C1190" s="71">
        <v>1799.0239999999999</v>
      </c>
      <c r="D1190" s="71">
        <v>2.3999999999999997E-2</v>
      </c>
      <c r="E1190" s="71">
        <v>0</v>
      </c>
      <c r="F1190" s="71">
        <v>1.7579999999999998</v>
      </c>
      <c r="G1190" s="71">
        <v>50.835000000000001</v>
      </c>
      <c r="H1190" s="71">
        <v>7.4639999999999995</v>
      </c>
      <c r="I1190" s="71">
        <v>0</v>
      </c>
      <c r="J1190" s="71">
        <v>3.19</v>
      </c>
      <c r="K1190" s="71">
        <v>0</v>
      </c>
      <c r="L1190" s="71">
        <v>0</v>
      </c>
      <c r="M1190" s="71">
        <v>2.15</v>
      </c>
      <c r="N1190" s="71">
        <v>0.20699999999999999</v>
      </c>
      <c r="O1190" s="71">
        <v>9.0999999999999998E-2</v>
      </c>
      <c r="P1190" s="71">
        <v>10.244999999999999</v>
      </c>
      <c r="Q1190" s="71">
        <v>111.056</v>
      </c>
      <c r="R1190" s="71">
        <v>594</v>
      </c>
      <c r="S1190" s="71">
        <v>44.738</v>
      </c>
      <c r="T1190" s="71">
        <v>89.950999999999993</v>
      </c>
    </row>
    <row r="1191" spans="1:20">
      <c r="A1191" s="71" t="s">
        <v>6243</v>
      </c>
      <c r="B1191" s="71" t="s">
        <v>1926</v>
      </c>
      <c r="C1191" s="71">
        <v>864.69299999999998</v>
      </c>
      <c r="D1191" s="71">
        <v>4.2999999999999997E-2</v>
      </c>
      <c r="E1191" s="71">
        <v>0</v>
      </c>
      <c r="F1191" s="71">
        <v>0.72899999999999998</v>
      </c>
      <c r="G1191" s="71">
        <v>37.991999999999997</v>
      </c>
      <c r="H1191" s="71">
        <v>4.3329999999999993</v>
      </c>
      <c r="I1191" s="71">
        <v>0</v>
      </c>
      <c r="J1191" s="71">
        <v>0.72399999999999998</v>
      </c>
      <c r="K1191" s="71">
        <v>0</v>
      </c>
      <c r="L1191" s="71">
        <v>0</v>
      </c>
      <c r="M1191" s="71">
        <v>1.4989999999999999</v>
      </c>
      <c r="N1191" s="71">
        <v>0</v>
      </c>
      <c r="O1191" s="71">
        <v>1.0959999999999999</v>
      </c>
      <c r="P1191" s="71">
        <v>14.048999999999999</v>
      </c>
      <c r="Q1191" s="71">
        <v>91.131999999999991</v>
      </c>
      <c r="R1191" s="71">
        <v>381.7</v>
      </c>
      <c r="S1191" s="71">
        <v>20.050999999999998</v>
      </c>
      <c r="T1191" s="71">
        <v>43.234649999999995</v>
      </c>
    </row>
    <row r="1192" spans="1:20">
      <c r="A1192" s="71" t="s">
        <v>1832</v>
      </c>
      <c r="B1192" s="71" t="s">
        <v>4967</v>
      </c>
      <c r="C1192" s="71">
        <v>1104.6709999999998</v>
      </c>
      <c r="D1192" s="71">
        <v>0.23199999999999998</v>
      </c>
      <c r="E1192" s="71">
        <v>0</v>
      </c>
      <c r="F1192" s="71">
        <v>1.1839999999999999</v>
      </c>
      <c r="G1192" s="71">
        <v>33.003999999999998</v>
      </c>
      <c r="H1192" s="71">
        <v>6.0149999999999997</v>
      </c>
      <c r="I1192" s="71">
        <v>0</v>
      </c>
      <c r="J1192" s="71">
        <v>2.4829999999999997</v>
      </c>
      <c r="K1192" s="71">
        <v>0</v>
      </c>
      <c r="L1192" s="71">
        <v>0</v>
      </c>
      <c r="M1192" s="71">
        <v>4.2649999999999997</v>
      </c>
      <c r="N1192" s="71">
        <v>0</v>
      </c>
      <c r="O1192" s="71">
        <v>12.257</v>
      </c>
      <c r="P1192" s="71">
        <v>32.229999999999997</v>
      </c>
      <c r="Q1192" s="71">
        <v>47.400999999999996</v>
      </c>
      <c r="R1192" s="71">
        <v>612.79999999999995</v>
      </c>
      <c r="S1192" s="71">
        <v>62.695999999999998</v>
      </c>
      <c r="T1192" s="71">
        <v>55.233549999999994</v>
      </c>
    </row>
    <row r="1193" spans="1:20">
      <c r="A1193" s="71" t="s">
        <v>6164</v>
      </c>
      <c r="B1193" s="71" t="s">
        <v>6068</v>
      </c>
      <c r="C1193" s="71">
        <v>449.93099999999998</v>
      </c>
      <c r="D1193" s="71">
        <v>0.17399999999999999</v>
      </c>
      <c r="E1193" s="71">
        <v>0</v>
      </c>
      <c r="F1193" s="71">
        <v>0.72499999999999998</v>
      </c>
      <c r="G1193" s="71">
        <v>18.535</v>
      </c>
      <c r="H1193" s="71">
        <v>3.1359999999999997</v>
      </c>
      <c r="I1193" s="71">
        <v>0</v>
      </c>
      <c r="J1193" s="71">
        <v>0.66899999999999993</v>
      </c>
      <c r="K1193" s="71">
        <v>0</v>
      </c>
      <c r="L1193" s="71">
        <v>0</v>
      </c>
      <c r="M1193" s="71">
        <v>0</v>
      </c>
      <c r="N1193" s="71">
        <v>0.152</v>
      </c>
      <c r="O1193" s="71">
        <v>1.6289999999999998</v>
      </c>
      <c r="P1193" s="71">
        <v>13.193999999999999</v>
      </c>
      <c r="Q1193" s="71">
        <v>51.110999999999997</v>
      </c>
      <c r="R1193" s="71">
        <v>226.3</v>
      </c>
      <c r="S1193" s="71">
        <v>31.021999999999998</v>
      </c>
      <c r="T1193" s="71">
        <v>22.496549999999996</v>
      </c>
    </row>
    <row r="1194" spans="1:20">
      <c r="A1194" s="71" t="s">
        <v>6244</v>
      </c>
      <c r="B1194" s="71" t="s">
        <v>7633</v>
      </c>
      <c r="C1194" s="71">
        <v>2036.365</v>
      </c>
      <c r="D1194" s="71">
        <v>0.372</v>
      </c>
      <c r="E1194" s="71">
        <v>0</v>
      </c>
      <c r="F1194" s="71">
        <v>3.5879999999999996</v>
      </c>
      <c r="G1194" s="71">
        <v>54.686999999999998</v>
      </c>
      <c r="H1194" s="71">
        <v>9.234</v>
      </c>
      <c r="I1194" s="71">
        <v>0</v>
      </c>
      <c r="J1194" s="71">
        <v>0</v>
      </c>
      <c r="K1194" s="71">
        <v>0</v>
      </c>
      <c r="L1194" s="71">
        <v>0</v>
      </c>
      <c r="M1194" s="71">
        <v>2.4569999999999999</v>
      </c>
      <c r="N1194" s="71">
        <v>0</v>
      </c>
      <c r="O1194" s="71">
        <v>0</v>
      </c>
      <c r="P1194" s="71">
        <v>74.194999999999993</v>
      </c>
      <c r="Q1194" s="71">
        <v>113.06899999999999</v>
      </c>
      <c r="R1194" s="71">
        <v>1065</v>
      </c>
      <c r="S1194" s="71">
        <v>107.13099999999999</v>
      </c>
      <c r="T1194" s="71">
        <v>101.818</v>
      </c>
    </row>
    <row r="1195" spans="1:20">
      <c r="A1195" s="71" t="s">
        <v>6246</v>
      </c>
      <c r="B1195" s="71" t="s">
        <v>7634</v>
      </c>
      <c r="C1195" s="71">
        <v>2506.2759999999998</v>
      </c>
      <c r="D1195" s="71">
        <v>0</v>
      </c>
      <c r="E1195" s="71">
        <v>0</v>
      </c>
      <c r="F1195" s="71">
        <v>3.7109999999999999</v>
      </c>
      <c r="G1195" s="71">
        <v>71.23599999999999</v>
      </c>
      <c r="H1195" s="71">
        <v>16.164999999999999</v>
      </c>
      <c r="I1195" s="71">
        <v>0</v>
      </c>
      <c r="J1195" s="71">
        <v>0</v>
      </c>
      <c r="K1195" s="71">
        <v>0</v>
      </c>
      <c r="L1195" s="71">
        <v>1.069</v>
      </c>
      <c r="M1195" s="71">
        <v>6.9889999999999999</v>
      </c>
      <c r="N1195" s="71">
        <v>0.35899999999999999</v>
      </c>
      <c r="O1195" s="71">
        <v>4.5839999999999996</v>
      </c>
      <c r="P1195" s="71">
        <v>95.946999999999989</v>
      </c>
      <c r="Q1195" s="71">
        <v>127.77500000000001</v>
      </c>
      <c r="R1195" s="71">
        <v>1402.5</v>
      </c>
      <c r="S1195" s="71">
        <v>77.262999999999991</v>
      </c>
      <c r="T1195" s="71">
        <v>125.31379999999999</v>
      </c>
    </row>
    <row r="1196" spans="1:20">
      <c r="A1196" s="71" t="s">
        <v>1313</v>
      </c>
      <c r="B1196" s="71" t="s">
        <v>118</v>
      </c>
      <c r="C1196" s="71">
        <v>436.77099999999996</v>
      </c>
      <c r="D1196" s="71">
        <v>6.5999999999999989E-2</v>
      </c>
      <c r="E1196" s="71">
        <v>0</v>
      </c>
      <c r="F1196" s="71">
        <v>0.70399999999999996</v>
      </c>
      <c r="G1196" s="71">
        <v>15.126999999999999</v>
      </c>
      <c r="H1196" s="71">
        <v>2.5509999999999997</v>
      </c>
      <c r="I1196" s="71">
        <v>0</v>
      </c>
      <c r="J1196" s="71">
        <v>0.51500000000000001</v>
      </c>
      <c r="K1196" s="71">
        <v>0</v>
      </c>
      <c r="L1196" s="71">
        <v>0</v>
      </c>
      <c r="M1196" s="71">
        <v>3.4279999999999999</v>
      </c>
      <c r="N1196" s="71">
        <v>0</v>
      </c>
      <c r="O1196" s="71">
        <v>3.4289999999999998</v>
      </c>
      <c r="P1196" s="71">
        <v>27.38</v>
      </c>
      <c r="Q1196" s="71">
        <v>28.93</v>
      </c>
      <c r="R1196" s="71">
        <v>313.8</v>
      </c>
      <c r="S1196" s="71">
        <v>8.2669999999999995</v>
      </c>
      <c r="T1196" s="71">
        <v>21.838549999999994</v>
      </c>
    </row>
    <row r="1197" spans="1:20">
      <c r="A1197" s="71" t="s">
        <v>3448</v>
      </c>
      <c r="B1197" s="71" t="s">
        <v>3449</v>
      </c>
      <c r="C1197" s="71">
        <v>86.05</v>
      </c>
      <c r="D1197" s="71">
        <v>0</v>
      </c>
      <c r="E1197" s="71">
        <v>0</v>
      </c>
      <c r="F1197" s="71">
        <v>6.2999999999999987E-2</v>
      </c>
      <c r="G1197" s="71">
        <v>1.2769999999999999</v>
      </c>
      <c r="H1197" s="71">
        <v>0.14199999999999999</v>
      </c>
      <c r="I1197" s="71">
        <v>0</v>
      </c>
      <c r="J1197" s="71">
        <v>0</v>
      </c>
      <c r="K1197" s="71">
        <v>0</v>
      </c>
      <c r="L1197" s="71">
        <v>0</v>
      </c>
      <c r="M1197" s="71">
        <v>0</v>
      </c>
      <c r="N1197" s="71">
        <v>0</v>
      </c>
      <c r="O1197" s="71">
        <v>0</v>
      </c>
      <c r="P1197" s="71">
        <v>0</v>
      </c>
      <c r="Q1197" s="71">
        <v>0</v>
      </c>
      <c r="R1197" s="71">
        <v>142.5</v>
      </c>
      <c r="S1197" s="71">
        <v>0</v>
      </c>
      <c r="T1197" s="71">
        <v>4.3029999999999999</v>
      </c>
    </row>
    <row r="1198" spans="1:20">
      <c r="A1198" s="71" t="s">
        <v>955</v>
      </c>
      <c r="B1198" s="71" t="s">
        <v>7660</v>
      </c>
      <c r="C1198" s="71">
        <v>881.06500000000005</v>
      </c>
      <c r="D1198" s="71">
        <v>4.5999999999999999E-2</v>
      </c>
      <c r="E1198" s="71">
        <v>0</v>
      </c>
      <c r="F1198" s="71">
        <v>1.5569999999999999</v>
      </c>
      <c r="G1198" s="71">
        <v>23.870999999999999</v>
      </c>
      <c r="H1198" s="71">
        <v>9.8069999999999986</v>
      </c>
      <c r="I1198" s="71">
        <v>0</v>
      </c>
      <c r="J1198" s="71">
        <v>5.2999999999999999E-2</v>
      </c>
      <c r="K1198" s="71">
        <v>0</v>
      </c>
      <c r="L1198" s="71">
        <v>0</v>
      </c>
      <c r="M1198" s="71">
        <v>1.23</v>
      </c>
      <c r="N1198" s="71">
        <v>1.72</v>
      </c>
      <c r="O1198" s="71">
        <v>0.30399999999999999</v>
      </c>
      <c r="P1198" s="71">
        <v>13.86</v>
      </c>
      <c r="Q1198" s="71">
        <v>41.590999999999994</v>
      </c>
      <c r="R1198" s="71">
        <v>775.8</v>
      </c>
      <c r="S1198" s="71">
        <v>99.444999999999993</v>
      </c>
      <c r="T1198" s="71">
        <v>44.052999999999997</v>
      </c>
    </row>
    <row r="1199" spans="1:20">
      <c r="A1199" s="71" t="s">
        <v>3552</v>
      </c>
      <c r="B1199" s="71" t="s">
        <v>4058</v>
      </c>
      <c r="C1199" s="71">
        <v>12722.866999999998</v>
      </c>
      <c r="D1199" s="71">
        <v>0.90399999999999991</v>
      </c>
      <c r="E1199" s="71">
        <v>0</v>
      </c>
      <c r="F1199" s="71">
        <v>23.558999999999997</v>
      </c>
      <c r="G1199" s="71">
        <v>270.29699999999997</v>
      </c>
      <c r="H1199" s="71">
        <v>152.988</v>
      </c>
      <c r="I1199" s="71">
        <v>0</v>
      </c>
      <c r="J1199" s="71">
        <v>1.6559999999999999</v>
      </c>
      <c r="K1199" s="71">
        <v>0</v>
      </c>
      <c r="L1199" s="71">
        <v>0</v>
      </c>
      <c r="M1199" s="71">
        <v>14.847999999999999</v>
      </c>
      <c r="N1199" s="71">
        <v>6.4249999999999998</v>
      </c>
      <c r="O1199" s="71">
        <v>53.575000000000003</v>
      </c>
      <c r="P1199" s="71">
        <v>284.16699999999997</v>
      </c>
      <c r="Q1199" s="71">
        <v>615.3359999999999</v>
      </c>
      <c r="R1199" s="71">
        <v>8041.3</v>
      </c>
      <c r="S1199" s="71">
        <v>369.69699999999995</v>
      </c>
      <c r="T1199" s="71">
        <v>636.14299999999992</v>
      </c>
    </row>
    <row r="1200" spans="1:20">
      <c r="A1200" s="71" t="s">
        <v>6248</v>
      </c>
      <c r="B1200" s="71" t="s">
        <v>7635</v>
      </c>
      <c r="C1200" s="71">
        <v>88.370999999999995</v>
      </c>
      <c r="D1200" s="71">
        <v>0</v>
      </c>
      <c r="E1200" s="71">
        <v>0</v>
      </c>
      <c r="F1200" s="71">
        <v>0.54299999999999993</v>
      </c>
      <c r="G1200" s="71">
        <v>2.2739999999999996</v>
      </c>
      <c r="H1200" s="71">
        <v>0</v>
      </c>
      <c r="I1200" s="71">
        <v>0</v>
      </c>
      <c r="J1200" s="71">
        <v>9.3999999999999986E-2</v>
      </c>
      <c r="K1200" s="71">
        <v>0</v>
      </c>
      <c r="L1200" s="71">
        <v>0</v>
      </c>
      <c r="M1200" s="71">
        <v>0</v>
      </c>
      <c r="N1200" s="71">
        <v>0</v>
      </c>
      <c r="O1200" s="71">
        <v>0</v>
      </c>
      <c r="P1200" s="71">
        <v>2.2319999999999998</v>
      </c>
      <c r="Q1200" s="71">
        <v>0</v>
      </c>
      <c r="R1200" s="71">
        <v>36.799999999999997</v>
      </c>
      <c r="S1200" s="71">
        <v>0</v>
      </c>
      <c r="T1200" s="71">
        <v>4.4185499999999998</v>
      </c>
    </row>
    <row r="1201" spans="1:20">
      <c r="A1201" s="71" t="s">
        <v>3450</v>
      </c>
      <c r="B1201" s="71" t="s">
        <v>3451</v>
      </c>
      <c r="C1201" s="71">
        <v>0</v>
      </c>
      <c r="D1201" s="71">
        <v>0</v>
      </c>
      <c r="E1201" s="71">
        <v>0</v>
      </c>
      <c r="F1201" s="71">
        <v>0</v>
      </c>
      <c r="G1201" s="71">
        <v>0</v>
      </c>
      <c r="H1201" s="71">
        <v>0</v>
      </c>
      <c r="I1201" s="71">
        <v>0</v>
      </c>
      <c r="J1201" s="71">
        <v>0</v>
      </c>
      <c r="K1201" s="71">
        <v>0</v>
      </c>
      <c r="L1201" s="71">
        <v>0</v>
      </c>
      <c r="M1201" s="71">
        <v>0</v>
      </c>
      <c r="N1201" s="71">
        <v>0</v>
      </c>
      <c r="O1201" s="71">
        <v>0</v>
      </c>
      <c r="P1201" s="71">
        <v>0</v>
      </c>
      <c r="Q1201" s="71">
        <v>0</v>
      </c>
      <c r="R1201" s="71">
        <v>0</v>
      </c>
      <c r="S1201" s="71">
        <v>0</v>
      </c>
      <c r="T1201" s="71">
        <v>0</v>
      </c>
    </row>
    <row r="1202" spans="1:20">
      <c r="A1202" s="71" t="s">
        <v>3452</v>
      </c>
      <c r="B1202" s="71" t="s">
        <v>3453</v>
      </c>
      <c r="C1202" s="71">
        <v>156.29199999999997</v>
      </c>
      <c r="D1202" s="71">
        <v>0</v>
      </c>
      <c r="E1202" s="71">
        <v>5.5589999999999993</v>
      </c>
      <c r="F1202" s="71">
        <v>0</v>
      </c>
      <c r="G1202" s="71">
        <v>0</v>
      </c>
      <c r="H1202" s="71">
        <v>0</v>
      </c>
      <c r="I1202" s="71">
        <v>0</v>
      </c>
      <c r="J1202" s="71">
        <v>0</v>
      </c>
      <c r="K1202" s="71">
        <v>0</v>
      </c>
      <c r="L1202" s="71">
        <v>0</v>
      </c>
      <c r="M1202" s="71">
        <v>0</v>
      </c>
      <c r="N1202" s="71">
        <v>0</v>
      </c>
      <c r="O1202" s="71">
        <v>0</v>
      </c>
      <c r="P1202" s="71">
        <v>0</v>
      </c>
      <c r="Q1202" s="71">
        <v>130.10399999999998</v>
      </c>
      <c r="R1202" s="71">
        <v>161.69999999999999</v>
      </c>
      <c r="S1202" s="71">
        <v>0</v>
      </c>
      <c r="T1202" s="71">
        <v>0</v>
      </c>
    </row>
    <row r="1203" spans="1:20">
      <c r="A1203" s="71" t="s">
        <v>6182</v>
      </c>
      <c r="B1203" s="71" t="s">
        <v>1935</v>
      </c>
      <c r="C1203" s="71">
        <v>809.06099999999992</v>
      </c>
      <c r="D1203" s="71">
        <v>7.5999999999999998E-2</v>
      </c>
      <c r="E1203" s="71">
        <v>0</v>
      </c>
      <c r="F1203" s="71">
        <v>1.6869999999999998</v>
      </c>
      <c r="G1203" s="71">
        <v>34.604999999999997</v>
      </c>
      <c r="H1203" s="71">
        <v>8.6569999999999983</v>
      </c>
      <c r="I1203" s="71">
        <v>0</v>
      </c>
      <c r="J1203" s="71">
        <v>0</v>
      </c>
      <c r="K1203" s="71">
        <v>0</v>
      </c>
      <c r="L1203" s="71">
        <v>0</v>
      </c>
      <c r="M1203" s="71">
        <v>0</v>
      </c>
      <c r="N1203" s="71">
        <v>6.7999999999999991E-2</v>
      </c>
      <c r="O1203" s="71">
        <v>0</v>
      </c>
      <c r="P1203" s="71">
        <v>0</v>
      </c>
      <c r="Q1203" s="71">
        <v>36.323999999999998</v>
      </c>
      <c r="R1203" s="71">
        <v>524.5</v>
      </c>
      <c r="S1203" s="71">
        <v>9.1649999999999991</v>
      </c>
      <c r="T1203" s="71">
        <v>40.452999999999996</v>
      </c>
    </row>
    <row r="1204" spans="1:20">
      <c r="A1204" s="71" t="s">
        <v>6250</v>
      </c>
      <c r="B1204" s="71" t="s">
        <v>7636</v>
      </c>
      <c r="C1204" s="71">
        <v>6080.9069999999992</v>
      </c>
      <c r="D1204" s="71">
        <v>0.35199999999999998</v>
      </c>
      <c r="E1204" s="71">
        <v>0</v>
      </c>
      <c r="F1204" s="71">
        <v>5.6909999999999998</v>
      </c>
      <c r="G1204" s="71">
        <v>224.62799999999999</v>
      </c>
      <c r="H1204" s="71">
        <v>43.965000000000003</v>
      </c>
      <c r="I1204" s="71">
        <v>0</v>
      </c>
      <c r="J1204" s="71">
        <v>0</v>
      </c>
      <c r="K1204" s="71">
        <v>0</v>
      </c>
      <c r="L1204" s="71">
        <v>8.0039999999999996</v>
      </c>
      <c r="M1204" s="71">
        <v>2.2539999999999996</v>
      </c>
      <c r="N1204" s="71">
        <v>2.5909999999999997</v>
      </c>
      <c r="O1204" s="71">
        <v>0</v>
      </c>
      <c r="P1204" s="71">
        <v>11.383999999999999</v>
      </c>
      <c r="Q1204" s="71">
        <v>273.11</v>
      </c>
      <c r="R1204" s="71">
        <v>3981.8</v>
      </c>
      <c r="S1204" s="71">
        <v>416.4</v>
      </c>
      <c r="T1204" s="71">
        <v>304.04500000000002</v>
      </c>
    </row>
    <row r="1205" spans="1:20">
      <c r="A1205" s="71" t="s">
        <v>3454</v>
      </c>
      <c r="B1205" s="71" t="s">
        <v>3455</v>
      </c>
      <c r="C1205" s="71">
        <v>0</v>
      </c>
      <c r="D1205" s="71">
        <v>0</v>
      </c>
      <c r="E1205" s="71">
        <v>0</v>
      </c>
      <c r="F1205" s="71">
        <v>0</v>
      </c>
      <c r="G1205" s="71">
        <v>0</v>
      </c>
      <c r="H1205" s="71">
        <v>0</v>
      </c>
      <c r="I1205" s="71">
        <v>0</v>
      </c>
      <c r="J1205" s="71">
        <v>0</v>
      </c>
      <c r="K1205" s="71">
        <v>0</v>
      </c>
      <c r="L1205" s="71">
        <v>0</v>
      </c>
      <c r="M1205" s="71">
        <v>0</v>
      </c>
      <c r="N1205" s="71">
        <v>0</v>
      </c>
      <c r="O1205" s="71">
        <v>0</v>
      </c>
      <c r="P1205" s="71">
        <v>0</v>
      </c>
      <c r="Q1205" s="71">
        <v>0</v>
      </c>
      <c r="R1205" s="71">
        <v>0</v>
      </c>
      <c r="S1205" s="71">
        <v>0</v>
      </c>
      <c r="T1205" s="71">
        <v>0</v>
      </c>
    </row>
    <row r="1206" spans="1:20">
      <c r="A1206" s="71" t="s">
        <v>3456</v>
      </c>
      <c r="B1206" s="71" t="s">
        <v>3457</v>
      </c>
      <c r="C1206" s="71">
        <v>0</v>
      </c>
      <c r="D1206" s="71">
        <v>0</v>
      </c>
      <c r="E1206" s="71">
        <v>0</v>
      </c>
      <c r="F1206" s="71">
        <v>0</v>
      </c>
      <c r="G1206" s="71">
        <v>0</v>
      </c>
      <c r="H1206" s="71">
        <v>0</v>
      </c>
      <c r="I1206" s="71">
        <v>0</v>
      </c>
      <c r="J1206" s="71">
        <v>0</v>
      </c>
      <c r="K1206" s="71">
        <v>0</v>
      </c>
      <c r="L1206" s="71">
        <v>0</v>
      </c>
      <c r="M1206" s="71">
        <v>0</v>
      </c>
      <c r="N1206" s="71">
        <v>0</v>
      </c>
      <c r="O1206" s="71">
        <v>0</v>
      </c>
      <c r="P1206" s="71">
        <v>0</v>
      </c>
      <c r="Q1206" s="71">
        <v>0</v>
      </c>
      <c r="R1206" s="71">
        <v>0</v>
      </c>
      <c r="S1206" s="71">
        <v>0</v>
      </c>
      <c r="T1206" s="71">
        <v>0</v>
      </c>
    </row>
    <row r="1207" spans="1:20">
      <c r="A1207" s="71" t="s">
        <v>5038</v>
      </c>
      <c r="B1207" s="71" t="s">
        <v>3842</v>
      </c>
      <c r="C1207" s="71">
        <v>1254.6629999999998</v>
      </c>
      <c r="D1207" s="71">
        <v>0.28199999999999997</v>
      </c>
      <c r="E1207" s="71">
        <v>0</v>
      </c>
      <c r="F1207" s="71">
        <v>1.84</v>
      </c>
      <c r="G1207" s="71">
        <v>48.005000000000003</v>
      </c>
      <c r="H1207" s="71">
        <v>11.074</v>
      </c>
      <c r="I1207" s="71">
        <v>0</v>
      </c>
      <c r="J1207" s="71">
        <v>0</v>
      </c>
      <c r="K1207" s="71">
        <v>0</v>
      </c>
      <c r="L1207" s="71">
        <v>0</v>
      </c>
      <c r="M1207" s="71">
        <v>11.154</v>
      </c>
      <c r="N1207" s="71">
        <v>1.228</v>
      </c>
      <c r="O1207" s="71">
        <v>0</v>
      </c>
      <c r="P1207" s="71">
        <v>64.466999999999999</v>
      </c>
      <c r="Q1207" s="71">
        <v>50.703999999999994</v>
      </c>
      <c r="R1207" s="71">
        <v>992.3</v>
      </c>
      <c r="S1207" s="71">
        <v>169.7</v>
      </c>
      <c r="T1207" s="71">
        <v>62.732999999999997</v>
      </c>
    </row>
    <row r="1208" spans="1:20">
      <c r="A1208" s="71" t="s">
        <v>5039</v>
      </c>
      <c r="B1208" s="71" t="s">
        <v>4062</v>
      </c>
      <c r="C1208" s="71">
        <v>4660.6359999999995</v>
      </c>
      <c r="D1208" s="71">
        <v>0.13199999999999998</v>
      </c>
      <c r="E1208" s="71">
        <v>0</v>
      </c>
      <c r="F1208" s="71">
        <v>5.94</v>
      </c>
      <c r="G1208" s="71">
        <v>63.645000000000003</v>
      </c>
      <c r="H1208" s="71">
        <v>30.235999999999997</v>
      </c>
      <c r="I1208" s="71">
        <v>0</v>
      </c>
      <c r="J1208" s="71">
        <v>0</v>
      </c>
      <c r="K1208" s="71">
        <v>0</v>
      </c>
      <c r="L1208" s="71">
        <v>0</v>
      </c>
      <c r="M1208" s="71">
        <v>5.5169999999999995</v>
      </c>
      <c r="N1208" s="71">
        <v>1.47</v>
      </c>
      <c r="O1208" s="71">
        <v>10.635</v>
      </c>
      <c r="P1208" s="71">
        <v>127.33699999999999</v>
      </c>
      <c r="Q1208" s="71">
        <v>210.49</v>
      </c>
      <c r="R1208" s="71">
        <v>2537.1999999999998</v>
      </c>
      <c r="S1208" s="71">
        <v>644.38799999999992</v>
      </c>
      <c r="T1208" s="71">
        <v>218</v>
      </c>
    </row>
    <row r="1209" spans="1:20">
      <c r="A1209" s="71" t="s">
        <v>2082</v>
      </c>
      <c r="B1209" s="71" t="s">
        <v>7637</v>
      </c>
      <c r="C1209" s="71">
        <v>1648.3159999999998</v>
      </c>
      <c r="D1209" s="71">
        <v>0.19799999999999998</v>
      </c>
      <c r="E1209" s="71">
        <v>0</v>
      </c>
      <c r="F1209" s="71">
        <v>2.9779999999999998</v>
      </c>
      <c r="G1209" s="71">
        <v>41.417999999999999</v>
      </c>
      <c r="H1209" s="71">
        <v>18.523</v>
      </c>
      <c r="I1209" s="71">
        <v>0</v>
      </c>
      <c r="J1209" s="71">
        <v>1.135</v>
      </c>
      <c r="K1209" s="71">
        <v>0</v>
      </c>
      <c r="L1209" s="71">
        <v>0</v>
      </c>
      <c r="M1209" s="71">
        <v>0</v>
      </c>
      <c r="N1209" s="71">
        <v>0</v>
      </c>
      <c r="O1209" s="71">
        <v>0</v>
      </c>
      <c r="P1209" s="71">
        <v>11.38</v>
      </c>
      <c r="Q1209" s="71">
        <v>48.875999999999998</v>
      </c>
      <c r="R1209" s="71">
        <v>1436.3</v>
      </c>
      <c r="S1209" s="71">
        <v>281.81599999999997</v>
      </c>
      <c r="T1209" s="71">
        <v>65</v>
      </c>
    </row>
    <row r="1210" spans="1:20">
      <c r="A1210" s="71" t="s">
        <v>2084</v>
      </c>
      <c r="B1210" s="71" t="s">
        <v>7638</v>
      </c>
      <c r="C1210" s="71">
        <v>1858.7159999999999</v>
      </c>
      <c r="D1210" s="71">
        <v>0.12699999999999997</v>
      </c>
      <c r="E1210" s="71">
        <v>0</v>
      </c>
      <c r="F1210" s="71">
        <v>3.8450000000000002</v>
      </c>
      <c r="G1210" s="71">
        <v>38.388999999999996</v>
      </c>
      <c r="H1210" s="71">
        <v>19.329999999999998</v>
      </c>
      <c r="I1210" s="71">
        <v>0</v>
      </c>
      <c r="J1210" s="71">
        <v>0</v>
      </c>
      <c r="K1210" s="71">
        <v>0</v>
      </c>
      <c r="L1210" s="71">
        <v>0</v>
      </c>
      <c r="M1210" s="71">
        <v>10.212999999999999</v>
      </c>
      <c r="N1210" s="71">
        <v>1.85</v>
      </c>
      <c r="O1210" s="71">
        <v>0</v>
      </c>
      <c r="P1210" s="71">
        <v>92.72399999999999</v>
      </c>
      <c r="Q1210" s="71">
        <v>54.980999999999995</v>
      </c>
      <c r="R1210" s="71">
        <v>1054.5</v>
      </c>
      <c r="S1210" s="71">
        <v>64.59</v>
      </c>
      <c r="T1210" s="71">
        <v>64</v>
      </c>
    </row>
    <row r="1211" spans="1:20">
      <c r="A1211" s="71" t="s">
        <v>2086</v>
      </c>
      <c r="B1211" s="71" t="s">
        <v>2936</v>
      </c>
      <c r="C1211" s="71">
        <v>107.934</v>
      </c>
      <c r="D1211" s="71">
        <v>0</v>
      </c>
      <c r="E1211" s="71">
        <v>0</v>
      </c>
      <c r="F1211" s="71">
        <v>0.125</v>
      </c>
      <c r="G1211" s="71">
        <v>6.0379999999999994</v>
      </c>
      <c r="H1211" s="71">
        <v>4.3999999999999997E-2</v>
      </c>
      <c r="I1211" s="71">
        <v>0</v>
      </c>
      <c r="J1211" s="71">
        <v>0</v>
      </c>
      <c r="K1211" s="71">
        <v>0</v>
      </c>
      <c r="L1211" s="71">
        <v>0</v>
      </c>
      <c r="M1211" s="71">
        <v>0</v>
      </c>
      <c r="N1211" s="71">
        <v>0</v>
      </c>
      <c r="O1211" s="71">
        <v>0</v>
      </c>
      <c r="P1211" s="71">
        <v>2.8149999999999999</v>
      </c>
      <c r="Q1211" s="71">
        <v>7.9129999999999994</v>
      </c>
      <c r="R1211" s="71">
        <v>62.7</v>
      </c>
      <c r="S1211" s="71">
        <v>1.9309999999999998</v>
      </c>
      <c r="T1211" s="71">
        <v>5</v>
      </c>
    </row>
    <row r="1212" spans="1:20">
      <c r="A1212" s="71" t="s">
        <v>3458</v>
      </c>
      <c r="B1212" s="71" t="s">
        <v>3459</v>
      </c>
      <c r="C1212" s="71">
        <v>228</v>
      </c>
      <c r="D1212" s="71">
        <v>0</v>
      </c>
      <c r="E1212" s="71">
        <v>0</v>
      </c>
      <c r="F1212" s="71">
        <v>0</v>
      </c>
      <c r="G1212" s="71">
        <v>0</v>
      </c>
      <c r="H1212" s="71">
        <v>0</v>
      </c>
      <c r="I1212" s="71">
        <v>0</v>
      </c>
      <c r="J1212" s="71">
        <v>0</v>
      </c>
      <c r="K1212" s="71">
        <v>0</v>
      </c>
      <c r="L1212" s="71">
        <v>0</v>
      </c>
      <c r="M1212" s="71">
        <v>0</v>
      </c>
      <c r="N1212" s="71">
        <v>0</v>
      </c>
      <c r="O1212" s="71">
        <v>0</v>
      </c>
      <c r="P1212" s="71">
        <v>0</v>
      </c>
      <c r="Q1212" s="71">
        <v>0</v>
      </c>
      <c r="R1212" s="71">
        <v>0</v>
      </c>
      <c r="S1212" s="71">
        <v>0</v>
      </c>
      <c r="T1212" s="71">
        <v>0</v>
      </c>
    </row>
    <row r="1213" spans="1:20">
      <c r="A1213" s="71" t="s">
        <v>2088</v>
      </c>
      <c r="B1213" s="71" t="s">
        <v>2937</v>
      </c>
      <c r="C1213" s="71">
        <v>4620.5989999999993</v>
      </c>
      <c r="D1213" s="71">
        <v>0.749</v>
      </c>
      <c r="E1213" s="71">
        <v>0</v>
      </c>
      <c r="F1213" s="71">
        <v>5.851</v>
      </c>
      <c r="G1213" s="71">
        <v>86.045000000000002</v>
      </c>
      <c r="H1213" s="71">
        <v>77.73599999999999</v>
      </c>
      <c r="I1213" s="71">
        <v>0</v>
      </c>
      <c r="J1213" s="71">
        <v>1.107</v>
      </c>
      <c r="K1213" s="71">
        <v>0</v>
      </c>
      <c r="L1213" s="71">
        <v>0.20099999999999998</v>
      </c>
      <c r="M1213" s="71">
        <v>1.8219999999999998</v>
      </c>
      <c r="N1213" s="71">
        <v>1.38</v>
      </c>
      <c r="O1213" s="71">
        <v>22.31</v>
      </c>
      <c r="P1213" s="71">
        <v>199.82299999999998</v>
      </c>
      <c r="Q1213" s="71">
        <v>380.54399999999998</v>
      </c>
      <c r="R1213" s="71">
        <v>2414.5</v>
      </c>
      <c r="S1213" s="71">
        <v>323.51399999999995</v>
      </c>
      <c r="T1213" s="71">
        <v>231.02994999999996</v>
      </c>
    </row>
    <row r="1214" spans="1:20">
      <c r="A1214" s="71" t="s">
        <v>2090</v>
      </c>
      <c r="B1214" s="71" t="s">
        <v>2938</v>
      </c>
      <c r="C1214" s="71">
        <v>298.75899999999996</v>
      </c>
      <c r="D1214" s="71">
        <v>0</v>
      </c>
      <c r="E1214" s="71">
        <v>0</v>
      </c>
      <c r="F1214" s="71">
        <v>0.27599999999999997</v>
      </c>
      <c r="G1214" s="71">
        <v>7.9929999999999994</v>
      </c>
      <c r="H1214" s="71">
        <v>2.8829999999999996</v>
      </c>
      <c r="I1214" s="71">
        <v>0</v>
      </c>
      <c r="J1214" s="71">
        <v>0</v>
      </c>
      <c r="K1214" s="71">
        <v>0</v>
      </c>
      <c r="L1214" s="71">
        <v>0</v>
      </c>
      <c r="M1214" s="71">
        <v>1.5329999999999999</v>
      </c>
      <c r="N1214" s="71">
        <v>0.16399999999999998</v>
      </c>
      <c r="O1214" s="71">
        <v>0</v>
      </c>
      <c r="P1214" s="71">
        <v>7.7949999999999999</v>
      </c>
      <c r="Q1214" s="71">
        <v>20.747999999999998</v>
      </c>
      <c r="R1214" s="71">
        <v>174.8</v>
      </c>
      <c r="S1214" s="71">
        <v>6.2649999999999997</v>
      </c>
      <c r="T1214" s="71">
        <v>14.937949999999997</v>
      </c>
    </row>
    <row r="1215" spans="1:20">
      <c r="A1215" s="71" t="s">
        <v>3460</v>
      </c>
      <c r="B1215" s="71" t="s">
        <v>3461</v>
      </c>
      <c r="C1215" s="71">
        <v>298.02299999999997</v>
      </c>
      <c r="D1215" s="71">
        <v>2.3E-2</v>
      </c>
      <c r="E1215" s="71">
        <v>0</v>
      </c>
      <c r="F1215" s="71">
        <v>2.0999999999999998E-2</v>
      </c>
      <c r="G1215" s="71">
        <v>26.901999999999997</v>
      </c>
      <c r="H1215" s="71">
        <v>0.78500000000000003</v>
      </c>
      <c r="I1215" s="71">
        <v>0</v>
      </c>
      <c r="J1215" s="71">
        <v>0</v>
      </c>
      <c r="K1215" s="71">
        <v>0</v>
      </c>
      <c r="L1215" s="71">
        <v>0</v>
      </c>
      <c r="M1215" s="71">
        <v>0</v>
      </c>
      <c r="N1215" s="71">
        <v>0.66799999999999993</v>
      </c>
      <c r="O1215" s="71">
        <v>0</v>
      </c>
      <c r="P1215" s="71">
        <v>0</v>
      </c>
      <c r="Q1215" s="71">
        <v>5.2929999999999993</v>
      </c>
      <c r="R1215" s="71">
        <v>296</v>
      </c>
      <c r="S1215" s="71">
        <v>1.0569999999999999</v>
      </c>
      <c r="T1215" s="71">
        <v>0</v>
      </c>
    </row>
    <row r="1216" spans="1:20">
      <c r="A1216" s="71" t="s">
        <v>2092</v>
      </c>
      <c r="B1216" s="71" t="s">
        <v>3462</v>
      </c>
      <c r="C1216" s="71">
        <v>90.230999999999995</v>
      </c>
      <c r="D1216" s="71">
        <v>0</v>
      </c>
      <c r="E1216" s="71">
        <v>0</v>
      </c>
      <c r="F1216" s="71">
        <v>0</v>
      </c>
      <c r="G1216" s="71">
        <v>5.2579999999999991</v>
      </c>
      <c r="H1216" s="71">
        <v>5.8999999999999997E-2</v>
      </c>
      <c r="I1216" s="71">
        <v>0</v>
      </c>
      <c r="J1216" s="71">
        <v>0</v>
      </c>
      <c r="K1216" s="71">
        <v>0</v>
      </c>
      <c r="L1216" s="71">
        <v>0</v>
      </c>
      <c r="M1216" s="71">
        <v>0</v>
      </c>
      <c r="N1216" s="71">
        <v>0</v>
      </c>
      <c r="O1216" s="71">
        <v>0</v>
      </c>
      <c r="P1216" s="71">
        <v>0</v>
      </c>
      <c r="Q1216" s="71">
        <v>0</v>
      </c>
      <c r="R1216" s="71">
        <v>100.8</v>
      </c>
      <c r="S1216" s="71">
        <v>69.220999999999989</v>
      </c>
      <c r="T1216" s="71">
        <v>0</v>
      </c>
    </row>
    <row r="1217" spans="1:20">
      <c r="A1217" s="71" t="s">
        <v>2987</v>
      </c>
      <c r="B1217" s="71" t="s">
        <v>187</v>
      </c>
      <c r="C1217" s="71">
        <v>22554.064999999999</v>
      </c>
      <c r="D1217" s="71">
        <v>2.875</v>
      </c>
      <c r="E1217" s="71">
        <v>0</v>
      </c>
      <c r="F1217" s="71">
        <v>26.631999999999998</v>
      </c>
      <c r="G1217" s="71">
        <v>873.94399999999996</v>
      </c>
      <c r="H1217" s="71">
        <v>200.71899999999999</v>
      </c>
      <c r="I1217" s="71">
        <v>0</v>
      </c>
      <c r="J1217" s="71">
        <v>0</v>
      </c>
      <c r="K1217" s="71">
        <v>0</v>
      </c>
      <c r="L1217" s="71">
        <v>0</v>
      </c>
      <c r="M1217" s="71">
        <v>8.8689999999999998</v>
      </c>
      <c r="N1217" s="71">
        <v>14.82</v>
      </c>
      <c r="O1217" s="71">
        <v>0</v>
      </c>
      <c r="P1217" s="71">
        <v>157.51199999999997</v>
      </c>
      <c r="Q1217" s="71">
        <v>912.31299999999999</v>
      </c>
      <c r="R1217" s="71">
        <v>21938.9</v>
      </c>
      <c r="S1217" s="71">
        <v>14726.022999999999</v>
      </c>
      <c r="T1217" s="71">
        <v>1127.703</v>
      </c>
    </row>
    <row r="1218" spans="1:20">
      <c r="A1218" s="71" t="s">
        <v>2417</v>
      </c>
      <c r="B1218" s="71" t="s">
        <v>5370</v>
      </c>
      <c r="C1218" s="71">
        <v>33167.021999999997</v>
      </c>
      <c r="D1218" s="71">
        <v>3.4429999999999996</v>
      </c>
      <c r="E1218" s="71">
        <v>0</v>
      </c>
      <c r="F1218" s="71">
        <v>35.276999999999994</v>
      </c>
      <c r="G1218" s="71">
        <v>1145.9209999999998</v>
      </c>
      <c r="H1218" s="71">
        <v>344.80799999999999</v>
      </c>
      <c r="I1218" s="71">
        <v>0</v>
      </c>
      <c r="J1218" s="71">
        <v>0</v>
      </c>
      <c r="K1218" s="71">
        <v>0</v>
      </c>
      <c r="L1218" s="71">
        <v>11.423999999999999</v>
      </c>
      <c r="M1218" s="71">
        <v>0</v>
      </c>
      <c r="N1218" s="71">
        <v>11.178999999999998</v>
      </c>
      <c r="O1218" s="71">
        <v>0</v>
      </c>
      <c r="P1218" s="71">
        <v>369.15899999999999</v>
      </c>
      <c r="Q1218" s="71">
        <v>1379.7919999999999</v>
      </c>
      <c r="R1218" s="71">
        <v>26077.5</v>
      </c>
      <c r="S1218" s="71">
        <v>13958.163999999999</v>
      </c>
      <c r="T1218" s="71">
        <v>1658.3509999999999</v>
      </c>
    </row>
    <row r="1219" spans="1:20">
      <c r="A1219" s="71" t="s">
        <v>78</v>
      </c>
      <c r="B1219" s="71" t="s">
        <v>2940</v>
      </c>
      <c r="C1219" s="71">
        <v>352.25799999999998</v>
      </c>
      <c r="D1219" s="71">
        <v>0.17899999999999999</v>
      </c>
      <c r="E1219" s="71">
        <v>0</v>
      </c>
      <c r="F1219" s="71">
        <v>0.66399999999999992</v>
      </c>
      <c r="G1219" s="71">
        <v>12.146999999999998</v>
      </c>
      <c r="H1219" s="71">
        <v>1.0119999999999998</v>
      </c>
      <c r="I1219" s="71">
        <v>0</v>
      </c>
      <c r="J1219" s="71">
        <v>0</v>
      </c>
      <c r="K1219" s="71">
        <v>0</v>
      </c>
      <c r="L1219" s="71">
        <v>0</v>
      </c>
      <c r="M1219" s="71">
        <v>0</v>
      </c>
      <c r="N1219" s="71">
        <v>0</v>
      </c>
      <c r="O1219" s="71">
        <v>0</v>
      </c>
      <c r="P1219" s="71">
        <v>17.215999999999998</v>
      </c>
      <c r="Q1219" s="71">
        <v>18.619</v>
      </c>
      <c r="R1219" s="71">
        <v>219.2</v>
      </c>
      <c r="S1219" s="71">
        <v>37.152999999999999</v>
      </c>
      <c r="T1219" s="71">
        <v>7</v>
      </c>
    </row>
    <row r="1220" spans="1:20">
      <c r="A1220" s="71" t="s">
        <v>80</v>
      </c>
      <c r="B1220" s="71" t="s">
        <v>2941</v>
      </c>
      <c r="C1220" s="71">
        <v>896.02099999999996</v>
      </c>
      <c r="D1220" s="71">
        <v>0</v>
      </c>
      <c r="E1220" s="71">
        <v>0</v>
      </c>
      <c r="F1220" s="71">
        <v>0.65500000000000003</v>
      </c>
      <c r="G1220" s="71">
        <v>17.660999999999998</v>
      </c>
      <c r="H1220" s="71">
        <v>2.2109999999999999</v>
      </c>
      <c r="I1220" s="71">
        <v>0</v>
      </c>
      <c r="J1220" s="71">
        <v>6.6719999999999997</v>
      </c>
      <c r="K1220" s="71">
        <v>0</v>
      </c>
      <c r="L1220" s="71">
        <v>0</v>
      </c>
      <c r="M1220" s="71">
        <v>4.3869999999999996</v>
      </c>
      <c r="N1220" s="71">
        <v>0</v>
      </c>
      <c r="O1220" s="71">
        <v>0</v>
      </c>
      <c r="P1220" s="71">
        <v>21.802</v>
      </c>
      <c r="Q1220" s="71">
        <v>81.706999999999994</v>
      </c>
      <c r="R1220" s="71">
        <v>495.8</v>
      </c>
      <c r="S1220" s="71">
        <v>43.905999999999999</v>
      </c>
      <c r="T1220" s="71">
        <v>44.800999999999995</v>
      </c>
    </row>
    <row r="1221" spans="1:20">
      <c r="A1221" s="71" t="s">
        <v>82</v>
      </c>
      <c r="B1221" s="71" t="s">
        <v>6720</v>
      </c>
      <c r="C1221" s="71">
        <v>863.97500000000002</v>
      </c>
      <c r="D1221" s="71">
        <v>4.5999999999999999E-2</v>
      </c>
      <c r="E1221" s="71">
        <v>0</v>
      </c>
      <c r="F1221" s="71">
        <v>1.0059999999999998</v>
      </c>
      <c r="G1221" s="71">
        <v>13.222999999999999</v>
      </c>
      <c r="H1221" s="71">
        <v>1.6829999999999998</v>
      </c>
      <c r="I1221" s="71">
        <v>0</v>
      </c>
      <c r="J1221" s="71">
        <v>2.0439999999999996</v>
      </c>
      <c r="K1221" s="71">
        <v>0</v>
      </c>
      <c r="L1221" s="71">
        <v>0</v>
      </c>
      <c r="M1221" s="71">
        <v>3.9999999999999992E-3</v>
      </c>
      <c r="N1221" s="71">
        <v>0.25599999999999995</v>
      </c>
      <c r="O1221" s="71">
        <v>0</v>
      </c>
      <c r="P1221" s="71">
        <v>30.071999999999999</v>
      </c>
      <c r="Q1221" s="71">
        <v>32.268999999999998</v>
      </c>
      <c r="R1221" s="71">
        <v>310.3</v>
      </c>
      <c r="S1221" s="71">
        <v>52.164999999999999</v>
      </c>
      <c r="T1221" s="71">
        <v>43.198749999999997</v>
      </c>
    </row>
    <row r="1222" spans="1:20">
      <c r="A1222" s="71" t="s">
        <v>84</v>
      </c>
      <c r="B1222" s="71" t="s">
        <v>6721</v>
      </c>
      <c r="C1222" s="71">
        <v>3232.9359999999997</v>
      </c>
      <c r="D1222" s="71">
        <v>0.39299999999999996</v>
      </c>
      <c r="E1222" s="71">
        <v>0</v>
      </c>
      <c r="F1222" s="71">
        <v>6.5039999999999996</v>
      </c>
      <c r="G1222" s="71">
        <v>110.22</v>
      </c>
      <c r="H1222" s="71">
        <v>20.593999999999998</v>
      </c>
      <c r="I1222" s="71">
        <v>0</v>
      </c>
      <c r="J1222" s="71">
        <v>0.03</v>
      </c>
      <c r="K1222" s="71">
        <v>0</v>
      </c>
      <c r="L1222" s="71">
        <v>0.97599999999999998</v>
      </c>
      <c r="M1222" s="71">
        <v>17.552999999999997</v>
      </c>
      <c r="N1222" s="71">
        <v>1.571</v>
      </c>
      <c r="O1222" s="71">
        <v>0</v>
      </c>
      <c r="P1222" s="71">
        <v>10.167999999999999</v>
      </c>
      <c r="Q1222" s="71">
        <v>201.42</v>
      </c>
      <c r="R1222" s="71">
        <v>2176</v>
      </c>
      <c r="S1222" s="71">
        <v>237.42</v>
      </c>
      <c r="T1222" s="71">
        <v>161.64679999999998</v>
      </c>
    </row>
    <row r="1223" spans="1:20">
      <c r="A1223" s="71" t="s">
        <v>86</v>
      </c>
      <c r="B1223" s="71" t="s">
        <v>6722</v>
      </c>
      <c r="C1223" s="71">
        <v>2215.462</v>
      </c>
      <c r="D1223" s="71">
        <v>0.18099999999999999</v>
      </c>
      <c r="E1223" s="71">
        <v>0</v>
      </c>
      <c r="F1223" s="71">
        <v>3.7519999999999998</v>
      </c>
      <c r="G1223" s="71">
        <v>29.203999999999997</v>
      </c>
      <c r="H1223" s="71">
        <v>25.401999999999997</v>
      </c>
      <c r="I1223" s="71">
        <v>0</v>
      </c>
      <c r="J1223" s="71">
        <v>0.995</v>
      </c>
      <c r="K1223" s="71">
        <v>0</v>
      </c>
      <c r="L1223" s="71">
        <v>0</v>
      </c>
      <c r="M1223" s="71">
        <v>6.9349999999999996</v>
      </c>
      <c r="N1223" s="71">
        <v>1.079</v>
      </c>
      <c r="O1223" s="71">
        <v>2.625</v>
      </c>
      <c r="P1223" s="71">
        <v>67.103999999999999</v>
      </c>
      <c r="Q1223" s="71">
        <v>93.23899999999999</v>
      </c>
      <c r="R1223" s="71">
        <v>1633.3</v>
      </c>
      <c r="S1223" s="71">
        <v>110.625</v>
      </c>
      <c r="T1223" s="71">
        <v>110.773</v>
      </c>
    </row>
    <row r="1224" spans="1:20">
      <c r="A1224" s="71" t="s">
        <v>88</v>
      </c>
      <c r="B1224" s="71" t="s">
        <v>6723</v>
      </c>
      <c r="C1224" s="71">
        <v>464.13799999999998</v>
      </c>
      <c r="D1224" s="71">
        <v>0</v>
      </c>
      <c r="E1224" s="71">
        <v>0</v>
      </c>
      <c r="F1224" s="71">
        <v>1.1299999999999999</v>
      </c>
      <c r="G1224" s="71">
        <v>31.933999999999997</v>
      </c>
      <c r="H1224" s="71">
        <v>0</v>
      </c>
      <c r="I1224" s="71">
        <v>0</v>
      </c>
      <c r="J1224" s="71">
        <v>1.81</v>
      </c>
      <c r="K1224" s="71">
        <v>0</v>
      </c>
      <c r="L1224" s="71">
        <v>0</v>
      </c>
      <c r="M1224" s="71">
        <v>0</v>
      </c>
      <c r="N1224" s="71">
        <v>0</v>
      </c>
      <c r="O1224" s="71">
        <v>0</v>
      </c>
      <c r="P1224" s="71">
        <v>3.0219999999999998</v>
      </c>
      <c r="Q1224" s="71">
        <v>22.273</v>
      </c>
      <c r="R1224" s="71">
        <v>259.2</v>
      </c>
      <c r="S1224" s="71">
        <v>45.957999999999998</v>
      </c>
      <c r="T1224" s="71">
        <v>23.206899999999997</v>
      </c>
    </row>
    <row r="1225" spans="1:20">
      <c r="A1225" s="71" t="s">
        <v>90</v>
      </c>
      <c r="B1225" s="71" t="s">
        <v>6724</v>
      </c>
      <c r="C1225" s="71">
        <v>309.63099999999997</v>
      </c>
      <c r="D1225" s="71">
        <v>0</v>
      </c>
      <c r="E1225" s="71">
        <v>0</v>
      </c>
      <c r="F1225" s="71">
        <v>0.43099999999999999</v>
      </c>
      <c r="G1225" s="71">
        <v>7.5219999999999994</v>
      </c>
      <c r="H1225" s="71">
        <v>0.98699999999999999</v>
      </c>
      <c r="I1225" s="71">
        <v>0</v>
      </c>
      <c r="J1225" s="71">
        <v>0</v>
      </c>
      <c r="K1225" s="71">
        <v>0</v>
      </c>
      <c r="L1225" s="71">
        <v>0</v>
      </c>
      <c r="M1225" s="71">
        <v>2.1969999999999996</v>
      </c>
      <c r="N1225" s="71">
        <v>0</v>
      </c>
      <c r="O1225" s="71">
        <v>0</v>
      </c>
      <c r="P1225" s="71">
        <v>8.4339999999999993</v>
      </c>
      <c r="Q1225" s="71">
        <v>32.852999999999994</v>
      </c>
      <c r="R1225" s="71">
        <v>164.2</v>
      </c>
      <c r="S1225" s="71">
        <v>1.111</v>
      </c>
      <c r="T1225" s="71">
        <v>15.481549999999997</v>
      </c>
    </row>
    <row r="1226" spans="1:20">
      <c r="A1226" s="71" t="s">
        <v>92</v>
      </c>
      <c r="B1226" s="71" t="s">
        <v>1546</v>
      </c>
      <c r="C1226" s="71">
        <v>351.34899999999999</v>
      </c>
      <c r="D1226" s="71">
        <v>0</v>
      </c>
      <c r="E1226" s="71">
        <v>0</v>
      </c>
      <c r="F1226" s="71">
        <v>0.36199999999999999</v>
      </c>
      <c r="G1226" s="71">
        <v>3.1</v>
      </c>
      <c r="H1226" s="71">
        <v>0.32199999999999995</v>
      </c>
      <c r="I1226" s="71">
        <v>0</v>
      </c>
      <c r="J1226" s="71">
        <v>0</v>
      </c>
      <c r="K1226" s="71">
        <v>0</v>
      </c>
      <c r="L1226" s="71">
        <v>0</v>
      </c>
      <c r="M1226" s="71">
        <v>0</v>
      </c>
      <c r="N1226" s="71">
        <v>0.44799999999999995</v>
      </c>
      <c r="O1226" s="71">
        <v>0</v>
      </c>
      <c r="P1226" s="71">
        <v>3.621</v>
      </c>
      <c r="Q1226" s="71">
        <v>28.965999999999998</v>
      </c>
      <c r="R1226" s="71">
        <v>201.2</v>
      </c>
      <c r="S1226" s="71">
        <v>61.011999999999993</v>
      </c>
      <c r="T1226" s="71">
        <v>16</v>
      </c>
    </row>
    <row r="1227" spans="1:20">
      <c r="A1227" s="71" t="s">
        <v>2332</v>
      </c>
      <c r="B1227" s="71" t="s">
        <v>1547</v>
      </c>
      <c r="C1227" s="71">
        <v>64.73899999999999</v>
      </c>
      <c r="D1227" s="71">
        <v>0</v>
      </c>
      <c r="E1227" s="71">
        <v>0</v>
      </c>
      <c r="F1227" s="71">
        <v>0.28099999999999997</v>
      </c>
      <c r="G1227" s="71">
        <v>8.199999999999999E-2</v>
      </c>
      <c r="H1227" s="71">
        <v>0</v>
      </c>
      <c r="I1227" s="71">
        <v>0</v>
      </c>
      <c r="J1227" s="71">
        <v>0</v>
      </c>
      <c r="K1227" s="71">
        <v>0</v>
      </c>
      <c r="L1227" s="71">
        <v>0</v>
      </c>
      <c r="M1227" s="71">
        <v>0</v>
      </c>
      <c r="N1227" s="71">
        <v>0</v>
      </c>
      <c r="O1227" s="71">
        <v>0</v>
      </c>
      <c r="P1227" s="71">
        <v>1.3039999999999998</v>
      </c>
      <c r="Q1227" s="71">
        <v>0</v>
      </c>
      <c r="R1227" s="71">
        <v>68.3</v>
      </c>
      <c r="S1227" s="71">
        <v>4.2059999999999995</v>
      </c>
      <c r="T1227" s="71">
        <v>0</v>
      </c>
    </row>
    <row r="1228" spans="1:20">
      <c r="A1228" s="71" t="s">
        <v>2334</v>
      </c>
      <c r="B1228" s="71" t="s">
        <v>1548</v>
      </c>
      <c r="C1228" s="71">
        <v>141.33399999999997</v>
      </c>
      <c r="D1228" s="71">
        <v>0</v>
      </c>
      <c r="E1228" s="71">
        <v>0</v>
      </c>
      <c r="F1228" s="71">
        <v>0.13599999999999998</v>
      </c>
      <c r="G1228" s="71">
        <v>3.2469999999999999</v>
      </c>
      <c r="H1228" s="71">
        <v>0.434</v>
      </c>
      <c r="I1228" s="71">
        <v>0</v>
      </c>
      <c r="J1228" s="71">
        <v>0</v>
      </c>
      <c r="K1228" s="71">
        <v>0</v>
      </c>
      <c r="L1228" s="71">
        <v>0</v>
      </c>
      <c r="M1228" s="71">
        <v>0</v>
      </c>
      <c r="N1228" s="71">
        <v>0</v>
      </c>
      <c r="O1228" s="71">
        <v>0</v>
      </c>
      <c r="P1228" s="71">
        <v>2.83</v>
      </c>
      <c r="Q1228" s="71">
        <v>13.053999999999998</v>
      </c>
      <c r="R1228" s="71">
        <v>62.5</v>
      </c>
      <c r="S1228" s="71">
        <v>0</v>
      </c>
      <c r="T1228" s="71">
        <v>1</v>
      </c>
    </row>
    <row r="1229" spans="1:20">
      <c r="A1229" s="71" t="s">
        <v>3463</v>
      </c>
      <c r="B1229" s="71" t="s">
        <v>3464</v>
      </c>
      <c r="C1229" s="71">
        <v>155.57</v>
      </c>
      <c r="D1229" s="71">
        <v>0</v>
      </c>
      <c r="E1229" s="71">
        <v>0</v>
      </c>
      <c r="F1229" s="71">
        <v>0.20199999999999999</v>
      </c>
      <c r="G1229" s="71">
        <v>0</v>
      </c>
      <c r="H1229" s="71">
        <v>0</v>
      </c>
      <c r="I1229" s="71">
        <v>0</v>
      </c>
      <c r="J1229" s="71">
        <v>0</v>
      </c>
      <c r="K1229" s="71">
        <v>0</v>
      </c>
      <c r="L1229" s="71">
        <v>0</v>
      </c>
      <c r="M1229" s="71">
        <v>0</v>
      </c>
      <c r="N1229" s="71">
        <v>0</v>
      </c>
      <c r="O1229" s="71">
        <v>0</v>
      </c>
      <c r="P1229" s="71">
        <v>0</v>
      </c>
      <c r="Q1229" s="71">
        <v>0</v>
      </c>
      <c r="R1229" s="71">
        <v>50.7</v>
      </c>
      <c r="S1229" s="71">
        <v>0</v>
      </c>
      <c r="T1229" s="71">
        <v>0</v>
      </c>
    </row>
    <row r="1230" spans="1:20">
      <c r="A1230" s="71" t="s">
        <v>962</v>
      </c>
      <c r="B1230" s="71" t="s">
        <v>2146</v>
      </c>
      <c r="C1230" s="71">
        <v>3273.433</v>
      </c>
      <c r="D1230" s="71">
        <v>0.31299999999999994</v>
      </c>
      <c r="E1230" s="71">
        <v>0.216</v>
      </c>
      <c r="F1230" s="71">
        <v>6.1679999999999993</v>
      </c>
      <c r="G1230" s="71">
        <v>106.64</v>
      </c>
      <c r="H1230" s="71">
        <v>28.173999999999999</v>
      </c>
      <c r="I1230" s="71">
        <v>0</v>
      </c>
      <c r="J1230" s="71">
        <v>0</v>
      </c>
      <c r="K1230" s="71">
        <v>0</v>
      </c>
      <c r="L1230" s="71">
        <v>0</v>
      </c>
      <c r="M1230" s="71">
        <v>2.5350000000000001</v>
      </c>
      <c r="N1230" s="71">
        <v>0.60399999999999998</v>
      </c>
      <c r="O1230" s="71">
        <v>3.28</v>
      </c>
      <c r="P1230" s="71">
        <v>13.616</v>
      </c>
      <c r="Q1230" s="71">
        <v>189.351</v>
      </c>
      <c r="R1230" s="71">
        <v>1532</v>
      </c>
      <c r="S1230" s="71">
        <v>27.921999999999997</v>
      </c>
      <c r="T1230" s="71">
        <v>163.67164999999997</v>
      </c>
    </row>
    <row r="1231" spans="1:20">
      <c r="A1231" s="71" t="s">
        <v>2336</v>
      </c>
      <c r="B1231" s="71" t="s">
        <v>1549</v>
      </c>
      <c r="C1231" s="71">
        <v>562.47299999999996</v>
      </c>
      <c r="D1231" s="71">
        <v>0</v>
      </c>
      <c r="E1231" s="71">
        <v>0</v>
      </c>
      <c r="F1231" s="71">
        <v>0.80799999999999994</v>
      </c>
      <c r="G1231" s="71">
        <v>16.680999999999997</v>
      </c>
      <c r="H1231" s="71">
        <v>4.1379999999999999</v>
      </c>
      <c r="I1231" s="71">
        <v>0</v>
      </c>
      <c r="J1231" s="71">
        <v>0</v>
      </c>
      <c r="K1231" s="71">
        <v>0</v>
      </c>
      <c r="L1231" s="71">
        <v>0</v>
      </c>
      <c r="M1231" s="71">
        <v>0</v>
      </c>
      <c r="N1231" s="71">
        <v>0</v>
      </c>
      <c r="O1231" s="71">
        <v>0</v>
      </c>
      <c r="P1231" s="71">
        <v>9.0639999999999983</v>
      </c>
      <c r="Q1231" s="71">
        <v>22.846999999999998</v>
      </c>
      <c r="R1231" s="71">
        <v>348.8</v>
      </c>
      <c r="S1231" s="71">
        <v>8.1019999999999985</v>
      </c>
      <c r="T1231" s="71">
        <v>28.123649999999994</v>
      </c>
    </row>
    <row r="1232" spans="1:20">
      <c r="A1232" s="71" t="s">
        <v>2338</v>
      </c>
      <c r="B1232" s="71" t="s">
        <v>1550</v>
      </c>
      <c r="C1232" s="71">
        <v>1780.4479999999999</v>
      </c>
      <c r="D1232" s="71">
        <v>1.0999999999999999E-2</v>
      </c>
      <c r="E1232" s="71">
        <v>0</v>
      </c>
      <c r="F1232" s="71">
        <v>1.8859999999999999</v>
      </c>
      <c r="G1232" s="71">
        <v>45.035999999999994</v>
      </c>
      <c r="H1232" s="71">
        <v>9.25</v>
      </c>
      <c r="I1232" s="71">
        <v>0</v>
      </c>
      <c r="J1232" s="71">
        <v>0</v>
      </c>
      <c r="K1232" s="71">
        <v>0</v>
      </c>
      <c r="L1232" s="71">
        <v>0</v>
      </c>
      <c r="M1232" s="71">
        <v>0</v>
      </c>
      <c r="N1232" s="71">
        <v>6.3999999999999987E-2</v>
      </c>
      <c r="O1232" s="71">
        <v>0</v>
      </c>
      <c r="P1232" s="71">
        <v>23.561</v>
      </c>
      <c r="Q1232" s="71">
        <v>101.33099999999999</v>
      </c>
      <c r="R1232" s="71">
        <v>704</v>
      </c>
      <c r="S1232" s="71">
        <v>2.0150000000000001</v>
      </c>
      <c r="T1232" s="71">
        <v>89.021999999999991</v>
      </c>
    </row>
    <row r="1233" spans="1:20">
      <c r="A1233" s="71" t="s">
        <v>2340</v>
      </c>
      <c r="B1233" s="71" t="s">
        <v>1551</v>
      </c>
      <c r="C1233" s="71">
        <v>13742.697999999999</v>
      </c>
      <c r="D1233" s="71">
        <v>1.9769999999999999</v>
      </c>
      <c r="E1233" s="71">
        <v>22.207999999999998</v>
      </c>
      <c r="F1233" s="71">
        <v>29.915999999999997</v>
      </c>
      <c r="G1233" s="71">
        <v>600.70699999999999</v>
      </c>
      <c r="H1233" s="71">
        <v>131.196</v>
      </c>
      <c r="I1233" s="71">
        <v>0</v>
      </c>
      <c r="J1233" s="71">
        <v>7.9769999999999994</v>
      </c>
      <c r="K1233" s="71">
        <v>0</v>
      </c>
      <c r="L1233" s="71">
        <v>0</v>
      </c>
      <c r="M1233" s="71">
        <v>50.338999999999999</v>
      </c>
      <c r="N1233" s="71">
        <v>6.9989999999999997</v>
      </c>
      <c r="O1233" s="71">
        <v>8.32</v>
      </c>
      <c r="P1233" s="71">
        <v>59.01</v>
      </c>
      <c r="Q1233" s="71">
        <v>531.53199999999993</v>
      </c>
      <c r="R1233" s="71">
        <v>7780.3</v>
      </c>
      <c r="S1233" s="71">
        <v>575.15699999999993</v>
      </c>
      <c r="T1233" s="71">
        <v>687.1348999999999</v>
      </c>
    </row>
    <row r="1234" spans="1:20">
      <c r="A1234" s="71" t="s">
        <v>738</v>
      </c>
      <c r="B1234" s="71" t="s">
        <v>6112</v>
      </c>
      <c r="C1234" s="71">
        <v>995.31</v>
      </c>
      <c r="D1234" s="71">
        <v>0</v>
      </c>
      <c r="E1234" s="71">
        <v>0</v>
      </c>
      <c r="F1234" s="71">
        <v>1.0459999999999998</v>
      </c>
      <c r="G1234" s="71">
        <v>14.992999999999999</v>
      </c>
      <c r="H1234" s="71">
        <v>9.5789999999999988</v>
      </c>
      <c r="I1234" s="71">
        <v>0</v>
      </c>
      <c r="J1234" s="71">
        <v>0</v>
      </c>
      <c r="K1234" s="71">
        <v>0</v>
      </c>
      <c r="L1234" s="71">
        <v>0</v>
      </c>
      <c r="M1234" s="71">
        <v>0</v>
      </c>
      <c r="N1234" s="71">
        <v>0.28799999999999998</v>
      </c>
      <c r="O1234" s="71">
        <v>0.746</v>
      </c>
      <c r="P1234" s="71">
        <v>50.367999999999995</v>
      </c>
      <c r="Q1234" s="71">
        <v>40.530999999999999</v>
      </c>
      <c r="R1234" s="71">
        <v>631.29999999999995</v>
      </c>
      <c r="S1234" s="71">
        <v>18.221999999999998</v>
      </c>
      <c r="T1234" s="71">
        <v>49.765499999999996</v>
      </c>
    </row>
    <row r="1235" spans="1:20">
      <c r="A1235" s="71" t="s">
        <v>3465</v>
      </c>
      <c r="B1235" s="71" t="s">
        <v>3466</v>
      </c>
      <c r="C1235" s="71">
        <v>0</v>
      </c>
      <c r="D1235" s="71">
        <v>0</v>
      </c>
      <c r="E1235" s="71">
        <v>0</v>
      </c>
      <c r="F1235" s="71">
        <v>0</v>
      </c>
      <c r="G1235" s="71">
        <v>0</v>
      </c>
      <c r="H1235" s="71">
        <v>0</v>
      </c>
      <c r="I1235" s="71">
        <v>0</v>
      </c>
      <c r="J1235" s="71">
        <v>0</v>
      </c>
      <c r="K1235" s="71">
        <v>0</v>
      </c>
      <c r="L1235" s="71">
        <v>0</v>
      </c>
      <c r="M1235" s="71">
        <v>0</v>
      </c>
      <c r="N1235" s="71">
        <v>0</v>
      </c>
      <c r="O1235" s="71">
        <v>0</v>
      </c>
      <c r="P1235" s="71">
        <v>0</v>
      </c>
      <c r="Q1235" s="71">
        <v>0</v>
      </c>
      <c r="R1235" s="71">
        <v>0</v>
      </c>
      <c r="S1235" s="71">
        <v>0</v>
      </c>
      <c r="T1235" s="71">
        <v>0</v>
      </c>
    </row>
    <row r="1236" spans="1:20">
      <c r="A1236" s="71" t="s">
        <v>3219</v>
      </c>
      <c r="B1236" s="71" t="s">
        <v>1485</v>
      </c>
      <c r="C1236" s="71">
        <v>110.898</v>
      </c>
      <c r="D1236" s="71">
        <v>0</v>
      </c>
      <c r="E1236" s="71">
        <v>0</v>
      </c>
      <c r="F1236" s="71">
        <v>0.13799999999999998</v>
      </c>
      <c r="G1236" s="71">
        <v>3.3939999999999997</v>
      </c>
      <c r="H1236" s="71">
        <v>0</v>
      </c>
      <c r="I1236" s="71">
        <v>0</v>
      </c>
      <c r="J1236" s="71">
        <v>0</v>
      </c>
      <c r="K1236" s="71">
        <v>0</v>
      </c>
      <c r="L1236" s="71">
        <v>0</v>
      </c>
      <c r="M1236" s="71">
        <v>0</v>
      </c>
      <c r="N1236" s="71">
        <v>0.25899999999999995</v>
      </c>
      <c r="O1236" s="71">
        <v>0</v>
      </c>
      <c r="P1236" s="71">
        <v>1.1579999999999999</v>
      </c>
      <c r="Q1236" s="71">
        <v>5.3559999999999999</v>
      </c>
      <c r="R1236" s="71">
        <v>82.8</v>
      </c>
      <c r="S1236" s="71">
        <v>0.48699999999999999</v>
      </c>
      <c r="T1236" s="71">
        <v>5.5448999999999993</v>
      </c>
    </row>
    <row r="1237" spans="1:20">
      <c r="A1237" s="71" t="s">
        <v>608</v>
      </c>
      <c r="B1237" s="71" t="s">
        <v>1486</v>
      </c>
      <c r="C1237" s="71">
        <v>2054.4679999999998</v>
      </c>
      <c r="D1237" s="71">
        <v>7.8999999999999987E-2</v>
      </c>
      <c r="E1237" s="71">
        <v>67.075999999999993</v>
      </c>
      <c r="F1237" s="71">
        <v>3.4729999999999999</v>
      </c>
      <c r="G1237" s="71">
        <v>51.831999999999994</v>
      </c>
      <c r="H1237" s="71">
        <v>12.936999999999999</v>
      </c>
      <c r="I1237" s="71">
        <v>0</v>
      </c>
      <c r="J1237" s="71">
        <v>0</v>
      </c>
      <c r="K1237" s="71">
        <v>0</v>
      </c>
      <c r="L1237" s="71">
        <v>0</v>
      </c>
      <c r="M1237" s="71">
        <v>0.23399999999999999</v>
      </c>
      <c r="N1237" s="71">
        <v>1.454</v>
      </c>
      <c r="O1237" s="71">
        <v>0</v>
      </c>
      <c r="P1237" s="71">
        <v>40.625999999999998</v>
      </c>
      <c r="Q1237" s="71">
        <v>59.9</v>
      </c>
      <c r="R1237" s="71">
        <v>1243.8</v>
      </c>
      <c r="S1237" s="71">
        <v>70.927999999999997</v>
      </c>
      <c r="T1237" s="71">
        <v>102.723</v>
      </c>
    </row>
    <row r="1238" spans="1:20">
      <c r="A1238" s="71" t="s">
        <v>610</v>
      </c>
      <c r="B1238" s="71" t="s">
        <v>1939</v>
      </c>
      <c r="C1238" s="71">
        <v>178.72699999999998</v>
      </c>
      <c r="D1238" s="71">
        <v>0</v>
      </c>
      <c r="E1238" s="71">
        <v>0</v>
      </c>
      <c r="F1238" s="71">
        <v>0.20399999999999999</v>
      </c>
      <c r="G1238" s="71">
        <v>1.8859999999999999</v>
      </c>
      <c r="H1238" s="71">
        <v>0</v>
      </c>
      <c r="I1238" s="71">
        <v>0</v>
      </c>
      <c r="J1238" s="71">
        <v>0</v>
      </c>
      <c r="K1238" s="71">
        <v>0</v>
      </c>
      <c r="L1238" s="71">
        <v>0</v>
      </c>
      <c r="M1238" s="71">
        <v>0</v>
      </c>
      <c r="N1238" s="71">
        <v>0</v>
      </c>
      <c r="O1238" s="71">
        <v>0</v>
      </c>
      <c r="P1238" s="71">
        <v>6.3019999999999996</v>
      </c>
      <c r="Q1238" s="71">
        <v>10.587</v>
      </c>
      <c r="R1238" s="71">
        <v>91.3</v>
      </c>
      <c r="S1238" s="71">
        <v>5.7869999999999999</v>
      </c>
      <c r="T1238" s="71">
        <v>8.9359999999999999</v>
      </c>
    </row>
    <row r="1239" spans="1:20">
      <c r="A1239" s="71" t="s">
        <v>3467</v>
      </c>
      <c r="B1239" s="71" t="s">
        <v>3468</v>
      </c>
      <c r="C1239" s="71">
        <v>319</v>
      </c>
      <c r="D1239" s="71">
        <v>0</v>
      </c>
      <c r="E1239" s="71">
        <v>0</v>
      </c>
      <c r="F1239" s="71">
        <v>0</v>
      </c>
      <c r="G1239" s="71">
        <v>0</v>
      </c>
      <c r="H1239" s="71">
        <v>0</v>
      </c>
      <c r="I1239" s="71">
        <v>0</v>
      </c>
      <c r="J1239" s="71">
        <v>0</v>
      </c>
      <c r="K1239" s="71">
        <v>0</v>
      </c>
      <c r="L1239" s="71">
        <v>0</v>
      </c>
      <c r="M1239" s="71">
        <v>0</v>
      </c>
      <c r="N1239" s="71">
        <v>0</v>
      </c>
      <c r="O1239" s="71">
        <v>0</v>
      </c>
      <c r="P1239" s="71">
        <v>0</v>
      </c>
      <c r="Q1239" s="71">
        <v>0</v>
      </c>
      <c r="R1239" s="71">
        <v>0</v>
      </c>
      <c r="S1239" s="71">
        <v>0</v>
      </c>
      <c r="T1239" s="71">
        <v>0</v>
      </c>
    </row>
    <row r="1240" spans="1:20">
      <c r="A1240" s="71" t="s">
        <v>3469</v>
      </c>
      <c r="B1240" s="71" t="s">
        <v>3470</v>
      </c>
      <c r="C1240" s="71">
        <v>0</v>
      </c>
      <c r="D1240" s="71">
        <v>0</v>
      </c>
      <c r="E1240" s="71">
        <v>0</v>
      </c>
      <c r="F1240" s="71">
        <v>0</v>
      </c>
      <c r="G1240" s="71">
        <v>0</v>
      </c>
      <c r="H1240" s="71">
        <v>0</v>
      </c>
      <c r="I1240" s="71">
        <v>0</v>
      </c>
      <c r="J1240" s="71">
        <v>0</v>
      </c>
      <c r="K1240" s="71">
        <v>0</v>
      </c>
      <c r="L1240" s="71">
        <v>0</v>
      </c>
      <c r="M1240" s="71">
        <v>0</v>
      </c>
      <c r="N1240" s="71">
        <v>0</v>
      </c>
      <c r="O1240" s="71">
        <v>0</v>
      </c>
      <c r="P1240" s="71">
        <v>0</v>
      </c>
      <c r="Q1240" s="71">
        <v>0</v>
      </c>
      <c r="R1240" s="71">
        <v>0</v>
      </c>
      <c r="S1240" s="71">
        <v>0</v>
      </c>
      <c r="T1240" s="71">
        <v>0</v>
      </c>
    </row>
    <row r="1241" spans="1:20">
      <c r="A1241" s="71" t="s">
        <v>6145</v>
      </c>
      <c r="B1241" s="71" t="s">
        <v>188</v>
      </c>
      <c r="C1241" s="71">
        <v>296.33199999999999</v>
      </c>
      <c r="D1241" s="71">
        <v>0</v>
      </c>
      <c r="E1241" s="71">
        <v>0</v>
      </c>
      <c r="F1241" s="71">
        <v>0.41699999999999998</v>
      </c>
      <c r="G1241" s="71">
        <v>0.93699999999999994</v>
      </c>
      <c r="H1241" s="71">
        <v>2.7999999999999997E-2</v>
      </c>
      <c r="I1241" s="71">
        <v>0</v>
      </c>
      <c r="J1241" s="71">
        <v>0</v>
      </c>
      <c r="K1241" s="71">
        <v>0</v>
      </c>
      <c r="L1241" s="71">
        <v>0</v>
      </c>
      <c r="M1241" s="71">
        <v>0</v>
      </c>
      <c r="N1241" s="71">
        <v>0</v>
      </c>
      <c r="O1241" s="71">
        <v>0</v>
      </c>
      <c r="P1241" s="71">
        <v>11.77</v>
      </c>
      <c r="Q1241" s="71">
        <v>0</v>
      </c>
      <c r="R1241" s="71">
        <v>306.7</v>
      </c>
      <c r="S1241" s="71">
        <v>76.875999999999991</v>
      </c>
      <c r="T1241" s="71">
        <v>14.816599999999999</v>
      </c>
    </row>
    <row r="1242" spans="1:20">
      <c r="A1242" s="71" t="s">
        <v>2998</v>
      </c>
      <c r="B1242" s="71" t="s">
        <v>6058</v>
      </c>
      <c r="C1242" s="71">
        <v>1431.2769999999998</v>
      </c>
      <c r="D1242" s="71">
        <v>0.16</v>
      </c>
      <c r="E1242" s="71">
        <v>0</v>
      </c>
      <c r="F1242" s="71">
        <v>1.371</v>
      </c>
      <c r="G1242" s="71">
        <v>49.878999999999998</v>
      </c>
      <c r="H1242" s="71">
        <v>6.7719999999999994</v>
      </c>
      <c r="I1242" s="71">
        <v>0</v>
      </c>
      <c r="J1242" s="71">
        <v>7.5159999999999991</v>
      </c>
      <c r="K1242" s="71">
        <v>0</v>
      </c>
      <c r="L1242" s="71">
        <v>0</v>
      </c>
      <c r="M1242" s="71">
        <v>0</v>
      </c>
      <c r="N1242" s="71">
        <v>0.70799999999999996</v>
      </c>
      <c r="O1242" s="71">
        <v>0</v>
      </c>
      <c r="P1242" s="71">
        <v>10.265999999999998</v>
      </c>
      <c r="Q1242" s="71">
        <v>114.19499999999999</v>
      </c>
      <c r="R1242" s="71">
        <v>1405</v>
      </c>
      <c r="S1242" s="71">
        <v>160.935</v>
      </c>
      <c r="T1242" s="71">
        <v>71.563849999999988</v>
      </c>
    </row>
    <row r="1243" spans="1:20">
      <c r="A1243" s="71" t="s">
        <v>2766</v>
      </c>
      <c r="B1243" s="71" t="s">
        <v>356</v>
      </c>
      <c r="C1243" s="71">
        <v>2264.607</v>
      </c>
      <c r="D1243" s="71">
        <v>0.19199999999999998</v>
      </c>
      <c r="E1243" s="71">
        <v>0</v>
      </c>
      <c r="F1243" s="71">
        <v>2.9369999999999998</v>
      </c>
      <c r="G1243" s="71">
        <v>56.970999999999997</v>
      </c>
      <c r="H1243" s="71">
        <v>23.994</v>
      </c>
      <c r="I1243" s="71">
        <v>0</v>
      </c>
      <c r="J1243" s="71">
        <v>5.2309999999999999</v>
      </c>
      <c r="K1243" s="71">
        <v>0</v>
      </c>
      <c r="L1243" s="71">
        <v>0</v>
      </c>
      <c r="M1243" s="71">
        <v>0</v>
      </c>
      <c r="N1243" s="71">
        <v>0.85</v>
      </c>
      <c r="O1243" s="71">
        <v>0</v>
      </c>
      <c r="P1243" s="71">
        <v>41.938999999999993</v>
      </c>
      <c r="Q1243" s="71">
        <v>106.65199999999999</v>
      </c>
      <c r="R1243" s="71">
        <v>2593.1999999999998</v>
      </c>
      <c r="S1243" s="71">
        <v>197.351</v>
      </c>
      <c r="T1243" s="71">
        <v>107</v>
      </c>
    </row>
    <row r="1244" spans="1:20">
      <c r="A1244" s="71" t="s">
        <v>5040</v>
      </c>
      <c r="B1244" s="71" t="s">
        <v>384</v>
      </c>
      <c r="C1244" s="71">
        <v>266.79199999999997</v>
      </c>
      <c r="D1244" s="71">
        <v>0</v>
      </c>
      <c r="E1244" s="71">
        <v>0</v>
      </c>
      <c r="F1244" s="71">
        <v>0.17199999999999999</v>
      </c>
      <c r="G1244" s="71">
        <v>4.1950000000000003</v>
      </c>
      <c r="H1244" s="71">
        <v>0.32199999999999995</v>
      </c>
      <c r="I1244" s="71">
        <v>0</v>
      </c>
      <c r="J1244" s="71">
        <v>1.0549999999999999</v>
      </c>
      <c r="K1244" s="71">
        <v>0</v>
      </c>
      <c r="L1244" s="71">
        <v>0</v>
      </c>
      <c r="M1244" s="71">
        <v>0</v>
      </c>
      <c r="N1244" s="71">
        <v>0</v>
      </c>
      <c r="O1244" s="71">
        <v>0</v>
      </c>
      <c r="P1244" s="71">
        <v>18.463999999999999</v>
      </c>
      <c r="Q1244" s="71">
        <v>17.076999999999998</v>
      </c>
      <c r="R1244" s="71">
        <v>244</v>
      </c>
      <c r="S1244" s="71">
        <v>32.713999999999999</v>
      </c>
      <c r="T1244" s="71">
        <v>9</v>
      </c>
    </row>
    <row r="1245" spans="1:20">
      <c r="A1245" s="71" t="s">
        <v>1307</v>
      </c>
      <c r="B1245" s="71" t="s">
        <v>111</v>
      </c>
      <c r="C1245" s="71">
        <v>947.85199999999998</v>
      </c>
      <c r="D1245" s="71">
        <v>0</v>
      </c>
      <c r="E1245" s="71">
        <v>0.1</v>
      </c>
      <c r="F1245" s="71">
        <v>2.0369999999999999</v>
      </c>
      <c r="G1245" s="71">
        <v>25.951999999999998</v>
      </c>
      <c r="H1245" s="71">
        <v>13.052999999999999</v>
      </c>
      <c r="I1245" s="71">
        <v>0</v>
      </c>
      <c r="J1245" s="71">
        <v>0</v>
      </c>
      <c r="K1245" s="71">
        <v>0</v>
      </c>
      <c r="L1245" s="71">
        <v>0</v>
      </c>
      <c r="M1245" s="71">
        <v>2.6629999999999998</v>
      </c>
      <c r="N1245" s="71">
        <v>0.47299999999999998</v>
      </c>
      <c r="O1245" s="71">
        <v>3.6409999999999996</v>
      </c>
      <c r="P1245" s="71">
        <v>34.475000000000001</v>
      </c>
      <c r="Q1245" s="71">
        <v>50.835000000000001</v>
      </c>
      <c r="R1245" s="71">
        <v>542.29999999999995</v>
      </c>
      <c r="S1245" s="71">
        <v>75.708999999999989</v>
      </c>
      <c r="T1245" s="71">
        <v>47.392599999999995</v>
      </c>
    </row>
    <row r="1246" spans="1:20">
      <c r="A1246" s="71" t="s">
        <v>1319</v>
      </c>
      <c r="B1246" s="71" t="s">
        <v>125</v>
      </c>
      <c r="C1246" s="71">
        <v>8588.8579999999984</v>
      </c>
      <c r="D1246" s="71">
        <v>0.22099999999999997</v>
      </c>
      <c r="E1246" s="71">
        <v>2.2529999999999997</v>
      </c>
      <c r="F1246" s="71">
        <v>16.97</v>
      </c>
      <c r="G1246" s="71">
        <v>184.73399999999998</v>
      </c>
      <c r="H1246" s="71">
        <v>53.535999999999994</v>
      </c>
      <c r="I1246" s="71">
        <v>0</v>
      </c>
      <c r="J1246" s="71">
        <v>0.65799999999999992</v>
      </c>
      <c r="K1246" s="71">
        <v>0</v>
      </c>
      <c r="L1246" s="71">
        <v>0.92799999999999994</v>
      </c>
      <c r="M1246" s="71">
        <v>26.535999999999998</v>
      </c>
      <c r="N1246" s="71">
        <v>2.6659999999999999</v>
      </c>
      <c r="O1246" s="71">
        <v>4.327</v>
      </c>
      <c r="P1246" s="71">
        <v>44.433</v>
      </c>
      <c r="Q1246" s="71">
        <v>353.18899999999996</v>
      </c>
      <c r="R1246" s="71">
        <v>3389.5</v>
      </c>
      <c r="S1246" s="71">
        <v>560.101</v>
      </c>
      <c r="T1246" s="71">
        <v>429.44289999999995</v>
      </c>
    </row>
    <row r="1247" spans="1:20">
      <c r="A1247" s="71" t="s">
        <v>1856</v>
      </c>
      <c r="B1247" s="71" t="s">
        <v>3912</v>
      </c>
      <c r="C1247" s="71">
        <v>454.40499999999997</v>
      </c>
      <c r="D1247" s="71">
        <v>0</v>
      </c>
      <c r="E1247" s="71">
        <v>0</v>
      </c>
      <c r="F1247" s="71">
        <v>0.49099999999999999</v>
      </c>
      <c r="G1247" s="71">
        <v>10.206</v>
      </c>
      <c r="H1247" s="71">
        <v>0</v>
      </c>
      <c r="I1247" s="71">
        <v>0</v>
      </c>
      <c r="J1247" s="71">
        <v>1.7250000000000001</v>
      </c>
      <c r="K1247" s="71">
        <v>0</v>
      </c>
      <c r="L1247" s="71">
        <v>0</v>
      </c>
      <c r="M1247" s="71">
        <v>0</v>
      </c>
      <c r="N1247" s="71">
        <v>0</v>
      </c>
      <c r="O1247" s="71">
        <v>0</v>
      </c>
      <c r="P1247" s="71">
        <v>31.305999999999997</v>
      </c>
      <c r="Q1247" s="71">
        <v>28.936</v>
      </c>
      <c r="R1247" s="71">
        <v>247.3</v>
      </c>
      <c r="S1247" s="71">
        <v>34.218999999999994</v>
      </c>
      <c r="T1247" s="71">
        <v>22.72</v>
      </c>
    </row>
    <row r="1248" spans="1:20">
      <c r="A1248" s="71" t="s">
        <v>6020</v>
      </c>
      <c r="B1248" s="71" t="s">
        <v>3859</v>
      </c>
      <c r="C1248" s="71">
        <v>2867.5029999999997</v>
      </c>
      <c r="D1248" s="71">
        <v>2.0999999999999998E-2</v>
      </c>
      <c r="E1248" s="71">
        <v>0</v>
      </c>
      <c r="F1248" s="71">
        <v>4.3489999999999993</v>
      </c>
      <c r="G1248" s="71">
        <v>47.42</v>
      </c>
      <c r="H1248" s="71">
        <v>20.767999999999997</v>
      </c>
      <c r="I1248" s="71">
        <v>0</v>
      </c>
      <c r="J1248" s="71">
        <v>6.6919999999999993</v>
      </c>
      <c r="K1248" s="71">
        <v>0</v>
      </c>
      <c r="L1248" s="71">
        <v>0</v>
      </c>
      <c r="M1248" s="71">
        <v>0</v>
      </c>
      <c r="N1248" s="71">
        <v>0.61699999999999999</v>
      </c>
      <c r="O1248" s="71">
        <v>1.72</v>
      </c>
      <c r="P1248" s="71">
        <v>56.156999999999996</v>
      </c>
      <c r="Q1248" s="71">
        <v>93.376999999999995</v>
      </c>
      <c r="R1248" s="71">
        <v>831.8</v>
      </c>
      <c r="S1248" s="71">
        <v>173.02199999999999</v>
      </c>
      <c r="T1248" s="71">
        <v>143.375</v>
      </c>
    </row>
    <row r="1249" spans="1:20">
      <c r="A1249" s="71" t="s">
        <v>611</v>
      </c>
      <c r="B1249" s="71" t="s">
        <v>1487</v>
      </c>
      <c r="C1249" s="71">
        <v>624.98299999999995</v>
      </c>
      <c r="D1249" s="71">
        <v>0</v>
      </c>
      <c r="E1249" s="71">
        <v>0</v>
      </c>
      <c r="F1249" s="71">
        <v>1.1119999999999999</v>
      </c>
      <c r="G1249" s="71">
        <v>29.413999999999998</v>
      </c>
      <c r="H1249" s="71">
        <v>1.63</v>
      </c>
      <c r="I1249" s="71">
        <v>0</v>
      </c>
      <c r="J1249" s="71">
        <v>0</v>
      </c>
      <c r="K1249" s="71">
        <v>0</v>
      </c>
      <c r="L1249" s="71">
        <v>0</v>
      </c>
      <c r="M1249" s="71">
        <v>0</v>
      </c>
      <c r="N1249" s="71">
        <v>0.32500000000000001</v>
      </c>
      <c r="O1249" s="71">
        <v>0</v>
      </c>
      <c r="P1249" s="71">
        <v>3.67</v>
      </c>
      <c r="Q1249" s="71">
        <v>34.462999999999994</v>
      </c>
      <c r="R1249" s="71">
        <v>337</v>
      </c>
      <c r="S1249" s="71">
        <v>87</v>
      </c>
      <c r="T1249" s="71">
        <v>31.248999999999999</v>
      </c>
    </row>
    <row r="1250" spans="1:20">
      <c r="A1250" s="71" t="s">
        <v>2990</v>
      </c>
      <c r="B1250" s="71" t="s">
        <v>191</v>
      </c>
      <c r="C1250" s="71">
        <v>1961.7449999999999</v>
      </c>
      <c r="D1250" s="71">
        <v>0</v>
      </c>
      <c r="E1250" s="71">
        <v>0.186</v>
      </c>
      <c r="F1250" s="71">
        <v>4.0559999999999992</v>
      </c>
      <c r="G1250" s="71">
        <v>58.795999999999999</v>
      </c>
      <c r="H1250" s="71">
        <v>9.1709999999999994</v>
      </c>
      <c r="I1250" s="71">
        <v>0</v>
      </c>
      <c r="J1250" s="71">
        <v>0.33</v>
      </c>
      <c r="K1250" s="71">
        <v>0</v>
      </c>
      <c r="L1250" s="71">
        <v>0</v>
      </c>
      <c r="M1250" s="71">
        <v>0.109</v>
      </c>
      <c r="N1250" s="71">
        <v>0</v>
      </c>
      <c r="O1250" s="71">
        <v>18.84</v>
      </c>
      <c r="P1250" s="71">
        <v>44.175999999999995</v>
      </c>
      <c r="Q1250" s="71">
        <v>64.653999999999996</v>
      </c>
      <c r="R1250" s="71">
        <v>679.8</v>
      </c>
      <c r="S1250" s="71">
        <v>66.102999999999994</v>
      </c>
      <c r="T1250" s="71">
        <v>98.086999999999989</v>
      </c>
    </row>
    <row r="1251" spans="1:20">
      <c r="A1251" s="71" t="s">
        <v>2382</v>
      </c>
      <c r="B1251" s="71" t="s">
        <v>371</v>
      </c>
      <c r="C1251" s="71">
        <v>35749.97</v>
      </c>
      <c r="D1251" s="71">
        <v>1.7919999999999998</v>
      </c>
      <c r="E1251" s="71">
        <v>3.7779999999999996</v>
      </c>
      <c r="F1251" s="71">
        <v>57.4</v>
      </c>
      <c r="G1251" s="71">
        <v>606.72699999999998</v>
      </c>
      <c r="H1251" s="71">
        <v>212.38199999999998</v>
      </c>
      <c r="I1251" s="71">
        <v>0</v>
      </c>
      <c r="J1251" s="71">
        <v>10.491</v>
      </c>
      <c r="K1251" s="71">
        <v>0</v>
      </c>
      <c r="L1251" s="71">
        <v>1.1759999999999999</v>
      </c>
      <c r="M1251" s="71">
        <v>34.092999999999996</v>
      </c>
      <c r="N1251" s="71">
        <v>6.2949999999999999</v>
      </c>
      <c r="O1251" s="71">
        <v>34.387999999999998</v>
      </c>
      <c r="P1251" s="71">
        <v>852.21899999999994</v>
      </c>
      <c r="Q1251" s="71">
        <v>1244.3499999999999</v>
      </c>
      <c r="R1251" s="71">
        <v>8978.7999999999993</v>
      </c>
      <c r="S1251" s="71">
        <v>2198.4139999999998</v>
      </c>
      <c r="T1251" s="71">
        <v>1787.4984999999999</v>
      </c>
    </row>
    <row r="1252" spans="1:20">
      <c r="A1252" s="71" t="s">
        <v>2473</v>
      </c>
      <c r="B1252" s="71" t="s">
        <v>5363</v>
      </c>
      <c r="C1252" s="71">
        <v>2813.0449999999996</v>
      </c>
      <c r="D1252" s="71">
        <v>0.10099999999999999</v>
      </c>
      <c r="E1252" s="71">
        <v>0.53299999999999992</v>
      </c>
      <c r="F1252" s="71">
        <v>4.7589999999999995</v>
      </c>
      <c r="G1252" s="71">
        <v>78.826999999999998</v>
      </c>
      <c r="H1252" s="71">
        <v>29.187999999999999</v>
      </c>
      <c r="I1252" s="71">
        <v>0</v>
      </c>
      <c r="J1252" s="71">
        <v>5.4089999999999998</v>
      </c>
      <c r="K1252" s="71">
        <v>0</v>
      </c>
      <c r="L1252" s="71">
        <v>0</v>
      </c>
      <c r="M1252" s="71">
        <v>0</v>
      </c>
      <c r="N1252" s="71">
        <v>2.3619999999999997</v>
      </c>
      <c r="O1252" s="71">
        <v>1.4209999999999998</v>
      </c>
      <c r="P1252" s="71">
        <v>12.720999999999998</v>
      </c>
      <c r="Q1252" s="71">
        <v>114.973</v>
      </c>
      <c r="R1252" s="71">
        <v>1824.7</v>
      </c>
      <c r="S1252" s="71">
        <v>218.98699999999999</v>
      </c>
      <c r="T1252" s="71">
        <v>140.65199999999999</v>
      </c>
    </row>
    <row r="1253" spans="1:20">
      <c r="A1253" s="71" t="s">
        <v>2412</v>
      </c>
      <c r="B1253" s="71" t="s">
        <v>5365</v>
      </c>
      <c r="C1253" s="71">
        <v>529.19500000000005</v>
      </c>
      <c r="D1253" s="71">
        <v>0.125</v>
      </c>
      <c r="E1253" s="71">
        <v>0</v>
      </c>
      <c r="F1253" s="71">
        <v>0.99399999999999999</v>
      </c>
      <c r="G1253" s="71">
        <v>16.367999999999999</v>
      </c>
      <c r="H1253" s="71">
        <v>2.5579999999999998</v>
      </c>
      <c r="I1253" s="71">
        <v>0</v>
      </c>
      <c r="J1253" s="71">
        <v>1.2939999999999998</v>
      </c>
      <c r="K1253" s="71">
        <v>0</v>
      </c>
      <c r="L1253" s="71">
        <v>0</v>
      </c>
      <c r="M1253" s="71">
        <v>0</v>
      </c>
      <c r="N1253" s="71">
        <v>0.183</v>
      </c>
      <c r="O1253" s="71">
        <v>0</v>
      </c>
      <c r="P1253" s="71">
        <v>8.5989999999999984</v>
      </c>
      <c r="Q1253" s="71">
        <v>31.37</v>
      </c>
      <c r="R1253" s="71">
        <v>161.80000000000001</v>
      </c>
      <c r="S1253" s="71">
        <v>3.8979999999999997</v>
      </c>
      <c r="T1253" s="71">
        <v>26.459749999999996</v>
      </c>
    </row>
    <row r="1254" spans="1:20">
      <c r="A1254" s="71" t="s">
        <v>2988</v>
      </c>
      <c r="B1254" s="71" t="s">
        <v>189</v>
      </c>
      <c r="C1254" s="71">
        <v>20900.86</v>
      </c>
      <c r="D1254" s="71">
        <v>1.4509999999999998</v>
      </c>
      <c r="E1254" s="71">
        <v>2.6549999999999998</v>
      </c>
      <c r="F1254" s="71">
        <v>30.675999999999998</v>
      </c>
      <c r="G1254" s="71">
        <v>535.29699999999991</v>
      </c>
      <c r="H1254" s="71">
        <v>156.01599999999999</v>
      </c>
      <c r="I1254" s="71">
        <v>0</v>
      </c>
      <c r="J1254" s="71">
        <v>4.2409999999999997</v>
      </c>
      <c r="K1254" s="71">
        <v>0</v>
      </c>
      <c r="L1254" s="71">
        <v>0</v>
      </c>
      <c r="M1254" s="71">
        <v>50.047999999999995</v>
      </c>
      <c r="N1254" s="71">
        <v>2.6079999999999997</v>
      </c>
      <c r="O1254" s="71">
        <v>7.2489999999999997</v>
      </c>
      <c r="P1254" s="71">
        <v>499.72</v>
      </c>
      <c r="Q1254" s="71">
        <v>677.07599999999991</v>
      </c>
      <c r="R1254" s="71">
        <v>4245.2</v>
      </c>
      <c r="S1254" s="71">
        <v>814.60299999999995</v>
      </c>
      <c r="T1254" s="71">
        <v>1045.0429999999999</v>
      </c>
    </row>
    <row r="1255" spans="1:20">
      <c r="A1255" s="71" t="s">
        <v>613</v>
      </c>
      <c r="B1255" s="71" t="s">
        <v>1003</v>
      </c>
      <c r="C1255" s="71">
        <v>110.20899999999999</v>
      </c>
      <c r="D1255" s="71">
        <v>0</v>
      </c>
      <c r="E1255" s="71">
        <v>0</v>
      </c>
      <c r="F1255" s="71">
        <v>9.1999999999999998E-2</v>
      </c>
      <c r="G1255" s="71">
        <v>0.93899999999999995</v>
      </c>
      <c r="H1255" s="71">
        <v>0</v>
      </c>
      <c r="I1255" s="71">
        <v>0</v>
      </c>
      <c r="J1255" s="71">
        <v>0</v>
      </c>
      <c r="K1255" s="71">
        <v>0</v>
      </c>
      <c r="L1255" s="71">
        <v>0</v>
      </c>
      <c r="M1255" s="71">
        <v>0</v>
      </c>
      <c r="N1255" s="71">
        <v>0</v>
      </c>
      <c r="O1255" s="71">
        <v>0</v>
      </c>
      <c r="P1255" s="71">
        <v>2.8729999999999998</v>
      </c>
      <c r="Q1255" s="71">
        <v>0</v>
      </c>
      <c r="R1255" s="71">
        <v>39.299999999999997</v>
      </c>
      <c r="S1255" s="71">
        <v>5.8529999999999998</v>
      </c>
      <c r="T1255" s="71">
        <v>5</v>
      </c>
    </row>
    <row r="1256" spans="1:20">
      <c r="A1256" s="71" t="s">
        <v>5041</v>
      </c>
      <c r="B1256" s="71" t="s">
        <v>112</v>
      </c>
      <c r="C1256" s="71">
        <v>3402.7939999999999</v>
      </c>
      <c r="D1256" s="71">
        <v>0.73699999999999999</v>
      </c>
      <c r="E1256" s="71">
        <v>0</v>
      </c>
      <c r="F1256" s="71">
        <v>5.7</v>
      </c>
      <c r="G1256" s="71">
        <v>94.890999999999991</v>
      </c>
      <c r="H1256" s="71">
        <v>29.776999999999997</v>
      </c>
      <c r="I1256" s="71">
        <v>0</v>
      </c>
      <c r="J1256" s="71">
        <v>0</v>
      </c>
      <c r="K1256" s="71">
        <v>0</v>
      </c>
      <c r="L1256" s="71">
        <v>0</v>
      </c>
      <c r="M1256" s="71">
        <v>7.2209999999999992</v>
      </c>
      <c r="N1256" s="71">
        <v>1.9239999999999999</v>
      </c>
      <c r="O1256" s="71">
        <v>0</v>
      </c>
      <c r="P1256" s="71">
        <v>108.32299999999999</v>
      </c>
      <c r="Q1256" s="71">
        <v>153.95699999999999</v>
      </c>
      <c r="R1256" s="71">
        <v>1979.2</v>
      </c>
      <c r="S1256" s="71">
        <v>94.600999999999999</v>
      </c>
      <c r="T1256" s="71">
        <v>154</v>
      </c>
    </row>
    <row r="1257" spans="1:20">
      <c r="A1257" s="71" t="s">
        <v>6039</v>
      </c>
      <c r="B1257" s="71" t="s">
        <v>183</v>
      </c>
      <c r="C1257" s="71">
        <v>2459.8779999999997</v>
      </c>
      <c r="D1257" s="71">
        <v>0.18099999999999999</v>
      </c>
      <c r="E1257" s="71">
        <v>0</v>
      </c>
      <c r="F1257" s="71">
        <v>3.347</v>
      </c>
      <c r="G1257" s="71">
        <v>82.594999999999999</v>
      </c>
      <c r="H1257" s="71">
        <v>16.163999999999998</v>
      </c>
      <c r="I1257" s="71">
        <v>0</v>
      </c>
      <c r="J1257" s="71">
        <v>0.53</v>
      </c>
      <c r="K1257" s="71">
        <v>0</v>
      </c>
      <c r="L1257" s="71">
        <v>0</v>
      </c>
      <c r="M1257" s="71">
        <v>0</v>
      </c>
      <c r="N1257" s="71">
        <v>0</v>
      </c>
      <c r="O1257" s="71">
        <v>1.7819999999999998</v>
      </c>
      <c r="P1257" s="71">
        <v>67.295000000000002</v>
      </c>
      <c r="Q1257" s="71">
        <v>112.16399999999999</v>
      </c>
      <c r="R1257" s="71">
        <v>750</v>
      </c>
      <c r="S1257" s="71">
        <v>68.56</v>
      </c>
      <c r="T1257" s="71">
        <v>122.9939</v>
      </c>
    </row>
    <row r="1258" spans="1:20">
      <c r="A1258" s="71" t="s">
        <v>5043</v>
      </c>
      <c r="B1258" s="71" t="s">
        <v>346</v>
      </c>
      <c r="C1258" s="71">
        <v>727.97899999999993</v>
      </c>
      <c r="D1258" s="71">
        <v>0</v>
      </c>
      <c r="E1258" s="71">
        <v>0</v>
      </c>
      <c r="F1258" s="71">
        <v>1.075</v>
      </c>
      <c r="G1258" s="71">
        <v>21.617999999999999</v>
      </c>
      <c r="H1258" s="71">
        <v>1.7619999999999998</v>
      </c>
      <c r="I1258" s="71">
        <v>0</v>
      </c>
      <c r="J1258" s="71">
        <v>0</v>
      </c>
      <c r="K1258" s="71">
        <v>0</v>
      </c>
      <c r="L1258" s="71">
        <v>0</v>
      </c>
      <c r="M1258" s="71">
        <v>0.68399999999999994</v>
      </c>
      <c r="N1258" s="71">
        <v>1.4999999999999999E-2</v>
      </c>
      <c r="O1258" s="71">
        <v>0</v>
      </c>
      <c r="P1258" s="71">
        <v>21.071999999999999</v>
      </c>
      <c r="Q1258" s="71">
        <v>39.165999999999997</v>
      </c>
      <c r="R1258" s="71">
        <v>290.8</v>
      </c>
      <c r="S1258" s="71">
        <v>16.462</v>
      </c>
      <c r="T1258" s="71">
        <v>36.398949999999992</v>
      </c>
    </row>
    <row r="1259" spans="1:20">
      <c r="A1259" s="71" t="s">
        <v>2409</v>
      </c>
      <c r="B1259" s="71" t="s">
        <v>2356</v>
      </c>
      <c r="C1259" s="71">
        <v>698.05899999999997</v>
      </c>
      <c r="D1259" s="71">
        <v>0</v>
      </c>
      <c r="E1259" s="71">
        <v>0</v>
      </c>
      <c r="F1259" s="71">
        <v>1.7639999999999998</v>
      </c>
      <c r="G1259" s="71">
        <v>21.497999999999998</v>
      </c>
      <c r="H1259" s="71">
        <v>4.4329999999999998</v>
      </c>
      <c r="I1259" s="71">
        <v>0</v>
      </c>
      <c r="J1259" s="71">
        <v>0</v>
      </c>
      <c r="K1259" s="71">
        <v>0</v>
      </c>
      <c r="L1259" s="71">
        <v>0</v>
      </c>
      <c r="M1259" s="71">
        <v>0</v>
      </c>
      <c r="N1259" s="71">
        <v>0.12899999999999998</v>
      </c>
      <c r="O1259" s="71">
        <v>9.0999999999999998E-2</v>
      </c>
      <c r="P1259" s="71">
        <v>12.061999999999999</v>
      </c>
      <c r="Q1259" s="71">
        <v>27.638999999999999</v>
      </c>
      <c r="R1259" s="71">
        <v>359</v>
      </c>
      <c r="S1259" s="71">
        <v>11.392999999999999</v>
      </c>
      <c r="T1259" s="71">
        <v>34.902949999999997</v>
      </c>
    </row>
    <row r="1260" spans="1:20">
      <c r="A1260" s="71" t="s">
        <v>615</v>
      </c>
      <c r="B1260" s="71" t="s">
        <v>1004</v>
      </c>
      <c r="C1260" s="71">
        <v>1111.4229999999998</v>
      </c>
      <c r="D1260" s="71">
        <v>0.17499999999999999</v>
      </c>
      <c r="E1260" s="71">
        <v>0.23299999999999998</v>
      </c>
      <c r="F1260" s="71">
        <v>1.61</v>
      </c>
      <c r="G1260" s="71">
        <v>14.960999999999999</v>
      </c>
      <c r="H1260" s="71">
        <v>6.9669999999999996</v>
      </c>
      <c r="I1260" s="71">
        <v>0</v>
      </c>
      <c r="J1260" s="71">
        <v>0</v>
      </c>
      <c r="K1260" s="71">
        <v>0</v>
      </c>
      <c r="L1260" s="71">
        <v>0</v>
      </c>
      <c r="M1260" s="71">
        <v>0.03</v>
      </c>
      <c r="N1260" s="71">
        <v>0.20299999999999999</v>
      </c>
      <c r="O1260" s="71">
        <v>0</v>
      </c>
      <c r="P1260" s="71">
        <v>75.760999999999996</v>
      </c>
      <c r="Q1260" s="71">
        <v>59.14</v>
      </c>
      <c r="R1260" s="71">
        <v>784.2</v>
      </c>
      <c r="S1260" s="71">
        <v>100.145</v>
      </c>
      <c r="T1260" s="71">
        <v>55.570999999999998</v>
      </c>
    </row>
    <row r="1261" spans="1:20">
      <c r="A1261" s="71" t="s">
        <v>617</v>
      </c>
      <c r="B1261" s="71" t="s">
        <v>1005</v>
      </c>
      <c r="C1261" s="71">
        <v>314.12399999999997</v>
      </c>
      <c r="D1261" s="71">
        <v>0</v>
      </c>
      <c r="E1261" s="71">
        <v>0</v>
      </c>
      <c r="F1261" s="71">
        <v>0.14599999999999999</v>
      </c>
      <c r="G1261" s="71">
        <v>7.4749999999999996</v>
      </c>
      <c r="H1261" s="71">
        <v>0</v>
      </c>
      <c r="I1261" s="71">
        <v>0</v>
      </c>
      <c r="J1261" s="71">
        <v>0</v>
      </c>
      <c r="K1261" s="71">
        <v>0</v>
      </c>
      <c r="L1261" s="71">
        <v>0</v>
      </c>
      <c r="M1261" s="71">
        <v>0.51899999999999991</v>
      </c>
      <c r="N1261" s="71">
        <v>0</v>
      </c>
      <c r="O1261" s="71">
        <v>0</v>
      </c>
      <c r="P1261" s="71">
        <v>7.0479999999999992</v>
      </c>
      <c r="Q1261" s="71">
        <v>24.198999999999998</v>
      </c>
      <c r="R1261" s="71">
        <v>143.19999999999999</v>
      </c>
      <c r="S1261" s="71">
        <v>4.3949999999999996</v>
      </c>
      <c r="T1261" s="71">
        <v>15.706</v>
      </c>
    </row>
    <row r="1262" spans="1:20">
      <c r="A1262" s="71" t="s">
        <v>3889</v>
      </c>
      <c r="B1262" s="71" t="s">
        <v>7680</v>
      </c>
      <c r="C1262" s="71">
        <v>686.80499999999995</v>
      </c>
      <c r="D1262" s="71">
        <v>6.9999999999999993E-3</v>
      </c>
      <c r="E1262" s="71">
        <v>0</v>
      </c>
      <c r="F1262" s="71">
        <v>1.04</v>
      </c>
      <c r="G1262" s="71">
        <v>35.821999999999996</v>
      </c>
      <c r="H1262" s="71">
        <v>1.26</v>
      </c>
      <c r="I1262" s="71">
        <v>0</v>
      </c>
      <c r="J1262" s="71">
        <v>2.2989999999999999</v>
      </c>
      <c r="K1262" s="71">
        <v>0</v>
      </c>
      <c r="L1262" s="71">
        <v>0</v>
      </c>
      <c r="M1262" s="71">
        <v>1.2889999999999999</v>
      </c>
      <c r="N1262" s="71">
        <v>0</v>
      </c>
      <c r="O1262" s="71">
        <v>0</v>
      </c>
      <c r="P1262" s="71">
        <v>2.81</v>
      </c>
      <c r="Q1262" s="71">
        <v>62.015999999999998</v>
      </c>
      <c r="R1262" s="71">
        <v>225.8</v>
      </c>
      <c r="S1262" s="71">
        <v>13.341999999999999</v>
      </c>
      <c r="T1262" s="71">
        <v>34.340000000000003</v>
      </c>
    </row>
    <row r="1263" spans="1:20">
      <c r="A1263" s="71" t="s">
        <v>619</v>
      </c>
      <c r="B1263" s="71" t="s">
        <v>1006</v>
      </c>
      <c r="C1263" s="71">
        <v>969.39899999999989</v>
      </c>
      <c r="D1263" s="71">
        <v>5.8999999999999997E-2</v>
      </c>
      <c r="E1263" s="71">
        <v>0</v>
      </c>
      <c r="F1263" s="71">
        <v>1.1779999999999999</v>
      </c>
      <c r="G1263" s="71">
        <v>41.445999999999998</v>
      </c>
      <c r="H1263" s="71">
        <v>1.2329999999999999</v>
      </c>
      <c r="I1263" s="71">
        <v>0</v>
      </c>
      <c r="J1263" s="71">
        <v>7.0029999999999992</v>
      </c>
      <c r="K1263" s="71">
        <v>0</v>
      </c>
      <c r="L1263" s="71">
        <v>0</v>
      </c>
      <c r="M1263" s="71">
        <v>3.12</v>
      </c>
      <c r="N1263" s="71">
        <v>0</v>
      </c>
      <c r="O1263" s="71">
        <v>0</v>
      </c>
      <c r="P1263" s="71">
        <v>21.026</v>
      </c>
      <c r="Q1263" s="71">
        <v>36.201999999999998</v>
      </c>
      <c r="R1263" s="71">
        <v>464.3</v>
      </c>
      <c r="S1263" s="71">
        <v>31.412999999999997</v>
      </c>
      <c r="T1263" s="71">
        <v>48.46994999999999</v>
      </c>
    </row>
    <row r="1264" spans="1:20">
      <c r="A1264" s="71" t="s">
        <v>1328</v>
      </c>
      <c r="B1264" s="71" t="s">
        <v>1007</v>
      </c>
      <c r="C1264" s="71">
        <v>2121.335</v>
      </c>
      <c r="D1264" s="71">
        <v>4.4999999999999998E-2</v>
      </c>
      <c r="E1264" s="71">
        <v>0</v>
      </c>
      <c r="F1264" s="71">
        <v>3.1109999999999998</v>
      </c>
      <c r="G1264" s="71">
        <v>74.790000000000006</v>
      </c>
      <c r="H1264" s="71">
        <v>10.37</v>
      </c>
      <c r="I1264" s="71">
        <v>0</v>
      </c>
      <c r="J1264" s="71">
        <v>5.8119999999999994</v>
      </c>
      <c r="K1264" s="71">
        <v>0</v>
      </c>
      <c r="L1264" s="71">
        <v>0</v>
      </c>
      <c r="M1264" s="71">
        <v>4.0419999999999998</v>
      </c>
      <c r="N1264" s="71">
        <v>0</v>
      </c>
      <c r="O1264" s="71">
        <v>2.2689999999999997</v>
      </c>
      <c r="P1264" s="71">
        <v>10.59</v>
      </c>
      <c r="Q1264" s="71">
        <v>82.206999999999994</v>
      </c>
      <c r="R1264" s="71">
        <v>1025.5</v>
      </c>
      <c r="S1264" s="71">
        <v>252.113</v>
      </c>
      <c r="T1264" s="71">
        <v>90</v>
      </c>
    </row>
    <row r="1265" spans="1:20">
      <c r="A1265" s="71" t="s">
        <v>6708</v>
      </c>
      <c r="B1265" s="71" t="s">
        <v>1008</v>
      </c>
      <c r="C1265" s="71">
        <v>630.95099999999991</v>
      </c>
      <c r="D1265" s="71">
        <v>0.13099999999999998</v>
      </c>
      <c r="E1265" s="71">
        <v>0</v>
      </c>
      <c r="F1265" s="71">
        <v>0.98899999999999999</v>
      </c>
      <c r="G1265" s="71">
        <v>27.916999999999998</v>
      </c>
      <c r="H1265" s="71">
        <v>0.44599999999999995</v>
      </c>
      <c r="I1265" s="71">
        <v>0</v>
      </c>
      <c r="J1265" s="71">
        <v>3.6589999999999998</v>
      </c>
      <c r="K1265" s="71">
        <v>0</v>
      </c>
      <c r="L1265" s="71">
        <v>0</v>
      </c>
      <c r="M1265" s="71">
        <v>2.7909999999999999</v>
      </c>
      <c r="N1265" s="71">
        <v>0.55099999999999993</v>
      </c>
      <c r="O1265" s="71">
        <v>0</v>
      </c>
      <c r="P1265" s="71">
        <v>3.3779999999999997</v>
      </c>
      <c r="Q1265" s="71">
        <v>32.909999999999997</v>
      </c>
      <c r="R1265" s="71">
        <v>335.2</v>
      </c>
      <c r="S1265" s="71">
        <v>34.438999999999993</v>
      </c>
      <c r="T1265" s="71">
        <v>31.547549999999998</v>
      </c>
    </row>
    <row r="1266" spans="1:20">
      <c r="A1266" s="71" t="s">
        <v>6710</v>
      </c>
      <c r="B1266" s="71" t="s">
        <v>1009</v>
      </c>
      <c r="C1266" s="71">
        <v>2693.03</v>
      </c>
      <c r="D1266" s="71">
        <v>0.46500000000000002</v>
      </c>
      <c r="E1266" s="71">
        <v>0</v>
      </c>
      <c r="F1266" s="71">
        <v>3.9369999999999998</v>
      </c>
      <c r="G1266" s="71">
        <v>117.03899999999999</v>
      </c>
      <c r="H1266" s="71">
        <v>21.646999999999998</v>
      </c>
      <c r="I1266" s="71">
        <v>0</v>
      </c>
      <c r="J1266" s="71">
        <v>0</v>
      </c>
      <c r="K1266" s="71">
        <v>0</v>
      </c>
      <c r="L1266" s="71">
        <v>0</v>
      </c>
      <c r="M1266" s="71">
        <v>0.82899999999999996</v>
      </c>
      <c r="N1266" s="71">
        <v>0.36299999999999999</v>
      </c>
      <c r="O1266" s="71">
        <v>3.8359999999999999</v>
      </c>
      <c r="P1266" s="71">
        <v>7.1829999999999998</v>
      </c>
      <c r="Q1266" s="71">
        <v>141.84199999999998</v>
      </c>
      <c r="R1266" s="71">
        <v>1035.3</v>
      </c>
      <c r="S1266" s="71">
        <v>347.88599999999997</v>
      </c>
      <c r="T1266" s="71">
        <v>134.65149999999997</v>
      </c>
    </row>
    <row r="1267" spans="1:20">
      <c r="A1267" s="71" t="s">
        <v>6192</v>
      </c>
      <c r="B1267" s="71" t="s">
        <v>3630</v>
      </c>
      <c r="C1267" s="71">
        <v>937.37699999999995</v>
      </c>
      <c r="D1267" s="71">
        <v>2.3999999999999997E-2</v>
      </c>
      <c r="E1267" s="71">
        <v>0</v>
      </c>
      <c r="F1267" s="71">
        <v>1.69</v>
      </c>
      <c r="G1267" s="71">
        <v>47.018999999999998</v>
      </c>
      <c r="H1267" s="71">
        <v>2.5629999999999997</v>
      </c>
      <c r="I1267" s="71">
        <v>0</v>
      </c>
      <c r="J1267" s="71">
        <v>5.7229999999999999</v>
      </c>
      <c r="K1267" s="71">
        <v>0</v>
      </c>
      <c r="L1267" s="71">
        <v>0</v>
      </c>
      <c r="M1267" s="71">
        <v>3.8579999999999997</v>
      </c>
      <c r="N1267" s="71">
        <v>0</v>
      </c>
      <c r="O1267" s="71">
        <v>0</v>
      </c>
      <c r="P1267" s="71">
        <v>12.188999999999998</v>
      </c>
      <c r="Q1267" s="71">
        <v>54.447999999999993</v>
      </c>
      <c r="R1267" s="71">
        <v>269.2</v>
      </c>
      <c r="S1267" s="71">
        <v>10.494999999999999</v>
      </c>
      <c r="T1267" s="71">
        <v>46.868849999999995</v>
      </c>
    </row>
    <row r="1268" spans="1:20">
      <c r="A1268" s="71" t="s">
        <v>2400</v>
      </c>
      <c r="B1268" s="71" t="s">
        <v>2342</v>
      </c>
      <c r="C1268" s="71">
        <v>245.55399999999997</v>
      </c>
      <c r="D1268" s="71">
        <v>0</v>
      </c>
      <c r="E1268" s="71">
        <v>0</v>
      </c>
      <c r="F1268" s="71">
        <v>0.54699999999999993</v>
      </c>
      <c r="G1268" s="71">
        <v>17.107999999999997</v>
      </c>
      <c r="H1268" s="71">
        <v>0.5139999999999999</v>
      </c>
      <c r="I1268" s="71">
        <v>0</v>
      </c>
      <c r="J1268" s="71">
        <v>0.77500000000000002</v>
      </c>
      <c r="K1268" s="71">
        <v>0</v>
      </c>
      <c r="L1268" s="71">
        <v>0</v>
      </c>
      <c r="M1268" s="71">
        <v>1.6789999999999998</v>
      </c>
      <c r="N1268" s="71">
        <v>0</v>
      </c>
      <c r="O1268" s="71">
        <v>0</v>
      </c>
      <c r="P1268" s="71">
        <v>0</v>
      </c>
      <c r="Q1268" s="71">
        <v>18.977999999999998</v>
      </c>
      <c r="R1268" s="71">
        <v>106.8</v>
      </c>
      <c r="S1268" s="71">
        <v>7.5779999999999994</v>
      </c>
      <c r="T1268" s="71">
        <v>12.277699999999999</v>
      </c>
    </row>
    <row r="1269" spans="1:20">
      <c r="A1269" s="71" t="s">
        <v>6712</v>
      </c>
      <c r="B1269" s="71" t="s">
        <v>1010</v>
      </c>
      <c r="C1269" s="71">
        <v>684.75</v>
      </c>
      <c r="D1269" s="71">
        <v>0.16699999999999998</v>
      </c>
      <c r="E1269" s="71">
        <v>0</v>
      </c>
      <c r="F1269" s="71">
        <v>1.2229999999999999</v>
      </c>
      <c r="G1269" s="71">
        <v>29.728999999999999</v>
      </c>
      <c r="H1269" s="71">
        <v>1.1629999999999998</v>
      </c>
      <c r="I1269" s="71">
        <v>0</v>
      </c>
      <c r="J1269" s="71">
        <v>6.5509999999999993</v>
      </c>
      <c r="K1269" s="71">
        <v>0</v>
      </c>
      <c r="L1269" s="71">
        <v>0.997</v>
      </c>
      <c r="M1269" s="71">
        <v>1.341</v>
      </c>
      <c r="N1269" s="71">
        <v>0.63099999999999989</v>
      </c>
      <c r="O1269" s="71">
        <v>0.58099999999999996</v>
      </c>
      <c r="P1269" s="71">
        <v>26.302</v>
      </c>
      <c r="Q1269" s="71">
        <v>40.757999999999996</v>
      </c>
      <c r="R1269" s="71">
        <v>370.5</v>
      </c>
      <c r="S1269" s="71">
        <v>1.7989999999999999</v>
      </c>
      <c r="T1269" s="71">
        <v>30</v>
      </c>
    </row>
    <row r="1270" spans="1:20">
      <c r="A1270" s="71" t="s">
        <v>6714</v>
      </c>
      <c r="B1270" s="71" t="s">
        <v>1011</v>
      </c>
      <c r="C1270" s="71">
        <v>1501.193</v>
      </c>
      <c r="D1270" s="71">
        <v>0.16699999999999998</v>
      </c>
      <c r="E1270" s="71">
        <v>0.74099999999999999</v>
      </c>
      <c r="F1270" s="71">
        <v>2.1819999999999999</v>
      </c>
      <c r="G1270" s="71">
        <v>56.673999999999999</v>
      </c>
      <c r="H1270" s="71">
        <v>1.22</v>
      </c>
      <c r="I1270" s="71">
        <v>0</v>
      </c>
      <c r="J1270" s="71">
        <v>8.9879999999999995</v>
      </c>
      <c r="K1270" s="71">
        <v>0</v>
      </c>
      <c r="L1270" s="71">
        <v>0</v>
      </c>
      <c r="M1270" s="71">
        <v>0</v>
      </c>
      <c r="N1270" s="71">
        <v>0.21099999999999999</v>
      </c>
      <c r="O1270" s="71">
        <v>0.6369999999999999</v>
      </c>
      <c r="P1270" s="71">
        <v>42.940999999999995</v>
      </c>
      <c r="Q1270" s="71">
        <v>72.005999999999986</v>
      </c>
      <c r="R1270" s="71">
        <v>975.8</v>
      </c>
      <c r="S1270" s="71">
        <v>107.66799999999999</v>
      </c>
      <c r="T1270" s="71">
        <v>75.059649999999991</v>
      </c>
    </row>
    <row r="1271" spans="1:20">
      <c r="A1271" s="71" t="s">
        <v>6716</v>
      </c>
      <c r="B1271" s="71" t="s">
        <v>1012</v>
      </c>
      <c r="C1271" s="71">
        <v>1065.33</v>
      </c>
      <c r="D1271" s="71">
        <v>0</v>
      </c>
      <c r="E1271" s="71">
        <v>0</v>
      </c>
      <c r="F1271" s="71">
        <v>1.6759999999999999</v>
      </c>
      <c r="G1271" s="71">
        <v>32.247</v>
      </c>
      <c r="H1271" s="71">
        <v>0.60099999999999998</v>
      </c>
      <c r="I1271" s="71">
        <v>0</v>
      </c>
      <c r="J1271" s="71">
        <v>7.4339999999999993</v>
      </c>
      <c r="K1271" s="71">
        <v>0</v>
      </c>
      <c r="L1271" s="71">
        <v>0</v>
      </c>
      <c r="M1271" s="71">
        <v>0.48899999999999999</v>
      </c>
      <c r="N1271" s="71">
        <v>0.22099999999999997</v>
      </c>
      <c r="O1271" s="71">
        <v>0</v>
      </c>
      <c r="P1271" s="71">
        <v>50.525999999999996</v>
      </c>
      <c r="Q1271" s="71">
        <v>65.635999999999996</v>
      </c>
      <c r="R1271" s="71">
        <v>594.70000000000005</v>
      </c>
      <c r="S1271" s="71">
        <v>65.500999999999991</v>
      </c>
      <c r="T1271" s="71">
        <v>43</v>
      </c>
    </row>
    <row r="1272" spans="1:20">
      <c r="A1272" s="71" t="s">
        <v>6718</v>
      </c>
      <c r="B1272" s="71" t="s">
        <v>1013</v>
      </c>
      <c r="C1272" s="71">
        <v>372.70899999999995</v>
      </c>
      <c r="D1272" s="71">
        <v>0.11399999999999999</v>
      </c>
      <c r="E1272" s="71">
        <v>0</v>
      </c>
      <c r="F1272" s="71">
        <v>0.65699999999999992</v>
      </c>
      <c r="G1272" s="71">
        <v>8.0399999999999991</v>
      </c>
      <c r="H1272" s="71">
        <v>2.8819999999999997</v>
      </c>
      <c r="I1272" s="71">
        <v>0</v>
      </c>
      <c r="J1272" s="71">
        <v>1.1789999999999998</v>
      </c>
      <c r="K1272" s="71">
        <v>0</v>
      </c>
      <c r="L1272" s="71">
        <v>0</v>
      </c>
      <c r="M1272" s="71">
        <v>0</v>
      </c>
      <c r="N1272" s="71">
        <v>0</v>
      </c>
      <c r="O1272" s="71">
        <v>0.17299999999999999</v>
      </c>
      <c r="P1272" s="71">
        <v>10.88</v>
      </c>
      <c r="Q1272" s="71">
        <v>18.221999999999998</v>
      </c>
      <c r="R1272" s="71">
        <v>243.7</v>
      </c>
      <c r="S1272" s="71">
        <v>29.32</v>
      </c>
      <c r="T1272" s="71">
        <v>18.635000000000002</v>
      </c>
    </row>
    <row r="1273" spans="1:20">
      <c r="A1273" s="71" t="s">
        <v>2443</v>
      </c>
      <c r="B1273" s="71" t="s">
        <v>1014</v>
      </c>
      <c r="C1273" s="71">
        <v>769.077</v>
      </c>
      <c r="D1273" s="71">
        <v>0</v>
      </c>
      <c r="E1273" s="71">
        <v>0</v>
      </c>
      <c r="F1273" s="71">
        <v>1.0159999999999998</v>
      </c>
      <c r="G1273" s="71">
        <v>40.685000000000002</v>
      </c>
      <c r="H1273" s="71">
        <v>0.33799999999999997</v>
      </c>
      <c r="I1273" s="71">
        <v>0</v>
      </c>
      <c r="J1273" s="71">
        <v>2.7839999999999998</v>
      </c>
      <c r="K1273" s="71">
        <v>0</v>
      </c>
      <c r="L1273" s="71">
        <v>0</v>
      </c>
      <c r="M1273" s="71">
        <v>0.47299999999999998</v>
      </c>
      <c r="N1273" s="71">
        <v>0.53399999999999992</v>
      </c>
      <c r="O1273" s="71">
        <v>0.24199999999999999</v>
      </c>
      <c r="P1273" s="71">
        <v>24.096999999999998</v>
      </c>
      <c r="Q1273" s="71">
        <v>29.722999999999999</v>
      </c>
      <c r="R1273" s="71">
        <v>465.3</v>
      </c>
      <c r="S1273" s="71">
        <v>28.787999999999997</v>
      </c>
      <c r="T1273" s="71">
        <v>38.453849999999996</v>
      </c>
    </row>
    <row r="1274" spans="1:20">
      <c r="A1274" s="71" t="s">
        <v>2445</v>
      </c>
      <c r="B1274" s="71" t="s">
        <v>1015</v>
      </c>
      <c r="C1274" s="71">
        <v>1290.6289999999999</v>
      </c>
      <c r="D1274" s="71">
        <v>0.14399999999999999</v>
      </c>
      <c r="E1274" s="71">
        <v>0</v>
      </c>
      <c r="F1274" s="71">
        <v>2.3569999999999998</v>
      </c>
      <c r="G1274" s="71">
        <v>56.916999999999994</v>
      </c>
      <c r="H1274" s="71">
        <v>0.875</v>
      </c>
      <c r="I1274" s="71">
        <v>0</v>
      </c>
      <c r="J1274" s="71">
        <v>9.552999999999999</v>
      </c>
      <c r="K1274" s="71">
        <v>0</v>
      </c>
      <c r="L1274" s="71">
        <v>0</v>
      </c>
      <c r="M1274" s="71">
        <v>0.22099999999999997</v>
      </c>
      <c r="N1274" s="71">
        <v>0.51500000000000001</v>
      </c>
      <c r="O1274" s="71">
        <v>0</v>
      </c>
      <c r="P1274" s="71">
        <v>30.351999999999997</v>
      </c>
      <c r="Q1274" s="71">
        <v>49.497999999999998</v>
      </c>
      <c r="R1274" s="71">
        <v>634.29999999999995</v>
      </c>
      <c r="S1274" s="71">
        <v>77.525999999999996</v>
      </c>
      <c r="T1274" s="71">
        <v>64.530999999999992</v>
      </c>
    </row>
    <row r="1275" spans="1:20">
      <c r="A1275" s="71" t="s">
        <v>2447</v>
      </c>
      <c r="B1275" s="71" t="s">
        <v>1016</v>
      </c>
      <c r="C1275" s="71">
        <v>1250.5429999999999</v>
      </c>
      <c r="D1275" s="71">
        <v>0</v>
      </c>
      <c r="E1275" s="71">
        <v>0</v>
      </c>
      <c r="F1275" s="71">
        <v>1.75</v>
      </c>
      <c r="G1275" s="71">
        <v>21.611999999999998</v>
      </c>
      <c r="H1275" s="71">
        <v>4.819</v>
      </c>
      <c r="I1275" s="71">
        <v>0</v>
      </c>
      <c r="J1275" s="71">
        <v>0</v>
      </c>
      <c r="K1275" s="71">
        <v>0</v>
      </c>
      <c r="L1275" s="71">
        <v>0</v>
      </c>
      <c r="M1275" s="71">
        <v>0</v>
      </c>
      <c r="N1275" s="71">
        <v>0.47199999999999998</v>
      </c>
      <c r="O1275" s="71">
        <v>0</v>
      </c>
      <c r="P1275" s="71">
        <v>42.704999999999998</v>
      </c>
      <c r="Q1275" s="71">
        <v>72.956999999999994</v>
      </c>
      <c r="R1275" s="71">
        <v>870</v>
      </c>
      <c r="S1275" s="71">
        <v>149.09599999999998</v>
      </c>
      <c r="T1275" s="71">
        <v>62.526999999999994</v>
      </c>
    </row>
    <row r="1276" spans="1:20">
      <c r="A1276" s="71" t="s">
        <v>905</v>
      </c>
      <c r="B1276" s="71" t="s">
        <v>1017</v>
      </c>
      <c r="C1276" s="71">
        <v>442.58699999999999</v>
      </c>
      <c r="D1276" s="71">
        <v>0</v>
      </c>
      <c r="E1276" s="71">
        <v>0</v>
      </c>
      <c r="F1276" s="71">
        <v>0.53599999999999992</v>
      </c>
      <c r="G1276" s="71">
        <v>3.8849999999999998</v>
      </c>
      <c r="H1276" s="71">
        <v>2.6829999999999998</v>
      </c>
      <c r="I1276" s="71">
        <v>0</v>
      </c>
      <c r="J1276" s="71">
        <v>0.17199999999999999</v>
      </c>
      <c r="K1276" s="71">
        <v>0</v>
      </c>
      <c r="L1276" s="71">
        <v>0</v>
      </c>
      <c r="M1276" s="71">
        <v>0</v>
      </c>
      <c r="N1276" s="71">
        <v>0</v>
      </c>
      <c r="O1276" s="71">
        <v>0</v>
      </c>
      <c r="P1276" s="71">
        <v>36.280999999999999</v>
      </c>
      <c r="Q1276" s="71">
        <v>18.408999999999999</v>
      </c>
      <c r="R1276" s="71">
        <v>349.8</v>
      </c>
      <c r="S1276" s="71">
        <v>86.168999999999997</v>
      </c>
      <c r="T1276" s="71">
        <v>22.128999999999998</v>
      </c>
    </row>
    <row r="1277" spans="1:20">
      <c r="A1277" s="71" t="s">
        <v>1854</v>
      </c>
      <c r="B1277" s="71" t="s">
        <v>4965</v>
      </c>
      <c r="C1277" s="71">
        <v>2257.6339999999996</v>
      </c>
      <c r="D1277" s="71">
        <v>5.5999999999999994E-2</v>
      </c>
      <c r="E1277" s="71">
        <v>0</v>
      </c>
      <c r="F1277" s="71">
        <v>2.7079999999999997</v>
      </c>
      <c r="G1277" s="71">
        <v>71.891999999999996</v>
      </c>
      <c r="H1277" s="71">
        <v>18.038999999999998</v>
      </c>
      <c r="I1277" s="71">
        <v>0</v>
      </c>
      <c r="J1277" s="71">
        <v>0</v>
      </c>
      <c r="K1277" s="71">
        <v>0</v>
      </c>
      <c r="L1277" s="71">
        <v>0</v>
      </c>
      <c r="M1277" s="71">
        <v>15.757999999999999</v>
      </c>
      <c r="N1277" s="71">
        <v>0.69399999999999995</v>
      </c>
      <c r="O1277" s="71">
        <v>1.7659999999999998</v>
      </c>
      <c r="P1277" s="71">
        <v>56.787999999999997</v>
      </c>
      <c r="Q1277" s="71">
        <v>102.57199999999999</v>
      </c>
      <c r="R1277" s="71">
        <v>1068.8</v>
      </c>
      <c r="S1277" s="71">
        <v>117.33799999999999</v>
      </c>
      <c r="T1277" s="71">
        <v>112.8817</v>
      </c>
    </row>
    <row r="1278" spans="1:20">
      <c r="A1278" s="71" t="s">
        <v>907</v>
      </c>
      <c r="B1278" s="71" t="s">
        <v>1018</v>
      </c>
      <c r="C1278" s="71">
        <v>169.154</v>
      </c>
      <c r="D1278" s="71">
        <v>1.7999999999999999E-2</v>
      </c>
      <c r="E1278" s="71">
        <v>0</v>
      </c>
      <c r="F1278" s="71">
        <v>0.24</v>
      </c>
      <c r="G1278" s="71">
        <v>4.0759999999999996</v>
      </c>
      <c r="H1278" s="71">
        <v>4.7329999999999997</v>
      </c>
      <c r="I1278" s="71">
        <v>0</v>
      </c>
      <c r="J1278" s="71">
        <v>0</v>
      </c>
      <c r="K1278" s="71">
        <v>0</v>
      </c>
      <c r="L1278" s="71">
        <v>0</v>
      </c>
      <c r="M1278" s="71">
        <v>0</v>
      </c>
      <c r="N1278" s="71">
        <v>0</v>
      </c>
      <c r="O1278" s="71">
        <v>0</v>
      </c>
      <c r="P1278" s="71">
        <v>1.68</v>
      </c>
      <c r="Q1278" s="71">
        <v>11.98</v>
      </c>
      <c r="R1278" s="71">
        <v>123.8</v>
      </c>
      <c r="S1278" s="71">
        <v>2.0619999999999998</v>
      </c>
      <c r="T1278" s="71">
        <v>8.4576999999999991</v>
      </c>
    </row>
    <row r="1279" spans="1:20">
      <c r="A1279" s="71" t="s">
        <v>6146</v>
      </c>
      <c r="B1279" s="71" t="s">
        <v>3835</v>
      </c>
      <c r="C1279" s="71">
        <v>735.327</v>
      </c>
      <c r="D1279" s="71">
        <v>2.7E-2</v>
      </c>
      <c r="E1279" s="71">
        <v>0</v>
      </c>
      <c r="F1279" s="71">
        <v>1.39</v>
      </c>
      <c r="G1279" s="71">
        <v>26.315999999999999</v>
      </c>
      <c r="H1279" s="71">
        <v>8.5609999999999999</v>
      </c>
      <c r="I1279" s="71">
        <v>0</v>
      </c>
      <c r="J1279" s="71">
        <v>0</v>
      </c>
      <c r="K1279" s="71">
        <v>0</v>
      </c>
      <c r="L1279" s="71">
        <v>0</v>
      </c>
      <c r="M1279" s="71">
        <v>2.1739999999999999</v>
      </c>
      <c r="N1279" s="71">
        <v>0.68799999999999994</v>
      </c>
      <c r="O1279" s="71">
        <v>0</v>
      </c>
      <c r="P1279" s="71">
        <v>19.638999999999999</v>
      </c>
      <c r="Q1279" s="71">
        <v>41.730999999999995</v>
      </c>
      <c r="R1279" s="71">
        <v>453.5</v>
      </c>
      <c r="S1279" s="71">
        <v>33.846999999999994</v>
      </c>
      <c r="T1279" s="71">
        <v>36.765999999999998</v>
      </c>
    </row>
    <row r="1280" spans="1:20">
      <c r="A1280" s="71" t="s">
        <v>909</v>
      </c>
      <c r="B1280" s="71" t="s">
        <v>1019</v>
      </c>
      <c r="C1280" s="71">
        <v>2932.5009999999997</v>
      </c>
      <c r="D1280" s="71">
        <v>0.38199999999999995</v>
      </c>
      <c r="E1280" s="71">
        <v>0</v>
      </c>
      <c r="F1280" s="71">
        <v>2.99</v>
      </c>
      <c r="G1280" s="71">
        <v>83.356999999999999</v>
      </c>
      <c r="H1280" s="71">
        <v>22.03</v>
      </c>
      <c r="I1280" s="71">
        <v>0</v>
      </c>
      <c r="J1280" s="71">
        <v>0</v>
      </c>
      <c r="K1280" s="71">
        <v>0</v>
      </c>
      <c r="L1280" s="71">
        <v>0</v>
      </c>
      <c r="M1280" s="71">
        <v>0</v>
      </c>
      <c r="N1280" s="71">
        <v>0.40099999999999997</v>
      </c>
      <c r="O1280" s="71">
        <v>0</v>
      </c>
      <c r="P1280" s="71">
        <v>27.598999999999997</v>
      </c>
      <c r="Q1280" s="71">
        <v>175.17099999999999</v>
      </c>
      <c r="R1280" s="71">
        <v>2562.1</v>
      </c>
      <c r="S1280" s="71">
        <v>972.04799999999989</v>
      </c>
      <c r="T1280" s="71">
        <v>146.625</v>
      </c>
    </row>
    <row r="1281" spans="1:20">
      <c r="A1281" s="71" t="s">
        <v>247</v>
      </c>
      <c r="B1281" s="71" t="s">
        <v>989</v>
      </c>
      <c r="C1281" s="71">
        <v>1867.7939999999999</v>
      </c>
      <c r="D1281" s="71">
        <v>0.16699999999999998</v>
      </c>
      <c r="E1281" s="71">
        <v>0</v>
      </c>
      <c r="F1281" s="71">
        <v>3.5489999999999999</v>
      </c>
      <c r="G1281" s="71">
        <v>52.36</v>
      </c>
      <c r="H1281" s="71">
        <v>6.4279999999999999</v>
      </c>
      <c r="I1281" s="71">
        <v>0</v>
      </c>
      <c r="J1281" s="71">
        <v>0</v>
      </c>
      <c r="K1281" s="71">
        <v>0</v>
      </c>
      <c r="L1281" s="71">
        <v>0</v>
      </c>
      <c r="M1281" s="71">
        <v>0</v>
      </c>
      <c r="N1281" s="71">
        <v>1.1399999999999999</v>
      </c>
      <c r="O1281" s="71">
        <v>0</v>
      </c>
      <c r="P1281" s="71">
        <v>8.8139999999999983</v>
      </c>
      <c r="Q1281" s="71">
        <v>94.700999999999993</v>
      </c>
      <c r="R1281" s="71">
        <v>2011</v>
      </c>
      <c r="S1281" s="71">
        <v>284.26099999999997</v>
      </c>
      <c r="T1281" s="71">
        <v>93.389699999999991</v>
      </c>
    </row>
    <row r="1282" spans="1:20">
      <c r="A1282" s="71" t="s">
        <v>1527</v>
      </c>
      <c r="B1282" s="71" t="s">
        <v>2154</v>
      </c>
      <c r="C1282" s="71">
        <v>459.84899999999999</v>
      </c>
      <c r="D1282" s="71">
        <v>0</v>
      </c>
      <c r="E1282" s="71">
        <v>0</v>
      </c>
      <c r="F1282" s="71">
        <v>0.72199999999999998</v>
      </c>
      <c r="G1282" s="71">
        <v>20.335000000000001</v>
      </c>
      <c r="H1282" s="71">
        <v>1.712</v>
      </c>
      <c r="I1282" s="71">
        <v>0</v>
      </c>
      <c r="J1282" s="71">
        <v>0</v>
      </c>
      <c r="K1282" s="71">
        <v>0</v>
      </c>
      <c r="L1282" s="71">
        <v>0</v>
      </c>
      <c r="M1282" s="71">
        <v>0</v>
      </c>
      <c r="N1282" s="71">
        <v>8.7999999999999995E-2</v>
      </c>
      <c r="O1282" s="71">
        <v>0</v>
      </c>
      <c r="P1282" s="71">
        <v>0.9</v>
      </c>
      <c r="Q1282" s="71">
        <v>15.675999999999998</v>
      </c>
      <c r="R1282" s="71">
        <v>441.3</v>
      </c>
      <c r="S1282" s="71">
        <v>64.453999999999994</v>
      </c>
      <c r="T1282" s="71">
        <v>22.991999999999997</v>
      </c>
    </row>
  </sheetData>
  <phoneticPr fontId="33" type="noConversion"/>
  <pageMargins left="0.75" right="0.75" top="1" bottom="1" header="0.5" footer="0.5"/>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34"/>
  <dimension ref="A1:F4"/>
  <sheetViews>
    <sheetView workbookViewId="0"/>
  </sheetViews>
  <sheetFormatPr defaultRowHeight="13.2"/>
  <cols>
    <col min="2" max="2" width="28.5546875" customWidth="1"/>
    <col min="5" max="5" width="16.21875" customWidth="1"/>
    <col min="6" max="6" width="16" customWidth="1"/>
  </cols>
  <sheetData>
    <row r="1" spans="1:6">
      <c r="A1" s="365" t="s">
        <v>3887</v>
      </c>
      <c r="B1" s="366" t="s">
        <v>1844</v>
      </c>
      <c r="C1" s="367" t="s">
        <v>1980</v>
      </c>
      <c r="D1" s="368" t="s">
        <v>3902</v>
      </c>
      <c r="E1" s="369">
        <v>2000460</v>
      </c>
      <c r="F1" s="370">
        <v>1311934</v>
      </c>
    </row>
    <row r="2" spans="1:6">
      <c r="A2" s="365" t="s">
        <v>1520</v>
      </c>
      <c r="B2" s="366" t="s">
        <v>1926</v>
      </c>
      <c r="C2" s="367" t="s">
        <v>1980</v>
      </c>
      <c r="D2" s="368" t="s">
        <v>3902</v>
      </c>
      <c r="E2" s="369">
        <v>3107457</v>
      </c>
      <c r="F2" s="370">
        <v>3078300</v>
      </c>
    </row>
    <row r="3" spans="1:6">
      <c r="A3" s="365" t="s">
        <v>2987</v>
      </c>
      <c r="B3" s="366" t="s">
        <v>187</v>
      </c>
      <c r="C3" s="367" t="s">
        <v>219</v>
      </c>
      <c r="D3" s="368" t="s">
        <v>4940</v>
      </c>
      <c r="E3" s="369">
        <v>1646500</v>
      </c>
      <c r="F3" s="370">
        <v>1642400</v>
      </c>
    </row>
    <row r="4" spans="1:6">
      <c r="A4" s="365" t="s">
        <v>2404</v>
      </c>
      <c r="B4" s="366" t="s">
        <v>2348</v>
      </c>
      <c r="C4" s="367" t="s">
        <v>1980</v>
      </c>
      <c r="D4" s="368" t="s">
        <v>3902</v>
      </c>
      <c r="E4" s="369">
        <v>1121000</v>
      </c>
      <c r="F4" s="370">
        <v>1127200</v>
      </c>
    </row>
  </sheetData>
  <phoneticPr fontId="33" type="noConversion"/>
  <pageMargins left="0.75" right="0.75" top="1" bottom="1" header="0.5" footer="0.5"/>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5"/>
  <dimension ref="A1:F3"/>
  <sheetViews>
    <sheetView workbookViewId="0"/>
  </sheetViews>
  <sheetFormatPr defaultRowHeight="13.2"/>
  <cols>
    <col min="2" max="2" width="24.44140625" customWidth="1"/>
    <col min="5" max="5" width="15.5546875" customWidth="1"/>
    <col min="6" max="6" width="17" customWidth="1"/>
  </cols>
  <sheetData>
    <row r="1" spans="1:6">
      <c r="A1" s="365" t="s">
        <v>3887</v>
      </c>
      <c r="B1" s="366" t="s">
        <v>1844</v>
      </c>
      <c r="C1" s="367" t="s">
        <v>1980</v>
      </c>
      <c r="D1" s="368" t="s">
        <v>3902</v>
      </c>
      <c r="E1" s="369">
        <v>2380440</v>
      </c>
      <c r="F1" s="370">
        <v>2165340</v>
      </c>
    </row>
    <row r="2" spans="1:6">
      <c r="A2" s="365" t="s">
        <v>2987</v>
      </c>
      <c r="B2" s="366" t="s">
        <v>187</v>
      </c>
      <c r="C2" s="367" t="s">
        <v>219</v>
      </c>
      <c r="D2" s="368" t="s">
        <v>4940</v>
      </c>
      <c r="E2" s="369">
        <v>434993</v>
      </c>
      <c r="F2" s="370">
        <v>433240</v>
      </c>
    </row>
    <row r="3" spans="1:6">
      <c r="A3" s="365" t="s">
        <v>2404</v>
      </c>
      <c r="B3" s="366" t="s">
        <v>2348</v>
      </c>
      <c r="C3" s="367" t="s">
        <v>1980</v>
      </c>
      <c r="D3" s="368" t="s">
        <v>3902</v>
      </c>
      <c r="E3" s="369">
        <v>1207669</v>
      </c>
      <c r="F3" s="370">
        <v>1206837.5</v>
      </c>
    </row>
  </sheetData>
  <phoneticPr fontId="33" type="noConversion"/>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6"/>
  <dimension ref="A1:F2"/>
  <sheetViews>
    <sheetView workbookViewId="0">
      <selection sqref="A1:F2"/>
    </sheetView>
  </sheetViews>
  <sheetFormatPr defaultRowHeight="13.2"/>
  <cols>
    <col min="2" max="2" width="22.77734375" customWidth="1"/>
    <col min="5" max="5" width="15.5546875" customWidth="1"/>
    <col min="6" max="6" width="18.44140625" customWidth="1"/>
  </cols>
  <sheetData>
    <row r="1" spans="1:6">
      <c r="A1" s="365" t="s">
        <v>3887</v>
      </c>
      <c r="B1" s="366" t="s">
        <v>1844</v>
      </c>
      <c r="C1" s="367" t="s">
        <v>1980</v>
      </c>
      <c r="D1" s="368" t="s">
        <v>3902</v>
      </c>
      <c r="E1" s="369">
        <v>2566718</v>
      </c>
      <c r="F1" s="370">
        <v>2374005</v>
      </c>
    </row>
    <row r="2" spans="1:6">
      <c r="A2" s="365" t="s">
        <v>2987</v>
      </c>
      <c r="B2" s="366" t="s">
        <v>187</v>
      </c>
      <c r="C2" s="367" t="s">
        <v>219</v>
      </c>
      <c r="D2" s="368" t="s">
        <v>4940</v>
      </c>
      <c r="E2" s="369">
        <v>2084063</v>
      </c>
      <c r="F2" s="370">
        <v>2084063</v>
      </c>
    </row>
  </sheetData>
  <phoneticPr fontId="33" type="noConversion"/>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37">
    <pageSetUpPr fitToPage="1"/>
  </sheetPr>
  <dimension ref="A1:F6"/>
  <sheetViews>
    <sheetView workbookViewId="0">
      <selection activeCell="F3" sqref="F3"/>
    </sheetView>
  </sheetViews>
  <sheetFormatPr defaultRowHeight="13.2"/>
  <cols>
    <col min="1" max="1" width="47.77734375" customWidth="1"/>
    <col min="5" max="6" width="16.44140625" customWidth="1"/>
  </cols>
  <sheetData>
    <row r="1" spans="1:6" ht="15.6">
      <c r="A1" s="223" t="s">
        <v>2740</v>
      </c>
      <c r="B1" s="31"/>
      <c r="C1" s="31"/>
      <c r="D1" s="31"/>
      <c r="E1" s="224"/>
    </row>
    <row r="3" spans="1:6" ht="15.6">
      <c r="A3" s="48" t="s">
        <v>3765</v>
      </c>
      <c r="E3" s="190" t="s">
        <v>1849</v>
      </c>
      <c r="F3" s="317" t="s">
        <v>1850</v>
      </c>
    </row>
    <row r="4" spans="1:6">
      <c r="A4" t="s">
        <v>3766</v>
      </c>
      <c r="E4" s="345">
        <f>IF('Data Entry - SOF'!F103=0,0,'Calc Data'!D31/'Data Entry - SOF'!F103)</f>
        <v>0</v>
      </c>
      <c r="F4" s="350">
        <f>IF('Data Entry - SOF'!H103=0,0,'Calc Data'!E31/'Data Entry - SOF'!H103)</f>
        <v>0</v>
      </c>
    </row>
    <row r="5" spans="1:6">
      <c r="A5" t="s">
        <v>938</v>
      </c>
      <c r="E5" s="345">
        <f>IF('Data Entry - SOF'!F104=0,0,'Data Entry - SOF'!F104*E4)</f>
        <v>0</v>
      </c>
      <c r="F5" s="350">
        <f>IF('Data Entry - SOF'!H104=0,0,'Data Entry - SOF'!H104*F4)</f>
        <v>0</v>
      </c>
    </row>
    <row r="6" spans="1:6" ht="15.6">
      <c r="A6" s="48" t="s">
        <v>1701</v>
      </c>
      <c r="E6" s="345" t="e">
        <f>'Calc Data'!D31-E5</f>
        <v>#N/A</v>
      </c>
      <c r="F6" s="350" t="e">
        <f>'Calc Data'!F31-'Ch41 Calc Data'!F5</f>
        <v>#N/A</v>
      </c>
    </row>
  </sheetData>
  <phoneticPr fontId="0" type="noConversion"/>
  <pageMargins left="0.25" right="0.25" top="0.5" bottom="0.5" header="0.5" footer="0.5"/>
  <pageSetup scale="96" orientation="portrait" r:id="rId1"/>
  <headerFooter alignWithMargins="0">
    <oddFooter>&amp;L&amp;G</oddFooter>
  </headerFooter>
  <legacyDrawingHF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38"/>
  <dimension ref="A1:E46"/>
  <sheetViews>
    <sheetView workbookViewId="0">
      <selection activeCell="E7" sqref="E7"/>
    </sheetView>
  </sheetViews>
  <sheetFormatPr defaultRowHeight="13.2"/>
  <cols>
    <col min="2" max="2" width="35.77734375" customWidth="1"/>
    <col min="3" max="3" width="18.21875" customWidth="1"/>
    <col min="4" max="4" width="18.5546875" customWidth="1"/>
    <col min="5" max="5" width="13.21875" customWidth="1"/>
  </cols>
  <sheetData>
    <row r="1" spans="1:5">
      <c r="A1" s="187" t="s">
        <v>2402</v>
      </c>
      <c r="B1" s="300" t="s">
        <v>2552</v>
      </c>
      <c r="C1" s="374">
        <v>466861</v>
      </c>
      <c r="D1" s="374">
        <v>98826</v>
      </c>
      <c r="E1" s="246">
        <v>103956</v>
      </c>
    </row>
    <row r="2" spans="1:5">
      <c r="A2" s="187" t="s">
        <v>2404</v>
      </c>
      <c r="B2" s="300" t="s">
        <v>2962</v>
      </c>
      <c r="C2" s="374">
        <v>1047760</v>
      </c>
      <c r="D2" s="374">
        <v>233904</v>
      </c>
      <c r="E2" s="246">
        <v>154420</v>
      </c>
    </row>
    <row r="3" spans="1:5">
      <c r="A3" s="187" t="s">
        <v>2474</v>
      </c>
      <c r="B3" s="300" t="s">
        <v>2467</v>
      </c>
      <c r="C3" s="374">
        <v>73650</v>
      </c>
      <c r="D3" s="374">
        <v>26350</v>
      </c>
      <c r="E3" s="246">
        <v>26349</v>
      </c>
    </row>
    <row r="4" spans="1:5">
      <c r="A4" s="187" t="s">
        <v>963</v>
      </c>
      <c r="B4" s="300" t="s">
        <v>964</v>
      </c>
      <c r="C4" s="374">
        <v>167895</v>
      </c>
      <c r="D4" s="374">
        <v>75855</v>
      </c>
      <c r="E4" s="246">
        <v>80211</v>
      </c>
    </row>
    <row r="5" spans="1:5">
      <c r="A5" s="187" t="s">
        <v>960</v>
      </c>
      <c r="B5" s="300" t="s">
        <v>1206</v>
      </c>
      <c r="C5" s="374">
        <v>604628</v>
      </c>
      <c r="D5" s="374">
        <v>941338</v>
      </c>
      <c r="E5" s="246">
        <v>923545</v>
      </c>
    </row>
    <row r="6" spans="1:5">
      <c r="A6" s="187" t="s">
        <v>954</v>
      </c>
      <c r="B6" s="300" t="s">
        <v>1200</v>
      </c>
      <c r="C6" s="374">
        <v>81295</v>
      </c>
      <c r="D6" s="374">
        <v>18258</v>
      </c>
      <c r="E6" s="246">
        <v>18259</v>
      </c>
    </row>
    <row r="7" spans="1:5">
      <c r="A7" s="187" t="s">
        <v>6037</v>
      </c>
      <c r="B7" s="300" t="s">
        <v>468</v>
      </c>
      <c r="C7" s="374">
        <v>755680</v>
      </c>
      <c r="D7" s="374">
        <v>179799</v>
      </c>
      <c r="E7" s="246">
        <v>0</v>
      </c>
    </row>
    <row r="8" spans="1:5">
      <c r="A8" s="187" t="s">
        <v>965</v>
      </c>
      <c r="B8" s="300" t="s">
        <v>966</v>
      </c>
      <c r="C8" s="374">
        <v>72997</v>
      </c>
      <c r="D8" s="374">
        <v>7009</v>
      </c>
      <c r="E8" s="246">
        <v>9261</v>
      </c>
    </row>
    <row r="9" spans="1:5">
      <c r="A9" s="187" t="s">
        <v>6180</v>
      </c>
      <c r="B9" s="300" t="s">
        <v>4991</v>
      </c>
      <c r="C9" s="374">
        <v>156853</v>
      </c>
      <c r="D9" s="374">
        <v>43547</v>
      </c>
      <c r="E9" s="246">
        <v>42126</v>
      </c>
    </row>
    <row r="10" spans="1:5">
      <c r="A10" s="187" t="s">
        <v>956</v>
      </c>
      <c r="B10" s="300" t="s">
        <v>1202</v>
      </c>
      <c r="C10" s="374">
        <v>61104</v>
      </c>
      <c r="D10" s="374">
        <v>33940</v>
      </c>
      <c r="E10" s="246">
        <v>39993</v>
      </c>
    </row>
    <row r="11" spans="1:5">
      <c r="A11" s="187" t="s">
        <v>250</v>
      </c>
      <c r="B11" s="300" t="s">
        <v>6139</v>
      </c>
      <c r="C11" s="374">
        <v>69187</v>
      </c>
      <c r="D11" s="374">
        <v>59869</v>
      </c>
      <c r="E11" s="246">
        <v>65180</v>
      </c>
    </row>
    <row r="12" spans="1:5">
      <c r="A12" s="187" t="s">
        <v>1865</v>
      </c>
      <c r="B12" s="300" t="s">
        <v>1996</v>
      </c>
      <c r="C12" s="374">
        <v>612512</v>
      </c>
      <c r="D12" s="374">
        <v>410216</v>
      </c>
      <c r="E12" s="246">
        <v>399651</v>
      </c>
    </row>
    <row r="13" spans="1:5">
      <c r="A13" s="187" t="s">
        <v>322</v>
      </c>
      <c r="B13" s="300" t="s">
        <v>323</v>
      </c>
      <c r="C13" s="374">
        <v>53411</v>
      </c>
      <c r="D13" s="374">
        <v>54665</v>
      </c>
      <c r="E13" s="246">
        <v>53049</v>
      </c>
    </row>
    <row r="14" spans="1:5">
      <c r="A14" s="187" t="s">
        <v>2388</v>
      </c>
      <c r="B14" s="300" t="s">
        <v>664</v>
      </c>
      <c r="C14" s="374">
        <v>1001267</v>
      </c>
      <c r="D14" s="374">
        <v>84941</v>
      </c>
      <c r="E14" s="246">
        <v>81639</v>
      </c>
    </row>
    <row r="15" spans="1:5">
      <c r="A15" s="187" t="s">
        <v>863</v>
      </c>
      <c r="B15" s="300" t="s">
        <v>1475</v>
      </c>
      <c r="C15" s="374">
        <v>2516975</v>
      </c>
      <c r="D15" s="374">
        <v>1023074</v>
      </c>
      <c r="E15" s="246">
        <v>1030083</v>
      </c>
    </row>
    <row r="16" spans="1:5">
      <c r="A16" s="187" t="s">
        <v>981</v>
      </c>
      <c r="B16" s="300" t="s">
        <v>752</v>
      </c>
      <c r="C16" s="374">
        <v>364752</v>
      </c>
      <c r="D16" s="374">
        <v>216341</v>
      </c>
      <c r="E16" s="246">
        <v>210687</v>
      </c>
    </row>
    <row r="17" spans="1:5">
      <c r="A17" s="187" t="s">
        <v>6162</v>
      </c>
      <c r="B17" s="300" t="s">
        <v>133</v>
      </c>
      <c r="C17" s="374">
        <v>262142</v>
      </c>
      <c r="D17" s="374">
        <v>121556</v>
      </c>
      <c r="E17" s="246">
        <v>139056</v>
      </c>
    </row>
    <row r="18" spans="1:5">
      <c r="A18" s="187" t="s">
        <v>967</v>
      </c>
      <c r="B18" s="300" t="s">
        <v>968</v>
      </c>
      <c r="C18" s="374">
        <v>92910</v>
      </c>
      <c r="D18" s="374">
        <v>7090</v>
      </c>
      <c r="E18" s="246">
        <v>7089</v>
      </c>
    </row>
    <row r="19" spans="1:5">
      <c r="A19" s="187" t="s">
        <v>3004</v>
      </c>
      <c r="B19" s="300" t="s">
        <v>132</v>
      </c>
      <c r="C19" s="374">
        <v>29328</v>
      </c>
      <c r="D19" s="374">
        <v>149172</v>
      </c>
      <c r="E19" s="246">
        <v>147616</v>
      </c>
    </row>
    <row r="20" spans="1:5">
      <c r="A20" s="187" t="s">
        <v>819</v>
      </c>
      <c r="B20" s="300" t="s">
        <v>5057</v>
      </c>
      <c r="C20" s="374">
        <v>911205</v>
      </c>
      <c r="D20" s="374">
        <v>821125</v>
      </c>
      <c r="E20" s="246">
        <v>831051</v>
      </c>
    </row>
    <row r="21" spans="1:5">
      <c r="A21" s="187" t="s">
        <v>4973</v>
      </c>
      <c r="B21" s="300" t="s">
        <v>2607</v>
      </c>
      <c r="C21" s="374">
        <v>80740</v>
      </c>
      <c r="D21" s="374">
        <v>19260</v>
      </c>
      <c r="E21" s="246">
        <v>18892</v>
      </c>
    </row>
    <row r="22" spans="1:5">
      <c r="A22" s="187" t="s">
        <v>1521</v>
      </c>
      <c r="B22" s="300" t="s">
        <v>3136</v>
      </c>
      <c r="C22" s="374">
        <v>2632511</v>
      </c>
      <c r="D22" s="374">
        <v>1334504</v>
      </c>
      <c r="E22" s="246">
        <v>1333949</v>
      </c>
    </row>
    <row r="23" spans="1:5">
      <c r="A23" s="187" t="s">
        <v>2608</v>
      </c>
      <c r="B23" s="300" t="s">
        <v>2609</v>
      </c>
      <c r="C23" s="374">
        <v>41212</v>
      </c>
      <c r="D23" s="374">
        <v>13208</v>
      </c>
      <c r="E23" s="246">
        <v>13208</v>
      </c>
    </row>
    <row r="24" spans="1:5">
      <c r="A24" s="187" t="s">
        <v>2610</v>
      </c>
      <c r="B24" s="300" t="s">
        <v>2611</v>
      </c>
      <c r="C24" s="374">
        <v>88342</v>
      </c>
      <c r="D24" s="374">
        <v>10818</v>
      </c>
      <c r="E24" s="246">
        <v>10822</v>
      </c>
    </row>
    <row r="25" spans="1:5">
      <c r="A25" s="187" t="s">
        <v>2612</v>
      </c>
      <c r="B25" s="300" t="s">
        <v>2613</v>
      </c>
      <c r="C25" s="374">
        <v>88260</v>
      </c>
      <c r="D25" s="374">
        <v>11740</v>
      </c>
      <c r="E25" s="246">
        <v>11741</v>
      </c>
    </row>
    <row r="26" spans="1:5">
      <c r="A26" s="187" t="s">
        <v>2616</v>
      </c>
      <c r="B26" s="300" t="s">
        <v>2617</v>
      </c>
      <c r="C26" s="374">
        <v>88416</v>
      </c>
      <c r="D26" s="374">
        <v>10362</v>
      </c>
      <c r="E26" s="246">
        <v>10365</v>
      </c>
    </row>
    <row r="27" spans="1:5">
      <c r="A27" s="187" t="s">
        <v>969</v>
      </c>
      <c r="B27" s="300" t="s">
        <v>970</v>
      </c>
      <c r="C27" s="374">
        <v>65848</v>
      </c>
      <c r="D27" s="374">
        <v>31445</v>
      </c>
      <c r="E27" s="246">
        <v>31449</v>
      </c>
    </row>
    <row r="28" spans="1:5">
      <c r="A28" s="187" t="s">
        <v>953</v>
      </c>
      <c r="B28" s="300" t="s">
        <v>1199</v>
      </c>
      <c r="C28" s="374">
        <v>63960</v>
      </c>
      <c r="D28" s="374">
        <v>29658</v>
      </c>
      <c r="E28" s="246">
        <v>33737</v>
      </c>
    </row>
    <row r="29" spans="1:5">
      <c r="A29" s="187" t="s">
        <v>739</v>
      </c>
      <c r="B29" s="300" t="s">
        <v>2661</v>
      </c>
      <c r="C29" s="374">
        <v>155232</v>
      </c>
      <c r="D29" s="374">
        <v>283401</v>
      </c>
      <c r="E29" s="246">
        <v>297665</v>
      </c>
    </row>
    <row r="30" spans="1:5">
      <c r="A30" s="187" t="s">
        <v>1855</v>
      </c>
      <c r="B30" s="300" t="s">
        <v>2973</v>
      </c>
      <c r="C30" s="374">
        <v>338726</v>
      </c>
      <c r="D30" s="374">
        <v>168577</v>
      </c>
      <c r="E30" s="246">
        <v>173356</v>
      </c>
    </row>
    <row r="31" spans="1:5">
      <c r="A31" s="187" t="s">
        <v>267</v>
      </c>
      <c r="B31" s="300" t="s">
        <v>5270</v>
      </c>
      <c r="C31" s="374">
        <v>66812</v>
      </c>
      <c r="D31" s="374">
        <v>26241</v>
      </c>
      <c r="E31" s="246">
        <v>28011</v>
      </c>
    </row>
    <row r="32" spans="1:5">
      <c r="A32" s="187" t="s">
        <v>1863</v>
      </c>
      <c r="B32" s="300" t="s">
        <v>596</v>
      </c>
      <c r="C32" s="374">
        <v>137885</v>
      </c>
      <c r="D32" s="374">
        <v>39118</v>
      </c>
      <c r="E32" s="246">
        <v>38505</v>
      </c>
    </row>
    <row r="33" spans="1:5">
      <c r="A33" s="187" t="s">
        <v>2395</v>
      </c>
      <c r="B33" s="300" t="s">
        <v>1817</v>
      </c>
      <c r="C33" s="374">
        <v>96480</v>
      </c>
      <c r="D33" s="374">
        <v>74100</v>
      </c>
      <c r="E33" s="246">
        <v>75511</v>
      </c>
    </row>
    <row r="34" spans="1:5">
      <c r="A34" s="187" t="s">
        <v>513</v>
      </c>
      <c r="B34" s="300" t="s">
        <v>5024</v>
      </c>
      <c r="C34" s="374">
        <v>172498</v>
      </c>
      <c r="D34" s="374">
        <v>109132</v>
      </c>
      <c r="E34" s="246">
        <v>109453</v>
      </c>
    </row>
    <row r="35" spans="1:5">
      <c r="A35" s="187" t="s">
        <v>2405</v>
      </c>
      <c r="B35" s="300" t="s">
        <v>2963</v>
      </c>
      <c r="C35" s="374">
        <v>486398</v>
      </c>
      <c r="D35" s="374">
        <v>118725</v>
      </c>
      <c r="E35" s="246">
        <v>121273</v>
      </c>
    </row>
    <row r="36" spans="1:5">
      <c r="A36" s="187" t="s">
        <v>1523</v>
      </c>
      <c r="B36" s="300" t="s">
        <v>5896</v>
      </c>
      <c r="C36" s="374">
        <v>65860</v>
      </c>
      <c r="D36" s="374">
        <v>20187</v>
      </c>
      <c r="E36" s="246">
        <v>19955</v>
      </c>
    </row>
    <row r="37" spans="1:5">
      <c r="A37" s="187" t="s">
        <v>248</v>
      </c>
      <c r="B37" s="300" t="s">
        <v>6137</v>
      </c>
      <c r="C37" s="374">
        <v>84053</v>
      </c>
      <c r="D37" s="374">
        <v>39445</v>
      </c>
      <c r="E37" s="246">
        <v>40338</v>
      </c>
    </row>
    <row r="38" spans="1:5">
      <c r="A38" s="187" t="s">
        <v>6196</v>
      </c>
      <c r="B38" s="300" t="s">
        <v>5386</v>
      </c>
      <c r="C38" s="374">
        <v>113653</v>
      </c>
      <c r="D38" s="374">
        <v>51445</v>
      </c>
      <c r="E38" s="246">
        <v>53315</v>
      </c>
    </row>
    <row r="39" spans="1:5">
      <c r="A39" s="187" t="s">
        <v>975</v>
      </c>
      <c r="B39" s="300" t="s">
        <v>976</v>
      </c>
      <c r="C39" s="374">
        <v>61051</v>
      </c>
      <c r="D39" s="374">
        <v>20875</v>
      </c>
      <c r="E39" s="246">
        <v>15700</v>
      </c>
    </row>
    <row r="40" spans="1:5">
      <c r="A40" s="187" t="s">
        <v>860</v>
      </c>
      <c r="B40" s="300" t="s">
        <v>1472</v>
      </c>
      <c r="C40" s="374">
        <v>85545</v>
      </c>
      <c r="D40" s="374">
        <v>56887</v>
      </c>
      <c r="E40" s="246">
        <v>61566</v>
      </c>
    </row>
    <row r="41" spans="1:5">
      <c r="A41" s="187" t="s">
        <v>1949</v>
      </c>
      <c r="B41" s="300" t="s">
        <v>1950</v>
      </c>
      <c r="C41" s="374">
        <v>44273</v>
      </c>
      <c r="D41" s="374">
        <v>15186</v>
      </c>
      <c r="E41" s="246">
        <v>15186</v>
      </c>
    </row>
    <row r="42" spans="1:5">
      <c r="A42" s="187" t="s">
        <v>2770</v>
      </c>
      <c r="B42" s="300" t="s">
        <v>653</v>
      </c>
      <c r="C42" s="374">
        <v>475388</v>
      </c>
      <c r="D42" s="374">
        <v>119665</v>
      </c>
      <c r="E42" s="246">
        <v>123694</v>
      </c>
    </row>
    <row r="43" spans="1:5">
      <c r="A43" s="187" t="s">
        <v>232</v>
      </c>
      <c r="B43" s="300" t="s">
        <v>3905</v>
      </c>
      <c r="C43" s="374">
        <v>94544</v>
      </c>
      <c r="D43" s="374">
        <v>63530</v>
      </c>
      <c r="E43" s="246">
        <v>63713</v>
      </c>
    </row>
    <row r="44" spans="1:5">
      <c r="A44" s="187" t="s">
        <v>2389</v>
      </c>
      <c r="B44" s="300" t="s">
        <v>2014</v>
      </c>
      <c r="C44" s="374">
        <v>482367</v>
      </c>
      <c r="D44" s="374">
        <v>186287</v>
      </c>
      <c r="E44" s="246">
        <v>184669</v>
      </c>
    </row>
    <row r="45" spans="1:5">
      <c r="A45" s="187" t="s">
        <v>2987</v>
      </c>
      <c r="B45" s="300" t="s">
        <v>1691</v>
      </c>
      <c r="C45" s="374">
        <v>3880367</v>
      </c>
      <c r="D45" s="374">
        <v>856988</v>
      </c>
      <c r="E45" s="246">
        <v>855519</v>
      </c>
    </row>
    <row r="46" spans="1:5">
      <c r="A46" s="187" t="s">
        <v>2998</v>
      </c>
      <c r="B46" s="300" t="s">
        <v>6132</v>
      </c>
      <c r="C46" s="374">
        <v>309146</v>
      </c>
      <c r="D46" s="374">
        <v>102939</v>
      </c>
      <c r="E46" s="246">
        <v>107093</v>
      </c>
    </row>
  </sheetData>
  <phoneticPr fontId="33" type="noConversion"/>
  <pageMargins left="0.75" right="0.75" top="1" bottom="1" header="0.5" footer="0.5"/>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39">
    <pageSetUpPr fitToPage="1"/>
  </sheetPr>
  <dimension ref="A1:N44"/>
  <sheetViews>
    <sheetView workbookViewId="0">
      <selection activeCell="M3" sqref="M3"/>
    </sheetView>
  </sheetViews>
  <sheetFormatPr defaultRowHeight="13.2"/>
  <cols>
    <col min="1" max="1" width="47" customWidth="1"/>
    <col min="2" max="2" width="2.77734375" customWidth="1"/>
    <col min="3" max="3" width="26.77734375" customWidth="1"/>
    <col min="4" max="4" width="2.77734375" customWidth="1"/>
    <col min="5" max="5" width="26.77734375" hidden="1" customWidth="1"/>
    <col min="6" max="6" width="2.77734375" hidden="1" customWidth="1"/>
    <col min="7" max="7" width="26.77734375" customWidth="1"/>
    <col min="8" max="8" width="2.77734375" customWidth="1"/>
    <col min="9" max="11" width="26.77734375" hidden="1" customWidth="1"/>
    <col min="12" max="12" width="2.77734375" hidden="1" customWidth="1"/>
    <col min="13" max="14" width="26.77734375" customWidth="1"/>
  </cols>
  <sheetData>
    <row r="1" spans="1:14">
      <c r="A1" s="93" t="s">
        <v>523</v>
      </c>
      <c r="B1" s="42"/>
      <c r="C1" s="42"/>
    </row>
    <row r="2" spans="1:14">
      <c r="A2" s="93" t="s">
        <v>1779</v>
      </c>
      <c r="B2" s="42"/>
      <c r="D2" s="136"/>
      <c r="E2" s="225" t="s">
        <v>4079</v>
      </c>
      <c r="G2" s="225"/>
      <c r="H2" s="136"/>
      <c r="I2" s="225" t="s">
        <v>4078</v>
      </c>
    </row>
    <row r="3" spans="1:14" ht="15.6">
      <c r="A3" s="149"/>
      <c r="B3" s="42"/>
      <c r="D3" s="94"/>
      <c r="E3" s="227" t="s">
        <v>1195</v>
      </c>
      <c r="G3" s="226"/>
      <c r="H3" s="94"/>
      <c r="I3" s="227" t="s">
        <v>1195</v>
      </c>
      <c r="M3" s="317" t="s">
        <v>4552</v>
      </c>
      <c r="N3" s="317" t="s">
        <v>4552</v>
      </c>
    </row>
    <row r="4" spans="1:14" ht="15.6">
      <c r="A4" s="42"/>
      <c r="B4" s="42"/>
      <c r="C4" s="342" t="s">
        <v>1849</v>
      </c>
      <c r="D4" s="190"/>
      <c r="E4" s="343" t="s">
        <v>939</v>
      </c>
      <c r="F4" s="136"/>
      <c r="G4" s="343" t="s">
        <v>1849</v>
      </c>
      <c r="H4" s="94"/>
      <c r="I4" s="226" t="s">
        <v>939</v>
      </c>
      <c r="J4" s="348" t="s">
        <v>1850</v>
      </c>
      <c r="K4" s="349" t="s">
        <v>1850</v>
      </c>
      <c r="M4" s="348" t="s">
        <v>1850</v>
      </c>
      <c r="N4" s="349" t="s">
        <v>1850</v>
      </c>
    </row>
    <row r="5" spans="1:14" ht="15.6">
      <c r="A5" s="42"/>
      <c r="B5" s="42"/>
      <c r="C5" s="420" t="s">
        <v>4550</v>
      </c>
      <c r="D5" s="190"/>
      <c r="E5" s="343" t="s">
        <v>940</v>
      </c>
      <c r="F5" s="136"/>
      <c r="G5" s="420" t="s">
        <v>4550</v>
      </c>
      <c r="H5" s="94"/>
      <c r="I5" s="226" t="s">
        <v>940</v>
      </c>
      <c r="J5" s="445" t="s">
        <v>4550</v>
      </c>
      <c r="K5" s="445" t="s">
        <v>4550</v>
      </c>
      <c r="M5" s="445" t="s">
        <v>6295</v>
      </c>
      <c r="N5" s="445" t="s">
        <v>6295</v>
      </c>
    </row>
    <row r="6" spans="1:14" ht="15.6">
      <c r="A6" s="42"/>
      <c r="B6" s="42"/>
      <c r="C6" s="343" t="s">
        <v>939</v>
      </c>
      <c r="D6" s="190"/>
      <c r="E6" s="343" t="s">
        <v>941</v>
      </c>
      <c r="F6" s="136"/>
      <c r="G6" s="343" t="s">
        <v>939</v>
      </c>
      <c r="H6" s="94"/>
      <c r="I6" s="226" t="s">
        <v>941</v>
      </c>
      <c r="J6" s="349" t="s">
        <v>939</v>
      </c>
      <c r="K6" s="349" t="s">
        <v>939</v>
      </c>
      <c r="M6" s="349" t="s">
        <v>939</v>
      </c>
      <c r="N6" s="349" t="s">
        <v>939</v>
      </c>
    </row>
    <row r="7" spans="1:14" ht="15.6">
      <c r="A7" s="42"/>
      <c r="B7" s="42"/>
      <c r="C7" s="343" t="s">
        <v>522</v>
      </c>
      <c r="D7" s="190"/>
      <c r="E7" s="343" t="s">
        <v>942</v>
      </c>
      <c r="F7" s="136"/>
      <c r="G7" s="343" t="s">
        <v>522</v>
      </c>
      <c r="H7" s="94"/>
      <c r="I7" s="226" t="s">
        <v>942</v>
      </c>
      <c r="J7" s="349" t="s">
        <v>522</v>
      </c>
      <c r="K7" s="349" t="s">
        <v>522</v>
      </c>
      <c r="M7" s="349" t="s">
        <v>522</v>
      </c>
      <c r="N7" s="349" t="s">
        <v>522</v>
      </c>
    </row>
    <row r="8" spans="1:14" ht="15.6">
      <c r="A8" s="42"/>
      <c r="B8" s="42"/>
      <c r="C8" s="343" t="s">
        <v>2652</v>
      </c>
      <c r="D8" s="190"/>
      <c r="E8" s="343" t="s">
        <v>943</v>
      </c>
      <c r="F8" s="136"/>
      <c r="G8" s="343" t="s">
        <v>2653</v>
      </c>
      <c r="H8" s="94"/>
      <c r="I8" s="226" t="s">
        <v>943</v>
      </c>
      <c r="J8" s="349" t="s">
        <v>1683</v>
      </c>
      <c r="K8" s="349" t="s">
        <v>1684</v>
      </c>
      <c r="M8" s="349" t="s">
        <v>1974</v>
      </c>
      <c r="N8" s="349" t="s">
        <v>712</v>
      </c>
    </row>
    <row r="9" spans="1:14" ht="15.6">
      <c r="A9" s="48" t="s">
        <v>944</v>
      </c>
      <c r="C9" s="136"/>
      <c r="D9" s="136"/>
      <c r="E9" s="136"/>
      <c r="F9" s="136"/>
      <c r="G9" s="136"/>
      <c r="J9" s="132"/>
      <c r="K9" s="132"/>
      <c r="M9" s="132"/>
      <c r="N9" s="132"/>
    </row>
    <row r="10" spans="1:14">
      <c r="A10" t="s">
        <v>413</v>
      </c>
      <c r="C10" s="144">
        <f>'Data Entry - SOF'!F28+'Data Entry - SOF'!F29</f>
        <v>0</v>
      </c>
      <c r="D10" s="136"/>
      <c r="E10" s="344" t="str">
        <f>"N/A"</f>
        <v>N/A</v>
      </c>
      <c r="F10" s="136"/>
      <c r="G10" s="144">
        <f>C10</f>
        <v>0</v>
      </c>
      <c r="I10" s="228" t="str">
        <f>"N/A"</f>
        <v>N/A</v>
      </c>
      <c r="J10" s="335">
        <f>'Data Entry - SOF'!F28+'Data Entry - SOF'!F29</f>
        <v>0</v>
      </c>
      <c r="K10" s="335">
        <f>J10</f>
        <v>0</v>
      </c>
      <c r="M10" s="335">
        <f>'Data Entry - SOF'!F28+'Data Entry - SOF'!F29</f>
        <v>0</v>
      </c>
      <c r="N10" s="335">
        <f>M10</f>
        <v>0</v>
      </c>
    </row>
    <row r="11" spans="1:14">
      <c r="A11" t="s">
        <v>414</v>
      </c>
      <c r="C11" s="345">
        <f>'Data Entry - SOF'!F30</f>
        <v>0</v>
      </c>
      <c r="D11" s="136"/>
      <c r="E11" s="344" t="str">
        <f t="shared" ref="E11:E16" si="0">"N/A"</f>
        <v>N/A</v>
      </c>
      <c r="F11" s="136"/>
      <c r="G11" s="345">
        <f>C11</f>
        <v>0</v>
      </c>
      <c r="I11" s="228" t="str">
        <f t="shared" ref="I11:I16" si="1">"N/A"</f>
        <v>N/A</v>
      </c>
      <c r="J11" s="350">
        <f>'Data Entry - SOF'!F30</f>
        <v>0</v>
      </c>
      <c r="K11" s="350">
        <f>J11</f>
        <v>0</v>
      </c>
      <c r="M11" s="350">
        <f>'Data Entry - SOF'!F30</f>
        <v>0</v>
      </c>
      <c r="N11" s="350">
        <f>M11</f>
        <v>0</v>
      </c>
    </row>
    <row r="12" spans="1:14">
      <c r="A12" t="s">
        <v>5076</v>
      </c>
      <c r="C12" s="345" t="e">
        <f>'Ch41 Calc Data'!E6</f>
        <v>#N/A</v>
      </c>
      <c r="D12" s="136"/>
      <c r="E12" s="344" t="str">
        <f t="shared" si="0"/>
        <v>N/A</v>
      </c>
      <c r="F12" s="136"/>
      <c r="G12" s="345" t="e">
        <f>C12</f>
        <v>#N/A</v>
      </c>
      <c r="I12" s="228" t="str">
        <f t="shared" si="1"/>
        <v>N/A</v>
      </c>
      <c r="J12" s="350" t="e">
        <f>'Ch41 Calc Data'!F6</f>
        <v>#N/A</v>
      </c>
      <c r="K12" s="350" t="e">
        <f>J12</f>
        <v>#N/A</v>
      </c>
      <c r="M12" s="350" t="e">
        <f>'Ch41 Calc Data'!F6</f>
        <v>#N/A</v>
      </c>
      <c r="N12" s="350" t="e">
        <f>M12</f>
        <v>#N/A</v>
      </c>
    </row>
    <row r="13" spans="1:14">
      <c r="A13" t="s">
        <v>5077</v>
      </c>
      <c r="C13" s="183">
        <f>IF(C11=0,0,C12/C11)</f>
        <v>0</v>
      </c>
      <c r="D13" s="136"/>
      <c r="E13" s="344" t="str">
        <f t="shared" si="0"/>
        <v>N/A</v>
      </c>
      <c r="F13" s="136"/>
      <c r="G13" s="183">
        <f>C13</f>
        <v>0</v>
      </c>
      <c r="I13" s="228" t="str">
        <f t="shared" si="1"/>
        <v>N/A</v>
      </c>
      <c r="J13" s="333">
        <f>IF(J11=0,0,J12/J11)</f>
        <v>0</v>
      </c>
      <c r="K13" s="333">
        <f>J13</f>
        <v>0</v>
      </c>
      <c r="M13" s="333">
        <f>IF(M11=0,0,M12/M11)</f>
        <v>0</v>
      </c>
      <c r="N13" s="333">
        <f>M13</f>
        <v>0</v>
      </c>
    </row>
    <row r="14" spans="1:14">
      <c r="A14" t="s">
        <v>415</v>
      </c>
      <c r="C14" s="144">
        <f>C10*C13</f>
        <v>0</v>
      </c>
      <c r="D14" s="136"/>
      <c r="E14" s="344" t="str">
        <f t="shared" si="0"/>
        <v>N/A</v>
      </c>
      <c r="F14" s="136"/>
      <c r="G14" s="144">
        <f>C14</f>
        <v>0</v>
      </c>
      <c r="I14" s="228" t="str">
        <f t="shared" si="1"/>
        <v>N/A</v>
      </c>
      <c r="J14" s="335">
        <f>J10*J13</f>
        <v>0</v>
      </c>
      <c r="K14" s="335">
        <f>J14</f>
        <v>0</v>
      </c>
      <c r="M14" s="335">
        <f>M10*M13</f>
        <v>0</v>
      </c>
      <c r="N14" s="335">
        <f>M14</f>
        <v>0</v>
      </c>
    </row>
    <row r="15" spans="1:14">
      <c r="A15" t="s">
        <v>5075</v>
      </c>
      <c r="C15" s="144">
        <f>'SOF0506-CL'!F78</f>
        <v>0</v>
      </c>
      <c r="D15" s="136"/>
      <c r="E15" s="344" t="str">
        <f t="shared" si="0"/>
        <v>N/A</v>
      </c>
      <c r="F15" s="136"/>
      <c r="G15" s="144">
        <f>'SOF0506-CL'!U78</f>
        <v>0</v>
      </c>
      <c r="I15" s="228" t="str">
        <f t="shared" si="1"/>
        <v>N/A</v>
      </c>
      <c r="J15" s="335" t="e">
        <f>'SOF0607-CL'!F79</f>
        <v>#N/A</v>
      </c>
      <c r="K15" s="335" t="e">
        <f>'SOF0607-CL'!U79</f>
        <v>#N/A</v>
      </c>
      <c r="M15" s="335" t="e">
        <f>'SOF0607-CL'!F79</f>
        <v>#N/A</v>
      </c>
      <c r="N15" s="335" t="e">
        <f>'SOF0607-CL'!U79</f>
        <v>#N/A</v>
      </c>
    </row>
    <row r="16" spans="1:14">
      <c r="A16" t="s">
        <v>416</v>
      </c>
      <c r="C16" s="144">
        <f>C14-C15</f>
        <v>0</v>
      </c>
      <c r="D16" s="136"/>
      <c r="E16" s="344" t="str">
        <f t="shared" si="0"/>
        <v>N/A</v>
      </c>
      <c r="F16" s="136"/>
      <c r="G16" s="144">
        <f>G14-G15</f>
        <v>0</v>
      </c>
      <c r="I16" s="228" t="str">
        <f t="shared" si="1"/>
        <v>N/A</v>
      </c>
      <c r="J16" s="335" t="e">
        <f>J14-J15</f>
        <v>#N/A</v>
      </c>
      <c r="K16" s="335" t="e">
        <f>K14-K15</f>
        <v>#N/A</v>
      </c>
      <c r="M16" s="335" t="e">
        <f>M14-M15</f>
        <v>#N/A</v>
      </c>
      <c r="N16" s="335" t="e">
        <f>N14-N15</f>
        <v>#N/A</v>
      </c>
    </row>
    <row r="17" spans="1:14">
      <c r="A17" t="s">
        <v>417</v>
      </c>
      <c r="C17" s="183">
        <f>IF('Data Entry - SOF'!F28=0,0,('Data Entry - SOF'!F28/'Data Entry - SOF'!F31)+0.0082)</f>
        <v>0</v>
      </c>
      <c r="D17" s="136"/>
      <c r="E17" s="344" t="str">
        <f>"N/A"</f>
        <v>N/A</v>
      </c>
      <c r="F17" s="136"/>
      <c r="G17" s="183">
        <f>C17</f>
        <v>0</v>
      </c>
      <c r="I17" s="228" t="str">
        <f>"N/A"</f>
        <v>N/A</v>
      </c>
      <c r="J17" s="333">
        <f>IF('Data Entry - SOF'!F28=0,0,('Data Entry - SOF'!F28/'Data Entry - SOF'!F31)+0.0082)</f>
        <v>0</v>
      </c>
      <c r="K17" s="333">
        <f>J17</f>
        <v>0</v>
      </c>
      <c r="M17" s="333">
        <f>IF('Data Entry - SOF'!F28=0,0,('Data Entry - SOF'!F28/'Data Entry - SOF'!F31)+0.0082)</f>
        <v>0</v>
      </c>
      <c r="N17" s="333">
        <f>M17</f>
        <v>0</v>
      </c>
    </row>
    <row r="18" spans="1:14">
      <c r="A18" t="s">
        <v>5078</v>
      </c>
      <c r="C18" s="345">
        <f>IF(C17&gt;0.015,C17,0.015)</f>
        <v>1.4999999999999999E-2</v>
      </c>
      <c r="D18" s="136"/>
      <c r="E18" s="346" t="str">
        <f>"N/A"</f>
        <v>N/A</v>
      </c>
      <c r="F18" s="136"/>
      <c r="G18" s="345">
        <f>IF(G17&gt;0.015,G17,0.015)</f>
        <v>1.4999999999999999E-2</v>
      </c>
      <c r="I18" s="229" t="str">
        <f>"N/A"</f>
        <v>N/A</v>
      </c>
      <c r="J18" s="350">
        <f>IF(J17&gt;0.015,J17,0.015)</f>
        <v>1.4999999999999999E-2</v>
      </c>
      <c r="K18" s="350">
        <f>IF(K17&gt;0.015,K17,0.015)</f>
        <v>1.4999999999999999E-2</v>
      </c>
      <c r="M18" s="350">
        <f>IF(M17&gt;0.015,M17,0.015)</f>
        <v>1.4999999999999999E-2</v>
      </c>
      <c r="N18" s="350">
        <f>IF(N17&gt;0.015,N17,0.015)</f>
        <v>1.4999999999999999E-2</v>
      </c>
    </row>
    <row r="19" spans="1:14">
      <c r="C19" s="136"/>
      <c r="D19" s="136"/>
      <c r="E19" s="136"/>
      <c r="F19" s="136"/>
      <c r="G19" s="136"/>
      <c r="J19" s="132"/>
      <c r="K19" s="132"/>
      <c r="M19" s="132"/>
      <c r="N19" s="132"/>
    </row>
    <row r="20" spans="1:14" ht="15.6">
      <c r="A20" s="48" t="s">
        <v>418</v>
      </c>
      <c r="C20" s="136"/>
      <c r="D20" s="136"/>
      <c r="E20" s="136"/>
      <c r="F20" s="136"/>
      <c r="G20" s="136"/>
      <c r="J20" s="132"/>
      <c r="K20" s="132"/>
      <c r="M20" s="132"/>
      <c r="N20" s="132"/>
    </row>
    <row r="21" spans="1:14">
      <c r="A21" t="s">
        <v>5079</v>
      </c>
      <c r="C21" s="144" t="e">
        <f>'Ch41 Calc Data'!E6*305000</f>
        <v>#N/A</v>
      </c>
      <c r="D21" s="136"/>
      <c r="E21" s="344" t="str">
        <f>"N/A"</f>
        <v>N/A</v>
      </c>
      <c r="F21" s="136"/>
      <c r="G21" s="144" t="e">
        <f>C21</f>
        <v>#N/A</v>
      </c>
      <c r="I21" s="228" t="str">
        <f>"N/A"</f>
        <v>N/A</v>
      </c>
      <c r="J21" s="335" t="e">
        <f>'Ch41 Calc Data'!F6*305000</f>
        <v>#N/A</v>
      </c>
      <c r="K21" s="335" t="e">
        <f>J21</f>
        <v>#N/A</v>
      </c>
      <c r="M21" s="335" t="e">
        <f>'Ch41 Calc Data'!F6*319500</f>
        <v>#N/A</v>
      </c>
      <c r="N21" s="335" t="e">
        <f>M21</f>
        <v>#N/A</v>
      </c>
    </row>
    <row r="22" spans="1:14">
      <c r="C22" s="136"/>
      <c r="D22" s="136"/>
      <c r="E22" s="136"/>
      <c r="F22" s="136"/>
      <c r="G22" s="136"/>
      <c r="J22" s="132"/>
      <c r="K22" s="132"/>
      <c r="M22" s="132"/>
      <c r="N22" s="132"/>
    </row>
    <row r="23" spans="1:14" ht="15.6">
      <c r="A23" s="48" t="s">
        <v>419</v>
      </c>
      <c r="C23" s="136"/>
      <c r="D23" s="136"/>
      <c r="E23" s="136"/>
      <c r="F23" s="136"/>
      <c r="G23" s="136"/>
      <c r="J23" s="132"/>
      <c r="K23" s="132"/>
      <c r="M23" s="132"/>
      <c r="N23" s="132"/>
    </row>
    <row r="24" spans="1:14">
      <c r="A24" t="s">
        <v>420</v>
      </c>
      <c r="C24" s="144">
        <f>C16/C18</f>
        <v>0</v>
      </c>
      <c r="D24" s="136"/>
      <c r="E24" s="344" t="str">
        <f>"N/A"</f>
        <v>N/A</v>
      </c>
      <c r="F24" s="136"/>
      <c r="G24" s="144">
        <f>G16/G18</f>
        <v>0</v>
      </c>
      <c r="I24" s="228" t="str">
        <f>"N/A"</f>
        <v>N/A</v>
      </c>
      <c r="J24" s="335" t="e">
        <f>J16/J18</f>
        <v>#N/A</v>
      </c>
      <c r="K24" s="335" t="e">
        <f>K16/K18</f>
        <v>#N/A</v>
      </c>
      <c r="M24" s="335" t="e">
        <f>M16/M18</f>
        <v>#N/A</v>
      </c>
      <c r="N24" s="335" t="e">
        <f>N16/N18</f>
        <v>#N/A</v>
      </c>
    </row>
    <row r="25" spans="1:14">
      <c r="A25" t="s">
        <v>421</v>
      </c>
      <c r="C25" s="144" t="e">
        <f>C24/'Ch41 Calc Data'!E6</f>
        <v>#N/A</v>
      </c>
      <c r="D25" s="136"/>
      <c r="E25" s="144" t="e">
        <f>E30/'Ch41 Calc Data'!E6</f>
        <v>#N/A</v>
      </c>
      <c r="F25" s="136"/>
      <c r="G25" s="144" t="e">
        <f>G24/'Ch41 Calc Data'!E6</f>
        <v>#N/A</v>
      </c>
      <c r="I25" s="11" t="e">
        <f>I30/'Ch41 Calc Data'!E6</f>
        <v>#N/A</v>
      </c>
      <c r="J25" s="335" t="e">
        <f>J24/'Ch41 Calc Data'!F6</f>
        <v>#N/A</v>
      </c>
      <c r="K25" s="335" t="e">
        <f>K24/'Ch41 Calc Data'!F6</f>
        <v>#N/A</v>
      </c>
      <c r="M25" s="335" t="e">
        <f>M24/'Ch41 Calc Data'!F6</f>
        <v>#N/A</v>
      </c>
      <c r="N25" s="335" t="e">
        <f>N24/'Ch41 Calc Data'!F6</f>
        <v>#N/A</v>
      </c>
    </row>
    <row r="26" spans="1:14">
      <c r="A26" t="s">
        <v>5104</v>
      </c>
      <c r="C26" s="144" t="e">
        <f>C25*((0.0892857*('Data Entry - SOF'!F101/1.5))+1)</f>
        <v>#N/A</v>
      </c>
      <c r="D26" s="136"/>
      <c r="E26" s="344" t="str">
        <f>"N/A"</f>
        <v>N/A</v>
      </c>
      <c r="F26" s="136"/>
      <c r="G26" s="144" t="e">
        <f>G25*((0.0892857*('Data Entry - SOF'!F101/1.5))+1)</f>
        <v>#N/A</v>
      </c>
      <c r="I26" s="228" t="str">
        <f>"N/A"</f>
        <v>N/A</v>
      </c>
      <c r="J26" s="335" t="e">
        <f>J25*((0.0892857*('Data Entry - SOF'!H101/1.5))+1)</f>
        <v>#N/A</v>
      </c>
      <c r="K26" s="335" t="e">
        <f>K25*((0.0892857*('Data Entry - SOF'!H101/1.5))+1)</f>
        <v>#N/A</v>
      </c>
      <c r="M26" s="335" t="e">
        <f>M25*((0.141071*('Data Entry - SOF'!H101/('Data Entry - SOF'!F67*0.8867)))+1)</f>
        <v>#N/A</v>
      </c>
      <c r="N26" s="335" t="e">
        <f>N25*((0.141071*('Data Entry - SOF'!H101/('Data Entry - SOF'!F67*0.8867)))+1)</f>
        <v>#N/A</v>
      </c>
    </row>
    <row r="27" spans="1:14">
      <c r="A27" t="s">
        <v>623</v>
      </c>
      <c r="C27" s="144" t="e">
        <f>C26*'Ch41 Calc Data'!E6</f>
        <v>#N/A</v>
      </c>
      <c r="D27" s="136"/>
      <c r="E27" s="344" t="str">
        <f>"N/A"</f>
        <v>N/A</v>
      </c>
      <c r="F27" s="136"/>
      <c r="G27" s="144" t="e">
        <f>G26*'Ch41 Calc Data'!E6</f>
        <v>#N/A</v>
      </c>
      <c r="I27" s="228" t="str">
        <f>"N/A"</f>
        <v>N/A</v>
      </c>
      <c r="J27" s="335" t="e">
        <f>J26*'Ch41 Calc Data'!F6</f>
        <v>#N/A</v>
      </c>
      <c r="K27" s="335" t="e">
        <f>K26*'Ch41 Calc Data'!F6</f>
        <v>#N/A</v>
      </c>
      <c r="M27" s="335" t="e">
        <f>M26*'Ch41 Calc Data'!F6</f>
        <v>#N/A</v>
      </c>
      <c r="N27" s="335" t="e">
        <f>N26*'Ch41 Calc Data'!F6</f>
        <v>#N/A</v>
      </c>
    </row>
    <row r="28" spans="1:14">
      <c r="C28" s="136"/>
      <c r="D28" s="136"/>
      <c r="E28" s="136"/>
      <c r="F28" s="136"/>
      <c r="G28" s="136"/>
      <c r="J28" s="132"/>
      <c r="K28" s="132"/>
      <c r="M28" s="132"/>
      <c r="N28" s="132"/>
    </row>
    <row r="29" spans="1:14" ht="15.6">
      <c r="A29" s="48" t="s">
        <v>7285</v>
      </c>
      <c r="C29" s="136"/>
      <c r="D29" s="136"/>
      <c r="E29" s="136"/>
      <c r="F29" s="136"/>
      <c r="G29" s="136"/>
      <c r="J29" s="132"/>
      <c r="K29" s="132"/>
      <c r="M29" s="132"/>
      <c r="N29" s="132"/>
    </row>
    <row r="30" spans="1:14">
      <c r="A30" t="s">
        <v>7286</v>
      </c>
      <c r="C30" s="144" t="e">
        <f>IF(C27&gt;C21,C27,C21)</f>
        <v>#N/A</v>
      </c>
      <c r="D30" s="136"/>
      <c r="E30" s="144">
        <f>IF('Data Entry - SOF'!F77&gt;11,"N/A",'Ch41 Hold Harm'!C36)</f>
        <v>0</v>
      </c>
      <c r="F30" s="136"/>
      <c r="G30" s="144" t="e">
        <f>IF(G27&gt;G21,G27,G21)</f>
        <v>#N/A</v>
      </c>
      <c r="I30" s="11">
        <f>IF('Data Entry - SOF'!F77&gt;11,"N/A",'Ch41 Hold Harm'!E36)</f>
        <v>0</v>
      </c>
      <c r="J30" s="335" t="e">
        <f>IF(J27&gt;J21,J27,J21)</f>
        <v>#N/A</v>
      </c>
      <c r="K30" s="335" t="e">
        <f>IF(K27&gt;K21,K27,K21)</f>
        <v>#N/A</v>
      </c>
      <c r="M30" s="335" t="e">
        <f>IF(M27&gt;M21,M27,M21)</f>
        <v>#N/A</v>
      </c>
      <c r="N30" s="335" t="e">
        <f>IF(N27&gt;N21,N27,N21)</f>
        <v>#N/A</v>
      </c>
    </row>
    <row r="31" spans="1:14">
      <c r="A31" t="s">
        <v>5416</v>
      </c>
      <c r="C31" s="144" t="e">
        <f>IF('Data Entry - SOF'!F61-C30&lt;0,0,'Data Entry - SOF'!F61-C30)</f>
        <v>#N/A</v>
      </c>
      <c r="D31" s="136"/>
      <c r="E31" s="144" t="e">
        <f>IF(E30&gt;'Data Entry - SOF'!F61,0,'Data Entry - SOF'!F61-E30)</f>
        <v>#N/A</v>
      </c>
      <c r="F31" s="136"/>
      <c r="G31" s="144" t="e">
        <f>IF('Data Entry - SOF'!F61-G30&lt;0,0,'Data Entry - SOF'!F61-G30)</f>
        <v>#N/A</v>
      </c>
      <c r="I31" s="11" t="e">
        <f>IF(I30&gt;'Data Entry - SOF'!F61,0,'Data Entry - SOF'!F61-I30)</f>
        <v>#N/A</v>
      </c>
      <c r="J31" s="335" t="e">
        <f>IF('Data Entry - SOF'!H61-J30&lt;0,0,'Data Entry - SOF'!H61-J30)</f>
        <v>#N/A</v>
      </c>
      <c r="K31" s="335" t="e">
        <f>IF('Data Entry - SOF'!H61-K30&lt;0,0,'Data Entry - SOF'!H61-K30)</f>
        <v>#N/A</v>
      </c>
      <c r="M31" s="335" t="e">
        <f>IF('Data Entry - SOF'!H61-M30&lt;0,0,'Data Entry - SOF'!H61-M30)</f>
        <v>#N/A</v>
      </c>
      <c r="N31" s="335" t="e">
        <f>IF('Data Entry - SOF'!H61-N30&lt;0,0,'Data Entry - SOF'!H61-N30)</f>
        <v>#N/A</v>
      </c>
    </row>
    <row r="32" spans="1:14">
      <c r="A32" t="s">
        <v>3241</v>
      </c>
      <c r="C32" s="183" t="e">
        <f>C31/'Data Entry - SOF'!F61</f>
        <v>#N/A</v>
      </c>
      <c r="D32" s="136"/>
      <c r="E32" s="183" t="e">
        <f>E31/'Data Entry - SOF'!F61</f>
        <v>#N/A</v>
      </c>
      <c r="F32" s="136"/>
      <c r="G32" s="183" t="e">
        <f>G31/'Data Entry - SOF'!F61</f>
        <v>#N/A</v>
      </c>
      <c r="I32" s="54" t="e">
        <f>I31/'Data Entry - SOF'!F61</f>
        <v>#N/A</v>
      </c>
      <c r="J32" s="333" t="e">
        <f>J31/'Data Entry - SOF'!H61</f>
        <v>#N/A</v>
      </c>
      <c r="K32" s="333" t="e">
        <f>K31/'Data Entry - SOF'!H61</f>
        <v>#N/A</v>
      </c>
      <c r="M32" s="333" t="e">
        <f>M31/'Data Entry - SOF'!H61</f>
        <v>#N/A</v>
      </c>
      <c r="N32" s="333" t="e">
        <f>N31/'Data Entry - SOF'!H61</f>
        <v>#N/A</v>
      </c>
    </row>
    <row r="33" spans="1:14">
      <c r="C33" s="136"/>
      <c r="D33" s="136"/>
      <c r="E33" s="136"/>
      <c r="F33" s="136"/>
      <c r="G33" s="136"/>
      <c r="J33" s="132"/>
      <c r="K33" s="132"/>
      <c r="M33" s="132"/>
      <c r="N33" s="132"/>
    </row>
    <row r="34" spans="1:14" ht="15.6">
      <c r="A34" s="48" t="s">
        <v>3242</v>
      </c>
      <c r="C34" s="136"/>
      <c r="D34" s="136"/>
      <c r="E34" s="136"/>
      <c r="F34" s="136"/>
      <c r="G34" s="136"/>
      <c r="J34" s="132"/>
      <c r="K34" s="132"/>
      <c r="M34" s="132"/>
      <c r="N34" s="132"/>
    </row>
    <row r="35" spans="1:14">
      <c r="A35" t="s">
        <v>6297</v>
      </c>
      <c r="C35" s="446"/>
      <c r="D35" s="136"/>
      <c r="E35" s="136"/>
      <c r="F35" s="136"/>
      <c r="G35" s="446"/>
      <c r="J35" s="452">
        <v>945630</v>
      </c>
      <c r="K35" s="452">
        <f>J35</f>
        <v>945630</v>
      </c>
      <c r="M35" s="394" t="e">
        <f>'Data Entry - SOF'!H102</f>
        <v>#N/A</v>
      </c>
      <c r="N35" s="394" t="e">
        <f>M35</f>
        <v>#N/A</v>
      </c>
    </row>
    <row r="36" spans="1:14">
      <c r="A36" t="s">
        <v>5351</v>
      </c>
      <c r="C36" s="446"/>
      <c r="D36" s="136"/>
      <c r="E36" s="136"/>
      <c r="F36" s="136"/>
      <c r="G36" s="446"/>
      <c r="J36" s="452">
        <v>0</v>
      </c>
      <c r="K36" s="452">
        <f>J36</f>
        <v>0</v>
      </c>
      <c r="M36" s="394" t="e">
        <f>'Option Costs'!G33</f>
        <v>#N/A</v>
      </c>
      <c r="N36" s="394" t="e">
        <f>M36</f>
        <v>#N/A</v>
      </c>
    </row>
    <row r="37" spans="1:14">
      <c r="A37" t="s">
        <v>5352</v>
      </c>
      <c r="C37" s="446"/>
      <c r="D37" s="136"/>
      <c r="E37" s="136"/>
      <c r="F37" s="136"/>
      <c r="G37" s="446"/>
      <c r="J37" s="452">
        <f>J35+J36</f>
        <v>945630</v>
      </c>
      <c r="K37" s="452">
        <f>J37</f>
        <v>945630</v>
      </c>
      <c r="M37" s="394" t="e">
        <f>M35+M36</f>
        <v>#N/A</v>
      </c>
      <c r="N37" s="394" t="e">
        <f>M37</f>
        <v>#N/A</v>
      </c>
    </row>
    <row r="38" spans="1:14">
      <c r="A38" t="s">
        <v>3243</v>
      </c>
      <c r="C38" s="144" t="e">
        <f>C32*('Data Entry - SOF'!F70-'Data Entry - SOF'!F105)</f>
        <v>#N/A</v>
      </c>
      <c r="D38" s="136"/>
      <c r="E38" s="144" t="e">
        <f>IF('Data Entry - SOF'!F77&gt;11,"N/A",E32*('Data Entry - SOF'!#REF!-'Data Entry - SOF'!#REF!))</f>
        <v>#N/A</v>
      </c>
      <c r="F38" s="136"/>
      <c r="G38" s="144" t="e">
        <f>G32*('Data Entry - SOF'!F70-'Data Entry - SOF'!F105)</f>
        <v>#N/A</v>
      </c>
      <c r="I38" s="11" t="e">
        <f>IF('Data Entry - SOF'!F77&gt;11,"N/A",I32*('Data Entry - SOF'!#REF!-'Data Entry - SOF'!#REF!))</f>
        <v>#N/A</v>
      </c>
      <c r="J38" s="335" t="e">
        <f>J32*('Data Entry - SOF'!H70-'Data Entry - SOF'!H105)</f>
        <v>#N/A</v>
      </c>
      <c r="K38" s="335" t="e">
        <f>K32*('Data Entry - SOF'!H70-'Data Entry - SOF'!H105)</f>
        <v>#N/A</v>
      </c>
      <c r="M38" s="335" t="e">
        <f>M32*(M37-'Data Entry - SOF'!H105)</f>
        <v>#N/A</v>
      </c>
      <c r="N38" s="335" t="e">
        <f>N32*(N37-'Data Entry - SOF'!K105)</f>
        <v>#N/A</v>
      </c>
    </row>
    <row r="39" spans="1:14">
      <c r="C39" s="136"/>
      <c r="D39" s="136"/>
      <c r="E39" s="136"/>
      <c r="F39" s="136"/>
      <c r="G39" s="136"/>
      <c r="J39" s="132"/>
      <c r="K39" s="132"/>
      <c r="M39" s="132"/>
      <c r="N39" s="132"/>
    </row>
    <row r="40" spans="1:14">
      <c r="A40" s="383" t="s">
        <v>5080</v>
      </c>
      <c r="B40" s="347"/>
      <c r="C40" s="384" t="e">
        <f>G38</f>
        <v>#N/A</v>
      </c>
      <c r="D40" s="217"/>
      <c r="E40" s="217"/>
      <c r="F40" s="217"/>
      <c r="G40" s="217"/>
      <c r="J40" s="388" t="e">
        <f>K38</f>
        <v>#N/A</v>
      </c>
      <c r="K40" s="149"/>
      <c r="M40" s="388" t="e">
        <f>N38</f>
        <v>#N/A</v>
      </c>
      <c r="N40" s="149"/>
    </row>
    <row r="41" spans="1:14">
      <c r="A41" s="252" t="s">
        <v>5081</v>
      </c>
      <c r="B41" s="217"/>
      <c r="C41" s="385" t="e">
        <f>C38</f>
        <v>#N/A</v>
      </c>
      <c r="D41" s="217"/>
      <c r="E41" s="217"/>
      <c r="F41" s="217"/>
      <c r="G41" s="217"/>
      <c r="J41" s="389" t="e">
        <f>J38</f>
        <v>#N/A</v>
      </c>
      <c r="K41" s="149"/>
      <c r="M41" s="389" t="e">
        <f>M38</f>
        <v>#N/A</v>
      </c>
      <c r="N41" s="149"/>
    </row>
    <row r="42" spans="1:14">
      <c r="A42" s="386" t="s">
        <v>4935</v>
      </c>
      <c r="B42" s="387"/>
      <c r="C42" s="385" t="e">
        <f>IF(C40-C41&gt;0,0,C40-C41)</f>
        <v>#N/A</v>
      </c>
      <c r="D42" s="217"/>
      <c r="E42" s="217"/>
      <c r="F42" s="217"/>
      <c r="G42" s="217"/>
      <c r="J42" s="389" t="e">
        <f>IF(J40-J41&gt;0,0,J40-J41)</f>
        <v>#N/A</v>
      </c>
      <c r="K42" s="149"/>
      <c r="M42" s="389" t="e">
        <f>IF(M40-M41&gt;0,0,M40-M41)</f>
        <v>#N/A</v>
      </c>
      <c r="N42" s="149"/>
    </row>
    <row r="43" spans="1:14">
      <c r="A43" s="217"/>
      <c r="B43" s="217"/>
      <c r="C43" s="253"/>
      <c r="D43" s="217"/>
      <c r="E43" s="217"/>
      <c r="F43" s="217"/>
      <c r="G43" s="217"/>
      <c r="J43" s="302"/>
      <c r="K43" s="149"/>
      <c r="M43" s="302"/>
      <c r="N43" s="149"/>
    </row>
    <row r="44" spans="1:14">
      <c r="A44" s="217"/>
      <c r="B44" s="217"/>
      <c r="C44" s="253"/>
      <c r="D44" s="217"/>
      <c r="E44" s="217"/>
      <c r="F44" s="217"/>
      <c r="G44" s="217"/>
      <c r="J44" s="302"/>
      <c r="K44" s="149"/>
      <c r="M44" s="302"/>
      <c r="N44" s="149"/>
    </row>
  </sheetData>
  <sheetProtection sheet="1" objects="1" scenarios="1"/>
  <phoneticPr fontId="0" type="noConversion"/>
  <pageMargins left="0.25" right="0.25" top="0.5" bottom="0.5" header="0.5" footer="0.5"/>
  <pageSetup scale="64" orientation="portrait" r:id="rId1"/>
  <headerFooter alignWithMargins="0">
    <oddFooter>&amp;L&amp;G</oddFooter>
  </headerFooter>
  <legacyDrawingHF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40">
    <pageSetUpPr fitToPage="1"/>
  </sheetPr>
  <dimension ref="A1:Z61"/>
  <sheetViews>
    <sheetView workbookViewId="0">
      <selection activeCell="G3" sqref="G3"/>
    </sheetView>
  </sheetViews>
  <sheetFormatPr defaultRowHeight="13.2"/>
  <cols>
    <col min="2" max="2" width="49.77734375" customWidth="1"/>
    <col min="3" max="3" width="17.77734375" customWidth="1"/>
    <col min="4" max="4" width="2.77734375" customWidth="1"/>
    <col min="5" max="5" width="17.77734375" customWidth="1"/>
    <col min="6" max="6" width="3.77734375" customWidth="1"/>
    <col min="7" max="7" width="17.77734375" style="132" customWidth="1"/>
    <col min="8" max="8" width="2.77734375" style="132" customWidth="1"/>
    <col min="9" max="9" width="17.77734375" style="132" customWidth="1"/>
    <col min="10" max="12" width="11.77734375" hidden="1" customWidth="1"/>
    <col min="13" max="13" width="0" hidden="1" customWidth="1"/>
    <col min="14" max="14" width="17.77734375" style="132" hidden="1" customWidth="1"/>
    <col min="15" max="15" width="2.77734375" style="132" hidden="1" customWidth="1"/>
    <col min="16" max="16" width="17.77734375" style="132" hidden="1" customWidth="1"/>
    <col min="17" max="17" width="0" hidden="1" customWidth="1"/>
    <col min="18" max="19" width="12.77734375" hidden="1" customWidth="1"/>
    <col min="20" max="21" width="0" hidden="1" customWidth="1"/>
    <col min="22" max="22" width="12.77734375" hidden="1" customWidth="1"/>
    <col min="23" max="23" width="2.77734375" hidden="1" customWidth="1"/>
    <col min="24" max="24" width="12.77734375" hidden="1" customWidth="1"/>
    <col min="25" max="25" width="0" hidden="1" customWidth="1"/>
    <col min="26" max="26" width="10.5546875" hidden="1" customWidth="1"/>
    <col min="27" max="37" width="0" hidden="1" customWidth="1"/>
  </cols>
  <sheetData>
    <row r="1" spans="1:16">
      <c r="A1" s="57" t="s">
        <v>3826</v>
      </c>
    </row>
    <row r="2" spans="1:16">
      <c r="G2" s="317" t="s">
        <v>4552</v>
      </c>
      <c r="I2" s="317" t="s">
        <v>4552</v>
      </c>
      <c r="N2" s="317" t="s">
        <v>4553</v>
      </c>
      <c r="P2" s="317" t="s">
        <v>4553</v>
      </c>
    </row>
    <row r="3" spans="1:16">
      <c r="C3" s="190" t="s">
        <v>1849</v>
      </c>
      <c r="E3" s="190" t="s">
        <v>1849</v>
      </c>
      <c r="G3" s="317" t="s">
        <v>1850</v>
      </c>
      <c r="I3" s="317" t="s">
        <v>1850</v>
      </c>
      <c r="N3" s="317" t="s">
        <v>1850</v>
      </c>
      <c r="P3" s="317" t="s">
        <v>1850</v>
      </c>
    </row>
    <row r="4" spans="1:16">
      <c r="C4" s="190" t="s">
        <v>5889</v>
      </c>
      <c r="E4" s="190" t="s">
        <v>5892</v>
      </c>
      <c r="G4" s="317" t="s">
        <v>5889</v>
      </c>
      <c r="I4" s="317" t="s">
        <v>5892</v>
      </c>
      <c r="N4" s="317" t="s">
        <v>5889</v>
      </c>
      <c r="P4" s="317" t="s">
        <v>5892</v>
      </c>
    </row>
    <row r="5" spans="1:16" ht="15.6">
      <c r="A5" s="48" t="s">
        <v>944</v>
      </c>
      <c r="C5" s="136"/>
      <c r="E5" s="136"/>
      <c r="G5" s="293" t="s">
        <v>6296</v>
      </c>
      <c r="I5" s="293" t="s">
        <v>6296</v>
      </c>
      <c r="N5" s="293" t="s">
        <v>4551</v>
      </c>
      <c r="P5" s="293" t="s">
        <v>4551</v>
      </c>
    </row>
    <row r="6" spans="1:16">
      <c r="A6" t="s">
        <v>413</v>
      </c>
      <c r="C6" s="144">
        <f>'Data Entry - SOF'!F28+'Data Entry - SOF'!F29</f>
        <v>0</v>
      </c>
      <c r="E6" s="144">
        <f>'Data Entry - SOF'!F28+'Data Entry - SOF'!F29</f>
        <v>0</v>
      </c>
      <c r="G6" s="335">
        <f>'Data Entry - SOF'!F28+'Data Entry - SOF'!F29</f>
        <v>0</v>
      </c>
      <c r="I6" s="335">
        <f>'Data Entry - SOF'!F28+'Data Entry - SOF'!F29</f>
        <v>0</v>
      </c>
      <c r="N6" s="335">
        <f>'Data Entry - SOF'!F28+'Data Entry - SOF'!F29</f>
        <v>0</v>
      </c>
      <c r="P6" s="335">
        <f>'Data Entry - SOF'!F28+'Data Entry - SOF'!F29</f>
        <v>0</v>
      </c>
    </row>
    <row r="7" spans="1:16">
      <c r="A7" t="s">
        <v>414</v>
      </c>
      <c r="C7" s="345">
        <f>'Data Entry - SOF'!F30</f>
        <v>0</v>
      </c>
      <c r="E7" s="345">
        <f>'Data Entry - SOF'!F30</f>
        <v>0</v>
      </c>
      <c r="G7" s="350">
        <f>'Data Entry - SOF'!F30</f>
        <v>0</v>
      </c>
      <c r="I7" s="350">
        <f>'Data Entry - SOF'!F30</f>
        <v>0</v>
      </c>
      <c r="N7" s="350">
        <f>'Data Entry - SOF'!F30</f>
        <v>0</v>
      </c>
      <c r="P7" s="350">
        <f>'Data Entry - SOF'!F30</f>
        <v>0</v>
      </c>
    </row>
    <row r="8" spans="1:16">
      <c r="A8" t="s">
        <v>5076</v>
      </c>
      <c r="C8" s="345" t="e">
        <f>'Ch41 Calc Data'!E6</f>
        <v>#N/A</v>
      </c>
      <c r="E8" s="345" t="e">
        <f>'Ch41 Calc Data'!E6</f>
        <v>#N/A</v>
      </c>
      <c r="G8" s="350" t="e">
        <f>'Ch41 Calc Data'!F6</f>
        <v>#N/A</v>
      </c>
      <c r="I8" s="350" t="e">
        <f>'Ch41 Calc Data'!F6</f>
        <v>#N/A</v>
      </c>
      <c r="N8" s="350" t="e">
        <f>'Ch41 Calc Data'!F6</f>
        <v>#N/A</v>
      </c>
      <c r="P8" s="350" t="e">
        <f>'Ch41 Calc Data'!F6</f>
        <v>#N/A</v>
      </c>
    </row>
    <row r="9" spans="1:16">
      <c r="A9" t="s">
        <v>5077</v>
      </c>
      <c r="C9" s="183">
        <f>IF(C7=0,0,C8/C7)</f>
        <v>0</v>
      </c>
      <c r="E9" s="183">
        <f>IF(E7=0,0,E8/E7)</f>
        <v>0</v>
      </c>
      <c r="G9" s="333">
        <f>IF(G7=0,0,G8/G7)</f>
        <v>0</v>
      </c>
      <c r="I9" s="333">
        <f>IF(I7=0,0,I8/I7)</f>
        <v>0</v>
      </c>
      <c r="N9" s="333">
        <f>IF(N7=0,0,N8/N7)</f>
        <v>0</v>
      </c>
      <c r="P9" s="333">
        <f>IF(P7=0,0,P8/P7)</f>
        <v>0</v>
      </c>
    </row>
    <row r="10" spans="1:16">
      <c r="A10" t="s">
        <v>415</v>
      </c>
      <c r="C10" s="144">
        <f>C6*C9</f>
        <v>0</v>
      </c>
      <c r="E10" s="144">
        <f>E6*E9</f>
        <v>0</v>
      </c>
      <c r="G10" s="335">
        <f>G6*G9</f>
        <v>0</v>
      </c>
      <c r="I10" s="335">
        <f>I6*I9</f>
        <v>0</v>
      </c>
      <c r="N10" s="335">
        <f>N6*N9</f>
        <v>0</v>
      </c>
      <c r="P10" s="335">
        <f>P6*P9</f>
        <v>0</v>
      </c>
    </row>
    <row r="11" spans="1:16">
      <c r="A11" t="s">
        <v>5075</v>
      </c>
      <c r="C11" s="144">
        <f>'SOF0506-CL'!F78</f>
        <v>0</v>
      </c>
      <c r="E11" s="144">
        <f>'SOF0506-CL'!F78</f>
        <v>0</v>
      </c>
      <c r="G11" s="335" t="e">
        <f>'SOF0607-CL'!F79</f>
        <v>#N/A</v>
      </c>
      <c r="I11" s="335" t="e">
        <f>'SOF0607-CL'!F79</f>
        <v>#N/A</v>
      </c>
      <c r="N11" s="335" t="e">
        <f>'SOF0607-CL'!F79</f>
        <v>#N/A</v>
      </c>
      <c r="P11" s="335" t="e">
        <f>'SOF0607-CL'!F79</f>
        <v>#N/A</v>
      </c>
    </row>
    <row r="12" spans="1:16">
      <c r="A12" t="s">
        <v>416</v>
      </c>
      <c r="C12" s="144">
        <f>C10-C11</f>
        <v>0</v>
      </c>
      <c r="E12" s="144">
        <f>E10-E11</f>
        <v>0</v>
      </c>
      <c r="G12" s="335" t="e">
        <f>G10-G11</f>
        <v>#N/A</v>
      </c>
      <c r="I12" s="335" t="e">
        <f>I10-I11</f>
        <v>#N/A</v>
      </c>
      <c r="N12" s="335" t="e">
        <f>N10-N11</f>
        <v>#N/A</v>
      </c>
      <c r="P12" s="335" t="e">
        <f>P10-P11</f>
        <v>#N/A</v>
      </c>
    </row>
    <row r="13" spans="1:16">
      <c r="A13" t="s">
        <v>417</v>
      </c>
      <c r="C13" s="183">
        <f>IF('Data Entry - SOF'!F28=0,0,('Data Entry - SOF'!F28/'Data Entry - SOF'!F31)+0.0082)</f>
        <v>0</v>
      </c>
      <c r="E13" s="183">
        <f>IF('Data Entry - SOF'!F28=0,0,('Data Entry - SOF'!F28/'Data Entry - SOF'!F31)+0.0082)</f>
        <v>0</v>
      </c>
      <c r="G13" s="333">
        <f>IF('Data Entry - SOF'!F28=0,0,('Data Entry - SOF'!F28/'Data Entry - SOF'!F31)+0.0082)</f>
        <v>0</v>
      </c>
      <c r="I13" s="333">
        <f>IF('Data Entry - SOF'!F28=0,0,('Data Entry - SOF'!F28/'Data Entry - SOF'!F31)+0.0082)</f>
        <v>0</v>
      </c>
      <c r="N13" s="333">
        <f>IF('Data Entry - SOF'!F28=0,0,('Data Entry - SOF'!F28/'Data Entry - SOF'!F31)+0.0082)</f>
        <v>0</v>
      </c>
      <c r="P13" s="333">
        <f>IF('Data Entry - SOF'!F28=0,0,('Data Entry - SOF'!F28/'Data Entry - SOF'!F31)+0.0082)</f>
        <v>0</v>
      </c>
    </row>
    <row r="14" spans="1:16">
      <c r="A14" t="s">
        <v>5078</v>
      </c>
      <c r="C14" s="345">
        <f>IF(C13&gt;0.015,C13,0.015)</f>
        <v>1.4999999999999999E-2</v>
      </c>
      <c r="E14" s="345">
        <f>IF(E13&gt;0.015,E13,0.015)</f>
        <v>1.4999999999999999E-2</v>
      </c>
      <c r="G14" s="350">
        <f>IF(G13&gt;0.015,G13,0.015)</f>
        <v>1.4999999999999999E-2</v>
      </c>
      <c r="I14" s="350">
        <f>IF(I13&gt;0.015,I13,0.015)</f>
        <v>1.4999999999999999E-2</v>
      </c>
      <c r="N14" s="350">
        <f>IF(N13&gt;0.015,N13,0.015)</f>
        <v>1.4999999999999999E-2</v>
      </c>
      <c r="P14" s="350">
        <f>IF(P13&gt;0.015,P13,0.015)</f>
        <v>1.4999999999999999E-2</v>
      </c>
    </row>
    <row r="15" spans="1:16">
      <c r="C15" s="136"/>
      <c r="E15" s="136"/>
    </row>
    <row r="16" spans="1:16" ht="15.6">
      <c r="A16" s="48" t="s">
        <v>418</v>
      </c>
      <c r="C16" s="136"/>
      <c r="E16" s="136"/>
    </row>
    <row r="17" spans="1:26">
      <c r="A17" t="s">
        <v>5079</v>
      </c>
      <c r="C17" s="144" t="e">
        <f>'Ch41 Calc Data'!E6*305000</f>
        <v>#N/A</v>
      </c>
      <c r="E17" s="144" t="e">
        <f>'Ch41 Calc Data'!E6*305000</f>
        <v>#N/A</v>
      </c>
      <c r="G17" s="335" t="e">
        <f>'Ch41 Calc Data'!F6*319500</f>
        <v>#N/A</v>
      </c>
      <c r="I17" s="335" t="e">
        <f>'Ch41 Calc Data'!F6*319500</f>
        <v>#N/A</v>
      </c>
      <c r="N17" s="335" t="e">
        <f>'Ch41 Calc Data'!F6*305000</f>
        <v>#N/A</v>
      </c>
      <c r="P17" s="335" t="e">
        <f>'Ch41 Calc Data'!F6*305000</f>
        <v>#N/A</v>
      </c>
      <c r="V17" s="335" t="e">
        <f>'Ch41 Calc Data'!F6*319500</f>
        <v>#N/A</v>
      </c>
      <c r="X17" s="335" t="e">
        <f>'Ch41 Calc Data'!F6*319500</f>
        <v>#N/A</v>
      </c>
    </row>
    <row r="18" spans="1:26">
      <c r="C18" s="136"/>
      <c r="E18" s="136"/>
    </row>
    <row r="19" spans="1:26" ht="15.6">
      <c r="A19" s="48" t="s">
        <v>419</v>
      </c>
      <c r="C19" s="136"/>
      <c r="E19" s="136"/>
    </row>
    <row r="20" spans="1:26">
      <c r="A20" t="s">
        <v>420</v>
      </c>
      <c r="C20" s="144">
        <f>C12/C14</f>
        <v>0</v>
      </c>
      <c r="E20" s="391" t="s">
        <v>20</v>
      </c>
      <c r="G20" s="335" t="e">
        <f>G12/G14</f>
        <v>#N/A</v>
      </c>
      <c r="I20" s="393" t="s">
        <v>20</v>
      </c>
      <c r="N20" s="335" t="e">
        <f>N12/N14</f>
        <v>#N/A</v>
      </c>
      <c r="P20" s="393" t="s">
        <v>20</v>
      </c>
    </row>
    <row r="21" spans="1:26">
      <c r="A21" t="s">
        <v>421</v>
      </c>
      <c r="C21" s="144" t="e">
        <f>C20/'Ch41 Calc Data'!E6</f>
        <v>#N/A</v>
      </c>
      <c r="E21" s="391" t="s">
        <v>20</v>
      </c>
      <c r="G21" s="335" t="e">
        <f>G20/'Ch41 Calc Data'!F6</f>
        <v>#N/A</v>
      </c>
      <c r="I21" s="393" t="s">
        <v>20</v>
      </c>
      <c r="K21">
        <f>K22*0.141071</f>
        <v>0.13166626666666664</v>
      </c>
      <c r="L21">
        <f>L22*0.141071</f>
        <v>0.11674847865333332</v>
      </c>
      <c r="N21" s="335" t="e">
        <f>N20/'Ch41 Calc Data'!F6</f>
        <v>#N/A</v>
      </c>
      <c r="P21" s="393" t="s">
        <v>20</v>
      </c>
    </row>
    <row r="22" spans="1:26">
      <c r="A22" t="s">
        <v>5104</v>
      </c>
      <c r="C22" s="144" t="e">
        <f>C21*((0.0892857*('Data Entry - SOF'!F101/1.5))+1)</f>
        <v>#N/A</v>
      </c>
      <c r="E22" s="391" t="s">
        <v>20</v>
      </c>
      <c r="G22" s="335" t="e">
        <f>G21*((0.141071*('Data Entry - SOF'!H101/1.33005))+1)</f>
        <v>#N/A</v>
      </c>
      <c r="I22" s="393" t="s">
        <v>20</v>
      </c>
      <c r="K22">
        <f>1.4/1.5</f>
        <v>0.93333333333333324</v>
      </c>
      <c r="L22">
        <f>1.24138/1.5</f>
        <v>0.82758666666666658</v>
      </c>
      <c r="N22" s="335" t="e">
        <f>N21*((0.0892857*('Data Entry - SOF'!F101/1.33005))+1)</f>
        <v>#N/A</v>
      </c>
      <c r="P22" s="393" t="s">
        <v>20</v>
      </c>
      <c r="V22" s="335" t="e">
        <f>G21*((0.141071*('Data Entry - SOF'!H68/1.33005))+1)</f>
        <v>#N/A</v>
      </c>
      <c r="X22" s="393" t="s">
        <v>20</v>
      </c>
    </row>
    <row r="23" spans="1:26">
      <c r="A23" t="s">
        <v>623</v>
      </c>
      <c r="C23" s="144" t="e">
        <f>C22*'Ch41 Calc Data'!E6</f>
        <v>#N/A</v>
      </c>
      <c r="E23" s="391" t="s">
        <v>20</v>
      </c>
      <c r="G23" s="335" t="e">
        <f>G22*'Ch41 Calc Data'!F6</f>
        <v>#N/A</v>
      </c>
      <c r="I23" s="393" t="s">
        <v>20</v>
      </c>
      <c r="K23">
        <f>K22*0.141071</f>
        <v>0.13166626666666664</v>
      </c>
      <c r="N23" s="335" t="e">
        <f>N22*'Ch41 Calc Data'!F6</f>
        <v>#N/A</v>
      </c>
      <c r="P23" s="393" t="s">
        <v>20</v>
      </c>
      <c r="V23" s="335" t="e">
        <f>V22*'Ch41 Calc Data'!F6</f>
        <v>#N/A</v>
      </c>
      <c r="X23" s="393" t="s">
        <v>20</v>
      </c>
    </row>
    <row r="24" spans="1:26">
      <c r="C24" s="136"/>
      <c r="E24" s="136"/>
      <c r="K24" t="e">
        <f>(K23+1)*G21</f>
        <v>#N/A</v>
      </c>
    </row>
    <row r="25" spans="1:26" ht="15.6">
      <c r="A25" s="48" t="s">
        <v>7285</v>
      </c>
      <c r="C25" s="136"/>
      <c r="E25" s="136"/>
    </row>
    <row r="26" spans="1:26">
      <c r="A26" t="s">
        <v>7286</v>
      </c>
      <c r="C26" s="144" t="e">
        <f>IF(C23&gt;C17,C23,C17)</f>
        <v>#N/A</v>
      </c>
      <c r="E26" s="144" t="e">
        <f>E17</f>
        <v>#N/A</v>
      </c>
      <c r="G26" s="335" t="e">
        <f>IF(G23&gt;G17,G23,G17)</f>
        <v>#N/A</v>
      </c>
      <c r="I26" s="335" t="e">
        <f>I17</f>
        <v>#N/A</v>
      </c>
      <c r="N26" s="335" t="e">
        <f>IF(N23&gt;N17,N23,N17)</f>
        <v>#N/A</v>
      </c>
      <c r="P26" s="335" t="e">
        <f>P17</f>
        <v>#N/A</v>
      </c>
      <c r="V26" s="335" t="e">
        <f>IF(V23&gt;V17,V23,V17)</f>
        <v>#N/A</v>
      </c>
      <c r="X26" s="335" t="e">
        <f>X17</f>
        <v>#N/A</v>
      </c>
    </row>
    <row r="27" spans="1:26">
      <c r="A27" t="s">
        <v>5416</v>
      </c>
      <c r="C27" s="144" t="e">
        <f>IF('Data Entry - SOF'!F61-C26&lt;0,0,'Data Entry - SOF'!F61-C26)</f>
        <v>#N/A</v>
      </c>
      <c r="E27" s="144" t="e">
        <f>IF('Data Entry - SOF'!F61-E26&lt;0,0,'Data Entry - SOF'!F61-E26)</f>
        <v>#N/A</v>
      </c>
      <c r="G27" s="335" t="e">
        <f>IF('Data Entry - SOF'!H61-G26&lt;0,0,'Data Entry - SOF'!H61-G26)</f>
        <v>#N/A</v>
      </c>
      <c r="I27" s="335" t="e">
        <f>IF('Data Entry - SOF'!H61-I26&lt;0,0,'Data Entry - SOF'!H61-I26)</f>
        <v>#N/A</v>
      </c>
      <c r="N27" s="335" t="e">
        <f>IF('Data Entry - SOF'!H61-N26&lt;0,0,'Data Entry - SOF'!H61-N26)</f>
        <v>#N/A</v>
      </c>
      <c r="P27" s="335" t="e">
        <f>IF('Data Entry - SOF'!H61-P26&lt;0,0,'Data Entry - SOF'!H61-P26)</f>
        <v>#N/A</v>
      </c>
      <c r="V27" s="335" t="e">
        <f>IF('Data Entry - SOF'!H61-V26&lt;0,0,'Data Entry - SOF'!H61-V26)</f>
        <v>#N/A</v>
      </c>
      <c r="X27" s="335" t="e">
        <f>IF('Data Entry - SOF'!H61-X26&lt;0,0,'Data Entry - SOF'!H61-X26)</f>
        <v>#N/A</v>
      </c>
    </row>
    <row r="28" spans="1:26">
      <c r="A28" t="s">
        <v>3241</v>
      </c>
      <c r="C28" s="183" t="e">
        <f>C27/'Data Entry - SOF'!F61</f>
        <v>#N/A</v>
      </c>
      <c r="E28" s="183" t="e">
        <f>E27/'Data Entry - SOF'!F61</f>
        <v>#N/A</v>
      </c>
      <c r="G28" s="333" t="e">
        <f>G27/'Data Entry - SOF'!H61</f>
        <v>#N/A</v>
      </c>
      <c r="I28" s="333" t="e">
        <f>I27/'Data Entry - SOF'!H61</f>
        <v>#N/A</v>
      </c>
      <c r="N28" s="333" t="e">
        <f>N27/'Data Entry - SOF'!H61</f>
        <v>#N/A</v>
      </c>
      <c r="P28" s="333" t="e">
        <f>P27/'Data Entry - SOF'!H61</f>
        <v>#N/A</v>
      </c>
      <c r="V28" s="333" t="e">
        <f>V27/'Data Entry - SOF'!H61</f>
        <v>#N/A</v>
      </c>
      <c r="X28" s="333" t="e">
        <f>X27/'Data Entry - SOF'!H61</f>
        <v>#N/A</v>
      </c>
    </row>
    <row r="29" spans="1:26">
      <c r="A29" t="s">
        <v>5890</v>
      </c>
      <c r="C29" s="392" t="e">
        <f>C26/'Ch41 Calc Data'!E6</f>
        <v>#N/A</v>
      </c>
      <c r="E29" s="392" t="e">
        <f>E26/'Ch41 Calc Data'!E6</f>
        <v>#N/A</v>
      </c>
      <c r="G29" s="394" t="e">
        <f>G26/'Ch41 Calc Data'!F6</f>
        <v>#N/A</v>
      </c>
      <c r="I29" s="394" t="e">
        <f>I26/'Ch41 Calc Data'!F6</f>
        <v>#N/A</v>
      </c>
      <c r="N29" s="394" t="e">
        <f>N26/'Ch41 Calc Data'!F6</f>
        <v>#N/A</v>
      </c>
      <c r="P29" s="394" t="e">
        <f>P26/'Ch41 Calc Data'!F6</f>
        <v>#N/A</v>
      </c>
      <c r="V29" s="394" t="e">
        <f>V26/'Ch41 Calc Data'!F6</f>
        <v>#N/A</v>
      </c>
      <c r="X29" s="394" t="e">
        <f>X26/'Ch41 Calc Data'!F6</f>
        <v>#N/A</v>
      </c>
    </row>
    <row r="30" spans="1:26">
      <c r="C30" s="136"/>
      <c r="E30" s="136"/>
      <c r="V30" s="71" t="s">
        <v>5337</v>
      </c>
    </row>
    <row r="31" spans="1:26" ht="15.6">
      <c r="A31" s="48" t="s">
        <v>3242</v>
      </c>
      <c r="C31" s="136"/>
      <c r="E31" s="136"/>
      <c r="K31" s="308" t="e">
        <f>'Calc Data'!F43</f>
        <v>#N/A</v>
      </c>
      <c r="Z31" s="215" t="e">
        <f>'Calc Data'!F43</f>
        <v>#N/A</v>
      </c>
    </row>
    <row r="32" spans="1:26">
      <c r="A32" t="s">
        <v>6297</v>
      </c>
      <c r="C32" s="446"/>
      <c r="E32" s="446"/>
      <c r="G32" s="394" t="e">
        <f>K31</f>
        <v>#N/A</v>
      </c>
      <c r="I32" s="394" t="e">
        <f>G32</f>
        <v>#N/A</v>
      </c>
      <c r="K32" s="394" t="e">
        <f>IF('Data Entry - SOF'!H69&lt;=('Data Entry - SOF'!F67*0.8867),K31,0)</f>
        <v>#N/A</v>
      </c>
      <c r="N32" s="452">
        <f>IF('Data Entry - SOF'!O69&lt;=('Data Entry - SOF'!M67*0.8867),'Data Entry - SOF'!O70,0)</f>
        <v>0</v>
      </c>
      <c r="P32" s="452">
        <f>N32</f>
        <v>0</v>
      </c>
      <c r="V32" s="394" t="e">
        <f>Z31</f>
        <v>#N/A</v>
      </c>
      <c r="W32" s="132"/>
      <c r="X32" s="394" t="e">
        <f>V32</f>
        <v>#N/A</v>
      </c>
    </row>
    <row r="33" spans="1:26">
      <c r="A33" t="s">
        <v>6646</v>
      </c>
      <c r="C33" s="446"/>
      <c r="E33" s="446"/>
      <c r="G33" s="394" t="e">
        <f>'Calc Data'!F50</f>
        <v>#N/A</v>
      </c>
      <c r="I33" s="394" t="e">
        <f>G33</f>
        <v>#N/A</v>
      </c>
      <c r="K33" s="215"/>
      <c r="N33" s="452" t="str">
        <f>R34</f>
        <v>Recapture @305,000</v>
      </c>
      <c r="P33" s="452" t="str">
        <f>R34</f>
        <v>Recapture @305,000</v>
      </c>
      <c r="R33" t="s">
        <v>3124</v>
      </c>
      <c r="V33" s="394" t="e">
        <f>Z34</f>
        <v>#N/A</v>
      </c>
      <c r="W33" s="132"/>
      <c r="X33" s="394" t="e">
        <f>Z34</f>
        <v>#N/A</v>
      </c>
    </row>
    <row r="34" spans="1:26">
      <c r="A34" t="s">
        <v>5352</v>
      </c>
      <c r="C34" s="446"/>
      <c r="E34" s="446"/>
      <c r="G34" s="394" t="e">
        <f>G32+G33</f>
        <v>#N/A</v>
      </c>
      <c r="I34" s="394" t="e">
        <f>I32+I33</f>
        <v>#N/A</v>
      </c>
      <c r="K34" s="215" t="e">
        <f>IF('Data Entry - SOF'!H69&gt;(('Data Entry - SOF'!F67*0.8867)+0.04),(('Data Entry - SOF'!H69-(('Data Entry - SOF'!F67*0.8867)+0.04))*100)*('Data Entry - SOF'!#REF!/('Data Entry - SOF'!H68*100)),0)</f>
        <v>#N/A</v>
      </c>
      <c r="N34" s="452" t="e">
        <f>R35</f>
        <v>#N/A</v>
      </c>
      <c r="P34" s="452" t="e">
        <f>R35</f>
        <v>#N/A</v>
      </c>
      <c r="R34" t="s">
        <v>3123</v>
      </c>
      <c r="V34" s="394" t="e">
        <f>V32+V33</f>
        <v>#N/A</v>
      </c>
      <c r="W34" s="132"/>
      <c r="X34" s="394" t="e">
        <f>X32+X33</f>
        <v>#N/A</v>
      </c>
      <c r="Z34" s="215" t="e">
        <f>'Calc Data'!F50</f>
        <v>#N/A</v>
      </c>
    </row>
    <row r="35" spans="1:26">
      <c r="A35" t="s">
        <v>3243</v>
      </c>
      <c r="C35" s="144" t="e">
        <f>C28*('Data Entry - SOF'!F70-'Data Entry - SOF'!F105)</f>
        <v>#N/A</v>
      </c>
      <c r="E35" s="144" t="e">
        <f>E28*('Data Entry - SOF'!F70-'Data Entry - SOF'!F105)</f>
        <v>#N/A</v>
      </c>
      <c r="G35" s="335" t="e">
        <f>G28*(G34-'Data Entry - SOF'!H105)</f>
        <v>#N/A</v>
      </c>
      <c r="I35" s="335" t="e">
        <f>I28*(I34-'Data Entry - SOF'!H105)</f>
        <v>#N/A</v>
      </c>
      <c r="K35" s="215"/>
      <c r="N35" s="335" t="e">
        <f>N28*('Data Entry - SOF'!H72-'Data Entry - SOF'!H105)</f>
        <v>#N/A</v>
      </c>
      <c r="P35" s="335" t="e">
        <f>P28*('Calc Data'!E92-'Data Entry - SOF'!H105)</f>
        <v>#N/A</v>
      </c>
      <c r="R35" s="335" t="e">
        <f>N28*(G34-'Data Entry - SOF'!H105)</f>
        <v>#N/A</v>
      </c>
      <c r="S35" s="335" t="e">
        <f>P28*(I34-'Data Entry - SOF'!H105)</f>
        <v>#N/A</v>
      </c>
      <c r="V35" s="335" t="e">
        <f>V28*(V34-'Data Entry - SOF'!H105)</f>
        <v>#N/A</v>
      </c>
      <c r="W35" s="132"/>
      <c r="X35" s="335" t="e">
        <f>I28*(X34-'Data Entry - SOF'!H105)</f>
        <v>#N/A</v>
      </c>
    </row>
    <row r="36" spans="1:26">
      <c r="A36" s="132" t="s">
        <v>3189</v>
      </c>
      <c r="C36" s="397" t="e">
        <f>C27/IF(C29&lt;305000,305000,C29)</f>
        <v>#N/A</v>
      </c>
      <c r="E36" s="397" t="e">
        <f>E27/E29</f>
        <v>#N/A</v>
      </c>
      <c r="G36" s="399" t="e">
        <f>G27/IF(G29&lt;319500,319500,G29)</f>
        <v>#N/A</v>
      </c>
      <c r="I36" s="399" t="e">
        <f>I27/I29</f>
        <v>#N/A</v>
      </c>
      <c r="N36" s="399" t="e">
        <f>N27/IF(N29&lt;305000,305000,N29)</f>
        <v>#N/A</v>
      </c>
      <c r="P36" s="399" t="e">
        <f>P27/P29</f>
        <v>#N/A</v>
      </c>
      <c r="V36" s="399" t="e">
        <f>V27/IF(V29&lt;319500,319500,V29)</f>
        <v>#N/A</v>
      </c>
      <c r="W36" s="132"/>
      <c r="X36" s="399" t="e">
        <f>I27/I29</f>
        <v>#N/A</v>
      </c>
    </row>
    <row r="37" spans="1:26">
      <c r="A37" s="123" t="s">
        <v>4936</v>
      </c>
      <c r="C37" s="398" t="e">
        <f>IF(C36=0,0,C35/C36)</f>
        <v>#N/A</v>
      </c>
      <c r="E37" s="398" t="e">
        <f>IF(E36=0,0,E35/E36)</f>
        <v>#N/A</v>
      </c>
      <c r="G37" s="400" t="e">
        <f>IF(G36=0,0,G35/G36)</f>
        <v>#N/A</v>
      </c>
      <c r="I37" s="400" t="e">
        <f>IF(I36=0,0,I35/I36)</f>
        <v>#N/A</v>
      </c>
      <c r="N37" s="400" t="e">
        <f>IF(N36=0,0,N35/N36)</f>
        <v>#N/A</v>
      </c>
      <c r="P37" s="400" t="e">
        <f>IF(P36=0,0,P35/P36)</f>
        <v>#N/A</v>
      </c>
      <c r="R37" s="5" t="e">
        <f>MIN(R35,S35)</f>
        <v>#N/A</v>
      </c>
      <c r="S37" s="71" t="s">
        <v>3126</v>
      </c>
      <c r="V37" s="400" t="e">
        <f>IF(V36=0,0,V35/V36)</f>
        <v>#N/A</v>
      </c>
      <c r="W37" s="132"/>
      <c r="X37" s="400" t="e">
        <f>IF(X36=0,0,X35/X36)</f>
        <v>#N/A</v>
      </c>
    </row>
    <row r="38" spans="1:26">
      <c r="A38" s="123" t="s">
        <v>4977</v>
      </c>
      <c r="C38" s="397">
        <f>IF('Data Entry - SOF'!F110=0,0,IF('Data Entry - SOF'!F110&gt;C37,(C37*'Data Entry - SOF'!F109)/C37,('Data Entry - SOF'!F110*'Data Entry - SOF'!F109)/C37))</f>
        <v>0</v>
      </c>
      <c r="E38" s="397">
        <f>C38</f>
        <v>0</v>
      </c>
      <c r="G38" s="399">
        <f>IF('Data Entry - SOF'!H110=0,0,IF('Data Entry - SOF'!H110&gt;G37,(G37*'Data Entry - SOF'!H109)/G37,('Data Entry - SOF'!H110*'Data Entry - SOF'!H109)/G37))</f>
        <v>0</v>
      </c>
      <c r="I38" s="399">
        <f>G38</f>
        <v>0</v>
      </c>
      <c r="K38">
        <f>3600002/124.138</f>
        <v>29000</v>
      </c>
      <c r="N38" s="399">
        <f>IF('Data Entry - SOF'!H110=0,0,IF('Data Entry - SOF'!H110&gt;N37,(N37*'Data Entry - SOF'!H109)/N37,('Data Entry - SOF'!H110*'Data Entry - SOF'!H109)/N37))</f>
        <v>0</v>
      </c>
      <c r="P38" s="399">
        <f>N38</f>
        <v>0</v>
      </c>
      <c r="R38" s="74" t="e">
        <f>MIN(G35,I35)</f>
        <v>#N/A</v>
      </c>
      <c r="S38" s="71" t="s">
        <v>3127</v>
      </c>
      <c r="V38" s="399">
        <f>IF('Data Entry - SOF'!H110=0,0,IF('Data Entry - SOF'!H110&gt;V37,(V37*'Data Entry - SOF'!H109)/V37,('Data Entry - SOF'!H110*'Data Entry - SOF'!H109)/V37))</f>
        <v>0</v>
      </c>
      <c r="W38" s="132"/>
      <c r="X38" s="399">
        <f>V38</f>
        <v>0</v>
      </c>
    </row>
    <row r="39" spans="1:26">
      <c r="A39" s="123" t="s">
        <v>580</v>
      </c>
      <c r="C39" s="397">
        <f>IF('Data Entry - SOF'!F111=0,0,IF(C37&lt;=0,0,'Data Entry - SOF'!F111/C37))</f>
        <v>0</v>
      </c>
      <c r="E39" s="397">
        <f>C39</f>
        <v>0</v>
      </c>
      <c r="G39" s="399">
        <f>IF('Data Entry - SOF'!H111=0,0,IF(G37&lt;=0,0,'Data Entry - SOF'!H111/G37))</f>
        <v>0</v>
      </c>
      <c r="I39" s="399">
        <f>G39</f>
        <v>0</v>
      </c>
      <c r="K39">
        <f>K38*11.862</f>
        <v>343998</v>
      </c>
      <c r="N39" s="399">
        <f>IF('Data Entry - SOF'!H111=0,0,'Data Entry - SOF'!H111/N37)</f>
        <v>0</v>
      </c>
      <c r="P39" s="399">
        <f>N39</f>
        <v>0</v>
      </c>
      <c r="R39" s="5" t="e">
        <f>R37-R38</f>
        <v>#N/A</v>
      </c>
      <c r="S39" t="s">
        <v>3125</v>
      </c>
      <c r="V39" s="399">
        <f>IF('Data Entry - SOF'!H111=0,0,'Data Entry - SOF'!H111/V37)</f>
        <v>0</v>
      </c>
      <c r="W39" s="132"/>
      <c r="X39" s="399">
        <f>V39</f>
        <v>0</v>
      </c>
    </row>
    <row r="40" spans="1:26">
      <c r="A40" s="57" t="s">
        <v>1327</v>
      </c>
      <c r="C40" s="397" t="e">
        <f>IF(C36-C38-C39&lt;0,0,C36-C38-C39)</f>
        <v>#N/A</v>
      </c>
      <c r="E40" s="397" t="e">
        <f>IF(E36-E38-E39&lt;0,0,E36-E38-E39)</f>
        <v>#N/A</v>
      </c>
      <c r="G40" s="399" t="e">
        <f>IF(G36-G38-G39&lt;0,0,G36-G38-G39)</f>
        <v>#N/A</v>
      </c>
      <c r="I40" s="399" t="e">
        <f>IF(I36-I38-I39&lt;0,0,I36-I38-I39)</f>
        <v>#N/A</v>
      </c>
      <c r="N40" s="399" t="e">
        <f>IF(N36-N38-N39&lt;0,0,N36-N38-N39)</f>
        <v>#N/A</v>
      </c>
      <c r="P40" s="399" t="e">
        <f>IF(P36-P38-P39&lt;0,0,P36-P38-P39)</f>
        <v>#N/A</v>
      </c>
      <c r="V40" s="399" t="e">
        <f>IF(V36-V38-V39&lt;0,0,V36-V38-V39)</f>
        <v>#N/A</v>
      </c>
      <c r="W40" s="132"/>
      <c r="X40" s="399" t="e">
        <f>IF(X36-X38-X39&lt;0,0,X36-X38-X39)</f>
        <v>#N/A</v>
      </c>
    </row>
    <row r="41" spans="1:26">
      <c r="A41" s="123" t="s">
        <v>581</v>
      </c>
      <c r="C41" s="392" t="e">
        <f>IF(C40=0,0,C40*C37)</f>
        <v>#N/A</v>
      </c>
      <c r="E41" s="392" t="e">
        <f>IF(E40=0,0,E40*E37)</f>
        <v>#N/A</v>
      </c>
      <c r="G41" s="394" t="e">
        <f>IF(G40=0,0,G40*G37)</f>
        <v>#N/A</v>
      </c>
      <c r="I41" s="394" t="e">
        <f>IF(I40=0,0,I40*I37)</f>
        <v>#N/A</v>
      </c>
      <c r="N41" s="394" t="e">
        <f>IF(N40=0,0,N40*N37)</f>
        <v>#N/A</v>
      </c>
      <c r="P41" s="394" t="e">
        <f>IF(P40=0,0,P40*P37)</f>
        <v>#N/A</v>
      </c>
      <c r="R41" s="335" t="e">
        <f>N28*'Salary Transition'!X62</f>
        <v>#N/A</v>
      </c>
      <c r="S41" s="71" t="s">
        <v>276</v>
      </c>
      <c r="V41" s="394" t="e">
        <f>IF(V40=0,0,V40*V37)</f>
        <v>#N/A</v>
      </c>
      <c r="W41" s="132"/>
      <c r="X41" s="394" t="e">
        <f>IF(X40=0,0,X40*X37)</f>
        <v>#N/A</v>
      </c>
    </row>
    <row r="42" spans="1:26">
      <c r="A42" s="123"/>
      <c r="C42" s="136"/>
      <c r="E42" s="136"/>
      <c r="K42">
        <f>4060000-3600002</f>
        <v>459998</v>
      </c>
      <c r="V42" s="132"/>
      <c r="W42" s="132"/>
      <c r="X42" s="132"/>
    </row>
    <row r="43" spans="1:26">
      <c r="A43" s="27" t="s">
        <v>582</v>
      </c>
      <c r="C43" s="136"/>
      <c r="E43" s="136"/>
      <c r="V43" s="132"/>
      <c r="W43" s="132"/>
      <c r="X43" s="132"/>
    </row>
    <row r="44" spans="1:26">
      <c r="A44" s="123" t="s">
        <v>5891</v>
      </c>
      <c r="C44" s="390" t="e">
        <f>IF(C58&gt;C59,C59,C58)</f>
        <v>#N/A</v>
      </c>
      <c r="E44" s="390" t="e">
        <f>IF(E58&gt;E59,E59,E58)</f>
        <v>#N/A</v>
      </c>
      <c r="G44" s="364" t="e">
        <f>IF(G58&gt;G59,G59,G58)</f>
        <v>#N/A</v>
      </c>
      <c r="I44" s="364" t="e">
        <f>IF(I58&gt;I59,I59,I58)</f>
        <v>#N/A</v>
      </c>
      <c r="K44">
        <f>4*K38</f>
        <v>116000</v>
      </c>
      <c r="N44" s="364" t="e">
        <f>IF(N58&gt;N59,N59,N58)</f>
        <v>#N/A</v>
      </c>
      <c r="P44" s="364" t="e">
        <f>IF(P58&gt;P59,P59,P58)</f>
        <v>#N/A</v>
      </c>
      <c r="V44" s="364" t="e">
        <f>IF(V58&gt;V59,V59,V58)</f>
        <v>#N/A</v>
      </c>
      <c r="W44" s="132"/>
      <c r="X44" s="364" t="e">
        <f>IF(X58&gt;X59,X59,X58)</f>
        <v>#N/A</v>
      </c>
    </row>
    <row r="45" spans="1:26">
      <c r="A45" s="123" t="s">
        <v>2210</v>
      </c>
      <c r="C45" s="390" t="e">
        <f>'Data Entry - SOF'!F106*(C35/'Data Entry - SOF'!F70)</f>
        <v>#N/A</v>
      </c>
      <c r="E45" s="390">
        <f>IF('Data Entry - SOF'!F107&gt;E61,E61,'Data Entry - SOF'!F107)</f>
        <v>0</v>
      </c>
      <c r="G45" s="364" t="e">
        <f>'Data Entry - SOF'!H106*(G35/G34)</f>
        <v>#N/A</v>
      </c>
      <c r="I45" s="364">
        <f>IF('Data Entry - SOF'!H107&gt;I61,I61,'Data Entry - SOF'!H107)</f>
        <v>0</v>
      </c>
      <c r="K45">
        <f>K44+K39</f>
        <v>459998</v>
      </c>
      <c r="N45" s="364" t="e">
        <f>'Data Entry - SOF'!H106*(N35/'Data Entry - SOF'!H72)</f>
        <v>#N/A</v>
      </c>
      <c r="P45" s="364">
        <f>'Data Entry - SOF'!H107</f>
        <v>0</v>
      </c>
      <c r="V45" s="364" t="e">
        <f>'Data Entry - SOF'!H106*(V35/V34)</f>
        <v>#N/A</v>
      </c>
      <c r="W45" s="132"/>
      <c r="X45" s="364">
        <f>'Data Entry - SOF'!H107</f>
        <v>0</v>
      </c>
    </row>
    <row r="46" spans="1:26">
      <c r="A46" s="123"/>
      <c r="C46" s="299"/>
      <c r="E46" s="299"/>
      <c r="G46" s="395"/>
      <c r="I46" s="395"/>
      <c r="N46" s="395"/>
      <c r="P46" s="395"/>
      <c r="V46" s="395"/>
      <c r="W46" s="132"/>
      <c r="X46" s="395"/>
    </row>
    <row r="47" spans="1:26" ht="13.8" thickBot="1">
      <c r="A47" s="27" t="s">
        <v>2850</v>
      </c>
      <c r="C47" s="301" t="e">
        <f>IF(C41-C44-C45&lt;0,0,C41-C44-C45)</f>
        <v>#N/A</v>
      </c>
      <c r="E47" s="301" t="e">
        <f>IF(E41-E44-E45&lt;0,0,E41-E44-E45)</f>
        <v>#N/A</v>
      </c>
      <c r="G47" s="396" t="e">
        <f>IF(G41-G44-G45&lt;0,0,G41-G44-G45)</f>
        <v>#N/A</v>
      </c>
      <c r="I47" s="396" t="e">
        <f>IF(I41-I44-I45&lt;0,0,I41-I44-I45)</f>
        <v>#N/A</v>
      </c>
      <c r="N47" s="396" t="e">
        <f>IF(N41-N44-N45&lt;0,0,N41-N44-N45)</f>
        <v>#N/A</v>
      </c>
      <c r="P47" s="396" t="e">
        <f>IF(P41-P44-P45&lt;0,0,P41-P44-P45)</f>
        <v>#N/A</v>
      </c>
      <c r="V47" s="396" t="e">
        <f>IF(V41-V44-V45&lt;0,0,V41-V44-V45)</f>
        <v>#N/A</v>
      </c>
      <c r="W47" s="132"/>
      <c r="X47" s="396" t="e">
        <f>IF(X41-X44-X45&lt;0,0,X41-X44-X45)</f>
        <v>#N/A</v>
      </c>
    </row>
    <row r="48" spans="1:26" ht="13.8" thickTop="1"/>
    <row r="51" spans="1:24">
      <c r="A51" s="176" t="s">
        <v>5120</v>
      </c>
    </row>
    <row r="52" spans="1:24">
      <c r="A52" s="132" t="s">
        <v>3190</v>
      </c>
    </row>
    <row r="57" spans="1:24">
      <c r="V57" s="132"/>
      <c r="W57" s="132"/>
      <c r="X57" s="132"/>
    </row>
    <row r="58" spans="1:24">
      <c r="C58" s="215" t="e">
        <f>C35*0.04</f>
        <v>#N/A</v>
      </c>
      <c r="E58" s="215" t="e">
        <f>E35*0.05</f>
        <v>#N/A</v>
      </c>
      <c r="G58" s="395" t="e">
        <f>G35*0.04</f>
        <v>#N/A</v>
      </c>
      <c r="I58" s="395" t="e">
        <f>I35*0.05</f>
        <v>#N/A</v>
      </c>
      <c r="N58" s="395" t="e">
        <f>N35*0.04</f>
        <v>#N/A</v>
      </c>
      <c r="P58" s="395" t="e">
        <f>P35*0.05</f>
        <v>#N/A</v>
      </c>
      <c r="V58" s="395" t="e">
        <f>V35*0.04</f>
        <v>#N/A</v>
      </c>
      <c r="W58" s="132"/>
      <c r="X58" s="395" t="e">
        <f>X35*0.05</f>
        <v>#N/A</v>
      </c>
    </row>
    <row r="59" spans="1:24">
      <c r="C59" s="215" t="e">
        <f>C36*80</f>
        <v>#N/A</v>
      </c>
      <c r="E59" s="215" t="e">
        <f>'Ch41 Calc Data'!E6*100</f>
        <v>#N/A</v>
      </c>
      <c r="G59" s="395" t="e">
        <f>G36*80</f>
        <v>#N/A</v>
      </c>
      <c r="I59" s="395" t="e">
        <f>'Ch41 Calc Data'!F6*100</f>
        <v>#N/A</v>
      </c>
      <c r="N59" s="395" t="e">
        <f>N36*80</f>
        <v>#N/A</v>
      </c>
      <c r="P59" s="395" t="e">
        <f>'Ch41 Calc Data'!F6*100</f>
        <v>#N/A</v>
      </c>
      <c r="V59" s="395" t="e">
        <f>V36*80</f>
        <v>#N/A</v>
      </c>
      <c r="W59" s="132"/>
      <c r="X59" s="395" t="e">
        <f>'Ch41 Calc Data'!F6*100</f>
        <v>#N/A</v>
      </c>
    </row>
    <row r="61" spans="1:24">
      <c r="D61" s="294" t="s">
        <v>2208</v>
      </c>
      <c r="E61" s="132">
        <f>IF('Data Entry - SOF'!F107=0,0,'Data Entry - SOF'!F106*('Option Costs'!E35/'Data Entry - SOF'!F70))</f>
        <v>0</v>
      </c>
      <c r="H61" s="294" t="s">
        <v>2208</v>
      </c>
      <c r="I61" s="132">
        <f>IF('Data Entry - SOF'!H107=0,0,'Data Entry - SOF'!H106*('Option Costs'!I35/'Option Costs'!I34))</f>
        <v>0</v>
      </c>
    </row>
  </sheetData>
  <sheetProtection sheet="1" objects="1" scenarios="1"/>
  <phoneticPr fontId="33" type="noConversion"/>
  <pageMargins left="0.25" right="0.25" top="0.5" bottom="0.5" header="0.5" footer="0.5"/>
  <pageSetup scale="74" orientation="portrait" r:id="rId1"/>
  <headerFooter alignWithMargins="0">
    <oddFooter>&amp;L&amp;G</oddFooter>
  </headerFooter>
  <legacyDrawingHF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41"/>
  <dimension ref="A1:G1038"/>
  <sheetViews>
    <sheetView workbookViewId="0">
      <selection activeCell="D5" sqref="D5"/>
    </sheetView>
  </sheetViews>
  <sheetFormatPr defaultRowHeight="13.2"/>
  <cols>
    <col min="2" max="3" width="30.44140625" customWidth="1"/>
    <col min="4" max="4" width="20.21875" customWidth="1"/>
    <col min="5" max="5" width="15.5546875" customWidth="1"/>
    <col min="6" max="6" width="16.21875" customWidth="1"/>
    <col min="7" max="7" width="14.21875" customWidth="1"/>
  </cols>
  <sheetData>
    <row r="1" spans="1:7">
      <c r="A1" s="214"/>
      <c r="B1" s="214"/>
      <c r="C1" s="214" t="s">
        <v>1756</v>
      </c>
      <c r="D1" s="214"/>
      <c r="E1" s="214"/>
      <c r="F1" s="214"/>
    </row>
    <row r="2" spans="1:7">
      <c r="A2" s="422"/>
      <c r="B2" s="422" t="s">
        <v>1757</v>
      </c>
      <c r="C2" s="214" t="s">
        <v>1758</v>
      </c>
      <c r="D2" s="214" t="s">
        <v>2081</v>
      </c>
      <c r="E2" s="422" t="s">
        <v>2080</v>
      </c>
      <c r="F2" s="214" t="s">
        <v>5234</v>
      </c>
      <c r="G2" s="214" t="s">
        <v>5235</v>
      </c>
    </row>
    <row r="3" spans="1:7">
      <c r="A3" s="422"/>
      <c r="B3" s="422" t="s">
        <v>1759</v>
      </c>
      <c r="C3" s="214" t="s">
        <v>1760</v>
      </c>
      <c r="D3" s="214" t="s">
        <v>6291</v>
      </c>
      <c r="E3" s="422" t="s">
        <v>6291</v>
      </c>
      <c r="F3" s="214" t="s">
        <v>1761</v>
      </c>
      <c r="G3" s="214" t="s">
        <v>1762</v>
      </c>
    </row>
    <row r="4" spans="1:7">
      <c r="A4" s="187"/>
      <c r="B4" s="187"/>
      <c r="C4" s="187"/>
      <c r="D4" s="187"/>
      <c r="E4" s="187"/>
      <c r="F4" s="187"/>
    </row>
    <row r="5" spans="1:7">
      <c r="A5" s="216" t="s">
        <v>3890</v>
      </c>
      <c r="B5" s="423" t="s">
        <v>1763</v>
      </c>
      <c r="C5" s="246">
        <v>210287639</v>
      </c>
      <c r="D5" s="187">
        <v>552.28300000000002</v>
      </c>
      <c r="E5" s="187">
        <v>552.28300000000002</v>
      </c>
      <c r="F5" s="187">
        <v>0</v>
      </c>
      <c r="G5" s="187">
        <v>0</v>
      </c>
    </row>
    <row r="6" spans="1:7">
      <c r="A6" s="216" t="s">
        <v>694</v>
      </c>
      <c r="B6" s="423" t="s">
        <v>1764</v>
      </c>
      <c r="C6" s="246">
        <v>133130868</v>
      </c>
      <c r="D6" s="187">
        <v>1162.8209999999999</v>
      </c>
      <c r="E6" s="187">
        <v>1162.8209999999999</v>
      </c>
      <c r="F6" s="187">
        <v>0</v>
      </c>
      <c r="G6" s="187">
        <v>0</v>
      </c>
    </row>
    <row r="7" spans="1:7">
      <c r="A7" s="216" t="s">
        <v>696</v>
      </c>
      <c r="B7" s="423" t="s">
        <v>1765</v>
      </c>
      <c r="C7" s="246">
        <v>174320262</v>
      </c>
      <c r="D7" s="187">
        <v>749.49900000000002</v>
      </c>
      <c r="E7" s="187">
        <v>749.49900000000002</v>
      </c>
      <c r="F7" s="246">
        <v>159099</v>
      </c>
      <c r="G7" s="187">
        <v>0</v>
      </c>
    </row>
    <row r="8" spans="1:7">
      <c r="A8" s="216" t="s">
        <v>698</v>
      </c>
      <c r="B8" s="423" t="s">
        <v>1766</v>
      </c>
      <c r="C8" s="246">
        <v>58998336</v>
      </c>
      <c r="D8" s="187">
        <v>299.036</v>
      </c>
      <c r="E8" s="187">
        <v>299.036</v>
      </c>
      <c r="F8" s="187">
        <v>0</v>
      </c>
      <c r="G8" s="187">
        <v>0</v>
      </c>
    </row>
    <row r="9" spans="1:7">
      <c r="A9" s="216" t="s">
        <v>700</v>
      </c>
      <c r="B9" s="423" t="s">
        <v>1767</v>
      </c>
      <c r="C9" s="246">
        <v>677216228</v>
      </c>
      <c r="D9" s="187">
        <v>3112.4740000000002</v>
      </c>
      <c r="E9" s="187">
        <v>3112.4740000000002</v>
      </c>
      <c r="F9" s="246">
        <v>771864</v>
      </c>
      <c r="G9" s="187">
        <v>0</v>
      </c>
    </row>
    <row r="10" spans="1:7">
      <c r="A10" s="216" t="s">
        <v>1491</v>
      </c>
      <c r="B10" s="423" t="s">
        <v>1768</v>
      </c>
      <c r="C10" s="246">
        <v>328646226</v>
      </c>
      <c r="D10" s="187">
        <v>1642.2339999999999</v>
      </c>
      <c r="E10" s="187">
        <v>1642.2339999999999</v>
      </c>
      <c r="F10" s="187">
        <v>0</v>
      </c>
      <c r="G10" s="187">
        <v>0</v>
      </c>
    </row>
    <row r="11" spans="1:7">
      <c r="A11" s="216" t="s">
        <v>6212</v>
      </c>
      <c r="B11" s="423" t="s">
        <v>1769</v>
      </c>
      <c r="C11" s="246">
        <v>71659752</v>
      </c>
      <c r="D11" s="187">
        <v>351.161</v>
      </c>
      <c r="E11" s="187">
        <v>351.161</v>
      </c>
      <c r="F11" s="187">
        <v>0</v>
      </c>
      <c r="G11" s="187">
        <v>0</v>
      </c>
    </row>
    <row r="12" spans="1:7">
      <c r="A12" s="216" t="s">
        <v>2753</v>
      </c>
      <c r="B12" s="423" t="s">
        <v>5003</v>
      </c>
      <c r="C12" s="246">
        <v>1761919303</v>
      </c>
      <c r="D12" s="187">
        <v>2662.3670000000002</v>
      </c>
      <c r="E12" s="187">
        <v>2662.3670000000002</v>
      </c>
      <c r="F12" s="246">
        <v>3553734</v>
      </c>
      <c r="G12" s="187">
        <v>0</v>
      </c>
    </row>
    <row r="13" spans="1:7">
      <c r="A13" s="216" t="s">
        <v>3080</v>
      </c>
      <c r="B13" s="423" t="s">
        <v>3853</v>
      </c>
      <c r="C13" s="246">
        <v>199616755</v>
      </c>
      <c r="D13" s="187">
        <v>2218.3049999999998</v>
      </c>
      <c r="E13" s="187">
        <v>2218.3049999999998</v>
      </c>
      <c r="F13" s="246">
        <v>100941</v>
      </c>
      <c r="G13" s="246">
        <v>132265</v>
      </c>
    </row>
    <row r="14" spans="1:7">
      <c r="A14" s="216" t="s">
        <v>2842</v>
      </c>
      <c r="B14" s="423" t="s">
        <v>5004</v>
      </c>
      <c r="C14" s="246">
        <v>1716572716</v>
      </c>
      <c r="D14" s="187">
        <v>7767.2290000000003</v>
      </c>
      <c r="E14" s="187">
        <v>7767.2290000000003</v>
      </c>
      <c r="F14" s="246">
        <v>1427477</v>
      </c>
      <c r="G14" s="187">
        <v>0</v>
      </c>
    </row>
    <row r="15" spans="1:7">
      <c r="A15" s="216" t="s">
        <v>1874</v>
      </c>
      <c r="B15" s="423" t="s">
        <v>3857</v>
      </c>
      <c r="C15" s="246">
        <v>136605347</v>
      </c>
      <c r="D15" s="187">
        <v>1543.95</v>
      </c>
      <c r="E15" s="187">
        <v>1543.95</v>
      </c>
      <c r="F15" s="246">
        <v>113866</v>
      </c>
      <c r="G15" s="246">
        <v>80725</v>
      </c>
    </row>
    <row r="16" spans="1:7">
      <c r="A16" s="216" t="s">
        <v>2844</v>
      </c>
      <c r="B16" s="423" t="s">
        <v>5005</v>
      </c>
      <c r="C16" s="246">
        <v>228096039</v>
      </c>
      <c r="D16" s="187">
        <v>1781.0250000000001</v>
      </c>
      <c r="E16" s="187">
        <v>1781.0250000000001</v>
      </c>
      <c r="F16" s="187">
        <v>0</v>
      </c>
      <c r="G16" s="187">
        <v>0</v>
      </c>
    </row>
    <row r="17" spans="1:7">
      <c r="A17" s="216" t="s">
        <v>2846</v>
      </c>
      <c r="B17" s="423" t="s">
        <v>5006</v>
      </c>
      <c r="C17" s="246">
        <v>62838846</v>
      </c>
      <c r="D17" s="187">
        <v>423.83199999999999</v>
      </c>
      <c r="E17" s="187">
        <v>423.83199999999999</v>
      </c>
      <c r="F17" s="246">
        <v>42534</v>
      </c>
      <c r="G17" s="187">
        <v>0</v>
      </c>
    </row>
    <row r="18" spans="1:7">
      <c r="A18" s="216" t="s">
        <v>2848</v>
      </c>
      <c r="B18" s="423" t="s">
        <v>5007</v>
      </c>
      <c r="C18" s="246">
        <v>144236362</v>
      </c>
      <c r="D18" s="187">
        <v>1566.327</v>
      </c>
      <c r="E18" s="187">
        <v>1566.327</v>
      </c>
      <c r="F18" s="187">
        <v>0</v>
      </c>
      <c r="G18" s="187">
        <v>0</v>
      </c>
    </row>
    <row r="19" spans="1:7">
      <c r="A19" s="216" t="s">
        <v>1225</v>
      </c>
      <c r="B19" s="423" t="s">
        <v>5008</v>
      </c>
      <c r="C19" s="246">
        <v>1336527462</v>
      </c>
      <c r="D19" s="187">
        <v>3097.6979999999999</v>
      </c>
      <c r="E19" s="187">
        <v>3097.6979999999999</v>
      </c>
      <c r="F19" s="246">
        <v>1119276</v>
      </c>
      <c r="G19" s="187">
        <v>0</v>
      </c>
    </row>
    <row r="20" spans="1:7">
      <c r="A20" s="216" t="s">
        <v>1227</v>
      </c>
      <c r="B20" s="423" t="s">
        <v>4094</v>
      </c>
      <c r="C20" s="246">
        <v>113158016</v>
      </c>
      <c r="D20" s="187">
        <v>511.298</v>
      </c>
      <c r="E20" s="187">
        <v>511.298</v>
      </c>
      <c r="F20" s="246">
        <v>82688</v>
      </c>
      <c r="G20" s="187">
        <v>0</v>
      </c>
    </row>
    <row r="21" spans="1:7">
      <c r="A21" s="216" t="s">
        <v>1229</v>
      </c>
      <c r="B21" s="423" t="s">
        <v>4095</v>
      </c>
      <c r="C21" s="246">
        <v>146534157</v>
      </c>
      <c r="D21" s="187">
        <v>827.88800000000003</v>
      </c>
      <c r="E21" s="187">
        <v>827.88800000000003</v>
      </c>
      <c r="F21" s="187">
        <v>0</v>
      </c>
      <c r="G21" s="187">
        <v>0</v>
      </c>
    </row>
    <row r="22" spans="1:7">
      <c r="A22" s="216" t="s">
        <v>1231</v>
      </c>
      <c r="B22" s="423" t="s">
        <v>4096</v>
      </c>
      <c r="C22" s="246">
        <v>18314911</v>
      </c>
      <c r="D22" s="187">
        <v>65.320999999999998</v>
      </c>
      <c r="E22" s="187">
        <v>65.320999999999998</v>
      </c>
      <c r="F22" s="187">
        <v>0</v>
      </c>
      <c r="G22" s="187">
        <v>0</v>
      </c>
    </row>
    <row r="23" spans="1:7">
      <c r="A23" s="216" t="s">
        <v>2360</v>
      </c>
      <c r="B23" s="423" t="s">
        <v>2004</v>
      </c>
      <c r="C23" s="246">
        <v>39448618</v>
      </c>
      <c r="D23" s="187">
        <v>485.14699999999999</v>
      </c>
      <c r="E23" s="187">
        <v>485.14699999999999</v>
      </c>
      <c r="F23" s="246">
        <v>15517</v>
      </c>
      <c r="G23" s="246">
        <v>25288</v>
      </c>
    </row>
    <row r="24" spans="1:7">
      <c r="A24" s="216" t="s">
        <v>1233</v>
      </c>
      <c r="B24" s="423" t="s">
        <v>4097</v>
      </c>
      <c r="C24" s="246">
        <v>82528967</v>
      </c>
      <c r="D24" s="187">
        <v>364.24200000000002</v>
      </c>
      <c r="E24" s="187">
        <v>364.24200000000002</v>
      </c>
      <c r="F24" s="187">
        <v>0</v>
      </c>
      <c r="G24" s="187">
        <v>0</v>
      </c>
    </row>
    <row r="25" spans="1:7">
      <c r="A25" s="216" t="s">
        <v>3081</v>
      </c>
      <c r="B25" s="423" t="s">
        <v>6107</v>
      </c>
      <c r="C25" s="246">
        <v>47636114</v>
      </c>
      <c r="D25" s="187">
        <v>488.05399999999997</v>
      </c>
      <c r="E25" s="187">
        <v>488.05399999999997</v>
      </c>
      <c r="F25" s="187">
        <v>172</v>
      </c>
      <c r="G25" s="246">
        <v>66342</v>
      </c>
    </row>
    <row r="26" spans="1:7">
      <c r="A26" s="216" t="s">
        <v>1235</v>
      </c>
      <c r="B26" s="423" t="s">
        <v>4098</v>
      </c>
      <c r="C26" s="246">
        <v>289527593</v>
      </c>
      <c r="D26" s="187">
        <v>1198.684</v>
      </c>
      <c r="E26" s="187">
        <v>1198.684</v>
      </c>
      <c r="F26" s="187">
        <v>0</v>
      </c>
      <c r="G26" s="187">
        <v>0</v>
      </c>
    </row>
    <row r="27" spans="1:7">
      <c r="A27" s="216" t="s">
        <v>2999</v>
      </c>
      <c r="B27" s="423" t="s">
        <v>4099</v>
      </c>
      <c r="C27" s="246">
        <v>117578432</v>
      </c>
      <c r="D27" s="187">
        <v>1414.8879999999999</v>
      </c>
      <c r="E27" s="187">
        <v>1414.8879999999999</v>
      </c>
      <c r="F27" s="246">
        <v>76796</v>
      </c>
      <c r="G27" s="246">
        <v>145335</v>
      </c>
    </row>
    <row r="28" spans="1:7">
      <c r="A28" s="216" t="s">
        <v>5127</v>
      </c>
      <c r="B28" s="423" t="s">
        <v>342</v>
      </c>
      <c r="C28" s="246">
        <v>393017423</v>
      </c>
      <c r="D28" s="187">
        <v>3241.2930000000001</v>
      </c>
      <c r="E28" s="187">
        <v>3241.2930000000001</v>
      </c>
      <c r="F28" s="246">
        <v>18808</v>
      </c>
      <c r="G28" s="246">
        <v>252316</v>
      </c>
    </row>
    <row r="29" spans="1:7">
      <c r="A29" s="216" t="s">
        <v>2563</v>
      </c>
      <c r="B29" s="423" t="s">
        <v>345</v>
      </c>
      <c r="C29" s="246">
        <v>98096750</v>
      </c>
      <c r="D29" s="187">
        <v>1590.875</v>
      </c>
      <c r="E29" s="187">
        <v>1590.875</v>
      </c>
      <c r="F29" s="187">
        <v>0</v>
      </c>
      <c r="G29" s="246">
        <v>67595</v>
      </c>
    </row>
    <row r="30" spans="1:7">
      <c r="A30" s="216" t="s">
        <v>1237</v>
      </c>
      <c r="B30" s="423" t="s">
        <v>4100</v>
      </c>
      <c r="C30" s="246">
        <v>492386359</v>
      </c>
      <c r="D30" s="187">
        <v>2075.8449999999998</v>
      </c>
      <c r="E30" s="187">
        <v>2075.8449999999998</v>
      </c>
      <c r="F30" s="246">
        <v>566245</v>
      </c>
      <c r="G30" s="187">
        <v>0</v>
      </c>
    </row>
    <row r="31" spans="1:7">
      <c r="A31" s="216" t="s">
        <v>1239</v>
      </c>
      <c r="B31" s="423" t="s">
        <v>4101</v>
      </c>
      <c r="C31" s="246">
        <v>472637301</v>
      </c>
      <c r="D31" s="187">
        <v>2352.1570000000002</v>
      </c>
      <c r="E31" s="187">
        <v>2352.1570000000002</v>
      </c>
      <c r="F31" s="246">
        <v>819434</v>
      </c>
      <c r="G31" s="187">
        <v>0</v>
      </c>
    </row>
    <row r="32" spans="1:7">
      <c r="A32" s="216" t="s">
        <v>1241</v>
      </c>
      <c r="B32" s="423" t="s">
        <v>4102</v>
      </c>
      <c r="C32" s="246">
        <v>245287309</v>
      </c>
      <c r="D32" s="187">
        <v>783.18899999999996</v>
      </c>
      <c r="E32" s="187">
        <v>783.18899999999996</v>
      </c>
      <c r="F32" s="187">
        <v>0</v>
      </c>
      <c r="G32" s="187">
        <v>0</v>
      </c>
    </row>
    <row r="33" spans="1:7">
      <c r="A33" s="216" t="s">
        <v>1243</v>
      </c>
      <c r="B33" s="423" t="s">
        <v>4103</v>
      </c>
      <c r="C33" s="246">
        <v>173182086</v>
      </c>
      <c r="D33" s="187">
        <v>1411.961</v>
      </c>
      <c r="E33" s="187">
        <v>1411.961</v>
      </c>
      <c r="F33" s="187">
        <v>0</v>
      </c>
      <c r="G33" s="187">
        <v>0</v>
      </c>
    </row>
    <row r="34" spans="1:7">
      <c r="A34" s="216" t="s">
        <v>1245</v>
      </c>
      <c r="B34" s="423" t="s">
        <v>4104</v>
      </c>
      <c r="C34" s="246">
        <v>107637215</v>
      </c>
      <c r="D34" s="187">
        <v>340.34399999999999</v>
      </c>
      <c r="E34" s="187">
        <v>340.34399999999999</v>
      </c>
      <c r="F34" s="187">
        <v>0</v>
      </c>
      <c r="G34" s="187">
        <v>0</v>
      </c>
    </row>
    <row r="35" spans="1:7">
      <c r="A35" s="216" t="s">
        <v>2361</v>
      </c>
      <c r="B35" s="423" t="s">
        <v>7695</v>
      </c>
      <c r="C35" s="246">
        <v>619581457</v>
      </c>
      <c r="D35" s="187">
        <v>2435.5770000000002</v>
      </c>
      <c r="E35" s="187">
        <v>2435.5770000000002</v>
      </c>
      <c r="F35" s="246">
        <v>736285</v>
      </c>
      <c r="G35" s="246">
        <v>502650</v>
      </c>
    </row>
    <row r="36" spans="1:7">
      <c r="A36" s="216" t="s">
        <v>948</v>
      </c>
      <c r="B36" s="423" t="s">
        <v>7697</v>
      </c>
      <c r="C36" s="246">
        <v>1843233383</v>
      </c>
      <c r="D36" s="187">
        <v>7189.5</v>
      </c>
      <c r="E36" s="187">
        <v>7189.5</v>
      </c>
      <c r="F36" s="246">
        <v>2206960</v>
      </c>
      <c r="G36" s="246">
        <v>1054781</v>
      </c>
    </row>
    <row r="37" spans="1:7">
      <c r="A37" s="216" t="s">
        <v>1522</v>
      </c>
      <c r="B37" s="423" t="s">
        <v>1928</v>
      </c>
      <c r="C37" s="246">
        <v>583967846</v>
      </c>
      <c r="D37" s="187">
        <v>2958.1460000000002</v>
      </c>
      <c r="E37" s="187">
        <v>2958.1460000000002</v>
      </c>
      <c r="F37" s="246">
        <v>234274</v>
      </c>
      <c r="G37" s="246">
        <v>336804</v>
      </c>
    </row>
    <row r="38" spans="1:7">
      <c r="A38" s="216" t="s">
        <v>438</v>
      </c>
      <c r="B38" s="423" t="s">
        <v>2343</v>
      </c>
      <c r="C38" s="246">
        <v>385417696</v>
      </c>
      <c r="D38" s="187">
        <v>1712.5840000000001</v>
      </c>
      <c r="E38" s="187">
        <v>1712.5840000000001</v>
      </c>
      <c r="F38" s="246">
        <v>686063</v>
      </c>
      <c r="G38" s="246">
        <v>295208</v>
      </c>
    </row>
    <row r="39" spans="1:7">
      <c r="A39" s="216" t="s">
        <v>2565</v>
      </c>
      <c r="B39" s="423" t="s">
        <v>6074</v>
      </c>
      <c r="C39" s="246">
        <v>49698276</v>
      </c>
      <c r="D39" s="187">
        <v>225.70400000000001</v>
      </c>
      <c r="E39" s="187">
        <v>225.70400000000001</v>
      </c>
      <c r="F39" s="246">
        <v>1049</v>
      </c>
      <c r="G39" s="246">
        <v>35499</v>
      </c>
    </row>
    <row r="40" spans="1:7">
      <c r="A40" s="216" t="s">
        <v>1248</v>
      </c>
      <c r="B40" s="423" t="s">
        <v>4105</v>
      </c>
      <c r="C40" s="246">
        <v>107580062</v>
      </c>
      <c r="D40" s="187">
        <v>583.96699999999998</v>
      </c>
      <c r="E40" s="187">
        <v>595.12099999999998</v>
      </c>
      <c r="F40" s="246">
        <v>157385</v>
      </c>
      <c r="G40" s="187">
        <v>0</v>
      </c>
    </row>
    <row r="41" spans="1:7">
      <c r="A41" s="216" t="s">
        <v>439</v>
      </c>
      <c r="B41" s="423" t="s">
        <v>7698</v>
      </c>
      <c r="C41" s="246">
        <v>384756042</v>
      </c>
      <c r="D41" s="187">
        <v>3367.57</v>
      </c>
      <c r="E41" s="187">
        <v>3367.57</v>
      </c>
      <c r="F41" s="246">
        <v>315390</v>
      </c>
      <c r="G41" s="246">
        <v>279276</v>
      </c>
    </row>
    <row r="42" spans="1:7">
      <c r="A42" s="216" t="s">
        <v>1250</v>
      </c>
      <c r="B42" s="423" t="s">
        <v>4106</v>
      </c>
      <c r="C42" s="246">
        <v>107993031</v>
      </c>
      <c r="D42" s="187">
        <v>134.38499999999999</v>
      </c>
      <c r="E42" s="187">
        <v>134.38499999999999</v>
      </c>
      <c r="F42" s="187">
        <v>0</v>
      </c>
      <c r="G42" s="187">
        <v>0</v>
      </c>
    </row>
    <row r="43" spans="1:7">
      <c r="A43" s="216" t="s">
        <v>1252</v>
      </c>
      <c r="B43" s="423" t="s">
        <v>4107</v>
      </c>
      <c r="C43" s="246">
        <v>110020720</v>
      </c>
      <c r="D43" s="187">
        <v>361.56299999999999</v>
      </c>
      <c r="E43" s="187">
        <v>361.56299999999999</v>
      </c>
      <c r="F43" s="187">
        <v>0</v>
      </c>
      <c r="G43" s="187">
        <v>0</v>
      </c>
    </row>
    <row r="44" spans="1:7">
      <c r="A44" s="216" t="s">
        <v>2399</v>
      </c>
      <c r="B44" s="423" t="s">
        <v>2341</v>
      </c>
      <c r="C44" s="246">
        <v>80157294</v>
      </c>
      <c r="D44" s="187">
        <v>668.529</v>
      </c>
      <c r="E44" s="187">
        <v>668.529</v>
      </c>
      <c r="F44" s="187">
        <v>84</v>
      </c>
      <c r="G44" s="246">
        <v>60606</v>
      </c>
    </row>
    <row r="45" spans="1:7">
      <c r="A45" s="216" t="s">
        <v>2566</v>
      </c>
      <c r="B45" s="423" t="s">
        <v>4108</v>
      </c>
      <c r="C45" s="246">
        <v>120478340</v>
      </c>
      <c r="D45" s="187">
        <v>870.55399999999997</v>
      </c>
      <c r="E45" s="187">
        <v>870.55399999999997</v>
      </c>
      <c r="F45" s="246">
        <v>67822</v>
      </c>
      <c r="G45" s="187">
        <v>0</v>
      </c>
    </row>
    <row r="46" spans="1:7">
      <c r="A46" s="216" t="s">
        <v>947</v>
      </c>
      <c r="B46" s="423" t="s">
        <v>7696</v>
      </c>
      <c r="C46" s="246">
        <v>60534358</v>
      </c>
      <c r="D46" s="187">
        <v>406.67899999999997</v>
      </c>
      <c r="E46" s="187">
        <v>416.99</v>
      </c>
      <c r="F46" s="246">
        <v>29014</v>
      </c>
      <c r="G46" s="246">
        <v>55132</v>
      </c>
    </row>
    <row r="47" spans="1:7">
      <c r="A47" s="216" t="s">
        <v>950</v>
      </c>
      <c r="B47" s="423" t="s">
        <v>7654</v>
      </c>
      <c r="C47" s="246">
        <v>961799174</v>
      </c>
      <c r="D47" s="187">
        <v>6726.6890000000003</v>
      </c>
      <c r="E47" s="187">
        <v>6726.6890000000003</v>
      </c>
      <c r="F47" s="246">
        <v>996191</v>
      </c>
      <c r="G47" s="246">
        <v>655266</v>
      </c>
    </row>
    <row r="48" spans="1:7">
      <c r="A48" s="216" t="s">
        <v>1869</v>
      </c>
      <c r="B48" s="423" t="s">
        <v>3848</v>
      </c>
      <c r="C48" s="246">
        <v>55429304</v>
      </c>
      <c r="D48" s="187">
        <v>488.41500000000002</v>
      </c>
      <c r="E48" s="187">
        <v>488.41500000000002</v>
      </c>
      <c r="F48" s="246">
        <v>22110</v>
      </c>
      <c r="G48" s="246">
        <v>64495</v>
      </c>
    </row>
    <row r="49" spans="1:7">
      <c r="A49" s="216" t="s">
        <v>6033</v>
      </c>
      <c r="B49" s="423" t="s">
        <v>1920</v>
      </c>
      <c r="C49" s="246">
        <v>3101064194</v>
      </c>
      <c r="D49" s="187">
        <v>30984.201000000001</v>
      </c>
      <c r="E49" s="187">
        <v>30984.201000000001</v>
      </c>
      <c r="F49" s="246">
        <v>813159</v>
      </c>
      <c r="G49" s="246">
        <v>2969796</v>
      </c>
    </row>
    <row r="50" spans="1:7">
      <c r="A50" s="216" t="s">
        <v>2309</v>
      </c>
      <c r="B50" s="423" t="s">
        <v>367</v>
      </c>
      <c r="C50" s="246">
        <v>97814170</v>
      </c>
      <c r="D50" s="187">
        <v>817.06399999999996</v>
      </c>
      <c r="E50" s="187">
        <v>817.06399999999996</v>
      </c>
      <c r="F50" s="246">
        <v>13065</v>
      </c>
      <c r="G50" s="246">
        <v>62126</v>
      </c>
    </row>
    <row r="51" spans="1:7">
      <c r="A51" s="216" t="s">
        <v>2384</v>
      </c>
      <c r="B51" s="423" t="s">
        <v>376</v>
      </c>
      <c r="C51" s="246">
        <v>355698859</v>
      </c>
      <c r="D51" s="187">
        <v>1112.741</v>
      </c>
      <c r="E51" s="187">
        <v>1112.741</v>
      </c>
      <c r="F51" s="246">
        <v>425841</v>
      </c>
      <c r="G51" s="246">
        <v>192882</v>
      </c>
    </row>
    <row r="52" spans="1:7">
      <c r="A52" s="216" t="s">
        <v>2411</v>
      </c>
      <c r="B52" s="423" t="s">
        <v>5364</v>
      </c>
      <c r="C52" s="246">
        <v>1765625828</v>
      </c>
      <c r="D52" s="187">
        <v>7489.2179999999998</v>
      </c>
      <c r="E52" s="187">
        <v>7489.2179999999998</v>
      </c>
      <c r="F52" s="246">
        <v>2111918</v>
      </c>
      <c r="G52" s="246">
        <v>413139</v>
      </c>
    </row>
    <row r="53" spans="1:7">
      <c r="A53" s="216" t="s">
        <v>2416</v>
      </c>
      <c r="B53" s="423" t="s">
        <v>5369</v>
      </c>
      <c r="C53" s="246">
        <v>160054454</v>
      </c>
      <c r="D53" s="187">
        <v>1166.443</v>
      </c>
      <c r="E53" s="187">
        <v>1166.443</v>
      </c>
      <c r="F53" s="246">
        <v>213509</v>
      </c>
      <c r="G53" s="246">
        <v>113877</v>
      </c>
    </row>
    <row r="54" spans="1:7">
      <c r="A54" s="216" t="s">
        <v>37</v>
      </c>
      <c r="B54" s="423" t="s">
        <v>4109</v>
      </c>
      <c r="C54" s="246">
        <v>3039920822</v>
      </c>
      <c r="D54" s="187">
        <v>4161.366</v>
      </c>
      <c r="E54" s="187">
        <v>4161.366</v>
      </c>
      <c r="F54" s="246">
        <v>4008174</v>
      </c>
      <c r="G54" s="187">
        <v>0</v>
      </c>
    </row>
    <row r="55" spans="1:7">
      <c r="A55" s="216" t="s">
        <v>1860</v>
      </c>
      <c r="B55" s="423" t="s">
        <v>3918</v>
      </c>
      <c r="C55" s="246">
        <v>899218739</v>
      </c>
      <c r="D55" s="187">
        <v>13042.852000000001</v>
      </c>
      <c r="E55" s="187">
        <v>13042.852000000001</v>
      </c>
      <c r="F55" s="246">
        <v>231100</v>
      </c>
      <c r="G55" s="246">
        <v>1963508</v>
      </c>
    </row>
    <row r="56" spans="1:7">
      <c r="A56" s="216" t="s">
        <v>1520</v>
      </c>
      <c r="B56" s="423" t="s">
        <v>1926</v>
      </c>
      <c r="C56" s="246">
        <v>647909608</v>
      </c>
      <c r="D56" s="187">
        <v>11306.924000000001</v>
      </c>
      <c r="E56" s="187">
        <v>11306.924000000001</v>
      </c>
      <c r="F56" s="246">
        <v>9652</v>
      </c>
      <c r="G56" s="246">
        <v>1341307</v>
      </c>
    </row>
    <row r="57" spans="1:7">
      <c r="A57" s="216" t="s">
        <v>39</v>
      </c>
      <c r="B57" s="423" t="s">
        <v>4110</v>
      </c>
      <c r="C57" s="246"/>
      <c r="D57" s="187">
        <v>1009.62</v>
      </c>
      <c r="E57" s="187">
        <v>1009.62</v>
      </c>
      <c r="F57" s="246"/>
      <c r="G57" s="246"/>
    </row>
    <row r="58" spans="1:7">
      <c r="A58" s="216" t="s">
        <v>2386</v>
      </c>
      <c r="B58" s="423" t="s">
        <v>379</v>
      </c>
      <c r="C58" s="246">
        <v>8008982222</v>
      </c>
      <c r="D58" s="187">
        <v>51200.847000000002</v>
      </c>
      <c r="E58" s="187">
        <v>51200.847000000002</v>
      </c>
      <c r="F58" s="246">
        <v>1825413</v>
      </c>
      <c r="G58" s="246">
        <v>16086443</v>
      </c>
    </row>
    <row r="59" spans="1:7">
      <c r="A59" s="216" t="s">
        <v>2403</v>
      </c>
      <c r="B59" s="423" t="s">
        <v>2347</v>
      </c>
      <c r="C59" s="246">
        <v>777866502</v>
      </c>
      <c r="D59" s="187">
        <v>8873.0679999999993</v>
      </c>
      <c r="E59" s="187">
        <v>8873.0679999999993</v>
      </c>
      <c r="F59" s="246">
        <v>682154</v>
      </c>
      <c r="G59" s="246">
        <v>1154704</v>
      </c>
    </row>
    <row r="60" spans="1:7">
      <c r="A60" s="216" t="s">
        <v>2402</v>
      </c>
      <c r="B60" s="423" t="s">
        <v>2346</v>
      </c>
      <c r="C60" s="246">
        <v>201073206</v>
      </c>
      <c r="D60" s="187">
        <v>3126.2440000000001</v>
      </c>
      <c r="E60" s="187">
        <v>3126.2440000000001</v>
      </c>
      <c r="F60" s="246">
        <v>133317</v>
      </c>
      <c r="G60" s="246">
        <v>299784</v>
      </c>
    </row>
    <row r="61" spans="1:7">
      <c r="A61" s="216" t="s">
        <v>6183</v>
      </c>
      <c r="B61" s="423" t="s">
        <v>1937</v>
      </c>
      <c r="C61" s="246">
        <v>17020250637</v>
      </c>
      <c r="D61" s="187">
        <v>53842.915999999997</v>
      </c>
      <c r="E61" s="187">
        <v>53842.915999999997</v>
      </c>
      <c r="F61" s="246">
        <v>37671296</v>
      </c>
      <c r="G61" s="246">
        <v>4763224</v>
      </c>
    </row>
    <row r="62" spans="1:7">
      <c r="A62" s="216" t="s">
        <v>1517</v>
      </c>
      <c r="B62" s="423" t="s">
        <v>3013</v>
      </c>
      <c r="C62" s="246">
        <v>1070781343</v>
      </c>
      <c r="D62" s="187">
        <v>7314.5680000000002</v>
      </c>
      <c r="E62" s="187">
        <v>7314.5680000000002</v>
      </c>
      <c r="F62" s="246">
        <v>597053</v>
      </c>
      <c r="G62" s="246">
        <v>1043542</v>
      </c>
    </row>
    <row r="63" spans="1:7">
      <c r="A63" s="216" t="s">
        <v>3082</v>
      </c>
      <c r="B63" s="423" t="s">
        <v>2349</v>
      </c>
      <c r="C63" s="246">
        <v>587572449</v>
      </c>
      <c r="D63" s="187">
        <v>9122.3590000000004</v>
      </c>
      <c r="E63" s="187">
        <v>9122.3590000000004</v>
      </c>
      <c r="F63" s="246">
        <v>82218</v>
      </c>
      <c r="G63" s="246">
        <v>737124</v>
      </c>
    </row>
    <row r="64" spans="1:7">
      <c r="A64" s="216" t="s">
        <v>41</v>
      </c>
      <c r="B64" s="423" t="s">
        <v>4111</v>
      </c>
      <c r="C64" s="246"/>
      <c r="D64" s="187">
        <v>852.37599999999998</v>
      </c>
      <c r="E64" s="187">
        <v>880.01099999999997</v>
      </c>
      <c r="F64" s="246"/>
      <c r="G64" s="246"/>
    </row>
    <row r="65" spans="1:7">
      <c r="A65" s="216" t="s">
        <v>43</v>
      </c>
      <c r="B65" s="423" t="s">
        <v>4112</v>
      </c>
      <c r="C65" s="246"/>
      <c r="D65" s="187">
        <v>1086.915</v>
      </c>
      <c r="E65" s="187">
        <v>1129.047</v>
      </c>
      <c r="F65" s="246"/>
      <c r="G65" s="246"/>
    </row>
    <row r="66" spans="1:7">
      <c r="A66" s="216" t="s">
        <v>6185</v>
      </c>
      <c r="B66" s="423" t="s">
        <v>1939</v>
      </c>
      <c r="C66" s="246">
        <v>16295470750</v>
      </c>
      <c r="D66" s="187">
        <v>69454.180999999997</v>
      </c>
      <c r="E66" s="187">
        <v>69454.180999999997</v>
      </c>
      <c r="F66" s="246">
        <v>39240202</v>
      </c>
      <c r="G66" s="246">
        <v>1536634</v>
      </c>
    </row>
    <row r="67" spans="1:7">
      <c r="A67" s="216" t="s">
        <v>6026</v>
      </c>
      <c r="B67" s="423" t="s">
        <v>1911</v>
      </c>
      <c r="C67" s="246">
        <v>3403832102</v>
      </c>
      <c r="D67" s="187">
        <v>17039.027999999998</v>
      </c>
      <c r="E67" s="187">
        <v>17039.027999999998</v>
      </c>
      <c r="F67" s="246">
        <v>5561744</v>
      </c>
      <c r="G67" s="246">
        <v>2612667</v>
      </c>
    </row>
    <row r="68" spans="1:7">
      <c r="A68" s="216" t="s">
        <v>2404</v>
      </c>
      <c r="B68" s="423" t="s">
        <v>2348</v>
      </c>
      <c r="C68" s="246">
        <v>306492220</v>
      </c>
      <c r="D68" s="187">
        <v>4494.0389999999998</v>
      </c>
      <c r="E68" s="187">
        <v>4494.0389999999998</v>
      </c>
      <c r="F68" s="246">
        <v>191101</v>
      </c>
      <c r="G68" s="246">
        <v>656909</v>
      </c>
    </row>
    <row r="69" spans="1:7">
      <c r="A69" s="216" t="s">
        <v>45</v>
      </c>
      <c r="B69" s="423" t="s">
        <v>4113</v>
      </c>
      <c r="C69" s="246">
        <v>290788129</v>
      </c>
      <c r="D69" s="187">
        <v>655.43700000000001</v>
      </c>
      <c r="E69" s="187">
        <v>655.43700000000001</v>
      </c>
      <c r="F69" s="246">
        <v>289511</v>
      </c>
      <c r="G69" s="187">
        <v>0</v>
      </c>
    </row>
    <row r="70" spans="1:7">
      <c r="A70" s="216" t="s">
        <v>952</v>
      </c>
      <c r="B70" s="423" t="s">
        <v>7657</v>
      </c>
      <c r="C70" s="246">
        <v>298072676</v>
      </c>
      <c r="D70" s="187">
        <v>925.64499999999998</v>
      </c>
      <c r="E70" s="187">
        <v>925.64499999999998</v>
      </c>
      <c r="F70" s="246">
        <v>377316</v>
      </c>
      <c r="G70" s="246">
        <v>228628</v>
      </c>
    </row>
    <row r="71" spans="1:7">
      <c r="A71" s="216" t="s">
        <v>47</v>
      </c>
      <c r="B71" s="423" t="s">
        <v>4114</v>
      </c>
      <c r="C71" s="246">
        <v>290378895</v>
      </c>
      <c r="D71" s="187">
        <v>161.73099999999999</v>
      </c>
      <c r="E71" s="187">
        <v>161.73099999999999</v>
      </c>
      <c r="F71" s="187">
        <v>0</v>
      </c>
      <c r="G71" s="187">
        <v>0</v>
      </c>
    </row>
    <row r="72" spans="1:7">
      <c r="A72" s="216" t="s">
        <v>740</v>
      </c>
      <c r="B72" s="423" t="s">
        <v>6115</v>
      </c>
      <c r="C72" s="246">
        <v>369655930</v>
      </c>
      <c r="D72" s="187">
        <v>1107.1220000000001</v>
      </c>
      <c r="E72" s="187">
        <v>1107.1220000000001</v>
      </c>
      <c r="F72" s="246">
        <v>257419</v>
      </c>
      <c r="G72" s="246">
        <v>300248</v>
      </c>
    </row>
    <row r="73" spans="1:7">
      <c r="A73" s="216" t="s">
        <v>49</v>
      </c>
      <c r="B73" s="423" t="s">
        <v>4115</v>
      </c>
      <c r="C73" s="246">
        <v>92022423</v>
      </c>
      <c r="D73" s="187">
        <v>481.16</v>
      </c>
      <c r="E73" s="187">
        <v>489.76299999999998</v>
      </c>
      <c r="F73" s="246">
        <v>99198</v>
      </c>
      <c r="G73" s="187">
        <v>0</v>
      </c>
    </row>
    <row r="74" spans="1:7">
      <c r="A74" s="216" t="s">
        <v>1337</v>
      </c>
      <c r="B74" s="423" t="s">
        <v>4116</v>
      </c>
      <c r="C74" s="246">
        <v>39488021</v>
      </c>
      <c r="D74" s="187">
        <v>157.727</v>
      </c>
      <c r="E74" s="187">
        <v>157.727</v>
      </c>
      <c r="F74" s="187">
        <v>0</v>
      </c>
      <c r="G74" s="187">
        <v>0</v>
      </c>
    </row>
    <row r="75" spans="1:7">
      <c r="A75" s="216" t="s">
        <v>1339</v>
      </c>
      <c r="B75" s="423" t="s">
        <v>4117</v>
      </c>
      <c r="C75" s="246">
        <v>116648075</v>
      </c>
      <c r="D75" s="187">
        <v>584.56299999999999</v>
      </c>
      <c r="E75" s="187">
        <v>584.56299999999999</v>
      </c>
      <c r="F75" s="246">
        <v>190011</v>
      </c>
      <c r="G75" s="187">
        <v>0</v>
      </c>
    </row>
    <row r="76" spans="1:7">
      <c r="A76" s="216" t="s">
        <v>2474</v>
      </c>
      <c r="B76" s="423" t="s">
        <v>329</v>
      </c>
      <c r="C76" s="246">
        <v>36889194</v>
      </c>
      <c r="D76" s="187">
        <v>232.90600000000001</v>
      </c>
      <c r="E76" s="187">
        <v>232.90600000000001</v>
      </c>
      <c r="F76" s="187">
        <v>0</v>
      </c>
      <c r="G76" s="187">
        <v>0</v>
      </c>
    </row>
    <row r="77" spans="1:7">
      <c r="A77" s="216" t="s">
        <v>1341</v>
      </c>
      <c r="B77" s="423" t="s">
        <v>1663</v>
      </c>
      <c r="C77" s="246">
        <v>40030444</v>
      </c>
      <c r="D77" s="187">
        <v>128.07499999999999</v>
      </c>
      <c r="E77" s="187">
        <v>133.56</v>
      </c>
      <c r="F77" s="246">
        <v>55002</v>
      </c>
      <c r="G77" s="187">
        <v>0</v>
      </c>
    </row>
    <row r="78" spans="1:7">
      <c r="A78" s="216" t="s">
        <v>1343</v>
      </c>
      <c r="B78" s="423" t="s">
        <v>1664</v>
      </c>
      <c r="C78" s="246">
        <v>65017534</v>
      </c>
      <c r="D78" s="187">
        <v>272.851</v>
      </c>
      <c r="E78" s="187">
        <v>284.38</v>
      </c>
      <c r="F78" s="246">
        <v>13460</v>
      </c>
      <c r="G78" s="187">
        <v>0</v>
      </c>
    </row>
    <row r="79" spans="1:7">
      <c r="A79" s="216" t="s">
        <v>1345</v>
      </c>
      <c r="B79" s="423" t="s">
        <v>885</v>
      </c>
      <c r="C79" s="246">
        <v>41550691</v>
      </c>
      <c r="D79" s="187">
        <v>96.676000000000002</v>
      </c>
      <c r="E79" s="187">
        <v>96.676000000000002</v>
      </c>
      <c r="F79" s="187">
        <v>0</v>
      </c>
      <c r="G79" s="187">
        <v>0</v>
      </c>
    </row>
    <row r="80" spans="1:7">
      <c r="A80" s="216" t="s">
        <v>963</v>
      </c>
      <c r="B80" s="423" t="s">
        <v>996</v>
      </c>
      <c r="C80" s="246">
        <v>96629145</v>
      </c>
      <c r="D80" s="187">
        <v>838.97</v>
      </c>
      <c r="E80" s="187">
        <v>838.97</v>
      </c>
      <c r="F80" s="246">
        <v>47773</v>
      </c>
      <c r="G80" s="187">
        <v>0</v>
      </c>
    </row>
    <row r="81" spans="1:7">
      <c r="A81" s="216" t="s">
        <v>3083</v>
      </c>
      <c r="B81" s="423" t="s">
        <v>3850</v>
      </c>
      <c r="C81" s="246">
        <v>107016603</v>
      </c>
      <c r="D81" s="187">
        <v>1003.977</v>
      </c>
      <c r="E81" s="187">
        <v>1003.977</v>
      </c>
      <c r="F81" s="246">
        <v>7429</v>
      </c>
      <c r="G81" s="246">
        <v>152941</v>
      </c>
    </row>
    <row r="82" spans="1:7">
      <c r="A82" s="216" t="s">
        <v>2568</v>
      </c>
      <c r="B82" s="423" t="s">
        <v>6070</v>
      </c>
      <c r="C82" s="246">
        <v>34944355</v>
      </c>
      <c r="D82" s="187">
        <v>435.62400000000002</v>
      </c>
      <c r="E82" s="187">
        <v>438.03500000000003</v>
      </c>
      <c r="F82" s="187">
        <v>0</v>
      </c>
      <c r="G82" s="246">
        <v>15604</v>
      </c>
    </row>
    <row r="83" spans="1:7">
      <c r="A83" s="216" t="s">
        <v>1349</v>
      </c>
      <c r="B83" s="423" t="s">
        <v>886</v>
      </c>
      <c r="C83" s="246">
        <v>201306355</v>
      </c>
      <c r="D83" s="187">
        <v>1282.7860000000001</v>
      </c>
      <c r="E83" s="187">
        <v>1282.7860000000001</v>
      </c>
      <c r="F83" s="246">
        <v>151726</v>
      </c>
      <c r="G83" s="187">
        <v>0</v>
      </c>
    </row>
    <row r="84" spans="1:7">
      <c r="A84" s="216" t="s">
        <v>6083</v>
      </c>
      <c r="B84" s="423" t="s">
        <v>887</v>
      </c>
      <c r="C84" s="246">
        <v>114423025</v>
      </c>
      <c r="D84" s="187">
        <v>1078.9770000000001</v>
      </c>
      <c r="E84" s="187">
        <v>1078.9770000000001</v>
      </c>
      <c r="F84" s="246">
        <v>125441</v>
      </c>
      <c r="G84" s="187">
        <v>0</v>
      </c>
    </row>
    <row r="85" spans="1:7">
      <c r="A85" s="216" t="s">
        <v>6085</v>
      </c>
      <c r="B85" s="423" t="s">
        <v>888</v>
      </c>
      <c r="C85" s="246">
        <v>1263055988</v>
      </c>
      <c r="D85" s="187">
        <v>5334.5240000000003</v>
      </c>
      <c r="E85" s="187">
        <v>5334.5240000000003</v>
      </c>
      <c r="F85" s="246">
        <v>1362431</v>
      </c>
      <c r="G85" s="187">
        <v>0</v>
      </c>
    </row>
    <row r="86" spans="1:7">
      <c r="A86" s="216" t="s">
        <v>1998</v>
      </c>
      <c r="B86" s="423" t="s">
        <v>889</v>
      </c>
      <c r="C86" s="246">
        <v>349346959</v>
      </c>
      <c r="D86" s="187">
        <v>2544.2939999999999</v>
      </c>
      <c r="E86" s="187">
        <v>2544.2939999999999</v>
      </c>
      <c r="F86" s="246">
        <v>200154</v>
      </c>
      <c r="G86" s="187">
        <v>0</v>
      </c>
    </row>
    <row r="87" spans="1:7">
      <c r="A87" s="216" t="s">
        <v>2570</v>
      </c>
      <c r="B87" s="423" t="s">
        <v>1467</v>
      </c>
      <c r="C87" s="246">
        <v>55020063</v>
      </c>
      <c r="D87" s="187">
        <v>568.32100000000003</v>
      </c>
      <c r="E87" s="187">
        <v>568.32100000000003</v>
      </c>
      <c r="F87" s="187">
        <v>0</v>
      </c>
      <c r="G87" s="246">
        <v>34630</v>
      </c>
    </row>
    <row r="88" spans="1:7">
      <c r="A88" s="216" t="s">
        <v>4076</v>
      </c>
      <c r="B88" s="423" t="s">
        <v>6061</v>
      </c>
      <c r="C88" s="246">
        <v>9098028</v>
      </c>
      <c r="D88" s="187">
        <v>120.065</v>
      </c>
      <c r="E88" s="187">
        <v>126.879</v>
      </c>
      <c r="F88" s="187">
        <v>0</v>
      </c>
      <c r="G88" s="246">
        <v>5229</v>
      </c>
    </row>
    <row r="89" spans="1:7">
      <c r="A89" s="216" t="s">
        <v>1963</v>
      </c>
      <c r="B89" s="423" t="s">
        <v>890</v>
      </c>
      <c r="C89" s="246">
        <v>95718259</v>
      </c>
      <c r="D89" s="187">
        <v>381.96100000000001</v>
      </c>
      <c r="E89" s="187">
        <v>381.96100000000001</v>
      </c>
      <c r="F89" s="187">
        <v>0</v>
      </c>
      <c r="G89" s="187">
        <v>0</v>
      </c>
    </row>
    <row r="90" spans="1:7">
      <c r="A90" s="216" t="s">
        <v>2000</v>
      </c>
      <c r="B90" s="423" t="s">
        <v>891</v>
      </c>
      <c r="C90" s="246">
        <v>520816123</v>
      </c>
      <c r="D90" s="187">
        <v>1888.453</v>
      </c>
      <c r="E90" s="187">
        <v>1888.453</v>
      </c>
      <c r="F90" s="246">
        <v>1141467</v>
      </c>
      <c r="G90" s="187">
        <v>0</v>
      </c>
    </row>
    <row r="91" spans="1:7">
      <c r="A91" s="216" t="s">
        <v>2002</v>
      </c>
      <c r="B91" s="423" t="s">
        <v>3852</v>
      </c>
      <c r="C91" s="246">
        <v>9727644</v>
      </c>
      <c r="D91" s="187">
        <v>69.802999999999997</v>
      </c>
      <c r="E91" s="187">
        <v>72.558999999999997</v>
      </c>
      <c r="F91" s="187">
        <v>0</v>
      </c>
      <c r="G91" s="187">
        <v>0</v>
      </c>
    </row>
    <row r="92" spans="1:7">
      <c r="A92" s="216" t="s">
        <v>1964</v>
      </c>
      <c r="B92" s="423" t="s">
        <v>892</v>
      </c>
      <c r="C92" s="246">
        <v>16907510</v>
      </c>
      <c r="D92" s="187">
        <v>95.861000000000004</v>
      </c>
      <c r="E92" s="187">
        <v>96.625</v>
      </c>
      <c r="F92" s="187">
        <v>0</v>
      </c>
      <c r="G92" s="187">
        <v>0</v>
      </c>
    </row>
    <row r="93" spans="1:7">
      <c r="A93" s="216" t="s">
        <v>2136</v>
      </c>
      <c r="B93" s="423" t="s">
        <v>7679</v>
      </c>
      <c r="C93" s="246">
        <v>1674053465</v>
      </c>
      <c r="D93" s="187">
        <v>11607.349</v>
      </c>
      <c r="E93" s="187">
        <v>11607.349</v>
      </c>
      <c r="F93" s="246">
        <v>1850496</v>
      </c>
      <c r="G93" s="246">
        <v>490733</v>
      </c>
    </row>
    <row r="94" spans="1:7">
      <c r="A94" s="216" t="s">
        <v>2966</v>
      </c>
      <c r="B94" s="423" t="s">
        <v>893</v>
      </c>
      <c r="C94" s="246">
        <v>1898618860</v>
      </c>
      <c r="D94" s="187">
        <v>5910.509</v>
      </c>
      <c r="E94" s="187">
        <v>5910.509</v>
      </c>
      <c r="F94" s="246">
        <v>2685147</v>
      </c>
      <c r="G94" s="187">
        <v>0</v>
      </c>
    </row>
    <row r="95" spans="1:7">
      <c r="A95" s="216" t="s">
        <v>3084</v>
      </c>
      <c r="B95" s="423" t="s">
        <v>992</v>
      </c>
      <c r="C95" s="246">
        <v>102142804</v>
      </c>
      <c r="D95" s="187">
        <v>727.80700000000002</v>
      </c>
      <c r="E95" s="187">
        <v>727.80700000000002</v>
      </c>
      <c r="F95" s="246">
        <v>32414</v>
      </c>
      <c r="G95" s="246">
        <v>75332</v>
      </c>
    </row>
    <row r="96" spans="1:7">
      <c r="A96" s="216" t="s">
        <v>6252</v>
      </c>
      <c r="B96" s="423" t="s">
        <v>1571</v>
      </c>
      <c r="C96" s="246">
        <v>6155415688</v>
      </c>
      <c r="D96" s="187">
        <v>12156.882</v>
      </c>
      <c r="E96" s="187">
        <v>12156.882</v>
      </c>
      <c r="F96" s="246">
        <v>3789001</v>
      </c>
      <c r="G96" s="187">
        <v>0</v>
      </c>
    </row>
    <row r="97" spans="1:7">
      <c r="A97" s="216" t="s">
        <v>6254</v>
      </c>
      <c r="B97" s="423" t="s">
        <v>1572</v>
      </c>
      <c r="C97" s="246">
        <v>1520750282</v>
      </c>
      <c r="D97" s="187">
        <v>1948.5050000000001</v>
      </c>
      <c r="E97" s="187">
        <v>1948.5050000000001</v>
      </c>
      <c r="F97" s="246">
        <v>2526350</v>
      </c>
      <c r="G97" s="187">
        <v>0</v>
      </c>
    </row>
    <row r="98" spans="1:7">
      <c r="A98" s="216" t="s">
        <v>233</v>
      </c>
      <c r="B98" s="423" t="s">
        <v>2640</v>
      </c>
      <c r="C98" s="246">
        <v>532987016</v>
      </c>
      <c r="D98" s="187">
        <v>2851.9879999999998</v>
      </c>
      <c r="E98" s="187">
        <v>2851.9879999999998</v>
      </c>
      <c r="F98" s="246">
        <v>175189</v>
      </c>
      <c r="G98" s="246">
        <v>192955</v>
      </c>
    </row>
    <row r="99" spans="1:7">
      <c r="A99" s="216" t="s">
        <v>6195</v>
      </c>
      <c r="B99" s="423" t="s">
        <v>5293</v>
      </c>
      <c r="C99" s="246">
        <v>3656503196</v>
      </c>
      <c r="D99" s="187">
        <v>13481.800999999999</v>
      </c>
      <c r="E99" s="187">
        <v>13481.800999999999</v>
      </c>
      <c r="F99" s="246">
        <v>8908157</v>
      </c>
      <c r="G99" s="246">
        <v>1225640</v>
      </c>
    </row>
    <row r="100" spans="1:7">
      <c r="A100" s="216" t="s">
        <v>6256</v>
      </c>
      <c r="B100" s="423" t="s">
        <v>1573</v>
      </c>
      <c r="C100" s="246">
        <v>30846737</v>
      </c>
      <c r="D100" s="187">
        <v>153.06299999999999</v>
      </c>
      <c r="E100" s="187">
        <v>153.06299999999999</v>
      </c>
      <c r="F100" s="187">
        <v>0</v>
      </c>
      <c r="G100" s="187">
        <v>0</v>
      </c>
    </row>
    <row r="101" spans="1:7">
      <c r="A101" s="216" t="s">
        <v>743</v>
      </c>
      <c r="B101" s="423" t="s">
        <v>6119</v>
      </c>
      <c r="C101" s="246">
        <v>3249069551</v>
      </c>
      <c r="D101" s="187">
        <v>7789.4170000000004</v>
      </c>
      <c r="E101" s="187">
        <v>7789.4170000000004</v>
      </c>
      <c r="F101" s="246">
        <v>8445012</v>
      </c>
      <c r="G101" s="246">
        <v>1632000</v>
      </c>
    </row>
    <row r="102" spans="1:7">
      <c r="A102" s="216" t="s">
        <v>960</v>
      </c>
      <c r="B102" s="423" t="s">
        <v>2143</v>
      </c>
      <c r="C102" s="246">
        <v>2756258700</v>
      </c>
      <c r="D102" s="187">
        <v>13182.326999999999</v>
      </c>
      <c r="E102" s="187">
        <v>13182.326999999999</v>
      </c>
      <c r="F102" s="246">
        <v>4525384</v>
      </c>
      <c r="G102" s="246">
        <v>252161</v>
      </c>
    </row>
    <row r="103" spans="1:7">
      <c r="A103" s="216" t="s">
        <v>6260</v>
      </c>
      <c r="B103" s="423" t="s">
        <v>107</v>
      </c>
      <c r="C103" s="246">
        <v>44557785</v>
      </c>
      <c r="D103" s="187">
        <v>180.44300000000001</v>
      </c>
      <c r="E103" s="187">
        <v>180.44300000000001</v>
      </c>
      <c r="F103" s="187">
        <v>0</v>
      </c>
      <c r="G103" s="187">
        <v>0</v>
      </c>
    </row>
    <row r="104" spans="1:7">
      <c r="A104" s="216" t="s">
        <v>6262</v>
      </c>
      <c r="B104" s="423" t="s">
        <v>108</v>
      </c>
      <c r="C104" s="246">
        <v>258369077</v>
      </c>
      <c r="D104" s="187">
        <v>954.18100000000004</v>
      </c>
      <c r="E104" s="187">
        <v>1010.588</v>
      </c>
      <c r="F104" s="246">
        <v>235015</v>
      </c>
      <c r="G104" s="187">
        <v>0</v>
      </c>
    </row>
    <row r="105" spans="1:7">
      <c r="A105" s="216" t="s">
        <v>6264</v>
      </c>
      <c r="B105" s="423" t="s">
        <v>3792</v>
      </c>
      <c r="C105" s="246">
        <v>45034342</v>
      </c>
      <c r="D105" s="187">
        <v>58.433999999999997</v>
      </c>
      <c r="E105" s="187">
        <v>60.018000000000001</v>
      </c>
      <c r="F105" s="187">
        <v>0</v>
      </c>
      <c r="G105" s="187">
        <v>0</v>
      </c>
    </row>
    <row r="106" spans="1:7">
      <c r="A106" s="216" t="s">
        <v>6266</v>
      </c>
      <c r="B106" s="423" t="s">
        <v>3793</v>
      </c>
      <c r="C106" s="246">
        <v>5565083</v>
      </c>
      <c r="D106" s="187">
        <v>18.128</v>
      </c>
      <c r="E106" s="187">
        <v>18.128</v>
      </c>
      <c r="F106" s="187">
        <v>0</v>
      </c>
      <c r="G106" s="187">
        <v>0</v>
      </c>
    </row>
    <row r="107" spans="1:7">
      <c r="A107" s="216" t="s">
        <v>6268</v>
      </c>
      <c r="B107" s="423" t="s">
        <v>3794</v>
      </c>
      <c r="C107" s="246">
        <v>43383609</v>
      </c>
      <c r="D107" s="187">
        <v>198.535</v>
      </c>
      <c r="E107" s="187">
        <v>204.34700000000001</v>
      </c>
      <c r="F107" s="187">
        <v>0</v>
      </c>
      <c r="G107" s="187">
        <v>0</v>
      </c>
    </row>
    <row r="108" spans="1:7">
      <c r="A108" s="216" t="s">
        <v>6270</v>
      </c>
      <c r="B108" s="423" t="s">
        <v>3795</v>
      </c>
      <c r="C108" s="246">
        <v>507288802</v>
      </c>
      <c r="D108" s="187">
        <v>1506.9670000000001</v>
      </c>
      <c r="E108" s="187">
        <v>1506.9670000000001</v>
      </c>
      <c r="F108" s="246">
        <v>287710</v>
      </c>
      <c r="G108" s="187">
        <v>0</v>
      </c>
    </row>
    <row r="109" spans="1:7">
      <c r="A109" s="216" t="s">
        <v>6272</v>
      </c>
      <c r="B109" s="423" t="s">
        <v>3796</v>
      </c>
      <c r="C109" s="246">
        <v>136217498</v>
      </c>
      <c r="D109" s="187">
        <v>1086.412</v>
      </c>
      <c r="E109" s="187">
        <v>1086.412</v>
      </c>
      <c r="F109" s="187">
        <v>0</v>
      </c>
      <c r="G109" s="187">
        <v>0</v>
      </c>
    </row>
    <row r="110" spans="1:7">
      <c r="A110" s="216" t="s">
        <v>2291</v>
      </c>
      <c r="B110" s="423" t="s">
        <v>3797</v>
      </c>
      <c r="C110" s="246">
        <v>762273527</v>
      </c>
      <c r="D110" s="187">
        <v>3266.62</v>
      </c>
      <c r="E110" s="187">
        <v>3266.62</v>
      </c>
      <c r="F110" s="246">
        <v>855862</v>
      </c>
      <c r="G110" s="187">
        <v>0</v>
      </c>
    </row>
    <row r="111" spans="1:7">
      <c r="A111" s="216" t="s">
        <v>954</v>
      </c>
      <c r="B111" s="423" t="s">
        <v>7659</v>
      </c>
      <c r="C111" s="246">
        <v>25677308</v>
      </c>
      <c r="D111" s="187">
        <v>229.83500000000001</v>
      </c>
      <c r="E111" s="187">
        <v>229.83500000000001</v>
      </c>
      <c r="F111" s="246">
        <v>1403</v>
      </c>
      <c r="G111" s="246">
        <v>18341</v>
      </c>
    </row>
    <row r="112" spans="1:7">
      <c r="A112" s="216" t="s">
        <v>6166</v>
      </c>
      <c r="B112" s="423" t="s">
        <v>6071</v>
      </c>
      <c r="C112" s="246">
        <v>72931474</v>
      </c>
      <c r="D112" s="187">
        <v>257.64499999999998</v>
      </c>
      <c r="E112" s="187">
        <v>257.64499999999998</v>
      </c>
      <c r="F112" s="246">
        <v>49391</v>
      </c>
      <c r="G112" s="246">
        <v>47962</v>
      </c>
    </row>
    <row r="113" spans="1:7">
      <c r="A113" s="216" t="s">
        <v>864</v>
      </c>
      <c r="B113" s="423" t="s">
        <v>2011</v>
      </c>
      <c r="C113" s="246">
        <v>23004553</v>
      </c>
      <c r="D113" s="187">
        <v>186.87100000000001</v>
      </c>
      <c r="E113" s="187">
        <v>186.87100000000001</v>
      </c>
      <c r="F113" s="187">
        <v>0</v>
      </c>
      <c r="G113" s="246">
        <v>6959</v>
      </c>
    </row>
    <row r="114" spans="1:7">
      <c r="A114" s="216" t="s">
        <v>3085</v>
      </c>
      <c r="B114" s="423" t="s">
        <v>2141</v>
      </c>
      <c r="C114" s="246">
        <v>31358526</v>
      </c>
      <c r="D114" s="187">
        <v>213.5</v>
      </c>
      <c r="E114" s="187">
        <v>213.5</v>
      </c>
      <c r="F114" s="246">
        <v>15956</v>
      </c>
      <c r="G114" s="246">
        <v>22186</v>
      </c>
    </row>
    <row r="115" spans="1:7">
      <c r="A115" s="216" t="s">
        <v>1518</v>
      </c>
      <c r="B115" s="423" t="s">
        <v>3012</v>
      </c>
      <c r="C115" s="246">
        <v>134610784</v>
      </c>
      <c r="D115" s="187">
        <v>1229.96</v>
      </c>
      <c r="E115" s="187">
        <v>1229.96</v>
      </c>
      <c r="F115" s="246">
        <v>63985</v>
      </c>
      <c r="G115" s="246">
        <v>65648</v>
      </c>
    </row>
    <row r="116" spans="1:7">
      <c r="A116" s="216" t="s">
        <v>2293</v>
      </c>
      <c r="B116" s="423" t="s">
        <v>3798</v>
      </c>
      <c r="C116" s="246">
        <v>368115985</v>
      </c>
      <c r="D116" s="187">
        <v>1795.3</v>
      </c>
      <c r="E116" s="187">
        <v>1795.3</v>
      </c>
      <c r="F116" s="246">
        <v>414751</v>
      </c>
      <c r="G116" s="187">
        <v>0</v>
      </c>
    </row>
    <row r="117" spans="1:7">
      <c r="A117" s="216" t="s">
        <v>2295</v>
      </c>
      <c r="B117" s="423" t="s">
        <v>3799</v>
      </c>
      <c r="C117" s="246">
        <v>128914831</v>
      </c>
      <c r="D117" s="187">
        <v>601.49900000000002</v>
      </c>
      <c r="E117" s="187">
        <v>626.25599999999997</v>
      </c>
      <c r="F117" s="246">
        <v>117235</v>
      </c>
      <c r="G117" s="187">
        <v>0</v>
      </c>
    </row>
    <row r="118" spans="1:7">
      <c r="A118" s="216" t="s">
        <v>2297</v>
      </c>
      <c r="B118" s="423" t="s">
        <v>3800</v>
      </c>
      <c r="C118" s="246">
        <v>102088255</v>
      </c>
      <c r="D118" s="187">
        <v>476.13799999999998</v>
      </c>
      <c r="E118" s="187">
        <v>476.13799999999998</v>
      </c>
      <c r="F118" s="187">
        <v>0</v>
      </c>
      <c r="G118" s="187">
        <v>0</v>
      </c>
    </row>
    <row r="119" spans="1:7">
      <c r="A119" s="216" t="s">
        <v>978</v>
      </c>
      <c r="B119" s="423" t="s">
        <v>2148</v>
      </c>
      <c r="C119" s="246">
        <v>895133928</v>
      </c>
      <c r="D119" s="187">
        <v>2877.759</v>
      </c>
      <c r="E119" s="187">
        <v>2877.759</v>
      </c>
      <c r="F119" s="246">
        <v>737447</v>
      </c>
      <c r="G119" s="246">
        <v>485640</v>
      </c>
    </row>
    <row r="120" spans="1:7">
      <c r="A120" s="216" t="s">
        <v>3003</v>
      </c>
      <c r="B120" s="423" t="s">
        <v>6063</v>
      </c>
      <c r="C120" s="246">
        <v>1490272495</v>
      </c>
      <c r="D120" s="187">
        <v>3502.875</v>
      </c>
      <c r="E120" s="187">
        <v>3502.875</v>
      </c>
      <c r="F120" s="246">
        <v>2405369</v>
      </c>
      <c r="G120" s="246">
        <v>532882</v>
      </c>
    </row>
    <row r="121" spans="1:7">
      <c r="A121" s="216" t="s">
        <v>2993</v>
      </c>
      <c r="B121" s="423" t="s">
        <v>196</v>
      </c>
      <c r="C121" s="246">
        <v>648722124</v>
      </c>
      <c r="D121" s="187">
        <v>4179.6890000000003</v>
      </c>
      <c r="E121" s="187">
        <v>4179.6890000000003</v>
      </c>
      <c r="F121" s="246">
        <v>513125</v>
      </c>
      <c r="G121" s="246">
        <v>825449</v>
      </c>
    </row>
    <row r="122" spans="1:7">
      <c r="A122" s="216" t="s">
        <v>518</v>
      </c>
      <c r="B122" s="423" t="s">
        <v>6056</v>
      </c>
      <c r="C122" s="246">
        <v>195163813</v>
      </c>
      <c r="D122" s="187">
        <v>1453.039</v>
      </c>
      <c r="E122" s="187">
        <v>1453.039</v>
      </c>
      <c r="F122" s="187">
        <v>0</v>
      </c>
      <c r="G122" s="246">
        <v>135169</v>
      </c>
    </row>
    <row r="123" spans="1:7">
      <c r="A123" s="216" t="s">
        <v>2299</v>
      </c>
      <c r="B123" s="423" t="s">
        <v>3801</v>
      </c>
      <c r="C123" s="246">
        <v>46838356</v>
      </c>
      <c r="D123" s="187">
        <v>191.649</v>
      </c>
      <c r="E123" s="187">
        <v>191.649</v>
      </c>
      <c r="F123" s="187">
        <v>0</v>
      </c>
      <c r="G123" s="187">
        <v>0</v>
      </c>
    </row>
    <row r="124" spans="1:7">
      <c r="A124" s="216" t="s">
        <v>3971</v>
      </c>
      <c r="B124" s="423" t="s">
        <v>3802</v>
      </c>
      <c r="C124" s="246">
        <v>3537113202</v>
      </c>
      <c r="D124" s="187">
        <v>3902.5619999999999</v>
      </c>
      <c r="E124" s="187">
        <v>3902.5619999999999</v>
      </c>
      <c r="F124" s="246">
        <v>1423244</v>
      </c>
      <c r="G124" s="187">
        <v>0</v>
      </c>
    </row>
    <row r="125" spans="1:7">
      <c r="A125" s="216" t="s">
        <v>2161</v>
      </c>
      <c r="B125" s="423" t="s">
        <v>3803</v>
      </c>
      <c r="C125" s="246">
        <v>59415273</v>
      </c>
      <c r="D125" s="187">
        <v>352.49299999999999</v>
      </c>
      <c r="E125" s="187">
        <v>352.49299999999999</v>
      </c>
      <c r="F125" s="246">
        <v>33585</v>
      </c>
      <c r="G125" s="187">
        <v>0</v>
      </c>
    </row>
    <row r="126" spans="1:7">
      <c r="A126" s="216" t="s">
        <v>3086</v>
      </c>
      <c r="B126" s="423" t="s">
        <v>6117</v>
      </c>
      <c r="C126" s="246">
        <v>141852217</v>
      </c>
      <c r="D126" s="187">
        <v>1396.0060000000001</v>
      </c>
      <c r="E126" s="187">
        <v>1396.0060000000001</v>
      </c>
      <c r="F126" s="246">
        <v>61803</v>
      </c>
      <c r="G126" s="246">
        <v>108870</v>
      </c>
    </row>
    <row r="127" spans="1:7">
      <c r="A127" s="216" t="s">
        <v>2605</v>
      </c>
      <c r="B127" s="423" t="s">
        <v>3804</v>
      </c>
      <c r="C127" s="246">
        <v>68351248</v>
      </c>
      <c r="D127" s="187">
        <v>325.411</v>
      </c>
      <c r="E127" s="187">
        <v>348.10199999999998</v>
      </c>
      <c r="F127" s="187">
        <v>0</v>
      </c>
      <c r="G127" s="187">
        <v>0</v>
      </c>
    </row>
    <row r="128" spans="1:7">
      <c r="A128" s="216" t="s">
        <v>4181</v>
      </c>
      <c r="B128" s="423" t="s">
        <v>3805</v>
      </c>
      <c r="C128" s="246">
        <v>112450253</v>
      </c>
      <c r="D128" s="187">
        <v>472.108</v>
      </c>
      <c r="E128" s="187">
        <v>472.108</v>
      </c>
      <c r="F128" s="246">
        <v>244600</v>
      </c>
      <c r="G128" s="187">
        <v>0</v>
      </c>
    </row>
    <row r="129" spans="1:7">
      <c r="A129" s="216" t="s">
        <v>959</v>
      </c>
      <c r="B129" s="423" t="s">
        <v>2142</v>
      </c>
      <c r="C129" s="246">
        <v>3322864997</v>
      </c>
      <c r="D129" s="187">
        <v>43211.372000000003</v>
      </c>
      <c r="E129" s="187">
        <v>43211.372000000003</v>
      </c>
      <c r="F129" s="246">
        <v>462184</v>
      </c>
      <c r="G129" s="246">
        <v>1128933</v>
      </c>
    </row>
    <row r="130" spans="1:7">
      <c r="A130" s="216" t="s">
        <v>1861</v>
      </c>
      <c r="B130" s="423" t="s">
        <v>3919</v>
      </c>
      <c r="C130" s="246">
        <v>2173332328</v>
      </c>
      <c r="D130" s="187">
        <v>15446.304</v>
      </c>
      <c r="E130" s="187">
        <v>15446.304</v>
      </c>
      <c r="F130" s="246">
        <v>463673</v>
      </c>
      <c r="G130" s="246">
        <v>1792003</v>
      </c>
    </row>
    <row r="131" spans="1:7">
      <c r="A131" s="216" t="s">
        <v>6037</v>
      </c>
      <c r="B131" s="423" t="s">
        <v>2152</v>
      </c>
      <c r="C131" s="246">
        <v>186287098</v>
      </c>
      <c r="D131" s="187">
        <v>2773.1930000000002</v>
      </c>
      <c r="E131" s="187">
        <v>2773.1930000000002</v>
      </c>
      <c r="F131" s="187">
        <v>0</v>
      </c>
      <c r="G131" s="246">
        <v>278055</v>
      </c>
    </row>
    <row r="132" spans="1:7">
      <c r="A132" s="216" t="s">
        <v>2995</v>
      </c>
      <c r="B132" s="423" t="s">
        <v>201</v>
      </c>
      <c r="C132" s="246">
        <v>598760158</v>
      </c>
      <c r="D132" s="187">
        <v>7464.26</v>
      </c>
      <c r="E132" s="187">
        <v>7464.26</v>
      </c>
      <c r="F132" s="246">
        <v>284381</v>
      </c>
      <c r="G132" s="246">
        <v>525200</v>
      </c>
    </row>
    <row r="133" spans="1:7">
      <c r="A133" s="216" t="s">
        <v>7643</v>
      </c>
      <c r="B133" s="423" t="s">
        <v>3806</v>
      </c>
      <c r="C133" s="246">
        <v>1657341078</v>
      </c>
      <c r="D133" s="187">
        <v>2339.712</v>
      </c>
      <c r="E133" s="187">
        <v>2339.712</v>
      </c>
      <c r="F133" s="246">
        <v>1753830</v>
      </c>
      <c r="G133" s="187">
        <v>0</v>
      </c>
    </row>
    <row r="134" spans="1:7">
      <c r="A134" s="216" t="s">
        <v>3087</v>
      </c>
      <c r="B134" s="423" t="s">
        <v>361</v>
      </c>
      <c r="C134" s="246">
        <v>124998130</v>
      </c>
      <c r="D134" s="187">
        <v>2030.8230000000001</v>
      </c>
      <c r="E134" s="187">
        <v>2030.8230000000001</v>
      </c>
      <c r="F134" s="246">
        <v>128733</v>
      </c>
      <c r="G134" s="246">
        <v>171681</v>
      </c>
    </row>
    <row r="135" spans="1:7">
      <c r="A135" s="216" t="s">
        <v>2387</v>
      </c>
      <c r="B135" s="423" t="s">
        <v>380</v>
      </c>
      <c r="C135" s="246">
        <v>526565871</v>
      </c>
      <c r="D135" s="187">
        <v>9408.1219999999994</v>
      </c>
      <c r="E135" s="187">
        <v>9408.1219999999994</v>
      </c>
      <c r="F135" s="246">
        <v>208209</v>
      </c>
      <c r="G135" s="246">
        <v>545908</v>
      </c>
    </row>
    <row r="136" spans="1:7">
      <c r="A136" s="216" t="s">
        <v>3088</v>
      </c>
      <c r="B136" s="423" t="s">
        <v>1459</v>
      </c>
      <c r="C136" s="246">
        <v>28504391</v>
      </c>
      <c r="D136" s="187">
        <v>574.51499999999999</v>
      </c>
      <c r="E136" s="187">
        <v>574.51499999999999</v>
      </c>
      <c r="F136" s="246">
        <v>28090</v>
      </c>
      <c r="G136" s="246">
        <v>33218</v>
      </c>
    </row>
    <row r="137" spans="1:7">
      <c r="A137" s="216" t="s">
        <v>2393</v>
      </c>
      <c r="B137" s="423" t="s">
        <v>1460</v>
      </c>
      <c r="C137" s="246">
        <v>45801854</v>
      </c>
      <c r="D137" s="187">
        <v>1146.6310000000001</v>
      </c>
      <c r="E137" s="187">
        <v>1146.6310000000001</v>
      </c>
      <c r="F137" s="187">
        <v>0</v>
      </c>
      <c r="G137" s="246">
        <v>96896</v>
      </c>
    </row>
    <row r="138" spans="1:7">
      <c r="A138" s="216" t="s">
        <v>7647</v>
      </c>
      <c r="B138" s="423" t="s">
        <v>3807</v>
      </c>
      <c r="C138" s="246">
        <v>428380872</v>
      </c>
      <c r="D138" s="187">
        <v>2241.7710000000002</v>
      </c>
      <c r="E138" s="187">
        <v>2241.7710000000002</v>
      </c>
      <c r="F138" s="246">
        <v>257088</v>
      </c>
      <c r="G138" s="187">
        <v>0</v>
      </c>
    </row>
    <row r="139" spans="1:7">
      <c r="A139" s="216" t="s">
        <v>7649</v>
      </c>
      <c r="B139" s="423" t="s">
        <v>3808</v>
      </c>
      <c r="C139" s="246">
        <v>52029061</v>
      </c>
      <c r="D139" s="187">
        <v>114.012</v>
      </c>
      <c r="E139" s="187">
        <v>114.012</v>
      </c>
      <c r="F139" s="246">
        <v>51097</v>
      </c>
      <c r="G139" s="187">
        <v>0</v>
      </c>
    </row>
    <row r="140" spans="1:7">
      <c r="A140" s="216" t="s">
        <v>1786</v>
      </c>
      <c r="B140" s="423" t="s">
        <v>3809</v>
      </c>
      <c r="C140" s="246">
        <v>285468937</v>
      </c>
      <c r="D140" s="187">
        <v>673.05499999999995</v>
      </c>
      <c r="E140" s="187">
        <v>673.05499999999995</v>
      </c>
      <c r="F140" s="187">
        <v>0</v>
      </c>
      <c r="G140" s="187">
        <v>0</v>
      </c>
    </row>
    <row r="141" spans="1:7">
      <c r="A141" s="216" t="s">
        <v>1788</v>
      </c>
      <c r="B141" s="423" t="s">
        <v>6208</v>
      </c>
      <c r="C141" s="246">
        <v>278874906</v>
      </c>
      <c r="D141" s="187">
        <v>379.65300000000002</v>
      </c>
      <c r="E141" s="187">
        <v>379.65300000000002</v>
      </c>
      <c r="F141" s="187">
        <v>0</v>
      </c>
      <c r="G141" s="187">
        <v>0</v>
      </c>
    </row>
    <row r="142" spans="1:7">
      <c r="A142" s="216" t="s">
        <v>1790</v>
      </c>
      <c r="B142" s="423" t="s">
        <v>6209</v>
      </c>
      <c r="C142" s="246">
        <v>297391706</v>
      </c>
      <c r="D142" s="187">
        <v>1814.7370000000001</v>
      </c>
      <c r="E142" s="187">
        <v>1814.7370000000001</v>
      </c>
      <c r="F142" s="246">
        <v>153807</v>
      </c>
      <c r="G142" s="187">
        <v>0</v>
      </c>
    </row>
    <row r="143" spans="1:7">
      <c r="A143" s="216" t="s">
        <v>1792</v>
      </c>
      <c r="B143" s="423" t="s">
        <v>6210</v>
      </c>
      <c r="C143" s="246">
        <v>33889023</v>
      </c>
      <c r="D143" s="187">
        <v>145.77000000000001</v>
      </c>
      <c r="E143" s="187">
        <v>145.77000000000001</v>
      </c>
      <c r="F143" s="187">
        <v>0</v>
      </c>
      <c r="G143" s="187">
        <v>0</v>
      </c>
    </row>
    <row r="144" spans="1:7">
      <c r="A144" s="216" t="s">
        <v>2982</v>
      </c>
      <c r="B144" s="423" t="s">
        <v>6211</v>
      </c>
      <c r="C144" s="246">
        <v>156127708</v>
      </c>
      <c r="D144" s="187">
        <v>907.63099999999997</v>
      </c>
      <c r="E144" s="187">
        <v>907.63099999999997</v>
      </c>
      <c r="F144" s="246">
        <v>129140</v>
      </c>
      <c r="G144" s="187">
        <v>0</v>
      </c>
    </row>
    <row r="145" spans="1:7">
      <c r="A145" s="216" t="s">
        <v>2984</v>
      </c>
      <c r="B145" s="423" t="s">
        <v>3813</v>
      </c>
      <c r="C145" s="246">
        <v>142074980</v>
      </c>
      <c r="D145" s="187">
        <v>834.29399999999998</v>
      </c>
      <c r="E145" s="187">
        <v>834.29399999999998</v>
      </c>
      <c r="F145" s="187">
        <v>0</v>
      </c>
      <c r="G145" s="187">
        <v>0</v>
      </c>
    </row>
    <row r="146" spans="1:7">
      <c r="A146" s="216" t="s">
        <v>965</v>
      </c>
      <c r="B146" s="423" t="s">
        <v>6077</v>
      </c>
      <c r="C146" s="246">
        <v>17514887</v>
      </c>
      <c r="D146" s="187">
        <v>414.18200000000002</v>
      </c>
      <c r="E146" s="187">
        <v>432.27800000000002</v>
      </c>
      <c r="F146" s="187">
        <v>0</v>
      </c>
      <c r="G146" s="187">
        <v>0</v>
      </c>
    </row>
    <row r="147" spans="1:7">
      <c r="A147" s="216" t="s">
        <v>6704</v>
      </c>
      <c r="B147" s="423" t="s">
        <v>3814</v>
      </c>
      <c r="C147" s="246">
        <v>306150373</v>
      </c>
      <c r="D147" s="187">
        <v>1020.095</v>
      </c>
      <c r="E147" s="187">
        <v>1020.095</v>
      </c>
      <c r="F147" s="246">
        <v>277556</v>
      </c>
      <c r="G147" s="187">
        <v>0</v>
      </c>
    </row>
    <row r="148" spans="1:7">
      <c r="A148" s="216" t="s">
        <v>6706</v>
      </c>
      <c r="B148" s="423" t="s">
        <v>3815</v>
      </c>
      <c r="C148" s="246">
        <v>12483377</v>
      </c>
      <c r="D148" s="187">
        <v>41.857999999999997</v>
      </c>
      <c r="E148" s="187">
        <v>41.857999999999997</v>
      </c>
      <c r="F148" s="187">
        <v>0</v>
      </c>
      <c r="G148" s="187">
        <v>0</v>
      </c>
    </row>
    <row r="149" spans="1:7">
      <c r="A149" s="216" t="s">
        <v>690</v>
      </c>
      <c r="B149" s="423" t="s">
        <v>3816</v>
      </c>
      <c r="C149" s="246">
        <v>23355847</v>
      </c>
      <c r="D149" s="187">
        <v>243.14</v>
      </c>
      <c r="E149" s="187">
        <v>243.14</v>
      </c>
      <c r="F149" s="187">
        <v>0</v>
      </c>
      <c r="G149" s="187">
        <v>0</v>
      </c>
    </row>
    <row r="150" spans="1:7">
      <c r="A150" s="216" t="s">
        <v>692</v>
      </c>
      <c r="B150" s="423" t="s">
        <v>3817</v>
      </c>
      <c r="C150" s="246">
        <v>207158132</v>
      </c>
      <c r="D150" s="187">
        <v>1081.9929999999999</v>
      </c>
      <c r="E150" s="187">
        <v>1081.9929999999999</v>
      </c>
      <c r="F150" s="187">
        <v>0</v>
      </c>
      <c r="G150" s="187">
        <v>0</v>
      </c>
    </row>
    <row r="151" spans="1:7">
      <c r="A151" s="216" t="s">
        <v>895</v>
      </c>
      <c r="B151" s="423" t="s">
        <v>3818</v>
      </c>
      <c r="C151" s="246">
        <v>52727629</v>
      </c>
      <c r="D151" s="187">
        <v>319.58</v>
      </c>
      <c r="E151" s="187">
        <v>319.58</v>
      </c>
      <c r="F151" s="187">
        <v>0</v>
      </c>
      <c r="G151" s="187">
        <v>0</v>
      </c>
    </row>
    <row r="152" spans="1:7">
      <c r="A152" s="216" t="s">
        <v>6177</v>
      </c>
      <c r="B152" s="423" t="s">
        <v>506</v>
      </c>
      <c r="C152" s="246">
        <v>21368903</v>
      </c>
      <c r="D152" s="187">
        <v>213.36699999999999</v>
      </c>
      <c r="E152" s="187">
        <v>213.36699999999999</v>
      </c>
      <c r="F152" s="187">
        <v>758</v>
      </c>
      <c r="G152" s="246">
        <v>15128</v>
      </c>
    </row>
    <row r="153" spans="1:7">
      <c r="A153" s="216" t="s">
        <v>265</v>
      </c>
      <c r="B153" s="423" t="s">
        <v>7682</v>
      </c>
      <c r="C153" s="246">
        <v>240526859</v>
      </c>
      <c r="D153" s="187">
        <v>1382.6690000000001</v>
      </c>
      <c r="E153" s="187">
        <v>1382.6690000000001</v>
      </c>
      <c r="F153" s="246">
        <v>96942</v>
      </c>
      <c r="G153" s="246">
        <v>170229</v>
      </c>
    </row>
    <row r="154" spans="1:7">
      <c r="A154" s="216" t="s">
        <v>897</v>
      </c>
      <c r="B154" s="423" t="s">
        <v>3819</v>
      </c>
      <c r="C154" s="246">
        <v>1949396210</v>
      </c>
      <c r="D154" s="187">
        <v>3091.0459999999998</v>
      </c>
      <c r="E154" s="187">
        <v>3091.0459999999998</v>
      </c>
      <c r="F154" s="246">
        <v>3460909</v>
      </c>
      <c r="G154" s="187">
        <v>0</v>
      </c>
    </row>
    <row r="155" spans="1:7">
      <c r="A155" s="216" t="s">
        <v>899</v>
      </c>
      <c r="B155" s="423" t="s">
        <v>3820</v>
      </c>
      <c r="C155" s="246">
        <v>218571273</v>
      </c>
      <c r="D155" s="187">
        <v>1122.182</v>
      </c>
      <c r="E155" s="187">
        <v>1122.182</v>
      </c>
      <c r="F155" s="187">
        <v>0</v>
      </c>
      <c r="G155" s="187">
        <v>0</v>
      </c>
    </row>
    <row r="156" spans="1:7">
      <c r="A156" s="216" t="s">
        <v>901</v>
      </c>
      <c r="B156" s="423" t="s">
        <v>3821</v>
      </c>
      <c r="C156" s="246">
        <v>100978985</v>
      </c>
      <c r="D156" s="187">
        <v>607.29600000000005</v>
      </c>
      <c r="E156" s="187">
        <v>607.29600000000005</v>
      </c>
      <c r="F156" s="246">
        <v>53098</v>
      </c>
      <c r="G156" s="187">
        <v>0</v>
      </c>
    </row>
    <row r="157" spans="1:7">
      <c r="A157" s="216" t="s">
        <v>6023</v>
      </c>
      <c r="B157" s="423" t="s">
        <v>1908</v>
      </c>
      <c r="C157" s="246">
        <v>612160327</v>
      </c>
      <c r="D157" s="187">
        <v>4490.8639999999996</v>
      </c>
      <c r="E157" s="187">
        <v>4490.8639999999996</v>
      </c>
      <c r="F157" s="246">
        <v>250867</v>
      </c>
      <c r="G157" s="246">
        <v>348418</v>
      </c>
    </row>
    <row r="158" spans="1:7">
      <c r="A158" s="216" t="s">
        <v>2383</v>
      </c>
      <c r="B158" s="423" t="s">
        <v>374</v>
      </c>
      <c r="C158" s="246">
        <v>244869178</v>
      </c>
      <c r="D158" s="187">
        <v>1767.0250000000001</v>
      </c>
      <c r="E158" s="187">
        <v>1767.0250000000001</v>
      </c>
      <c r="F158" s="246">
        <v>174927</v>
      </c>
      <c r="G158" s="246">
        <v>155327</v>
      </c>
    </row>
    <row r="159" spans="1:7">
      <c r="A159" s="216" t="s">
        <v>6180</v>
      </c>
      <c r="B159" s="423" t="s">
        <v>1934</v>
      </c>
      <c r="C159" s="246">
        <v>30416235</v>
      </c>
      <c r="D159" s="187">
        <v>413.41300000000001</v>
      </c>
      <c r="E159" s="187">
        <v>413.41300000000001</v>
      </c>
      <c r="F159" s="246">
        <v>19422</v>
      </c>
      <c r="G159" s="187">
        <v>0</v>
      </c>
    </row>
    <row r="160" spans="1:7">
      <c r="A160" s="216" t="s">
        <v>903</v>
      </c>
      <c r="B160" s="423" t="s">
        <v>3822</v>
      </c>
      <c r="C160" s="246">
        <v>33963535</v>
      </c>
      <c r="D160" s="187">
        <v>307.91800000000001</v>
      </c>
      <c r="E160" s="187">
        <v>307.91800000000001</v>
      </c>
      <c r="F160" s="187">
        <v>0</v>
      </c>
      <c r="G160" s="187">
        <v>0</v>
      </c>
    </row>
    <row r="161" spans="1:7">
      <c r="A161" s="216" t="s">
        <v>736</v>
      </c>
      <c r="B161" s="423" t="s">
        <v>6109</v>
      </c>
      <c r="C161" s="246">
        <v>139244066</v>
      </c>
      <c r="D161" s="187">
        <v>1055.943</v>
      </c>
      <c r="E161" s="187">
        <v>1055.943</v>
      </c>
      <c r="F161" s="187">
        <v>162</v>
      </c>
      <c r="G161" s="246">
        <v>127577</v>
      </c>
    </row>
    <row r="162" spans="1:7">
      <c r="A162" s="216" t="s">
        <v>5336</v>
      </c>
      <c r="B162" s="423" t="s">
        <v>3823</v>
      </c>
      <c r="C162" s="246">
        <v>16442290</v>
      </c>
      <c r="D162" s="187">
        <v>106.55</v>
      </c>
      <c r="E162" s="187">
        <v>106.55</v>
      </c>
      <c r="F162" s="187">
        <v>0</v>
      </c>
      <c r="G162" s="187">
        <v>0</v>
      </c>
    </row>
    <row r="163" spans="1:7">
      <c r="A163" s="216" t="s">
        <v>2117</v>
      </c>
      <c r="B163" s="423" t="s">
        <v>3824</v>
      </c>
      <c r="C163" s="246">
        <v>222383680</v>
      </c>
      <c r="D163" s="187">
        <v>981.423</v>
      </c>
      <c r="E163" s="187">
        <v>981.423</v>
      </c>
      <c r="F163" s="246">
        <v>167670</v>
      </c>
      <c r="G163" s="187">
        <v>0</v>
      </c>
    </row>
    <row r="164" spans="1:7">
      <c r="A164" s="216" t="s">
        <v>3089</v>
      </c>
      <c r="B164" s="423" t="s">
        <v>338</v>
      </c>
      <c r="C164" s="246">
        <v>57486934</v>
      </c>
      <c r="D164" s="187">
        <v>469.274</v>
      </c>
      <c r="E164" s="187">
        <v>469.274</v>
      </c>
      <c r="F164" s="246">
        <v>38545</v>
      </c>
      <c r="G164" s="246">
        <v>81501</v>
      </c>
    </row>
    <row r="165" spans="1:7">
      <c r="A165" s="216" t="s">
        <v>2119</v>
      </c>
      <c r="B165" s="423" t="s">
        <v>3825</v>
      </c>
      <c r="C165" s="246">
        <v>29955909</v>
      </c>
      <c r="D165" s="187">
        <v>169.81</v>
      </c>
      <c r="E165" s="187">
        <v>173.185</v>
      </c>
      <c r="F165" s="187">
        <v>0</v>
      </c>
      <c r="G165" s="187">
        <v>0</v>
      </c>
    </row>
    <row r="166" spans="1:7">
      <c r="A166" s="216" t="s">
        <v>2121</v>
      </c>
      <c r="B166" s="423" t="s">
        <v>2855</v>
      </c>
      <c r="C166" s="246">
        <v>46235192</v>
      </c>
      <c r="D166" s="187">
        <v>140.84</v>
      </c>
      <c r="E166" s="187">
        <v>140.84</v>
      </c>
      <c r="F166" s="187">
        <v>0</v>
      </c>
      <c r="G166" s="187">
        <v>0</v>
      </c>
    </row>
    <row r="167" spans="1:7">
      <c r="A167" s="216" t="s">
        <v>2123</v>
      </c>
      <c r="B167" s="423" t="s">
        <v>2856</v>
      </c>
      <c r="C167" s="246">
        <v>54723088</v>
      </c>
      <c r="D167" s="187">
        <v>494.62</v>
      </c>
      <c r="E167" s="187">
        <v>494.62</v>
      </c>
      <c r="F167" s="187">
        <v>0</v>
      </c>
      <c r="G167" s="187">
        <v>0</v>
      </c>
    </row>
    <row r="168" spans="1:7">
      <c r="A168" s="216" t="s">
        <v>3130</v>
      </c>
      <c r="B168" s="423" t="s">
        <v>2857</v>
      </c>
      <c r="C168" s="246">
        <v>317936257</v>
      </c>
      <c r="D168" s="187">
        <v>326.29300000000001</v>
      </c>
      <c r="E168" s="187">
        <v>326.29300000000001</v>
      </c>
      <c r="F168" s="187">
        <v>0</v>
      </c>
      <c r="G168" s="187">
        <v>0</v>
      </c>
    </row>
    <row r="169" spans="1:7">
      <c r="A169" s="216" t="s">
        <v>3132</v>
      </c>
      <c r="B169" s="423" t="s">
        <v>2858</v>
      </c>
      <c r="C169" s="246">
        <v>56305307</v>
      </c>
      <c r="D169" s="187">
        <v>496.38600000000002</v>
      </c>
      <c r="E169" s="187">
        <v>496.38600000000002</v>
      </c>
      <c r="F169" s="187">
        <v>0</v>
      </c>
      <c r="G169" s="187">
        <v>0</v>
      </c>
    </row>
    <row r="170" spans="1:7">
      <c r="A170" s="216" t="s">
        <v>1322</v>
      </c>
      <c r="B170" s="423" t="s">
        <v>2859</v>
      </c>
      <c r="C170" s="246">
        <v>108120746</v>
      </c>
      <c r="D170" s="187">
        <v>258.78800000000001</v>
      </c>
      <c r="E170" s="187">
        <v>263.65600000000001</v>
      </c>
      <c r="F170" s="187">
        <v>0</v>
      </c>
      <c r="G170" s="187">
        <v>0</v>
      </c>
    </row>
    <row r="171" spans="1:7">
      <c r="A171" s="216" t="s">
        <v>742</v>
      </c>
      <c r="B171" s="423" t="s">
        <v>6118</v>
      </c>
      <c r="C171" s="246">
        <v>76190242</v>
      </c>
      <c r="D171" s="187">
        <v>918.38800000000003</v>
      </c>
      <c r="E171" s="187">
        <v>919.36800000000005</v>
      </c>
      <c r="F171" s="246">
        <v>140263</v>
      </c>
      <c r="G171" s="246">
        <v>16942</v>
      </c>
    </row>
    <row r="172" spans="1:7">
      <c r="A172" s="216" t="s">
        <v>440</v>
      </c>
      <c r="B172" s="423" t="s">
        <v>1457</v>
      </c>
      <c r="C172" s="246">
        <v>38701791</v>
      </c>
      <c r="D172" s="187">
        <v>264.46499999999997</v>
      </c>
      <c r="E172" s="187">
        <v>264.46499999999997</v>
      </c>
      <c r="F172" s="187">
        <v>0</v>
      </c>
      <c r="G172" s="246">
        <v>27644</v>
      </c>
    </row>
    <row r="173" spans="1:7">
      <c r="A173" s="216" t="s">
        <v>1324</v>
      </c>
      <c r="B173" s="423" t="s">
        <v>2860</v>
      </c>
      <c r="C173" s="246">
        <v>48748026</v>
      </c>
      <c r="D173" s="187">
        <v>177.61</v>
      </c>
      <c r="E173" s="187">
        <v>177.61</v>
      </c>
      <c r="F173" s="187">
        <v>0</v>
      </c>
      <c r="G173" s="187">
        <v>0</v>
      </c>
    </row>
    <row r="174" spans="1:7">
      <c r="A174" s="216" t="s">
        <v>1326</v>
      </c>
      <c r="B174" s="423" t="s">
        <v>2861</v>
      </c>
      <c r="C174" s="246">
        <v>27582868</v>
      </c>
      <c r="D174" s="187">
        <v>93.905000000000001</v>
      </c>
      <c r="E174" s="187">
        <v>93.905000000000001</v>
      </c>
      <c r="F174" s="187">
        <v>0</v>
      </c>
      <c r="G174" s="187">
        <v>0</v>
      </c>
    </row>
    <row r="175" spans="1:7">
      <c r="A175" s="216" t="s">
        <v>818</v>
      </c>
      <c r="B175" s="423" t="s">
        <v>7677</v>
      </c>
      <c r="C175" s="246">
        <v>4065594633</v>
      </c>
      <c r="D175" s="187">
        <v>14145.025</v>
      </c>
      <c r="E175" s="187">
        <v>14145.025</v>
      </c>
      <c r="F175" s="246">
        <v>11790224</v>
      </c>
      <c r="G175" s="246">
        <v>1000739</v>
      </c>
    </row>
    <row r="176" spans="1:7">
      <c r="A176" s="216" t="s">
        <v>266</v>
      </c>
      <c r="B176" s="423" t="s">
        <v>7683</v>
      </c>
      <c r="C176" s="246">
        <v>190039054</v>
      </c>
      <c r="D176" s="187">
        <v>1182.8920000000001</v>
      </c>
      <c r="E176" s="187">
        <v>1182.8920000000001</v>
      </c>
      <c r="F176" s="246">
        <v>154306</v>
      </c>
      <c r="G176" s="246">
        <v>92162</v>
      </c>
    </row>
    <row r="177" spans="1:7">
      <c r="A177" s="216" t="s">
        <v>441</v>
      </c>
      <c r="B177" s="423" t="s">
        <v>6104</v>
      </c>
      <c r="C177" s="246">
        <v>323500408</v>
      </c>
      <c r="D177" s="187">
        <v>1325.8910000000001</v>
      </c>
      <c r="E177" s="187">
        <v>1325.8910000000001</v>
      </c>
      <c r="F177" s="246">
        <v>553401</v>
      </c>
      <c r="G177" s="246">
        <v>198178</v>
      </c>
    </row>
    <row r="178" spans="1:7">
      <c r="A178" s="216" t="s">
        <v>1526</v>
      </c>
      <c r="B178" s="423" t="s">
        <v>110</v>
      </c>
      <c r="C178" s="246">
        <v>218762799</v>
      </c>
      <c r="D178" s="187">
        <v>1383.961</v>
      </c>
      <c r="E178" s="187">
        <v>1383.961</v>
      </c>
      <c r="F178" s="246">
        <v>210489</v>
      </c>
      <c r="G178" s="246">
        <v>77717</v>
      </c>
    </row>
    <row r="179" spans="1:7">
      <c r="A179" s="216" t="s">
        <v>1312</v>
      </c>
      <c r="B179" s="423" t="s">
        <v>117</v>
      </c>
      <c r="C179" s="246">
        <v>6692358396</v>
      </c>
      <c r="D179" s="187">
        <v>15527.303</v>
      </c>
      <c r="E179" s="187">
        <v>15527.303</v>
      </c>
      <c r="F179" s="246">
        <v>19407839</v>
      </c>
      <c r="G179" s="246">
        <v>919696</v>
      </c>
    </row>
    <row r="180" spans="1:7">
      <c r="A180" s="216" t="s">
        <v>6168</v>
      </c>
      <c r="B180" s="423" t="s">
        <v>6076</v>
      </c>
      <c r="C180" s="246">
        <v>5442104474</v>
      </c>
      <c r="D180" s="187">
        <v>16951.904999999999</v>
      </c>
      <c r="E180" s="187">
        <v>16951.904999999999</v>
      </c>
      <c r="F180" s="246">
        <v>15782103</v>
      </c>
      <c r="G180" s="246">
        <v>1208584</v>
      </c>
    </row>
    <row r="181" spans="1:7">
      <c r="A181" s="216" t="s">
        <v>5913</v>
      </c>
      <c r="B181" s="423" t="s">
        <v>2862</v>
      </c>
      <c r="C181" s="246">
        <v>200191291</v>
      </c>
      <c r="D181" s="187">
        <v>622.53200000000004</v>
      </c>
      <c r="E181" s="187">
        <v>622.53200000000004</v>
      </c>
      <c r="F181" s="246">
        <v>447168</v>
      </c>
      <c r="G181" s="187">
        <v>0</v>
      </c>
    </row>
    <row r="182" spans="1:7">
      <c r="A182" s="216" t="s">
        <v>3546</v>
      </c>
      <c r="B182" s="423" t="s">
        <v>2863</v>
      </c>
      <c r="C182" s="246">
        <v>27390035724</v>
      </c>
      <c r="D182" s="187">
        <v>49456.991000000002</v>
      </c>
      <c r="E182" s="187">
        <v>49456.991000000002</v>
      </c>
      <c r="F182" s="246">
        <v>68670761</v>
      </c>
      <c r="G182" s="187">
        <v>0</v>
      </c>
    </row>
    <row r="183" spans="1:7">
      <c r="A183" s="216" t="s">
        <v>5132</v>
      </c>
      <c r="B183" s="423" t="s">
        <v>352</v>
      </c>
      <c r="C183" s="246">
        <v>302552519</v>
      </c>
      <c r="D183" s="187">
        <v>2191.5949999999998</v>
      </c>
      <c r="E183" s="187">
        <v>2191.5949999999998</v>
      </c>
      <c r="F183" s="246">
        <v>732437</v>
      </c>
      <c r="G183" s="246">
        <v>298440</v>
      </c>
    </row>
    <row r="184" spans="1:7">
      <c r="A184" s="216" t="s">
        <v>649</v>
      </c>
      <c r="B184" s="423" t="s">
        <v>354</v>
      </c>
      <c r="C184" s="246">
        <v>509024336</v>
      </c>
      <c r="D184" s="187">
        <v>1530.453</v>
      </c>
      <c r="E184" s="187">
        <v>1530.453</v>
      </c>
      <c r="F184" s="246">
        <v>1476171</v>
      </c>
      <c r="G184" s="246">
        <v>200272</v>
      </c>
    </row>
    <row r="185" spans="1:7">
      <c r="A185" s="216" t="s">
        <v>861</v>
      </c>
      <c r="B185" s="423" t="s">
        <v>2008</v>
      </c>
      <c r="C185" s="246">
        <v>1520597949</v>
      </c>
      <c r="D185" s="187">
        <v>7485.8050000000003</v>
      </c>
      <c r="E185" s="187">
        <v>7485.8050000000003</v>
      </c>
      <c r="F185" s="246">
        <v>3044381</v>
      </c>
      <c r="G185" s="246">
        <v>255659</v>
      </c>
    </row>
    <row r="186" spans="1:7">
      <c r="A186" s="216" t="s">
        <v>956</v>
      </c>
      <c r="B186" s="423" t="s">
        <v>7661</v>
      </c>
      <c r="C186" s="246">
        <v>89804181</v>
      </c>
      <c r="D186" s="187">
        <v>611.47900000000004</v>
      </c>
      <c r="E186" s="187">
        <v>611.47900000000004</v>
      </c>
      <c r="F186" s="246">
        <v>76991</v>
      </c>
      <c r="G186" s="246">
        <v>153586</v>
      </c>
    </row>
    <row r="187" spans="1:7">
      <c r="A187" s="216" t="s">
        <v>236</v>
      </c>
      <c r="B187" s="423" t="s">
        <v>2643</v>
      </c>
      <c r="C187" s="246">
        <v>227323511</v>
      </c>
      <c r="D187" s="187">
        <v>1350.6320000000001</v>
      </c>
      <c r="E187" s="187">
        <v>1350.6320000000001</v>
      </c>
      <c r="F187" s="246">
        <v>302501</v>
      </c>
      <c r="G187" s="246">
        <v>122002</v>
      </c>
    </row>
    <row r="188" spans="1:7">
      <c r="A188" s="216" t="s">
        <v>3548</v>
      </c>
      <c r="B188" s="423" t="s">
        <v>2864</v>
      </c>
      <c r="C188" s="246">
        <v>783506761</v>
      </c>
      <c r="D188" s="187">
        <v>1087.4179999999999</v>
      </c>
      <c r="E188" s="187">
        <v>1087.4179999999999</v>
      </c>
      <c r="F188" s="246">
        <v>1475733</v>
      </c>
      <c r="G188" s="187">
        <v>0</v>
      </c>
    </row>
    <row r="189" spans="1:7">
      <c r="A189" s="216" t="s">
        <v>3550</v>
      </c>
      <c r="B189" s="423" t="s">
        <v>2865</v>
      </c>
      <c r="C189" s="246">
        <v>55640287</v>
      </c>
      <c r="D189" s="187">
        <v>489.90300000000002</v>
      </c>
      <c r="E189" s="187">
        <v>502.62400000000002</v>
      </c>
      <c r="F189" s="187">
        <v>0</v>
      </c>
      <c r="G189" s="187">
        <v>0</v>
      </c>
    </row>
    <row r="190" spans="1:7">
      <c r="A190" s="216" t="s">
        <v>206</v>
      </c>
      <c r="B190" s="423" t="s">
        <v>2866</v>
      </c>
      <c r="C190" s="246">
        <v>24751835</v>
      </c>
      <c r="D190" s="187">
        <v>120.34</v>
      </c>
      <c r="E190" s="187">
        <v>120.34</v>
      </c>
      <c r="F190" s="187">
        <v>0</v>
      </c>
      <c r="G190" s="187">
        <v>0</v>
      </c>
    </row>
    <row r="191" spans="1:7">
      <c r="A191" s="216" t="s">
        <v>234</v>
      </c>
      <c r="B191" s="423" t="s">
        <v>2641</v>
      </c>
      <c r="C191" s="246">
        <v>462687996</v>
      </c>
      <c r="D191" s="187">
        <v>1455.9929999999999</v>
      </c>
      <c r="E191" s="187">
        <v>1455.9929999999999</v>
      </c>
      <c r="F191" s="187">
        <v>0</v>
      </c>
      <c r="G191" s="246">
        <v>262997</v>
      </c>
    </row>
    <row r="192" spans="1:7">
      <c r="A192" s="216" t="s">
        <v>208</v>
      </c>
      <c r="B192" s="423" t="s">
        <v>2867</v>
      </c>
      <c r="C192" s="246">
        <v>372090954</v>
      </c>
      <c r="D192" s="187">
        <v>1307.6110000000001</v>
      </c>
      <c r="E192" s="187">
        <v>1322.018</v>
      </c>
      <c r="F192" s="246">
        <v>133987</v>
      </c>
      <c r="G192" s="187">
        <v>0</v>
      </c>
    </row>
    <row r="193" spans="1:7">
      <c r="A193" s="216" t="s">
        <v>210</v>
      </c>
      <c r="B193" s="423" t="s">
        <v>2868</v>
      </c>
      <c r="C193" s="246">
        <v>178648343</v>
      </c>
      <c r="D193" s="187">
        <v>571.90700000000004</v>
      </c>
      <c r="E193" s="187">
        <v>600.37</v>
      </c>
      <c r="F193" s="246">
        <v>330007</v>
      </c>
      <c r="G193" s="187">
        <v>0</v>
      </c>
    </row>
    <row r="194" spans="1:7">
      <c r="A194" s="216" t="s">
        <v>212</v>
      </c>
      <c r="B194" s="423" t="s">
        <v>2869</v>
      </c>
      <c r="C194" s="246">
        <v>1661129617</v>
      </c>
      <c r="D194" s="187">
        <v>6094.8059999999996</v>
      </c>
      <c r="E194" s="187">
        <v>6094.8059999999996</v>
      </c>
      <c r="F194" s="246">
        <v>4817276</v>
      </c>
      <c r="G194" s="187">
        <v>0</v>
      </c>
    </row>
    <row r="195" spans="1:7">
      <c r="A195" s="216" t="s">
        <v>214</v>
      </c>
      <c r="B195" s="423" t="s">
        <v>2870</v>
      </c>
      <c r="C195" s="246">
        <v>4648199611</v>
      </c>
      <c r="D195" s="187">
        <v>11778.605</v>
      </c>
      <c r="E195" s="187">
        <v>11778.605</v>
      </c>
      <c r="F195" s="246">
        <v>13479779</v>
      </c>
      <c r="G195" s="187">
        <v>0</v>
      </c>
    </row>
    <row r="196" spans="1:7">
      <c r="A196" s="216" t="s">
        <v>2714</v>
      </c>
      <c r="B196" s="423" t="s">
        <v>2871</v>
      </c>
      <c r="C196" s="246">
        <v>189670247</v>
      </c>
      <c r="D196" s="187">
        <v>1320.059</v>
      </c>
      <c r="E196" s="187">
        <v>1320.059</v>
      </c>
      <c r="F196" s="187">
        <v>0</v>
      </c>
      <c r="G196" s="187">
        <v>0</v>
      </c>
    </row>
    <row r="197" spans="1:7">
      <c r="A197" s="216" t="s">
        <v>250</v>
      </c>
      <c r="B197" s="423" t="s">
        <v>995</v>
      </c>
      <c r="C197" s="246">
        <v>112201618</v>
      </c>
      <c r="D197" s="187">
        <v>614.52599999999995</v>
      </c>
      <c r="E197" s="187">
        <v>614.52599999999995</v>
      </c>
      <c r="F197" s="246">
        <v>28823</v>
      </c>
      <c r="G197" s="187">
        <v>0</v>
      </c>
    </row>
    <row r="198" spans="1:7">
      <c r="A198" s="216" t="s">
        <v>2162</v>
      </c>
      <c r="B198" s="423" t="s">
        <v>3915</v>
      </c>
      <c r="C198" s="246">
        <v>27568425</v>
      </c>
      <c r="D198" s="187">
        <v>205.38300000000001</v>
      </c>
      <c r="E198" s="187">
        <v>205.38300000000001</v>
      </c>
      <c r="F198" s="246">
        <v>1400</v>
      </c>
      <c r="G198" s="246">
        <v>19692</v>
      </c>
    </row>
    <row r="199" spans="1:7">
      <c r="A199" s="216" t="s">
        <v>2716</v>
      </c>
      <c r="B199" s="423" t="s">
        <v>2872</v>
      </c>
      <c r="C199" s="246">
        <v>14095276</v>
      </c>
      <c r="D199" s="187">
        <v>123.94499999999999</v>
      </c>
      <c r="E199" s="187">
        <v>123.94499999999999</v>
      </c>
      <c r="F199" s="187">
        <v>0</v>
      </c>
      <c r="G199" s="187">
        <v>0</v>
      </c>
    </row>
    <row r="200" spans="1:7">
      <c r="A200" s="216" t="s">
        <v>2718</v>
      </c>
      <c r="B200" s="423" t="s">
        <v>2873</v>
      </c>
      <c r="C200" s="246">
        <v>107471548</v>
      </c>
      <c r="D200" s="187">
        <v>289.35300000000001</v>
      </c>
      <c r="E200" s="187">
        <v>289.35300000000001</v>
      </c>
      <c r="F200" s="187">
        <v>0</v>
      </c>
      <c r="G200" s="187">
        <v>0</v>
      </c>
    </row>
    <row r="201" spans="1:7">
      <c r="A201" s="216" t="s">
        <v>2720</v>
      </c>
      <c r="B201" s="423" t="s">
        <v>2874</v>
      </c>
      <c r="C201" s="246">
        <v>55414788</v>
      </c>
      <c r="D201" s="187">
        <v>137.57599999999999</v>
      </c>
      <c r="E201" s="187">
        <v>142.81</v>
      </c>
      <c r="F201" s="187">
        <v>0</v>
      </c>
      <c r="G201" s="187">
        <v>0</v>
      </c>
    </row>
    <row r="202" spans="1:7">
      <c r="A202" s="216" t="s">
        <v>1314</v>
      </c>
      <c r="B202" s="423" t="s">
        <v>119</v>
      </c>
      <c r="C202" s="246">
        <v>565478414</v>
      </c>
      <c r="D202" s="187">
        <v>2741.97</v>
      </c>
      <c r="E202" s="187">
        <v>2741.97</v>
      </c>
      <c r="F202" s="246">
        <v>195836</v>
      </c>
      <c r="G202" s="246">
        <v>139469</v>
      </c>
    </row>
    <row r="203" spans="1:7">
      <c r="A203" s="216" t="s">
        <v>2722</v>
      </c>
      <c r="B203" s="423" t="s">
        <v>2875</v>
      </c>
      <c r="C203" s="246">
        <v>122782643</v>
      </c>
      <c r="D203" s="187">
        <v>512.55999999999995</v>
      </c>
      <c r="E203" s="187">
        <v>512.55999999999995</v>
      </c>
      <c r="F203" s="246">
        <v>101135</v>
      </c>
      <c r="G203" s="187">
        <v>0</v>
      </c>
    </row>
    <row r="204" spans="1:7">
      <c r="A204" s="216" t="s">
        <v>442</v>
      </c>
      <c r="B204" s="423" t="s">
        <v>5372</v>
      </c>
      <c r="C204" s="246">
        <v>112377624</v>
      </c>
      <c r="D204" s="187">
        <v>633.33600000000001</v>
      </c>
      <c r="E204" s="187">
        <v>633.33600000000001</v>
      </c>
      <c r="F204" s="187">
        <v>1</v>
      </c>
      <c r="G204" s="246">
        <v>78917</v>
      </c>
    </row>
    <row r="205" spans="1:7">
      <c r="A205" s="216" t="s">
        <v>2724</v>
      </c>
      <c r="B205" s="423" t="s">
        <v>2876</v>
      </c>
      <c r="C205" s="246">
        <v>316280935</v>
      </c>
      <c r="D205" s="187">
        <v>1008.53</v>
      </c>
      <c r="E205" s="187">
        <v>1008.53</v>
      </c>
      <c r="F205" s="246">
        <v>247961</v>
      </c>
      <c r="G205" s="187">
        <v>0</v>
      </c>
    </row>
    <row r="206" spans="1:7">
      <c r="A206" s="216" t="s">
        <v>5321</v>
      </c>
      <c r="B206" s="423" t="s">
        <v>2877</v>
      </c>
      <c r="C206" s="246">
        <v>52958815</v>
      </c>
      <c r="D206" s="187">
        <v>369.01400000000001</v>
      </c>
      <c r="E206" s="187">
        <v>369.01400000000001</v>
      </c>
      <c r="F206" s="246">
        <v>43721</v>
      </c>
      <c r="G206" s="187">
        <v>0</v>
      </c>
    </row>
    <row r="207" spans="1:7">
      <c r="A207" s="216" t="s">
        <v>5323</v>
      </c>
      <c r="B207" s="423" t="s">
        <v>2878</v>
      </c>
      <c r="C207" s="246">
        <v>105318392</v>
      </c>
      <c r="D207" s="187">
        <v>481.125</v>
      </c>
      <c r="E207" s="187">
        <v>481.125</v>
      </c>
      <c r="F207" s="187">
        <v>0</v>
      </c>
      <c r="G207" s="187">
        <v>0</v>
      </c>
    </row>
    <row r="208" spans="1:7">
      <c r="A208" s="216" t="s">
        <v>5325</v>
      </c>
      <c r="B208" s="423" t="s">
        <v>2879</v>
      </c>
      <c r="C208" s="246">
        <v>9747219</v>
      </c>
      <c r="D208" s="187">
        <v>72.388000000000005</v>
      </c>
      <c r="E208" s="187">
        <v>75.100999999999999</v>
      </c>
      <c r="F208" s="187">
        <v>0</v>
      </c>
      <c r="G208" s="187">
        <v>0</v>
      </c>
    </row>
    <row r="209" spans="1:7">
      <c r="A209" s="216" t="s">
        <v>5327</v>
      </c>
      <c r="B209" s="423" t="s">
        <v>2880</v>
      </c>
      <c r="C209" s="246">
        <v>60760047</v>
      </c>
      <c r="D209" s="187">
        <v>55.223999999999997</v>
      </c>
      <c r="E209" s="187">
        <v>72.55</v>
      </c>
      <c r="F209" s="187">
        <v>0</v>
      </c>
      <c r="G209" s="187">
        <v>0</v>
      </c>
    </row>
    <row r="210" spans="1:7">
      <c r="A210" s="216" t="s">
        <v>5329</v>
      </c>
      <c r="B210" s="423" t="s">
        <v>2881</v>
      </c>
      <c r="C210" s="246">
        <v>48819394</v>
      </c>
      <c r="D210" s="187">
        <v>279.71100000000001</v>
      </c>
      <c r="E210" s="187">
        <v>279.71100000000001</v>
      </c>
      <c r="F210" s="187">
        <v>0</v>
      </c>
      <c r="G210" s="187">
        <v>0</v>
      </c>
    </row>
    <row r="211" spans="1:7">
      <c r="A211" s="216" t="s">
        <v>5331</v>
      </c>
      <c r="B211" s="423" t="s">
        <v>2882</v>
      </c>
      <c r="C211" s="246">
        <v>285064147</v>
      </c>
      <c r="D211" s="187">
        <v>2506.576</v>
      </c>
      <c r="E211" s="187">
        <v>2506.576</v>
      </c>
      <c r="F211" s="246">
        <v>273995</v>
      </c>
      <c r="G211" s="187">
        <v>0</v>
      </c>
    </row>
    <row r="212" spans="1:7">
      <c r="A212" s="216" t="s">
        <v>585</v>
      </c>
      <c r="B212" s="423" t="s">
        <v>3833</v>
      </c>
      <c r="C212" s="246">
        <v>19759116</v>
      </c>
      <c r="D212" s="187">
        <v>140.56200000000001</v>
      </c>
      <c r="E212" s="187">
        <v>143.79499999999999</v>
      </c>
      <c r="F212" s="246">
        <v>19003</v>
      </c>
      <c r="G212" s="246">
        <v>13227</v>
      </c>
    </row>
    <row r="213" spans="1:7">
      <c r="A213" s="216" t="s">
        <v>5333</v>
      </c>
      <c r="B213" s="423" t="s">
        <v>2883</v>
      </c>
      <c r="C213" s="246">
        <v>35749159</v>
      </c>
      <c r="D213" s="187">
        <v>204.04</v>
      </c>
      <c r="E213" s="187">
        <v>204.04</v>
      </c>
      <c r="F213" s="187">
        <v>0</v>
      </c>
      <c r="G213" s="187">
        <v>0</v>
      </c>
    </row>
    <row r="214" spans="1:7">
      <c r="A214" s="216" t="s">
        <v>239</v>
      </c>
      <c r="B214" s="423" t="s">
        <v>2647</v>
      </c>
      <c r="C214" s="246">
        <v>687655132</v>
      </c>
      <c r="D214" s="187">
        <v>6573.05</v>
      </c>
      <c r="E214" s="187">
        <v>6573.05</v>
      </c>
      <c r="F214" s="246">
        <v>713061</v>
      </c>
      <c r="G214" s="246">
        <v>229443</v>
      </c>
    </row>
    <row r="215" spans="1:7">
      <c r="A215" s="216" t="s">
        <v>5335</v>
      </c>
      <c r="B215" s="423" t="s">
        <v>2884</v>
      </c>
      <c r="C215" s="246">
        <v>86633954</v>
      </c>
      <c r="D215" s="187">
        <v>234.732</v>
      </c>
      <c r="E215" s="187">
        <v>234.732</v>
      </c>
      <c r="F215" s="246">
        <v>155476</v>
      </c>
      <c r="G215" s="187">
        <v>0</v>
      </c>
    </row>
    <row r="216" spans="1:7">
      <c r="A216" s="216" t="s">
        <v>2450</v>
      </c>
      <c r="B216" s="423" t="s">
        <v>2885</v>
      </c>
      <c r="C216" s="246">
        <v>803364704</v>
      </c>
      <c r="D216" s="187">
        <v>859.64700000000005</v>
      </c>
      <c r="E216" s="187">
        <v>862.51700000000005</v>
      </c>
      <c r="F216" s="187">
        <v>0</v>
      </c>
      <c r="G216" s="187">
        <v>0</v>
      </c>
    </row>
    <row r="217" spans="1:7">
      <c r="A217" s="216" t="s">
        <v>2452</v>
      </c>
      <c r="B217" s="423" t="s">
        <v>2886</v>
      </c>
      <c r="C217" s="246">
        <v>1008675950</v>
      </c>
      <c r="D217" s="187">
        <v>768.72299999999996</v>
      </c>
      <c r="E217" s="187">
        <v>768.72299999999996</v>
      </c>
      <c r="F217" s="187">
        <v>0</v>
      </c>
      <c r="G217" s="187">
        <v>0</v>
      </c>
    </row>
    <row r="218" spans="1:7">
      <c r="A218" s="216" t="s">
        <v>2454</v>
      </c>
      <c r="B218" s="423" t="s">
        <v>2887</v>
      </c>
      <c r="C218" s="246">
        <v>64564354</v>
      </c>
      <c r="D218" s="187">
        <v>403.20400000000001</v>
      </c>
      <c r="E218" s="187">
        <v>410.86799999999999</v>
      </c>
      <c r="F218" s="187">
        <v>0</v>
      </c>
      <c r="G218" s="187">
        <v>0</v>
      </c>
    </row>
    <row r="219" spans="1:7">
      <c r="A219" s="216" t="s">
        <v>2456</v>
      </c>
      <c r="B219" s="423" t="s">
        <v>2888</v>
      </c>
      <c r="C219" s="246">
        <v>61294751</v>
      </c>
      <c r="D219" s="187">
        <v>301.15199999999999</v>
      </c>
      <c r="E219" s="187">
        <v>301.15199999999999</v>
      </c>
      <c r="F219" s="187">
        <v>0</v>
      </c>
      <c r="G219" s="187">
        <v>0</v>
      </c>
    </row>
    <row r="220" spans="1:7">
      <c r="A220" s="216" t="s">
        <v>2458</v>
      </c>
      <c r="B220" s="423" t="s">
        <v>2889</v>
      </c>
      <c r="C220" s="246">
        <v>72221829</v>
      </c>
      <c r="D220" s="187">
        <v>566.86199999999997</v>
      </c>
      <c r="E220" s="187">
        <v>566.86199999999997</v>
      </c>
      <c r="F220" s="187">
        <v>0</v>
      </c>
      <c r="G220" s="187">
        <v>0</v>
      </c>
    </row>
    <row r="221" spans="1:7">
      <c r="A221" s="216" t="s">
        <v>2460</v>
      </c>
      <c r="B221" s="423" t="s">
        <v>2890</v>
      </c>
      <c r="C221" s="246">
        <v>213459773</v>
      </c>
      <c r="D221" s="187">
        <v>565.721</v>
      </c>
      <c r="E221" s="187">
        <v>577.01400000000001</v>
      </c>
      <c r="F221" s="246">
        <v>142890</v>
      </c>
      <c r="G221" s="187">
        <v>0</v>
      </c>
    </row>
    <row r="222" spans="1:7">
      <c r="A222" s="216" t="s">
        <v>2462</v>
      </c>
      <c r="B222" s="423" t="s">
        <v>2891</v>
      </c>
      <c r="C222" s="246">
        <v>360598007</v>
      </c>
      <c r="D222" s="187">
        <v>1501.769</v>
      </c>
      <c r="E222" s="187">
        <v>1501.769</v>
      </c>
      <c r="F222" s="187">
        <v>0</v>
      </c>
      <c r="G222" s="187">
        <v>0</v>
      </c>
    </row>
    <row r="223" spans="1:7">
      <c r="A223" s="216" t="s">
        <v>2464</v>
      </c>
      <c r="B223" s="423" t="s">
        <v>2892</v>
      </c>
      <c r="C223" s="246">
        <v>72529383</v>
      </c>
      <c r="D223" s="187">
        <v>141.77099999999999</v>
      </c>
      <c r="E223" s="187">
        <v>141.77099999999999</v>
      </c>
      <c r="F223" s="187">
        <v>0</v>
      </c>
      <c r="G223" s="187">
        <v>0</v>
      </c>
    </row>
    <row r="224" spans="1:7">
      <c r="A224" s="216" t="s">
        <v>2104</v>
      </c>
      <c r="B224" s="423" t="s">
        <v>2893</v>
      </c>
      <c r="C224" s="246">
        <v>12562821621</v>
      </c>
      <c r="D224" s="187">
        <v>24213.021000000001</v>
      </c>
      <c r="E224" s="187">
        <v>24213.021000000001</v>
      </c>
      <c r="F224" s="246">
        <v>28025605</v>
      </c>
      <c r="G224" s="187">
        <v>0</v>
      </c>
    </row>
    <row r="225" spans="1:7">
      <c r="A225" s="216" t="s">
        <v>2106</v>
      </c>
      <c r="B225" s="423" t="s">
        <v>2894</v>
      </c>
      <c r="C225" s="246">
        <v>1966538104</v>
      </c>
      <c r="D225" s="187">
        <v>7260.7650000000003</v>
      </c>
      <c r="E225" s="187">
        <v>7260.7650000000003</v>
      </c>
      <c r="F225" s="246">
        <v>3312553</v>
      </c>
      <c r="G225" s="187">
        <v>0</v>
      </c>
    </row>
    <row r="226" spans="1:7">
      <c r="A226" s="216" t="s">
        <v>2108</v>
      </c>
      <c r="B226" s="423" t="s">
        <v>2895</v>
      </c>
      <c r="C226" s="246">
        <v>57170470632</v>
      </c>
      <c r="D226" s="187">
        <v>146216.06599999999</v>
      </c>
      <c r="E226" s="187">
        <v>146216.07</v>
      </c>
      <c r="F226" s="246">
        <v>62565880</v>
      </c>
      <c r="G226" s="187">
        <v>0</v>
      </c>
    </row>
    <row r="227" spans="1:7">
      <c r="A227" s="216" t="s">
        <v>2110</v>
      </c>
      <c r="B227" s="423" t="s">
        <v>2896</v>
      </c>
      <c r="C227" s="246">
        <v>1726059659</v>
      </c>
      <c r="D227" s="187">
        <v>7551.4889999999996</v>
      </c>
      <c r="E227" s="187">
        <v>7551.4889999999996</v>
      </c>
      <c r="F227" s="246">
        <v>3292902</v>
      </c>
      <c r="G227" s="187">
        <v>0</v>
      </c>
    </row>
    <row r="228" spans="1:7">
      <c r="A228" s="216" t="s">
        <v>2112</v>
      </c>
      <c r="B228" s="423" t="s">
        <v>2897</v>
      </c>
      <c r="C228" s="246">
        <v>2662037445</v>
      </c>
      <c r="D228" s="187">
        <v>11117.605</v>
      </c>
      <c r="E228" s="187">
        <v>11117.605</v>
      </c>
      <c r="F228" s="246">
        <v>7719909</v>
      </c>
      <c r="G228" s="187">
        <v>0</v>
      </c>
    </row>
    <row r="229" spans="1:7">
      <c r="A229" s="216" t="s">
        <v>1317</v>
      </c>
      <c r="B229" s="423" t="s">
        <v>122</v>
      </c>
      <c r="C229" s="246">
        <v>11054295371</v>
      </c>
      <c r="D229" s="187">
        <v>51631.934999999998</v>
      </c>
      <c r="E229" s="187">
        <v>51631.934999999998</v>
      </c>
      <c r="F229" s="246">
        <v>20260993</v>
      </c>
      <c r="G229" s="246">
        <v>2035164</v>
      </c>
    </row>
    <row r="230" spans="1:7">
      <c r="A230" s="216" t="s">
        <v>587</v>
      </c>
      <c r="B230" s="423" t="s">
        <v>4966</v>
      </c>
      <c r="C230" s="246">
        <v>3436548978</v>
      </c>
      <c r="D230" s="187">
        <v>21226.633999999998</v>
      </c>
      <c r="E230" s="187">
        <v>21226.633999999998</v>
      </c>
      <c r="F230" s="246">
        <v>6030918</v>
      </c>
      <c r="G230" s="246">
        <v>2265948</v>
      </c>
    </row>
    <row r="231" spans="1:7">
      <c r="A231" s="216" t="s">
        <v>4569</v>
      </c>
      <c r="B231" s="423" t="s">
        <v>2898</v>
      </c>
      <c r="C231" s="246">
        <v>7434763556</v>
      </c>
      <c r="D231" s="187">
        <v>5943.8109999999997</v>
      </c>
      <c r="E231" s="187">
        <v>5943.8109999999997</v>
      </c>
      <c r="F231" s="246">
        <v>8436133</v>
      </c>
      <c r="G231" s="187">
        <v>0</v>
      </c>
    </row>
    <row r="232" spans="1:7">
      <c r="A232" s="216" t="s">
        <v>6021</v>
      </c>
      <c r="B232" s="423" t="s">
        <v>3860</v>
      </c>
      <c r="C232" s="246">
        <v>7642156120</v>
      </c>
      <c r="D232" s="187">
        <v>29290.236000000001</v>
      </c>
      <c r="E232" s="187">
        <v>29290.236000000001</v>
      </c>
      <c r="F232" s="246">
        <v>15208073</v>
      </c>
      <c r="G232" s="246">
        <v>4640489</v>
      </c>
    </row>
    <row r="233" spans="1:7">
      <c r="A233" s="216" t="s">
        <v>4571</v>
      </c>
      <c r="B233" s="423" t="s">
        <v>2899</v>
      </c>
      <c r="C233" s="246">
        <v>1098935636</v>
      </c>
      <c r="D233" s="187">
        <v>4900.09</v>
      </c>
      <c r="E233" s="187">
        <v>4900.09</v>
      </c>
      <c r="F233" s="246">
        <v>1417281</v>
      </c>
      <c r="G233" s="187">
        <v>0</v>
      </c>
    </row>
    <row r="234" spans="1:7">
      <c r="A234" s="216" t="s">
        <v>6171</v>
      </c>
      <c r="B234" s="423" t="s">
        <v>496</v>
      </c>
      <c r="C234" s="246">
        <v>5644429873</v>
      </c>
      <c r="D234" s="187">
        <v>32876.86</v>
      </c>
      <c r="E234" s="187">
        <v>32876.86</v>
      </c>
      <c r="F234" s="246">
        <v>11205481</v>
      </c>
      <c r="G234" s="246">
        <v>5279494</v>
      </c>
    </row>
    <row r="235" spans="1:7">
      <c r="A235" s="216" t="s">
        <v>4573</v>
      </c>
      <c r="B235" s="423" t="s">
        <v>2900</v>
      </c>
      <c r="C235" s="246">
        <v>15995477637</v>
      </c>
      <c r="D235" s="187">
        <v>31771.127</v>
      </c>
      <c r="E235" s="187">
        <v>31771.127</v>
      </c>
      <c r="F235" s="246">
        <v>46386885</v>
      </c>
      <c r="G235" s="187">
        <v>0</v>
      </c>
    </row>
    <row r="236" spans="1:7">
      <c r="A236" s="216" t="s">
        <v>4575</v>
      </c>
      <c r="B236" s="423" t="s">
        <v>2901</v>
      </c>
      <c r="C236" s="246">
        <v>374662884</v>
      </c>
      <c r="D236" s="187">
        <v>439.79599999999999</v>
      </c>
      <c r="E236" s="187">
        <v>439.79599999999999</v>
      </c>
      <c r="F236" s="187">
        <v>0</v>
      </c>
      <c r="G236" s="187">
        <v>0</v>
      </c>
    </row>
    <row r="237" spans="1:7">
      <c r="A237" s="216" t="s">
        <v>4577</v>
      </c>
      <c r="B237" s="423" t="s">
        <v>2902</v>
      </c>
      <c r="C237" s="246">
        <v>520134572</v>
      </c>
      <c r="D237" s="187">
        <v>2489.0990000000002</v>
      </c>
      <c r="E237" s="187">
        <v>2615.0639999999999</v>
      </c>
      <c r="F237" s="246">
        <v>336661</v>
      </c>
      <c r="G237" s="187">
        <v>0</v>
      </c>
    </row>
    <row r="238" spans="1:7">
      <c r="A238" s="216" t="s">
        <v>4579</v>
      </c>
      <c r="B238" s="423" t="s">
        <v>2676</v>
      </c>
      <c r="C238" s="246">
        <v>5756102070</v>
      </c>
      <c r="D238" s="187">
        <v>9630.5409999999993</v>
      </c>
      <c r="E238" s="187">
        <v>9630.5409999999993</v>
      </c>
      <c r="F238" s="246">
        <v>12249359</v>
      </c>
      <c r="G238" s="187">
        <v>0</v>
      </c>
    </row>
    <row r="239" spans="1:7">
      <c r="A239" s="216" t="s">
        <v>4581</v>
      </c>
      <c r="B239" s="423" t="s">
        <v>993</v>
      </c>
      <c r="C239" s="246">
        <v>145419118</v>
      </c>
      <c r="D239" s="187">
        <v>144.52600000000001</v>
      </c>
      <c r="E239" s="187">
        <v>144.52600000000001</v>
      </c>
      <c r="F239" s="246">
        <v>152736</v>
      </c>
      <c r="G239" s="187">
        <v>0</v>
      </c>
    </row>
    <row r="240" spans="1:7">
      <c r="A240" s="216" t="s">
        <v>4582</v>
      </c>
      <c r="B240" s="423" t="s">
        <v>2677</v>
      </c>
      <c r="C240" s="246">
        <v>177920824</v>
      </c>
      <c r="D240" s="187">
        <v>185.51400000000001</v>
      </c>
      <c r="E240" s="187">
        <v>185.51400000000001</v>
      </c>
      <c r="F240" s="187">
        <v>0</v>
      </c>
      <c r="G240" s="187">
        <v>0</v>
      </c>
    </row>
    <row r="241" spans="1:7">
      <c r="A241" s="216" t="s">
        <v>4584</v>
      </c>
      <c r="B241" s="423" t="s">
        <v>2678</v>
      </c>
      <c r="C241" s="246">
        <v>272970037</v>
      </c>
      <c r="D241" s="187">
        <v>1916.36</v>
      </c>
      <c r="E241" s="187">
        <v>1916.36</v>
      </c>
      <c r="F241" s="187">
        <v>0</v>
      </c>
      <c r="G241" s="187">
        <v>0</v>
      </c>
    </row>
    <row r="242" spans="1:7">
      <c r="A242" s="216" t="s">
        <v>4586</v>
      </c>
      <c r="B242" s="423" t="s">
        <v>2679</v>
      </c>
      <c r="C242" s="246">
        <v>90996009</v>
      </c>
      <c r="D242" s="187">
        <v>204.13300000000001</v>
      </c>
      <c r="E242" s="187">
        <v>204.13300000000001</v>
      </c>
      <c r="F242" s="187">
        <v>0</v>
      </c>
      <c r="G242" s="187">
        <v>0</v>
      </c>
    </row>
    <row r="243" spans="1:7">
      <c r="A243" s="216" t="s">
        <v>1865</v>
      </c>
      <c r="B243" s="423" t="s">
        <v>3843</v>
      </c>
      <c r="C243" s="246">
        <v>506109240</v>
      </c>
      <c r="D243" s="187">
        <v>3700.4430000000002</v>
      </c>
      <c r="E243" s="187">
        <v>3700.4430000000002</v>
      </c>
      <c r="F243" s="187">
        <v>0</v>
      </c>
      <c r="G243" s="187">
        <v>0</v>
      </c>
    </row>
    <row r="244" spans="1:7">
      <c r="A244" s="216" t="s">
        <v>5018</v>
      </c>
      <c r="B244" s="423" t="s">
        <v>2680</v>
      </c>
      <c r="C244" s="246">
        <v>28781122</v>
      </c>
      <c r="D244" s="187">
        <v>157.887</v>
      </c>
      <c r="E244" s="187">
        <v>157.887</v>
      </c>
      <c r="F244" s="187">
        <v>0</v>
      </c>
      <c r="G244" s="187">
        <v>0</v>
      </c>
    </row>
    <row r="245" spans="1:7">
      <c r="A245" s="216" t="s">
        <v>5020</v>
      </c>
      <c r="B245" s="423" t="s">
        <v>2681</v>
      </c>
      <c r="C245" s="246">
        <v>85940862</v>
      </c>
      <c r="D245" s="187">
        <v>838.97900000000004</v>
      </c>
      <c r="E245" s="187">
        <v>839.62199999999996</v>
      </c>
      <c r="F245" s="246">
        <v>108486</v>
      </c>
      <c r="G245" s="187">
        <v>0</v>
      </c>
    </row>
    <row r="246" spans="1:7">
      <c r="A246" s="216" t="s">
        <v>589</v>
      </c>
      <c r="B246" s="423" t="s">
        <v>109</v>
      </c>
      <c r="C246" s="246">
        <v>28852492</v>
      </c>
      <c r="D246" s="187">
        <v>174.489</v>
      </c>
      <c r="E246" s="187">
        <v>191.74299999999999</v>
      </c>
      <c r="F246" s="246">
        <v>30239</v>
      </c>
      <c r="G246" s="246">
        <v>20587</v>
      </c>
    </row>
    <row r="247" spans="1:7">
      <c r="A247" s="216" t="s">
        <v>5022</v>
      </c>
      <c r="B247" s="423" t="s">
        <v>2682</v>
      </c>
      <c r="C247" s="246">
        <v>5363062476</v>
      </c>
      <c r="D247" s="187">
        <v>15694.078</v>
      </c>
      <c r="E247" s="187">
        <v>15694.078</v>
      </c>
      <c r="F247" s="246">
        <v>15552881</v>
      </c>
      <c r="G247" s="187">
        <v>0</v>
      </c>
    </row>
    <row r="248" spans="1:7">
      <c r="A248" s="216" t="s">
        <v>2989</v>
      </c>
      <c r="B248" s="423" t="s">
        <v>190</v>
      </c>
      <c r="C248" s="246">
        <v>16161946378</v>
      </c>
      <c r="D248" s="187">
        <v>43333.601999999999</v>
      </c>
      <c r="E248" s="187">
        <v>43333.601999999999</v>
      </c>
      <c r="F248" s="246">
        <v>41294528</v>
      </c>
      <c r="G248" s="246">
        <v>5609386</v>
      </c>
    </row>
    <row r="249" spans="1:7">
      <c r="A249" s="216" t="s">
        <v>5126</v>
      </c>
      <c r="B249" s="423" t="s">
        <v>341</v>
      </c>
      <c r="C249" s="246">
        <v>335555032</v>
      </c>
      <c r="D249" s="187">
        <v>1465.8969999999999</v>
      </c>
      <c r="E249" s="187">
        <v>1465.8969999999999</v>
      </c>
      <c r="F249" s="246">
        <v>178903</v>
      </c>
      <c r="G249" s="246">
        <v>192445</v>
      </c>
    </row>
    <row r="250" spans="1:7">
      <c r="A250" s="216" t="s">
        <v>3090</v>
      </c>
      <c r="B250" s="423" t="s">
        <v>5640</v>
      </c>
      <c r="C250" s="246">
        <v>341257639</v>
      </c>
      <c r="D250" s="187">
        <v>1223.165</v>
      </c>
      <c r="E250" s="187">
        <v>1223.165</v>
      </c>
      <c r="F250" s="246">
        <v>473342</v>
      </c>
      <c r="G250" s="246">
        <v>246083</v>
      </c>
    </row>
    <row r="251" spans="1:7">
      <c r="A251" s="216" t="s">
        <v>5128</v>
      </c>
      <c r="B251" s="423" t="s">
        <v>343</v>
      </c>
      <c r="C251" s="246">
        <v>421014460</v>
      </c>
      <c r="D251" s="187">
        <v>873.96100000000001</v>
      </c>
      <c r="E251" s="187">
        <v>873.96100000000001</v>
      </c>
      <c r="F251" s="246">
        <v>1172183</v>
      </c>
      <c r="G251" s="246">
        <v>139761</v>
      </c>
    </row>
    <row r="252" spans="1:7">
      <c r="A252" s="216" t="s">
        <v>270</v>
      </c>
      <c r="B252" s="423" t="s">
        <v>7690</v>
      </c>
      <c r="C252" s="246">
        <v>261094219</v>
      </c>
      <c r="D252" s="187">
        <v>1160.2470000000001</v>
      </c>
      <c r="E252" s="187">
        <v>1160.2470000000001</v>
      </c>
      <c r="F252" s="246">
        <v>441306</v>
      </c>
      <c r="G252" s="246">
        <v>140774</v>
      </c>
    </row>
    <row r="253" spans="1:7">
      <c r="A253" s="216" t="s">
        <v>2391</v>
      </c>
      <c r="B253" s="423" t="s">
        <v>1456</v>
      </c>
      <c r="C253" s="246">
        <v>493173642</v>
      </c>
      <c r="D253" s="187">
        <v>2069.6080000000002</v>
      </c>
      <c r="E253" s="187">
        <v>2069.6080000000002</v>
      </c>
      <c r="F253" s="246">
        <v>1016992</v>
      </c>
      <c r="G253" s="246">
        <v>414356</v>
      </c>
    </row>
    <row r="254" spans="1:7">
      <c r="A254" s="216" t="s">
        <v>2746</v>
      </c>
      <c r="B254" s="423" t="s">
        <v>2683</v>
      </c>
      <c r="C254" s="246">
        <v>548155928</v>
      </c>
      <c r="D254" s="187">
        <v>1431.796</v>
      </c>
      <c r="E254" s="187">
        <v>1431.796</v>
      </c>
      <c r="F254" s="246">
        <v>1589652</v>
      </c>
      <c r="G254" s="187">
        <v>0</v>
      </c>
    </row>
    <row r="255" spans="1:7">
      <c r="A255" s="216" t="s">
        <v>6186</v>
      </c>
      <c r="B255" s="423" t="s">
        <v>3831</v>
      </c>
      <c r="C255" s="246">
        <v>4168688516</v>
      </c>
      <c r="D255" s="187">
        <v>7202.2120000000004</v>
      </c>
      <c r="E255" s="187">
        <v>7202.2120000000004</v>
      </c>
      <c r="F255" s="246">
        <v>12089197</v>
      </c>
      <c r="G255" s="246">
        <v>740900</v>
      </c>
    </row>
    <row r="256" spans="1:7">
      <c r="A256" s="216" t="s">
        <v>6041</v>
      </c>
      <c r="B256" s="423" t="s">
        <v>185</v>
      </c>
      <c r="C256" s="246">
        <v>970813399</v>
      </c>
      <c r="D256" s="187">
        <v>3560.6</v>
      </c>
      <c r="E256" s="187">
        <v>3560.6</v>
      </c>
      <c r="F256" s="246">
        <v>1500816</v>
      </c>
      <c r="G256" s="246">
        <v>305746</v>
      </c>
    </row>
    <row r="257" spans="1:7">
      <c r="A257" s="216" t="s">
        <v>591</v>
      </c>
      <c r="B257" s="423" t="s">
        <v>194</v>
      </c>
      <c r="C257" s="246">
        <v>749358125</v>
      </c>
      <c r="D257" s="187">
        <v>3815.2860000000001</v>
      </c>
      <c r="E257" s="187">
        <v>3815.2860000000001</v>
      </c>
      <c r="F257" s="246">
        <v>2161996</v>
      </c>
      <c r="G257" s="246">
        <v>287335</v>
      </c>
    </row>
    <row r="258" spans="1:7">
      <c r="A258" s="216" t="s">
        <v>443</v>
      </c>
      <c r="B258" s="423" t="s">
        <v>990</v>
      </c>
      <c r="C258" s="246">
        <v>222881225</v>
      </c>
      <c r="D258" s="187">
        <v>1836.9849999999999</v>
      </c>
      <c r="E258" s="187">
        <v>1836.9849999999999</v>
      </c>
      <c r="F258" s="246">
        <v>16141</v>
      </c>
      <c r="G258" s="246">
        <v>169033</v>
      </c>
    </row>
    <row r="259" spans="1:7">
      <c r="A259" s="216" t="s">
        <v>2748</v>
      </c>
      <c r="B259" s="423" t="s">
        <v>2684</v>
      </c>
      <c r="C259" s="246">
        <v>36124087</v>
      </c>
      <c r="D259" s="187">
        <v>72.162999999999997</v>
      </c>
      <c r="E259" s="187">
        <v>82.484999999999999</v>
      </c>
      <c r="F259" s="246">
        <v>80866</v>
      </c>
      <c r="G259" s="187">
        <v>0</v>
      </c>
    </row>
    <row r="260" spans="1:7">
      <c r="A260" s="216" t="s">
        <v>862</v>
      </c>
      <c r="B260" s="423" t="s">
        <v>2009</v>
      </c>
      <c r="C260" s="246">
        <v>244688260</v>
      </c>
      <c r="D260" s="187">
        <v>1479.079</v>
      </c>
      <c r="E260" s="187">
        <v>1479.079</v>
      </c>
      <c r="F260" s="246">
        <v>213013</v>
      </c>
      <c r="G260" s="246">
        <v>155910</v>
      </c>
    </row>
    <row r="261" spans="1:7">
      <c r="A261" s="216" t="s">
        <v>2750</v>
      </c>
      <c r="B261" s="423" t="s">
        <v>2685</v>
      </c>
      <c r="C261" s="246">
        <v>92335386</v>
      </c>
      <c r="D261" s="187">
        <v>656.91800000000001</v>
      </c>
      <c r="E261" s="187">
        <v>656.91800000000001</v>
      </c>
      <c r="F261" s="187">
        <v>0</v>
      </c>
      <c r="G261" s="187">
        <v>0</v>
      </c>
    </row>
    <row r="262" spans="1:7">
      <c r="A262" s="216" t="s">
        <v>3899</v>
      </c>
      <c r="B262" s="423" t="s">
        <v>2686</v>
      </c>
      <c r="C262" s="246">
        <v>14910398</v>
      </c>
      <c r="D262" s="187">
        <v>50.877000000000002</v>
      </c>
      <c r="E262" s="187">
        <v>50.877000000000002</v>
      </c>
      <c r="F262" s="246">
        <v>14965</v>
      </c>
      <c r="G262" s="187">
        <v>0</v>
      </c>
    </row>
    <row r="263" spans="1:7">
      <c r="A263" s="216" t="s">
        <v>3604</v>
      </c>
      <c r="B263" s="423" t="s">
        <v>2687</v>
      </c>
      <c r="C263" s="246">
        <v>45683243</v>
      </c>
      <c r="D263" s="187">
        <v>148.84200000000001</v>
      </c>
      <c r="E263" s="187">
        <v>148.84200000000001</v>
      </c>
      <c r="F263" s="187">
        <v>0</v>
      </c>
      <c r="G263" s="187">
        <v>0</v>
      </c>
    </row>
    <row r="264" spans="1:7">
      <c r="A264" s="216" t="s">
        <v>3166</v>
      </c>
      <c r="B264" s="423" t="s">
        <v>2688</v>
      </c>
      <c r="C264" s="246">
        <v>107375410</v>
      </c>
      <c r="D264" s="187">
        <v>249.828</v>
      </c>
      <c r="E264" s="187">
        <v>251.72</v>
      </c>
      <c r="F264" s="187">
        <v>0</v>
      </c>
      <c r="G264" s="187">
        <v>0</v>
      </c>
    </row>
    <row r="265" spans="1:7">
      <c r="A265" s="216" t="s">
        <v>3168</v>
      </c>
      <c r="B265" s="423" t="s">
        <v>2689</v>
      </c>
      <c r="C265" s="246">
        <v>18748430</v>
      </c>
      <c r="D265" s="187">
        <v>127.849</v>
      </c>
      <c r="E265" s="187">
        <v>127.849</v>
      </c>
      <c r="F265" s="187">
        <v>0</v>
      </c>
      <c r="G265" s="187">
        <v>0</v>
      </c>
    </row>
    <row r="266" spans="1:7">
      <c r="A266" s="216" t="s">
        <v>3091</v>
      </c>
      <c r="B266" s="423" t="s">
        <v>6101</v>
      </c>
      <c r="C266" s="246">
        <v>241161694</v>
      </c>
      <c r="D266" s="187">
        <v>2231.4850000000001</v>
      </c>
      <c r="E266" s="187">
        <v>2231.4850000000001</v>
      </c>
      <c r="F266" s="246">
        <v>19600</v>
      </c>
      <c r="G266" s="246">
        <v>170373</v>
      </c>
    </row>
    <row r="267" spans="1:7">
      <c r="A267" s="216" t="s">
        <v>3171</v>
      </c>
      <c r="B267" s="423" t="s">
        <v>2690</v>
      </c>
      <c r="C267" s="246">
        <v>99191259</v>
      </c>
      <c r="D267" s="187">
        <v>479.63299999999998</v>
      </c>
      <c r="E267" s="187">
        <v>479.75599999999997</v>
      </c>
      <c r="F267" s="187">
        <v>0</v>
      </c>
      <c r="G267" s="187">
        <v>0</v>
      </c>
    </row>
    <row r="268" spans="1:7">
      <c r="A268" s="216" t="s">
        <v>593</v>
      </c>
      <c r="B268" s="423" t="s">
        <v>3841</v>
      </c>
      <c r="C268" s="246">
        <v>26201877</v>
      </c>
      <c r="D268" s="187">
        <v>173.05500000000001</v>
      </c>
      <c r="E268" s="187">
        <v>175.20099999999999</v>
      </c>
      <c r="F268" s="187">
        <v>138</v>
      </c>
      <c r="G268" s="246">
        <v>17122</v>
      </c>
    </row>
    <row r="269" spans="1:7">
      <c r="A269" s="216" t="s">
        <v>3173</v>
      </c>
      <c r="B269" s="423" t="s">
        <v>2691</v>
      </c>
      <c r="C269" s="246">
        <v>20162861</v>
      </c>
      <c r="D269" s="187">
        <v>40.707000000000001</v>
      </c>
      <c r="E269" s="187">
        <v>40.707000000000001</v>
      </c>
      <c r="F269" s="187">
        <v>0</v>
      </c>
      <c r="G269" s="187">
        <v>0</v>
      </c>
    </row>
    <row r="270" spans="1:7">
      <c r="A270" s="216" t="s">
        <v>3175</v>
      </c>
      <c r="B270" s="423" t="s">
        <v>2692</v>
      </c>
      <c r="C270" s="246">
        <v>155075891</v>
      </c>
      <c r="D270" s="187">
        <v>428.81599999999997</v>
      </c>
      <c r="E270" s="187">
        <v>428.81599999999997</v>
      </c>
      <c r="F270" s="187">
        <v>0</v>
      </c>
      <c r="G270" s="187">
        <v>0</v>
      </c>
    </row>
    <row r="271" spans="1:7">
      <c r="A271" s="216" t="s">
        <v>3092</v>
      </c>
      <c r="B271" s="423" t="s">
        <v>381</v>
      </c>
      <c r="C271" s="246">
        <v>94176512</v>
      </c>
      <c r="D271" s="187">
        <v>1377.23</v>
      </c>
      <c r="E271" s="187">
        <v>1377.23</v>
      </c>
      <c r="F271" s="187">
        <v>0</v>
      </c>
      <c r="G271" s="246">
        <v>119824</v>
      </c>
    </row>
    <row r="272" spans="1:7">
      <c r="A272" s="216" t="s">
        <v>673</v>
      </c>
      <c r="B272" s="423" t="s">
        <v>2693</v>
      </c>
      <c r="C272" s="246">
        <v>195895030</v>
      </c>
      <c r="D272" s="187">
        <v>808.16399999999999</v>
      </c>
      <c r="E272" s="187">
        <v>808.16399999999999</v>
      </c>
      <c r="F272" s="187">
        <v>0</v>
      </c>
      <c r="G272" s="187">
        <v>0</v>
      </c>
    </row>
    <row r="273" spans="1:7">
      <c r="A273" s="216" t="s">
        <v>322</v>
      </c>
      <c r="B273" s="423" t="s">
        <v>325</v>
      </c>
      <c r="C273" s="246">
        <v>136189067</v>
      </c>
      <c r="D273" s="187">
        <v>792.72299999999996</v>
      </c>
      <c r="E273" s="187">
        <v>792.72299999999996</v>
      </c>
      <c r="F273" s="187">
        <v>0</v>
      </c>
      <c r="G273" s="187">
        <v>0</v>
      </c>
    </row>
    <row r="274" spans="1:7">
      <c r="A274" s="216" t="s">
        <v>675</v>
      </c>
      <c r="B274" s="423" t="s">
        <v>7652</v>
      </c>
      <c r="C274" s="246">
        <v>216227508</v>
      </c>
      <c r="D274" s="187">
        <v>1101.4960000000001</v>
      </c>
      <c r="E274" s="187">
        <v>1101.4960000000001</v>
      </c>
      <c r="F274" s="187">
        <v>0</v>
      </c>
      <c r="G274" s="187">
        <v>0</v>
      </c>
    </row>
    <row r="275" spans="1:7">
      <c r="A275" s="216" t="s">
        <v>677</v>
      </c>
      <c r="B275" s="423" t="s">
        <v>1259</v>
      </c>
      <c r="C275" s="246">
        <v>41318711</v>
      </c>
      <c r="D275" s="187">
        <v>371.745</v>
      </c>
      <c r="E275" s="187">
        <v>371.745</v>
      </c>
      <c r="F275" s="187">
        <v>0</v>
      </c>
      <c r="G275" s="187">
        <v>0</v>
      </c>
    </row>
    <row r="276" spans="1:7">
      <c r="A276" s="216" t="s">
        <v>679</v>
      </c>
      <c r="B276" s="423" t="s">
        <v>1260</v>
      </c>
      <c r="C276" s="246">
        <v>61011813</v>
      </c>
      <c r="D276" s="187">
        <v>444.584</v>
      </c>
      <c r="E276" s="187">
        <v>444.584</v>
      </c>
      <c r="F276" s="187">
        <v>0</v>
      </c>
      <c r="G276" s="187">
        <v>0</v>
      </c>
    </row>
    <row r="277" spans="1:7">
      <c r="A277" s="216" t="s">
        <v>2960</v>
      </c>
      <c r="B277" s="423" t="s">
        <v>1261</v>
      </c>
      <c r="C277" s="246">
        <v>28820988</v>
      </c>
      <c r="D277" s="187">
        <v>242.86600000000001</v>
      </c>
      <c r="E277" s="187">
        <v>242.86600000000001</v>
      </c>
      <c r="F277" s="187">
        <v>0</v>
      </c>
      <c r="G277" s="187">
        <v>0</v>
      </c>
    </row>
    <row r="278" spans="1:7">
      <c r="A278" s="216" t="s">
        <v>1994</v>
      </c>
      <c r="B278" s="423" t="s">
        <v>1262</v>
      </c>
      <c r="C278" s="246">
        <v>4552508051</v>
      </c>
      <c r="D278" s="187">
        <v>24007.365000000002</v>
      </c>
      <c r="E278" s="187">
        <v>24007.365000000002</v>
      </c>
      <c r="F278" s="246">
        <v>2466699</v>
      </c>
      <c r="G278" s="187">
        <v>0</v>
      </c>
    </row>
    <row r="279" spans="1:7">
      <c r="A279" s="216" t="s">
        <v>2735</v>
      </c>
      <c r="B279" s="423" t="s">
        <v>1263</v>
      </c>
      <c r="C279" s="246">
        <v>177053635</v>
      </c>
      <c r="D279" s="187">
        <v>341.03199999999998</v>
      </c>
      <c r="E279" s="187">
        <v>341.03199999999998</v>
      </c>
      <c r="F279" s="187">
        <v>0</v>
      </c>
      <c r="G279" s="187">
        <v>0</v>
      </c>
    </row>
    <row r="280" spans="1:7">
      <c r="A280" s="216" t="s">
        <v>2737</v>
      </c>
      <c r="B280" s="423" t="s">
        <v>1264</v>
      </c>
      <c r="C280" s="246">
        <v>106126427</v>
      </c>
      <c r="D280" s="187">
        <v>314.28699999999998</v>
      </c>
      <c r="E280" s="187">
        <v>314.28699999999998</v>
      </c>
      <c r="F280" s="246">
        <v>154365</v>
      </c>
      <c r="G280" s="187">
        <v>0</v>
      </c>
    </row>
    <row r="281" spans="1:7">
      <c r="A281" s="216" t="s">
        <v>1976</v>
      </c>
      <c r="B281" s="423" t="s">
        <v>7691</v>
      </c>
      <c r="C281" s="246">
        <v>26178647</v>
      </c>
      <c r="D281" s="187">
        <v>207.494</v>
      </c>
      <c r="E281" s="187">
        <v>207.494</v>
      </c>
      <c r="F281" s="187">
        <v>0</v>
      </c>
      <c r="G281" s="246">
        <v>18216</v>
      </c>
    </row>
    <row r="282" spans="1:7">
      <c r="A282" s="216" t="s">
        <v>3648</v>
      </c>
      <c r="B282" s="423" t="s">
        <v>1265</v>
      </c>
      <c r="C282" s="246">
        <v>1165187625</v>
      </c>
      <c r="D282" s="187">
        <v>5123.7219999999998</v>
      </c>
      <c r="E282" s="187">
        <v>5123.7219999999998</v>
      </c>
      <c r="F282" s="246">
        <v>2489271</v>
      </c>
      <c r="G282" s="187">
        <v>0</v>
      </c>
    </row>
    <row r="283" spans="1:7">
      <c r="A283" s="216" t="s">
        <v>3650</v>
      </c>
      <c r="B283" s="423" t="s">
        <v>1266</v>
      </c>
      <c r="C283" s="246">
        <v>248163917</v>
      </c>
      <c r="D283" s="187">
        <v>2001.27</v>
      </c>
      <c r="E283" s="187">
        <v>2018.857</v>
      </c>
      <c r="F283" s="187">
        <v>0</v>
      </c>
      <c r="G283" s="187">
        <v>0</v>
      </c>
    </row>
    <row r="284" spans="1:7">
      <c r="A284" s="216" t="s">
        <v>3093</v>
      </c>
      <c r="B284" s="423" t="s">
        <v>1906</v>
      </c>
      <c r="C284" s="246">
        <v>74658252</v>
      </c>
      <c r="D284" s="187">
        <v>620.96900000000005</v>
      </c>
      <c r="E284" s="187">
        <v>620.96900000000005</v>
      </c>
      <c r="F284" s="246">
        <v>3797</v>
      </c>
      <c r="G284" s="246">
        <v>46824</v>
      </c>
    </row>
    <row r="285" spans="1:7">
      <c r="A285" s="216" t="s">
        <v>7734</v>
      </c>
      <c r="B285" s="423" t="s">
        <v>1267</v>
      </c>
      <c r="C285" s="246">
        <v>1753446324</v>
      </c>
      <c r="D285" s="187">
        <v>5454.34</v>
      </c>
      <c r="E285" s="187">
        <v>5454.34</v>
      </c>
      <c r="F285" s="246">
        <v>3867977</v>
      </c>
      <c r="G285" s="187">
        <v>0</v>
      </c>
    </row>
    <row r="286" spans="1:7">
      <c r="A286" s="216" t="s">
        <v>915</v>
      </c>
      <c r="B286" s="423" t="s">
        <v>1268</v>
      </c>
      <c r="C286" s="246">
        <v>31477633</v>
      </c>
      <c r="D286" s="187">
        <v>203.971</v>
      </c>
      <c r="E286" s="187">
        <v>203.971</v>
      </c>
      <c r="F286" s="246">
        <v>45874</v>
      </c>
      <c r="G286" s="187">
        <v>0</v>
      </c>
    </row>
    <row r="287" spans="1:7">
      <c r="A287" s="216" t="s">
        <v>1978</v>
      </c>
      <c r="B287" s="423" t="s">
        <v>3628</v>
      </c>
      <c r="C287" s="246">
        <v>155948583</v>
      </c>
      <c r="D287" s="187">
        <v>1049.0039999999999</v>
      </c>
      <c r="E287" s="187">
        <v>1049.0039999999999</v>
      </c>
      <c r="F287" s="246">
        <v>92186</v>
      </c>
      <c r="G287" s="246">
        <v>97268</v>
      </c>
    </row>
    <row r="288" spans="1:7">
      <c r="A288" s="216" t="s">
        <v>2767</v>
      </c>
      <c r="B288" s="423" t="s">
        <v>357</v>
      </c>
      <c r="C288" s="246">
        <v>784894613</v>
      </c>
      <c r="D288" s="187">
        <v>4581.2079999999996</v>
      </c>
      <c r="E288" s="187">
        <v>4581.2079999999996</v>
      </c>
      <c r="F288" s="246">
        <v>374061</v>
      </c>
      <c r="G288" s="246">
        <v>171511</v>
      </c>
    </row>
    <row r="289" spans="1:7">
      <c r="A289" s="216" t="s">
        <v>3555</v>
      </c>
      <c r="B289" s="423" t="s">
        <v>4063</v>
      </c>
      <c r="C289" s="246">
        <v>1722029357</v>
      </c>
      <c r="D289" s="187">
        <v>5625.9070000000002</v>
      </c>
      <c r="E289" s="187">
        <v>5625.9070000000002</v>
      </c>
      <c r="F289" s="246">
        <v>3094936</v>
      </c>
      <c r="G289" s="246">
        <v>1111055</v>
      </c>
    </row>
    <row r="290" spans="1:7">
      <c r="A290" s="216" t="s">
        <v>3094</v>
      </c>
      <c r="B290" s="423" t="s">
        <v>6072</v>
      </c>
      <c r="C290" s="246">
        <v>124898684</v>
      </c>
      <c r="D290" s="187">
        <v>917.36500000000001</v>
      </c>
      <c r="E290" s="187">
        <v>917.36500000000001</v>
      </c>
      <c r="F290" s="246">
        <v>119384</v>
      </c>
      <c r="G290" s="246">
        <v>80718</v>
      </c>
    </row>
    <row r="291" spans="1:7">
      <c r="A291" s="216" t="s">
        <v>741</v>
      </c>
      <c r="B291" s="423" t="s">
        <v>6116</v>
      </c>
      <c r="C291" s="246">
        <v>426992528</v>
      </c>
      <c r="D291" s="187">
        <v>8455.7160000000003</v>
      </c>
      <c r="E291" s="187">
        <v>8455.7160000000003</v>
      </c>
      <c r="F291" s="246">
        <v>449495</v>
      </c>
      <c r="G291" s="246">
        <v>502350</v>
      </c>
    </row>
    <row r="292" spans="1:7">
      <c r="A292" s="216" t="s">
        <v>4035</v>
      </c>
      <c r="B292" s="423" t="s">
        <v>1269</v>
      </c>
      <c r="C292" s="246">
        <v>9117742961</v>
      </c>
      <c r="D292" s="187">
        <v>58427.644</v>
      </c>
      <c r="E292" s="187">
        <v>58427.644</v>
      </c>
      <c r="F292" s="246">
        <v>7607175</v>
      </c>
      <c r="G292" s="187">
        <v>0</v>
      </c>
    </row>
    <row r="293" spans="1:7">
      <c r="A293" s="216" t="s">
        <v>1524</v>
      </c>
      <c r="B293" s="423" t="s">
        <v>1930</v>
      </c>
      <c r="C293" s="246">
        <v>106062242</v>
      </c>
      <c r="D293" s="187">
        <v>2550.5320000000002</v>
      </c>
      <c r="E293" s="187">
        <v>2550.5320000000002</v>
      </c>
      <c r="F293" s="246">
        <v>2319</v>
      </c>
      <c r="G293" s="246">
        <v>79122</v>
      </c>
    </row>
    <row r="294" spans="1:7">
      <c r="A294" s="216" t="s">
        <v>2388</v>
      </c>
      <c r="B294" s="423" t="s">
        <v>382</v>
      </c>
      <c r="C294" s="246">
        <v>93338922</v>
      </c>
      <c r="D294" s="187">
        <v>3548.2289999999998</v>
      </c>
      <c r="E294" s="187">
        <v>3548.2289999999998</v>
      </c>
      <c r="F294" s="246">
        <v>73443</v>
      </c>
      <c r="G294" s="187">
        <v>0</v>
      </c>
    </row>
    <row r="295" spans="1:7">
      <c r="A295" s="216" t="s">
        <v>863</v>
      </c>
      <c r="B295" s="423" t="s">
        <v>2010</v>
      </c>
      <c r="C295" s="246">
        <v>4368292371</v>
      </c>
      <c r="D295" s="187">
        <v>42892.635999999999</v>
      </c>
      <c r="E295" s="187">
        <v>42892.635999999999</v>
      </c>
      <c r="F295" s="246">
        <v>2397925</v>
      </c>
      <c r="G295" s="187">
        <v>0</v>
      </c>
    </row>
    <row r="296" spans="1:7">
      <c r="A296" s="216" t="s">
        <v>268</v>
      </c>
      <c r="B296" s="423" t="s">
        <v>7685</v>
      </c>
      <c r="C296" s="246">
        <v>83332236</v>
      </c>
      <c r="D296" s="187">
        <v>692.02200000000005</v>
      </c>
      <c r="E296" s="187">
        <v>692.02200000000005</v>
      </c>
      <c r="F296" s="246">
        <v>31514</v>
      </c>
      <c r="G296" s="246">
        <v>94999</v>
      </c>
    </row>
    <row r="297" spans="1:7">
      <c r="A297" s="216" t="s">
        <v>981</v>
      </c>
      <c r="B297" s="423" t="s">
        <v>6099</v>
      </c>
      <c r="C297" s="246">
        <v>580025527</v>
      </c>
      <c r="D297" s="187">
        <v>4570.7920000000004</v>
      </c>
      <c r="E297" s="187">
        <v>4570.7920000000004</v>
      </c>
      <c r="F297" s="246">
        <v>852977</v>
      </c>
      <c r="G297" s="246">
        <v>388274</v>
      </c>
    </row>
    <row r="298" spans="1:7">
      <c r="A298" s="216" t="s">
        <v>2414</v>
      </c>
      <c r="B298" s="423" t="s">
        <v>5367</v>
      </c>
      <c r="C298" s="246">
        <v>40004239</v>
      </c>
      <c r="D298" s="187">
        <v>1107.0840000000001</v>
      </c>
      <c r="E298" s="187">
        <v>1107.0840000000001</v>
      </c>
      <c r="F298" s="246">
        <v>25683</v>
      </c>
      <c r="G298" s="246">
        <v>48037</v>
      </c>
    </row>
    <row r="299" spans="1:7">
      <c r="A299" s="216" t="s">
        <v>2401</v>
      </c>
      <c r="B299" s="423" t="s">
        <v>2345</v>
      </c>
      <c r="C299" s="246">
        <v>3168136859</v>
      </c>
      <c r="D299" s="187">
        <v>32138.064999999999</v>
      </c>
      <c r="E299" s="187">
        <v>32138.064999999999</v>
      </c>
      <c r="F299" s="246">
        <v>3654271</v>
      </c>
      <c r="G299" s="246">
        <v>2547078</v>
      </c>
    </row>
    <row r="300" spans="1:7">
      <c r="A300" s="216" t="s">
        <v>4037</v>
      </c>
      <c r="B300" s="423" t="s">
        <v>1270</v>
      </c>
      <c r="C300" s="246">
        <v>25432216</v>
      </c>
      <c r="D300" s="187">
        <v>52.802999999999997</v>
      </c>
      <c r="E300" s="187">
        <v>52.802999999999997</v>
      </c>
      <c r="F300" s="187">
        <v>0</v>
      </c>
      <c r="G300" s="187">
        <v>0</v>
      </c>
    </row>
    <row r="301" spans="1:7">
      <c r="A301" s="216" t="s">
        <v>2140</v>
      </c>
      <c r="B301" s="423" t="s">
        <v>1271</v>
      </c>
      <c r="C301" s="246">
        <v>166527667</v>
      </c>
      <c r="D301" s="187">
        <v>1236.3979999999999</v>
      </c>
      <c r="E301" s="187">
        <v>1236.3979999999999</v>
      </c>
      <c r="F301" s="246">
        <v>162392</v>
      </c>
      <c r="G301" s="187">
        <v>0</v>
      </c>
    </row>
    <row r="302" spans="1:7">
      <c r="A302" s="216" t="s">
        <v>2408</v>
      </c>
      <c r="B302" s="423" t="s">
        <v>2355</v>
      </c>
      <c r="C302" s="246">
        <v>760504986</v>
      </c>
      <c r="D302" s="187">
        <v>3198.5419999999999</v>
      </c>
      <c r="E302" s="187">
        <v>3198.5419999999999</v>
      </c>
      <c r="F302" s="246">
        <v>895375</v>
      </c>
      <c r="G302" s="246">
        <v>396499</v>
      </c>
    </row>
    <row r="303" spans="1:7">
      <c r="A303" s="216" t="s">
        <v>2700</v>
      </c>
      <c r="B303" s="423" t="s">
        <v>1272</v>
      </c>
      <c r="C303" s="246">
        <v>60523871</v>
      </c>
      <c r="D303" s="187">
        <v>69.415999999999997</v>
      </c>
      <c r="E303" s="187">
        <v>69.415999999999997</v>
      </c>
      <c r="F303" s="246">
        <v>143165</v>
      </c>
      <c r="G303" s="187">
        <v>0</v>
      </c>
    </row>
    <row r="304" spans="1:7">
      <c r="A304" s="216" t="s">
        <v>2702</v>
      </c>
      <c r="B304" s="423" t="s">
        <v>1273</v>
      </c>
      <c r="C304" s="246">
        <v>54127911</v>
      </c>
      <c r="D304" s="187">
        <v>191.63800000000001</v>
      </c>
      <c r="E304" s="187">
        <v>191.63800000000001</v>
      </c>
      <c r="F304" s="187">
        <v>0</v>
      </c>
      <c r="G304" s="187">
        <v>0</v>
      </c>
    </row>
    <row r="305" spans="1:7">
      <c r="A305" s="216" t="s">
        <v>2828</v>
      </c>
      <c r="B305" s="423" t="s">
        <v>192</v>
      </c>
      <c r="C305" s="246">
        <v>40992373</v>
      </c>
      <c r="D305" s="187">
        <v>242.547</v>
      </c>
      <c r="E305" s="187">
        <v>242.547</v>
      </c>
      <c r="F305" s="187">
        <v>0</v>
      </c>
      <c r="G305" s="246">
        <v>28372</v>
      </c>
    </row>
    <row r="306" spans="1:7">
      <c r="A306" s="216" t="s">
        <v>2704</v>
      </c>
      <c r="B306" s="423" t="s">
        <v>1274</v>
      </c>
      <c r="C306" s="246">
        <v>35004813</v>
      </c>
      <c r="D306" s="187">
        <v>97.013999999999996</v>
      </c>
      <c r="E306" s="187">
        <v>99.385000000000005</v>
      </c>
      <c r="F306" s="187">
        <v>0</v>
      </c>
      <c r="G306" s="187">
        <v>0</v>
      </c>
    </row>
    <row r="307" spans="1:7">
      <c r="A307" s="216" t="s">
        <v>2706</v>
      </c>
      <c r="B307" s="423" t="s">
        <v>1275</v>
      </c>
      <c r="C307" s="246">
        <v>34846929</v>
      </c>
      <c r="D307" s="187">
        <v>380.38</v>
      </c>
      <c r="E307" s="187">
        <v>380.38</v>
      </c>
      <c r="F307" s="187">
        <v>0</v>
      </c>
      <c r="G307" s="187">
        <v>0</v>
      </c>
    </row>
    <row r="308" spans="1:7">
      <c r="A308" s="216" t="s">
        <v>6162</v>
      </c>
      <c r="B308" s="423" t="s">
        <v>6066</v>
      </c>
      <c r="C308" s="246">
        <v>163847314</v>
      </c>
      <c r="D308" s="187">
        <v>1258.5540000000001</v>
      </c>
      <c r="E308" s="187">
        <v>1291.73</v>
      </c>
      <c r="F308" s="246">
        <v>101006</v>
      </c>
      <c r="G308" s="187">
        <v>0</v>
      </c>
    </row>
    <row r="309" spans="1:7">
      <c r="A309" s="216" t="s">
        <v>967</v>
      </c>
      <c r="B309" s="423" t="s">
        <v>4068</v>
      </c>
      <c r="C309" s="246">
        <v>9925267</v>
      </c>
      <c r="D309" s="187">
        <v>135.29900000000001</v>
      </c>
      <c r="E309" s="187">
        <v>135.29900000000001</v>
      </c>
      <c r="F309" s="187">
        <v>0</v>
      </c>
      <c r="G309" s="187">
        <v>0</v>
      </c>
    </row>
    <row r="310" spans="1:7">
      <c r="A310" s="216" t="s">
        <v>2708</v>
      </c>
      <c r="B310" s="423" t="s">
        <v>1276</v>
      </c>
      <c r="C310" s="246">
        <v>85459948</v>
      </c>
      <c r="D310" s="187">
        <v>855.202</v>
      </c>
      <c r="E310" s="187">
        <v>855.202</v>
      </c>
      <c r="F310" s="187">
        <v>0</v>
      </c>
      <c r="G310" s="187">
        <v>0</v>
      </c>
    </row>
    <row r="311" spans="1:7">
      <c r="A311" s="216" t="s">
        <v>2710</v>
      </c>
      <c r="B311" s="423" t="s">
        <v>1277</v>
      </c>
      <c r="C311" s="246">
        <v>371627462</v>
      </c>
      <c r="D311" s="187">
        <v>1887.028</v>
      </c>
      <c r="E311" s="187">
        <v>1887.028</v>
      </c>
      <c r="F311" s="246">
        <v>321746</v>
      </c>
      <c r="G311" s="187">
        <v>0</v>
      </c>
    </row>
    <row r="312" spans="1:7">
      <c r="A312" s="216" t="s">
        <v>2830</v>
      </c>
      <c r="B312" s="423" t="s">
        <v>2282</v>
      </c>
      <c r="C312" s="246">
        <v>24066301</v>
      </c>
      <c r="D312" s="187">
        <v>270.214</v>
      </c>
      <c r="E312" s="187">
        <v>270.214</v>
      </c>
      <c r="F312" s="187">
        <v>735</v>
      </c>
      <c r="G312" s="246">
        <v>17190</v>
      </c>
    </row>
    <row r="313" spans="1:7">
      <c r="A313" s="216" t="s">
        <v>3095</v>
      </c>
      <c r="B313" s="423" t="s">
        <v>3014</v>
      </c>
      <c r="C313" s="246">
        <v>19453973</v>
      </c>
      <c r="D313" s="187">
        <v>252.33</v>
      </c>
      <c r="E313" s="187">
        <v>252.33</v>
      </c>
      <c r="F313" s="187">
        <v>562</v>
      </c>
      <c r="G313" s="246">
        <v>25810</v>
      </c>
    </row>
    <row r="314" spans="1:7">
      <c r="A314" s="216" t="s">
        <v>2712</v>
      </c>
      <c r="B314" s="423" t="s">
        <v>1278</v>
      </c>
      <c r="C314" s="246">
        <v>85372360</v>
      </c>
      <c r="D314" s="187">
        <v>617.678</v>
      </c>
      <c r="E314" s="187">
        <v>617.678</v>
      </c>
      <c r="F314" s="246">
        <v>90533</v>
      </c>
      <c r="G314" s="187">
        <v>0</v>
      </c>
    </row>
    <row r="315" spans="1:7">
      <c r="A315" s="216" t="s">
        <v>2424</v>
      </c>
      <c r="B315" s="423" t="s">
        <v>1279</v>
      </c>
      <c r="C315" s="246">
        <v>79286506</v>
      </c>
      <c r="D315" s="187">
        <v>777.83199999999999</v>
      </c>
      <c r="E315" s="187">
        <v>777.83199999999999</v>
      </c>
      <c r="F315" s="246">
        <v>75005</v>
      </c>
      <c r="G315" s="187">
        <v>0</v>
      </c>
    </row>
    <row r="316" spans="1:7">
      <c r="A316" s="216" t="s">
        <v>2426</v>
      </c>
      <c r="B316" s="423" t="s">
        <v>1280</v>
      </c>
      <c r="C316" s="246">
        <v>66921791</v>
      </c>
      <c r="D316" s="187">
        <v>282.471</v>
      </c>
      <c r="E316" s="187">
        <v>302.42899999999997</v>
      </c>
      <c r="F316" s="246">
        <v>161687</v>
      </c>
      <c r="G316" s="187">
        <v>0</v>
      </c>
    </row>
    <row r="317" spans="1:7">
      <c r="A317" s="216" t="s">
        <v>2428</v>
      </c>
      <c r="B317" s="423" t="s">
        <v>1281</v>
      </c>
      <c r="C317" s="246">
        <v>67708920</v>
      </c>
      <c r="D317" s="187">
        <v>527.572</v>
      </c>
      <c r="E317" s="187">
        <v>527.572</v>
      </c>
      <c r="F317" s="187">
        <v>0</v>
      </c>
      <c r="G317" s="187">
        <v>0</v>
      </c>
    </row>
    <row r="318" spans="1:7">
      <c r="A318" s="216" t="s">
        <v>2832</v>
      </c>
      <c r="B318" s="423" t="s">
        <v>377</v>
      </c>
      <c r="C318" s="246">
        <v>53616868</v>
      </c>
      <c r="D318" s="187">
        <v>404.726</v>
      </c>
      <c r="E318" s="187">
        <v>404.726</v>
      </c>
      <c r="F318" s="246">
        <v>31219</v>
      </c>
      <c r="G318" s="246">
        <v>17217</v>
      </c>
    </row>
    <row r="319" spans="1:7">
      <c r="A319" s="216" t="s">
        <v>4923</v>
      </c>
      <c r="B319" s="423" t="s">
        <v>1282</v>
      </c>
      <c r="C319" s="246">
        <v>147915449</v>
      </c>
      <c r="D319" s="187">
        <v>550.15800000000002</v>
      </c>
      <c r="E319" s="187">
        <v>550.15800000000002</v>
      </c>
      <c r="F319" s="187">
        <v>0</v>
      </c>
      <c r="G319" s="187">
        <v>0</v>
      </c>
    </row>
    <row r="320" spans="1:7">
      <c r="A320" s="216" t="s">
        <v>4925</v>
      </c>
      <c r="B320" s="423" t="s">
        <v>1283</v>
      </c>
      <c r="C320" s="246">
        <v>633495086</v>
      </c>
      <c r="D320" s="187">
        <v>1756.374</v>
      </c>
      <c r="E320" s="187">
        <v>1756.374</v>
      </c>
      <c r="F320" s="246">
        <v>469488</v>
      </c>
      <c r="G320" s="187">
        <v>0</v>
      </c>
    </row>
    <row r="321" spans="1:7">
      <c r="A321" s="216" t="s">
        <v>4927</v>
      </c>
      <c r="B321" s="423" t="s">
        <v>1284</v>
      </c>
      <c r="C321" s="246">
        <v>217822839</v>
      </c>
      <c r="D321" s="187">
        <v>708.31100000000004</v>
      </c>
      <c r="E321" s="187">
        <v>708.31100000000004</v>
      </c>
      <c r="F321" s="246">
        <v>186213</v>
      </c>
      <c r="G321" s="187">
        <v>0</v>
      </c>
    </row>
    <row r="322" spans="1:7">
      <c r="A322" s="216" t="s">
        <v>4929</v>
      </c>
      <c r="B322" s="423" t="s">
        <v>1285</v>
      </c>
      <c r="C322" s="246">
        <v>103514914</v>
      </c>
      <c r="D322" s="187">
        <v>190.29</v>
      </c>
      <c r="E322" s="187">
        <v>197.78899999999999</v>
      </c>
      <c r="F322" s="187">
        <v>0</v>
      </c>
      <c r="G322" s="187">
        <v>0</v>
      </c>
    </row>
    <row r="323" spans="1:7">
      <c r="A323" s="216" t="s">
        <v>4931</v>
      </c>
      <c r="B323" s="423" t="s">
        <v>1286</v>
      </c>
      <c r="C323" s="246">
        <v>218522906</v>
      </c>
      <c r="D323" s="187">
        <v>230.07900000000001</v>
      </c>
      <c r="E323" s="187">
        <v>230.07900000000001</v>
      </c>
      <c r="F323" s="246">
        <v>174735</v>
      </c>
      <c r="G323" s="187">
        <v>0</v>
      </c>
    </row>
    <row r="324" spans="1:7">
      <c r="A324" s="216" t="s">
        <v>4933</v>
      </c>
      <c r="B324" s="423" t="s">
        <v>1287</v>
      </c>
      <c r="C324" s="246">
        <v>48223551</v>
      </c>
      <c r="D324" s="187">
        <v>294.142</v>
      </c>
      <c r="E324" s="187">
        <v>304.74599999999998</v>
      </c>
      <c r="F324" s="246">
        <v>35005</v>
      </c>
      <c r="G324" s="187">
        <v>0</v>
      </c>
    </row>
    <row r="325" spans="1:7">
      <c r="A325" s="216" t="s">
        <v>444</v>
      </c>
      <c r="B325" s="423" t="s">
        <v>370</v>
      </c>
      <c r="C325" s="246">
        <v>50159155</v>
      </c>
      <c r="D325" s="187">
        <v>357.91699999999997</v>
      </c>
      <c r="E325" s="187">
        <v>357.91699999999997</v>
      </c>
      <c r="F325" s="246">
        <v>6652</v>
      </c>
      <c r="G325" s="246">
        <v>15211</v>
      </c>
    </row>
    <row r="326" spans="1:7">
      <c r="A326" s="216" t="s">
        <v>3558</v>
      </c>
      <c r="B326" s="423" t="s">
        <v>1288</v>
      </c>
      <c r="C326" s="246">
        <v>129343811</v>
      </c>
      <c r="D326" s="187">
        <v>968.66200000000003</v>
      </c>
      <c r="E326" s="187">
        <v>968.66200000000003</v>
      </c>
      <c r="F326" s="187">
        <v>0</v>
      </c>
      <c r="G326" s="187">
        <v>0</v>
      </c>
    </row>
    <row r="327" spans="1:7">
      <c r="A327" s="216" t="s">
        <v>3560</v>
      </c>
      <c r="B327" s="423" t="s">
        <v>2909</v>
      </c>
      <c r="C327" s="246">
        <v>81785142</v>
      </c>
      <c r="D327" s="187">
        <v>603.14499999999998</v>
      </c>
      <c r="E327" s="187">
        <v>603.14499999999998</v>
      </c>
      <c r="F327" s="187">
        <v>0</v>
      </c>
      <c r="G327" s="187">
        <v>0</v>
      </c>
    </row>
    <row r="328" spans="1:7">
      <c r="A328" s="216" t="s">
        <v>3562</v>
      </c>
      <c r="B328" s="423" t="s">
        <v>2910</v>
      </c>
      <c r="C328" s="246">
        <v>67567065</v>
      </c>
      <c r="D328" s="187">
        <v>257.06</v>
      </c>
      <c r="E328" s="187">
        <v>257.06</v>
      </c>
      <c r="F328" s="187">
        <v>0</v>
      </c>
      <c r="G328" s="187">
        <v>0</v>
      </c>
    </row>
    <row r="329" spans="1:7">
      <c r="A329" s="216" t="s">
        <v>3564</v>
      </c>
      <c r="B329" s="423" t="s">
        <v>2911</v>
      </c>
      <c r="C329" s="246">
        <v>4266134911</v>
      </c>
      <c r="D329" s="187">
        <v>17446.195</v>
      </c>
      <c r="E329" s="187">
        <v>17446.195</v>
      </c>
      <c r="F329" s="246">
        <v>4031121</v>
      </c>
      <c r="G329" s="187">
        <v>0</v>
      </c>
    </row>
    <row r="330" spans="1:7">
      <c r="A330" s="216" t="s">
        <v>6179</v>
      </c>
      <c r="B330" s="423" t="s">
        <v>1932</v>
      </c>
      <c r="C330" s="246">
        <v>351105453</v>
      </c>
      <c r="D330" s="187">
        <v>2356.4209999999998</v>
      </c>
      <c r="E330" s="187">
        <v>2356.4209999999998</v>
      </c>
      <c r="F330" s="246">
        <v>340801</v>
      </c>
      <c r="G330" s="246">
        <v>238148</v>
      </c>
    </row>
    <row r="331" spans="1:7">
      <c r="A331" s="216" t="s">
        <v>1309</v>
      </c>
      <c r="B331" s="423" t="s">
        <v>114</v>
      </c>
      <c r="C331" s="246">
        <v>14052280290</v>
      </c>
      <c r="D331" s="187">
        <v>59950.650999999998</v>
      </c>
      <c r="E331" s="187">
        <v>59950.650999999998</v>
      </c>
      <c r="F331" s="246">
        <v>18292982</v>
      </c>
      <c r="G331" s="246">
        <v>4439605</v>
      </c>
    </row>
    <row r="332" spans="1:7">
      <c r="A332" s="216" t="s">
        <v>3566</v>
      </c>
      <c r="B332" s="423" t="s">
        <v>2912</v>
      </c>
      <c r="C332" s="246">
        <v>27499106</v>
      </c>
      <c r="D332" s="187">
        <v>92.831999999999994</v>
      </c>
      <c r="E332" s="187">
        <v>92.831999999999994</v>
      </c>
      <c r="F332" s="187">
        <v>0</v>
      </c>
      <c r="G332" s="187">
        <v>0</v>
      </c>
    </row>
    <row r="333" spans="1:7">
      <c r="A333" s="216" t="s">
        <v>3568</v>
      </c>
      <c r="B333" s="423" t="s">
        <v>2913</v>
      </c>
      <c r="C333" s="246">
        <v>1488013816</v>
      </c>
      <c r="D333" s="187">
        <v>2816.6190000000001</v>
      </c>
      <c r="E333" s="187">
        <v>2816.6190000000001</v>
      </c>
      <c r="F333" s="246">
        <v>3165959</v>
      </c>
      <c r="G333" s="187">
        <v>0</v>
      </c>
    </row>
    <row r="334" spans="1:7">
      <c r="A334" s="216" t="s">
        <v>1607</v>
      </c>
      <c r="B334" s="423" t="s">
        <v>2914</v>
      </c>
      <c r="C334" s="246">
        <v>550127672</v>
      </c>
      <c r="D334" s="187">
        <v>1425.692</v>
      </c>
      <c r="E334" s="187">
        <v>1425.692</v>
      </c>
      <c r="F334" s="187">
        <v>0</v>
      </c>
      <c r="G334" s="187">
        <v>0</v>
      </c>
    </row>
    <row r="335" spans="1:7">
      <c r="A335" s="216" t="s">
        <v>2482</v>
      </c>
      <c r="B335" s="423" t="s">
        <v>2915</v>
      </c>
      <c r="C335" s="246">
        <v>1356315136</v>
      </c>
      <c r="D335" s="187">
        <v>1607.2049999999999</v>
      </c>
      <c r="E335" s="187">
        <v>1607.2049999999999</v>
      </c>
      <c r="F335" s="246">
        <v>2244700</v>
      </c>
      <c r="G335" s="187">
        <v>0</v>
      </c>
    </row>
    <row r="336" spans="1:7">
      <c r="A336" s="216" t="s">
        <v>2484</v>
      </c>
      <c r="B336" s="423" t="s">
        <v>2916</v>
      </c>
      <c r="C336" s="246">
        <v>715385032</v>
      </c>
      <c r="D336" s="187">
        <v>1046.6210000000001</v>
      </c>
      <c r="E336" s="187">
        <v>1046.6210000000001</v>
      </c>
      <c r="F336" s="246">
        <v>797878</v>
      </c>
      <c r="G336" s="187">
        <v>0</v>
      </c>
    </row>
    <row r="337" spans="1:7">
      <c r="A337" s="216" t="s">
        <v>2486</v>
      </c>
      <c r="B337" s="423" t="s">
        <v>2917</v>
      </c>
      <c r="C337" s="246">
        <v>80994618</v>
      </c>
      <c r="D337" s="187">
        <v>411.173</v>
      </c>
      <c r="E337" s="187">
        <v>411.173</v>
      </c>
      <c r="F337" s="246">
        <v>63940</v>
      </c>
      <c r="G337" s="187">
        <v>0</v>
      </c>
    </row>
    <row r="338" spans="1:7">
      <c r="A338" s="216" t="s">
        <v>2488</v>
      </c>
      <c r="B338" s="423" t="s">
        <v>2918</v>
      </c>
      <c r="C338" s="246">
        <v>256383021</v>
      </c>
      <c r="D338" s="187">
        <v>145.11099999999999</v>
      </c>
      <c r="E338" s="187">
        <v>145.11099999999999</v>
      </c>
      <c r="F338" s="187">
        <v>0</v>
      </c>
      <c r="G338" s="187">
        <v>0</v>
      </c>
    </row>
    <row r="339" spans="1:7">
      <c r="A339" s="216" t="s">
        <v>2834</v>
      </c>
      <c r="B339" s="423" t="s">
        <v>1002</v>
      </c>
      <c r="C339" s="246">
        <v>90289890</v>
      </c>
      <c r="D339" s="187">
        <v>777.05499999999995</v>
      </c>
      <c r="E339" s="187">
        <v>777.05499999999995</v>
      </c>
      <c r="F339" s="187">
        <v>29</v>
      </c>
      <c r="G339" s="246">
        <v>62792</v>
      </c>
    </row>
    <row r="340" spans="1:7">
      <c r="A340" s="216" t="s">
        <v>445</v>
      </c>
      <c r="B340" s="423" t="s">
        <v>5294</v>
      </c>
      <c r="C340" s="246">
        <v>233717515</v>
      </c>
      <c r="D340" s="187">
        <v>2131.8620000000001</v>
      </c>
      <c r="E340" s="187">
        <v>2131.8620000000001</v>
      </c>
      <c r="F340" s="246">
        <v>238526</v>
      </c>
      <c r="G340" s="246">
        <v>152859</v>
      </c>
    </row>
    <row r="341" spans="1:7">
      <c r="A341" s="216" t="s">
        <v>2490</v>
      </c>
      <c r="B341" s="423" t="s">
        <v>2919</v>
      </c>
      <c r="C341" s="246">
        <v>123194708</v>
      </c>
      <c r="D341" s="187">
        <v>536.43600000000004</v>
      </c>
      <c r="E341" s="187">
        <v>536.43600000000004</v>
      </c>
      <c r="F341" s="187">
        <v>0</v>
      </c>
      <c r="G341" s="187">
        <v>0</v>
      </c>
    </row>
    <row r="342" spans="1:7">
      <c r="A342" s="216" t="s">
        <v>2492</v>
      </c>
      <c r="B342" s="423" t="s">
        <v>2920</v>
      </c>
      <c r="C342" s="246">
        <v>227960439</v>
      </c>
      <c r="D342" s="187">
        <v>132.643</v>
      </c>
      <c r="E342" s="187">
        <v>132.643</v>
      </c>
      <c r="F342" s="246">
        <v>360953</v>
      </c>
      <c r="G342" s="187">
        <v>0</v>
      </c>
    </row>
    <row r="343" spans="1:7">
      <c r="A343" s="216" t="s">
        <v>2494</v>
      </c>
      <c r="B343" s="423" t="s">
        <v>2921</v>
      </c>
      <c r="C343" s="246">
        <v>1917446025</v>
      </c>
      <c r="D343" s="187">
        <v>2019.424</v>
      </c>
      <c r="E343" s="187">
        <v>2019.424</v>
      </c>
      <c r="F343" s="187">
        <v>0</v>
      </c>
      <c r="G343" s="187">
        <v>0</v>
      </c>
    </row>
    <row r="344" spans="1:7">
      <c r="A344" s="216" t="s">
        <v>2498</v>
      </c>
      <c r="B344" s="423" t="s">
        <v>2922</v>
      </c>
      <c r="C344" s="246">
        <v>1458249317</v>
      </c>
      <c r="D344" s="187">
        <v>6384.366</v>
      </c>
      <c r="E344" s="187">
        <v>6384.366</v>
      </c>
      <c r="F344" s="246">
        <v>2720252</v>
      </c>
      <c r="G344" s="187">
        <v>0</v>
      </c>
    </row>
    <row r="345" spans="1:7">
      <c r="A345" s="216" t="s">
        <v>1670</v>
      </c>
      <c r="B345" s="423" t="s">
        <v>2923</v>
      </c>
      <c r="C345" s="246">
        <v>2974028431</v>
      </c>
      <c r="D345" s="187">
        <v>8218.6389999999992</v>
      </c>
      <c r="E345" s="187">
        <v>8218.6389999999992</v>
      </c>
      <c r="F345" s="246">
        <v>2027155</v>
      </c>
      <c r="G345" s="187">
        <v>0</v>
      </c>
    </row>
    <row r="346" spans="1:7">
      <c r="A346" s="216" t="s">
        <v>1867</v>
      </c>
      <c r="B346" s="423" t="s">
        <v>3846</v>
      </c>
      <c r="C346" s="246">
        <v>66682960</v>
      </c>
      <c r="D346" s="187">
        <v>235.26900000000001</v>
      </c>
      <c r="E346" s="187">
        <v>238.208</v>
      </c>
      <c r="F346" s="187">
        <v>0</v>
      </c>
      <c r="G346" s="187">
        <v>0</v>
      </c>
    </row>
    <row r="347" spans="1:7">
      <c r="A347" s="216" t="s">
        <v>1672</v>
      </c>
      <c r="B347" s="423" t="s">
        <v>2924</v>
      </c>
      <c r="C347" s="246">
        <v>1163647243</v>
      </c>
      <c r="D347" s="187">
        <v>3426.3739999999998</v>
      </c>
      <c r="E347" s="187">
        <v>3426.3739999999998</v>
      </c>
      <c r="F347" s="246">
        <v>1696649</v>
      </c>
      <c r="G347" s="187">
        <v>0</v>
      </c>
    </row>
    <row r="348" spans="1:7">
      <c r="A348" s="216" t="s">
        <v>1674</v>
      </c>
      <c r="B348" s="423" t="s">
        <v>2925</v>
      </c>
      <c r="C348" s="246">
        <v>2386448302</v>
      </c>
      <c r="D348" s="187">
        <v>5357.7129999999997</v>
      </c>
      <c r="E348" s="187">
        <v>5357.7129999999997</v>
      </c>
      <c r="F348" s="246">
        <v>2328057</v>
      </c>
      <c r="G348" s="187">
        <v>0</v>
      </c>
    </row>
    <row r="349" spans="1:7">
      <c r="A349" s="216" t="s">
        <v>5048</v>
      </c>
      <c r="B349" s="423" t="s">
        <v>2926</v>
      </c>
      <c r="C349" s="246">
        <v>278343645</v>
      </c>
      <c r="D349" s="187">
        <v>1145.1890000000001</v>
      </c>
      <c r="E349" s="187">
        <v>1145.1890000000001</v>
      </c>
      <c r="F349" s="246">
        <v>624505</v>
      </c>
      <c r="G349" s="187">
        <v>0</v>
      </c>
    </row>
    <row r="350" spans="1:7">
      <c r="A350" s="216" t="s">
        <v>2392</v>
      </c>
      <c r="B350" s="423" t="s">
        <v>1458</v>
      </c>
      <c r="C350" s="246">
        <v>700495462</v>
      </c>
      <c r="D350" s="187">
        <v>4207.7049999999999</v>
      </c>
      <c r="E350" s="187">
        <v>4207.7049999999999</v>
      </c>
      <c r="F350" s="246">
        <v>484962</v>
      </c>
      <c r="G350" s="246">
        <v>481633</v>
      </c>
    </row>
    <row r="351" spans="1:7">
      <c r="A351" s="216" t="s">
        <v>5050</v>
      </c>
      <c r="B351" s="423" t="s">
        <v>2927</v>
      </c>
      <c r="C351" s="246">
        <v>10633959598</v>
      </c>
      <c r="D351" s="187">
        <v>31595.375</v>
      </c>
      <c r="E351" s="187">
        <v>31595.375</v>
      </c>
      <c r="F351" s="246">
        <v>24061002</v>
      </c>
      <c r="G351" s="187">
        <v>0</v>
      </c>
    </row>
    <row r="352" spans="1:7">
      <c r="A352" s="216" t="s">
        <v>1311</v>
      </c>
      <c r="B352" s="423" t="s">
        <v>116</v>
      </c>
      <c r="C352" s="246">
        <v>1468509370</v>
      </c>
      <c r="D352" s="187">
        <v>5425.0280000000002</v>
      </c>
      <c r="E352" s="187">
        <v>5425.0280000000002</v>
      </c>
      <c r="F352" s="246">
        <v>1084240</v>
      </c>
      <c r="G352" s="246">
        <v>849652</v>
      </c>
    </row>
    <row r="353" spans="1:7">
      <c r="A353" s="216" t="s">
        <v>3222</v>
      </c>
      <c r="B353" s="423" t="s">
        <v>2928</v>
      </c>
      <c r="C353" s="246">
        <v>330593128</v>
      </c>
      <c r="D353" s="187">
        <v>915.072</v>
      </c>
      <c r="E353" s="187">
        <v>915.072</v>
      </c>
      <c r="F353" s="187">
        <v>0</v>
      </c>
      <c r="G353" s="187">
        <v>0</v>
      </c>
    </row>
    <row r="354" spans="1:7">
      <c r="A354" s="216" t="s">
        <v>3224</v>
      </c>
      <c r="B354" s="423" t="s">
        <v>2929</v>
      </c>
      <c r="C354" s="246">
        <v>36002020</v>
      </c>
      <c r="D354" s="187">
        <v>151.982</v>
      </c>
      <c r="E354" s="187">
        <v>156.90100000000001</v>
      </c>
      <c r="F354" s="187">
        <v>0</v>
      </c>
      <c r="G354" s="187">
        <v>0</v>
      </c>
    </row>
    <row r="355" spans="1:7">
      <c r="A355" s="216" t="s">
        <v>3226</v>
      </c>
      <c r="B355" s="423" t="s">
        <v>2930</v>
      </c>
      <c r="C355" s="246">
        <v>17075666</v>
      </c>
      <c r="D355" s="187">
        <v>28.515999999999998</v>
      </c>
      <c r="E355" s="187">
        <v>28.515999999999998</v>
      </c>
      <c r="F355" s="187">
        <v>0</v>
      </c>
      <c r="G355" s="187">
        <v>0</v>
      </c>
    </row>
    <row r="356" spans="1:7">
      <c r="A356" s="216" t="s">
        <v>3228</v>
      </c>
      <c r="B356" s="423" t="s">
        <v>2931</v>
      </c>
      <c r="C356" s="246">
        <v>1177904602</v>
      </c>
      <c r="D356" s="187">
        <v>2686.4920000000002</v>
      </c>
      <c r="E356" s="187">
        <v>2686.4920000000002</v>
      </c>
      <c r="F356" s="246">
        <v>2469341</v>
      </c>
      <c r="G356" s="187">
        <v>0</v>
      </c>
    </row>
    <row r="357" spans="1:7">
      <c r="A357" s="216" t="s">
        <v>3230</v>
      </c>
      <c r="B357" s="423" t="s">
        <v>2932</v>
      </c>
      <c r="C357" s="246">
        <v>160417780</v>
      </c>
      <c r="D357" s="187">
        <v>511.65699999999998</v>
      </c>
      <c r="E357" s="187">
        <v>511.65699999999998</v>
      </c>
      <c r="F357" s="187">
        <v>0</v>
      </c>
      <c r="G357" s="187">
        <v>0</v>
      </c>
    </row>
    <row r="358" spans="1:7">
      <c r="A358" s="216" t="s">
        <v>3232</v>
      </c>
      <c r="B358" s="423" t="s">
        <v>3788</v>
      </c>
      <c r="C358" s="246">
        <v>368250513</v>
      </c>
      <c r="D358" s="187">
        <v>287.26600000000002</v>
      </c>
      <c r="E358" s="187">
        <v>287.26600000000002</v>
      </c>
      <c r="F358" s="187">
        <v>0</v>
      </c>
      <c r="G358" s="187">
        <v>0</v>
      </c>
    </row>
    <row r="359" spans="1:7">
      <c r="A359" s="216" t="s">
        <v>1899</v>
      </c>
      <c r="B359" s="423" t="s">
        <v>3789</v>
      </c>
      <c r="C359" s="246">
        <v>512849632</v>
      </c>
      <c r="D359" s="187">
        <v>1234.739</v>
      </c>
      <c r="E359" s="187">
        <v>1234.739</v>
      </c>
      <c r="F359" s="246">
        <v>350644</v>
      </c>
      <c r="G359" s="187">
        <v>0</v>
      </c>
    </row>
    <row r="360" spans="1:7">
      <c r="A360" s="216" t="s">
        <v>1853</v>
      </c>
      <c r="B360" s="423" t="s">
        <v>4964</v>
      </c>
      <c r="C360" s="246">
        <v>352789211</v>
      </c>
      <c r="D360" s="187">
        <v>2384.7190000000001</v>
      </c>
      <c r="E360" s="187">
        <v>2384.7190000000001</v>
      </c>
      <c r="F360" s="246">
        <v>4225</v>
      </c>
      <c r="G360" s="246">
        <v>239346</v>
      </c>
    </row>
    <row r="361" spans="1:7">
      <c r="A361" s="216" t="s">
        <v>1901</v>
      </c>
      <c r="B361" s="423" t="s">
        <v>3790</v>
      </c>
      <c r="C361" s="246">
        <v>107845320</v>
      </c>
      <c r="D361" s="187">
        <v>928.50900000000001</v>
      </c>
      <c r="E361" s="187">
        <v>928.50900000000001</v>
      </c>
      <c r="F361" s="187">
        <v>0</v>
      </c>
      <c r="G361" s="187">
        <v>0</v>
      </c>
    </row>
    <row r="362" spans="1:7">
      <c r="A362" s="216" t="s">
        <v>1903</v>
      </c>
      <c r="B362" s="423" t="s">
        <v>3791</v>
      </c>
      <c r="C362" s="246">
        <v>78852095</v>
      </c>
      <c r="D362" s="187">
        <v>219.52500000000001</v>
      </c>
      <c r="E362" s="187">
        <v>230.715</v>
      </c>
      <c r="F362" s="187">
        <v>0</v>
      </c>
      <c r="G362" s="187">
        <v>0</v>
      </c>
    </row>
    <row r="363" spans="1:7">
      <c r="A363" s="216" t="s">
        <v>52</v>
      </c>
      <c r="B363" s="423" t="s">
        <v>5666</v>
      </c>
      <c r="C363" s="246">
        <v>65473617</v>
      </c>
      <c r="D363" s="187">
        <v>154.04599999999999</v>
      </c>
      <c r="E363" s="187">
        <v>162.81399999999999</v>
      </c>
      <c r="F363" s="246">
        <v>97961</v>
      </c>
      <c r="G363" s="187">
        <v>0</v>
      </c>
    </row>
    <row r="364" spans="1:7">
      <c r="A364" s="216" t="s">
        <v>54</v>
      </c>
      <c r="B364" s="423" t="s">
        <v>5667</v>
      </c>
      <c r="C364" s="246">
        <v>90497679</v>
      </c>
      <c r="D364" s="187">
        <v>196.46700000000001</v>
      </c>
      <c r="E364" s="187">
        <v>196.46700000000001</v>
      </c>
      <c r="F364" s="187">
        <v>0</v>
      </c>
      <c r="G364" s="187">
        <v>0</v>
      </c>
    </row>
    <row r="365" spans="1:7">
      <c r="A365" s="216" t="s">
        <v>6191</v>
      </c>
      <c r="B365" s="423" t="s">
        <v>3629</v>
      </c>
      <c r="C365" s="246">
        <v>714122908</v>
      </c>
      <c r="D365" s="187">
        <v>3050.0830000000001</v>
      </c>
      <c r="E365" s="187">
        <v>3050.0830000000001</v>
      </c>
      <c r="F365" s="187">
        <v>0</v>
      </c>
      <c r="G365" s="246">
        <v>402390</v>
      </c>
    </row>
    <row r="366" spans="1:7">
      <c r="A366" s="216" t="s">
        <v>732</v>
      </c>
      <c r="B366" s="423" t="s">
        <v>5668</v>
      </c>
      <c r="C366" s="246">
        <v>63868449</v>
      </c>
      <c r="D366" s="187">
        <v>28.675999999999998</v>
      </c>
      <c r="E366" s="187">
        <v>36.655999999999999</v>
      </c>
      <c r="F366" s="246">
        <v>185219</v>
      </c>
      <c r="G366" s="187">
        <v>0</v>
      </c>
    </row>
    <row r="367" spans="1:7">
      <c r="A367" s="216" t="s">
        <v>949</v>
      </c>
      <c r="B367" s="423" t="s">
        <v>7653</v>
      </c>
      <c r="C367" s="246">
        <v>83499594</v>
      </c>
      <c r="D367" s="187">
        <v>725.64499999999998</v>
      </c>
      <c r="E367" s="187">
        <v>725.64499999999998</v>
      </c>
      <c r="F367" s="246">
        <v>57694</v>
      </c>
      <c r="G367" s="246">
        <v>44959</v>
      </c>
    </row>
    <row r="368" spans="1:7">
      <c r="A368" s="216" t="s">
        <v>3980</v>
      </c>
      <c r="B368" s="423" t="s">
        <v>5669</v>
      </c>
      <c r="C368" s="246">
        <v>72930199</v>
      </c>
      <c r="D368" s="187">
        <v>535.98599999999999</v>
      </c>
      <c r="E368" s="187">
        <v>535.98599999999999</v>
      </c>
      <c r="F368" s="246">
        <v>61900</v>
      </c>
      <c r="G368" s="187">
        <v>0</v>
      </c>
    </row>
    <row r="369" spans="1:7">
      <c r="A369" s="216" t="s">
        <v>3982</v>
      </c>
      <c r="B369" s="423" t="s">
        <v>5670</v>
      </c>
      <c r="C369" s="246">
        <v>865907158</v>
      </c>
      <c r="D369" s="187">
        <v>4188.7749999999996</v>
      </c>
      <c r="E369" s="187">
        <v>4188.7749999999996</v>
      </c>
      <c r="F369" s="246">
        <v>962729</v>
      </c>
      <c r="G369" s="187">
        <v>0</v>
      </c>
    </row>
    <row r="370" spans="1:7">
      <c r="A370" s="216" t="s">
        <v>1871</v>
      </c>
      <c r="B370" s="423" t="s">
        <v>3851</v>
      </c>
      <c r="C370" s="246">
        <v>123256266</v>
      </c>
      <c r="D370" s="187">
        <v>970.37800000000004</v>
      </c>
      <c r="E370" s="187">
        <v>970.37800000000004</v>
      </c>
      <c r="F370" s="246">
        <v>136375</v>
      </c>
      <c r="G370" s="246">
        <v>166340</v>
      </c>
    </row>
    <row r="371" spans="1:7">
      <c r="A371" s="216" t="s">
        <v>3116</v>
      </c>
      <c r="B371" s="423" t="s">
        <v>5242</v>
      </c>
      <c r="C371" s="246">
        <v>1542237367</v>
      </c>
      <c r="D371" s="187">
        <v>5850.5439999999999</v>
      </c>
      <c r="E371" s="187">
        <v>5850.5439999999999</v>
      </c>
      <c r="F371" s="246">
        <v>2895373</v>
      </c>
      <c r="G371" s="187">
        <v>0</v>
      </c>
    </row>
    <row r="372" spans="1:7">
      <c r="A372" s="216" t="s">
        <v>3118</v>
      </c>
      <c r="B372" s="423" t="s">
        <v>5243</v>
      </c>
      <c r="C372" s="246">
        <v>42708062</v>
      </c>
      <c r="D372" s="187">
        <v>158.47399999999999</v>
      </c>
      <c r="E372" s="187">
        <v>158.47399999999999</v>
      </c>
      <c r="F372" s="187">
        <v>0</v>
      </c>
      <c r="G372" s="187">
        <v>0</v>
      </c>
    </row>
    <row r="373" spans="1:7">
      <c r="A373" s="216" t="s">
        <v>2836</v>
      </c>
      <c r="B373" s="423" t="s">
        <v>5373</v>
      </c>
      <c r="C373" s="246">
        <v>231054798</v>
      </c>
      <c r="D373" s="187">
        <v>1289.7380000000001</v>
      </c>
      <c r="E373" s="187">
        <v>1289.7380000000001</v>
      </c>
      <c r="F373" s="246">
        <v>480576</v>
      </c>
      <c r="G373" s="246">
        <v>163720</v>
      </c>
    </row>
    <row r="374" spans="1:7">
      <c r="A374" s="216" t="s">
        <v>2838</v>
      </c>
      <c r="B374" s="423" t="s">
        <v>4071</v>
      </c>
      <c r="C374" s="246">
        <v>248134654</v>
      </c>
      <c r="D374" s="187">
        <v>1528.567</v>
      </c>
      <c r="E374" s="187">
        <v>1528.567</v>
      </c>
      <c r="F374" s="246">
        <v>433965</v>
      </c>
      <c r="G374" s="246">
        <v>148756</v>
      </c>
    </row>
    <row r="375" spans="1:7">
      <c r="A375" s="216" t="s">
        <v>5220</v>
      </c>
      <c r="B375" s="423" t="s">
        <v>5244</v>
      </c>
      <c r="C375" s="246">
        <v>98161610</v>
      </c>
      <c r="D375" s="187">
        <v>724.50599999999997</v>
      </c>
      <c r="E375" s="187">
        <v>724.50599999999997</v>
      </c>
      <c r="F375" s="246">
        <v>110471</v>
      </c>
      <c r="G375" s="187">
        <v>0</v>
      </c>
    </row>
    <row r="376" spans="1:7">
      <c r="A376" s="216" t="s">
        <v>5129</v>
      </c>
      <c r="B376" s="423" t="s">
        <v>347</v>
      </c>
      <c r="C376" s="246">
        <v>398742680</v>
      </c>
      <c r="D376" s="187">
        <v>1237.2809999999999</v>
      </c>
      <c r="E376" s="187">
        <v>1237.2809999999999</v>
      </c>
      <c r="F376" s="246">
        <v>673147</v>
      </c>
      <c r="G376" s="246">
        <v>290830</v>
      </c>
    </row>
    <row r="377" spans="1:7">
      <c r="A377" s="216" t="s">
        <v>5222</v>
      </c>
      <c r="B377" s="423" t="s">
        <v>3192</v>
      </c>
      <c r="C377" s="246">
        <v>185993001</v>
      </c>
      <c r="D377" s="187">
        <v>803.15</v>
      </c>
      <c r="E377" s="187">
        <v>805.71100000000001</v>
      </c>
      <c r="F377" s="246">
        <v>368782</v>
      </c>
      <c r="G377" s="187">
        <v>0</v>
      </c>
    </row>
    <row r="378" spans="1:7">
      <c r="A378" s="216" t="s">
        <v>1858</v>
      </c>
      <c r="B378" s="423" t="s">
        <v>3914</v>
      </c>
      <c r="C378" s="246">
        <v>105449091</v>
      </c>
      <c r="D378" s="187">
        <v>779.96</v>
      </c>
      <c r="E378" s="187">
        <v>779.96</v>
      </c>
      <c r="F378" s="246">
        <v>59340</v>
      </c>
      <c r="G378" s="246">
        <v>56011</v>
      </c>
    </row>
    <row r="379" spans="1:7">
      <c r="A379" s="216" t="s">
        <v>5224</v>
      </c>
      <c r="B379" s="423" t="s">
        <v>7160</v>
      </c>
      <c r="C379" s="246">
        <v>97076425</v>
      </c>
      <c r="D379" s="187">
        <v>806.12300000000005</v>
      </c>
      <c r="E379" s="187">
        <v>806.12300000000005</v>
      </c>
      <c r="F379" s="246">
        <v>125013</v>
      </c>
      <c r="G379" s="187">
        <v>0</v>
      </c>
    </row>
    <row r="380" spans="1:7">
      <c r="A380" s="216" t="s">
        <v>5228</v>
      </c>
      <c r="B380" s="423" t="s">
        <v>7161</v>
      </c>
      <c r="C380" s="246">
        <v>361737536</v>
      </c>
      <c r="D380" s="187">
        <v>2058.951</v>
      </c>
      <c r="E380" s="187">
        <v>2058.951</v>
      </c>
      <c r="F380" s="246">
        <v>212511</v>
      </c>
      <c r="G380" s="187">
        <v>0</v>
      </c>
    </row>
    <row r="381" spans="1:7">
      <c r="A381" s="216" t="s">
        <v>5230</v>
      </c>
      <c r="B381" s="423" t="s">
        <v>7162</v>
      </c>
      <c r="C381" s="246">
        <v>792376180</v>
      </c>
      <c r="D381" s="187">
        <v>3383.62</v>
      </c>
      <c r="E381" s="187">
        <v>3383.62</v>
      </c>
      <c r="F381" s="246">
        <v>906987</v>
      </c>
      <c r="G381" s="187">
        <v>0</v>
      </c>
    </row>
    <row r="382" spans="1:7">
      <c r="A382" s="216" t="s">
        <v>2994</v>
      </c>
      <c r="B382" s="423" t="s">
        <v>199</v>
      </c>
      <c r="C382" s="246">
        <v>2414032878</v>
      </c>
      <c r="D382" s="187">
        <v>7606.3249999999998</v>
      </c>
      <c r="E382" s="187">
        <v>7606.3249999999998</v>
      </c>
      <c r="F382" s="246">
        <v>1353785</v>
      </c>
      <c r="G382" s="246">
        <v>313749</v>
      </c>
    </row>
    <row r="383" spans="1:7">
      <c r="A383" s="216" t="s">
        <v>7723</v>
      </c>
      <c r="B383" s="423" t="s">
        <v>7163</v>
      </c>
      <c r="C383" s="246">
        <v>1162127749</v>
      </c>
      <c r="D383" s="187">
        <v>4343.4049999999997</v>
      </c>
      <c r="E383" s="187">
        <v>4343.4049999999997</v>
      </c>
      <c r="F383" s="246">
        <v>1459286</v>
      </c>
      <c r="G383" s="187">
        <v>0</v>
      </c>
    </row>
    <row r="384" spans="1:7">
      <c r="A384" s="216" t="s">
        <v>221</v>
      </c>
      <c r="B384" s="423" t="s">
        <v>7164</v>
      </c>
      <c r="C384" s="246">
        <v>191373317</v>
      </c>
      <c r="D384" s="187">
        <v>1200.796</v>
      </c>
      <c r="E384" s="187">
        <v>1200.796</v>
      </c>
      <c r="F384" s="187">
        <v>0</v>
      </c>
      <c r="G384" s="187">
        <v>0</v>
      </c>
    </row>
    <row r="385" spans="1:7">
      <c r="A385" s="216" t="s">
        <v>2406</v>
      </c>
      <c r="B385" s="423" t="s">
        <v>2351</v>
      </c>
      <c r="C385" s="246">
        <v>246813406</v>
      </c>
      <c r="D385" s="187">
        <v>1665.98</v>
      </c>
      <c r="E385" s="187">
        <v>1665.98</v>
      </c>
      <c r="F385" s="246">
        <v>96596</v>
      </c>
      <c r="G385" s="246">
        <v>168684</v>
      </c>
    </row>
    <row r="386" spans="1:7">
      <c r="A386" s="216" t="s">
        <v>223</v>
      </c>
      <c r="B386" s="423" t="s">
        <v>7165</v>
      </c>
      <c r="C386" s="246">
        <v>208797562</v>
      </c>
      <c r="D386" s="187">
        <v>1253.6179999999999</v>
      </c>
      <c r="E386" s="187">
        <v>1253.6179999999999</v>
      </c>
      <c r="F386" s="246">
        <v>133834</v>
      </c>
      <c r="G386" s="187">
        <v>0</v>
      </c>
    </row>
    <row r="387" spans="1:7">
      <c r="A387" s="216" t="s">
        <v>225</v>
      </c>
      <c r="B387" s="423" t="s">
        <v>7166</v>
      </c>
      <c r="C387" s="246">
        <v>353009663</v>
      </c>
      <c r="D387" s="187">
        <v>513.59699999999998</v>
      </c>
      <c r="E387" s="187">
        <v>513.59699999999998</v>
      </c>
      <c r="F387" s="246">
        <v>170937</v>
      </c>
      <c r="G387" s="187">
        <v>0</v>
      </c>
    </row>
    <row r="388" spans="1:7">
      <c r="A388" s="216" t="s">
        <v>227</v>
      </c>
      <c r="B388" s="423" t="s">
        <v>7167</v>
      </c>
      <c r="C388" s="246">
        <v>68340093</v>
      </c>
      <c r="D388" s="187">
        <v>459.54399999999998</v>
      </c>
      <c r="E388" s="187">
        <v>459.54399999999998</v>
      </c>
      <c r="F388" s="187">
        <v>0</v>
      </c>
      <c r="G388" s="187">
        <v>0</v>
      </c>
    </row>
    <row r="389" spans="1:7">
      <c r="A389" s="216" t="s">
        <v>229</v>
      </c>
      <c r="B389" s="423" t="s">
        <v>7168</v>
      </c>
      <c r="C389" s="246">
        <v>670478584</v>
      </c>
      <c r="D389" s="187">
        <v>2707.8789999999999</v>
      </c>
      <c r="E389" s="187">
        <v>2707.8789999999999</v>
      </c>
      <c r="F389" s="246">
        <v>679596</v>
      </c>
      <c r="G389" s="187">
        <v>0</v>
      </c>
    </row>
    <row r="390" spans="1:7">
      <c r="A390" s="216" t="s">
        <v>4039</v>
      </c>
      <c r="B390" s="423" t="s">
        <v>7169</v>
      </c>
      <c r="C390" s="246">
        <v>63680844</v>
      </c>
      <c r="D390" s="187">
        <v>151.56100000000001</v>
      </c>
      <c r="E390" s="187">
        <v>151.56100000000001</v>
      </c>
      <c r="F390" s="187">
        <v>0</v>
      </c>
      <c r="G390" s="187">
        <v>0</v>
      </c>
    </row>
    <row r="391" spans="1:7">
      <c r="A391" s="216" t="s">
        <v>2396</v>
      </c>
      <c r="B391" s="423" t="s">
        <v>1463</v>
      </c>
      <c r="C391" s="246">
        <v>1568039945</v>
      </c>
      <c r="D391" s="187">
        <v>6896.9939999999997</v>
      </c>
      <c r="E391" s="187">
        <v>6896.9939999999997</v>
      </c>
      <c r="F391" s="246">
        <v>1506618</v>
      </c>
      <c r="G391" s="246">
        <v>1630027</v>
      </c>
    </row>
    <row r="392" spans="1:7">
      <c r="A392" s="216" t="s">
        <v>2394</v>
      </c>
      <c r="B392" s="423" t="s">
        <v>1461</v>
      </c>
      <c r="C392" s="246">
        <v>1428322159</v>
      </c>
      <c r="D392" s="187">
        <v>7313.9070000000002</v>
      </c>
      <c r="E392" s="187">
        <v>7313.9070000000002</v>
      </c>
      <c r="F392" s="246">
        <v>2313919</v>
      </c>
      <c r="G392" s="246">
        <v>1390226</v>
      </c>
    </row>
    <row r="393" spans="1:7">
      <c r="A393" s="216" t="s">
        <v>4042</v>
      </c>
      <c r="B393" s="423" t="s">
        <v>7170</v>
      </c>
      <c r="C393" s="246">
        <v>371958153</v>
      </c>
      <c r="D393" s="187">
        <v>1365.952</v>
      </c>
      <c r="E393" s="187">
        <v>1365.952</v>
      </c>
      <c r="F393" s="246">
        <v>448181</v>
      </c>
      <c r="G393" s="187">
        <v>0</v>
      </c>
    </row>
    <row r="394" spans="1:7">
      <c r="A394" s="216" t="s">
        <v>3004</v>
      </c>
      <c r="B394" s="423" t="s">
        <v>6065</v>
      </c>
      <c r="C394" s="246">
        <v>388350141</v>
      </c>
      <c r="D394" s="187">
        <v>1341.7080000000001</v>
      </c>
      <c r="E394" s="187">
        <v>1341.7080000000001</v>
      </c>
      <c r="F394" s="246">
        <v>472268</v>
      </c>
      <c r="G394" s="246">
        <v>383600</v>
      </c>
    </row>
    <row r="395" spans="1:7">
      <c r="A395" s="216" t="s">
        <v>4044</v>
      </c>
      <c r="B395" s="423" t="s">
        <v>5272</v>
      </c>
      <c r="C395" s="246">
        <v>203214100</v>
      </c>
      <c r="D395" s="187">
        <v>748.14700000000005</v>
      </c>
      <c r="E395" s="187">
        <v>748.14700000000005</v>
      </c>
      <c r="F395" s="187">
        <v>0</v>
      </c>
      <c r="G395" s="187">
        <v>0</v>
      </c>
    </row>
    <row r="396" spans="1:7">
      <c r="A396" s="216" t="s">
        <v>4046</v>
      </c>
      <c r="B396" s="423" t="s">
        <v>5273</v>
      </c>
      <c r="C396" s="246">
        <v>26248436</v>
      </c>
      <c r="D396" s="187">
        <v>130.761</v>
      </c>
      <c r="E396" s="187">
        <v>130.761</v>
      </c>
      <c r="F396" s="187">
        <v>0</v>
      </c>
      <c r="G396" s="187">
        <v>0</v>
      </c>
    </row>
    <row r="397" spans="1:7">
      <c r="A397" s="216" t="s">
        <v>5402</v>
      </c>
      <c r="B397" s="423" t="s">
        <v>5274</v>
      </c>
      <c r="C397" s="246">
        <v>59470590</v>
      </c>
      <c r="D397" s="187">
        <v>557.86800000000005</v>
      </c>
      <c r="E397" s="187">
        <v>567.77800000000002</v>
      </c>
      <c r="F397" s="187">
        <v>0</v>
      </c>
      <c r="G397" s="187">
        <v>0</v>
      </c>
    </row>
    <row r="398" spans="1:7">
      <c r="A398" s="216" t="s">
        <v>5404</v>
      </c>
      <c r="B398" s="423" t="s">
        <v>5275</v>
      </c>
      <c r="C398" s="246">
        <v>41163969</v>
      </c>
      <c r="D398" s="187">
        <v>323.08600000000001</v>
      </c>
      <c r="E398" s="187">
        <v>323.08600000000001</v>
      </c>
      <c r="F398" s="246">
        <v>23467</v>
      </c>
      <c r="G398" s="187">
        <v>0</v>
      </c>
    </row>
    <row r="399" spans="1:7">
      <c r="A399" s="216" t="s">
        <v>423</v>
      </c>
      <c r="B399" s="423" t="s">
        <v>5276</v>
      </c>
      <c r="C399" s="246">
        <v>813477786</v>
      </c>
      <c r="D399" s="187">
        <v>5626.0519999999997</v>
      </c>
      <c r="E399" s="187">
        <v>5626.0519999999997</v>
      </c>
      <c r="F399" s="187">
        <v>0</v>
      </c>
      <c r="G399" s="187">
        <v>0</v>
      </c>
    </row>
    <row r="400" spans="1:7">
      <c r="A400" s="216" t="s">
        <v>425</v>
      </c>
      <c r="B400" s="423" t="s">
        <v>5277</v>
      </c>
      <c r="C400" s="246">
        <v>90551584</v>
      </c>
      <c r="D400" s="187">
        <v>515.10199999999998</v>
      </c>
      <c r="E400" s="187">
        <v>515.10199999999998</v>
      </c>
      <c r="F400" s="187">
        <v>0</v>
      </c>
      <c r="G400" s="187">
        <v>0</v>
      </c>
    </row>
    <row r="401" spans="1:7">
      <c r="A401" s="216" t="s">
        <v>427</v>
      </c>
      <c r="B401" s="423" t="s">
        <v>5278</v>
      </c>
      <c r="C401" s="246">
        <v>34056574</v>
      </c>
      <c r="D401" s="187">
        <v>249.98500000000001</v>
      </c>
      <c r="E401" s="187">
        <v>249.98500000000001</v>
      </c>
      <c r="F401" s="187">
        <v>0</v>
      </c>
      <c r="G401" s="187">
        <v>0</v>
      </c>
    </row>
    <row r="402" spans="1:7">
      <c r="A402" s="216" t="s">
        <v>429</v>
      </c>
      <c r="B402" s="423" t="s">
        <v>5279</v>
      </c>
      <c r="C402" s="246">
        <v>179552107</v>
      </c>
      <c r="D402" s="187">
        <v>847.29200000000003</v>
      </c>
      <c r="E402" s="187">
        <v>847.29200000000003</v>
      </c>
      <c r="F402" s="246">
        <v>266793</v>
      </c>
      <c r="G402" s="187">
        <v>0</v>
      </c>
    </row>
    <row r="403" spans="1:7">
      <c r="A403" s="216" t="s">
        <v>446</v>
      </c>
      <c r="B403" s="423" t="s">
        <v>3844</v>
      </c>
      <c r="C403" s="246">
        <v>86658729</v>
      </c>
      <c r="D403" s="187">
        <v>666.673</v>
      </c>
      <c r="E403" s="187">
        <v>666.673</v>
      </c>
      <c r="F403" s="246">
        <v>30522</v>
      </c>
      <c r="G403" s="246">
        <v>65579</v>
      </c>
    </row>
    <row r="404" spans="1:7">
      <c r="A404" s="216" t="s">
        <v>431</v>
      </c>
      <c r="B404" s="423" t="s">
        <v>5280</v>
      </c>
      <c r="C404" s="246">
        <v>189828593</v>
      </c>
      <c r="D404" s="187">
        <v>388.87200000000001</v>
      </c>
      <c r="E404" s="187">
        <v>388.87200000000001</v>
      </c>
      <c r="F404" s="187">
        <v>0</v>
      </c>
      <c r="G404" s="187">
        <v>0</v>
      </c>
    </row>
    <row r="405" spans="1:7">
      <c r="A405" s="216" t="s">
        <v>4945</v>
      </c>
      <c r="B405" s="423" t="s">
        <v>5281</v>
      </c>
      <c r="C405" s="246">
        <v>84687022</v>
      </c>
      <c r="D405" s="187">
        <v>87.992000000000004</v>
      </c>
      <c r="E405" s="187">
        <v>87.992000000000004</v>
      </c>
      <c r="F405" s="187">
        <v>0</v>
      </c>
      <c r="G405" s="187">
        <v>0</v>
      </c>
    </row>
    <row r="406" spans="1:7">
      <c r="A406" s="216" t="s">
        <v>4947</v>
      </c>
      <c r="B406" s="423" t="s">
        <v>5282</v>
      </c>
      <c r="C406" s="246">
        <v>216789437</v>
      </c>
      <c r="D406" s="187">
        <v>700.91899999999998</v>
      </c>
      <c r="E406" s="187">
        <v>700.91899999999998</v>
      </c>
      <c r="F406" s="187">
        <v>0</v>
      </c>
      <c r="G406" s="187">
        <v>0</v>
      </c>
    </row>
    <row r="407" spans="1:7">
      <c r="A407" s="216" t="s">
        <v>4949</v>
      </c>
      <c r="B407" s="423" t="s">
        <v>5283</v>
      </c>
      <c r="C407" s="246">
        <v>71442169</v>
      </c>
      <c r="D407" s="187">
        <v>210.477</v>
      </c>
      <c r="E407" s="187">
        <v>210.477</v>
      </c>
      <c r="F407" s="187">
        <v>0</v>
      </c>
      <c r="G407" s="187">
        <v>0</v>
      </c>
    </row>
    <row r="408" spans="1:7">
      <c r="A408" s="216" t="s">
        <v>4951</v>
      </c>
      <c r="B408" s="423" t="s">
        <v>5284</v>
      </c>
      <c r="C408" s="246">
        <v>158462446</v>
      </c>
      <c r="D408" s="187">
        <v>563.63900000000001</v>
      </c>
      <c r="E408" s="187">
        <v>563.63900000000001</v>
      </c>
      <c r="F408" s="246">
        <v>65064</v>
      </c>
      <c r="G408" s="187">
        <v>0</v>
      </c>
    </row>
    <row r="409" spans="1:7">
      <c r="A409" s="216" t="s">
        <v>1560</v>
      </c>
      <c r="B409" s="423" t="s">
        <v>5285</v>
      </c>
      <c r="C409" s="246">
        <v>174940782</v>
      </c>
      <c r="D409" s="187">
        <v>1303.6590000000001</v>
      </c>
      <c r="E409" s="187">
        <v>1303.6590000000001</v>
      </c>
      <c r="F409" s="246">
        <v>146891</v>
      </c>
      <c r="G409" s="187">
        <v>0</v>
      </c>
    </row>
    <row r="410" spans="1:7">
      <c r="A410" s="216" t="s">
        <v>2398</v>
      </c>
      <c r="B410" s="423" t="s">
        <v>1466</v>
      </c>
      <c r="C410" s="246">
        <v>414882623</v>
      </c>
      <c r="D410" s="187">
        <v>2847.5909999999999</v>
      </c>
      <c r="E410" s="187">
        <v>2847.5909999999999</v>
      </c>
      <c r="F410" s="246">
        <v>55111</v>
      </c>
      <c r="G410" s="246">
        <v>648827</v>
      </c>
    </row>
    <row r="411" spans="1:7">
      <c r="A411" s="216" t="s">
        <v>1562</v>
      </c>
      <c r="B411" s="423" t="s">
        <v>5286</v>
      </c>
      <c r="C411" s="246">
        <v>499283834</v>
      </c>
      <c r="D411" s="187">
        <v>2025.7929999999999</v>
      </c>
      <c r="E411" s="187">
        <v>2025.7929999999999</v>
      </c>
      <c r="F411" s="246">
        <v>383353</v>
      </c>
      <c r="G411" s="187">
        <v>0</v>
      </c>
    </row>
    <row r="412" spans="1:7">
      <c r="A412" s="216" t="s">
        <v>2997</v>
      </c>
      <c r="B412" s="423" t="s">
        <v>6057</v>
      </c>
      <c r="C412" s="246">
        <v>449958324</v>
      </c>
      <c r="D412" s="187">
        <v>3324.529</v>
      </c>
      <c r="E412" s="187">
        <v>3324.529</v>
      </c>
      <c r="F412" s="246">
        <v>18580</v>
      </c>
      <c r="G412" s="246">
        <v>585588</v>
      </c>
    </row>
    <row r="413" spans="1:7">
      <c r="A413" s="216" t="s">
        <v>856</v>
      </c>
      <c r="B413" s="423" t="s">
        <v>4066</v>
      </c>
      <c r="C413" s="246">
        <v>97486455</v>
      </c>
      <c r="D413" s="187">
        <v>584.96199999999999</v>
      </c>
      <c r="E413" s="187">
        <v>597.88400000000001</v>
      </c>
      <c r="F413" s="246">
        <v>119484</v>
      </c>
      <c r="G413" s="187">
        <v>513</v>
      </c>
    </row>
    <row r="414" spans="1:7">
      <c r="A414" s="216" t="s">
        <v>819</v>
      </c>
      <c r="B414" s="423" t="s">
        <v>3901</v>
      </c>
      <c r="C414" s="246">
        <v>8728444943</v>
      </c>
      <c r="D414" s="187">
        <v>51984.048999999999</v>
      </c>
      <c r="E414" s="187">
        <v>51984.048999999999</v>
      </c>
      <c r="F414" s="246">
        <v>4615202</v>
      </c>
      <c r="G414" s="246">
        <v>3969335</v>
      </c>
    </row>
    <row r="415" spans="1:7">
      <c r="A415" s="216" t="s">
        <v>3887</v>
      </c>
      <c r="B415" s="423" t="s">
        <v>1844</v>
      </c>
      <c r="C415" s="246">
        <v>8189698471</v>
      </c>
      <c r="D415" s="187">
        <v>41792.843999999997</v>
      </c>
      <c r="E415" s="187">
        <v>41792.843999999997</v>
      </c>
      <c r="F415" s="246">
        <v>8113816</v>
      </c>
      <c r="G415" s="246">
        <v>8984663</v>
      </c>
    </row>
    <row r="416" spans="1:7">
      <c r="A416" s="216" t="s">
        <v>1988</v>
      </c>
      <c r="B416" s="423" t="s">
        <v>303</v>
      </c>
      <c r="C416" s="246">
        <v>1651374817</v>
      </c>
      <c r="D416" s="187">
        <v>7095.52</v>
      </c>
      <c r="E416" s="187">
        <v>7095.52</v>
      </c>
      <c r="F416" s="246">
        <v>2522920</v>
      </c>
      <c r="G416" s="187">
        <v>0</v>
      </c>
    </row>
    <row r="417" spans="1:7">
      <c r="A417" s="216" t="s">
        <v>245</v>
      </c>
      <c r="B417" s="423" t="s">
        <v>1667</v>
      </c>
      <c r="C417" s="246">
        <v>707195841</v>
      </c>
      <c r="D417" s="187">
        <v>4156.9949999999999</v>
      </c>
      <c r="E417" s="187">
        <v>4156.9949999999999</v>
      </c>
      <c r="F417" s="246">
        <v>983905</v>
      </c>
      <c r="G417" s="246">
        <v>450257</v>
      </c>
    </row>
    <row r="418" spans="1:7">
      <c r="A418" s="216" t="s">
        <v>1990</v>
      </c>
      <c r="B418" s="423" t="s">
        <v>304</v>
      </c>
      <c r="C418" s="246">
        <v>20471730665</v>
      </c>
      <c r="D418" s="187">
        <v>74944.759999999995</v>
      </c>
      <c r="E418" s="187">
        <v>74944.759999999995</v>
      </c>
      <c r="F418" s="246">
        <v>46637382</v>
      </c>
      <c r="G418" s="187">
        <v>0</v>
      </c>
    </row>
    <row r="419" spans="1:7">
      <c r="A419" s="216" t="s">
        <v>2115</v>
      </c>
      <c r="B419" s="423" t="s">
        <v>305</v>
      </c>
      <c r="C419" s="246">
        <v>6436575878</v>
      </c>
      <c r="D419" s="187">
        <v>11249.757</v>
      </c>
      <c r="E419" s="187">
        <v>11249.757</v>
      </c>
      <c r="F419" s="246">
        <v>12261503</v>
      </c>
      <c r="G419" s="187">
        <v>0</v>
      </c>
    </row>
    <row r="420" spans="1:7">
      <c r="A420" s="216" t="s">
        <v>6184</v>
      </c>
      <c r="B420" s="423" t="s">
        <v>1938</v>
      </c>
      <c r="C420" s="246">
        <v>961904827</v>
      </c>
      <c r="D420" s="187">
        <v>8814.0310000000009</v>
      </c>
      <c r="E420" s="187">
        <v>9198.759</v>
      </c>
      <c r="F420" s="246">
        <v>217678</v>
      </c>
      <c r="G420" s="246">
        <v>1817105</v>
      </c>
    </row>
    <row r="421" spans="1:7">
      <c r="A421" s="216" t="s">
        <v>1315</v>
      </c>
      <c r="B421" s="423" t="s">
        <v>120</v>
      </c>
      <c r="C421" s="246">
        <v>3625441104</v>
      </c>
      <c r="D421" s="187">
        <v>19281.841</v>
      </c>
      <c r="E421" s="187">
        <v>19281.841</v>
      </c>
      <c r="F421" s="246">
        <v>4443240</v>
      </c>
      <c r="G421" s="246">
        <v>2193302</v>
      </c>
    </row>
    <row r="422" spans="1:7">
      <c r="A422" s="216" t="s">
        <v>5622</v>
      </c>
      <c r="B422" s="423" t="s">
        <v>306</v>
      </c>
      <c r="C422" s="246">
        <v>6964592718</v>
      </c>
      <c r="D422" s="187">
        <v>18047.25</v>
      </c>
      <c r="E422" s="187">
        <v>18047.25</v>
      </c>
      <c r="F422" s="246">
        <v>14346570</v>
      </c>
      <c r="G422" s="187">
        <v>0</v>
      </c>
    </row>
    <row r="423" spans="1:7">
      <c r="A423" s="216" t="s">
        <v>5624</v>
      </c>
      <c r="B423" s="423" t="s">
        <v>95</v>
      </c>
      <c r="C423" s="246">
        <v>71498948629</v>
      </c>
      <c r="D423" s="187">
        <v>188997.55900000001</v>
      </c>
      <c r="E423" s="187">
        <v>188997.56</v>
      </c>
      <c r="F423" s="246">
        <v>91363826</v>
      </c>
      <c r="G423" s="187">
        <v>0</v>
      </c>
    </row>
    <row r="424" spans="1:7">
      <c r="A424" s="216" t="s">
        <v>1873</v>
      </c>
      <c r="B424" s="423" t="s">
        <v>3856</v>
      </c>
      <c r="C424" s="246">
        <v>6217432069</v>
      </c>
      <c r="D424" s="187">
        <v>26389.024000000001</v>
      </c>
      <c r="E424" s="187">
        <v>26389.024000000001</v>
      </c>
      <c r="F424" s="246">
        <v>14571296</v>
      </c>
      <c r="G424" s="246">
        <v>1809230</v>
      </c>
    </row>
    <row r="425" spans="1:7">
      <c r="A425" s="216" t="s">
        <v>6028</v>
      </c>
      <c r="B425" s="423" t="s">
        <v>1913</v>
      </c>
      <c r="C425" s="246">
        <v>10459355854</v>
      </c>
      <c r="D425" s="187">
        <v>42335.936000000002</v>
      </c>
      <c r="E425" s="187">
        <v>42335.936000000002</v>
      </c>
      <c r="F425" s="246">
        <v>30332132</v>
      </c>
      <c r="G425" s="246">
        <v>2073924</v>
      </c>
    </row>
    <row r="426" spans="1:7">
      <c r="A426" s="216" t="s">
        <v>6035</v>
      </c>
      <c r="B426" s="423" t="s">
        <v>1923</v>
      </c>
      <c r="C426" s="246">
        <v>7708858436</v>
      </c>
      <c r="D426" s="187">
        <v>34712.15</v>
      </c>
      <c r="E426" s="187">
        <v>34712.15</v>
      </c>
      <c r="F426" s="246">
        <v>13750208</v>
      </c>
      <c r="G426" s="246">
        <v>2432814</v>
      </c>
    </row>
    <row r="427" spans="1:7">
      <c r="A427" s="216" t="s">
        <v>5626</v>
      </c>
      <c r="B427" s="423" t="s">
        <v>96</v>
      </c>
      <c r="C427" s="246">
        <v>4458513166</v>
      </c>
      <c r="D427" s="187">
        <v>7207.0709999999999</v>
      </c>
      <c r="E427" s="187">
        <v>7207.0709999999999</v>
      </c>
      <c r="F427" s="246">
        <v>7467460</v>
      </c>
      <c r="G427" s="187">
        <v>0</v>
      </c>
    </row>
    <row r="428" spans="1:7">
      <c r="A428" s="216" t="s">
        <v>6194</v>
      </c>
      <c r="B428" s="423" t="s">
        <v>5292</v>
      </c>
      <c r="C428" s="246">
        <v>7201149190</v>
      </c>
      <c r="D428" s="187">
        <v>44075.764999999999</v>
      </c>
      <c r="E428" s="187">
        <v>44075.764999999999</v>
      </c>
      <c r="F428" s="246">
        <v>8658311</v>
      </c>
      <c r="G428" s="246">
        <v>4301415</v>
      </c>
    </row>
    <row r="429" spans="1:7">
      <c r="A429" s="216" t="s">
        <v>1539</v>
      </c>
      <c r="B429" s="423" t="s">
        <v>97</v>
      </c>
      <c r="C429" s="246">
        <v>5650027193</v>
      </c>
      <c r="D429" s="187">
        <v>26596.537</v>
      </c>
      <c r="E429" s="187">
        <v>26596.537</v>
      </c>
      <c r="F429" s="246">
        <v>14369723</v>
      </c>
      <c r="G429" s="187">
        <v>0</v>
      </c>
    </row>
    <row r="430" spans="1:7">
      <c r="A430" s="216" t="s">
        <v>911</v>
      </c>
      <c r="B430" s="423" t="s">
        <v>98</v>
      </c>
      <c r="C430" s="246">
        <v>13014916061</v>
      </c>
      <c r="D430" s="187">
        <v>29437.186000000002</v>
      </c>
      <c r="E430" s="187">
        <v>29437.186000000002</v>
      </c>
      <c r="F430" s="246">
        <v>29947411</v>
      </c>
      <c r="G430" s="187">
        <v>0</v>
      </c>
    </row>
    <row r="431" spans="1:7">
      <c r="A431" s="216" t="s">
        <v>1428</v>
      </c>
      <c r="B431" s="423" t="s">
        <v>99</v>
      </c>
      <c r="C431" s="246">
        <v>2757715019</v>
      </c>
      <c r="D431" s="187">
        <v>8256.4670000000006</v>
      </c>
      <c r="E431" s="187">
        <v>8256.4670000000006</v>
      </c>
      <c r="F431" s="246">
        <v>7833696</v>
      </c>
      <c r="G431" s="187">
        <v>0</v>
      </c>
    </row>
    <row r="432" spans="1:7">
      <c r="A432" s="216" t="s">
        <v>1430</v>
      </c>
      <c r="B432" s="423" t="s">
        <v>100</v>
      </c>
      <c r="C432" s="246">
        <v>1866392492</v>
      </c>
      <c r="D432" s="187">
        <v>4524.5609999999997</v>
      </c>
      <c r="E432" s="187">
        <v>4524.5609999999997</v>
      </c>
      <c r="F432" s="246">
        <v>3558457</v>
      </c>
      <c r="G432" s="187">
        <v>0</v>
      </c>
    </row>
    <row r="433" spans="1:7">
      <c r="A433" s="216" t="s">
        <v>4971</v>
      </c>
      <c r="B433" s="423" t="s">
        <v>3854</v>
      </c>
      <c r="C433" s="246">
        <v>421226521</v>
      </c>
      <c r="D433" s="187">
        <v>2721.2330000000002</v>
      </c>
      <c r="E433" s="187">
        <v>2721.2330000000002</v>
      </c>
      <c r="F433" s="246">
        <v>228616</v>
      </c>
      <c r="G433" s="246">
        <v>263000</v>
      </c>
    </row>
    <row r="434" spans="1:7">
      <c r="A434" s="216" t="s">
        <v>1432</v>
      </c>
      <c r="B434" s="423" t="s">
        <v>101</v>
      </c>
      <c r="C434" s="246">
        <v>89669641</v>
      </c>
      <c r="D434" s="187">
        <v>222.36099999999999</v>
      </c>
      <c r="E434" s="187">
        <v>236.87</v>
      </c>
      <c r="F434" s="187">
        <v>0</v>
      </c>
      <c r="G434" s="187">
        <v>0</v>
      </c>
    </row>
    <row r="435" spans="1:7">
      <c r="A435" s="216" t="s">
        <v>1434</v>
      </c>
      <c r="B435" s="423" t="s">
        <v>877</v>
      </c>
      <c r="C435" s="246">
        <v>1434744984</v>
      </c>
      <c r="D435" s="187">
        <v>5415.0020000000004</v>
      </c>
      <c r="E435" s="187">
        <v>5415.0020000000004</v>
      </c>
      <c r="F435" s="246">
        <v>271316</v>
      </c>
      <c r="G435" s="187">
        <v>0</v>
      </c>
    </row>
    <row r="436" spans="1:7">
      <c r="A436" s="216" t="s">
        <v>1436</v>
      </c>
      <c r="B436" s="423" t="s">
        <v>878</v>
      </c>
      <c r="C436" s="246">
        <v>207708091</v>
      </c>
      <c r="D436" s="187">
        <v>728.06500000000005</v>
      </c>
      <c r="E436" s="187">
        <v>728.06500000000005</v>
      </c>
      <c r="F436" s="187">
        <v>0</v>
      </c>
      <c r="G436" s="187">
        <v>0</v>
      </c>
    </row>
    <row r="437" spans="1:7">
      <c r="A437" s="216" t="s">
        <v>1438</v>
      </c>
      <c r="B437" s="423" t="s">
        <v>879</v>
      </c>
      <c r="C437" s="246">
        <v>1451351457</v>
      </c>
      <c r="D437" s="187">
        <v>3480.232</v>
      </c>
      <c r="E437" s="187">
        <v>3480.232</v>
      </c>
      <c r="F437" s="246">
        <v>2228497</v>
      </c>
      <c r="G437" s="187">
        <v>0</v>
      </c>
    </row>
    <row r="438" spans="1:7">
      <c r="A438" s="216" t="s">
        <v>2580</v>
      </c>
      <c r="B438" s="423" t="s">
        <v>880</v>
      </c>
      <c r="C438" s="246">
        <v>95120784</v>
      </c>
      <c r="D438" s="187">
        <v>632.97299999999996</v>
      </c>
      <c r="E438" s="187">
        <v>632.97299999999996</v>
      </c>
      <c r="F438" s="246">
        <v>78294</v>
      </c>
      <c r="G438" s="187">
        <v>0</v>
      </c>
    </row>
    <row r="439" spans="1:7">
      <c r="A439" s="216" t="s">
        <v>2582</v>
      </c>
      <c r="B439" s="423" t="s">
        <v>881</v>
      </c>
      <c r="C439" s="246">
        <v>274474033</v>
      </c>
      <c r="D439" s="187">
        <v>938.01300000000003</v>
      </c>
      <c r="E439" s="187">
        <v>938.01300000000003</v>
      </c>
      <c r="F439" s="246">
        <v>262619</v>
      </c>
      <c r="G439" s="187">
        <v>0</v>
      </c>
    </row>
    <row r="440" spans="1:7">
      <c r="A440" s="216" t="s">
        <v>2584</v>
      </c>
      <c r="B440" s="423" t="s">
        <v>834</v>
      </c>
      <c r="C440" s="246">
        <v>92255351</v>
      </c>
      <c r="D440" s="187">
        <v>108.074</v>
      </c>
      <c r="E440" s="187">
        <v>108.074</v>
      </c>
      <c r="F440" s="187">
        <v>0</v>
      </c>
      <c r="G440" s="187">
        <v>0</v>
      </c>
    </row>
    <row r="441" spans="1:7">
      <c r="A441" s="216" t="s">
        <v>1578</v>
      </c>
      <c r="B441" s="423" t="s">
        <v>835</v>
      </c>
      <c r="C441" s="246">
        <v>70423369</v>
      </c>
      <c r="D441" s="187">
        <v>149.09</v>
      </c>
      <c r="E441" s="187">
        <v>149.09</v>
      </c>
      <c r="F441" s="246">
        <v>75659</v>
      </c>
      <c r="G441" s="187">
        <v>0</v>
      </c>
    </row>
    <row r="442" spans="1:7">
      <c r="A442" s="216" t="s">
        <v>1580</v>
      </c>
      <c r="B442" s="423" t="s">
        <v>3838</v>
      </c>
      <c r="C442" s="246">
        <v>83634760</v>
      </c>
      <c r="D442" s="187">
        <v>557.70399999999995</v>
      </c>
      <c r="E442" s="187">
        <v>557.70399999999995</v>
      </c>
      <c r="F442" s="187">
        <v>0</v>
      </c>
      <c r="G442" s="246">
        <v>36830</v>
      </c>
    </row>
    <row r="443" spans="1:7">
      <c r="A443" s="216" t="s">
        <v>447</v>
      </c>
      <c r="B443" s="423" t="s">
        <v>836</v>
      </c>
      <c r="C443" s="246">
        <v>16985163</v>
      </c>
      <c r="D443" s="187">
        <v>32.128999999999998</v>
      </c>
      <c r="E443" s="187">
        <v>98.956000000000003</v>
      </c>
      <c r="F443" s="187"/>
      <c r="G443" s="246"/>
    </row>
    <row r="444" spans="1:7">
      <c r="A444" s="216" t="s">
        <v>1582</v>
      </c>
      <c r="B444" s="423" t="s">
        <v>837</v>
      </c>
      <c r="C444" s="246">
        <v>24871121</v>
      </c>
      <c r="D444" s="187">
        <v>166.87200000000001</v>
      </c>
      <c r="E444" s="187">
        <v>166.87200000000001</v>
      </c>
      <c r="F444" s="187">
        <v>0</v>
      </c>
      <c r="G444" s="187">
        <v>0</v>
      </c>
    </row>
    <row r="445" spans="1:7">
      <c r="A445" s="216" t="s">
        <v>1584</v>
      </c>
      <c r="B445" s="423" t="s">
        <v>838</v>
      </c>
      <c r="C445" s="246">
        <v>35501689</v>
      </c>
      <c r="D445" s="187">
        <v>92.376999999999995</v>
      </c>
      <c r="E445" s="187">
        <v>92.99</v>
      </c>
      <c r="F445" s="187">
        <v>0</v>
      </c>
      <c r="G445" s="187">
        <v>0</v>
      </c>
    </row>
    <row r="446" spans="1:7">
      <c r="A446" s="216" t="s">
        <v>1588</v>
      </c>
      <c r="B446" s="423" t="s">
        <v>839</v>
      </c>
      <c r="C446" s="246">
        <v>2369518317</v>
      </c>
      <c r="D446" s="187">
        <v>6504.16</v>
      </c>
      <c r="E446" s="187">
        <v>6504.16</v>
      </c>
      <c r="F446" s="246">
        <v>2676816</v>
      </c>
      <c r="G446" s="187">
        <v>0</v>
      </c>
    </row>
    <row r="447" spans="1:7">
      <c r="A447" s="216" t="s">
        <v>1292</v>
      </c>
      <c r="B447" s="423" t="s">
        <v>3010</v>
      </c>
      <c r="C447" s="246">
        <v>1292887799</v>
      </c>
      <c r="D447" s="187">
        <v>3278.038</v>
      </c>
      <c r="E447" s="187">
        <v>3278.038</v>
      </c>
      <c r="F447" s="246">
        <v>3362629</v>
      </c>
      <c r="G447" s="246">
        <v>661149</v>
      </c>
    </row>
    <row r="448" spans="1:7">
      <c r="A448" s="216" t="s">
        <v>1590</v>
      </c>
      <c r="B448" s="423" t="s">
        <v>840</v>
      </c>
      <c r="C448" s="246">
        <v>852226298</v>
      </c>
      <c r="D448" s="187">
        <v>1835.2729999999999</v>
      </c>
      <c r="E448" s="187">
        <v>1835.2729999999999</v>
      </c>
      <c r="F448" s="246">
        <v>1644846</v>
      </c>
      <c r="G448" s="187">
        <v>0</v>
      </c>
    </row>
    <row r="449" spans="1:7">
      <c r="A449" s="216" t="s">
        <v>1864</v>
      </c>
      <c r="B449" s="423" t="s">
        <v>3840</v>
      </c>
      <c r="C449" s="246">
        <v>1755402580</v>
      </c>
      <c r="D449" s="187">
        <v>9239.83</v>
      </c>
      <c r="E449" s="187">
        <v>9239.83</v>
      </c>
      <c r="F449" s="246">
        <v>4054748</v>
      </c>
      <c r="G449" s="246">
        <v>1649238</v>
      </c>
    </row>
    <row r="450" spans="1:7">
      <c r="A450" s="216" t="s">
        <v>1592</v>
      </c>
      <c r="B450" s="423" t="s">
        <v>841</v>
      </c>
      <c r="C450" s="246">
        <v>607876435</v>
      </c>
      <c r="D450" s="187">
        <v>588.01</v>
      </c>
      <c r="E450" s="187">
        <v>613.14499999999998</v>
      </c>
      <c r="F450" s="246">
        <v>1093018</v>
      </c>
      <c r="G450" s="187">
        <v>0</v>
      </c>
    </row>
    <row r="451" spans="1:7">
      <c r="A451" s="216" t="s">
        <v>1594</v>
      </c>
      <c r="B451" s="423" t="s">
        <v>842</v>
      </c>
      <c r="C451" s="246">
        <v>785415402</v>
      </c>
      <c r="D451" s="187">
        <v>3306.1210000000001</v>
      </c>
      <c r="E451" s="187">
        <v>3306.1210000000001</v>
      </c>
      <c r="F451" s="246">
        <v>991038</v>
      </c>
      <c r="G451" s="187">
        <v>0</v>
      </c>
    </row>
    <row r="452" spans="1:7">
      <c r="A452" s="216" t="s">
        <v>1596</v>
      </c>
      <c r="B452" s="423" t="s">
        <v>843</v>
      </c>
      <c r="C452" s="246">
        <v>415501787</v>
      </c>
      <c r="D452" s="187">
        <v>2583.8240000000001</v>
      </c>
      <c r="E452" s="187">
        <v>2583.8240000000001</v>
      </c>
      <c r="F452" s="246">
        <v>428494</v>
      </c>
      <c r="G452" s="187">
        <v>0</v>
      </c>
    </row>
    <row r="453" spans="1:7">
      <c r="A453" s="216" t="s">
        <v>1598</v>
      </c>
      <c r="B453" s="423" t="s">
        <v>844</v>
      </c>
      <c r="C453" s="246">
        <v>176171684</v>
      </c>
      <c r="D453" s="187">
        <v>556.85199999999998</v>
      </c>
      <c r="E453" s="187">
        <v>556.85199999999998</v>
      </c>
      <c r="F453" s="246">
        <v>340438</v>
      </c>
      <c r="G453" s="187">
        <v>0</v>
      </c>
    </row>
    <row r="454" spans="1:7">
      <c r="A454" s="216" t="s">
        <v>1600</v>
      </c>
      <c r="B454" s="423" t="s">
        <v>845</v>
      </c>
      <c r="C454" s="246">
        <v>314358374</v>
      </c>
      <c r="D454" s="187">
        <v>1472.3889999999999</v>
      </c>
      <c r="E454" s="187">
        <v>1472.3889999999999</v>
      </c>
      <c r="F454" s="246">
        <v>175051</v>
      </c>
      <c r="G454" s="187">
        <v>0</v>
      </c>
    </row>
    <row r="455" spans="1:7">
      <c r="A455" s="216" t="s">
        <v>5260</v>
      </c>
      <c r="B455" s="423" t="s">
        <v>846</v>
      </c>
      <c r="C455" s="246">
        <v>607233952</v>
      </c>
      <c r="D455" s="187">
        <v>1090.9829999999999</v>
      </c>
      <c r="E455" s="187">
        <v>1090.9829999999999</v>
      </c>
      <c r="F455" s="246">
        <v>517897</v>
      </c>
      <c r="G455" s="187">
        <v>0</v>
      </c>
    </row>
    <row r="456" spans="1:7">
      <c r="A456" s="216" t="s">
        <v>2415</v>
      </c>
      <c r="B456" s="423" t="s">
        <v>5368</v>
      </c>
      <c r="C456" s="246">
        <v>36349868</v>
      </c>
      <c r="D456" s="187">
        <v>250.149</v>
      </c>
      <c r="E456" s="187">
        <v>252.63499999999999</v>
      </c>
      <c r="F456" s="187">
        <v>132</v>
      </c>
      <c r="G456" s="246">
        <v>17891</v>
      </c>
    </row>
    <row r="457" spans="1:7">
      <c r="A457" s="216" t="s">
        <v>4973</v>
      </c>
      <c r="B457" s="423" t="s">
        <v>328</v>
      </c>
      <c r="C457" s="246">
        <v>26448810</v>
      </c>
      <c r="D457" s="187">
        <v>144.672</v>
      </c>
      <c r="E457" s="187">
        <v>147.16300000000001</v>
      </c>
      <c r="F457" s="187">
        <v>0</v>
      </c>
      <c r="G457" s="187">
        <v>0</v>
      </c>
    </row>
    <row r="458" spans="1:7">
      <c r="A458" s="216" t="s">
        <v>5262</v>
      </c>
      <c r="B458" s="423" t="s">
        <v>847</v>
      </c>
      <c r="C458" s="246">
        <v>231838745</v>
      </c>
      <c r="D458" s="187">
        <v>424.262</v>
      </c>
      <c r="E458" s="187">
        <v>425.29899999999998</v>
      </c>
      <c r="F458" s="246">
        <v>199258</v>
      </c>
      <c r="G458" s="187">
        <v>0</v>
      </c>
    </row>
    <row r="459" spans="1:7">
      <c r="A459" s="216" t="s">
        <v>2054</v>
      </c>
      <c r="B459" s="423" t="s">
        <v>3009</v>
      </c>
      <c r="C459" s="246">
        <v>559786766</v>
      </c>
      <c r="D459" s="187">
        <v>11540.682000000001</v>
      </c>
      <c r="E459" s="187">
        <v>11540.682000000001</v>
      </c>
      <c r="F459" s="187">
        <v>0</v>
      </c>
      <c r="G459" s="246">
        <v>893608</v>
      </c>
    </row>
    <row r="460" spans="1:7">
      <c r="A460" s="216" t="s">
        <v>1519</v>
      </c>
      <c r="B460" s="423" t="s">
        <v>3015</v>
      </c>
      <c r="C460" s="246">
        <v>146170861</v>
      </c>
      <c r="D460" s="187">
        <v>5117.9780000000001</v>
      </c>
      <c r="E460" s="187">
        <v>5117.9780000000001</v>
      </c>
      <c r="F460" s="187">
        <v>0</v>
      </c>
      <c r="G460" s="246">
        <v>131493</v>
      </c>
    </row>
    <row r="461" spans="1:7">
      <c r="A461" s="216" t="s">
        <v>1521</v>
      </c>
      <c r="B461" s="423" t="s">
        <v>1927</v>
      </c>
      <c r="C461" s="246">
        <v>2896840319</v>
      </c>
      <c r="D461" s="187">
        <v>24614.157999999999</v>
      </c>
      <c r="E461" s="187">
        <v>24614.157999999999</v>
      </c>
      <c r="F461" s="246">
        <v>1466900</v>
      </c>
      <c r="G461" s="246">
        <v>1343990</v>
      </c>
    </row>
    <row r="462" spans="1:7">
      <c r="A462" s="216" t="s">
        <v>1866</v>
      </c>
      <c r="B462" s="423" t="s">
        <v>3845</v>
      </c>
      <c r="C462" s="246">
        <v>205348546</v>
      </c>
      <c r="D462" s="187">
        <v>2861.28</v>
      </c>
      <c r="E462" s="187">
        <v>2861.28</v>
      </c>
      <c r="F462" s="246">
        <v>60573</v>
      </c>
      <c r="G462" s="246">
        <v>394500</v>
      </c>
    </row>
    <row r="463" spans="1:7">
      <c r="A463" s="216" t="s">
        <v>6167</v>
      </c>
      <c r="B463" s="423" t="s">
        <v>6073</v>
      </c>
      <c r="C463" s="246">
        <v>3985516592</v>
      </c>
      <c r="D463" s="187">
        <v>22348.708999999999</v>
      </c>
      <c r="E463" s="187">
        <v>22348.708999999999</v>
      </c>
      <c r="F463" s="246">
        <v>1054468</v>
      </c>
      <c r="G463" s="246">
        <v>736793</v>
      </c>
    </row>
    <row r="464" spans="1:7">
      <c r="A464" s="216" t="s">
        <v>6170</v>
      </c>
      <c r="B464" s="423" t="s">
        <v>495</v>
      </c>
      <c r="C464" s="246">
        <v>185449576</v>
      </c>
      <c r="D464" s="187">
        <v>4928.9170000000004</v>
      </c>
      <c r="E464" s="187">
        <v>4928.9170000000004</v>
      </c>
      <c r="F464" s="187">
        <v>0</v>
      </c>
      <c r="G464" s="246">
        <v>304175</v>
      </c>
    </row>
    <row r="465" spans="1:7">
      <c r="A465" s="216" t="s">
        <v>6176</v>
      </c>
      <c r="B465" s="423" t="s">
        <v>502</v>
      </c>
      <c r="C465" s="246">
        <v>873082001</v>
      </c>
      <c r="D465" s="187">
        <v>13508.656000000001</v>
      </c>
      <c r="E465" s="187">
        <v>13508.656000000001</v>
      </c>
      <c r="F465" s="187">
        <v>0</v>
      </c>
      <c r="G465" s="246">
        <v>992583</v>
      </c>
    </row>
    <row r="466" spans="1:7">
      <c r="A466" s="216" t="s">
        <v>5125</v>
      </c>
      <c r="B466" s="423" t="s">
        <v>340</v>
      </c>
      <c r="C466" s="246">
        <v>1912425372</v>
      </c>
      <c r="D466" s="187">
        <v>24932.559000000001</v>
      </c>
      <c r="E466" s="187">
        <v>24932.559000000001</v>
      </c>
      <c r="F466" s="246">
        <v>435905</v>
      </c>
      <c r="G466" s="246">
        <v>1796915</v>
      </c>
    </row>
    <row r="467" spans="1:7">
      <c r="A467" s="216" t="s">
        <v>648</v>
      </c>
      <c r="B467" s="423" t="s">
        <v>353</v>
      </c>
      <c r="C467" s="246">
        <v>59872495</v>
      </c>
      <c r="D467" s="187">
        <v>1857.5540000000001</v>
      </c>
      <c r="E467" s="187">
        <v>1884.951</v>
      </c>
      <c r="F467" s="187">
        <v>0</v>
      </c>
      <c r="G467" s="246">
        <v>101528</v>
      </c>
    </row>
    <row r="468" spans="1:7">
      <c r="A468" s="216" t="s">
        <v>780</v>
      </c>
      <c r="B468" s="423" t="s">
        <v>848</v>
      </c>
      <c r="C468" s="246">
        <v>1042123048</v>
      </c>
      <c r="D468" s="187">
        <v>6693.4139999999998</v>
      </c>
      <c r="E468" s="187">
        <v>6693.4139999999998</v>
      </c>
      <c r="F468" s="246">
        <v>1162602</v>
      </c>
      <c r="G468" s="187">
        <v>0</v>
      </c>
    </row>
    <row r="469" spans="1:7">
      <c r="A469" s="216" t="s">
        <v>6038</v>
      </c>
      <c r="B469" s="423" t="s">
        <v>2153</v>
      </c>
      <c r="C469" s="246">
        <v>1199066312</v>
      </c>
      <c r="D469" s="187">
        <v>21102.330999999998</v>
      </c>
      <c r="E469" s="187">
        <v>21102.330999999998</v>
      </c>
      <c r="F469" s="246">
        <v>310293</v>
      </c>
      <c r="G469" s="246">
        <v>1915920</v>
      </c>
    </row>
    <row r="470" spans="1:7">
      <c r="A470" s="216" t="s">
        <v>3096</v>
      </c>
      <c r="B470" s="423" t="s">
        <v>4065</v>
      </c>
      <c r="C470" s="246">
        <v>1019915785</v>
      </c>
      <c r="D470" s="187">
        <v>14487.38</v>
      </c>
      <c r="E470" s="187">
        <v>14487.38</v>
      </c>
      <c r="F470" s="246">
        <v>525877</v>
      </c>
      <c r="G470" s="246">
        <v>295957</v>
      </c>
    </row>
    <row r="471" spans="1:7">
      <c r="A471" s="216" t="s">
        <v>6040</v>
      </c>
      <c r="B471" s="423" t="s">
        <v>184</v>
      </c>
      <c r="C471" s="246">
        <v>44965554</v>
      </c>
      <c r="D471" s="187">
        <v>629.73599999999999</v>
      </c>
      <c r="E471" s="187">
        <v>629.73599999999999</v>
      </c>
      <c r="F471" s="246">
        <v>1506</v>
      </c>
      <c r="G471" s="246">
        <v>68385</v>
      </c>
    </row>
    <row r="472" spans="1:7">
      <c r="A472" s="216" t="s">
        <v>3097</v>
      </c>
      <c r="B472" s="423" t="s">
        <v>503</v>
      </c>
      <c r="C472" s="246">
        <v>36664015</v>
      </c>
      <c r="D472" s="187">
        <v>515.89</v>
      </c>
      <c r="E472" s="187">
        <v>515.89</v>
      </c>
      <c r="F472" s="246">
        <v>19127</v>
      </c>
      <c r="G472" s="246">
        <v>38069</v>
      </c>
    </row>
    <row r="473" spans="1:7">
      <c r="A473" s="216" t="s">
        <v>2419</v>
      </c>
      <c r="B473" s="423" t="s">
        <v>5372</v>
      </c>
      <c r="C473" s="246">
        <v>171071000</v>
      </c>
      <c r="D473" s="187">
        <v>3130.663</v>
      </c>
      <c r="E473" s="187">
        <v>3130.663</v>
      </c>
      <c r="F473" s="187">
        <v>0</v>
      </c>
      <c r="G473" s="246">
        <v>283101</v>
      </c>
    </row>
    <row r="474" spans="1:7">
      <c r="A474" s="216" t="s">
        <v>2608</v>
      </c>
      <c r="B474" s="423" t="s">
        <v>324</v>
      </c>
      <c r="C474" s="246">
        <v>33977350</v>
      </c>
      <c r="D474" s="187">
        <v>275.64800000000002</v>
      </c>
      <c r="E474" s="187">
        <v>275.64800000000002</v>
      </c>
      <c r="F474" s="187">
        <v>0</v>
      </c>
      <c r="G474" s="187">
        <v>0</v>
      </c>
    </row>
    <row r="475" spans="1:7">
      <c r="A475" s="216" t="s">
        <v>448</v>
      </c>
      <c r="B475" s="423" t="s">
        <v>6096</v>
      </c>
      <c r="C475" s="246">
        <v>26408115</v>
      </c>
      <c r="D475" s="187">
        <v>192.97399999999999</v>
      </c>
      <c r="E475" s="187">
        <v>203.68</v>
      </c>
      <c r="F475" s="187">
        <v>0</v>
      </c>
      <c r="G475" s="246">
        <v>17662</v>
      </c>
    </row>
    <row r="476" spans="1:7">
      <c r="A476" s="216" t="s">
        <v>243</v>
      </c>
      <c r="B476" s="423" t="s">
        <v>5246</v>
      </c>
      <c r="C476" s="246">
        <v>30205659</v>
      </c>
      <c r="D476" s="187">
        <v>280.83800000000002</v>
      </c>
      <c r="E476" s="187">
        <v>291.887</v>
      </c>
      <c r="F476" s="187">
        <v>114</v>
      </c>
      <c r="G476" s="246">
        <v>23523</v>
      </c>
    </row>
    <row r="477" spans="1:7">
      <c r="A477" s="216" t="s">
        <v>1868</v>
      </c>
      <c r="B477" s="423" t="s">
        <v>3847</v>
      </c>
      <c r="C477" s="246">
        <v>346897856</v>
      </c>
      <c r="D477" s="187">
        <v>1631.944</v>
      </c>
      <c r="E477" s="187">
        <v>1631.944</v>
      </c>
      <c r="F477" s="246">
        <v>495151</v>
      </c>
      <c r="G477" s="246">
        <v>499381</v>
      </c>
    </row>
    <row r="478" spans="1:7">
      <c r="A478" s="216" t="s">
        <v>3098</v>
      </c>
      <c r="B478" s="423" t="s">
        <v>3852</v>
      </c>
      <c r="C478" s="246">
        <v>42177491</v>
      </c>
      <c r="D478" s="187">
        <v>441.37400000000002</v>
      </c>
      <c r="E478" s="187">
        <v>441.37400000000002</v>
      </c>
      <c r="F478" s="246">
        <v>17733</v>
      </c>
      <c r="G478" s="246">
        <v>57140</v>
      </c>
    </row>
    <row r="479" spans="1:7">
      <c r="A479" s="216" t="s">
        <v>6022</v>
      </c>
      <c r="B479" s="423" t="s">
        <v>1907</v>
      </c>
      <c r="C479" s="246">
        <v>74655690</v>
      </c>
      <c r="D479" s="187">
        <v>644.14099999999996</v>
      </c>
      <c r="E479" s="187">
        <v>644.14099999999996</v>
      </c>
      <c r="F479" s="246">
        <v>37718</v>
      </c>
      <c r="G479" s="246">
        <v>36674</v>
      </c>
    </row>
    <row r="480" spans="1:7">
      <c r="A480" s="216" t="s">
        <v>2610</v>
      </c>
      <c r="B480" s="423" t="s">
        <v>326</v>
      </c>
      <c r="C480" s="246">
        <v>15279906</v>
      </c>
      <c r="D480" s="187">
        <v>63.110999999999997</v>
      </c>
      <c r="E480" s="187">
        <v>63.110999999999997</v>
      </c>
      <c r="F480" s="187">
        <v>0</v>
      </c>
      <c r="G480" s="187">
        <v>0</v>
      </c>
    </row>
    <row r="481" spans="1:7">
      <c r="A481" s="216" t="s">
        <v>2612</v>
      </c>
      <c r="B481" s="423" t="s">
        <v>504</v>
      </c>
      <c r="C481" s="246">
        <v>16437554</v>
      </c>
      <c r="D481" s="187">
        <v>114.99</v>
      </c>
      <c r="E481" s="187">
        <v>114.99</v>
      </c>
      <c r="F481" s="187">
        <v>0</v>
      </c>
      <c r="G481" s="187">
        <v>0</v>
      </c>
    </row>
    <row r="482" spans="1:7">
      <c r="A482" s="216" t="s">
        <v>782</v>
      </c>
      <c r="B482" s="423" t="s">
        <v>849</v>
      </c>
      <c r="C482" s="246">
        <v>375177524</v>
      </c>
      <c r="D482" s="187">
        <v>1469.1179999999999</v>
      </c>
      <c r="E482" s="187">
        <v>1469.1179999999999</v>
      </c>
      <c r="F482" s="246">
        <v>529084</v>
      </c>
      <c r="G482" s="187">
        <v>0</v>
      </c>
    </row>
    <row r="483" spans="1:7">
      <c r="A483" s="216" t="s">
        <v>2614</v>
      </c>
      <c r="B483" s="423" t="s">
        <v>7686</v>
      </c>
      <c r="C483" s="246">
        <v>31353871</v>
      </c>
      <c r="D483" s="187">
        <v>187.303</v>
      </c>
      <c r="E483" s="187">
        <v>188.01499999999999</v>
      </c>
      <c r="F483" s="187">
        <v>0</v>
      </c>
      <c r="G483" s="246">
        <v>19908</v>
      </c>
    </row>
    <row r="484" spans="1:7">
      <c r="A484" s="216" t="s">
        <v>2468</v>
      </c>
      <c r="B484" s="423" t="s">
        <v>7662</v>
      </c>
      <c r="C484" s="246">
        <v>42671545</v>
      </c>
      <c r="D484" s="187">
        <v>291.952</v>
      </c>
      <c r="E484" s="187">
        <v>291.952</v>
      </c>
      <c r="F484" s="246">
        <v>51851</v>
      </c>
      <c r="G484" s="246">
        <v>27863</v>
      </c>
    </row>
    <row r="485" spans="1:7">
      <c r="A485" s="216" t="s">
        <v>2616</v>
      </c>
      <c r="B485" s="423" t="s">
        <v>336</v>
      </c>
      <c r="C485" s="246">
        <v>14690516</v>
      </c>
      <c r="D485" s="187">
        <v>171.346</v>
      </c>
      <c r="E485" s="187">
        <v>171.346</v>
      </c>
      <c r="F485" s="187">
        <v>0</v>
      </c>
      <c r="G485" s="187">
        <v>0</v>
      </c>
    </row>
    <row r="486" spans="1:7">
      <c r="A486" s="216" t="s">
        <v>784</v>
      </c>
      <c r="B486" s="423" t="s">
        <v>850</v>
      </c>
      <c r="C486" s="246">
        <v>89483306</v>
      </c>
      <c r="D486" s="187">
        <v>347.01400000000001</v>
      </c>
      <c r="E486" s="187">
        <v>347.01400000000001</v>
      </c>
      <c r="F486" s="187">
        <v>0</v>
      </c>
      <c r="G486" s="187">
        <v>0</v>
      </c>
    </row>
    <row r="487" spans="1:7">
      <c r="A487" s="216" t="s">
        <v>786</v>
      </c>
      <c r="B487" s="423" t="s">
        <v>7109</v>
      </c>
      <c r="C487" s="246">
        <v>734325090</v>
      </c>
      <c r="D487" s="187">
        <v>2722.6930000000002</v>
      </c>
      <c r="E487" s="187">
        <v>2722.6930000000002</v>
      </c>
      <c r="F487" s="187">
        <v>0</v>
      </c>
      <c r="G487" s="187">
        <v>0</v>
      </c>
    </row>
    <row r="488" spans="1:7">
      <c r="A488" s="216" t="s">
        <v>788</v>
      </c>
      <c r="B488" s="423" t="s">
        <v>7110</v>
      </c>
      <c r="C488" s="246">
        <v>40685648</v>
      </c>
      <c r="D488" s="187">
        <v>313.26600000000002</v>
      </c>
      <c r="E488" s="187">
        <v>315.24299999999999</v>
      </c>
      <c r="F488" s="187">
        <v>0</v>
      </c>
      <c r="G488" s="187">
        <v>0</v>
      </c>
    </row>
    <row r="489" spans="1:7">
      <c r="A489" s="216" t="s">
        <v>969</v>
      </c>
      <c r="B489" s="423" t="s">
        <v>2344</v>
      </c>
      <c r="C489" s="246">
        <v>45254097</v>
      </c>
      <c r="D489" s="187">
        <v>382.90100000000001</v>
      </c>
      <c r="E489" s="187">
        <v>382.90100000000001</v>
      </c>
      <c r="F489" s="187">
        <v>0</v>
      </c>
      <c r="G489" s="187">
        <v>0</v>
      </c>
    </row>
    <row r="490" spans="1:7">
      <c r="A490" s="216" t="s">
        <v>790</v>
      </c>
      <c r="B490" s="423" t="s">
        <v>7111</v>
      </c>
      <c r="C490" s="246">
        <v>665391552</v>
      </c>
      <c r="D490" s="187">
        <v>514.00400000000002</v>
      </c>
      <c r="E490" s="187">
        <v>514.00400000000002</v>
      </c>
      <c r="F490" s="187">
        <v>0</v>
      </c>
      <c r="G490" s="187">
        <v>0</v>
      </c>
    </row>
    <row r="491" spans="1:7">
      <c r="A491" s="216" t="s">
        <v>792</v>
      </c>
      <c r="B491" s="423" t="s">
        <v>7112</v>
      </c>
      <c r="C491" s="246">
        <v>25766978</v>
      </c>
      <c r="D491" s="187">
        <v>172.077</v>
      </c>
      <c r="E491" s="187">
        <v>186.94</v>
      </c>
      <c r="F491" s="187">
        <v>0</v>
      </c>
      <c r="G491" s="187">
        <v>0</v>
      </c>
    </row>
    <row r="492" spans="1:7">
      <c r="A492" s="216" t="s">
        <v>794</v>
      </c>
      <c r="B492" s="423" t="s">
        <v>7113</v>
      </c>
      <c r="C492" s="246">
        <v>2183792540</v>
      </c>
      <c r="D492" s="187">
        <v>6210.2489999999998</v>
      </c>
      <c r="E492" s="187">
        <v>6210.2489999999998</v>
      </c>
      <c r="F492" s="246">
        <v>5920340</v>
      </c>
      <c r="G492" s="187">
        <v>0</v>
      </c>
    </row>
    <row r="493" spans="1:7">
      <c r="A493" s="216" t="s">
        <v>2991</v>
      </c>
      <c r="B493" s="423" t="s">
        <v>193</v>
      </c>
      <c r="C493" s="246">
        <v>54920066</v>
      </c>
      <c r="D493" s="187">
        <v>268.83800000000002</v>
      </c>
      <c r="E493" s="187">
        <v>268.83800000000002</v>
      </c>
      <c r="F493" s="246">
        <v>33609</v>
      </c>
      <c r="G493" s="246">
        <v>78458</v>
      </c>
    </row>
    <row r="494" spans="1:7">
      <c r="A494" s="216" t="s">
        <v>2413</v>
      </c>
      <c r="B494" s="423" t="s">
        <v>5366</v>
      </c>
      <c r="C494" s="246">
        <v>70174970</v>
      </c>
      <c r="D494" s="187">
        <v>546.58000000000004</v>
      </c>
      <c r="E494" s="187">
        <v>546.58000000000004</v>
      </c>
      <c r="F494" s="246">
        <v>73469</v>
      </c>
      <c r="G494" s="246">
        <v>52230</v>
      </c>
    </row>
    <row r="495" spans="1:7">
      <c r="A495" s="216" t="s">
        <v>796</v>
      </c>
      <c r="B495" s="423" t="s">
        <v>7114</v>
      </c>
      <c r="C495" s="246">
        <v>780293431</v>
      </c>
      <c r="D495" s="187">
        <v>3860.538</v>
      </c>
      <c r="E495" s="187">
        <v>3860.538</v>
      </c>
      <c r="F495" s="246">
        <v>457423</v>
      </c>
      <c r="G495" s="187">
        <v>0</v>
      </c>
    </row>
    <row r="496" spans="1:7">
      <c r="A496" s="216" t="s">
        <v>2044</v>
      </c>
      <c r="B496" s="423" t="s">
        <v>991</v>
      </c>
      <c r="C496" s="246">
        <v>42228973</v>
      </c>
      <c r="D496" s="187">
        <v>354.96899999999999</v>
      </c>
      <c r="E496" s="187">
        <v>354.96899999999999</v>
      </c>
      <c r="F496" s="187">
        <v>0</v>
      </c>
      <c r="G496" s="246">
        <v>29550</v>
      </c>
    </row>
    <row r="497" spans="1:7">
      <c r="A497" s="216" t="s">
        <v>798</v>
      </c>
      <c r="B497" s="423" t="s">
        <v>7115</v>
      </c>
      <c r="C497" s="246">
        <v>55360783</v>
      </c>
      <c r="D497" s="187">
        <v>394.50900000000001</v>
      </c>
      <c r="E497" s="187">
        <v>394.50900000000001</v>
      </c>
      <c r="F497" s="246">
        <v>49521</v>
      </c>
      <c r="G497" s="187">
        <v>0</v>
      </c>
    </row>
    <row r="498" spans="1:7">
      <c r="A498" s="216" t="s">
        <v>2358</v>
      </c>
      <c r="B498" s="423" t="s">
        <v>499</v>
      </c>
      <c r="C498" s="246">
        <v>32984781</v>
      </c>
      <c r="D498" s="187">
        <v>212.886</v>
      </c>
      <c r="E498" s="187">
        <v>224.73500000000001</v>
      </c>
      <c r="F498" s="187">
        <v>0</v>
      </c>
      <c r="G498" s="246">
        <v>44435</v>
      </c>
    </row>
    <row r="499" spans="1:7">
      <c r="A499" s="216" t="s">
        <v>800</v>
      </c>
      <c r="B499" s="423" t="s">
        <v>7116</v>
      </c>
      <c r="C499" s="246">
        <v>90552817</v>
      </c>
      <c r="D499" s="187">
        <v>746.18200000000002</v>
      </c>
      <c r="E499" s="187">
        <v>746.18200000000002</v>
      </c>
      <c r="F499" s="187">
        <v>0</v>
      </c>
      <c r="G499" s="187">
        <v>0</v>
      </c>
    </row>
    <row r="500" spans="1:7">
      <c r="A500" s="216" t="s">
        <v>802</v>
      </c>
      <c r="B500" s="423" t="s">
        <v>7117</v>
      </c>
      <c r="C500" s="246">
        <v>28196583</v>
      </c>
      <c r="D500" s="187">
        <v>239.78700000000001</v>
      </c>
      <c r="E500" s="187">
        <v>239.78700000000001</v>
      </c>
      <c r="F500" s="187">
        <v>0</v>
      </c>
      <c r="G500" s="187">
        <v>0</v>
      </c>
    </row>
    <row r="501" spans="1:7">
      <c r="A501" s="216" t="s">
        <v>2046</v>
      </c>
      <c r="B501" s="423" t="s">
        <v>2357</v>
      </c>
      <c r="C501" s="246">
        <v>35451047</v>
      </c>
      <c r="D501" s="187">
        <v>223.738</v>
      </c>
      <c r="E501" s="187">
        <v>232.86500000000001</v>
      </c>
      <c r="F501" s="246">
        <v>30573</v>
      </c>
      <c r="G501" s="246">
        <v>23642</v>
      </c>
    </row>
    <row r="502" spans="1:7">
      <c r="A502" s="216" t="s">
        <v>804</v>
      </c>
      <c r="B502" s="423" t="s">
        <v>7118</v>
      </c>
      <c r="C502" s="246">
        <v>242392354</v>
      </c>
      <c r="D502" s="187">
        <v>1452.134</v>
      </c>
      <c r="E502" s="187">
        <v>1466.7629999999999</v>
      </c>
      <c r="F502" s="246">
        <v>9672</v>
      </c>
      <c r="G502" s="187">
        <v>0</v>
      </c>
    </row>
    <row r="503" spans="1:7">
      <c r="A503" s="216" t="s">
        <v>806</v>
      </c>
      <c r="B503" s="423" t="s">
        <v>7119</v>
      </c>
      <c r="C503" s="246">
        <v>147517659</v>
      </c>
      <c r="D503" s="187">
        <v>523.90499999999997</v>
      </c>
      <c r="E503" s="187">
        <v>529.048</v>
      </c>
      <c r="F503" s="187">
        <v>0</v>
      </c>
      <c r="G503" s="187">
        <v>0</v>
      </c>
    </row>
    <row r="504" spans="1:7">
      <c r="A504" s="216" t="s">
        <v>808</v>
      </c>
      <c r="B504" s="423" t="s">
        <v>7120</v>
      </c>
      <c r="C504" s="246">
        <v>120586848</v>
      </c>
      <c r="D504" s="187">
        <v>504.45</v>
      </c>
      <c r="E504" s="187">
        <v>504.45</v>
      </c>
      <c r="F504" s="187">
        <v>0</v>
      </c>
      <c r="G504" s="187">
        <v>0</v>
      </c>
    </row>
    <row r="505" spans="1:7">
      <c r="A505" s="216" t="s">
        <v>810</v>
      </c>
      <c r="B505" s="423" t="s">
        <v>7121</v>
      </c>
      <c r="C505" s="246">
        <v>86449632</v>
      </c>
      <c r="D505" s="187">
        <v>403.84</v>
      </c>
      <c r="E505" s="187">
        <v>412.49900000000002</v>
      </c>
      <c r="F505" s="246">
        <v>144994</v>
      </c>
      <c r="G505" s="187">
        <v>0</v>
      </c>
    </row>
    <row r="506" spans="1:7">
      <c r="A506" s="216" t="s">
        <v>667</v>
      </c>
      <c r="B506" s="423" t="s">
        <v>7122</v>
      </c>
      <c r="C506" s="246">
        <v>76519994</v>
      </c>
      <c r="D506" s="187">
        <v>341.17</v>
      </c>
      <c r="E506" s="187">
        <v>341.17</v>
      </c>
      <c r="F506" s="246">
        <v>41202</v>
      </c>
      <c r="G506" s="187">
        <v>0</v>
      </c>
    </row>
    <row r="507" spans="1:7">
      <c r="A507" s="216" t="s">
        <v>1707</v>
      </c>
      <c r="B507" s="423" t="s">
        <v>3864</v>
      </c>
      <c r="C507" s="246">
        <v>655319707</v>
      </c>
      <c r="D507" s="187">
        <v>3531.2060000000001</v>
      </c>
      <c r="E507" s="187">
        <v>3538.721</v>
      </c>
      <c r="F507" s="246">
        <v>456107</v>
      </c>
      <c r="G507" s="187">
        <v>0</v>
      </c>
    </row>
    <row r="508" spans="1:7">
      <c r="A508" s="216" t="s">
        <v>1709</v>
      </c>
      <c r="B508" s="423" t="s">
        <v>3865</v>
      </c>
      <c r="C508" s="246">
        <v>185352743</v>
      </c>
      <c r="D508" s="187">
        <v>754.19100000000003</v>
      </c>
      <c r="E508" s="187">
        <v>754.19100000000003</v>
      </c>
      <c r="F508" s="187">
        <v>0</v>
      </c>
      <c r="G508" s="187">
        <v>0</v>
      </c>
    </row>
    <row r="509" spans="1:7">
      <c r="A509" s="216" t="s">
        <v>1711</v>
      </c>
      <c r="B509" s="423" t="s">
        <v>3866</v>
      </c>
      <c r="C509" s="246">
        <v>220171524</v>
      </c>
      <c r="D509" s="187">
        <v>631.81600000000003</v>
      </c>
      <c r="E509" s="187">
        <v>631.81600000000003</v>
      </c>
      <c r="F509" s="187">
        <v>0</v>
      </c>
      <c r="G509" s="187">
        <v>0</v>
      </c>
    </row>
    <row r="510" spans="1:7">
      <c r="A510" s="216" t="s">
        <v>1713</v>
      </c>
      <c r="B510" s="423" t="s">
        <v>3867</v>
      </c>
      <c r="C510" s="246">
        <v>92949656</v>
      </c>
      <c r="D510" s="187">
        <v>553.06500000000005</v>
      </c>
      <c r="E510" s="187">
        <v>553.06500000000005</v>
      </c>
      <c r="F510" s="246">
        <v>61300</v>
      </c>
      <c r="G510" s="187">
        <v>0</v>
      </c>
    </row>
    <row r="511" spans="1:7">
      <c r="A511" s="216" t="s">
        <v>1330</v>
      </c>
      <c r="B511" s="423" t="s">
        <v>3868</v>
      </c>
      <c r="C511" s="246">
        <v>41726806</v>
      </c>
      <c r="D511" s="187">
        <v>146.358</v>
      </c>
      <c r="E511" s="187">
        <v>146.358</v>
      </c>
      <c r="F511" s="187">
        <v>0</v>
      </c>
      <c r="G511" s="187">
        <v>0</v>
      </c>
    </row>
    <row r="512" spans="1:7">
      <c r="A512" s="216" t="s">
        <v>1332</v>
      </c>
      <c r="B512" s="423" t="s">
        <v>3869</v>
      </c>
      <c r="C512" s="246">
        <v>42856450</v>
      </c>
      <c r="D512" s="187">
        <v>107.974</v>
      </c>
      <c r="E512" s="187">
        <v>119.264</v>
      </c>
      <c r="F512" s="187">
        <v>0</v>
      </c>
      <c r="G512" s="187">
        <v>0</v>
      </c>
    </row>
    <row r="513" spans="1:7">
      <c r="A513" s="216" t="s">
        <v>979</v>
      </c>
      <c r="B513" s="423" t="s">
        <v>6097</v>
      </c>
      <c r="C513" s="246">
        <v>163829135</v>
      </c>
      <c r="D513" s="187">
        <v>1168.2670000000001</v>
      </c>
      <c r="E513" s="187">
        <v>1168.2670000000001</v>
      </c>
      <c r="F513" s="246">
        <v>166313</v>
      </c>
      <c r="G513" s="246">
        <v>196477</v>
      </c>
    </row>
    <row r="514" spans="1:7">
      <c r="A514" s="216" t="s">
        <v>1334</v>
      </c>
      <c r="B514" s="423" t="s">
        <v>3870</v>
      </c>
      <c r="C514" s="246">
        <v>49164523</v>
      </c>
      <c r="D514" s="187">
        <v>482.63200000000001</v>
      </c>
      <c r="E514" s="187">
        <v>482.63200000000001</v>
      </c>
      <c r="F514" s="246">
        <v>32516</v>
      </c>
      <c r="G514" s="187">
        <v>0</v>
      </c>
    </row>
    <row r="515" spans="1:7">
      <c r="A515" s="216" t="s">
        <v>235</v>
      </c>
      <c r="B515" s="423" t="s">
        <v>2642</v>
      </c>
      <c r="C515" s="246">
        <v>321886021</v>
      </c>
      <c r="D515" s="187">
        <v>1692.5719999999999</v>
      </c>
      <c r="E515" s="187">
        <v>1692.5719999999999</v>
      </c>
      <c r="F515" s="246">
        <v>371753</v>
      </c>
      <c r="G515" s="246">
        <v>311836</v>
      </c>
    </row>
    <row r="516" spans="1:7">
      <c r="A516" s="216" t="s">
        <v>3961</v>
      </c>
      <c r="B516" s="423" t="s">
        <v>3871</v>
      </c>
      <c r="C516" s="246">
        <v>993704406</v>
      </c>
      <c r="D516" s="187">
        <v>4721.1670000000004</v>
      </c>
      <c r="E516" s="187">
        <v>4721.1670000000004</v>
      </c>
      <c r="F516" s="246">
        <v>1472730</v>
      </c>
      <c r="G516" s="187">
        <v>0</v>
      </c>
    </row>
    <row r="517" spans="1:7">
      <c r="A517" s="216" t="s">
        <v>2359</v>
      </c>
      <c r="B517" s="423" t="s">
        <v>198</v>
      </c>
      <c r="C517" s="246">
        <v>101572405</v>
      </c>
      <c r="D517" s="187">
        <v>798.35799999999995</v>
      </c>
      <c r="E517" s="187">
        <v>798.35799999999995</v>
      </c>
      <c r="F517" s="246">
        <v>55467</v>
      </c>
      <c r="G517" s="246">
        <v>65249</v>
      </c>
    </row>
    <row r="518" spans="1:7">
      <c r="A518" s="216" t="s">
        <v>650</v>
      </c>
      <c r="B518" s="423" t="s">
        <v>355</v>
      </c>
      <c r="C518" s="246">
        <v>415941895</v>
      </c>
      <c r="D518" s="187">
        <v>2521.221</v>
      </c>
      <c r="E518" s="187">
        <v>2521.221</v>
      </c>
      <c r="F518" s="246">
        <v>228319</v>
      </c>
      <c r="G518" s="246">
        <v>666639</v>
      </c>
    </row>
    <row r="519" spans="1:7">
      <c r="A519" s="216" t="s">
        <v>2127</v>
      </c>
      <c r="B519" s="423" t="s">
        <v>2007</v>
      </c>
      <c r="C519" s="246">
        <v>58619537</v>
      </c>
      <c r="D519" s="187">
        <v>564.08199999999999</v>
      </c>
      <c r="E519" s="187">
        <v>564.08199999999999</v>
      </c>
      <c r="F519" s="246">
        <v>83509</v>
      </c>
      <c r="G519" s="246">
        <v>41873</v>
      </c>
    </row>
    <row r="520" spans="1:7">
      <c r="A520" s="216" t="s">
        <v>3963</v>
      </c>
      <c r="B520" s="423" t="s">
        <v>3872</v>
      </c>
      <c r="C520" s="246">
        <v>43380875</v>
      </c>
      <c r="D520" s="187">
        <v>301.51400000000001</v>
      </c>
      <c r="E520" s="187">
        <v>301.51400000000001</v>
      </c>
      <c r="F520" s="246">
        <v>40993</v>
      </c>
      <c r="G520" s="187">
        <v>0</v>
      </c>
    </row>
    <row r="521" spans="1:7">
      <c r="A521" s="216" t="s">
        <v>953</v>
      </c>
      <c r="B521" s="423" t="s">
        <v>7658</v>
      </c>
      <c r="C521" s="246">
        <v>66059253</v>
      </c>
      <c r="D521" s="187">
        <v>518.93799999999999</v>
      </c>
      <c r="E521" s="187">
        <v>523.74599999999998</v>
      </c>
      <c r="F521" s="246">
        <v>31352</v>
      </c>
      <c r="G521" s="187">
        <v>0</v>
      </c>
    </row>
    <row r="522" spans="1:7">
      <c r="A522" s="216" t="s">
        <v>971</v>
      </c>
      <c r="B522" s="423" t="s">
        <v>7663</v>
      </c>
      <c r="C522" s="246">
        <v>10235447</v>
      </c>
      <c r="D522" s="187">
        <v>490.66699999999997</v>
      </c>
      <c r="E522" s="187">
        <v>490.66699999999997</v>
      </c>
      <c r="F522" s="187">
        <v>0</v>
      </c>
      <c r="G522" s="246">
        <v>8306</v>
      </c>
    </row>
    <row r="523" spans="1:7">
      <c r="A523" s="216" t="s">
        <v>3965</v>
      </c>
      <c r="B523" s="423" t="s">
        <v>3873</v>
      </c>
      <c r="C523" s="246">
        <v>419406805</v>
      </c>
      <c r="D523" s="187">
        <v>2573.3359999999998</v>
      </c>
      <c r="E523" s="187">
        <v>2573.3359999999998</v>
      </c>
      <c r="F523" s="187">
        <v>0</v>
      </c>
      <c r="G523" s="187">
        <v>0</v>
      </c>
    </row>
    <row r="524" spans="1:7">
      <c r="A524" s="216" t="s">
        <v>3967</v>
      </c>
      <c r="B524" s="423" t="s">
        <v>3874</v>
      </c>
      <c r="C524" s="246">
        <v>123352502</v>
      </c>
      <c r="D524" s="187">
        <v>772.83100000000002</v>
      </c>
      <c r="E524" s="187">
        <v>778.18</v>
      </c>
      <c r="F524" s="246">
        <v>181900</v>
      </c>
      <c r="G524" s="187">
        <v>0</v>
      </c>
    </row>
    <row r="525" spans="1:7">
      <c r="A525" s="216" t="s">
        <v>3969</v>
      </c>
      <c r="B525" s="423" t="s">
        <v>3056</v>
      </c>
      <c r="C525" s="246">
        <v>822778719</v>
      </c>
      <c r="D525" s="187">
        <v>582.57799999999997</v>
      </c>
      <c r="E525" s="187">
        <v>582.57799999999997</v>
      </c>
      <c r="F525" s="246">
        <v>974949</v>
      </c>
      <c r="G525" s="187">
        <v>0</v>
      </c>
    </row>
    <row r="526" spans="1:7">
      <c r="A526" s="216" t="s">
        <v>757</v>
      </c>
      <c r="B526" s="423" t="s">
        <v>3057</v>
      </c>
      <c r="C526" s="246">
        <v>26503406</v>
      </c>
      <c r="D526" s="187">
        <v>92.328000000000003</v>
      </c>
      <c r="E526" s="187">
        <v>92.328000000000003</v>
      </c>
      <c r="F526" s="187">
        <v>0</v>
      </c>
      <c r="G526" s="187">
        <v>0</v>
      </c>
    </row>
    <row r="527" spans="1:7">
      <c r="A527" s="216" t="s">
        <v>759</v>
      </c>
      <c r="B527" s="423" t="s">
        <v>3058</v>
      </c>
      <c r="C527" s="246">
        <v>216874413</v>
      </c>
      <c r="D527" s="187">
        <v>343.36399999999998</v>
      </c>
      <c r="E527" s="187">
        <v>343.36399999999998</v>
      </c>
      <c r="F527" s="187">
        <v>0</v>
      </c>
      <c r="G527" s="187">
        <v>0</v>
      </c>
    </row>
    <row r="528" spans="1:7">
      <c r="A528" s="216" t="s">
        <v>69</v>
      </c>
      <c r="B528" s="423" t="s">
        <v>3059</v>
      </c>
      <c r="C528" s="246">
        <v>60520373</v>
      </c>
      <c r="D528" s="187">
        <v>233.024</v>
      </c>
      <c r="E528" s="187">
        <v>242.99700000000001</v>
      </c>
      <c r="F528" s="246">
        <v>38344</v>
      </c>
      <c r="G528" s="187">
        <v>0</v>
      </c>
    </row>
    <row r="529" spans="1:7">
      <c r="A529" s="216" t="s">
        <v>71</v>
      </c>
      <c r="B529" s="423" t="s">
        <v>3060</v>
      </c>
      <c r="C529" s="246">
        <v>251113917</v>
      </c>
      <c r="D529" s="187">
        <v>932.67100000000005</v>
      </c>
      <c r="E529" s="187">
        <v>932.67100000000005</v>
      </c>
      <c r="F529" s="187">
        <v>0</v>
      </c>
      <c r="G529" s="187">
        <v>0</v>
      </c>
    </row>
    <row r="530" spans="1:7">
      <c r="A530" s="216" t="s">
        <v>73</v>
      </c>
      <c r="B530" s="423" t="s">
        <v>3061</v>
      </c>
      <c r="C530" s="246">
        <v>64662259</v>
      </c>
      <c r="D530" s="187">
        <v>351.96899999999999</v>
      </c>
      <c r="E530" s="187">
        <v>351.96899999999999</v>
      </c>
      <c r="F530" s="246">
        <v>41638</v>
      </c>
      <c r="G530" s="187">
        <v>0</v>
      </c>
    </row>
    <row r="531" spans="1:7">
      <c r="A531" s="216" t="s">
        <v>75</v>
      </c>
      <c r="B531" s="423" t="s">
        <v>3062</v>
      </c>
      <c r="C531" s="246">
        <v>258446326</v>
      </c>
      <c r="D531" s="187">
        <v>1409.4860000000001</v>
      </c>
      <c r="E531" s="187">
        <v>1409.4860000000001</v>
      </c>
      <c r="F531" s="246">
        <v>139158</v>
      </c>
      <c r="G531" s="187">
        <v>0</v>
      </c>
    </row>
    <row r="532" spans="1:7">
      <c r="A532" s="216" t="s">
        <v>1316</v>
      </c>
      <c r="B532" s="423" t="s">
        <v>121</v>
      </c>
      <c r="C532" s="246">
        <v>106075799</v>
      </c>
      <c r="D532" s="187">
        <v>615.19000000000005</v>
      </c>
      <c r="E532" s="187">
        <v>615.19000000000005</v>
      </c>
      <c r="F532" s="187">
        <v>0</v>
      </c>
      <c r="G532" s="246">
        <v>66434</v>
      </c>
    </row>
    <row r="533" spans="1:7">
      <c r="A533" s="216" t="s">
        <v>2600</v>
      </c>
      <c r="B533" s="423" t="s">
        <v>3063</v>
      </c>
      <c r="C533" s="246">
        <v>503721322</v>
      </c>
      <c r="D533" s="187">
        <v>922.25699999999995</v>
      </c>
      <c r="E533" s="187">
        <v>922.25699999999995</v>
      </c>
      <c r="F533" s="246">
        <v>1460792</v>
      </c>
      <c r="G533" s="187">
        <v>0</v>
      </c>
    </row>
    <row r="534" spans="1:7">
      <c r="A534" s="216" t="s">
        <v>7133</v>
      </c>
      <c r="B534" s="423" t="s">
        <v>3064</v>
      </c>
      <c r="C534" s="246">
        <v>116423733</v>
      </c>
      <c r="D534" s="187">
        <v>258.351</v>
      </c>
      <c r="E534" s="187">
        <v>258.351</v>
      </c>
      <c r="F534" s="187">
        <v>0</v>
      </c>
      <c r="G534" s="187">
        <v>0</v>
      </c>
    </row>
    <row r="535" spans="1:7">
      <c r="A535" s="216" t="s">
        <v>961</v>
      </c>
      <c r="B535" s="423" t="s">
        <v>2145</v>
      </c>
      <c r="C535" s="246">
        <v>176999587</v>
      </c>
      <c r="D535" s="187">
        <v>1465.1880000000001</v>
      </c>
      <c r="E535" s="187">
        <v>1465.1880000000001</v>
      </c>
      <c r="F535" s="246">
        <v>79002</v>
      </c>
      <c r="G535" s="246">
        <v>251732</v>
      </c>
    </row>
    <row r="536" spans="1:7">
      <c r="A536" s="216" t="s">
        <v>6024</v>
      </c>
      <c r="B536" s="423" t="s">
        <v>1909</v>
      </c>
      <c r="C536" s="246">
        <v>467085424</v>
      </c>
      <c r="D536" s="187">
        <v>2837.3719999999998</v>
      </c>
      <c r="E536" s="187">
        <v>2837.3719999999998</v>
      </c>
      <c r="F536" s="246">
        <v>132664</v>
      </c>
      <c r="G536" s="246">
        <v>560851</v>
      </c>
    </row>
    <row r="537" spans="1:7">
      <c r="A537" s="216" t="s">
        <v>6034</v>
      </c>
      <c r="B537" s="423" t="s">
        <v>1922</v>
      </c>
      <c r="C537" s="246">
        <v>135138709</v>
      </c>
      <c r="D537" s="187">
        <v>1495.2260000000001</v>
      </c>
      <c r="E537" s="187">
        <v>1495.2260000000001</v>
      </c>
      <c r="F537" s="246">
        <v>69885</v>
      </c>
      <c r="G537" s="246">
        <v>106662</v>
      </c>
    </row>
    <row r="538" spans="1:7">
      <c r="A538" s="216" t="s">
        <v>7135</v>
      </c>
      <c r="B538" s="423" t="s">
        <v>3065</v>
      </c>
      <c r="C538" s="246">
        <v>479005519</v>
      </c>
      <c r="D538" s="187">
        <v>401.04700000000003</v>
      </c>
      <c r="E538" s="187">
        <v>401.04700000000003</v>
      </c>
      <c r="F538" s="246">
        <v>519930</v>
      </c>
      <c r="G538" s="187">
        <v>0</v>
      </c>
    </row>
    <row r="539" spans="1:7">
      <c r="A539" s="216" t="s">
        <v>7137</v>
      </c>
      <c r="B539" s="423" t="s">
        <v>3066</v>
      </c>
      <c r="C539" s="246">
        <v>105064373</v>
      </c>
      <c r="D539" s="187">
        <v>347.31099999999998</v>
      </c>
      <c r="E539" s="187">
        <v>347.31099999999998</v>
      </c>
      <c r="F539" s="187">
        <v>0</v>
      </c>
      <c r="G539" s="187">
        <v>0</v>
      </c>
    </row>
    <row r="540" spans="1:7">
      <c r="A540" s="216" t="s">
        <v>7139</v>
      </c>
      <c r="B540" s="423" t="s">
        <v>3067</v>
      </c>
      <c r="C540" s="246">
        <v>27369681</v>
      </c>
      <c r="D540" s="187">
        <v>46.933</v>
      </c>
      <c r="E540" s="187">
        <v>46.933</v>
      </c>
      <c r="F540" s="187">
        <v>0</v>
      </c>
      <c r="G540" s="187">
        <v>0</v>
      </c>
    </row>
    <row r="541" spans="1:7">
      <c r="A541" s="216" t="s">
        <v>6178</v>
      </c>
      <c r="B541" s="423" t="s">
        <v>3519</v>
      </c>
      <c r="C541" s="246">
        <v>1079103703</v>
      </c>
      <c r="D541" s="187">
        <v>4861.3720000000003</v>
      </c>
      <c r="E541" s="187">
        <v>4861.3720000000003</v>
      </c>
      <c r="F541" s="246">
        <v>419438</v>
      </c>
      <c r="G541" s="246">
        <v>512583</v>
      </c>
    </row>
    <row r="542" spans="1:7">
      <c r="A542" s="216" t="s">
        <v>7145</v>
      </c>
      <c r="B542" s="423" t="s">
        <v>3068</v>
      </c>
      <c r="C542" s="246">
        <v>2530504868</v>
      </c>
      <c r="D542" s="187">
        <v>8987.8559999999998</v>
      </c>
      <c r="E542" s="187">
        <v>9118.4809999999998</v>
      </c>
      <c r="F542" s="246">
        <v>709747</v>
      </c>
      <c r="G542" s="187">
        <v>0</v>
      </c>
    </row>
    <row r="543" spans="1:7">
      <c r="A543" s="216" t="s">
        <v>7147</v>
      </c>
      <c r="B543" s="423" t="s">
        <v>3069</v>
      </c>
      <c r="C543" s="246">
        <v>2640638625</v>
      </c>
      <c r="D543" s="187">
        <v>4464.5339999999997</v>
      </c>
      <c r="E543" s="187">
        <v>4464.5339999999997</v>
      </c>
      <c r="F543" s="246">
        <v>4613426</v>
      </c>
      <c r="G543" s="187">
        <v>0</v>
      </c>
    </row>
    <row r="544" spans="1:7">
      <c r="A544" s="216" t="s">
        <v>2808</v>
      </c>
      <c r="B544" s="423" t="s">
        <v>3054</v>
      </c>
      <c r="C544" s="246">
        <v>6345845013</v>
      </c>
      <c r="D544" s="187">
        <v>18735.95</v>
      </c>
      <c r="E544" s="187">
        <v>18735.95</v>
      </c>
      <c r="F544" s="246">
        <v>4482678</v>
      </c>
      <c r="G544" s="187">
        <v>0</v>
      </c>
    </row>
    <row r="545" spans="1:7">
      <c r="A545" s="216" t="s">
        <v>2810</v>
      </c>
      <c r="B545" s="423" t="s">
        <v>6648</v>
      </c>
      <c r="C545" s="246">
        <v>382920382</v>
      </c>
      <c r="D545" s="187">
        <v>234.2</v>
      </c>
      <c r="E545" s="187">
        <v>234.2</v>
      </c>
      <c r="F545" s="246">
        <v>674351</v>
      </c>
      <c r="G545" s="187">
        <v>0</v>
      </c>
    </row>
    <row r="546" spans="1:7">
      <c r="A546" s="216" t="s">
        <v>1859</v>
      </c>
      <c r="B546" s="423" t="s">
        <v>3916</v>
      </c>
      <c r="C546" s="246">
        <v>373602360</v>
      </c>
      <c r="D546" s="187">
        <v>1702.2460000000001</v>
      </c>
      <c r="E546" s="187">
        <v>1702.2460000000001</v>
      </c>
      <c r="F546" s="246">
        <v>138342</v>
      </c>
      <c r="G546" s="246">
        <v>289707</v>
      </c>
    </row>
    <row r="547" spans="1:7">
      <c r="A547" s="216" t="s">
        <v>2812</v>
      </c>
      <c r="B547" s="423" t="s">
        <v>6649</v>
      </c>
      <c r="C547" s="246">
        <v>324575697</v>
      </c>
      <c r="D547" s="187">
        <v>1028.364</v>
      </c>
      <c r="E547" s="187">
        <v>1028.364</v>
      </c>
      <c r="F547" s="246">
        <v>391759</v>
      </c>
      <c r="G547" s="187">
        <v>0</v>
      </c>
    </row>
    <row r="548" spans="1:7">
      <c r="A548" s="216" t="s">
        <v>820</v>
      </c>
      <c r="B548" s="423" t="s">
        <v>1843</v>
      </c>
      <c r="C548" s="246">
        <v>656605874</v>
      </c>
      <c r="D548" s="187">
        <v>5117.2269999999999</v>
      </c>
      <c r="E548" s="187">
        <v>5117.2269999999999</v>
      </c>
      <c r="F548" s="246">
        <v>103304</v>
      </c>
      <c r="G548" s="246">
        <v>754974</v>
      </c>
    </row>
    <row r="549" spans="1:7">
      <c r="A549" s="216" t="s">
        <v>127</v>
      </c>
      <c r="B549" s="423" t="s">
        <v>7655</v>
      </c>
      <c r="C549" s="246">
        <v>40696584</v>
      </c>
      <c r="D549" s="187">
        <v>584.91399999999999</v>
      </c>
      <c r="E549" s="187">
        <v>584.91399999999999</v>
      </c>
      <c r="F549" s="187">
        <v>0</v>
      </c>
      <c r="G549" s="246">
        <v>55676</v>
      </c>
    </row>
    <row r="550" spans="1:7">
      <c r="A550" s="216" t="s">
        <v>6189</v>
      </c>
      <c r="B550" s="423" t="s">
        <v>3625</v>
      </c>
      <c r="C550" s="246">
        <v>104876305</v>
      </c>
      <c r="D550" s="187">
        <v>1541.982</v>
      </c>
      <c r="E550" s="187">
        <v>1541.982</v>
      </c>
      <c r="F550" s="246">
        <v>45255</v>
      </c>
      <c r="G550" s="246">
        <v>128149</v>
      </c>
    </row>
    <row r="551" spans="1:7">
      <c r="A551" s="216" t="s">
        <v>5130</v>
      </c>
      <c r="B551" s="423" t="s">
        <v>349</v>
      </c>
      <c r="C551" s="246">
        <v>97181257</v>
      </c>
      <c r="D551" s="187">
        <v>813.65599999999995</v>
      </c>
      <c r="E551" s="187">
        <v>835.74199999999996</v>
      </c>
      <c r="F551" s="246">
        <v>1829</v>
      </c>
      <c r="G551" s="246">
        <v>76048</v>
      </c>
    </row>
    <row r="552" spans="1:7">
      <c r="A552" s="216" t="s">
        <v>2815</v>
      </c>
      <c r="B552" s="423" t="s">
        <v>6650</v>
      </c>
      <c r="C552" s="246">
        <v>26261434</v>
      </c>
      <c r="D552" s="187">
        <v>79.168999999999997</v>
      </c>
      <c r="E552" s="187">
        <v>80.941999999999993</v>
      </c>
      <c r="F552" s="187">
        <v>0</v>
      </c>
      <c r="G552" s="187">
        <v>0</v>
      </c>
    </row>
    <row r="553" spans="1:7">
      <c r="A553" s="216" t="s">
        <v>3888</v>
      </c>
      <c r="B553" s="423" t="s">
        <v>7678</v>
      </c>
      <c r="C553" s="246">
        <v>510609207</v>
      </c>
      <c r="D553" s="187">
        <v>3187.9050000000002</v>
      </c>
      <c r="E553" s="187">
        <v>3187.9050000000002</v>
      </c>
      <c r="F553" s="246">
        <v>730108</v>
      </c>
      <c r="G553" s="246">
        <v>668126</v>
      </c>
    </row>
    <row r="554" spans="1:7">
      <c r="A554" s="216" t="s">
        <v>977</v>
      </c>
      <c r="B554" s="423" t="s">
        <v>2147</v>
      </c>
      <c r="C554" s="246">
        <v>1580087639</v>
      </c>
      <c r="D554" s="187">
        <v>7162.21</v>
      </c>
      <c r="E554" s="187">
        <v>7162.21</v>
      </c>
      <c r="F554" s="246">
        <v>3717134</v>
      </c>
      <c r="G554" s="246">
        <v>321615</v>
      </c>
    </row>
    <row r="555" spans="1:7">
      <c r="A555" s="216" t="s">
        <v>739</v>
      </c>
      <c r="B555" s="423" t="s">
        <v>6113</v>
      </c>
      <c r="C555" s="246">
        <v>1410947379</v>
      </c>
      <c r="D555" s="187">
        <v>5940.4390000000003</v>
      </c>
      <c r="E555" s="187">
        <v>5940.4390000000003</v>
      </c>
      <c r="F555" s="246">
        <v>2566993</v>
      </c>
      <c r="G555" s="187">
        <v>0</v>
      </c>
    </row>
    <row r="556" spans="1:7">
      <c r="A556" s="216" t="s">
        <v>1855</v>
      </c>
      <c r="B556" s="423" t="s">
        <v>4968</v>
      </c>
      <c r="C556" s="246">
        <v>130323203</v>
      </c>
      <c r="D556" s="187">
        <v>1097.67</v>
      </c>
      <c r="E556" s="187">
        <v>1097.67</v>
      </c>
      <c r="F556" s="246">
        <v>97430</v>
      </c>
      <c r="G556" s="187">
        <v>0</v>
      </c>
    </row>
    <row r="557" spans="1:7">
      <c r="A557" s="216" t="s">
        <v>6025</v>
      </c>
      <c r="B557" s="423" t="s">
        <v>1910</v>
      </c>
      <c r="C557" s="246">
        <v>635173028</v>
      </c>
      <c r="D557" s="187">
        <v>4208.8530000000001</v>
      </c>
      <c r="E557" s="187">
        <v>4208.8530000000001</v>
      </c>
      <c r="F557" s="246">
        <v>848133</v>
      </c>
      <c r="G557" s="246">
        <v>329675</v>
      </c>
    </row>
    <row r="558" spans="1:7">
      <c r="A558" s="216" t="s">
        <v>2817</v>
      </c>
      <c r="B558" s="423" t="s">
        <v>6651</v>
      </c>
      <c r="C558" s="246">
        <v>91580917</v>
      </c>
      <c r="D558" s="187">
        <v>746.55399999999997</v>
      </c>
      <c r="E558" s="187">
        <v>755.95</v>
      </c>
      <c r="F558" s="187">
        <v>0</v>
      </c>
      <c r="G558" s="187">
        <v>0</v>
      </c>
    </row>
    <row r="559" spans="1:7">
      <c r="A559" s="216" t="s">
        <v>128</v>
      </c>
      <c r="B559" s="423" t="s">
        <v>362</v>
      </c>
      <c r="C559" s="246">
        <v>93309883</v>
      </c>
      <c r="D559" s="187">
        <v>878.61900000000003</v>
      </c>
      <c r="E559" s="187">
        <v>878.61900000000003</v>
      </c>
      <c r="F559" s="246">
        <v>90278</v>
      </c>
      <c r="G559" s="246">
        <v>42939</v>
      </c>
    </row>
    <row r="560" spans="1:7">
      <c r="A560" s="216" t="s">
        <v>3551</v>
      </c>
      <c r="B560" s="423" t="s">
        <v>7131</v>
      </c>
      <c r="C560" s="246">
        <v>155344140</v>
      </c>
      <c r="D560" s="187">
        <v>1633.4839999999999</v>
      </c>
      <c r="E560" s="187">
        <v>1633.4839999999999</v>
      </c>
      <c r="F560" s="246">
        <v>103371</v>
      </c>
      <c r="G560" s="246">
        <v>120556</v>
      </c>
    </row>
    <row r="561" spans="1:7">
      <c r="A561" s="216" t="s">
        <v>1851</v>
      </c>
      <c r="B561" s="423" t="s">
        <v>126</v>
      </c>
      <c r="C561" s="246">
        <v>154306080</v>
      </c>
      <c r="D561" s="187">
        <v>1256.3779999999999</v>
      </c>
      <c r="E561" s="187">
        <v>1256.3779999999999</v>
      </c>
      <c r="F561" s="246">
        <v>72648</v>
      </c>
      <c r="G561" s="246">
        <v>175710</v>
      </c>
    </row>
    <row r="562" spans="1:7">
      <c r="A562" s="216" t="s">
        <v>267</v>
      </c>
      <c r="B562" s="423" t="s">
        <v>7684</v>
      </c>
      <c r="C562" s="246">
        <v>74671506</v>
      </c>
      <c r="D562" s="187">
        <v>694.87400000000002</v>
      </c>
      <c r="E562" s="187">
        <v>708.75599999999997</v>
      </c>
      <c r="F562" s="187">
        <v>0</v>
      </c>
      <c r="G562" s="187">
        <v>0</v>
      </c>
    </row>
    <row r="563" spans="1:7">
      <c r="A563" s="216" t="s">
        <v>2819</v>
      </c>
      <c r="B563" s="423" t="s">
        <v>6652</v>
      </c>
      <c r="C563" s="246">
        <v>61694255</v>
      </c>
      <c r="D563" s="187">
        <v>451.96600000000001</v>
      </c>
      <c r="E563" s="187">
        <v>466.53399999999999</v>
      </c>
      <c r="F563" s="246">
        <v>68267</v>
      </c>
      <c r="G563" s="187">
        <v>0</v>
      </c>
    </row>
    <row r="564" spans="1:7">
      <c r="A564" s="216" t="s">
        <v>1863</v>
      </c>
      <c r="B564" s="423" t="s">
        <v>3839</v>
      </c>
      <c r="C564" s="246">
        <v>54392760</v>
      </c>
      <c r="D564" s="187">
        <v>714.37800000000004</v>
      </c>
      <c r="E564" s="187">
        <v>714.37800000000004</v>
      </c>
      <c r="F564" s="187">
        <v>0</v>
      </c>
      <c r="G564" s="187">
        <v>0</v>
      </c>
    </row>
    <row r="565" spans="1:7">
      <c r="A565" s="216" t="s">
        <v>449</v>
      </c>
      <c r="B565" s="423" t="s">
        <v>6155</v>
      </c>
      <c r="C565" s="246">
        <v>26358347</v>
      </c>
      <c r="D565" s="187">
        <v>121.646</v>
      </c>
      <c r="E565" s="187">
        <v>130.137</v>
      </c>
      <c r="F565" s="187">
        <v>0</v>
      </c>
      <c r="G565" s="246">
        <v>18707</v>
      </c>
    </row>
    <row r="566" spans="1:7">
      <c r="A566" s="216" t="s">
        <v>5138</v>
      </c>
      <c r="B566" s="423" t="s">
        <v>2354</v>
      </c>
      <c r="C566" s="246">
        <v>60100968</v>
      </c>
      <c r="D566" s="187">
        <v>645.88900000000001</v>
      </c>
      <c r="E566" s="187">
        <v>645.88900000000001</v>
      </c>
      <c r="F566" s="187">
        <v>0</v>
      </c>
      <c r="G566" s="246">
        <v>49120</v>
      </c>
    </row>
    <row r="567" spans="1:7">
      <c r="A567" s="216" t="s">
        <v>6027</v>
      </c>
      <c r="B567" s="423" t="s">
        <v>1912</v>
      </c>
      <c r="C567" s="246">
        <v>147224027</v>
      </c>
      <c r="D567" s="187">
        <v>912.09699999999998</v>
      </c>
      <c r="E567" s="187">
        <v>912.09699999999998</v>
      </c>
      <c r="F567" s="246">
        <v>2306</v>
      </c>
      <c r="G567" s="246">
        <v>42351</v>
      </c>
    </row>
    <row r="568" spans="1:7">
      <c r="A568" s="216" t="s">
        <v>450</v>
      </c>
      <c r="B568" s="423" t="s">
        <v>1917</v>
      </c>
      <c r="C568" s="246">
        <v>87863697</v>
      </c>
      <c r="D568" s="187">
        <v>709.221</v>
      </c>
      <c r="E568" s="187">
        <v>757.577</v>
      </c>
      <c r="F568" s="187">
        <v>0</v>
      </c>
      <c r="G568" s="246">
        <v>64584</v>
      </c>
    </row>
    <row r="569" spans="1:7">
      <c r="A569" s="216" t="s">
        <v>516</v>
      </c>
      <c r="B569" s="423" t="s">
        <v>6653</v>
      </c>
      <c r="C569" s="246">
        <v>51754392</v>
      </c>
      <c r="D569" s="187">
        <v>280.31400000000002</v>
      </c>
      <c r="E569" s="187">
        <v>280.31400000000002</v>
      </c>
      <c r="F569" s="187">
        <v>0</v>
      </c>
      <c r="G569" s="187">
        <v>0</v>
      </c>
    </row>
    <row r="570" spans="1:7">
      <c r="A570" s="216" t="s">
        <v>1525</v>
      </c>
      <c r="B570" s="423" t="s">
        <v>1931</v>
      </c>
      <c r="C570" s="246">
        <v>38522307</v>
      </c>
      <c r="D570" s="187">
        <v>325.286</v>
      </c>
      <c r="E570" s="187">
        <v>325.286</v>
      </c>
      <c r="F570" s="187">
        <v>0</v>
      </c>
      <c r="G570" s="246">
        <v>54474</v>
      </c>
    </row>
    <row r="571" spans="1:7">
      <c r="A571" s="216" t="s">
        <v>244</v>
      </c>
      <c r="B571" s="423" t="s">
        <v>1665</v>
      </c>
      <c r="C571" s="246">
        <v>316607651</v>
      </c>
      <c r="D571" s="187">
        <v>1945.039</v>
      </c>
      <c r="E571" s="187">
        <v>1945.039</v>
      </c>
      <c r="F571" s="246">
        <v>428252</v>
      </c>
      <c r="G571" s="246">
        <v>370008</v>
      </c>
    </row>
    <row r="572" spans="1:7">
      <c r="A572" s="216" t="s">
        <v>1308</v>
      </c>
      <c r="B572" s="423" t="s">
        <v>113</v>
      </c>
      <c r="C572" s="246">
        <v>1090190780</v>
      </c>
      <c r="D572" s="187">
        <v>4237.3909999999996</v>
      </c>
      <c r="E572" s="187">
        <v>4237.3909999999996</v>
      </c>
      <c r="F572" s="246">
        <v>2105906</v>
      </c>
      <c r="G572" s="246">
        <v>407051</v>
      </c>
    </row>
    <row r="573" spans="1:7">
      <c r="A573" s="216" t="s">
        <v>6029</v>
      </c>
      <c r="B573" s="423" t="s">
        <v>1914</v>
      </c>
      <c r="C573" s="246">
        <v>464274198</v>
      </c>
      <c r="D573" s="187">
        <v>3206.5410000000002</v>
      </c>
      <c r="E573" s="187">
        <v>3206.5410000000002</v>
      </c>
      <c r="F573" s="246">
        <v>497392</v>
      </c>
      <c r="G573" s="246">
        <v>629630</v>
      </c>
    </row>
    <row r="574" spans="1:7">
      <c r="A574" s="216" t="s">
        <v>6031</v>
      </c>
      <c r="B574" s="423" t="s">
        <v>1916</v>
      </c>
      <c r="C574" s="246">
        <v>218494099</v>
      </c>
      <c r="D574" s="187">
        <v>1571.981</v>
      </c>
      <c r="E574" s="187">
        <v>1571.981</v>
      </c>
      <c r="F574" s="246">
        <v>138782</v>
      </c>
      <c r="G574" s="246">
        <v>175212</v>
      </c>
    </row>
    <row r="575" spans="1:7">
      <c r="A575" s="216" t="s">
        <v>5628</v>
      </c>
      <c r="B575" s="423" t="s">
        <v>6654</v>
      </c>
      <c r="C575" s="246">
        <v>635504125</v>
      </c>
      <c r="D575" s="187">
        <v>3026.7040000000002</v>
      </c>
      <c r="E575" s="187">
        <v>3026.7040000000002</v>
      </c>
      <c r="F575" s="246">
        <v>403268</v>
      </c>
      <c r="G575" s="187">
        <v>0</v>
      </c>
    </row>
    <row r="576" spans="1:7">
      <c r="A576" s="216" t="s">
        <v>5630</v>
      </c>
      <c r="B576" s="423" t="s">
        <v>6655</v>
      </c>
      <c r="C576" s="246">
        <v>987338728</v>
      </c>
      <c r="D576" s="187">
        <v>3864.634</v>
      </c>
      <c r="E576" s="187">
        <v>3864.634</v>
      </c>
      <c r="F576" s="246">
        <v>2233526</v>
      </c>
      <c r="G576" s="187">
        <v>0</v>
      </c>
    </row>
    <row r="577" spans="1:7">
      <c r="A577" s="216" t="s">
        <v>2395</v>
      </c>
      <c r="B577" s="423" t="s">
        <v>1462</v>
      </c>
      <c r="C577" s="246">
        <v>121823032</v>
      </c>
      <c r="D577" s="187">
        <v>786.29</v>
      </c>
      <c r="E577" s="187">
        <v>786.29</v>
      </c>
      <c r="F577" s="246">
        <v>211075</v>
      </c>
      <c r="G577" s="246">
        <v>82446</v>
      </c>
    </row>
    <row r="578" spans="1:7">
      <c r="A578" s="216" t="s">
        <v>5632</v>
      </c>
      <c r="B578" s="423" t="s">
        <v>6656</v>
      </c>
      <c r="C578" s="246">
        <v>2097072206</v>
      </c>
      <c r="D578" s="187">
        <v>5362.5479999999998</v>
      </c>
      <c r="E578" s="187">
        <v>5362.5479999999998</v>
      </c>
      <c r="F578" s="246">
        <v>4255933</v>
      </c>
      <c r="G578" s="187">
        <v>0</v>
      </c>
    </row>
    <row r="579" spans="1:7">
      <c r="A579" s="216" t="s">
        <v>6147</v>
      </c>
      <c r="B579" s="423" t="s">
        <v>6657</v>
      </c>
      <c r="C579" s="246">
        <v>330881554</v>
      </c>
      <c r="D579" s="187">
        <v>1150.82</v>
      </c>
      <c r="E579" s="187">
        <v>1150.82</v>
      </c>
      <c r="F579" s="246">
        <v>570234</v>
      </c>
      <c r="G579" s="187">
        <v>0</v>
      </c>
    </row>
    <row r="580" spans="1:7">
      <c r="A580" s="216" t="s">
        <v>1417</v>
      </c>
      <c r="B580" s="423" t="s">
        <v>6658</v>
      </c>
      <c r="C580" s="246">
        <v>318463988</v>
      </c>
      <c r="D580" s="187">
        <v>67.772999999999996</v>
      </c>
      <c r="E580" s="187">
        <v>67.772999999999996</v>
      </c>
      <c r="F580" s="187">
        <v>0</v>
      </c>
      <c r="G580" s="187">
        <v>0</v>
      </c>
    </row>
    <row r="581" spans="1:7">
      <c r="A581" s="216" t="s">
        <v>1419</v>
      </c>
      <c r="B581" s="423" t="s">
        <v>6659</v>
      </c>
      <c r="C581" s="246">
        <v>317526668</v>
      </c>
      <c r="D581" s="187">
        <v>121.17</v>
      </c>
      <c r="E581" s="187">
        <v>121.17</v>
      </c>
      <c r="F581" s="246">
        <v>354194</v>
      </c>
      <c r="G581" s="187">
        <v>0</v>
      </c>
    </row>
    <row r="582" spans="1:7">
      <c r="A582" s="216" t="s">
        <v>2469</v>
      </c>
      <c r="B582" s="423" t="s">
        <v>6105</v>
      </c>
      <c r="C582" s="246">
        <v>111100330</v>
      </c>
      <c r="D582" s="187">
        <v>535.61500000000001</v>
      </c>
      <c r="E582" s="187">
        <v>535.61500000000001</v>
      </c>
      <c r="F582" s="187">
        <v>356</v>
      </c>
      <c r="G582" s="246">
        <v>83002</v>
      </c>
    </row>
    <row r="583" spans="1:7">
      <c r="A583" s="216" t="s">
        <v>1421</v>
      </c>
      <c r="B583" s="423" t="s">
        <v>6660</v>
      </c>
      <c r="C583" s="246">
        <v>169877602</v>
      </c>
      <c r="D583" s="187">
        <v>183.23599999999999</v>
      </c>
      <c r="E583" s="187">
        <v>190.59299999999999</v>
      </c>
      <c r="F583" s="187">
        <v>0</v>
      </c>
      <c r="G583" s="187">
        <v>0</v>
      </c>
    </row>
    <row r="584" spans="1:7">
      <c r="A584" s="216" t="s">
        <v>1423</v>
      </c>
      <c r="B584" s="423" t="s">
        <v>6661</v>
      </c>
      <c r="C584" s="246">
        <v>1354702008</v>
      </c>
      <c r="D584" s="187">
        <v>4395.2340000000004</v>
      </c>
      <c r="E584" s="187">
        <v>4395.2340000000004</v>
      </c>
      <c r="F584" s="246">
        <v>2921989</v>
      </c>
      <c r="G584" s="187">
        <v>0</v>
      </c>
    </row>
    <row r="585" spans="1:7">
      <c r="A585" s="216" t="s">
        <v>1425</v>
      </c>
      <c r="B585" s="423" t="s">
        <v>6662</v>
      </c>
      <c r="C585" s="246">
        <v>243289608</v>
      </c>
      <c r="D585" s="187">
        <v>1404.2529999999999</v>
      </c>
      <c r="E585" s="187">
        <v>1404.2529999999999</v>
      </c>
      <c r="F585" s="246">
        <v>172535</v>
      </c>
      <c r="G585" s="187">
        <v>0</v>
      </c>
    </row>
    <row r="586" spans="1:7">
      <c r="A586" s="216" t="s">
        <v>7151</v>
      </c>
      <c r="B586" s="423" t="s">
        <v>6663</v>
      </c>
      <c r="C586" s="246">
        <v>31012026</v>
      </c>
      <c r="D586" s="187">
        <v>12.477</v>
      </c>
      <c r="E586" s="187">
        <v>12.477</v>
      </c>
      <c r="F586" s="187">
        <v>0</v>
      </c>
      <c r="G586" s="187">
        <v>0</v>
      </c>
    </row>
    <row r="587" spans="1:7">
      <c r="A587" s="216" t="s">
        <v>7153</v>
      </c>
      <c r="B587" s="423" t="s">
        <v>6664</v>
      </c>
      <c r="C587" s="246">
        <v>173145327</v>
      </c>
      <c r="D587" s="187">
        <v>688.24</v>
      </c>
      <c r="E587" s="187">
        <v>688.24</v>
      </c>
      <c r="F587" s="187">
        <v>0</v>
      </c>
      <c r="G587" s="187">
        <v>0</v>
      </c>
    </row>
    <row r="588" spans="1:7">
      <c r="A588" s="216" t="s">
        <v>1833</v>
      </c>
      <c r="B588" s="423" t="s">
        <v>6665</v>
      </c>
      <c r="C588" s="246">
        <v>169200458</v>
      </c>
      <c r="D588" s="187">
        <v>87.81</v>
      </c>
      <c r="E588" s="187">
        <v>93.453000000000003</v>
      </c>
      <c r="F588" s="187">
        <v>0</v>
      </c>
      <c r="G588" s="187">
        <v>0</v>
      </c>
    </row>
    <row r="589" spans="1:7">
      <c r="A589" s="216" t="s">
        <v>1835</v>
      </c>
      <c r="B589" s="423" t="s">
        <v>6666</v>
      </c>
      <c r="C589" s="246">
        <v>114340351</v>
      </c>
      <c r="D589" s="187">
        <v>591.50300000000004</v>
      </c>
      <c r="E589" s="187">
        <v>591.50300000000004</v>
      </c>
      <c r="F589" s="187">
        <v>0</v>
      </c>
      <c r="G589" s="187">
        <v>0</v>
      </c>
    </row>
    <row r="590" spans="1:7">
      <c r="A590" s="216" t="s">
        <v>510</v>
      </c>
      <c r="B590" s="423" t="s">
        <v>1921</v>
      </c>
      <c r="C590" s="246">
        <v>534826282</v>
      </c>
      <c r="D590" s="187">
        <v>3896.9690000000001</v>
      </c>
      <c r="E590" s="187">
        <v>3910.58</v>
      </c>
      <c r="F590" s="246">
        <v>84305</v>
      </c>
      <c r="G590" s="246">
        <v>414306</v>
      </c>
    </row>
    <row r="591" spans="1:7">
      <c r="A591" s="216" t="s">
        <v>3530</v>
      </c>
      <c r="B591" s="423" t="s">
        <v>6667</v>
      </c>
      <c r="C591" s="246">
        <v>170671583</v>
      </c>
      <c r="D591" s="187">
        <v>525.68799999999999</v>
      </c>
      <c r="E591" s="187">
        <v>525.68799999999999</v>
      </c>
      <c r="F591" s="187">
        <v>0</v>
      </c>
      <c r="G591" s="187">
        <v>0</v>
      </c>
    </row>
    <row r="592" spans="1:7">
      <c r="A592" s="216" t="s">
        <v>3532</v>
      </c>
      <c r="B592" s="423" t="s">
        <v>6668</v>
      </c>
      <c r="C592" s="246">
        <v>135469479</v>
      </c>
      <c r="D592" s="187">
        <v>467.58800000000002</v>
      </c>
      <c r="E592" s="187">
        <v>469.81900000000002</v>
      </c>
      <c r="F592" s="187">
        <v>0</v>
      </c>
      <c r="G592" s="187">
        <v>0</v>
      </c>
    </row>
    <row r="593" spans="1:7">
      <c r="A593" s="216" t="s">
        <v>3534</v>
      </c>
      <c r="B593" s="423" t="s">
        <v>6669</v>
      </c>
      <c r="C593" s="246">
        <v>154570115</v>
      </c>
      <c r="D593" s="187">
        <v>263.43799999999999</v>
      </c>
      <c r="E593" s="187">
        <v>263.43799999999999</v>
      </c>
      <c r="F593" s="187">
        <v>0</v>
      </c>
      <c r="G593" s="187">
        <v>0</v>
      </c>
    </row>
    <row r="594" spans="1:7">
      <c r="A594" s="216" t="s">
        <v>511</v>
      </c>
      <c r="B594" s="423" t="s">
        <v>5639</v>
      </c>
      <c r="C594" s="246">
        <v>48992004</v>
      </c>
      <c r="D594" s="187">
        <v>275.96100000000001</v>
      </c>
      <c r="E594" s="187">
        <v>275.96100000000001</v>
      </c>
      <c r="F594" s="187">
        <v>0</v>
      </c>
      <c r="G594" s="246">
        <v>29712</v>
      </c>
    </row>
    <row r="595" spans="1:7">
      <c r="A595" s="216" t="s">
        <v>3539</v>
      </c>
      <c r="B595" s="423" t="s">
        <v>6670</v>
      </c>
      <c r="C595" s="246">
        <v>41502116</v>
      </c>
      <c r="D595" s="187">
        <v>424.70299999999997</v>
      </c>
      <c r="E595" s="187">
        <v>424.70299999999997</v>
      </c>
      <c r="F595" s="187">
        <v>0</v>
      </c>
      <c r="G595" s="187">
        <v>0</v>
      </c>
    </row>
    <row r="596" spans="1:7">
      <c r="A596" s="216" t="s">
        <v>3541</v>
      </c>
      <c r="B596" s="423" t="s">
        <v>6671</v>
      </c>
      <c r="C596" s="246">
        <v>25840548</v>
      </c>
      <c r="D596" s="187">
        <v>78.828999999999994</v>
      </c>
      <c r="E596" s="187">
        <v>79.234999999999999</v>
      </c>
      <c r="F596" s="187">
        <v>0</v>
      </c>
      <c r="G596" s="187">
        <v>0</v>
      </c>
    </row>
    <row r="597" spans="1:7">
      <c r="A597" s="216" t="s">
        <v>3543</v>
      </c>
      <c r="B597" s="423" t="s">
        <v>278</v>
      </c>
      <c r="C597" s="246">
        <v>487706044</v>
      </c>
      <c r="D597" s="187">
        <v>821.452</v>
      </c>
      <c r="E597" s="187">
        <v>821.452</v>
      </c>
      <c r="F597" s="246">
        <v>714665</v>
      </c>
      <c r="G597" s="187">
        <v>0</v>
      </c>
    </row>
    <row r="598" spans="1:7">
      <c r="A598" s="216" t="s">
        <v>129</v>
      </c>
      <c r="B598" s="423" t="s">
        <v>372</v>
      </c>
      <c r="C598" s="246">
        <v>25689001</v>
      </c>
      <c r="D598" s="187">
        <v>218.62</v>
      </c>
      <c r="E598" s="187">
        <v>221.65799999999999</v>
      </c>
      <c r="F598" s="246">
        <v>15391</v>
      </c>
      <c r="G598" s="246">
        <v>15459</v>
      </c>
    </row>
    <row r="599" spans="1:7">
      <c r="A599" s="216" t="s">
        <v>6193</v>
      </c>
      <c r="B599" s="423" t="s">
        <v>3891</v>
      </c>
      <c r="C599" s="246">
        <v>553393139</v>
      </c>
      <c r="D599" s="187">
        <v>3619.0140000000001</v>
      </c>
      <c r="E599" s="187">
        <v>3619.0140000000001</v>
      </c>
      <c r="F599" s="246">
        <v>67293</v>
      </c>
      <c r="G599" s="246">
        <v>358972</v>
      </c>
    </row>
    <row r="600" spans="1:7">
      <c r="A600" s="216" t="s">
        <v>2674</v>
      </c>
      <c r="B600" s="423" t="s">
        <v>279</v>
      </c>
      <c r="C600" s="246">
        <v>615527192</v>
      </c>
      <c r="D600" s="187">
        <v>3012.6480000000001</v>
      </c>
      <c r="E600" s="187">
        <v>3012.6480000000001</v>
      </c>
      <c r="F600" s="246">
        <v>771939</v>
      </c>
      <c r="G600" s="187">
        <v>0</v>
      </c>
    </row>
    <row r="601" spans="1:7">
      <c r="A601" s="216" t="s">
        <v>512</v>
      </c>
      <c r="B601" s="423" t="s">
        <v>348</v>
      </c>
      <c r="C601" s="246">
        <v>99243449</v>
      </c>
      <c r="D601" s="187">
        <v>1010.059</v>
      </c>
      <c r="E601" s="187">
        <v>1010.059</v>
      </c>
      <c r="F601" s="246">
        <v>99697</v>
      </c>
      <c r="G601" s="246">
        <v>64319</v>
      </c>
    </row>
    <row r="602" spans="1:7">
      <c r="A602" s="216" t="s">
        <v>600</v>
      </c>
      <c r="B602" s="423" t="s">
        <v>280</v>
      </c>
      <c r="C602" s="246">
        <v>30726052</v>
      </c>
      <c r="D602" s="187">
        <v>192.34700000000001</v>
      </c>
      <c r="E602" s="187">
        <v>192.34700000000001</v>
      </c>
      <c r="F602" s="187">
        <v>0</v>
      </c>
      <c r="G602" s="187">
        <v>0</v>
      </c>
    </row>
    <row r="603" spans="1:7">
      <c r="A603" s="216" t="s">
        <v>602</v>
      </c>
      <c r="B603" s="423" t="s">
        <v>281</v>
      </c>
      <c r="C603" s="246">
        <v>176275774</v>
      </c>
      <c r="D603" s="187">
        <v>1359.213</v>
      </c>
      <c r="E603" s="187">
        <v>1359.213</v>
      </c>
      <c r="F603" s="187">
        <v>0</v>
      </c>
      <c r="G603" s="187">
        <v>0</v>
      </c>
    </row>
    <row r="604" spans="1:7">
      <c r="A604" s="216" t="s">
        <v>6188</v>
      </c>
      <c r="B604" s="423" t="s">
        <v>3836</v>
      </c>
      <c r="C604" s="246">
        <v>73961945</v>
      </c>
      <c r="D604" s="187">
        <v>680.43100000000004</v>
      </c>
      <c r="E604" s="187">
        <v>680.43100000000004</v>
      </c>
      <c r="F604" s="187">
        <v>0</v>
      </c>
      <c r="G604" s="246">
        <v>56629</v>
      </c>
    </row>
    <row r="605" spans="1:7">
      <c r="A605" s="216" t="s">
        <v>2016</v>
      </c>
      <c r="B605" s="423" t="s">
        <v>282</v>
      </c>
      <c r="C605" s="246">
        <v>12518213</v>
      </c>
      <c r="D605" s="187">
        <v>108.89100000000001</v>
      </c>
      <c r="E605" s="187">
        <v>108.89100000000001</v>
      </c>
      <c r="F605" s="187">
        <v>0</v>
      </c>
      <c r="G605" s="187">
        <v>0</v>
      </c>
    </row>
    <row r="606" spans="1:7">
      <c r="A606" s="216" t="s">
        <v>2018</v>
      </c>
      <c r="B606" s="423" t="s">
        <v>283</v>
      </c>
      <c r="C606" s="246">
        <v>49989123</v>
      </c>
      <c r="D606" s="187">
        <v>364.73899999999998</v>
      </c>
      <c r="E606" s="187">
        <v>364.73899999999998</v>
      </c>
      <c r="F606" s="187">
        <v>0</v>
      </c>
      <c r="G606" s="187">
        <v>0</v>
      </c>
    </row>
    <row r="607" spans="1:7">
      <c r="A607" s="216" t="s">
        <v>2020</v>
      </c>
      <c r="B607" s="423" t="s">
        <v>284</v>
      </c>
      <c r="C607" s="246">
        <v>443932686</v>
      </c>
      <c r="D607" s="187">
        <v>360.589</v>
      </c>
      <c r="E607" s="187">
        <v>360.589</v>
      </c>
      <c r="F607" s="246">
        <v>208401</v>
      </c>
      <c r="G607" s="187">
        <v>0</v>
      </c>
    </row>
    <row r="608" spans="1:7">
      <c r="A608" s="216" t="s">
        <v>2024</v>
      </c>
      <c r="B608" s="423" t="s">
        <v>285</v>
      </c>
      <c r="C608" s="246">
        <v>555944343</v>
      </c>
      <c r="D608" s="187">
        <v>3009.8139999999999</v>
      </c>
      <c r="E608" s="187">
        <v>3009.8139999999999</v>
      </c>
      <c r="F608" s="246">
        <v>309717</v>
      </c>
      <c r="G608" s="187">
        <v>0</v>
      </c>
    </row>
    <row r="609" spans="1:7">
      <c r="A609" s="216" t="s">
        <v>2026</v>
      </c>
      <c r="B609" s="423" t="s">
        <v>286</v>
      </c>
      <c r="C609" s="246">
        <v>53162504</v>
      </c>
      <c r="D609" s="187">
        <v>270.59100000000001</v>
      </c>
      <c r="E609" s="187">
        <v>287.87799999999999</v>
      </c>
      <c r="F609" s="187">
        <v>0</v>
      </c>
      <c r="G609" s="187">
        <v>0</v>
      </c>
    </row>
    <row r="610" spans="1:7">
      <c r="A610" s="216" t="s">
        <v>242</v>
      </c>
      <c r="B610" s="423" t="s">
        <v>2650</v>
      </c>
      <c r="C610" s="246">
        <v>214782831</v>
      </c>
      <c r="D610" s="187">
        <v>1129.874</v>
      </c>
      <c r="E610" s="187">
        <v>1129.874</v>
      </c>
      <c r="F610" s="187">
        <v>0</v>
      </c>
      <c r="G610" s="246">
        <v>148410</v>
      </c>
    </row>
    <row r="611" spans="1:7">
      <c r="A611" s="216" t="s">
        <v>2028</v>
      </c>
      <c r="B611" s="423" t="s">
        <v>287</v>
      </c>
      <c r="C611" s="246">
        <v>437285590</v>
      </c>
      <c r="D611" s="187">
        <v>927.95399999999995</v>
      </c>
      <c r="E611" s="187">
        <v>938.32600000000002</v>
      </c>
      <c r="F611" s="187">
        <v>0</v>
      </c>
      <c r="G611" s="187">
        <v>0</v>
      </c>
    </row>
    <row r="612" spans="1:7">
      <c r="A612" s="216" t="s">
        <v>2030</v>
      </c>
      <c r="B612" s="423" t="s">
        <v>288</v>
      </c>
      <c r="C612" s="246">
        <v>53942728</v>
      </c>
      <c r="D612" s="187">
        <v>308.19299999999998</v>
      </c>
      <c r="E612" s="187">
        <v>313.86900000000003</v>
      </c>
      <c r="F612" s="246">
        <v>20584</v>
      </c>
      <c r="G612" s="187">
        <v>0</v>
      </c>
    </row>
    <row r="613" spans="1:7">
      <c r="A613" s="216" t="s">
        <v>2032</v>
      </c>
      <c r="B613" s="423" t="s">
        <v>289</v>
      </c>
      <c r="C613" s="246">
        <v>136558154</v>
      </c>
      <c r="D613" s="187">
        <v>490.57499999999999</v>
      </c>
      <c r="E613" s="187">
        <v>490.57499999999999</v>
      </c>
      <c r="F613" s="187">
        <v>0</v>
      </c>
      <c r="G613" s="187">
        <v>0</v>
      </c>
    </row>
    <row r="614" spans="1:7">
      <c r="A614" s="216" t="s">
        <v>2034</v>
      </c>
      <c r="B614" s="423" t="s">
        <v>290</v>
      </c>
      <c r="C614" s="246">
        <v>39962712</v>
      </c>
      <c r="D614" s="187">
        <v>95.75</v>
      </c>
      <c r="E614" s="187">
        <v>95.75</v>
      </c>
      <c r="F614" s="187">
        <v>0</v>
      </c>
      <c r="G614" s="187">
        <v>0</v>
      </c>
    </row>
    <row r="615" spans="1:7">
      <c r="A615" s="216" t="s">
        <v>2036</v>
      </c>
      <c r="B615" s="423" t="s">
        <v>291</v>
      </c>
      <c r="C615" s="246">
        <v>32008162</v>
      </c>
      <c r="D615" s="187">
        <v>95.388000000000005</v>
      </c>
      <c r="E615" s="187">
        <v>95.388000000000005</v>
      </c>
      <c r="F615" s="187">
        <v>0</v>
      </c>
      <c r="G615" s="187">
        <v>0</v>
      </c>
    </row>
    <row r="616" spans="1:7">
      <c r="A616" s="216" t="s">
        <v>308</v>
      </c>
      <c r="B616" s="423" t="s">
        <v>292</v>
      </c>
      <c r="C616" s="246">
        <v>107547228</v>
      </c>
      <c r="D616" s="187">
        <v>68.332999999999998</v>
      </c>
      <c r="E616" s="187">
        <v>74.825000000000003</v>
      </c>
      <c r="F616" s="187">
        <v>0</v>
      </c>
      <c r="G616" s="187">
        <v>0</v>
      </c>
    </row>
    <row r="617" spans="1:7">
      <c r="A617" s="216" t="s">
        <v>310</v>
      </c>
      <c r="B617" s="423" t="s">
        <v>293</v>
      </c>
      <c r="C617" s="246">
        <v>411925457</v>
      </c>
      <c r="D617" s="187">
        <v>1631.02</v>
      </c>
      <c r="E617" s="187">
        <v>1631.02</v>
      </c>
      <c r="F617" s="246">
        <v>491457</v>
      </c>
      <c r="G617" s="187">
        <v>0</v>
      </c>
    </row>
    <row r="618" spans="1:7">
      <c r="A618" s="216" t="s">
        <v>312</v>
      </c>
      <c r="B618" s="423" t="s">
        <v>294</v>
      </c>
      <c r="C618" s="246">
        <v>180847928</v>
      </c>
      <c r="D618" s="187">
        <v>942.80600000000004</v>
      </c>
      <c r="E618" s="187">
        <v>946.76900000000001</v>
      </c>
      <c r="F618" s="246">
        <v>110752</v>
      </c>
      <c r="G618" s="187">
        <v>0</v>
      </c>
    </row>
    <row r="619" spans="1:7">
      <c r="A619" s="216" t="s">
        <v>314</v>
      </c>
      <c r="B619" s="423" t="s">
        <v>295</v>
      </c>
      <c r="C619" s="246">
        <v>74386910</v>
      </c>
      <c r="D619" s="187">
        <v>189.68899999999999</v>
      </c>
      <c r="E619" s="187">
        <v>190.714</v>
      </c>
      <c r="F619" s="187">
        <v>0</v>
      </c>
      <c r="G619" s="187">
        <v>0</v>
      </c>
    </row>
    <row r="620" spans="1:7">
      <c r="A620" s="216" t="s">
        <v>316</v>
      </c>
      <c r="B620" s="423" t="s">
        <v>296</v>
      </c>
      <c r="C620" s="246">
        <v>142072186</v>
      </c>
      <c r="D620" s="187">
        <v>725.85</v>
      </c>
      <c r="E620" s="187">
        <v>725.85</v>
      </c>
      <c r="F620" s="246">
        <v>132368</v>
      </c>
      <c r="G620" s="187">
        <v>0</v>
      </c>
    </row>
    <row r="621" spans="1:7">
      <c r="A621" s="216" t="s">
        <v>318</v>
      </c>
      <c r="B621" s="423" t="s">
        <v>297</v>
      </c>
      <c r="C621" s="246">
        <v>165689160</v>
      </c>
      <c r="D621" s="187">
        <v>662.29700000000003</v>
      </c>
      <c r="E621" s="187">
        <v>662.29700000000003</v>
      </c>
      <c r="F621" s="246">
        <v>138715</v>
      </c>
      <c r="G621" s="187">
        <v>0</v>
      </c>
    </row>
    <row r="622" spans="1:7">
      <c r="A622" s="216" t="s">
        <v>320</v>
      </c>
      <c r="B622" s="423" t="s">
        <v>298</v>
      </c>
      <c r="C622" s="246">
        <v>129292440</v>
      </c>
      <c r="D622" s="187">
        <v>522.30200000000002</v>
      </c>
      <c r="E622" s="187">
        <v>526.62099999999998</v>
      </c>
      <c r="F622" s="246">
        <v>235819</v>
      </c>
      <c r="G622" s="187">
        <v>0</v>
      </c>
    </row>
    <row r="623" spans="1:7">
      <c r="A623" s="216" t="s">
        <v>2319</v>
      </c>
      <c r="B623" s="423" t="s">
        <v>299</v>
      </c>
      <c r="C623" s="246">
        <v>79321273</v>
      </c>
      <c r="D623" s="187">
        <v>227.995</v>
      </c>
      <c r="E623" s="187">
        <v>227.995</v>
      </c>
      <c r="F623" s="187">
        <v>0</v>
      </c>
      <c r="G623" s="187">
        <v>0</v>
      </c>
    </row>
    <row r="624" spans="1:7">
      <c r="A624" s="216" t="s">
        <v>2321</v>
      </c>
      <c r="B624" s="423" t="s">
        <v>300</v>
      </c>
      <c r="C624" s="246">
        <v>395646246</v>
      </c>
      <c r="D624" s="187">
        <v>655.04999999999995</v>
      </c>
      <c r="E624" s="187">
        <v>655.04999999999995</v>
      </c>
      <c r="F624" s="246">
        <v>295700</v>
      </c>
      <c r="G624" s="187">
        <v>0</v>
      </c>
    </row>
    <row r="625" spans="1:7">
      <c r="A625" s="216" t="s">
        <v>3178</v>
      </c>
      <c r="B625" s="423" t="s">
        <v>6114</v>
      </c>
      <c r="C625" s="246">
        <v>473929893</v>
      </c>
      <c r="D625" s="187">
        <v>3149.663</v>
      </c>
      <c r="E625" s="187">
        <v>3149.663</v>
      </c>
      <c r="F625" s="246">
        <v>529999</v>
      </c>
      <c r="G625" s="246">
        <v>324355</v>
      </c>
    </row>
    <row r="626" spans="1:7">
      <c r="A626" s="216" t="s">
        <v>249</v>
      </c>
      <c r="B626" s="423" t="s">
        <v>994</v>
      </c>
      <c r="C626" s="246">
        <v>838548159</v>
      </c>
      <c r="D626" s="187">
        <v>4684.335</v>
      </c>
      <c r="E626" s="187">
        <v>4684.335</v>
      </c>
      <c r="F626" s="246">
        <v>405783</v>
      </c>
      <c r="G626" s="246">
        <v>494838</v>
      </c>
    </row>
    <row r="627" spans="1:7">
      <c r="A627" s="216" t="s">
        <v>2323</v>
      </c>
      <c r="B627" s="423" t="s">
        <v>301</v>
      </c>
      <c r="C627" s="246">
        <v>235618321</v>
      </c>
      <c r="D627" s="187">
        <v>141.369</v>
      </c>
      <c r="E627" s="187">
        <v>148.04499999999999</v>
      </c>
      <c r="F627" s="246">
        <v>536527</v>
      </c>
      <c r="G627" s="187">
        <v>0</v>
      </c>
    </row>
    <row r="628" spans="1:7">
      <c r="A628" s="216" t="s">
        <v>513</v>
      </c>
      <c r="B628" s="423" t="s">
        <v>3917</v>
      </c>
      <c r="C628" s="246">
        <v>159258405</v>
      </c>
      <c r="D628" s="187">
        <v>1170.8240000000001</v>
      </c>
      <c r="E628" s="187">
        <v>1170.8240000000001</v>
      </c>
      <c r="F628" s="187">
        <v>0</v>
      </c>
      <c r="G628" s="187">
        <v>0</v>
      </c>
    </row>
    <row r="629" spans="1:7">
      <c r="A629" s="216" t="s">
        <v>1872</v>
      </c>
      <c r="B629" s="423" t="s">
        <v>3855</v>
      </c>
      <c r="C629" s="246">
        <v>135464994</v>
      </c>
      <c r="D629" s="187">
        <v>584.35599999999999</v>
      </c>
      <c r="E629" s="187">
        <v>589.91499999999996</v>
      </c>
      <c r="F629" s="187">
        <v>72</v>
      </c>
      <c r="G629" s="246">
        <v>104908</v>
      </c>
    </row>
    <row r="630" spans="1:7">
      <c r="A630" s="216" t="s">
        <v>2325</v>
      </c>
      <c r="B630" s="423" t="s">
        <v>302</v>
      </c>
      <c r="C630" s="246">
        <v>538097361</v>
      </c>
      <c r="D630" s="187">
        <v>2166.7150000000001</v>
      </c>
      <c r="E630" s="187">
        <v>2166.7150000000001</v>
      </c>
      <c r="F630" s="246">
        <v>1164337</v>
      </c>
      <c r="G630" s="187">
        <v>0</v>
      </c>
    </row>
    <row r="631" spans="1:7">
      <c r="A631" s="216" t="s">
        <v>2327</v>
      </c>
      <c r="B631" s="423" t="s">
        <v>2163</v>
      </c>
      <c r="C631" s="246">
        <v>263919806</v>
      </c>
      <c r="D631" s="187">
        <v>1785.095</v>
      </c>
      <c r="E631" s="187">
        <v>1785.095</v>
      </c>
      <c r="F631" s="187">
        <v>0</v>
      </c>
      <c r="G631" s="187">
        <v>0</v>
      </c>
    </row>
    <row r="632" spans="1:7">
      <c r="A632" s="216" t="s">
        <v>5236</v>
      </c>
      <c r="B632" s="423" t="s">
        <v>2646</v>
      </c>
      <c r="C632" s="246">
        <v>21525798</v>
      </c>
      <c r="D632" s="187">
        <v>275.488</v>
      </c>
      <c r="E632" s="187">
        <v>275.488</v>
      </c>
      <c r="F632" s="246">
        <v>21609</v>
      </c>
      <c r="G632" s="246">
        <v>14638</v>
      </c>
    </row>
    <row r="633" spans="1:7">
      <c r="A633" s="216" t="s">
        <v>7700</v>
      </c>
      <c r="B633" s="423" t="s">
        <v>2164</v>
      </c>
      <c r="C633" s="246">
        <v>816390050</v>
      </c>
      <c r="D633" s="187">
        <v>1503.202</v>
      </c>
      <c r="E633" s="187">
        <v>1503.202</v>
      </c>
      <c r="F633" s="187">
        <v>0</v>
      </c>
      <c r="G633" s="187">
        <v>0</v>
      </c>
    </row>
    <row r="634" spans="1:7">
      <c r="A634" s="216" t="s">
        <v>7702</v>
      </c>
      <c r="B634" s="423" t="s">
        <v>2165</v>
      </c>
      <c r="C634" s="246">
        <v>255861682</v>
      </c>
      <c r="D634" s="187">
        <v>2146.5659999999998</v>
      </c>
      <c r="E634" s="187">
        <v>2146.5659999999998</v>
      </c>
      <c r="F634" s="246">
        <v>128282</v>
      </c>
      <c r="G634" s="187">
        <v>0</v>
      </c>
    </row>
    <row r="635" spans="1:7">
      <c r="A635" s="216" t="s">
        <v>7704</v>
      </c>
      <c r="B635" s="423" t="s">
        <v>2166</v>
      </c>
      <c r="C635" s="246">
        <v>88373509</v>
      </c>
      <c r="D635" s="187">
        <v>345.92200000000003</v>
      </c>
      <c r="E635" s="187">
        <v>345.92200000000003</v>
      </c>
      <c r="F635" s="187">
        <v>0</v>
      </c>
      <c r="G635" s="187">
        <v>0</v>
      </c>
    </row>
    <row r="636" spans="1:7">
      <c r="A636" s="216" t="s">
        <v>5634</v>
      </c>
      <c r="B636" s="423" t="s">
        <v>2167</v>
      </c>
      <c r="C636" s="246">
        <v>88593718</v>
      </c>
      <c r="D636" s="187">
        <v>141.89500000000001</v>
      </c>
      <c r="E636" s="187">
        <v>141.89500000000001</v>
      </c>
      <c r="F636" s="187">
        <v>0</v>
      </c>
      <c r="G636" s="187">
        <v>0</v>
      </c>
    </row>
    <row r="637" spans="1:7">
      <c r="A637" s="216" t="s">
        <v>5636</v>
      </c>
      <c r="B637" s="423" t="s">
        <v>2168</v>
      </c>
      <c r="C637" s="246">
        <v>71559868</v>
      </c>
      <c r="D637" s="187">
        <v>106.316</v>
      </c>
      <c r="E637" s="187">
        <v>106.316</v>
      </c>
      <c r="F637" s="187">
        <v>0</v>
      </c>
      <c r="G637" s="187">
        <v>0</v>
      </c>
    </row>
    <row r="638" spans="1:7">
      <c r="A638" s="216" t="s">
        <v>4016</v>
      </c>
      <c r="B638" s="423" t="s">
        <v>2169</v>
      </c>
      <c r="C638" s="246">
        <v>81235653</v>
      </c>
      <c r="D638" s="187">
        <v>64.367999999999995</v>
      </c>
      <c r="E638" s="187">
        <v>64.367999999999995</v>
      </c>
      <c r="F638" s="187">
        <v>0</v>
      </c>
      <c r="G638" s="187">
        <v>0</v>
      </c>
    </row>
    <row r="639" spans="1:7">
      <c r="A639" s="216" t="s">
        <v>4018</v>
      </c>
      <c r="B639" s="423" t="s">
        <v>2170</v>
      </c>
      <c r="C639" s="246">
        <v>300849557</v>
      </c>
      <c r="D639" s="187">
        <v>1128.4269999999999</v>
      </c>
      <c r="E639" s="187">
        <v>1128.4269999999999</v>
      </c>
      <c r="F639" s="187">
        <v>0</v>
      </c>
      <c r="G639" s="187">
        <v>0</v>
      </c>
    </row>
    <row r="640" spans="1:7">
      <c r="A640" s="216" t="s">
        <v>4020</v>
      </c>
      <c r="B640" s="423" t="s">
        <v>5648</v>
      </c>
      <c r="C640" s="246">
        <v>299875705</v>
      </c>
      <c r="D640" s="187">
        <v>604.72400000000005</v>
      </c>
      <c r="E640" s="187">
        <v>625.18100000000004</v>
      </c>
      <c r="F640" s="246">
        <v>224105</v>
      </c>
      <c r="G640" s="187">
        <v>0</v>
      </c>
    </row>
    <row r="641" spans="1:7">
      <c r="A641" s="216" t="s">
        <v>4022</v>
      </c>
      <c r="B641" s="423" t="s">
        <v>5649</v>
      </c>
      <c r="C641" s="246">
        <v>1379845425</v>
      </c>
      <c r="D641" s="187">
        <v>1790.6559999999999</v>
      </c>
      <c r="E641" s="187">
        <v>1790.6559999999999</v>
      </c>
      <c r="F641" s="246">
        <v>1910965</v>
      </c>
      <c r="G641" s="187">
        <v>0</v>
      </c>
    </row>
    <row r="642" spans="1:7">
      <c r="A642" s="216" t="s">
        <v>2996</v>
      </c>
      <c r="B642" s="423" t="s">
        <v>202</v>
      </c>
      <c r="C642" s="246">
        <v>6193021011</v>
      </c>
      <c r="D642" s="187">
        <v>26310.457999999999</v>
      </c>
      <c r="E642" s="187">
        <v>26310.457999999999</v>
      </c>
      <c r="F642" s="246">
        <v>6561452</v>
      </c>
      <c r="G642" s="246">
        <v>68323</v>
      </c>
    </row>
    <row r="643" spans="1:7">
      <c r="A643" s="216" t="s">
        <v>4028</v>
      </c>
      <c r="B643" s="423" t="s">
        <v>5650</v>
      </c>
      <c r="C643" s="246">
        <v>98520542</v>
      </c>
      <c r="D643" s="187">
        <v>686.49300000000005</v>
      </c>
      <c r="E643" s="187">
        <v>686.49300000000005</v>
      </c>
      <c r="F643" s="187">
        <v>0</v>
      </c>
      <c r="G643" s="187">
        <v>0</v>
      </c>
    </row>
    <row r="644" spans="1:7">
      <c r="A644" s="216" t="s">
        <v>4030</v>
      </c>
      <c r="B644" s="423" t="s">
        <v>5651</v>
      </c>
      <c r="C644" s="246">
        <v>202636334</v>
      </c>
      <c r="D644" s="187">
        <v>1261.6769999999999</v>
      </c>
      <c r="E644" s="187">
        <v>1261.6769999999999</v>
      </c>
      <c r="F644" s="246">
        <v>201703</v>
      </c>
      <c r="G644" s="187">
        <v>0</v>
      </c>
    </row>
    <row r="645" spans="1:7">
      <c r="A645" s="216" t="s">
        <v>2903</v>
      </c>
      <c r="B645" s="423" t="s">
        <v>203</v>
      </c>
      <c r="C645" s="246">
        <v>473108476</v>
      </c>
      <c r="D645" s="187">
        <v>2434.4319999999998</v>
      </c>
      <c r="E645" s="187">
        <v>2434.4319999999998</v>
      </c>
      <c r="F645" s="246">
        <v>475960</v>
      </c>
      <c r="G645" s="246">
        <v>247557</v>
      </c>
    </row>
    <row r="646" spans="1:7">
      <c r="A646" s="216" t="s">
        <v>1310</v>
      </c>
      <c r="B646" s="423" t="s">
        <v>115</v>
      </c>
      <c r="C646" s="246">
        <v>1158766780</v>
      </c>
      <c r="D646" s="187">
        <v>5302.3869999999997</v>
      </c>
      <c r="E646" s="187">
        <v>5302.3869999999997</v>
      </c>
      <c r="F646" s="246">
        <v>2322230</v>
      </c>
      <c r="G646" s="246">
        <v>448254</v>
      </c>
    </row>
    <row r="647" spans="1:7">
      <c r="A647" s="216" t="s">
        <v>4032</v>
      </c>
      <c r="B647" s="423" t="s">
        <v>5652</v>
      </c>
      <c r="C647" s="246">
        <v>124990472</v>
      </c>
      <c r="D647" s="187">
        <v>1114.6849999999999</v>
      </c>
      <c r="E647" s="187">
        <v>1114.6849999999999</v>
      </c>
      <c r="F647" s="187">
        <v>0</v>
      </c>
      <c r="G647" s="187">
        <v>0</v>
      </c>
    </row>
    <row r="648" spans="1:7">
      <c r="A648" s="216" t="s">
        <v>2397</v>
      </c>
      <c r="B648" s="423" t="s">
        <v>1464</v>
      </c>
      <c r="C648" s="246">
        <v>105282403</v>
      </c>
      <c r="D648" s="187">
        <v>1246.6300000000001</v>
      </c>
      <c r="E648" s="187">
        <v>1246.6300000000001</v>
      </c>
      <c r="F648" s="246">
        <v>69489</v>
      </c>
      <c r="G648" s="246">
        <v>131977</v>
      </c>
    </row>
    <row r="649" spans="1:7">
      <c r="A649" s="216" t="s">
        <v>669</v>
      </c>
      <c r="B649" s="423" t="s">
        <v>5653</v>
      </c>
      <c r="C649" s="246">
        <v>113979728</v>
      </c>
      <c r="D649" s="187">
        <v>791.01900000000001</v>
      </c>
      <c r="E649" s="187">
        <v>791.01900000000001</v>
      </c>
      <c r="F649" s="246">
        <v>110107</v>
      </c>
      <c r="G649" s="187">
        <v>0</v>
      </c>
    </row>
    <row r="650" spans="1:7">
      <c r="A650" s="216" t="s">
        <v>4151</v>
      </c>
      <c r="B650" s="423" t="s">
        <v>5654</v>
      </c>
      <c r="C650" s="246">
        <v>60713491</v>
      </c>
      <c r="D650" s="187">
        <v>351.44900000000001</v>
      </c>
      <c r="E650" s="187">
        <v>351.44900000000001</v>
      </c>
      <c r="F650" s="246">
        <v>62684</v>
      </c>
      <c r="G650" s="187">
        <v>0</v>
      </c>
    </row>
    <row r="651" spans="1:7">
      <c r="A651" s="216" t="s">
        <v>4153</v>
      </c>
      <c r="B651" s="423" t="s">
        <v>3100</v>
      </c>
      <c r="C651" s="246">
        <v>75877605</v>
      </c>
      <c r="D651" s="187">
        <v>651.41499999999996</v>
      </c>
      <c r="E651" s="187">
        <v>651.41499999999996</v>
      </c>
      <c r="F651" s="187">
        <v>0</v>
      </c>
      <c r="G651" s="187">
        <v>0</v>
      </c>
    </row>
    <row r="652" spans="1:7">
      <c r="A652" s="216" t="s">
        <v>4155</v>
      </c>
      <c r="B652" s="423" t="s">
        <v>3101</v>
      </c>
      <c r="C652" s="246">
        <v>30316709</v>
      </c>
      <c r="D652" s="187">
        <v>183.24100000000001</v>
      </c>
      <c r="E652" s="187">
        <v>183.24100000000001</v>
      </c>
      <c r="F652" s="187">
        <v>0</v>
      </c>
      <c r="G652" s="187">
        <v>0</v>
      </c>
    </row>
    <row r="653" spans="1:7">
      <c r="A653" s="216" t="s">
        <v>4157</v>
      </c>
      <c r="B653" s="423" t="s">
        <v>3102</v>
      </c>
      <c r="C653" s="246">
        <v>30060901</v>
      </c>
      <c r="D653" s="187">
        <v>143.88800000000001</v>
      </c>
      <c r="E653" s="187">
        <v>157.006</v>
      </c>
      <c r="F653" s="246">
        <v>25774</v>
      </c>
      <c r="G653" s="187">
        <v>0</v>
      </c>
    </row>
    <row r="654" spans="1:7">
      <c r="A654" s="216" t="s">
        <v>3000</v>
      </c>
      <c r="B654" s="423" t="s">
        <v>6059</v>
      </c>
      <c r="C654" s="246">
        <v>282072282</v>
      </c>
      <c r="D654" s="187">
        <v>1966.7190000000001</v>
      </c>
      <c r="E654" s="187">
        <v>1966.7190000000001</v>
      </c>
      <c r="F654" s="246">
        <v>198872</v>
      </c>
      <c r="G654" s="246">
        <v>371175</v>
      </c>
    </row>
    <row r="655" spans="1:7">
      <c r="A655" s="216" t="s">
        <v>4159</v>
      </c>
      <c r="B655" s="423" t="s">
        <v>3103</v>
      </c>
      <c r="C655" s="246">
        <v>54877663</v>
      </c>
      <c r="D655" s="187">
        <v>308.07799999999997</v>
      </c>
      <c r="E655" s="187">
        <v>308.07799999999997</v>
      </c>
      <c r="F655" s="187">
        <v>0</v>
      </c>
      <c r="G655" s="187">
        <v>0</v>
      </c>
    </row>
    <row r="656" spans="1:7">
      <c r="A656" s="216" t="s">
        <v>4161</v>
      </c>
      <c r="B656" s="423" t="s">
        <v>3104</v>
      </c>
      <c r="C656" s="246">
        <v>415958758</v>
      </c>
      <c r="D656" s="187">
        <v>1282.846</v>
      </c>
      <c r="E656" s="187">
        <v>1282.846</v>
      </c>
      <c r="F656" s="246">
        <v>37763</v>
      </c>
      <c r="G656" s="187">
        <v>0</v>
      </c>
    </row>
    <row r="657" spans="1:7">
      <c r="A657" s="216" t="s">
        <v>4163</v>
      </c>
      <c r="B657" s="423" t="s">
        <v>3105</v>
      </c>
      <c r="C657" s="246">
        <v>171597635</v>
      </c>
      <c r="D657" s="187">
        <v>709.05700000000002</v>
      </c>
      <c r="E657" s="187">
        <v>709.05700000000002</v>
      </c>
      <c r="F657" s="187">
        <v>0</v>
      </c>
      <c r="G657" s="187">
        <v>0</v>
      </c>
    </row>
    <row r="658" spans="1:7">
      <c r="A658" s="216" t="s">
        <v>4165</v>
      </c>
      <c r="B658" s="423" t="s">
        <v>3106</v>
      </c>
      <c r="C658" s="246">
        <v>149454560</v>
      </c>
      <c r="D658" s="187">
        <v>231.876</v>
      </c>
      <c r="E658" s="187">
        <v>233.02699999999999</v>
      </c>
      <c r="F658" s="187">
        <v>0</v>
      </c>
      <c r="G658" s="187">
        <v>0</v>
      </c>
    </row>
    <row r="659" spans="1:7">
      <c r="A659" s="216" t="s">
        <v>4167</v>
      </c>
      <c r="B659" s="423" t="s">
        <v>3107</v>
      </c>
      <c r="C659" s="246">
        <v>151113747</v>
      </c>
      <c r="D659" s="187">
        <v>554.95600000000002</v>
      </c>
      <c r="E659" s="187">
        <v>554.95600000000002</v>
      </c>
      <c r="F659" s="187">
        <v>0</v>
      </c>
      <c r="G659" s="187">
        <v>0</v>
      </c>
    </row>
    <row r="660" spans="1:7">
      <c r="A660" s="216" t="s">
        <v>4169</v>
      </c>
      <c r="B660" s="423" t="s">
        <v>3108</v>
      </c>
      <c r="C660" s="246">
        <v>782995201</v>
      </c>
      <c r="D660" s="187">
        <v>3888.2739999999999</v>
      </c>
      <c r="E660" s="187">
        <v>3888.2739999999999</v>
      </c>
      <c r="F660" s="246">
        <v>1113076</v>
      </c>
      <c r="G660" s="187">
        <v>0</v>
      </c>
    </row>
    <row r="661" spans="1:7">
      <c r="A661" s="216" t="s">
        <v>4171</v>
      </c>
      <c r="B661" s="423" t="s">
        <v>713</v>
      </c>
      <c r="C661" s="246">
        <v>322499005</v>
      </c>
      <c r="D661" s="187">
        <v>864.63199999999995</v>
      </c>
      <c r="E661" s="187">
        <v>864.63199999999995</v>
      </c>
      <c r="F661" s="187">
        <v>0</v>
      </c>
      <c r="G661" s="187">
        <v>0</v>
      </c>
    </row>
    <row r="662" spans="1:7">
      <c r="A662" s="216" t="s">
        <v>2055</v>
      </c>
      <c r="B662" s="423" t="s">
        <v>714</v>
      </c>
      <c r="C662" s="246">
        <v>102246750</v>
      </c>
      <c r="D662" s="187">
        <v>56.746000000000002</v>
      </c>
      <c r="E662" s="187">
        <v>58.567</v>
      </c>
      <c r="F662" s="187">
        <v>0</v>
      </c>
      <c r="G662" s="187">
        <v>0</v>
      </c>
    </row>
    <row r="663" spans="1:7">
      <c r="A663" s="216" t="s">
        <v>2057</v>
      </c>
      <c r="B663" s="423" t="s">
        <v>715</v>
      </c>
      <c r="C663" s="246">
        <v>1160976339</v>
      </c>
      <c r="D663" s="187">
        <v>1540.91</v>
      </c>
      <c r="E663" s="187">
        <v>1540.91</v>
      </c>
      <c r="F663" s="187">
        <v>0</v>
      </c>
      <c r="G663" s="187">
        <v>0</v>
      </c>
    </row>
    <row r="664" spans="1:7">
      <c r="A664" s="216" t="s">
        <v>2059</v>
      </c>
      <c r="B664" s="423" t="s">
        <v>716</v>
      </c>
      <c r="C664" s="246">
        <v>246891550</v>
      </c>
      <c r="D664" s="187">
        <v>946.20699999999999</v>
      </c>
      <c r="E664" s="187">
        <v>946.20699999999999</v>
      </c>
      <c r="F664" s="187">
        <v>0</v>
      </c>
      <c r="G664" s="187">
        <v>0</v>
      </c>
    </row>
    <row r="665" spans="1:7">
      <c r="A665" s="216" t="s">
        <v>1814</v>
      </c>
      <c r="B665" s="423" t="s">
        <v>3011</v>
      </c>
      <c r="C665" s="246">
        <v>995702350</v>
      </c>
      <c r="D665" s="187">
        <v>12701.885</v>
      </c>
      <c r="E665" s="187">
        <v>12701.885</v>
      </c>
      <c r="F665" s="246">
        <v>171921</v>
      </c>
      <c r="G665" s="246">
        <v>620026</v>
      </c>
    </row>
    <row r="666" spans="1:7">
      <c r="A666" s="216" t="s">
        <v>958</v>
      </c>
      <c r="B666" s="423" t="s">
        <v>7665</v>
      </c>
      <c r="C666" s="246">
        <v>207462824</v>
      </c>
      <c r="D666" s="187">
        <v>1251.7670000000001</v>
      </c>
      <c r="E666" s="187">
        <v>1251.7670000000001</v>
      </c>
      <c r="F666" s="246">
        <v>180665</v>
      </c>
      <c r="G666" s="246">
        <v>164841</v>
      </c>
    </row>
    <row r="667" spans="1:7">
      <c r="A667" s="216" t="s">
        <v>2061</v>
      </c>
      <c r="B667" s="423" t="s">
        <v>717</v>
      </c>
      <c r="C667" s="246">
        <v>30847676</v>
      </c>
      <c r="D667" s="187">
        <v>174.99299999999999</v>
      </c>
      <c r="E667" s="187">
        <v>190.32900000000001</v>
      </c>
      <c r="F667" s="187">
        <v>0</v>
      </c>
      <c r="G667" s="187">
        <v>0</v>
      </c>
    </row>
    <row r="668" spans="1:7">
      <c r="A668" s="216" t="s">
        <v>1845</v>
      </c>
      <c r="B668" s="423" t="s">
        <v>197</v>
      </c>
      <c r="C668" s="246">
        <v>15182766</v>
      </c>
      <c r="D668" s="187">
        <v>110.702</v>
      </c>
      <c r="E668" s="187">
        <v>110.702</v>
      </c>
      <c r="F668" s="187">
        <v>0</v>
      </c>
      <c r="G668" s="246">
        <v>10155</v>
      </c>
    </row>
    <row r="669" spans="1:7">
      <c r="A669" s="216" t="s">
        <v>5237</v>
      </c>
      <c r="B669" s="423" t="s">
        <v>1666</v>
      </c>
      <c r="C669" s="246">
        <v>87794944</v>
      </c>
      <c r="D669" s="187">
        <v>603.33199999999999</v>
      </c>
      <c r="E669" s="187">
        <v>603.33199999999999</v>
      </c>
      <c r="F669" s="187">
        <v>0</v>
      </c>
      <c r="G669" s="246">
        <v>105938</v>
      </c>
    </row>
    <row r="670" spans="1:7">
      <c r="A670" s="216" t="s">
        <v>2065</v>
      </c>
      <c r="B670" s="423" t="s">
        <v>2855</v>
      </c>
      <c r="C670" s="246">
        <v>2109007074</v>
      </c>
      <c r="D670" s="187">
        <v>5726.2089999999998</v>
      </c>
      <c r="E670" s="187">
        <v>5726.2089999999998</v>
      </c>
      <c r="F670" s="246">
        <v>6116121</v>
      </c>
      <c r="G670" s="187">
        <v>0</v>
      </c>
    </row>
    <row r="671" spans="1:7">
      <c r="A671" s="216" t="s">
        <v>2905</v>
      </c>
      <c r="B671" s="423" t="s">
        <v>2155</v>
      </c>
      <c r="C671" s="246">
        <v>359123965</v>
      </c>
      <c r="D671" s="187">
        <v>2380.5949999999998</v>
      </c>
      <c r="E671" s="187">
        <v>2380.5949999999998</v>
      </c>
      <c r="F671" s="187">
        <v>0</v>
      </c>
      <c r="G671" s="246">
        <v>239471</v>
      </c>
    </row>
    <row r="672" spans="1:7">
      <c r="A672" s="216" t="s">
        <v>5238</v>
      </c>
      <c r="B672" s="423" t="s">
        <v>200</v>
      </c>
      <c r="C672" s="246">
        <v>210544212</v>
      </c>
      <c r="D672" s="187">
        <v>1528.7349999999999</v>
      </c>
      <c r="E672" s="187">
        <v>1528.7349999999999</v>
      </c>
      <c r="F672" s="246">
        <v>278473</v>
      </c>
      <c r="G672" s="246">
        <v>218086</v>
      </c>
    </row>
    <row r="673" spans="1:7">
      <c r="A673" s="216" t="s">
        <v>6163</v>
      </c>
      <c r="B673" s="423" t="s">
        <v>6067</v>
      </c>
      <c r="C673" s="246">
        <v>58756725</v>
      </c>
      <c r="D673" s="187">
        <v>587.75900000000001</v>
      </c>
      <c r="E673" s="187">
        <v>593.61900000000003</v>
      </c>
      <c r="F673" s="246">
        <v>39403</v>
      </c>
      <c r="G673" s="246">
        <v>50073</v>
      </c>
    </row>
    <row r="674" spans="1:7">
      <c r="A674" s="216" t="s">
        <v>2470</v>
      </c>
      <c r="B674" s="423" t="s">
        <v>6075</v>
      </c>
      <c r="C674" s="246">
        <v>181764314</v>
      </c>
      <c r="D674" s="187">
        <v>1119.6759999999999</v>
      </c>
      <c r="E674" s="187">
        <v>1119.6759999999999</v>
      </c>
      <c r="F674" s="246">
        <v>194804</v>
      </c>
      <c r="G674" s="246">
        <v>112147</v>
      </c>
    </row>
    <row r="675" spans="1:7">
      <c r="A675" s="216" t="s">
        <v>973</v>
      </c>
      <c r="B675" s="423" t="s">
        <v>718</v>
      </c>
      <c r="C675" s="246">
        <v>78777555</v>
      </c>
      <c r="D675" s="187">
        <v>703.81799999999998</v>
      </c>
      <c r="E675" s="187">
        <v>703.81799999999998</v>
      </c>
      <c r="F675" s="187">
        <v>0</v>
      </c>
      <c r="G675" s="187">
        <v>0</v>
      </c>
    </row>
    <row r="676" spans="1:7">
      <c r="A676" s="216" t="s">
        <v>2769</v>
      </c>
      <c r="B676" s="423" t="s">
        <v>359</v>
      </c>
      <c r="C676" s="246">
        <v>57779254</v>
      </c>
      <c r="D676" s="187">
        <v>545.91300000000001</v>
      </c>
      <c r="E676" s="187">
        <v>556.04600000000005</v>
      </c>
      <c r="F676" s="187">
        <v>0</v>
      </c>
      <c r="G676" s="246">
        <v>77524</v>
      </c>
    </row>
    <row r="677" spans="1:7">
      <c r="A677" s="216" t="s">
        <v>3553</v>
      </c>
      <c r="B677" s="423" t="s">
        <v>4060</v>
      </c>
      <c r="C677" s="246">
        <v>2720987549</v>
      </c>
      <c r="D677" s="187">
        <v>14129.281000000001</v>
      </c>
      <c r="E677" s="187">
        <v>14129.281000000001</v>
      </c>
      <c r="F677" s="246">
        <v>2376726</v>
      </c>
      <c r="G677" s="246">
        <v>1334057</v>
      </c>
    </row>
    <row r="678" spans="1:7">
      <c r="A678" s="216" t="s">
        <v>3556</v>
      </c>
      <c r="B678" s="423" t="s">
        <v>4067</v>
      </c>
      <c r="C678" s="246">
        <v>201832121</v>
      </c>
      <c r="D678" s="187">
        <v>1478.259</v>
      </c>
      <c r="E678" s="187">
        <v>1478.259</v>
      </c>
      <c r="F678" s="246">
        <v>122070</v>
      </c>
      <c r="G678" s="246">
        <v>191088</v>
      </c>
    </row>
    <row r="679" spans="1:7">
      <c r="A679" s="216" t="s">
        <v>5052</v>
      </c>
      <c r="B679" s="423" t="s">
        <v>719</v>
      </c>
      <c r="C679" s="246">
        <v>59302837</v>
      </c>
      <c r="D679" s="187">
        <v>718.70899999999995</v>
      </c>
      <c r="E679" s="187">
        <v>718.70899999999995</v>
      </c>
      <c r="F679" s="187">
        <v>0</v>
      </c>
      <c r="G679" s="187">
        <v>0</v>
      </c>
    </row>
    <row r="680" spans="1:7">
      <c r="A680" s="216" t="s">
        <v>5054</v>
      </c>
      <c r="B680" s="423" t="s">
        <v>720</v>
      </c>
      <c r="C680" s="246">
        <v>98897702</v>
      </c>
      <c r="D680" s="187">
        <v>870.15300000000002</v>
      </c>
      <c r="E680" s="187">
        <v>870.15300000000002</v>
      </c>
      <c r="F680" s="187">
        <v>0</v>
      </c>
      <c r="G680" s="187">
        <v>0</v>
      </c>
    </row>
    <row r="681" spans="1:7">
      <c r="A681" s="216" t="s">
        <v>737</v>
      </c>
      <c r="B681" s="423" t="s">
        <v>6110</v>
      </c>
      <c r="C681" s="246">
        <v>254426998</v>
      </c>
      <c r="D681" s="187">
        <v>1772.076</v>
      </c>
      <c r="E681" s="187">
        <v>1772.076</v>
      </c>
      <c r="F681" s="246">
        <v>250320</v>
      </c>
      <c r="G681" s="246">
        <v>288810</v>
      </c>
    </row>
    <row r="682" spans="1:7">
      <c r="A682" s="216" t="s">
        <v>237</v>
      </c>
      <c r="B682" s="423" t="s">
        <v>2644</v>
      </c>
      <c r="C682" s="246">
        <v>340595742</v>
      </c>
      <c r="D682" s="187">
        <v>2495.5410000000002</v>
      </c>
      <c r="E682" s="187">
        <v>2495.5410000000002</v>
      </c>
      <c r="F682" s="246">
        <v>247053</v>
      </c>
      <c r="G682" s="246">
        <v>276829</v>
      </c>
    </row>
    <row r="683" spans="1:7">
      <c r="A683" s="216" t="s">
        <v>2307</v>
      </c>
      <c r="B683" s="423" t="s">
        <v>365</v>
      </c>
      <c r="C683" s="246">
        <v>262794937</v>
      </c>
      <c r="D683" s="187">
        <v>1989.5360000000001</v>
      </c>
      <c r="E683" s="187">
        <v>1989.5360000000001</v>
      </c>
      <c r="F683" s="246">
        <v>172602</v>
      </c>
      <c r="G683" s="246">
        <v>183416</v>
      </c>
    </row>
    <row r="684" spans="1:7">
      <c r="A684" s="216" t="s">
        <v>957</v>
      </c>
      <c r="B684" s="423" t="s">
        <v>7664</v>
      </c>
      <c r="C684" s="246">
        <v>76672804</v>
      </c>
      <c r="D684" s="187">
        <v>425.69099999999997</v>
      </c>
      <c r="E684" s="187">
        <v>432.89499999999998</v>
      </c>
      <c r="F684" s="187">
        <v>40</v>
      </c>
      <c r="G684" s="246">
        <v>71433</v>
      </c>
    </row>
    <row r="685" spans="1:7">
      <c r="A685" s="216" t="s">
        <v>5056</v>
      </c>
      <c r="B685" s="423" t="s">
        <v>721</v>
      </c>
      <c r="C685" s="246">
        <v>64041455</v>
      </c>
      <c r="D685" s="187">
        <v>112.143</v>
      </c>
      <c r="E685" s="187">
        <v>112.143</v>
      </c>
      <c r="F685" s="187">
        <v>0</v>
      </c>
      <c r="G685" s="187">
        <v>0</v>
      </c>
    </row>
    <row r="686" spans="1:7">
      <c r="A686" s="216" t="s">
        <v>5137</v>
      </c>
      <c r="B686" s="423" t="s">
        <v>722</v>
      </c>
      <c r="C686" s="246">
        <v>22370830</v>
      </c>
      <c r="D686" s="187">
        <v>135.57</v>
      </c>
      <c r="E686" s="187">
        <v>135.57</v>
      </c>
      <c r="F686" s="187">
        <v>0</v>
      </c>
      <c r="G686" s="187">
        <v>0</v>
      </c>
    </row>
    <row r="687" spans="1:7">
      <c r="A687" s="216" t="s">
        <v>4568</v>
      </c>
      <c r="B687" s="423" t="s">
        <v>723</v>
      </c>
      <c r="C687" s="246">
        <v>196085812</v>
      </c>
      <c r="D687" s="187">
        <v>167.91200000000001</v>
      </c>
      <c r="E687" s="187">
        <v>167.91200000000001</v>
      </c>
      <c r="F687" s="246">
        <v>434441</v>
      </c>
      <c r="G687" s="187">
        <v>0</v>
      </c>
    </row>
    <row r="688" spans="1:7">
      <c r="A688" s="216" t="s">
        <v>2053</v>
      </c>
      <c r="B688" s="423" t="s">
        <v>999</v>
      </c>
      <c r="C688" s="246">
        <v>195067600</v>
      </c>
      <c r="D688" s="187">
        <v>1776.847</v>
      </c>
      <c r="E688" s="187">
        <v>1776.847</v>
      </c>
      <c r="F688" s="187">
        <v>0</v>
      </c>
      <c r="G688" s="246">
        <v>128173</v>
      </c>
    </row>
    <row r="689" spans="1:7">
      <c r="A689" s="216" t="s">
        <v>1846</v>
      </c>
      <c r="B689" s="423" t="s">
        <v>1001</v>
      </c>
      <c r="C689" s="246">
        <v>57645161</v>
      </c>
      <c r="D689" s="187">
        <v>303.18900000000002</v>
      </c>
      <c r="E689" s="187">
        <v>303.18900000000002</v>
      </c>
      <c r="F689" s="187">
        <v>5</v>
      </c>
      <c r="G689" s="246">
        <v>41175</v>
      </c>
    </row>
    <row r="690" spans="1:7">
      <c r="A690" s="216" t="s">
        <v>5239</v>
      </c>
      <c r="B690" s="423" t="s">
        <v>505</v>
      </c>
      <c r="C690" s="246">
        <v>81287656</v>
      </c>
      <c r="D690" s="187">
        <v>1120.9169999999999</v>
      </c>
      <c r="E690" s="187">
        <v>1120.9169999999999</v>
      </c>
      <c r="F690" s="246">
        <v>40753</v>
      </c>
      <c r="G690" s="246">
        <v>49542</v>
      </c>
    </row>
    <row r="691" spans="1:7">
      <c r="A691" s="216" t="s">
        <v>1870</v>
      </c>
      <c r="B691" s="423" t="s">
        <v>3849</v>
      </c>
      <c r="C691" s="246">
        <v>262966651</v>
      </c>
      <c r="D691" s="187">
        <v>1994.5319999999999</v>
      </c>
      <c r="E691" s="187">
        <v>1994.5319999999999</v>
      </c>
      <c r="F691" s="187">
        <v>0</v>
      </c>
      <c r="G691" s="246">
        <v>302714</v>
      </c>
    </row>
    <row r="692" spans="1:7">
      <c r="A692" s="216" t="s">
        <v>6169</v>
      </c>
      <c r="B692" s="423" t="s">
        <v>6079</v>
      </c>
      <c r="C692" s="246">
        <v>484813931</v>
      </c>
      <c r="D692" s="187">
        <v>2771.8029999999999</v>
      </c>
      <c r="E692" s="187">
        <v>2771.8029999999999</v>
      </c>
      <c r="F692" s="246">
        <v>5402</v>
      </c>
      <c r="G692" s="246">
        <v>618421</v>
      </c>
    </row>
    <row r="693" spans="1:7">
      <c r="A693" s="216" t="s">
        <v>574</v>
      </c>
      <c r="B693" s="423" t="s">
        <v>724</v>
      </c>
      <c r="C693" s="246">
        <v>82337045</v>
      </c>
      <c r="D693" s="187">
        <v>338.48500000000001</v>
      </c>
      <c r="E693" s="187">
        <v>348.38</v>
      </c>
      <c r="F693" s="187">
        <v>0</v>
      </c>
      <c r="G693" s="187">
        <v>0</v>
      </c>
    </row>
    <row r="694" spans="1:7">
      <c r="A694" s="216" t="s">
        <v>6172</v>
      </c>
      <c r="B694" s="423" t="s">
        <v>497</v>
      </c>
      <c r="C694" s="246">
        <v>4672550574</v>
      </c>
      <c r="D694" s="187">
        <v>19064.885999999999</v>
      </c>
      <c r="E694" s="187">
        <v>19064.885999999999</v>
      </c>
      <c r="F694" s="246">
        <v>2844861</v>
      </c>
      <c r="G694" s="246">
        <v>977847</v>
      </c>
    </row>
    <row r="695" spans="1:7">
      <c r="A695" s="216" t="s">
        <v>578</v>
      </c>
      <c r="B695" s="423" t="s">
        <v>725</v>
      </c>
      <c r="C695" s="246">
        <v>256805720</v>
      </c>
      <c r="D695" s="187">
        <v>1458.104</v>
      </c>
      <c r="E695" s="187">
        <v>1458.104</v>
      </c>
      <c r="F695" s="187">
        <v>0</v>
      </c>
      <c r="G695" s="187">
        <v>0</v>
      </c>
    </row>
    <row r="696" spans="1:7">
      <c r="A696" s="216" t="s">
        <v>980</v>
      </c>
      <c r="B696" s="423" t="s">
        <v>6098</v>
      </c>
      <c r="C696" s="246">
        <v>213472983</v>
      </c>
      <c r="D696" s="187">
        <v>1483.798</v>
      </c>
      <c r="E696" s="187">
        <v>1483.798</v>
      </c>
      <c r="F696" s="246">
        <v>326964</v>
      </c>
      <c r="G696" s="246">
        <v>327996</v>
      </c>
    </row>
    <row r="697" spans="1:7">
      <c r="A697" s="216" t="s">
        <v>3972</v>
      </c>
      <c r="B697" s="423" t="s">
        <v>726</v>
      </c>
      <c r="C697" s="246">
        <v>44471802</v>
      </c>
      <c r="D697" s="187">
        <v>157.50899999999999</v>
      </c>
      <c r="E697" s="187">
        <v>157.50899999999999</v>
      </c>
      <c r="F697" s="187">
        <v>0</v>
      </c>
      <c r="G697" s="187">
        <v>0</v>
      </c>
    </row>
    <row r="698" spans="1:7">
      <c r="A698" s="216" t="s">
        <v>6173</v>
      </c>
      <c r="B698" s="423" t="s">
        <v>727</v>
      </c>
      <c r="C698" s="246">
        <v>50180640</v>
      </c>
      <c r="D698" s="187">
        <v>395.74099999999999</v>
      </c>
      <c r="E698" s="187">
        <v>395.74099999999999</v>
      </c>
      <c r="F698" s="187">
        <v>0</v>
      </c>
      <c r="G698" s="187">
        <v>0</v>
      </c>
    </row>
    <row r="699" spans="1:7">
      <c r="A699" s="216" t="s">
        <v>3974</v>
      </c>
      <c r="B699" s="423" t="s">
        <v>728</v>
      </c>
      <c r="C699" s="246">
        <v>556665549</v>
      </c>
      <c r="D699" s="187">
        <v>1804.413</v>
      </c>
      <c r="E699" s="187">
        <v>1804.413</v>
      </c>
      <c r="F699" s="187">
        <v>0</v>
      </c>
      <c r="G699" s="187">
        <v>0</v>
      </c>
    </row>
    <row r="700" spans="1:7">
      <c r="A700" s="216" t="s">
        <v>814</v>
      </c>
      <c r="B700" s="423" t="s">
        <v>729</v>
      </c>
      <c r="C700" s="246">
        <v>78149796</v>
      </c>
      <c r="D700" s="187">
        <v>489.786</v>
      </c>
      <c r="E700" s="187">
        <v>489.786</v>
      </c>
      <c r="F700" s="246">
        <v>129904</v>
      </c>
      <c r="G700" s="187">
        <v>0</v>
      </c>
    </row>
    <row r="701" spans="1:7">
      <c r="A701" s="216" t="s">
        <v>4587</v>
      </c>
      <c r="B701" s="423" t="s">
        <v>2144</v>
      </c>
      <c r="C701" s="246">
        <v>20216100</v>
      </c>
      <c r="D701" s="187">
        <v>191.715</v>
      </c>
      <c r="E701" s="187">
        <v>191.715</v>
      </c>
      <c r="F701" s="187">
        <v>0</v>
      </c>
      <c r="G701" s="246">
        <v>13694</v>
      </c>
    </row>
    <row r="702" spans="1:7">
      <c r="A702" s="216" t="s">
        <v>1852</v>
      </c>
      <c r="B702" s="423" t="s">
        <v>4963</v>
      </c>
      <c r="C702" s="246">
        <v>99094169</v>
      </c>
      <c r="D702" s="187">
        <v>620.54200000000003</v>
      </c>
      <c r="E702" s="187">
        <v>620.54200000000003</v>
      </c>
      <c r="F702" s="246">
        <v>55069</v>
      </c>
      <c r="G702" s="246">
        <v>68373</v>
      </c>
    </row>
    <row r="703" spans="1:7">
      <c r="A703" s="216" t="s">
        <v>141</v>
      </c>
      <c r="B703" s="423" t="s">
        <v>730</v>
      </c>
      <c r="C703" s="246">
        <v>38502403</v>
      </c>
      <c r="D703" s="187">
        <v>114.42</v>
      </c>
      <c r="E703" s="187">
        <v>126.24299999999999</v>
      </c>
      <c r="F703" s="187">
        <v>0</v>
      </c>
      <c r="G703" s="187">
        <v>0</v>
      </c>
    </row>
    <row r="704" spans="1:7">
      <c r="A704" s="216" t="s">
        <v>143</v>
      </c>
      <c r="B704" s="423" t="s">
        <v>524</v>
      </c>
      <c r="C704" s="246">
        <v>17953992</v>
      </c>
      <c r="D704" s="187">
        <v>94.926000000000002</v>
      </c>
      <c r="E704" s="187">
        <v>97.591999999999999</v>
      </c>
      <c r="F704" s="187">
        <v>0</v>
      </c>
      <c r="G704" s="187">
        <v>0</v>
      </c>
    </row>
    <row r="705" spans="1:7">
      <c r="A705" s="216" t="s">
        <v>1847</v>
      </c>
      <c r="B705" s="423" t="s">
        <v>351</v>
      </c>
      <c r="C705" s="246">
        <v>13046558</v>
      </c>
      <c r="D705" s="187">
        <v>104.021</v>
      </c>
      <c r="E705" s="187">
        <v>104.021</v>
      </c>
      <c r="F705" s="187">
        <v>0</v>
      </c>
      <c r="G705" s="246">
        <v>6730</v>
      </c>
    </row>
    <row r="706" spans="1:7">
      <c r="A706" s="216" t="s">
        <v>145</v>
      </c>
      <c r="B706" s="423" t="s">
        <v>525</v>
      </c>
      <c r="C706" s="246">
        <v>199598482</v>
      </c>
      <c r="D706" s="187">
        <v>941.601</v>
      </c>
      <c r="E706" s="187">
        <v>941.601</v>
      </c>
      <c r="F706" s="187">
        <v>0</v>
      </c>
      <c r="G706" s="187">
        <v>0</v>
      </c>
    </row>
    <row r="707" spans="1:7">
      <c r="A707" s="216" t="s">
        <v>147</v>
      </c>
      <c r="B707" s="423" t="s">
        <v>526</v>
      </c>
      <c r="C707" s="246">
        <v>24182520</v>
      </c>
      <c r="D707" s="187">
        <v>160.31299999999999</v>
      </c>
      <c r="E707" s="187">
        <v>160.31299999999999</v>
      </c>
      <c r="F707" s="187">
        <v>0</v>
      </c>
      <c r="G707" s="187">
        <v>0</v>
      </c>
    </row>
    <row r="708" spans="1:7">
      <c r="A708" s="216" t="s">
        <v>149</v>
      </c>
      <c r="B708" s="423" t="s">
        <v>527</v>
      </c>
      <c r="C708" s="246">
        <v>120870100</v>
      </c>
      <c r="D708" s="187">
        <v>162.98599999999999</v>
      </c>
      <c r="E708" s="187">
        <v>162.98599999999999</v>
      </c>
      <c r="F708" s="187">
        <v>0</v>
      </c>
      <c r="G708" s="187">
        <v>0</v>
      </c>
    </row>
    <row r="709" spans="1:7">
      <c r="A709" s="216" t="s">
        <v>1956</v>
      </c>
      <c r="B709" s="423" t="s">
        <v>528</v>
      </c>
      <c r="C709" s="246">
        <v>320296555</v>
      </c>
      <c r="D709" s="187">
        <v>1532.1880000000001</v>
      </c>
      <c r="E709" s="187">
        <v>1532.1880000000001</v>
      </c>
      <c r="F709" s="187">
        <v>0</v>
      </c>
      <c r="G709" s="187">
        <v>0</v>
      </c>
    </row>
    <row r="710" spans="1:7">
      <c r="A710" s="216" t="s">
        <v>1958</v>
      </c>
      <c r="B710" s="423" t="s">
        <v>529</v>
      </c>
      <c r="C710" s="246">
        <v>110361420</v>
      </c>
      <c r="D710" s="187">
        <v>784.23699999999997</v>
      </c>
      <c r="E710" s="187">
        <v>784.23699999999997</v>
      </c>
      <c r="F710" s="187">
        <v>0</v>
      </c>
      <c r="G710" s="187">
        <v>0</v>
      </c>
    </row>
    <row r="711" spans="1:7">
      <c r="A711" s="216" t="s">
        <v>1960</v>
      </c>
      <c r="B711" s="423" t="s">
        <v>530</v>
      </c>
      <c r="C711" s="246">
        <v>42201323</v>
      </c>
      <c r="D711" s="187">
        <v>119.786</v>
      </c>
      <c r="E711" s="187">
        <v>119.786</v>
      </c>
      <c r="F711" s="246">
        <v>98761</v>
      </c>
      <c r="G711" s="187">
        <v>0</v>
      </c>
    </row>
    <row r="712" spans="1:7">
      <c r="A712" s="216" t="s">
        <v>2039</v>
      </c>
      <c r="B712" s="423" t="s">
        <v>531</v>
      </c>
      <c r="C712" s="246">
        <v>15728512</v>
      </c>
      <c r="D712" s="187">
        <v>77.787999999999997</v>
      </c>
      <c r="E712" s="187">
        <v>77.787999999999997</v>
      </c>
      <c r="F712" s="187">
        <v>0</v>
      </c>
      <c r="G712" s="187">
        <v>0</v>
      </c>
    </row>
    <row r="713" spans="1:7">
      <c r="A713" s="216" t="s">
        <v>2041</v>
      </c>
      <c r="B713" s="423" t="s">
        <v>532</v>
      </c>
      <c r="C713" s="246">
        <v>56189760</v>
      </c>
      <c r="D713" s="187">
        <v>125.538</v>
      </c>
      <c r="E713" s="187">
        <v>125.538</v>
      </c>
      <c r="F713" s="187">
        <v>0</v>
      </c>
      <c r="G713" s="187">
        <v>0</v>
      </c>
    </row>
    <row r="714" spans="1:7">
      <c r="A714" s="216" t="s">
        <v>1825</v>
      </c>
      <c r="B714" s="423" t="s">
        <v>533</v>
      </c>
      <c r="C714" s="246">
        <v>30339860</v>
      </c>
      <c r="D714" s="187">
        <v>153.28800000000001</v>
      </c>
      <c r="E714" s="187">
        <v>153.28800000000001</v>
      </c>
      <c r="F714" s="246">
        <v>30913</v>
      </c>
      <c r="G714" s="187">
        <v>0</v>
      </c>
    </row>
    <row r="715" spans="1:7">
      <c r="A715" s="216" t="s">
        <v>1827</v>
      </c>
      <c r="B715" s="423" t="s">
        <v>534</v>
      </c>
      <c r="C715" s="246">
        <v>61835596</v>
      </c>
      <c r="D715" s="187">
        <v>276.55099999999999</v>
      </c>
      <c r="E715" s="187">
        <v>280.72300000000001</v>
      </c>
      <c r="F715" s="246">
        <v>86659</v>
      </c>
      <c r="G715" s="187">
        <v>0</v>
      </c>
    </row>
    <row r="716" spans="1:7">
      <c r="A716" s="216" t="s">
        <v>238</v>
      </c>
      <c r="B716" s="423" t="s">
        <v>2645</v>
      </c>
      <c r="C716" s="246">
        <v>10878390263</v>
      </c>
      <c r="D716" s="187">
        <v>36633.677000000003</v>
      </c>
      <c r="E716" s="187">
        <v>36633.677000000003</v>
      </c>
      <c r="F716" s="246">
        <v>24162076</v>
      </c>
      <c r="G716" s="246">
        <v>337787</v>
      </c>
    </row>
    <row r="717" spans="1:7">
      <c r="A717" s="216" t="s">
        <v>1829</v>
      </c>
      <c r="B717" s="423" t="s">
        <v>535</v>
      </c>
      <c r="C717" s="246">
        <v>1844037111</v>
      </c>
      <c r="D717" s="187">
        <v>4691.1760000000004</v>
      </c>
      <c r="E717" s="187">
        <v>4691.1760000000004</v>
      </c>
      <c r="F717" s="246">
        <v>4028604</v>
      </c>
      <c r="G717" s="187">
        <v>0</v>
      </c>
    </row>
    <row r="718" spans="1:7">
      <c r="A718" s="216" t="s">
        <v>859</v>
      </c>
      <c r="B718" s="423" t="s">
        <v>2003</v>
      </c>
      <c r="C718" s="246">
        <v>1094178660</v>
      </c>
      <c r="D718" s="187">
        <v>4683.223</v>
      </c>
      <c r="E718" s="187">
        <v>4683.223</v>
      </c>
      <c r="F718" s="246">
        <v>1994753</v>
      </c>
      <c r="G718" s="246">
        <v>1053438</v>
      </c>
    </row>
    <row r="719" spans="1:7">
      <c r="A719" s="216" t="s">
        <v>3001</v>
      </c>
      <c r="B719" s="423" t="s">
        <v>6060</v>
      </c>
      <c r="C719" s="246">
        <v>1589619509</v>
      </c>
      <c r="D719" s="187">
        <v>8882.6489999999994</v>
      </c>
      <c r="E719" s="187">
        <v>8882.6489999999994</v>
      </c>
      <c r="F719" s="246">
        <v>3427808</v>
      </c>
      <c r="G719" s="246">
        <v>782810</v>
      </c>
    </row>
    <row r="720" spans="1:7">
      <c r="A720" s="216" t="s">
        <v>2405</v>
      </c>
      <c r="B720" s="423" t="s">
        <v>2350</v>
      </c>
      <c r="C720" s="246">
        <v>203505685</v>
      </c>
      <c r="D720" s="187">
        <v>2901.2559999999999</v>
      </c>
      <c r="E720" s="187">
        <v>2901.2559999999999</v>
      </c>
      <c r="F720" s="246">
        <v>186048</v>
      </c>
      <c r="G720" s="246">
        <v>137781</v>
      </c>
    </row>
    <row r="721" spans="1:7">
      <c r="A721" s="216" t="s">
        <v>2907</v>
      </c>
      <c r="B721" s="423" t="s">
        <v>1933</v>
      </c>
      <c r="C721" s="246">
        <v>953205562</v>
      </c>
      <c r="D721" s="187">
        <v>7028.567</v>
      </c>
      <c r="E721" s="187">
        <v>7028.567</v>
      </c>
      <c r="F721" s="246">
        <v>2007813</v>
      </c>
      <c r="G721" s="246">
        <v>376562</v>
      </c>
    </row>
    <row r="722" spans="1:7">
      <c r="A722" s="216" t="s">
        <v>1222</v>
      </c>
      <c r="B722" s="423" t="s">
        <v>536</v>
      </c>
      <c r="C722" s="246">
        <v>1353491206</v>
      </c>
      <c r="D722" s="187">
        <v>3774.1959999999999</v>
      </c>
      <c r="E722" s="187">
        <v>3774.1959999999999</v>
      </c>
      <c r="F722" s="246">
        <v>651190</v>
      </c>
      <c r="G722" s="187">
        <v>0</v>
      </c>
    </row>
    <row r="723" spans="1:7">
      <c r="A723" s="216" t="s">
        <v>1224</v>
      </c>
      <c r="B723" s="423" t="s">
        <v>537</v>
      </c>
      <c r="C723" s="246">
        <v>202118709</v>
      </c>
      <c r="D723" s="187">
        <v>493.10300000000001</v>
      </c>
      <c r="E723" s="187">
        <v>493.10300000000001</v>
      </c>
      <c r="F723" s="246">
        <v>293430</v>
      </c>
      <c r="G723" s="187">
        <v>0</v>
      </c>
    </row>
    <row r="724" spans="1:7">
      <c r="A724" s="216" t="s">
        <v>5375</v>
      </c>
      <c r="B724" s="423" t="s">
        <v>538</v>
      </c>
      <c r="C724" s="246">
        <v>641262157</v>
      </c>
      <c r="D724" s="187">
        <v>1414.22</v>
      </c>
      <c r="E724" s="187">
        <v>1414.22</v>
      </c>
      <c r="F724" s="246">
        <v>721702</v>
      </c>
      <c r="G724" s="187">
        <v>0</v>
      </c>
    </row>
    <row r="725" spans="1:7">
      <c r="A725" s="216" t="s">
        <v>5377</v>
      </c>
      <c r="B725" s="423" t="s">
        <v>539</v>
      </c>
      <c r="C725" s="246">
        <v>121249902</v>
      </c>
      <c r="D725" s="187">
        <v>878.84400000000005</v>
      </c>
      <c r="E725" s="187">
        <v>878.84400000000005</v>
      </c>
      <c r="F725" s="187">
        <v>0</v>
      </c>
      <c r="G725" s="187">
        <v>0</v>
      </c>
    </row>
    <row r="726" spans="1:7">
      <c r="A726" s="216" t="s">
        <v>5379</v>
      </c>
      <c r="B726" s="423" t="s">
        <v>540</v>
      </c>
      <c r="C726" s="246">
        <v>55939418</v>
      </c>
      <c r="D726" s="187">
        <v>146.096</v>
      </c>
      <c r="E726" s="187">
        <v>151.16</v>
      </c>
      <c r="F726" s="187">
        <v>0</v>
      </c>
      <c r="G726" s="187">
        <v>0</v>
      </c>
    </row>
    <row r="727" spans="1:7">
      <c r="A727" s="216" t="s">
        <v>642</v>
      </c>
      <c r="B727" s="423" t="s">
        <v>6111</v>
      </c>
      <c r="C727" s="246">
        <v>30232208</v>
      </c>
      <c r="D727" s="187">
        <v>283.83100000000002</v>
      </c>
      <c r="E727" s="187">
        <v>283.83100000000002</v>
      </c>
      <c r="F727" s="187">
        <v>0</v>
      </c>
      <c r="G727" s="246">
        <v>19023</v>
      </c>
    </row>
    <row r="728" spans="1:7">
      <c r="A728" s="216" t="s">
        <v>2618</v>
      </c>
      <c r="B728" s="423" t="s">
        <v>541</v>
      </c>
      <c r="C728" s="246">
        <v>157472555</v>
      </c>
      <c r="D728" s="187">
        <v>458.68299999999999</v>
      </c>
      <c r="E728" s="187">
        <v>458.68299999999999</v>
      </c>
      <c r="F728" s="187">
        <v>0</v>
      </c>
      <c r="G728" s="187">
        <v>0</v>
      </c>
    </row>
    <row r="729" spans="1:7">
      <c r="A729" s="216" t="s">
        <v>644</v>
      </c>
      <c r="B729" s="423" t="s">
        <v>123</v>
      </c>
      <c r="C729" s="246">
        <v>102087763</v>
      </c>
      <c r="D729" s="187">
        <v>635.34199999999998</v>
      </c>
      <c r="E729" s="187">
        <v>635.34199999999998</v>
      </c>
      <c r="F729" s="187">
        <v>0</v>
      </c>
      <c r="G729" s="246">
        <v>67802</v>
      </c>
    </row>
    <row r="730" spans="1:7">
      <c r="A730" s="216" t="s">
        <v>2620</v>
      </c>
      <c r="B730" s="423" t="s">
        <v>542</v>
      </c>
      <c r="C730" s="246">
        <v>1301199758</v>
      </c>
      <c r="D730" s="187">
        <v>5932.0510000000004</v>
      </c>
      <c r="E730" s="187">
        <v>5932.0510000000004</v>
      </c>
      <c r="F730" s="246">
        <v>2515687</v>
      </c>
      <c r="G730" s="187">
        <v>0</v>
      </c>
    </row>
    <row r="731" spans="1:7">
      <c r="A731" s="216" t="s">
        <v>4588</v>
      </c>
      <c r="B731" s="423" t="s">
        <v>2006</v>
      </c>
      <c r="C731" s="246">
        <v>69809581</v>
      </c>
      <c r="D731" s="187">
        <v>803.80200000000002</v>
      </c>
      <c r="E731" s="187">
        <v>803.80200000000002</v>
      </c>
      <c r="F731" s="187">
        <v>0</v>
      </c>
      <c r="G731" s="246">
        <v>46879</v>
      </c>
    </row>
    <row r="732" spans="1:7">
      <c r="A732" s="216" t="s">
        <v>2622</v>
      </c>
      <c r="B732" s="423" t="s">
        <v>543</v>
      </c>
      <c r="C732" s="246">
        <v>53985383</v>
      </c>
      <c r="D732" s="187">
        <v>701.10900000000004</v>
      </c>
      <c r="E732" s="187">
        <v>701.10900000000004</v>
      </c>
      <c r="F732" s="246">
        <v>24242</v>
      </c>
      <c r="G732" s="187">
        <v>0</v>
      </c>
    </row>
    <row r="733" spans="1:7">
      <c r="A733" s="216" t="s">
        <v>2624</v>
      </c>
      <c r="B733" s="423" t="s">
        <v>544</v>
      </c>
      <c r="C733" s="246">
        <v>26355931</v>
      </c>
      <c r="D733" s="187">
        <v>317.55799999999999</v>
      </c>
      <c r="E733" s="187">
        <v>319.71499999999997</v>
      </c>
      <c r="F733" s="246">
        <v>30376</v>
      </c>
      <c r="G733" s="187">
        <v>0</v>
      </c>
    </row>
    <row r="734" spans="1:7">
      <c r="A734" s="216" t="s">
        <v>1523</v>
      </c>
      <c r="B734" s="423" t="s">
        <v>1929</v>
      </c>
      <c r="C734" s="246">
        <v>32466760</v>
      </c>
      <c r="D734" s="187">
        <v>138.06100000000001</v>
      </c>
      <c r="E734" s="187">
        <v>138.06100000000001</v>
      </c>
      <c r="F734" s="187">
        <v>0</v>
      </c>
      <c r="G734" s="187">
        <v>0</v>
      </c>
    </row>
    <row r="735" spans="1:7">
      <c r="A735" s="216" t="s">
        <v>2626</v>
      </c>
      <c r="B735" s="423" t="s">
        <v>545</v>
      </c>
      <c r="C735" s="246">
        <v>70612542</v>
      </c>
      <c r="D735" s="187">
        <v>344.34199999999998</v>
      </c>
      <c r="E735" s="187">
        <v>344.34199999999998</v>
      </c>
      <c r="F735" s="187">
        <v>0</v>
      </c>
      <c r="G735" s="187">
        <v>0</v>
      </c>
    </row>
    <row r="736" spans="1:7">
      <c r="A736" s="216" t="s">
        <v>2628</v>
      </c>
      <c r="B736" s="423" t="s">
        <v>546</v>
      </c>
      <c r="C736" s="246">
        <v>79663428</v>
      </c>
      <c r="D736" s="187">
        <v>833.64300000000003</v>
      </c>
      <c r="E736" s="187">
        <v>835.553</v>
      </c>
      <c r="F736" s="187">
        <v>0</v>
      </c>
      <c r="G736" s="187">
        <v>0</v>
      </c>
    </row>
    <row r="737" spans="1:7">
      <c r="A737" s="216" t="s">
        <v>241</v>
      </c>
      <c r="B737" s="423" t="s">
        <v>2649</v>
      </c>
      <c r="C737" s="246">
        <v>889627467</v>
      </c>
      <c r="D737" s="187">
        <v>5089.6729999999998</v>
      </c>
      <c r="E737" s="187">
        <v>5089.6729999999998</v>
      </c>
      <c r="F737" s="246">
        <v>523126</v>
      </c>
      <c r="G737" s="246">
        <v>583799</v>
      </c>
    </row>
    <row r="738" spans="1:7">
      <c r="A738" s="216" t="s">
        <v>248</v>
      </c>
      <c r="B738" s="423" t="s">
        <v>993</v>
      </c>
      <c r="C738" s="246">
        <v>50285959</v>
      </c>
      <c r="D738" s="187">
        <v>439.86399999999998</v>
      </c>
      <c r="E738" s="187">
        <v>439.86399999999998</v>
      </c>
      <c r="F738" s="187">
        <v>0</v>
      </c>
      <c r="G738" s="187">
        <v>0</v>
      </c>
    </row>
    <row r="739" spans="1:7">
      <c r="A739" s="216" t="s">
        <v>5084</v>
      </c>
      <c r="B739" s="423" t="s">
        <v>547</v>
      </c>
      <c r="C739" s="246">
        <v>39245564</v>
      </c>
      <c r="D739" s="187">
        <v>356.19600000000003</v>
      </c>
      <c r="E739" s="187">
        <v>362.048</v>
      </c>
      <c r="F739" s="187">
        <v>0</v>
      </c>
      <c r="G739" s="187">
        <v>0</v>
      </c>
    </row>
    <row r="740" spans="1:7">
      <c r="A740" s="216" t="s">
        <v>2534</v>
      </c>
      <c r="B740" s="423" t="s">
        <v>1919</v>
      </c>
      <c r="C740" s="246">
        <v>111705131</v>
      </c>
      <c r="D740" s="187">
        <v>670.35500000000002</v>
      </c>
      <c r="E740" s="187">
        <v>670.35500000000002</v>
      </c>
      <c r="F740" s="187">
        <v>0</v>
      </c>
      <c r="G740" s="246">
        <v>81604</v>
      </c>
    </row>
    <row r="741" spans="1:7">
      <c r="A741" s="216" t="s">
        <v>5086</v>
      </c>
      <c r="B741" s="423" t="s">
        <v>548</v>
      </c>
      <c r="C741" s="246">
        <v>170243089</v>
      </c>
      <c r="D741" s="187">
        <v>640.58900000000006</v>
      </c>
      <c r="E741" s="187">
        <v>640.58900000000006</v>
      </c>
      <c r="F741" s="246">
        <v>208935</v>
      </c>
      <c r="G741" s="187">
        <v>0</v>
      </c>
    </row>
    <row r="742" spans="1:7">
      <c r="A742" s="216" t="s">
        <v>2768</v>
      </c>
      <c r="B742" s="423" t="s">
        <v>358</v>
      </c>
      <c r="C742" s="246">
        <v>48380497</v>
      </c>
      <c r="D742" s="187">
        <v>629.75099999999998</v>
      </c>
      <c r="E742" s="187">
        <v>629.75099999999998</v>
      </c>
      <c r="F742" s="246">
        <v>67515</v>
      </c>
      <c r="G742" s="246">
        <v>15223</v>
      </c>
    </row>
    <row r="743" spans="1:7">
      <c r="A743" s="216" t="s">
        <v>5088</v>
      </c>
      <c r="B743" s="423" t="s">
        <v>549</v>
      </c>
      <c r="C743" s="246">
        <v>126558367</v>
      </c>
      <c r="D743" s="187">
        <v>371.142</v>
      </c>
      <c r="E743" s="187">
        <v>379.505</v>
      </c>
      <c r="F743" s="246">
        <v>226104</v>
      </c>
      <c r="G743" s="187">
        <v>0</v>
      </c>
    </row>
    <row r="744" spans="1:7">
      <c r="A744" s="216" t="s">
        <v>6181</v>
      </c>
      <c r="B744" s="423" t="s">
        <v>1936</v>
      </c>
      <c r="C744" s="246">
        <v>162707555</v>
      </c>
      <c r="D744" s="187">
        <v>1180.7660000000001</v>
      </c>
      <c r="E744" s="187">
        <v>1180.7660000000001</v>
      </c>
      <c r="F744" s="246">
        <v>190263</v>
      </c>
      <c r="G744" s="246">
        <v>135318</v>
      </c>
    </row>
    <row r="745" spans="1:7">
      <c r="A745" s="216" t="s">
        <v>1848</v>
      </c>
      <c r="B745" s="423" t="s">
        <v>1000</v>
      </c>
      <c r="C745" s="246">
        <v>350869472</v>
      </c>
      <c r="D745" s="187">
        <v>727.40200000000004</v>
      </c>
      <c r="E745" s="187">
        <v>727.40200000000004</v>
      </c>
      <c r="F745" s="246">
        <v>564320</v>
      </c>
      <c r="G745" s="246">
        <v>173765</v>
      </c>
    </row>
    <row r="746" spans="1:7">
      <c r="A746" s="216" t="s">
        <v>2471</v>
      </c>
      <c r="B746" s="423" t="s">
        <v>369</v>
      </c>
      <c r="C746" s="246">
        <v>57327147</v>
      </c>
      <c r="D746" s="187">
        <v>313.68299999999999</v>
      </c>
      <c r="E746" s="187">
        <v>328.06700000000001</v>
      </c>
      <c r="F746" s="246">
        <v>1291</v>
      </c>
      <c r="G746" s="246">
        <v>40948</v>
      </c>
    </row>
    <row r="747" spans="1:7">
      <c r="A747" s="216" t="s">
        <v>6044</v>
      </c>
      <c r="B747" s="423" t="s">
        <v>550</v>
      </c>
      <c r="C747" s="246">
        <v>378223801</v>
      </c>
      <c r="D747" s="187">
        <v>2069.971</v>
      </c>
      <c r="E747" s="187">
        <v>2069.971</v>
      </c>
      <c r="F747" s="246">
        <v>318856</v>
      </c>
      <c r="G747" s="187">
        <v>0</v>
      </c>
    </row>
    <row r="748" spans="1:7">
      <c r="A748" s="216" t="s">
        <v>6046</v>
      </c>
      <c r="B748" s="423" t="s">
        <v>551</v>
      </c>
      <c r="C748" s="246">
        <v>92526993</v>
      </c>
      <c r="D748" s="187">
        <v>127.336</v>
      </c>
      <c r="E748" s="187">
        <v>129.489</v>
      </c>
      <c r="F748" s="187">
        <v>0</v>
      </c>
      <c r="G748" s="187">
        <v>0</v>
      </c>
    </row>
    <row r="749" spans="1:7">
      <c r="A749" s="216" t="s">
        <v>4185</v>
      </c>
      <c r="B749" s="423" t="s">
        <v>552</v>
      </c>
      <c r="C749" s="246">
        <v>63432885</v>
      </c>
      <c r="D749" s="187">
        <v>199.45699999999999</v>
      </c>
      <c r="E749" s="187">
        <v>199.45699999999999</v>
      </c>
      <c r="F749" s="246">
        <v>69715</v>
      </c>
      <c r="G749" s="187">
        <v>0</v>
      </c>
    </row>
    <row r="750" spans="1:7">
      <c r="A750" s="216" t="s">
        <v>6689</v>
      </c>
      <c r="B750" s="423" t="s">
        <v>553</v>
      </c>
      <c r="C750" s="246">
        <v>70890793</v>
      </c>
      <c r="D750" s="187">
        <v>313.77499999999998</v>
      </c>
      <c r="E750" s="187">
        <v>313.77499999999998</v>
      </c>
      <c r="F750" s="246">
        <v>185387</v>
      </c>
      <c r="G750" s="187">
        <v>0</v>
      </c>
    </row>
    <row r="751" spans="1:7">
      <c r="A751" s="216" t="s">
        <v>6691</v>
      </c>
      <c r="B751" s="423" t="s">
        <v>554</v>
      </c>
      <c r="C751" s="246">
        <v>466783533</v>
      </c>
      <c r="D751" s="187">
        <v>1143.953</v>
      </c>
      <c r="E751" s="187">
        <v>1143.953</v>
      </c>
      <c r="F751" s="246">
        <v>726834</v>
      </c>
      <c r="G751" s="187">
        <v>0</v>
      </c>
    </row>
    <row r="752" spans="1:7">
      <c r="A752" s="216" t="s">
        <v>6693</v>
      </c>
      <c r="B752" s="423" t="s">
        <v>555</v>
      </c>
      <c r="C752" s="246">
        <v>925718024</v>
      </c>
      <c r="D752" s="187">
        <v>3632.8029999999999</v>
      </c>
      <c r="E752" s="187">
        <v>3632.8029999999999</v>
      </c>
      <c r="F752" s="246">
        <v>916913</v>
      </c>
      <c r="G752" s="187">
        <v>0</v>
      </c>
    </row>
    <row r="753" spans="1:7">
      <c r="A753" s="216" t="s">
        <v>240</v>
      </c>
      <c r="B753" s="423" t="s">
        <v>2648</v>
      </c>
      <c r="C753" s="246">
        <v>7140039009</v>
      </c>
      <c r="D753" s="187">
        <v>36033.343999999997</v>
      </c>
      <c r="E753" s="187">
        <v>36033.343999999997</v>
      </c>
      <c r="F753" s="246">
        <v>6497066</v>
      </c>
      <c r="G753" s="246">
        <v>2076975</v>
      </c>
    </row>
    <row r="754" spans="1:7">
      <c r="A754" s="216" t="s">
        <v>6695</v>
      </c>
      <c r="B754" s="423" t="s">
        <v>556</v>
      </c>
      <c r="C754" s="246">
        <v>89452103</v>
      </c>
      <c r="D754" s="187">
        <v>271.03300000000002</v>
      </c>
      <c r="E754" s="187">
        <v>271.03300000000002</v>
      </c>
      <c r="F754" s="246">
        <v>259411</v>
      </c>
      <c r="G754" s="187">
        <v>0</v>
      </c>
    </row>
    <row r="755" spans="1:7">
      <c r="A755" s="216" t="s">
        <v>745</v>
      </c>
      <c r="B755" s="423" t="s">
        <v>557</v>
      </c>
      <c r="C755" s="246">
        <v>80308092</v>
      </c>
      <c r="D755" s="187">
        <v>200.07499999999999</v>
      </c>
      <c r="E755" s="187">
        <v>200.07499999999999</v>
      </c>
      <c r="F755" s="187">
        <v>0</v>
      </c>
      <c r="G755" s="187">
        <v>0</v>
      </c>
    </row>
    <row r="756" spans="1:7">
      <c r="A756" s="216" t="s">
        <v>747</v>
      </c>
      <c r="B756" s="423" t="s">
        <v>558</v>
      </c>
      <c r="C756" s="246">
        <v>765764274</v>
      </c>
      <c r="D756" s="187">
        <v>543.5</v>
      </c>
      <c r="E756" s="187">
        <v>543.5</v>
      </c>
      <c r="F756" s="246">
        <v>1102130</v>
      </c>
      <c r="G756" s="187">
        <v>0</v>
      </c>
    </row>
    <row r="757" spans="1:7">
      <c r="A757" s="216" t="s">
        <v>2308</v>
      </c>
      <c r="B757" s="423" t="s">
        <v>366</v>
      </c>
      <c r="C757" s="246">
        <v>192783570</v>
      </c>
      <c r="D757" s="187">
        <v>3463.7820000000002</v>
      </c>
      <c r="E757" s="187">
        <v>3463.7820000000002</v>
      </c>
      <c r="F757" s="246">
        <v>224088</v>
      </c>
      <c r="G757" s="246">
        <v>216903</v>
      </c>
    </row>
    <row r="758" spans="1:7">
      <c r="A758" s="216" t="s">
        <v>749</v>
      </c>
      <c r="B758" s="423" t="s">
        <v>559</v>
      </c>
      <c r="C758" s="246">
        <v>1064311193</v>
      </c>
      <c r="D758" s="187">
        <v>3163.7429999999999</v>
      </c>
      <c r="E758" s="187">
        <v>3163.7429999999999</v>
      </c>
      <c r="F758" s="246">
        <v>2685219</v>
      </c>
      <c r="G758" s="187">
        <v>0</v>
      </c>
    </row>
    <row r="759" spans="1:7">
      <c r="A759" s="216" t="s">
        <v>2953</v>
      </c>
      <c r="B759" s="423" t="s">
        <v>560</v>
      </c>
      <c r="C759" s="246">
        <v>165688943</v>
      </c>
      <c r="D759" s="187">
        <v>813.74300000000005</v>
      </c>
      <c r="E759" s="187">
        <v>813.74300000000005</v>
      </c>
      <c r="F759" s="246">
        <v>267606</v>
      </c>
      <c r="G759" s="187">
        <v>0</v>
      </c>
    </row>
    <row r="760" spans="1:7">
      <c r="A760" s="216" t="s">
        <v>2955</v>
      </c>
      <c r="B760" s="423" t="s">
        <v>561</v>
      </c>
      <c r="C760" s="246">
        <v>1045782968</v>
      </c>
      <c r="D760" s="187">
        <v>4833.0429999999997</v>
      </c>
      <c r="E760" s="187">
        <v>4833.0429999999997</v>
      </c>
      <c r="F760" s="246">
        <v>411006</v>
      </c>
      <c r="G760" s="187">
        <v>0</v>
      </c>
    </row>
    <row r="761" spans="1:7">
      <c r="A761" s="216" t="s">
        <v>2957</v>
      </c>
      <c r="B761" s="423" t="s">
        <v>562</v>
      </c>
      <c r="C761" s="246">
        <v>310795139</v>
      </c>
      <c r="D761" s="187">
        <v>1803.86</v>
      </c>
      <c r="E761" s="187">
        <v>1803.86</v>
      </c>
      <c r="F761" s="246">
        <v>226946</v>
      </c>
      <c r="G761" s="187">
        <v>0</v>
      </c>
    </row>
    <row r="762" spans="1:7">
      <c r="A762" s="216" t="s">
        <v>5123</v>
      </c>
      <c r="B762" s="423" t="s">
        <v>337</v>
      </c>
      <c r="C762" s="246">
        <v>487562784</v>
      </c>
      <c r="D762" s="187">
        <v>1895.518</v>
      </c>
      <c r="E762" s="187">
        <v>1895.518</v>
      </c>
      <c r="F762" s="246">
        <v>93657</v>
      </c>
      <c r="G762" s="246">
        <v>351010</v>
      </c>
    </row>
    <row r="763" spans="1:7">
      <c r="A763" s="216" t="s">
        <v>4119</v>
      </c>
      <c r="B763" s="423" t="s">
        <v>563</v>
      </c>
      <c r="C763" s="246">
        <v>61195952</v>
      </c>
      <c r="D763" s="187">
        <v>281.51400000000001</v>
      </c>
      <c r="E763" s="187">
        <v>281.51400000000001</v>
      </c>
      <c r="F763" s="187">
        <v>0</v>
      </c>
      <c r="G763" s="187">
        <v>0</v>
      </c>
    </row>
    <row r="764" spans="1:7">
      <c r="A764" s="216" t="s">
        <v>4121</v>
      </c>
      <c r="B764" s="423" t="s">
        <v>564</v>
      </c>
      <c r="C764" s="246">
        <v>34774714</v>
      </c>
      <c r="D764" s="187">
        <v>128.63399999999999</v>
      </c>
      <c r="E764" s="187">
        <v>128.63399999999999</v>
      </c>
      <c r="F764" s="187">
        <v>0</v>
      </c>
      <c r="G764" s="187">
        <v>0</v>
      </c>
    </row>
    <row r="765" spans="1:7">
      <c r="A765" s="216" t="s">
        <v>4123</v>
      </c>
      <c r="B765" s="423" t="s">
        <v>565</v>
      </c>
      <c r="C765" s="246">
        <v>19644918</v>
      </c>
      <c r="D765" s="187">
        <v>67.933000000000007</v>
      </c>
      <c r="E765" s="187">
        <v>67.933000000000007</v>
      </c>
      <c r="F765" s="187">
        <v>0</v>
      </c>
      <c r="G765" s="187">
        <v>0</v>
      </c>
    </row>
    <row r="766" spans="1:7">
      <c r="A766" s="216" t="s">
        <v>5032</v>
      </c>
      <c r="B766" s="423" t="s">
        <v>7666</v>
      </c>
      <c r="C766" s="246">
        <v>497302003</v>
      </c>
      <c r="D766" s="187">
        <v>2449.2130000000002</v>
      </c>
      <c r="E766" s="187">
        <v>2449.2130000000002</v>
      </c>
      <c r="F766" s="246">
        <v>187749</v>
      </c>
      <c r="G766" s="246">
        <v>240493</v>
      </c>
    </row>
    <row r="767" spans="1:7">
      <c r="A767" s="216" t="s">
        <v>4125</v>
      </c>
      <c r="B767" s="423" t="s">
        <v>566</v>
      </c>
      <c r="C767" s="246">
        <v>247125148</v>
      </c>
      <c r="D767" s="187">
        <v>1562.62</v>
      </c>
      <c r="E767" s="187">
        <v>1562.62</v>
      </c>
      <c r="F767" s="246">
        <v>136329</v>
      </c>
      <c r="G767" s="187">
        <v>0</v>
      </c>
    </row>
    <row r="768" spans="1:7">
      <c r="A768" s="216" t="s">
        <v>4127</v>
      </c>
      <c r="B768" s="423" t="s">
        <v>567</v>
      </c>
      <c r="C768" s="246">
        <v>1625093217</v>
      </c>
      <c r="D768" s="187">
        <v>2591.4459999999999</v>
      </c>
      <c r="E768" s="187">
        <v>2719.9290000000001</v>
      </c>
      <c r="F768" s="246">
        <v>749439</v>
      </c>
      <c r="G768" s="187">
        <v>0</v>
      </c>
    </row>
    <row r="769" spans="1:7">
      <c r="A769" s="216" t="s">
        <v>5033</v>
      </c>
      <c r="B769" s="423" t="s">
        <v>4059</v>
      </c>
      <c r="C769" s="246">
        <v>573793347</v>
      </c>
      <c r="D769" s="187">
        <v>4826.9740000000002</v>
      </c>
      <c r="E769" s="187">
        <v>4826.9740000000002</v>
      </c>
      <c r="F769" s="246">
        <v>82654</v>
      </c>
      <c r="G769" s="246">
        <v>427289</v>
      </c>
    </row>
    <row r="770" spans="1:7">
      <c r="A770" s="216" t="s">
        <v>4129</v>
      </c>
      <c r="B770" s="423" t="s">
        <v>1621</v>
      </c>
      <c r="C770" s="246">
        <v>651172788</v>
      </c>
      <c r="D770" s="187">
        <v>3543.6529999999998</v>
      </c>
      <c r="E770" s="187">
        <v>3543.6529999999998</v>
      </c>
      <c r="F770" s="246">
        <v>687184</v>
      </c>
      <c r="G770" s="187">
        <v>0</v>
      </c>
    </row>
    <row r="771" spans="1:7">
      <c r="A771" s="216" t="s">
        <v>4131</v>
      </c>
      <c r="B771" s="423" t="s">
        <v>1622</v>
      </c>
      <c r="C771" s="246">
        <v>49797015</v>
      </c>
      <c r="D771" s="187">
        <v>182.00800000000001</v>
      </c>
      <c r="E771" s="187">
        <v>182.00800000000001</v>
      </c>
      <c r="F771" s="246">
        <v>49434</v>
      </c>
      <c r="G771" s="187">
        <v>0</v>
      </c>
    </row>
    <row r="772" spans="1:7">
      <c r="A772" s="216" t="s">
        <v>4133</v>
      </c>
      <c r="B772" s="423" t="s">
        <v>1623</v>
      </c>
      <c r="C772" s="246">
        <v>313728735</v>
      </c>
      <c r="D772" s="187">
        <v>318.94499999999999</v>
      </c>
      <c r="E772" s="187">
        <v>325.46699999999998</v>
      </c>
      <c r="F772" s="246">
        <v>315237</v>
      </c>
      <c r="G772" s="187">
        <v>0</v>
      </c>
    </row>
    <row r="773" spans="1:7">
      <c r="A773" s="216" t="s">
        <v>6175</v>
      </c>
      <c r="B773" s="423" t="s">
        <v>501</v>
      </c>
      <c r="C773" s="246">
        <v>424216480</v>
      </c>
      <c r="D773" s="187">
        <v>3383.7350000000001</v>
      </c>
      <c r="E773" s="187">
        <v>3383.7350000000001</v>
      </c>
      <c r="F773" s="246">
        <v>432831</v>
      </c>
      <c r="G773" s="246">
        <v>276799</v>
      </c>
    </row>
    <row r="774" spans="1:7">
      <c r="A774" s="216" t="s">
        <v>4135</v>
      </c>
      <c r="B774" s="423" t="s">
        <v>1624</v>
      </c>
      <c r="C774" s="246">
        <v>146988493</v>
      </c>
      <c r="D774" s="187">
        <v>478.34699999999998</v>
      </c>
      <c r="E774" s="187">
        <v>478.34699999999998</v>
      </c>
      <c r="F774" s="246">
        <v>153304</v>
      </c>
      <c r="G774" s="187">
        <v>0</v>
      </c>
    </row>
    <row r="775" spans="1:7">
      <c r="A775" s="216" t="s">
        <v>4137</v>
      </c>
      <c r="B775" s="423" t="s">
        <v>1625</v>
      </c>
      <c r="C775" s="246">
        <v>49037034</v>
      </c>
      <c r="D775" s="187">
        <v>177.15799999999999</v>
      </c>
      <c r="E775" s="187">
        <v>178.20400000000001</v>
      </c>
      <c r="F775" s="187">
        <v>0</v>
      </c>
      <c r="G775" s="187">
        <v>0</v>
      </c>
    </row>
    <row r="776" spans="1:7">
      <c r="A776" s="216" t="s">
        <v>4139</v>
      </c>
      <c r="B776" s="423" t="s">
        <v>1626</v>
      </c>
      <c r="C776" s="246">
        <v>233584663</v>
      </c>
      <c r="D776" s="187">
        <v>91.400999999999996</v>
      </c>
      <c r="E776" s="187">
        <v>99.143000000000001</v>
      </c>
      <c r="F776" s="246">
        <v>101333</v>
      </c>
      <c r="G776" s="187">
        <v>0</v>
      </c>
    </row>
    <row r="777" spans="1:7">
      <c r="A777" s="216" t="s">
        <v>4141</v>
      </c>
      <c r="B777" s="423" t="s">
        <v>1627</v>
      </c>
      <c r="C777" s="246">
        <v>367254403</v>
      </c>
      <c r="D777" s="187">
        <v>438.596</v>
      </c>
      <c r="E777" s="187">
        <v>438.596</v>
      </c>
      <c r="F777" s="246">
        <v>610341</v>
      </c>
      <c r="G777" s="187">
        <v>0</v>
      </c>
    </row>
    <row r="778" spans="1:7">
      <c r="A778" s="216" t="s">
        <v>4143</v>
      </c>
      <c r="B778" s="423" t="s">
        <v>1628</v>
      </c>
      <c r="C778" s="246">
        <v>1647624219</v>
      </c>
      <c r="D778" s="187">
        <v>2631.11</v>
      </c>
      <c r="E778" s="187">
        <v>2631.11</v>
      </c>
      <c r="F778" s="246">
        <v>924968</v>
      </c>
      <c r="G778" s="187">
        <v>0</v>
      </c>
    </row>
    <row r="779" spans="1:7">
      <c r="A779" s="216" t="s">
        <v>1318</v>
      </c>
      <c r="B779" s="423" t="s">
        <v>124</v>
      </c>
      <c r="C779" s="246">
        <v>95571934</v>
      </c>
      <c r="D779" s="187">
        <v>265.45100000000002</v>
      </c>
      <c r="E779" s="187">
        <v>265.45100000000002</v>
      </c>
      <c r="F779" s="246">
        <v>45661</v>
      </c>
      <c r="G779" s="246">
        <v>68266</v>
      </c>
    </row>
    <row r="780" spans="1:7">
      <c r="A780" s="216" t="s">
        <v>2536</v>
      </c>
      <c r="B780" s="423" t="s">
        <v>344</v>
      </c>
      <c r="C780" s="246">
        <v>82852939</v>
      </c>
      <c r="D780" s="187">
        <v>471.36700000000002</v>
      </c>
      <c r="E780" s="187">
        <v>471.36700000000002</v>
      </c>
      <c r="F780" s="246">
        <v>122022</v>
      </c>
      <c r="G780" s="246">
        <v>54200</v>
      </c>
    </row>
    <row r="781" spans="1:7">
      <c r="A781" s="216" t="s">
        <v>2407</v>
      </c>
      <c r="B781" s="423" t="s">
        <v>2352</v>
      </c>
      <c r="C781" s="246">
        <v>454966081</v>
      </c>
      <c r="D781" s="187">
        <v>3227.4029999999998</v>
      </c>
      <c r="E781" s="187">
        <v>3227.4029999999998</v>
      </c>
      <c r="F781" s="246">
        <v>365502</v>
      </c>
      <c r="G781" s="246">
        <v>281967</v>
      </c>
    </row>
    <row r="782" spans="1:7">
      <c r="A782" s="216" t="s">
        <v>5034</v>
      </c>
      <c r="B782" s="423" t="s">
        <v>4064</v>
      </c>
      <c r="C782" s="246">
        <v>1668057830</v>
      </c>
      <c r="D782" s="187">
        <v>6590.6019999999999</v>
      </c>
      <c r="E782" s="187">
        <v>6590.6019999999999</v>
      </c>
      <c r="F782" s="246">
        <v>3704563</v>
      </c>
      <c r="G782" s="246">
        <v>173551</v>
      </c>
    </row>
    <row r="783" spans="1:7">
      <c r="A783" s="216" t="s">
        <v>6174</v>
      </c>
      <c r="B783" s="423" t="s">
        <v>500</v>
      </c>
      <c r="C783" s="246">
        <v>159646208</v>
      </c>
      <c r="D783" s="187">
        <v>743.02700000000004</v>
      </c>
      <c r="E783" s="187">
        <v>743.02700000000004</v>
      </c>
      <c r="F783" s="246">
        <v>288898</v>
      </c>
      <c r="G783" s="246">
        <v>102446</v>
      </c>
    </row>
    <row r="784" spans="1:7">
      <c r="A784" s="216" t="s">
        <v>4145</v>
      </c>
      <c r="B784" s="423" t="s">
        <v>1629</v>
      </c>
      <c r="C784" s="246">
        <v>921760917</v>
      </c>
      <c r="D784" s="187">
        <v>3529.9960000000001</v>
      </c>
      <c r="E784" s="187">
        <v>3529.9960000000001</v>
      </c>
      <c r="F784" s="246">
        <v>2346855</v>
      </c>
      <c r="G784" s="187">
        <v>0</v>
      </c>
    </row>
    <row r="785" spans="1:7">
      <c r="A785" s="216" t="s">
        <v>6196</v>
      </c>
      <c r="B785" s="423" t="s">
        <v>5295</v>
      </c>
      <c r="C785" s="246">
        <v>105433643</v>
      </c>
      <c r="D785" s="187">
        <v>932.82500000000005</v>
      </c>
      <c r="E785" s="187">
        <v>932.82500000000005</v>
      </c>
      <c r="F785" s="246">
        <v>135773</v>
      </c>
      <c r="G785" s="246">
        <v>78354</v>
      </c>
    </row>
    <row r="786" spans="1:7">
      <c r="A786" s="216" t="s">
        <v>6131</v>
      </c>
      <c r="B786" s="423" t="s">
        <v>7667</v>
      </c>
      <c r="C786" s="246">
        <v>133168678</v>
      </c>
      <c r="D786" s="187">
        <v>652.00400000000002</v>
      </c>
      <c r="E786" s="187">
        <v>654.505</v>
      </c>
      <c r="F786" s="246">
        <v>156670</v>
      </c>
      <c r="G786" s="246">
        <v>97180</v>
      </c>
    </row>
    <row r="787" spans="1:7">
      <c r="A787" s="216" t="s">
        <v>254</v>
      </c>
      <c r="B787" s="423" t="s">
        <v>1630</v>
      </c>
      <c r="C787" s="246">
        <v>88845922</v>
      </c>
      <c r="D787" s="187">
        <v>171.667</v>
      </c>
      <c r="E787" s="187">
        <v>171.667</v>
      </c>
      <c r="F787" s="246">
        <v>141659</v>
      </c>
      <c r="G787" s="187">
        <v>0</v>
      </c>
    </row>
    <row r="788" spans="1:7">
      <c r="A788" s="216" t="s">
        <v>256</v>
      </c>
      <c r="B788" s="423" t="s">
        <v>1631</v>
      </c>
      <c r="C788" s="246">
        <v>61064293</v>
      </c>
      <c r="D788" s="187">
        <v>482.91500000000002</v>
      </c>
      <c r="E788" s="187">
        <v>492.66300000000001</v>
      </c>
      <c r="F788" s="187">
        <v>0</v>
      </c>
      <c r="G788" s="187">
        <v>0</v>
      </c>
    </row>
    <row r="789" spans="1:7">
      <c r="A789" s="216" t="s">
        <v>258</v>
      </c>
      <c r="B789" s="423" t="s">
        <v>1632</v>
      </c>
      <c r="C789" s="246">
        <v>82123336</v>
      </c>
      <c r="D789" s="187">
        <v>456.64499999999998</v>
      </c>
      <c r="E789" s="187">
        <v>456.64499999999998</v>
      </c>
      <c r="F789" s="246">
        <v>58300</v>
      </c>
      <c r="G789" s="187">
        <v>0</v>
      </c>
    </row>
    <row r="790" spans="1:7">
      <c r="A790" s="216" t="s">
        <v>260</v>
      </c>
      <c r="B790" s="423" t="s">
        <v>1633</v>
      </c>
      <c r="C790" s="246">
        <v>194495773</v>
      </c>
      <c r="D790" s="187">
        <v>1122.415</v>
      </c>
      <c r="E790" s="187">
        <v>1122.415</v>
      </c>
      <c r="F790" s="187">
        <v>0</v>
      </c>
      <c r="G790" s="187">
        <v>0</v>
      </c>
    </row>
    <row r="791" spans="1:7">
      <c r="A791" s="216" t="s">
        <v>262</v>
      </c>
      <c r="B791" s="423" t="s">
        <v>1634</v>
      </c>
      <c r="C791" s="246">
        <v>47673622</v>
      </c>
      <c r="D791" s="187">
        <v>159.286</v>
      </c>
      <c r="E791" s="187">
        <v>161.01300000000001</v>
      </c>
      <c r="F791" s="187">
        <v>0</v>
      </c>
      <c r="G791" s="187">
        <v>0</v>
      </c>
    </row>
    <row r="792" spans="1:7">
      <c r="A792" s="216" t="s">
        <v>872</v>
      </c>
      <c r="B792" s="423" t="s">
        <v>397</v>
      </c>
      <c r="C792" s="246">
        <v>184131323</v>
      </c>
      <c r="D792" s="187">
        <v>115.655</v>
      </c>
      <c r="E792" s="187">
        <v>115.655</v>
      </c>
      <c r="F792" s="187">
        <v>0</v>
      </c>
      <c r="G792" s="187">
        <v>0</v>
      </c>
    </row>
    <row r="793" spans="1:7">
      <c r="A793" s="216" t="s">
        <v>874</v>
      </c>
      <c r="B793" s="423" t="s">
        <v>398</v>
      </c>
      <c r="C793" s="246">
        <v>1081550483</v>
      </c>
      <c r="D793" s="187">
        <v>2104.4769999999999</v>
      </c>
      <c r="E793" s="187">
        <v>2104.4769999999999</v>
      </c>
      <c r="F793" s="246">
        <v>1223671</v>
      </c>
      <c r="G793" s="187">
        <v>0</v>
      </c>
    </row>
    <row r="794" spans="1:7">
      <c r="A794" s="216" t="s">
        <v>876</v>
      </c>
      <c r="B794" s="423" t="s">
        <v>399</v>
      </c>
      <c r="C794" s="246">
        <v>718521698</v>
      </c>
      <c r="D794" s="187">
        <v>524.20299999999997</v>
      </c>
      <c r="E794" s="187">
        <v>524.20299999999997</v>
      </c>
      <c r="F794" s="187">
        <v>0</v>
      </c>
      <c r="G794" s="187">
        <v>0</v>
      </c>
    </row>
    <row r="795" spans="1:7">
      <c r="A795" s="216" t="s">
        <v>3040</v>
      </c>
      <c r="B795" s="423" t="s">
        <v>400</v>
      </c>
      <c r="C795" s="246">
        <v>254764581</v>
      </c>
      <c r="D795" s="187">
        <v>446.334</v>
      </c>
      <c r="E795" s="187">
        <v>446.334</v>
      </c>
      <c r="F795" s="246">
        <v>254746</v>
      </c>
      <c r="G795" s="187">
        <v>0</v>
      </c>
    </row>
    <row r="796" spans="1:7">
      <c r="A796" s="216" t="s">
        <v>3042</v>
      </c>
      <c r="B796" s="423" t="s">
        <v>401</v>
      </c>
      <c r="C796" s="246">
        <v>66115582</v>
      </c>
      <c r="D796" s="187">
        <v>297.91899999999998</v>
      </c>
      <c r="E796" s="187">
        <v>297.91899999999998</v>
      </c>
      <c r="F796" s="187">
        <v>0</v>
      </c>
      <c r="G796" s="187">
        <v>0</v>
      </c>
    </row>
    <row r="797" spans="1:7">
      <c r="A797" s="216" t="s">
        <v>709</v>
      </c>
      <c r="B797" s="423" t="s">
        <v>402</v>
      </c>
      <c r="C797" s="246">
        <v>192970828</v>
      </c>
      <c r="D797" s="187">
        <v>1037.3699999999999</v>
      </c>
      <c r="E797" s="187">
        <v>1037.3699999999999</v>
      </c>
      <c r="F797" s="246">
        <v>196877</v>
      </c>
      <c r="G797" s="187">
        <v>0</v>
      </c>
    </row>
    <row r="798" spans="1:7">
      <c r="A798" s="216" t="s">
        <v>3044</v>
      </c>
      <c r="B798" s="423" t="s">
        <v>403</v>
      </c>
      <c r="C798" s="246">
        <v>78530327</v>
      </c>
      <c r="D798" s="187">
        <v>227.87299999999999</v>
      </c>
      <c r="E798" s="187">
        <v>228.55099999999999</v>
      </c>
      <c r="F798" s="187">
        <v>0</v>
      </c>
      <c r="G798" s="187">
        <v>0</v>
      </c>
    </row>
    <row r="799" spans="1:7">
      <c r="A799" s="216" t="s">
        <v>2992</v>
      </c>
      <c r="B799" s="423" t="s">
        <v>195</v>
      </c>
      <c r="C799" s="246">
        <v>714687492</v>
      </c>
      <c r="D799" s="187">
        <v>3756.7649999999999</v>
      </c>
      <c r="E799" s="187">
        <v>3756.7649999999999</v>
      </c>
      <c r="F799" s="246">
        <v>43102</v>
      </c>
      <c r="G799" s="246">
        <v>502775</v>
      </c>
    </row>
    <row r="800" spans="1:7">
      <c r="A800" s="216" t="s">
        <v>3046</v>
      </c>
      <c r="B800" s="423" t="s">
        <v>404</v>
      </c>
      <c r="C800" s="246">
        <v>210763689</v>
      </c>
      <c r="D800" s="187">
        <v>758.245</v>
      </c>
      <c r="E800" s="187">
        <v>758.245</v>
      </c>
      <c r="F800" s="246">
        <v>383791</v>
      </c>
      <c r="G800" s="187">
        <v>0</v>
      </c>
    </row>
    <row r="801" spans="1:7">
      <c r="A801" s="216" t="s">
        <v>264</v>
      </c>
      <c r="B801" s="423" t="s">
        <v>7681</v>
      </c>
      <c r="C801" s="246">
        <v>5281240404</v>
      </c>
      <c r="D801" s="187">
        <v>27059.81</v>
      </c>
      <c r="E801" s="187">
        <v>27059.81</v>
      </c>
      <c r="F801" s="246">
        <v>4065380</v>
      </c>
      <c r="G801" s="246">
        <v>1712548</v>
      </c>
    </row>
    <row r="802" spans="1:7">
      <c r="A802" s="216" t="s">
        <v>2306</v>
      </c>
      <c r="B802" s="423" t="s">
        <v>363</v>
      </c>
      <c r="C802" s="246">
        <v>173774807</v>
      </c>
      <c r="D802" s="187">
        <v>1304.4179999999999</v>
      </c>
      <c r="E802" s="187">
        <v>1304.4179999999999</v>
      </c>
      <c r="F802" s="246">
        <v>2785</v>
      </c>
      <c r="G802" s="246">
        <v>126282</v>
      </c>
    </row>
    <row r="803" spans="1:7">
      <c r="A803" s="216" t="s">
        <v>3048</v>
      </c>
      <c r="B803" s="423" t="s">
        <v>2898</v>
      </c>
      <c r="C803" s="246">
        <v>650049914</v>
      </c>
      <c r="D803" s="187">
        <v>792.55499999999995</v>
      </c>
      <c r="E803" s="187">
        <v>792.55499999999995</v>
      </c>
      <c r="F803" s="246">
        <v>883805</v>
      </c>
      <c r="G803" s="187">
        <v>0</v>
      </c>
    </row>
    <row r="804" spans="1:7">
      <c r="A804" s="216" t="s">
        <v>3049</v>
      </c>
      <c r="B804" s="423" t="s">
        <v>405</v>
      </c>
      <c r="C804" s="246">
        <v>470509846</v>
      </c>
      <c r="D804" s="187">
        <v>708.09299999999996</v>
      </c>
      <c r="E804" s="187">
        <v>708.09299999999996</v>
      </c>
      <c r="F804" s="246">
        <v>354256</v>
      </c>
      <c r="G804" s="187">
        <v>0</v>
      </c>
    </row>
    <row r="805" spans="1:7">
      <c r="A805" s="216" t="s">
        <v>5035</v>
      </c>
      <c r="B805" s="423" t="s">
        <v>6064</v>
      </c>
      <c r="C805" s="246">
        <v>84900512</v>
      </c>
      <c r="D805" s="187">
        <v>409.62900000000002</v>
      </c>
      <c r="E805" s="187">
        <v>414.04300000000001</v>
      </c>
      <c r="F805" s="246">
        <v>35170</v>
      </c>
      <c r="G805" s="246">
        <v>82848</v>
      </c>
    </row>
    <row r="806" spans="1:7">
      <c r="A806" s="216" t="s">
        <v>5131</v>
      </c>
      <c r="B806" s="423" t="s">
        <v>350</v>
      </c>
      <c r="C806" s="246">
        <v>68457838</v>
      </c>
      <c r="D806" s="187">
        <v>1458.135</v>
      </c>
      <c r="E806" s="187">
        <v>1458.135</v>
      </c>
      <c r="F806" s="246">
        <v>33587</v>
      </c>
      <c r="G806" s="246">
        <v>80381</v>
      </c>
    </row>
    <row r="807" spans="1:7">
      <c r="A807" s="216" t="s">
        <v>5231</v>
      </c>
      <c r="B807" s="423" t="s">
        <v>406</v>
      </c>
      <c r="C807" s="246">
        <v>282087938</v>
      </c>
      <c r="D807" s="187">
        <v>1508.5360000000001</v>
      </c>
      <c r="E807" s="187">
        <v>1508.5360000000001</v>
      </c>
      <c r="F807" s="246">
        <v>190686</v>
      </c>
      <c r="G807" s="187">
        <v>0</v>
      </c>
    </row>
    <row r="808" spans="1:7">
      <c r="A808" s="216" t="s">
        <v>3109</v>
      </c>
      <c r="B808" s="423" t="s">
        <v>407</v>
      </c>
      <c r="C808" s="246">
        <v>1718282878</v>
      </c>
      <c r="D808" s="187">
        <v>7255.1869999999999</v>
      </c>
      <c r="E808" s="187">
        <v>7255.1869999999999</v>
      </c>
      <c r="F808" s="246">
        <v>1488610</v>
      </c>
      <c r="G808" s="187">
        <v>0</v>
      </c>
    </row>
    <row r="809" spans="1:7">
      <c r="A809" s="216" t="s">
        <v>3111</v>
      </c>
      <c r="B809" s="423" t="s">
        <v>3193</v>
      </c>
      <c r="C809" s="246">
        <v>443642880</v>
      </c>
      <c r="D809" s="187">
        <v>712.15800000000002</v>
      </c>
      <c r="E809" s="187">
        <v>737.63699999999994</v>
      </c>
      <c r="F809" s="187">
        <v>0</v>
      </c>
      <c r="G809" s="187">
        <v>0</v>
      </c>
    </row>
    <row r="810" spans="1:7">
      <c r="A810" s="216" t="s">
        <v>3113</v>
      </c>
      <c r="B810" s="423" t="s">
        <v>3194</v>
      </c>
      <c r="C810" s="246">
        <v>118388851</v>
      </c>
      <c r="D810" s="187">
        <v>243.584</v>
      </c>
      <c r="E810" s="187">
        <v>256.322</v>
      </c>
      <c r="F810" s="187">
        <v>0</v>
      </c>
      <c r="G810" s="187">
        <v>0</v>
      </c>
    </row>
    <row r="811" spans="1:7">
      <c r="A811" s="216" t="s">
        <v>975</v>
      </c>
      <c r="B811" s="423" t="s">
        <v>7692</v>
      </c>
      <c r="C811" s="246">
        <v>35670613</v>
      </c>
      <c r="D811" s="187">
        <v>399.85199999999998</v>
      </c>
      <c r="E811" s="187">
        <v>399.85199999999998</v>
      </c>
      <c r="F811" s="187">
        <v>0</v>
      </c>
      <c r="G811" s="187">
        <v>0</v>
      </c>
    </row>
    <row r="812" spans="1:7">
      <c r="A812" s="216" t="s">
        <v>2771</v>
      </c>
      <c r="B812" s="423" t="s">
        <v>364</v>
      </c>
      <c r="C812" s="246">
        <v>86281334</v>
      </c>
      <c r="D812" s="187">
        <v>685.66099999999994</v>
      </c>
      <c r="E812" s="187">
        <v>685.66099999999994</v>
      </c>
      <c r="F812" s="246">
        <v>75546</v>
      </c>
      <c r="G812" s="246">
        <v>121871</v>
      </c>
    </row>
    <row r="813" spans="1:7">
      <c r="A813" s="216" t="s">
        <v>2821</v>
      </c>
      <c r="B813" s="423" t="s">
        <v>3195</v>
      </c>
      <c r="C813" s="246">
        <v>175165998</v>
      </c>
      <c r="D813" s="187">
        <v>906.08500000000004</v>
      </c>
      <c r="E813" s="187">
        <v>906.08500000000004</v>
      </c>
      <c r="F813" s="187">
        <v>0</v>
      </c>
      <c r="G813" s="187">
        <v>0</v>
      </c>
    </row>
    <row r="814" spans="1:7">
      <c r="A814" s="216" t="s">
        <v>4589</v>
      </c>
      <c r="B814" s="423" t="s">
        <v>998</v>
      </c>
      <c r="C814" s="246">
        <v>44355938</v>
      </c>
      <c r="D814" s="187">
        <v>473.10500000000002</v>
      </c>
      <c r="E814" s="187">
        <v>489.15800000000002</v>
      </c>
      <c r="F814" s="187">
        <v>0</v>
      </c>
      <c r="G814" s="246">
        <v>25609</v>
      </c>
    </row>
    <row r="815" spans="1:7">
      <c r="A815" s="216" t="s">
        <v>2572</v>
      </c>
      <c r="B815" s="423" t="s">
        <v>3196</v>
      </c>
      <c r="C815" s="246">
        <v>436468169</v>
      </c>
      <c r="D815" s="187">
        <v>2122.0680000000002</v>
      </c>
      <c r="E815" s="187">
        <v>2122.0680000000002</v>
      </c>
      <c r="F815" s="187">
        <v>0</v>
      </c>
      <c r="G815" s="187">
        <v>0</v>
      </c>
    </row>
    <row r="816" spans="1:7">
      <c r="A816" s="216" t="s">
        <v>1507</v>
      </c>
      <c r="B816" s="423" t="s">
        <v>7694</v>
      </c>
      <c r="C816" s="246">
        <v>22982906</v>
      </c>
      <c r="D816" s="187">
        <v>181.261</v>
      </c>
      <c r="E816" s="187">
        <v>181.261</v>
      </c>
      <c r="F816" s="187">
        <v>0</v>
      </c>
      <c r="G816" s="246">
        <v>16416</v>
      </c>
    </row>
    <row r="817" spans="1:7">
      <c r="A817" s="216" t="s">
        <v>2574</v>
      </c>
      <c r="B817" s="423" t="s">
        <v>3197</v>
      </c>
      <c r="C817" s="246">
        <v>208617273</v>
      </c>
      <c r="D817" s="187">
        <v>152.56899999999999</v>
      </c>
      <c r="E817" s="187">
        <v>152.56899999999999</v>
      </c>
      <c r="F817" s="246">
        <v>129535</v>
      </c>
      <c r="G817" s="187">
        <v>0</v>
      </c>
    </row>
    <row r="818" spans="1:7">
      <c r="A818" s="216" t="s">
        <v>2576</v>
      </c>
      <c r="B818" s="423" t="s">
        <v>3198</v>
      </c>
      <c r="C818" s="246">
        <v>94159891</v>
      </c>
      <c r="D818" s="187">
        <v>499.58199999999999</v>
      </c>
      <c r="E818" s="187">
        <v>499.58199999999999</v>
      </c>
      <c r="F818" s="187">
        <v>0</v>
      </c>
      <c r="G818" s="187">
        <v>0</v>
      </c>
    </row>
    <row r="819" spans="1:7">
      <c r="A819" s="216" t="s">
        <v>2578</v>
      </c>
      <c r="B819" s="423" t="s">
        <v>3199</v>
      </c>
      <c r="C819" s="246">
        <v>312143033</v>
      </c>
      <c r="D819" s="187">
        <v>744.60199999999998</v>
      </c>
      <c r="E819" s="187">
        <v>744.60199999999998</v>
      </c>
      <c r="F819" s="187">
        <v>0</v>
      </c>
      <c r="G819" s="187">
        <v>0</v>
      </c>
    </row>
    <row r="820" spans="1:7">
      <c r="A820" s="216" t="s">
        <v>158</v>
      </c>
      <c r="B820" s="423" t="s">
        <v>3200</v>
      </c>
      <c r="C820" s="246">
        <v>266093472</v>
      </c>
      <c r="D820" s="187">
        <v>151.34700000000001</v>
      </c>
      <c r="E820" s="187">
        <v>161.52000000000001</v>
      </c>
      <c r="F820" s="246">
        <v>145094</v>
      </c>
      <c r="G820" s="187">
        <v>0</v>
      </c>
    </row>
    <row r="821" spans="1:7">
      <c r="A821" s="216" t="s">
        <v>5211</v>
      </c>
      <c r="B821" s="423" t="s">
        <v>3201</v>
      </c>
      <c r="C821" s="246">
        <v>224156528</v>
      </c>
      <c r="D821" s="187">
        <v>444.63900000000001</v>
      </c>
      <c r="E821" s="187">
        <v>444.63900000000001</v>
      </c>
      <c r="F821" s="246">
        <v>527828</v>
      </c>
      <c r="G821" s="187">
        <v>0</v>
      </c>
    </row>
    <row r="822" spans="1:7">
      <c r="A822" s="216" t="s">
        <v>5213</v>
      </c>
      <c r="B822" s="423" t="s">
        <v>3202</v>
      </c>
      <c r="C822" s="246">
        <v>53067579</v>
      </c>
      <c r="D822" s="187">
        <v>220.238</v>
      </c>
      <c r="E822" s="187">
        <v>244.643</v>
      </c>
      <c r="F822" s="187">
        <v>0</v>
      </c>
      <c r="G822" s="187">
        <v>0</v>
      </c>
    </row>
    <row r="823" spans="1:7">
      <c r="A823" s="216" t="s">
        <v>5215</v>
      </c>
      <c r="B823" s="423" t="s">
        <v>3203</v>
      </c>
      <c r="C823" s="246">
        <v>354978290</v>
      </c>
      <c r="D823" s="187">
        <v>946.32899999999995</v>
      </c>
      <c r="E823" s="187">
        <v>946.32899999999995</v>
      </c>
      <c r="F823" s="246">
        <v>653765</v>
      </c>
      <c r="G823" s="187">
        <v>0</v>
      </c>
    </row>
    <row r="824" spans="1:7">
      <c r="A824" s="216" t="s">
        <v>5217</v>
      </c>
      <c r="B824" s="423" t="s">
        <v>3204</v>
      </c>
      <c r="C824" s="246">
        <v>247775946</v>
      </c>
      <c r="D824" s="187">
        <v>1077.4380000000001</v>
      </c>
      <c r="E824" s="187">
        <v>1077.4380000000001</v>
      </c>
      <c r="F824" s="187">
        <v>0</v>
      </c>
      <c r="G824" s="187">
        <v>0</v>
      </c>
    </row>
    <row r="825" spans="1:7">
      <c r="A825" s="216" t="s">
        <v>5219</v>
      </c>
      <c r="B825" s="423" t="s">
        <v>3205</v>
      </c>
      <c r="C825" s="246">
        <v>35210719</v>
      </c>
      <c r="D825" s="187">
        <v>414.82400000000001</v>
      </c>
      <c r="E825" s="187">
        <v>414.82400000000001</v>
      </c>
      <c r="F825" s="187">
        <v>0</v>
      </c>
      <c r="G825" s="187">
        <v>0</v>
      </c>
    </row>
    <row r="826" spans="1:7">
      <c r="A826" s="216" t="s">
        <v>2125</v>
      </c>
      <c r="B826" s="423" t="s">
        <v>3206</v>
      </c>
      <c r="C826" s="246">
        <v>3377918489</v>
      </c>
      <c r="D826" s="187">
        <v>9794.2080000000005</v>
      </c>
      <c r="E826" s="187">
        <v>9794.2080000000005</v>
      </c>
      <c r="F826" s="246">
        <v>9795964</v>
      </c>
      <c r="G826" s="187">
        <v>0</v>
      </c>
    </row>
    <row r="827" spans="1:7">
      <c r="A827" s="216" t="s">
        <v>870</v>
      </c>
      <c r="B827" s="423" t="s">
        <v>373</v>
      </c>
      <c r="C827" s="246">
        <v>383064869</v>
      </c>
      <c r="D827" s="187">
        <v>2725.2829999999999</v>
      </c>
      <c r="E827" s="187">
        <v>2725.2829999999999</v>
      </c>
      <c r="F827" s="246">
        <v>636949</v>
      </c>
      <c r="G827" s="246">
        <v>197386</v>
      </c>
    </row>
    <row r="828" spans="1:7">
      <c r="A828" s="216" t="s">
        <v>5615</v>
      </c>
      <c r="B828" s="423" t="s">
        <v>3207</v>
      </c>
      <c r="C828" s="246">
        <v>150915438</v>
      </c>
      <c r="D828" s="187">
        <v>995.87900000000002</v>
      </c>
      <c r="E828" s="187">
        <v>995.87900000000002</v>
      </c>
      <c r="F828" s="246">
        <v>104118</v>
      </c>
      <c r="G828" s="187">
        <v>0</v>
      </c>
    </row>
    <row r="829" spans="1:7">
      <c r="A829" s="216" t="s">
        <v>4590</v>
      </c>
      <c r="B829" s="423" t="s">
        <v>498</v>
      </c>
      <c r="C829" s="246">
        <v>38599752</v>
      </c>
      <c r="D829" s="187">
        <v>413.62200000000001</v>
      </c>
      <c r="E829" s="187">
        <v>413.62200000000001</v>
      </c>
      <c r="F829" s="187">
        <v>0</v>
      </c>
      <c r="G829" s="246">
        <v>29431</v>
      </c>
    </row>
    <row r="830" spans="1:7">
      <c r="A830" s="216" t="s">
        <v>860</v>
      </c>
      <c r="B830" s="423" t="s">
        <v>2005</v>
      </c>
      <c r="C830" s="246">
        <v>96388912</v>
      </c>
      <c r="D830" s="187">
        <v>637.12300000000005</v>
      </c>
      <c r="E830" s="187">
        <v>637.12300000000005</v>
      </c>
      <c r="F830" s="246">
        <v>70069</v>
      </c>
      <c r="G830" s="187">
        <v>0</v>
      </c>
    </row>
    <row r="831" spans="1:7">
      <c r="A831" s="216" t="s">
        <v>4591</v>
      </c>
      <c r="B831" s="423" t="s">
        <v>3834</v>
      </c>
      <c r="C831" s="246">
        <v>3343218</v>
      </c>
      <c r="D831" s="187">
        <v>64.096000000000004</v>
      </c>
      <c r="E831" s="187">
        <v>69.866</v>
      </c>
      <c r="F831" s="187">
        <v>0</v>
      </c>
      <c r="G831" s="246">
        <v>2253</v>
      </c>
    </row>
    <row r="832" spans="1:7">
      <c r="A832" s="216" t="s">
        <v>5617</v>
      </c>
      <c r="B832" s="423" t="s">
        <v>3208</v>
      </c>
      <c r="C832" s="246">
        <v>846877783</v>
      </c>
      <c r="D832" s="187">
        <v>3234.4180000000001</v>
      </c>
      <c r="E832" s="187">
        <v>3234.4180000000001</v>
      </c>
      <c r="F832" s="246">
        <v>849654</v>
      </c>
      <c r="G832" s="187">
        <v>0</v>
      </c>
    </row>
    <row r="833" spans="1:7">
      <c r="A833" s="216" t="s">
        <v>3150</v>
      </c>
      <c r="B833" s="423" t="s">
        <v>3209</v>
      </c>
      <c r="C833" s="246">
        <v>40093342</v>
      </c>
      <c r="D833" s="187">
        <v>149.41200000000001</v>
      </c>
      <c r="E833" s="187">
        <v>163.00299999999999</v>
      </c>
      <c r="F833" s="187">
        <v>0</v>
      </c>
      <c r="G833" s="187">
        <v>0</v>
      </c>
    </row>
    <row r="834" spans="1:7">
      <c r="A834" s="216" t="s">
        <v>3152</v>
      </c>
      <c r="B834" s="423" t="s">
        <v>3210</v>
      </c>
      <c r="C834" s="246">
        <v>22639700</v>
      </c>
      <c r="D834" s="187">
        <v>218.59100000000001</v>
      </c>
      <c r="E834" s="187">
        <v>218.59100000000001</v>
      </c>
      <c r="F834" s="187">
        <v>0</v>
      </c>
      <c r="G834" s="187">
        <v>0</v>
      </c>
    </row>
    <row r="835" spans="1:7">
      <c r="A835" s="216" t="s">
        <v>1949</v>
      </c>
      <c r="B835" s="423" t="s">
        <v>327</v>
      </c>
      <c r="C835" s="246">
        <v>35756503</v>
      </c>
      <c r="D835" s="187">
        <v>398.846</v>
      </c>
      <c r="E835" s="187">
        <v>398.846</v>
      </c>
      <c r="F835" s="187">
        <v>0</v>
      </c>
      <c r="G835" s="187">
        <v>0</v>
      </c>
    </row>
    <row r="836" spans="1:7">
      <c r="A836" s="216" t="s">
        <v>1951</v>
      </c>
      <c r="B836" s="423" t="s">
        <v>3627</v>
      </c>
      <c r="C836" s="246">
        <v>41831560</v>
      </c>
      <c r="D836" s="187">
        <v>489.20400000000001</v>
      </c>
      <c r="E836" s="187">
        <v>489.20400000000001</v>
      </c>
      <c r="F836" s="246">
        <v>2774</v>
      </c>
      <c r="G836" s="246">
        <v>27390</v>
      </c>
    </row>
    <row r="837" spans="1:7">
      <c r="A837" s="216" t="s">
        <v>3154</v>
      </c>
      <c r="B837" s="423" t="s">
        <v>3211</v>
      </c>
      <c r="C837" s="246">
        <v>1159520448</v>
      </c>
      <c r="D837" s="187">
        <v>1155.0340000000001</v>
      </c>
      <c r="E837" s="187">
        <v>1155.0340000000001</v>
      </c>
      <c r="F837" s="187">
        <v>0</v>
      </c>
      <c r="G837" s="187">
        <v>0</v>
      </c>
    </row>
    <row r="838" spans="1:7">
      <c r="A838" s="216" t="s">
        <v>3883</v>
      </c>
      <c r="B838" s="423" t="s">
        <v>6100</v>
      </c>
      <c r="C838" s="246">
        <v>45957264</v>
      </c>
      <c r="D838" s="187">
        <v>513.81200000000001</v>
      </c>
      <c r="E838" s="187">
        <v>513.81200000000001</v>
      </c>
      <c r="F838" s="187">
        <v>0</v>
      </c>
      <c r="G838" s="246">
        <v>27585</v>
      </c>
    </row>
    <row r="839" spans="1:7">
      <c r="A839" s="216" t="s">
        <v>3156</v>
      </c>
      <c r="B839" s="423" t="s">
        <v>3212</v>
      </c>
      <c r="C839" s="246">
        <v>195387574</v>
      </c>
      <c r="D839" s="187">
        <v>685.91600000000005</v>
      </c>
      <c r="E839" s="187">
        <v>702.66399999999999</v>
      </c>
      <c r="F839" s="187">
        <v>0</v>
      </c>
      <c r="G839" s="187">
        <v>0</v>
      </c>
    </row>
    <row r="840" spans="1:7">
      <c r="A840" s="216" t="s">
        <v>3158</v>
      </c>
      <c r="B840" s="423" t="s">
        <v>3213</v>
      </c>
      <c r="C840" s="246">
        <v>229480893</v>
      </c>
      <c r="D840" s="187">
        <v>888.49099999999999</v>
      </c>
      <c r="E840" s="187">
        <v>888.49099999999999</v>
      </c>
      <c r="F840" s="187">
        <v>0</v>
      </c>
      <c r="G840" s="187">
        <v>0</v>
      </c>
    </row>
    <row r="841" spans="1:7">
      <c r="A841" s="216" t="s">
        <v>3160</v>
      </c>
      <c r="B841" s="423" t="s">
        <v>3214</v>
      </c>
      <c r="C841" s="246">
        <v>88585091</v>
      </c>
      <c r="D841" s="187">
        <v>584.37599999999998</v>
      </c>
      <c r="E841" s="187">
        <v>584.37599999999998</v>
      </c>
      <c r="F841" s="187">
        <v>0</v>
      </c>
      <c r="G841" s="187">
        <v>0</v>
      </c>
    </row>
    <row r="842" spans="1:7">
      <c r="A842" s="216" t="s">
        <v>3162</v>
      </c>
      <c r="B842" s="423" t="s">
        <v>3215</v>
      </c>
      <c r="C842" s="246">
        <v>125839087</v>
      </c>
      <c r="D842" s="187">
        <v>914.66899999999998</v>
      </c>
      <c r="E842" s="187">
        <v>914.66899999999998</v>
      </c>
      <c r="F842" s="187">
        <v>0</v>
      </c>
      <c r="G842" s="187">
        <v>0</v>
      </c>
    </row>
    <row r="843" spans="1:7">
      <c r="A843" s="216" t="s">
        <v>569</v>
      </c>
      <c r="B843" s="423" t="s">
        <v>3216</v>
      </c>
      <c r="C843" s="246">
        <v>53557512</v>
      </c>
      <c r="D843" s="187">
        <v>433.32299999999998</v>
      </c>
      <c r="E843" s="187">
        <v>433.32299999999998</v>
      </c>
      <c r="F843" s="187">
        <v>0</v>
      </c>
      <c r="G843" s="187">
        <v>0</v>
      </c>
    </row>
    <row r="844" spans="1:7">
      <c r="A844" s="216" t="s">
        <v>571</v>
      </c>
      <c r="B844" s="423" t="s">
        <v>3217</v>
      </c>
      <c r="C844" s="246">
        <v>500729986</v>
      </c>
      <c r="D844" s="187">
        <v>1641.6679999999999</v>
      </c>
      <c r="E844" s="187">
        <v>1641.6679999999999</v>
      </c>
      <c r="F844" s="246">
        <v>476120</v>
      </c>
      <c r="G844" s="187">
        <v>0</v>
      </c>
    </row>
    <row r="845" spans="1:7">
      <c r="A845" s="216" t="s">
        <v>3181</v>
      </c>
      <c r="B845" s="423" t="s">
        <v>3596</v>
      </c>
      <c r="C845" s="246">
        <v>153655414</v>
      </c>
      <c r="D845" s="187">
        <v>1744.43</v>
      </c>
      <c r="E845" s="187">
        <v>1744.43</v>
      </c>
      <c r="F845" s="246">
        <v>111561</v>
      </c>
      <c r="G845" s="187">
        <v>0</v>
      </c>
    </row>
    <row r="846" spans="1:7">
      <c r="A846" s="216" t="s">
        <v>2071</v>
      </c>
      <c r="B846" s="423" t="s">
        <v>7687</v>
      </c>
      <c r="C846" s="246">
        <v>336220343</v>
      </c>
      <c r="D846" s="187">
        <v>1952.1369999999999</v>
      </c>
      <c r="E846" s="187">
        <v>1952.1369999999999</v>
      </c>
      <c r="F846" s="246">
        <v>161277</v>
      </c>
      <c r="G846" s="246">
        <v>132572</v>
      </c>
    </row>
    <row r="847" spans="1:7">
      <c r="A847" s="216" t="s">
        <v>3183</v>
      </c>
      <c r="B847" s="423" t="s">
        <v>3597</v>
      </c>
      <c r="C847" s="246">
        <v>708562870</v>
      </c>
      <c r="D847" s="187">
        <v>4088.357</v>
      </c>
      <c r="E847" s="187">
        <v>4088.357</v>
      </c>
      <c r="F847" s="246">
        <v>1739248</v>
      </c>
      <c r="G847" s="187">
        <v>0</v>
      </c>
    </row>
    <row r="848" spans="1:7">
      <c r="A848" s="216" t="s">
        <v>924</v>
      </c>
      <c r="B848" s="423" t="s">
        <v>3598</v>
      </c>
      <c r="C848" s="246">
        <v>952991441</v>
      </c>
      <c r="D848" s="187">
        <v>2105.0300000000002</v>
      </c>
      <c r="E848" s="187">
        <v>2105.0300000000002</v>
      </c>
      <c r="F848" s="246">
        <v>428414</v>
      </c>
      <c r="G848" s="187">
        <v>0</v>
      </c>
    </row>
    <row r="849" spans="1:7">
      <c r="A849" s="216" t="s">
        <v>6165</v>
      </c>
      <c r="B849" s="423" t="s">
        <v>6069</v>
      </c>
      <c r="C849" s="246">
        <v>170891393</v>
      </c>
      <c r="D849" s="187">
        <v>1775.028</v>
      </c>
      <c r="E849" s="187">
        <v>1775.028</v>
      </c>
      <c r="F849" s="246">
        <v>3891</v>
      </c>
      <c r="G849" s="246">
        <v>141335</v>
      </c>
    </row>
    <row r="850" spans="1:7">
      <c r="A850" s="216" t="s">
        <v>6187</v>
      </c>
      <c r="B850" s="423" t="s">
        <v>3832</v>
      </c>
      <c r="C850" s="246">
        <v>131477654</v>
      </c>
      <c r="D850" s="187">
        <v>1092.47</v>
      </c>
      <c r="E850" s="187">
        <v>1092.47</v>
      </c>
      <c r="F850" s="246">
        <v>21570</v>
      </c>
      <c r="G850" s="246">
        <v>154074</v>
      </c>
    </row>
    <row r="851" spans="1:7">
      <c r="A851" s="216" t="s">
        <v>1837</v>
      </c>
      <c r="B851" s="423" t="s">
        <v>1468</v>
      </c>
      <c r="C851" s="246">
        <v>224613612</v>
      </c>
      <c r="D851" s="187">
        <v>2027.7929999999999</v>
      </c>
      <c r="E851" s="187">
        <v>2027.7929999999999</v>
      </c>
      <c r="F851" s="187">
        <v>0</v>
      </c>
      <c r="G851" s="246">
        <v>145255</v>
      </c>
    </row>
    <row r="852" spans="1:7">
      <c r="A852" s="216" t="s">
        <v>3884</v>
      </c>
      <c r="B852" s="423" t="s">
        <v>5362</v>
      </c>
      <c r="C852" s="246">
        <v>138450563</v>
      </c>
      <c r="D852" s="187">
        <v>1353.519</v>
      </c>
      <c r="E852" s="187">
        <v>1353.519</v>
      </c>
      <c r="F852" s="246">
        <v>3398</v>
      </c>
      <c r="G852" s="246">
        <v>101569</v>
      </c>
    </row>
    <row r="853" spans="1:7">
      <c r="A853" s="216" t="s">
        <v>2390</v>
      </c>
      <c r="B853" s="423" t="s">
        <v>1455</v>
      </c>
      <c r="C853" s="246">
        <v>118195101</v>
      </c>
      <c r="D853" s="187">
        <v>714.90700000000004</v>
      </c>
      <c r="E853" s="187">
        <v>714.90700000000004</v>
      </c>
      <c r="F853" s="187">
        <v>0</v>
      </c>
      <c r="G853" s="246">
        <v>86075</v>
      </c>
    </row>
    <row r="854" spans="1:7">
      <c r="A854" s="216" t="s">
        <v>926</v>
      </c>
      <c r="B854" s="423" t="s">
        <v>3599</v>
      </c>
      <c r="C854" s="246">
        <v>37562439</v>
      </c>
      <c r="D854" s="187">
        <v>182.929</v>
      </c>
      <c r="E854" s="187">
        <v>182.929</v>
      </c>
      <c r="F854" s="187">
        <v>0</v>
      </c>
      <c r="G854" s="187">
        <v>0</v>
      </c>
    </row>
    <row r="855" spans="1:7">
      <c r="A855" s="216" t="s">
        <v>928</v>
      </c>
      <c r="B855" s="423" t="s">
        <v>1840</v>
      </c>
      <c r="C855" s="246">
        <v>28927689</v>
      </c>
      <c r="D855" s="187">
        <v>132</v>
      </c>
      <c r="E855" s="187">
        <v>132.04900000000001</v>
      </c>
      <c r="F855" s="187">
        <v>0</v>
      </c>
      <c r="G855" s="187">
        <v>0</v>
      </c>
    </row>
    <row r="856" spans="1:7">
      <c r="A856" s="216" t="s">
        <v>930</v>
      </c>
      <c r="B856" s="423" t="s">
        <v>1841</v>
      </c>
      <c r="C856" s="246">
        <v>196820457</v>
      </c>
      <c r="D856" s="187">
        <v>550.31200000000001</v>
      </c>
      <c r="E856" s="187">
        <v>550.70799999999997</v>
      </c>
      <c r="F856" s="187">
        <v>0</v>
      </c>
      <c r="G856" s="187">
        <v>0</v>
      </c>
    </row>
    <row r="857" spans="1:7">
      <c r="A857" s="216" t="s">
        <v>932</v>
      </c>
      <c r="B857" s="423" t="s">
        <v>1842</v>
      </c>
      <c r="C857" s="246">
        <v>34083290</v>
      </c>
      <c r="D857" s="187">
        <v>169.10900000000001</v>
      </c>
      <c r="E857" s="187">
        <v>169.10900000000001</v>
      </c>
      <c r="F857" s="187">
        <v>0</v>
      </c>
      <c r="G857" s="187">
        <v>0</v>
      </c>
    </row>
    <row r="858" spans="1:7">
      <c r="A858" s="216" t="s">
        <v>934</v>
      </c>
      <c r="B858" s="423" t="s">
        <v>0</v>
      </c>
      <c r="C858" s="246">
        <v>799667960</v>
      </c>
      <c r="D858" s="187">
        <v>2383.337</v>
      </c>
      <c r="E858" s="187">
        <v>2383.337</v>
      </c>
      <c r="F858" s="187">
        <v>0</v>
      </c>
      <c r="G858" s="187">
        <v>0</v>
      </c>
    </row>
    <row r="859" spans="1:7">
      <c r="A859" s="216" t="s">
        <v>936</v>
      </c>
      <c r="B859" s="423" t="s">
        <v>1</v>
      </c>
      <c r="C859" s="246">
        <v>90835637</v>
      </c>
      <c r="D859" s="187">
        <v>240.13900000000001</v>
      </c>
      <c r="E859" s="187">
        <v>240.13900000000001</v>
      </c>
      <c r="F859" s="187">
        <v>0</v>
      </c>
      <c r="G859" s="187">
        <v>0</v>
      </c>
    </row>
    <row r="860" spans="1:7">
      <c r="A860" s="216" t="s">
        <v>5145</v>
      </c>
      <c r="B860" s="423" t="s">
        <v>2</v>
      </c>
      <c r="C860" s="246">
        <v>122974236</v>
      </c>
      <c r="D860" s="187">
        <v>546.62699999999995</v>
      </c>
      <c r="E860" s="187">
        <v>546.62699999999995</v>
      </c>
      <c r="F860" s="246">
        <v>158929</v>
      </c>
      <c r="G860" s="187">
        <v>0</v>
      </c>
    </row>
    <row r="861" spans="1:7">
      <c r="A861" s="216" t="s">
        <v>2950</v>
      </c>
      <c r="B861" s="423" t="s">
        <v>3</v>
      </c>
      <c r="C861" s="246">
        <v>22168863</v>
      </c>
      <c r="D861" s="187">
        <v>58.941000000000003</v>
      </c>
      <c r="E861" s="187">
        <v>60.857999999999997</v>
      </c>
      <c r="F861" s="187">
        <v>0</v>
      </c>
      <c r="G861" s="187">
        <v>0</v>
      </c>
    </row>
    <row r="862" spans="1:7">
      <c r="A862" s="216" t="s">
        <v>2952</v>
      </c>
      <c r="B862" s="423" t="s">
        <v>4</v>
      </c>
      <c r="C862" s="246">
        <v>294772777</v>
      </c>
      <c r="D862" s="187">
        <v>2282.9769999999999</v>
      </c>
      <c r="E862" s="187">
        <v>2282.9769999999999</v>
      </c>
      <c r="F862" s="246">
        <v>380809</v>
      </c>
      <c r="G862" s="187">
        <v>0</v>
      </c>
    </row>
    <row r="863" spans="1:7">
      <c r="A863" s="216" t="s">
        <v>2526</v>
      </c>
      <c r="B863" s="423" t="s">
        <v>5</v>
      </c>
      <c r="C863" s="246">
        <v>107279496</v>
      </c>
      <c r="D863" s="187">
        <v>625.55200000000002</v>
      </c>
      <c r="E863" s="187">
        <v>625.55200000000002</v>
      </c>
      <c r="F863" s="246">
        <v>106909</v>
      </c>
      <c r="G863" s="187">
        <v>0</v>
      </c>
    </row>
    <row r="864" spans="1:7">
      <c r="A864" s="216" t="s">
        <v>3885</v>
      </c>
      <c r="B864" s="423" t="s">
        <v>1465</v>
      </c>
      <c r="C864" s="246">
        <v>110264638</v>
      </c>
      <c r="D864" s="187">
        <v>680.48599999999999</v>
      </c>
      <c r="E864" s="187">
        <v>680.48599999999999</v>
      </c>
      <c r="F864" s="246">
        <v>38970</v>
      </c>
      <c r="G864" s="246">
        <v>79450</v>
      </c>
    </row>
    <row r="865" spans="1:7">
      <c r="A865" s="216" t="s">
        <v>2528</v>
      </c>
      <c r="B865" s="423" t="s">
        <v>6</v>
      </c>
      <c r="C865" s="246">
        <v>52359091</v>
      </c>
      <c r="D865" s="187">
        <v>359.63900000000001</v>
      </c>
      <c r="E865" s="187">
        <v>359.63900000000001</v>
      </c>
      <c r="F865" s="187">
        <v>0</v>
      </c>
      <c r="G865" s="187">
        <v>0</v>
      </c>
    </row>
    <row r="866" spans="1:7">
      <c r="A866" s="216" t="s">
        <v>2530</v>
      </c>
      <c r="B866" s="423" t="s">
        <v>7</v>
      </c>
      <c r="C866" s="246">
        <v>87037466</v>
      </c>
      <c r="D866" s="187">
        <v>535.17700000000002</v>
      </c>
      <c r="E866" s="187">
        <v>535.17700000000002</v>
      </c>
      <c r="F866" s="246">
        <v>85170</v>
      </c>
      <c r="G866" s="187">
        <v>0</v>
      </c>
    </row>
    <row r="867" spans="1:7">
      <c r="A867" s="216" t="s">
        <v>2532</v>
      </c>
      <c r="B867" s="423" t="s">
        <v>8</v>
      </c>
      <c r="C867" s="246">
        <v>10319841</v>
      </c>
      <c r="D867" s="187">
        <v>62.725999999999999</v>
      </c>
      <c r="E867" s="187">
        <v>62.725999999999999</v>
      </c>
      <c r="F867" s="187">
        <v>0</v>
      </c>
      <c r="G867" s="187">
        <v>0</v>
      </c>
    </row>
    <row r="868" spans="1:7">
      <c r="A868" s="216" t="s">
        <v>2316</v>
      </c>
      <c r="B868" s="423" t="s">
        <v>9</v>
      </c>
      <c r="C868" s="246">
        <v>87328494</v>
      </c>
      <c r="D868" s="187">
        <v>124.551</v>
      </c>
      <c r="E868" s="187">
        <v>124.551</v>
      </c>
      <c r="F868" s="187">
        <v>0</v>
      </c>
      <c r="G868" s="187">
        <v>0</v>
      </c>
    </row>
    <row r="869" spans="1:7">
      <c r="A869" s="216" t="s">
        <v>5105</v>
      </c>
      <c r="B869" s="423" t="s">
        <v>10</v>
      </c>
      <c r="C869" s="246">
        <v>301256786</v>
      </c>
      <c r="D869" s="187">
        <v>580.51700000000005</v>
      </c>
      <c r="E869" s="187">
        <v>580.51700000000005</v>
      </c>
      <c r="F869" s="246">
        <v>253019</v>
      </c>
      <c r="G869" s="187">
        <v>0</v>
      </c>
    </row>
    <row r="870" spans="1:7">
      <c r="A870" s="216" t="s">
        <v>5036</v>
      </c>
      <c r="B870" s="423" t="s">
        <v>7689</v>
      </c>
      <c r="C870" s="246">
        <v>195271102</v>
      </c>
      <c r="D870" s="187">
        <v>867.44299999999998</v>
      </c>
      <c r="E870" s="187">
        <v>867.44299999999998</v>
      </c>
      <c r="F870" s="246">
        <v>340293</v>
      </c>
      <c r="G870" s="246">
        <v>141020</v>
      </c>
    </row>
    <row r="871" spans="1:7">
      <c r="A871" s="216" t="s">
        <v>2430</v>
      </c>
      <c r="B871" s="423" t="s">
        <v>11</v>
      </c>
      <c r="C871" s="246">
        <v>379162831</v>
      </c>
      <c r="D871" s="187">
        <v>1562.1120000000001</v>
      </c>
      <c r="E871" s="187">
        <v>1562.1120000000001</v>
      </c>
      <c r="F871" s="246">
        <v>875357</v>
      </c>
      <c r="G871" s="187">
        <v>0</v>
      </c>
    </row>
    <row r="872" spans="1:7">
      <c r="A872" s="216" t="s">
        <v>2432</v>
      </c>
      <c r="B872" s="423" t="s">
        <v>12</v>
      </c>
      <c r="C872" s="246">
        <v>650719494</v>
      </c>
      <c r="D872" s="187">
        <v>3019.5450000000001</v>
      </c>
      <c r="E872" s="187">
        <v>3019.5450000000001</v>
      </c>
      <c r="F872" s="246">
        <v>1274674</v>
      </c>
      <c r="G872" s="187">
        <v>0</v>
      </c>
    </row>
    <row r="873" spans="1:7">
      <c r="A873" s="216" t="s">
        <v>5339</v>
      </c>
      <c r="B873" s="423" t="s">
        <v>13</v>
      </c>
      <c r="C873" s="246">
        <v>131691737</v>
      </c>
      <c r="D873" s="187">
        <v>955.43</v>
      </c>
      <c r="E873" s="187">
        <v>955.43</v>
      </c>
      <c r="F873" s="246">
        <v>72151</v>
      </c>
      <c r="G873" s="187">
        <v>0</v>
      </c>
    </row>
    <row r="874" spans="1:7">
      <c r="A874" s="216" t="s">
        <v>5341</v>
      </c>
      <c r="B874" s="423" t="s">
        <v>14</v>
      </c>
      <c r="C874" s="246">
        <v>4781142448</v>
      </c>
      <c r="D874" s="187">
        <v>16351.364</v>
      </c>
      <c r="E874" s="187">
        <v>16351.364</v>
      </c>
      <c r="F874" s="246">
        <v>1965835</v>
      </c>
      <c r="G874" s="187">
        <v>0</v>
      </c>
    </row>
    <row r="875" spans="1:7">
      <c r="A875" s="216" t="s">
        <v>858</v>
      </c>
      <c r="B875" s="423" t="s">
        <v>4070</v>
      </c>
      <c r="C875" s="246">
        <v>950607822</v>
      </c>
      <c r="D875" s="187">
        <v>3912.73</v>
      </c>
      <c r="E875" s="187">
        <v>3912.73</v>
      </c>
      <c r="F875" s="246">
        <v>928539</v>
      </c>
      <c r="G875" s="246">
        <v>668119</v>
      </c>
    </row>
    <row r="876" spans="1:7">
      <c r="A876" s="216" t="s">
        <v>5343</v>
      </c>
      <c r="B876" s="423" t="s">
        <v>6106</v>
      </c>
      <c r="C876" s="246">
        <v>624688069</v>
      </c>
      <c r="D876" s="187">
        <v>2852.2669999999998</v>
      </c>
      <c r="E876" s="187">
        <v>2852.2669999999998</v>
      </c>
      <c r="F876" s="246">
        <v>755303</v>
      </c>
      <c r="G876" s="187">
        <v>0</v>
      </c>
    </row>
    <row r="877" spans="1:7">
      <c r="A877" s="216" t="s">
        <v>5344</v>
      </c>
      <c r="B877" s="423" t="s">
        <v>15</v>
      </c>
      <c r="C877" s="246">
        <v>212628496</v>
      </c>
      <c r="D877" s="187">
        <v>852.53</v>
      </c>
      <c r="E877" s="187">
        <v>896.21299999999997</v>
      </c>
      <c r="F877" s="246">
        <v>151629</v>
      </c>
      <c r="G877" s="187">
        <v>0</v>
      </c>
    </row>
    <row r="878" spans="1:7">
      <c r="A878" s="216" t="s">
        <v>5346</v>
      </c>
      <c r="B878" s="423" t="s">
        <v>16</v>
      </c>
      <c r="C878" s="246">
        <v>1807427049</v>
      </c>
      <c r="D878" s="187">
        <v>1513.42</v>
      </c>
      <c r="E878" s="187">
        <v>1513.42</v>
      </c>
      <c r="F878" s="187">
        <v>0</v>
      </c>
      <c r="G878" s="187">
        <v>0</v>
      </c>
    </row>
    <row r="879" spans="1:7">
      <c r="A879" s="216" t="s">
        <v>2770</v>
      </c>
      <c r="B879" s="423" t="s">
        <v>360</v>
      </c>
      <c r="C879" s="246">
        <v>653100494</v>
      </c>
      <c r="D879" s="187">
        <v>8976.8189999999995</v>
      </c>
      <c r="E879" s="187">
        <v>8976.8189999999995</v>
      </c>
      <c r="F879" s="187">
        <v>0</v>
      </c>
      <c r="G879" s="246">
        <v>1050521</v>
      </c>
    </row>
    <row r="880" spans="1:7">
      <c r="A880" s="216" t="s">
        <v>5348</v>
      </c>
      <c r="B880" s="423" t="s">
        <v>1718</v>
      </c>
      <c r="C880" s="246">
        <v>193289767</v>
      </c>
      <c r="D880" s="187">
        <v>236.42400000000001</v>
      </c>
      <c r="E880" s="187">
        <v>236.42400000000001</v>
      </c>
      <c r="F880" s="187">
        <v>0</v>
      </c>
      <c r="G880" s="187">
        <v>0</v>
      </c>
    </row>
    <row r="881" spans="1:7">
      <c r="A881" s="216" t="s">
        <v>3886</v>
      </c>
      <c r="B881" s="423" t="s">
        <v>368</v>
      </c>
      <c r="C881" s="246">
        <v>320496491</v>
      </c>
      <c r="D881" s="187">
        <v>5767.5389999999998</v>
      </c>
      <c r="E881" s="187">
        <v>5767.5389999999998</v>
      </c>
      <c r="F881" s="187">
        <v>0</v>
      </c>
      <c r="G881" s="246">
        <v>335106</v>
      </c>
    </row>
    <row r="882" spans="1:7">
      <c r="A882" s="216" t="s">
        <v>5350</v>
      </c>
      <c r="B882" s="423" t="s">
        <v>1719</v>
      </c>
      <c r="C882" s="246">
        <v>349675660</v>
      </c>
      <c r="D882" s="187">
        <v>1486.277</v>
      </c>
      <c r="E882" s="187">
        <v>1486.277</v>
      </c>
      <c r="F882" s="187">
        <v>0</v>
      </c>
      <c r="G882" s="187">
        <v>0</v>
      </c>
    </row>
    <row r="883" spans="1:7">
      <c r="A883" s="216" t="s">
        <v>3139</v>
      </c>
      <c r="B883" s="423" t="s">
        <v>1720</v>
      </c>
      <c r="C883" s="246">
        <v>273199353</v>
      </c>
      <c r="D883" s="187">
        <v>248.60300000000001</v>
      </c>
      <c r="E883" s="187">
        <v>253.994</v>
      </c>
      <c r="F883" s="187">
        <v>0</v>
      </c>
      <c r="G883" s="187">
        <v>0</v>
      </c>
    </row>
    <row r="884" spans="1:7">
      <c r="A884" s="216" t="s">
        <v>1530</v>
      </c>
      <c r="B884" s="423" t="s">
        <v>1721</v>
      </c>
      <c r="C884" s="246">
        <v>86232313</v>
      </c>
      <c r="D884" s="187">
        <v>213.11099999999999</v>
      </c>
      <c r="E884" s="187">
        <v>213.11099999999999</v>
      </c>
      <c r="F884" s="187">
        <v>0</v>
      </c>
      <c r="G884" s="187">
        <v>0</v>
      </c>
    </row>
    <row r="885" spans="1:7">
      <c r="A885" s="216" t="s">
        <v>1532</v>
      </c>
      <c r="B885" s="423" t="s">
        <v>1722</v>
      </c>
      <c r="C885" s="246">
        <v>546724483</v>
      </c>
      <c r="D885" s="187">
        <v>917.87400000000002</v>
      </c>
      <c r="E885" s="187">
        <v>917.87400000000002</v>
      </c>
      <c r="F885" s="246">
        <v>1113658</v>
      </c>
      <c r="G885" s="187">
        <v>0</v>
      </c>
    </row>
    <row r="886" spans="1:7">
      <c r="A886" s="216" t="s">
        <v>624</v>
      </c>
      <c r="B886" s="423" t="s">
        <v>1723</v>
      </c>
      <c r="C886" s="246">
        <v>52782211</v>
      </c>
      <c r="D886" s="187">
        <v>218.51400000000001</v>
      </c>
      <c r="E886" s="187">
        <v>218.51400000000001</v>
      </c>
      <c r="F886" s="187">
        <v>0</v>
      </c>
      <c r="G886" s="187">
        <v>0</v>
      </c>
    </row>
    <row r="887" spans="1:7">
      <c r="A887" s="216" t="s">
        <v>626</v>
      </c>
      <c r="B887" s="423" t="s">
        <v>1724</v>
      </c>
      <c r="C887" s="246">
        <v>120217329</v>
      </c>
      <c r="D887" s="187">
        <v>1058.3430000000001</v>
      </c>
      <c r="E887" s="187">
        <v>1058.3430000000001</v>
      </c>
      <c r="F887" s="187">
        <v>0</v>
      </c>
      <c r="G887" s="187">
        <v>0</v>
      </c>
    </row>
    <row r="888" spans="1:7">
      <c r="A888" s="216" t="s">
        <v>628</v>
      </c>
      <c r="B888" s="423" t="s">
        <v>1725</v>
      </c>
      <c r="C888" s="246">
        <v>49980928</v>
      </c>
      <c r="D888" s="187">
        <v>233.21899999999999</v>
      </c>
      <c r="E888" s="187">
        <v>233.21899999999999</v>
      </c>
      <c r="F888" s="187">
        <v>0</v>
      </c>
      <c r="G888" s="187">
        <v>0</v>
      </c>
    </row>
    <row r="889" spans="1:7">
      <c r="A889" s="216" t="s">
        <v>269</v>
      </c>
      <c r="B889" s="423" t="s">
        <v>7688</v>
      </c>
      <c r="C889" s="246">
        <v>17090069273</v>
      </c>
      <c r="D889" s="187">
        <v>57521.527000000002</v>
      </c>
      <c r="E889" s="187">
        <v>57521.527000000002</v>
      </c>
      <c r="F889" s="246">
        <v>40529167</v>
      </c>
      <c r="G889" s="246">
        <v>3834128</v>
      </c>
    </row>
    <row r="890" spans="1:7">
      <c r="A890" s="216" t="s">
        <v>951</v>
      </c>
      <c r="B890" s="423" t="s">
        <v>7656</v>
      </c>
      <c r="C890" s="246">
        <v>5755660019</v>
      </c>
      <c r="D890" s="187">
        <v>20731.851999999999</v>
      </c>
      <c r="E890" s="187">
        <v>20731.851999999999</v>
      </c>
      <c r="F890" s="246">
        <v>8196124</v>
      </c>
      <c r="G890" s="246">
        <v>1703637</v>
      </c>
    </row>
    <row r="891" spans="1:7">
      <c r="A891" s="216" t="s">
        <v>409</v>
      </c>
      <c r="B891" s="423" t="s">
        <v>1726</v>
      </c>
      <c r="C891" s="246">
        <v>629752159</v>
      </c>
      <c r="D891" s="187">
        <v>3720.5039999999999</v>
      </c>
      <c r="E891" s="187">
        <v>3720.5039999999999</v>
      </c>
      <c r="F891" s="246">
        <v>585174</v>
      </c>
      <c r="G891" s="187">
        <v>0</v>
      </c>
    </row>
    <row r="892" spans="1:7">
      <c r="A892" s="216" t="s">
        <v>3996</v>
      </c>
      <c r="B892" s="423" t="s">
        <v>1727</v>
      </c>
      <c r="C892" s="246">
        <v>16848465581</v>
      </c>
      <c r="D892" s="187">
        <v>73088.244999999995</v>
      </c>
      <c r="E892" s="187">
        <v>73088.244999999995</v>
      </c>
      <c r="F892" s="246">
        <v>27457349</v>
      </c>
      <c r="G892" s="187">
        <v>0</v>
      </c>
    </row>
    <row r="893" spans="1:7">
      <c r="A893" s="216" t="s">
        <v>3998</v>
      </c>
      <c r="B893" s="423" t="s">
        <v>1728</v>
      </c>
      <c r="C893" s="246">
        <v>7686947066</v>
      </c>
      <c r="D893" s="187">
        <v>13258.49</v>
      </c>
      <c r="E893" s="187">
        <v>13258.49</v>
      </c>
      <c r="F893" s="246">
        <v>17954489</v>
      </c>
      <c r="G893" s="187">
        <v>0</v>
      </c>
    </row>
    <row r="894" spans="1:7">
      <c r="A894" s="216" t="s">
        <v>6030</v>
      </c>
      <c r="B894" s="423" t="s">
        <v>1915</v>
      </c>
      <c r="C894" s="246">
        <v>5870836747</v>
      </c>
      <c r="D894" s="187">
        <v>21836.309000000001</v>
      </c>
      <c r="E894" s="187">
        <v>21836.309000000001</v>
      </c>
      <c r="F894" s="246">
        <v>16546900</v>
      </c>
      <c r="G894" s="246">
        <v>983706</v>
      </c>
    </row>
    <row r="895" spans="1:7">
      <c r="A895" s="216" t="s">
        <v>3002</v>
      </c>
      <c r="B895" s="423" t="s">
        <v>6062</v>
      </c>
      <c r="C895" s="246">
        <v>4808908289</v>
      </c>
      <c r="D895" s="187">
        <v>21886.578000000001</v>
      </c>
      <c r="E895" s="187">
        <v>21886.578000000001</v>
      </c>
      <c r="F895" s="246">
        <v>10829567</v>
      </c>
      <c r="G895" s="246">
        <v>4556931</v>
      </c>
    </row>
    <row r="896" spans="1:7">
      <c r="A896" s="216" t="s">
        <v>2986</v>
      </c>
      <c r="B896" s="423" t="s">
        <v>186</v>
      </c>
      <c r="C896" s="246">
        <v>450993839</v>
      </c>
      <c r="D896" s="187">
        <v>2233.444</v>
      </c>
      <c r="E896" s="187">
        <v>2233.444</v>
      </c>
      <c r="F896" s="246">
        <v>583813</v>
      </c>
      <c r="G896" s="246">
        <v>502333</v>
      </c>
    </row>
    <row r="897" spans="1:7">
      <c r="A897" s="216" t="s">
        <v>246</v>
      </c>
      <c r="B897" s="423" t="s">
        <v>1668</v>
      </c>
      <c r="C897" s="246">
        <v>3019858843</v>
      </c>
      <c r="D897" s="187">
        <v>11900.37</v>
      </c>
      <c r="E897" s="187">
        <v>11900.37</v>
      </c>
      <c r="F897" s="246">
        <v>2796729</v>
      </c>
      <c r="G897" s="246">
        <v>1351230</v>
      </c>
    </row>
    <row r="898" spans="1:7">
      <c r="A898" s="216" t="s">
        <v>6032</v>
      </c>
      <c r="B898" s="423" t="s">
        <v>1918</v>
      </c>
      <c r="C898" s="246">
        <v>722848865</v>
      </c>
      <c r="D898" s="187">
        <v>2697.915</v>
      </c>
      <c r="E898" s="187">
        <v>2697.915</v>
      </c>
      <c r="F898" s="246">
        <v>297517</v>
      </c>
      <c r="G898" s="246">
        <v>422660</v>
      </c>
    </row>
    <row r="899" spans="1:7">
      <c r="A899" s="216" t="s">
        <v>946</v>
      </c>
      <c r="B899" s="423" t="s">
        <v>7693</v>
      </c>
      <c r="C899" s="246">
        <v>1132049232</v>
      </c>
      <c r="D899" s="187">
        <v>5512.875</v>
      </c>
      <c r="E899" s="187">
        <v>5512.875</v>
      </c>
      <c r="F899" s="246">
        <v>1020040</v>
      </c>
      <c r="G899" s="246">
        <v>808420</v>
      </c>
    </row>
    <row r="900" spans="1:7">
      <c r="A900" s="216" t="s">
        <v>1875</v>
      </c>
      <c r="B900" s="423" t="s">
        <v>3858</v>
      </c>
      <c r="C900" s="246">
        <v>7223664452</v>
      </c>
      <c r="D900" s="187">
        <v>18314.687000000002</v>
      </c>
      <c r="E900" s="187">
        <v>18314.687000000002</v>
      </c>
      <c r="F900" s="246">
        <v>12439091</v>
      </c>
      <c r="G900" s="246">
        <v>4462566</v>
      </c>
    </row>
    <row r="901" spans="1:7">
      <c r="A901" s="216" t="s">
        <v>6682</v>
      </c>
      <c r="B901" s="423" t="s">
        <v>6103</v>
      </c>
      <c r="C901" s="246">
        <v>335004611</v>
      </c>
      <c r="D901" s="187">
        <v>2992.9340000000002</v>
      </c>
      <c r="E901" s="187">
        <v>2992.9340000000002</v>
      </c>
      <c r="F901" s="246">
        <v>357990</v>
      </c>
      <c r="G901" s="246">
        <v>223386</v>
      </c>
    </row>
    <row r="902" spans="1:7">
      <c r="A902" s="216" t="s">
        <v>4002</v>
      </c>
      <c r="B902" s="423" t="s">
        <v>1729</v>
      </c>
      <c r="C902" s="246">
        <v>2950566549</v>
      </c>
      <c r="D902" s="187">
        <v>8887.9130000000005</v>
      </c>
      <c r="E902" s="187">
        <v>8887.9130000000005</v>
      </c>
      <c r="F902" s="246">
        <v>8556643</v>
      </c>
      <c r="G902" s="187">
        <v>0</v>
      </c>
    </row>
    <row r="903" spans="1:7">
      <c r="A903" s="216" t="s">
        <v>6681</v>
      </c>
      <c r="B903" s="423" t="s">
        <v>6102</v>
      </c>
      <c r="C903" s="246">
        <v>3573217673</v>
      </c>
      <c r="D903" s="187">
        <v>7125.7219999999998</v>
      </c>
      <c r="E903" s="187">
        <v>7125.7219999999998</v>
      </c>
      <c r="F903" s="246">
        <v>10362331</v>
      </c>
      <c r="G903" s="246">
        <v>1104000</v>
      </c>
    </row>
    <row r="904" spans="1:7">
      <c r="A904" s="216" t="s">
        <v>857</v>
      </c>
      <c r="B904" s="423" t="s">
        <v>4069</v>
      </c>
      <c r="C904" s="246">
        <v>791446172</v>
      </c>
      <c r="D904" s="187">
        <v>4572.9449999999997</v>
      </c>
      <c r="E904" s="187">
        <v>4572.9449999999997</v>
      </c>
      <c r="F904" s="246">
        <v>657427</v>
      </c>
      <c r="G904" s="246">
        <v>263346</v>
      </c>
    </row>
    <row r="905" spans="1:7">
      <c r="A905" s="216" t="s">
        <v>4006</v>
      </c>
      <c r="B905" s="423" t="s">
        <v>1730</v>
      </c>
      <c r="C905" s="246">
        <v>2768641406</v>
      </c>
      <c r="D905" s="187">
        <v>15474.874</v>
      </c>
      <c r="E905" s="187">
        <v>15474.874</v>
      </c>
      <c r="F905" s="246">
        <v>979027</v>
      </c>
      <c r="G905" s="187">
        <v>0</v>
      </c>
    </row>
    <row r="906" spans="1:7">
      <c r="A906" s="216" t="s">
        <v>4008</v>
      </c>
      <c r="B906" s="423" t="s">
        <v>1731</v>
      </c>
      <c r="C906" s="246">
        <v>164877434</v>
      </c>
      <c r="D906" s="187">
        <v>1256.0239999999999</v>
      </c>
      <c r="E906" s="187">
        <v>1256.0239999999999</v>
      </c>
      <c r="F906" s="246">
        <v>42020</v>
      </c>
      <c r="G906" s="187">
        <v>0</v>
      </c>
    </row>
    <row r="907" spans="1:7">
      <c r="A907" s="216" t="s">
        <v>4010</v>
      </c>
      <c r="B907" s="423" t="s">
        <v>1732</v>
      </c>
      <c r="C907" s="246">
        <v>105248312</v>
      </c>
      <c r="D907" s="187">
        <v>129.94800000000001</v>
      </c>
      <c r="E907" s="187">
        <v>129.94800000000001</v>
      </c>
      <c r="F907" s="246">
        <v>305220</v>
      </c>
      <c r="G907" s="187">
        <v>0</v>
      </c>
    </row>
    <row r="908" spans="1:7">
      <c r="A908" s="216" t="s">
        <v>4012</v>
      </c>
      <c r="B908" s="423" t="s">
        <v>1733</v>
      </c>
      <c r="C908" s="246">
        <v>166109982</v>
      </c>
      <c r="D908" s="187">
        <v>958.548</v>
      </c>
      <c r="E908" s="187">
        <v>958.548</v>
      </c>
      <c r="F908" s="246">
        <v>170726</v>
      </c>
      <c r="G908" s="187">
        <v>0</v>
      </c>
    </row>
    <row r="909" spans="1:7">
      <c r="A909" s="216" t="s">
        <v>4014</v>
      </c>
      <c r="B909" s="423" t="s">
        <v>2008</v>
      </c>
      <c r="C909" s="246">
        <v>663583932</v>
      </c>
      <c r="D909" s="187">
        <v>2753.7739999999999</v>
      </c>
      <c r="E909" s="187">
        <v>2753.7739999999999</v>
      </c>
      <c r="F909" s="246">
        <v>1020426</v>
      </c>
      <c r="G909" s="187">
        <v>0</v>
      </c>
    </row>
    <row r="910" spans="1:7">
      <c r="A910" s="216" t="s">
        <v>4015</v>
      </c>
      <c r="B910" s="423" t="s">
        <v>1734</v>
      </c>
      <c r="C910" s="246">
        <v>315482550</v>
      </c>
      <c r="D910" s="187">
        <v>138.12799999999999</v>
      </c>
      <c r="E910" s="187">
        <v>145.24199999999999</v>
      </c>
      <c r="F910" s="187">
        <v>63</v>
      </c>
      <c r="G910" s="187">
        <v>0</v>
      </c>
    </row>
    <row r="911" spans="1:7">
      <c r="A911" s="216" t="s">
        <v>6120</v>
      </c>
      <c r="B911" s="423" t="s">
        <v>1735</v>
      </c>
      <c r="C911" s="246">
        <v>370050876</v>
      </c>
      <c r="D911" s="187">
        <v>1770.4490000000001</v>
      </c>
      <c r="E911" s="187">
        <v>1770.4490000000001</v>
      </c>
      <c r="F911" s="246">
        <v>344399</v>
      </c>
      <c r="G911" s="187">
        <v>0</v>
      </c>
    </row>
    <row r="912" spans="1:7">
      <c r="A912" s="216" t="s">
        <v>6679</v>
      </c>
      <c r="B912" s="423" t="s">
        <v>6078</v>
      </c>
      <c r="C912" s="246">
        <v>49845516</v>
      </c>
      <c r="D912" s="187">
        <v>281.73200000000003</v>
      </c>
      <c r="E912" s="187">
        <v>281.73200000000003</v>
      </c>
      <c r="F912" s="187">
        <v>0</v>
      </c>
      <c r="G912" s="246">
        <v>34613</v>
      </c>
    </row>
    <row r="913" spans="1:7">
      <c r="A913" s="216" t="s">
        <v>6122</v>
      </c>
      <c r="B913" s="423" t="s">
        <v>1736</v>
      </c>
      <c r="C913" s="246">
        <v>77654986</v>
      </c>
      <c r="D913" s="187">
        <v>226.44200000000001</v>
      </c>
      <c r="E913" s="187">
        <v>229.64699999999999</v>
      </c>
      <c r="F913" s="187">
        <v>0</v>
      </c>
      <c r="G913" s="187">
        <v>0</v>
      </c>
    </row>
    <row r="914" spans="1:7">
      <c r="A914" s="216" t="s">
        <v>1801</v>
      </c>
      <c r="B914" s="423" t="s">
        <v>1737</v>
      </c>
      <c r="C914" s="246">
        <v>74869783</v>
      </c>
      <c r="D914" s="187">
        <v>201.96700000000001</v>
      </c>
      <c r="E914" s="187">
        <v>201.96700000000001</v>
      </c>
      <c r="F914" s="187">
        <v>0</v>
      </c>
      <c r="G914" s="187">
        <v>0</v>
      </c>
    </row>
    <row r="915" spans="1:7">
      <c r="A915" s="216" t="s">
        <v>1803</v>
      </c>
      <c r="B915" s="423" t="s">
        <v>1738</v>
      </c>
      <c r="C915" s="246">
        <v>23145865</v>
      </c>
      <c r="D915" s="187">
        <v>107.741</v>
      </c>
      <c r="E915" s="187">
        <v>111.038</v>
      </c>
      <c r="F915" s="187">
        <v>0</v>
      </c>
      <c r="G915" s="187">
        <v>0</v>
      </c>
    </row>
    <row r="916" spans="1:7">
      <c r="A916" s="216" t="s">
        <v>1805</v>
      </c>
      <c r="B916" s="423" t="s">
        <v>1739</v>
      </c>
      <c r="C916" s="246">
        <v>1291211274</v>
      </c>
      <c r="D916" s="187">
        <v>4657.1319999999996</v>
      </c>
      <c r="E916" s="187">
        <v>4657.1319999999996</v>
      </c>
      <c r="F916" s="246">
        <v>734489</v>
      </c>
      <c r="G916" s="187">
        <v>0</v>
      </c>
    </row>
    <row r="917" spans="1:7">
      <c r="A917" s="216" t="s">
        <v>1807</v>
      </c>
      <c r="B917" s="423" t="s">
        <v>1740</v>
      </c>
      <c r="C917" s="246">
        <v>57478365</v>
      </c>
      <c r="D917" s="187">
        <v>136.22</v>
      </c>
      <c r="E917" s="187">
        <v>136.22</v>
      </c>
      <c r="F917" s="187">
        <v>0</v>
      </c>
      <c r="G917" s="187">
        <v>0</v>
      </c>
    </row>
    <row r="918" spans="1:7">
      <c r="A918" s="216" t="s">
        <v>5037</v>
      </c>
      <c r="B918" s="423" t="s">
        <v>6106</v>
      </c>
      <c r="C918" s="246">
        <v>60652592</v>
      </c>
      <c r="D918" s="187">
        <v>820.13699999999994</v>
      </c>
      <c r="E918" s="187">
        <v>820.13699999999994</v>
      </c>
      <c r="F918" s="187">
        <v>0</v>
      </c>
      <c r="G918" s="246">
        <v>37823</v>
      </c>
    </row>
    <row r="919" spans="1:7">
      <c r="A919" s="216" t="s">
        <v>1809</v>
      </c>
      <c r="B919" s="423" t="s">
        <v>1741</v>
      </c>
      <c r="C919" s="246">
        <v>74454548</v>
      </c>
      <c r="D919" s="187">
        <v>399.923</v>
      </c>
      <c r="E919" s="187">
        <v>399.923</v>
      </c>
      <c r="F919" s="187">
        <v>0</v>
      </c>
      <c r="G919" s="187">
        <v>0</v>
      </c>
    </row>
    <row r="920" spans="1:7">
      <c r="A920" s="216" t="s">
        <v>1697</v>
      </c>
      <c r="B920" s="423" t="s">
        <v>1742</v>
      </c>
      <c r="C920" s="246">
        <v>83733217</v>
      </c>
      <c r="D920" s="187">
        <v>363.50299999999999</v>
      </c>
      <c r="E920" s="187">
        <v>363.50299999999999</v>
      </c>
      <c r="F920" s="246">
        <v>72046</v>
      </c>
      <c r="G920" s="187">
        <v>0</v>
      </c>
    </row>
    <row r="921" spans="1:7">
      <c r="A921" s="216" t="s">
        <v>2385</v>
      </c>
      <c r="B921" s="423" t="s">
        <v>378</v>
      </c>
      <c r="C921" s="246">
        <v>2277885549</v>
      </c>
      <c r="D921" s="187">
        <v>13763.950999999999</v>
      </c>
      <c r="E921" s="187">
        <v>13763.950999999999</v>
      </c>
      <c r="F921" s="246">
        <v>898733</v>
      </c>
      <c r="G921" s="246">
        <v>622824</v>
      </c>
    </row>
    <row r="922" spans="1:7">
      <c r="A922" s="216" t="s">
        <v>1699</v>
      </c>
      <c r="B922" s="423" t="s">
        <v>1743</v>
      </c>
      <c r="C922" s="246">
        <v>68738474</v>
      </c>
      <c r="D922" s="187">
        <v>323.101</v>
      </c>
      <c r="E922" s="187">
        <v>323.101</v>
      </c>
      <c r="F922" s="187">
        <v>0</v>
      </c>
      <c r="G922" s="187">
        <v>0</v>
      </c>
    </row>
    <row r="923" spans="1:7">
      <c r="A923" s="216" t="s">
        <v>3554</v>
      </c>
      <c r="B923" s="423" t="s">
        <v>4061</v>
      </c>
      <c r="C923" s="246">
        <v>128903365</v>
      </c>
      <c r="D923" s="187">
        <v>929.05</v>
      </c>
      <c r="E923" s="187">
        <v>929.05</v>
      </c>
      <c r="F923" s="246">
        <v>80347</v>
      </c>
      <c r="G923" s="246">
        <v>85769</v>
      </c>
    </row>
    <row r="924" spans="1:7">
      <c r="A924" s="216" t="s">
        <v>1857</v>
      </c>
      <c r="B924" s="423" t="s">
        <v>3913</v>
      </c>
      <c r="C924" s="246">
        <v>97588961</v>
      </c>
      <c r="D924" s="187">
        <v>1121.24</v>
      </c>
      <c r="E924" s="187">
        <v>1121.24</v>
      </c>
      <c r="F924" s="246">
        <v>54857</v>
      </c>
      <c r="G924" s="246">
        <v>124066</v>
      </c>
    </row>
    <row r="925" spans="1:7">
      <c r="A925" s="216" t="s">
        <v>7288</v>
      </c>
      <c r="B925" s="423" t="s">
        <v>7132</v>
      </c>
      <c r="C925" s="246">
        <v>58803329</v>
      </c>
      <c r="D925" s="187">
        <v>270.19900000000001</v>
      </c>
      <c r="E925" s="187">
        <v>275.74400000000003</v>
      </c>
      <c r="F925" s="246">
        <v>13018</v>
      </c>
      <c r="G925" s="246">
        <v>42002</v>
      </c>
    </row>
    <row r="926" spans="1:7">
      <c r="A926" s="216" t="s">
        <v>2791</v>
      </c>
      <c r="B926" s="423" t="s">
        <v>1744</v>
      </c>
      <c r="C926" s="246">
        <v>38613205529</v>
      </c>
      <c r="D926" s="187">
        <v>72312.407000000007</v>
      </c>
      <c r="E926" s="187">
        <v>72312.407000000007</v>
      </c>
      <c r="F926" s="246">
        <v>39236547</v>
      </c>
      <c r="G926" s="187">
        <v>0</v>
      </c>
    </row>
    <row r="927" spans="1:7">
      <c r="A927" s="216" t="s">
        <v>5124</v>
      </c>
      <c r="B927" s="423" t="s">
        <v>339</v>
      </c>
      <c r="C927" s="246">
        <v>4547585488</v>
      </c>
      <c r="D927" s="187">
        <v>16598.069</v>
      </c>
      <c r="E927" s="187">
        <v>16598.069</v>
      </c>
      <c r="F927" s="246">
        <v>13187998</v>
      </c>
      <c r="G927" s="246">
        <v>1284334</v>
      </c>
    </row>
    <row r="928" spans="1:7">
      <c r="A928" s="216" t="s">
        <v>2793</v>
      </c>
      <c r="B928" s="423" t="s">
        <v>1745</v>
      </c>
      <c r="C928" s="246">
        <v>1457710293</v>
      </c>
      <c r="D928" s="187">
        <v>3446.6030000000001</v>
      </c>
      <c r="E928" s="187">
        <v>3446.6030000000001</v>
      </c>
      <c r="F928" s="246">
        <v>2951254</v>
      </c>
      <c r="G928" s="187">
        <v>0</v>
      </c>
    </row>
    <row r="929" spans="1:7">
      <c r="A929" s="216" t="s">
        <v>2795</v>
      </c>
      <c r="B929" s="423" t="s">
        <v>1746</v>
      </c>
      <c r="C929" s="246">
        <v>5894273091</v>
      </c>
      <c r="D929" s="187">
        <v>6851.3050000000003</v>
      </c>
      <c r="E929" s="187">
        <v>6851.3050000000003</v>
      </c>
      <c r="F929" s="246">
        <v>14686521</v>
      </c>
      <c r="G929" s="187">
        <v>0</v>
      </c>
    </row>
    <row r="930" spans="1:7">
      <c r="A930" s="216" t="s">
        <v>2052</v>
      </c>
      <c r="B930" s="423" t="s">
        <v>997</v>
      </c>
      <c r="C930" s="246">
        <v>2091271306</v>
      </c>
      <c r="D930" s="187">
        <v>7116.7719999999999</v>
      </c>
      <c r="E930" s="187">
        <v>7116.7719999999999</v>
      </c>
      <c r="F930" s="246">
        <v>4399444</v>
      </c>
      <c r="G930" s="246">
        <v>955431</v>
      </c>
    </row>
    <row r="931" spans="1:7">
      <c r="A931" s="216" t="s">
        <v>2797</v>
      </c>
      <c r="B931" s="423" t="s">
        <v>1747</v>
      </c>
      <c r="C931" s="246">
        <v>705302581</v>
      </c>
      <c r="D931" s="187">
        <v>1091.6669999999999</v>
      </c>
      <c r="E931" s="187">
        <v>1091.6669999999999</v>
      </c>
      <c r="F931" s="246">
        <v>1689716</v>
      </c>
      <c r="G931" s="187">
        <v>0</v>
      </c>
    </row>
    <row r="932" spans="1:7">
      <c r="A932" s="216" t="s">
        <v>2799</v>
      </c>
      <c r="B932" s="423" t="s">
        <v>1748</v>
      </c>
      <c r="C932" s="246">
        <v>3277033414</v>
      </c>
      <c r="D932" s="187">
        <v>4843.3490000000002</v>
      </c>
      <c r="E932" s="187">
        <v>4843.3490000000002</v>
      </c>
      <c r="F932" s="246">
        <v>9503397</v>
      </c>
      <c r="G932" s="187">
        <v>0</v>
      </c>
    </row>
    <row r="933" spans="1:7">
      <c r="A933" s="216" t="s">
        <v>2801</v>
      </c>
      <c r="B933" s="423" t="s">
        <v>1749</v>
      </c>
      <c r="C933" s="246">
        <v>132320228</v>
      </c>
      <c r="D933" s="187">
        <v>656.09500000000003</v>
      </c>
      <c r="E933" s="187">
        <v>656.09500000000003</v>
      </c>
      <c r="F933" s="187">
        <v>0</v>
      </c>
      <c r="G933" s="187">
        <v>0</v>
      </c>
    </row>
    <row r="934" spans="1:7">
      <c r="A934" s="216" t="s">
        <v>2803</v>
      </c>
      <c r="B934" s="423" t="s">
        <v>1750</v>
      </c>
      <c r="C934" s="246">
        <v>194565918</v>
      </c>
      <c r="D934" s="187">
        <v>1101.942</v>
      </c>
      <c r="E934" s="187">
        <v>1101.942</v>
      </c>
      <c r="F934" s="187">
        <v>0</v>
      </c>
      <c r="G934" s="187">
        <v>0</v>
      </c>
    </row>
    <row r="935" spans="1:7">
      <c r="A935" s="216" t="s">
        <v>2805</v>
      </c>
      <c r="B935" s="423" t="s">
        <v>297</v>
      </c>
      <c r="C935" s="246">
        <v>19869931</v>
      </c>
      <c r="D935" s="187">
        <v>155.51599999999999</v>
      </c>
      <c r="E935" s="187">
        <v>155.51599999999999</v>
      </c>
      <c r="F935" s="187">
        <v>0</v>
      </c>
      <c r="G935" s="187">
        <v>0</v>
      </c>
    </row>
    <row r="936" spans="1:7">
      <c r="A936" s="216" t="s">
        <v>2806</v>
      </c>
      <c r="B936" s="423" t="s">
        <v>1751</v>
      </c>
      <c r="C936" s="246">
        <v>28963294</v>
      </c>
      <c r="D936" s="187">
        <v>191.49700000000001</v>
      </c>
      <c r="E936" s="187">
        <v>200.54400000000001</v>
      </c>
      <c r="F936" s="187">
        <v>0</v>
      </c>
      <c r="G936" s="187">
        <v>0</v>
      </c>
    </row>
    <row r="937" spans="1:7">
      <c r="A937" s="216" t="s">
        <v>232</v>
      </c>
      <c r="B937" s="423" t="s">
        <v>2639</v>
      </c>
      <c r="C937" s="246">
        <v>76801387</v>
      </c>
      <c r="D937" s="187">
        <v>526.99900000000002</v>
      </c>
      <c r="E937" s="187">
        <v>544.41</v>
      </c>
      <c r="F937" s="187">
        <v>0</v>
      </c>
      <c r="G937" s="187">
        <v>0</v>
      </c>
    </row>
    <row r="938" spans="1:7">
      <c r="A938" s="216" t="s">
        <v>3572</v>
      </c>
      <c r="B938" s="423" t="s">
        <v>1752</v>
      </c>
      <c r="C938" s="246">
        <v>262416030</v>
      </c>
      <c r="D938" s="187">
        <v>1287.9659999999999</v>
      </c>
      <c r="E938" s="187">
        <v>1287.9659999999999</v>
      </c>
      <c r="F938" s="246">
        <v>390139</v>
      </c>
      <c r="G938" s="187">
        <v>0</v>
      </c>
    </row>
    <row r="939" spans="1:7">
      <c r="A939" s="216" t="s">
        <v>3574</v>
      </c>
      <c r="B939" s="423" t="s">
        <v>7623</v>
      </c>
      <c r="C939" s="246">
        <v>171352753</v>
      </c>
      <c r="D939" s="187">
        <v>1024.067</v>
      </c>
      <c r="E939" s="187">
        <v>1024.067</v>
      </c>
      <c r="F939" s="187">
        <v>0</v>
      </c>
      <c r="G939" s="187">
        <v>0</v>
      </c>
    </row>
    <row r="940" spans="1:7">
      <c r="A940" s="216" t="s">
        <v>4072</v>
      </c>
      <c r="B940" s="423" t="s">
        <v>2353</v>
      </c>
      <c r="C940" s="246">
        <v>38301395</v>
      </c>
      <c r="D940" s="187">
        <v>424.048</v>
      </c>
      <c r="E940" s="187">
        <v>424.048</v>
      </c>
      <c r="F940" s="246">
        <v>31206</v>
      </c>
      <c r="G940" s="246">
        <v>26668</v>
      </c>
    </row>
    <row r="941" spans="1:7">
      <c r="A941" s="216" t="s">
        <v>735</v>
      </c>
      <c r="B941" s="423" t="s">
        <v>6108</v>
      </c>
      <c r="C941" s="246">
        <v>46638684</v>
      </c>
      <c r="D941" s="187">
        <v>149.03800000000001</v>
      </c>
      <c r="E941" s="187">
        <v>161.38900000000001</v>
      </c>
      <c r="F941" s="187">
        <v>0</v>
      </c>
      <c r="G941" s="246">
        <v>22285</v>
      </c>
    </row>
    <row r="942" spans="1:7">
      <c r="A942" s="216" t="s">
        <v>3576</v>
      </c>
      <c r="B942" s="423" t="s">
        <v>400</v>
      </c>
      <c r="C942" s="246">
        <v>103396645</v>
      </c>
      <c r="D942" s="187">
        <v>635.70299999999997</v>
      </c>
      <c r="E942" s="187">
        <v>635.70299999999997</v>
      </c>
      <c r="F942" s="187">
        <v>0</v>
      </c>
      <c r="G942" s="187">
        <v>0</v>
      </c>
    </row>
    <row r="943" spans="1:7">
      <c r="A943" s="216" t="s">
        <v>3577</v>
      </c>
      <c r="B943" s="423" t="s">
        <v>7624</v>
      </c>
      <c r="C943" s="246">
        <v>533987569</v>
      </c>
      <c r="D943" s="187">
        <v>2108.3150000000001</v>
      </c>
      <c r="E943" s="187">
        <v>2108.3150000000001</v>
      </c>
      <c r="F943" s="187">
        <v>0</v>
      </c>
      <c r="G943" s="187">
        <v>0</v>
      </c>
    </row>
    <row r="944" spans="1:7">
      <c r="A944" s="216" t="s">
        <v>6190</v>
      </c>
      <c r="B944" s="423" t="s">
        <v>3626</v>
      </c>
      <c r="C944" s="246">
        <v>87748172</v>
      </c>
      <c r="D944" s="187">
        <v>766.39599999999996</v>
      </c>
      <c r="E944" s="187">
        <v>766.39599999999996</v>
      </c>
      <c r="F944" s="246">
        <v>4670</v>
      </c>
      <c r="G944" s="246">
        <v>60236</v>
      </c>
    </row>
    <row r="945" spans="1:7">
      <c r="A945" s="216" t="s">
        <v>3580</v>
      </c>
      <c r="B945" s="423" t="s">
        <v>7625</v>
      </c>
      <c r="C945" s="246">
        <v>65625808</v>
      </c>
      <c r="D945" s="187">
        <v>294.73700000000002</v>
      </c>
      <c r="E945" s="187">
        <v>311.04399999999998</v>
      </c>
      <c r="F945" s="187">
        <v>0</v>
      </c>
      <c r="G945" s="187">
        <v>0</v>
      </c>
    </row>
    <row r="946" spans="1:7">
      <c r="A946" s="216" t="s">
        <v>1862</v>
      </c>
      <c r="B946" s="423" t="s">
        <v>3837</v>
      </c>
      <c r="C946" s="246">
        <v>248679419</v>
      </c>
      <c r="D946" s="187">
        <v>952.72699999999998</v>
      </c>
      <c r="E946" s="187">
        <v>952.72699999999998</v>
      </c>
      <c r="F946" s="246">
        <v>28288</v>
      </c>
      <c r="G946" s="246">
        <v>166325</v>
      </c>
    </row>
    <row r="947" spans="1:7">
      <c r="A947" s="216" t="s">
        <v>3582</v>
      </c>
      <c r="B947" s="423" t="s">
        <v>7626</v>
      </c>
      <c r="C947" s="246">
        <v>73320622</v>
      </c>
      <c r="D947" s="187">
        <v>844.81899999999996</v>
      </c>
      <c r="E947" s="187">
        <v>844.81899999999996</v>
      </c>
      <c r="F947" s="187">
        <v>0</v>
      </c>
      <c r="G947" s="187">
        <v>0</v>
      </c>
    </row>
    <row r="948" spans="1:7">
      <c r="A948" s="216" t="s">
        <v>3584</v>
      </c>
      <c r="B948" s="423" t="s">
        <v>7627</v>
      </c>
      <c r="C948" s="246">
        <v>127366197</v>
      </c>
      <c r="D948" s="187">
        <v>665.35699999999997</v>
      </c>
      <c r="E948" s="187">
        <v>665.35699999999997</v>
      </c>
      <c r="F948" s="246">
        <v>133396</v>
      </c>
      <c r="G948" s="187">
        <v>0</v>
      </c>
    </row>
    <row r="949" spans="1:7">
      <c r="A949" s="216" t="s">
        <v>3586</v>
      </c>
      <c r="B949" s="423" t="s">
        <v>7628</v>
      </c>
      <c r="C949" s="246">
        <v>658314231</v>
      </c>
      <c r="D949" s="187">
        <v>435.71</v>
      </c>
      <c r="E949" s="187">
        <v>435.71</v>
      </c>
      <c r="F949" s="187">
        <v>0</v>
      </c>
      <c r="G949" s="187">
        <v>0</v>
      </c>
    </row>
    <row r="950" spans="1:7">
      <c r="A950" s="216" t="s">
        <v>3588</v>
      </c>
      <c r="B950" s="423" t="s">
        <v>7629</v>
      </c>
      <c r="C950" s="246">
        <v>370539447</v>
      </c>
      <c r="D950" s="187">
        <v>204.797</v>
      </c>
      <c r="E950" s="187">
        <v>214.44499999999999</v>
      </c>
      <c r="F950" s="187">
        <v>0</v>
      </c>
      <c r="G950" s="187">
        <v>0</v>
      </c>
    </row>
    <row r="951" spans="1:7">
      <c r="A951" s="216" t="s">
        <v>6036</v>
      </c>
      <c r="B951" s="423" t="s">
        <v>5638</v>
      </c>
      <c r="C951" s="246">
        <v>31031481</v>
      </c>
      <c r="D951" s="187">
        <v>230.72200000000001</v>
      </c>
      <c r="E951" s="187">
        <v>230.72200000000001</v>
      </c>
      <c r="F951" s="187">
        <v>521</v>
      </c>
      <c r="G951" s="246">
        <v>20114</v>
      </c>
    </row>
    <row r="952" spans="1:7">
      <c r="A952" s="216" t="s">
        <v>2472</v>
      </c>
      <c r="B952" s="423" t="s">
        <v>375</v>
      </c>
      <c r="C952" s="246">
        <v>100154001</v>
      </c>
      <c r="D952" s="187">
        <v>508.91399999999999</v>
      </c>
      <c r="E952" s="187">
        <v>508.91399999999999</v>
      </c>
      <c r="F952" s="187">
        <v>936</v>
      </c>
      <c r="G952" s="246">
        <v>69849</v>
      </c>
    </row>
    <row r="953" spans="1:7">
      <c r="A953" s="216" t="s">
        <v>2418</v>
      </c>
      <c r="B953" s="423" t="s">
        <v>5371</v>
      </c>
      <c r="C953" s="246">
        <v>539116298</v>
      </c>
      <c r="D953" s="187">
        <v>4738.1440000000002</v>
      </c>
      <c r="E953" s="187">
        <v>4738.1440000000002</v>
      </c>
      <c r="F953" s="246">
        <v>149758</v>
      </c>
      <c r="G953" s="246">
        <v>780267</v>
      </c>
    </row>
    <row r="954" spans="1:7">
      <c r="A954" s="216" t="s">
        <v>3590</v>
      </c>
      <c r="B954" s="423" t="s">
        <v>7630</v>
      </c>
      <c r="C954" s="246">
        <v>91836262</v>
      </c>
      <c r="D954" s="187">
        <v>169.39400000000001</v>
      </c>
      <c r="E954" s="187">
        <v>183.339</v>
      </c>
      <c r="F954" s="187">
        <v>0</v>
      </c>
      <c r="G954" s="187">
        <v>0</v>
      </c>
    </row>
    <row r="955" spans="1:7">
      <c r="A955" s="216" t="s">
        <v>2389</v>
      </c>
      <c r="B955" s="423" t="s">
        <v>383</v>
      </c>
      <c r="C955" s="246">
        <v>931323933</v>
      </c>
      <c r="D955" s="187">
        <v>9634.8719999999994</v>
      </c>
      <c r="E955" s="187">
        <v>9634.8719999999994</v>
      </c>
      <c r="F955" s="187">
        <v>0</v>
      </c>
      <c r="G955" s="246">
        <v>389110</v>
      </c>
    </row>
    <row r="956" spans="1:7">
      <c r="A956" s="216" t="s">
        <v>3594</v>
      </c>
      <c r="B956" s="423" t="s">
        <v>7631</v>
      </c>
      <c r="C956" s="246">
        <v>128709111</v>
      </c>
      <c r="D956" s="187">
        <v>184.01499999999999</v>
      </c>
      <c r="E956" s="187">
        <v>184.01499999999999</v>
      </c>
      <c r="F956" s="246">
        <v>234360</v>
      </c>
      <c r="G956" s="187">
        <v>0</v>
      </c>
    </row>
    <row r="957" spans="1:7">
      <c r="A957" s="216" t="s">
        <v>6241</v>
      </c>
      <c r="B957" s="423" t="s">
        <v>7632</v>
      </c>
      <c r="C957" s="246">
        <v>383776108</v>
      </c>
      <c r="D957" s="187">
        <v>1703.5930000000001</v>
      </c>
      <c r="E957" s="187">
        <v>1703.5930000000001</v>
      </c>
      <c r="F957" s="246">
        <v>617571</v>
      </c>
      <c r="G957" s="187">
        <v>0</v>
      </c>
    </row>
    <row r="958" spans="1:7">
      <c r="A958" s="216" t="s">
        <v>6243</v>
      </c>
      <c r="B958" s="423" t="s">
        <v>1926</v>
      </c>
      <c r="C958" s="246">
        <v>140874110</v>
      </c>
      <c r="D958" s="187">
        <v>885.76199999999994</v>
      </c>
      <c r="E958" s="187">
        <v>885.76199999999994</v>
      </c>
      <c r="F958" s="246">
        <v>158165</v>
      </c>
      <c r="G958" s="187">
        <v>0</v>
      </c>
    </row>
    <row r="959" spans="1:7">
      <c r="A959" s="216" t="s">
        <v>1832</v>
      </c>
      <c r="B959" s="423" t="s">
        <v>4967</v>
      </c>
      <c r="C959" s="246">
        <v>160962218</v>
      </c>
      <c r="D959" s="187">
        <v>1123.587</v>
      </c>
      <c r="E959" s="187">
        <v>1123.587</v>
      </c>
      <c r="F959" s="246">
        <v>121019</v>
      </c>
      <c r="G959" s="246">
        <v>117677</v>
      </c>
    </row>
    <row r="960" spans="1:7">
      <c r="A960" s="216" t="s">
        <v>6164</v>
      </c>
      <c r="B960" s="423" t="s">
        <v>6068</v>
      </c>
      <c r="C960" s="246">
        <v>53528214</v>
      </c>
      <c r="D960" s="187">
        <v>457.27499999999998</v>
      </c>
      <c r="E960" s="187">
        <v>457.27499999999998</v>
      </c>
      <c r="F960" s="246">
        <v>23332</v>
      </c>
      <c r="G960" s="246">
        <v>31959</v>
      </c>
    </row>
    <row r="961" spans="1:7">
      <c r="A961" s="216" t="s">
        <v>6244</v>
      </c>
      <c r="B961" s="423" t="s">
        <v>7633</v>
      </c>
      <c r="C961" s="246">
        <v>346567839</v>
      </c>
      <c r="D961" s="187">
        <v>2015.771</v>
      </c>
      <c r="E961" s="187">
        <v>2015.771</v>
      </c>
      <c r="F961" s="246">
        <v>187222</v>
      </c>
      <c r="G961" s="187">
        <v>0</v>
      </c>
    </row>
    <row r="962" spans="1:7">
      <c r="A962" s="216" t="s">
        <v>6246</v>
      </c>
      <c r="B962" s="423" t="s">
        <v>7634</v>
      </c>
      <c r="C962" s="246">
        <v>332458200</v>
      </c>
      <c r="D962" s="187">
        <v>2487.7640000000001</v>
      </c>
      <c r="E962" s="187">
        <v>2487.7640000000001</v>
      </c>
      <c r="F962" s="246">
        <v>298644</v>
      </c>
      <c r="G962" s="187">
        <v>0</v>
      </c>
    </row>
    <row r="963" spans="1:7">
      <c r="A963" s="216" t="s">
        <v>1313</v>
      </c>
      <c r="B963" s="423" t="s">
        <v>118</v>
      </c>
      <c r="C963" s="246">
        <v>38188915</v>
      </c>
      <c r="D963" s="187">
        <v>414.61399999999998</v>
      </c>
      <c r="E963" s="187">
        <v>414.61399999999998</v>
      </c>
      <c r="F963" s="187">
        <v>0</v>
      </c>
      <c r="G963" s="246">
        <v>24371</v>
      </c>
    </row>
    <row r="964" spans="1:7">
      <c r="A964" s="216" t="s">
        <v>955</v>
      </c>
      <c r="B964" s="423" t="s">
        <v>7660</v>
      </c>
      <c r="C964" s="246">
        <v>106867961</v>
      </c>
      <c r="D964" s="187">
        <v>863.61500000000001</v>
      </c>
      <c r="E964" s="187">
        <v>863.61500000000001</v>
      </c>
      <c r="F964" s="246">
        <v>2226</v>
      </c>
      <c r="G964" s="246">
        <v>161848</v>
      </c>
    </row>
    <row r="965" spans="1:7">
      <c r="A965" s="216" t="s">
        <v>3552</v>
      </c>
      <c r="B965" s="423" t="s">
        <v>4058</v>
      </c>
      <c r="C965" s="246">
        <v>3035432372</v>
      </c>
      <c r="D965" s="187">
        <v>12795.153</v>
      </c>
      <c r="E965" s="187">
        <v>12795.153</v>
      </c>
      <c r="F965" s="246">
        <v>1522113</v>
      </c>
      <c r="G965" s="246">
        <v>1370383</v>
      </c>
    </row>
    <row r="966" spans="1:7">
      <c r="A966" s="216" t="s">
        <v>6248</v>
      </c>
      <c r="B966" s="423" t="s">
        <v>7635</v>
      </c>
      <c r="C966" s="246">
        <v>103726759</v>
      </c>
      <c r="D966" s="187">
        <v>88.974999999999994</v>
      </c>
      <c r="E966" s="187">
        <v>88.974999999999994</v>
      </c>
      <c r="F966" s="187">
        <v>0</v>
      </c>
      <c r="G966" s="187">
        <v>0</v>
      </c>
    </row>
    <row r="967" spans="1:7">
      <c r="A967" s="216" t="s">
        <v>6182</v>
      </c>
      <c r="B967" s="423" t="s">
        <v>1935</v>
      </c>
      <c r="C967" s="246">
        <v>104560414</v>
      </c>
      <c r="D967" s="187">
        <v>818.41499999999996</v>
      </c>
      <c r="E967" s="187">
        <v>818.41499999999996</v>
      </c>
      <c r="F967" s="246">
        <v>98391</v>
      </c>
      <c r="G967" s="246">
        <v>158888</v>
      </c>
    </row>
    <row r="968" spans="1:7">
      <c r="A968" s="216" t="s">
        <v>6250</v>
      </c>
      <c r="B968" s="423" t="s">
        <v>7636</v>
      </c>
      <c r="C968" s="246">
        <v>1107508899</v>
      </c>
      <c r="D968" s="187">
        <v>6193.8149999999996</v>
      </c>
      <c r="E968" s="187">
        <v>6193.8149999999996</v>
      </c>
      <c r="F968" s="246">
        <v>2090263</v>
      </c>
      <c r="G968" s="187">
        <v>0</v>
      </c>
    </row>
    <row r="969" spans="1:7">
      <c r="A969" s="216" t="s">
        <v>5038</v>
      </c>
      <c r="B969" s="423" t="s">
        <v>3842</v>
      </c>
      <c r="C969" s="246">
        <v>271360253</v>
      </c>
      <c r="D969" s="187">
        <v>1275.17</v>
      </c>
      <c r="E969" s="187">
        <v>1288.29</v>
      </c>
      <c r="F969" s="246">
        <v>438477</v>
      </c>
      <c r="G969" s="246">
        <v>217820</v>
      </c>
    </row>
    <row r="970" spans="1:7">
      <c r="A970" s="216" t="s">
        <v>5039</v>
      </c>
      <c r="B970" s="423" t="s">
        <v>4062</v>
      </c>
      <c r="C970" s="246">
        <v>929797961</v>
      </c>
      <c r="D970" s="187">
        <v>4578.6409999999996</v>
      </c>
      <c r="E970" s="187">
        <v>4578.6409999999996</v>
      </c>
      <c r="F970" s="246">
        <v>1618057</v>
      </c>
      <c r="G970" s="246">
        <v>611180</v>
      </c>
    </row>
    <row r="971" spans="1:7">
      <c r="A971" s="216" t="s">
        <v>2082</v>
      </c>
      <c r="B971" s="423" t="s">
        <v>7637</v>
      </c>
      <c r="C971" s="246">
        <v>360379444</v>
      </c>
      <c r="D971" s="187">
        <v>1594.748</v>
      </c>
      <c r="E971" s="187">
        <v>1594.748</v>
      </c>
      <c r="F971" s="246">
        <v>637527</v>
      </c>
      <c r="G971" s="187">
        <v>0</v>
      </c>
    </row>
    <row r="972" spans="1:7">
      <c r="A972" s="216" t="s">
        <v>2084</v>
      </c>
      <c r="B972" s="423" t="s">
        <v>7638</v>
      </c>
      <c r="C972" s="246">
        <v>743080625</v>
      </c>
      <c r="D972" s="187">
        <v>1856.761</v>
      </c>
      <c r="E972" s="187">
        <v>1856.761</v>
      </c>
      <c r="F972" s="187">
        <v>0</v>
      </c>
      <c r="G972" s="187">
        <v>0</v>
      </c>
    </row>
    <row r="973" spans="1:7">
      <c r="A973" s="216" t="s">
        <v>2086</v>
      </c>
      <c r="B973" s="423" t="s">
        <v>2936</v>
      </c>
      <c r="C973" s="246">
        <v>79212848</v>
      </c>
      <c r="D973" s="187">
        <v>96.69</v>
      </c>
      <c r="E973" s="187">
        <v>97.2</v>
      </c>
      <c r="F973" s="246">
        <v>90357</v>
      </c>
      <c r="G973" s="187">
        <v>0</v>
      </c>
    </row>
    <row r="974" spans="1:7">
      <c r="A974" s="216" t="s">
        <v>2088</v>
      </c>
      <c r="B974" s="423" t="s">
        <v>2937</v>
      </c>
      <c r="C974" s="246">
        <v>1343314465</v>
      </c>
      <c r="D974" s="187">
        <v>4534.268</v>
      </c>
      <c r="E974" s="187">
        <v>4534.268</v>
      </c>
      <c r="F974" s="246">
        <v>1376007</v>
      </c>
      <c r="G974" s="187">
        <v>0</v>
      </c>
    </row>
    <row r="975" spans="1:7">
      <c r="A975" s="216" t="s">
        <v>2090</v>
      </c>
      <c r="B975" s="423" t="s">
        <v>2938</v>
      </c>
      <c r="C975" s="246">
        <v>191321808</v>
      </c>
      <c r="D975" s="187">
        <v>308.60300000000001</v>
      </c>
      <c r="E975" s="187">
        <v>346.03100000000001</v>
      </c>
      <c r="F975" s="246">
        <v>96588</v>
      </c>
      <c r="G975" s="187">
        <v>0</v>
      </c>
    </row>
    <row r="976" spans="1:7">
      <c r="A976" s="216" t="s">
        <v>2987</v>
      </c>
      <c r="B976" s="423" t="s">
        <v>187</v>
      </c>
      <c r="C976" s="246">
        <v>1424281875</v>
      </c>
      <c r="D976" s="187">
        <v>22533.327000000001</v>
      </c>
      <c r="E976" s="187">
        <v>22533.327000000001</v>
      </c>
      <c r="F976" s="246">
        <v>457009</v>
      </c>
      <c r="G976" s="246">
        <v>1865467</v>
      </c>
    </row>
    <row r="977" spans="1:7">
      <c r="A977" s="216" t="s">
        <v>2094</v>
      </c>
      <c r="B977" s="423" t="s">
        <v>2939</v>
      </c>
      <c r="C977" s="246">
        <v>73917353</v>
      </c>
      <c r="D977" s="187">
        <v>41.826999999999998</v>
      </c>
      <c r="E977" s="187">
        <v>41.826999999999998</v>
      </c>
      <c r="F977" s="246"/>
      <c r="G977" s="246"/>
    </row>
    <row r="978" spans="1:7">
      <c r="A978" s="216" t="s">
        <v>2417</v>
      </c>
      <c r="B978" s="423" t="s">
        <v>5370</v>
      </c>
      <c r="C978" s="246">
        <v>5172801055</v>
      </c>
      <c r="D978" s="187">
        <v>31464.025000000001</v>
      </c>
      <c r="E978" s="187">
        <v>31464.025000000001</v>
      </c>
      <c r="F978" s="246">
        <v>5623817</v>
      </c>
      <c r="G978" s="246">
        <v>1860380</v>
      </c>
    </row>
    <row r="979" spans="1:7">
      <c r="A979" s="216" t="s">
        <v>78</v>
      </c>
      <c r="B979" s="423" t="s">
        <v>2940</v>
      </c>
      <c r="C979" s="246">
        <v>801291141</v>
      </c>
      <c r="D979" s="187">
        <v>301.62</v>
      </c>
      <c r="E979" s="187">
        <v>301.62</v>
      </c>
      <c r="F979" s="187">
        <v>0</v>
      </c>
      <c r="G979" s="187">
        <v>0</v>
      </c>
    </row>
    <row r="980" spans="1:7">
      <c r="A980" s="216" t="s">
        <v>80</v>
      </c>
      <c r="B980" s="423" t="s">
        <v>2941</v>
      </c>
      <c r="C980" s="246">
        <v>123206672</v>
      </c>
      <c r="D980" s="187">
        <v>880.79</v>
      </c>
      <c r="E980" s="187">
        <v>880.79</v>
      </c>
      <c r="F980" s="187">
        <v>0</v>
      </c>
      <c r="G980" s="187">
        <v>0</v>
      </c>
    </row>
    <row r="981" spans="1:7">
      <c r="A981" s="216" t="s">
        <v>82</v>
      </c>
      <c r="B981" s="423" t="s">
        <v>6720</v>
      </c>
      <c r="C981" s="246">
        <v>177838337</v>
      </c>
      <c r="D981" s="187">
        <v>848.11300000000006</v>
      </c>
      <c r="E981" s="187">
        <v>848.11300000000006</v>
      </c>
      <c r="F981" s="246">
        <v>44076</v>
      </c>
      <c r="G981" s="187">
        <v>0</v>
      </c>
    </row>
    <row r="982" spans="1:7">
      <c r="A982" s="216" t="s">
        <v>84</v>
      </c>
      <c r="B982" s="423" t="s">
        <v>6721</v>
      </c>
      <c r="C982" s="246">
        <v>622556848</v>
      </c>
      <c r="D982" s="187">
        <v>3290.8919999999998</v>
      </c>
      <c r="E982" s="187">
        <v>3290.8919999999998</v>
      </c>
      <c r="F982" s="246">
        <v>266464</v>
      </c>
      <c r="G982" s="187">
        <v>0</v>
      </c>
    </row>
    <row r="983" spans="1:7">
      <c r="A983" s="216" t="s">
        <v>86</v>
      </c>
      <c r="B983" s="423" t="s">
        <v>6722</v>
      </c>
      <c r="C983" s="246">
        <v>440704561</v>
      </c>
      <c r="D983" s="187">
        <v>2284.826</v>
      </c>
      <c r="E983" s="187">
        <v>2284.826</v>
      </c>
      <c r="F983" s="187">
        <v>0</v>
      </c>
      <c r="G983" s="187">
        <v>0</v>
      </c>
    </row>
    <row r="984" spans="1:7">
      <c r="A984" s="216" t="s">
        <v>88</v>
      </c>
      <c r="B984" s="423" t="s">
        <v>6723</v>
      </c>
      <c r="C984" s="246">
        <v>132098288</v>
      </c>
      <c r="D984" s="187">
        <v>466.64100000000002</v>
      </c>
      <c r="E984" s="187">
        <v>466.64100000000002</v>
      </c>
      <c r="F984" s="246">
        <v>211151</v>
      </c>
      <c r="G984" s="187">
        <v>0</v>
      </c>
    </row>
    <row r="985" spans="1:7">
      <c r="A985" s="216" t="s">
        <v>90</v>
      </c>
      <c r="B985" s="423" t="s">
        <v>6724</v>
      </c>
      <c r="C985" s="246">
        <v>97866510</v>
      </c>
      <c r="D985" s="187">
        <v>319.834</v>
      </c>
      <c r="E985" s="187">
        <v>332.25299999999999</v>
      </c>
      <c r="F985" s="187">
        <v>0</v>
      </c>
      <c r="G985" s="187">
        <v>0</v>
      </c>
    </row>
    <row r="986" spans="1:7">
      <c r="A986" s="216" t="s">
        <v>92</v>
      </c>
      <c r="B986" s="423" t="s">
        <v>1546</v>
      </c>
      <c r="C986" s="246">
        <v>93461912</v>
      </c>
      <c r="D986" s="187">
        <v>328.01600000000002</v>
      </c>
      <c r="E986" s="187">
        <v>328.01600000000002</v>
      </c>
      <c r="F986" s="187">
        <v>0</v>
      </c>
      <c r="G986" s="187">
        <v>0</v>
      </c>
    </row>
    <row r="987" spans="1:7">
      <c r="A987" s="216" t="s">
        <v>2332</v>
      </c>
      <c r="B987" s="423" t="s">
        <v>1547</v>
      </c>
      <c r="C987" s="246">
        <v>96399290</v>
      </c>
      <c r="D987" s="187">
        <v>69.855000000000004</v>
      </c>
      <c r="E987" s="187">
        <v>69.855000000000004</v>
      </c>
      <c r="F987" s="187">
        <v>0</v>
      </c>
      <c r="G987" s="187">
        <v>0</v>
      </c>
    </row>
    <row r="988" spans="1:7">
      <c r="A988" s="216" t="s">
        <v>2334</v>
      </c>
      <c r="B988" s="423" t="s">
        <v>1548</v>
      </c>
      <c r="C988" s="246">
        <v>331780905</v>
      </c>
      <c r="D988" s="187">
        <v>138.952</v>
      </c>
      <c r="E988" s="187">
        <v>138.952</v>
      </c>
      <c r="F988" s="246">
        <v>310040</v>
      </c>
      <c r="G988" s="187">
        <v>0</v>
      </c>
    </row>
    <row r="989" spans="1:7">
      <c r="A989" s="216" t="s">
        <v>962</v>
      </c>
      <c r="B989" s="423" t="s">
        <v>2146</v>
      </c>
      <c r="C989" s="246">
        <v>523553718</v>
      </c>
      <c r="D989" s="187">
        <v>3322.125</v>
      </c>
      <c r="E989" s="187">
        <v>3322.125</v>
      </c>
      <c r="F989" s="246">
        <v>264047</v>
      </c>
      <c r="G989" s="246">
        <v>374965</v>
      </c>
    </row>
    <row r="990" spans="1:7">
      <c r="A990" s="216" t="s">
        <v>2336</v>
      </c>
      <c r="B990" s="423" t="s">
        <v>1549</v>
      </c>
      <c r="C990" s="246">
        <v>105951146</v>
      </c>
      <c r="D990" s="187">
        <v>581.00699999999995</v>
      </c>
      <c r="E990" s="187">
        <v>581.00699999999995</v>
      </c>
      <c r="F990" s="246">
        <v>92810</v>
      </c>
      <c r="G990" s="187">
        <v>0</v>
      </c>
    </row>
    <row r="991" spans="1:7">
      <c r="A991" s="216" t="s">
        <v>2338</v>
      </c>
      <c r="B991" s="423" t="s">
        <v>1550</v>
      </c>
      <c r="C991" s="246">
        <v>366351387</v>
      </c>
      <c r="D991" s="187">
        <v>1721.8340000000001</v>
      </c>
      <c r="E991" s="187">
        <v>1721.8340000000001</v>
      </c>
      <c r="F991" s="246">
        <v>349463</v>
      </c>
      <c r="G991" s="187">
        <v>0</v>
      </c>
    </row>
    <row r="992" spans="1:7">
      <c r="A992" s="216" t="s">
        <v>2340</v>
      </c>
      <c r="B992" s="423" t="s">
        <v>1551</v>
      </c>
      <c r="C992" s="246">
        <v>3057285333</v>
      </c>
      <c r="D992" s="187">
        <v>13754.716</v>
      </c>
      <c r="E992" s="187">
        <v>13754.716</v>
      </c>
      <c r="F992" s="246">
        <v>2006027</v>
      </c>
      <c r="G992" s="187">
        <v>0</v>
      </c>
    </row>
    <row r="993" spans="1:7">
      <c r="A993" s="216" t="s">
        <v>738</v>
      </c>
      <c r="B993" s="423" t="s">
        <v>6112</v>
      </c>
      <c r="C993" s="246">
        <v>138924566</v>
      </c>
      <c r="D993" s="187">
        <v>980.27</v>
      </c>
      <c r="E993" s="187">
        <v>980.27</v>
      </c>
      <c r="F993" s="246">
        <v>150775</v>
      </c>
      <c r="G993" s="246">
        <v>140766</v>
      </c>
    </row>
    <row r="994" spans="1:7">
      <c r="A994" s="216" t="s">
        <v>3219</v>
      </c>
      <c r="B994" s="423" t="s">
        <v>1485</v>
      </c>
      <c r="C994" s="246">
        <v>19491433</v>
      </c>
      <c r="D994" s="187">
        <v>112.22499999999999</v>
      </c>
      <c r="E994" s="187">
        <v>118.628</v>
      </c>
      <c r="F994" s="187">
        <v>0</v>
      </c>
      <c r="G994" s="187">
        <v>0</v>
      </c>
    </row>
    <row r="995" spans="1:7">
      <c r="A995" s="216" t="s">
        <v>608</v>
      </c>
      <c r="B995" s="423" t="s">
        <v>1486</v>
      </c>
      <c r="C995" s="246">
        <v>593210501</v>
      </c>
      <c r="D995" s="187">
        <v>2095.1999999999998</v>
      </c>
      <c r="E995" s="187">
        <v>2095.1999999999998</v>
      </c>
      <c r="F995" s="246">
        <v>636157</v>
      </c>
      <c r="G995" s="187">
        <v>0</v>
      </c>
    </row>
    <row r="996" spans="1:7">
      <c r="A996" s="216" t="s">
        <v>610</v>
      </c>
      <c r="B996" s="423" t="s">
        <v>1939</v>
      </c>
      <c r="C996" s="246">
        <v>12755263</v>
      </c>
      <c r="D996" s="187">
        <v>168.03299999999999</v>
      </c>
      <c r="E996" s="187">
        <v>168.03299999999999</v>
      </c>
      <c r="F996" s="187">
        <v>0</v>
      </c>
      <c r="G996" s="187">
        <v>0</v>
      </c>
    </row>
    <row r="997" spans="1:7">
      <c r="A997" s="216" t="s">
        <v>6145</v>
      </c>
      <c r="B997" s="423" t="s">
        <v>188</v>
      </c>
      <c r="C997" s="246">
        <v>22436794</v>
      </c>
      <c r="D997" s="187">
        <v>306.096</v>
      </c>
      <c r="E997" s="187">
        <v>306.096</v>
      </c>
      <c r="F997" s="187">
        <v>0</v>
      </c>
      <c r="G997" s="246">
        <v>28062</v>
      </c>
    </row>
    <row r="998" spans="1:7">
      <c r="A998" s="216" t="s">
        <v>2998</v>
      </c>
      <c r="B998" s="423" t="s">
        <v>6058</v>
      </c>
      <c r="C998" s="246">
        <v>131015205</v>
      </c>
      <c r="D998" s="187">
        <v>1440.4110000000001</v>
      </c>
      <c r="E998" s="187">
        <v>1440.4110000000001</v>
      </c>
      <c r="F998" s="246">
        <v>2327</v>
      </c>
      <c r="G998" s="246">
        <v>88942</v>
      </c>
    </row>
    <row r="999" spans="1:7">
      <c r="A999" s="216" t="s">
        <v>2766</v>
      </c>
      <c r="B999" s="423" t="s">
        <v>356</v>
      </c>
      <c r="C999" s="246">
        <v>209099480</v>
      </c>
      <c r="D999" s="187">
        <v>2297.422</v>
      </c>
      <c r="E999" s="187">
        <v>2297.422</v>
      </c>
      <c r="F999" s="246">
        <v>1334</v>
      </c>
      <c r="G999" s="246">
        <v>335108</v>
      </c>
    </row>
    <row r="1000" spans="1:7">
      <c r="A1000" s="216" t="s">
        <v>5040</v>
      </c>
      <c r="B1000" s="423" t="s">
        <v>384</v>
      </c>
      <c r="C1000" s="246">
        <v>53034967</v>
      </c>
      <c r="D1000" s="187">
        <v>261.839</v>
      </c>
      <c r="E1000" s="187">
        <v>261.839</v>
      </c>
      <c r="F1000" s="187">
        <v>0</v>
      </c>
      <c r="G1000" s="246">
        <v>37080</v>
      </c>
    </row>
    <row r="1001" spans="1:7">
      <c r="A1001" s="216" t="s">
        <v>1307</v>
      </c>
      <c r="B1001" s="423" t="s">
        <v>111</v>
      </c>
      <c r="C1001" s="246">
        <v>185687197</v>
      </c>
      <c r="D1001" s="187">
        <v>975.61199999999997</v>
      </c>
      <c r="E1001" s="187">
        <v>975.61199999999997</v>
      </c>
      <c r="F1001" s="246">
        <v>354071</v>
      </c>
      <c r="G1001" s="246">
        <v>125618</v>
      </c>
    </row>
    <row r="1002" spans="1:7">
      <c r="A1002" s="216" t="s">
        <v>1319</v>
      </c>
      <c r="B1002" s="423" t="s">
        <v>125</v>
      </c>
      <c r="C1002" s="246">
        <v>2982420810</v>
      </c>
      <c r="D1002" s="187">
        <v>8322.1939999999995</v>
      </c>
      <c r="E1002" s="187">
        <v>8322.1939999999995</v>
      </c>
      <c r="F1002" s="246">
        <v>6508430</v>
      </c>
      <c r="G1002" s="246">
        <v>1703750</v>
      </c>
    </row>
    <row r="1003" spans="1:7">
      <c r="A1003" s="216" t="s">
        <v>1856</v>
      </c>
      <c r="B1003" s="423" t="s">
        <v>3912</v>
      </c>
      <c r="C1003" s="246">
        <v>72798026</v>
      </c>
      <c r="D1003" s="187">
        <v>429.83600000000001</v>
      </c>
      <c r="E1003" s="187">
        <v>429.83600000000001</v>
      </c>
      <c r="F1003" s="246">
        <v>24524</v>
      </c>
      <c r="G1003" s="246">
        <v>25407</v>
      </c>
    </row>
    <row r="1004" spans="1:7">
      <c r="A1004" s="216" t="s">
        <v>6020</v>
      </c>
      <c r="B1004" s="423" t="s">
        <v>3859</v>
      </c>
      <c r="C1004" s="246">
        <v>532082208</v>
      </c>
      <c r="D1004" s="187">
        <v>2338.527</v>
      </c>
      <c r="E1004" s="187">
        <v>2338.527</v>
      </c>
      <c r="F1004" s="246">
        <v>1266889</v>
      </c>
      <c r="G1004" s="246">
        <v>326389</v>
      </c>
    </row>
    <row r="1005" spans="1:7">
      <c r="A1005" s="216" t="s">
        <v>611</v>
      </c>
      <c r="B1005" s="423" t="s">
        <v>1487</v>
      </c>
      <c r="C1005" s="246">
        <v>268756343</v>
      </c>
      <c r="D1005" s="187">
        <v>615.33900000000006</v>
      </c>
      <c r="E1005" s="187">
        <v>615.33900000000006</v>
      </c>
      <c r="F1005" s="246">
        <v>209302</v>
      </c>
      <c r="G1005" s="187">
        <v>0</v>
      </c>
    </row>
    <row r="1006" spans="1:7">
      <c r="A1006" s="216" t="s">
        <v>2990</v>
      </c>
      <c r="B1006" s="423" t="s">
        <v>191</v>
      </c>
      <c r="C1006" s="246">
        <v>502559709</v>
      </c>
      <c r="D1006" s="187">
        <v>1870.6279999999999</v>
      </c>
      <c r="E1006" s="187">
        <v>1870.6279999999999</v>
      </c>
      <c r="F1006" s="246">
        <v>596838</v>
      </c>
      <c r="G1006" s="246">
        <v>224958</v>
      </c>
    </row>
    <row r="1007" spans="1:7">
      <c r="A1007" s="216" t="s">
        <v>2382</v>
      </c>
      <c r="B1007" s="423" t="s">
        <v>371</v>
      </c>
      <c r="C1007" s="246">
        <v>13257525038</v>
      </c>
      <c r="D1007" s="187">
        <v>34634.737999999998</v>
      </c>
      <c r="E1007" s="187">
        <v>34634.737999999998</v>
      </c>
      <c r="F1007" s="246">
        <v>38446823</v>
      </c>
      <c r="G1007" s="246">
        <v>4164357</v>
      </c>
    </row>
    <row r="1008" spans="1:7">
      <c r="A1008" s="216" t="s">
        <v>2473</v>
      </c>
      <c r="B1008" s="423" t="s">
        <v>5363</v>
      </c>
      <c r="C1008" s="246">
        <v>591490011</v>
      </c>
      <c r="D1008" s="187">
        <v>2766.9090000000001</v>
      </c>
      <c r="E1008" s="187">
        <v>2766.9090000000001</v>
      </c>
      <c r="F1008" s="246">
        <v>655106</v>
      </c>
      <c r="G1008" s="246">
        <v>288581</v>
      </c>
    </row>
    <row r="1009" spans="1:7">
      <c r="A1009" s="216" t="s">
        <v>2412</v>
      </c>
      <c r="B1009" s="423" t="s">
        <v>5365</v>
      </c>
      <c r="C1009" s="246">
        <v>105150630</v>
      </c>
      <c r="D1009" s="187">
        <v>495.82</v>
      </c>
      <c r="E1009" s="187">
        <v>495.82</v>
      </c>
      <c r="F1009" s="246">
        <v>60845</v>
      </c>
      <c r="G1009" s="246">
        <v>70749</v>
      </c>
    </row>
    <row r="1010" spans="1:7">
      <c r="A1010" s="216" t="s">
        <v>2988</v>
      </c>
      <c r="B1010" s="423" t="s">
        <v>189</v>
      </c>
      <c r="C1010" s="246">
        <v>6289432002</v>
      </c>
      <c r="D1010" s="187">
        <v>18921.593000000001</v>
      </c>
      <c r="E1010" s="187">
        <v>18921.593000000001</v>
      </c>
      <c r="F1010" s="246">
        <v>18239353</v>
      </c>
      <c r="G1010" s="246">
        <v>298170</v>
      </c>
    </row>
    <row r="1011" spans="1:7">
      <c r="A1011" s="216" t="s">
        <v>613</v>
      </c>
      <c r="B1011" s="423" t="s">
        <v>1003</v>
      </c>
      <c r="C1011" s="246">
        <v>39389945</v>
      </c>
      <c r="D1011" s="187">
        <v>113.84099999999999</v>
      </c>
      <c r="E1011" s="187">
        <v>126.462</v>
      </c>
      <c r="F1011" s="187">
        <v>0</v>
      </c>
      <c r="G1011" s="187">
        <v>0</v>
      </c>
    </row>
    <row r="1012" spans="1:7">
      <c r="A1012" s="216" t="s">
        <v>5041</v>
      </c>
      <c r="B1012" s="423" t="s">
        <v>112</v>
      </c>
      <c r="C1012" s="246">
        <v>581624700</v>
      </c>
      <c r="D1012" s="187">
        <v>3357.95</v>
      </c>
      <c r="E1012" s="187">
        <v>3357.95</v>
      </c>
      <c r="F1012" s="246">
        <v>359605</v>
      </c>
      <c r="G1012" s="246">
        <v>408276</v>
      </c>
    </row>
    <row r="1013" spans="1:7">
      <c r="A1013" s="216" t="s">
        <v>6039</v>
      </c>
      <c r="B1013" s="423" t="s">
        <v>183</v>
      </c>
      <c r="C1013" s="246">
        <v>318954009</v>
      </c>
      <c r="D1013" s="187">
        <v>2378.4209999999998</v>
      </c>
      <c r="E1013" s="187">
        <v>2378.4209999999998</v>
      </c>
      <c r="F1013" s="246">
        <v>203011</v>
      </c>
      <c r="G1013" s="246">
        <v>167773</v>
      </c>
    </row>
    <row r="1014" spans="1:7">
      <c r="A1014" s="216" t="s">
        <v>5043</v>
      </c>
      <c r="B1014" s="423" t="s">
        <v>346</v>
      </c>
      <c r="C1014" s="246">
        <v>102041908</v>
      </c>
      <c r="D1014" s="187">
        <v>732.43700000000001</v>
      </c>
      <c r="E1014" s="187">
        <v>732.43700000000001</v>
      </c>
      <c r="F1014" s="187">
        <v>0</v>
      </c>
      <c r="G1014" s="246">
        <v>61648</v>
      </c>
    </row>
    <row r="1015" spans="1:7">
      <c r="A1015" s="216" t="s">
        <v>2409</v>
      </c>
      <c r="B1015" s="423" t="s">
        <v>2356</v>
      </c>
      <c r="C1015" s="246">
        <v>101409988</v>
      </c>
      <c r="D1015" s="187">
        <v>702.202</v>
      </c>
      <c r="E1015" s="187">
        <v>702.202</v>
      </c>
      <c r="F1015" s="187">
        <v>543</v>
      </c>
      <c r="G1015" s="246">
        <v>76073</v>
      </c>
    </row>
    <row r="1016" spans="1:7">
      <c r="A1016" s="216" t="s">
        <v>615</v>
      </c>
      <c r="B1016" s="423" t="s">
        <v>1004</v>
      </c>
      <c r="C1016" s="246">
        <v>389710891</v>
      </c>
      <c r="D1016" s="187">
        <v>1092.6300000000001</v>
      </c>
      <c r="E1016" s="187">
        <v>1116.4559999999999</v>
      </c>
      <c r="F1016" s="187">
        <v>0</v>
      </c>
      <c r="G1016" s="187">
        <v>0</v>
      </c>
    </row>
    <row r="1017" spans="1:7">
      <c r="A1017" s="216" t="s">
        <v>617</v>
      </c>
      <c r="B1017" s="423" t="s">
        <v>1005</v>
      </c>
      <c r="C1017" s="246">
        <v>388575389</v>
      </c>
      <c r="D1017" s="187">
        <v>293.67099999999999</v>
      </c>
      <c r="E1017" s="187">
        <v>293.67099999999999</v>
      </c>
      <c r="F1017" s="187">
        <v>0</v>
      </c>
      <c r="G1017" s="187">
        <v>0</v>
      </c>
    </row>
    <row r="1018" spans="1:7">
      <c r="A1018" s="216" t="s">
        <v>3889</v>
      </c>
      <c r="B1018" s="423" t="s">
        <v>7680</v>
      </c>
      <c r="C1018" s="246">
        <v>106162177</v>
      </c>
      <c r="D1018" s="187">
        <v>640.53399999999999</v>
      </c>
      <c r="E1018" s="187">
        <v>640.53399999999999</v>
      </c>
      <c r="F1018" s="246">
        <v>59356</v>
      </c>
      <c r="G1018" s="246">
        <v>134036</v>
      </c>
    </row>
    <row r="1019" spans="1:7">
      <c r="A1019" s="216" t="s">
        <v>619</v>
      </c>
      <c r="B1019" s="423" t="s">
        <v>1006</v>
      </c>
      <c r="C1019" s="246">
        <v>264749767</v>
      </c>
      <c r="D1019" s="187">
        <v>930.42600000000004</v>
      </c>
      <c r="E1019" s="187">
        <v>930.42600000000004</v>
      </c>
      <c r="F1019" s="246">
        <v>351160</v>
      </c>
      <c r="G1019" s="187">
        <v>0</v>
      </c>
    </row>
    <row r="1020" spans="1:7">
      <c r="A1020" s="216" t="s">
        <v>1328</v>
      </c>
      <c r="B1020" s="423" t="s">
        <v>1007</v>
      </c>
      <c r="C1020" s="246">
        <v>612121849</v>
      </c>
      <c r="D1020" s="187">
        <v>2117.9189999999999</v>
      </c>
      <c r="E1020" s="187">
        <v>2117.9189999999999</v>
      </c>
      <c r="F1020" s="246">
        <v>962109</v>
      </c>
      <c r="G1020" s="187">
        <v>0</v>
      </c>
    </row>
    <row r="1021" spans="1:7">
      <c r="A1021" s="216" t="s">
        <v>6708</v>
      </c>
      <c r="B1021" s="423" t="s">
        <v>1008</v>
      </c>
      <c r="C1021" s="246">
        <v>220388555</v>
      </c>
      <c r="D1021" s="187">
        <v>630.35699999999997</v>
      </c>
      <c r="E1021" s="187">
        <v>630.35699999999997</v>
      </c>
      <c r="F1021" s="246">
        <v>269307</v>
      </c>
      <c r="G1021" s="187">
        <v>0</v>
      </c>
    </row>
    <row r="1022" spans="1:7">
      <c r="A1022" s="216" t="s">
        <v>6710</v>
      </c>
      <c r="B1022" s="423" t="s">
        <v>1009</v>
      </c>
      <c r="C1022" s="246">
        <v>854360526</v>
      </c>
      <c r="D1022" s="187">
        <v>2699.7080000000001</v>
      </c>
      <c r="E1022" s="187">
        <v>2699.7080000000001</v>
      </c>
      <c r="F1022" s="246">
        <v>1435927</v>
      </c>
      <c r="G1022" s="187">
        <v>0</v>
      </c>
    </row>
    <row r="1023" spans="1:7">
      <c r="A1023" s="216" t="s">
        <v>6192</v>
      </c>
      <c r="B1023" s="423" t="s">
        <v>3630</v>
      </c>
      <c r="C1023" s="246">
        <v>140112839</v>
      </c>
      <c r="D1023" s="187">
        <v>893.19500000000005</v>
      </c>
      <c r="E1023" s="187">
        <v>893.19500000000005</v>
      </c>
      <c r="F1023" s="246">
        <v>167237</v>
      </c>
      <c r="G1023" s="246">
        <v>184282</v>
      </c>
    </row>
    <row r="1024" spans="1:7">
      <c r="A1024" s="216" t="s">
        <v>2400</v>
      </c>
      <c r="B1024" s="423" t="s">
        <v>2342</v>
      </c>
      <c r="C1024" s="246">
        <v>72459631</v>
      </c>
      <c r="D1024" s="187">
        <v>252.77500000000001</v>
      </c>
      <c r="E1024" s="187">
        <v>277.86900000000003</v>
      </c>
      <c r="F1024" s="246">
        <v>23190</v>
      </c>
      <c r="G1024" s="246">
        <v>103202</v>
      </c>
    </row>
    <row r="1025" spans="1:7">
      <c r="A1025" s="216" t="s">
        <v>6712</v>
      </c>
      <c r="B1025" s="423" t="s">
        <v>1010</v>
      </c>
      <c r="C1025" s="246">
        <v>318178563</v>
      </c>
      <c r="D1025" s="187">
        <v>670.89400000000001</v>
      </c>
      <c r="E1025" s="187">
        <v>670.89400000000001</v>
      </c>
      <c r="F1025" s="187">
        <v>0</v>
      </c>
      <c r="G1025" s="187">
        <v>0</v>
      </c>
    </row>
    <row r="1026" spans="1:7">
      <c r="A1026" s="216" t="s">
        <v>6714</v>
      </c>
      <c r="B1026" s="423" t="s">
        <v>1011</v>
      </c>
      <c r="C1026" s="246">
        <v>288061819</v>
      </c>
      <c r="D1026" s="187">
        <v>1523.0450000000001</v>
      </c>
      <c r="E1026" s="187">
        <v>1523.0450000000001</v>
      </c>
      <c r="F1026" s="187">
        <v>0</v>
      </c>
      <c r="G1026" s="187">
        <v>0</v>
      </c>
    </row>
    <row r="1027" spans="1:7">
      <c r="A1027" s="216" t="s">
        <v>6716</v>
      </c>
      <c r="B1027" s="423" t="s">
        <v>1012</v>
      </c>
      <c r="C1027" s="246">
        <v>272629262</v>
      </c>
      <c r="D1027" s="187">
        <v>1089.454</v>
      </c>
      <c r="E1027" s="187">
        <v>1089.454</v>
      </c>
      <c r="F1027" s="246">
        <v>239961</v>
      </c>
      <c r="G1027" s="187">
        <v>0</v>
      </c>
    </row>
    <row r="1028" spans="1:7">
      <c r="A1028" s="216" t="s">
        <v>6718</v>
      </c>
      <c r="B1028" s="423" t="s">
        <v>1013</v>
      </c>
      <c r="C1028" s="246">
        <v>142011536</v>
      </c>
      <c r="D1028" s="187">
        <v>384.99</v>
      </c>
      <c r="E1028" s="187">
        <v>384.99</v>
      </c>
      <c r="F1028" s="246">
        <v>185450</v>
      </c>
      <c r="G1028" s="187">
        <v>0</v>
      </c>
    </row>
    <row r="1029" spans="1:7">
      <c r="A1029" s="216" t="s">
        <v>2443</v>
      </c>
      <c r="B1029" s="423" t="s">
        <v>1014</v>
      </c>
      <c r="C1029" s="246">
        <v>132423551</v>
      </c>
      <c r="D1029" s="187">
        <v>773.21400000000006</v>
      </c>
      <c r="E1029" s="187">
        <v>773.21400000000006</v>
      </c>
      <c r="F1029" s="187">
        <v>0</v>
      </c>
      <c r="G1029" s="187">
        <v>0</v>
      </c>
    </row>
    <row r="1030" spans="1:7">
      <c r="A1030" s="216" t="s">
        <v>2445</v>
      </c>
      <c r="B1030" s="423" t="s">
        <v>1015</v>
      </c>
      <c r="C1030" s="246">
        <v>278430200</v>
      </c>
      <c r="D1030" s="187">
        <v>1316.5260000000001</v>
      </c>
      <c r="E1030" s="187">
        <v>1316.5260000000001</v>
      </c>
      <c r="F1030" s="187">
        <v>0</v>
      </c>
      <c r="G1030" s="187">
        <v>0</v>
      </c>
    </row>
    <row r="1031" spans="1:7">
      <c r="A1031" s="216" t="s">
        <v>2447</v>
      </c>
      <c r="B1031" s="423" t="s">
        <v>1016</v>
      </c>
      <c r="C1031" s="246">
        <v>1274333831</v>
      </c>
      <c r="D1031" s="187">
        <v>1242.9559999999999</v>
      </c>
      <c r="E1031" s="187">
        <v>1242.9559999999999</v>
      </c>
      <c r="F1031" s="246">
        <v>2084400</v>
      </c>
      <c r="G1031" s="187">
        <v>0</v>
      </c>
    </row>
    <row r="1032" spans="1:7">
      <c r="A1032" s="216" t="s">
        <v>905</v>
      </c>
      <c r="B1032" s="423" t="s">
        <v>1017</v>
      </c>
      <c r="C1032" s="246">
        <v>436994358</v>
      </c>
      <c r="D1032" s="187">
        <v>434.21899999999999</v>
      </c>
      <c r="E1032" s="187">
        <v>434.21899999999999</v>
      </c>
      <c r="F1032" s="187">
        <v>0</v>
      </c>
      <c r="G1032" s="187">
        <v>0</v>
      </c>
    </row>
    <row r="1033" spans="1:7">
      <c r="A1033" s="216" t="s">
        <v>1854</v>
      </c>
      <c r="B1033" s="423" t="s">
        <v>4965</v>
      </c>
      <c r="C1033" s="246">
        <v>381220086</v>
      </c>
      <c r="D1033" s="187">
        <v>2231.0189999999998</v>
      </c>
      <c r="E1033" s="187">
        <v>2231.0189999999998</v>
      </c>
      <c r="F1033" s="187">
        <v>0</v>
      </c>
      <c r="G1033" s="246">
        <v>275729</v>
      </c>
    </row>
    <row r="1034" spans="1:7">
      <c r="A1034" s="216" t="s">
        <v>907</v>
      </c>
      <c r="B1034" s="423" t="s">
        <v>1018</v>
      </c>
      <c r="C1034" s="246">
        <v>29287879</v>
      </c>
      <c r="D1034" s="187">
        <v>169.095</v>
      </c>
      <c r="E1034" s="187">
        <v>169.095</v>
      </c>
      <c r="F1034" s="187">
        <v>0</v>
      </c>
      <c r="G1034" s="187">
        <v>0</v>
      </c>
    </row>
    <row r="1035" spans="1:7">
      <c r="A1035" s="216" t="s">
        <v>6146</v>
      </c>
      <c r="B1035" s="423" t="s">
        <v>3835</v>
      </c>
      <c r="C1035" s="246">
        <v>94584435</v>
      </c>
      <c r="D1035" s="187">
        <v>726.15300000000002</v>
      </c>
      <c r="E1035" s="187">
        <v>726.15300000000002</v>
      </c>
      <c r="F1035" s="187">
        <v>0</v>
      </c>
      <c r="G1035" s="246">
        <v>138589</v>
      </c>
    </row>
    <row r="1036" spans="1:7">
      <c r="A1036" s="216" t="s">
        <v>909</v>
      </c>
      <c r="B1036" s="423" t="s">
        <v>1019</v>
      </c>
      <c r="C1036" s="246">
        <v>1453766383</v>
      </c>
      <c r="D1036" s="187">
        <v>2995.0459999999998</v>
      </c>
      <c r="E1036" s="187">
        <v>2995.0459999999998</v>
      </c>
      <c r="F1036" s="246">
        <v>1612242</v>
      </c>
      <c r="G1036" s="187">
        <v>0</v>
      </c>
    </row>
    <row r="1037" spans="1:7">
      <c r="A1037" s="216" t="s">
        <v>247</v>
      </c>
      <c r="B1037" s="423" t="s">
        <v>989</v>
      </c>
      <c r="C1037" s="246">
        <v>128444513</v>
      </c>
      <c r="D1037" s="187">
        <v>1886.989</v>
      </c>
      <c r="E1037" s="187">
        <v>1886.989</v>
      </c>
      <c r="F1037" s="246">
        <v>26047</v>
      </c>
      <c r="G1037" s="246">
        <v>184877</v>
      </c>
    </row>
    <row r="1038" spans="1:7">
      <c r="A1038" s="216" t="s">
        <v>1527</v>
      </c>
      <c r="B1038" s="423" t="s">
        <v>2154</v>
      </c>
      <c r="C1038" s="246">
        <v>31531676</v>
      </c>
      <c r="D1038" s="187">
        <v>452.541</v>
      </c>
      <c r="E1038" s="187">
        <v>452.541</v>
      </c>
      <c r="F1038" s="246">
        <v>15337</v>
      </c>
      <c r="G1038" s="246">
        <v>18920</v>
      </c>
    </row>
  </sheetData>
  <phoneticPr fontId="33" type="noConversion"/>
  <pageMargins left="0.75" right="0.75" top="1" bottom="1" header="0.5" footer="0.5"/>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42">
    <pageSetUpPr fitToPage="1"/>
  </sheetPr>
  <dimension ref="A1:E48"/>
  <sheetViews>
    <sheetView workbookViewId="0">
      <selection activeCell="C36" sqref="C36"/>
    </sheetView>
  </sheetViews>
  <sheetFormatPr defaultRowHeight="13.2"/>
  <cols>
    <col min="1" max="1" width="4.77734375" customWidth="1"/>
    <col min="2" max="2" width="83.77734375" customWidth="1"/>
    <col min="3" max="3" width="15.77734375" customWidth="1"/>
    <col min="4" max="4" width="2.77734375" customWidth="1"/>
    <col min="5" max="5" width="15.77734375" customWidth="1"/>
  </cols>
  <sheetData>
    <row r="1" spans="1:5" ht="15.6">
      <c r="A1" s="100" t="s">
        <v>3244</v>
      </c>
    </row>
    <row r="2" spans="1:5" ht="15.6">
      <c r="A2" s="100" t="s">
        <v>3245</v>
      </c>
    </row>
    <row r="3" spans="1:5" ht="15.6">
      <c r="A3" s="100" t="s">
        <v>3246</v>
      </c>
    </row>
    <row r="4" spans="1:5" ht="15.6">
      <c r="A4" s="100"/>
    </row>
    <row r="5" spans="1:5" ht="15.6">
      <c r="A5" s="231" t="s">
        <v>3991</v>
      </c>
      <c r="B5" s="232"/>
      <c r="C5" s="233"/>
    </row>
    <row r="6" spans="1:5" ht="15.6">
      <c r="A6" s="234" t="s">
        <v>1925</v>
      </c>
      <c r="B6" s="42"/>
      <c r="C6" s="196"/>
    </row>
    <row r="7" spans="1:5" ht="15.6">
      <c r="A7" s="234" t="s">
        <v>3992</v>
      </c>
      <c r="B7" s="42"/>
      <c r="C7" s="196"/>
    </row>
    <row r="8" spans="1:5" ht="15.6">
      <c r="A8" s="235" t="s">
        <v>3993</v>
      </c>
      <c r="B8" s="211"/>
      <c r="C8" s="236"/>
    </row>
    <row r="9" spans="1:5">
      <c r="C9" s="245" t="s">
        <v>4079</v>
      </c>
      <c r="D9" s="181"/>
      <c r="E9" s="245" t="s">
        <v>4078</v>
      </c>
    </row>
    <row r="10" spans="1:5">
      <c r="A10" s="71" t="s">
        <v>7719</v>
      </c>
      <c r="B10" t="s">
        <v>3994</v>
      </c>
      <c r="C10" s="5" t="e">
        <f>'Data Entry - SOF'!#REF!</f>
        <v>#REF!</v>
      </c>
      <c r="E10" s="5" t="e">
        <f>C10</f>
        <v>#REF!</v>
      </c>
    </row>
    <row r="11" spans="1:5">
      <c r="C11" s="5"/>
      <c r="E11" s="5"/>
    </row>
    <row r="12" spans="1:5">
      <c r="A12" s="71" t="s">
        <v>7720</v>
      </c>
      <c r="B12" t="s">
        <v>3896</v>
      </c>
      <c r="C12" s="5" t="e">
        <f>'Data Entry - SOF'!#REF!</f>
        <v>#REF!</v>
      </c>
      <c r="E12" s="5" t="e">
        <f>C12</f>
        <v>#REF!</v>
      </c>
    </row>
    <row r="13" spans="1:5">
      <c r="C13" s="5"/>
      <c r="E13" s="5"/>
    </row>
    <row r="14" spans="1:5">
      <c r="A14" s="71" t="s">
        <v>7721</v>
      </c>
      <c r="B14" t="s">
        <v>3897</v>
      </c>
      <c r="C14" s="5" t="e">
        <f>C10-C12</f>
        <v>#REF!</v>
      </c>
      <c r="E14" s="5" t="e">
        <f>E10-E12</f>
        <v>#REF!</v>
      </c>
    </row>
    <row r="15" spans="1:5">
      <c r="C15" s="5"/>
      <c r="E15" s="5"/>
    </row>
    <row r="16" spans="1:5">
      <c r="A16" s="71" t="s">
        <v>6285</v>
      </c>
      <c r="B16" t="s">
        <v>3898</v>
      </c>
      <c r="C16" s="5" t="e">
        <f>'Data Entry - SOF'!#REF!</f>
        <v>#REF!</v>
      </c>
      <c r="E16" s="5" t="e">
        <f>C16</f>
        <v>#REF!</v>
      </c>
    </row>
    <row r="17" spans="1:5">
      <c r="C17" s="5"/>
      <c r="E17" s="5"/>
    </row>
    <row r="18" spans="1:5">
      <c r="A18" s="71" t="s">
        <v>6286</v>
      </c>
      <c r="B18" t="s">
        <v>621</v>
      </c>
      <c r="C18" s="5" t="e">
        <f>C14+C16</f>
        <v>#REF!</v>
      </c>
      <c r="E18" s="5" t="e">
        <f>E14+E16</f>
        <v>#REF!</v>
      </c>
    </row>
    <row r="19" spans="1:5">
      <c r="A19" s="71"/>
      <c r="C19" s="5"/>
      <c r="E19" s="5"/>
    </row>
    <row r="20" spans="1:5">
      <c r="A20" s="71" t="s">
        <v>6288</v>
      </c>
      <c r="B20" t="s">
        <v>6215</v>
      </c>
      <c r="C20" s="5">
        <f>'SOF0506-CL'!F78</f>
        <v>0</v>
      </c>
      <c r="E20" s="5">
        <f>'SOF0506-CL'!U78</f>
        <v>0</v>
      </c>
    </row>
    <row r="21" spans="1:5">
      <c r="A21" s="71"/>
      <c r="C21" s="5"/>
      <c r="E21" s="5"/>
    </row>
    <row r="22" spans="1:5">
      <c r="A22" s="71" t="s">
        <v>6289</v>
      </c>
      <c r="B22" t="s">
        <v>3956</v>
      </c>
      <c r="C22" s="5" t="e">
        <f>C18-C20</f>
        <v>#REF!</v>
      </c>
      <c r="E22" s="5" t="e">
        <f>E18-E20</f>
        <v>#REF!</v>
      </c>
    </row>
    <row r="24" spans="1:5">
      <c r="A24" s="71" t="s">
        <v>6290</v>
      </c>
      <c r="B24" t="s">
        <v>3957</v>
      </c>
      <c r="C24" s="55" t="e">
        <f>'Data Entry - SOF'!#REF!</f>
        <v>#REF!</v>
      </c>
      <c r="E24" s="55" t="e">
        <f>C24</f>
        <v>#REF!</v>
      </c>
    </row>
    <row r="26" spans="1:5">
      <c r="A26" s="71" t="s">
        <v>5115</v>
      </c>
      <c r="B26" t="s">
        <v>3958</v>
      </c>
      <c r="C26" s="5" t="e">
        <f>C22/C24</f>
        <v>#REF!</v>
      </c>
      <c r="E26" s="5" t="e">
        <f>E22/E24</f>
        <v>#REF!</v>
      </c>
    </row>
    <row r="28" spans="1:5">
      <c r="A28" s="71" t="s">
        <v>5116</v>
      </c>
      <c r="B28" t="s">
        <v>6213</v>
      </c>
      <c r="C28" s="55" t="e">
        <f>'Calc Data'!D31</f>
        <v>#N/A</v>
      </c>
      <c r="E28" s="55" t="e">
        <f>'Calc Data'!I12</f>
        <v>#N/A</v>
      </c>
    </row>
    <row r="30" spans="1:5">
      <c r="A30" s="71" t="s">
        <v>5117</v>
      </c>
      <c r="B30" t="s">
        <v>6214</v>
      </c>
      <c r="C30" s="5" t="e">
        <f>C26*C28</f>
        <v>#REF!</v>
      </c>
      <c r="E30" s="5" t="e">
        <f>E26*E28</f>
        <v>#REF!</v>
      </c>
    </row>
    <row r="31" spans="1:5">
      <c r="C31" s="5"/>
      <c r="E31" s="5"/>
    </row>
    <row r="32" spans="1:5">
      <c r="A32" s="71" t="s">
        <v>5118</v>
      </c>
      <c r="B32" t="s">
        <v>3959</v>
      </c>
      <c r="C32" s="5" t="e">
        <f>'Data Entry - SOF'!#REF!</f>
        <v>#REF!</v>
      </c>
      <c r="E32" s="5" t="e">
        <f>C32</f>
        <v>#REF!</v>
      </c>
    </row>
    <row r="34" spans="1:5">
      <c r="A34" s="71" t="s">
        <v>2410</v>
      </c>
      <c r="B34" t="s">
        <v>3960</v>
      </c>
      <c r="C34" s="55" t="e">
        <f>IF(C10/C32&gt;0.015,0.015,C10/C32)</f>
        <v>#REF!</v>
      </c>
      <c r="E34" s="55" t="e">
        <f>IF(E10/E32&gt;0.015,0.015,E10/E32)</f>
        <v>#REF!</v>
      </c>
    </row>
    <row r="36" spans="1:5">
      <c r="A36" s="71" t="s">
        <v>604</v>
      </c>
      <c r="B36" t="s">
        <v>3827</v>
      </c>
      <c r="C36" s="5">
        <f>IF('Data Entry - SOF'!F89="N",0,C30/C34)</f>
        <v>0</v>
      </c>
      <c r="E36" s="5">
        <f>IF('Data Entry - SOF'!F89="N",0,E30/E34)</f>
        <v>0</v>
      </c>
    </row>
    <row r="39" spans="1:5" ht="15.6">
      <c r="A39" s="100" t="s">
        <v>3903</v>
      </c>
    </row>
    <row r="40" spans="1:5" ht="15.6">
      <c r="B40" s="237" t="e">
        <f>C34*'Data Entry - SOF'!F61</f>
        <v>#REF!</v>
      </c>
    </row>
    <row r="41" spans="1:5" ht="15.6">
      <c r="A41" s="100" t="s">
        <v>3904</v>
      </c>
    </row>
    <row r="43" spans="1:5" ht="15.6">
      <c r="B43" s="238" t="e">
        <f>IF('Data Entry - SOF'!#REF!&gt;=B40," ","WARNING: M&amp;O TAX COLLECTIONS ENTERED IN DATA ENTRY SECTION")</f>
        <v>#REF!</v>
      </c>
    </row>
    <row r="44" spans="1:5" ht="15.6">
      <c r="B44" s="239" t="e">
        <f>IF('Data Entry - SOF'!#REF!&gt;=B40," ","ARE LESS THAN WHAT IS NEEDED TO KEEP VALUE ON LINE 15")</f>
        <v>#REF!</v>
      </c>
    </row>
    <row r="46" spans="1:5" ht="15.6">
      <c r="A46" s="240" t="s">
        <v>3893</v>
      </c>
      <c r="B46" s="232"/>
      <c r="C46" s="233"/>
    </row>
    <row r="47" spans="1:5" ht="15.6">
      <c r="A47" s="241" t="s">
        <v>3894</v>
      </c>
      <c r="B47" s="42"/>
      <c r="C47" s="196"/>
    </row>
    <row r="48" spans="1:5" ht="15.6">
      <c r="A48" s="242" t="s">
        <v>3895</v>
      </c>
      <c r="B48" s="211"/>
      <c r="C48" s="236"/>
    </row>
  </sheetData>
  <sheetProtection sheet="1" objects="1" scenarios="1"/>
  <phoneticPr fontId="0" type="noConversion"/>
  <pageMargins left="0.25" right="0.25" top="0.5" bottom="0.5" header="0.5" footer="0.5"/>
  <pageSetup scale="84" orientation="portrait" horizontalDpi="300" verticalDpi="300"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43"/>
  <dimension ref="A1:W1039"/>
  <sheetViews>
    <sheetView topLeftCell="A961" workbookViewId="0">
      <selection activeCell="J965" sqref="J965"/>
    </sheetView>
  </sheetViews>
  <sheetFormatPr defaultRowHeight="13.2"/>
  <cols>
    <col min="2" max="9" width="12.77734375" customWidth="1"/>
    <col min="10" max="10" width="14.77734375" style="57" customWidth="1"/>
    <col min="11" max="11" width="15.77734375" style="57" customWidth="1"/>
    <col min="12" max="12" width="14" customWidth="1"/>
    <col min="13" max="16" width="13.77734375" customWidth="1"/>
    <col min="17" max="17" width="12.77734375" customWidth="1"/>
    <col min="18" max="18" width="9.77734375" style="254" customWidth="1"/>
    <col min="19" max="19" width="12.21875" customWidth="1"/>
    <col min="20" max="20" width="11.77734375" customWidth="1"/>
    <col min="22" max="22" width="12.77734375" customWidth="1"/>
    <col min="23" max="23" width="12.21875" customWidth="1"/>
  </cols>
  <sheetData>
    <row r="1" spans="1:23">
      <c r="A1" s="216" t="s">
        <v>3890</v>
      </c>
      <c r="B1" s="218">
        <v>602.78399999999999</v>
      </c>
      <c r="C1" s="218">
        <v>606.13699999999994</v>
      </c>
      <c r="D1" s="218">
        <v>587.83199999999999</v>
      </c>
      <c r="E1" s="218">
        <v>568.06399999999996</v>
      </c>
      <c r="F1" s="218">
        <v>106.9627</v>
      </c>
      <c r="G1" s="218">
        <v>113.2355</v>
      </c>
      <c r="H1" s="218">
        <v>113.8425</v>
      </c>
      <c r="I1" s="218">
        <v>88.219399999999993</v>
      </c>
      <c r="J1" s="246">
        <v>208564665</v>
      </c>
      <c r="K1" s="246">
        <v>214232586</v>
      </c>
      <c r="L1" s="218">
        <v>897.42200000000003</v>
      </c>
      <c r="M1" s="187">
        <v>0</v>
      </c>
      <c r="N1" s="251">
        <v>74.6678</v>
      </c>
      <c r="O1" s="251">
        <v>77.457599999999999</v>
      </c>
      <c r="P1" s="251">
        <v>78.798000000000002</v>
      </c>
      <c r="Q1" s="251">
        <v>59.132100000000001</v>
      </c>
      <c r="R1" s="254">
        <v>1.03</v>
      </c>
      <c r="S1" s="214">
        <v>0</v>
      </c>
      <c r="T1" s="214">
        <v>2929564</v>
      </c>
      <c r="U1" s="214">
        <v>0</v>
      </c>
      <c r="V1" s="187">
        <f>T1+U1</f>
        <v>2929564</v>
      </c>
      <c r="W1" s="187">
        <f>V1+S1</f>
        <v>2929564</v>
      </c>
    </row>
    <row r="2" spans="1:23">
      <c r="A2" s="216" t="s">
        <v>694</v>
      </c>
      <c r="B2" s="218">
        <v>1029.21</v>
      </c>
      <c r="C2" s="218">
        <v>1054.8910000000001</v>
      </c>
      <c r="D2" s="218">
        <v>1071.075</v>
      </c>
      <c r="E2" s="218">
        <v>1089.3710000000001</v>
      </c>
      <c r="F2" s="218">
        <v>166.76</v>
      </c>
      <c r="G2" s="218">
        <v>174.44880000000001</v>
      </c>
      <c r="H2" s="218">
        <v>175.7243</v>
      </c>
      <c r="I2" s="218">
        <v>171.73419999999999</v>
      </c>
      <c r="J2" s="246">
        <v>117185350</v>
      </c>
      <c r="K2" s="246">
        <v>130417580</v>
      </c>
      <c r="L2" s="218">
        <v>1654.269</v>
      </c>
      <c r="M2" s="246">
        <v>54662</v>
      </c>
      <c r="N2" s="251">
        <v>112.8048</v>
      </c>
      <c r="O2" s="251">
        <v>118.67910000000001</v>
      </c>
      <c r="P2" s="251">
        <v>120.3415</v>
      </c>
      <c r="Q2" s="251">
        <v>115.21680000000001</v>
      </c>
      <c r="R2" s="254">
        <v>1.03</v>
      </c>
      <c r="S2" s="214">
        <v>56158</v>
      </c>
      <c r="T2" s="214">
        <v>1795080</v>
      </c>
      <c r="U2" s="214">
        <v>0</v>
      </c>
      <c r="V2" s="187">
        <f t="shared" ref="V2:V52" si="0">T2+U2</f>
        <v>1795080</v>
      </c>
      <c r="W2" s="187">
        <f t="shared" ref="W2:W53" si="1">V2+S2</f>
        <v>1851238</v>
      </c>
    </row>
    <row r="3" spans="1:23">
      <c r="A3" s="216" t="s">
        <v>696</v>
      </c>
      <c r="B3" s="218">
        <v>791.69200000000001</v>
      </c>
      <c r="C3" s="218">
        <v>751.83399999999995</v>
      </c>
      <c r="D3" s="218">
        <v>735.74800000000005</v>
      </c>
      <c r="E3" s="218">
        <v>745.66099999999994</v>
      </c>
      <c r="F3" s="218">
        <v>104.4545</v>
      </c>
      <c r="G3" s="218">
        <v>116.8984</v>
      </c>
      <c r="H3" s="218">
        <v>122.56950000000001</v>
      </c>
      <c r="I3" s="218">
        <v>124.4546</v>
      </c>
      <c r="J3" s="246">
        <v>145416671</v>
      </c>
      <c r="K3" s="246">
        <v>156262221</v>
      </c>
      <c r="L3" s="218">
        <v>1159.4469999999999</v>
      </c>
      <c r="M3" s="246">
        <v>124555</v>
      </c>
      <c r="N3" s="251">
        <v>70.470100000000002</v>
      </c>
      <c r="O3" s="251">
        <v>80.998099999999994</v>
      </c>
      <c r="P3" s="251">
        <v>84.183400000000006</v>
      </c>
      <c r="Q3" s="251">
        <v>84.1006</v>
      </c>
      <c r="R3" s="254">
        <v>1.03</v>
      </c>
      <c r="S3" s="214">
        <v>132719</v>
      </c>
      <c r="T3" s="214">
        <v>2283505</v>
      </c>
      <c r="U3" s="214">
        <v>0</v>
      </c>
      <c r="V3" s="187">
        <f t="shared" si="0"/>
        <v>2283505</v>
      </c>
      <c r="W3" s="187">
        <f t="shared" si="1"/>
        <v>2416224</v>
      </c>
    </row>
    <row r="4" spans="1:23">
      <c r="A4" s="216" t="s">
        <v>698</v>
      </c>
      <c r="B4" s="218">
        <v>291.61399999999998</v>
      </c>
      <c r="C4" s="218">
        <v>282.28100000000001</v>
      </c>
      <c r="D4" s="218">
        <v>298.38400000000001</v>
      </c>
      <c r="E4" s="218">
        <v>290.11900000000003</v>
      </c>
      <c r="F4" s="218">
        <v>51.9572</v>
      </c>
      <c r="G4" s="218">
        <v>52.414400000000001</v>
      </c>
      <c r="H4" s="218">
        <v>50.877000000000002</v>
      </c>
      <c r="I4" s="218">
        <v>44.9358</v>
      </c>
      <c r="J4" s="246">
        <v>47879657</v>
      </c>
      <c r="K4" s="246">
        <v>51309638</v>
      </c>
      <c r="L4" s="218">
        <v>513.02200000000005</v>
      </c>
      <c r="M4" s="187">
        <v>0</v>
      </c>
      <c r="N4" s="251">
        <v>32.997700000000002</v>
      </c>
      <c r="O4" s="251">
        <v>30.500299999999999</v>
      </c>
      <c r="P4" s="251">
        <v>29.0014</v>
      </c>
      <c r="Q4" s="251">
        <v>26.393799999999999</v>
      </c>
      <c r="R4" s="254">
        <v>1.03</v>
      </c>
      <c r="S4" s="214">
        <v>0</v>
      </c>
      <c r="T4" s="214">
        <v>724313</v>
      </c>
      <c r="U4" s="214">
        <v>0</v>
      </c>
      <c r="V4" s="187">
        <f t="shared" si="0"/>
        <v>724313</v>
      </c>
      <c r="W4" s="187">
        <f t="shared" si="1"/>
        <v>724313</v>
      </c>
    </row>
    <row r="5" spans="1:23">
      <c r="A5" s="216" t="s">
        <v>700</v>
      </c>
      <c r="B5" s="218">
        <v>3283.4209999999998</v>
      </c>
      <c r="C5" s="218">
        <v>3147.5529999999999</v>
      </c>
      <c r="D5" s="218">
        <v>3137.1289999999999</v>
      </c>
      <c r="E5" s="218">
        <v>3134.3470000000002</v>
      </c>
      <c r="F5" s="218">
        <v>544.12260000000003</v>
      </c>
      <c r="G5" s="218">
        <v>542.13480000000004</v>
      </c>
      <c r="H5" s="218">
        <v>551.21529999999996</v>
      </c>
      <c r="I5" s="218">
        <v>527.851</v>
      </c>
      <c r="J5" s="246">
        <v>623727464</v>
      </c>
      <c r="K5" s="246">
        <v>667521829</v>
      </c>
      <c r="L5" s="218">
        <v>4174.1530000000002</v>
      </c>
      <c r="M5" s="246">
        <v>643604</v>
      </c>
      <c r="N5" s="251">
        <v>344.1216</v>
      </c>
      <c r="O5" s="251">
        <v>341.9427</v>
      </c>
      <c r="P5" s="251">
        <v>338.21480000000003</v>
      </c>
      <c r="Q5" s="251">
        <v>334.90640000000002</v>
      </c>
      <c r="R5" s="254">
        <v>1.06</v>
      </c>
      <c r="S5" s="214">
        <v>710900</v>
      </c>
      <c r="T5" s="214">
        <v>9903772</v>
      </c>
      <c r="U5" s="214">
        <v>0</v>
      </c>
      <c r="V5" s="187">
        <f t="shared" si="0"/>
        <v>9903772</v>
      </c>
      <c r="W5" s="187">
        <f t="shared" si="1"/>
        <v>10614672</v>
      </c>
    </row>
    <row r="6" spans="1:23">
      <c r="A6" s="216" t="s">
        <v>1491</v>
      </c>
      <c r="B6" s="218">
        <v>1680.0070000000001</v>
      </c>
      <c r="C6" s="218">
        <v>1709.317</v>
      </c>
      <c r="D6" s="218">
        <v>1712.732</v>
      </c>
      <c r="E6" s="218">
        <v>1700.52</v>
      </c>
      <c r="F6" s="218">
        <v>241.24469999999999</v>
      </c>
      <c r="G6" s="218">
        <v>244.95849999999999</v>
      </c>
      <c r="H6" s="218">
        <v>246.59690000000001</v>
      </c>
      <c r="I6" s="218">
        <v>250.7047</v>
      </c>
      <c r="J6" s="246">
        <v>306887299</v>
      </c>
      <c r="K6" s="246">
        <v>325218929</v>
      </c>
      <c r="L6" s="218">
        <v>2355.3890000000001</v>
      </c>
      <c r="M6" s="187">
        <v>0</v>
      </c>
      <c r="N6" s="251">
        <v>156.27430000000001</v>
      </c>
      <c r="O6" s="251">
        <v>159.9247</v>
      </c>
      <c r="P6" s="251">
        <v>165.32310000000001</v>
      </c>
      <c r="Q6" s="251">
        <v>170.6729</v>
      </c>
      <c r="R6" s="254">
        <v>1.05</v>
      </c>
      <c r="S6" s="214">
        <v>1740</v>
      </c>
      <c r="T6" s="214">
        <v>3876446</v>
      </c>
      <c r="U6" s="214">
        <v>0</v>
      </c>
      <c r="V6" s="187">
        <f t="shared" si="0"/>
        <v>3876446</v>
      </c>
      <c r="W6" s="187">
        <f t="shared" si="1"/>
        <v>3878186</v>
      </c>
    </row>
    <row r="7" spans="1:23">
      <c r="A7" s="216" t="s">
        <v>6212</v>
      </c>
      <c r="B7" s="218">
        <v>330.565</v>
      </c>
      <c r="C7" s="218">
        <v>350.26799999999997</v>
      </c>
      <c r="D7" s="218">
        <v>351.05900000000003</v>
      </c>
      <c r="E7" s="218">
        <v>351.52699999999999</v>
      </c>
      <c r="F7" s="218">
        <v>53.933599999999998</v>
      </c>
      <c r="G7" s="218">
        <v>52.954900000000002</v>
      </c>
      <c r="H7" s="218">
        <v>56.135399999999997</v>
      </c>
      <c r="I7" s="218">
        <v>57.801200000000001</v>
      </c>
      <c r="J7" s="246">
        <v>63454309</v>
      </c>
      <c r="K7" s="246">
        <v>68540369</v>
      </c>
      <c r="L7" s="218">
        <v>630.78700000000003</v>
      </c>
      <c r="M7" s="187">
        <v>0</v>
      </c>
      <c r="N7" s="251">
        <v>36.789200000000001</v>
      </c>
      <c r="O7" s="251">
        <v>37.772500000000001</v>
      </c>
      <c r="P7" s="251">
        <v>39.6096</v>
      </c>
      <c r="Q7" s="251">
        <v>40.313800000000001</v>
      </c>
      <c r="R7" s="254">
        <v>1.03</v>
      </c>
      <c r="S7" s="214">
        <v>0</v>
      </c>
      <c r="T7" s="214">
        <v>892888</v>
      </c>
      <c r="U7" s="214">
        <v>0</v>
      </c>
      <c r="V7" s="187">
        <f t="shared" si="0"/>
        <v>892888</v>
      </c>
      <c r="W7" s="187">
        <f t="shared" si="1"/>
        <v>892888</v>
      </c>
    </row>
    <row r="8" spans="1:23">
      <c r="A8" s="216" t="s">
        <v>2753</v>
      </c>
      <c r="B8" s="218">
        <v>3023.3560000000002</v>
      </c>
      <c r="C8" s="218">
        <v>2954.8229999999999</v>
      </c>
      <c r="D8" s="218">
        <v>2874.2640000000001</v>
      </c>
      <c r="E8" s="218">
        <v>2841.4740000000002</v>
      </c>
      <c r="F8" s="218">
        <v>491.36900000000003</v>
      </c>
      <c r="G8" s="218">
        <v>493.47770000000003</v>
      </c>
      <c r="H8" s="218">
        <v>493.86619999999999</v>
      </c>
      <c r="I8" s="218">
        <v>467.80450000000002</v>
      </c>
      <c r="J8" s="246">
        <v>1804905070</v>
      </c>
      <c r="K8" s="246">
        <v>1830454026</v>
      </c>
      <c r="L8" s="218">
        <v>3833.9409999999998</v>
      </c>
      <c r="M8" s="187">
        <v>0</v>
      </c>
      <c r="N8" s="251">
        <v>312.84379999999999</v>
      </c>
      <c r="O8" s="251">
        <v>312.73540000000003</v>
      </c>
      <c r="P8" s="251">
        <v>312.41669999999999</v>
      </c>
      <c r="Q8" s="251">
        <v>294.32440000000003</v>
      </c>
      <c r="R8" s="254">
        <v>1.1200000000000001</v>
      </c>
      <c r="S8" s="214">
        <v>3640435</v>
      </c>
      <c r="T8" s="214">
        <v>25311744</v>
      </c>
      <c r="U8" s="214">
        <v>0</v>
      </c>
      <c r="V8" s="187">
        <f t="shared" si="0"/>
        <v>25311744</v>
      </c>
      <c r="W8" s="187">
        <f t="shared" si="1"/>
        <v>28952179</v>
      </c>
    </row>
    <row r="9" spans="1:23">
      <c r="A9" s="216" t="s">
        <v>3080</v>
      </c>
      <c r="B9" s="218">
        <v>2079.7640000000001</v>
      </c>
      <c r="C9" s="218">
        <v>2104.4690000000001</v>
      </c>
      <c r="D9" s="218">
        <v>2125.9009999999998</v>
      </c>
      <c r="E9" s="218">
        <v>2173.3580000000002</v>
      </c>
      <c r="F9" s="218">
        <v>277.572</v>
      </c>
      <c r="G9" s="218">
        <v>293.30459999999999</v>
      </c>
      <c r="H9" s="218">
        <v>302.91410000000002</v>
      </c>
      <c r="I9" s="218">
        <v>311.7697</v>
      </c>
      <c r="J9" s="246">
        <v>176437411</v>
      </c>
      <c r="K9" s="246">
        <v>195702211</v>
      </c>
      <c r="L9" s="218">
        <v>2925.4859999999999</v>
      </c>
      <c r="M9" s="246">
        <v>177958</v>
      </c>
      <c r="N9" s="251">
        <v>179.7809</v>
      </c>
      <c r="O9" s="251">
        <v>182.05930000000001</v>
      </c>
      <c r="P9" s="251">
        <v>183.18530000000001</v>
      </c>
      <c r="Q9" s="251">
        <v>185.00450000000001</v>
      </c>
      <c r="R9" s="254">
        <v>1.04</v>
      </c>
      <c r="S9" s="214">
        <v>215202</v>
      </c>
      <c r="T9" s="214">
        <v>2533504</v>
      </c>
      <c r="U9" s="214">
        <v>0</v>
      </c>
      <c r="V9" s="187">
        <f t="shared" si="0"/>
        <v>2533504</v>
      </c>
      <c r="W9" s="187">
        <f t="shared" si="1"/>
        <v>2748706</v>
      </c>
    </row>
    <row r="10" spans="1:23">
      <c r="A10" s="216" t="s">
        <v>2842</v>
      </c>
      <c r="B10" s="218">
        <v>7326.3109999999997</v>
      </c>
      <c r="C10" s="218">
        <v>7289.7420000000002</v>
      </c>
      <c r="D10" s="218">
        <v>7447.0940000000001</v>
      </c>
      <c r="E10" s="218">
        <v>7502.4440000000004</v>
      </c>
      <c r="F10" s="218">
        <v>1130.1024</v>
      </c>
      <c r="G10" s="218">
        <v>1236.6210000000001</v>
      </c>
      <c r="H10" s="218">
        <v>1243.7559000000001</v>
      </c>
      <c r="I10" s="218">
        <v>1251.1992</v>
      </c>
      <c r="J10" s="246">
        <v>1640196972</v>
      </c>
      <c r="K10" s="246">
        <v>1729001822</v>
      </c>
      <c r="L10" s="218">
        <v>10020.133</v>
      </c>
      <c r="M10" s="246">
        <v>1273147</v>
      </c>
      <c r="N10" s="251">
        <v>706.34969999999998</v>
      </c>
      <c r="O10" s="251">
        <v>751.03390000000002</v>
      </c>
      <c r="P10" s="251">
        <v>755.8646</v>
      </c>
      <c r="Q10" s="251">
        <v>772.7056</v>
      </c>
      <c r="R10" s="254">
        <v>1.06</v>
      </c>
      <c r="S10" s="214">
        <v>1363964</v>
      </c>
      <c r="T10" s="214">
        <v>25029207</v>
      </c>
      <c r="U10" s="214">
        <v>0</v>
      </c>
      <c r="V10" s="187">
        <f t="shared" si="0"/>
        <v>25029207</v>
      </c>
      <c r="W10" s="187">
        <f t="shared" si="1"/>
        <v>26393171</v>
      </c>
    </row>
    <row r="11" spans="1:23">
      <c r="A11" s="216" t="s">
        <v>1874</v>
      </c>
      <c r="B11" s="218">
        <v>1541.3340000000001</v>
      </c>
      <c r="C11" s="218">
        <v>1510.5150000000001</v>
      </c>
      <c r="D11" s="218">
        <v>1548.4110000000001</v>
      </c>
      <c r="E11" s="218">
        <v>1552.3019999999999</v>
      </c>
      <c r="F11" s="218">
        <v>225.94970000000001</v>
      </c>
      <c r="G11" s="218">
        <v>232.8107</v>
      </c>
      <c r="H11" s="218">
        <v>261.16370000000001</v>
      </c>
      <c r="I11" s="218">
        <v>262.4579</v>
      </c>
      <c r="J11" s="246">
        <v>113563778</v>
      </c>
      <c r="K11" s="246">
        <v>131580818</v>
      </c>
      <c r="L11" s="218">
        <v>2274.2640000000001</v>
      </c>
      <c r="M11" s="246">
        <v>93905</v>
      </c>
      <c r="N11" s="251">
        <v>144.11359999999999</v>
      </c>
      <c r="O11" s="251">
        <v>143.85810000000001</v>
      </c>
      <c r="P11" s="251">
        <v>149.619</v>
      </c>
      <c r="Q11" s="251">
        <v>158.29409999999999</v>
      </c>
      <c r="R11" s="254">
        <v>1.04</v>
      </c>
      <c r="S11" s="214">
        <v>169499</v>
      </c>
      <c r="T11" s="214">
        <v>1742502</v>
      </c>
      <c r="U11" s="214">
        <v>0</v>
      </c>
      <c r="V11" s="187">
        <f t="shared" si="0"/>
        <v>1742502</v>
      </c>
      <c r="W11" s="187">
        <f t="shared" si="1"/>
        <v>1912001</v>
      </c>
    </row>
    <row r="12" spans="1:23">
      <c r="A12" s="216" t="s">
        <v>2844</v>
      </c>
      <c r="B12" s="218">
        <v>1734.5920000000001</v>
      </c>
      <c r="C12" s="218">
        <v>1748.6210000000001</v>
      </c>
      <c r="D12" s="218">
        <v>1736.395</v>
      </c>
      <c r="E12" s="218">
        <v>1732.4949999999999</v>
      </c>
      <c r="F12" s="218">
        <v>291.15870000000001</v>
      </c>
      <c r="G12" s="218">
        <v>290.74119999999999</v>
      </c>
      <c r="H12" s="218">
        <v>296.9495</v>
      </c>
      <c r="I12" s="218">
        <v>304.50299999999999</v>
      </c>
      <c r="J12" s="246">
        <v>226518289</v>
      </c>
      <c r="K12" s="246">
        <v>241273229</v>
      </c>
      <c r="L12" s="218">
        <v>2511.1010000000001</v>
      </c>
      <c r="M12" s="246">
        <v>218901</v>
      </c>
      <c r="N12" s="251">
        <v>174.30930000000001</v>
      </c>
      <c r="O12" s="251">
        <v>174.6593</v>
      </c>
      <c r="P12" s="251">
        <v>186.9007</v>
      </c>
      <c r="Q12" s="251">
        <v>191.52279999999999</v>
      </c>
      <c r="R12" s="254">
        <v>1.06</v>
      </c>
      <c r="S12" s="214">
        <v>229995</v>
      </c>
      <c r="T12" s="214">
        <v>3408175</v>
      </c>
      <c r="U12" s="214">
        <v>0</v>
      </c>
      <c r="V12" s="187">
        <f t="shared" si="0"/>
        <v>3408175</v>
      </c>
      <c r="W12" s="187">
        <f t="shared" si="1"/>
        <v>3638170</v>
      </c>
    </row>
    <row r="13" spans="1:23">
      <c r="A13" s="216" t="s">
        <v>2846</v>
      </c>
      <c r="B13" s="218">
        <v>432.06799999999998</v>
      </c>
      <c r="C13" s="218">
        <v>430.98700000000002</v>
      </c>
      <c r="D13" s="218">
        <v>417.971</v>
      </c>
      <c r="E13" s="218">
        <v>402.95</v>
      </c>
      <c r="F13" s="218">
        <v>64.139300000000006</v>
      </c>
      <c r="G13" s="218">
        <v>67.227400000000003</v>
      </c>
      <c r="H13" s="218">
        <v>66.289000000000001</v>
      </c>
      <c r="I13" s="218">
        <v>69.5</v>
      </c>
      <c r="J13" s="246">
        <v>52916938</v>
      </c>
      <c r="K13" s="246">
        <v>60011898</v>
      </c>
      <c r="L13" s="218">
        <v>695.30700000000002</v>
      </c>
      <c r="M13" s="246">
        <v>36417</v>
      </c>
      <c r="N13" s="251">
        <v>42.314399999999999</v>
      </c>
      <c r="O13" s="251">
        <v>43.997700000000002</v>
      </c>
      <c r="P13" s="251">
        <v>43.657899999999998</v>
      </c>
      <c r="Q13" s="251">
        <v>42.000100000000003</v>
      </c>
      <c r="R13" s="254">
        <v>1.03</v>
      </c>
      <c r="S13" s="214">
        <v>45193</v>
      </c>
      <c r="T13" s="214">
        <v>793577</v>
      </c>
      <c r="U13" s="214">
        <v>0</v>
      </c>
      <c r="V13" s="187">
        <f t="shared" si="0"/>
        <v>793577</v>
      </c>
      <c r="W13" s="187">
        <f t="shared" si="1"/>
        <v>838770</v>
      </c>
    </row>
    <row r="14" spans="1:23">
      <c r="A14" s="216" t="s">
        <v>2848</v>
      </c>
      <c r="B14" s="218">
        <v>1565.712</v>
      </c>
      <c r="C14" s="218">
        <v>1537.838</v>
      </c>
      <c r="D14" s="218">
        <v>1543.0830000000001</v>
      </c>
      <c r="E14" s="218">
        <v>1537.7339999999999</v>
      </c>
      <c r="F14" s="218">
        <v>198.5309</v>
      </c>
      <c r="G14" s="218">
        <v>197.2218</v>
      </c>
      <c r="H14" s="218">
        <v>205.7072</v>
      </c>
      <c r="I14" s="218">
        <v>208.17060000000001</v>
      </c>
      <c r="J14" s="246">
        <v>133026267</v>
      </c>
      <c r="K14" s="246">
        <v>150603627</v>
      </c>
      <c r="L14" s="218">
        <v>2175.4639999999999</v>
      </c>
      <c r="M14" s="187">
        <v>0</v>
      </c>
      <c r="N14" s="251">
        <v>134.68539999999999</v>
      </c>
      <c r="O14" s="251">
        <v>138.97219999999999</v>
      </c>
      <c r="P14" s="251">
        <v>140.5308</v>
      </c>
      <c r="Q14" s="251">
        <v>140.41839999999999</v>
      </c>
      <c r="R14" s="254">
        <v>1.04</v>
      </c>
      <c r="S14" s="214">
        <v>0</v>
      </c>
      <c r="T14" s="214">
        <v>2031675</v>
      </c>
      <c r="U14" s="214">
        <v>0</v>
      </c>
      <c r="V14" s="187">
        <f t="shared" si="0"/>
        <v>2031675</v>
      </c>
      <c r="W14" s="187">
        <f t="shared" si="1"/>
        <v>2031675</v>
      </c>
    </row>
    <row r="15" spans="1:23">
      <c r="A15" s="216" t="s">
        <v>1225</v>
      </c>
      <c r="B15" s="218">
        <v>3201.056</v>
      </c>
      <c r="C15" s="218">
        <v>3098.2750000000001</v>
      </c>
      <c r="D15" s="218">
        <v>3110.75</v>
      </c>
      <c r="E15" s="218">
        <v>3149.348</v>
      </c>
      <c r="F15" s="218">
        <v>543.0992</v>
      </c>
      <c r="G15" s="218">
        <v>544.0403</v>
      </c>
      <c r="H15" s="218">
        <v>553.3904</v>
      </c>
      <c r="I15" s="218">
        <v>496.6891</v>
      </c>
      <c r="J15" s="246">
        <v>1099278870</v>
      </c>
      <c r="K15" s="246">
        <v>1147534685</v>
      </c>
      <c r="L15" s="218">
        <v>4409.018</v>
      </c>
      <c r="M15" s="246">
        <v>442482</v>
      </c>
      <c r="N15" s="251">
        <v>310.94450000000001</v>
      </c>
      <c r="O15" s="251">
        <v>269.49239999999998</v>
      </c>
      <c r="P15" s="251">
        <v>316.09960000000001</v>
      </c>
      <c r="Q15" s="251">
        <v>306.58150000000001</v>
      </c>
      <c r="R15" s="254">
        <v>1.1100000000000001</v>
      </c>
      <c r="S15" s="214">
        <v>1244085</v>
      </c>
      <c r="T15" s="214">
        <v>17634235</v>
      </c>
      <c r="U15" s="214">
        <v>0</v>
      </c>
      <c r="V15" s="187">
        <f t="shared" si="0"/>
        <v>17634235</v>
      </c>
      <c r="W15" s="187">
        <f t="shared" si="1"/>
        <v>18878320</v>
      </c>
    </row>
    <row r="16" spans="1:23">
      <c r="A16" s="216" t="s">
        <v>1227</v>
      </c>
      <c r="B16" s="218">
        <v>565.71900000000005</v>
      </c>
      <c r="C16" s="218">
        <v>540.75800000000004</v>
      </c>
      <c r="D16" s="218">
        <v>524.42700000000002</v>
      </c>
      <c r="E16" s="218">
        <v>505.29300000000001</v>
      </c>
      <c r="F16" s="218">
        <v>92.689700000000002</v>
      </c>
      <c r="G16" s="218">
        <v>89.183000000000007</v>
      </c>
      <c r="H16" s="218">
        <v>84.237799999999993</v>
      </c>
      <c r="I16" s="218">
        <v>82.3048</v>
      </c>
      <c r="J16" s="246">
        <v>123969793</v>
      </c>
      <c r="K16" s="246">
        <v>131190060</v>
      </c>
      <c r="L16" s="218">
        <v>916.88099999999997</v>
      </c>
      <c r="M16" s="246">
        <v>78487</v>
      </c>
      <c r="N16" s="251">
        <v>67.818799999999996</v>
      </c>
      <c r="O16" s="251">
        <v>67.296999999999997</v>
      </c>
      <c r="P16" s="251">
        <v>61.463200000000001</v>
      </c>
      <c r="Q16" s="251">
        <v>61.266300000000001</v>
      </c>
      <c r="R16" s="254">
        <v>1.07</v>
      </c>
      <c r="S16" s="214">
        <v>97109</v>
      </c>
      <c r="T16" s="214">
        <v>1525702</v>
      </c>
      <c r="U16" s="214">
        <v>0</v>
      </c>
      <c r="V16" s="187">
        <f t="shared" si="0"/>
        <v>1525702</v>
      </c>
      <c r="W16" s="187">
        <f t="shared" si="1"/>
        <v>1622811</v>
      </c>
    </row>
    <row r="17" spans="1:23">
      <c r="A17" s="216" t="s">
        <v>1229</v>
      </c>
      <c r="B17" s="218">
        <v>952.37599999999998</v>
      </c>
      <c r="C17" s="218">
        <v>923.19</v>
      </c>
      <c r="D17" s="218">
        <v>897.94200000000001</v>
      </c>
      <c r="E17" s="218">
        <v>873.06899999999996</v>
      </c>
      <c r="F17" s="218">
        <v>128.9958</v>
      </c>
      <c r="G17" s="218">
        <v>128.70840000000001</v>
      </c>
      <c r="H17" s="218">
        <v>125.187</v>
      </c>
      <c r="I17" s="218">
        <v>123.818</v>
      </c>
      <c r="J17" s="246">
        <v>144662445</v>
      </c>
      <c r="K17" s="246">
        <v>156294140</v>
      </c>
      <c r="L17" s="218">
        <v>1225.067</v>
      </c>
      <c r="M17" s="187">
        <v>0</v>
      </c>
      <c r="N17" s="251">
        <v>87.105000000000004</v>
      </c>
      <c r="O17" s="251">
        <v>88.061700000000002</v>
      </c>
      <c r="P17" s="251">
        <v>85.400700000000001</v>
      </c>
      <c r="Q17" s="251">
        <v>86.279700000000005</v>
      </c>
      <c r="R17" s="254">
        <v>1.05</v>
      </c>
      <c r="S17" s="214">
        <v>0</v>
      </c>
      <c r="T17" s="214">
        <v>2137368</v>
      </c>
      <c r="U17" s="214">
        <v>0</v>
      </c>
      <c r="V17" s="187">
        <f t="shared" si="0"/>
        <v>2137368</v>
      </c>
      <c r="W17" s="187">
        <f t="shared" si="1"/>
        <v>2137368</v>
      </c>
    </row>
    <row r="18" spans="1:23">
      <c r="A18" s="216" t="s">
        <v>1231</v>
      </c>
      <c r="B18" s="218">
        <v>48.36</v>
      </c>
      <c r="C18" s="218">
        <v>54.402000000000001</v>
      </c>
      <c r="D18" s="218">
        <v>52.759</v>
      </c>
      <c r="E18" s="218">
        <v>52.750999999999998</v>
      </c>
      <c r="F18" s="218">
        <v>17.0748</v>
      </c>
      <c r="G18" s="218">
        <v>15.754</v>
      </c>
      <c r="H18" s="218">
        <v>17.192499999999999</v>
      </c>
      <c r="I18" s="218">
        <v>16.732600000000001</v>
      </c>
      <c r="J18" s="246">
        <v>19056197</v>
      </c>
      <c r="K18" s="246">
        <v>19920107</v>
      </c>
      <c r="L18" s="218">
        <v>135.495</v>
      </c>
      <c r="M18" s="187">
        <v>0</v>
      </c>
      <c r="N18" s="251">
        <v>12.9467</v>
      </c>
      <c r="O18" s="251">
        <v>11.754099999999999</v>
      </c>
      <c r="P18" s="251">
        <v>11.6785</v>
      </c>
      <c r="Q18" s="251">
        <v>11.970700000000001</v>
      </c>
      <c r="R18" s="254">
        <v>1.07</v>
      </c>
      <c r="S18" s="214">
        <v>0</v>
      </c>
      <c r="T18" s="214">
        <v>299733</v>
      </c>
      <c r="U18" s="214">
        <v>0</v>
      </c>
      <c r="V18" s="187">
        <f t="shared" si="0"/>
        <v>299733</v>
      </c>
      <c r="W18" s="187">
        <f t="shared" si="1"/>
        <v>299733</v>
      </c>
    </row>
    <row r="19" spans="1:23">
      <c r="A19" s="216" t="s">
        <v>2360</v>
      </c>
      <c r="B19" s="218">
        <v>390.42599999999999</v>
      </c>
      <c r="C19" s="218">
        <v>419.36500000000001</v>
      </c>
      <c r="D19" s="218">
        <v>437.25099999999998</v>
      </c>
      <c r="E19" s="218">
        <v>451.26900000000001</v>
      </c>
      <c r="F19" s="218">
        <v>53.291400000000003</v>
      </c>
      <c r="G19" s="218">
        <v>54.722099999999998</v>
      </c>
      <c r="H19" s="218">
        <v>59.771000000000001</v>
      </c>
      <c r="I19" s="218">
        <v>60.828600000000002</v>
      </c>
      <c r="J19" s="246">
        <v>37471075</v>
      </c>
      <c r="K19" s="246">
        <v>40948592</v>
      </c>
      <c r="L19" s="218">
        <v>713.88900000000001</v>
      </c>
      <c r="M19" s="246">
        <v>1744</v>
      </c>
      <c r="N19" s="251">
        <v>36.289900000000003</v>
      </c>
      <c r="O19" s="251">
        <v>38.271999999999998</v>
      </c>
      <c r="P19" s="251">
        <v>39.259799999999998</v>
      </c>
      <c r="Q19" s="251">
        <v>40.885100000000001</v>
      </c>
      <c r="R19" s="254">
        <v>1.06</v>
      </c>
      <c r="S19" s="214">
        <v>126606</v>
      </c>
      <c r="T19" s="214">
        <v>623968</v>
      </c>
      <c r="U19" s="214">
        <v>0</v>
      </c>
      <c r="V19" s="187">
        <f t="shared" si="0"/>
        <v>623968</v>
      </c>
      <c r="W19" s="187">
        <f t="shared" si="1"/>
        <v>750574</v>
      </c>
    </row>
    <row r="20" spans="1:23">
      <c r="A20" s="216" t="s">
        <v>1233</v>
      </c>
      <c r="B20" s="218">
        <v>397.92500000000001</v>
      </c>
      <c r="C20" s="218">
        <v>377.32499999999999</v>
      </c>
      <c r="D20" s="218">
        <v>365.93</v>
      </c>
      <c r="E20" s="218">
        <v>354.26900000000001</v>
      </c>
      <c r="F20" s="218">
        <v>67.016800000000003</v>
      </c>
      <c r="G20" s="218">
        <v>67.357200000000006</v>
      </c>
      <c r="H20" s="218">
        <v>68.835800000000006</v>
      </c>
      <c r="I20" s="218">
        <v>66.679599999999994</v>
      </c>
      <c r="J20" s="246">
        <v>83876553</v>
      </c>
      <c r="K20" s="246">
        <v>88725673</v>
      </c>
      <c r="L20" s="218">
        <v>664.20500000000004</v>
      </c>
      <c r="M20" s="187">
        <v>0</v>
      </c>
      <c r="N20" s="251">
        <v>50.354700000000001</v>
      </c>
      <c r="O20" s="251">
        <v>48.072600000000001</v>
      </c>
      <c r="P20" s="251">
        <v>48.764600000000002</v>
      </c>
      <c r="Q20" s="251">
        <v>47.169699999999999</v>
      </c>
      <c r="R20" s="254">
        <v>1.05</v>
      </c>
      <c r="S20" s="214">
        <v>0</v>
      </c>
      <c r="T20" s="214">
        <v>1209827</v>
      </c>
      <c r="U20" s="214">
        <v>0</v>
      </c>
      <c r="V20" s="187">
        <f t="shared" si="0"/>
        <v>1209827</v>
      </c>
      <c r="W20" s="187">
        <f t="shared" si="1"/>
        <v>1209827</v>
      </c>
    </row>
    <row r="21" spans="1:23">
      <c r="A21" s="216" t="s">
        <v>3081</v>
      </c>
      <c r="B21" s="218">
        <v>470.38299999999998</v>
      </c>
      <c r="C21" s="218">
        <v>449.48899999999998</v>
      </c>
      <c r="D21" s="218">
        <v>457.553</v>
      </c>
      <c r="E21" s="218">
        <v>482.82400000000001</v>
      </c>
      <c r="F21" s="218">
        <v>85.893000000000001</v>
      </c>
      <c r="G21" s="218">
        <v>83.876999999999995</v>
      </c>
      <c r="H21" s="218">
        <v>82.876999999999995</v>
      </c>
      <c r="I21" s="218">
        <v>89.711399999999998</v>
      </c>
      <c r="J21" s="246">
        <v>43964027</v>
      </c>
      <c r="K21" s="246">
        <v>47417757</v>
      </c>
      <c r="L21" s="218">
        <v>853.60599999999999</v>
      </c>
      <c r="M21" s="187">
        <v>0</v>
      </c>
      <c r="N21" s="251">
        <v>56.557499999999997</v>
      </c>
      <c r="O21" s="251">
        <v>54.627099999999999</v>
      </c>
      <c r="P21" s="251">
        <v>55.478099999999998</v>
      </c>
      <c r="Q21" s="251">
        <v>61.602699999999999</v>
      </c>
      <c r="R21" s="254">
        <v>1.08</v>
      </c>
      <c r="S21" s="214">
        <v>66453</v>
      </c>
      <c r="T21" s="214">
        <v>609145</v>
      </c>
      <c r="U21" s="214">
        <v>0</v>
      </c>
      <c r="V21" s="187">
        <f t="shared" si="0"/>
        <v>609145</v>
      </c>
      <c r="W21" s="187">
        <f t="shared" si="1"/>
        <v>675598</v>
      </c>
    </row>
    <row r="22" spans="1:23">
      <c r="A22" s="216" t="s">
        <v>1235</v>
      </c>
      <c r="B22" s="218">
        <v>1232.883</v>
      </c>
      <c r="C22" s="218">
        <v>1223.0429999999999</v>
      </c>
      <c r="D22" s="218">
        <v>1212.3150000000001</v>
      </c>
      <c r="E22" s="218">
        <v>1203.819</v>
      </c>
      <c r="F22" s="218">
        <v>196.3826</v>
      </c>
      <c r="G22" s="218">
        <v>204.29400000000001</v>
      </c>
      <c r="H22" s="218">
        <v>202.07749999999999</v>
      </c>
      <c r="I22" s="218">
        <v>201.5001</v>
      </c>
      <c r="J22" s="246">
        <v>307879758</v>
      </c>
      <c r="K22" s="246">
        <v>318420418</v>
      </c>
      <c r="L22" s="218">
        <v>1820.42</v>
      </c>
      <c r="M22" s="187">
        <v>0</v>
      </c>
      <c r="N22" s="251">
        <v>135.1258</v>
      </c>
      <c r="O22" s="251">
        <v>139.97790000000001</v>
      </c>
      <c r="P22" s="251">
        <v>137.79839999999999</v>
      </c>
      <c r="Q22" s="251">
        <v>134.25020000000001</v>
      </c>
      <c r="R22" s="254">
        <v>1.07</v>
      </c>
      <c r="S22" s="214">
        <v>0</v>
      </c>
      <c r="T22" s="214">
        <v>4312323</v>
      </c>
      <c r="U22" s="214">
        <v>0</v>
      </c>
      <c r="V22" s="187">
        <f t="shared" si="0"/>
        <v>4312323</v>
      </c>
      <c r="W22" s="187">
        <f t="shared" si="1"/>
        <v>4312323</v>
      </c>
    </row>
    <row r="23" spans="1:23">
      <c r="A23" s="216" t="s">
        <v>2999</v>
      </c>
      <c r="B23" s="218">
        <v>1304.01</v>
      </c>
      <c r="C23" s="218">
        <v>1385.4949999999999</v>
      </c>
      <c r="D23" s="218">
        <v>1441.0350000000001</v>
      </c>
      <c r="E23" s="218">
        <v>1416.729</v>
      </c>
      <c r="F23" s="218">
        <v>224.5727</v>
      </c>
      <c r="G23" s="218">
        <v>221.5916</v>
      </c>
      <c r="H23" s="218">
        <v>238.12110000000001</v>
      </c>
      <c r="I23" s="218">
        <v>237.2415</v>
      </c>
      <c r="J23" s="246">
        <v>107847297</v>
      </c>
      <c r="K23" s="246">
        <v>117673347</v>
      </c>
      <c r="L23" s="218">
        <v>2061.6320000000001</v>
      </c>
      <c r="M23" s="246">
        <v>52825</v>
      </c>
      <c r="N23" s="251">
        <v>141.66470000000001</v>
      </c>
      <c r="O23" s="251">
        <v>140.48769999999999</v>
      </c>
      <c r="P23" s="251">
        <v>153.4263</v>
      </c>
      <c r="Q23" s="251">
        <v>148.51320000000001</v>
      </c>
      <c r="R23" s="254">
        <v>1.07</v>
      </c>
      <c r="S23" s="214">
        <v>70440</v>
      </c>
      <c r="T23" s="214">
        <v>1524456</v>
      </c>
      <c r="U23" s="214">
        <v>0</v>
      </c>
      <c r="V23" s="187">
        <f t="shared" si="0"/>
        <v>1524456</v>
      </c>
      <c r="W23" s="187">
        <f t="shared" si="1"/>
        <v>1594896</v>
      </c>
    </row>
    <row r="24" spans="1:23">
      <c r="A24" s="216" t="s">
        <v>5127</v>
      </c>
      <c r="B24" s="218">
        <v>3215.95</v>
      </c>
      <c r="C24" s="218">
        <v>3229.5329999999999</v>
      </c>
      <c r="D24" s="218">
        <v>3194.4189999999999</v>
      </c>
      <c r="E24" s="218">
        <v>3248.8780000000002</v>
      </c>
      <c r="F24" s="218">
        <v>540.06989999999996</v>
      </c>
      <c r="G24" s="218">
        <v>542.33699999999999</v>
      </c>
      <c r="H24" s="218">
        <v>552.76509999999996</v>
      </c>
      <c r="I24" s="218">
        <v>560.27829999999994</v>
      </c>
      <c r="J24" s="246">
        <v>363063885</v>
      </c>
      <c r="K24" s="246">
        <v>392258315</v>
      </c>
      <c r="L24" s="218">
        <v>4660.732</v>
      </c>
      <c r="M24" s="187">
        <v>0</v>
      </c>
      <c r="N24" s="251">
        <v>332.8546</v>
      </c>
      <c r="O24" s="251">
        <v>331.94009999999997</v>
      </c>
      <c r="P24" s="251">
        <v>338.48270000000002</v>
      </c>
      <c r="Q24" s="251">
        <v>343.44</v>
      </c>
      <c r="R24" s="254">
        <v>1.08</v>
      </c>
      <c r="S24" s="214">
        <v>320659</v>
      </c>
      <c r="T24" s="214">
        <v>5573250</v>
      </c>
      <c r="U24" s="214">
        <v>0</v>
      </c>
      <c r="V24" s="187">
        <f t="shared" si="0"/>
        <v>5573250</v>
      </c>
      <c r="W24" s="187">
        <f t="shared" si="1"/>
        <v>5893909</v>
      </c>
    </row>
    <row r="25" spans="1:23">
      <c r="A25" s="216" t="s">
        <v>2563</v>
      </c>
      <c r="B25" s="218">
        <v>1499.2</v>
      </c>
      <c r="C25" s="218">
        <v>1497.249</v>
      </c>
      <c r="D25" s="218">
        <v>1513.0309999999999</v>
      </c>
      <c r="E25" s="218">
        <v>1539.0329999999999</v>
      </c>
      <c r="F25" s="218">
        <v>272.34300000000002</v>
      </c>
      <c r="G25" s="218">
        <v>270.00389999999999</v>
      </c>
      <c r="H25" s="218">
        <v>267.21370000000002</v>
      </c>
      <c r="I25" s="218">
        <v>266.08580000000001</v>
      </c>
      <c r="J25" s="246">
        <v>89231772</v>
      </c>
      <c r="K25" s="246">
        <v>102256622</v>
      </c>
      <c r="L25" s="218">
        <v>2283.5529999999999</v>
      </c>
      <c r="M25" s="187">
        <v>0</v>
      </c>
      <c r="N25" s="251">
        <v>176.36619999999999</v>
      </c>
      <c r="O25" s="251">
        <v>176.18289999999999</v>
      </c>
      <c r="P25" s="251">
        <v>168.8999</v>
      </c>
      <c r="Q25" s="251">
        <v>171.56870000000001</v>
      </c>
      <c r="R25" s="254">
        <v>1.0900000000000001</v>
      </c>
      <c r="S25" s="214">
        <v>67869</v>
      </c>
      <c r="T25" s="214">
        <v>1312746</v>
      </c>
      <c r="U25" s="214">
        <v>0</v>
      </c>
      <c r="V25" s="187">
        <f t="shared" si="0"/>
        <v>1312746</v>
      </c>
      <c r="W25" s="187">
        <f t="shared" si="1"/>
        <v>1380615</v>
      </c>
    </row>
    <row r="26" spans="1:23">
      <c r="A26" s="216" t="s">
        <v>1237</v>
      </c>
      <c r="B26" s="218">
        <v>2077.3029999999999</v>
      </c>
      <c r="C26" s="218">
        <v>2068.04</v>
      </c>
      <c r="D26" s="218">
        <v>2022.3240000000001</v>
      </c>
      <c r="E26" s="218">
        <v>2018.337</v>
      </c>
      <c r="F26" s="218">
        <v>276.26130000000001</v>
      </c>
      <c r="G26" s="218">
        <v>301.14100000000002</v>
      </c>
      <c r="H26" s="218">
        <v>303.84550000000002</v>
      </c>
      <c r="I26" s="218">
        <v>290.56880000000001</v>
      </c>
      <c r="J26" s="246">
        <v>474992911</v>
      </c>
      <c r="K26" s="246">
        <v>509840476</v>
      </c>
      <c r="L26" s="218">
        <v>2787.1379999999999</v>
      </c>
      <c r="M26" s="246">
        <v>442478</v>
      </c>
      <c r="N26" s="251">
        <v>175.2039</v>
      </c>
      <c r="O26" s="251">
        <v>185.7851</v>
      </c>
      <c r="P26" s="251">
        <v>190.86699999999999</v>
      </c>
      <c r="Q26" s="251">
        <v>179.10130000000001</v>
      </c>
      <c r="R26" s="254">
        <v>1.1200000000000001</v>
      </c>
      <c r="S26" s="214">
        <v>570650</v>
      </c>
      <c r="T26" s="214">
        <v>6774357</v>
      </c>
      <c r="U26" s="214">
        <v>0</v>
      </c>
      <c r="V26" s="187">
        <f t="shared" si="0"/>
        <v>6774357</v>
      </c>
      <c r="W26" s="187">
        <f t="shared" si="1"/>
        <v>7345007</v>
      </c>
    </row>
    <row r="27" spans="1:23">
      <c r="A27" s="216" t="s">
        <v>1239</v>
      </c>
      <c r="B27" s="218">
        <v>2158.0100000000002</v>
      </c>
      <c r="C27" s="218">
        <v>2175.5500000000002</v>
      </c>
      <c r="D27" s="218">
        <v>2166.5410000000002</v>
      </c>
      <c r="E27" s="218">
        <v>2182.944</v>
      </c>
      <c r="F27" s="218">
        <v>283.43889999999999</v>
      </c>
      <c r="G27" s="218">
        <v>302.63409999999999</v>
      </c>
      <c r="H27" s="218">
        <v>308.5247</v>
      </c>
      <c r="I27" s="218">
        <v>314.35860000000002</v>
      </c>
      <c r="J27" s="246">
        <v>421673064</v>
      </c>
      <c r="K27" s="246">
        <v>445782041</v>
      </c>
      <c r="L27" s="218">
        <v>3083.16</v>
      </c>
      <c r="M27" s="246">
        <v>340361</v>
      </c>
      <c r="N27" s="251">
        <v>191.6317</v>
      </c>
      <c r="O27" s="251">
        <v>203.3646</v>
      </c>
      <c r="P27" s="251">
        <v>205.22370000000001</v>
      </c>
      <c r="Q27" s="251">
        <v>209.8467</v>
      </c>
      <c r="R27" s="254">
        <v>1.1299999999999999</v>
      </c>
      <c r="S27" s="214">
        <v>731075</v>
      </c>
      <c r="T27" s="214">
        <v>5989542</v>
      </c>
      <c r="U27" s="214">
        <v>0</v>
      </c>
      <c r="V27" s="187">
        <f t="shared" si="0"/>
        <v>5989542</v>
      </c>
      <c r="W27" s="187">
        <f t="shared" si="1"/>
        <v>6720617</v>
      </c>
    </row>
    <row r="28" spans="1:23">
      <c r="A28" s="216" t="s">
        <v>1241</v>
      </c>
      <c r="B28" s="218">
        <v>854.803</v>
      </c>
      <c r="C28" s="218">
        <v>845.08500000000004</v>
      </c>
      <c r="D28" s="218">
        <v>826.048</v>
      </c>
      <c r="E28" s="218">
        <v>828.29600000000005</v>
      </c>
      <c r="F28" s="218">
        <v>132.65520000000001</v>
      </c>
      <c r="G28" s="218">
        <v>133.48670000000001</v>
      </c>
      <c r="H28" s="218">
        <v>134.7818</v>
      </c>
      <c r="I28" s="218">
        <v>140.53729999999999</v>
      </c>
      <c r="J28" s="246">
        <v>264789099</v>
      </c>
      <c r="K28" s="246">
        <v>274539771</v>
      </c>
      <c r="L28" s="218">
        <v>1343.127</v>
      </c>
      <c r="M28" s="187">
        <v>0</v>
      </c>
      <c r="N28" s="251">
        <v>87.352599999999995</v>
      </c>
      <c r="O28" s="251">
        <v>89.372200000000007</v>
      </c>
      <c r="P28" s="251">
        <v>90.940799999999996</v>
      </c>
      <c r="Q28" s="251">
        <v>91.690700000000007</v>
      </c>
      <c r="R28" s="254">
        <v>1.1100000000000001</v>
      </c>
      <c r="S28" s="214">
        <v>0</v>
      </c>
      <c r="T28" s="214">
        <v>3785739</v>
      </c>
      <c r="U28" s="214">
        <v>0</v>
      </c>
      <c r="V28" s="187">
        <f t="shared" si="0"/>
        <v>3785739</v>
      </c>
      <c r="W28" s="187">
        <f t="shared" si="1"/>
        <v>3785739</v>
      </c>
    </row>
    <row r="29" spans="1:23">
      <c r="A29" s="216" t="s">
        <v>1243</v>
      </c>
      <c r="B29" s="218">
        <v>1306.77</v>
      </c>
      <c r="C29" s="218">
        <v>1326.126</v>
      </c>
      <c r="D29" s="218">
        <v>1310.1410000000001</v>
      </c>
      <c r="E29" s="218">
        <v>1348.2570000000001</v>
      </c>
      <c r="F29" s="218">
        <v>220.50059999999999</v>
      </c>
      <c r="G29" s="218">
        <v>223.14449999999999</v>
      </c>
      <c r="H29" s="218">
        <v>222.6979</v>
      </c>
      <c r="I29" s="218">
        <v>220.58150000000001</v>
      </c>
      <c r="J29" s="246">
        <v>164816582</v>
      </c>
      <c r="K29" s="246">
        <v>176833701</v>
      </c>
      <c r="L29" s="218">
        <v>2013.6949999999999</v>
      </c>
      <c r="M29" s="187">
        <v>0</v>
      </c>
      <c r="N29" s="251">
        <v>149.67939999999999</v>
      </c>
      <c r="O29" s="251">
        <v>156.33690000000001</v>
      </c>
      <c r="P29" s="251">
        <v>152.63980000000001</v>
      </c>
      <c r="Q29" s="251">
        <v>152.46530000000001</v>
      </c>
      <c r="R29" s="254">
        <v>1.06</v>
      </c>
      <c r="S29" s="214">
        <v>0</v>
      </c>
      <c r="T29" s="214">
        <v>2644033</v>
      </c>
      <c r="U29" s="214">
        <v>0</v>
      </c>
      <c r="V29" s="187">
        <f t="shared" si="0"/>
        <v>2644033</v>
      </c>
      <c r="W29" s="187">
        <f t="shared" si="1"/>
        <v>2644033</v>
      </c>
    </row>
    <row r="30" spans="1:23">
      <c r="A30" s="216" t="s">
        <v>1245</v>
      </c>
      <c r="B30" s="218">
        <v>320.86900000000003</v>
      </c>
      <c r="C30" s="218">
        <v>327.84199999999998</v>
      </c>
      <c r="D30" s="218">
        <v>343.88</v>
      </c>
      <c r="E30" s="218">
        <v>338.05700000000002</v>
      </c>
      <c r="F30" s="218">
        <v>64.154799999999994</v>
      </c>
      <c r="G30" s="218">
        <v>66.177300000000002</v>
      </c>
      <c r="H30" s="218">
        <v>70.229500000000002</v>
      </c>
      <c r="I30" s="218">
        <v>70.226299999999995</v>
      </c>
      <c r="J30" s="246">
        <v>91038032</v>
      </c>
      <c r="K30" s="246">
        <v>95707758</v>
      </c>
      <c r="L30" s="218">
        <v>761.50900000000001</v>
      </c>
      <c r="M30" s="187">
        <v>0</v>
      </c>
      <c r="N30" s="251">
        <v>40.045099999999998</v>
      </c>
      <c r="O30" s="251">
        <v>40.843400000000003</v>
      </c>
      <c r="P30" s="251">
        <v>42.749000000000002</v>
      </c>
      <c r="Q30" s="251">
        <v>43.366399999999999</v>
      </c>
      <c r="R30" s="254">
        <v>1.07</v>
      </c>
      <c r="S30" s="214">
        <v>0</v>
      </c>
      <c r="T30" s="214">
        <v>1263457</v>
      </c>
      <c r="U30" s="214">
        <v>0</v>
      </c>
      <c r="V30" s="187">
        <f t="shared" si="0"/>
        <v>1263457</v>
      </c>
      <c r="W30" s="187">
        <f t="shared" si="1"/>
        <v>1263457</v>
      </c>
    </row>
    <row r="31" spans="1:23">
      <c r="A31" s="216" t="s">
        <v>2361</v>
      </c>
      <c r="B31" s="218">
        <v>2392.4969999999998</v>
      </c>
      <c r="C31" s="218">
        <v>2436.4169999999999</v>
      </c>
      <c r="D31" s="218">
        <v>2512.5720000000001</v>
      </c>
      <c r="E31" s="218">
        <v>2465.4720000000002</v>
      </c>
      <c r="F31" s="218">
        <v>363.41910000000001</v>
      </c>
      <c r="G31" s="218">
        <v>397.24130000000002</v>
      </c>
      <c r="H31" s="218">
        <v>385.04239999999999</v>
      </c>
      <c r="I31" s="218">
        <v>393.59780000000001</v>
      </c>
      <c r="J31" s="246">
        <v>533989560</v>
      </c>
      <c r="K31" s="246">
        <v>570388519</v>
      </c>
      <c r="L31" s="218">
        <v>3405.1010000000001</v>
      </c>
      <c r="M31" s="246">
        <v>162486</v>
      </c>
      <c r="N31" s="251">
        <v>235.88470000000001</v>
      </c>
      <c r="O31" s="251">
        <v>246.91249999999999</v>
      </c>
      <c r="P31" s="251">
        <v>241.87430000000001</v>
      </c>
      <c r="Q31" s="251">
        <v>244.88579999999999</v>
      </c>
      <c r="R31" s="254">
        <v>1.07</v>
      </c>
      <c r="S31" s="214">
        <v>1062517</v>
      </c>
      <c r="T31" s="214">
        <v>8505428</v>
      </c>
      <c r="U31" s="214">
        <v>0</v>
      </c>
      <c r="V31" s="187">
        <f t="shared" si="0"/>
        <v>8505428</v>
      </c>
      <c r="W31" s="187">
        <f t="shared" si="1"/>
        <v>9567945</v>
      </c>
    </row>
    <row r="32" spans="1:23">
      <c r="A32" s="216" t="s">
        <v>948</v>
      </c>
      <c r="B32" s="218">
        <v>5731.6840000000002</v>
      </c>
      <c r="C32" s="218">
        <v>6038.3670000000002</v>
      </c>
      <c r="D32" s="218">
        <v>6298.99</v>
      </c>
      <c r="E32" s="218">
        <v>6691.9189999999999</v>
      </c>
      <c r="F32" s="218">
        <v>910.7595</v>
      </c>
      <c r="G32" s="218">
        <v>967.55269999999996</v>
      </c>
      <c r="H32" s="218">
        <v>967.82140000000004</v>
      </c>
      <c r="I32" s="218">
        <v>1041.6814999999999</v>
      </c>
      <c r="J32" s="246">
        <v>1311517198</v>
      </c>
      <c r="K32" s="246">
        <v>1379729694</v>
      </c>
      <c r="L32" s="218">
        <v>8637.6280000000006</v>
      </c>
      <c r="M32" s="246">
        <v>1113031</v>
      </c>
      <c r="N32" s="251">
        <v>557.43960000000004</v>
      </c>
      <c r="O32" s="251">
        <v>567.49900000000002</v>
      </c>
      <c r="P32" s="251">
        <v>567.12789999999995</v>
      </c>
      <c r="Q32" s="251">
        <v>602.40200000000004</v>
      </c>
      <c r="R32" s="254">
        <v>1.1000000000000001</v>
      </c>
      <c r="S32" s="214">
        <v>2367466</v>
      </c>
      <c r="T32" s="214">
        <v>24207902</v>
      </c>
      <c r="U32" s="214">
        <v>0</v>
      </c>
      <c r="V32" s="187">
        <f t="shared" si="0"/>
        <v>24207902</v>
      </c>
      <c r="W32" s="187">
        <f t="shared" si="1"/>
        <v>26575368</v>
      </c>
    </row>
    <row r="33" spans="1:23">
      <c r="A33" s="216" t="s">
        <v>1522</v>
      </c>
      <c r="B33" s="218">
        <v>2491.0749999999998</v>
      </c>
      <c r="C33" s="218">
        <v>2617.8829999999998</v>
      </c>
      <c r="D33" s="218">
        <v>2705.7530000000002</v>
      </c>
      <c r="E33" s="218">
        <v>2800.8020000000001</v>
      </c>
      <c r="F33" s="218">
        <v>381.12099999999998</v>
      </c>
      <c r="G33" s="218">
        <v>403.37830000000002</v>
      </c>
      <c r="H33" s="218">
        <v>432.83100000000002</v>
      </c>
      <c r="I33" s="218">
        <v>432.31950000000001</v>
      </c>
      <c r="J33" s="246">
        <v>452434099</v>
      </c>
      <c r="K33" s="246">
        <v>480779576</v>
      </c>
      <c r="L33" s="218">
        <v>3890.5619999999999</v>
      </c>
      <c r="M33" s="246">
        <v>91267</v>
      </c>
      <c r="N33" s="251">
        <v>225.71950000000001</v>
      </c>
      <c r="O33" s="251">
        <v>236.48179999999999</v>
      </c>
      <c r="P33" s="251">
        <v>270.83350000000002</v>
      </c>
      <c r="Q33" s="251">
        <v>274.7371</v>
      </c>
      <c r="R33" s="254">
        <v>1.0900000000000001</v>
      </c>
      <c r="S33" s="214">
        <v>457085</v>
      </c>
      <c r="T33" s="214">
        <v>7623822</v>
      </c>
      <c r="U33" s="214">
        <v>0</v>
      </c>
      <c r="V33" s="187">
        <f t="shared" si="0"/>
        <v>7623822</v>
      </c>
      <c r="W33" s="187">
        <f t="shared" si="1"/>
        <v>8080907</v>
      </c>
    </row>
    <row r="34" spans="1:23">
      <c r="A34" s="216" t="s">
        <v>438</v>
      </c>
      <c r="B34" s="218">
        <v>1662.9110000000001</v>
      </c>
      <c r="C34" s="218">
        <v>1730.769</v>
      </c>
      <c r="D34" s="218">
        <v>1716.248</v>
      </c>
      <c r="E34" s="218">
        <v>1738.9480000000001</v>
      </c>
      <c r="F34" s="218">
        <v>281.59070000000003</v>
      </c>
      <c r="G34" s="218">
        <v>274.44659999999999</v>
      </c>
      <c r="H34" s="218">
        <v>263.6875</v>
      </c>
      <c r="I34" s="218">
        <v>270.9606</v>
      </c>
      <c r="J34" s="246">
        <v>329413233</v>
      </c>
      <c r="K34" s="246">
        <v>351168074</v>
      </c>
      <c r="L34" s="218">
        <v>2503.2020000000002</v>
      </c>
      <c r="M34" s="246">
        <v>197435</v>
      </c>
      <c r="N34" s="251">
        <v>184.1259</v>
      </c>
      <c r="O34" s="251">
        <v>186.191</v>
      </c>
      <c r="P34" s="251">
        <v>177.4992</v>
      </c>
      <c r="Q34" s="251">
        <v>183.255</v>
      </c>
      <c r="R34" s="254">
        <v>1.08</v>
      </c>
      <c r="S34" s="214">
        <v>908969</v>
      </c>
      <c r="T34" s="214">
        <v>5236541</v>
      </c>
      <c r="U34" s="214">
        <v>0</v>
      </c>
      <c r="V34" s="187">
        <f t="shared" si="0"/>
        <v>5236541</v>
      </c>
      <c r="W34" s="187">
        <f t="shared" si="1"/>
        <v>6145510</v>
      </c>
    </row>
    <row r="35" spans="1:23">
      <c r="A35" s="216" t="s">
        <v>2565</v>
      </c>
      <c r="B35" s="218">
        <v>179.87799999999999</v>
      </c>
      <c r="C35" s="218">
        <v>203.24700000000001</v>
      </c>
      <c r="D35" s="218">
        <v>205.80600000000001</v>
      </c>
      <c r="E35" s="218">
        <v>200.10499999999999</v>
      </c>
      <c r="F35" s="218">
        <v>34.941200000000002</v>
      </c>
      <c r="G35" s="218">
        <v>35.962600000000002</v>
      </c>
      <c r="H35" s="218">
        <v>39.4011</v>
      </c>
      <c r="I35" s="218">
        <v>41.556199999999997</v>
      </c>
      <c r="J35" s="246">
        <v>36659934</v>
      </c>
      <c r="K35" s="246">
        <v>39438687</v>
      </c>
      <c r="L35" s="218">
        <v>341.38600000000002</v>
      </c>
      <c r="M35" s="187">
        <v>0</v>
      </c>
      <c r="N35" s="251">
        <v>23.249700000000001</v>
      </c>
      <c r="O35" s="251">
        <v>24.357500000000002</v>
      </c>
      <c r="P35" s="251">
        <v>26.919599999999999</v>
      </c>
      <c r="Q35" s="251">
        <v>29.593599999999999</v>
      </c>
      <c r="R35" s="254">
        <v>1.08</v>
      </c>
      <c r="S35" s="214">
        <v>35645</v>
      </c>
      <c r="T35" s="214">
        <v>629920</v>
      </c>
      <c r="U35" s="214">
        <v>0</v>
      </c>
      <c r="V35" s="187">
        <f t="shared" si="0"/>
        <v>629920</v>
      </c>
      <c r="W35" s="187">
        <f t="shared" si="1"/>
        <v>665565</v>
      </c>
    </row>
    <row r="36" spans="1:23">
      <c r="A36" s="216" t="s">
        <v>1248</v>
      </c>
      <c r="B36" s="218">
        <v>705.27200000000005</v>
      </c>
      <c r="C36" s="218">
        <v>692.84900000000005</v>
      </c>
      <c r="D36" s="218">
        <v>671.92499999999995</v>
      </c>
      <c r="E36" s="218">
        <v>641.49</v>
      </c>
      <c r="F36" s="218">
        <v>106.18210000000001</v>
      </c>
      <c r="G36" s="218">
        <v>107.40470000000001</v>
      </c>
      <c r="H36" s="218">
        <v>103.0874</v>
      </c>
      <c r="I36" s="218">
        <v>102.6314</v>
      </c>
      <c r="J36" s="246">
        <v>104660632</v>
      </c>
      <c r="K36" s="246">
        <v>116182261</v>
      </c>
      <c r="L36" s="218">
        <v>1214.768</v>
      </c>
      <c r="M36" s="246">
        <v>144862</v>
      </c>
      <c r="N36" s="251">
        <v>78.671899999999994</v>
      </c>
      <c r="O36" s="251">
        <v>76.318100000000001</v>
      </c>
      <c r="P36" s="251">
        <v>72.391999999999996</v>
      </c>
      <c r="Q36" s="251">
        <v>71.151499999999999</v>
      </c>
      <c r="R36" s="254">
        <v>1.07</v>
      </c>
      <c r="S36" s="214">
        <v>160500</v>
      </c>
      <c r="T36" s="214">
        <v>1724720</v>
      </c>
      <c r="U36" s="214">
        <v>0</v>
      </c>
      <c r="V36" s="187">
        <f t="shared" si="0"/>
        <v>1724720</v>
      </c>
      <c r="W36" s="187">
        <f t="shared" si="1"/>
        <v>1885220</v>
      </c>
    </row>
    <row r="37" spans="1:23">
      <c r="A37" s="216" t="s">
        <v>439</v>
      </c>
      <c r="B37" s="218">
        <v>3843.9780000000001</v>
      </c>
      <c r="C37" s="218">
        <v>3666.41</v>
      </c>
      <c r="D37" s="218">
        <v>3582.078</v>
      </c>
      <c r="E37" s="218">
        <v>3532.9279999999999</v>
      </c>
      <c r="F37" s="218">
        <v>633.26729999999998</v>
      </c>
      <c r="G37" s="218">
        <v>621.54579999999999</v>
      </c>
      <c r="H37" s="218">
        <v>587.71180000000004</v>
      </c>
      <c r="I37" s="218">
        <v>573.6232</v>
      </c>
      <c r="J37" s="246">
        <v>350465564</v>
      </c>
      <c r="K37" s="246">
        <v>387363834</v>
      </c>
      <c r="L37" s="218">
        <v>4818.7169999999996</v>
      </c>
      <c r="M37" s="246">
        <v>271283</v>
      </c>
      <c r="N37" s="251">
        <v>386.43970000000002</v>
      </c>
      <c r="O37" s="251">
        <v>373.23419999999999</v>
      </c>
      <c r="P37" s="251">
        <v>349.59469999999999</v>
      </c>
      <c r="Q37" s="251">
        <v>335.2817</v>
      </c>
      <c r="R37" s="254">
        <v>1.0900000000000001</v>
      </c>
      <c r="S37" s="214">
        <v>562036</v>
      </c>
      <c r="T37" s="214">
        <v>5243304</v>
      </c>
      <c r="U37" s="214">
        <v>0</v>
      </c>
      <c r="V37" s="187">
        <f t="shared" si="0"/>
        <v>5243304</v>
      </c>
      <c r="W37" s="187">
        <f t="shared" si="1"/>
        <v>5805340</v>
      </c>
    </row>
    <row r="38" spans="1:23">
      <c r="A38" s="216" t="s">
        <v>1250</v>
      </c>
      <c r="B38" s="218">
        <v>112.13800000000001</v>
      </c>
      <c r="C38" s="218">
        <v>115.04900000000001</v>
      </c>
      <c r="D38" s="218">
        <v>112.97499999999999</v>
      </c>
      <c r="E38" s="218">
        <v>128.99299999999999</v>
      </c>
      <c r="F38" s="218">
        <v>23.838200000000001</v>
      </c>
      <c r="G38" s="218">
        <v>26.9237</v>
      </c>
      <c r="H38" s="218">
        <v>25.375399999999999</v>
      </c>
      <c r="I38" s="218">
        <v>29.823599999999999</v>
      </c>
      <c r="J38" s="246">
        <v>83665944</v>
      </c>
      <c r="K38" s="246">
        <v>85609494</v>
      </c>
      <c r="L38" s="218">
        <v>218.518</v>
      </c>
      <c r="M38" s="187">
        <v>0</v>
      </c>
      <c r="N38" s="251">
        <v>14.558299999999999</v>
      </c>
      <c r="O38" s="251">
        <v>15.5007</v>
      </c>
      <c r="P38" s="251">
        <v>13.940300000000001</v>
      </c>
      <c r="Q38" s="251">
        <v>15.9998</v>
      </c>
      <c r="R38" s="254">
        <v>1.0900000000000001</v>
      </c>
      <c r="S38" s="214">
        <v>0</v>
      </c>
      <c r="T38" s="214">
        <v>1584852</v>
      </c>
      <c r="U38" s="214">
        <v>0</v>
      </c>
      <c r="V38" s="187">
        <f t="shared" si="0"/>
        <v>1584852</v>
      </c>
      <c r="W38" s="187">
        <f t="shared" si="1"/>
        <v>1584852</v>
      </c>
    </row>
    <row r="39" spans="1:23">
      <c r="A39" s="216" t="s">
        <v>1252</v>
      </c>
      <c r="B39" s="218">
        <v>414.87299999999999</v>
      </c>
      <c r="C39" s="218">
        <v>401.54300000000001</v>
      </c>
      <c r="D39" s="218">
        <v>389.416</v>
      </c>
      <c r="E39" s="218">
        <v>377.48700000000002</v>
      </c>
      <c r="F39" s="218">
        <v>79.566800000000001</v>
      </c>
      <c r="G39" s="218">
        <v>74.983900000000006</v>
      </c>
      <c r="H39" s="218">
        <v>72.823499999999996</v>
      </c>
      <c r="I39" s="218">
        <v>76.558700000000002</v>
      </c>
      <c r="J39" s="246">
        <v>106687353</v>
      </c>
      <c r="K39" s="246">
        <v>111084446</v>
      </c>
      <c r="L39" s="218">
        <v>679.38900000000001</v>
      </c>
      <c r="M39" s="187">
        <v>0</v>
      </c>
      <c r="N39" s="251">
        <v>47.455300000000001</v>
      </c>
      <c r="O39" s="251">
        <v>43.806399999999996</v>
      </c>
      <c r="P39" s="251">
        <v>41.7059</v>
      </c>
      <c r="Q39" s="251">
        <v>46.343400000000003</v>
      </c>
      <c r="R39" s="254">
        <v>1.06</v>
      </c>
      <c r="S39" s="214">
        <v>0</v>
      </c>
      <c r="T39" s="214">
        <v>1827855</v>
      </c>
      <c r="U39" s="214">
        <v>0</v>
      </c>
      <c r="V39" s="187">
        <f t="shared" si="0"/>
        <v>1827855</v>
      </c>
      <c r="W39" s="187">
        <f t="shared" si="1"/>
        <v>1827855</v>
      </c>
    </row>
    <row r="40" spans="1:23">
      <c r="A40" s="216" t="s">
        <v>2399</v>
      </c>
      <c r="B40" s="218">
        <v>658.78499999999997</v>
      </c>
      <c r="C40" s="218">
        <v>659.27</v>
      </c>
      <c r="D40" s="218">
        <v>639.36</v>
      </c>
      <c r="E40" s="218">
        <v>636.96900000000005</v>
      </c>
      <c r="F40" s="218">
        <v>113.816</v>
      </c>
      <c r="G40" s="218">
        <v>108.88</v>
      </c>
      <c r="H40" s="218">
        <v>104.0081</v>
      </c>
      <c r="I40" s="218">
        <v>102.3489</v>
      </c>
      <c r="J40" s="246">
        <v>70062470</v>
      </c>
      <c r="K40" s="246">
        <v>75857730</v>
      </c>
      <c r="L40" s="218">
        <v>1060.04</v>
      </c>
      <c r="M40" s="187">
        <v>990</v>
      </c>
      <c r="N40" s="251">
        <v>69.183000000000007</v>
      </c>
      <c r="O40" s="251">
        <v>68.911699999999996</v>
      </c>
      <c r="P40" s="251">
        <v>68.454300000000003</v>
      </c>
      <c r="Q40" s="251">
        <v>66.487099999999998</v>
      </c>
      <c r="R40" s="254">
        <v>1.07</v>
      </c>
      <c r="S40" s="214">
        <v>61470</v>
      </c>
      <c r="T40" s="214">
        <v>1120025</v>
      </c>
      <c r="U40" s="214">
        <v>0</v>
      </c>
      <c r="V40" s="187">
        <f t="shared" si="0"/>
        <v>1120025</v>
      </c>
      <c r="W40" s="187">
        <f t="shared" si="1"/>
        <v>1181495</v>
      </c>
    </row>
    <row r="41" spans="1:23">
      <c r="A41" s="216" t="s">
        <v>2566</v>
      </c>
      <c r="B41" s="218">
        <v>921.55399999999997</v>
      </c>
      <c r="C41" s="218">
        <v>897.89599999999996</v>
      </c>
      <c r="D41" s="218">
        <v>913.798</v>
      </c>
      <c r="E41" s="218">
        <v>888.73199999999997</v>
      </c>
      <c r="F41" s="218">
        <v>130.99979999999999</v>
      </c>
      <c r="G41" s="218">
        <v>132.97069999999999</v>
      </c>
      <c r="H41" s="218">
        <v>136.57820000000001</v>
      </c>
      <c r="I41" s="218">
        <v>134.05189999999999</v>
      </c>
      <c r="J41" s="246">
        <v>99956071</v>
      </c>
      <c r="K41" s="246">
        <v>109704081</v>
      </c>
      <c r="L41" s="218">
        <v>1349.0609999999999</v>
      </c>
      <c r="M41" s="246">
        <v>59492</v>
      </c>
      <c r="N41" s="251">
        <v>85.881600000000006</v>
      </c>
      <c r="O41" s="251">
        <v>95.492000000000004</v>
      </c>
      <c r="P41" s="251">
        <v>98.188699999999997</v>
      </c>
      <c r="Q41" s="251">
        <v>96.001800000000003</v>
      </c>
      <c r="R41" s="254">
        <v>1.04</v>
      </c>
      <c r="S41" s="214">
        <v>56269</v>
      </c>
      <c r="T41" s="214">
        <v>1556385</v>
      </c>
      <c r="U41" s="214">
        <v>0</v>
      </c>
      <c r="V41" s="187">
        <f t="shared" si="0"/>
        <v>1556385</v>
      </c>
      <c r="W41" s="187">
        <f t="shared" si="1"/>
        <v>1612654</v>
      </c>
    </row>
    <row r="42" spans="1:23">
      <c r="A42" s="216" t="s">
        <v>947</v>
      </c>
      <c r="B42" s="218">
        <v>527.70799999999997</v>
      </c>
      <c r="C42" s="218">
        <v>512.505</v>
      </c>
      <c r="D42" s="218">
        <v>503.43900000000002</v>
      </c>
      <c r="E42" s="218">
        <v>489.49400000000003</v>
      </c>
      <c r="F42" s="218">
        <v>81.505600000000001</v>
      </c>
      <c r="G42" s="218">
        <v>81.355800000000002</v>
      </c>
      <c r="H42" s="218">
        <v>81.504999999999995</v>
      </c>
      <c r="I42" s="218">
        <v>78.064400000000006</v>
      </c>
      <c r="J42" s="246">
        <v>49223831</v>
      </c>
      <c r="K42" s="246">
        <v>54395792</v>
      </c>
      <c r="L42" s="218">
        <v>848.74800000000005</v>
      </c>
      <c r="M42" s="246">
        <v>21807</v>
      </c>
      <c r="N42" s="251">
        <v>54.977800000000002</v>
      </c>
      <c r="O42" s="251">
        <v>55.531100000000002</v>
      </c>
      <c r="P42" s="251">
        <v>52.877099999999999</v>
      </c>
      <c r="Q42" s="251">
        <v>53.984699999999997</v>
      </c>
      <c r="R42" s="254">
        <v>1.04</v>
      </c>
      <c r="S42" s="214">
        <v>61646</v>
      </c>
      <c r="T42" s="214">
        <v>761368</v>
      </c>
      <c r="U42" s="214">
        <v>0</v>
      </c>
      <c r="V42" s="187">
        <f t="shared" si="0"/>
        <v>761368</v>
      </c>
      <c r="W42" s="187">
        <f t="shared" si="1"/>
        <v>823014</v>
      </c>
    </row>
    <row r="43" spans="1:23">
      <c r="A43" s="216" t="s">
        <v>950</v>
      </c>
      <c r="B43" s="218">
        <v>6160.8689999999997</v>
      </c>
      <c r="C43" s="218">
        <v>6216.4030000000002</v>
      </c>
      <c r="D43" s="218">
        <v>6396.4949999999999</v>
      </c>
      <c r="E43" s="218">
        <v>6530.8320000000003</v>
      </c>
      <c r="F43" s="218">
        <v>952.88300000000004</v>
      </c>
      <c r="G43" s="218">
        <v>998.19839999999999</v>
      </c>
      <c r="H43" s="218">
        <v>1065.0463</v>
      </c>
      <c r="I43" s="218">
        <v>1057.4301</v>
      </c>
      <c r="J43" s="246">
        <v>779338070</v>
      </c>
      <c r="K43" s="246">
        <v>850831634</v>
      </c>
      <c r="L43" s="218">
        <v>8430.2420000000002</v>
      </c>
      <c r="M43" s="246">
        <v>855881</v>
      </c>
      <c r="N43" s="251">
        <v>555.93679999999995</v>
      </c>
      <c r="O43" s="251">
        <v>563.35789999999997</v>
      </c>
      <c r="P43" s="251">
        <v>603.93600000000004</v>
      </c>
      <c r="Q43" s="251">
        <v>610.69889999999998</v>
      </c>
      <c r="R43" s="254">
        <v>1.08</v>
      </c>
      <c r="S43" s="214">
        <v>1545467</v>
      </c>
      <c r="T43" s="214">
        <v>12735766</v>
      </c>
      <c r="U43" s="214">
        <v>0</v>
      </c>
      <c r="V43" s="187">
        <f t="shared" si="0"/>
        <v>12735766</v>
      </c>
      <c r="W43" s="187">
        <f t="shared" si="1"/>
        <v>14281233</v>
      </c>
    </row>
    <row r="44" spans="1:23">
      <c r="A44" s="216" t="s">
        <v>1869</v>
      </c>
      <c r="B44" s="218">
        <v>462.09699999999998</v>
      </c>
      <c r="C44" s="218">
        <v>436.41300000000001</v>
      </c>
      <c r="D44" s="218">
        <v>423.233</v>
      </c>
      <c r="E44" s="218">
        <v>462.09800000000001</v>
      </c>
      <c r="F44" s="218">
        <v>78.667699999999996</v>
      </c>
      <c r="G44" s="218">
        <v>84.266900000000007</v>
      </c>
      <c r="H44" s="218">
        <v>84.949299999999994</v>
      </c>
      <c r="I44" s="218">
        <v>84.240799999999993</v>
      </c>
      <c r="J44" s="246">
        <v>43529947</v>
      </c>
      <c r="K44" s="246">
        <v>48583561</v>
      </c>
      <c r="L44" s="218">
        <v>745.41099999999994</v>
      </c>
      <c r="M44" s="246">
        <v>18860</v>
      </c>
      <c r="N44" s="251">
        <v>48.879399999999997</v>
      </c>
      <c r="O44" s="251">
        <v>51.423200000000001</v>
      </c>
      <c r="P44" s="251">
        <v>51.034300000000002</v>
      </c>
      <c r="Q44" s="251">
        <v>50.997999999999998</v>
      </c>
      <c r="R44" s="254">
        <v>1.04</v>
      </c>
      <c r="S44" s="214">
        <v>86187</v>
      </c>
      <c r="T44" s="214">
        <v>685202</v>
      </c>
      <c r="U44" s="214">
        <v>0</v>
      </c>
      <c r="V44" s="187">
        <f t="shared" si="0"/>
        <v>685202</v>
      </c>
      <c r="W44" s="187">
        <f t="shared" si="1"/>
        <v>771389</v>
      </c>
    </row>
    <row r="45" spans="1:23">
      <c r="A45" s="216" t="s">
        <v>6033</v>
      </c>
      <c r="B45" s="218">
        <v>27123.361000000001</v>
      </c>
      <c r="C45" s="218">
        <v>27579.339</v>
      </c>
      <c r="D45" s="218">
        <v>28278.016</v>
      </c>
      <c r="E45" s="218">
        <v>28931.377</v>
      </c>
      <c r="F45" s="218">
        <v>4048.7945</v>
      </c>
      <c r="G45" s="218">
        <v>4230.9057000000003</v>
      </c>
      <c r="H45" s="218">
        <v>4414.4129000000003</v>
      </c>
      <c r="I45" s="218">
        <v>4616.7855</v>
      </c>
      <c r="J45" s="246">
        <v>2622522536</v>
      </c>
      <c r="K45" s="246">
        <v>2810678528</v>
      </c>
      <c r="L45" s="218">
        <v>38179.811999999998</v>
      </c>
      <c r="M45" s="246">
        <v>687676</v>
      </c>
      <c r="N45" s="251">
        <v>2533.5032000000001</v>
      </c>
      <c r="O45" s="251">
        <v>2640.4672999999998</v>
      </c>
      <c r="P45" s="251">
        <v>2763.2809999999999</v>
      </c>
      <c r="Q45" s="251">
        <v>2900.3517000000002</v>
      </c>
      <c r="R45" s="254">
        <v>1.1000000000000001</v>
      </c>
      <c r="S45" s="214">
        <v>3805041</v>
      </c>
      <c r="T45" s="214">
        <v>38463484</v>
      </c>
      <c r="U45" s="214">
        <v>0</v>
      </c>
      <c r="V45" s="187">
        <f t="shared" si="0"/>
        <v>38463484</v>
      </c>
      <c r="W45" s="187">
        <f t="shared" si="1"/>
        <v>42268525</v>
      </c>
    </row>
    <row r="46" spans="1:23">
      <c r="A46" s="216" t="s">
        <v>2309</v>
      </c>
      <c r="B46" s="218">
        <v>800.65</v>
      </c>
      <c r="C46" s="218">
        <v>807.12199999999996</v>
      </c>
      <c r="D46" s="218">
        <v>820.56899999999996</v>
      </c>
      <c r="E46" s="218">
        <v>815.92100000000005</v>
      </c>
      <c r="F46" s="218">
        <v>117.7993</v>
      </c>
      <c r="G46" s="218">
        <v>117.4941</v>
      </c>
      <c r="H46" s="218">
        <v>120.1279</v>
      </c>
      <c r="I46" s="218">
        <v>117.3751</v>
      </c>
      <c r="J46" s="246">
        <v>79700988</v>
      </c>
      <c r="K46" s="246">
        <v>88401412</v>
      </c>
      <c r="L46" s="218">
        <v>1251.0830000000001</v>
      </c>
      <c r="M46" s="246">
        <v>10633</v>
      </c>
      <c r="N46" s="251">
        <v>80.171899999999994</v>
      </c>
      <c r="O46" s="251">
        <v>80.623199999999997</v>
      </c>
      <c r="P46" s="251">
        <v>79.599999999999994</v>
      </c>
      <c r="Q46" s="251">
        <v>79.668899999999994</v>
      </c>
      <c r="R46" s="254">
        <v>1.05</v>
      </c>
      <c r="S46" s="214">
        <v>60747</v>
      </c>
      <c r="T46" s="214">
        <v>1277221</v>
      </c>
      <c r="U46" s="214">
        <v>0</v>
      </c>
      <c r="V46" s="187">
        <f t="shared" si="0"/>
        <v>1277221</v>
      </c>
      <c r="W46" s="187">
        <f t="shared" si="1"/>
        <v>1337968</v>
      </c>
    </row>
    <row r="47" spans="1:23">
      <c r="A47" s="216" t="s">
        <v>2384</v>
      </c>
      <c r="B47" s="218">
        <v>951.68600000000004</v>
      </c>
      <c r="C47" s="218">
        <v>929.74900000000002</v>
      </c>
      <c r="D47" s="218">
        <v>943.096</v>
      </c>
      <c r="E47" s="218">
        <v>999.05200000000002</v>
      </c>
      <c r="F47" s="218">
        <v>123.7696</v>
      </c>
      <c r="G47" s="218">
        <v>126.0692</v>
      </c>
      <c r="H47" s="218">
        <v>130.61580000000001</v>
      </c>
      <c r="I47" s="218">
        <v>135.97999999999999</v>
      </c>
      <c r="J47" s="246">
        <v>287577296</v>
      </c>
      <c r="K47" s="246">
        <v>302728276</v>
      </c>
      <c r="L47" s="218">
        <v>1387.865</v>
      </c>
      <c r="M47" s="246">
        <v>332207</v>
      </c>
      <c r="N47" s="251">
        <v>82.163399999999996</v>
      </c>
      <c r="O47" s="251">
        <v>85.831599999999995</v>
      </c>
      <c r="P47" s="251">
        <v>89.349199999999996</v>
      </c>
      <c r="Q47" s="251">
        <v>90.509</v>
      </c>
      <c r="R47" s="254">
        <v>1.05</v>
      </c>
      <c r="S47" s="214">
        <v>588783</v>
      </c>
      <c r="T47" s="214">
        <v>4397472</v>
      </c>
      <c r="U47" s="214">
        <v>0</v>
      </c>
      <c r="V47" s="187">
        <f t="shared" si="0"/>
        <v>4397472</v>
      </c>
      <c r="W47" s="187">
        <f t="shared" si="1"/>
        <v>4986255</v>
      </c>
    </row>
    <row r="48" spans="1:23">
      <c r="A48" s="216" t="s">
        <v>2411</v>
      </c>
      <c r="B48" s="218">
        <v>7903.326</v>
      </c>
      <c r="C48" s="218">
        <v>7833.44</v>
      </c>
      <c r="D48" s="218">
        <v>7734.68</v>
      </c>
      <c r="E48" s="218">
        <v>7669.7430000000004</v>
      </c>
      <c r="F48" s="218">
        <v>1293.2606000000001</v>
      </c>
      <c r="G48" s="218">
        <v>1277.5561</v>
      </c>
      <c r="H48" s="218">
        <v>1274.8322000000001</v>
      </c>
      <c r="I48" s="218">
        <v>1290.0551</v>
      </c>
      <c r="J48" s="246">
        <v>1798298664</v>
      </c>
      <c r="K48" s="246">
        <v>1898278059</v>
      </c>
      <c r="L48" s="218">
        <v>10296.625</v>
      </c>
      <c r="M48" s="246">
        <v>2256893</v>
      </c>
      <c r="N48" s="251">
        <v>817.23950000000002</v>
      </c>
      <c r="O48" s="251">
        <v>820.84059999999999</v>
      </c>
      <c r="P48" s="251">
        <v>795.53530000000001</v>
      </c>
      <c r="Q48" s="251">
        <v>782.31780000000003</v>
      </c>
      <c r="R48" s="254">
        <v>1.0900000000000001</v>
      </c>
      <c r="S48" s="214">
        <v>2790923</v>
      </c>
      <c r="T48" s="214">
        <v>27941869</v>
      </c>
      <c r="U48" s="214">
        <v>0</v>
      </c>
      <c r="V48" s="187">
        <f t="shared" si="0"/>
        <v>27941869</v>
      </c>
      <c r="W48" s="187">
        <f t="shared" si="1"/>
        <v>30732792</v>
      </c>
    </row>
    <row r="49" spans="1:23">
      <c r="A49" s="216" t="s">
        <v>2416</v>
      </c>
      <c r="B49" s="218">
        <v>1174.357</v>
      </c>
      <c r="C49" s="218">
        <v>1194.0150000000001</v>
      </c>
      <c r="D49" s="218">
        <v>1207.6590000000001</v>
      </c>
      <c r="E49" s="218">
        <v>1211.925</v>
      </c>
      <c r="F49" s="218">
        <v>156.8588</v>
      </c>
      <c r="G49" s="218">
        <v>160.52459999999999</v>
      </c>
      <c r="H49" s="218">
        <v>165.75460000000001</v>
      </c>
      <c r="I49" s="218">
        <v>168.2039</v>
      </c>
      <c r="J49" s="246">
        <v>138376664</v>
      </c>
      <c r="K49" s="246">
        <v>150460255</v>
      </c>
      <c r="L49" s="218">
        <v>1786.0419999999999</v>
      </c>
      <c r="M49" s="246">
        <v>174593</v>
      </c>
      <c r="N49" s="251">
        <v>111.83110000000001</v>
      </c>
      <c r="O49" s="251">
        <v>113.8081</v>
      </c>
      <c r="P49" s="251">
        <v>118.3267</v>
      </c>
      <c r="Q49" s="251">
        <v>116.89100000000001</v>
      </c>
      <c r="R49" s="254">
        <v>1.04</v>
      </c>
      <c r="S49" s="214">
        <v>278246</v>
      </c>
      <c r="T49" s="214">
        <v>2118111</v>
      </c>
      <c r="U49" s="214">
        <v>0</v>
      </c>
      <c r="V49" s="187">
        <f t="shared" si="0"/>
        <v>2118111</v>
      </c>
      <c r="W49" s="187">
        <f t="shared" si="1"/>
        <v>2396357</v>
      </c>
    </row>
    <row r="50" spans="1:23">
      <c r="A50" s="216" t="s">
        <v>37</v>
      </c>
      <c r="B50" s="218">
        <v>4281.5529999999999</v>
      </c>
      <c r="C50" s="218">
        <v>4228.45</v>
      </c>
      <c r="D50" s="218">
        <v>4271.5690000000004</v>
      </c>
      <c r="E50" s="218">
        <v>4165.9030000000002</v>
      </c>
      <c r="F50" s="218">
        <v>621.36900000000003</v>
      </c>
      <c r="G50" s="218">
        <v>647.68380000000002</v>
      </c>
      <c r="H50" s="218">
        <v>629.28340000000003</v>
      </c>
      <c r="I50" s="218">
        <v>629.60289999999998</v>
      </c>
      <c r="J50" s="246">
        <v>2724201966</v>
      </c>
      <c r="K50" s="246">
        <v>2800009526</v>
      </c>
      <c r="L50" s="218">
        <v>4910.7219999999998</v>
      </c>
      <c r="M50" s="246">
        <v>3521436</v>
      </c>
      <c r="N50" s="251">
        <v>395.26369999999997</v>
      </c>
      <c r="O50" s="251">
        <v>389.1463</v>
      </c>
      <c r="P50" s="251">
        <v>388.27910000000003</v>
      </c>
      <c r="Q50" s="251">
        <v>376.61320000000001</v>
      </c>
      <c r="R50" s="254">
        <v>1.08</v>
      </c>
      <c r="S50" s="214">
        <v>3591895</v>
      </c>
      <c r="T50" s="214">
        <v>41415009</v>
      </c>
      <c r="U50" s="214">
        <v>0</v>
      </c>
      <c r="V50" s="187">
        <f t="shared" si="0"/>
        <v>41415009</v>
      </c>
      <c r="W50" s="187">
        <f t="shared" si="1"/>
        <v>45006904</v>
      </c>
    </row>
    <row r="51" spans="1:23">
      <c r="A51" s="216" t="s">
        <v>1860</v>
      </c>
      <c r="B51" s="218">
        <v>13572.166999999999</v>
      </c>
      <c r="C51" s="218">
        <v>13402.002</v>
      </c>
      <c r="D51" s="218">
        <v>13458.644</v>
      </c>
      <c r="E51" s="218">
        <v>13183.222</v>
      </c>
      <c r="F51" s="218">
        <v>2190.3042</v>
      </c>
      <c r="G51" s="218">
        <v>2217.3045000000002</v>
      </c>
      <c r="H51" s="218">
        <v>1685.6577</v>
      </c>
      <c r="I51" s="218">
        <v>2178.2456000000002</v>
      </c>
      <c r="J51" s="246">
        <v>778847904</v>
      </c>
      <c r="K51" s="246">
        <v>894846564</v>
      </c>
      <c r="L51" s="218">
        <v>18974.219000000001</v>
      </c>
      <c r="M51" s="246">
        <v>265451</v>
      </c>
      <c r="N51" s="251">
        <v>1222.8444</v>
      </c>
      <c r="O51" s="251">
        <v>1205.1339</v>
      </c>
      <c r="P51" s="251">
        <v>1217.8860999999999</v>
      </c>
      <c r="Q51" s="251">
        <v>1196.9184</v>
      </c>
      <c r="R51" s="254">
        <v>1.1200000000000001</v>
      </c>
      <c r="S51" s="214">
        <v>2153082</v>
      </c>
      <c r="T51" s="214">
        <v>12201632</v>
      </c>
      <c r="U51" s="214">
        <v>0</v>
      </c>
      <c r="V51" s="187">
        <f t="shared" si="0"/>
        <v>12201632</v>
      </c>
      <c r="W51" s="187">
        <f t="shared" si="1"/>
        <v>14354714</v>
      </c>
    </row>
    <row r="52" spans="1:23">
      <c r="A52" s="216" t="s">
        <v>1520</v>
      </c>
      <c r="B52" s="218">
        <v>11968.751</v>
      </c>
      <c r="C52" s="218">
        <v>11916.463</v>
      </c>
      <c r="D52" s="218">
        <v>12150.062</v>
      </c>
      <c r="E52" s="218">
        <v>11813.504999999999</v>
      </c>
      <c r="F52" s="218">
        <v>2171.9065000000001</v>
      </c>
      <c r="G52" s="218">
        <v>2105.1154000000001</v>
      </c>
      <c r="H52" s="218">
        <v>1940.6581000000001</v>
      </c>
      <c r="I52" s="218">
        <v>1860.1015</v>
      </c>
      <c r="J52" s="246">
        <v>512542160</v>
      </c>
      <c r="K52" s="246">
        <v>611310735</v>
      </c>
      <c r="L52" s="218">
        <v>17118.656999999999</v>
      </c>
      <c r="M52" s="246">
        <v>72388</v>
      </c>
      <c r="N52" s="251">
        <v>1227.8484000000001</v>
      </c>
      <c r="O52" s="251">
        <v>1103.8322000000001</v>
      </c>
      <c r="P52" s="251">
        <v>1075.1120000000001</v>
      </c>
      <c r="Q52" s="251">
        <v>1012.2723</v>
      </c>
      <c r="R52" s="254">
        <v>1.1499999999999999</v>
      </c>
      <c r="S52" s="214">
        <v>739123</v>
      </c>
      <c r="T52" s="214">
        <v>8352211</v>
      </c>
      <c r="U52" s="214">
        <v>108958</v>
      </c>
      <c r="V52" s="187">
        <f t="shared" si="0"/>
        <v>8461169</v>
      </c>
      <c r="W52" s="187">
        <f t="shared" si="1"/>
        <v>9200292</v>
      </c>
    </row>
    <row r="53" spans="1:23">
      <c r="A53" s="216" t="s">
        <v>39</v>
      </c>
      <c r="B53" s="218">
        <v>1055.0229999999999</v>
      </c>
      <c r="C53" s="218">
        <v>1068.739</v>
      </c>
      <c r="D53" s="218">
        <v>1036.463</v>
      </c>
      <c r="E53" s="218">
        <v>983.81399999999996</v>
      </c>
      <c r="F53" s="218">
        <v>159.97210000000001</v>
      </c>
      <c r="G53" s="218">
        <v>169.8252</v>
      </c>
      <c r="H53" s="218">
        <v>174.17250000000001</v>
      </c>
      <c r="I53" s="218">
        <v>169.10830000000001</v>
      </c>
      <c r="J53" s="57">
        <v>0</v>
      </c>
      <c r="K53" s="57">
        <v>0</v>
      </c>
      <c r="L53" s="218">
        <v>0</v>
      </c>
      <c r="M53" s="246">
        <v>0</v>
      </c>
      <c r="N53" s="251">
        <v>107.9678</v>
      </c>
      <c r="O53" s="251">
        <v>110.24169999999999</v>
      </c>
      <c r="P53" s="251">
        <v>110.1718</v>
      </c>
      <c r="Q53" s="251">
        <v>103.6302</v>
      </c>
      <c r="R53" s="254">
        <v>1.06</v>
      </c>
      <c r="S53" s="94">
        <v>0</v>
      </c>
      <c r="T53" s="94">
        <v>0</v>
      </c>
      <c r="U53" s="94">
        <v>0</v>
      </c>
      <c r="V53">
        <v>0</v>
      </c>
      <c r="W53">
        <f t="shared" si="1"/>
        <v>0</v>
      </c>
    </row>
    <row r="54" spans="1:23">
      <c r="A54" s="216" t="s">
        <v>2386</v>
      </c>
      <c r="B54" s="218">
        <v>53004.027000000002</v>
      </c>
      <c r="C54" s="218">
        <v>52441.319000000003</v>
      </c>
      <c r="D54" s="218">
        <v>52287.555</v>
      </c>
      <c r="E54" s="218">
        <v>51747.71</v>
      </c>
      <c r="F54" s="218">
        <v>7036.2088999999996</v>
      </c>
      <c r="G54" s="218">
        <v>7332.5792000000001</v>
      </c>
      <c r="H54" s="218">
        <v>7524.0568999999996</v>
      </c>
      <c r="I54" s="218">
        <v>7751.6646000000001</v>
      </c>
      <c r="J54" s="246">
        <v>7250480575</v>
      </c>
      <c r="K54" s="246">
        <v>7787039120</v>
      </c>
      <c r="L54" s="218">
        <v>73429.149999999994</v>
      </c>
      <c r="M54" s="246">
        <v>1716295</v>
      </c>
      <c r="N54" s="251">
        <v>4333.0724</v>
      </c>
      <c r="O54" s="251">
        <v>4289.0225</v>
      </c>
      <c r="P54" s="251">
        <v>4436.4736999999996</v>
      </c>
      <c r="Q54" s="251">
        <v>4434.1255000000001</v>
      </c>
      <c r="R54" s="254">
        <v>1.1399999999999999</v>
      </c>
      <c r="S54" s="214">
        <v>16307057</v>
      </c>
      <c r="T54" s="214">
        <v>110105061</v>
      </c>
      <c r="U54" s="214">
        <v>0</v>
      </c>
      <c r="V54" s="187">
        <f t="shared" ref="V54:V68" si="2">T54+U54</f>
        <v>110105061</v>
      </c>
      <c r="W54" s="187">
        <f t="shared" ref="W54:W68" si="3">V54+S54</f>
        <v>126412118</v>
      </c>
    </row>
    <row r="55" spans="1:23">
      <c r="A55" s="216" t="s">
        <v>2403</v>
      </c>
      <c r="B55" s="218">
        <v>9278.3040000000001</v>
      </c>
      <c r="C55" s="218">
        <v>9123.6309999999994</v>
      </c>
      <c r="D55" s="218">
        <v>9147.0879999999997</v>
      </c>
      <c r="E55" s="218">
        <v>9174.3029999999999</v>
      </c>
      <c r="F55" s="218">
        <v>1480.0931</v>
      </c>
      <c r="G55" s="218">
        <v>1419.4391000000001</v>
      </c>
      <c r="H55" s="218">
        <v>1396.1265000000001</v>
      </c>
      <c r="I55" s="218">
        <v>1362.6601000000001</v>
      </c>
      <c r="J55" s="246">
        <v>641079790</v>
      </c>
      <c r="K55" s="246">
        <v>705463100</v>
      </c>
      <c r="L55" s="218">
        <v>12838.216</v>
      </c>
      <c r="M55" s="246">
        <v>558272</v>
      </c>
      <c r="N55" s="251">
        <v>940.47080000000005</v>
      </c>
      <c r="O55" s="251">
        <v>881.46299999999997</v>
      </c>
      <c r="P55" s="251">
        <v>872.62159999999994</v>
      </c>
      <c r="Q55" s="251">
        <v>855.32560000000001</v>
      </c>
      <c r="R55" s="254">
        <v>1.1399999999999999</v>
      </c>
      <c r="S55" s="214">
        <v>1595575</v>
      </c>
      <c r="T55" s="214">
        <v>10452832</v>
      </c>
      <c r="U55" s="214">
        <v>0</v>
      </c>
      <c r="V55" s="187">
        <f t="shared" si="2"/>
        <v>10452832</v>
      </c>
      <c r="W55" s="187">
        <f t="shared" si="3"/>
        <v>12048407</v>
      </c>
    </row>
    <row r="56" spans="1:23">
      <c r="A56" s="216" t="s">
        <v>2402</v>
      </c>
      <c r="B56" s="218">
        <v>2457.7260000000001</v>
      </c>
      <c r="C56" s="218">
        <v>2675.7860000000001</v>
      </c>
      <c r="D56" s="218">
        <v>2840.37</v>
      </c>
      <c r="E56" s="218">
        <v>2918.6860000000001</v>
      </c>
      <c r="F56" s="218">
        <v>363.52679999999998</v>
      </c>
      <c r="G56" s="218">
        <v>408.1</v>
      </c>
      <c r="H56" s="218">
        <v>460.12909999999999</v>
      </c>
      <c r="I56" s="218">
        <v>471.4479</v>
      </c>
      <c r="J56" s="246">
        <v>147703322</v>
      </c>
      <c r="K56" s="246">
        <v>166808619</v>
      </c>
      <c r="L56" s="218">
        <v>4228.99</v>
      </c>
      <c r="M56" s="246">
        <v>112056</v>
      </c>
      <c r="N56" s="251">
        <v>200.75450000000001</v>
      </c>
      <c r="O56" s="251">
        <v>224.56890000000001</v>
      </c>
      <c r="P56" s="251">
        <v>208.90379999999999</v>
      </c>
      <c r="Q56" s="251">
        <v>218.4332</v>
      </c>
      <c r="R56" s="254">
        <v>1.08</v>
      </c>
      <c r="S56" s="214">
        <v>330541</v>
      </c>
      <c r="T56" s="214">
        <v>2428347</v>
      </c>
      <c r="U56" s="214">
        <v>82760</v>
      </c>
      <c r="V56" s="187">
        <f t="shared" si="2"/>
        <v>2511107</v>
      </c>
      <c r="W56" s="187">
        <f t="shared" si="3"/>
        <v>2841648</v>
      </c>
    </row>
    <row r="57" spans="1:23">
      <c r="A57" s="216" t="s">
        <v>6183</v>
      </c>
      <c r="B57" s="218">
        <v>46160.201999999997</v>
      </c>
      <c r="C57" s="218">
        <v>47745.51</v>
      </c>
      <c r="D57" s="218">
        <v>49732.824000000001</v>
      </c>
      <c r="E57" s="218">
        <v>51262.377999999997</v>
      </c>
      <c r="F57" s="218">
        <v>6358.9629000000004</v>
      </c>
      <c r="G57" s="218">
        <v>6623.5727999999999</v>
      </c>
      <c r="H57" s="218">
        <v>6931.9898999999996</v>
      </c>
      <c r="I57" s="218">
        <v>7227.6678000000002</v>
      </c>
      <c r="J57" s="246">
        <v>14726379793</v>
      </c>
      <c r="K57" s="246">
        <v>15462399384</v>
      </c>
      <c r="L57" s="218">
        <v>66063.824999999997</v>
      </c>
      <c r="M57" s="246">
        <v>35433207</v>
      </c>
      <c r="N57" s="251">
        <v>3970.1410000000001</v>
      </c>
      <c r="O57" s="251">
        <v>4177.6454999999996</v>
      </c>
      <c r="P57" s="251">
        <v>4284.4607999999998</v>
      </c>
      <c r="Q57" s="251">
        <v>4474.4495999999999</v>
      </c>
      <c r="R57" s="254">
        <v>1.1100000000000001</v>
      </c>
      <c r="S57" s="214">
        <v>40844472</v>
      </c>
      <c r="T57" s="214">
        <v>232226006</v>
      </c>
      <c r="U57" s="214">
        <v>0</v>
      </c>
      <c r="V57" s="187">
        <f t="shared" si="2"/>
        <v>232226006</v>
      </c>
      <c r="W57" s="187">
        <f t="shared" si="3"/>
        <v>273070478</v>
      </c>
    </row>
    <row r="58" spans="1:23">
      <c r="A58" s="216" t="s">
        <v>1517</v>
      </c>
      <c r="B58" s="218">
        <v>7195.7860000000001</v>
      </c>
      <c r="C58" s="218">
        <v>7281.1750000000002</v>
      </c>
      <c r="D58" s="218">
        <v>7352.1239999999998</v>
      </c>
      <c r="E58" s="218">
        <v>7376.201</v>
      </c>
      <c r="F58" s="218">
        <v>1039.6220000000001</v>
      </c>
      <c r="G58" s="218">
        <v>1112.8774000000001</v>
      </c>
      <c r="H58" s="218">
        <v>1117.2036000000001</v>
      </c>
      <c r="I58" s="218">
        <v>1154.6342999999999</v>
      </c>
      <c r="J58" s="246">
        <v>898290880</v>
      </c>
      <c r="K58" s="246">
        <v>977065660</v>
      </c>
      <c r="L58" s="218">
        <v>9750.2639999999992</v>
      </c>
      <c r="M58" s="246">
        <v>500875</v>
      </c>
      <c r="N58" s="251">
        <v>651.05830000000003</v>
      </c>
      <c r="O58" s="251">
        <v>688.81830000000002</v>
      </c>
      <c r="P58" s="251">
        <v>697.88279999999997</v>
      </c>
      <c r="Q58" s="251">
        <v>709.37620000000004</v>
      </c>
      <c r="R58" s="254">
        <v>1.1000000000000001</v>
      </c>
      <c r="S58" s="214">
        <v>1692888</v>
      </c>
      <c r="T58" s="214">
        <v>14177477</v>
      </c>
      <c r="U58" s="214">
        <v>0</v>
      </c>
      <c r="V58" s="187">
        <f t="shared" si="2"/>
        <v>14177477</v>
      </c>
      <c r="W58" s="187">
        <f t="shared" si="3"/>
        <v>15870365</v>
      </c>
    </row>
    <row r="59" spans="1:23">
      <c r="A59" s="216" t="s">
        <v>3082</v>
      </c>
      <c r="B59" s="218">
        <v>8935.7000000000007</v>
      </c>
      <c r="C59" s="218">
        <v>8847.1010000000006</v>
      </c>
      <c r="D59" s="218">
        <v>8804.098</v>
      </c>
      <c r="E59" s="218">
        <v>8869.777</v>
      </c>
      <c r="F59" s="218">
        <v>1345.8425</v>
      </c>
      <c r="G59" s="218">
        <v>1285.3547000000001</v>
      </c>
      <c r="H59" s="218">
        <v>1285.8580999999999</v>
      </c>
      <c r="I59" s="218">
        <v>1261.5754999999999</v>
      </c>
      <c r="J59" s="246">
        <v>500918935</v>
      </c>
      <c r="K59" s="246">
        <v>558536194</v>
      </c>
      <c r="L59" s="218">
        <v>12234.623</v>
      </c>
      <c r="M59" s="246">
        <v>234070</v>
      </c>
      <c r="N59" s="251">
        <v>820.43790000000001</v>
      </c>
      <c r="O59" s="251">
        <v>782.87609999999995</v>
      </c>
      <c r="P59" s="251">
        <v>782.4828</v>
      </c>
      <c r="Q59" s="251">
        <v>769.78089999999997</v>
      </c>
      <c r="R59" s="254">
        <v>1.1100000000000001</v>
      </c>
      <c r="S59" s="214">
        <v>898643</v>
      </c>
      <c r="T59" s="214">
        <v>7675676</v>
      </c>
      <c r="U59" s="214">
        <v>0</v>
      </c>
      <c r="V59" s="187">
        <f t="shared" si="2"/>
        <v>7675676</v>
      </c>
      <c r="W59" s="187">
        <f t="shared" si="3"/>
        <v>8574319</v>
      </c>
    </row>
    <row r="60" spans="1:23">
      <c r="A60" s="216" t="s">
        <v>41</v>
      </c>
      <c r="B60" s="218">
        <v>775.29899999999998</v>
      </c>
      <c r="C60" s="218">
        <v>907.86500000000001</v>
      </c>
      <c r="D60" s="218">
        <v>983.226</v>
      </c>
      <c r="E60" s="218">
        <v>967.63300000000004</v>
      </c>
      <c r="F60" s="218">
        <v>140.18559999999999</v>
      </c>
      <c r="G60" s="218">
        <v>166.8749</v>
      </c>
      <c r="H60" s="218">
        <v>143.45160000000001</v>
      </c>
      <c r="I60" s="218">
        <v>182.5565</v>
      </c>
      <c r="J60" s="57">
        <v>0</v>
      </c>
      <c r="K60" s="57">
        <v>0</v>
      </c>
      <c r="L60" s="218">
        <v>0</v>
      </c>
      <c r="M60" s="246">
        <v>0</v>
      </c>
      <c r="N60" s="251">
        <v>90.592600000000004</v>
      </c>
      <c r="O60" s="251">
        <v>109.1733</v>
      </c>
      <c r="P60" s="251">
        <v>113.56489999999999</v>
      </c>
      <c r="Q60" s="251">
        <v>120.0086</v>
      </c>
      <c r="R60" s="254">
        <v>1.05</v>
      </c>
      <c r="S60" s="94">
        <v>0</v>
      </c>
      <c r="T60" s="94">
        <v>0</v>
      </c>
      <c r="U60" s="94">
        <v>0</v>
      </c>
      <c r="V60">
        <f t="shared" si="2"/>
        <v>0</v>
      </c>
      <c r="W60">
        <f t="shared" si="3"/>
        <v>0</v>
      </c>
    </row>
    <row r="61" spans="1:23">
      <c r="A61" s="216" t="s">
        <v>43</v>
      </c>
      <c r="B61" s="218">
        <v>1172.627</v>
      </c>
      <c r="C61" s="218">
        <v>1164.596</v>
      </c>
      <c r="D61" s="218">
        <v>1164.001</v>
      </c>
      <c r="E61" s="218">
        <v>1131.758</v>
      </c>
      <c r="F61" s="218">
        <v>229.71809999999999</v>
      </c>
      <c r="G61" s="218">
        <v>233.9496</v>
      </c>
      <c r="H61" s="218">
        <v>233.9145</v>
      </c>
      <c r="I61" s="218">
        <v>229.79230000000001</v>
      </c>
      <c r="J61" s="57">
        <v>0</v>
      </c>
      <c r="K61" s="57">
        <v>0</v>
      </c>
      <c r="L61" s="218">
        <v>0</v>
      </c>
      <c r="M61" s="246">
        <v>0</v>
      </c>
      <c r="N61" s="251">
        <v>150.47239999999999</v>
      </c>
      <c r="O61" s="251">
        <v>145.49459999999999</v>
      </c>
      <c r="P61" s="251">
        <v>146.45580000000001</v>
      </c>
      <c r="Q61" s="251">
        <v>141.6514</v>
      </c>
      <c r="R61" s="254">
        <v>1.06</v>
      </c>
      <c r="S61" s="94">
        <v>0</v>
      </c>
      <c r="T61" s="94">
        <v>0</v>
      </c>
      <c r="U61" s="94">
        <v>0</v>
      </c>
      <c r="V61">
        <f t="shared" si="2"/>
        <v>0</v>
      </c>
      <c r="W61">
        <f t="shared" si="3"/>
        <v>0</v>
      </c>
    </row>
    <row r="62" spans="1:23">
      <c r="A62" s="216" t="s">
        <v>6185</v>
      </c>
      <c r="B62" s="218">
        <v>58740.777999999998</v>
      </c>
      <c r="C62" s="218">
        <v>59789.688999999998</v>
      </c>
      <c r="D62" s="218">
        <v>61803.167000000001</v>
      </c>
      <c r="E62" s="218">
        <v>64358.605000000003</v>
      </c>
      <c r="F62" s="218">
        <v>8216.9313000000002</v>
      </c>
      <c r="G62" s="218">
        <v>8956.3778000000002</v>
      </c>
      <c r="H62" s="218">
        <v>9159.9166999999998</v>
      </c>
      <c r="I62" s="218">
        <v>9710.0910000000003</v>
      </c>
      <c r="J62" s="246">
        <v>14145629366</v>
      </c>
      <c r="K62" s="246">
        <v>14883742934</v>
      </c>
      <c r="L62" s="218">
        <v>83584.460000000006</v>
      </c>
      <c r="M62" s="246">
        <v>27651515</v>
      </c>
      <c r="N62" s="251">
        <v>5214.7912999999999</v>
      </c>
      <c r="O62" s="251">
        <v>5310.6431000000002</v>
      </c>
      <c r="P62" s="251">
        <v>5422.5987999999998</v>
      </c>
      <c r="Q62" s="251">
        <v>5676.1121000000003</v>
      </c>
      <c r="R62" s="254">
        <v>1.1100000000000001</v>
      </c>
      <c r="S62" s="214">
        <v>39303775</v>
      </c>
      <c r="T62" s="214">
        <v>224795332</v>
      </c>
      <c r="U62" s="214">
        <v>0</v>
      </c>
      <c r="V62" s="187">
        <f t="shared" si="2"/>
        <v>224795332</v>
      </c>
      <c r="W62" s="187">
        <f t="shared" si="3"/>
        <v>264099107</v>
      </c>
    </row>
    <row r="63" spans="1:23">
      <c r="A63" s="216" t="s">
        <v>6026</v>
      </c>
      <c r="B63" s="218">
        <v>15236.98</v>
      </c>
      <c r="C63" s="218">
        <v>15645.601000000001</v>
      </c>
      <c r="D63" s="218">
        <v>16002.587</v>
      </c>
      <c r="E63" s="218">
        <v>16396.007000000001</v>
      </c>
      <c r="F63" s="218">
        <v>2263.1949</v>
      </c>
      <c r="G63" s="218">
        <v>2376.4531999999999</v>
      </c>
      <c r="H63" s="218">
        <v>2411.5335</v>
      </c>
      <c r="I63" s="218">
        <v>2342.078</v>
      </c>
      <c r="J63" s="246">
        <v>2889890596</v>
      </c>
      <c r="K63" s="246">
        <v>3062739047</v>
      </c>
      <c r="L63" s="218">
        <v>21215.33</v>
      </c>
      <c r="M63" s="246">
        <v>4641283</v>
      </c>
      <c r="N63" s="251">
        <v>1395.8706999999999</v>
      </c>
      <c r="O63" s="251">
        <v>1424.4104</v>
      </c>
      <c r="P63" s="251">
        <v>1452.1171999999999</v>
      </c>
      <c r="Q63" s="251">
        <v>1477.1838</v>
      </c>
      <c r="R63" s="254">
        <v>1.1100000000000001</v>
      </c>
      <c r="S63" s="214">
        <v>8416943</v>
      </c>
      <c r="T63" s="214">
        <v>45971033</v>
      </c>
      <c r="U63" s="214">
        <v>0</v>
      </c>
      <c r="V63" s="187">
        <f t="shared" si="2"/>
        <v>45971033</v>
      </c>
      <c r="W63" s="187">
        <f t="shared" si="3"/>
        <v>54387976</v>
      </c>
    </row>
    <row r="64" spans="1:23">
      <c r="A64" s="216" t="s">
        <v>2404</v>
      </c>
      <c r="B64" s="218">
        <v>3925.28</v>
      </c>
      <c r="C64" s="218">
        <v>4151.9790000000003</v>
      </c>
      <c r="D64" s="218">
        <v>4264.5110000000004</v>
      </c>
      <c r="E64" s="218">
        <v>4375.0290000000005</v>
      </c>
      <c r="F64" s="218">
        <v>574.01890000000003</v>
      </c>
      <c r="G64" s="218">
        <v>607.41930000000002</v>
      </c>
      <c r="H64" s="218">
        <v>626.70330000000001</v>
      </c>
      <c r="I64" s="218">
        <v>619.77290000000005</v>
      </c>
      <c r="J64" s="246">
        <v>258701302</v>
      </c>
      <c r="K64" s="246">
        <v>288612292</v>
      </c>
      <c r="L64" s="218">
        <v>6264.1329999999998</v>
      </c>
      <c r="M64" s="246">
        <v>159786</v>
      </c>
      <c r="N64" s="251">
        <v>339.83460000000002</v>
      </c>
      <c r="O64" s="251">
        <v>351.6669</v>
      </c>
      <c r="P64" s="251">
        <v>360.11680000000001</v>
      </c>
      <c r="Q64" s="251">
        <v>348.76780000000002</v>
      </c>
      <c r="R64" s="254">
        <v>1.1000000000000001</v>
      </c>
      <c r="S64" s="214">
        <v>597689</v>
      </c>
      <c r="T64" s="214">
        <v>3934770</v>
      </c>
      <c r="U64" s="214">
        <v>223223</v>
      </c>
      <c r="V64" s="187">
        <f t="shared" si="2"/>
        <v>4157993</v>
      </c>
      <c r="W64" s="187">
        <f t="shared" si="3"/>
        <v>4755682</v>
      </c>
    </row>
    <row r="65" spans="1:23">
      <c r="A65" s="216" t="s">
        <v>45</v>
      </c>
      <c r="B65" s="218">
        <v>630.03499999999997</v>
      </c>
      <c r="C65" s="218">
        <v>623.79700000000003</v>
      </c>
      <c r="D65" s="218">
        <v>643.75400000000002</v>
      </c>
      <c r="E65" s="218">
        <v>628.024</v>
      </c>
      <c r="F65" s="218">
        <v>96.494500000000002</v>
      </c>
      <c r="G65" s="218">
        <v>95.147499999999994</v>
      </c>
      <c r="H65" s="218">
        <v>93.052499999999995</v>
      </c>
      <c r="I65" s="218">
        <v>91.830100000000002</v>
      </c>
      <c r="J65" s="246">
        <v>244800039</v>
      </c>
      <c r="K65" s="246">
        <v>255751269</v>
      </c>
      <c r="L65" s="218">
        <v>1137.8689999999999</v>
      </c>
      <c r="M65" s="246">
        <v>255961</v>
      </c>
      <c r="N65" s="251">
        <v>71.033000000000001</v>
      </c>
      <c r="O65" s="251">
        <v>67.909099999999995</v>
      </c>
      <c r="P65" s="251">
        <v>67.589799999999997</v>
      </c>
      <c r="Q65" s="251">
        <v>67.168099999999995</v>
      </c>
      <c r="R65" s="254">
        <v>1.08</v>
      </c>
      <c r="S65" s="214">
        <v>243725</v>
      </c>
      <c r="T65" s="214">
        <v>3405128</v>
      </c>
      <c r="U65" s="214">
        <v>0</v>
      </c>
      <c r="V65" s="187">
        <f t="shared" si="2"/>
        <v>3405128</v>
      </c>
      <c r="W65" s="187">
        <f t="shared" si="3"/>
        <v>3648853</v>
      </c>
    </row>
    <row r="66" spans="1:23">
      <c r="A66" s="216" t="s">
        <v>952</v>
      </c>
      <c r="B66" s="218">
        <v>862.91300000000001</v>
      </c>
      <c r="C66" s="218">
        <v>850.05799999999999</v>
      </c>
      <c r="D66" s="218">
        <v>838.30399999999997</v>
      </c>
      <c r="E66" s="218">
        <v>877.43100000000004</v>
      </c>
      <c r="F66" s="218">
        <v>142.12299999999999</v>
      </c>
      <c r="G66" s="218">
        <v>152.85040000000001</v>
      </c>
      <c r="H66" s="218">
        <v>154.37989999999999</v>
      </c>
      <c r="I66" s="218">
        <v>154.6951</v>
      </c>
      <c r="J66" s="246">
        <v>256177494</v>
      </c>
      <c r="K66" s="246">
        <v>269514104</v>
      </c>
      <c r="L66" s="218">
        <v>1521.9960000000001</v>
      </c>
      <c r="M66" s="246">
        <v>363809</v>
      </c>
      <c r="N66" s="251">
        <v>103.90940000000001</v>
      </c>
      <c r="O66" s="251">
        <v>104.0051</v>
      </c>
      <c r="P66" s="251">
        <v>100.9736</v>
      </c>
      <c r="Q66" s="251">
        <v>100.9558</v>
      </c>
      <c r="R66" s="254">
        <v>1.08</v>
      </c>
      <c r="S66" s="214">
        <v>559235</v>
      </c>
      <c r="T66" s="214">
        <v>3495981</v>
      </c>
      <c r="U66" s="214">
        <v>0</v>
      </c>
      <c r="V66" s="187">
        <f t="shared" si="2"/>
        <v>3495981</v>
      </c>
      <c r="W66" s="187">
        <f t="shared" si="3"/>
        <v>4055216</v>
      </c>
    </row>
    <row r="67" spans="1:23">
      <c r="A67" s="216" t="s">
        <v>47</v>
      </c>
      <c r="B67" s="218">
        <v>173.381</v>
      </c>
      <c r="C67" s="218">
        <v>150.114</v>
      </c>
      <c r="D67" s="218">
        <v>162.50200000000001</v>
      </c>
      <c r="E67" s="218">
        <v>159.40199999999999</v>
      </c>
      <c r="F67" s="218">
        <v>47.5321</v>
      </c>
      <c r="G67" s="218">
        <v>47.975900000000003</v>
      </c>
      <c r="H67" s="218">
        <v>49.811100000000003</v>
      </c>
      <c r="I67" s="218">
        <v>48.941099999999999</v>
      </c>
      <c r="J67" s="246">
        <v>284946629</v>
      </c>
      <c r="K67" s="246">
        <v>286163252</v>
      </c>
      <c r="L67" s="218">
        <v>301.46600000000001</v>
      </c>
      <c r="M67" s="187">
        <v>0</v>
      </c>
      <c r="N67" s="251">
        <v>26.546600000000002</v>
      </c>
      <c r="O67" s="251">
        <v>24.989699999999999</v>
      </c>
      <c r="P67" s="251">
        <v>24.015799999999999</v>
      </c>
      <c r="Q67" s="251">
        <v>23.314399999999999</v>
      </c>
      <c r="R67" s="254">
        <v>1.06</v>
      </c>
      <c r="S67" s="214">
        <v>0</v>
      </c>
      <c r="T67" s="214">
        <v>3793587</v>
      </c>
      <c r="U67" s="214">
        <v>0</v>
      </c>
      <c r="V67" s="187">
        <f t="shared" si="2"/>
        <v>3793587</v>
      </c>
      <c r="W67" s="187">
        <f t="shared" si="3"/>
        <v>3793587</v>
      </c>
    </row>
    <row r="68" spans="1:23">
      <c r="A68" s="216" t="s">
        <v>740</v>
      </c>
      <c r="B68" s="218">
        <v>1123.5889999999999</v>
      </c>
      <c r="C68" s="218">
        <v>1126.184</v>
      </c>
      <c r="D68" s="218">
        <v>1127.335</v>
      </c>
      <c r="E68" s="218">
        <v>1096.1079999999999</v>
      </c>
      <c r="F68" s="218">
        <v>179.2543</v>
      </c>
      <c r="G68" s="218">
        <v>180.97059999999999</v>
      </c>
      <c r="H68" s="218">
        <v>188.7749</v>
      </c>
      <c r="I68" s="218">
        <v>178.6234</v>
      </c>
      <c r="J68" s="246">
        <v>327920423</v>
      </c>
      <c r="K68" s="246">
        <v>344322904</v>
      </c>
      <c r="L68" s="218">
        <v>1593.3389999999999</v>
      </c>
      <c r="M68" s="246">
        <v>228693</v>
      </c>
      <c r="N68" s="251">
        <v>114.69970000000001</v>
      </c>
      <c r="O68" s="251">
        <v>120.2247</v>
      </c>
      <c r="P68" s="251">
        <v>124.7389</v>
      </c>
      <c r="Q68" s="251">
        <v>116.1315</v>
      </c>
      <c r="R68" s="254">
        <v>1.04</v>
      </c>
      <c r="S68" s="214">
        <v>507123</v>
      </c>
      <c r="T68" s="214">
        <v>5252749</v>
      </c>
      <c r="U68" s="214">
        <v>0</v>
      </c>
      <c r="V68" s="187">
        <f t="shared" si="2"/>
        <v>5252749</v>
      </c>
      <c r="W68" s="187">
        <f t="shared" si="3"/>
        <v>5759872</v>
      </c>
    </row>
    <row r="69" spans="1:23">
      <c r="A69" s="216" t="s">
        <v>49</v>
      </c>
      <c r="B69" s="218">
        <v>529.95399999999995</v>
      </c>
      <c r="C69" s="218">
        <v>510.19400000000002</v>
      </c>
      <c r="D69" s="218">
        <v>504.166</v>
      </c>
      <c r="E69" s="218">
        <v>502.09100000000001</v>
      </c>
      <c r="F69" s="218">
        <v>76.867500000000007</v>
      </c>
      <c r="G69" s="218">
        <v>80.174899999999994</v>
      </c>
      <c r="H69" s="218">
        <v>73.433700000000002</v>
      </c>
      <c r="I69" s="218">
        <v>70.161000000000001</v>
      </c>
      <c r="J69" s="246">
        <v>82658703</v>
      </c>
      <c r="K69" s="246">
        <v>88346793</v>
      </c>
      <c r="L69" s="218">
        <v>838.81799999999998</v>
      </c>
      <c r="M69" s="246">
        <v>85080</v>
      </c>
      <c r="N69" s="251">
        <v>50.619700000000002</v>
      </c>
      <c r="O69" s="251">
        <v>51.9163</v>
      </c>
      <c r="P69" s="251">
        <v>46.2911</v>
      </c>
      <c r="Q69" s="251">
        <v>43.164200000000001</v>
      </c>
      <c r="R69" s="254">
        <v>1.04</v>
      </c>
      <c r="S69" s="214">
        <v>99729</v>
      </c>
      <c r="T69" s="214">
        <v>1054148</v>
      </c>
      <c r="U69" s="214">
        <v>0</v>
      </c>
      <c r="V69" s="187">
        <f t="shared" ref="V69:V132" si="4">T69+U69</f>
        <v>1054148</v>
      </c>
      <c r="W69" s="187">
        <f t="shared" ref="W69:W132" si="5">V69+S69</f>
        <v>1153877</v>
      </c>
    </row>
    <row r="70" spans="1:23">
      <c r="A70" s="216" t="s">
        <v>1337</v>
      </c>
      <c r="B70" s="218">
        <v>131.631</v>
      </c>
      <c r="C70" s="218">
        <v>136.63300000000001</v>
      </c>
      <c r="D70" s="218">
        <v>149.65199999999999</v>
      </c>
      <c r="E70" s="218">
        <v>149.75200000000001</v>
      </c>
      <c r="F70" s="218">
        <v>24.75</v>
      </c>
      <c r="G70" s="218">
        <v>26.75</v>
      </c>
      <c r="H70" s="218">
        <v>30.75</v>
      </c>
      <c r="I70" s="218">
        <v>28.75</v>
      </c>
      <c r="J70" s="246">
        <v>36317242</v>
      </c>
      <c r="K70" s="246">
        <v>38561962</v>
      </c>
      <c r="L70" s="218">
        <v>311.38499999999999</v>
      </c>
      <c r="M70" s="187">
        <v>0</v>
      </c>
      <c r="N70" s="251">
        <v>15.501300000000001</v>
      </c>
      <c r="O70" s="251">
        <v>15.130699999999999</v>
      </c>
      <c r="P70" s="251">
        <v>16.1309</v>
      </c>
      <c r="Q70" s="251">
        <v>16.1082</v>
      </c>
      <c r="R70" s="254">
        <v>1.07</v>
      </c>
      <c r="S70" s="214">
        <v>0</v>
      </c>
      <c r="T70" s="214">
        <v>551284</v>
      </c>
      <c r="U70" s="214">
        <v>0</v>
      </c>
      <c r="V70" s="187">
        <f t="shared" si="4"/>
        <v>551284</v>
      </c>
      <c r="W70" s="187">
        <f t="shared" si="5"/>
        <v>551284</v>
      </c>
    </row>
    <row r="71" spans="1:23">
      <c r="A71" s="216" t="s">
        <v>1339</v>
      </c>
      <c r="B71" s="218">
        <v>481.26900000000001</v>
      </c>
      <c r="C71" s="218">
        <v>492.29399999999998</v>
      </c>
      <c r="D71" s="218">
        <v>500.459</v>
      </c>
      <c r="E71" s="218">
        <v>513.79600000000005</v>
      </c>
      <c r="F71" s="218">
        <v>97.097300000000004</v>
      </c>
      <c r="G71" s="218">
        <v>107.4846</v>
      </c>
      <c r="H71" s="218">
        <v>110.6694</v>
      </c>
      <c r="I71" s="218">
        <v>115.4657</v>
      </c>
      <c r="J71" s="246">
        <v>100277588</v>
      </c>
      <c r="K71" s="246">
        <v>106686258</v>
      </c>
      <c r="L71" s="218">
        <v>865.54100000000005</v>
      </c>
      <c r="M71" s="246">
        <v>158412</v>
      </c>
      <c r="N71" s="251">
        <v>65.753299999999996</v>
      </c>
      <c r="O71" s="251">
        <v>70.295900000000003</v>
      </c>
      <c r="P71" s="251">
        <v>79.372799999999998</v>
      </c>
      <c r="Q71" s="251">
        <v>77.375699999999995</v>
      </c>
      <c r="R71" s="254">
        <v>1.04</v>
      </c>
      <c r="S71" s="214">
        <v>204973</v>
      </c>
      <c r="T71" s="214">
        <v>1593345</v>
      </c>
      <c r="U71" s="214">
        <v>0</v>
      </c>
      <c r="V71" s="187">
        <f t="shared" si="4"/>
        <v>1593345</v>
      </c>
      <c r="W71" s="187">
        <f t="shared" si="5"/>
        <v>1798318</v>
      </c>
    </row>
    <row r="72" spans="1:23">
      <c r="A72" s="216" t="s">
        <v>2474</v>
      </c>
      <c r="B72" s="218">
        <v>211.608</v>
      </c>
      <c r="C72" s="218">
        <v>216.34899999999999</v>
      </c>
      <c r="D72" s="218">
        <v>217.92500000000001</v>
      </c>
      <c r="E72" s="218">
        <v>211.88800000000001</v>
      </c>
      <c r="F72" s="218">
        <v>28.399899999999999</v>
      </c>
      <c r="G72" s="218">
        <v>29.863199999999999</v>
      </c>
      <c r="H72" s="218">
        <v>29.863199999999999</v>
      </c>
      <c r="I72" s="218">
        <v>30.825800000000001</v>
      </c>
      <c r="J72" s="246">
        <v>32726059</v>
      </c>
      <c r="K72" s="246">
        <v>34791029</v>
      </c>
      <c r="L72" s="218">
        <v>388.39299999999997</v>
      </c>
      <c r="M72" s="187">
        <v>0</v>
      </c>
      <c r="N72" s="251">
        <v>20.338999999999999</v>
      </c>
      <c r="O72" s="251">
        <v>20.357500000000002</v>
      </c>
      <c r="P72" s="251">
        <v>21.629000000000001</v>
      </c>
      <c r="Q72" s="251">
        <v>21.9514</v>
      </c>
      <c r="R72" s="254">
        <v>1.04</v>
      </c>
      <c r="S72" s="214">
        <v>0</v>
      </c>
      <c r="T72" s="214">
        <v>371206</v>
      </c>
      <c r="U72" s="214">
        <v>23380</v>
      </c>
      <c r="V72" s="187">
        <f t="shared" si="4"/>
        <v>394586</v>
      </c>
      <c r="W72" s="187">
        <f t="shared" si="5"/>
        <v>394586</v>
      </c>
    </row>
    <row r="73" spans="1:23">
      <c r="A73" s="216" t="s">
        <v>1341</v>
      </c>
      <c r="B73" s="218">
        <v>127.46299999999999</v>
      </c>
      <c r="C73" s="218">
        <v>128.511</v>
      </c>
      <c r="D73" s="218">
        <v>132.19900000000001</v>
      </c>
      <c r="E73" s="218">
        <v>137.72300000000001</v>
      </c>
      <c r="F73" s="218">
        <v>28.1737</v>
      </c>
      <c r="G73" s="218">
        <v>27.048100000000002</v>
      </c>
      <c r="H73" s="218">
        <v>29.9438</v>
      </c>
      <c r="I73" s="218">
        <v>30.187100000000001</v>
      </c>
      <c r="J73" s="246">
        <v>38770418</v>
      </c>
      <c r="K73" s="246">
        <v>41099659</v>
      </c>
      <c r="L73" s="218">
        <v>274.03699999999998</v>
      </c>
      <c r="M73" s="246">
        <v>50558</v>
      </c>
      <c r="N73" s="251">
        <v>15.5002</v>
      </c>
      <c r="O73" s="251">
        <v>16.311299999999999</v>
      </c>
      <c r="P73" s="251">
        <v>19.002400000000002</v>
      </c>
      <c r="Q73" s="251">
        <v>17.9983</v>
      </c>
      <c r="R73" s="254">
        <v>1.05</v>
      </c>
      <c r="S73" s="214">
        <v>67452</v>
      </c>
      <c r="T73" s="214">
        <v>519913</v>
      </c>
      <c r="U73" s="214">
        <v>0</v>
      </c>
      <c r="V73" s="187">
        <f t="shared" si="4"/>
        <v>519913</v>
      </c>
      <c r="W73" s="187">
        <f t="shared" si="5"/>
        <v>587365</v>
      </c>
    </row>
    <row r="74" spans="1:23">
      <c r="A74" s="216" t="s">
        <v>1343</v>
      </c>
      <c r="B74" s="218">
        <v>284.47500000000002</v>
      </c>
      <c r="C74" s="218">
        <v>290.39400000000001</v>
      </c>
      <c r="D74" s="218">
        <v>281.62400000000002</v>
      </c>
      <c r="E74" s="218">
        <v>288.39699999999999</v>
      </c>
      <c r="F74" s="218">
        <v>51.253900000000002</v>
      </c>
      <c r="G74" s="218">
        <v>52.594900000000003</v>
      </c>
      <c r="H74" s="218">
        <v>51.949100000000001</v>
      </c>
      <c r="I74" s="218">
        <v>45.221899999999998</v>
      </c>
      <c r="J74" s="246">
        <v>61359981</v>
      </c>
      <c r="K74" s="246">
        <v>66306941</v>
      </c>
      <c r="L74" s="218">
        <v>500.15699999999998</v>
      </c>
      <c r="M74" s="246">
        <v>11473</v>
      </c>
      <c r="N74" s="251">
        <v>33.507199999999997</v>
      </c>
      <c r="O74" s="251">
        <v>34.965200000000003</v>
      </c>
      <c r="P74" s="251">
        <v>36.357900000000001</v>
      </c>
      <c r="Q74" s="251">
        <v>29.358799999999999</v>
      </c>
      <c r="R74" s="254">
        <v>1.05</v>
      </c>
      <c r="S74" s="214">
        <v>12703</v>
      </c>
      <c r="T74" s="214">
        <v>925786</v>
      </c>
      <c r="U74" s="214">
        <v>0</v>
      </c>
      <c r="V74" s="187">
        <f t="shared" si="4"/>
        <v>925786</v>
      </c>
      <c r="W74" s="187">
        <f t="shared" si="5"/>
        <v>938489</v>
      </c>
    </row>
    <row r="75" spans="1:23">
      <c r="A75" s="216" t="s">
        <v>1345</v>
      </c>
      <c r="B75" s="218">
        <v>133.78899999999999</v>
      </c>
      <c r="C75" s="218">
        <v>113.277</v>
      </c>
      <c r="D75" s="218">
        <v>112.42400000000001</v>
      </c>
      <c r="E75" s="218">
        <v>110.342</v>
      </c>
      <c r="F75" s="218">
        <v>27.962599999999998</v>
      </c>
      <c r="G75" s="218">
        <v>29.0001</v>
      </c>
      <c r="H75" s="218">
        <v>28.660499999999999</v>
      </c>
      <c r="I75" s="218">
        <v>27.697900000000001</v>
      </c>
      <c r="J75" s="246">
        <v>35771358</v>
      </c>
      <c r="K75" s="246">
        <v>37791209</v>
      </c>
      <c r="L75" s="218">
        <v>266.721</v>
      </c>
      <c r="M75" s="187">
        <v>0</v>
      </c>
      <c r="N75" s="251">
        <v>17.001100000000001</v>
      </c>
      <c r="O75" s="251">
        <v>17.1356</v>
      </c>
      <c r="P75" s="251">
        <v>16.735900000000001</v>
      </c>
      <c r="Q75" s="251">
        <v>15.735900000000001</v>
      </c>
      <c r="R75" s="254">
        <v>1.05</v>
      </c>
      <c r="S75" s="214">
        <v>0</v>
      </c>
      <c r="T75" s="214">
        <v>557831</v>
      </c>
      <c r="U75" s="214">
        <v>0</v>
      </c>
      <c r="V75" s="187">
        <f t="shared" si="4"/>
        <v>557831</v>
      </c>
      <c r="W75" s="187">
        <f t="shared" si="5"/>
        <v>557831</v>
      </c>
    </row>
    <row r="76" spans="1:23">
      <c r="A76" s="216" t="s">
        <v>963</v>
      </c>
      <c r="B76" s="218">
        <v>925.21100000000001</v>
      </c>
      <c r="C76" s="218">
        <v>905.96</v>
      </c>
      <c r="D76" s="218">
        <v>900.46799999999996</v>
      </c>
      <c r="E76" s="218">
        <v>901.01499999999999</v>
      </c>
      <c r="F76" s="218">
        <v>130</v>
      </c>
      <c r="G76" s="218">
        <v>124</v>
      </c>
      <c r="H76" s="218">
        <v>122.3797</v>
      </c>
      <c r="I76" s="218">
        <v>133</v>
      </c>
      <c r="J76" s="246">
        <v>86602018</v>
      </c>
      <c r="K76" s="246">
        <v>98300158</v>
      </c>
      <c r="L76" s="218">
        <v>1417.2470000000001</v>
      </c>
      <c r="M76" s="246">
        <v>24392</v>
      </c>
      <c r="N76" s="251">
        <v>107.9973</v>
      </c>
      <c r="O76" s="251">
        <v>99.001300000000001</v>
      </c>
      <c r="P76" s="251">
        <v>93.751400000000004</v>
      </c>
      <c r="Q76" s="251">
        <v>111.0056</v>
      </c>
      <c r="R76" s="254">
        <v>1.03</v>
      </c>
      <c r="S76" s="214">
        <v>80750</v>
      </c>
      <c r="T76" s="214">
        <v>1215695</v>
      </c>
      <c r="U76" s="214">
        <v>67251</v>
      </c>
      <c r="V76" s="187">
        <f t="shared" si="4"/>
        <v>1282946</v>
      </c>
      <c r="W76" s="187">
        <f t="shared" si="5"/>
        <v>1363696</v>
      </c>
    </row>
    <row r="77" spans="1:23">
      <c r="A77" s="216" t="s">
        <v>3083</v>
      </c>
      <c r="B77" s="218">
        <v>1037.7339999999999</v>
      </c>
      <c r="C77" s="218">
        <v>996.798</v>
      </c>
      <c r="D77" s="218">
        <v>1020.327</v>
      </c>
      <c r="E77" s="218">
        <v>1047.231</v>
      </c>
      <c r="F77" s="218">
        <v>152.0993</v>
      </c>
      <c r="G77" s="218">
        <v>155.773</v>
      </c>
      <c r="H77" s="218">
        <v>149.75970000000001</v>
      </c>
      <c r="I77" s="218">
        <v>144.80789999999999</v>
      </c>
      <c r="J77" s="246">
        <v>97064891</v>
      </c>
      <c r="K77" s="246">
        <v>108287690</v>
      </c>
      <c r="L77" s="218">
        <v>1623.663</v>
      </c>
      <c r="M77" s="246">
        <v>5093</v>
      </c>
      <c r="N77" s="251">
        <v>100.7931</v>
      </c>
      <c r="O77" s="251">
        <v>98.995800000000003</v>
      </c>
      <c r="P77" s="251">
        <v>97.994600000000005</v>
      </c>
      <c r="Q77" s="251">
        <v>101.0484</v>
      </c>
      <c r="R77" s="254">
        <v>1.04</v>
      </c>
      <c r="S77" s="214">
        <v>141329</v>
      </c>
      <c r="T77" s="214">
        <v>1214475</v>
      </c>
      <c r="U77" s="214">
        <v>0</v>
      </c>
      <c r="V77" s="187">
        <f t="shared" si="4"/>
        <v>1214475</v>
      </c>
      <c r="W77" s="187">
        <f t="shared" si="5"/>
        <v>1355804</v>
      </c>
    </row>
    <row r="78" spans="1:23">
      <c r="A78" s="216" t="s">
        <v>2568</v>
      </c>
      <c r="B78" s="218">
        <v>470.24200000000002</v>
      </c>
      <c r="C78" s="218">
        <v>441.10399999999998</v>
      </c>
      <c r="D78" s="218">
        <v>427.78300000000002</v>
      </c>
      <c r="E78" s="218">
        <v>437.71499999999997</v>
      </c>
      <c r="F78" s="218">
        <v>57.57</v>
      </c>
      <c r="G78" s="218">
        <v>60</v>
      </c>
      <c r="H78" s="218">
        <v>64</v>
      </c>
      <c r="I78" s="218">
        <v>65.48</v>
      </c>
      <c r="J78" s="246">
        <v>31742271</v>
      </c>
      <c r="K78" s="246">
        <v>37435760</v>
      </c>
      <c r="L78" s="218">
        <v>721.72699999999998</v>
      </c>
      <c r="M78" s="187">
        <v>0</v>
      </c>
      <c r="N78" s="251">
        <v>39.567900000000002</v>
      </c>
      <c r="O78" s="251">
        <v>40.998399999999997</v>
      </c>
      <c r="P78" s="251">
        <v>41.998899999999999</v>
      </c>
      <c r="Q78" s="251">
        <v>42.998899999999999</v>
      </c>
      <c r="R78" s="254">
        <v>1.03</v>
      </c>
      <c r="S78" s="214">
        <v>15172</v>
      </c>
      <c r="T78" s="214">
        <v>420077</v>
      </c>
      <c r="U78" s="214">
        <v>0</v>
      </c>
      <c r="V78" s="187">
        <f t="shared" si="4"/>
        <v>420077</v>
      </c>
      <c r="W78" s="187">
        <f t="shared" si="5"/>
        <v>435249</v>
      </c>
    </row>
    <row r="79" spans="1:23">
      <c r="A79" s="216" t="s">
        <v>1349</v>
      </c>
      <c r="B79" s="218">
        <v>1377.0730000000001</v>
      </c>
      <c r="C79" s="218">
        <v>1351.846</v>
      </c>
      <c r="D79" s="218">
        <v>1311.02</v>
      </c>
      <c r="E79" s="218">
        <v>1287.953</v>
      </c>
      <c r="F79" s="218">
        <v>231.9496</v>
      </c>
      <c r="G79" s="218">
        <v>223.316</v>
      </c>
      <c r="H79" s="218">
        <v>214.94640000000001</v>
      </c>
      <c r="I79" s="218">
        <v>215.155</v>
      </c>
      <c r="J79" s="246">
        <v>186563045</v>
      </c>
      <c r="K79" s="246">
        <v>205016027</v>
      </c>
      <c r="L79" s="218">
        <v>1927.905</v>
      </c>
      <c r="M79" s="246">
        <v>156329</v>
      </c>
      <c r="N79" s="251">
        <v>159.40309999999999</v>
      </c>
      <c r="O79" s="251">
        <v>151.11789999999999</v>
      </c>
      <c r="P79" s="251">
        <v>153.82230000000001</v>
      </c>
      <c r="Q79" s="251">
        <v>153.8631</v>
      </c>
      <c r="R79" s="254">
        <v>1.05</v>
      </c>
      <c r="S79" s="214">
        <v>178623</v>
      </c>
      <c r="T79" s="214">
        <v>2762899</v>
      </c>
      <c r="U79" s="214">
        <v>0</v>
      </c>
      <c r="V79" s="187">
        <f t="shared" si="4"/>
        <v>2762899</v>
      </c>
      <c r="W79" s="187">
        <f t="shared" si="5"/>
        <v>2941522</v>
      </c>
    </row>
    <row r="80" spans="1:23">
      <c r="A80" s="216" t="s">
        <v>6083</v>
      </c>
      <c r="B80" s="218">
        <v>1136.019</v>
      </c>
      <c r="C80" s="218">
        <v>1074.5429999999999</v>
      </c>
      <c r="D80" s="218">
        <v>1075.338</v>
      </c>
      <c r="E80" s="218">
        <v>1045.5509999999999</v>
      </c>
      <c r="F80" s="218">
        <v>151.33279999999999</v>
      </c>
      <c r="G80" s="218">
        <v>150.3176</v>
      </c>
      <c r="H80" s="218">
        <v>155.00540000000001</v>
      </c>
      <c r="I80" s="218">
        <v>153.476</v>
      </c>
      <c r="J80" s="246">
        <v>100490950</v>
      </c>
      <c r="K80" s="246">
        <v>111556396</v>
      </c>
      <c r="L80" s="218">
        <v>1495.8989999999999</v>
      </c>
      <c r="M80" s="246">
        <v>113361</v>
      </c>
      <c r="N80" s="251">
        <v>109.1005</v>
      </c>
      <c r="O80" s="251">
        <v>108.4751</v>
      </c>
      <c r="P80" s="251">
        <v>118.5016</v>
      </c>
      <c r="Q80" s="251">
        <v>108.4042</v>
      </c>
      <c r="R80" s="254">
        <v>1.03</v>
      </c>
      <c r="S80" s="214">
        <v>116704</v>
      </c>
      <c r="T80" s="214">
        <v>1355485</v>
      </c>
      <c r="U80" s="214">
        <v>0</v>
      </c>
      <c r="V80" s="187">
        <f t="shared" si="4"/>
        <v>1355485</v>
      </c>
      <c r="W80" s="187">
        <f t="shared" si="5"/>
        <v>1472189</v>
      </c>
    </row>
    <row r="81" spans="1:23">
      <c r="A81" s="216" t="s">
        <v>6085</v>
      </c>
      <c r="B81" s="218">
        <v>4825.7439999999997</v>
      </c>
      <c r="C81" s="218">
        <v>4809.4390000000003</v>
      </c>
      <c r="D81" s="218">
        <v>4780.8459999999995</v>
      </c>
      <c r="E81" s="218">
        <v>5071.018</v>
      </c>
      <c r="F81" s="218">
        <v>716.88499999999999</v>
      </c>
      <c r="G81" s="218">
        <v>727.40830000000005</v>
      </c>
      <c r="H81" s="218">
        <v>743.3723</v>
      </c>
      <c r="I81" s="218">
        <v>782.1146</v>
      </c>
      <c r="J81" s="246">
        <v>1198796338</v>
      </c>
      <c r="K81" s="246">
        <v>1254961592</v>
      </c>
      <c r="L81" s="218">
        <v>6876.1850000000004</v>
      </c>
      <c r="M81" s="246">
        <v>1313129</v>
      </c>
      <c r="N81" s="251">
        <v>409.54759999999999</v>
      </c>
      <c r="O81" s="251">
        <v>416.4708</v>
      </c>
      <c r="P81" s="251">
        <v>431.36700000000002</v>
      </c>
      <c r="Q81" s="251">
        <v>446.40089999999998</v>
      </c>
      <c r="R81" s="254">
        <v>1.06</v>
      </c>
      <c r="S81" s="214">
        <v>2444963</v>
      </c>
      <c r="T81" s="214">
        <v>16123393</v>
      </c>
      <c r="U81" s="214">
        <v>0</v>
      </c>
      <c r="V81" s="187">
        <f t="shared" si="4"/>
        <v>16123393</v>
      </c>
      <c r="W81" s="187">
        <f t="shared" si="5"/>
        <v>18568356</v>
      </c>
    </row>
    <row r="82" spans="1:23">
      <c r="A82" s="216" t="s">
        <v>1998</v>
      </c>
      <c r="B82" s="218">
        <v>2465.7089999999998</v>
      </c>
      <c r="C82" s="218">
        <v>2445.2469999999998</v>
      </c>
      <c r="D82" s="218">
        <v>2505.799</v>
      </c>
      <c r="E82" s="218">
        <v>2466.8470000000002</v>
      </c>
      <c r="F82" s="218">
        <v>372.5</v>
      </c>
      <c r="G82" s="218">
        <v>371.34</v>
      </c>
      <c r="H82" s="218">
        <v>384.25</v>
      </c>
      <c r="I82" s="218">
        <v>393.6551</v>
      </c>
      <c r="J82" s="246">
        <v>333154360</v>
      </c>
      <c r="K82" s="246">
        <v>359080186</v>
      </c>
      <c r="L82" s="218">
        <v>3565.3159999999998</v>
      </c>
      <c r="M82" s="246">
        <v>182944</v>
      </c>
      <c r="N82" s="251">
        <v>242.63470000000001</v>
      </c>
      <c r="O82" s="251">
        <v>238.03720000000001</v>
      </c>
      <c r="P82" s="251">
        <v>245.96969999999999</v>
      </c>
      <c r="Q82" s="251">
        <v>253.86850000000001</v>
      </c>
      <c r="R82" s="254">
        <v>1.06</v>
      </c>
      <c r="S82" s="214">
        <v>190877</v>
      </c>
      <c r="T82" s="214">
        <v>4737615</v>
      </c>
      <c r="U82" s="214">
        <v>0</v>
      </c>
      <c r="V82" s="187">
        <f t="shared" si="4"/>
        <v>4737615</v>
      </c>
      <c r="W82" s="187">
        <f t="shared" si="5"/>
        <v>4928492</v>
      </c>
    </row>
    <row r="83" spans="1:23">
      <c r="A83" s="216" t="s">
        <v>2570</v>
      </c>
      <c r="B83" s="218">
        <v>504.63</v>
      </c>
      <c r="C83" s="218">
        <v>517.41800000000001</v>
      </c>
      <c r="D83" s="218">
        <v>535.375</v>
      </c>
      <c r="E83" s="218">
        <v>541.62</v>
      </c>
      <c r="F83" s="218">
        <v>74.703400000000002</v>
      </c>
      <c r="G83" s="218">
        <v>75.660600000000002</v>
      </c>
      <c r="H83" s="218">
        <v>79.805000000000007</v>
      </c>
      <c r="I83" s="218">
        <v>78.826400000000007</v>
      </c>
      <c r="J83" s="246">
        <v>50734804</v>
      </c>
      <c r="K83" s="246">
        <v>57686826</v>
      </c>
      <c r="L83" s="218">
        <v>906.73599999999999</v>
      </c>
      <c r="M83" s="187">
        <v>0</v>
      </c>
      <c r="N83" s="251">
        <v>53.047199999999997</v>
      </c>
      <c r="O83" s="251">
        <v>55.887</v>
      </c>
      <c r="P83" s="251">
        <v>48.002099999999999</v>
      </c>
      <c r="Q83" s="251">
        <v>45.999400000000001</v>
      </c>
      <c r="R83" s="254">
        <v>1.03</v>
      </c>
      <c r="S83" s="214">
        <v>41909</v>
      </c>
      <c r="T83" s="214">
        <v>674233</v>
      </c>
      <c r="U83" s="214">
        <v>0</v>
      </c>
      <c r="V83" s="187">
        <f t="shared" si="4"/>
        <v>674233</v>
      </c>
      <c r="W83" s="187">
        <f t="shared" si="5"/>
        <v>716142</v>
      </c>
    </row>
    <row r="84" spans="1:23">
      <c r="A84" s="216" t="s">
        <v>4076</v>
      </c>
      <c r="B84" s="218">
        <v>104.84</v>
      </c>
      <c r="C84" s="218">
        <v>104.029</v>
      </c>
      <c r="D84" s="218">
        <v>101.209</v>
      </c>
      <c r="E84" s="218">
        <v>115.336</v>
      </c>
      <c r="F84" s="218">
        <v>21.9679</v>
      </c>
      <c r="G84" s="218">
        <v>21.4679</v>
      </c>
      <c r="H84" s="218">
        <v>20.462599999999998</v>
      </c>
      <c r="I84" s="218">
        <v>21.6524</v>
      </c>
      <c r="J84" s="246">
        <v>7827108</v>
      </c>
      <c r="K84" s="246">
        <v>9528607</v>
      </c>
      <c r="L84" s="218">
        <v>202.84800000000001</v>
      </c>
      <c r="M84" s="187">
        <v>0</v>
      </c>
      <c r="N84" s="251">
        <v>15</v>
      </c>
      <c r="O84" s="251">
        <v>14.500299999999999</v>
      </c>
      <c r="P84" s="251">
        <v>13.5001</v>
      </c>
      <c r="Q84" s="251">
        <v>13.7164</v>
      </c>
      <c r="R84" s="254">
        <v>1.04</v>
      </c>
      <c r="S84" s="214">
        <v>4592</v>
      </c>
      <c r="T84" s="214">
        <v>119597</v>
      </c>
      <c r="U84" s="214">
        <v>0</v>
      </c>
      <c r="V84" s="187">
        <f t="shared" si="4"/>
        <v>119597</v>
      </c>
      <c r="W84" s="187">
        <f t="shared" si="5"/>
        <v>124189</v>
      </c>
    </row>
    <row r="85" spans="1:23">
      <c r="A85" s="216" t="s">
        <v>1963</v>
      </c>
      <c r="B85" s="218">
        <v>325.01799999999997</v>
      </c>
      <c r="C85" s="218">
        <v>340.81799999999998</v>
      </c>
      <c r="D85" s="218">
        <v>348.005</v>
      </c>
      <c r="E85" s="218">
        <v>338.36500000000001</v>
      </c>
      <c r="F85" s="218">
        <v>34.015000000000001</v>
      </c>
      <c r="G85" s="218">
        <v>34.590299999999999</v>
      </c>
      <c r="H85" s="218">
        <v>35.172400000000003</v>
      </c>
      <c r="I85" s="218">
        <v>35.837299999999999</v>
      </c>
      <c r="J85" s="246">
        <v>77408579</v>
      </c>
      <c r="K85" s="246">
        <v>82431942</v>
      </c>
      <c r="L85" s="218">
        <v>493.58800000000002</v>
      </c>
      <c r="M85" s="187">
        <v>0</v>
      </c>
      <c r="N85" s="251">
        <v>26.000399999999999</v>
      </c>
      <c r="O85" s="251">
        <v>27</v>
      </c>
      <c r="P85" s="251">
        <v>27.999600000000001</v>
      </c>
      <c r="Q85" s="251">
        <v>27.157900000000001</v>
      </c>
      <c r="R85" s="254">
        <v>1.03</v>
      </c>
      <c r="S85" s="214">
        <v>0</v>
      </c>
      <c r="T85" s="214">
        <v>804528</v>
      </c>
      <c r="U85" s="214">
        <v>0</v>
      </c>
      <c r="V85" s="187">
        <f t="shared" si="4"/>
        <v>804528</v>
      </c>
      <c r="W85" s="187">
        <f t="shared" si="5"/>
        <v>804528</v>
      </c>
    </row>
    <row r="86" spans="1:23">
      <c r="A86" s="216" t="s">
        <v>2000</v>
      </c>
      <c r="B86" s="218">
        <v>1881.4159999999999</v>
      </c>
      <c r="C86" s="218">
        <v>1852.5329999999999</v>
      </c>
      <c r="D86" s="218">
        <v>1856.289</v>
      </c>
      <c r="E86" s="218">
        <v>1830.1980000000001</v>
      </c>
      <c r="F86" s="218">
        <v>226.38030000000001</v>
      </c>
      <c r="G86" s="218">
        <v>230.24680000000001</v>
      </c>
      <c r="H86" s="218">
        <v>228.22739999999999</v>
      </c>
      <c r="I86" s="218">
        <v>237.1268</v>
      </c>
      <c r="J86" s="246">
        <v>434989092</v>
      </c>
      <c r="K86" s="246">
        <v>457318794</v>
      </c>
      <c r="L86" s="218">
        <v>2299.1060000000002</v>
      </c>
      <c r="M86" s="246">
        <v>991108</v>
      </c>
      <c r="N86" s="251">
        <v>149.34909999999999</v>
      </c>
      <c r="O86" s="251">
        <v>147.1046</v>
      </c>
      <c r="P86" s="251">
        <v>146.35659999999999</v>
      </c>
      <c r="Q86" s="251">
        <v>152.55459999999999</v>
      </c>
      <c r="R86" s="254">
        <v>1.05</v>
      </c>
      <c r="S86" s="214">
        <v>1103263</v>
      </c>
      <c r="T86" s="214">
        <v>6247121</v>
      </c>
      <c r="U86" s="214">
        <v>0</v>
      </c>
      <c r="V86" s="187">
        <f t="shared" si="4"/>
        <v>6247121</v>
      </c>
      <c r="W86" s="187">
        <f t="shared" si="5"/>
        <v>7350384</v>
      </c>
    </row>
    <row r="87" spans="1:23">
      <c r="A87" s="216" t="s">
        <v>2002</v>
      </c>
      <c r="B87" s="218">
        <v>80.025000000000006</v>
      </c>
      <c r="C87" s="218">
        <v>57.48</v>
      </c>
      <c r="D87" s="218">
        <v>72.388000000000005</v>
      </c>
      <c r="E87" s="218">
        <v>72.914000000000001</v>
      </c>
      <c r="F87" s="218">
        <v>14</v>
      </c>
      <c r="G87" s="218">
        <v>14</v>
      </c>
      <c r="H87" s="218">
        <v>14.085599999999999</v>
      </c>
      <c r="I87" s="218">
        <v>14.085599999999999</v>
      </c>
      <c r="J87" s="246">
        <v>8651366</v>
      </c>
      <c r="K87" s="246">
        <v>10258126</v>
      </c>
      <c r="L87" s="218">
        <v>133.10900000000001</v>
      </c>
      <c r="M87" s="187">
        <v>0</v>
      </c>
      <c r="N87" s="251">
        <v>11.000299999999999</v>
      </c>
      <c r="O87" s="251">
        <v>11.0001</v>
      </c>
      <c r="P87" s="251">
        <v>11</v>
      </c>
      <c r="Q87" s="251">
        <v>10.999599999999999</v>
      </c>
      <c r="R87" s="254">
        <v>1.04</v>
      </c>
      <c r="S87" s="214">
        <v>0</v>
      </c>
      <c r="T87" s="214">
        <v>127008</v>
      </c>
      <c r="U87" s="214">
        <v>0</v>
      </c>
      <c r="V87" s="187">
        <f t="shared" si="4"/>
        <v>127008</v>
      </c>
      <c r="W87" s="187">
        <f t="shared" si="5"/>
        <v>127008</v>
      </c>
    </row>
    <row r="88" spans="1:23">
      <c r="A88" s="216" t="s">
        <v>1964</v>
      </c>
      <c r="B88" s="218">
        <v>117.745</v>
      </c>
      <c r="C88" s="218">
        <v>103.98</v>
      </c>
      <c r="D88" s="218">
        <v>107.538</v>
      </c>
      <c r="E88" s="218">
        <v>104.559</v>
      </c>
      <c r="F88" s="218">
        <v>17.9252</v>
      </c>
      <c r="G88" s="218">
        <v>17.9252</v>
      </c>
      <c r="H88" s="218">
        <v>18.844999999999999</v>
      </c>
      <c r="I88" s="218">
        <v>18.9252</v>
      </c>
      <c r="J88" s="246">
        <v>14256438</v>
      </c>
      <c r="K88" s="246">
        <v>16412847</v>
      </c>
      <c r="L88" s="218">
        <v>177.346</v>
      </c>
      <c r="M88" s="187">
        <v>0</v>
      </c>
      <c r="N88" s="251">
        <v>13.000299999999999</v>
      </c>
      <c r="O88" s="251">
        <v>13</v>
      </c>
      <c r="P88" s="251">
        <v>13.9193</v>
      </c>
      <c r="Q88" s="251">
        <v>14.0002</v>
      </c>
      <c r="R88" s="254">
        <v>1.04</v>
      </c>
      <c r="S88" s="214">
        <v>0</v>
      </c>
      <c r="T88" s="214">
        <v>203534</v>
      </c>
      <c r="U88" s="214">
        <v>0</v>
      </c>
      <c r="V88" s="187">
        <f t="shared" si="4"/>
        <v>203534</v>
      </c>
      <c r="W88" s="187">
        <f t="shared" si="5"/>
        <v>203534</v>
      </c>
    </row>
    <row r="89" spans="1:23">
      <c r="A89" s="216" t="s">
        <v>2136</v>
      </c>
      <c r="B89" s="218">
        <v>10468.985000000001</v>
      </c>
      <c r="C89" s="218">
        <v>10491.82</v>
      </c>
      <c r="D89" s="218">
        <v>10651.120999999999</v>
      </c>
      <c r="E89" s="218">
        <v>10794.584000000001</v>
      </c>
      <c r="F89" s="218">
        <v>1172.1387999999999</v>
      </c>
      <c r="G89" s="218">
        <v>1191.4556</v>
      </c>
      <c r="H89" s="218">
        <v>1211.0879</v>
      </c>
      <c r="I89" s="218">
        <v>1235.0974000000001</v>
      </c>
      <c r="J89" s="246">
        <v>1297836700</v>
      </c>
      <c r="K89" s="246">
        <v>1405203404</v>
      </c>
      <c r="L89" s="218">
        <v>14177.335999999999</v>
      </c>
      <c r="M89" s="246">
        <v>1223886</v>
      </c>
      <c r="N89" s="251">
        <v>955.60730000000001</v>
      </c>
      <c r="O89" s="251">
        <v>922.09280000000001</v>
      </c>
      <c r="P89" s="251">
        <v>989.18730000000005</v>
      </c>
      <c r="Q89" s="251">
        <v>951.72860000000003</v>
      </c>
      <c r="R89" s="254">
        <v>1.1499999999999999</v>
      </c>
      <c r="S89" s="214">
        <v>2311209</v>
      </c>
      <c r="T89" s="214">
        <v>20705104</v>
      </c>
      <c r="U89" s="214">
        <v>0</v>
      </c>
      <c r="V89" s="187">
        <f t="shared" si="4"/>
        <v>20705104</v>
      </c>
      <c r="W89" s="187">
        <f t="shared" si="5"/>
        <v>23016313</v>
      </c>
    </row>
    <row r="90" spans="1:23">
      <c r="A90" s="216" t="s">
        <v>2966</v>
      </c>
      <c r="B90" s="218">
        <v>5822.6679999999997</v>
      </c>
      <c r="C90" s="218">
        <v>5732.982</v>
      </c>
      <c r="D90" s="218">
        <v>5861.47</v>
      </c>
      <c r="E90" s="218">
        <v>5844.1639999999998</v>
      </c>
      <c r="F90" s="218">
        <v>781.65449999999998</v>
      </c>
      <c r="G90" s="218">
        <v>825.99760000000003</v>
      </c>
      <c r="H90" s="218">
        <v>850.54290000000003</v>
      </c>
      <c r="I90" s="218">
        <v>835.09519999999998</v>
      </c>
      <c r="J90" s="246">
        <v>1997238100</v>
      </c>
      <c r="K90" s="246">
        <v>2062201744</v>
      </c>
      <c r="L90" s="218">
        <v>7647.4889999999996</v>
      </c>
      <c r="M90" s="246">
        <v>1887586</v>
      </c>
      <c r="N90" s="251">
        <v>494.7756</v>
      </c>
      <c r="O90" s="251">
        <v>497.77499999999998</v>
      </c>
      <c r="P90" s="251">
        <v>523.01350000000002</v>
      </c>
      <c r="Q90" s="251">
        <v>516.97190000000001</v>
      </c>
      <c r="R90" s="254">
        <v>1.1499999999999999</v>
      </c>
      <c r="S90" s="214">
        <v>2955117</v>
      </c>
      <c r="T90" s="214">
        <v>24393134</v>
      </c>
      <c r="U90" s="214">
        <v>0</v>
      </c>
      <c r="V90" s="187">
        <f t="shared" si="4"/>
        <v>24393134</v>
      </c>
      <c r="W90" s="187">
        <f t="shared" si="5"/>
        <v>27348251</v>
      </c>
    </row>
    <row r="91" spans="1:23">
      <c r="A91" s="216" t="s">
        <v>3084</v>
      </c>
      <c r="B91" s="218">
        <v>689.76099999999997</v>
      </c>
      <c r="C91" s="218">
        <v>703.59500000000003</v>
      </c>
      <c r="D91" s="218">
        <v>706.16</v>
      </c>
      <c r="E91" s="218">
        <v>725.63900000000001</v>
      </c>
      <c r="F91" s="218">
        <v>100.8823</v>
      </c>
      <c r="G91" s="218">
        <v>101.0561</v>
      </c>
      <c r="H91" s="218">
        <v>97.411799999999999</v>
      </c>
      <c r="I91" s="218">
        <v>98.557299999999998</v>
      </c>
      <c r="J91" s="246">
        <v>79488198</v>
      </c>
      <c r="K91" s="246">
        <v>87345918</v>
      </c>
      <c r="L91" s="218">
        <v>1087.847</v>
      </c>
      <c r="M91" s="246">
        <v>24710</v>
      </c>
      <c r="N91" s="251">
        <v>65.467200000000005</v>
      </c>
      <c r="O91" s="251">
        <v>66.174300000000002</v>
      </c>
      <c r="P91" s="251">
        <v>62.347799999999999</v>
      </c>
      <c r="Q91" s="251">
        <v>61.515599999999999</v>
      </c>
      <c r="R91" s="254">
        <v>1.1100000000000001</v>
      </c>
      <c r="S91" s="214">
        <v>88660</v>
      </c>
      <c r="T91" s="214">
        <v>1257488</v>
      </c>
      <c r="U91" s="214">
        <v>0</v>
      </c>
      <c r="V91" s="187">
        <f t="shared" si="4"/>
        <v>1257488</v>
      </c>
      <c r="W91" s="187">
        <f t="shared" si="5"/>
        <v>1346148</v>
      </c>
    </row>
    <row r="92" spans="1:23">
      <c r="A92" s="216" t="s">
        <v>6252</v>
      </c>
      <c r="B92" s="218">
        <v>12072.444</v>
      </c>
      <c r="C92" s="218">
        <v>12260.344999999999</v>
      </c>
      <c r="D92" s="218">
        <v>12184.715</v>
      </c>
      <c r="E92" s="218">
        <v>12233.897999999999</v>
      </c>
      <c r="F92" s="218">
        <v>1563.2136</v>
      </c>
      <c r="G92" s="218">
        <v>1615.2537</v>
      </c>
      <c r="H92" s="218">
        <v>1603.0929000000001</v>
      </c>
      <c r="I92" s="218">
        <v>1657.0324000000001</v>
      </c>
      <c r="J92" s="246">
        <v>5701094591</v>
      </c>
      <c r="K92" s="246">
        <v>5825298510</v>
      </c>
      <c r="L92" s="218">
        <v>16065.06</v>
      </c>
      <c r="M92" s="246">
        <v>3647643</v>
      </c>
      <c r="N92" s="251">
        <v>940.02459999999996</v>
      </c>
      <c r="O92" s="251">
        <v>1002.0987</v>
      </c>
      <c r="P92" s="251">
        <v>982.12249999999995</v>
      </c>
      <c r="Q92" s="251">
        <v>996.65530000000001</v>
      </c>
      <c r="R92" s="254">
        <v>1.1599999999999999</v>
      </c>
      <c r="S92" s="214">
        <v>3509341</v>
      </c>
      <c r="T92" s="214">
        <v>79374980</v>
      </c>
      <c r="U92" s="214">
        <v>0</v>
      </c>
      <c r="V92" s="187">
        <f t="shared" si="4"/>
        <v>79374980</v>
      </c>
      <c r="W92" s="187">
        <f t="shared" si="5"/>
        <v>82884321</v>
      </c>
    </row>
    <row r="93" spans="1:23">
      <c r="A93" s="216" t="s">
        <v>6254</v>
      </c>
      <c r="B93" s="218">
        <v>2098.502</v>
      </c>
      <c r="C93" s="218">
        <v>2053.1170000000002</v>
      </c>
      <c r="D93" s="218">
        <v>2048.953</v>
      </c>
      <c r="E93" s="218">
        <v>2052.0410000000002</v>
      </c>
      <c r="F93" s="218">
        <v>310.23939999999999</v>
      </c>
      <c r="G93" s="218">
        <v>314.9726</v>
      </c>
      <c r="H93" s="218">
        <v>318.58199999999999</v>
      </c>
      <c r="I93" s="218">
        <v>314.03100000000001</v>
      </c>
      <c r="J93" s="246">
        <v>1561122303</v>
      </c>
      <c r="K93" s="246">
        <v>1586544643</v>
      </c>
      <c r="L93" s="218">
        <v>2552.98</v>
      </c>
      <c r="M93" s="246">
        <v>1603831</v>
      </c>
      <c r="N93" s="251">
        <v>185.78970000000001</v>
      </c>
      <c r="O93" s="251">
        <v>190.05119999999999</v>
      </c>
      <c r="P93" s="251">
        <v>191.98679999999999</v>
      </c>
      <c r="Q93" s="251">
        <v>186.12719999999999</v>
      </c>
      <c r="R93" s="254">
        <v>1.1200000000000001</v>
      </c>
      <c r="S93" s="214">
        <v>2592014</v>
      </c>
      <c r="T93" s="214">
        <v>22446225</v>
      </c>
      <c r="U93" s="214">
        <v>0</v>
      </c>
      <c r="V93" s="187">
        <f t="shared" si="4"/>
        <v>22446225</v>
      </c>
      <c r="W93" s="187">
        <f t="shared" si="5"/>
        <v>25038239</v>
      </c>
    </row>
    <row r="94" spans="1:23">
      <c r="A94" s="216" t="s">
        <v>233</v>
      </c>
      <c r="B94" s="218">
        <v>3054.79</v>
      </c>
      <c r="C94" s="218">
        <v>2969.855</v>
      </c>
      <c r="D94" s="218">
        <v>2909.7179999999998</v>
      </c>
      <c r="E94" s="218">
        <v>2916.9110000000001</v>
      </c>
      <c r="F94" s="218">
        <v>426.9255</v>
      </c>
      <c r="G94" s="218">
        <v>426.42630000000003</v>
      </c>
      <c r="H94" s="218">
        <v>422.74020000000002</v>
      </c>
      <c r="I94" s="218">
        <v>437.60480000000001</v>
      </c>
      <c r="J94" s="246">
        <v>432966739</v>
      </c>
      <c r="K94" s="246">
        <v>477399699</v>
      </c>
      <c r="L94" s="218">
        <v>3948.49</v>
      </c>
      <c r="M94" s="246">
        <v>298441</v>
      </c>
      <c r="N94" s="251">
        <v>251.65819999999999</v>
      </c>
      <c r="O94" s="251">
        <v>238.49379999999999</v>
      </c>
      <c r="P94" s="251">
        <v>242.6071</v>
      </c>
      <c r="Q94" s="251">
        <v>242.9453</v>
      </c>
      <c r="R94" s="254">
        <v>1.1299999999999999</v>
      </c>
      <c r="S94" s="214">
        <v>442427</v>
      </c>
      <c r="T94" s="214">
        <v>6564970</v>
      </c>
      <c r="U94" s="214">
        <v>0</v>
      </c>
      <c r="V94" s="187">
        <f t="shared" si="4"/>
        <v>6564970</v>
      </c>
      <c r="W94" s="187">
        <f t="shared" si="5"/>
        <v>7007397</v>
      </c>
    </row>
    <row r="95" spans="1:23">
      <c r="A95" s="216" t="s">
        <v>6195</v>
      </c>
      <c r="B95" s="218">
        <v>9434.4410000000007</v>
      </c>
      <c r="C95" s="218">
        <v>9868.8320000000003</v>
      </c>
      <c r="D95" s="218">
        <v>10429.082</v>
      </c>
      <c r="E95" s="218">
        <v>11657.275</v>
      </c>
      <c r="F95" s="218">
        <v>1236.1201000000001</v>
      </c>
      <c r="G95" s="218">
        <v>1270.3409999999999</v>
      </c>
      <c r="H95" s="218">
        <v>1342.4618</v>
      </c>
      <c r="I95" s="218">
        <v>1505.6923999999999</v>
      </c>
      <c r="J95" s="246">
        <v>2658772704</v>
      </c>
      <c r="K95" s="246">
        <v>2826192020</v>
      </c>
      <c r="L95" s="218">
        <v>13904.179</v>
      </c>
      <c r="M95" s="246">
        <v>4106672</v>
      </c>
      <c r="N95" s="251">
        <v>737.4402</v>
      </c>
      <c r="O95" s="251">
        <v>753.89359999999999</v>
      </c>
      <c r="P95" s="251">
        <v>783.24519999999995</v>
      </c>
      <c r="Q95" s="251">
        <v>854.7953</v>
      </c>
      <c r="R95" s="254">
        <v>1.1499999999999999</v>
      </c>
      <c r="S95" s="214">
        <v>10384556</v>
      </c>
      <c r="T95" s="214">
        <v>46324181</v>
      </c>
      <c r="U95" s="214">
        <v>0</v>
      </c>
      <c r="V95" s="187">
        <f t="shared" si="4"/>
        <v>46324181</v>
      </c>
      <c r="W95" s="187">
        <f t="shared" si="5"/>
        <v>56708737</v>
      </c>
    </row>
    <row r="96" spans="1:23">
      <c r="A96" s="216" t="s">
        <v>6256</v>
      </c>
      <c r="B96" s="218">
        <v>133.077</v>
      </c>
      <c r="C96" s="218">
        <v>138.387</v>
      </c>
      <c r="D96" s="218">
        <v>146.148</v>
      </c>
      <c r="E96" s="218">
        <v>164.398</v>
      </c>
      <c r="F96" s="218">
        <v>22.898</v>
      </c>
      <c r="G96" s="218">
        <v>22.914999999999999</v>
      </c>
      <c r="H96" s="218">
        <v>23.163599999999999</v>
      </c>
      <c r="I96" s="218">
        <v>25.4727</v>
      </c>
      <c r="J96" s="246">
        <v>24395182</v>
      </c>
      <c r="K96" s="246">
        <v>26774412</v>
      </c>
      <c r="L96" s="218">
        <v>286.08600000000001</v>
      </c>
      <c r="M96" s="187">
        <v>0</v>
      </c>
      <c r="N96" s="251">
        <v>14.442299999999999</v>
      </c>
      <c r="O96" s="251">
        <v>14.809699999999999</v>
      </c>
      <c r="P96" s="251">
        <v>14.9048</v>
      </c>
      <c r="Q96" s="251">
        <v>16.242599999999999</v>
      </c>
      <c r="R96" s="254">
        <v>1.1100000000000001</v>
      </c>
      <c r="S96" s="214">
        <v>0</v>
      </c>
      <c r="T96" s="214">
        <v>381172</v>
      </c>
      <c r="U96" s="214">
        <v>0</v>
      </c>
      <c r="V96" s="187">
        <f t="shared" si="4"/>
        <v>381172</v>
      </c>
      <c r="W96" s="187">
        <f t="shared" si="5"/>
        <v>381172</v>
      </c>
    </row>
    <row r="97" spans="1:23">
      <c r="A97" s="216" t="s">
        <v>743</v>
      </c>
      <c r="B97" s="218">
        <v>6875.6109999999999</v>
      </c>
      <c r="C97" s="218">
        <v>6926.9129999999996</v>
      </c>
      <c r="D97" s="218">
        <v>7039.8040000000001</v>
      </c>
      <c r="E97" s="218">
        <v>7245.7910000000002</v>
      </c>
      <c r="F97" s="218">
        <v>974.12390000000005</v>
      </c>
      <c r="G97" s="218">
        <v>1038.3759</v>
      </c>
      <c r="H97" s="218">
        <v>1050.0062</v>
      </c>
      <c r="I97" s="218">
        <v>1024.7860000000001</v>
      </c>
      <c r="J97" s="246">
        <v>2686948694</v>
      </c>
      <c r="K97" s="246">
        <v>2761208035</v>
      </c>
      <c r="L97" s="218">
        <v>8613.1139999999996</v>
      </c>
      <c r="M97" s="246">
        <v>6950526</v>
      </c>
      <c r="N97" s="251">
        <v>602.37379999999996</v>
      </c>
      <c r="O97" s="251">
        <v>629.68150000000003</v>
      </c>
      <c r="P97" s="251">
        <v>645.32219999999995</v>
      </c>
      <c r="Q97" s="251">
        <v>646.56259999999997</v>
      </c>
      <c r="R97" s="254">
        <v>1.0900000000000001</v>
      </c>
      <c r="S97" s="214">
        <v>8615942</v>
      </c>
      <c r="T97" s="214">
        <v>44532482</v>
      </c>
      <c r="U97" s="214">
        <v>0</v>
      </c>
      <c r="V97" s="187">
        <f t="shared" si="4"/>
        <v>44532482</v>
      </c>
      <c r="W97" s="187">
        <f t="shared" si="5"/>
        <v>53148424</v>
      </c>
    </row>
    <row r="98" spans="1:23">
      <c r="A98" s="216" t="s">
        <v>960</v>
      </c>
      <c r="B98" s="218">
        <v>12505.029</v>
      </c>
      <c r="C98" s="218">
        <v>12534.648999999999</v>
      </c>
      <c r="D98" s="218">
        <v>12674.553</v>
      </c>
      <c r="E98" s="218">
        <v>12970.128000000001</v>
      </c>
      <c r="F98" s="218">
        <v>1564.7663</v>
      </c>
      <c r="G98" s="218">
        <v>1541.7058</v>
      </c>
      <c r="H98" s="218">
        <v>1571.6239</v>
      </c>
      <c r="I98" s="218">
        <v>2066.4906999999998</v>
      </c>
      <c r="J98" s="246">
        <v>2448478039</v>
      </c>
      <c r="K98" s="246">
        <v>2572654345</v>
      </c>
      <c r="L98" s="218">
        <v>17070.809000000001</v>
      </c>
      <c r="M98" s="246">
        <v>3574618</v>
      </c>
      <c r="N98" s="251">
        <v>1122.6713</v>
      </c>
      <c r="O98" s="251">
        <v>1147.6102000000001</v>
      </c>
      <c r="P98" s="251">
        <v>1182.9219000000001</v>
      </c>
      <c r="Q98" s="251">
        <v>1194.2307000000001</v>
      </c>
      <c r="R98" s="254">
        <v>1.1100000000000001</v>
      </c>
      <c r="S98" s="214">
        <v>5458033</v>
      </c>
      <c r="T98" s="214">
        <v>37996603</v>
      </c>
      <c r="U98" s="214">
        <v>830910</v>
      </c>
      <c r="V98" s="187">
        <f t="shared" si="4"/>
        <v>38827513</v>
      </c>
      <c r="W98" s="187">
        <f t="shared" si="5"/>
        <v>44285546</v>
      </c>
    </row>
    <row r="99" spans="1:23">
      <c r="A99" s="216" t="s">
        <v>6260</v>
      </c>
      <c r="B99" s="218">
        <v>164.898</v>
      </c>
      <c r="C99" s="218">
        <v>168.36799999999999</v>
      </c>
      <c r="D99" s="218">
        <v>180.80099999999999</v>
      </c>
      <c r="E99" s="218">
        <v>175.79300000000001</v>
      </c>
      <c r="F99" s="218">
        <v>30.769200000000001</v>
      </c>
      <c r="G99" s="218">
        <v>33.630000000000003</v>
      </c>
      <c r="H99" s="218">
        <v>35.5</v>
      </c>
      <c r="I99" s="218">
        <v>35.6</v>
      </c>
      <c r="J99" s="246">
        <v>32502759</v>
      </c>
      <c r="K99" s="246">
        <v>33427999</v>
      </c>
      <c r="L99" s="218">
        <v>362.58300000000003</v>
      </c>
      <c r="M99" s="187">
        <v>0</v>
      </c>
      <c r="N99" s="251">
        <v>23.513200000000001</v>
      </c>
      <c r="O99" s="251">
        <v>25.106200000000001</v>
      </c>
      <c r="P99" s="251">
        <v>28.995799999999999</v>
      </c>
      <c r="Q99" s="251">
        <v>25.552600000000002</v>
      </c>
      <c r="R99" s="254">
        <v>1.1000000000000001</v>
      </c>
      <c r="S99" s="214">
        <v>25684</v>
      </c>
      <c r="T99" s="214">
        <v>557597</v>
      </c>
      <c r="U99" s="214">
        <v>0</v>
      </c>
      <c r="V99" s="187">
        <f t="shared" si="4"/>
        <v>557597</v>
      </c>
      <c r="W99" s="187">
        <f t="shared" si="5"/>
        <v>583281</v>
      </c>
    </row>
    <row r="100" spans="1:23">
      <c r="A100" s="216" t="s">
        <v>6262</v>
      </c>
      <c r="B100" s="218">
        <v>1146.674</v>
      </c>
      <c r="C100" s="218">
        <v>1096.6869999999999</v>
      </c>
      <c r="D100" s="218">
        <v>1072.4960000000001</v>
      </c>
      <c r="E100" s="218">
        <v>1067.5229999999999</v>
      </c>
      <c r="F100" s="218">
        <v>207.08349999999999</v>
      </c>
      <c r="G100" s="218">
        <v>188.47890000000001</v>
      </c>
      <c r="H100" s="218">
        <v>172.42420000000001</v>
      </c>
      <c r="I100" s="218">
        <v>163.5831</v>
      </c>
      <c r="J100" s="246">
        <v>234158808</v>
      </c>
      <c r="K100" s="246">
        <v>246052497</v>
      </c>
      <c r="L100" s="218">
        <v>1724.223</v>
      </c>
      <c r="M100" s="246">
        <v>209733</v>
      </c>
      <c r="N100" s="251">
        <v>131.04580000000001</v>
      </c>
      <c r="O100" s="251">
        <v>119.70659999999999</v>
      </c>
      <c r="P100" s="251">
        <v>106.68219999999999</v>
      </c>
      <c r="Q100" s="251">
        <v>95.202699999999993</v>
      </c>
      <c r="R100" s="254">
        <v>1.1000000000000001</v>
      </c>
      <c r="S100" s="214">
        <v>212993</v>
      </c>
      <c r="T100" s="214">
        <v>3422468</v>
      </c>
      <c r="U100" s="214">
        <v>0</v>
      </c>
      <c r="V100" s="187">
        <f t="shared" si="4"/>
        <v>3422468</v>
      </c>
      <c r="W100" s="187">
        <f t="shared" si="5"/>
        <v>3635461</v>
      </c>
    </row>
    <row r="101" spans="1:23">
      <c r="A101" s="216" t="s">
        <v>6264</v>
      </c>
      <c r="B101" s="218">
        <v>85.537999999999997</v>
      </c>
      <c r="C101" s="218">
        <v>79.453000000000003</v>
      </c>
      <c r="D101" s="218">
        <v>77.054000000000002</v>
      </c>
      <c r="E101" s="218">
        <v>75.117000000000004</v>
      </c>
      <c r="F101" s="218">
        <v>25</v>
      </c>
      <c r="G101" s="218">
        <v>16</v>
      </c>
      <c r="H101" s="218">
        <v>21</v>
      </c>
      <c r="I101" s="218">
        <v>22</v>
      </c>
      <c r="J101" s="246">
        <v>48180019</v>
      </c>
      <c r="K101" s="246">
        <v>48924579</v>
      </c>
      <c r="L101" s="218">
        <v>266.24299999999999</v>
      </c>
      <c r="M101" s="187">
        <v>0</v>
      </c>
      <c r="N101" s="251">
        <v>17.973600000000001</v>
      </c>
      <c r="O101" s="251">
        <v>14.9992</v>
      </c>
      <c r="P101" s="251">
        <v>14.3216</v>
      </c>
      <c r="Q101" s="251">
        <v>17.0002</v>
      </c>
      <c r="R101" s="254">
        <v>1.0900000000000001</v>
      </c>
      <c r="S101" s="214">
        <v>0</v>
      </c>
      <c r="T101" s="214">
        <v>676125</v>
      </c>
      <c r="U101" s="214">
        <v>0</v>
      </c>
      <c r="V101" s="187">
        <f t="shared" si="4"/>
        <v>676125</v>
      </c>
      <c r="W101" s="187">
        <f t="shared" si="5"/>
        <v>676125</v>
      </c>
    </row>
    <row r="102" spans="1:23">
      <c r="A102" s="216" t="s">
        <v>6266</v>
      </c>
      <c r="B102" s="218">
        <v>19.166</v>
      </c>
      <c r="C102" s="218">
        <v>16.401</v>
      </c>
      <c r="D102" s="218">
        <v>21.305</v>
      </c>
      <c r="E102" s="218">
        <v>20.715</v>
      </c>
      <c r="F102" s="218">
        <v>8</v>
      </c>
      <c r="G102" s="218">
        <v>8</v>
      </c>
      <c r="H102" s="218">
        <v>8.2139000000000006</v>
      </c>
      <c r="I102" s="218">
        <v>7.74</v>
      </c>
      <c r="J102" s="246">
        <v>5474847</v>
      </c>
      <c r="K102" s="246">
        <v>5474847</v>
      </c>
      <c r="L102" s="218">
        <v>133.58600000000001</v>
      </c>
      <c r="M102" s="187">
        <v>0</v>
      </c>
      <c r="N102" s="251">
        <v>5.7737999999999996</v>
      </c>
      <c r="O102" s="251">
        <v>4.9181999999999997</v>
      </c>
      <c r="P102" s="251">
        <v>5.1304999999999996</v>
      </c>
      <c r="Q102" s="251">
        <v>5.1875</v>
      </c>
      <c r="R102" s="254">
        <v>1.0900000000000001</v>
      </c>
      <c r="S102" s="214">
        <v>0</v>
      </c>
      <c r="T102" s="214">
        <v>61838</v>
      </c>
      <c r="U102" s="214">
        <v>0</v>
      </c>
      <c r="V102" s="187">
        <f t="shared" si="4"/>
        <v>61838</v>
      </c>
      <c r="W102" s="187">
        <f t="shared" si="5"/>
        <v>61838</v>
      </c>
    </row>
    <row r="103" spans="1:23">
      <c r="A103" s="216" t="s">
        <v>6268</v>
      </c>
      <c r="B103" s="218">
        <v>241.57900000000001</v>
      </c>
      <c r="C103" s="218">
        <v>241.17699999999999</v>
      </c>
      <c r="D103" s="218">
        <v>234.24</v>
      </c>
      <c r="E103" s="218">
        <v>227.75200000000001</v>
      </c>
      <c r="F103" s="218">
        <v>50.290700000000001</v>
      </c>
      <c r="G103" s="218">
        <v>49.898400000000002</v>
      </c>
      <c r="H103" s="218">
        <v>48.8489</v>
      </c>
      <c r="I103" s="218">
        <v>46.582999999999998</v>
      </c>
      <c r="J103" s="246">
        <v>40277698</v>
      </c>
      <c r="K103" s="246">
        <v>42965782</v>
      </c>
      <c r="L103" s="218">
        <v>452.17899999999997</v>
      </c>
      <c r="M103" s="187">
        <v>0</v>
      </c>
      <c r="N103" s="251">
        <v>33.839100000000002</v>
      </c>
      <c r="O103" s="251">
        <v>33.944299999999998</v>
      </c>
      <c r="P103" s="251">
        <v>31.235099999999999</v>
      </c>
      <c r="Q103" s="251">
        <v>29.110700000000001</v>
      </c>
      <c r="R103" s="254">
        <v>1.04</v>
      </c>
      <c r="S103" s="214">
        <v>0</v>
      </c>
      <c r="T103" s="214">
        <v>474543</v>
      </c>
      <c r="U103" s="214">
        <v>0</v>
      </c>
      <c r="V103" s="187">
        <f t="shared" si="4"/>
        <v>474543</v>
      </c>
      <c r="W103" s="187">
        <f t="shared" si="5"/>
        <v>474543</v>
      </c>
    </row>
    <row r="104" spans="1:23">
      <c r="A104" s="216" t="s">
        <v>6270</v>
      </c>
      <c r="B104" s="218">
        <v>1663.027</v>
      </c>
      <c r="C104" s="218">
        <v>1630.5709999999999</v>
      </c>
      <c r="D104" s="218">
        <v>1598.8910000000001</v>
      </c>
      <c r="E104" s="218">
        <v>1584.825</v>
      </c>
      <c r="F104" s="218">
        <v>273.86110000000002</v>
      </c>
      <c r="G104" s="218">
        <v>273.07900000000001</v>
      </c>
      <c r="H104" s="218">
        <v>276.55079999999998</v>
      </c>
      <c r="I104" s="218">
        <v>272.6746</v>
      </c>
      <c r="J104" s="246">
        <v>428899748</v>
      </c>
      <c r="K104" s="246">
        <v>441688208</v>
      </c>
      <c r="L104" s="218">
        <v>2430.567</v>
      </c>
      <c r="M104" s="246">
        <v>232533</v>
      </c>
      <c r="N104" s="251">
        <v>159.5624</v>
      </c>
      <c r="O104" s="251">
        <v>155.50530000000001</v>
      </c>
      <c r="P104" s="251">
        <v>163.83590000000001</v>
      </c>
      <c r="Q104" s="251">
        <v>164.19829999999999</v>
      </c>
      <c r="R104" s="254">
        <v>1.1499999999999999</v>
      </c>
      <c r="S104" s="214">
        <v>249354</v>
      </c>
      <c r="T104" s="214">
        <v>7691365</v>
      </c>
      <c r="U104" s="214">
        <v>0</v>
      </c>
      <c r="V104" s="187">
        <f t="shared" si="4"/>
        <v>7691365</v>
      </c>
      <c r="W104" s="187">
        <f t="shared" si="5"/>
        <v>7940719</v>
      </c>
    </row>
    <row r="105" spans="1:23">
      <c r="A105" s="216" t="s">
        <v>6272</v>
      </c>
      <c r="B105" s="218">
        <v>1018.293</v>
      </c>
      <c r="C105" s="218">
        <v>1053.49</v>
      </c>
      <c r="D105" s="218">
        <v>1056.348</v>
      </c>
      <c r="E105" s="218">
        <v>1073.077</v>
      </c>
      <c r="F105" s="218">
        <v>145.09049999999999</v>
      </c>
      <c r="G105" s="218">
        <v>152.14359999999999</v>
      </c>
      <c r="H105" s="218">
        <v>150.08600000000001</v>
      </c>
      <c r="I105" s="218">
        <v>147.68180000000001</v>
      </c>
      <c r="J105" s="246">
        <v>126273534</v>
      </c>
      <c r="K105" s="246">
        <v>142269184</v>
      </c>
      <c r="L105" s="218">
        <v>1709.01</v>
      </c>
      <c r="M105" s="187">
        <v>0</v>
      </c>
      <c r="N105" s="251">
        <v>98.384699999999995</v>
      </c>
      <c r="O105" s="251">
        <v>100.4688</v>
      </c>
      <c r="P105" s="251">
        <v>100.9877</v>
      </c>
      <c r="Q105" s="251">
        <v>101.09</v>
      </c>
      <c r="R105" s="254">
        <v>1.03</v>
      </c>
      <c r="S105" s="214">
        <v>0</v>
      </c>
      <c r="T105" s="214">
        <v>1903761</v>
      </c>
      <c r="U105" s="214">
        <v>0</v>
      </c>
      <c r="V105" s="187">
        <f t="shared" si="4"/>
        <v>1903761</v>
      </c>
      <c r="W105" s="187">
        <f t="shared" si="5"/>
        <v>1903761</v>
      </c>
    </row>
    <row r="106" spans="1:23">
      <c r="A106" s="216" t="s">
        <v>2291</v>
      </c>
      <c r="B106" s="218">
        <v>3658.7170000000001</v>
      </c>
      <c r="C106" s="218">
        <v>3661.0940000000001</v>
      </c>
      <c r="D106" s="218">
        <v>3558.549</v>
      </c>
      <c r="E106" s="218">
        <v>3459.9769999999999</v>
      </c>
      <c r="F106" s="218">
        <v>592.64850000000001</v>
      </c>
      <c r="G106" s="218">
        <v>587.02629999999999</v>
      </c>
      <c r="H106" s="218">
        <v>576.33370000000002</v>
      </c>
      <c r="I106" s="218">
        <v>544.16030000000001</v>
      </c>
      <c r="J106" s="246">
        <v>731305064</v>
      </c>
      <c r="K106" s="246">
        <v>774959056</v>
      </c>
      <c r="L106" s="218">
        <v>4781.5050000000001</v>
      </c>
      <c r="M106" s="246">
        <v>611011</v>
      </c>
      <c r="N106" s="251">
        <v>385.39710000000002</v>
      </c>
      <c r="O106" s="251">
        <v>377.64659999999998</v>
      </c>
      <c r="P106" s="251">
        <v>375.89679999999998</v>
      </c>
      <c r="Q106" s="251">
        <v>361.64940000000001</v>
      </c>
      <c r="R106" s="254">
        <v>1.06</v>
      </c>
      <c r="S106" s="214">
        <v>926093</v>
      </c>
      <c r="T106" s="214">
        <v>11020436</v>
      </c>
      <c r="U106" s="214">
        <v>0</v>
      </c>
      <c r="V106" s="187">
        <f t="shared" si="4"/>
        <v>11020436</v>
      </c>
      <c r="W106" s="187">
        <f t="shared" si="5"/>
        <v>11946529</v>
      </c>
    </row>
    <row r="107" spans="1:23">
      <c r="A107" s="216" t="s">
        <v>954</v>
      </c>
      <c r="B107" s="218">
        <v>250.654</v>
      </c>
      <c r="C107" s="218">
        <v>235.64</v>
      </c>
      <c r="D107" s="218">
        <v>235.375</v>
      </c>
      <c r="E107" s="218">
        <v>232.16499999999999</v>
      </c>
      <c r="F107" s="218">
        <v>48.369</v>
      </c>
      <c r="G107" s="218">
        <v>47.443899999999999</v>
      </c>
      <c r="H107" s="218">
        <v>49.458300000000001</v>
      </c>
      <c r="I107" s="218">
        <v>49.399700000000003</v>
      </c>
      <c r="J107" s="246">
        <v>22289675</v>
      </c>
      <c r="K107" s="246">
        <v>24999665</v>
      </c>
      <c r="L107" s="218">
        <v>496.97300000000001</v>
      </c>
      <c r="M107" s="187">
        <v>498</v>
      </c>
      <c r="N107" s="251">
        <v>35.300699999999999</v>
      </c>
      <c r="O107" s="251">
        <v>33.421900000000001</v>
      </c>
      <c r="P107" s="251">
        <v>38.1631</v>
      </c>
      <c r="Q107" s="251">
        <v>36.790599999999998</v>
      </c>
      <c r="R107" s="254">
        <v>1.05</v>
      </c>
      <c r="S107" s="214">
        <v>28817</v>
      </c>
      <c r="T107" s="214">
        <v>284849</v>
      </c>
      <c r="U107" s="214">
        <v>15920</v>
      </c>
      <c r="V107" s="187">
        <f t="shared" si="4"/>
        <v>300769</v>
      </c>
      <c r="W107" s="187">
        <f t="shared" si="5"/>
        <v>329586</v>
      </c>
    </row>
    <row r="108" spans="1:23">
      <c r="A108" s="216" t="s">
        <v>6166</v>
      </c>
      <c r="B108" s="218">
        <v>291.97899999999998</v>
      </c>
      <c r="C108" s="218">
        <v>282.22500000000002</v>
      </c>
      <c r="D108" s="218">
        <v>274.47000000000003</v>
      </c>
      <c r="E108" s="218">
        <v>266.86700000000002</v>
      </c>
      <c r="F108" s="218">
        <v>46.612200000000001</v>
      </c>
      <c r="G108" s="218">
        <v>49.014699999999998</v>
      </c>
      <c r="H108" s="218">
        <v>48.289900000000003</v>
      </c>
      <c r="I108" s="218">
        <v>43.246499999999997</v>
      </c>
      <c r="J108" s="246">
        <v>60747836</v>
      </c>
      <c r="K108" s="246">
        <v>66177376</v>
      </c>
      <c r="L108" s="218">
        <v>472.88299999999998</v>
      </c>
      <c r="M108" s="246">
        <v>41624</v>
      </c>
      <c r="N108" s="251">
        <v>30.2438</v>
      </c>
      <c r="O108" s="251">
        <v>32.181199999999997</v>
      </c>
      <c r="P108" s="251">
        <v>28.366399999999999</v>
      </c>
      <c r="Q108" s="251">
        <v>28.1478</v>
      </c>
      <c r="R108" s="254">
        <v>1.03</v>
      </c>
      <c r="S108" s="214">
        <v>72766</v>
      </c>
      <c r="T108" s="214">
        <v>852093</v>
      </c>
      <c r="U108" s="214">
        <v>0</v>
      </c>
      <c r="V108" s="187">
        <f t="shared" si="4"/>
        <v>852093</v>
      </c>
      <c r="W108" s="187">
        <f t="shared" si="5"/>
        <v>924859</v>
      </c>
    </row>
    <row r="109" spans="1:23">
      <c r="A109" s="216" t="s">
        <v>864</v>
      </c>
      <c r="B109" s="218">
        <v>149.86699999999999</v>
      </c>
      <c r="C109" s="218">
        <v>137.96899999999999</v>
      </c>
      <c r="D109" s="218">
        <v>159.327</v>
      </c>
      <c r="E109" s="218">
        <v>169.529</v>
      </c>
      <c r="F109" s="218">
        <v>24.844899999999999</v>
      </c>
      <c r="G109" s="218">
        <v>27</v>
      </c>
      <c r="H109" s="218">
        <v>25</v>
      </c>
      <c r="I109" s="218">
        <v>25.983899999999998</v>
      </c>
      <c r="J109" s="246">
        <v>16939905</v>
      </c>
      <c r="K109" s="246">
        <v>18831965</v>
      </c>
      <c r="L109" s="218">
        <v>307.99099999999999</v>
      </c>
      <c r="M109" s="187">
        <v>378</v>
      </c>
      <c r="N109" s="251">
        <v>17.415900000000001</v>
      </c>
      <c r="O109" s="251">
        <v>18.629899999999999</v>
      </c>
      <c r="P109" s="251">
        <v>17.369</v>
      </c>
      <c r="Q109" s="251">
        <v>16.575099999999999</v>
      </c>
      <c r="R109" s="254">
        <v>1.04</v>
      </c>
      <c r="S109" s="214">
        <v>9832</v>
      </c>
      <c r="T109" s="214">
        <v>263532</v>
      </c>
      <c r="U109" s="214">
        <v>0</v>
      </c>
      <c r="V109" s="187">
        <f t="shared" si="4"/>
        <v>263532</v>
      </c>
      <c r="W109" s="187">
        <f t="shared" si="5"/>
        <v>273364</v>
      </c>
    </row>
    <row r="110" spans="1:23">
      <c r="A110" s="216" t="s">
        <v>3085</v>
      </c>
      <c r="B110" s="218">
        <v>195.11500000000001</v>
      </c>
      <c r="C110" s="218">
        <v>179.136</v>
      </c>
      <c r="D110" s="218">
        <v>175.04</v>
      </c>
      <c r="E110" s="218">
        <v>177.27500000000001</v>
      </c>
      <c r="F110" s="218">
        <v>34.927799999999998</v>
      </c>
      <c r="G110" s="218">
        <v>36.008099999999999</v>
      </c>
      <c r="H110" s="218">
        <v>33.565300000000001</v>
      </c>
      <c r="I110" s="218">
        <v>30.526800000000001</v>
      </c>
      <c r="J110" s="246">
        <v>22867338</v>
      </c>
      <c r="K110" s="246">
        <v>25006719</v>
      </c>
      <c r="L110" s="218">
        <v>319.51100000000002</v>
      </c>
      <c r="M110" s="246">
        <v>13017</v>
      </c>
      <c r="N110" s="251">
        <v>23.000299999999999</v>
      </c>
      <c r="O110" s="251">
        <v>23.069600000000001</v>
      </c>
      <c r="P110" s="251">
        <v>22.967700000000001</v>
      </c>
      <c r="Q110" s="251">
        <v>20.533100000000001</v>
      </c>
      <c r="R110" s="254">
        <v>1.04</v>
      </c>
      <c r="S110" s="214">
        <v>31197</v>
      </c>
      <c r="T110" s="214">
        <v>362296</v>
      </c>
      <c r="U110" s="214">
        <v>0</v>
      </c>
      <c r="V110" s="187">
        <f t="shared" si="4"/>
        <v>362296</v>
      </c>
      <c r="W110" s="187">
        <f t="shared" si="5"/>
        <v>393493</v>
      </c>
    </row>
    <row r="111" spans="1:23">
      <c r="A111" s="216" t="s">
        <v>1518</v>
      </c>
      <c r="B111" s="218">
        <v>1234.327</v>
      </c>
      <c r="C111" s="218">
        <v>1198.7560000000001</v>
      </c>
      <c r="D111" s="218">
        <v>1221.7840000000001</v>
      </c>
      <c r="E111" s="218">
        <v>1196.5999999999999</v>
      </c>
      <c r="F111" s="218">
        <v>169.62809999999999</v>
      </c>
      <c r="G111" s="218">
        <v>175.20570000000001</v>
      </c>
      <c r="H111" s="218">
        <v>178.12860000000001</v>
      </c>
      <c r="I111" s="218">
        <v>216.7696</v>
      </c>
      <c r="J111" s="246">
        <v>121384618</v>
      </c>
      <c r="K111" s="246">
        <v>134267378</v>
      </c>
      <c r="L111" s="218">
        <v>1734.3510000000001</v>
      </c>
      <c r="M111" s="246">
        <v>61813</v>
      </c>
      <c r="N111" s="251">
        <v>113.26090000000001</v>
      </c>
      <c r="O111" s="251">
        <v>119.764</v>
      </c>
      <c r="P111" s="251">
        <v>119.83240000000001</v>
      </c>
      <c r="Q111" s="251">
        <v>147.2089</v>
      </c>
      <c r="R111" s="254">
        <v>1.04</v>
      </c>
      <c r="S111" s="214">
        <v>101232</v>
      </c>
      <c r="T111" s="214">
        <v>1747803</v>
      </c>
      <c r="U111" s="214">
        <v>0</v>
      </c>
      <c r="V111" s="187">
        <f t="shared" si="4"/>
        <v>1747803</v>
      </c>
      <c r="W111" s="187">
        <f t="shared" si="5"/>
        <v>1849035</v>
      </c>
    </row>
    <row r="112" spans="1:23">
      <c r="A112" s="216" t="s">
        <v>2293</v>
      </c>
      <c r="B112" s="218">
        <v>1833.9369999999999</v>
      </c>
      <c r="C112" s="218">
        <v>1799.145</v>
      </c>
      <c r="D112" s="218">
        <v>1803.779</v>
      </c>
      <c r="E112" s="218">
        <v>1766.979</v>
      </c>
      <c r="F112" s="218">
        <v>313.27170000000001</v>
      </c>
      <c r="G112" s="218">
        <v>305.26100000000002</v>
      </c>
      <c r="H112" s="218">
        <v>325.9787</v>
      </c>
      <c r="I112" s="218">
        <v>320.7165</v>
      </c>
      <c r="J112" s="246">
        <v>391683691</v>
      </c>
      <c r="K112" s="246">
        <v>412910123</v>
      </c>
      <c r="L112" s="218">
        <v>2519.6819999999998</v>
      </c>
      <c r="M112" s="246">
        <v>399488</v>
      </c>
      <c r="N112" s="251">
        <v>187.89599999999999</v>
      </c>
      <c r="O112" s="251">
        <v>184.03319999999999</v>
      </c>
      <c r="P112" s="251">
        <v>185.26349999999999</v>
      </c>
      <c r="Q112" s="251">
        <v>184.11760000000001</v>
      </c>
      <c r="R112" s="254">
        <v>1.08</v>
      </c>
      <c r="S112" s="214">
        <v>441769</v>
      </c>
      <c r="T112" s="214">
        <v>5558119</v>
      </c>
      <c r="U112" s="214">
        <v>0</v>
      </c>
      <c r="V112" s="187">
        <f t="shared" si="4"/>
        <v>5558119</v>
      </c>
      <c r="W112" s="187">
        <f t="shared" si="5"/>
        <v>5999888</v>
      </c>
    </row>
    <row r="113" spans="1:23">
      <c r="A113" s="216" t="s">
        <v>2295</v>
      </c>
      <c r="B113" s="218">
        <v>739.70699999999999</v>
      </c>
      <c r="C113" s="218">
        <v>727.91600000000005</v>
      </c>
      <c r="D113" s="218">
        <v>707.76800000000003</v>
      </c>
      <c r="E113" s="218">
        <v>688.16300000000001</v>
      </c>
      <c r="F113" s="218">
        <v>134.3716</v>
      </c>
      <c r="G113" s="218">
        <v>132.4545</v>
      </c>
      <c r="H113" s="218">
        <v>127.0213</v>
      </c>
      <c r="I113" s="218">
        <v>125.67910000000001</v>
      </c>
      <c r="J113" s="246">
        <v>129250172</v>
      </c>
      <c r="K113" s="246">
        <v>139442258</v>
      </c>
      <c r="L113" s="218">
        <v>1149.5229999999999</v>
      </c>
      <c r="M113" s="187">
        <v>0</v>
      </c>
      <c r="N113" s="251">
        <v>94.002399999999994</v>
      </c>
      <c r="O113" s="251">
        <v>90.072000000000003</v>
      </c>
      <c r="P113" s="251">
        <v>86.467200000000005</v>
      </c>
      <c r="Q113" s="251">
        <v>85.726200000000006</v>
      </c>
      <c r="R113" s="254">
        <v>1.0900000000000001</v>
      </c>
      <c r="S113" s="214">
        <v>207851</v>
      </c>
      <c r="T113" s="214">
        <v>1900501</v>
      </c>
      <c r="U113" s="214">
        <v>0</v>
      </c>
      <c r="V113" s="187">
        <f t="shared" si="4"/>
        <v>1900501</v>
      </c>
      <c r="W113" s="187">
        <f t="shared" si="5"/>
        <v>2108352</v>
      </c>
    </row>
    <row r="114" spans="1:23">
      <c r="A114" s="216" t="s">
        <v>2297</v>
      </c>
      <c r="B114" s="218">
        <v>459.91699999999997</v>
      </c>
      <c r="C114" s="218">
        <v>469.673</v>
      </c>
      <c r="D114" s="218">
        <v>455.48899999999998</v>
      </c>
      <c r="E114" s="218">
        <v>428.43299999999999</v>
      </c>
      <c r="F114" s="218">
        <v>82.866500000000002</v>
      </c>
      <c r="G114" s="218">
        <v>85.395899999999997</v>
      </c>
      <c r="H114" s="218">
        <v>94.270300000000006</v>
      </c>
      <c r="I114" s="218">
        <v>93.839799999999997</v>
      </c>
      <c r="J114" s="246">
        <v>103646612</v>
      </c>
      <c r="K114" s="246">
        <v>109965844</v>
      </c>
      <c r="L114" s="218">
        <v>766.399</v>
      </c>
      <c r="M114" s="187">
        <v>0</v>
      </c>
      <c r="N114" s="251">
        <v>53.003799999999998</v>
      </c>
      <c r="O114" s="251">
        <v>58.867199999999997</v>
      </c>
      <c r="P114" s="251">
        <v>59.873600000000003</v>
      </c>
      <c r="Q114" s="251">
        <v>61.904800000000002</v>
      </c>
      <c r="R114" s="254">
        <v>1.0900000000000001</v>
      </c>
      <c r="S114" s="214">
        <v>0</v>
      </c>
      <c r="T114" s="214">
        <v>1604961</v>
      </c>
      <c r="U114" s="214">
        <v>0</v>
      </c>
      <c r="V114" s="187">
        <f t="shared" si="4"/>
        <v>1604961</v>
      </c>
      <c r="W114" s="187">
        <f t="shared" si="5"/>
        <v>1604961</v>
      </c>
    </row>
    <row r="115" spans="1:23">
      <c r="A115" s="216" t="s">
        <v>978</v>
      </c>
      <c r="B115" s="218">
        <v>2543.1190000000001</v>
      </c>
      <c r="C115" s="218">
        <v>2645.3389999999999</v>
      </c>
      <c r="D115" s="218">
        <v>2757.2179999999998</v>
      </c>
      <c r="E115" s="218">
        <v>2833.8150000000001</v>
      </c>
      <c r="F115" s="218">
        <v>391.02170000000001</v>
      </c>
      <c r="G115" s="218">
        <v>405.88119999999998</v>
      </c>
      <c r="H115" s="218">
        <v>436.46550000000002</v>
      </c>
      <c r="I115" s="218">
        <v>448.76769999999999</v>
      </c>
      <c r="J115" s="246">
        <v>744964753</v>
      </c>
      <c r="K115" s="246">
        <v>791054109</v>
      </c>
      <c r="L115" s="218">
        <v>3978.375</v>
      </c>
      <c r="M115" s="246">
        <v>622343</v>
      </c>
      <c r="N115" s="251">
        <v>253.99440000000001</v>
      </c>
      <c r="O115" s="251">
        <v>264.81119999999999</v>
      </c>
      <c r="P115" s="251">
        <v>282.51229999999998</v>
      </c>
      <c r="Q115" s="251">
        <v>288.91070000000002</v>
      </c>
      <c r="R115" s="254">
        <v>1.0900000000000001</v>
      </c>
      <c r="S115" s="214">
        <v>1096108</v>
      </c>
      <c r="T115" s="214">
        <v>11961931</v>
      </c>
      <c r="U115" s="214">
        <v>0</v>
      </c>
      <c r="V115" s="187">
        <f t="shared" si="4"/>
        <v>11961931</v>
      </c>
      <c r="W115" s="187">
        <f t="shared" si="5"/>
        <v>13058039</v>
      </c>
    </row>
    <row r="116" spans="1:23">
      <c r="A116" s="216" t="s">
        <v>3003</v>
      </c>
      <c r="B116" s="218">
        <v>3225.7530000000002</v>
      </c>
      <c r="C116" s="218">
        <v>3306.4430000000002</v>
      </c>
      <c r="D116" s="218">
        <v>3367.06</v>
      </c>
      <c r="E116" s="218">
        <v>3350.7269999999999</v>
      </c>
      <c r="F116" s="218">
        <v>473.92750000000001</v>
      </c>
      <c r="G116" s="218">
        <v>493.90629999999999</v>
      </c>
      <c r="H116" s="218">
        <v>521.22609999999997</v>
      </c>
      <c r="I116" s="218">
        <v>548.88189999999997</v>
      </c>
      <c r="J116" s="246">
        <v>1207740716</v>
      </c>
      <c r="K116" s="246">
        <v>1253810334</v>
      </c>
      <c r="L116" s="218">
        <v>4509.57</v>
      </c>
      <c r="M116" s="246">
        <v>1943392</v>
      </c>
      <c r="N116" s="251">
        <v>321.59350000000001</v>
      </c>
      <c r="O116" s="251">
        <v>320.69380000000001</v>
      </c>
      <c r="P116" s="251">
        <v>334.45389999999998</v>
      </c>
      <c r="Q116" s="251">
        <v>334.70330000000001</v>
      </c>
      <c r="R116" s="254">
        <v>1.0900000000000001</v>
      </c>
      <c r="S116" s="214">
        <v>2309460</v>
      </c>
      <c r="T116" s="214">
        <v>20003266</v>
      </c>
      <c r="U116" s="214">
        <v>0</v>
      </c>
      <c r="V116" s="187">
        <f t="shared" si="4"/>
        <v>20003266</v>
      </c>
      <c r="W116" s="187">
        <f t="shared" si="5"/>
        <v>22312726</v>
      </c>
    </row>
    <row r="117" spans="1:23">
      <c r="A117" s="216" t="s">
        <v>2993</v>
      </c>
      <c r="B117" s="218">
        <v>4074.9630000000002</v>
      </c>
      <c r="C117" s="218">
        <v>4105.4250000000002</v>
      </c>
      <c r="D117" s="218">
        <v>4227.1880000000001</v>
      </c>
      <c r="E117" s="218">
        <v>4125.1099999999997</v>
      </c>
      <c r="F117" s="218">
        <v>591.47180000000003</v>
      </c>
      <c r="G117" s="218">
        <v>626.16470000000004</v>
      </c>
      <c r="H117" s="218">
        <v>614.53290000000004</v>
      </c>
      <c r="I117" s="218">
        <v>579.53179999999998</v>
      </c>
      <c r="J117" s="246">
        <v>517302874</v>
      </c>
      <c r="K117" s="246">
        <v>554898774</v>
      </c>
      <c r="L117" s="218">
        <v>5668.2089999999998</v>
      </c>
      <c r="M117" s="246">
        <v>414274</v>
      </c>
      <c r="N117" s="251">
        <v>363.8</v>
      </c>
      <c r="O117" s="251">
        <v>365.93189999999998</v>
      </c>
      <c r="P117" s="251">
        <v>357.18119999999999</v>
      </c>
      <c r="Q117" s="251">
        <v>350.67880000000002</v>
      </c>
      <c r="R117" s="254">
        <v>1.0900000000000001</v>
      </c>
      <c r="S117" s="214">
        <v>1060147</v>
      </c>
      <c r="T117" s="214">
        <v>7567374</v>
      </c>
      <c r="U117" s="214">
        <v>0</v>
      </c>
      <c r="V117" s="187">
        <f t="shared" si="4"/>
        <v>7567374</v>
      </c>
      <c r="W117" s="187">
        <f t="shared" si="5"/>
        <v>8627521</v>
      </c>
    </row>
    <row r="118" spans="1:23">
      <c r="A118" s="216" t="s">
        <v>518</v>
      </c>
      <c r="B118" s="218">
        <v>1480.3050000000001</v>
      </c>
      <c r="C118" s="218">
        <v>1490.7190000000001</v>
      </c>
      <c r="D118" s="218">
        <v>1502.4949999999999</v>
      </c>
      <c r="E118" s="218">
        <v>1479.5419999999999</v>
      </c>
      <c r="F118" s="218">
        <v>208.6429</v>
      </c>
      <c r="G118" s="218">
        <v>204.96860000000001</v>
      </c>
      <c r="H118" s="218">
        <v>202.71709999999999</v>
      </c>
      <c r="I118" s="218">
        <v>216.19309999999999</v>
      </c>
      <c r="J118" s="246">
        <v>181739590</v>
      </c>
      <c r="K118" s="246">
        <v>194147630</v>
      </c>
      <c r="L118" s="218">
        <v>2096.337</v>
      </c>
      <c r="M118" s="187">
        <v>0</v>
      </c>
      <c r="N118" s="251">
        <v>142.39689999999999</v>
      </c>
      <c r="O118" s="251">
        <v>137.41640000000001</v>
      </c>
      <c r="P118" s="251">
        <v>137.75980000000001</v>
      </c>
      <c r="Q118" s="251">
        <v>141.50829999999999</v>
      </c>
      <c r="R118" s="254">
        <v>1.0900000000000001</v>
      </c>
      <c r="S118" s="214">
        <v>105167</v>
      </c>
      <c r="T118" s="214">
        <v>2236175</v>
      </c>
      <c r="U118" s="214">
        <v>0</v>
      </c>
      <c r="V118" s="187">
        <f t="shared" si="4"/>
        <v>2236175</v>
      </c>
      <c r="W118" s="187">
        <f t="shared" si="5"/>
        <v>2341342</v>
      </c>
    </row>
    <row r="119" spans="1:23">
      <c r="A119" s="216" t="s">
        <v>2299</v>
      </c>
      <c r="B119" s="218">
        <v>186.58799999999999</v>
      </c>
      <c r="C119" s="218">
        <v>196.922</v>
      </c>
      <c r="D119" s="218">
        <v>215.26300000000001</v>
      </c>
      <c r="E119" s="218">
        <v>211.64</v>
      </c>
      <c r="F119" s="218">
        <v>35.389000000000003</v>
      </c>
      <c r="G119" s="218">
        <v>36.6511</v>
      </c>
      <c r="H119" s="218">
        <v>35.101700000000001</v>
      </c>
      <c r="I119" s="218">
        <v>38.767699999999998</v>
      </c>
      <c r="J119" s="246">
        <v>47111054</v>
      </c>
      <c r="K119" s="246">
        <v>49298174</v>
      </c>
      <c r="L119" s="218">
        <v>391.31099999999998</v>
      </c>
      <c r="M119" s="187">
        <v>0</v>
      </c>
      <c r="N119" s="251">
        <v>21.807400000000001</v>
      </c>
      <c r="O119" s="251">
        <v>20.4998</v>
      </c>
      <c r="P119" s="251">
        <v>19.251000000000001</v>
      </c>
      <c r="Q119" s="251">
        <v>23.7272</v>
      </c>
      <c r="R119" s="254">
        <v>1.08</v>
      </c>
      <c r="S119" s="214">
        <v>0</v>
      </c>
      <c r="T119" s="214">
        <v>666392</v>
      </c>
      <c r="U119" s="214">
        <v>0</v>
      </c>
      <c r="V119" s="187">
        <f t="shared" si="4"/>
        <v>666392</v>
      </c>
      <c r="W119" s="187">
        <f t="shared" si="5"/>
        <v>666392</v>
      </c>
    </row>
    <row r="120" spans="1:23">
      <c r="A120" s="216" t="s">
        <v>3971</v>
      </c>
      <c r="B120" s="218">
        <v>3951.2159999999999</v>
      </c>
      <c r="C120" s="218">
        <v>3838.8270000000002</v>
      </c>
      <c r="D120" s="218">
        <v>3847.0320000000002</v>
      </c>
      <c r="E120" s="218">
        <v>3849.692</v>
      </c>
      <c r="F120" s="218">
        <v>558.04899999999998</v>
      </c>
      <c r="G120" s="218">
        <v>573.98559999999998</v>
      </c>
      <c r="H120" s="218">
        <v>587.93140000000005</v>
      </c>
      <c r="I120" s="218">
        <v>594.697</v>
      </c>
      <c r="J120" s="246">
        <v>3473181563</v>
      </c>
      <c r="K120" s="246">
        <v>3516031084</v>
      </c>
      <c r="L120" s="218">
        <v>5025.3770000000004</v>
      </c>
      <c r="M120" s="187">
        <v>0</v>
      </c>
      <c r="N120" s="251">
        <v>307.6918</v>
      </c>
      <c r="O120" s="251">
        <v>335.11869999999999</v>
      </c>
      <c r="P120" s="251">
        <v>340.86219999999997</v>
      </c>
      <c r="Q120" s="251">
        <v>356.86450000000002</v>
      </c>
      <c r="R120" s="254">
        <v>1.1100000000000001</v>
      </c>
      <c r="S120" s="214">
        <v>1381066</v>
      </c>
      <c r="T120" s="214">
        <v>44193501</v>
      </c>
      <c r="U120" s="214">
        <v>0</v>
      </c>
      <c r="V120" s="187">
        <f t="shared" si="4"/>
        <v>44193501</v>
      </c>
      <c r="W120" s="187">
        <f t="shared" si="5"/>
        <v>45574567</v>
      </c>
    </row>
    <row r="121" spans="1:23">
      <c r="A121" s="216" t="s">
        <v>2161</v>
      </c>
      <c r="B121" s="218">
        <v>422.50400000000002</v>
      </c>
      <c r="C121" s="218">
        <v>404.94900000000001</v>
      </c>
      <c r="D121" s="218">
        <v>392.72</v>
      </c>
      <c r="E121" s="218">
        <v>380.82900000000001</v>
      </c>
      <c r="F121" s="218">
        <v>66.992099999999994</v>
      </c>
      <c r="G121" s="218">
        <v>67.414599999999993</v>
      </c>
      <c r="H121" s="218">
        <v>68.497600000000006</v>
      </c>
      <c r="I121" s="218">
        <v>64.663399999999996</v>
      </c>
      <c r="J121" s="246">
        <v>63732250</v>
      </c>
      <c r="K121" s="246">
        <v>70285145</v>
      </c>
      <c r="L121" s="218">
        <v>743.12599999999998</v>
      </c>
      <c r="M121" s="246">
        <v>28646</v>
      </c>
      <c r="N121" s="251">
        <v>48.130800000000001</v>
      </c>
      <c r="O121" s="251">
        <v>48.978099999999998</v>
      </c>
      <c r="P121" s="251">
        <v>48.680700000000002</v>
      </c>
      <c r="Q121" s="251">
        <v>45.871099999999998</v>
      </c>
      <c r="R121" s="254">
        <v>1.04</v>
      </c>
      <c r="S121" s="214">
        <v>62866</v>
      </c>
      <c r="T121" s="214">
        <v>694179</v>
      </c>
      <c r="U121" s="214">
        <v>0</v>
      </c>
      <c r="V121" s="187">
        <f t="shared" si="4"/>
        <v>694179</v>
      </c>
      <c r="W121" s="187">
        <f t="shared" si="5"/>
        <v>757045</v>
      </c>
    </row>
    <row r="122" spans="1:23">
      <c r="A122" s="216" t="s">
        <v>3086</v>
      </c>
      <c r="B122" s="218">
        <v>1449.818</v>
      </c>
      <c r="C122" s="218">
        <v>1430.0229999999999</v>
      </c>
      <c r="D122" s="218">
        <v>1432.673</v>
      </c>
      <c r="E122" s="218">
        <v>1422.875</v>
      </c>
      <c r="F122" s="218">
        <v>235.49180000000001</v>
      </c>
      <c r="G122" s="218">
        <v>233.34039999999999</v>
      </c>
      <c r="H122" s="218">
        <v>229.327</v>
      </c>
      <c r="I122" s="218">
        <v>220.7602</v>
      </c>
      <c r="J122" s="246">
        <v>134589204</v>
      </c>
      <c r="K122" s="246">
        <v>153524584</v>
      </c>
      <c r="L122" s="218">
        <v>2122.1060000000002</v>
      </c>
      <c r="M122" s="246">
        <v>69818</v>
      </c>
      <c r="N122" s="251">
        <v>152.374</v>
      </c>
      <c r="O122" s="251">
        <v>150.10300000000001</v>
      </c>
      <c r="P122" s="251">
        <v>153.53210000000001</v>
      </c>
      <c r="Q122" s="251">
        <v>144.2792</v>
      </c>
      <c r="R122" s="254">
        <v>1.05</v>
      </c>
      <c r="S122" s="214">
        <v>193227</v>
      </c>
      <c r="T122" s="214">
        <v>2031402</v>
      </c>
      <c r="U122" s="214">
        <v>0</v>
      </c>
      <c r="V122" s="187">
        <f t="shared" si="4"/>
        <v>2031402</v>
      </c>
      <c r="W122" s="187">
        <f t="shared" si="5"/>
        <v>2224629</v>
      </c>
    </row>
    <row r="123" spans="1:23">
      <c r="A123" s="216" t="s">
        <v>2605</v>
      </c>
      <c r="B123" s="218">
        <v>413.822</v>
      </c>
      <c r="C123" s="218">
        <v>378.83600000000001</v>
      </c>
      <c r="D123" s="218">
        <v>376.10700000000003</v>
      </c>
      <c r="E123" s="218">
        <v>365.68900000000002</v>
      </c>
      <c r="F123" s="218">
        <v>67.427800000000005</v>
      </c>
      <c r="G123" s="218">
        <v>68</v>
      </c>
      <c r="H123" s="218">
        <v>68.42</v>
      </c>
      <c r="I123" s="218">
        <v>66</v>
      </c>
      <c r="J123" s="246">
        <v>68554610</v>
      </c>
      <c r="K123" s="246">
        <v>74962410</v>
      </c>
      <c r="L123" s="218">
        <v>721.17100000000005</v>
      </c>
      <c r="M123" s="187">
        <v>0</v>
      </c>
      <c r="N123" s="251">
        <v>46.642400000000002</v>
      </c>
      <c r="O123" s="251">
        <v>46.692500000000003</v>
      </c>
      <c r="P123" s="251">
        <v>47.228700000000003</v>
      </c>
      <c r="Q123" s="251">
        <v>46.466200000000001</v>
      </c>
      <c r="R123" s="254">
        <v>1.04</v>
      </c>
      <c r="S123" s="214">
        <v>0</v>
      </c>
      <c r="T123" s="214">
        <v>840807</v>
      </c>
      <c r="U123" s="214">
        <v>0</v>
      </c>
      <c r="V123" s="187">
        <f t="shared" si="4"/>
        <v>840807</v>
      </c>
      <c r="W123" s="187">
        <f t="shared" si="5"/>
        <v>840807</v>
      </c>
    </row>
    <row r="124" spans="1:23">
      <c r="A124" s="216" t="s">
        <v>4181</v>
      </c>
      <c r="B124" s="218">
        <v>538.70100000000002</v>
      </c>
      <c r="C124" s="218">
        <v>524.16600000000005</v>
      </c>
      <c r="D124" s="218">
        <v>508.33600000000001</v>
      </c>
      <c r="E124" s="218">
        <v>498.49799999999999</v>
      </c>
      <c r="F124" s="218">
        <v>91.507900000000006</v>
      </c>
      <c r="G124" s="218">
        <v>90.909300000000002</v>
      </c>
      <c r="H124" s="218">
        <v>93.294300000000007</v>
      </c>
      <c r="I124" s="218">
        <v>92.06</v>
      </c>
      <c r="J124" s="246">
        <v>109739422</v>
      </c>
      <c r="K124" s="246">
        <v>115524918</v>
      </c>
      <c r="L124" s="218">
        <v>820.86</v>
      </c>
      <c r="M124" s="246">
        <v>232878</v>
      </c>
      <c r="N124" s="251">
        <v>61.504199999999997</v>
      </c>
      <c r="O124" s="251">
        <v>56.482900000000001</v>
      </c>
      <c r="P124" s="251">
        <v>57.811900000000001</v>
      </c>
      <c r="Q124" s="251">
        <v>56.918599999999998</v>
      </c>
      <c r="R124" s="254">
        <v>1.03</v>
      </c>
      <c r="S124" s="214">
        <v>300305</v>
      </c>
      <c r="T124" s="214">
        <v>1553697</v>
      </c>
      <c r="U124" s="214">
        <v>0</v>
      </c>
      <c r="V124" s="187">
        <f t="shared" si="4"/>
        <v>1553697</v>
      </c>
      <c r="W124" s="187">
        <f t="shared" si="5"/>
        <v>1854002</v>
      </c>
    </row>
    <row r="125" spans="1:23">
      <c r="A125" s="216" t="s">
        <v>959</v>
      </c>
      <c r="B125" s="218">
        <v>37015.22</v>
      </c>
      <c r="C125" s="218">
        <v>37686.855000000003</v>
      </c>
      <c r="D125" s="218">
        <v>39302.476999999999</v>
      </c>
      <c r="E125" s="218">
        <v>40778.703999999998</v>
      </c>
      <c r="F125" s="218">
        <v>6178.0055000000002</v>
      </c>
      <c r="G125" s="218">
        <v>6161.0591000000004</v>
      </c>
      <c r="H125" s="218">
        <v>6565.9484000000002</v>
      </c>
      <c r="I125" s="218">
        <v>6836.1436999999996</v>
      </c>
      <c r="J125" s="246">
        <v>2830580345</v>
      </c>
      <c r="K125" s="246">
        <v>3033624332</v>
      </c>
      <c r="L125" s="218">
        <v>59520.226999999999</v>
      </c>
      <c r="M125" s="246">
        <v>1456488</v>
      </c>
      <c r="N125" s="251">
        <v>3537.2501000000002</v>
      </c>
      <c r="O125" s="251">
        <v>3502.7492000000002</v>
      </c>
      <c r="P125" s="251">
        <v>3770.5369000000001</v>
      </c>
      <c r="Q125" s="251">
        <v>3858.6885000000002</v>
      </c>
      <c r="R125" s="254">
        <v>1.19</v>
      </c>
      <c r="S125" s="214">
        <v>1278727</v>
      </c>
      <c r="T125" s="214">
        <v>43103715</v>
      </c>
      <c r="U125" s="214">
        <v>0</v>
      </c>
      <c r="V125" s="187">
        <f t="shared" si="4"/>
        <v>43103715</v>
      </c>
      <c r="W125" s="187">
        <f t="shared" si="5"/>
        <v>44382442</v>
      </c>
    </row>
    <row r="126" spans="1:23">
      <c r="A126" s="216" t="s">
        <v>1861</v>
      </c>
      <c r="B126" s="218">
        <v>14309.477999999999</v>
      </c>
      <c r="C126" s="218">
        <v>14342.968999999999</v>
      </c>
      <c r="D126" s="218">
        <v>14493.456</v>
      </c>
      <c r="E126" s="218">
        <v>14839.553</v>
      </c>
      <c r="F126" s="218">
        <v>2508.5344</v>
      </c>
      <c r="G126" s="218">
        <v>2590.8773999999999</v>
      </c>
      <c r="H126" s="218">
        <v>2335.4032999999999</v>
      </c>
      <c r="I126" s="218">
        <v>2337.9331000000002</v>
      </c>
      <c r="J126" s="246">
        <v>1873988043</v>
      </c>
      <c r="K126" s="246">
        <v>1997856907</v>
      </c>
      <c r="L126" s="218">
        <v>20254.004000000001</v>
      </c>
      <c r="M126" s="246">
        <v>1447675</v>
      </c>
      <c r="N126" s="251">
        <v>1312.7555</v>
      </c>
      <c r="O126" s="251">
        <v>1268.0322000000001</v>
      </c>
      <c r="P126" s="251">
        <v>1319.6215</v>
      </c>
      <c r="Q126" s="251">
        <v>1336.4265</v>
      </c>
      <c r="R126" s="254">
        <v>1.17</v>
      </c>
      <c r="S126" s="214">
        <v>1928802</v>
      </c>
      <c r="T126" s="214">
        <v>28710052</v>
      </c>
      <c r="U126" s="214">
        <v>0</v>
      </c>
      <c r="V126" s="187">
        <f t="shared" si="4"/>
        <v>28710052</v>
      </c>
      <c r="W126" s="187">
        <f t="shared" si="5"/>
        <v>30638854</v>
      </c>
    </row>
    <row r="127" spans="1:23">
      <c r="A127" s="216" t="s">
        <v>6037</v>
      </c>
      <c r="B127" s="218">
        <v>2548.9749999999999</v>
      </c>
      <c r="C127" s="218">
        <v>2622.9160000000002</v>
      </c>
      <c r="D127" s="218">
        <v>2634.7809999999999</v>
      </c>
      <c r="E127" s="218">
        <v>2642.5920000000001</v>
      </c>
      <c r="F127" s="218">
        <v>394.8673</v>
      </c>
      <c r="G127" s="218">
        <v>411.76350000000002</v>
      </c>
      <c r="H127" s="218">
        <v>425.30560000000003</v>
      </c>
      <c r="I127" s="218">
        <v>426.45510000000002</v>
      </c>
      <c r="J127" s="246">
        <v>153630855</v>
      </c>
      <c r="K127" s="246">
        <v>175268542</v>
      </c>
      <c r="L127" s="218">
        <v>3831.6909999999998</v>
      </c>
      <c r="M127" s="246">
        <v>86833</v>
      </c>
      <c r="N127" s="251">
        <v>269.77879999999999</v>
      </c>
      <c r="O127" s="251">
        <v>283.92610000000002</v>
      </c>
      <c r="P127" s="251">
        <v>291.2448</v>
      </c>
      <c r="Q127" s="251">
        <v>296.351</v>
      </c>
      <c r="R127" s="254">
        <v>1.1399999999999999</v>
      </c>
      <c r="S127" s="214">
        <v>159685</v>
      </c>
      <c r="T127" s="214">
        <v>2228181</v>
      </c>
      <c r="U127" s="214">
        <v>153312</v>
      </c>
      <c r="V127" s="187">
        <f t="shared" si="4"/>
        <v>2381493</v>
      </c>
      <c r="W127" s="187">
        <f t="shared" si="5"/>
        <v>2541178</v>
      </c>
    </row>
    <row r="128" spans="1:23">
      <c r="A128" s="216" t="s">
        <v>2995</v>
      </c>
      <c r="B128" s="218">
        <v>6132.1729999999998</v>
      </c>
      <c r="C128" s="218">
        <v>6255.1220000000003</v>
      </c>
      <c r="D128" s="218">
        <v>6532.9690000000001</v>
      </c>
      <c r="E128" s="218">
        <v>6762.3010000000004</v>
      </c>
      <c r="F128" s="218">
        <v>1017.8519</v>
      </c>
      <c r="G128" s="218">
        <v>1118.5669</v>
      </c>
      <c r="H128" s="218">
        <v>1153.1668</v>
      </c>
      <c r="I128" s="218">
        <v>1089.2665</v>
      </c>
      <c r="J128" s="246">
        <v>474953008</v>
      </c>
      <c r="K128" s="246">
        <v>513800085</v>
      </c>
      <c r="L128" s="218">
        <v>9592.7430000000004</v>
      </c>
      <c r="M128" s="246">
        <v>241252</v>
      </c>
      <c r="N128" s="251">
        <v>576.38199999999995</v>
      </c>
      <c r="O128" s="251">
        <v>623.04489999999998</v>
      </c>
      <c r="P128" s="251">
        <v>630.75869999999998</v>
      </c>
      <c r="Q128" s="251">
        <v>591.60569999999996</v>
      </c>
      <c r="R128" s="254">
        <v>1.17</v>
      </c>
      <c r="S128" s="214">
        <v>741844</v>
      </c>
      <c r="T128" s="214">
        <v>7503307</v>
      </c>
      <c r="U128" s="214">
        <v>0</v>
      </c>
      <c r="V128" s="187">
        <f t="shared" si="4"/>
        <v>7503307</v>
      </c>
      <c r="W128" s="187">
        <f t="shared" si="5"/>
        <v>8245151</v>
      </c>
    </row>
    <row r="129" spans="1:23">
      <c r="A129" s="216" t="s">
        <v>7643</v>
      </c>
      <c r="B129" s="218">
        <v>2155.8290000000002</v>
      </c>
      <c r="C129" s="218">
        <v>2211.0100000000002</v>
      </c>
      <c r="D129" s="218">
        <v>2217.0219999999999</v>
      </c>
      <c r="E129" s="218">
        <v>2249.9029999999998</v>
      </c>
      <c r="F129" s="218">
        <v>311.22859999999997</v>
      </c>
      <c r="G129" s="218">
        <v>316.62880000000001</v>
      </c>
      <c r="H129" s="218">
        <v>294.34030000000001</v>
      </c>
      <c r="I129" s="218">
        <v>303.90010000000001</v>
      </c>
      <c r="J129" s="246">
        <v>1266242321</v>
      </c>
      <c r="K129" s="246">
        <v>1287968535</v>
      </c>
      <c r="L129" s="218">
        <v>3106.2069999999999</v>
      </c>
      <c r="M129" s="246">
        <v>1538947</v>
      </c>
      <c r="N129" s="251">
        <v>201.89349999999999</v>
      </c>
      <c r="O129" s="251">
        <v>191.31270000000001</v>
      </c>
      <c r="P129" s="251">
        <v>191.13399999999999</v>
      </c>
      <c r="Q129" s="251">
        <v>200.29580000000001</v>
      </c>
      <c r="R129" s="254">
        <v>1.1399999999999999</v>
      </c>
      <c r="S129" s="214">
        <v>1339962</v>
      </c>
      <c r="T129" s="214">
        <v>17757736</v>
      </c>
      <c r="U129" s="214">
        <v>0</v>
      </c>
      <c r="V129" s="187">
        <f t="shared" si="4"/>
        <v>17757736</v>
      </c>
      <c r="W129" s="187">
        <f t="shared" si="5"/>
        <v>19097698</v>
      </c>
    </row>
    <row r="130" spans="1:23">
      <c r="A130" s="216" t="s">
        <v>3087</v>
      </c>
      <c r="B130" s="218">
        <v>1929.087</v>
      </c>
      <c r="C130" s="218">
        <v>1894.518</v>
      </c>
      <c r="D130" s="218">
        <v>1948.8109999999999</v>
      </c>
      <c r="E130" s="218">
        <v>1952.6379999999999</v>
      </c>
      <c r="F130" s="218">
        <v>346.22620000000001</v>
      </c>
      <c r="G130" s="218">
        <v>358.69110000000001</v>
      </c>
      <c r="H130" s="218">
        <v>357.8777</v>
      </c>
      <c r="I130" s="218">
        <v>341.07510000000002</v>
      </c>
      <c r="J130" s="246">
        <v>101675620</v>
      </c>
      <c r="K130" s="246">
        <v>115208044</v>
      </c>
      <c r="L130" s="218">
        <v>3046.9180000000001</v>
      </c>
      <c r="M130" s="246">
        <v>88667</v>
      </c>
      <c r="N130" s="251">
        <v>190.52099999999999</v>
      </c>
      <c r="O130" s="251">
        <v>199.14230000000001</v>
      </c>
      <c r="P130" s="251">
        <v>186.7397</v>
      </c>
      <c r="Q130" s="251">
        <v>175.21039999999999</v>
      </c>
      <c r="R130" s="254">
        <v>1.1399999999999999</v>
      </c>
      <c r="S130" s="214">
        <v>249656</v>
      </c>
      <c r="T130" s="214">
        <v>1581833</v>
      </c>
      <c r="U130" s="214">
        <v>0</v>
      </c>
      <c r="V130" s="187">
        <f t="shared" si="4"/>
        <v>1581833</v>
      </c>
      <c r="W130" s="187">
        <f t="shared" si="5"/>
        <v>1831489</v>
      </c>
    </row>
    <row r="131" spans="1:23">
      <c r="A131" s="216" t="s">
        <v>2387</v>
      </c>
      <c r="B131" s="218">
        <v>8108.0929999999998</v>
      </c>
      <c r="C131" s="218">
        <v>8148.3770000000004</v>
      </c>
      <c r="D131" s="218">
        <v>8374.6139999999996</v>
      </c>
      <c r="E131" s="218">
        <v>8792.1569999999992</v>
      </c>
      <c r="F131" s="218">
        <v>1374.5567000000001</v>
      </c>
      <c r="G131" s="218">
        <v>1374.6071999999999</v>
      </c>
      <c r="H131" s="218">
        <v>1358.4309000000001</v>
      </c>
      <c r="I131" s="218">
        <v>1323.0446999999999</v>
      </c>
      <c r="J131" s="246">
        <v>443917951</v>
      </c>
      <c r="K131" s="246">
        <v>501259753</v>
      </c>
      <c r="L131" s="218">
        <v>12485.637000000001</v>
      </c>
      <c r="M131" s="246">
        <v>188506</v>
      </c>
      <c r="N131" s="251">
        <v>775.13840000000005</v>
      </c>
      <c r="O131" s="251">
        <v>766.11710000000005</v>
      </c>
      <c r="P131" s="251">
        <v>760.87599999999998</v>
      </c>
      <c r="Q131" s="251">
        <v>732.06799999999998</v>
      </c>
      <c r="R131" s="254">
        <v>1.18</v>
      </c>
      <c r="S131" s="214">
        <v>766716</v>
      </c>
      <c r="T131" s="214">
        <v>6289256</v>
      </c>
      <c r="U131" s="214">
        <v>0</v>
      </c>
      <c r="V131" s="187">
        <f t="shared" si="4"/>
        <v>6289256</v>
      </c>
      <c r="W131" s="187">
        <f t="shared" si="5"/>
        <v>7055972</v>
      </c>
    </row>
    <row r="132" spans="1:23">
      <c r="A132" s="216" t="s">
        <v>3088</v>
      </c>
      <c r="B132" s="218">
        <v>471.81400000000002</v>
      </c>
      <c r="C132" s="218">
        <v>464.65100000000001</v>
      </c>
      <c r="D132" s="218">
        <v>488.25400000000002</v>
      </c>
      <c r="E132" s="218">
        <v>530.58799999999997</v>
      </c>
      <c r="F132" s="218">
        <v>103.139</v>
      </c>
      <c r="G132" s="218">
        <v>95</v>
      </c>
      <c r="H132" s="218">
        <v>101.2727</v>
      </c>
      <c r="I132" s="218">
        <v>93</v>
      </c>
      <c r="J132" s="246">
        <v>16805922</v>
      </c>
      <c r="K132" s="246">
        <v>19691975</v>
      </c>
      <c r="L132" s="218">
        <v>927.96</v>
      </c>
      <c r="M132" s="246">
        <v>23615</v>
      </c>
      <c r="N132" s="251">
        <v>61.846800000000002</v>
      </c>
      <c r="O132" s="251">
        <v>58.836199999999998</v>
      </c>
      <c r="P132" s="251">
        <v>58.286000000000001</v>
      </c>
      <c r="Q132" s="251">
        <v>61.785899999999998</v>
      </c>
      <c r="R132" s="254">
        <v>1.1499999999999999</v>
      </c>
      <c r="S132" s="214">
        <v>38081</v>
      </c>
      <c r="T132" s="214">
        <v>345604</v>
      </c>
      <c r="U132" s="214">
        <v>0</v>
      </c>
      <c r="V132" s="187">
        <f t="shared" si="4"/>
        <v>345604</v>
      </c>
      <c r="W132" s="187">
        <f t="shared" si="5"/>
        <v>383685</v>
      </c>
    </row>
    <row r="133" spans="1:23">
      <c r="A133" s="216" t="s">
        <v>2393</v>
      </c>
      <c r="B133" s="218">
        <v>1099.797</v>
      </c>
      <c r="C133" s="218">
        <v>1085.75</v>
      </c>
      <c r="D133" s="218">
        <v>1085.7</v>
      </c>
      <c r="E133" s="218">
        <v>1078.4369999999999</v>
      </c>
      <c r="F133" s="218">
        <v>209.21530000000001</v>
      </c>
      <c r="G133" s="218">
        <v>208.45490000000001</v>
      </c>
      <c r="H133" s="218">
        <v>198.46019999999999</v>
      </c>
      <c r="I133" s="218">
        <v>179.37690000000001</v>
      </c>
      <c r="J133" s="246">
        <v>38647501</v>
      </c>
      <c r="K133" s="246">
        <v>45455264</v>
      </c>
      <c r="L133" s="218">
        <v>1748.9839999999999</v>
      </c>
      <c r="M133" s="187">
        <v>0</v>
      </c>
      <c r="N133" s="251">
        <v>128.32429999999999</v>
      </c>
      <c r="O133" s="251">
        <v>123.1191</v>
      </c>
      <c r="P133" s="251">
        <v>110.7389</v>
      </c>
      <c r="Q133" s="251">
        <v>98.124899999999997</v>
      </c>
      <c r="R133" s="254">
        <v>1.1499999999999999</v>
      </c>
      <c r="S133" s="214">
        <v>67109</v>
      </c>
      <c r="T133" s="214">
        <v>614148</v>
      </c>
      <c r="U133" s="214">
        <v>0</v>
      </c>
      <c r="V133" s="187">
        <f t="shared" ref="V133:V196" si="6">T133+U133</f>
        <v>614148</v>
      </c>
      <c r="W133" s="187">
        <f t="shared" ref="W133:W196" si="7">V133+S133</f>
        <v>681257</v>
      </c>
    </row>
    <row r="134" spans="1:23">
      <c r="A134" s="216" t="s">
        <v>7645</v>
      </c>
      <c r="B134" s="218">
        <v>2082.2370000000001</v>
      </c>
      <c r="C134" s="218">
        <v>2136.018</v>
      </c>
      <c r="D134" s="218">
        <v>2071.5100000000002</v>
      </c>
      <c r="E134" s="218">
        <v>1998.604</v>
      </c>
      <c r="F134" s="218">
        <v>422.20600000000002</v>
      </c>
      <c r="G134" s="218">
        <v>421.37909999999999</v>
      </c>
      <c r="H134" s="218">
        <v>418.67039999999997</v>
      </c>
      <c r="I134" s="218">
        <v>400.22829999999999</v>
      </c>
      <c r="J134" s="57">
        <v>0</v>
      </c>
      <c r="K134" s="57">
        <v>0</v>
      </c>
      <c r="L134" s="218">
        <v>0</v>
      </c>
      <c r="M134" s="246">
        <v>0</v>
      </c>
      <c r="N134" s="251">
        <v>242.524</v>
      </c>
      <c r="O134" s="251">
        <v>227.8895</v>
      </c>
      <c r="P134" s="251">
        <v>231.2064</v>
      </c>
      <c r="Q134" s="251">
        <v>218.52080000000001</v>
      </c>
      <c r="R134" s="254">
        <v>1.1200000000000001</v>
      </c>
      <c r="S134" s="214">
        <v>0</v>
      </c>
      <c r="T134" s="214">
        <v>9682963</v>
      </c>
      <c r="U134" s="214">
        <v>0</v>
      </c>
      <c r="V134" s="187">
        <f t="shared" si="6"/>
        <v>9682963</v>
      </c>
      <c r="W134" s="187">
        <f t="shared" si="7"/>
        <v>9682963</v>
      </c>
    </row>
    <row r="135" spans="1:23">
      <c r="A135" s="216" t="s">
        <v>7647</v>
      </c>
      <c r="B135" s="218">
        <v>2064.8530000000001</v>
      </c>
      <c r="C135" s="218">
        <v>2094.8409999999999</v>
      </c>
      <c r="D135" s="218">
        <v>2066.7469999999998</v>
      </c>
      <c r="E135" s="218">
        <v>2145.0149999999999</v>
      </c>
      <c r="F135" s="218">
        <v>310.8331</v>
      </c>
      <c r="G135" s="218">
        <v>317.4085</v>
      </c>
      <c r="H135" s="218">
        <v>320.59589999999997</v>
      </c>
      <c r="I135" s="218">
        <v>349.97629999999998</v>
      </c>
      <c r="J135" s="246">
        <v>376920401</v>
      </c>
      <c r="K135" s="246">
        <v>402932971</v>
      </c>
      <c r="L135" s="218">
        <v>3128.1260000000002</v>
      </c>
      <c r="M135" s="246">
        <v>281685</v>
      </c>
      <c r="N135" s="251">
        <v>219.78819999999999</v>
      </c>
      <c r="O135" s="251">
        <v>219.7593</v>
      </c>
      <c r="P135" s="251">
        <v>206.62209999999999</v>
      </c>
      <c r="Q135" s="251">
        <v>219.57570000000001</v>
      </c>
      <c r="R135" s="254">
        <v>1.06</v>
      </c>
      <c r="S135" s="214">
        <v>320363</v>
      </c>
      <c r="T135" s="214">
        <v>5564231</v>
      </c>
      <c r="U135" s="214">
        <v>0</v>
      </c>
      <c r="V135" s="187">
        <f t="shared" si="6"/>
        <v>5564231</v>
      </c>
      <c r="W135" s="187">
        <f t="shared" si="7"/>
        <v>5884594</v>
      </c>
    </row>
    <row r="136" spans="1:23">
      <c r="A136" s="216" t="s">
        <v>7649</v>
      </c>
      <c r="B136" s="218">
        <v>171.38900000000001</v>
      </c>
      <c r="C136" s="218">
        <v>161.79599999999999</v>
      </c>
      <c r="D136" s="218">
        <v>156.91</v>
      </c>
      <c r="E136" s="218">
        <v>143.45599999999999</v>
      </c>
      <c r="F136" s="218">
        <v>29.568100000000001</v>
      </c>
      <c r="G136" s="218">
        <v>29.9499</v>
      </c>
      <c r="H136" s="218">
        <v>30.194900000000001</v>
      </c>
      <c r="I136" s="218">
        <v>25.636800000000001</v>
      </c>
      <c r="J136" s="246">
        <v>54404993</v>
      </c>
      <c r="K136" s="246">
        <v>56693083</v>
      </c>
      <c r="L136" s="218">
        <v>237.08699999999999</v>
      </c>
      <c r="M136" s="246">
        <v>61941</v>
      </c>
      <c r="N136" s="251">
        <v>20.415500000000002</v>
      </c>
      <c r="O136" s="251">
        <v>20.4986</v>
      </c>
      <c r="P136" s="251">
        <v>22.283100000000001</v>
      </c>
      <c r="Q136" s="251">
        <v>18.155899999999999</v>
      </c>
      <c r="R136" s="254">
        <v>1.06</v>
      </c>
      <c r="S136" s="214">
        <v>53430</v>
      </c>
      <c r="T136" s="214">
        <v>800366</v>
      </c>
      <c r="U136" s="214">
        <v>0</v>
      </c>
      <c r="V136" s="187">
        <f t="shared" si="6"/>
        <v>800366</v>
      </c>
      <c r="W136" s="187">
        <f t="shared" si="7"/>
        <v>853796</v>
      </c>
    </row>
    <row r="137" spans="1:23">
      <c r="A137" s="216" t="s">
        <v>1786</v>
      </c>
      <c r="B137" s="218">
        <v>701.90700000000004</v>
      </c>
      <c r="C137" s="218">
        <v>671.04200000000003</v>
      </c>
      <c r="D137" s="218">
        <v>673.16200000000003</v>
      </c>
      <c r="E137" s="218">
        <v>665.96199999999999</v>
      </c>
      <c r="F137" s="218">
        <v>113.32389999999999</v>
      </c>
      <c r="G137" s="218">
        <v>112.5325</v>
      </c>
      <c r="H137" s="218">
        <v>116.00449999999999</v>
      </c>
      <c r="I137" s="218">
        <v>117.91970000000001</v>
      </c>
      <c r="J137" s="246">
        <v>282058152</v>
      </c>
      <c r="K137" s="246">
        <v>290774102</v>
      </c>
      <c r="L137" s="218">
        <v>1187.394</v>
      </c>
      <c r="M137" s="187">
        <v>0</v>
      </c>
      <c r="N137" s="251">
        <v>77.059299999999993</v>
      </c>
      <c r="O137" s="251">
        <v>74.500600000000006</v>
      </c>
      <c r="P137" s="251">
        <v>77.421300000000002</v>
      </c>
      <c r="Q137" s="251">
        <v>81.190899999999999</v>
      </c>
      <c r="R137" s="254">
        <v>1.07</v>
      </c>
      <c r="S137" s="214">
        <v>0</v>
      </c>
      <c r="T137" s="214">
        <v>4230286</v>
      </c>
      <c r="U137" s="214">
        <v>0</v>
      </c>
      <c r="V137" s="187">
        <f t="shared" si="6"/>
        <v>4230286</v>
      </c>
      <c r="W137" s="187">
        <f t="shared" si="7"/>
        <v>4230286</v>
      </c>
    </row>
    <row r="138" spans="1:23">
      <c r="A138" s="216" t="s">
        <v>1788</v>
      </c>
      <c r="B138" s="218">
        <v>415.26299999999998</v>
      </c>
      <c r="C138" s="218">
        <v>388.70499999999998</v>
      </c>
      <c r="D138" s="218">
        <v>386.7</v>
      </c>
      <c r="E138" s="218">
        <v>375.988</v>
      </c>
      <c r="F138" s="218">
        <v>87.15</v>
      </c>
      <c r="G138" s="218">
        <v>77.573599999999999</v>
      </c>
      <c r="H138" s="218">
        <v>69.330200000000005</v>
      </c>
      <c r="I138" s="218">
        <v>69.269800000000004</v>
      </c>
      <c r="J138" s="246">
        <v>201062326</v>
      </c>
      <c r="K138" s="246">
        <v>206111916</v>
      </c>
      <c r="L138" s="218">
        <v>625.495</v>
      </c>
      <c r="M138" s="187">
        <v>0</v>
      </c>
      <c r="N138" s="251">
        <v>54.880600000000001</v>
      </c>
      <c r="O138" s="251">
        <v>49.211199999999998</v>
      </c>
      <c r="P138" s="251">
        <v>43.470799999999997</v>
      </c>
      <c r="Q138" s="251">
        <v>44.494100000000003</v>
      </c>
      <c r="R138" s="254">
        <v>1.06</v>
      </c>
      <c r="S138" s="214">
        <v>0</v>
      </c>
      <c r="T138" s="214">
        <v>4192374</v>
      </c>
      <c r="U138" s="214">
        <v>0</v>
      </c>
      <c r="V138" s="187">
        <f t="shared" si="6"/>
        <v>4192374</v>
      </c>
      <c r="W138" s="187">
        <f t="shared" si="7"/>
        <v>4192374</v>
      </c>
    </row>
    <row r="139" spans="1:23">
      <c r="A139" s="216" t="s">
        <v>1790</v>
      </c>
      <c r="B139" s="218">
        <v>1825.0450000000001</v>
      </c>
      <c r="C139" s="218">
        <v>1755.434</v>
      </c>
      <c r="D139" s="218">
        <v>1793.663</v>
      </c>
      <c r="E139" s="218">
        <v>1808.4749999999999</v>
      </c>
      <c r="F139" s="218">
        <v>296.5016</v>
      </c>
      <c r="G139" s="218">
        <v>293.90769999999998</v>
      </c>
      <c r="H139" s="218">
        <v>302.471</v>
      </c>
      <c r="I139" s="218">
        <v>302.44580000000002</v>
      </c>
      <c r="J139" s="246">
        <v>294573128</v>
      </c>
      <c r="K139" s="246">
        <v>322127998</v>
      </c>
      <c r="L139" s="218">
        <v>2632.2759999999998</v>
      </c>
      <c r="M139" s="246">
        <v>142395</v>
      </c>
      <c r="N139" s="251">
        <v>190.91159999999999</v>
      </c>
      <c r="O139" s="251">
        <v>193.6019</v>
      </c>
      <c r="P139" s="251">
        <v>192.04079999999999</v>
      </c>
      <c r="Q139" s="251">
        <v>195.3837</v>
      </c>
      <c r="R139" s="254">
        <v>1.05</v>
      </c>
      <c r="S139" s="214">
        <v>154653</v>
      </c>
      <c r="T139" s="214">
        <v>4150631</v>
      </c>
      <c r="U139" s="214">
        <v>0</v>
      </c>
      <c r="V139" s="187">
        <f t="shared" si="6"/>
        <v>4150631</v>
      </c>
      <c r="W139" s="187">
        <f t="shared" si="7"/>
        <v>4305284</v>
      </c>
    </row>
    <row r="140" spans="1:23">
      <c r="A140" s="216" t="s">
        <v>1792</v>
      </c>
      <c r="B140" s="218">
        <v>179.67099999999999</v>
      </c>
      <c r="C140" s="218">
        <v>169.577</v>
      </c>
      <c r="D140" s="218">
        <v>168.827</v>
      </c>
      <c r="E140" s="218">
        <v>172.483</v>
      </c>
      <c r="F140" s="218">
        <v>34.902900000000002</v>
      </c>
      <c r="G140" s="218">
        <v>37.810200000000002</v>
      </c>
      <c r="H140" s="218">
        <v>39.629100000000001</v>
      </c>
      <c r="I140" s="218">
        <v>33.629100000000001</v>
      </c>
      <c r="J140" s="246">
        <v>31009400</v>
      </c>
      <c r="K140" s="246">
        <v>34188060</v>
      </c>
      <c r="L140" s="218">
        <v>322.82799999999997</v>
      </c>
      <c r="M140" s="187">
        <v>0</v>
      </c>
      <c r="N140" s="251">
        <v>24.646699999999999</v>
      </c>
      <c r="O140" s="251">
        <v>27.001200000000001</v>
      </c>
      <c r="P140" s="251">
        <v>27.5288</v>
      </c>
      <c r="Q140" s="251">
        <v>22.5291</v>
      </c>
      <c r="R140" s="254">
        <v>1.04</v>
      </c>
      <c r="S140" s="214">
        <v>2030</v>
      </c>
      <c r="T140" s="214">
        <v>441951</v>
      </c>
      <c r="U140" s="214">
        <v>0</v>
      </c>
      <c r="V140" s="187">
        <f t="shared" si="6"/>
        <v>441951</v>
      </c>
      <c r="W140" s="187">
        <f t="shared" si="7"/>
        <v>443981</v>
      </c>
    </row>
    <row r="141" spans="1:23">
      <c r="A141" s="216" t="s">
        <v>2982</v>
      </c>
      <c r="B141" s="218">
        <v>913.98099999999999</v>
      </c>
      <c r="C141" s="218">
        <v>898.45500000000004</v>
      </c>
      <c r="D141" s="218">
        <v>900.39599999999996</v>
      </c>
      <c r="E141" s="218">
        <v>897.76800000000003</v>
      </c>
      <c r="F141" s="218">
        <v>153.47989999999999</v>
      </c>
      <c r="G141" s="218">
        <v>121.96259999999999</v>
      </c>
      <c r="H141" s="218">
        <v>117.67910000000001</v>
      </c>
      <c r="I141" s="218">
        <v>110.5</v>
      </c>
      <c r="J141" s="246">
        <v>158738722</v>
      </c>
      <c r="K141" s="246">
        <v>170028607</v>
      </c>
      <c r="L141" s="218">
        <v>1424.4179999999999</v>
      </c>
      <c r="M141" s="246">
        <v>149000</v>
      </c>
      <c r="N141" s="251">
        <v>100.9974</v>
      </c>
      <c r="O141" s="251">
        <v>105.9984</v>
      </c>
      <c r="P141" s="251">
        <v>101.90560000000001</v>
      </c>
      <c r="Q141" s="251">
        <v>98.727599999999995</v>
      </c>
      <c r="R141" s="254">
        <v>1.04</v>
      </c>
      <c r="S141" s="214">
        <v>155609</v>
      </c>
      <c r="T141" s="214">
        <v>2165914</v>
      </c>
      <c r="U141" s="214">
        <v>0</v>
      </c>
      <c r="V141" s="187">
        <f t="shared" si="6"/>
        <v>2165914</v>
      </c>
      <c r="W141" s="187">
        <f t="shared" si="7"/>
        <v>2321523</v>
      </c>
    </row>
    <row r="142" spans="1:23">
      <c r="A142" s="216" t="s">
        <v>2984</v>
      </c>
      <c r="B142" s="218">
        <v>977.55899999999997</v>
      </c>
      <c r="C142" s="218">
        <v>940.92100000000005</v>
      </c>
      <c r="D142" s="218">
        <v>912.505</v>
      </c>
      <c r="E142" s="218">
        <v>854.97799999999995</v>
      </c>
      <c r="F142" s="218">
        <v>163.66</v>
      </c>
      <c r="G142" s="218">
        <v>159.85239999999999</v>
      </c>
      <c r="H142" s="218">
        <v>158.93889999999999</v>
      </c>
      <c r="I142" s="218">
        <v>148.59889999999999</v>
      </c>
      <c r="J142" s="246">
        <v>133887296</v>
      </c>
      <c r="K142" s="246">
        <v>149908966</v>
      </c>
      <c r="L142" s="218">
        <v>1417.876</v>
      </c>
      <c r="M142" s="187">
        <v>0</v>
      </c>
      <c r="N142" s="251">
        <v>125.1258</v>
      </c>
      <c r="O142" s="251">
        <v>121.8318</v>
      </c>
      <c r="P142" s="251">
        <v>121.3347</v>
      </c>
      <c r="Q142" s="251">
        <v>110.8528</v>
      </c>
      <c r="R142" s="254">
        <v>1.05</v>
      </c>
      <c r="S142" s="214">
        <v>0</v>
      </c>
      <c r="T142" s="214">
        <v>1806048</v>
      </c>
      <c r="U142" s="214">
        <v>0</v>
      </c>
      <c r="V142" s="187">
        <f t="shared" si="6"/>
        <v>1806048</v>
      </c>
      <c r="W142" s="187">
        <f t="shared" si="7"/>
        <v>1806048</v>
      </c>
    </row>
    <row r="143" spans="1:23">
      <c r="A143" s="216" t="s">
        <v>965</v>
      </c>
      <c r="B143" s="218">
        <v>428.46499999999997</v>
      </c>
      <c r="C143" s="218">
        <v>482.52300000000002</v>
      </c>
      <c r="D143" s="218">
        <v>493.71</v>
      </c>
      <c r="E143" s="218">
        <v>480.03399999999999</v>
      </c>
      <c r="F143" s="218">
        <v>55.270099999999999</v>
      </c>
      <c r="G143" s="218">
        <v>61.189799999999998</v>
      </c>
      <c r="H143" s="218">
        <v>67</v>
      </c>
      <c r="I143" s="218">
        <v>67.5</v>
      </c>
      <c r="J143" s="246">
        <v>17711105</v>
      </c>
      <c r="K143" s="246">
        <v>19542766</v>
      </c>
      <c r="L143" s="218">
        <v>792.88900000000001</v>
      </c>
      <c r="M143" s="187">
        <v>0</v>
      </c>
      <c r="N143" s="251">
        <v>42.357100000000003</v>
      </c>
      <c r="O143" s="251">
        <v>44.634700000000002</v>
      </c>
      <c r="P143" s="251">
        <v>49.120199999999997</v>
      </c>
      <c r="Q143" s="251">
        <v>49.499499999999998</v>
      </c>
      <c r="R143" s="254">
        <v>1.04</v>
      </c>
      <c r="S143" s="214">
        <v>0</v>
      </c>
      <c r="T143" s="214">
        <v>215857</v>
      </c>
      <c r="U143" s="214">
        <v>8561</v>
      </c>
      <c r="V143" s="187">
        <f t="shared" si="6"/>
        <v>224418</v>
      </c>
      <c r="W143" s="187">
        <f t="shared" si="7"/>
        <v>224418</v>
      </c>
    </row>
    <row r="144" spans="1:23">
      <c r="A144" s="216" t="s">
        <v>6704</v>
      </c>
      <c r="B144" s="218">
        <v>1172.1410000000001</v>
      </c>
      <c r="C144" s="218">
        <v>1134.0129999999999</v>
      </c>
      <c r="D144" s="218">
        <v>1124.98</v>
      </c>
      <c r="E144" s="218">
        <v>1105.4670000000001</v>
      </c>
      <c r="F144" s="218">
        <v>230.93549999999999</v>
      </c>
      <c r="G144" s="218">
        <v>222.1293</v>
      </c>
      <c r="H144" s="218">
        <v>225.77780000000001</v>
      </c>
      <c r="I144" s="218">
        <v>226.06</v>
      </c>
      <c r="J144" s="246">
        <v>301608308</v>
      </c>
      <c r="K144" s="246">
        <v>314873328</v>
      </c>
      <c r="L144" s="218">
        <v>1751.1959999999999</v>
      </c>
      <c r="M144" s="246">
        <v>243570</v>
      </c>
      <c r="N144" s="251">
        <v>150.7525</v>
      </c>
      <c r="O144" s="251">
        <v>141.31450000000001</v>
      </c>
      <c r="P144" s="251">
        <v>146.11439999999999</v>
      </c>
      <c r="Q144" s="251">
        <v>145.3965</v>
      </c>
      <c r="R144" s="254">
        <v>1.05</v>
      </c>
      <c r="S144" s="214">
        <v>273067</v>
      </c>
      <c r="T144" s="214">
        <v>3931597</v>
      </c>
      <c r="U144" s="214">
        <v>0</v>
      </c>
      <c r="V144" s="187">
        <f t="shared" si="6"/>
        <v>3931597</v>
      </c>
      <c r="W144" s="187">
        <f t="shared" si="7"/>
        <v>4204664</v>
      </c>
    </row>
    <row r="145" spans="1:23">
      <c r="A145" s="216" t="s">
        <v>6706</v>
      </c>
      <c r="B145" s="218">
        <v>43.957999999999998</v>
      </c>
      <c r="C145" s="218">
        <v>52.316000000000003</v>
      </c>
      <c r="D145" s="218">
        <v>50.735999999999997</v>
      </c>
      <c r="E145" s="218">
        <v>43.906999999999996</v>
      </c>
      <c r="F145" s="218">
        <v>14.193899999999999</v>
      </c>
      <c r="G145" s="218">
        <v>15.3291</v>
      </c>
      <c r="H145" s="218">
        <v>16.373799999999999</v>
      </c>
      <c r="I145" s="218">
        <v>16.411200000000001</v>
      </c>
      <c r="J145" s="246">
        <v>11293647</v>
      </c>
      <c r="K145" s="246">
        <v>13215127</v>
      </c>
      <c r="L145" s="218">
        <v>123.31699999999999</v>
      </c>
      <c r="M145" s="187">
        <v>0</v>
      </c>
      <c r="N145" s="251">
        <v>9.8987999999999996</v>
      </c>
      <c r="O145" s="251">
        <v>9.3939000000000004</v>
      </c>
      <c r="P145" s="251">
        <v>10.388500000000001</v>
      </c>
      <c r="Q145" s="251">
        <v>10.426600000000001</v>
      </c>
      <c r="R145" s="254">
        <v>1.0900000000000001</v>
      </c>
      <c r="S145" s="214">
        <v>0</v>
      </c>
      <c r="T145" s="214">
        <v>152167</v>
      </c>
      <c r="U145" s="214">
        <v>0</v>
      </c>
      <c r="V145" s="187">
        <f t="shared" si="6"/>
        <v>152167</v>
      </c>
      <c r="W145" s="187">
        <f t="shared" si="7"/>
        <v>152167</v>
      </c>
    </row>
    <row r="146" spans="1:23">
      <c r="A146" s="216" t="s">
        <v>690</v>
      </c>
      <c r="B146" s="218">
        <v>217.73500000000001</v>
      </c>
      <c r="C146" s="218">
        <v>219.74600000000001</v>
      </c>
      <c r="D146" s="218">
        <v>234.27</v>
      </c>
      <c r="E146" s="218">
        <v>245.32</v>
      </c>
      <c r="F146" s="218">
        <v>39.964100000000002</v>
      </c>
      <c r="G146" s="218">
        <v>40.3904</v>
      </c>
      <c r="H146" s="218">
        <v>41.835700000000003</v>
      </c>
      <c r="I146" s="218">
        <v>41.014899999999997</v>
      </c>
      <c r="J146" s="246">
        <v>21733008</v>
      </c>
      <c r="K146" s="246">
        <v>24788098</v>
      </c>
      <c r="L146" s="218">
        <v>456.06700000000001</v>
      </c>
      <c r="M146" s="187">
        <v>0</v>
      </c>
      <c r="N146" s="251">
        <v>26.107199999999999</v>
      </c>
      <c r="O146" s="251">
        <v>26.6995</v>
      </c>
      <c r="P146" s="251">
        <v>26.824000000000002</v>
      </c>
      <c r="Q146" s="251">
        <v>26.106100000000001</v>
      </c>
      <c r="R146" s="254">
        <v>1.04</v>
      </c>
      <c r="S146" s="214">
        <v>0</v>
      </c>
      <c r="T146" s="214">
        <v>302466</v>
      </c>
      <c r="U146" s="214">
        <v>0</v>
      </c>
      <c r="V146" s="187">
        <f t="shared" si="6"/>
        <v>302466</v>
      </c>
      <c r="W146" s="187">
        <f t="shared" si="7"/>
        <v>302466</v>
      </c>
    </row>
    <row r="147" spans="1:23">
      <c r="A147" s="216" t="s">
        <v>692</v>
      </c>
      <c r="B147" s="218">
        <v>1298.0039999999999</v>
      </c>
      <c r="C147" s="218">
        <v>1230.683</v>
      </c>
      <c r="D147" s="218">
        <v>1193.5160000000001</v>
      </c>
      <c r="E147" s="218">
        <v>1148.373</v>
      </c>
      <c r="F147" s="218">
        <v>225.62090000000001</v>
      </c>
      <c r="G147" s="218">
        <v>223.21440000000001</v>
      </c>
      <c r="H147" s="218">
        <v>220.06659999999999</v>
      </c>
      <c r="I147" s="218">
        <v>208.54349999999999</v>
      </c>
      <c r="J147" s="246">
        <v>199117502</v>
      </c>
      <c r="K147" s="246">
        <v>209235382</v>
      </c>
      <c r="L147" s="218">
        <v>1865.75</v>
      </c>
      <c r="M147" s="187">
        <v>0</v>
      </c>
      <c r="N147" s="251">
        <v>155.7912</v>
      </c>
      <c r="O147" s="251">
        <v>153.4674</v>
      </c>
      <c r="P147" s="251">
        <v>152.30170000000001</v>
      </c>
      <c r="Q147" s="251">
        <v>146.91030000000001</v>
      </c>
      <c r="R147" s="254">
        <v>1.08</v>
      </c>
      <c r="S147" s="214">
        <v>0</v>
      </c>
      <c r="T147" s="214">
        <v>3037227</v>
      </c>
      <c r="U147" s="214">
        <v>0</v>
      </c>
      <c r="V147" s="187">
        <f t="shared" si="6"/>
        <v>3037227</v>
      </c>
      <c r="W147" s="187">
        <f t="shared" si="7"/>
        <v>3037227</v>
      </c>
    </row>
    <row r="148" spans="1:23">
      <c r="A148" s="216" t="s">
        <v>895</v>
      </c>
      <c r="B148" s="218">
        <v>396.51799999999997</v>
      </c>
      <c r="C148" s="218">
        <v>354.21600000000001</v>
      </c>
      <c r="D148" s="218">
        <v>343.51900000000001</v>
      </c>
      <c r="E148" s="218">
        <v>339.58600000000001</v>
      </c>
      <c r="F148" s="218">
        <v>83.584699999999998</v>
      </c>
      <c r="G148" s="218">
        <v>82.626099999999994</v>
      </c>
      <c r="H148" s="218">
        <v>73.687799999999996</v>
      </c>
      <c r="I148" s="218">
        <v>69.130099999999999</v>
      </c>
      <c r="J148" s="246">
        <v>47329470</v>
      </c>
      <c r="K148" s="246">
        <v>49814950</v>
      </c>
      <c r="L148" s="218">
        <v>592.66399999999999</v>
      </c>
      <c r="M148" s="187">
        <v>0</v>
      </c>
      <c r="N148" s="251">
        <v>58.989800000000002</v>
      </c>
      <c r="O148" s="251">
        <v>58.390300000000003</v>
      </c>
      <c r="P148" s="251">
        <v>51.520400000000002</v>
      </c>
      <c r="Q148" s="251">
        <v>46.749099999999999</v>
      </c>
      <c r="R148" s="254">
        <v>1.0900000000000001</v>
      </c>
      <c r="S148" s="214">
        <v>0</v>
      </c>
      <c r="T148" s="214">
        <v>775327</v>
      </c>
      <c r="U148" s="214">
        <v>0</v>
      </c>
      <c r="V148" s="187">
        <f t="shared" si="6"/>
        <v>775327</v>
      </c>
      <c r="W148" s="187">
        <f t="shared" si="7"/>
        <v>775327</v>
      </c>
    </row>
    <row r="149" spans="1:23">
      <c r="A149" s="216" t="s">
        <v>6177</v>
      </c>
      <c r="B149" s="218">
        <v>220.18199999999999</v>
      </c>
      <c r="C149" s="218">
        <v>224.17699999999999</v>
      </c>
      <c r="D149" s="218">
        <v>221.62700000000001</v>
      </c>
      <c r="E149" s="218">
        <v>219.58199999999999</v>
      </c>
      <c r="F149" s="218">
        <v>39.981299999999997</v>
      </c>
      <c r="G149" s="218">
        <v>38.943899999999999</v>
      </c>
      <c r="H149" s="218">
        <v>37.330300000000001</v>
      </c>
      <c r="I149" s="218">
        <v>34.942500000000003</v>
      </c>
      <c r="J149" s="246">
        <v>19199440</v>
      </c>
      <c r="K149" s="246">
        <v>20846090</v>
      </c>
      <c r="L149" s="218">
        <v>333.16699999999997</v>
      </c>
      <c r="M149" s="187">
        <v>234</v>
      </c>
      <c r="N149" s="251">
        <v>24.307400000000001</v>
      </c>
      <c r="O149" s="251">
        <v>23.289000000000001</v>
      </c>
      <c r="P149" s="251">
        <v>22.1782</v>
      </c>
      <c r="Q149" s="251">
        <v>20.693300000000001</v>
      </c>
      <c r="R149" s="254">
        <v>1.05</v>
      </c>
      <c r="S149" s="214">
        <v>14391</v>
      </c>
      <c r="T149" s="214">
        <v>316982</v>
      </c>
      <c r="U149" s="214">
        <v>0</v>
      </c>
      <c r="V149" s="187">
        <f t="shared" si="6"/>
        <v>316982</v>
      </c>
      <c r="W149" s="187">
        <f t="shared" si="7"/>
        <v>331373</v>
      </c>
    </row>
    <row r="150" spans="1:23">
      <c r="A150" s="216" t="s">
        <v>265</v>
      </c>
      <c r="B150" s="218">
        <v>1326.9369999999999</v>
      </c>
      <c r="C150" s="218">
        <v>1328.999</v>
      </c>
      <c r="D150" s="218">
        <v>1329.1780000000001</v>
      </c>
      <c r="E150" s="218">
        <v>1339.816</v>
      </c>
      <c r="F150" s="218">
        <v>230.06559999999999</v>
      </c>
      <c r="G150" s="218">
        <v>196.05529999999999</v>
      </c>
      <c r="H150" s="218">
        <v>189.41579999999999</v>
      </c>
      <c r="I150" s="218">
        <v>186.91409999999999</v>
      </c>
      <c r="J150" s="246">
        <v>248636590</v>
      </c>
      <c r="K150" s="246">
        <v>264750440</v>
      </c>
      <c r="L150" s="218">
        <v>2009.78</v>
      </c>
      <c r="M150" s="246">
        <v>99983</v>
      </c>
      <c r="N150" s="251">
        <v>152.33109999999999</v>
      </c>
      <c r="O150" s="251">
        <v>132.101</v>
      </c>
      <c r="P150" s="251">
        <v>124.24979999999999</v>
      </c>
      <c r="Q150" s="251">
        <v>122.63939999999999</v>
      </c>
      <c r="R150" s="254">
        <v>1.1200000000000001</v>
      </c>
      <c r="S150" s="214">
        <v>284488</v>
      </c>
      <c r="T150" s="214">
        <v>3810552</v>
      </c>
      <c r="U150" s="214">
        <v>0</v>
      </c>
      <c r="V150" s="187">
        <f t="shared" si="6"/>
        <v>3810552</v>
      </c>
      <c r="W150" s="187">
        <f t="shared" si="7"/>
        <v>4095040</v>
      </c>
    </row>
    <row r="151" spans="1:23">
      <c r="A151" s="216" t="s">
        <v>897</v>
      </c>
      <c r="B151" s="218">
        <v>2424.7660000000001</v>
      </c>
      <c r="C151" s="218">
        <v>2571.3530000000001</v>
      </c>
      <c r="D151" s="218">
        <v>2679.1759999999999</v>
      </c>
      <c r="E151" s="218">
        <v>2798.7730000000001</v>
      </c>
      <c r="F151" s="218">
        <v>351.13749999999999</v>
      </c>
      <c r="G151" s="218">
        <v>361.52289999999999</v>
      </c>
      <c r="H151" s="218">
        <v>414.95600000000002</v>
      </c>
      <c r="I151" s="218">
        <v>420.39940000000001</v>
      </c>
      <c r="J151" s="246">
        <v>1896290498</v>
      </c>
      <c r="K151" s="246">
        <v>1916469533</v>
      </c>
      <c r="L151" s="218">
        <v>3276.212</v>
      </c>
      <c r="M151" s="246">
        <v>3775556</v>
      </c>
      <c r="N151" s="251">
        <v>214.49459999999999</v>
      </c>
      <c r="O151" s="251">
        <v>221.00739999999999</v>
      </c>
      <c r="P151" s="251">
        <v>238.88339999999999</v>
      </c>
      <c r="Q151" s="251">
        <v>243.31030000000001</v>
      </c>
      <c r="R151" s="254">
        <v>1.1200000000000001</v>
      </c>
      <c r="S151" s="214">
        <v>3366198</v>
      </c>
      <c r="T151" s="214">
        <v>25361382</v>
      </c>
      <c r="U151" s="214">
        <v>0</v>
      </c>
      <c r="V151" s="187">
        <f t="shared" si="6"/>
        <v>25361382</v>
      </c>
      <c r="W151" s="187">
        <f t="shared" si="7"/>
        <v>28727580</v>
      </c>
    </row>
    <row r="152" spans="1:23">
      <c r="A152" s="216" t="s">
        <v>899</v>
      </c>
      <c r="B152" s="218">
        <v>1046.6600000000001</v>
      </c>
      <c r="C152" s="218">
        <v>1055.277</v>
      </c>
      <c r="D152" s="218">
        <v>1083.1320000000001</v>
      </c>
      <c r="E152" s="218">
        <v>1095.547</v>
      </c>
      <c r="F152" s="218">
        <v>141.61510000000001</v>
      </c>
      <c r="G152" s="218">
        <v>139.96260000000001</v>
      </c>
      <c r="H152" s="218">
        <v>140.92519999999999</v>
      </c>
      <c r="I152" s="218">
        <v>150.92519999999999</v>
      </c>
      <c r="J152" s="246">
        <v>163534632</v>
      </c>
      <c r="K152" s="246">
        <v>176106362</v>
      </c>
      <c r="L152" s="218">
        <v>1646.4480000000001</v>
      </c>
      <c r="M152" s="187">
        <v>0</v>
      </c>
      <c r="N152" s="251">
        <v>79.999799999999993</v>
      </c>
      <c r="O152" s="251">
        <v>91.963099999999997</v>
      </c>
      <c r="P152" s="251">
        <v>86.597399999999993</v>
      </c>
      <c r="Q152" s="251">
        <v>95.001800000000003</v>
      </c>
      <c r="R152" s="254">
        <v>1.1100000000000001</v>
      </c>
      <c r="S152" s="214">
        <v>0</v>
      </c>
      <c r="T152" s="214">
        <v>2709693</v>
      </c>
      <c r="U152" s="214">
        <v>0</v>
      </c>
      <c r="V152" s="187">
        <f t="shared" si="6"/>
        <v>2709693</v>
      </c>
      <c r="W152" s="187">
        <f t="shared" si="7"/>
        <v>2709693</v>
      </c>
    </row>
    <row r="153" spans="1:23">
      <c r="A153" s="216" t="s">
        <v>901</v>
      </c>
      <c r="B153" s="218">
        <v>611.25900000000001</v>
      </c>
      <c r="C153" s="218">
        <v>603.95500000000004</v>
      </c>
      <c r="D153" s="218">
        <v>602.37699999999995</v>
      </c>
      <c r="E153" s="218">
        <v>619.39599999999996</v>
      </c>
      <c r="F153" s="218">
        <v>102.3503</v>
      </c>
      <c r="G153" s="218">
        <v>107.5</v>
      </c>
      <c r="H153" s="218">
        <v>111</v>
      </c>
      <c r="I153" s="218">
        <v>116.8182</v>
      </c>
      <c r="J153" s="246">
        <v>112391716</v>
      </c>
      <c r="K153" s="246">
        <v>119782168</v>
      </c>
      <c r="L153" s="218">
        <v>1029.4390000000001</v>
      </c>
      <c r="M153" s="246">
        <v>59003</v>
      </c>
      <c r="N153" s="251">
        <v>73.867900000000006</v>
      </c>
      <c r="O153" s="251">
        <v>79.002200000000002</v>
      </c>
      <c r="P153" s="251">
        <v>85.121399999999994</v>
      </c>
      <c r="Q153" s="251">
        <v>84.123099999999994</v>
      </c>
      <c r="R153" s="254">
        <v>1.05</v>
      </c>
      <c r="S153" s="214">
        <v>62099</v>
      </c>
      <c r="T153" s="214">
        <v>1584858</v>
      </c>
      <c r="U153" s="214">
        <v>0</v>
      </c>
      <c r="V153" s="187">
        <f t="shared" si="6"/>
        <v>1584858</v>
      </c>
      <c r="W153" s="187">
        <f t="shared" si="7"/>
        <v>1646957</v>
      </c>
    </row>
    <row r="154" spans="1:23">
      <c r="A154" s="216" t="s">
        <v>6023</v>
      </c>
      <c r="B154" s="218">
        <v>4222.5640000000003</v>
      </c>
      <c r="C154" s="218">
        <v>4276.8999999999996</v>
      </c>
      <c r="D154" s="218">
        <v>4277.9939999999997</v>
      </c>
      <c r="E154" s="218">
        <v>4366.1540000000005</v>
      </c>
      <c r="F154" s="218">
        <v>659.04660000000001</v>
      </c>
      <c r="G154" s="218">
        <v>652.42520000000002</v>
      </c>
      <c r="H154" s="218">
        <v>735.73910000000001</v>
      </c>
      <c r="I154" s="218">
        <v>753.29309999999998</v>
      </c>
      <c r="J154" s="246">
        <v>568546354</v>
      </c>
      <c r="K154" s="246">
        <v>615848423</v>
      </c>
      <c r="L154" s="218">
        <v>5923.0039999999999</v>
      </c>
      <c r="M154" s="246">
        <v>233858</v>
      </c>
      <c r="N154" s="251">
        <v>441.38440000000003</v>
      </c>
      <c r="O154" s="251">
        <v>441.10289999999998</v>
      </c>
      <c r="P154" s="251">
        <v>455.84710000000001</v>
      </c>
      <c r="Q154" s="251">
        <v>472.40039999999999</v>
      </c>
      <c r="R154" s="254">
        <v>1.06</v>
      </c>
      <c r="S154" s="214">
        <v>596554</v>
      </c>
      <c r="T154" s="214">
        <v>8243095</v>
      </c>
      <c r="U154" s="214">
        <v>0</v>
      </c>
      <c r="V154" s="187">
        <f t="shared" si="6"/>
        <v>8243095</v>
      </c>
      <c r="W154" s="187">
        <f t="shared" si="7"/>
        <v>8839649</v>
      </c>
    </row>
    <row r="155" spans="1:23">
      <c r="A155" s="216" t="s">
        <v>2383</v>
      </c>
      <c r="B155" s="218">
        <v>1849.306</v>
      </c>
      <c r="C155" s="218">
        <v>1786.9169999999999</v>
      </c>
      <c r="D155" s="218">
        <v>1818.0519999999999</v>
      </c>
      <c r="E155" s="218">
        <v>1782.874</v>
      </c>
      <c r="F155" s="218">
        <v>254.49369999999999</v>
      </c>
      <c r="G155" s="218">
        <v>264.45119999999997</v>
      </c>
      <c r="H155" s="218">
        <v>268.9581</v>
      </c>
      <c r="I155" s="218">
        <v>277.81639999999999</v>
      </c>
      <c r="J155" s="246">
        <v>223647885</v>
      </c>
      <c r="K155" s="246">
        <v>245284917</v>
      </c>
      <c r="L155" s="218">
        <v>2520.1190000000001</v>
      </c>
      <c r="M155" s="246">
        <v>156912</v>
      </c>
      <c r="N155" s="251">
        <v>177.49719999999999</v>
      </c>
      <c r="O155" s="251">
        <v>183.51519999999999</v>
      </c>
      <c r="P155" s="251">
        <v>187.01660000000001</v>
      </c>
      <c r="Q155" s="251">
        <v>193.02789999999999</v>
      </c>
      <c r="R155" s="254">
        <v>1.05</v>
      </c>
      <c r="S155" s="214">
        <v>301152</v>
      </c>
      <c r="T155" s="214">
        <v>3316127</v>
      </c>
      <c r="U155" s="214">
        <v>0</v>
      </c>
      <c r="V155" s="187">
        <f t="shared" si="6"/>
        <v>3316127</v>
      </c>
      <c r="W155" s="187">
        <f t="shared" si="7"/>
        <v>3617279</v>
      </c>
    </row>
    <row r="156" spans="1:23">
      <c r="A156" s="216" t="s">
        <v>6180</v>
      </c>
      <c r="B156" s="218">
        <v>359.64299999999997</v>
      </c>
      <c r="C156" s="218">
        <v>345.01600000000002</v>
      </c>
      <c r="D156" s="218">
        <v>343.89499999999998</v>
      </c>
      <c r="E156" s="218">
        <v>374.86700000000002</v>
      </c>
      <c r="F156" s="218">
        <v>56</v>
      </c>
      <c r="G156" s="218">
        <v>59.481299999999997</v>
      </c>
      <c r="H156" s="218">
        <v>62.866300000000003</v>
      </c>
      <c r="I156" s="218">
        <v>62.866300000000003</v>
      </c>
      <c r="J156" s="246">
        <v>26995897</v>
      </c>
      <c r="K156" s="246">
        <v>29932701</v>
      </c>
      <c r="L156" s="218">
        <v>658.827</v>
      </c>
      <c r="M156" s="246">
        <v>18513</v>
      </c>
      <c r="N156" s="251">
        <v>41.002099999999999</v>
      </c>
      <c r="O156" s="251">
        <v>42.002299999999998</v>
      </c>
      <c r="P156" s="251">
        <v>42.937100000000001</v>
      </c>
      <c r="Q156" s="251">
        <v>42.937100000000001</v>
      </c>
      <c r="R156" s="254">
        <v>1.04</v>
      </c>
      <c r="S156" s="214">
        <v>72971</v>
      </c>
      <c r="T156" s="214">
        <v>299117</v>
      </c>
      <c r="U156" s="214">
        <v>38637</v>
      </c>
      <c r="V156" s="187">
        <f t="shared" si="6"/>
        <v>337754</v>
      </c>
      <c r="W156" s="187">
        <f t="shared" si="7"/>
        <v>410725</v>
      </c>
    </row>
    <row r="157" spans="1:23">
      <c r="A157" s="216" t="s">
        <v>903</v>
      </c>
      <c r="B157" s="218">
        <v>293.36599999999999</v>
      </c>
      <c r="C157" s="218">
        <v>304.14999999999998</v>
      </c>
      <c r="D157" s="218">
        <v>294.96499999999997</v>
      </c>
      <c r="E157" s="218">
        <v>282.01900000000001</v>
      </c>
      <c r="F157" s="218">
        <v>43</v>
      </c>
      <c r="G157" s="218">
        <v>46</v>
      </c>
      <c r="H157" s="218">
        <v>49</v>
      </c>
      <c r="I157" s="218">
        <v>53.048200000000001</v>
      </c>
      <c r="J157" s="246">
        <v>32271911</v>
      </c>
      <c r="K157" s="246">
        <v>35827177</v>
      </c>
      <c r="L157" s="218">
        <v>483.548</v>
      </c>
      <c r="M157" s="187">
        <v>0</v>
      </c>
      <c r="N157" s="251">
        <v>29.999700000000001</v>
      </c>
      <c r="O157" s="251">
        <v>33.118699999999997</v>
      </c>
      <c r="P157" s="251">
        <v>36.0002</v>
      </c>
      <c r="Q157" s="251">
        <v>35.979799999999997</v>
      </c>
      <c r="R157" s="254">
        <v>1.03</v>
      </c>
      <c r="S157" s="214">
        <v>238</v>
      </c>
      <c r="T157" s="214">
        <v>445756</v>
      </c>
      <c r="U157" s="214">
        <v>0</v>
      </c>
      <c r="V157" s="187">
        <f t="shared" si="6"/>
        <v>445756</v>
      </c>
      <c r="W157" s="187">
        <f t="shared" si="7"/>
        <v>445994</v>
      </c>
    </row>
    <row r="158" spans="1:23">
      <c r="A158" s="216" t="s">
        <v>736</v>
      </c>
      <c r="B158" s="218">
        <v>1130.92</v>
      </c>
      <c r="C158" s="218">
        <v>1142.431</v>
      </c>
      <c r="D158" s="218">
        <v>1119.6130000000001</v>
      </c>
      <c r="E158" s="218">
        <v>1088.8710000000001</v>
      </c>
      <c r="F158" s="218">
        <v>218.0361</v>
      </c>
      <c r="G158" s="218">
        <v>216.26669999999999</v>
      </c>
      <c r="H158" s="218">
        <v>213.02099999999999</v>
      </c>
      <c r="I158" s="218">
        <v>209.47030000000001</v>
      </c>
      <c r="J158" s="246">
        <v>137499555</v>
      </c>
      <c r="K158" s="246">
        <v>152319075</v>
      </c>
      <c r="L158" s="218">
        <v>1815.021</v>
      </c>
      <c r="M158" s="187">
        <v>0</v>
      </c>
      <c r="N158" s="251">
        <v>151.6337</v>
      </c>
      <c r="O158" s="251">
        <v>148.05600000000001</v>
      </c>
      <c r="P158" s="251">
        <v>145.54480000000001</v>
      </c>
      <c r="Q158" s="251">
        <v>143.69300000000001</v>
      </c>
      <c r="R158" s="254">
        <v>1.04</v>
      </c>
      <c r="S158" s="214">
        <v>136761</v>
      </c>
      <c r="T158" s="214">
        <v>1983627</v>
      </c>
      <c r="U158" s="214">
        <v>0</v>
      </c>
      <c r="V158" s="187">
        <f t="shared" si="6"/>
        <v>1983627</v>
      </c>
      <c r="W158" s="187">
        <f t="shared" si="7"/>
        <v>2120388</v>
      </c>
    </row>
    <row r="159" spans="1:23">
      <c r="A159" s="216" t="s">
        <v>5336</v>
      </c>
      <c r="B159" s="218">
        <v>126.309</v>
      </c>
      <c r="C159" s="218">
        <v>127.43899999999999</v>
      </c>
      <c r="D159" s="218">
        <v>123.59</v>
      </c>
      <c r="E159" s="218">
        <v>118.923</v>
      </c>
      <c r="F159" s="218">
        <v>24.925699999999999</v>
      </c>
      <c r="G159" s="218">
        <v>25.899000000000001</v>
      </c>
      <c r="H159" s="218">
        <v>26.849</v>
      </c>
      <c r="I159" s="218">
        <v>25.278099999999998</v>
      </c>
      <c r="J159" s="246">
        <v>14497467</v>
      </c>
      <c r="K159" s="246">
        <v>16292507</v>
      </c>
      <c r="L159" s="218">
        <v>227.238</v>
      </c>
      <c r="M159" s="187">
        <v>0</v>
      </c>
      <c r="N159" s="251">
        <v>19.500399999999999</v>
      </c>
      <c r="O159" s="251">
        <v>19.3566</v>
      </c>
      <c r="P159" s="251">
        <v>20.002099999999999</v>
      </c>
      <c r="Q159" s="251">
        <v>19.000900000000001</v>
      </c>
      <c r="R159" s="254">
        <v>1.06</v>
      </c>
      <c r="S159" s="214">
        <v>0</v>
      </c>
      <c r="T159" s="214">
        <v>226913</v>
      </c>
      <c r="U159" s="214">
        <v>0</v>
      </c>
      <c r="V159" s="187">
        <f t="shared" si="6"/>
        <v>226913</v>
      </c>
      <c r="W159" s="187">
        <f t="shared" si="7"/>
        <v>226913</v>
      </c>
    </row>
    <row r="160" spans="1:23">
      <c r="A160" s="216" t="s">
        <v>2117</v>
      </c>
      <c r="B160" s="218">
        <v>969.02800000000002</v>
      </c>
      <c r="C160" s="218">
        <v>990.40099999999995</v>
      </c>
      <c r="D160" s="218">
        <v>993.05899999999997</v>
      </c>
      <c r="E160" s="218">
        <v>996.55499999999995</v>
      </c>
      <c r="F160" s="218">
        <v>148.5008</v>
      </c>
      <c r="G160" s="218">
        <v>149.20079999999999</v>
      </c>
      <c r="H160" s="218">
        <v>153.10140000000001</v>
      </c>
      <c r="I160" s="218">
        <v>150.054</v>
      </c>
      <c r="J160" s="246">
        <v>189688188</v>
      </c>
      <c r="K160" s="246">
        <v>205453138</v>
      </c>
      <c r="L160" s="218">
        <v>1594.9580000000001</v>
      </c>
      <c r="M160" s="246">
        <v>136867</v>
      </c>
      <c r="N160" s="251">
        <v>96.060699999999997</v>
      </c>
      <c r="O160" s="251">
        <v>98.677000000000007</v>
      </c>
      <c r="P160" s="251">
        <v>102.73990000000001</v>
      </c>
      <c r="Q160" s="251">
        <v>95.402299999999997</v>
      </c>
      <c r="R160" s="254">
        <v>1.05</v>
      </c>
      <c r="S160" s="214">
        <v>143019</v>
      </c>
      <c r="T160" s="214">
        <v>2744760</v>
      </c>
      <c r="U160" s="214">
        <v>0</v>
      </c>
      <c r="V160" s="187">
        <f t="shared" si="6"/>
        <v>2744760</v>
      </c>
      <c r="W160" s="187">
        <f t="shared" si="7"/>
        <v>2887779</v>
      </c>
    </row>
    <row r="161" spans="1:23">
      <c r="A161" s="216" t="s">
        <v>3089</v>
      </c>
      <c r="B161" s="218">
        <v>488.64</v>
      </c>
      <c r="C161" s="218">
        <v>462.53899999999999</v>
      </c>
      <c r="D161" s="218">
        <v>459.65199999999999</v>
      </c>
      <c r="E161" s="218">
        <v>466.339</v>
      </c>
      <c r="F161" s="218">
        <v>78.7834</v>
      </c>
      <c r="G161" s="218">
        <v>81.679699999999997</v>
      </c>
      <c r="H161" s="218">
        <v>77.433700000000002</v>
      </c>
      <c r="I161" s="218">
        <v>81.275899999999993</v>
      </c>
      <c r="J161" s="246">
        <v>54137635</v>
      </c>
      <c r="K161" s="246">
        <v>59638505</v>
      </c>
      <c r="L161" s="218">
        <v>756.94899999999996</v>
      </c>
      <c r="M161" s="246">
        <v>36346</v>
      </c>
      <c r="N161" s="251">
        <v>54.414299999999997</v>
      </c>
      <c r="O161" s="251">
        <v>55.629899999999999</v>
      </c>
      <c r="P161" s="251">
        <v>53.358600000000003</v>
      </c>
      <c r="Q161" s="251">
        <v>52.679499999999997</v>
      </c>
      <c r="R161" s="254">
        <v>1.05</v>
      </c>
      <c r="S161" s="214">
        <v>121532</v>
      </c>
      <c r="T161" s="214">
        <v>835285</v>
      </c>
      <c r="U161" s="214">
        <v>0</v>
      </c>
      <c r="V161" s="187">
        <f t="shared" si="6"/>
        <v>835285</v>
      </c>
      <c r="W161" s="187">
        <f t="shared" si="7"/>
        <v>956817</v>
      </c>
    </row>
    <row r="162" spans="1:23">
      <c r="A162" s="216" t="s">
        <v>2119</v>
      </c>
      <c r="B162" s="218">
        <v>183.31</v>
      </c>
      <c r="C162" s="218">
        <v>175.61099999999999</v>
      </c>
      <c r="D162" s="218">
        <v>177.87200000000001</v>
      </c>
      <c r="E162" s="218">
        <v>176.136</v>
      </c>
      <c r="F162" s="218">
        <v>32.823500000000003</v>
      </c>
      <c r="G162" s="218">
        <v>33.593499999999999</v>
      </c>
      <c r="H162" s="218">
        <v>33.9465</v>
      </c>
      <c r="I162" s="218">
        <v>32.9465</v>
      </c>
      <c r="J162" s="246">
        <v>28671829</v>
      </c>
      <c r="K162" s="246">
        <v>30545779</v>
      </c>
      <c r="L162" s="218">
        <v>297.51</v>
      </c>
      <c r="M162" s="187">
        <v>0</v>
      </c>
      <c r="N162" s="251">
        <v>23.0627</v>
      </c>
      <c r="O162" s="251">
        <v>23.5672</v>
      </c>
      <c r="P162" s="251">
        <v>22.958100000000002</v>
      </c>
      <c r="Q162" s="251">
        <v>23.590499999999999</v>
      </c>
      <c r="R162" s="254">
        <v>1.06</v>
      </c>
      <c r="S162" s="214">
        <v>0</v>
      </c>
      <c r="T162" s="214">
        <v>452459</v>
      </c>
      <c r="U162" s="214">
        <v>0</v>
      </c>
      <c r="V162" s="187">
        <f t="shared" si="6"/>
        <v>452459</v>
      </c>
      <c r="W162" s="187">
        <f t="shared" si="7"/>
        <v>452459</v>
      </c>
    </row>
    <row r="163" spans="1:23">
      <c r="A163" s="216" t="s">
        <v>2121</v>
      </c>
      <c r="B163" s="218">
        <v>169.768</v>
      </c>
      <c r="C163" s="218">
        <v>171.88399999999999</v>
      </c>
      <c r="D163" s="218">
        <v>166.69300000000001</v>
      </c>
      <c r="E163" s="218">
        <v>161.375</v>
      </c>
      <c r="F163" s="218">
        <v>30.191400000000002</v>
      </c>
      <c r="G163" s="218">
        <v>30.720800000000001</v>
      </c>
      <c r="H163" s="218">
        <v>32.120800000000003</v>
      </c>
      <c r="I163" s="218">
        <v>29.790400000000002</v>
      </c>
      <c r="J163" s="246">
        <v>44768456</v>
      </c>
      <c r="K163" s="246">
        <v>47272496</v>
      </c>
      <c r="L163" s="218">
        <v>279.88</v>
      </c>
      <c r="M163" s="187">
        <v>0</v>
      </c>
      <c r="N163" s="251">
        <v>21.050899999999999</v>
      </c>
      <c r="O163" s="251">
        <v>20.881699999999999</v>
      </c>
      <c r="P163" s="251">
        <v>22.538499999999999</v>
      </c>
      <c r="Q163" s="251">
        <v>20.429600000000001</v>
      </c>
      <c r="R163" s="254">
        <v>1.06</v>
      </c>
      <c r="S163" s="214">
        <v>0</v>
      </c>
      <c r="T163" s="214">
        <v>655903</v>
      </c>
      <c r="U163" s="214">
        <v>0</v>
      </c>
      <c r="V163" s="187">
        <f t="shared" si="6"/>
        <v>655903</v>
      </c>
      <c r="W163" s="187">
        <f t="shared" si="7"/>
        <v>655903</v>
      </c>
    </row>
    <row r="164" spans="1:23">
      <c r="A164" s="216" t="s">
        <v>2123</v>
      </c>
      <c r="B164" s="218">
        <v>561.08699999999999</v>
      </c>
      <c r="C164" s="218">
        <v>530.57600000000002</v>
      </c>
      <c r="D164" s="218">
        <v>523.21400000000006</v>
      </c>
      <c r="E164" s="218">
        <v>524.67200000000003</v>
      </c>
      <c r="F164" s="218">
        <v>128.75659999999999</v>
      </c>
      <c r="G164" s="218">
        <v>124.19</v>
      </c>
      <c r="H164" s="218">
        <v>120.4867</v>
      </c>
      <c r="I164" s="218">
        <v>119.9413</v>
      </c>
      <c r="J164" s="246">
        <v>51310270</v>
      </c>
      <c r="K164" s="246">
        <v>56077630</v>
      </c>
      <c r="L164" s="218">
        <v>951.90300000000002</v>
      </c>
      <c r="M164" s="187">
        <v>0</v>
      </c>
      <c r="N164" s="251">
        <v>91.298599999999993</v>
      </c>
      <c r="O164" s="251">
        <v>85.790599999999998</v>
      </c>
      <c r="P164" s="251">
        <v>83.281099999999995</v>
      </c>
      <c r="Q164" s="251">
        <v>83.761799999999994</v>
      </c>
      <c r="R164" s="254">
        <v>1.0900000000000001</v>
      </c>
      <c r="S164" s="214">
        <v>0</v>
      </c>
      <c r="T164" s="214">
        <v>1067939</v>
      </c>
      <c r="U164" s="214">
        <v>0</v>
      </c>
      <c r="V164" s="187">
        <f t="shared" si="6"/>
        <v>1067939</v>
      </c>
      <c r="W164" s="187">
        <f t="shared" si="7"/>
        <v>1067939</v>
      </c>
    </row>
    <row r="165" spans="1:23">
      <c r="A165" s="216" t="s">
        <v>3130</v>
      </c>
      <c r="B165" s="218">
        <v>378.512</v>
      </c>
      <c r="C165" s="218">
        <v>359.71899999999999</v>
      </c>
      <c r="D165" s="218">
        <v>348.85500000000002</v>
      </c>
      <c r="E165" s="218">
        <v>337.43700000000001</v>
      </c>
      <c r="F165" s="218">
        <v>76.400000000000006</v>
      </c>
      <c r="G165" s="218">
        <v>75.900000000000006</v>
      </c>
      <c r="H165" s="218">
        <v>78</v>
      </c>
      <c r="I165" s="218">
        <v>73.859399999999994</v>
      </c>
      <c r="J165" s="246">
        <v>337530259</v>
      </c>
      <c r="K165" s="246">
        <v>339343341</v>
      </c>
      <c r="L165" s="218">
        <v>669.66600000000005</v>
      </c>
      <c r="M165" s="187">
        <v>0</v>
      </c>
      <c r="N165" s="251">
        <v>50.645200000000003</v>
      </c>
      <c r="O165" s="251">
        <v>49.715299999999999</v>
      </c>
      <c r="P165" s="251">
        <v>51.322800000000001</v>
      </c>
      <c r="Q165" s="251">
        <v>49.489800000000002</v>
      </c>
      <c r="R165" s="254">
        <v>1.08</v>
      </c>
      <c r="S165" s="214">
        <v>0</v>
      </c>
      <c r="T165" s="214">
        <v>4753431</v>
      </c>
      <c r="U165" s="214">
        <v>0</v>
      </c>
      <c r="V165" s="187">
        <f t="shared" si="6"/>
        <v>4753431</v>
      </c>
      <c r="W165" s="187">
        <f t="shared" si="7"/>
        <v>4753431</v>
      </c>
    </row>
    <row r="166" spans="1:23">
      <c r="A166" s="216" t="s">
        <v>3132</v>
      </c>
      <c r="B166" s="218">
        <v>495.47500000000002</v>
      </c>
      <c r="C166" s="218">
        <v>498.65800000000002</v>
      </c>
      <c r="D166" s="218">
        <v>491.72800000000001</v>
      </c>
      <c r="E166" s="218">
        <v>478.10700000000003</v>
      </c>
      <c r="F166" s="218">
        <v>76.608999999999995</v>
      </c>
      <c r="G166" s="218">
        <v>82.512299999999996</v>
      </c>
      <c r="H166" s="218">
        <v>85.268100000000004</v>
      </c>
      <c r="I166" s="218">
        <v>90.176900000000003</v>
      </c>
      <c r="J166" s="246">
        <v>59315905</v>
      </c>
      <c r="K166" s="246">
        <v>63234358</v>
      </c>
      <c r="L166" s="218">
        <v>1137.742</v>
      </c>
      <c r="M166" s="187">
        <v>0</v>
      </c>
      <c r="N166" s="251">
        <v>52.808500000000002</v>
      </c>
      <c r="O166" s="251">
        <v>55.894199999999998</v>
      </c>
      <c r="P166" s="251">
        <v>59.698500000000003</v>
      </c>
      <c r="Q166" s="251">
        <v>62.151699999999998</v>
      </c>
      <c r="R166" s="254">
        <v>1.05</v>
      </c>
      <c r="S166" s="214">
        <v>0</v>
      </c>
      <c r="T166" s="214">
        <v>837945</v>
      </c>
      <c r="U166" s="214">
        <v>0</v>
      </c>
      <c r="V166" s="187">
        <f t="shared" si="6"/>
        <v>837945</v>
      </c>
      <c r="W166" s="187">
        <f t="shared" si="7"/>
        <v>837945</v>
      </c>
    </row>
    <row r="167" spans="1:23">
      <c r="A167" s="216" t="s">
        <v>1322</v>
      </c>
      <c r="B167" s="218">
        <v>310.46100000000001</v>
      </c>
      <c r="C167" s="218">
        <v>295.09300000000002</v>
      </c>
      <c r="D167" s="218">
        <v>289.755</v>
      </c>
      <c r="E167" s="218">
        <v>282.63099999999997</v>
      </c>
      <c r="F167" s="218">
        <v>59.326300000000003</v>
      </c>
      <c r="G167" s="218">
        <v>57.8504</v>
      </c>
      <c r="H167" s="218">
        <v>58.813000000000002</v>
      </c>
      <c r="I167" s="218">
        <v>58.8504</v>
      </c>
      <c r="J167" s="246">
        <v>109601690</v>
      </c>
      <c r="K167" s="246">
        <v>114370200</v>
      </c>
      <c r="L167" s="218">
        <v>577.08199999999999</v>
      </c>
      <c r="M167" s="187">
        <v>0</v>
      </c>
      <c r="N167" s="251">
        <v>39.967199999999998</v>
      </c>
      <c r="O167" s="251">
        <v>39.181600000000003</v>
      </c>
      <c r="P167" s="251">
        <v>37.966000000000001</v>
      </c>
      <c r="Q167" s="251">
        <v>37.215200000000003</v>
      </c>
      <c r="R167" s="254">
        <v>1.05</v>
      </c>
      <c r="S167" s="214">
        <v>0</v>
      </c>
      <c r="T167" s="214">
        <v>1547702</v>
      </c>
      <c r="U167" s="214">
        <v>0</v>
      </c>
      <c r="V167" s="187">
        <f t="shared" si="6"/>
        <v>1547702</v>
      </c>
      <c r="W167" s="187">
        <f t="shared" si="7"/>
        <v>1547702</v>
      </c>
    </row>
    <row r="168" spans="1:23">
      <c r="A168" s="216" t="s">
        <v>742</v>
      </c>
      <c r="B168" s="218">
        <v>1002.231</v>
      </c>
      <c r="C168" s="218">
        <v>966.42200000000003</v>
      </c>
      <c r="D168" s="218">
        <v>950.74599999999998</v>
      </c>
      <c r="E168" s="218">
        <v>934.64599999999996</v>
      </c>
      <c r="F168" s="218">
        <v>192.89570000000001</v>
      </c>
      <c r="G168" s="218">
        <v>187.46369999999999</v>
      </c>
      <c r="H168" s="218">
        <v>188.0386</v>
      </c>
      <c r="I168" s="218">
        <v>174.67789999999999</v>
      </c>
      <c r="J168" s="246">
        <v>72594746</v>
      </c>
      <c r="K168" s="246">
        <v>86379826</v>
      </c>
      <c r="L168" s="218">
        <v>1419.3330000000001</v>
      </c>
      <c r="M168" s="246">
        <v>131834</v>
      </c>
      <c r="N168" s="251">
        <v>127.29259999999999</v>
      </c>
      <c r="O168" s="251">
        <v>121.51</v>
      </c>
      <c r="P168" s="251">
        <v>121.4233</v>
      </c>
      <c r="Q168" s="251">
        <v>113.9966</v>
      </c>
      <c r="R168" s="254">
        <v>1.03</v>
      </c>
      <c r="S168" s="214">
        <v>148747</v>
      </c>
      <c r="T168" s="214">
        <v>1070534</v>
      </c>
      <c r="U168" s="214">
        <v>0</v>
      </c>
      <c r="V168" s="187">
        <f t="shared" si="6"/>
        <v>1070534</v>
      </c>
      <c r="W168" s="187">
        <f t="shared" si="7"/>
        <v>1219281</v>
      </c>
    </row>
    <row r="169" spans="1:23">
      <c r="A169" s="216" t="s">
        <v>440</v>
      </c>
      <c r="B169" s="218">
        <v>249.655</v>
      </c>
      <c r="C169" s="218">
        <v>255.529</v>
      </c>
      <c r="D169" s="218">
        <v>253.87299999999999</v>
      </c>
      <c r="E169" s="218">
        <v>260.61700000000002</v>
      </c>
      <c r="F169" s="218">
        <v>63.773099999999999</v>
      </c>
      <c r="G169" s="218">
        <v>45.508000000000003</v>
      </c>
      <c r="H169" s="218">
        <v>48.0214</v>
      </c>
      <c r="I169" s="218">
        <v>51.334200000000003</v>
      </c>
      <c r="J169" s="246">
        <v>35855313</v>
      </c>
      <c r="K169" s="246">
        <v>39413493</v>
      </c>
      <c r="L169" s="218">
        <v>559.71900000000005</v>
      </c>
      <c r="M169" s="187">
        <v>0</v>
      </c>
      <c r="N169" s="251">
        <v>38.725900000000003</v>
      </c>
      <c r="O169" s="251">
        <v>32.9041</v>
      </c>
      <c r="P169" s="251">
        <v>32.215400000000002</v>
      </c>
      <c r="Q169" s="251">
        <v>35.363900000000001</v>
      </c>
      <c r="R169" s="254">
        <v>1.03</v>
      </c>
      <c r="S169" s="214">
        <v>27469</v>
      </c>
      <c r="T169" s="214">
        <v>529411</v>
      </c>
      <c r="U169" s="214">
        <v>0</v>
      </c>
      <c r="V169" s="187">
        <f t="shared" si="6"/>
        <v>529411</v>
      </c>
      <c r="W169" s="187">
        <f t="shared" si="7"/>
        <v>556880</v>
      </c>
    </row>
    <row r="170" spans="1:23">
      <c r="A170" s="216" t="s">
        <v>1324</v>
      </c>
      <c r="B170" s="218">
        <v>207.73099999999999</v>
      </c>
      <c r="C170" s="218">
        <v>207.09399999999999</v>
      </c>
      <c r="D170" s="218">
        <v>200.84</v>
      </c>
      <c r="E170" s="218">
        <v>194.196</v>
      </c>
      <c r="F170" s="218">
        <v>41.4011</v>
      </c>
      <c r="G170" s="218">
        <v>42.417099999999998</v>
      </c>
      <c r="H170" s="218">
        <v>42.954500000000003</v>
      </c>
      <c r="I170" s="218">
        <v>41.954500000000003</v>
      </c>
      <c r="J170" s="246">
        <v>46581562</v>
      </c>
      <c r="K170" s="246">
        <v>49145842</v>
      </c>
      <c r="L170" s="218">
        <v>390.94799999999998</v>
      </c>
      <c r="M170" s="187">
        <v>0</v>
      </c>
      <c r="N170" s="251">
        <v>29.7181</v>
      </c>
      <c r="O170" s="251">
        <v>28.001899999999999</v>
      </c>
      <c r="P170" s="251">
        <v>28.858699999999999</v>
      </c>
      <c r="Q170" s="251">
        <v>28.501200000000001</v>
      </c>
      <c r="R170" s="254">
        <v>1.03</v>
      </c>
      <c r="S170" s="214">
        <v>0</v>
      </c>
      <c r="T170" s="214">
        <v>646434</v>
      </c>
      <c r="U170" s="214">
        <v>0</v>
      </c>
      <c r="V170" s="187">
        <f t="shared" si="6"/>
        <v>646434</v>
      </c>
      <c r="W170" s="187">
        <f t="shared" si="7"/>
        <v>646434</v>
      </c>
    </row>
    <row r="171" spans="1:23">
      <c r="A171" s="216" t="s">
        <v>1326</v>
      </c>
      <c r="B171" s="218">
        <v>97.927000000000007</v>
      </c>
      <c r="C171" s="218">
        <v>98.397000000000006</v>
      </c>
      <c r="D171" s="218">
        <v>106.614</v>
      </c>
      <c r="E171" s="218">
        <v>103.661</v>
      </c>
      <c r="F171" s="218">
        <v>28.2728</v>
      </c>
      <c r="G171" s="218">
        <v>27.6738</v>
      </c>
      <c r="H171" s="218">
        <v>29.550799999999999</v>
      </c>
      <c r="I171" s="218">
        <v>25.593499999999999</v>
      </c>
      <c r="J171" s="246">
        <v>24258973</v>
      </c>
      <c r="K171" s="246">
        <v>26021343</v>
      </c>
      <c r="L171" s="218">
        <v>254.226</v>
      </c>
      <c r="M171" s="187">
        <v>0</v>
      </c>
      <c r="N171" s="251">
        <v>16.543500000000002</v>
      </c>
      <c r="O171" s="251">
        <v>17.3231</v>
      </c>
      <c r="P171" s="251">
        <v>18.071899999999999</v>
      </c>
      <c r="Q171" s="251">
        <v>16.0457</v>
      </c>
      <c r="R171" s="254">
        <v>1.05</v>
      </c>
      <c r="S171" s="214">
        <v>0</v>
      </c>
      <c r="T171" s="214">
        <v>374412</v>
      </c>
      <c r="U171" s="214">
        <v>0</v>
      </c>
      <c r="V171" s="187">
        <f t="shared" si="6"/>
        <v>374412</v>
      </c>
      <c r="W171" s="187">
        <f t="shared" si="7"/>
        <v>374412</v>
      </c>
    </row>
    <row r="172" spans="1:23">
      <c r="A172" s="216" t="s">
        <v>818</v>
      </c>
      <c r="B172" s="218">
        <v>9161.8850000000002</v>
      </c>
      <c r="C172" s="218">
        <v>9792.2870000000003</v>
      </c>
      <c r="D172" s="218">
        <v>10688.675999999999</v>
      </c>
      <c r="E172" s="218">
        <v>11488.882</v>
      </c>
      <c r="F172" s="218">
        <v>1184.0918999999999</v>
      </c>
      <c r="G172" s="218">
        <v>1244.8853999999999</v>
      </c>
      <c r="H172" s="218">
        <v>1267.1904</v>
      </c>
      <c r="I172" s="218">
        <v>1351.2166999999999</v>
      </c>
      <c r="J172" s="246">
        <v>3197176384</v>
      </c>
      <c r="K172" s="246">
        <v>3312312894</v>
      </c>
      <c r="L172" s="218">
        <v>13672.94</v>
      </c>
      <c r="M172" s="246">
        <v>7769674</v>
      </c>
      <c r="N172" s="251">
        <v>771.05930000000001</v>
      </c>
      <c r="O172" s="251">
        <v>818.59310000000005</v>
      </c>
      <c r="P172" s="251">
        <v>847.34910000000002</v>
      </c>
      <c r="Q172" s="251">
        <v>884.55460000000005</v>
      </c>
      <c r="R172" s="254">
        <v>1.1200000000000001</v>
      </c>
      <c r="S172" s="214">
        <v>11735961</v>
      </c>
      <c r="T172" s="214">
        <v>57037718</v>
      </c>
      <c r="U172" s="214">
        <v>0</v>
      </c>
      <c r="V172" s="187">
        <f t="shared" si="6"/>
        <v>57037718</v>
      </c>
      <c r="W172" s="187">
        <f t="shared" si="7"/>
        <v>68773679</v>
      </c>
    </row>
    <row r="173" spans="1:23">
      <c r="A173" s="216" t="s">
        <v>266</v>
      </c>
      <c r="B173" s="218">
        <v>826.90700000000004</v>
      </c>
      <c r="C173" s="218">
        <v>873.54700000000003</v>
      </c>
      <c r="D173" s="218">
        <v>913.16</v>
      </c>
      <c r="E173" s="218">
        <v>975.95699999999999</v>
      </c>
      <c r="F173" s="218">
        <v>115.1634</v>
      </c>
      <c r="G173" s="218">
        <v>121.7865</v>
      </c>
      <c r="H173" s="218">
        <v>125.8185</v>
      </c>
      <c r="I173" s="218">
        <v>142.05619999999999</v>
      </c>
      <c r="J173" s="246">
        <v>124258882</v>
      </c>
      <c r="K173" s="246">
        <v>133004687</v>
      </c>
      <c r="L173" s="218">
        <v>1484.5319999999999</v>
      </c>
      <c r="M173" s="246">
        <v>123624</v>
      </c>
      <c r="N173" s="251">
        <v>79.650700000000001</v>
      </c>
      <c r="O173" s="251">
        <v>84.435699999999997</v>
      </c>
      <c r="P173" s="251">
        <v>88.071200000000005</v>
      </c>
      <c r="Q173" s="251">
        <v>97.058099999999996</v>
      </c>
      <c r="R173" s="254">
        <v>1.0900000000000001</v>
      </c>
      <c r="S173" s="214">
        <v>196399</v>
      </c>
      <c r="T173" s="214">
        <v>2128706</v>
      </c>
      <c r="U173" s="214">
        <v>0</v>
      </c>
      <c r="V173" s="187">
        <f t="shared" si="6"/>
        <v>2128706</v>
      </c>
      <c r="W173" s="187">
        <f t="shared" si="7"/>
        <v>2325105</v>
      </c>
    </row>
    <row r="174" spans="1:23">
      <c r="A174" s="216" t="s">
        <v>441</v>
      </c>
      <c r="B174" s="218">
        <v>1000.479</v>
      </c>
      <c r="C174" s="218">
        <v>1105.009</v>
      </c>
      <c r="D174" s="218">
        <v>1203.355</v>
      </c>
      <c r="E174" s="218">
        <v>1275.0999999999999</v>
      </c>
      <c r="F174" s="218">
        <v>148.57300000000001</v>
      </c>
      <c r="G174" s="218">
        <v>157.2826</v>
      </c>
      <c r="H174" s="218">
        <v>180.67760000000001</v>
      </c>
      <c r="I174" s="218">
        <v>187.12219999999999</v>
      </c>
      <c r="J174" s="246">
        <v>234536492</v>
      </c>
      <c r="K174" s="246">
        <v>246069504</v>
      </c>
      <c r="L174" s="218">
        <v>1701.62</v>
      </c>
      <c r="M174" s="246">
        <v>276668</v>
      </c>
      <c r="N174" s="251">
        <v>100.0411</v>
      </c>
      <c r="O174" s="251">
        <v>106.3536</v>
      </c>
      <c r="P174" s="251">
        <v>123.283</v>
      </c>
      <c r="Q174" s="251">
        <v>129.23990000000001</v>
      </c>
      <c r="R174" s="254">
        <v>1.0900000000000001</v>
      </c>
      <c r="S174" s="214">
        <v>549071</v>
      </c>
      <c r="T174" s="214">
        <v>4141233</v>
      </c>
      <c r="U174" s="214">
        <v>0</v>
      </c>
      <c r="V174" s="187">
        <f t="shared" si="6"/>
        <v>4141233</v>
      </c>
      <c r="W174" s="187">
        <f t="shared" si="7"/>
        <v>4690304</v>
      </c>
    </row>
    <row r="175" spans="1:23">
      <c r="A175" s="216" t="s">
        <v>1526</v>
      </c>
      <c r="B175" s="218">
        <v>1218.0440000000001</v>
      </c>
      <c r="C175" s="218">
        <v>1272.5820000000001</v>
      </c>
      <c r="D175" s="218">
        <v>1301.83</v>
      </c>
      <c r="E175" s="218">
        <v>1337.008</v>
      </c>
      <c r="F175" s="218">
        <v>150.8485</v>
      </c>
      <c r="G175" s="218">
        <v>171.06209999999999</v>
      </c>
      <c r="H175" s="218">
        <v>179.9332</v>
      </c>
      <c r="I175" s="218">
        <v>187.3047</v>
      </c>
      <c r="J175" s="246">
        <v>183777834</v>
      </c>
      <c r="K175" s="246">
        <v>198101701</v>
      </c>
      <c r="L175" s="218">
        <v>1818.425</v>
      </c>
      <c r="M175" s="246">
        <v>193857</v>
      </c>
      <c r="N175" s="251">
        <v>109.3784</v>
      </c>
      <c r="O175" s="251">
        <v>120.22580000000001</v>
      </c>
      <c r="P175" s="251">
        <v>124.42</v>
      </c>
      <c r="Q175" s="251">
        <v>128.89359999999999</v>
      </c>
      <c r="R175" s="254">
        <v>1.08</v>
      </c>
      <c r="S175" s="214">
        <v>272549</v>
      </c>
      <c r="T175" s="214">
        <v>2787755</v>
      </c>
      <c r="U175" s="214">
        <v>0</v>
      </c>
      <c r="V175" s="187">
        <f t="shared" si="6"/>
        <v>2787755</v>
      </c>
      <c r="W175" s="187">
        <f t="shared" si="7"/>
        <v>3060304</v>
      </c>
    </row>
    <row r="176" spans="1:23">
      <c r="A176" s="216" t="s">
        <v>1312</v>
      </c>
      <c r="B176" s="218">
        <v>5384.7479999999996</v>
      </c>
      <c r="C176" s="218">
        <v>7039.8760000000002</v>
      </c>
      <c r="D176" s="218">
        <v>8903.49</v>
      </c>
      <c r="E176" s="218">
        <v>10663.317999999999</v>
      </c>
      <c r="F176" s="218">
        <v>672.98329999999999</v>
      </c>
      <c r="G176" s="218">
        <v>883.13030000000003</v>
      </c>
      <c r="H176" s="218">
        <v>1143.6905999999999</v>
      </c>
      <c r="I176" s="218">
        <v>1452.2035000000001</v>
      </c>
      <c r="J176" s="246">
        <v>4477300189</v>
      </c>
      <c r="K176" s="246">
        <v>4591110063</v>
      </c>
      <c r="L176" s="218">
        <v>12257.485000000001</v>
      </c>
      <c r="M176" s="246">
        <v>12169617</v>
      </c>
      <c r="N176" s="251">
        <v>437.43099999999998</v>
      </c>
      <c r="O176" s="251">
        <v>577.98299999999995</v>
      </c>
      <c r="P176" s="251">
        <v>767.39689999999996</v>
      </c>
      <c r="Q176" s="251">
        <v>938.47889999999995</v>
      </c>
      <c r="R176" s="254">
        <v>1.0900000000000001</v>
      </c>
      <c r="S176" s="214">
        <v>14499687</v>
      </c>
      <c r="T176" s="214">
        <v>68856625</v>
      </c>
      <c r="U176" s="214">
        <v>0</v>
      </c>
      <c r="V176" s="187">
        <f t="shared" si="6"/>
        <v>68856625</v>
      </c>
      <c r="W176" s="187">
        <f t="shared" si="7"/>
        <v>83356312</v>
      </c>
    </row>
    <row r="177" spans="1:23">
      <c r="A177" s="216" t="s">
        <v>6168</v>
      </c>
      <c r="B177" s="218">
        <v>10238.996999999999</v>
      </c>
      <c r="C177" s="218">
        <v>11391.679</v>
      </c>
      <c r="D177" s="218">
        <v>12824.556</v>
      </c>
      <c r="E177" s="218">
        <v>14258.768</v>
      </c>
      <c r="F177" s="218">
        <v>1042.8835999999999</v>
      </c>
      <c r="G177" s="218">
        <v>1269.1487999999999</v>
      </c>
      <c r="H177" s="218">
        <v>1488.624</v>
      </c>
      <c r="I177" s="218">
        <v>1665.7965999999999</v>
      </c>
      <c r="J177" s="246">
        <v>4223883580</v>
      </c>
      <c r="K177" s="246">
        <v>4362987472</v>
      </c>
      <c r="L177" s="218">
        <v>17276.457999999999</v>
      </c>
      <c r="M177" s="246">
        <v>12249262</v>
      </c>
      <c r="N177" s="251">
        <v>743.10400000000004</v>
      </c>
      <c r="O177" s="251">
        <v>923.12279999999998</v>
      </c>
      <c r="P177" s="251">
        <v>1085.6174000000001</v>
      </c>
      <c r="Q177" s="251">
        <v>1221.4666</v>
      </c>
      <c r="R177" s="254">
        <v>1.1200000000000001</v>
      </c>
      <c r="S177" s="214">
        <v>23736250</v>
      </c>
      <c r="T177" s="214">
        <v>72774237</v>
      </c>
      <c r="U177" s="214">
        <v>0</v>
      </c>
      <c r="V177" s="187">
        <f t="shared" si="6"/>
        <v>72774237</v>
      </c>
      <c r="W177" s="187">
        <f t="shared" si="7"/>
        <v>96510487</v>
      </c>
    </row>
    <row r="178" spans="1:23">
      <c r="A178" s="216" t="s">
        <v>5913</v>
      </c>
      <c r="B178" s="218">
        <v>373.71100000000001</v>
      </c>
      <c r="C178" s="218">
        <v>366.28300000000002</v>
      </c>
      <c r="D178" s="218">
        <v>399.78</v>
      </c>
      <c r="E178" s="218">
        <v>436.798</v>
      </c>
      <c r="F178" s="218">
        <v>59.687100000000001</v>
      </c>
      <c r="G178" s="218">
        <v>61.735300000000002</v>
      </c>
      <c r="H178" s="218">
        <v>62.9572</v>
      </c>
      <c r="I178" s="218">
        <v>65.861000000000004</v>
      </c>
      <c r="J178" s="246">
        <v>157461104</v>
      </c>
      <c r="K178" s="246">
        <v>164074083</v>
      </c>
      <c r="L178" s="218">
        <v>689.375</v>
      </c>
      <c r="M178" s="246">
        <v>144783</v>
      </c>
      <c r="N178" s="251">
        <v>39.701900000000002</v>
      </c>
      <c r="O178" s="251">
        <v>42.064999999999998</v>
      </c>
      <c r="P178" s="251">
        <v>42.214599999999997</v>
      </c>
      <c r="Q178" s="251">
        <v>44.909399999999998</v>
      </c>
      <c r="R178" s="254">
        <v>1.08</v>
      </c>
      <c r="S178" s="214">
        <v>346669</v>
      </c>
      <c r="T178" s="214">
        <v>2669859</v>
      </c>
      <c r="U178" s="214">
        <v>0</v>
      </c>
      <c r="V178" s="187">
        <f t="shared" si="6"/>
        <v>2669859</v>
      </c>
      <c r="W178" s="187">
        <f t="shared" si="7"/>
        <v>3016528</v>
      </c>
    </row>
    <row r="179" spans="1:23">
      <c r="A179" s="216" t="s">
        <v>3546</v>
      </c>
      <c r="B179" s="218">
        <v>41979.428</v>
      </c>
      <c r="C179" s="218">
        <v>43658.601999999999</v>
      </c>
      <c r="D179" s="218">
        <v>45890.222999999998</v>
      </c>
      <c r="E179" s="218">
        <v>47807.245000000003</v>
      </c>
      <c r="F179" s="218">
        <v>5248.8415999999997</v>
      </c>
      <c r="G179" s="218">
        <v>5609.6697999999997</v>
      </c>
      <c r="H179" s="218">
        <v>5880.6418000000003</v>
      </c>
      <c r="I179" s="218">
        <v>6155.6572999999999</v>
      </c>
      <c r="J179" s="246">
        <v>25625181207</v>
      </c>
      <c r="K179" s="246">
        <v>26273649940</v>
      </c>
      <c r="L179" s="218">
        <v>57839.953999999998</v>
      </c>
      <c r="M179" s="246">
        <v>47906939</v>
      </c>
      <c r="N179" s="251">
        <v>3729.5392000000002</v>
      </c>
      <c r="O179" s="251">
        <v>4011.2817</v>
      </c>
      <c r="P179" s="251">
        <v>4265.5185000000001</v>
      </c>
      <c r="Q179" s="251">
        <v>4400.3576999999996</v>
      </c>
      <c r="R179" s="254">
        <v>1.1299999999999999</v>
      </c>
      <c r="S179" s="214">
        <v>63680527</v>
      </c>
      <c r="T179" s="214">
        <v>396739905</v>
      </c>
      <c r="U179" s="214">
        <v>0</v>
      </c>
      <c r="V179" s="187">
        <f t="shared" si="6"/>
        <v>396739905</v>
      </c>
      <c r="W179" s="187">
        <f t="shared" si="7"/>
        <v>460420432</v>
      </c>
    </row>
    <row r="180" spans="1:23">
      <c r="A180" s="216" t="s">
        <v>5132</v>
      </c>
      <c r="B180" s="218">
        <v>1893.1859999999999</v>
      </c>
      <c r="C180" s="218">
        <v>2007.9870000000001</v>
      </c>
      <c r="D180" s="218">
        <v>2083.3389999999999</v>
      </c>
      <c r="E180" s="218">
        <v>2087.625</v>
      </c>
      <c r="F180" s="218">
        <v>266.67989999999998</v>
      </c>
      <c r="G180" s="218">
        <v>275.0206</v>
      </c>
      <c r="H180" s="218">
        <v>291.24520000000001</v>
      </c>
      <c r="I180" s="218">
        <v>290.2081</v>
      </c>
      <c r="J180" s="246">
        <v>251150352</v>
      </c>
      <c r="K180" s="246">
        <v>273628408</v>
      </c>
      <c r="L180" s="218">
        <v>2839.1320000000001</v>
      </c>
      <c r="M180" s="246">
        <v>139751</v>
      </c>
      <c r="N180" s="251">
        <v>175.86670000000001</v>
      </c>
      <c r="O180" s="251">
        <v>178.99610000000001</v>
      </c>
      <c r="P180" s="251">
        <v>188.12559999999999</v>
      </c>
      <c r="Q180" s="251">
        <v>187.3964</v>
      </c>
      <c r="R180" s="254">
        <v>1.0900000000000001</v>
      </c>
      <c r="S180" s="214">
        <v>1087850</v>
      </c>
      <c r="T180" s="214">
        <v>3775588</v>
      </c>
      <c r="U180" s="214">
        <v>0</v>
      </c>
      <c r="V180" s="187">
        <f t="shared" si="6"/>
        <v>3775588</v>
      </c>
      <c r="W180" s="187">
        <f t="shared" si="7"/>
        <v>4863438</v>
      </c>
    </row>
    <row r="181" spans="1:23">
      <c r="A181" s="216" t="s">
        <v>649</v>
      </c>
      <c r="B181" s="218">
        <v>865.24699999999996</v>
      </c>
      <c r="C181" s="218">
        <v>918.96</v>
      </c>
      <c r="D181" s="218">
        <v>1027.673</v>
      </c>
      <c r="E181" s="218">
        <v>1186.9580000000001</v>
      </c>
      <c r="F181" s="218">
        <v>125.35850000000001</v>
      </c>
      <c r="G181" s="218">
        <v>144.1634</v>
      </c>
      <c r="H181" s="218">
        <v>158.80260000000001</v>
      </c>
      <c r="I181" s="218">
        <v>165.8742</v>
      </c>
      <c r="J181" s="246">
        <v>326477660</v>
      </c>
      <c r="K181" s="246">
        <v>337183503</v>
      </c>
      <c r="L181" s="218">
        <v>1599.6990000000001</v>
      </c>
      <c r="M181" s="246">
        <v>520160</v>
      </c>
      <c r="N181" s="251">
        <v>84.620800000000003</v>
      </c>
      <c r="O181" s="251">
        <v>91.859399999999994</v>
      </c>
      <c r="P181" s="251">
        <v>104.0622</v>
      </c>
      <c r="Q181" s="251">
        <v>109.7711</v>
      </c>
      <c r="R181" s="254">
        <v>1.07</v>
      </c>
      <c r="S181" s="214">
        <v>1346467</v>
      </c>
      <c r="T181" s="214">
        <v>6453490</v>
      </c>
      <c r="U181" s="214">
        <v>0</v>
      </c>
      <c r="V181" s="187">
        <f t="shared" si="6"/>
        <v>6453490</v>
      </c>
      <c r="W181" s="187">
        <f t="shared" si="7"/>
        <v>7799957</v>
      </c>
    </row>
    <row r="182" spans="1:23">
      <c r="A182" s="216" t="s">
        <v>861</v>
      </c>
      <c r="B182" s="218">
        <v>4159.8029999999999</v>
      </c>
      <c r="C182" s="218">
        <v>4363.567</v>
      </c>
      <c r="D182" s="218">
        <v>4790.2510000000002</v>
      </c>
      <c r="E182" s="218">
        <v>5442.2359999999999</v>
      </c>
      <c r="F182" s="218">
        <v>621.50139999999999</v>
      </c>
      <c r="G182" s="218">
        <v>676.43389999999999</v>
      </c>
      <c r="H182" s="218">
        <v>723.79849999999999</v>
      </c>
      <c r="I182" s="218">
        <v>835.1866</v>
      </c>
      <c r="J182" s="246">
        <v>1053912652</v>
      </c>
      <c r="K182" s="246">
        <v>1107080838</v>
      </c>
      <c r="L182" s="218">
        <v>6496.259</v>
      </c>
      <c r="M182" s="246">
        <v>1399323</v>
      </c>
      <c r="N182" s="251">
        <v>367.23919999999998</v>
      </c>
      <c r="O182" s="251">
        <v>403.66770000000002</v>
      </c>
      <c r="P182" s="251">
        <v>430.35829999999999</v>
      </c>
      <c r="Q182" s="251">
        <v>501.00830000000002</v>
      </c>
      <c r="R182" s="254">
        <v>1.1000000000000001</v>
      </c>
      <c r="S182" s="214">
        <v>2353768</v>
      </c>
      <c r="T182" s="214">
        <v>18732796</v>
      </c>
      <c r="U182" s="214">
        <v>0</v>
      </c>
      <c r="V182" s="187">
        <f t="shared" si="6"/>
        <v>18732796</v>
      </c>
      <c r="W182" s="187">
        <f t="shared" si="7"/>
        <v>21086564</v>
      </c>
    </row>
    <row r="183" spans="1:23">
      <c r="A183" s="216" t="s">
        <v>956</v>
      </c>
      <c r="B183" s="218">
        <v>596.60599999999999</v>
      </c>
      <c r="C183" s="218">
        <v>610.83900000000006</v>
      </c>
      <c r="D183" s="218">
        <v>643.298</v>
      </c>
      <c r="E183" s="218">
        <v>659.38800000000003</v>
      </c>
      <c r="F183" s="218">
        <v>88.778300000000002</v>
      </c>
      <c r="G183" s="218">
        <v>97.050899999999999</v>
      </c>
      <c r="H183" s="218">
        <v>103.64449999999999</v>
      </c>
      <c r="I183" s="218">
        <v>119.15260000000001</v>
      </c>
      <c r="J183" s="246">
        <v>69060092</v>
      </c>
      <c r="K183" s="246">
        <v>75671462</v>
      </c>
      <c r="L183" s="218">
        <v>1049.1780000000001</v>
      </c>
      <c r="M183" s="246">
        <v>31879</v>
      </c>
      <c r="N183" s="251">
        <v>59.5944</v>
      </c>
      <c r="O183" s="251">
        <v>64.780299999999997</v>
      </c>
      <c r="P183" s="251">
        <v>67.806700000000006</v>
      </c>
      <c r="Q183" s="251">
        <v>69.807299999999998</v>
      </c>
      <c r="R183" s="254">
        <v>1.08</v>
      </c>
      <c r="S183" s="214">
        <v>287215</v>
      </c>
      <c r="T183" s="214">
        <v>1144522</v>
      </c>
      <c r="U183" s="214">
        <v>28418</v>
      </c>
      <c r="V183" s="187">
        <f t="shared" si="6"/>
        <v>1172940</v>
      </c>
      <c r="W183" s="187">
        <f t="shared" si="7"/>
        <v>1460155</v>
      </c>
    </row>
    <row r="184" spans="1:23">
      <c r="A184" s="216" t="s">
        <v>236</v>
      </c>
      <c r="B184" s="218">
        <v>1196.758</v>
      </c>
      <c r="C184" s="218">
        <v>1277.6130000000001</v>
      </c>
      <c r="D184" s="218">
        <v>1304.5139999999999</v>
      </c>
      <c r="E184" s="218">
        <v>1329.066</v>
      </c>
      <c r="F184" s="218">
        <v>182.05959999999999</v>
      </c>
      <c r="G184" s="218">
        <v>195.9554</v>
      </c>
      <c r="H184" s="218">
        <v>205.13069999999999</v>
      </c>
      <c r="I184" s="218">
        <v>209.25389999999999</v>
      </c>
      <c r="J184" s="246">
        <v>176862709</v>
      </c>
      <c r="K184" s="246">
        <v>189543015</v>
      </c>
      <c r="L184" s="218">
        <v>1853.3489999999999</v>
      </c>
      <c r="M184" s="246">
        <v>260114</v>
      </c>
      <c r="N184" s="251">
        <v>102.9973</v>
      </c>
      <c r="O184" s="251">
        <v>131.73269999999999</v>
      </c>
      <c r="P184" s="251">
        <v>134.6336</v>
      </c>
      <c r="Q184" s="251">
        <v>136.37960000000001</v>
      </c>
      <c r="R184" s="254">
        <v>1.08</v>
      </c>
      <c r="S184" s="214">
        <v>330780</v>
      </c>
      <c r="T184" s="214">
        <v>2745347</v>
      </c>
      <c r="U184" s="214">
        <v>0</v>
      </c>
      <c r="V184" s="187">
        <f t="shared" si="6"/>
        <v>2745347</v>
      </c>
      <c r="W184" s="187">
        <f t="shared" si="7"/>
        <v>3076127</v>
      </c>
    </row>
    <row r="185" spans="1:23">
      <c r="A185" s="216" t="s">
        <v>3548</v>
      </c>
      <c r="B185" s="218">
        <v>648.92600000000004</v>
      </c>
      <c r="C185" s="218">
        <v>673.13699999999994</v>
      </c>
      <c r="D185" s="218">
        <v>716.86099999999999</v>
      </c>
      <c r="E185" s="218">
        <v>871.93299999999999</v>
      </c>
      <c r="F185" s="218">
        <v>81.142499999999998</v>
      </c>
      <c r="G185" s="218">
        <v>107.3146</v>
      </c>
      <c r="H185" s="218">
        <v>112.0645</v>
      </c>
      <c r="I185" s="218">
        <v>126.6734</v>
      </c>
      <c r="J185" s="246">
        <v>545587129</v>
      </c>
      <c r="K185" s="246">
        <v>561869385</v>
      </c>
      <c r="L185" s="218">
        <v>1139.4369999999999</v>
      </c>
      <c r="M185" s="246">
        <v>828530</v>
      </c>
      <c r="N185" s="251">
        <v>57.650100000000002</v>
      </c>
      <c r="O185" s="251">
        <v>72.500799999999998</v>
      </c>
      <c r="P185" s="251">
        <v>69.000799999999998</v>
      </c>
      <c r="Q185" s="251">
        <v>82.781499999999994</v>
      </c>
      <c r="R185" s="254">
        <v>1.07</v>
      </c>
      <c r="S185" s="214">
        <v>1027612</v>
      </c>
      <c r="T185" s="214">
        <v>9945304</v>
      </c>
      <c r="U185" s="214">
        <v>0</v>
      </c>
      <c r="V185" s="187">
        <f t="shared" si="6"/>
        <v>9945304</v>
      </c>
      <c r="W185" s="187">
        <f t="shared" si="7"/>
        <v>10972916</v>
      </c>
    </row>
    <row r="186" spans="1:23">
      <c r="A186" s="216" t="s">
        <v>3550</v>
      </c>
      <c r="B186" s="218">
        <v>605.32799999999997</v>
      </c>
      <c r="C186" s="218">
        <v>571.88400000000001</v>
      </c>
      <c r="D186" s="218">
        <v>558.17999999999995</v>
      </c>
      <c r="E186" s="218">
        <v>549.60400000000004</v>
      </c>
      <c r="F186" s="218">
        <v>112.6066</v>
      </c>
      <c r="G186" s="218">
        <v>108.872</v>
      </c>
      <c r="H186" s="218">
        <v>109.6206</v>
      </c>
      <c r="I186" s="218">
        <v>102.5939</v>
      </c>
      <c r="J186" s="246">
        <v>53652820</v>
      </c>
      <c r="K186" s="246">
        <v>60538140</v>
      </c>
      <c r="L186" s="218">
        <v>1096.3109999999999</v>
      </c>
      <c r="M186" s="187">
        <v>0</v>
      </c>
      <c r="N186" s="251">
        <v>78.036500000000004</v>
      </c>
      <c r="O186" s="251">
        <v>77.3566</v>
      </c>
      <c r="P186" s="251">
        <v>76.496399999999994</v>
      </c>
      <c r="Q186" s="251">
        <v>69.727900000000005</v>
      </c>
      <c r="R186" s="254">
        <v>1.08</v>
      </c>
      <c r="S186" s="214">
        <v>0</v>
      </c>
      <c r="T186" s="214">
        <v>750625</v>
      </c>
      <c r="U186" s="214">
        <v>0</v>
      </c>
      <c r="V186" s="187">
        <f t="shared" si="6"/>
        <v>750625</v>
      </c>
      <c r="W186" s="187">
        <f t="shared" si="7"/>
        <v>750625</v>
      </c>
    </row>
    <row r="187" spans="1:23">
      <c r="A187" s="216" t="s">
        <v>206</v>
      </c>
      <c r="B187" s="218">
        <v>100.571</v>
      </c>
      <c r="C187" s="218">
        <v>104.84399999999999</v>
      </c>
      <c r="D187" s="218">
        <v>103.776</v>
      </c>
      <c r="E187" s="218">
        <v>100.901</v>
      </c>
      <c r="F187" s="218">
        <v>21.9466</v>
      </c>
      <c r="G187" s="218">
        <v>24.866399999999999</v>
      </c>
      <c r="H187" s="218">
        <v>26.866399999999999</v>
      </c>
      <c r="I187" s="218">
        <v>26.802199999999999</v>
      </c>
      <c r="J187" s="246">
        <v>24321089</v>
      </c>
      <c r="K187" s="246">
        <v>24773609</v>
      </c>
      <c r="L187" s="218">
        <v>252.005</v>
      </c>
      <c r="M187" s="187">
        <v>0</v>
      </c>
      <c r="N187" s="251">
        <v>16.001100000000001</v>
      </c>
      <c r="O187" s="251">
        <v>16.921399999999998</v>
      </c>
      <c r="P187" s="251">
        <v>18.2788</v>
      </c>
      <c r="Q187" s="251">
        <v>19.8461</v>
      </c>
      <c r="R187" s="254">
        <v>1.07</v>
      </c>
      <c r="S187" s="214">
        <v>0</v>
      </c>
      <c r="T187" s="214">
        <v>364888</v>
      </c>
      <c r="U187" s="214">
        <v>0</v>
      </c>
      <c r="V187" s="187">
        <f t="shared" si="6"/>
        <v>364888</v>
      </c>
      <c r="W187" s="187">
        <f t="shared" si="7"/>
        <v>364888</v>
      </c>
    </row>
    <row r="188" spans="1:23">
      <c r="A188" s="216" t="s">
        <v>234</v>
      </c>
      <c r="B188" s="218">
        <v>1569.3889999999999</v>
      </c>
      <c r="C188" s="218">
        <v>1508.38</v>
      </c>
      <c r="D188" s="218">
        <v>1493.143</v>
      </c>
      <c r="E188" s="218">
        <v>1488.93</v>
      </c>
      <c r="F188" s="218">
        <v>218.37459999999999</v>
      </c>
      <c r="G188" s="218">
        <v>234.7757</v>
      </c>
      <c r="H188" s="218">
        <v>225.96530000000001</v>
      </c>
      <c r="I188" s="218">
        <v>219.7088</v>
      </c>
      <c r="J188" s="246">
        <v>391952513</v>
      </c>
      <c r="K188" s="246">
        <v>416964856</v>
      </c>
      <c r="L188" s="218">
        <v>2113.0439999999999</v>
      </c>
      <c r="M188" s="246">
        <v>8208</v>
      </c>
      <c r="N188" s="251">
        <v>139.01300000000001</v>
      </c>
      <c r="O188" s="251">
        <v>150.77010000000001</v>
      </c>
      <c r="P188" s="251">
        <v>144.69370000000001</v>
      </c>
      <c r="Q188" s="251">
        <v>144.44110000000001</v>
      </c>
      <c r="R188" s="254">
        <v>1.07</v>
      </c>
      <c r="S188" s="214">
        <v>231139</v>
      </c>
      <c r="T188" s="214">
        <v>5672901</v>
      </c>
      <c r="U188" s="214">
        <v>0</v>
      </c>
      <c r="V188" s="187">
        <f t="shared" si="6"/>
        <v>5672901</v>
      </c>
      <c r="W188" s="187">
        <f t="shared" si="7"/>
        <v>5904040</v>
      </c>
    </row>
    <row r="189" spans="1:23">
      <c r="A189" s="216" t="s">
        <v>208</v>
      </c>
      <c r="B189" s="218">
        <v>1428.3409999999999</v>
      </c>
      <c r="C189" s="218">
        <v>1426.7760000000001</v>
      </c>
      <c r="D189" s="218">
        <v>1384.6669999999999</v>
      </c>
      <c r="E189" s="218">
        <v>1346.3119999999999</v>
      </c>
      <c r="F189" s="218">
        <v>214.62559999999999</v>
      </c>
      <c r="G189" s="218">
        <v>219.4169</v>
      </c>
      <c r="H189" s="218">
        <v>232.51060000000001</v>
      </c>
      <c r="I189" s="218">
        <v>217.42509999999999</v>
      </c>
      <c r="J189" s="246">
        <v>400903507</v>
      </c>
      <c r="K189" s="246">
        <v>415832281</v>
      </c>
      <c r="L189" s="218">
        <v>2181.2429999999999</v>
      </c>
      <c r="M189" s="246">
        <v>321544</v>
      </c>
      <c r="N189" s="251">
        <v>147.16650000000001</v>
      </c>
      <c r="O189" s="251">
        <v>152.01150000000001</v>
      </c>
      <c r="P189" s="251">
        <v>154.7473</v>
      </c>
      <c r="Q189" s="251">
        <v>153.85640000000001</v>
      </c>
      <c r="R189" s="254">
        <v>1.08</v>
      </c>
      <c r="S189" s="214">
        <v>144362</v>
      </c>
      <c r="T189" s="214">
        <v>5841211</v>
      </c>
      <c r="U189" s="214">
        <v>0</v>
      </c>
      <c r="V189" s="187">
        <f t="shared" si="6"/>
        <v>5841211</v>
      </c>
      <c r="W189" s="187">
        <f t="shared" si="7"/>
        <v>5985573</v>
      </c>
    </row>
    <row r="190" spans="1:23">
      <c r="A190" s="216" t="s">
        <v>210</v>
      </c>
      <c r="B190" s="218">
        <v>629.899</v>
      </c>
      <c r="C190" s="218">
        <v>628.93600000000004</v>
      </c>
      <c r="D190" s="218">
        <v>653.24900000000002</v>
      </c>
      <c r="E190" s="218">
        <v>659.86300000000006</v>
      </c>
      <c r="F190" s="218">
        <v>104.72920000000001</v>
      </c>
      <c r="G190" s="218">
        <v>107.32080000000001</v>
      </c>
      <c r="H190" s="218">
        <v>113.9532</v>
      </c>
      <c r="I190" s="218">
        <v>111.55759999999999</v>
      </c>
      <c r="J190" s="246">
        <v>152360019</v>
      </c>
      <c r="K190" s="246">
        <v>164877089</v>
      </c>
      <c r="L190" s="218">
        <v>1079.2090000000001</v>
      </c>
      <c r="M190" s="246">
        <v>320618</v>
      </c>
      <c r="N190" s="251">
        <v>78.653000000000006</v>
      </c>
      <c r="O190" s="251">
        <v>73.960700000000003</v>
      </c>
      <c r="P190" s="251">
        <v>80.185900000000004</v>
      </c>
      <c r="Q190" s="251">
        <v>77.420199999999994</v>
      </c>
      <c r="R190" s="254">
        <v>1.07</v>
      </c>
      <c r="S190" s="214">
        <v>281446</v>
      </c>
      <c r="T190" s="214">
        <v>2359890</v>
      </c>
      <c r="U190" s="214">
        <v>0</v>
      </c>
      <c r="V190" s="187">
        <f t="shared" si="6"/>
        <v>2359890</v>
      </c>
      <c r="W190" s="187">
        <f t="shared" si="7"/>
        <v>2641336</v>
      </c>
    </row>
    <row r="191" spans="1:23">
      <c r="A191" s="216" t="s">
        <v>212</v>
      </c>
      <c r="B191" s="218">
        <v>5616.5929999999998</v>
      </c>
      <c r="C191" s="218">
        <v>5590.7139999999999</v>
      </c>
      <c r="D191" s="218">
        <v>5689.4110000000001</v>
      </c>
      <c r="E191" s="218">
        <v>5867.8109999999997</v>
      </c>
      <c r="F191" s="218">
        <v>786.11220000000003</v>
      </c>
      <c r="G191" s="218">
        <v>801.81889999999999</v>
      </c>
      <c r="H191" s="218">
        <v>769.45529999999997</v>
      </c>
      <c r="I191" s="218">
        <v>774.17570000000001</v>
      </c>
      <c r="J191" s="246">
        <v>1364591595</v>
      </c>
      <c r="K191" s="246">
        <v>1446153051</v>
      </c>
      <c r="L191" s="218">
        <v>7253.02</v>
      </c>
      <c r="M191" s="246">
        <v>3647293</v>
      </c>
      <c r="N191" s="251">
        <v>452.04090000000002</v>
      </c>
      <c r="O191" s="251">
        <v>468.12979999999999</v>
      </c>
      <c r="P191" s="251">
        <v>462.38470000000001</v>
      </c>
      <c r="Q191" s="251">
        <v>481.01429999999999</v>
      </c>
      <c r="R191" s="254">
        <v>1.08</v>
      </c>
      <c r="S191" s="214">
        <v>5091707</v>
      </c>
      <c r="T191" s="214">
        <v>22072122</v>
      </c>
      <c r="U191" s="214">
        <v>0</v>
      </c>
      <c r="V191" s="187">
        <f t="shared" si="6"/>
        <v>22072122</v>
      </c>
      <c r="W191" s="187">
        <f t="shared" si="7"/>
        <v>27163829</v>
      </c>
    </row>
    <row r="192" spans="1:23">
      <c r="A192" s="216" t="s">
        <v>214</v>
      </c>
      <c r="B192" s="218">
        <v>9859.2289999999994</v>
      </c>
      <c r="C192" s="218">
        <v>10058.732</v>
      </c>
      <c r="D192" s="218">
        <v>10274.703</v>
      </c>
      <c r="E192" s="218">
        <v>10596.371999999999</v>
      </c>
      <c r="F192" s="218">
        <v>1552.1780000000001</v>
      </c>
      <c r="G192" s="218">
        <v>1603.9090000000001</v>
      </c>
      <c r="H192" s="218">
        <v>1660.4137000000001</v>
      </c>
      <c r="I192" s="218">
        <v>1673.1538</v>
      </c>
      <c r="J192" s="246">
        <v>3478362812</v>
      </c>
      <c r="K192" s="246">
        <v>3646306342</v>
      </c>
      <c r="L192" s="218">
        <v>13118.968999999999</v>
      </c>
      <c r="M192" s="246">
        <v>10087252</v>
      </c>
      <c r="N192" s="251">
        <v>923.59059999999999</v>
      </c>
      <c r="O192" s="251">
        <v>925.67280000000005</v>
      </c>
      <c r="P192" s="251">
        <v>930.80470000000003</v>
      </c>
      <c r="Q192" s="251">
        <v>908.77829999999994</v>
      </c>
      <c r="R192" s="254">
        <v>1.0900000000000001</v>
      </c>
      <c r="S192" s="214">
        <v>12140155</v>
      </c>
      <c r="T192" s="214">
        <v>56069382</v>
      </c>
      <c r="U192" s="214">
        <v>0</v>
      </c>
      <c r="V192" s="187">
        <f t="shared" si="6"/>
        <v>56069382</v>
      </c>
      <c r="W192" s="187">
        <f t="shared" si="7"/>
        <v>68209537</v>
      </c>
    </row>
    <row r="193" spans="1:23">
      <c r="A193" s="216" t="s">
        <v>2714</v>
      </c>
      <c r="B193" s="218">
        <v>1310.096</v>
      </c>
      <c r="C193" s="218">
        <v>1329.1489999999999</v>
      </c>
      <c r="D193" s="218">
        <v>1331.258</v>
      </c>
      <c r="E193" s="218">
        <v>1352.7149999999999</v>
      </c>
      <c r="F193" s="218">
        <v>170.6926</v>
      </c>
      <c r="G193" s="218">
        <v>171.47569999999999</v>
      </c>
      <c r="H193" s="218">
        <v>188.07220000000001</v>
      </c>
      <c r="I193" s="218">
        <v>196.2193</v>
      </c>
      <c r="J193" s="246">
        <v>160441310</v>
      </c>
      <c r="K193" s="246">
        <v>177264180</v>
      </c>
      <c r="L193" s="218">
        <v>2048.654</v>
      </c>
      <c r="M193" s="246">
        <v>130468</v>
      </c>
      <c r="N193" s="251">
        <v>119.06319999999999</v>
      </c>
      <c r="O193" s="251">
        <v>122.9419</v>
      </c>
      <c r="P193" s="251">
        <v>127.2098</v>
      </c>
      <c r="Q193" s="251">
        <v>133.43809999999999</v>
      </c>
      <c r="R193" s="254">
        <v>1.04</v>
      </c>
      <c r="S193" s="214">
        <v>158872</v>
      </c>
      <c r="T193" s="214">
        <v>1794269</v>
      </c>
      <c r="U193" s="214">
        <v>0</v>
      </c>
      <c r="V193" s="187">
        <f t="shared" si="6"/>
        <v>1794269</v>
      </c>
      <c r="W193" s="187">
        <f t="shared" si="7"/>
        <v>1953141</v>
      </c>
    </row>
    <row r="194" spans="1:23">
      <c r="A194" s="216" t="s">
        <v>250</v>
      </c>
      <c r="B194" s="218">
        <v>748.52200000000005</v>
      </c>
      <c r="C194" s="218">
        <v>719.01400000000001</v>
      </c>
      <c r="D194" s="218">
        <v>703.34199999999998</v>
      </c>
      <c r="E194" s="218">
        <v>683.85900000000004</v>
      </c>
      <c r="F194" s="218">
        <v>122.1476</v>
      </c>
      <c r="G194" s="218">
        <v>124.9271</v>
      </c>
      <c r="H194" s="218">
        <v>125.6836</v>
      </c>
      <c r="I194" s="218">
        <v>122.5761</v>
      </c>
      <c r="J194" s="246">
        <v>108587321</v>
      </c>
      <c r="K194" s="246">
        <v>119379801</v>
      </c>
      <c r="L194" s="218">
        <v>1072.6189999999999</v>
      </c>
      <c r="M194" s="246">
        <v>25998</v>
      </c>
      <c r="N194" s="251">
        <v>86.049800000000005</v>
      </c>
      <c r="O194" s="251">
        <v>84.343999999999994</v>
      </c>
      <c r="P194" s="251">
        <v>86.122600000000006</v>
      </c>
      <c r="Q194" s="251">
        <v>81.381100000000004</v>
      </c>
      <c r="R194" s="254">
        <v>1.04</v>
      </c>
      <c r="S194" s="214">
        <v>27895</v>
      </c>
      <c r="T194" s="214">
        <v>1399014</v>
      </c>
      <c r="U194" s="214">
        <v>58828</v>
      </c>
      <c r="V194" s="187">
        <f t="shared" si="6"/>
        <v>1457842</v>
      </c>
      <c r="W194" s="187">
        <f t="shared" si="7"/>
        <v>1485737</v>
      </c>
    </row>
    <row r="195" spans="1:23">
      <c r="A195" s="216" t="s">
        <v>2162</v>
      </c>
      <c r="B195" s="218">
        <v>207.26900000000001</v>
      </c>
      <c r="C195" s="218">
        <v>199.22399999999999</v>
      </c>
      <c r="D195" s="218">
        <v>210.99799999999999</v>
      </c>
      <c r="E195" s="218">
        <v>205.15299999999999</v>
      </c>
      <c r="F195" s="218">
        <v>40.515500000000003</v>
      </c>
      <c r="G195" s="218">
        <v>41.033200000000001</v>
      </c>
      <c r="H195" s="218">
        <v>41.547600000000003</v>
      </c>
      <c r="I195" s="218">
        <v>37.205300000000001</v>
      </c>
      <c r="J195" s="246">
        <v>24260564</v>
      </c>
      <c r="K195" s="246">
        <v>27033474</v>
      </c>
      <c r="L195" s="218">
        <v>366.69400000000002</v>
      </c>
      <c r="M195" s="187">
        <v>0</v>
      </c>
      <c r="N195" s="251">
        <v>27.503799999999998</v>
      </c>
      <c r="O195" s="251">
        <v>28.153700000000001</v>
      </c>
      <c r="P195" s="251">
        <v>29.483000000000001</v>
      </c>
      <c r="Q195" s="251">
        <v>26.501200000000001</v>
      </c>
      <c r="R195" s="254">
        <v>1.05</v>
      </c>
      <c r="S195" s="214">
        <v>18776</v>
      </c>
      <c r="T195" s="214">
        <v>352397</v>
      </c>
      <c r="U195" s="214">
        <v>0</v>
      </c>
      <c r="V195" s="187">
        <f t="shared" si="6"/>
        <v>352397</v>
      </c>
      <c r="W195" s="187">
        <f t="shared" si="7"/>
        <v>371173</v>
      </c>
    </row>
    <row r="196" spans="1:23">
      <c r="A196" s="216" t="s">
        <v>2716</v>
      </c>
      <c r="B196" s="218">
        <v>124.274</v>
      </c>
      <c r="C196" s="218">
        <v>115.209</v>
      </c>
      <c r="D196" s="218">
        <v>117.01300000000001</v>
      </c>
      <c r="E196" s="218">
        <v>123.19199999999999</v>
      </c>
      <c r="F196" s="218">
        <v>24.5</v>
      </c>
      <c r="G196" s="218">
        <v>25.4786</v>
      </c>
      <c r="H196" s="218">
        <v>24.9786</v>
      </c>
      <c r="I196" s="218">
        <v>24.9786</v>
      </c>
      <c r="J196" s="246">
        <v>12581142</v>
      </c>
      <c r="K196" s="246">
        <v>14115812</v>
      </c>
      <c r="L196" s="218">
        <v>290.24</v>
      </c>
      <c r="M196" s="187">
        <v>0</v>
      </c>
      <c r="N196" s="251">
        <v>16.4011</v>
      </c>
      <c r="O196" s="251">
        <v>17.500599999999999</v>
      </c>
      <c r="P196" s="251">
        <v>18.644100000000002</v>
      </c>
      <c r="Q196" s="251">
        <v>14.001099999999999</v>
      </c>
      <c r="R196" s="254">
        <v>1.04</v>
      </c>
      <c r="S196" s="214">
        <v>0</v>
      </c>
      <c r="T196" s="214">
        <v>188521</v>
      </c>
      <c r="U196" s="214">
        <v>0</v>
      </c>
      <c r="V196" s="187">
        <f t="shared" si="6"/>
        <v>188521</v>
      </c>
      <c r="W196" s="187">
        <f t="shared" si="7"/>
        <v>188521</v>
      </c>
    </row>
    <row r="197" spans="1:23">
      <c r="A197" s="216" t="s">
        <v>2718</v>
      </c>
      <c r="B197" s="218">
        <v>328.834</v>
      </c>
      <c r="C197" s="218">
        <v>308.20499999999998</v>
      </c>
      <c r="D197" s="218">
        <v>298.89699999999999</v>
      </c>
      <c r="E197" s="218">
        <v>279.82900000000001</v>
      </c>
      <c r="F197" s="218">
        <v>68.649799999999999</v>
      </c>
      <c r="G197" s="218">
        <v>66.641900000000007</v>
      </c>
      <c r="H197" s="218">
        <v>58.246099999999998</v>
      </c>
      <c r="I197" s="218">
        <v>54.069600000000001</v>
      </c>
      <c r="J197" s="246">
        <v>113967930</v>
      </c>
      <c r="K197" s="246">
        <v>118486960</v>
      </c>
      <c r="L197" s="218">
        <v>556.72500000000002</v>
      </c>
      <c r="M197" s="187">
        <v>0</v>
      </c>
      <c r="N197" s="251">
        <v>41.738</v>
      </c>
      <c r="O197" s="251">
        <v>40.386499999999998</v>
      </c>
      <c r="P197" s="251">
        <v>35.076599999999999</v>
      </c>
      <c r="Q197" s="251">
        <v>32.197800000000001</v>
      </c>
      <c r="R197" s="254">
        <v>1.04</v>
      </c>
      <c r="S197" s="214">
        <v>0</v>
      </c>
      <c r="T197" s="214">
        <v>1606638</v>
      </c>
      <c r="U197" s="214">
        <v>0</v>
      </c>
      <c r="V197" s="187">
        <f t="shared" ref="V197:V260" si="8">T197+U197</f>
        <v>1606638</v>
      </c>
      <c r="W197" s="187">
        <f t="shared" ref="W197:W260" si="9">V197+S197</f>
        <v>1606638</v>
      </c>
    </row>
    <row r="198" spans="1:23">
      <c r="A198" s="216" t="s">
        <v>2720</v>
      </c>
      <c r="B198" s="218">
        <v>157.16499999999999</v>
      </c>
      <c r="C198" s="218">
        <v>148.15799999999999</v>
      </c>
      <c r="D198" s="218">
        <v>153.04400000000001</v>
      </c>
      <c r="E198" s="218">
        <v>153.672</v>
      </c>
      <c r="F198" s="218">
        <v>30.5</v>
      </c>
      <c r="G198" s="218">
        <v>29.6721</v>
      </c>
      <c r="H198" s="218">
        <v>32.522500000000001</v>
      </c>
      <c r="I198" s="218">
        <v>32.897199999999998</v>
      </c>
      <c r="J198" s="246">
        <v>49352479</v>
      </c>
      <c r="K198" s="246">
        <v>51028879</v>
      </c>
      <c r="L198" s="218">
        <v>331.68200000000002</v>
      </c>
      <c r="M198" s="187">
        <v>0</v>
      </c>
      <c r="N198" s="251">
        <v>19.6206</v>
      </c>
      <c r="O198" s="251">
        <v>17.302600000000002</v>
      </c>
      <c r="P198" s="251">
        <v>19.348500000000001</v>
      </c>
      <c r="Q198" s="251">
        <v>20.179200000000002</v>
      </c>
      <c r="R198" s="254">
        <v>1.06</v>
      </c>
      <c r="S198" s="214">
        <v>0</v>
      </c>
      <c r="T198" s="214">
        <v>741042</v>
      </c>
      <c r="U198" s="214">
        <v>0</v>
      </c>
      <c r="V198" s="187">
        <f t="shared" si="8"/>
        <v>741042</v>
      </c>
      <c r="W198" s="187">
        <f t="shared" si="9"/>
        <v>741042</v>
      </c>
    </row>
    <row r="199" spans="1:23">
      <c r="A199" s="216" t="s">
        <v>1314</v>
      </c>
      <c r="B199" s="218">
        <v>2633.5819999999999</v>
      </c>
      <c r="C199" s="218">
        <v>2734.1950000000002</v>
      </c>
      <c r="D199" s="218">
        <v>2732.49</v>
      </c>
      <c r="E199" s="218">
        <v>2736.4670000000001</v>
      </c>
      <c r="F199" s="218">
        <v>385.26299999999998</v>
      </c>
      <c r="G199" s="218">
        <v>375.12990000000002</v>
      </c>
      <c r="H199" s="218">
        <v>417.42750000000001</v>
      </c>
      <c r="I199" s="218">
        <v>440.50069999999999</v>
      </c>
      <c r="J199" s="246">
        <v>528546933</v>
      </c>
      <c r="K199" s="246">
        <v>566899533</v>
      </c>
      <c r="L199" s="218">
        <v>3915.5010000000002</v>
      </c>
      <c r="M199" s="246">
        <v>227533</v>
      </c>
      <c r="N199" s="251">
        <v>272.69490000000002</v>
      </c>
      <c r="O199" s="251">
        <v>252.76840000000001</v>
      </c>
      <c r="P199" s="251">
        <v>274.51609999999999</v>
      </c>
      <c r="Q199" s="251">
        <v>285.74130000000002</v>
      </c>
      <c r="R199" s="254">
        <v>1.0900000000000001</v>
      </c>
      <c r="S199" s="214">
        <v>444476</v>
      </c>
      <c r="T199" s="214">
        <v>8240007</v>
      </c>
      <c r="U199" s="214">
        <v>0</v>
      </c>
      <c r="V199" s="187">
        <f t="shared" si="8"/>
        <v>8240007</v>
      </c>
      <c r="W199" s="187">
        <f t="shared" si="9"/>
        <v>8684483</v>
      </c>
    </row>
    <row r="200" spans="1:23">
      <c r="A200" s="216" t="s">
        <v>2722</v>
      </c>
      <c r="B200" s="218">
        <v>475.98099999999999</v>
      </c>
      <c r="C200" s="218">
        <v>459.32</v>
      </c>
      <c r="D200" s="218">
        <v>479.601</v>
      </c>
      <c r="E200" s="218">
        <v>490.94900000000001</v>
      </c>
      <c r="F200" s="218">
        <v>60.6693</v>
      </c>
      <c r="G200" s="218">
        <v>65.008200000000002</v>
      </c>
      <c r="H200" s="218">
        <v>66.938599999999994</v>
      </c>
      <c r="I200" s="218">
        <v>69.262699999999995</v>
      </c>
      <c r="J200" s="246">
        <v>108280039</v>
      </c>
      <c r="K200" s="246">
        <v>115746922</v>
      </c>
      <c r="L200" s="218">
        <v>768.101</v>
      </c>
      <c r="M200" s="246">
        <v>78271</v>
      </c>
      <c r="N200" s="251">
        <v>45.973999999999997</v>
      </c>
      <c r="O200" s="251">
        <v>44.394100000000002</v>
      </c>
      <c r="P200" s="251">
        <v>41.499699999999997</v>
      </c>
      <c r="Q200" s="251">
        <v>43.409399999999998</v>
      </c>
      <c r="R200" s="254">
        <v>1.07</v>
      </c>
      <c r="S200" s="214">
        <v>89189</v>
      </c>
      <c r="T200" s="214">
        <v>1664061</v>
      </c>
      <c r="U200" s="214">
        <v>0</v>
      </c>
      <c r="V200" s="187">
        <f t="shared" si="8"/>
        <v>1664061</v>
      </c>
      <c r="W200" s="187">
        <f t="shared" si="9"/>
        <v>1753250</v>
      </c>
    </row>
    <row r="201" spans="1:23">
      <c r="A201" s="216" t="s">
        <v>442</v>
      </c>
      <c r="B201" s="218">
        <v>610.85799999999995</v>
      </c>
      <c r="C201" s="218">
        <v>635.57799999999997</v>
      </c>
      <c r="D201" s="218">
        <v>672.721</v>
      </c>
      <c r="E201" s="218">
        <v>654.08699999999999</v>
      </c>
      <c r="F201" s="218">
        <v>84.904200000000003</v>
      </c>
      <c r="G201" s="218">
        <v>91.168899999999994</v>
      </c>
      <c r="H201" s="218">
        <v>98.410700000000006</v>
      </c>
      <c r="I201" s="218">
        <v>87.565600000000003</v>
      </c>
      <c r="J201" s="246">
        <v>91908121</v>
      </c>
      <c r="K201" s="246">
        <v>98673528</v>
      </c>
      <c r="L201" s="218">
        <v>1033.288</v>
      </c>
      <c r="M201" s="187">
        <v>0</v>
      </c>
      <c r="N201" s="251">
        <v>62.985700000000001</v>
      </c>
      <c r="O201" s="251">
        <v>66.5749</v>
      </c>
      <c r="P201" s="251">
        <v>70.458100000000002</v>
      </c>
      <c r="Q201" s="251">
        <v>74.202200000000005</v>
      </c>
      <c r="R201" s="254">
        <v>1.07</v>
      </c>
      <c r="S201" s="214">
        <v>66562</v>
      </c>
      <c r="T201" s="214">
        <v>1366312</v>
      </c>
      <c r="U201" s="214">
        <v>0</v>
      </c>
      <c r="V201" s="187">
        <f t="shared" si="8"/>
        <v>1366312</v>
      </c>
      <c r="W201" s="187">
        <f t="shared" si="9"/>
        <v>1432874</v>
      </c>
    </row>
    <row r="202" spans="1:23">
      <c r="A202" s="216" t="s">
        <v>2724</v>
      </c>
      <c r="B202" s="218">
        <v>1039.075</v>
      </c>
      <c r="C202" s="218">
        <v>1046.8340000000001</v>
      </c>
      <c r="D202" s="218">
        <v>1028.877</v>
      </c>
      <c r="E202" s="218">
        <v>1020.111</v>
      </c>
      <c r="F202" s="218">
        <v>166.20330000000001</v>
      </c>
      <c r="G202" s="218">
        <v>167.37719999999999</v>
      </c>
      <c r="H202" s="218">
        <v>168.7193</v>
      </c>
      <c r="I202" s="218">
        <v>175.67930000000001</v>
      </c>
      <c r="J202" s="246">
        <v>258037567</v>
      </c>
      <c r="K202" s="246">
        <v>277150093</v>
      </c>
      <c r="L202" s="218">
        <v>1499.711</v>
      </c>
      <c r="M202" s="246">
        <v>202247</v>
      </c>
      <c r="N202" s="251">
        <v>109.98009999999999</v>
      </c>
      <c r="O202" s="251">
        <v>103.58929999999999</v>
      </c>
      <c r="P202" s="251">
        <v>103.05410000000001</v>
      </c>
      <c r="Q202" s="251">
        <v>110.92749999999999</v>
      </c>
      <c r="R202" s="254">
        <v>1.07</v>
      </c>
      <c r="S202" s="214">
        <v>202299</v>
      </c>
      <c r="T202" s="214">
        <v>4151442</v>
      </c>
      <c r="U202" s="214">
        <v>0</v>
      </c>
      <c r="V202" s="187">
        <f t="shared" si="8"/>
        <v>4151442</v>
      </c>
      <c r="W202" s="187">
        <f t="shared" si="9"/>
        <v>4353741</v>
      </c>
    </row>
    <row r="203" spans="1:23">
      <c r="A203" s="216" t="s">
        <v>5321</v>
      </c>
      <c r="B203" s="218">
        <v>362.42399999999998</v>
      </c>
      <c r="C203" s="218">
        <v>352.71800000000002</v>
      </c>
      <c r="D203" s="218">
        <v>342.06599999999997</v>
      </c>
      <c r="E203" s="218">
        <v>341.49200000000002</v>
      </c>
      <c r="F203" s="218">
        <v>60.7012</v>
      </c>
      <c r="G203" s="218">
        <v>60.427</v>
      </c>
      <c r="H203" s="218">
        <v>57.465800000000002</v>
      </c>
      <c r="I203" s="218">
        <v>49.246400000000001</v>
      </c>
      <c r="J203" s="246">
        <v>37950759</v>
      </c>
      <c r="K203" s="246">
        <v>41985563</v>
      </c>
      <c r="L203" s="218">
        <v>532.40099999999995</v>
      </c>
      <c r="M203" s="246">
        <v>35024</v>
      </c>
      <c r="N203" s="251">
        <v>43.974299999999999</v>
      </c>
      <c r="O203" s="251">
        <v>41.145499999999998</v>
      </c>
      <c r="P203" s="251">
        <v>37.979700000000001</v>
      </c>
      <c r="Q203" s="251">
        <v>29.493500000000001</v>
      </c>
      <c r="R203" s="254">
        <v>1.06</v>
      </c>
      <c r="S203" s="214">
        <v>38705</v>
      </c>
      <c r="T203" s="214">
        <v>722285</v>
      </c>
      <c r="U203" s="214">
        <v>0</v>
      </c>
      <c r="V203" s="187">
        <f t="shared" si="8"/>
        <v>722285</v>
      </c>
      <c r="W203" s="187">
        <f t="shared" si="9"/>
        <v>760990</v>
      </c>
    </row>
    <row r="204" spans="1:23">
      <c r="A204" s="216" t="s">
        <v>5323</v>
      </c>
      <c r="B204" s="218">
        <v>490.85599999999999</v>
      </c>
      <c r="C204" s="218">
        <v>467.91399999999999</v>
      </c>
      <c r="D204" s="218">
        <v>462.20299999999997</v>
      </c>
      <c r="E204" s="218">
        <v>461.947</v>
      </c>
      <c r="F204" s="218">
        <v>60.1175</v>
      </c>
      <c r="G204" s="218">
        <v>58.860799999999998</v>
      </c>
      <c r="H204" s="218">
        <v>55.3127</v>
      </c>
      <c r="I204" s="218">
        <v>55.7712</v>
      </c>
      <c r="J204" s="246">
        <v>100025562</v>
      </c>
      <c r="K204" s="246">
        <v>104096995</v>
      </c>
      <c r="L204" s="218">
        <v>686.43600000000004</v>
      </c>
      <c r="M204" s="187">
        <v>0</v>
      </c>
      <c r="N204" s="251">
        <v>45.064999999999998</v>
      </c>
      <c r="O204" s="251">
        <v>42.504899999999999</v>
      </c>
      <c r="P204" s="251">
        <v>40.586799999999997</v>
      </c>
      <c r="Q204" s="251">
        <v>39.226599999999998</v>
      </c>
      <c r="R204" s="254">
        <v>1.06</v>
      </c>
      <c r="S204" s="214">
        <v>0</v>
      </c>
      <c r="T204" s="214">
        <v>1384124</v>
      </c>
      <c r="U204" s="214">
        <v>0</v>
      </c>
      <c r="V204" s="187">
        <f t="shared" si="8"/>
        <v>1384124</v>
      </c>
      <c r="W204" s="187">
        <f t="shared" si="9"/>
        <v>1384124</v>
      </c>
    </row>
    <row r="205" spans="1:23">
      <c r="A205" s="216" t="s">
        <v>5325</v>
      </c>
      <c r="B205" s="218">
        <v>43.779000000000003</v>
      </c>
      <c r="C205" s="218">
        <v>44.183999999999997</v>
      </c>
      <c r="D205" s="218">
        <v>54.988999999999997</v>
      </c>
      <c r="E205" s="218">
        <v>65.093999999999994</v>
      </c>
      <c r="F205" s="218">
        <v>10.5</v>
      </c>
      <c r="G205" s="218">
        <v>10</v>
      </c>
      <c r="H205" s="218">
        <v>14</v>
      </c>
      <c r="I205" s="218">
        <v>15</v>
      </c>
      <c r="J205" s="246">
        <v>11407031</v>
      </c>
      <c r="K205" s="246">
        <v>11605042</v>
      </c>
      <c r="L205" s="218">
        <v>150.80500000000001</v>
      </c>
      <c r="M205" s="187">
        <v>0</v>
      </c>
      <c r="N205" s="251">
        <v>6.9997999999999996</v>
      </c>
      <c r="O205" s="251">
        <v>6.9996999999999998</v>
      </c>
      <c r="P205" s="251">
        <v>9.9997000000000007</v>
      </c>
      <c r="Q205" s="251">
        <v>11.001099999999999</v>
      </c>
      <c r="R205" s="254">
        <v>1.08</v>
      </c>
      <c r="S205" s="214">
        <v>0</v>
      </c>
      <c r="T205" s="214">
        <v>157008</v>
      </c>
      <c r="U205" s="214">
        <v>0</v>
      </c>
      <c r="V205" s="187">
        <f t="shared" si="8"/>
        <v>157008</v>
      </c>
      <c r="W205" s="187">
        <f t="shared" si="9"/>
        <v>157008</v>
      </c>
    </row>
    <row r="206" spans="1:23">
      <c r="A206" s="216" t="s">
        <v>5327</v>
      </c>
      <c r="B206" s="218">
        <v>58.241</v>
      </c>
      <c r="C206" s="218">
        <v>56.186999999999998</v>
      </c>
      <c r="D206" s="218">
        <v>54.49</v>
      </c>
      <c r="E206" s="218">
        <v>53.51</v>
      </c>
      <c r="F206" s="218">
        <v>11.9519</v>
      </c>
      <c r="G206" s="218">
        <v>13.4275</v>
      </c>
      <c r="H206" s="218">
        <v>10.631</v>
      </c>
      <c r="I206" s="218">
        <v>10.9786</v>
      </c>
      <c r="J206" s="246">
        <v>37541860</v>
      </c>
      <c r="K206" s="246">
        <v>38969719</v>
      </c>
      <c r="L206" s="218">
        <v>132.35900000000001</v>
      </c>
      <c r="M206" s="187">
        <v>0</v>
      </c>
      <c r="N206" s="251">
        <v>7.1430999999999996</v>
      </c>
      <c r="O206" s="251">
        <v>6.5720999999999998</v>
      </c>
      <c r="P206" s="251">
        <v>5.9307999999999996</v>
      </c>
      <c r="Q206" s="251">
        <v>7.0000999999999998</v>
      </c>
      <c r="R206" s="254">
        <v>1.08</v>
      </c>
      <c r="S206" s="214">
        <v>0</v>
      </c>
      <c r="T206" s="214">
        <v>655759</v>
      </c>
      <c r="U206" s="214">
        <v>0</v>
      </c>
      <c r="V206" s="187">
        <f t="shared" si="8"/>
        <v>655759</v>
      </c>
      <c r="W206" s="187">
        <f t="shared" si="9"/>
        <v>655759</v>
      </c>
    </row>
    <row r="207" spans="1:23">
      <c r="A207" s="216" t="s">
        <v>5329</v>
      </c>
      <c r="B207" s="218">
        <v>304.41199999999998</v>
      </c>
      <c r="C207" s="218">
        <v>306.29000000000002</v>
      </c>
      <c r="D207" s="218">
        <v>297.04000000000002</v>
      </c>
      <c r="E207" s="218">
        <v>295.10500000000002</v>
      </c>
      <c r="F207" s="218">
        <v>47.532200000000003</v>
      </c>
      <c r="G207" s="218">
        <v>49.5991</v>
      </c>
      <c r="H207" s="218">
        <v>48.173900000000003</v>
      </c>
      <c r="I207" s="218">
        <v>48.636499999999998</v>
      </c>
      <c r="J207" s="246">
        <v>44656885</v>
      </c>
      <c r="K207" s="246">
        <v>46779875</v>
      </c>
      <c r="L207" s="218">
        <v>497.82299999999998</v>
      </c>
      <c r="M207" s="187">
        <v>0</v>
      </c>
      <c r="N207" s="251">
        <v>30.290400000000002</v>
      </c>
      <c r="O207" s="251">
        <v>31.357700000000001</v>
      </c>
      <c r="P207" s="251">
        <v>29.857500000000002</v>
      </c>
      <c r="Q207" s="251">
        <v>31.0015</v>
      </c>
      <c r="R207" s="254">
        <v>1.04</v>
      </c>
      <c r="S207" s="214">
        <v>0</v>
      </c>
      <c r="T207" s="214">
        <v>573539</v>
      </c>
      <c r="U207" s="214">
        <v>0</v>
      </c>
      <c r="V207" s="187">
        <f t="shared" si="8"/>
        <v>573539</v>
      </c>
      <c r="W207" s="187">
        <f t="shared" si="9"/>
        <v>573539</v>
      </c>
    </row>
    <row r="208" spans="1:23">
      <c r="A208" s="216" t="s">
        <v>5331</v>
      </c>
      <c r="B208" s="218">
        <v>2397.6819999999998</v>
      </c>
      <c r="C208" s="218">
        <v>2383.576</v>
      </c>
      <c r="D208" s="218">
        <v>2393.4450000000002</v>
      </c>
      <c r="E208" s="218">
        <v>2437.049</v>
      </c>
      <c r="F208" s="218">
        <v>321.1472</v>
      </c>
      <c r="G208" s="218">
        <v>329.18099999999998</v>
      </c>
      <c r="H208" s="218">
        <v>333.06299999999999</v>
      </c>
      <c r="I208" s="218">
        <v>340.92669999999998</v>
      </c>
      <c r="J208" s="246">
        <v>276938641</v>
      </c>
      <c r="K208" s="246">
        <v>292909471</v>
      </c>
      <c r="L208" s="218">
        <v>3347.9140000000002</v>
      </c>
      <c r="M208" s="246">
        <v>284102</v>
      </c>
      <c r="N208" s="251">
        <v>205.5891</v>
      </c>
      <c r="O208" s="251">
        <v>213.83920000000001</v>
      </c>
      <c r="P208" s="251">
        <v>219.78579999999999</v>
      </c>
      <c r="Q208" s="251">
        <v>225.14410000000001</v>
      </c>
      <c r="R208" s="254">
        <v>1.05</v>
      </c>
      <c r="S208" s="214">
        <v>266185</v>
      </c>
      <c r="T208" s="214">
        <v>3844817</v>
      </c>
      <c r="U208" s="214">
        <v>0</v>
      </c>
      <c r="V208" s="187">
        <f t="shared" si="8"/>
        <v>3844817</v>
      </c>
      <c r="W208" s="187">
        <f t="shared" si="9"/>
        <v>4111002</v>
      </c>
    </row>
    <row r="209" spans="1:23">
      <c r="A209" s="216" t="s">
        <v>585</v>
      </c>
      <c r="B209" s="218">
        <v>168.14099999999999</v>
      </c>
      <c r="C209" s="218">
        <v>167.68199999999999</v>
      </c>
      <c r="D209" s="218">
        <v>165.03299999999999</v>
      </c>
      <c r="E209" s="218">
        <v>170.40899999999999</v>
      </c>
      <c r="F209" s="218">
        <v>24.9556</v>
      </c>
      <c r="G209" s="218">
        <v>23.469000000000001</v>
      </c>
      <c r="H209" s="218">
        <v>25.4556</v>
      </c>
      <c r="I209" s="218">
        <v>25.4556</v>
      </c>
      <c r="J209" s="246">
        <v>20033140</v>
      </c>
      <c r="K209" s="246">
        <v>21230260</v>
      </c>
      <c r="L209" s="218">
        <v>296.161</v>
      </c>
      <c r="M209" s="246">
        <v>16024</v>
      </c>
      <c r="N209" s="251">
        <v>18.947299999999998</v>
      </c>
      <c r="O209" s="251">
        <v>17.461200000000002</v>
      </c>
      <c r="P209" s="251">
        <v>19.376999999999999</v>
      </c>
      <c r="Q209" s="251">
        <v>17.447399999999998</v>
      </c>
      <c r="R209" s="254">
        <v>1.05</v>
      </c>
      <c r="S209" s="214">
        <v>32682</v>
      </c>
      <c r="T209" s="214">
        <v>255803</v>
      </c>
      <c r="U209" s="214">
        <v>0</v>
      </c>
      <c r="V209" s="187">
        <f t="shared" si="8"/>
        <v>255803</v>
      </c>
      <c r="W209" s="187">
        <f t="shared" si="9"/>
        <v>288485</v>
      </c>
    </row>
    <row r="210" spans="1:23">
      <c r="A210" s="216" t="s">
        <v>5333</v>
      </c>
      <c r="B210" s="218">
        <v>228.18799999999999</v>
      </c>
      <c r="C210" s="218">
        <v>205.238</v>
      </c>
      <c r="D210" s="218">
        <v>202.352</v>
      </c>
      <c r="E210" s="218">
        <v>196.74700000000001</v>
      </c>
      <c r="F210" s="218">
        <v>42.187399999999997</v>
      </c>
      <c r="G210" s="218">
        <v>40.080399999999997</v>
      </c>
      <c r="H210" s="218">
        <v>32.973599999999998</v>
      </c>
      <c r="I210" s="218">
        <v>31.615200000000002</v>
      </c>
      <c r="J210" s="246">
        <v>32046514</v>
      </c>
      <c r="K210" s="246">
        <v>33446314</v>
      </c>
      <c r="L210" s="218">
        <v>329.77</v>
      </c>
      <c r="M210" s="187">
        <v>0</v>
      </c>
      <c r="N210" s="251">
        <v>20.998799999999999</v>
      </c>
      <c r="O210" s="251">
        <v>25.265599999999999</v>
      </c>
      <c r="P210" s="251">
        <v>18.998899999999999</v>
      </c>
      <c r="Q210" s="251">
        <v>20.388000000000002</v>
      </c>
      <c r="R210" s="254">
        <v>1.04</v>
      </c>
      <c r="S210" s="214">
        <v>233</v>
      </c>
      <c r="T210" s="214">
        <v>457023</v>
      </c>
      <c r="U210" s="214">
        <v>0</v>
      </c>
      <c r="V210" s="187">
        <f t="shared" si="8"/>
        <v>457023</v>
      </c>
      <c r="W210" s="187">
        <f t="shared" si="9"/>
        <v>457256</v>
      </c>
    </row>
    <row r="211" spans="1:23">
      <c r="A211" s="216" t="s">
        <v>239</v>
      </c>
      <c r="B211" s="218">
        <v>6906.6710000000003</v>
      </c>
      <c r="C211" s="218">
        <v>6793.86</v>
      </c>
      <c r="D211" s="218">
        <v>6828.07</v>
      </c>
      <c r="E211" s="218">
        <v>6842.6080000000002</v>
      </c>
      <c r="F211" s="218">
        <v>1153.5482999999999</v>
      </c>
      <c r="G211" s="218">
        <v>1171.482</v>
      </c>
      <c r="H211" s="218">
        <v>1155.4214999999999</v>
      </c>
      <c r="I211" s="218">
        <v>1179.5103999999999</v>
      </c>
      <c r="J211" s="246">
        <v>641225049</v>
      </c>
      <c r="K211" s="246">
        <v>690635665</v>
      </c>
      <c r="L211" s="218">
        <v>8717.5840000000007</v>
      </c>
      <c r="M211" s="246">
        <v>674081</v>
      </c>
      <c r="N211" s="251">
        <v>690.03499999999997</v>
      </c>
      <c r="O211" s="251">
        <v>688.88419999999996</v>
      </c>
      <c r="P211" s="251">
        <v>704.56989999999996</v>
      </c>
      <c r="Q211" s="251">
        <v>701.4307</v>
      </c>
      <c r="R211" s="254">
        <v>1.0900000000000001</v>
      </c>
      <c r="S211" s="214">
        <v>991080</v>
      </c>
      <c r="T211" s="214">
        <v>9561870</v>
      </c>
      <c r="U211" s="214">
        <v>0</v>
      </c>
      <c r="V211" s="187">
        <f t="shared" si="8"/>
        <v>9561870</v>
      </c>
      <c r="W211" s="187">
        <f t="shared" si="9"/>
        <v>10552950</v>
      </c>
    </row>
    <row r="212" spans="1:23">
      <c r="A212" s="216" t="s">
        <v>5335</v>
      </c>
      <c r="B212" s="218">
        <v>325.46100000000001</v>
      </c>
      <c r="C212" s="218">
        <v>312.25400000000002</v>
      </c>
      <c r="D212" s="218">
        <v>302.82400000000001</v>
      </c>
      <c r="E212" s="218">
        <v>283.68900000000002</v>
      </c>
      <c r="F212" s="218">
        <v>71.570099999999996</v>
      </c>
      <c r="G212" s="218">
        <v>64.264899999999997</v>
      </c>
      <c r="H212" s="218">
        <v>49.648600000000002</v>
      </c>
      <c r="I212" s="218">
        <v>51.244300000000003</v>
      </c>
      <c r="J212" s="246">
        <v>93881486</v>
      </c>
      <c r="K212" s="246">
        <v>98497276</v>
      </c>
      <c r="L212" s="218">
        <v>593.245</v>
      </c>
      <c r="M212" s="246">
        <v>147322</v>
      </c>
      <c r="N212" s="251">
        <v>52.259300000000003</v>
      </c>
      <c r="O212" s="251">
        <v>45.425400000000003</v>
      </c>
      <c r="P212" s="251">
        <v>36.266100000000002</v>
      </c>
      <c r="Q212" s="251">
        <v>36.845199999999998</v>
      </c>
      <c r="R212" s="254">
        <v>1.07</v>
      </c>
      <c r="S212" s="214">
        <v>168483</v>
      </c>
      <c r="T212" s="214">
        <v>1238994</v>
      </c>
      <c r="U212" s="214">
        <v>0</v>
      </c>
      <c r="V212" s="187">
        <f t="shared" si="8"/>
        <v>1238994</v>
      </c>
      <c r="W212" s="187">
        <f t="shared" si="9"/>
        <v>1407477</v>
      </c>
    </row>
    <row r="213" spans="1:23">
      <c r="A213" s="216" t="s">
        <v>2450</v>
      </c>
      <c r="B213" s="218">
        <v>961.45899999999995</v>
      </c>
      <c r="C213" s="218">
        <v>921.18499999999995</v>
      </c>
      <c r="D213" s="218">
        <v>903.95</v>
      </c>
      <c r="E213" s="218">
        <v>880.54100000000005</v>
      </c>
      <c r="F213" s="218">
        <v>162.0599</v>
      </c>
      <c r="G213" s="218">
        <v>162.6054</v>
      </c>
      <c r="H213" s="218">
        <v>159.3434</v>
      </c>
      <c r="I213" s="218">
        <v>166.83009999999999</v>
      </c>
      <c r="J213" s="246">
        <v>908934415</v>
      </c>
      <c r="K213" s="246">
        <v>917111551</v>
      </c>
      <c r="L213" s="218">
        <v>1548.789</v>
      </c>
      <c r="M213" s="187">
        <v>0</v>
      </c>
      <c r="N213" s="251">
        <v>106.55419999999999</v>
      </c>
      <c r="O213" s="251">
        <v>101.41800000000001</v>
      </c>
      <c r="P213" s="251">
        <v>101.60339999999999</v>
      </c>
      <c r="Q213" s="251">
        <v>111.80889999999999</v>
      </c>
      <c r="R213" s="254">
        <v>1.1100000000000001</v>
      </c>
      <c r="S213" s="214">
        <v>0</v>
      </c>
      <c r="T213" s="214">
        <v>12726385</v>
      </c>
      <c r="U213" s="214">
        <v>0</v>
      </c>
      <c r="V213" s="187">
        <f t="shared" si="8"/>
        <v>12726385</v>
      </c>
      <c r="W213" s="187">
        <f t="shared" si="9"/>
        <v>12726385</v>
      </c>
    </row>
    <row r="214" spans="1:23">
      <c r="A214" s="216" t="s">
        <v>2452</v>
      </c>
      <c r="B214" s="218">
        <v>852.98900000000003</v>
      </c>
      <c r="C214" s="218">
        <v>790.81600000000003</v>
      </c>
      <c r="D214" s="218">
        <v>800.57899999999995</v>
      </c>
      <c r="E214" s="218">
        <v>789.51599999999996</v>
      </c>
      <c r="F214" s="218">
        <v>162.77510000000001</v>
      </c>
      <c r="G214" s="218">
        <v>157.14279999999999</v>
      </c>
      <c r="H214" s="218">
        <v>159.14279999999999</v>
      </c>
      <c r="I214" s="218">
        <v>162.476</v>
      </c>
      <c r="J214" s="246">
        <v>1211598208</v>
      </c>
      <c r="K214" s="246">
        <v>1220234293</v>
      </c>
      <c r="L214" s="218">
        <v>1369.38</v>
      </c>
      <c r="M214" s="246">
        <v>1192104</v>
      </c>
      <c r="N214" s="251">
        <v>104.82</v>
      </c>
      <c r="O214" s="251">
        <v>102.22199999999999</v>
      </c>
      <c r="P214" s="251">
        <v>103.3312</v>
      </c>
      <c r="Q214" s="251">
        <v>108.6246</v>
      </c>
      <c r="R214" s="254">
        <v>1.1100000000000001</v>
      </c>
      <c r="S214" s="214">
        <v>660558</v>
      </c>
      <c r="T214" s="214">
        <v>16434950</v>
      </c>
      <c r="U214" s="214">
        <v>0</v>
      </c>
      <c r="V214" s="187">
        <f t="shared" si="8"/>
        <v>16434950</v>
      </c>
      <c r="W214" s="187">
        <f t="shared" si="9"/>
        <v>17095508</v>
      </c>
    </row>
    <row r="215" spans="1:23">
      <c r="A215" s="216" t="s">
        <v>2454</v>
      </c>
      <c r="B215" s="218">
        <v>459.62200000000001</v>
      </c>
      <c r="C215" s="218">
        <v>464.80200000000002</v>
      </c>
      <c r="D215" s="218">
        <v>450.76499999999999</v>
      </c>
      <c r="E215" s="218">
        <v>428.91899999999998</v>
      </c>
      <c r="F215" s="218">
        <v>93.165700000000001</v>
      </c>
      <c r="G215" s="218">
        <v>89.213899999999995</v>
      </c>
      <c r="H215" s="218">
        <v>93.208500000000001</v>
      </c>
      <c r="I215" s="218">
        <v>87.647000000000006</v>
      </c>
      <c r="J215" s="246">
        <v>63657650</v>
      </c>
      <c r="K215" s="246">
        <v>68894800</v>
      </c>
      <c r="L215" s="218">
        <v>914.36699999999996</v>
      </c>
      <c r="M215" s="187">
        <v>0</v>
      </c>
      <c r="N215" s="251">
        <v>61.088500000000003</v>
      </c>
      <c r="O215" s="251">
        <v>58.629100000000001</v>
      </c>
      <c r="P215" s="251">
        <v>61.898699999999998</v>
      </c>
      <c r="Q215" s="251">
        <v>56.981299999999997</v>
      </c>
      <c r="R215" s="254">
        <v>1.07</v>
      </c>
      <c r="S215" s="214">
        <v>0</v>
      </c>
      <c r="T215" s="214">
        <v>941347</v>
      </c>
      <c r="U215" s="214">
        <v>0</v>
      </c>
      <c r="V215" s="187">
        <f t="shared" si="8"/>
        <v>941347</v>
      </c>
      <c r="W215" s="187">
        <f t="shared" si="9"/>
        <v>941347</v>
      </c>
    </row>
    <row r="216" spans="1:23">
      <c r="A216" s="216" t="s">
        <v>2456</v>
      </c>
      <c r="B216" s="218">
        <v>365.19</v>
      </c>
      <c r="C216" s="218">
        <v>371.39100000000002</v>
      </c>
      <c r="D216" s="218">
        <v>360.17500000000001</v>
      </c>
      <c r="E216" s="218">
        <v>338.25</v>
      </c>
      <c r="F216" s="218">
        <v>110.0641</v>
      </c>
      <c r="G216" s="218">
        <v>112.3976</v>
      </c>
      <c r="H216" s="218">
        <v>113.24250000000001</v>
      </c>
      <c r="I216" s="218">
        <v>110.5153</v>
      </c>
      <c r="J216" s="246">
        <v>63515092</v>
      </c>
      <c r="K216" s="246">
        <v>66663002</v>
      </c>
      <c r="L216" s="218">
        <v>683.048</v>
      </c>
      <c r="M216" s="187">
        <v>0</v>
      </c>
      <c r="N216" s="251">
        <v>74.460800000000006</v>
      </c>
      <c r="O216" s="251">
        <v>73.573800000000006</v>
      </c>
      <c r="P216" s="251">
        <v>76.065600000000003</v>
      </c>
      <c r="Q216" s="251">
        <v>73.925799999999995</v>
      </c>
      <c r="R216" s="254">
        <v>1.07</v>
      </c>
      <c r="S216" s="214">
        <v>0</v>
      </c>
      <c r="T216" s="214">
        <v>941983</v>
      </c>
      <c r="U216" s="214">
        <v>0</v>
      </c>
      <c r="V216" s="187">
        <f t="shared" si="8"/>
        <v>941983</v>
      </c>
      <c r="W216" s="187">
        <f t="shared" si="9"/>
        <v>941983</v>
      </c>
    </row>
    <row r="217" spans="1:23">
      <c r="A217" s="216" t="s">
        <v>2458</v>
      </c>
      <c r="B217" s="218">
        <v>649.58900000000006</v>
      </c>
      <c r="C217" s="218">
        <v>643.73599999999999</v>
      </c>
      <c r="D217" s="218">
        <v>624.29499999999996</v>
      </c>
      <c r="E217" s="218">
        <v>604.14800000000002</v>
      </c>
      <c r="F217" s="218">
        <v>113.7754</v>
      </c>
      <c r="G217" s="218">
        <v>114.70050000000001</v>
      </c>
      <c r="H217" s="218">
        <v>115</v>
      </c>
      <c r="I217" s="218">
        <v>106</v>
      </c>
      <c r="J217" s="246">
        <v>72880618</v>
      </c>
      <c r="K217" s="246">
        <v>77519400</v>
      </c>
      <c r="L217" s="218">
        <v>1122.1379999999999</v>
      </c>
      <c r="M217" s="187">
        <v>0</v>
      </c>
      <c r="N217" s="251">
        <v>75.777199999999993</v>
      </c>
      <c r="O217" s="251">
        <v>75.700100000000006</v>
      </c>
      <c r="P217" s="251">
        <v>73.999499999999998</v>
      </c>
      <c r="Q217" s="251">
        <v>69.417199999999994</v>
      </c>
      <c r="R217" s="254">
        <v>1.07</v>
      </c>
      <c r="S217" s="214">
        <v>0</v>
      </c>
      <c r="T217" s="214">
        <v>1023607</v>
      </c>
      <c r="U217" s="214">
        <v>0</v>
      </c>
      <c r="V217" s="187">
        <f t="shared" si="8"/>
        <v>1023607</v>
      </c>
      <c r="W217" s="187">
        <f t="shared" si="9"/>
        <v>1023607</v>
      </c>
    </row>
    <row r="218" spans="1:23">
      <c r="A218" s="216" t="s">
        <v>2460</v>
      </c>
      <c r="B218" s="218">
        <v>672.58199999999999</v>
      </c>
      <c r="C218" s="218">
        <v>648.24900000000002</v>
      </c>
      <c r="D218" s="218">
        <v>650.88</v>
      </c>
      <c r="E218" s="218">
        <v>632.851</v>
      </c>
      <c r="F218" s="218">
        <v>116</v>
      </c>
      <c r="G218" s="218">
        <v>115.96259999999999</v>
      </c>
      <c r="H218" s="218">
        <v>117</v>
      </c>
      <c r="I218" s="218">
        <v>118</v>
      </c>
      <c r="J218" s="246">
        <v>218122404</v>
      </c>
      <c r="K218" s="246">
        <v>222534554</v>
      </c>
      <c r="L218" s="218">
        <v>1194.6479999999999</v>
      </c>
      <c r="M218" s="246">
        <v>135569</v>
      </c>
      <c r="N218" s="251">
        <v>75.791499999999999</v>
      </c>
      <c r="O218" s="251">
        <v>76.646299999999997</v>
      </c>
      <c r="P218" s="251">
        <v>75.671899999999994</v>
      </c>
      <c r="Q218" s="251">
        <v>77.661600000000007</v>
      </c>
      <c r="R218" s="254">
        <v>1.0900000000000001</v>
      </c>
      <c r="S218" s="214">
        <v>146011</v>
      </c>
      <c r="T218" s="214">
        <v>3199995</v>
      </c>
      <c r="U218" s="214">
        <v>0</v>
      </c>
      <c r="V218" s="187">
        <f t="shared" si="8"/>
        <v>3199995</v>
      </c>
      <c r="W218" s="187">
        <f t="shared" si="9"/>
        <v>3346006</v>
      </c>
    </row>
    <row r="219" spans="1:23">
      <c r="A219" s="216" t="s">
        <v>2462</v>
      </c>
      <c r="B219" s="218">
        <v>1429.915</v>
      </c>
      <c r="C219" s="218">
        <v>1405.34</v>
      </c>
      <c r="D219" s="218">
        <v>1374.8689999999999</v>
      </c>
      <c r="E219" s="218">
        <v>1451.748</v>
      </c>
      <c r="F219" s="218">
        <v>253.5592</v>
      </c>
      <c r="G219" s="218">
        <v>249.75659999999999</v>
      </c>
      <c r="H219" s="218">
        <v>257.25</v>
      </c>
      <c r="I219" s="218">
        <v>258.44749999999999</v>
      </c>
      <c r="J219" s="246">
        <v>344209366</v>
      </c>
      <c r="K219" s="246">
        <v>361889599</v>
      </c>
      <c r="L219" s="218">
        <v>2099.9850000000001</v>
      </c>
      <c r="M219" s="187">
        <v>0</v>
      </c>
      <c r="N219" s="251">
        <v>174.33539999999999</v>
      </c>
      <c r="O219" s="251">
        <v>168.64259999999999</v>
      </c>
      <c r="P219" s="251">
        <v>172.29169999999999</v>
      </c>
      <c r="Q219" s="251">
        <v>173.95060000000001</v>
      </c>
      <c r="R219" s="254">
        <v>1.0900000000000001</v>
      </c>
      <c r="S219" s="214">
        <v>276</v>
      </c>
      <c r="T219" s="214">
        <v>4876423</v>
      </c>
      <c r="U219" s="214">
        <v>0</v>
      </c>
      <c r="V219" s="187">
        <f t="shared" si="8"/>
        <v>4876423</v>
      </c>
      <c r="W219" s="187">
        <f t="shared" si="9"/>
        <v>4876699</v>
      </c>
    </row>
    <row r="220" spans="1:23">
      <c r="A220" s="216" t="s">
        <v>2464</v>
      </c>
      <c r="B220" s="218">
        <v>163.149</v>
      </c>
      <c r="C220" s="218">
        <v>167.11199999999999</v>
      </c>
      <c r="D220" s="218">
        <v>162.065</v>
      </c>
      <c r="E220" s="218">
        <v>144.63300000000001</v>
      </c>
      <c r="F220" s="218">
        <v>33.24</v>
      </c>
      <c r="G220" s="218">
        <v>33.213299999999997</v>
      </c>
      <c r="H220" s="218">
        <v>32.817500000000003</v>
      </c>
      <c r="I220" s="218">
        <v>28.74</v>
      </c>
      <c r="J220" s="246">
        <v>70593881</v>
      </c>
      <c r="K220" s="246">
        <v>72049731</v>
      </c>
      <c r="L220" s="218">
        <v>292.86599999999999</v>
      </c>
      <c r="M220" s="187">
        <v>0</v>
      </c>
      <c r="N220" s="251">
        <v>22.298999999999999</v>
      </c>
      <c r="O220" s="251">
        <v>21.928799999999999</v>
      </c>
      <c r="P220" s="251">
        <v>21.174399999999999</v>
      </c>
      <c r="Q220" s="251">
        <v>18.333500000000001</v>
      </c>
      <c r="R220" s="254">
        <v>1.08</v>
      </c>
      <c r="S220" s="214">
        <v>31867</v>
      </c>
      <c r="T220" s="214">
        <v>1017555</v>
      </c>
      <c r="U220" s="214">
        <v>0</v>
      </c>
      <c r="V220" s="187">
        <f t="shared" si="8"/>
        <v>1017555</v>
      </c>
      <c r="W220" s="187">
        <f t="shared" si="9"/>
        <v>1049422</v>
      </c>
    </row>
    <row r="221" spans="1:23">
      <c r="A221" s="216" t="s">
        <v>2104</v>
      </c>
      <c r="B221" s="218">
        <v>21594.772000000001</v>
      </c>
      <c r="C221" s="218">
        <v>22454.115000000002</v>
      </c>
      <c r="D221" s="218">
        <v>23339.644</v>
      </c>
      <c r="E221" s="218">
        <v>23880.978999999999</v>
      </c>
      <c r="F221" s="218">
        <v>2826.2878000000001</v>
      </c>
      <c r="G221" s="218">
        <v>3007.4594000000002</v>
      </c>
      <c r="H221" s="218">
        <v>3049.5590000000002</v>
      </c>
      <c r="I221" s="218">
        <v>3068.4983000000002</v>
      </c>
      <c r="J221" s="246">
        <v>12974125308</v>
      </c>
      <c r="K221" s="246">
        <v>13224312888</v>
      </c>
      <c r="L221" s="218">
        <v>30585.792000000001</v>
      </c>
      <c r="M221" s="246">
        <v>29787425</v>
      </c>
      <c r="N221" s="251">
        <v>1739.4181000000001</v>
      </c>
      <c r="O221" s="251">
        <v>1722.2906</v>
      </c>
      <c r="P221" s="251">
        <v>1876.3376000000001</v>
      </c>
      <c r="Q221" s="251">
        <v>1927.3471999999999</v>
      </c>
      <c r="R221" s="254">
        <v>1.1399999999999999</v>
      </c>
      <c r="S221" s="214">
        <v>28943156</v>
      </c>
      <c r="T221" s="214">
        <v>195271063</v>
      </c>
      <c r="U221" s="214">
        <v>0</v>
      </c>
      <c r="V221" s="187">
        <f t="shared" si="8"/>
        <v>195271063</v>
      </c>
      <c r="W221" s="187">
        <f t="shared" si="9"/>
        <v>224214219</v>
      </c>
    </row>
    <row r="222" spans="1:23">
      <c r="A222" s="216" t="s">
        <v>2106</v>
      </c>
      <c r="B222" s="218">
        <v>5768.33</v>
      </c>
      <c r="C222" s="218">
        <v>6223.0169999999998</v>
      </c>
      <c r="D222" s="218">
        <v>6702.3850000000002</v>
      </c>
      <c r="E222" s="218">
        <v>6922.96</v>
      </c>
      <c r="F222" s="218">
        <v>784.3528</v>
      </c>
      <c r="G222" s="218">
        <v>805.76400000000001</v>
      </c>
      <c r="H222" s="218">
        <v>856.76059999999995</v>
      </c>
      <c r="I222" s="218">
        <v>899.70090000000005</v>
      </c>
      <c r="J222" s="246">
        <v>1532292156</v>
      </c>
      <c r="K222" s="246">
        <v>1609813656</v>
      </c>
      <c r="L222" s="218">
        <v>8394.9560000000001</v>
      </c>
      <c r="M222" s="246">
        <v>2464992</v>
      </c>
      <c r="N222" s="251">
        <v>509.61410000000001</v>
      </c>
      <c r="O222" s="251">
        <v>513.83000000000004</v>
      </c>
      <c r="P222" s="251">
        <v>537.16110000000003</v>
      </c>
      <c r="Q222" s="251">
        <v>580.47490000000005</v>
      </c>
      <c r="R222" s="254">
        <v>1.1200000000000001</v>
      </c>
      <c r="S222" s="214">
        <v>3105393</v>
      </c>
      <c r="T222" s="214">
        <v>25863132</v>
      </c>
      <c r="U222" s="214">
        <v>0</v>
      </c>
      <c r="V222" s="187">
        <f t="shared" si="8"/>
        <v>25863132</v>
      </c>
      <c r="W222" s="187">
        <f t="shared" si="9"/>
        <v>28968525</v>
      </c>
    </row>
    <row r="223" spans="1:23">
      <c r="A223" s="216" t="s">
        <v>2108</v>
      </c>
      <c r="B223" s="218">
        <v>145817.37</v>
      </c>
      <c r="C223" s="218">
        <v>149019.44</v>
      </c>
      <c r="D223" s="218">
        <v>150741.91</v>
      </c>
      <c r="E223" s="218">
        <v>149597.76999999999</v>
      </c>
      <c r="F223" s="218">
        <v>18499.125400000001</v>
      </c>
      <c r="G223" s="218">
        <v>19201.7412</v>
      </c>
      <c r="H223" s="218">
        <v>19362.1803</v>
      </c>
      <c r="I223" s="218">
        <v>19749.791300000001</v>
      </c>
      <c r="J223" s="246">
        <v>54468008949</v>
      </c>
      <c r="K223" s="246">
        <v>55969003965</v>
      </c>
      <c r="L223" s="218">
        <v>203116.57800000001</v>
      </c>
      <c r="M223" s="246">
        <v>11944263</v>
      </c>
      <c r="N223" s="251">
        <v>11648.5983</v>
      </c>
      <c r="O223" s="251">
        <v>12447.9105</v>
      </c>
      <c r="P223" s="251">
        <v>12502.5545</v>
      </c>
      <c r="Q223" s="251">
        <v>12838.0542</v>
      </c>
      <c r="R223" s="254">
        <v>1.1599999999999999</v>
      </c>
      <c r="S223" s="214">
        <v>59608376</v>
      </c>
      <c r="T223" s="214">
        <v>808293936</v>
      </c>
      <c r="U223" s="214">
        <v>0</v>
      </c>
      <c r="V223" s="187">
        <f t="shared" si="8"/>
        <v>808293936</v>
      </c>
      <c r="W223" s="187">
        <f t="shared" si="9"/>
        <v>867902312</v>
      </c>
    </row>
    <row r="224" spans="1:23">
      <c r="A224" s="216" t="s">
        <v>2110</v>
      </c>
      <c r="B224" s="218">
        <v>6385.2780000000002</v>
      </c>
      <c r="C224" s="218">
        <v>6580.6589999999997</v>
      </c>
      <c r="D224" s="218">
        <v>6806.6080000000002</v>
      </c>
      <c r="E224" s="218">
        <v>7153.33</v>
      </c>
      <c r="F224" s="218">
        <v>800.42859999999996</v>
      </c>
      <c r="G224" s="218">
        <v>794.31320000000005</v>
      </c>
      <c r="H224" s="218">
        <v>837.91049999999996</v>
      </c>
      <c r="I224" s="218">
        <v>876.89880000000005</v>
      </c>
      <c r="J224" s="246">
        <v>1434502668</v>
      </c>
      <c r="K224" s="246">
        <v>1528561030</v>
      </c>
      <c r="L224" s="218">
        <v>9060.348</v>
      </c>
      <c r="M224" s="246">
        <v>2442484</v>
      </c>
      <c r="N224" s="251">
        <v>504.99299999999999</v>
      </c>
      <c r="O224" s="251">
        <v>503.00330000000002</v>
      </c>
      <c r="P224" s="251">
        <v>547.64409999999998</v>
      </c>
      <c r="Q224" s="251">
        <v>570.12480000000005</v>
      </c>
      <c r="R224" s="254">
        <v>1.1299999999999999</v>
      </c>
      <c r="S224" s="214">
        <v>3178284</v>
      </c>
      <c r="T224" s="214">
        <v>22761148</v>
      </c>
      <c r="U224" s="214">
        <v>0</v>
      </c>
      <c r="V224" s="187">
        <f t="shared" si="8"/>
        <v>22761148</v>
      </c>
      <c r="W224" s="187">
        <f t="shared" si="9"/>
        <v>25939432</v>
      </c>
    </row>
    <row r="225" spans="1:23">
      <c r="A225" s="216" t="s">
        <v>2112</v>
      </c>
      <c r="B225" s="218">
        <v>9694.1730000000007</v>
      </c>
      <c r="C225" s="218">
        <v>9829.0630000000001</v>
      </c>
      <c r="D225" s="218">
        <v>10117.388000000001</v>
      </c>
      <c r="E225" s="218">
        <v>10206.936</v>
      </c>
      <c r="F225" s="218">
        <v>1256.1341</v>
      </c>
      <c r="G225" s="218">
        <v>1297.1812</v>
      </c>
      <c r="H225" s="218">
        <v>1333.5431000000001</v>
      </c>
      <c r="I225" s="218">
        <v>1359.5993000000001</v>
      </c>
      <c r="J225" s="246">
        <v>2394580461</v>
      </c>
      <c r="K225" s="246">
        <v>2513972831</v>
      </c>
      <c r="L225" s="218">
        <v>13242.268</v>
      </c>
      <c r="M225" s="246">
        <v>3272121</v>
      </c>
      <c r="N225" s="251">
        <v>803.72500000000002</v>
      </c>
      <c r="O225" s="251">
        <v>802.12450000000001</v>
      </c>
      <c r="P225" s="251">
        <v>815.98109999999997</v>
      </c>
      <c r="Q225" s="251">
        <v>847.82259999999997</v>
      </c>
      <c r="R225" s="254">
        <v>1.1399999999999999</v>
      </c>
      <c r="S225" s="214">
        <v>7205776</v>
      </c>
      <c r="T225" s="214">
        <v>37991752</v>
      </c>
      <c r="U225" s="214">
        <v>0</v>
      </c>
      <c r="V225" s="187">
        <f t="shared" si="8"/>
        <v>37991752</v>
      </c>
      <c r="W225" s="187">
        <f t="shared" si="9"/>
        <v>45197528</v>
      </c>
    </row>
    <row r="226" spans="1:23">
      <c r="A226" s="216" t="s">
        <v>1317</v>
      </c>
      <c r="B226" s="218">
        <v>44892.618999999999</v>
      </c>
      <c r="C226" s="218">
        <v>46512.552000000003</v>
      </c>
      <c r="D226" s="218">
        <v>48021.735000000001</v>
      </c>
      <c r="E226" s="218">
        <v>49695.731</v>
      </c>
      <c r="F226" s="218">
        <v>5577.1147000000001</v>
      </c>
      <c r="G226" s="218">
        <v>5623.0029000000004</v>
      </c>
      <c r="H226" s="218">
        <v>5839.9939000000004</v>
      </c>
      <c r="I226" s="218">
        <v>6117.7623999999996</v>
      </c>
      <c r="J226" s="246">
        <v>9401196493</v>
      </c>
      <c r="K226" s="246">
        <v>9919660841</v>
      </c>
      <c r="L226" s="218">
        <v>63597.745999999999</v>
      </c>
      <c r="M226" s="246">
        <v>17737086</v>
      </c>
      <c r="N226" s="251">
        <v>3308.5005000000001</v>
      </c>
      <c r="O226" s="251">
        <v>3401.0131000000001</v>
      </c>
      <c r="P226" s="251">
        <v>3722.8843999999999</v>
      </c>
      <c r="Q226" s="251">
        <v>3779.1217000000001</v>
      </c>
      <c r="R226" s="254">
        <v>1.1399999999999999</v>
      </c>
      <c r="S226" s="214">
        <v>19237487</v>
      </c>
      <c r="T226" s="214">
        <v>134217143</v>
      </c>
      <c r="U226" s="214">
        <v>0</v>
      </c>
      <c r="V226" s="187">
        <f t="shared" si="8"/>
        <v>134217143</v>
      </c>
      <c r="W226" s="187">
        <f t="shared" si="9"/>
        <v>153454630</v>
      </c>
    </row>
    <row r="227" spans="1:23">
      <c r="A227" s="216" t="s">
        <v>587</v>
      </c>
      <c r="B227" s="218">
        <v>18418.305</v>
      </c>
      <c r="C227" s="218">
        <v>19020.082999999999</v>
      </c>
      <c r="D227" s="218">
        <v>19705.149000000001</v>
      </c>
      <c r="E227" s="218">
        <v>20195.264999999999</v>
      </c>
      <c r="F227" s="218">
        <v>2224.2094999999999</v>
      </c>
      <c r="G227" s="218">
        <v>2336.962</v>
      </c>
      <c r="H227" s="218">
        <v>2486.2435999999998</v>
      </c>
      <c r="I227" s="218">
        <v>2689.7029000000002</v>
      </c>
      <c r="J227" s="246">
        <v>2979044241</v>
      </c>
      <c r="K227" s="246">
        <v>3163724644</v>
      </c>
      <c r="L227" s="218">
        <v>26427.144</v>
      </c>
      <c r="M227" s="246">
        <v>3768122</v>
      </c>
      <c r="N227" s="251">
        <v>1507.2077999999999</v>
      </c>
      <c r="O227" s="251">
        <v>1529.8453</v>
      </c>
      <c r="P227" s="251">
        <v>1574.8031000000001</v>
      </c>
      <c r="Q227" s="251">
        <v>1718.2158999999999</v>
      </c>
      <c r="R227" s="254">
        <v>1.1399999999999999</v>
      </c>
      <c r="S227" s="214">
        <v>8070966</v>
      </c>
      <c r="T227" s="214">
        <v>46317532</v>
      </c>
      <c r="U227" s="214">
        <v>0</v>
      </c>
      <c r="V227" s="187">
        <f t="shared" si="8"/>
        <v>46317532</v>
      </c>
      <c r="W227" s="187">
        <f t="shared" si="9"/>
        <v>54388498</v>
      </c>
    </row>
    <row r="228" spans="1:23">
      <c r="A228" s="216" t="s">
        <v>4569</v>
      </c>
      <c r="B228" s="218">
        <v>5597.1989999999996</v>
      </c>
      <c r="C228" s="218">
        <v>5459.3549999999996</v>
      </c>
      <c r="D228" s="218">
        <v>5521.1980000000003</v>
      </c>
      <c r="E228" s="218">
        <v>5785.2309999999998</v>
      </c>
      <c r="F228" s="218">
        <v>504.2851</v>
      </c>
      <c r="G228" s="218">
        <v>620.34180000000003</v>
      </c>
      <c r="H228" s="218">
        <v>680.6413</v>
      </c>
      <c r="I228" s="218">
        <v>678.47320000000002</v>
      </c>
      <c r="J228" s="246">
        <v>5996835157</v>
      </c>
      <c r="K228" s="246">
        <v>6079965204</v>
      </c>
      <c r="L228" s="218">
        <v>6568.2340000000004</v>
      </c>
      <c r="M228" s="246">
        <v>7406814</v>
      </c>
      <c r="N228" s="251">
        <v>433.30090000000001</v>
      </c>
      <c r="O228" s="251">
        <v>432.27429999999998</v>
      </c>
      <c r="P228" s="251">
        <v>429.26650000000001</v>
      </c>
      <c r="Q228" s="251">
        <v>407.46140000000003</v>
      </c>
      <c r="R228" s="254">
        <v>1.1200000000000001</v>
      </c>
      <c r="S228" s="214">
        <v>6741017</v>
      </c>
      <c r="T228" s="214">
        <v>91933223</v>
      </c>
      <c r="U228" s="214">
        <v>0</v>
      </c>
      <c r="V228" s="187">
        <f t="shared" si="8"/>
        <v>91933223</v>
      </c>
      <c r="W228" s="187">
        <f t="shared" si="9"/>
        <v>98674240</v>
      </c>
    </row>
    <row r="229" spans="1:23">
      <c r="A229" s="216" t="s">
        <v>6021</v>
      </c>
      <c r="B229" s="218">
        <v>25979.672999999999</v>
      </c>
      <c r="C229" s="218">
        <v>26991.766</v>
      </c>
      <c r="D229" s="218">
        <v>27704.058000000001</v>
      </c>
      <c r="E229" s="218">
        <v>28442.918000000001</v>
      </c>
      <c r="F229" s="218">
        <v>3519.5518999999999</v>
      </c>
      <c r="G229" s="218">
        <v>3596.5005000000001</v>
      </c>
      <c r="H229" s="218">
        <v>3677.4376000000002</v>
      </c>
      <c r="I229" s="218">
        <v>3835.4259999999999</v>
      </c>
      <c r="J229" s="246">
        <v>7588628385</v>
      </c>
      <c r="K229" s="246">
        <v>7816472517</v>
      </c>
      <c r="L229" s="218">
        <v>37716.404999999999</v>
      </c>
      <c r="M229" s="246">
        <v>11451911</v>
      </c>
      <c r="N229" s="251">
        <v>2394.6451999999999</v>
      </c>
      <c r="O229" s="251">
        <v>2535.3517999999999</v>
      </c>
      <c r="P229" s="251">
        <v>2545.9160999999999</v>
      </c>
      <c r="Q229" s="251">
        <v>2636.9652999999998</v>
      </c>
      <c r="R229" s="254">
        <v>1.1399999999999999</v>
      </c>
      <c r="S229" s="214">
        <v>19846870</v>
      </c>
      <c r="T229" s="214">
        <v>110260490</v>
      </c>
      <c r="U229" s="214">
        <v>0</v>
      </c>
      <c r="V229" s="187">
        <f t="shared" si="8"/>
        <v>110260490</v>
      </c>
      <c r="W229" s="187">
        <f t="shared" si="9"/>
        <v>130107360</v>
      </c>
    </row>
    <row r="230" spans="1:23">
      <c r="A230" s="216" t="s">
        <v>4571</v>
      </c>
      <c r="B230" s="218">
        <v>3886.0329999999999</v>
      </c>
      <c r="C230" s="218">
        <v>3951.7359999999999</v>
      </c>
      <c r="D230" s="218">
        <v>3948.0450000000001</v>
      </c>
      <c r="E230" s="218">
        <v>4116.3109999999997</v>
      </c>
      <c r="F230" s="218">
        <v>587.69839999999999</v>
      </c>
      <c r="G230" s="218">
        <v>580.20489999999995</v>
      </c>
      <c r="H230" s="218">
        <v>608.3904</v>
      </c>
      <c r="I230" s="218">
        <v>667.86239999999998</v>
      </c>
      <c r="J230" s="246">
        <v>932595247</v>
      </c>
      <c r="K230" s="246">
        <v>986005312</v>
      </c>
      <c r="L230" s="218">
        <v>5487.97</v>
      </c>
      <c r="M230" s="246">
        <v>1795614</v>
      </c>
      <c r="N230" s="251">
        <v>324.84989999999999</v>
      </c>
      <c r="O230" s="251">
        <v>339.86720000000003</v>
      </c>
      <c r="P230" s="251">
        <v>312.70960000000002</v>
      </c>
      <c r="Q230" s="251">
        <v>370.64749999999998</v>
      </c>
      <c r="R230" s="254">
        <v>1.1200000000000001</v>
      </c>
      <c r="S230" s="214">
        <v>2183826</v>
      </c>
      <c r="T230" s="214">
        <v>14752634</v>
      </c>
      <c r="U230" s="214">
        <v>0</v>
      </c>
      <c r="V230" s="187">
        <f t="shared" si="8"/>
        <v>14752634</v>
      </c>
      <c r="W230" s="187">
        <f t="shared" si="9"/>
        <v>16936460</v>
      </c>
    </row>
    <row r="231" spans="1:23">
      <c r="A231" s="216" t="s">
        <v>6171</v>
      </c>
      <c r="B231" s="218">
        <v>29170.559000000001</v>
      </c>
      <c r="C231" s="218">
        <v>29924.888999999999</v>
      </c>
      <c r="D231" s="218">
        <v>30780.366999999998</v>
      </c>
      <c r="E231" s="218">
        <v>31397.024000000001</v>
      </c>
      <c r="F231" s="218">
        <v>3506.2916</v>
      </c>
      <c r="G231" s="218">
        <v>3674.4504000000002</v>
      </c>
      <c r="H231" s="218">
        <v>3917.1516999999999</v>
      </c>
      <c r="I231" s="218">
        <v>4101.8737000000001</v>
      </c>
      <c r="J231" s="246">
        <v>4826739814</v>
      </c>
      <c r="K231" s="246">
        <v>5133297156</v>
      </c>
      <c r="L231" s="218">
        <v>40517.758999999998</v>
      </c>
      <c r="M231" s="246">
        <v>10255650</v>
      </c>
      <c r="N231" s="251">
        <v>2144.7791999999999</v>
      </c>
      <c r="O231" s="251">
        <v>2252.5727999999999</v>
      </c>
      <c r="P231" s="251">
        <v>2397.3546000000001</v>
      </c>
      <c r="Q231" s="251">
        <v>2502.9681999999998</v>
      </c>
      <c r="R231" s="254">
        <v>1.1399999999999999</v>
      </c>
      <c r="S231" s="214">
        <v>16532918</v>
      </c>
      <c r="T231" s="214">
        <v>70353437</v>
      </c>
      <c r="U231" s="214">
        <v>0</v>
      </c>
      <c r="V231" s="187">
        <f t="shared" si="8"/>
        <v>70353437</v>
      </c>
      <c r="W231" s="187">
        <f t="shared" si="9"/>
        <v>86886355</v>
      </c>
    </row>
    <row r="232" spans="1:23">
      <c r="A232" s="216" t="s">
        <v>4573</v>
      </c>
      <c r="B232" s="218">
        <v>31614.026000000002</v>
      </c>
      <c r="C232" s="218">
        <v>31930.661</v>
      </c>
      <c r="D232" s="218">
        <v>31977.973999999998</v>
      </c>
      <c r="E232" s="218">
        <v>31646.473000000002</v>
      </c>
      <c r="F232" s="218">
        <v>4359.2106000000003</v>
      </c>
      <c r="G232" s="218">
        <v>4356.0418</v>
      </c>
      <c r="H232" s="218">
        <v>4257.8728000000001</v>
      </c>
      <c r="I232" s="218">
        <v>4242.1138000000001</v>
      </c>
      <c r="J232" s="246">
        <v>15873333400</v>
      </c>
      <c r="K232" s="246">
        <v>16311386371</v>
      </c>
      <c r="L232" s="218">
        <v>40560.913</v>
      </c>
      <c r="M232" s="246">
        <v>25729983</v>
      </c>
      <c r="N232" s="251">
        <v>2724.1448</v>
      </c>
      <c r="O232" s="251">
        <v>2730.15</v>
      </c>
      <c r="P232" s="251">
        <v>2572.5237999999999</v>
      </c>
      <c r="Q232" s="251">
        <v>2619.4657000000002</v>
      </c>
      <c r="R232" s="254">
        <v>1.1399999999999999</v>
      </c>
      <c r="S232" s="214">
        <v>47391397</v>
      </c>
      <c r="T232" s="214">
        <v>230727132</v>
      </c>
      <c r="U232" s="214">
        <v>0</v>
      </c>
      <c r="V232" s="187">
        <f t="shared" si="8"/>
        <v>230727132</v>
      </c>
      <c r="W232" s="187">
        <f t="shared" si="9"/>
        <v>278118529</v>
      </c>
    </row>
    <row r="233" spans="1:23">
      <c r="A233" s="216" t="s">
        <v>4575</v>
      </c>
      <c r="B233" s="218">
        <v>357.05799999999999</v>
      </c>
      <c r="C233" s="218">
        <v>372.38099999999997</v>
      </c>
      <c r="D233" s="218">
        <v>423.57499999999999</v>
      </c>
      <c r="E233" s="218">
        <v>453.4</v>
      </c>
      <c r="F233" s="218">
        <v>48.352899999999998</v>
      </c>
      <c r="G233" s="218">
        <v>52.442500000000003</v>
      </c>
      <c r="H233" s="218">
        <v>51.838200000000001</v>
      </c>
      <c r="I233" s="218">
        <v>56.884900000000002</v>
      </c>
      <c r="J233" s="246">
        <v>289206106</v>
      </c>
      <c r="K233" s="246">
        <v>297501206</v>
      </c>
      <c r="L233" s="218">
        <v>646.30200000000002</v>
      </c>
      <c r="M233" s="187">
        <v>0</v>
      </c>
      <c r="N233" s="251">
        <v>32.587200000000003</v>
      </c>
      <c r="O233" s="251">
        <v>35.746299999999998</v>
      </c>
      <c r="P233" s="251">
        <v>35.630800000000001</v>
      </c>
      <c r="Q233" s="251">
        <v>36.398000000000003</v>
      </c>
      <c r="R233" s="254">
        <v>1.08</v>
      </c>
      <c r="S233" s="214">
        <v>0</v>
      </c>
      <c r="T233" s="214">
        <v>4659533</v>
      </c>
      <c r="U233" s="214">
        <v>0</v>
      </c>
      <c r="V233" s="187">
        <f t="shared" si="8"/>
        <v>4659533</v>
      </c>
      <c r="W233" s="187">
        <f t="shared" si="9"/>
        <v>4659533</v>
      </c>
    </row>
    <row r="234" spans="1:23">
      <c r="A234" s="216" t="s">
        <v>4577</v>
      </c>
      <c r="B234" s="218">
        <v>2980.7159999999999</v>
      </c>
      <c r="C234" s="218">
        <v>2801.9560000000001</v>
      </c>
      <c r="D234" s="218">
        <v>2717.337</v>
      </c>
      <c r="E234" s="218">
        <v>2636.3240000000001</v>
      </c>
      <c r="F234" s="218">
        <v>439.41469999999998</v>
      </c>
      <c r="G234" s="218">
        <v>437.37479999999999</v>
      </c>
      <c r="H234" s="218">
        <v>449.41730000000001</v>
      </c>
      <c r="I234" s="218">
        <v>426.6207</v>
      </c>
      <c r="J234" s="246">
        <v>430108023</v>
      </c>
      <c r="K234" s="246">
        <v>464100023</v>
      </c>
      <c r="L234" s="218">
        <v>3787.3069999999998</v>
      </c>
      <c r="M234" s="246">
        <v>311275</v>
      </c>
      <c r="N234" s="251">
        <v>251.51730000000001</v>
      </c>
      <c r="O234" s="251">
        <v>266.43700000000001</v>
      </c>
      <c r="P234" s="251">
        <v>207.0703</v>
      </c>
      <c r="Q234" s="251">
        <v>273.07670000000002</v>
      </c>
      <c r="R234" s="254">
        <v>1.1200000000000001</v>
      </c>
      <c r="S234" s="214">
        <v>278391</v>
      </c>
      <c r="T234" s="214">
        <v>7189999</v>
      </c>
      <c r="U234" s="214">
        <v>0</v>
      </c>
      <c r="V234" s="187">
        <f t="shared" si="8"/>
        <v>7189999</v>
      </c>
      <c r="W234" s="187">
        <f t="shared" si="9"/>
        <v>7468390</v>
      </c>
    </row>
    <row r="235" spans="1:23">
      <c r="A235" s="216" t="s">
        <v>4579</v>
      </c>
      <c r="B235" s="218">
        <v>8549.1239999999998</v>
      </c>
      <c r="C235" s="218">
        <v>8908.8389999999999</v>
      </c>
      <c r="D235" s="218">
        <v>9324.9449999999997</v>
      </c>
      <c r="E235" s="218">
        <v>9463.9830000000002</v>
      </c>
      <c r="F235" s="218">
        <v>1085.8801000000001</v>
      </c>
      <c r="G235" s="218">
        <v>1119.5483999999999</v>
      </c>
      <c r="H235" s="218">
        <v>1108.2485999999999</v>
      </c>
      <c r="I235" s="218">
        <v>1158.2637</v>
      </c>
      <c r="J235" s="246">
        <v>5018357788</v>
      </c>
      <c r="K235" s="246">
        <v>5117381737</v>
      </c>
      <c r="L235" s="218">
        <v>10617.066000000001</v>
      </c>
      <c r="M235" s="246">
        <v>7874158</v>
      </c>
      <c r="N235" s="251">
        <v>740.85220000000004</v>
      </c>
      <c r="O235" s="251">
        <v>753.1386</v>
      </c>
      <c r="P235" s="251">
        <v>740.19489999999996</v>
      </c>
      <c r="Q235" s="251">
        <v>786.05799999999999</v>
      </c>
      <c r="R235" s="254">
        <v>1.1100000000000001</v>
      </c>
      <c r="S235" s="214">
        <v>10679391</v>
      </c>
      <c r="T235" s="214">
        <v>76127913</v>
      </c>
      <c r="U235" s="214">
        <v>0</v>
      </c>
      <c r="V235" s="187">
        <f t="shared" si="8"/>
        <v>76127913</v>
      </c>
      <c r="W235" s="187">
        <f t="shared" si="9"/>
        <v>86807304</v>
      </c>
    </row>
    <row r="236" spans="1:23">
      <c r="A236" s="216" t="s">
        <v>4581</v>
      </c>
      <c r="B236" s="218">
        <v>155.65799999999999</v>
      </c>
      <c r="C236" s="218">
        <v>153.43700000000001</v>
      </c>
      <c r="D236" s="218">
        <v>153.91800000000001</v>
      </c>
      <c r="E236" s="218">
        <v>156.40700000000001</v>
      </c>
      <c r="F236" s="218">
        <v>34.473300000000002</v>
      </c>
      <c r="G236" s="218">
        <v>33.946599999999997</v>
      </c>
      <c r="H236" s="218">
        <v>34.844900000000003</v>
      </c>
      <c r="I236" s="218">
        <v>33.914400000000001</v>
      </c>
      <c r="J236" s="246">
        <v>156031016</v>
      </c>
      <c r="K236" s="246">
        <v>156701080</v>
      </c>
      <c r="L236" s="218">
        <v>272.13499999999999</v>
      </c>
      <c r="M236" s="187">
        <v>0</v>
      </c>
      <c r="N236" s="251">
        <v>24.000699999999998</v>
      </c>
      <c r="O236" s="251">
        <v>23.0002</v>
      </c>
      <c r="P236" s="251">
        <v>22.559200000000001</v>
      </c>
      <c r="Q236" s="251">
        <v>21.357900000000001</v>
      </c>
      <c r="R236" s="254">
        <v>1.1100000000000001</v>
      </c>
      <c r="S236" s="214">
        <v>163882</v>
      </c>
      <c r="T236" s="214">
        <v>1989693</v>
      </c>
      <c r="U236" s="214">
        <v>0</v>
      </c>
      <c r="V236" s="187">
        <f t="shared" si="8"/>
        <v>1989693</v>
      </c>
      <c r="W236" s="187">
        <f t="shared" si="9"/>
        <v>2153575</v>
      </c>
    </row>
    <row r="237" spans="1:23">
      <c r="A237" s="216" t="s">
        <v>4582</v>
      </c>
      <c r="B237" s="218">
        <v>237.48</v>
      </c>
      <c r="C237" s="218">
        <v>208.27600000000001</v>
      </c>
      <c r="D237" s="218">
        <v>201.98599999999999</v>
      </c>
      <c r="E237" s="218">
        <v>183.81</v>
      </c>
      <c r="F237" s="218">
        <v>48.454599999999999</v>
      </c>
      <c r="G237" s="218">
        <v>52.898499999999999</v>
      </c>
      <c r="H237" s="218">
        <v>49.818300000000001</v>
      </c>
      <c r="I237" s="218">
        <v>41.450200000000002</v>
      </c>
      <c r="J237" s="246">
        <v>193938555</v>
      </c>
      <c r="K237" s="246">
        <v>195391705</v>
      </c>
      <c r="L237" s="218">
        <v>344.45299999999997</v>
      </c>
      <c r="M237" s="187">
        <v>0</v>
      </c>
      <c r="N237" s="251">
        <v>27.594799999999999</v>
      </c>
      <c r="O237" s="251">
        <v>31.0002</v>
      </c>
      <c r="P237" s="251">
        <v>29.492799999999999</v>
      </c>
      <c r="Q237" s="251">
        <v>24.173300000000001</v>
      </c>
      <c r="R237" s="254">
        <v>1.08</v>
      </c>
      <c r="S237" s="214">
        <v>0</v>
      </c>
      <c r="T237" s="214">
        <v>2642621</v>
      </c>
      <c r="U237" s="214">
        <v>0</v>
      </c>
      <c r="V237" s="187">
        <f t="shared" si="8"/>
        <v>2642621</v>
      </c>
      <c r="W237" s="187">
        <f t="shared" si="9"/>
        <v>2642621</v>
      </c>
    </row>
    <row r="238" spans="1:23">
      <c r="A238" s="216" t="s">
        <v>4584</v>
      </c>
      <c r="B238" s="218">
        <v>2271.8580000000002</v>
      </c>
      <c r="C238" s="218">
        <v>2237.2840000000001</v>
      </c>
      <c r="D238" s="218">
        <v>2169.7179999999998</v>
      </c>
      <c r="E238" s="218">
        <v>2056.7080000000001</v>
      </c>
      <c r="F238" s="218">
        <v>352.05250000000001</v>
      </c>
      <c r="G238" s="218">
        <v>352.60680000000002</v>
      </c>
      <c r="H238" s="218">
        <v>344.18759999999997</v>
      </c>
      <c r="I238" s="218">
        <v>329.5514</v>
      </c>
      <c r="J238" s="246">
        <v>281488494</v>
      </c>
      <c r="K238" s="246">
        <v>303836944</v>
      </c>
      <c r="L238" s="218">
        <v>2928.6460000000002</v>
      </c>
      <c r="M238" s="187">
        <v>0</v>
      </c>
      <c r="N238" s="251">
        <v>218.20779999999999</v>
      </c>
      <c r="O238" s="251">
        <v>220.94540000000001</v>
      </c>
      <c r="P238" s="251">
        <v>218.0318</v>
      </c>
      <c r="Q238" s="251">
        <v>204.98140000000001</v>
      </c>
      <c r="R238" s="254">
        <v>1.1299999999999999</v>
      </c>
      <c r="S238" s="214">
        <v>0</v>
      </c>
      <c r="T238" s="214">
        <v>4135862</v>
      </c>
      <c r="U238" s="214">
        <v>0</v>
      </c>
      <c r="V238" s="187">
        <f t="shared" si="8"/>
        <v>4135862</v>
      </c>
      <c r="W238" s="187">
        <f t="shared" si="9"/>
        <v>4135862</v>
      </c>
    </row>
    <row r="239" spans="1:23">
      <c r="A239" s="216" t="s">
        <v>4586</v>
      </c>
      <c r="B239" s="218">
        <v>215.09200000000001</v>
      </c>
      <c r="C239" s="218">
        <v>203.77699999999999</v>
      </c>
      <c r="D239" s="218">
        <v>206.136</v>
      </c>
      <c r="E239" s="218">
        <v>205.94499999999999</v>
      </c>
      <c r="F239" s="218">
        <v>38.024099999999997</v>
      </c>
      <c r="G239" s="218">
        <v>39.735399999999998</v>
      </c>
      <c r="H239" s="218">
        <v>39.735399999999998</v>
      </c>
      <c r="I239" s="218">
        <v>40.9467</v>
      </c>
      <c r="J239" s="246">
        <v>97103378</v>
      </c>
      <c r="K239" s="246">
        <v>98715168</v>
      </c>
      <c r="L239" s="218">
        <v>392.12200000000001</v>
      </c>
      <c r="M239" s="187">
        <v>0</v>
      </c>
      <c r="N239" s="251">
        <v>25.795200000000001</v>
      </c>
      <c r="O239" s="251">
        <v>26.533999999999999</v>
      </c>
      <c r="P239" s="251">
        <v>26.665400000000002</v>
      </c>
      <c r="Q239" s="251">
        <v>27.915700000000001</v>
      </c>
      <c r="R239" s="254">
        <v>1.08</v>
      </c>
      <c r="S239" s="214">
        <v>0</v>
      </c>
      <c r="T239" s="214">
        <v>1454471</v>
      </c>
      <c r="U239" s="214">
        <v>0</v>
      </c>
      <c r="V239" s="187">
        <f t="shared" si="8"/>
        <v>1454471</v>
      </c>
      <c r="W239" s="187">
        <f t="shared" si="9"/>
        <v>1454471</v>
      </c>
    </row>
    <row r="240" spans="1:23">
      <c r="A240" s="216" t="s">
        <v>1865</v>
      </c>
      <c r="B240" s="218">
        <v>3869.8389999999999</v>
      </c>
      <c r="C240" s="218">
        <v>3780.2170000000001</v>
      </c>
      <c r="D240" s="218">
        <v>3671.3130000000001</v>
      </c>
      <c r="E240" s="218">
        <v>3644.7069999999999</v>
      </c>
      <c r="F240" s="218">
        <v>631.63589999999999</v>
      </c>
      <c r="G240" s="218">
        <v>596.60350000000005</v>
      </c>
      <c r="H240" s="218">
        <v>561.52499999999998</v>
      </c>
      <c r="I240" s="218">
        <v>534.76419999999996</v>
      </c>
      <c r="J240" s="246">
        <v>496464472</v>
      </c>
      <c r="K240" s="246">
        <v>527838812</v>
      </c>
      <c r="L240" s="218">
        <v>5135.1719999999996</v>
      </c>
      <c r="M240" s="187">
        <v>0</v>
      </c>
      <c r="N240" s="251">
        <v>386.45310000000001</v>
      </c>
      <c r="O240" s="251">
        <v>376.92680000000001</v>
      </c>
      <c r="P240" s="251">
        <v>352.68790000000001</v>
      </c>
      <c r="Q240" s="251">
        <v>347.99369999999999</v>
      </c>
      <c r="R240" s="254">
        <v>1.0900000000000001</v>
      </c>
      <c r="S240" s="214">
        <v>0</v>
      </c>
      <c r="T240" s="214">
        <v>6837110</v>
      </c>
      <c r="U240" s="214">
        <v>403978</v>
      </c>
      <c r="V240" s="187">
        <f t="shared" si="8"/>
        <v>7241088</v>
      </c>
      <c r="W240" s="187">
        <f t="shared" si="9"/>
        <v>7241088</v>
      </c>
    </row>
    <row r="241" spans="1:23">
      <c r="A241" s="216" t="s">
        <v>5018</v>
      </c>
      <c r="B241" s="218">
        <v>146.584</v>
      </c>
      <c r="C241" s="218">
        <v>123.69</v>
      </c>
      <c r="D241" s="218">
        <v>140.529</v>
      </c>
      <c r="E241" s="218">
        <v>141.803</v>
      </c>
      <c r="F241" s="218">
        <v>15.7006</v>
      </c>
      <c r="G241" s="218">
        <v>16.3932</v>
      </c>
      <c r="H241" s="218">
        <v>18.7944</v>
      </c>
      <c r="I241" s="218">
        <v>19.642099999999999</v>
      </c>
      <c r="J241" s="246">
        <v>29217359</v>
      </c>
      <c r="K241" s="246">
        <v>29471869</v>
      </c>
      <c r="L241" s="218">
        <v>271.36399999999998</v>
      </c>
      <c r="M241" s="187">
        <v>0</v>
      </c>
      <c r="N241" s="251">
        <v>11.1713</v>
      </c>
      <c r="O241" s="251">
        <v>10.7864</v>
      </c>
      <c r="P241" s="251">
        <v>12.818099999999999</v>
      </c>
      <c r="Q241" s="251">
        <v>13.3787</v>
      </c>
      <c r="R241" s="254">
        <v>1.05</v>
      </c>
      <c r="S241" s="214">
        <v>0</v>
      </c>
      <c r="T241" s="214">
        <v>288358</v>
      </c>
      <c r="U241" s="214">
        <v>0</v>
      </c>
      <c r="V241" s="187">
        <f t="shared" si="8"/>
        <v>288358</v>
      </c>
      <c r="W241" s="187">
        <f t="shared" si="9"/>
        <v>288358</v>
      </c>
    </row>
    <row r="242" spans="1:23">
      <c r="A242" s="216" t="s">
        <v>5020</v>
      </c>
      <c r="B242" s="218">
        <v>886.20100000000002</v>
      </c>
      <c r="C242" s="218">
        <v>868.91700000000003</v>
      </c>
      <c r="D242" s="218">
        <v>870.572</v>
      </c>
      <c r="E242" s="218">
        <v>865.46100000000001</v>
      </c>
      <c r="F242" s="218">
        <v>140.9014</v>
      </c>
      <c r="G242" s="218">
        <v>140.7784</v>
      </c>
      <c r="H242" s="218">
        <v>146.7602</v>
      </c>
      <c r="I242" s="218">
        <v>149.45160000000001</v>
      </c>
      <c r="J242" s="246">
        <v>76369156</v>
      </c>
      <c r="K242" s="246">
        <v>87239526</v>
      </c>
      <c r="L242" s="218">
        <v>1361.4280000000001</v>
      </c>
      <c r="M242" s="246">
        <v>97430</v>
      </c>
      <c r="N242" s="251">
        <v>89.998599999999996</v>
      </c>
      <c r="O242" s="251">
        <v>93.155699999999996</v>
      </c>
      <c r="P242" s="251">
        <v>96.496399999999994</v>
      </c>
      <c r="Q242" s="251">
        <v>100.3353</v>
      </c>
      <c r="R242" s="254">
        <v>1.03</v>
      </c>
      <c r="S242" s="214">
        <v>96403</v>
      </c>
      <c r="T242" s="214">
        <v>1109938</v>
      </c>
      <c r="U242" s="214">
        <v>0</v>
      </c>
      <c r="V242" s="187">
        <f t="shared" si="8"/>
        <v>1109938</v>
      </c>
      <c r="W242" s="187">
        <f t="shared" si="9"/>
        <v>1206341</v>
      </c>
    </row>
    <row r="243" spans="1:23">
      <c r="A243" s="216" t="s">
        <v>589</v>
      </c>
      <c r="B243" s="218">
        <v>226.446</v>
      </c>
      <c r="C243" s="218">
        <v>225.44499999999999</v>
      </c>
      <c r="D243" s="218">
        <v>233.15199999999999</v>
      </c>
      <c r="E243" s="218">
        <v>226.69399999999999</v>
      </c>
      <c r="F243" s="218">
        <v>51.310200000000002</v>
      </c>
      <c r="G243" s="218">
        <v>54.238</v>
      </c>
      <c r="H243" s="218">
        <v>52.919800000000002</v>
      </c>
      <c r="I243" s="218">
        <v>52.893000000000001</v>
      </c>
      <c r="J243" s="246">
        <v>25620189</v>
      </c>
      <c r="K243" s="246">
        <v>29279655</v>
      </c>
      <c r="L243" s="218">
        <v>414.82600000000002</v>
      </c>
      <c r="M243" s="246">
        <v>26851</v>
      </c>
      <c r="N243" s="251">
        <v>32.7988</v>
      </c>
      <c r="O243" s="251">
        <v>35.714799999999997</v>
      </c>
      <c r="P243" s="251">
        <v>35.752299999999998</v>
      </c>
      <c r="Q243" s="251">
        <v>35.921100000000003</v>
      </c>
      <c r="R243" s="254">
        <v>1.06</v>
      </c>
      <c r="S243" s="214">
        <v>41643</v>
      </c>
      <c r="T243" s="214">
        <v>362520</v>
      </c>
      <c r="U243" s="214">
        <v>0</v>
      </c>
      <c r="V243" s="187">
        <f t="shared" si="8"/>
        <v>362520</v>
      </c>
      <c r="W243" s="187">
        <f t="shared" si="9"/>
        <v>404163</v>
      </c>
    </row>
    <row r="244" spans="1:23">
      <c r="A244" s="216" t="s">
        <v>5022</v>
      </c>
      <c r="B244" s="218">
        <v>12221.406000000001</v>
      </c>
      <c r="C244" s="218">
        <v>12649.454</v>
      </c>
      <c r="D244" s="218">
        <v>13373.629000000001</v>
      </c>
      <c r="E244" s="218">
        <v>14091.172</v>
      </c>
      <c r="F244" s="218">
        <v>1832.5612000000001</v>
      </c>
      <c r="G244" s="218">
        <v>1969.0726</v>
      </c>
      <c r="H244" s="218">
        <v>1940.3741</v>
      </c>
      <c r="I244" s="218">
        <v>2034.1576</v>
      </c>
      <c r="J244" s="246">
        <v>4312902081</v>
      </c>
      <c r="K244" s="246">
        <v>4466562206</v>
      </c>
      <c r="L244" s="218">
        <v>18316.371999999999</v>
      </c>
      <c r="M244" s="246">
        <v>10096202</v>
      </c>
      <c r="N244" s="251">
        <v>1063.7820999999999</v>
      </c>
      <c r="O244" s="251">
        <v>1113.9521999999999</v>
      </c>
      <c r="P244" s="251">
        <v>1146.6507999999999</v>
      </c>
      <c r="Q244" s="251">
        <v>1238.7771</v>
      </c>
      <c r="R244" s="254">
        <v>1.1399999999999999</v>
      </c>
      <c r="S244" s="214">
        <v>17520796</v>
      </c>
      <c r="T244" s="214">
        <v>72221643</v>
      </c>
      <c r="U244" s="214">
        <v>0</v>
      </c>
      <c r="V244" s="187">
        <f t="shared" si="8"/>
        <v>72221643</v>
      </c>
      <c r="W244" s="187">
        <f t="shared" si="9"/>
        <v>89742439</v>
      </c>
    </row>
    <row r="245" spans="1:23">
      <c r="A245" s="216" t="s">
        <v>2989</v>
      </c>
      <c r="B245" s="218">
        <v>34175.122000000003</v>
      </c>
      <c r="C245" s="218">
        <v>36246.302000000003</v>
      </c>
      <c r="D245" s="218">
        <v>38242.175999999999</v>
      </c>
      <c r="E245" s="218">
        <v>39762.851000000002</v>
      </c>
      <c r="F245" s="218">
        <v>4117.2352000000001</v>
      </c>
      <c r="G245" s="218">
        <v>4384.0895</v>
      </c>
      <c r="H245" s="218">
        <v>4598.2532000000001</v>
      </c>
      <c r="I245" s="218">
        <v>4950.1111000000001</v>
      </c>
      <c r="J245" s="246">
        <v>13526621080</v>
      </c>
      <c r="K245" s="246">
        <v>13958040769</v>
      </c>
      <c r="L245" s="218">
        <v>48018.510999999999</v>
      </c>
      <c r="M245" s="246">
        <v>26952974</v>
      </c>
      <c r="N245" s="251">
        <v>2930.7685000000001</v>
      </c>
      <c r="O245" s="251">
        <v>3162.2838999999999</v>
      </c>
      <c r="P245" s="251">
        <v>3305.3251</v>
      </c>
      <c r="Q245" s="251">
        <v>3530.0324000000001</v>
      </c>
      <c r="R245" s="254">
        <v>1.1399999999999999</v>
      </c>
      <c r="S245" s="214">
        <v>40670868</v>
      </c>
      <c r="T245" s="214">
        <v>225432538</v>
      </c>
      <c r="U245" s="214">
        <v>0</v>
      </c>
      <c r="V245" s="187">
        <f t="shared" si="8"/>
        <v>225432538</v>
      </c>
      <c r="W245" s="187">
        <f t="shared" si="9"/>
        <v>266103406</v>
      </c>
    </row>
    <row r="246" spans="1:23">
      <c r="A246" s="216" t="s">
        <v>5126</v>
      </c>
      <c r="B246" s="218">
        <v>1221.7139999999999</v>
      </c>
      <c r="C246" s="218">
        <v>1307.8589999999999</v>
      </c>
      <c r="D246" s="218">
        <v>1346.94</v>
      </c>
      <c r="E246" s="218">
        <v>1407.0820000000001</v>
      </c>
      <c r="F246" s="218">
        <v>197.76</v>
      </c>
      <c r="G246" s="218">
        <v>211.35900000000001</v>
      </c>
      <c r="H246" s="218">
        <v>225.98740000000001</v>
      </c>
      <c r="I246" s="218">
        <v>238.16370000000001</v>
      </c>
      <c r="J246" s="246">
        <v>272065719</v>
      </c>
      <c r="K246" s="246">
        <v>284682037</v>
      </c>
      <c r="L246" s="218">
        <v>1910.2239999999999</v>
      </c>
      <c r="M246" s="246">
        <v>166842</v>
      </c>
      <c r="N246" s="251">
        <v>125.6495</v>
      </c>
      <c r="O246" s="251">
        <v>138.09360000000001</v>
      </c>
      <c r="P246" s="251">
        <v>147.71449999999999</v>
      </c>
      <c r="Q246" s="251">
        <v>155.80080000000001</v>
      </c>
      <c r="R246" s="254">
        <v>1.08</v>
      </c>
      <c r="S246" s="214">
        <v>348324</v>
      </c>
      <c r="T246" s="214">
        <v>4590663</v>
      </c>
      <c r="U246" s="214">
        <v>0</v>
      </c>
      <c r="V246" s="187">
        <f t="shared" si="8"/>
        <v>4590663</v>
      </c>
      <c r="W246" s="187">
        <f t="shared" si="9"/>
        <v>4938987</v>
      </c>
    </row>
    <row r="247" spans="1:23">
      <c r="A247" s="216" t="s">
        <v>3090</v>
      </c>
      <c r="B247" s="218">
        <v>1029.008</v>
      </c>
      <c r="C247" s="218">
        <v>1027.5519999999999</v>
      </c>
      <c r="D247" s="218">
        <v>1041.1130000000001</v>
      </c>
      <c r="E247" s="218">
        <v>1095.721</v>
      </c>
      <c r="F247" s="218">
        <v>158.619</v>
      </c>
      <c r="G247" s="218">
        <v>164.20050000000001</v>
      </c>
      <c r="H247" s="218">
        <v>169.14070000000001</v>
      </c>
      <c r="I247" s="218">
        <v>173.17400000000001</v>
      </c>
      <c r="J247" s="246">
        <v>180196259</v>
      </c>
      <c r="K247" s="246">
        <v>191124986</v>
      </c>
      <c r="L247" s="218">
        <v>1620.4880000000001</v>
      </c>
      <c r="M247" s="246">
        <v>317371</v>
      </c>
      <c r="N247" s="251">
        <v>107.8755</v>
      </c>
      <c r="O247" s="251">
        <v>109.7094</v>
      </c>
      <c r="P247" s="251">
        <v>116.45050000000001</v>
      </c>
      <c r="Q247" s="251">
        <v>117.3158</v>
      </c>
      <c r="R247" s="254">
        <v>1.08</v>
      </c>
      <c r="S247" s="214">
        <v>520982</v>
      </c>
      <c r="T247" s="214">
        <v>3516671</v>
      </c>
      <c r="U247" s="214">
        <v>0</v>
      </c>
      <c r="V247" s="187">
        <f t="shared" si="8"/>
        <v>3516671</v>
      </c>
      <c r="W247" s="187">
        <f t="shared" si="9"/>
        <v>4037653</v>
      </c>
    </row>
    <row r="248" spans="1:23">
      <c r="A248" s="216" t="s">
        <v>5128</v>
      </c>
      <c r="B248" s="218">
        <v>654.65300000000002</v>
      </c>
      <c r="C248" s="218">
        <v>675.30700000000002</v>
      </c>
      <c r="D248" s="218">
        <v>702.65300000000002</v>
      </c>
      <c r="E248" s="218">
        <v>766.76</v>
      </c>
      <c r="F248" s="218">
        <v>109.5694</v>
      </c>
      <c r="G248" s="218">
        <v>124.8848</v>
      </c>
      <c r="H248" s="218">
        <v>127.4545</v>
      </c>
      <c r="I248" s="218">
        <v>136.93049999999999</v>
      </c>
      <c r="J248" s="246">
        <v>188034048</v>
      </c>
      <c r="K248" s="246">
        <v>194513991</v>
      </c>
      <c r="L248" s="218">
        <v>1148.6510000000001</v>
      </c>
      <c r="M248" s="246">
        <v>255957</v>
      </c>
      <c r="N248" s="251">
        <v>74.437299999999993</v>
      </c>
      <c r="O248" s="251">
        <v>84.776700000000005</v>
      </c>
      <c r="P248" s="251">
        <v>89.947500000000005</v>
      </c>
      <c r="Q248" s="251">
        <v>94.977500000000006</v>
      </c>
      <c r="R248" s="254">
        <v>1.07</v>
      </c>
      <c r="S248" s="214">
        <v>1006820</v>
      </c>
      <c r="T248" s="214">
        <v>4502890</v>
      </c>
      <c r="U248" s="214">
        <v>0</v>
      </c>
      <c r="V248" s="187">
        <f t="shared" si="8"/>
        <v>4502890</v>
      </c>
      <c r="W248" s="187">
        <f t="shared" si="9"/>
        <v>5509710</v>
      </c>
    </row>
    <row r="249" spans="1:23">
      <c r="A249" s="216" t="s">
        <v>270</v>
      </c>
      <c r="B249" s="218">
        <v>907.14400000000001</v>
      </c>
      <c r="C249" s="218">
        <v>940.8</v>
      </c>
      <c r="D249" s="218">
        <v>983.35400000000004</v>
      </c>
      <c r="E249" s="218">
        <v>1007.918</v>
      </c>
      <c r="F249" s="218">
        <v>136.14449999999999</v>
      </c>
      <c r="G249" s="218">
        <v>136.47049999999999</v>
      </c>
      <c r="H249" s="218">
        <v>151.90369999999999</v>
      </c>
      <c r="I249" s="218">
        <v>153.4599</v>
      </c>
      <c r="J249" s="246">
        <v>200156072</v>
      </c>
      <c r="K249" s="246">
        <v>211411312</v>
      </c>
      <c r="L249" s="218">
        <v>1447.191</v>
      </c>
      <c r="M249" s="246">
        <v>170215</v>
      </c>
      <c r="N249" s="251">
        <v>91.255799999999994</v>
      </c>
      <c r="O249" s="251">
        <v>92.527600000000007</v>
      </c>
      <c r="P249" s="251">
        <v>101.7795</v>
      </c>
      <c r="Q249" s="251">
        <v>105.622</v>
      </c>
      <c r="R249" s="254">
        <v>1.08</v>
      </c>
      <c r="S249" s="214">
        <v>464755</v>
      </c>
      <c r="T249" s="214">
        <v>3398222</v>
      </c>
      <c r="U249" s="214">
        <v>0</v>
      </c>
      <c r="V249" s="187">
        <f t="shared" si="8"/>
        <v>3398222</v>
      </c>
      <c r="W249" s="187">
        <f t="shared" si="9"/>
        <v>3862977</v>
      </c>
    </row>
    <row r="250" spans="1:23">
      <c r="A250" s="216" t="s">
        <v>2391</v>
      </c>
      <c r="B250" s="218">
        <v>1991.5319999999999</v>
      </c>
      <c r="C250" s="218">
        <v>1955.3130000000001</v>
      </c>
      <c r="D250" s="218">
        <v>1988.34</v>
      </c>
      <c r="E250" s="218">
        <v>2021.432</v>
      </c>
      <c r="F250" s="218">
        <v>326.72980000000001</v>
      </c>
      <c r="G250" s="218">
        <v>334.36900000000003</v>
      </c>
      <c r="H250" s="218">
        <v>351.51139999999998</v>
      </c>
      <c r="I250" s="218">
        <v>383.87990000000002</v>
      </c>
      <c r="J250" s="246">
        <v>318963234</v>
      </c>
      <c r="K250" s="246">
        <v>339137960</v>
      </c>
      <c r="L250" s="218">
        <v>2750.0650000000001</v>
      </c>
      <c r="M250" s="246">
        <v>441874</v>
      </c>
      <c r="N250" s="251">
        <v>219.41730000000001</v>
      </c>
      <c r="O250" s="251">
        <v>225.95509999999999</v>
      </c>
      <c r="P250" s="251">
        <v>222.9734</v>
      </c>
      <c r="Q250" s="251">
        <v>229.221</v>
      </c>
      <c r="R250" s="254">
        <v>1.0900000000000001</v>
      </c>
      <c r="S250" s="214">
        <v>931006</v>
      </c>
      <c r="T250" s="214">
        <v>5953613</v>
      </c>
      <c r="U250" s="214">
        <v>0</v>
      </c>
      <c r="V250" s="187">
        <f t="shared" si="8"/>
        <v>5953613</v>
      </c>
      <c r="W250" s="187">
        <f t="shared" si="9"/>
        <v>6884619</v>
      </c>
    </row>
    <row r="251" spans="1:23">
      <c r="A251" s="216" t="s">
        <v>2746</v>
      </c>
      <c r="B251" s="218">
        <v>765.47500000000002</v>
      </c>
      <c r="C251" s="218">
        <v>903.35799999999995</v>
      </c>
      <c r="D251" s="218">
        <v>1068.3910000000001</v>
      </c>
      <c r="E251" s="218">
        <v>1195.934</v>
      </c>
      <c r="F251" s="218">
        <v>100.18040000000001</v>
      </c>
      <c r="G251" s="218">
        <v>123.1705</v>
      </c>
      <c r="H251" s="218">
        <v>134.4837</v>
      </c>
      <c r="I251" s="218">
        <v>148.44999999999999</v>
      </c>
      <c r="J251" s="246">
        <v>446108778</v>
      </c>
      <c r="K251" s="246">
        <v>459565098</v>
      </c>
      <c r="L251" s="218">
        <v>1537.577</v>
      </c>
      <c r="M251" s="246">
        <v>812625</v>
      </c>
      <c r="N251" s="251">
        <v>73.256900000000002</v>
      </c>
      <c r="O251" s="251">
        <v>90.783299999999997</v>
      </c>
      <c r="P251" s="251">
        <v>101.884</v>
      </c>
      <c r="Q251" s="251">
        <v>111.50230000000001</v>
      </c>
      <c r="R251" s="254">
        <v>1.08</v>
      </c>
      <c r="S251" s="214">
        <v>1336684</v>
      </c>
      <c r="T251" s="214">
        <v>7862095</v>
      </c>
      <c r="U251" s="214">
        <v>0</v>
      </c>
      <c r="V251" s="187">
        <f t="shared" si="8"/>
        <v>7862095</v>
      </c>
      <c r="W251" s="187">
        <f t="shared" si="9"/>
        <v>9198779</v>
      </c>
    </row>
    <row r="252" spans="1:23">
      <c r="A252" s="216" t="s">
        <v>6186</v>
      </c>
      <c r="B252" s="218">
        <v>4876.982</v>
      </c>
      <c r="C252" s="218">
        <v>5074.1400000000003</v>
      </c>
      <c r="D252" s="218">
        <v>5379.076</v>
      </c>
      <c r="E252" s="218">
        <v>5914.21</v>
      </c>
      <c r="F252" s="218">
        <v>709.72080000000005</v>
      </c>
      <c r="G252" s="218">
        <v>772.09059999999999</v>
      </c>
      <c r="H252" s="218">
        <v>738.89679999999998</v>
      </c>
      <c r="I252" s="218">
        <v>741.12170000000003</v>
      </c>
      <c r="J252" s="246">
        <v>3052806195</v>
      </c>
      <c r="K252" s="246">
        <v>3111332575</v>
      </c>
      <c r="L252" s="218">
        <v>7200.47</v>
      </c>
      <c r="M252" s="246">
        <v>7033125</v>
      </c>
      <c r="N252" s="251">
        <v>469.20679999999999</v>
      </c>
      <c r="O252" s="251">
        <v>490.423</v>
      </c>
      <c r="P252" s="251">
        <v>510.1277</v>
      </c>
      <c r="Q252" s="251">
        <v>515.07219999999995</v>
      </c>
      <c r="R252" s="254">
        <v>1.1100000000000001</v>
      </c>
      <c r="S252" s="214">
        <v>11914640</v>
      </c>
      <c r="T252" s="214">
        <v>54293349</v>
      </c>
      <c r="U252" s="214">
        <v>0</v>
      </c>
      <c r="V252" s="187">
        <f t="shared" si="8"/>
        <v>54293349</v>
      </c>
      <c r="W252" s="187">
        <f t="shared" si="9"/>
        <v>66207989</v>
      </c>
    </row>
    <row r="253" spans="1:23">
      <c r="A253" s="216" t="s">
        <v>6041</v>
      </c>
      <c r="B253" s="218">
        <v>2877.8069999999998</v>
      </c>
      <c r="C253" s="218">
        <v>3029.471</v>
      </c>
      <c r="D253" s="218">
        <v>3135.53</v>
      </c>
      <c r="E253" s="218">
        <v>3269.6439999999998</v>
      </c>
      <c r="F253" s="218">
        <v>429.61290000000002</v>
      </c>
      <c r="G253" s="218">
        <v>382.2962</v>
      </c>
      <c r="H253" s="218">
        <v>508.91649999999998</v>
      </c>
      <c r="I253" s="218">
        <v>515.26760000000002</v>
      </c>
      <c r="J253" s="246">
        <v>818486686</v>
      </c>
      <c r="K253" s="246">
        <v>854893709</v>
      </c>
      <c r="L253" s="218">
        <v>4145.3779999999997</v>
      </c>
      <c r="M253" s="246">
        <v>872425</v>
      </c>
      <c r="N253" s="251">
        <v>281.29149999999998</v>
      </c>
      <c r="O253" s="251">
        <v>284.19869999999997</v>
      </c>
      <c r="P253" s="251">
        <v>328.7011</v>
      </c>
      <c r="Q253" s="251">
        <v>340.4282</v>
      </c>
      <c r="R253" s="254">
        <v>1.0900000000000001</v>
      </c>
      <c r="S253" s="214">
        <v>1751612</v>
      </c>
      <c r="T253" s="214">
        <v>13802823</v>
      </c>
      <c r="U253" s="214">
        <v>0</v>
      </c>
      <c r="V253" s="187">
        <f t="shared" si="8"/>
        <v>13802823</v>
      </c>
      <c r="W253" s="187">
        <f t="shared" si="9"/>
        <v>15554435</v>
      </c>
    </row>
    <row r="254" spans="1:23">
      <c r="A254" s="216" t="s">
        <v>591</v>
      </c>
      <c r="B254" s="218">
        <v>1590.1210000000001</v>
      </c>
      <c r="C254" s="218">
        <v>1915.5840000000001</v>
      </c>
      <c r="D254" s="218">
        <v>2367.15</v>
      </c>
      <c r="E254" s="218">
        <v>2812.0479999999998</v>
      </c>
      <c r="F254" s="218">
        <v>244.86510000000001</v>
      </c>
      <c r="G254" s="218">
        <v>290.15530000000001</v>
      </c>
      <c r="H254" s="218">
        <v>339.01549999999997</v>
      </c>
      <c r="I254" s="218">
        <v>417.02199999999999</v>
      </c>
      <c r="J254" s="246">
        <v>423219038</v>
      </c>
      <c r="K254" s="246">
        <v>441667706</v>
      </c>
      <c r="L254" s="218">
        <v>3650.5940000000001</v>
      </c>
      <c r="M254" s="246">
        <v>531682</v>
      </c>
      <c r="N254" s="251">
        <v>153.1242</v>
      </c>
      <c r="O254" s="251">
        <v>174.72630000000001</v>
      </c>
      <c r="P254" s="251">
        <v>204.96700000000001</v>
      </c>
      <c r="Q254" s="251">
        <v>262.72469999999998</v>
      </c>
      <c r="R254" s="254">
        <v>1.08</v>
      </c>
      <c r="S254" s="214">
        <v>2545393</v>
      </c>
      <c r="T254" s="214">
        <v>7508791</v>
      </c>
      <c r="U254" s="214">
        <v>0</v>
      </c>
      <c r="V254" s="187">
        <f t="shared" si="8"/>
        <v>7508791</v>
      </c>
      <c r="W254" s="187">
        <f t="shared" si="9"/>
        <v>10054184</v>
      </c>
    </row>
    <row r="255" spans="1:23">
      <c r="A255" s="216" t="s">
        <v>443</v>
      </c>
      <c r="B255" s="218">
        <v>1904.9059999999999</v>
      </c>
      <c r="C255" s="218">
        <v>1898.672</v>
      </c>
      <c r="D255" s="218">
        <v>1858.4549999999999</v>
      </c>
      <c r="E255" s="218">
        <v>1837.221</v>
      </c>
      <c r="F255" s="218">
        <v>341.37580000000003</v>
      </c>
      <c r="G255" s="218">
        <v>349.32900000000001</v>
      </c>
      <c r="H255" s="218">
        <v>368.67140000000001</v>
      </c>
      <c r="I255" s="218">
        <v>365.12020000000001</v>
      </c>
      <c r="J255" s="246">
        <v>211377957</v>
      </c>
      <c r="K255" s="246">
        <v>231527557</v>
      </c>
      <c r="L255" s="218">
        <v>2613.047</v>
      </c>
      <c r="M255" s="187">
        <v>0</v>
      </c>
      <c r="N255" s="251">
        <v>224.48079999999999</v>
      </c>
      <c r="O255" s="251">
        <v>224.81639999999999</v>
      </c>
      <c r="P255" s="251">
        <v>230.65119999999999</v>
      </c>
      <c r="Q255" s="251">
        <v>234.17359999999999</v>
      </c>
      <c r="R255" s="254">
        <v>1.08</v>
      </c>
      <c r="S255" s="214">
        <v>175584</v>
      </c>
      <c r="T255" s="214">
        <v>3240583</v>
      </c>
      <c r="U255" s="214">
        <v>0</v>
      </c>
      <c r="V255" s="187">
        <f t="shared" si="8"/>
        <v>3240583</v>
      </c>
      <c r="W255" s="187">
        <f t="shared" si="9"/>
        <v>3416167</v>
      </c>
    </row>
    <row r="256" spans="1:23">
      <c r="A256" s="216" t="s">
        <v>2748</v>
      </c>
      <c r="B256" s="218">
        <v>99.918000000000006</v>
      </c>
      <c r="C256" s="218">
        <v>90.295000000000002</v>
      </c>
      <c r="D256" s="218">
        <v>97.203000000000003</v>
      </c>
      <c r="E256" s="218">
        <v>96.138999999999996</v>
      </c>
      <c r="F256" s="218">
        <v>27.5562</v>
      </c>
      <c r="G256" s="218">
        <v>26.058900000000001</v>
      </c>
      <c r="H256" s="218">
        <v>24.524100000000001</v>
      </c>
      <c r="I256" s="218">
        <v>26.4252</v>
      </c>
      <c r="J256" s="246">
        <v>37556342</v>
      </c>
      <c r="K256" s="246">
        <v>39628872</v>
      </c>
      <c r="L256" s="218">
        <v>283.92</v>
      </c>
      <c r="M256" s="187">
        <v>0</v>
      </c>
      <c r="N256" s="251">
        <v>20.8688</v>
      </c>
      <c r="O256" s="251">
        <v>17.133400000000002</v>
      </c>
      <c r="P256" s="251">
        <v>16.001999999999999</v>
      </c>
      <c r="Q256" s="251">
        <v>17.0016</v>
      </c>
      <c r="R256" s="254">
        <v>1.0900000000000001</v>
      </c>
      <c r="S256" s="214">
        <v>84072</v>
      </c>
      <c r="T256" s="214">
        <v>551681</v>
      </c>
      <c r="U256" s="214">
        <v>0</v>
      </c>
      <c r="V256" s="187">
        <f t="shared" si="8"/>
        <v>551681</v>
      </c>
      <c r="W256" s="187">
        <f t="shared" si="9"/>
        <v>635753</v>
      </c>
    </row>
    <row r="257" spans="1:23">
      <c r="A257" s="216" t="s">
        <v>862</v>
      </c>
      <c r="B257" s="218">
        <v>1427.75</v>
      </c>
      <c r="C257" s="218">
        <v>1418.357</v>
      </c>
      <c r="D257" s="218">
        <v>1439.08</v>
      </c>
      <c r="E257" s="218">
        <v>1447.2139999999999</v>
      </c>
      <c r="F257" s="218">
        <v>246.85550000000001</v>
      </c>
      <c r="G257" s="218">
        <v>249.7046</v>
      </c>
      <c r="H257" s="218">
        <v>253.81559999999999</v>
      </c>
      <c r="I257" s="218">
        <v>250.19479999999999</v>
      </c>
      <c r="J257" s="246">
        <v>246704306</v>
      </c>
      <c r="K257" s="246">
        <v>267210364</v>
      </c>
      <c r="L257" s="218">
        <v>2085.36</v>
      </c>
      <c r="M257" s="246">
        <v>248365</v>
      </c>
      <c r="N257" s="251">
        <v>181.33170000000001</v>
      </c>
      <c r="O257" s="251">
        <v>182.2852</v>
      </c>
      <c r="P257" s="251">
        <v>181.1174</v>
      </c>
      <c r="Q257" s="251">
        <v>178.55799999999999</v>
      </c>
      <c r="R257" s="254">
        <v>1.07</v>
      </c>
      <c r="S257" s="214">
        <v>420932</v>
      </c>
      <c r="T257" s="214">
        <v>3226820</v>
      </c>
      <c r="U257" s="214">
        <v>0</v>
      </c>
      <c r="V257" s="187">
        <f t="shared" si="8"/>
        <v>3226820</v>
      </c>
      <c r="W257" s="187">
        <f t="shared" si="9"/>
        <v>3647752</v>
      </c>
    </row>
    <row r="258" spans="1:23">
      <c r="A258" s="216" t="s">
        <v>2750</v>
      </c>
      <c r="B258" s="218">
        <v>697.798</v>
      </c>
      <c r="C258" s="218">
        <v>690.65200000000004</v>
      </c>
      <c r="D258" s="218">
        <v>669.79399999999998</v>
      </c>
      <c r="E258" s="218">
        <v>651.07000000000005</v>
      </c>
      <c r="F258" s="218">
        <v>127.3865</v>
      </c>
      <c r="G258" s="218">
        <v>120.404</v>
      </c>
      <c r="H258" s="218">
        <v>108.86669999999999</v>
      </c>
      <c r="I258" s="218">
        <v>99.149799999999999</v>
      </c>
      <c r="J258" s="246">
        <v>86363425</v>
      </c>
      <c r="K258" s="246">
        <v>96497055</v>
      </c>
      <c r="L258" s="218">
        <v>1028.3209999999999</v>
      </c>
      <c r="M258" s="187">
        <v>0</v>
      </c>
      <c r="N258" s="251">
        <v>84.752499999999998</v>
      </c>
      <c r="O258" s="251">
        <v>78.002200000000002</v>
      </c>
      <c r="P258" s="251">
        <v>69.979100000000003</v>
      </c>
      <c r="Q258" s="251">
        <v>63.878</v>
      </c>
      <c r="R258" s="254">
        <v>1.06</v>
      </c>
      <c r="S258" s="214">
        <v>0</v>
      </c>
      <c r="T258" s="214">
        <v>1322861</v>
      </c>
      <c r="U258" s="214">
        <v>0</v>
      </c>
      <c r="V258" s="187">
        <f t="shared" si="8"/>
        <v>1322861</v>
      </c>
      <c r="W258" s="187">
        <f t="shared" si="9"/>
        <v>1322861</v>
      </c>
    </row>
    <row r="259" spans="1:23">
      <c r="A259" s="216" t="s">
        <v>3899</v>
      </c>
      <c r="B259" s="218">
        <v>65.578999999999994</v>
      </c>
      <c r="C259" s="218">
        <v>64.977999999999994</v>
      </c>
      <c r="D259" s="218">
        <v>63.015999999999998</v>
      </c>
      <c r="E259" s="218">
        <v>59.546999999999997</v>
      </c>
      <c r="F259" s="218">
        <v>13.1899</v>
      </c>
      <c r="G259" s="218">
        <v>12.4252</v>
      </c>
      <c r="H259" s="218">
        <v>12.943899999999999</v>
      </c>
      <c r="I259" s="218">
        <v>13.6845</v>
      </c>
      <c r="J259" s="246">
        <v>12851263</v>
      </c>
      <c r="K259" s="246">
        <v>14388153</v>
      </c>
      <c r="L259" s="218">
        <v>134.12</v>
      </c>
      <c r="M259" s="246">
        <v>13868</v>
      </c>
      <c r="N259" s="251">
        <v>9.9878999999999998</v>
      </c>
      <c r="O259" s="251">
        <v>9.9880999999999993</v>
      </c>
      <c r="P259" s="251">
        <v>10.9284</v>
      </c>
      <c r="Q259" s="251">
        <v>11.1669</v>
      </c>
      <c r="R259" s="254">
        <v>1.0900000000000001</v>
      </c>
      <c r="S259" s="214">
        <v>14654</v>
      </c>
      <c r="T259" s="214">
        <v>194705</v>
      </c>
      <c r="U259" s="214">
        <v>0</v>
      </c>
      <c r="V259" s="187">
        <f t="shared" si="8"/>
        <v>194705</v>
      </c>
      <c r="W259" s="187">
        <f t="shared" si="9"/>
        <v>209359</v>
      </c>
    </row>
    <row r="260" spans="1:23">
      <c r="A260" s="216" t="s">
        <v>3604</v>
      </c>
      <c r="B260" s="218">
        <v>144.524</v>
      </c>
      <c r="C260" s="218">
        <v>134.285</v>
      </c>
      <c r="D260" s="218">
        <v>139.83600000000001</v>
      </c>
      <c r="E260" s="218">
        <v>139.923</v>
      </c>
      <c r="F260" s="218">
        <v>19.382300000000001</v>
      </c>
      <c r="G260" s="218">
        <v>18.4358</v>
      </c>
      <c r="H260" s="218">
        <v>20.366299999999999</v>
      </c>
      <c r="I260" s="218">
        <v>20.4893</v>
      </c>
      <c r="J260" s="246">
        <v>34278390</v>
      </c>
      <c r="K260" s="246">
        <v>37468870</v>
      </c>
      <c r="L260" s="218">
        <v>227.779</v>
      </c>
      <c r="M260" s="187">
        <v>0</v>
      </c>
      <c r="N260" s="251">
        <v>12.4993</v>
      </c>
      <c r="O260" s="251">
        <v>12.4993</v>
      </c>
      <c r="P260" s="251">
        <v>14.387</v>
      </c>
      <c r="Q260" s="251">
        <v>15.4994</v>
      </c>
      <c r="R260" s="254">
        <v>1.07</v>
      </c>
      <c r="S260" s="214">
        <v>0</v>
      </c>
      <c r="T260" s="214">
        <v>802886</v>
      </c>
      <c r="U260" s="214">
        <v>0</v>
      </c>
      <c r="V260" s="187">
        <f t="shared" si="8"/>
        <v>802886</v>
      </c>
      <c r="W260" s="187">
        <f t="shared" si="9"/>
        <v>802886</v>
      </c>
    </row>
    <row r="261" spans="1:23">
      <c r="A261" s="216" t="s">
        <v>3166</v>
      </c>
      <c r="B261" s="218">
        <v>264.73200000000003</v>
      </c>
      <c r="C261" s="218">
        <v>242.15299999999999</v>
      </c>
      <c r="D261" s="218">
        <v>250.88399999999999</v>
      </c>
      <c r="E261" s="218">
        <v>275.125</v>
      </c>
      <c r="F261" s="218">
        <v>68.5</v>
      </c>
      <c r="G261" s="218">
        <v>59.5</v>
      </c>
      <c r="H261" s="218">
        <v>58.75</v>
      </c>
      <c r="I261" s="218">
        <v>64</v>
      </c>
      <c r="J261" s="246">
        <v>88563787</v>
      </c>
      <c r="K261" s="246">
        <v>92891157</v>
      </c>
      <c r="L261" s="218">
        <v>546.21900000000005</v>
      </c>
      <c r="M261" s="187">
        <v>0</v>
      </c>
      <c r="N261" s="251">
        <v>46.018099999999997</v>
      </c>
      <c r="O261" s="251">
        <v>38.270899999999997</v>
      </c>
      <c r="P261" s="251">
        <v>38.999099999999999</v>
      </c>
      <c r="Q261" s="251">
        <v>40.4726</v>
      </c>
      <c r="R261" s="254">
        <v>1.06</v>
      </c>
      <c r="S261" s="214">
        <v>0</v>
      </c>
      <c r="T261" s="214">
        <v>1442702</v>
      </c>
      <c r="U261" s="214">
        <v>0</v>
      </c>
      <c r="V261" s="187">
        <f t="shared" ref="V261:V324" si="10">T261+U261</f>
        <v>1442702</v>
      </c>
      <c r="W261" s="187">
        <f t="shared" ref="W261:W324" si="11">V261+S261</f>
        <v>1442702</v>
      </c>
    </row>
    <row r="262" spans="1:23">
      <c r="A262" s="216" t="s">
        <v>3168</v>
      </c>
      <c r="B262" s="218">
        <v>137.84</v>
      </c>
      <c r="C262" s="218">
        <v>142.786</v>
      </c>
      <c r="D262" s="218">
        <v>150.92500000000001</v>
      </c>
      <c r="E262" s="218">
        <v>146.744</v>
      </c>
      <c r="F262" s="218">
        <v>32.748600000000003</v>
      </c>
      <c r="G262" s="218">
        <v>33.197899999999997</v>
      </c>
      <c r="H262" s="218">
        <v>31.775400000000001</v>
      </c>
      <c r="I262" s="218">
        <v>34.1511</v>
      </c>
      <c r="J262" s="246">
        <v>15862897</v>
      </c>
      <c r="K262" s="246">
        <v>16532117</v>
      </c>
      <c r="L262" s="218">
        <v>350.00599999999997</v>
      </c>
      <c r="M262" s="187">
        <v>0</v>
      </c>
      <c r="N262" s="251">
        <v>21.429200000000002</v>
      </c>
      <c r="O262" s="251">
        <v>22.9999</v>
      </c>
      <c r="P262" s="251">
        <v>21.477599999999999</v>
      </c>
      <c r="Q262" s="251">
        <v>22.161999999999999</v>
      </c>
      <c r="R262" s="254">
        <v>1.0900000000000001</v>
      </c>
      <c r="S262" s="214">
        <v>0</v>
      </c>
      <c r="T262" s="214">
        <v>271596</v>
      </c>
      <c r="U262" s="214">
        <v>0</v>
      </c>
      <c r="V262" s="187">
        <f t="shared" si="10"/>
        <v>271596</v>
      </c>
      <c r="W262" s="187">
        <f t="shared" si="11"/>
        <v>271596</v>
      </c>
    </row>
    <row r="263" spans="1:23">
      <c r="A263" s="216" t="s">
        <v>3091</v>
      </c>
      <c r="B263" s="218">
        <v>2390.1080000000002</v>
      </c>
      <c r="C263" s="218">
        <v>2301.9690000000001</v>
      </c>
      <c r="D263" s="218">
        <v>2310.1309999999999</v>
      </c>
      <c r="E263" s="218">
        <v>2298.33</v>
      </c>
      <c r="F263" s="218">
        <v>427.75009999999997</v>
      </c>
      <c r="G263" s="218">
        <v>424.61559999999997</v>
      </c>
      <c r="H263" s="218">
        <v>409.06790000000001</v>
      </c>
      <c r="I263" s="218">
        <v>396.46420000000001</v>
      </c>
      <c r="J263" s="246">
        <v>227817488</v>
      </c>
      <c r="K263" s="246">
        <v>203243499</v>
      </c>
      <c r="L263" s="218">
        <v>3406.99</v>
      </c>
      <c r="M263" s="246">
        <v>22665</v>
      </c>
      <c r="N263" s="251">
        <v>218.33949999999999</v>
      </c>
      <c r="O263" s="251">
        <v>250.3751</v>
      </c>
      <c r="P263" s="251">
        <v>247.46610000000001</v>
      </c>
      <c r="Q263" s="251">
        <v>256.42720000000003</v>
      </c>
      <c r="R263" s="254">
        <v>1.1200000000000001</v>
      </c>
      <c r="S263" s="214">
        <v>156601</v>
      </c>
      <c r="T263" s="214">
        <v>3152059</v>
      </c>
      <c r="U263" s="214">
        <v>0</v>
      </c>
      <c r="V263" s="187">
        <f t="shared" si="10"/>
        <v>3152059</v>
      </c>
      <c r="W263" s="187">
        <f t="shared" si="11"/>
        <v>3308660</v>
      </c>
    </row>
    <row r="264" spans="1:23">
      <c r="A264" s="216" t="s">
        <v>3171</v>
      </c>
      <c r="B264" s="218">
        <v>486.25400000000002</v>
      </c>
      <c r="C264" s="218">
        <v>469.512</v>
      </c>
      <c r="D264" s="218">
        <v>463.25799999999998</v>
      </c>
      <c r="E264" s="218">
        <v>481.88600000000002</v>
      </c>
      <c r="F264" s="218">
        <v>92.622200000000007</v>
      </c>
      <c r="G264" s="218">
        <v>89.943299999999994</v>
      </c>
      <c r="H264" s="218">
        <v>90.248999999999995</v>
      </c>
      <c r="I264" s="218">
        <v>89.630300000000005</v>
      </c>
      <c r="J264" s="246">
        <v>90248571</v>
      </c>
      <c r="K264" s="246">
        <v>97561696</v>
      </c>
      <c r="L264" s="218">
        <v>934.90599999999995</v>
      </c>
      <c r="M264" s="187">
        <v>0</v>
      </c>
      <c r="N264" s="251">
        <v>67.4238</v>
      </c>
      <c r="O264" s="251">
        <v>64.504800000000003</v>
      </c>
      <c r="P264" s="251">
        <v>62.550800000000002</v>
      </c>
      <c r="Q264" s="251">
        <v>62.3324</v>
      </c>
      <c r="R264" s="254">
        <v>1.07</v>
      </c>
      <c r="S264" s="214">
        <v>0</v>
      </c>
      <c r="T264" s="214">
        <v>1459386</v>
      </c>
      <c r="U264" s="214">
        <v>0</v>
      </c>
      <c r="V264" s="187">
        <f t="shared" si="10"/>
        <v>1459386</v>
      </c>
      <c r="W264" s="187">
        <f t="shared" si="11"/>
        <v>1459386</v>
      </c>
    </row>
    <row r="265" spans="1:23">
      <c r="A265" s="216" t="s">
        <v>593</v>
      </c>
      <c r="B265" s="218">
        <v>158.74</v>
      </c>
      <c r="C265" s="218">
        <v>168.26499999999999</v>
      </c>
      <c r="D265" s="218">
        <v>182.45699999999999</v>
      </c>
      <c r="E265" s="218">
        <v>177.40299999999999</v>
      </c>
      <c r="F265" s="218">
        <v>32.8294</v>
      </c>
      <c r="G265" s="218">
        <v>33.692999999999998</v>
      </c>
      <c r="H265" s="218">
        <v>36.262500000000003</v>
      </c>
      <c r="I265" s="218">
        <v>37.451300000000003</v>
      </c>
      <c r="J265" s="246">
        <v>24896477</v>
      </c>
      <c r="K265" s="246">
        <v>26179333</v>
      </c>
      <c r="L265" s="218">
        <v>384.39100000000002</v>
      </c>
      <c r="M265" s="187">
        <v>0</v>
      </c>
      <c r="N265" s="251">
        <v>21.375699999999998</v>
      </c>
      <c r="O265" s="251">
        <v>22.6218</v>
      </c>
      <c r="P265" s="251">
        <v>24.1084</v>
      </c>
      <c r="Q265" s="251">
        <v>25.969000000000001</v>
      </c>
      <c r="R265" s="254">
        <v>1.07</v>
      </c>
      <c r="S265" s="214">
        <v>16575</v>
      </c>
      <c r="T265" s="214">
        <v>373297</v>
      </c>
      <c r="U265" s="214">
        <v>0</v>
      </c>
      <c r="V265" s="187">
        <f t="shared" si="10"/>
        <v>373297</v>
      </c>
      <c r="W265" s="187">
        <f t="shared" si="11"/>
        <v>389872</v>
      </c>
    </row>
    <row r="266" spans="1:23">
      <c r="A266" s="216" t="s">
        <v>3173</v>
      </c>
      <c r="B266" s="218">
        <v>24.812999999999999</v>
      </c>
      <c r="C266" s="218">
        <v>25.353999999999999</v>
      </c>
      <c r="D266" s="218">
        <v>28.843</v>
      </c>
      <c r="E266" s="218">
        <v>29.605</v>
      </c>
      <c r="F266" s="218">
        <v>10.945499999999999</v>
      </c>
      <c r="G266" s="218">
        <v>11.214600000000001</v>
      </c>
      <c r="H266" s="218">
        <v>10.9145</v>
      </c>
      <c r="I266" s="218">
        <v>12.8878</v>
      </c>
      <c r="J266" s="246">
        <v>16821727</v>
      </c>
      <c r="K266" s="246">
        <v>17449227</v>
      </c>
      <c r="L266" s="218">
        <v>98.128</v>
      </c>
      <c r="M266" s="187">
        <v>0</v>
      </c>
      <c r="N266" s="251">
        <v>6</v>
      </c>
      <c r="O266" s="251">
        <v>4.9999000000000002</v>
      </c>
      <c r="P266" s="251">
        <v>6</v>
      </c>
      <c r="Q266" s="251">
        <v>6.9996</v>
      </c>
      <c r="R266" s="254">
        <v>1.1200000000000001</v>
      </c>
      <c r="S266" s="214">
        <v>0</v>
      </c>
      <c r="T266" s="214">
        <v>308124</v>
      </c>
      <c r="U266" s="214">
        <v>0</v>
      </c>
      <c r="V266" s="187">
        <f t="shared" si="10"/>
        <v>308124</v>
      </c>
      <c r="W266" s="187">
        <f t="shared" si="11"/>
        <v>308124</v>
      </c>
    </row>
    <row r="267" spans="1:23">
      <c r="A267" s="216" t="s">
        <v>3175</v>
      </c>
      <c r="B267" s="218">
        <v>489.23899999999998</v>
      </c>
      <c r="C267" s="218">
        <v>488.54199999999997</v>
      </c>
      <c r="D267" s="218">
        <v>475.53</v>
      </c>
      <c r="E267" s="218">
        <v>462.358</v>
      </c>
      <c r="F267" s="218">
        <v>114.685</v>
      </c>
      <c r="G267" s="218">
        <v>127.3639</v>
      </c>
      <c r="H267" s="218">
        <v>118.1125</v>
      </c>
      <c r="I267" s="218">
        <v>91.738399999999999</v>
      </c>
      <c r="J267" s="246">
        <v>132772018</v>
      </c>
      <c r="K267" s="246">
        <v>139154067</v>
      </c>
      <c r="L267" s="218">
        <v>952.625</v>
      </c>
      <c r="M267" s="187">
        <v>0</v>
      </c>
      <c r="N267" s="251">
        <v>66.254800000000003</v>
      </c>
      <c r="O267" s="251">
        <v>70.443200000000004</v>
      </c>
      <c r="P267" s="251">
        <v>52.004899999999999</v>
      </c>
      <c r="Q267" s="251">
        <v>48.786799999999999</v>
      </c>
      <c r="R267" s="254">
        <v>1.1100000000000001</v>
      </c>
      <c r="S267" s="214">
        <v>0</v>
      </c>
      <c r="T267" s="214">
        <v>2251657</v>
      </c>
      <c r="U267" s="214">
        <v>0</v>
      </c>
      <c r="V267" s="187">
        <f t="shared" si="10"/>
        <v>2251657</v>
      </c>
      <c r="W267" s="187">
        <f t="shared" si="11"/>
        <v>2251657</v>
      </c>
    </row>
    <row r="268" spans="1:23">
      <c r="A268" s="216" t="s">
        <v>3092</v>
      </c>
      <c r="B268" s="218">
        <v>1494.364</v>
      </c>
      <c r="C268" s="218">
        <v>1485.703</v>
      </c>
      <c r="D268" s="218">
        <v>1440.835</v>
      </c>
      <c r="E268" s="218">
        <v>1446.5129999999999</v>
      </c>
      <c r="F268" s="218">
        <v>220.24180000000001</v>
      </c>
      <c r="G268" s="218">
        <v>223.9879</v>
      </c>
      <c r="H268" s="218">
        <v>207.00399999999999</v>
      </c>
      <c r="I268" s="218">
        <v>239.3006</v>
      </c>
      <c r="J268" s="246">
        <v>119550993</v>
      </c>
      <c r="K268" s="246">
        <v>131003399</v>
      </c>
      <c r="L268" s="218">
        <v>2223.48</v>
      </c>
      <c r="M268" s="187">
        <v>0</v>
      </c>
      <c r="N268" s="251">
        <v>148.69540000000001</v>
      </c>
      <c r="O268" s="251">
        <v>143.19900000000001</v>
      </c>
      <c r="P268" s="251">
        <v>110.9246</v>
      </c>
      <c r="Q268" s="251">
        <v>120.998</v>
      </c>
      <c r="R268" s="254">
        <v>1.1200000000000001</v>
      </c>
      <c r="S268" s="214">
        <v>68099</v>
      </c>
      <c r="T268" s="214">
        <v>1790454</v>
      </c>
      <c r="U268" s="214">
        <v>0</v>
      </c>
      <c r="V268" s="187">
        <f t="shared" si="10"/>
        <v>1790454</v>
      </c>
      <c r="W268" s="187">
        <f t="shared" si="11"/>
        <v>1858553</v>
      </c>
    </row>
    <row r="269" spans="1:23">
      <c r="A269" s="216" t="s">
        <v>673</v>
      </c>
      <c r="B269" s="218">
        <v>928.05200000000002</v>
      </c>
      <c r="C269" s="218">
        <v>891.11300000000006</v>
      </c>
      <c r="D269" s="218">
        <v>864.20100000000002</v>
      </c>
      <c r="E269" s="218">
        <v>845.27599999999995</v>
      </c>
      <c r="F269" s="218">
        <v>161.81299999999999</v>
      </c>
      <c r="G269" s="218">
        <v>165.66990000000001</v>
      </c>
      <c r="H269" s="218">
        <v>164.7448</v>
      </c>
      <c r="I269" s="218">
        <v>163.13159999999999</v>
      </c>
      <c r="J269" s="246">
        <v>243102303</v>
      </c>
      <c r="K269" s="246">
        <v>251338623</v>
      </c>
      <c r="L269" s="218">
        <v>1473.5050000000001</v>
      </c>
      <c r="M269" s="187">
        <v>0</v>
      </c>
      <c r="N269" s="251">
        <v>103.4635</v>
      </c>
      <c r="O269" s="251">
        <v>99.959699999999998</v>
      </c>
      <c r="P269" s="251">
        <v>101.99460000000001</v>
      </c>
      <c r="Q269" s="251">
        <v>87.873699999999999</v>
      </c>
      <c r="R269" s="254">
        <v>1.08</v>
      </c>
      <c r="S269" s="214">
        <v>0</v>
      </c>
      <c r="T269" s="214">
        <v>3477221</v>
      </c>
      <c r="U269" s="214">
        <v>0</v>
      </c>
      <c r="V269" s="187">
        <f t="shared" si="10"/>
        <v>3477221</v>
      </c>
      <c r="W269" s="187">
        <f t="shared" si="11"/>
        <v>3477221</v>
      </c>
    </row>
    <row r="270" spans="1:23">
      <c r="A270" s="216" t="s">
        <v>322</v>
      </c>
      <c r="B270" s="218">
        <v>834.15800000000002</v>
      </c>
      <c r="C270" s="218">
        <v>793.48400000000004</v>
      </c>
      <c r="D270" s="218">
        <v>783.08100000000002</v>
      </c>
      <c r="E270" s="218">
        <v>795.98099999999999</v>
      </c>
      <c r="F270" s="218">
        <v>138.227</v>
      </c>
      <c r="G270" s="218">
        <v>140.46619999999999</v>
      </c>
      <c r="H270" s="218">
        <v>142.1688</v>
      </c>
      <c r="I270" s="218">
        <v>150.3972</v>
      </c>
      <c r="J270" s="246">
        <v>112079379</v>
      </c>
      <c r="K270" s="246">
        <v>123269819</v>
      </c>
      <c r="L270" s="218">
        <v>1322.0050000000001</v>
      </c>
      <c r="M270" s="187">
        <v>0</v>
      </c>
      <c r="N270" s="251">
        <v>98.418300000000002</v>
      </c>
      <c r="O270" s="251">
        <v>98.0565</v>
      </c>
      <c r="P270" s="251">
        <v>101.1139</v>
      </c>
      <c r="Q270" s="251">
        <v>106.6789</v>
      </c>
      <c r="R270" s="254">
        <v>1.04</v>
      </c>
      <c r="S270" s="214">
        <v>0</v>
      </c>
      <c r="T270" s="214">
        <v>1562874</v>
      </c>
      <c r="U270" s="214">
        <v>42899</v>
      </c>
      <c r="V270" s="187">
        <f t="shared" si="10"/>
        <v>1605773</v>
      </c>
      <c r="W270" s="187">
        <f t="shared" si="11"/>
        <v>1605773</v>
      </c>
    </row>
    <row r="271" spans="1:23">
      <c r="A271" s="216" t="s">
        <v>675</v>
      </c>
      <c r="B271" s="218">
        <v>1120.4690000000001</v>
      </c>
      <c r="C271" s="218">
        <v>1114.125</v>
      </c>
      <c r="D271" s="218">
        <v>1119.221</v>
      </c>
      <c r="E271" s="218">
        <v>1143.8019999999999</v>
      </c>
      <c r="F271" s="218">
        <v>165.9308</v>
      </c>
      <c r="G271" s="218">
        <v>165.5137</v>
      </c>
      <c r="H271" s="218">
        <v>165.47470000000001</v>
      </c>
      <c r="I271" s="218">
        <v>169.39160000000001</v>
      </c>
      <c r="J271" s="246">
        <v>194991829</v>
      </c>
      <c r="K271" s="246">
        <v>210360269</v>
      </c>
      <c r="L271" s="218">
        <v>1682.585</v>
      </c>
      <c r="M271" s="187">
        <v>0</v>
      </c>
      <c r="N271" s="251">
        <v>112.8496</v>
      </c>
      <c r="O271" s="251">
        <v>112.7543</v>
      </c>
      <c r="P271" s="251">
        <v>113.381</v>
      </c>
      <c r="Q271" s="251">
        <v>116.41549999999999</v>
      </c>
      <c r="R271" s="254">
        <v>1.05</v>
      </c>
      <c r="S271" s="214">
        <v>0</v>
      </c>
      <c r="T271" s="214">
        <v>2826324</v>
      </c>
      <c r="U271" s="214">
        <v>0</v>
      </c>
      <c r="V271" s="187">
        <f t="shared" si="10"/>
        <v>2826324</v>
      </c>
      <c r="W271" s="187">
        <f t="shared" si="11"/>
        <v>2826324</v>
      </c>
    </row>
    <row r="272" spans="1:23">
      <c r="A272" s="216" t="s">
        <v>677</v>
      </c>
      <c r="B272" s="218">
        <v>414.00200000000001</v>
      </c>
      <c r="C272" s="218">
        <v>402.15800000000002</v>
      </c>
      <c r="D272" s="218">
        <v>390.01299999999998</v>
      </c>
      <c r="E272" s="218">
        <v>374.08499999999998</v>
      </c>
      <c r="F272" s="218">
        <v>106.3601</v>
      </c>
      <c r="G272" s="218">
        <v>110.8022</v>
      </c>
      <c r="H272" s="218">
        <v>103.7085</v>
      </c>
      <c r="I272" s="218">
        <v>90.451899999999995</v>
      </c>
      <c r="J272" s="246">
        <v>39518191</v>
      </c>
      <c r="K272" s="246">
        <v>43885991</v>
      </c>
      <c r="L272" s="218">
        <v>686.03099999999995</v>
      </c>
      <c r="M272" s="187">
        <v>0</v>
      </c>
      <c r="N272" s="251">
        <v>75.076800000000006</v>
      </c>
      <c r="O272" s="251">
        <v>78.412800000000004</v>
      </c>
      <c r="P272" s="251">
        <v>68.354100000000003</v>
      </c>
      <c r="Q272" s="251">
        <v>52.845799999999997</v>
      </c>
      <c r="R272" s="254">
        <v>1.04</v>
      </c>
      <c r="S272" s="214">
        <v>0</v>
      </c>
      <c r="T272" s="214">
        <v>566439</v>
      </c>
      <c r="U272" s="214">
        <v>0</v>
      </c>
      <c r="V272" s="187">
        <f t="shared" si="10"/>
        <v>566439</v>
      </c>
      <c r="W272" s="187">
        <f t="shared" si="11"/>
        <v>566439</v>
      </c>
    </row>
    <row r="273" spans="1:23">
      <c r="A273" s="216" t="s">
        <v>679</v>
      </c>
      <c r="B273" s="218">
        <v>480.84899999999999</v>
      </c>
      <c r="C273" s="218">
        <v>464.64299999999997</v>
      </c>
      <c r="D273" s="218">
        <v>451.84100000000001</v>
      </c>
      <c r="E273" s="218">
        <v>439.32499999999999</v>
      </c>
      <c r="F273" s="218">
        <v>82</v>
      </c>
      <c r="G273" s="218">
        <v>83.5</v>
      </c>
      <c r="H273" s="218">
        <v>87.5</v>
      </c>
      <c r="I273" s="218">
        <v>85.5</v>
      </c>
      <c r="J273" s="246">
        <v>60420665</v>
      </c>
      <c r="K273" s="246">
        <v>66731345</v>
      </c>
      <c r="L273" s="218">
        <v>808.63</v>
      </c>
      <c r="M273" s="246">
        <v>51463</v>
      </c>
      <c r="N273" s="251">
        <v>56.001399999999997</v>
      </c>
      <c r="O273" s="251">
        <v>56.999699999999997</v>
      </c>
      <c r="P273" s="251">
        <v>59.501300000000001</v>
      </c>
      <c r="Q273" s="251">
        <v>58.324100000000001</v>
      </c>
      <c r="R273" s="254">
        <v>1.05</v>
      </c>
      <c r="S273" s="214">
        <v>0</v>
      </c>
      <c r="T273" s="214">
        <v>861213</v>
      </c>
      <c r="U273" s="214">
        <v>0</v>
      </c>
      <c r="V273" s="187">
        <f t="shared" si="10"/>
        <v>861213</v>
      </c>
      <c r="W273" s="187">
        <f t="shared" si="11"/>
        <v>861213</v>
      </c>
    </row>
    <row r="274" spans="1:23">
      <c r="A274" s="216" t="s">
        <v>2960</v>
      </c>
      <c r="B274" s="218">
        <v>224.04300000000001</v>
      </c>
      <c r="C274" s="218">
        <v>210.001</v>
      </c>
      <c r="D274" s="218">
        <v>217.41300000000001</v>
      </c>
      <c r="E274" s="218">
        <v>211.39099999999999</v>
      </c>
      <c r="F274" s="218">
        <v>39.276800000000001</v>
      </c>
      <c r="G274" s="218">
        <v>39.221899999999998</v>
      </c>
      <c r="H274" s="218">
        <v>37.179200000000002</v>
      </c>
      <c r="I274" s="218">
        <v>37.561500000000002</v>
      </c>
      <c r="J274" s="246">
        <v>26680884</v>
      </c>
      <c r="K274" s="246">
        <v>29829769</v>
      </c>
      <c r="L274" s="218">
        <v>395.75900000000001</v>
      </c>
      <c r="M274" s="187">
        <v>0</v>
      </c>
      <c r="N274" s="251">
        <v>26.219100000000001</v>
      </c>
      <c r="O274" s="251">
        <v>27.9999</v>
      </c>
      <c r="P274" s="251">
        <v>25.979099999999999</v>
      </c>
      <c r="Q274" s="251">
        <v>24.968</v>
      </c>
      <c r="R274" s="254">
        <v>1.05</v>
      </c>
      <c r="S274" s="214">
        <v>0</v>
      </c>
      <c r="T274" s="214">
        <v>359311</v>
      </c>
      <c r="U274" s="214">
        <v>0</v>
      </c>
      <c r="V274" s="187">
        <f t="shared" si="10"/>
        <v>359311</v>
      </c>
      <c r="W274" s="187">
        <f t="shared" si="11"/>
        <v>359311</v>
      </c>
    </row>
    <row r="275" spans="1:23">
      <c r="A275" s="216" t="s">
        <v>1994</v>
      </c>
      <c r="B275" s="218">
        <v>24568.757000000001</v>
      </c>
      <c r="C275" s="218">
        <v>24179.018</v>
      </c>
      <c r="D275" s="218">
        <v>24083.741000000002</v>
      </c>
      <c r="E275" s="218">
        <v>24026.187999999998</v>
      </c>
      <c r="F275" s="218">
        <v>3070.0798</v>
      </c>
      <c r="G275" s="218">
        <v>3374.7512000000002</v>
      </c>
      <c r="H275" s="218">
        <v>3454.9785000000002</v>
      </c>
      <c r="I275" s="218">
        <v>3294.3818000000001</v>
      </c>
      <c r="J275" s="246">
        <v>4463457073</v>
      </c>
      <c r="K275" s="246">
        <v>4684963230</v>
      </c>
      <c r="L275" s="218">
        <v>31858.616000000002</v>
      </c>
      <c r="M275" s="246">
        <v>959387</v>
      </c>
      <c r="N275" s="251">
        <v>1735.0349000000001</v>
      </c>
      <c r="O275" s="251">
        <v>2066.2874000000002</v>
      </c>
      <c r="P275" s="251">
        <v>2103.9045000000001</v>
      </c>
      <c r="Q275" s="251">
        <v>1992.4964</v>
      </c>
      <c r="R275" s="254">
        <v>1.1399999999999999</v>
      </c>
      <c r="S275" s="214">
        <v>2418448</v>
      </c>
      <c r="T275" s="214">
        <v>63724119</v>
      </c>
      <c r="U275" s="214">
        <v>0</v>
      </c>
      <c r="V275" s="187">
        <f t="shared" si="10"/>
        <v>63724119</v>
      </c>
      <c r="W275" s="187">
        <f t="shared" si="11"/>
        <v>66142567</v>
      </c>
    </row>
    <row r="276" spans="1:23">
      <c r="A276" s="216" t="s">
        <v>2735</v>
      </c>
      <c r="B276" s="218">
        <v>382.178</v>
      </c>
      <c r="C276" s="218">
        <v>371.12299999999999</v>
      </c>
      <c r="D276" s="218">
        <v>367.67899999999997</v>
      </c>
      <c r="E276" s="218">
        <v>368.589</v>
      </c>
      <c r="F276" s="218">
        <v>86.518900000000002</v>
      </c>
      <c r="G276" s="218">
        <v>88.177899999999994</v>
      </c>
      <c r="H276" s="218">
        <v>81.847800000000007</v>
      </c>
      <c r="I276" s="218">
        <v>80.347700000000003</v>
      </c>
      <c r="J276" s="246">
        <v>197371726</v>
      </c>
      <c r="K276" s="246">
        <v>200658925</v>
      </c>
      <c r="L276" s="218">
        <v>761.32600000000002</v>
      </c>
      <c r="M276" s="187">
        <v>0</v>
      </c>
      <c r="N276" s="251">
        <v>63.277299999999997</v>
      </c>
      <c r="O276" s="251">
        <v>63.7911</v>
      </c>
      <c r="P276" s="251">
        <v>58.25</v>
      </c>
      <c r="Q276" s="251">
        <v>56.750799999999998</v>
      </c>
      <c r="R276" s="254">
        <v>1.0900000000000001</v>
      </c>
      <c r="S276" s="214">
        <v>0</v>
      </c>
      <c r="T276" s="214">
        <v>2952144</v>
      </c>
      <c r="U276" s="214">
        <v>0</v>
      </c>
      <c r="V276" s="187">
        <f t="shared" si="10"/>
        <v>2952144</v>
      </c>
      <c r="W276" s="187">
        <f t="shared" si="11"/>
        <v>2952144</v>
      </c>
    </row>
    <row r="277" spans="1:23">
      <c r="A277" s="216" t="s">
        <v>2737</v>
      </c>
      <c r="B277" s="218">
        <v>368.67200000000003</v>
      </c>
      <c r="C277" s="218">
        <v>341.84699999999998</v>
      </c>
      <c r="D277" s="218">
        <v>331.52300000000002</v>
      </c>
      <c r="E277" s="218">
        <v>321.733</v>
      </c>
      <c r="F277" s="218">
        <v>79.264600000000002</v>
      </c>
      <c r="G277" s="218">
        <v>79.941199999999995</v>
      </c>
      <c r="H277" s="218">
        <v>69</v>
      </c>
      <c r="I277" s="218">
        <v>65.451899999999995</v>
      </c>
      <c r="J277" s="246">
        <v>94750396</v>
      </c>
      <c r="K277" s="246">
        <v>99507286</v>
      </c>
      <c r="L277" s="218">
        <v>685.17100000000005</v>
      </c>
      <c r="M277" s="246">
        <v>140185</v>
      </c>
      <c r="N277" s="251">
        <v>55.1858</v>
      </c>
      <c r="O277" s="251">
        <v>53.635199999999998</v>
      </c>
      <c r="P277" s="251">
        <v>43.119900000000001</v>
      </c>
      <c r="Q277" s="251">
        <v>41.585599999999999</v>
      </c>
      <c r="R277" s="254">
        <v>1.08</v>
      </c>
      <c r="S277" s="214">
        <v>161864</v>
      </c>
      <c r="T277" s="214">
        <v>1416184</v>
      </c>
      <c r="U277" s="214">
        <v>0</v>
      </c>
      <c r="V277" s="187">
        <f t="shared" si="10"/>
        <v>1416184</v>
      </c>
      <c r="W277" s="187">
        <f t="shared" si="11"/>
        <v>1578048</v>
      </c>
    </row>
    <row r="278" spans="1:23">
      <c r="A278" s="216" t="s">
        <v>1976</v>
      </c>
      <c r="B278" s="218">
        <v>229.619</v>
      </c>
      <c r="C278" s="218">
        <v>226.05</v>
      </c>
      <c r="D278" s="218">
        <v>225.994</v>
      </c>
      <c r="E278" s="218">
        <v>228.483</v>
      </c>
      <c r="F278" s="218">
        <v>39.371600000000001</v>
      </c>
      <c r="G278" s="218">
        <v>36.692399999999999</v>
      </c>
      <c r="H278" s="218">
        <v>37.771599999999999</v>
      </c>
      <c r="I278" s="218">
        <v>40.834200000000003</v>
      </c>
      <c r="J278" s="246">
        <v>21287254</v>
      </c>
      <c r="K278" s="246">
        <v>22690749</v>
      </c>
      <c r="L278" s="218">
        <v>434.404</v>
      </c>
      <c r="M278" s="187">
        <v>0</v>
      </c>
      <c r="N278" s="251">
        <v>23.904599999999999</v>
      </c>
      <c r="O278" s="251">
        <v>17.773499999999999</v>
      </c>
      <c r="P278" s="251">
        <v>25.136600000000001</v>
      </c>
      <c r="Q278" s="251">
        <v>27.592199999999998</v>
      </c>
      <c r="R278" s="254">
        <v>1.0900000000000001</v>
      </c>
      <c r="S278" s="214">
        <v>15645</v>
      </c>
      <c r="T278" s="214">
        <v>306465</v>
      </c>
      <c r="U278" s="214">
        <v>0</v>
      </c>
      <c r="V278" s="187">
        <f t="shared" si="10"/>
        <v>306465</v>
      </c>
      <c r="W278" s="187">
        <f t="shared" si="11"/>
        <v>322110</v>
      </c>
    </row>
    <row r="279" spans="1:23">
      <c r="A279" s="216" t="s">
        <v>3648</v>
      </c>
      <c r="B279" s="218">
        <v>4538.8999999999996</v>
      </c>
      <c r="C279" s="218">
        <v>4644.5050000000001</v>
      </c>
      <c r="D279" s="218">
        <v>4747.2960000000003</v>
      </c>
      <c r="E279" s="218">
        <v>4950.1279999999997</v>
      </c>
      <c r="F279" s="218">
        <v>631.72519999999997</v>
      </c>
      <c r="G279" s="218">
        <v>668.5752</v>
      </c>
      <c r="H279" s="218">
        <v>570.08029999999997</v>
      </c>
      <c r="I279" s="218">
        <v>737.12919999999997</v>
      </c>
      <c r="J279" s="246">
        <v>957719215</v>
      </c>
      <c r="K279" s="246">
        <v>1002202265</v>
      </c>
      <c r="L279" s="218">
        <v>6911.799</v>
      </c>
      <c r="M279" s="246">
        <v>1270470</v>
      </c>
      <c r="N279" s="251">
        <v>422.3211</v>
      </c>
      <c r="O279" s="251">
        <v>455.4504</v>
      </c>
      <c r="P279" s="251">
        <v>404.59719999999999</v>
      </c>
      <c r="Q279" s="251">
        <v>494.64420000000001</v>
      </c>
      <c r="R279" s="254">
        <v>1.1100000000000001</v>
      </c>
      <c r="S279" s="214">
        <v>2745353</v>
      </c>
      <c r="T279" s="214">
        <v>15721597</v>
      </c>
      <c r="U279" s="214">
        <v>0</v>
      </c>
      <c r="V279" s="187">
        <f t="shared" si="10"/>
        <v>15721597</v>
      </c>
      <c r="W279" s="187">
        <f t="shared" si="11"/>
        <v>18466950</v>
      </c>
    </row>
    <row r="280" spans="1:23">
      <c r="A280" s="216" t="s">
        <v>3650</v>
      </c>
      <c r="B280" s="218">
        <v>1845.8520000000001</v>
      </c>
      <c r="C280" s="218">
        <v>1924.067</v>
      </c>
      <c r="D280" s="218">
        <v>2002.5239999999999</v>
      </c>
      <c r="E280" s="218">
        <v>2026.03</v>
      </c>
      <c r="F280" s="218">
        <v>272.54590000000002</v>
      </c>
      <c r="G280" s="218">
        <v>283.51400000000001</v>
      </c>
      <c r="H280" s="218">
        <v>296.82960000000003</v>
      </c>
      <c r="I280" s="218">
        <v>314.04360000000003</v>
      </c>
      <c r="J280" s="246">
        <v>207628161</v>
      </c>
      <c r="K280" s="246">
        <v>223532655</v>
      </c>
      <c r="L280" s="218">
        <v>2940.895</v>
      </c>
      <c r="M280" s="246">
        <v>196689</v>
      </c>
      <c r="N280" s="251">
        <v>183.3912</v>
      </c>
      <c r="O280" s="251">
        <v>189.72239999999999</v>
      </c>
      <c r="P280" s="251">
        <v>198.07480000000001</v>
      </c>
      <c r="Q280" s="251">
        <v>209.91239999999999</v>
      </c>
      <c r="R280" s="254">
        <v>1.0900000000000001</v>
      </c>
      <c r="S280" s="214">
        <v>238870</v>
      </c>
      <c r="T280" s="214">
        <v>3236544</v>
      </c>
      <c r="U280" s="214">
        <v>0</v>
      </c>
      <c r="V280" s="187">
        <f t="shared" si="10"/>
        <v>3236544</v>
      </c>
      <c r="W280" s="187">
        <f t="shared" si="11"/>
        <v>3475414</v>
      </c>
    </row>
    <row r="281" spans="1:23">
      <c r="A281" s="216" t="s">
        <v>3093</v>
      </c>
      <c r="B281" s="218">
        <v>601.49300000000005</v>
      </c>
      <c r="C281" s="218">
        <v>618.49900000000002</v>
      </c>
      <c r="D281" s="218">
        <v>639.28599999999994</v>
      </c>
      <c r="E281" s="218">
        <v>649.91</v>
      </c>
      <c r="F281" s="218">
        <v>107.544</v>
      </c>
      <c r="G281" s="218">
        <v>109.91840000000001</v>
      </c>
      <c r="H281" s="218">
        <v>109.97320000000001</v>
      </c>
      <c r="I281" s="218">
        <v>114.3582</v>
      </c>
      <c r="J281" s="246">
        <v>53388898</v>
      </c>
      <c r="K281" s="246">
        <v>59014958</v>
      </c>
      <c r="L281" s="218">
        <v>1105.2049999999999</v>
      </c>
      <c r="M281" s="187">
        <v>6</v>
      </c>
      <c r="N281" s="251">
        <v>74.154799999999994</v>
      </c>
      <c r="O281" s="251">
        <v>76.5989</v>
      </c>
      <c r="P281" s="251">
        <v>76.364000000000004</v>
      </c>
      <c r="Q281" s="251">
        <v>77.032300000000006</v>
      </c>
      <c r="R281" s="254">
        <v>1.0900000000000001</v>
      </c>
      <c r="S281" s="214">
        <v>43254</v>
      </c>
      <c r="T281" s="214">
        <v>901900</v>
      </c>
      <c r="U281" s="214">
        <v>0</v>
      </c>
      <c r="V281" s="187">
        <f t="shared" si="10"/>
        <v>901900</v>
      </c>
      <c r="W281" s="187">
        <f t="shared" si="11"/>
        <v>945154</v>
      </c>
    </row>
    <row r="282" spans="1:23">
      <c r="A282" s="216" t="s">
        <v>7734</v>
      </c>
      <c r="B282" s="218">
        <v>3969.2750000000001</v>
      </c>
      <c r="C282" s="218">
        <v>4169.13</v>
      </c>
      <c r="D282" s="218">
        <v>4506.491</v>
      </c>
      <c r="E282" s="218">
        <v>4859.0870000000004</v>
      </c>
      <c r="F282" s="218">
        <v>557.31359999999995</v>
      </c>
      <c r="G282" s="218">
        <v>544.77449999999999</v>
      </c>
      <c r="H282" s="218">
        <v>618.9973</v>
      </c>
      <c r="I282" s="218">
        <v>717.52499999999998</v>
      </c>
      <c r="J282" s="246">
        <v>1368154232</v>
      </c>
      <c r="K282" s="246">
        <v>1415957336</v>
      </c>
      <c r="L282" s="218">
        <v>6045.6090000000004</v>
      </c>
      <c r="M282" s="246">
        <v>3909372</v>
      </c>
      <c r="N282" s="251">
        <v>373.00540000000001</v>
      </c>
      <c r="O282" s="251">
        <v>364.51299999999998</v>
      </c>
      <c r="P282" s="251">
        <v>396.11669999999998</v>
      </c>
      <c r="Q282" s="251">
        <v>451.98559999999998</v>
      </c>
      <c r="R282" s="254">
        <v>1.1100000000000001</v>
      </c>
      <c r="S282" s="214">
        <v>3648667</v>
      </c>
      <c r="T282" s="214">
        <v>22746405</v>
      </c>
      <c r="U282" s="214">
        <v>0</v>
      </c>
      <c r="V282" s="187">
        <f t="shared" si="10"/>
        <v>22746405</v>
      </c>
      <c r="W282" s="187">
        <f t="shared" si="11"/>
        <v>26395072</v>
      </c>
    </row>
    <row r="283" spans="1:23">
      <c r="A283" s="216" t="s">
        <v>915</v>
      </c>
      <c r="B283" s="218">
        <v>172.054</v>
      </c>
      <c r="C283" s="218">
        <v>179.81299999999999</v>
      </c>
      <c r="D283" s="218">
        <v>174.38300000000001</v>
      </c>
      <c r="E283" s="218">
        <v>174.00200000000001</v>
      </c>
      <c r="F283" s="218">
        <v>35.159199999999998</v>
      </c>
      <c r="G283" s="218">
        <v>36.631999999999998</v>
      </c>
      <c r="H283" s="218">
        <v>38.159199999999998</v>
      </c>
      <c r="I283" s="218">
        <v>34.442599999999999</v>
      </c>
      <c r="J283" s="246">
        <v>25313288</v>
      </c>
      <c r="K283" s="246">
        <v>27609254</v>
      </c>
      <c r="L283" s="218">
        <v>332.98</v>
      </c>
      <c r="M283" s="246">
        <v>43244</v>
      </c>
      <c r="N283" s="251">
        <v>24.663699999999999</v>
      </c>
      <c r="O283" s="251">
        <v>25.7807</v>
      </c>
      <c r="P283" s="251">
        <v>28.069900000000001</v>
      </c>
      <c r="Q283" s="251">
        <v>24.656099999999999</v>
      </c>
      <c r="R283" s="254">
        <v>1.1000000000000001</v>
      </c>
      <c r="S283" s="214">
        <v>44546</v>
      </c>
      <c r="T283" s="214">
        <v>441570</v>
      </c>
      <c r="U283" s="214">
        <v>0</v>
      </c>
      <c r="V283" s="187">
        <f t="shared" si="10"/>
        <v>441570</v>
      </c>
      <c r="W283" s="187">
        <f t="shared" si="11"/>
        <v>486116</v>
      </c>
    </row>
    <row r="284" spans="1:23">
      <c r="A284" s="216" t="s">
        <v>1978</v>
      </c>
      <c r="B284" s="218">
        <v>884.67</v>
      </c>
      <c r="C284" s="218">
        <v>958.37300000000005</v>
      </c>
      <c r="D284" s="218">
        <v>984.73800000000006</v>
      </c>
      <c r="E284" s="218">
        <v>1012.455</v>
      </c>
      <c r="F284" s="218">
        <v>116.4516</v>
      </c>
      <c r="G284" s="218">
        <v>127.4027</v>
      </c>
      <c r="H284" s="218">
        <v>133.47880000000001</v>
      </c>
      <c r="I284" s="218">
        <v>168.2611</v>
      </c>
      <c r="J284" s="246">
        <v>128091618</v>
      </c>
      <c r="K284" s="246">
        <v>138286048</v>
      </c>
      <c r="L284" s="218">
        <v>1536.597</v>
      </c>
      <c r="M284" s="246">
        <v>82748</v>
      </c>
      <c r="N284" s="251">
        <v>78.453500000000005</v>
      </c>
      <c r="O284" s="251">
        <v>79.871600000000001</v>
      </c>
      <c r="P284" s="251">
        <v>80.5428</v>
      </c>
      <c r="Q284" s="251">
        <v>101.1088</v>
      </c>
      <c r="R284" s="254">
        <v>1.08</v>
      </c>
      <c r="S284" s="214">
        <v>178957</v>
      </c>
      <c r="T284" s="214">
        <v>2025585</v>
      </c>
      <c r="U284" s="214">
        <v>0</v>
      </c>
      <c r="V284" s="187">
        <f t="shared" si="10"/>
        <v>2025585</v>
      </c>
      <c r="W284" s="187">
        <f t="shared" si="11"/>
        <v>2204542</v>
      </c>
    </row>
    <row r="285" spans="1:23">
      <c r="A285" s="216" t="s">
        <v>2767</v>
      </c>
      <c r="B285" s="218">
        <v>4233.3090000000002</v>
      </c>
      <c r="C285" s="218">
        <v>4341.9369999999999</v>
      </c>
      <c r="D285" s="218">
        <v>4446.29</v>
      </c>
      <c r="E285" s="218">
        <v>4563.5550000000003</v>
      </c>
      <c r="F285" s="218">
        <v>572.97159999999997</v>
      </c>
      <c r="G285" s="218">
        <v>631.05690000000004</v>
      </c>
      <c r="H285" s="218">
        <v>641.81600000000003</v>
      </c>
      <c r="I285" s="218">
        <v>678.5634</v>
      </c>
      <c r="J285" s="246">
        <v>651110642</v>
      </c>
      <c r="K285" s="246">
        <v>697799556</v>
      </c>
      <c r="L285" s="218">
        <v>5806.17</v>
      </c>
      <c r="M285" s="246">
        <v>526682</v>
      </c>
      <c r="N285" s="251">
        <v>360.61880000000002</v>
      </c>
      <c r="O285" s="251">
        <v>373.50959999999998</v>
      </c>
      <c r="P285" s="251">
        <v>382.12419999999997</v>
      </c>
      <c r="Q285" s="251">
        <v>398.21480000000003</v>
      </c>
      <c r="R285" s="254">
        <v>1.1100000000000001</v>
      </c>
      <c r="S285" s="214">
        <v>612462</v>
      </c>
      <c r="T285" s="214">
        <v>10646787</v>
      </c>
      <c r="U285" s="214">
        <v>0</v>
      </c>
      <c r="V285" s="187">
        <f t="shared" si="10"/>
        <v>10646787</v>
      </c>
      <c r="W285" s="187">
        <f t="shared" si="11"/>
        <v>11259249</v>
      </c>
    </row>
    <row r="286" spans="1:23">
      <c r="A286" s="216" t="s">
        <v>3555</v>
      </c>
      <c r="B286" s="218">
        <v>5297.5320000000002</v>
      </c>
      <c r="C286" s="218">
        <v>5348.67</v>
      </c>
      <c r="D286" s="218">
        <v>5361.5739999999996</v>
      </c>
      <c r="E286" s="218">
        <v>5491.8810000000003</v>
      </c>
      <c r="F286" s="218">
        <v>740.48040000000003</v>
      </c>
      <c r="G286" s="218">
        <v>778.79549999999995</v>
      </c>
      <c r="H286" s="218">
        <v>795.39480000000003</v>
      </c>
      <c r="I286" s="218">
        <v>835.58860000000004</v>
      </c>
      <c r="J286" s="246">
        <v>1366594505</v>
      </c>
      <c r="K286" s="246">
        <v>1427590782</v>
      </c>
      <c r="L286" s="218">
        <v>7230.2020000000002</v>
      </c>
      <c r="M286" s="246">
        <v>1345426</v>
      </c>
      <c r="N286" s="251">
        <v>462.16129999999998</v>
      </c>
      <c r="O286" s="251">
        <v>473.40969999999999</v>
      </c>
      <c r="P286" s="251">
        <v>468.64120000000003</v>
      </c>
      <c r="Q286" s="251">
        <v>491.71559999999999</v>
      </c>
      <c r="R286" s="254">
        <v>1.1100000000000001</v>
      </c>
      <c r="S286" s="214">
        <v>3359413</v>
      </c>
      <c r="T286" s="214">
        <v>22125421</v>
      </c>
      <c r="U286" s="214">
        <v>0</v>
      </c>
      <c r="V286" s="187">
        <f t="shared" si="10"/>
        <v>22125421</v>
      </c>
      <c r="W286" s="187">
        <f t="shared" si="11"/>
        <v>25484834</v>
      </c>
    </row>
    <row r="287" spans="1:23">
      <c r="A287" s="216" t="s">
        <v>3094</v>
      </c>
      <c r="B287" s="218">
        <v>793.47799999999995</v>
      </c>
      <c r="C287" s="218">
        <v>808.46500000000003</v>
      </c>
      <c r="D287" s="218">
        <v>838.63499999999999</v>
      </c>
      <c r="E287" s="218">
        <v>851.74699999999996</v>
      </c>
      <c r="F287" s="218">
        <v>122.988</v>
      </c>
      <c r="G287" s="218">
        <v>113.5775</v>
      </c>
      <c r="H287" s="218">
        <v>126.01609999999999</v>
      </c>
      <c r="I287" s="218">
        <v>146.37960000000001</v>
      </c>
      <c r="J287" s="246">
        <v>98738429</v>
      </c>
      <c r="K287" s="246">
        <v>106579299</v>
      </c>
      <c r="L287" s="218">
        <v>1371.1110000000001</v>
      </c>
      <c r="M287" s="246">
        <v>121184</v>
      </c>
      <c r="N287" s="251">
        <v>86.799199999999999</v>
      </c>
      <c r="O287" s="251">
        <v>96.947900000000004</v>
      </c>
      <c r="P287" s="251">
        <v>88.102199999999996</v>
      </c>
      <c r="Q287" s="251">
        <v>101.3023</v>
      </c>
      <c r="R287" s="254">
        <v>1.08</v>
      </c>
      <c r="S287" s="214">
        <v>190910</v>
      </c>
      <c r="T287" s="214">
        <v>1531309</v>
      </c>
      <c r="U287" s="214">
        <v>0</v>
      </c>
      <c r="V287" s="187">
        <f t="shared" si="10"/>
        <v>1531309</v>
      </c>
      <c r="W287" s="187">
        <f t="shared" si="11"/>
        <v>1722219</v>
      </c>
    </row>
    <row r="288" spans="1:23">
      <c r="A288" s="216" t="s">
        <v>741</v>
      </c>
      <c r="B288" s="218">
        <v>6767.3130000000001</v>
      </c>
      <c r="C288" s="218">
        <v>7068.3050000000003</v>
      </c>
      <c r="D288" s="218">
        <v>7414.4179999999997</v>
      </c>
      <c r="E288" s="218">
        <v>7713.4620000000004</v>
      </c>
      <c r="F288" s="218">
        <v>976.12580000000003</v>
      </c>
      <c r="G288" s="218">
        <v>1066.2647999999999</v>
      </c>
      <c r="H288" s="218">
        <v>1041.2101</v>
      </c>
      <c r="I288" s="218">
        <v>1049.2262000000001</v>
      </c>
      <c r="J288" s="246">
        <v>396021597</v>
      </c>
      <c r="K288" s="246">
        <v>412694557</v>
      </c>
      <c r="L288" s="218">
        <v>10596.335999999999</v>
      </c>
      <c r="M288" s="187">
        <v>0</v>
      </c>
      <c r="N288" s="251">
        <v>588.71069999999997</v>
      </c>
      <c r="O288" s="251">
        <v>621.52610000000004</v>
      </c>
      <c r="P288" s="251">
        <v>588.11379999999997</v>
      </c>
      <c r="Q288" s="251">
        <v>597.8184</v>
      </c>
      <c r="R288" s="254">
        <v>1.1200000000000001</v>
      </c>
      <c r="S288" s="214">
        <v>1150069</v>
      </c>
      <c r="T288" s="214">
        <v>5849235</v>
      </c>
      <c r="U288" s="214">
        <v>0</v>
      </c>
      <c r="V288" s="187">
        <f t="shared" si="10"/>
        <v>5849235</v>
      </c>
      <c r="W288" s="187">
        <f t="shared" si="11"/>
        <v>6999304</v>
      </c>
    </row>
    <row r="289" spans="1:23">
      <c r="A289" s="216" t="s">
        <v>4035</v>
      </c>
      <c r="B289" s="218">
        <v>56929.510999999999</v>
      </c>
      <c r="C289" s="218">
        <v>57474.896000000001</v>
      </c>
      <c r="D289" s="218">
        <v>58109.724000000002</v>
      </c>
      <c r="E289" s="218">
        <v>58341.718000000001</v>
      </c>
      <c r="F289" s="218">
        <v>7746.1988000000001</v>
      </c>
      <c r="G289" s="218">
        <v>8014.4092000000001</v>
      </c>
      <c r="H289" s="218">
        <v>8311.3819999999996</v>
      </c>
      <c r="I289" s="218">
        <v>8686.4802999999993</v>
      </c>
      <c r="J289" s="246">
        <v>8697157170</v>
      </c>
      <c r="K289" s="246">
        <v>9231676263</v>
      </c>
      <c r="L289" s="218">
        <v>78023.100000000006</v>
      </c>
      <c r="M289" s="246">
        <v>7263041</v>
      </c>
      <c r="N289" s="251">
        <v>4560.6759000000002</v>
      </c>
      <c r="O289" s="251">
        <v>4712.7674999999999</v>
      </c>
      <c r="P289" s="251">
        <v>4939.5325999999995</v>
      </c>
      <c r="Q289" s="251">
        <v>5229.8225000000002</v>
      </c>
      <c r="R289" s="254">
        <v>1.1399999999999999</v>
      </c>
      <c r="S289" s="214">
        <v>7256269</v>
      </c>
      <c r="T289" s="214">
        <v>131119775</v>
      </c>
      <c r="U289" s="214">
        <v>0</v>
      </c>
      <c r="V289" s="187">
        <f t="shared" si="10"/>
        <v>131119775</v>
      </c>
      <c r="W289" s="187">
        <f t="shared" si="11"/>
        <v>138376044</v>
      </c>
    </row>
    <row r="290" spans="1:23">
      <c r="A290" s="216" t="s">
        <v>1524</v>
      </c>
      <c r="B290" s="218">
        <v>2608.6880000000001</v>
      </c>
      <c r="C290" s="218">
        <v>2613.183</v>
      </c>
      <c r="D290" s="218">
        <v>2617.8510000000001</v>
      </c>
      <c r="E290" s="218">
        <v>2601.6370000000002</v>
      </c>
      <c r="F290" s="218">
        <v>387.42570000000001</v>
      </c>
      <c r="G290" s="218">
        <v>373.20319999999998</v>
      </c>
      <c r="H290" s="218">
        <v>370.6952</v>
      </c>
      <c r="I290" s="218">
        <v>379.66579999999999</v>
      </c>
      <c r="J290" s="246">
        <v>102485988</v>
      </c>
      <c r="K290" s="246">
        <v>113764394</v>
      </c>
      <c r="L290" s="218">
        <v>3807.3409999999999</v>
      </c>
      <c r="M290" s="246">
        <v>3019</v>
      </c>
      <c r="N290" s="251">
        <v>233.18109999999999</v>
      </c>
      <c r="O290" s="251">
        <v>234.45009999999999</v>
      </c>
      <c r="P290" s="251">
        <v>242.51679999999999</v>
      </c>
      <c r="Q290" s="251">
        <v>241.45099999999999</v>
      </c>
      <c r="R290" s="254">
        <v>1.1299999999999999</v>
      </c>
      <c r="S290" s="214">
        <v>86809</v>
      </c>
      <c r="T290" s="214">
        <v>1551626</v>
      </c>
      <c r="U290" s="214">
        <v>0</v>
      </c>
      <c r="V290" s="187">
        <f t="shared" si="10"/>
        <v>1551626</v>
      </c>
      <c r="W290" s="187">
        <f t="shared" si="11"/>
        <v>1638435</v>
      </c>
    </row>
    <row r="291" spans="1:23">
      <c r="A291" s="216" t="s">
        <v>2388</v>
      </c>
      <c r="B291" s="218">
        <v>3397.011</v>
      </c>
      <c r="C291" s="218">
        <v>3397.8420000000001</v>
      </c>
      <c r="D291" s="218">
        <v>3402.4740000000002</v>
      </c>
      <c r="E291" s="218">
        <v>3452.672</v>
      </c>
      <c r="F291" s="218">
        <v>542.1558</v>
      </c>
      <c r="G291" s="218">
        <v>592.86149999999998</v>
      </c>
      <c r="H291" s="218">
        <v>620.7174</v>
      </c>
      <c r="I291" s="218">
        <v>620.90930000000003</v>
      </c>
      <c r="J291" s="246">
        <v>88169443</v>
      </c>
      <c r="K291" s="246">
        <v>99268511</v>
      </c>
      <c r="L291" s="218">
        <v>5235.7209999999995</v>
      </c>
      <c r="M291" s="246">
        <v>14125</v>
      </c>
      <c r="N291" s="251">
        <v>277.02319999999997</v>
      </c>
      <c r="O291" s="251">
        <v>292.66329999999999</v>
      </c>
      <c r="P291" s="251">
        <v>292.9144</v>
      </c>
      <c r="Q291" s="251">
        <v>291.9855</v>
      </c>
      <c r="R291" s="254">
        <v>1.1399999999999999</v>
      </c>
      <c r="S291" s="214">
        <v>69798</v>
      </c>
      <c r="T291" s="214">
        <v>1191859</v>
      </c>
      <c r="U291" s="214">
        <v>74305</v>
      </c>
      <c r="V291" s="187">
        <f t="shared" si="10"/>
        <v>1266164</v>
      </c>
      <c r="W291" s="187">
        <f t="shared" si="11"/>
        <v>1335962</v>
      </c>
    </row>
    <row r="292" spans="1:23">
      <c r="A292" s="216" t="s">
        <v>863</v>
      </c>
      <c r="B292" s="218">
        <v>43645.618999999999</v>
      </c>
      <c r="C292" s="218">
        <v>43300.998</v>
      </c>
      <c r="D292" s="218">
        <v>43462.006999999998</v>
      </c>
      <c r="E292" s="218">
        <v>43527.915999999997</v>
      </c>
      <c r="F292" s="218">
        <v>5895.2512999999999</v>
      </c>
      <c r="G292" s="218">
        <v>5846.4575999999997</v>
      </c>
      <c r="H292" s="218">
        <v>5870.6728999999996</v>
      </c>
      <c r="I292" s="218">
        <v>5832.3473000000004</v>
      </c>
      <c r="J292" s="246">
        <v>4014530551</v>
      </c>
      <c r="K292" s="246">
        <v>4372465088</v>
      </c>
      <c r="L292" s="218">
        <v>60130.97</v>
      </c>
      <c r="M292" s="246">
        <v>1628093</v>
      </c>
      <c r="N292" s="251">
        <v>3467.1079</v>
      </c>
      <c r="O292" s="251">
        <v>3493.6747</v>
      </c>
      <c r="P292" s="251">
        <v>3542.1329000000001</v>
      </c>
      <c r="Q292" s="251">
        <v>3497.8108000000002</v>
      </c>
      <c r="R292" s="254">
        <v>1.1399999999999999</v>
      </c>
      <c r="S292" s="214">
        <v>2248422</v>
      </c>
      <c r="T292" s="214">
        <v>59111390</v>
      </c>
      <c r="U292" s="214">
        <v>934569</v>
      </c>
      <c r="V292" s="187">
        <f t="shared" si="10"/>
        <v>60045959</v>
      </c>
      <c r="W292" s="187">
        <f t="shared" si="11"/>
        <v>62294381</v>
      </c>
    </row>
    <row r="293" spans="1:23">
      <c r="A293" s="216" t="s">
        <v>268</v>
      </c>
      <c r="B293" s="218">
        <v>718.36199999999997</v>
      </c>
      <c r="C293" s="218">
        <v>710.75300000000004</v>
      </c>
      <c r="D293" s="218">
        <v>702.40599999999995</v>
      </c>
      <c r="E293" s="218">
        <v>718.101</v>
      </c>
      <c r="F293" s="218">
        <v>103.7221</v>
      </c>
      <c r="G293" s="218">
        <v>108.7166</v>
      </c>
      <c r="H293" s="218">
        <v>123.28619999999999</v>
      </c>
      <c r="I293" s="218">
        <v>119.7942</v>
      </c>
      <c r="J293" s="246">
        <v>107566491</v>
      </c>
      <c r="K293" s="246">
        <v>112250398</v>
      </c>
      <c r="L293" s="218">
        <v>1213.357</v>
      </c>
      <c r="M293" s="246">
        <v>94215</v>
      </c>
      <c r="N293" s="251">
        <v>65.141099999999994</v>
      </c>
      <c r="O293" s="251">
        <v>67.000500000000002</v>
      </c>
      <c r="P293" s="251">
        <v>73.237099999999998</v>
      </c>
      <c r="Q293" s="251">
        <v>78.113200000000006</v>
      </c>
      <c r="R293" s="254">
        <v>1.1000000000000001</v>
      </c>
      <c r="S293" s="214">
        <v>175096</v>
      </c>
      <c r="T293" s="214">
        <v>1380527</v>
      </c>
      <c r="U293" s="214">
        <v>38302</v>
      </c>
      <c r="V293" s="187">
        <f t="shared" si="10"/>
        <v>1418829</v>
      </c>
      <c r="W293" s="187">
        <f t="shared" si="11"/>
        <v>1593925</v>
      </c>
    </row>
    <row r="294" spans="1:23">
      <c r="A294" s="216" t="s">
        <v>981</v>
      </c>
      <c r="B294" s="218">
        <v>4195.3819999999996</v>
      </c>
      <c r="C294" s="218">
        <v>4219.2030000000004</v>
      </c>
      <c r="D294" s="218">
        <v>4295.6220000000003</v>
      </c>
      <c r="E294" s="218">
        <v>4377.3119999999999</v>
      </c>
      <c r="F294" s="218">
        <v>642.03560000000004</v>
      </c>
      <c r="G294" s="218">
        <v>661.49670000000003</v>
      </c>
      <c r="H294" s="218">
        <v>687.8048</v>
      </c>
      <c r="I294" s="218">
        <v>705.91</v>
      </c>
      <c r="J294" s="246">
        <v>526102884</v>
      </c>
      <c r="K294" s="246">
        <v>552463027</v>
      </c>
      <c r="L294" s="218">
        <v>6315.4840000000004</v>
      </c>
      <c r="M294" s="246">
        <v>311014</v>
      </c>
      <c r="N294" s="251">
        <v>374.07350000000002</v>
      </c>
      <c r="O294" s="251">
        <v>384.88</v>
      </c>
      <c r="P294" s="251">
        <v>410.6395</v>
      </c>
      <c r="Q294" s="251">
        <v>423.53840000000002</v>
      </c>
      <c r="R294" s="254">
        <v>1.1299999999999999</v>
      </c>
      <c r="S294" s="214">
        <v>1153412</v>
      </c>
      <c r="T294" s="214">
        <v>7837346</v>
      </c>
      <c r="U294" s="214">
        <v>197771</v>
      </c>
      <c r="V294" s="187">
        <f t="shared" si="10"/>
        <v>8035117</v>
      </c>
      <c r="W294" s="187">
        <f t="shared" si="11"/>
        <v>9188529</v>
      </c>
    </row>
    <row r="295" spans="1:23">
      <c r="A295" s="216" t="s">
        <v>2414</v>
      </c>
      <c r="B295" s="218">
        <v>814.74300000000005</v>
      </c>
      <c r="C295" s="218">
        <v>947.61400000000003</v>
      </c>
      <c r="D295" s="218">
        <v>1072.537</v>
      </c>
      <c r="E295" s="218">
        <v>1086.337</v>
      </c>
      <c r="F295" s="218">
        <v>139.30099999999999</v>
      </c>
      <c r="G295" s="218">
        <v>150.09110000000001</v>
      </c>
      <c r="H295" s="218">
        <v>163.11750000000001</v>
      </c>
      <c r="I295" s="218">
        <v>165.88210000000001</v>
      </c>
      <c r="J295" s="246">
        <v>38099469</v>
      </c>
      <c r="K295" s="246">
        <v>40361920</v>
      </c>
      <c r="L295" s="218">
        <v>1691.4090000000001</v>
      </c>
      <c r="M295" s="246">
        <v>30615</v>
      </c>
      <c r="N295" s="251">
        <v>88.603300000000004</v>
      </c>
      <c r="O295" s="251">
        <v>94.385800000000003</v>
      </c>
      <c r="P295" s="251">
        <v>100.8374</v>
      </c>
      <c r="Q295" s="251">
        <v>102.038</v>
      </c>
      <c r="R295" s="254">
        <v>1.1299999999999999</v>
      </c>
      <c r="S295" s="214">
        <v>82452</v>
      </c>
      <c r="T295" s="214">
        <v>558644</v>
      </c>
      <c r="U295" s="214">
        <v>0</v>
      </c>
      <c r="V295" s="187">
        <f t="shared" si="10"/>
        <v>558644</v>
      </c>
      <c r="W295" s="187">
        <f t="shared" si="11"/>
        <v>641096</v>
      </c>
    </row>
    <row r="296" spans="1:23">
      <c r="A296" s="216" t="s">
        <v>2401</v>
      </c>
      <c r="B296" s="218">
        <v>22637.677</v>
      </c>
      <c r="C296" s="218">
        <v>24125.530999999999</v>
      </c>
      <c r="D296" s="218">
        <v>25410.535</v>
      </c>
      <c r="E296" s="218">
        <v>28020.432000000001</v>
      </c>
      <c r="F296" s="218">
        <v>2855.0772000000002</v>
      </c>
      <c r="G296" s="218">
        <v>3084.6927999999998</v>
      </c>
      <c r="H296" s="218">
        <v>3189.2035999999998</v>
      </c>
      <c r="I296" s="218">
        <v>3484.8040999999998</v>
      </c>
      <c r="J296" s="246">
        <v>2721298996</v>
      </c>
      <c r="K296" s="246">
        <v>2931387834</v>
      </c>
      <c r="L296" s="218">
        <v>37692.889000000003</v>
      </c>
      <c r="M296" s="246">
        <v>3166695</v>
      </c>
      <c r="N296" s="251">
        <v>1733.9577999999999</v>
      </c>
      <c r="O296" s="251">
        <v>1862.3458000000001</v>
      </c>
      <c r="P296" s="251">
        <v>1887.3287</v>
      </c>
      <c r="Q296" s="251">
        <v>2012.9936</v>
      </c>
      <c r="R296" s="254">
        <v>1.1499999999999999</v>
      </c>
      <c r="S296" s="214">
        <v>6716011</v>
      </c>
      <c r="T296" s="214">
        <v>39286322</v>
      </c>
      <c r="U296" s="214">
        <v>0</v>
      </c>
      <c r="V296" s="187">
        <f t="shared" si="10"/>
        <v>39286322</v>
      </c>
      <c r="W296" s="187">
        <f t="shared" si="11"/>
        <v>46002333</v>
      </c>
    </row>
    <row r="297" spans="1:23">
      <c r="A297" s="216" t="s">
        <v>4037</v>
      </c>
      <c r="B297" s="218">
        <v>50.04</v>
      </c>
      <c r="C297" s="218">
        <v>37.877000000000002</v>
      </c>
      <c r="D297" s="218">
        <v>43.360999999999997</v>
      </c>
      <c r="E297" s="218">
        <v>47.017000000000003</v>
      </c>
      <c r="F297" s="218">
        <v>10.9252</v>
      </c>
      <c r="G297" s="218">
        <v>10.8718</v>
      </c>
      <c r="H297" s="218">
        <v>10.716699999999999</v>
      </c>
      <c r="I297" s="218">
        <v>10.8718</v>
      </c>
      <c r="J297" s="246">
        <v>20863284</v>
      </c>
      <c r="K297" s="246">
        <v>21842044</v>
      </c>
      <c r="L297" s="218">
        <v>103.4</v>
      </c>
      <c r="M297" s="187">
        <v>0</v>
      </c>
      <c r="N297" s="251">
        <v>6.9733999999999998</v>
      </c>
      <c r="O297" s="251">
        <v>6.9362000000000004</v>
      </c>
      <c r="P297" s="251">
        <v>6.9257999999999997</v>
      </c>
      <c r="Q297" s="251">
        <v>6.9471999999999996</v>
      </c>
      <c r="R297" s="254">
        <v>1.07</v>
      </c>
      <c r="S297" s="214">
        <v>290</v>
      </c>
      <c r="T297" s="214">
        <v>290392</v>
      </c>
      <c r="U297" s="214">
        <v>0</v>
      </c>
      <c r="V297" s="187">
        <f t="shared" si="10"/>
        <v>290392</v>
      </c>
      <c r="W297" s="187">
        <f t="shared" si="11"/>
        <v>290682</v>
      </c>
    </row>
    <row r="298" spans="1:23">
      <c r="A298" s="216" t="s">
        <v>2140</v>
      </c>
      <c r="B298" s="218">
        <v>1345.7149999999999</v>
      </c>
      <c r="C298" s="218">
        <v>1270.096</v>
      </c>
      <c r="D298" s="218">
        <v>1231.739</v>
      </c>
      <c r="E298" s="218">
        <v>1227.7909999999999</v>
      </c>
      <c r="F298" s="218">
        <v>198.00479999999999</v>
      </c>
      <c r="G298" s="218">
        <v>208.79400000000001</v>
      </c>
      <c r="H298" s="218">
        <v>204.25059999999999</v>
      </c>
      <c r="I298" s="218">
        <v>205.17580000000001</v>
      </c>
      <c r="J298" s="246">
        <v>153014031</v>
      </c>
      <c r="K298" s="246">
        <v>165569531</v>
      </c>
      <c r="L298" s="218">
        <v>1808.9880000000001</v>
      </c>
      <c r="M298" s="246">
        <v>139559</v>
      </c>
      <c r="N298" s="251">
        <v>130.74610000000001</v>
      </c>
      <c r="O298" s="251">
        <v>133.005</v>
      </c>
      <c r="P298" s="251">
        <v>129.66739999999999</v>
      </c>
      <c r="Q298" s="251">
        <v>131.85900000000001</v>
      </c>
      <c r="R298" s="254">
        <v>1.05</v>
      </c>
      <c r="S298" s="214">
        <v>149214</v>
      </c>
      <c r="T298" s="214">
        <v>2147702</v>
      </c>
      <c r="U298" s="214">
        <v>0</v>
      </c>
      <c r="V298" s="187">
        <f t="shared" si="10"/>
        <v>2147702</v>
      </c>
      <c r="W298" s="187">
        <f t="shared" si="11"/>
        <v>2296916</v>
      </c>
    </row>
    <row r="299" spans="1:23">
      <c r="A299" s="216" t="s">
        <v>2408</v>
      </c>
      <c r="B299" s="218">
        <v>3074.9</v>
      </c>
      <c r="C299" s="218">
        <v>3057.9810000000002</v>
      </c>
      <c r="D299" s="218">
        <v>3133.3809999999999</v>
      </c>
      <c r="E299" s="218">
        <v>3206.1750000000002</v>
      </c>
      <c r="F299" s="218">
        <v>429.26420000000002</v>
      </c>
      <c r="G299" s="218">
        <v>427.27319999999997</v>
      </c>
      <c r="H299" s="218">
        <v>405.9889</v>
      </c>
      <c r="I299" s="218">
        <v>428.7303</v>
      </c>
      <c r="J299" s="246">
        <v>614773317</v>
      </c>
      <c r="K299" s="246">
        <v>655011447</v>
      </c>
      <c r="L299" s="218">
        <v>4187.5450000000001</v>
      </c>
      <c r="M299" s="246">
        <v>704974</v>
      </c>
      <c r="N299" s="251">
        <v>282.41019999999997</v>
      </c>
      <c r="O299" s="251">
        <v>282.20549999999997</v>
      </c>
      <c r="P299" s="251">
        <v>258.27280000000002</v>
      </c>
      <c r="Q299" s="251">
        <v>275.59199999999998</v>
      </c>
      <c r="R299" s="254">
        <v>1.08</v>
      </c>
      <c r="S299" s="214">
        <v>1276236</v>
      </c>
      <c r="T299" s="214">
        <v>10075213</v>
      </c>
      <c r="U299" s="214">
        <v>0</v>
      </c>
      <c r="V299" s="187">
        <f t="shared" si="10"/>
        <v>10075213</v>
      </c>
      <c r="W299" s="187">
        <f t="shared" si="11"/>
        <v>11351449</v>
      </c>
    </row>
    <row r="300" spans="1:23">
      <c r="A300" s="216" t="s">
        <v>2700</v>
      </c>
      <c r="B300" s="218">
        <v>54.25</v>
      </c>
      <c r="C300" s="218">
        <v>56.917999999999999</v>
      </c>
      <c r="D300" s="218">
        <v>55.198999999999998</v>
      </c>
      <c r="E300" s="218">
        <v>64.790000000000006</v>
      </c>
      <c r="F300" s="218">
        <v>12.484</v>
      </c>
      <c r="G300" s="218">
        <v>13.234299999999999</v>
      </c>
      <c r="H300" s="218">
        <v>13.1165</v>
      </c>
      <c r="I300" s="218">
        <v>11.3508</v>
      </c>
      <c r="J300" s="246">
        <v>27813981</v>
      </c>
      <c r="K300" s="246">
        <v>29339201</v>
      </c>
      <c r="L300" s="218">
        <v>124.672</v>
      </c>
      <c r="M300" s="246">
        <v>76721</v>
      </c>
      <c r="N300" s="251">
        <v>7.9991000000000003</v>
      </c>
      <c r="O300" s="251">
        <v>8.4291999999999998</v>
      </c>
      <c r="P300" s="251">
        <v>9.0797000000000008</v>
      </c>
      <c r="Q300" s="251">
        <v>7.0787000000000004</v>
      </c>
      <c r="R300" s="254">
        <v>1.06</v>
      </c>
      <c r="S300" s="214">
        <v>65792</v>
      </c>
      <c r="T300" s="214">
        <v>506538</v>
      </c>
      <c r="U300" s="214">
        <v>0</v>
      </c>
      <c r="V300" s="187">
        <f t="shared" si="10"/>
        <v>506538</v>
      </c>
      <c r="W300" s="187">
        <f t="shared" si="11"/>
        <v>572330</v>
      </c>
    </row>
    <row r="301" spans="1:23">
      <c r="A301" s="216" t="s">
        <v>2702</v>
      </c>
      <c r="B301" s="218">
        <v>225.89699999999999</v>
      </c>
      <c r="C301" s="218">
        <v>219.25200000000001</v>
      </c>
      <c r="D301" s="218">
        <v>213.00200000000001</v>
      </c>
      <c r="E301" s="218">
        <v>207.102</v>
      </c>
      <c r="F301" s="218">
        <v>37.809699999999999</v>
      </c>
      <c r="G301" s="218">
        <v>39.001600000000003</v>
      </c>
      <c r="H301" s="218">
        <v>38.902200000000001</v>
      </c>
      <c r="I301" s="218">
        <v>40.424700000000001</v>
      </c>
      <c r="J301" s="246">
        <v>51949894</v>
      </c>
      <c r="K301" s="246">
        <v>54515054</v>
      </c>
      <c r="L301" s="218">
        <v>357.024</v>
      </c>
      <c r="M301" s="187">
        <v>0</v>
      </c>
      <c r="N301" s="251">
        <v>25.596599999999999</v>
      </c>
      <c r="O301" s="251">
        <v>26.450900000000001</v>
      </c>
      <c r="P301" s="251">
        <v>25.864100000000001</v>
      </c>
      <c r="Q301" s="251">
        <v>26.266999999999999</v>
      </c>
      <c r="R301" s="254">
        <v>1.06</v>
      </c>
      <c r="S301" s="214">
        <v>0</v>
      </c>
      <c r="T301" s="214">
        <v>747945</v>
      </c>
      <c r="U301" s="214">
        <v>0</v>
      </c>
      <c r="V301" s="187">
        <f t="shared" si="10"/>
        <v>747945</v>
      </c>
      <c r="W301" s="187">
        <f t="shared" si="11"/>
        <v>747945</v>
      </c>
    </row>
    <row r="302" spans="1:23">
      <c r="A302" s="216" t="s">
        <v>2828</v>
      </c>
      <c r="B302" s="218">
        <v>227.13</v>
      </c>
      <c r="C302" s="218">
        <v>229.72900000000001</v>
      </c>
      <c r="D302" s="218">
        <v>225.49299999999999</v>
      </c>
      <c r="E302" s="218">
        <v>235.74799999999999</v>
      </c>
      <c r="F302" s="218">
        <v>37.548299999999998</v>
      </c>
      <c r="G302" s="218">
        <v>38.561599999999999</v>
      </c>
      <c r="H302" s="218">
        <v>40.438499999999998</v>
      </c>
      <c r="I302" s="218">
        <v>40.058900000000001</v>
      </c>
      <c r="J302" s="246">
        <v>35257190</v>
      </c>
      <c r="K302" s="246">
        <v>37316620</v>
      </c>
      <c r="L302" s="218">
        <v>423.12299999999999</v>
      </c>
      <c r="M302" s="187">
        <v>0</v>
      </c>
      <c r="N302" s="251">
        <v>27.4634</v>
      </c>
      <c r="O302" s="251">
        <v>29.001300000000001</v>
      </c>
      <c r="P302" s="251">
        <v>30.2776</v>
      </c>
      <c r="Q302" s="251">
        <v>27.999700000000001</v>
      </c>
      <c r="R302" s="254">
        <v>1.06</v>
      </c>
      <c r="S302" s="214">
        <v>29662</v>
      </c>
      <c r="T302" s="214">
        <v>511101</v>
      </c>
      <c r="U302" s="214">
        <v>0</v>
      </c>
      <c r="V302" s="187">
        <f t="shared" si="10"/>
        <v>511101</v>
      </c>
      <c r="W302" s="187">
        <f t="shared" si="11"/>
        <v>540763</v>
      </c>
    </row>
    <row r="303" spans="1:23">
      <c r="A303" s="216" t="s">
        <v>2704</v>
      </c>
      <c r="B303" s="218">
        <v>87.120999999999995</v>
      </c>
      <c r="C303" s="218">
        <v>77.274000000000001</v>
      </c>
      <c r="D303" s="218">
        <v>92.616</v>
      </c>
      <c r="E303" s="218">
        <v>98.95</v>
      </c>
      <c r="F303" s="218">
        <v>12.084099999999999</v>
      </c>
      <c r="G303" s="218">
        <v>11.062799999999999</v>
      </c>
      <c r="H303" s="218">
        <v>11.094099999999999</v>
      </c>
      <c r="I303" s="218">
        <v>12.3637</v>
      </c>
      <c r="J303" s="246">
        <v>28812867</v>
      </c>
      <c r="K303" s="246">
        <v>30681617</v>
      </c>
      <c r="L303" s="218">
        <v>161.863</v>
      </c>
      <c r="M303" s="187">
        <v>0</v>
      </c>
      <c r="N303" s="251">
        <v>8.2248000000000001</v>
      </c>
      <c r="O303" s="251">
        <v>6.5289999999999999</v>
      </c>
      <c r="P303" s="251">
        <v>7.9226999999999999</v>
      </c>
      <c r="Q303" s="251">
        <v>9.0349000000000004</v>
      </c>
      <c r="R303" s="254">
        <v>1.06</v>
      </c>
      <c r="S303" s="214">
        <v>0</v>
      </c>
      <c r="T303" s="214">
        <v>436014</v>
      </c>
      <c r="U303" s="214">
        <v>0</v>
      </c>
      <c r="V303" s="187">
        <f t="shared" si="10"/>
        <v>436014</v>
      </c>
      <c r="W303" s="187">
        <f t="shared" si="11"/>
        <v>436014</v>
      </c>
    </row>
    <row r="304" spans="1:23">
      <c r="A304" s="216" t="s">
        <v>2706</v>
      </c>
      <c r="B304" s="218">
        <v>344.041</v>
      </c>
      <c r="C304" s="218">
        <v>335.17399999999998</v>
      </c>
      <c r="D304" s="218">
        <v>350.74400000000003</v>
      </c>
      <c r="E304" s="218">
        <v>354.553</v>
      </c>
      <c r="F304" s="218">
        <v>70.085499999999996</v>
      </c>
      <c r="G304" s="218">
        <v>71.863699999999994</v>
      </c>
      <c r="H304" s="218">
        <v>74.724599999999995</v>
      </c>
      <c r="I304" s="218">
        <v>77.25</v>
      </c>
      <c r="J304" s="246">
        <v>32137225</v>
      </c>
      <c r="K304" s="246">
        <v>36068405</v>
      </c>
      <c r="L304" s="218">
        <v>665.47900000000004</v>
      </c>
      <c r="M304" s="187">
        <v>0</v>
      </c>
      <c r="N304" s="251">
        <v>47.597799999999999</v>
      </c>
      <c r="O304" s="251">
        <v>48.529400000000003</v>
      </c>
      <c r="P304" s="251">
        <v>50.8613</v>
      </c>
      <c r="Q304" s="251">
        <v>52.318300000000001</v>
      </c>
      <c r="R304" s="254">
        <v>1.07</v>
      </c>
      <c r="S304" s="214">
        <v>0</v>
      </c>
      <c r="T304" s="214">
        <v>477937</v>
      </c>
      <c r="U304" s="214">
        <v>0</v>
      </c>
      <c r="V304" s="187">
        <f t="shared" si="10"/>
        <v>477937</v>
      </c>
      <c r="W304" s="187">
        <f t="shared" si="11"/>
        <v>477937</v>
      </c>
    </row>
    <row r="305" spans="1:23">
      <c r="A305" s="216" t="s">
        <v>6162</v>
      </c>
      <c r="B305" s="218">
        <v>1541.1389999999999</v>
      </c>
      <c r="C305" s="218">
        <v>1541.5740000000001</v>
      </c>
      <c r="D305" s="218">
        <v>1499.97</v>
      </c>
      <c r="E305" s="218">
        <v>1458.421</v>
      </c>
      <c r="F305" s="218">
        <v>276.40649999999999</v>
      </c>
      <c r="G305" s="218">
        <v>280.48590000000002</v>
      </c>
      <c r="H305" s="218">
        <v>284.96210000000002</v>
      </c>
      <c r="I305" s="218">
        <v>278.1354</v>
      </c>
      <c r="J305" s="246">
        <v>148604586</v>
      </c>
      <c r="K305" s="246">
        <v>165110546</v>
      </c>
      <c r="L305" s="218">
        <v>2351.0079999999998</v>
      </c>
      <c r="M305" s="246">
        <v>90479</v>
      </c>
      <c r="N305" s="251">
        <v>180.24680000000001</v>
      </c>
      <c r="O305" s="251">
        <v>186.44370000000001</v>
      </c>
      <c r="P305" s="251">
        <v>177.4306</v>
      </c>
      <c r="Q305" s="251">
        <v>172.20410000000001</v>
      </c>
      <c r="R305" s="254">
        <v>1.08</v>
      </c>
      <c r="S305" s="214">
        <v>91609</v>
      </c>
      <c r="T305" s="214">
        <v>1916720</v>
      </c>
      <c r="U305" s="214">
        <v>115169</v>
      </c>
      <c r="V305" s="187">
        <f t="shared" si="10"/>
        <v>2031889</v>
      </c>
      <c r="W305" s="187">
        <f t="shared" si="11"/>
        <v>2123498</v>
      </c>
    </row>
    <row r="306" spans="1:23">
      <c r="A306" s="216" t="s">
        <v>967</v>
      </c>
      <c r="B306" s="218">
        <v>114.62</v>
      </c>
      <c r="C306" s="218">
        <v>125.242</v>
      </c>
      <c r="D306" s="218">
        <v>121.46</v>
      </c>
      <c r="E306" s="218">
        <v>126.21299999999999</v>
      </c>
      <c r="F306" s="218">
        <v>15.885</v>
      </c>
      <c r="G306" s="218">
        <v>17.5</v>
      </c>
      <c r="H306" s="218">
        <v>15.956300000000001</v>
      </c>
      <c r="I306" s="218">
        <v>19</v>
      </c>
      <c r="J306" s="246">
        <v>8161208</v>
      </c>
      <c r="K306" s="246">
        <v>9313318</v>
      </c>
      <c r="L306" s="218">
        <v>188.601</v>
      </c>
      <c r="M306" s="187">
        <v>0</v>
      </c>
      <c r="N306" s="251">
        <v>11.8847</v>
      </c>
      <c r="O306" s="251">
        <v>13.5</v>
      </c>
      <c r="P306" s="251">
        <v>11.555099999999999</v>
      </c>
      <c r="Q306" s="251">
        <v>13.9998</v>
      </c>
      <c r="R306" s="254">
        <v>1.06</v>
      </c>
      <c r="S306" s="214">
        <v>0</v>
      </c>
      <c r="T306" s="214">
        <v>123901</v>
      </c>
      <c r="U306" s="214">
        <v>6570</v>
      </c>
      <c r="V306" s="187">
        <f t="shared" si="10"/>
        <v>130471</v>
      </c>
      <c r="W306" s="187">
        <f t="shared" si="11"/>
        <v>130471</v>
      </c>
    </row>
    <row r="307" spans="1:23">
      <c r="A307" s="216" t="s">
        <v>2708</v>
      </c>
      <c r="B307" s="218">
        <v>980.36900000000003</v>
      </c>
      <c r="C307" s="218">
        <v>967.59299999999996</v>
      </c>
      <c r="D307" s="218">
        <v>938.37199999999996</v>
      </c>
      <c r="E307" s="218">
        <v>892.09400000000005</v>
      </c>
      <c r="F307" s="218">
        <v>156.85839999999999</v>
      </c>
      <c r="G307" s="218">
        <v>157.4487</v>
      </c>
      <c r="H307" s="218">
        <v>155.72730000000001</v>
      </c>
      <c r="I307" s="218">
        <v>153.5179</v>
      </c>
      <c r="J307" s="246">
        <v>85980040</v>
      </c>
      <c r="K307" s="246">
        <v>96352090</v>
      </c>
      <c r="L307" s="218">
        <v>1587.098</v>
      </c>
      <c r="M307" s="187">
        <v>0</v>
      </c>
      <c r="N307" s="251">
        <v>103.65989999999999</v>
      </c>
      <c r="O307" s="251">
        <v>103.0497</v>
      </c>
      <c r="P307" s="251">
        <v>101.9881</v>
      </c>
      <c r="Q307" s="251">
        <v>97.202200000000005</v>
      </c>
      <c r="R307" s="254">
        <v>1.05</v>
      </c>
      <c r="S307" s="214">
        <v>0</v>
      </c>
      <c r="T307" s="214">
        <v>880354</v>
      </c>
      <c r="U307" s="214">
        <v>0</v>
      </c>
      <c r="V307" s="187">
        <f t="shared" si="10"/>
        <v>880354</v>
      </c>
      <c r="W307" s="187">
        <f t="shared" si="11"/>
        <v>880354</v>
      </c>
    </row>
    <row r="308" spans="1:23">
      <c r="A308" s="216" t="s">
        <v>2710</v>
      </c>
      <c r="B308" s="218">
        <v>1864.68</v>
      </c>
      <c r="C308" s="218">
        <v>1875.002</v>
      </c>
      <c r="D308" s="218">
        <v>1840.394</v>
      </c>
      <c r="E308" s="218">
        <v>1829.3119999999999</v>
      </c>
      <c r="F308" s="218">
        <v>319.20060000000001</v>
      </c>
      <c r="G308" s="218">
        <v>330.76369999999997</v>
      </c>
      <c r="H308" s="218">
        <v>323.37569999999999</v>
      </c>
      <c r="I308" s="218">
        <v>323.14830000000001</v>
      </c>
      <c r="J308" s="246">
        <v>347535476</v>
      </c>
      <c r="K308" s="246">
        <v>378778106</v>
      </c>
      <c r="L308" s="218">
        <v>2595.7170000000001</v>
      </c>
      <c r="M308" s="246">
        <v>307311</v>
      </c>
      <c r="N308" s="251">
        <v>230.79669999999999</v>
      </c>
      <c r="O308" s="251">
        <v>214.05350000000001</v>
      </c>
      <c r="P308" s="251">
        <v>205.0531</v>
      </c>
      <c r="Q308" s="251">
        <v>213.68450000000001</v>
      </c>
      <c r="R308" s="254">
        <v>1.08</v>
      </c>
      <c r="S308" s="214">
        <v>392453</v>
      </c>
      <c r="T308" s="214">
        <v>4979015</v>
      </c>
      <c r="U308" s="214">
        <v>0</v>
      </c>
      <c r="V308" s="187">
        <f t="shared" si="10"/>
        <v>4979015</v>
      </c>
      <c r="W308" s="187">
        <f t="shared" si="11"/>
        <v>5371468</v>
      </c>
    </row>
    <row r="309" spans="1:23">
      <c r="A309" s="216" t="s">
        <v>2830</v>
      </c>
      <c r="B309" s="218">
        <v>213.34299999999999</v>
      </c>
      <c r="C309" s="218">
        <v>233.06</v>
      </c>
      <c r="D309" s="218">
        <v>238.66900000000001</v>
      </c>
      <c r="E309" s="218">
        <v>256.07</v>
      </c>
      <c r="F309" s="218">
        <v>39.877099999999999</v>
      </c>
      <c r="G309" s="218">
        <v>39.657899999999998</v>
      </c>
      <c r="H309" s="218">
        <v>40.925199999999997</v>
      </c>
      <c r="I309" s="218">
        <v>41.369100000000003</v>
      </c>
      <c r="J309" s="246">
        <v>20045916</v>
      </c>
      <c r="K309" s="246">
        <v>22766166</v>
      </c>
      <c r="L309" s="218">
        <v>442.19200000000001</v>
      </c>
      <c r="M309" s="187">
        <v>0</v>
      </c>
      <c r="N309" s="251">
        <v>26.5106</v>
      </c>
      <c r="O309" s="251">
        <v>27.847300000000001</v>
      </c>
      <c r="P309" s="251">
        <v>28.114599999999999</v>
      </c>
      <c r="Q309" s="251">
        <v>26.7074</v>
      </c>
      <c r="R309" s="254">
        <v>1.08</v>
      </c>
      <c r="S309" s="214">
        <v>16040</v>
      </c>
      <c r="T309" s="214">
        <v>292576</v>
      </c>
      <c r="U309" s="214">
        <v>0</v>
      </c>
      <c r="V309" s="187">
        <f t="shared" si="10"/>
        <v>292576</v>
      </c>
      <c r="W309" s="187">
        <f t="shared" si="11"/>
        <v>308616</v>
      </c>
    </row>
    <row r="310" spans="1:23">
      <c r="A310" s="216" t="s">
        <v>3095</v>
      </c>
      <c r="B310" s="218">
        <v>237.834</v>
      </c>
      <c r="C310" s="218">
        <v>232.899</v>
      </c>
      <c r="D310" s="218">
        <v>229.26</v>
      </c>
      <c r="E310" s="218">
        <v>240.09</v>
      </c>
      <c r="F310" s="218">
        <v>39.962600000000002</v>
      </c>
      <c r="G310" s="218">
        <v>40.6952</v>
      </c>
      <c r="H310" s="218">
        <v>40</v>
      </c>
      <c r="I310" s="218">
        <v>40.320999999999998</v>
      </c>
      <c r="J310" s="246">
        <v>16260623</v>
      </c>
      <c r="K310" s="246">
        <v>18668463</v>
      </c>
      <c r="L310" s="218">
        <v>420.27300000000002</v>
      </c>
      <c r="M310" s="187">
        <v>0</v>
      </c>
      <c r="N310" s="251">
        <v>26.1144</v>
      </c>
      <c r="O310" s="251">
        <v>27.857299999999999</v>
      </c>
      <c r="P310" s="251">
        <v>23.0002</v>
      </c>
      <c r="Q310" s="251">
        <v>29.0001</v>
      </c>
      <c r="R310" s="254">
        <v>1.07</v>
      </c>
      <c r="S310" s="214">
        <v>26136</v>
      </c>
      <c r="T310" s="214">
        <v>232446</v>
      </c>
      <c r="U310" s="214">
        <v>0</v>
      </c>
      <c r="V310" s="187">
        <f t="shared" si="10"/>
        <v>232446</v>
      </c>
      <c r="W310" s="187">
        <f t="shared" si="11"/>
        <v>258582</v>
      </c>
    </row>
    <row r="311" spans="1:23">
      <c r="A311" s="216" t="s">
        <v>2712</v>
      </c>
      <c r="B311" s="218">
        <v>668.64700000000005</v>
      </c>
      <c r="C311" s="218">
        <v>645.88099999999997</v>
      </c>
      <c r="D311" s="218">
        <v>626.375</v>
      </c>
      <c r="E311" s="218">
        <v>623.69799999999998</v>
      </c>
      <c r="F311" s="218">
        <v>116.5789</v>
      </c>
      <c r="G311" s="218">
        <v>106.66849999999999</v>
      </c>
      <c r="H311" s="218">
        <v>104.96259999999999</v>
      </c>
      <c r="I311" s="218">
        <v>102.8877</v>
      </c>
      <c r="J311" s="246">
        <v>72874193</v>
      </c>
      <c r="K311" s="246">
        <v>81100413</v>
      </c>
      <c r="L311" s="218">
        <v>1024.2439999999999</v>
      </c>
      <c r="M311" s="246">
        <v>74362</v>
      </c>
      <c r="N311" s="251">
        <v>80.772000000000006</v>
      </c>
      <c r="O311" s="251">
        <v>74.134</v>
      </c>
      <c r="P311" s="251">
        <v>67.797799999999995</v>
      </c>
      <c r="Q311" s="251">
        <v>70.139399999999995</v>
      </c>
      <c r="R311" s="254">
        <v>1.07</v>
      </c>
      <c r="S311" s="214">
        <v>85022</v>
      </c>
      <c r="T311" s="214">
        <v>1036695</v>
      </c>
      <c r="U311" s="214">
        <v>0</v>
      </c>
      <c r="V311" s="187">
        <f t="shared" si="10"/>
        <v>1036695</v>
      </c>
      <c r="W311" s="187">
        <f t="shared" si="11"/>
        <v>1121717</v>
      </c>
    </row>
    <row r="312" spans="1:23">
      <c r="A312" s="216" t="s">
        <v>2424</v>
      </c>
      <c r="B312" s="218">
        <v>775.93200000000002</v>
      </c>
      <c r="C312" s="218">
        <v>795.86400000000003</v>
      </c>
      <c r="D312" s="218">
        <v>796.35400000000004</v>
      </c>
      <c r="E312" s="218">
        <v>774.29499999999996</v>
      </c>
      <c r="F312" s="218">
        <v>101.5878</v>
      </c>
      <c r="G312" s="218">
        <v>109.6088</v>
      </c>
      <c r="H312" s="218">
        <v>121.58880000000001</v>
      </c>
      <c r="I312" s="218">
        <v>126.0425</v>
      </c>
      <c r="J312" s="246">
        <v>63612877</v>
      </c>
      <c r="K312" s="246">
        <v>71117973</v>
      </c>
      <c r="L312" s="218">
        <v>1190.134</v>
      </c>
      <c r="M312" s="246">
        <v>68147</v>
      </c>
      <c r="N312" s="251">
        <v>68.322800000000001</v>
      </c>
      <c r="O312" s="251">
        <v>60.103200000000001</v>
      </c>
      <c r="P312" s="251">
        <v>73.342200000000005</v>
      </c>
      <c r="Q312" s="251">
        <v>76.404499999999999</v>
      </c>
      <c r="R312" s="254">
        <v>1.07</v>
      </c>
      <c r="S312" s="214">
        <v>60178</v>
      </c>
      <c r="T312" s="214">
        <v>837356</v>
      </c>
      <c r="U312" s="214">
        <v>0</v>
      </c>
      <c r="V312" s="187">
        <f t="shared" si="10"/>
        <v>837356</v>
      </c>
      <c r="W312" s="187">
        <f t="shared" si="11"/>
        <v>897534</v>
      </c>
    </row>
    <row r="313" spans="1:23">
      <c r="A313" s="216" t="s">
        <v>2426</v>
      </c>
      <c r="B313" s="218">
        <v>344.83100000000002</v>
      </c>
      <c r="C313" s="218">
        <v>345.29500000000002</v>
      </c>
      <c r="D313" s="218">
        <v>342.21699999999998</v>
      </c>
      <c r="E313" s="218">
        <v>332.738</v>
      </c>
      <c r="F313" s="218">
        <v>53.137999999999998</v>
      </c>
      <c r="G313" s="218">
        <v>56.788699999999999</v>
      </c>
      <c r="H313" s="218">
        <v>61.273000000000003</v>
      </c>
      <c r="I313" s="218">
        <v>62.476199999999999</v>
      </c>
      <c r="J313" s="246">
        <v>69715303</v>
      </c>
      <c r="K313" s="246">
        <v>74448253</v>
      </c>
      <c r="L313" s="218">
        <v>552.87699999999995</v>
      </c>
      <c r="M313" s="246">
        <v>157421</v>
      </c>
      <c r="N313" s="251">
        <v>39.262599999999999</v>
      </c>
      <c r="O313" s="251">
        <v>39.0747</v>
      </c>
      <c r="P313" s="251">
        <v>39.3416</v>
      </c>
      <c r="Q313" s="251">
        <v>35.621099999999998</v>
      </c>
      <c r="R313" s="254">
        <v>1.06</v>
      </c>
      <c r="S313" s="214">
        <v>168436</v>
      </c>
      <c r="T313" s="214">
        <v>988474</v>
      </c>
      <c r="U313" s="214">
        <v>0</v>
      </c>
      <c r="V313" s="187">
        <f t="shared" si="10"/>
        <v>988474</v>
      </c>
      <c r="W313" s="187">
        <f t="shared" si="11"/>
        <v>1156910</v>
      </c>
    </row>
    <row r="314" spans="1:23">
      <c r="A314" s="216" t="s">
        <v>2428</v>
      </c>
      <c r="B314" s="218">
        <v>391.66199999999998</v>
      </c>
      <c r="C314" s="218">
        <v>433.63400000000001</v>
      </c>
      <c r="D314" s="218">
        <v>463.101</v>
      </c>
      <c r="E314" s="218">
        <v>482.51600000000002</v>
      </c>
      <c r="F314" s="218">
        <v>66.152299999999997</v>
      </c>
      <c r="G314" s="218">
        <v>64.876999999999995</v>
      </c>
      <c r="H314" s="218">
        <v>67.069500000000005</v>
      </c>
      <c r="I314" s="218">
        <v>64.796800000000005</v>
      </c>
      <c r="J314" s="246">
        <v>62133858</v>
      </c>
      <c r="K314" s="246">
        <v>67591739</v>
      </c>
      <c r="L314" s="218">
        <v>785.51</v>
      </c>
      <c r="M314" s="187">
        <v>0</v>
      </c>
      <c r="N314" s="251">
        <v>43.332599999999999</v>
      </c>
      <c r="O314" s="251">
        <v>43.218899999999998</v>
      </c>
      <c r="P314" s="251">
        <v>44.100099999999998</v>
      </c>
      <c r="Q314" s="251">
        <v>43.105200000000004</v>
      </c>
      <c r="R314" s="254">
        <v>1.06</v>
      </c>
      <c r="S314" s="214">
        <v>1209</v>
      </c>
      <c r="T314" s="214">
        <v>855585</v>
      </c>
      <c r="U314" s="214">
        <v>0</v>
      </c>
      <c r="V314" s="187">
        <f t="shared" si="10"/>
        <v>855585</v>
      </c>
      <c r="W314" s="187">
        <f t="shared" si="11"/>
        <v>856794</v>
      </c>
    </row>
    <row r="315" spans="1:23">
      <c r="A315" s="216" t="s">
        <v>2832</v>
      </c>
      <c r="B315" s="218">
        <v>366.02</v>
      </c>
      <c r="C315" s="218">
        <v>366.46499999999997</v>
      </c>
      <c r="D315" s="218">
        <v>396.63099999999997</v>
      </c>
      <c r="E315" s="218">
        <v>414.99200000000002</v>
      </c>
      <c r="F315" s="218">
        <v>59.334899999999998</v>
      </c>
      <c r="G315" s="218">
        <v>61.586100000000002</v>
      </c>
      <c r="H315" s="218">
        <v>59.46</v>
      </c>
      <c r="I315" s="218">
        <v>61.179299999999998</v>
      </c>
      <c r="J315" s="246">
        <v>42096444</v>
      </c>
      <c r="K315" s="246">
        <v>48045502</v>
      </c>
      <c r="L315" s="218">
        <v>675.27099999999996</v>
      </c>
      <c r="M315" s="246">
        <v>23556</v>
      </c>
      <c r="N315" s="251">
        <v>43.237900000000003</v>
      </c>
      <c r="O315" s="251">
        <v>43.698999999999998</v>
      </c>
      <c r="P315" s="251">
        <v>42.238199999999999</v>
      </c>
      <c r="Q315" s="251">
        <v>44.323700000000002</v>
      </c>
      <c r="R315" s="254">
        <v>1.06</v>
      </c>
      <c r="S315" s="214">
        <v>38558</v>
      </c>
      <c r="T315" s="214">
        <v>598129</v>
      </c>
      <c r="U315" s="214">
        <v>0</v>
      </c>
      <c r="V315" s="187">
        <f t="shared" si="10"/>
        <v>598129</v>
      </c>
      <c r="W315" s="187">
        <f t="shared" si="11"/>
        <v>636687</v>
      </c>
    </row>
    <row r="316" spans="1:23">
      <c r="A316" s="216" t="s">
        <v>4923</v>
      </c>
      <c r="B316" s="218">
        <v>529.26400000000001</v>
      </c>
      <c r="C316" s="218">
        <v>534.04600000000005</v>
      </c>
      <c r="D316" s="218">
        <v>517.91800000000001</v>
      </c>
      <c r="E316" s="218">
        <v>504.89299999999997</v>
      </c>
      <c r="F316" s="218">
        <v>89.291399999999996</v>
      </c>
      <c r="G316" s="218">
        <v>91.4679</v>
      </c>
      <c r="H316" s="218">
        <v>90.291399999999996</v>
      </c>
      <c r="I316" s="218">
        <v>91.933700000000002</v>
      </c>
      <c r="J316" s="246">
        <v>130826621</v>
      </c>
      <c r="K316" s="246">
        <v>138787568</v>
      </c>
      <c r="L316" s="218">
        <v>820.44299999999998</v>
      </c>
      <c r="M316" s="187">
        <v>0</v>
      </c>
      <c r="N316" s="251">
        <v>58.73</v>
      </c>
      <c r="O316" s="251">
        <v>64.191900000000004</v>
      </c>
      <c r="P316" s="251">
        <v>64.881200000000007</v>
      </c>
      <c r="Q316" s="251">
        <v>62.241199999999999</v>
      </c>
      <c r="R316" s="254">
        <v>1.05</v>
      </c>
      <c r="S316" s="214">
        <v>0</v>
      </c>
      <c r="T316" s="214">
        <v>2019047</v>
      </c>
      <c r="U316" s="214">
        <v>0</v>
      </c>
      <c r="V316" s="187">
        <f t="shared" si="10"/>
        <v>2019047</v>
      </c>
      <c r="W316" s="187">
        <f t="shared" si="11"/>
        <v>2019047</v>
      </c>
    </row>
    <row r="317" spans="1:23">
      <c r="A317" s="216" t="s">
        <v>4925</v>
      </c>
      <c r="B317" s="218">
        <v>1770.028</v>
      </c>
      <c r="C317" s="218">
        <v>1780.69</v>
      </c>
      <c r="D317" s="218">
        <v>1792.0509999999999</v>
      </c>
      <c r="E317" s="218">
        <v>1795.1179999999999</v>
      </c>
      <c r="F317" s="218">
        <v>265.22949999999997</v>
      </c>
      <c r="G317" s="218">
        <v>266.36790000000002</v>
      </c>
      <c r="H317" s="218">
        <v>275.23239999999998</v>
      </c>
      <c r="I317" s="218">
        <v>285.14389999999997</v>
      </c>
      <c r="J317" s="246">
        <v>626003261</v>
      </c>
      <c r="K317" s="246">
        <v>655447591</v>
      </c>
      <c r="L317" s="218">
        <v>2467.1880000000001</v>
      </c>
      <c r="M317" s="246">
        <v>550390</v>
      </c>
      <c r="N317" s="251">
        <v>170.57380000000001</v>
      </c>
      <c r="O317" s="251">
        <v>169.99459999999999</v>
      </c>
      <c r="P317" s="251">
        <v>173.86850000000001</v>
      </c>
      <c r="Q317" s="251">
        <v>180.48099999999999</v>
      </c>
      <c r="R317" s="254">
        <v>1.07</v>
      </c>
      <c r="S317" s="214">
        <v>463458</v>
      </c>
      <c r="T317" s="214">
        <v>9163658</v>
      </c>
      <c r="U317" s="214">
        <v>0</v>
      </c>
      <c r="V317" s="187">
        <f t="shared" si="10"/>
        <v>9163658</v>
      </c>
      <c r="W317" s="187">
        <f t="shared" si="11"/>
        <v>9627116</v>
      </c>
    </row>
    <row r="318" spans="1:23">
      <c r="A318" s="216" t="s">
        <v>4927</v>
      </c>
      <c r="B318" s="218">
        <v>674.49099999999999</v>
      </c>
      <c r="C318" s="218">
        <v>667.44500000000005</v>
      </c>
      <c r="D318" s="218">
        <v>717.77</v>
      </c>
      <c r="E318" s="218">
        <v>697.88800000000003</v>
      </c>
      <c r="F318" s="218">
        <v>100.1328</v>
      </c>
      <c r="G318" s="218">
        <v>105.14879999999999</v>
      </c>
      <c r="H318" s="218">
        <v>107.15819999999999</v>
      </c>
      <c r="I318" s="218">
        <v>115.11409999999999</v>
      </c>
      <c r="J318" s="246">
        <v>196321949</v>
      </c>
      <c r="K318" s="246">
        <v>209470038</v>
      </c>
      <c r="L318" s="218">
        <v>1131.1469999999999</v>
      </c>
      <c r="M318" s="246">
        <v>161057</v>
      </c>
      <c r="N318" s="251">
        <v>71.211100000000002</v>
      </c>
      <c r="O318" s="251">
        <v>70.707899999999995</v>
      </c>
      <c r="P318" s="251">
        <v>72.729699999999994</v>
      </c>
      <c r="Q318" s="251">
        <v>79.177099999999996</v>
      </c>
      <c r="R318" s="254">
        <v>1.06</v>
      </c>
      <c r="S318" s="214">
        <v>167832</v>
      </c>
      <c r="T318" s="214">
        <v>2791586</v>
      </c>
      <c r="U318" s="214">
        <v>0</v>
      </c>
      <c r="V318" s="187">
        <f t="shared" si="10"/>
        <v>2791586</v>
      </c>
      <c r="W318" s="187">
        <f t="shared" si="11"/>
        <v>2959418</v>
      </c>
    </row>
    <row r="319" spans="1:23">
      <c r="A319" s="216" t="s">
        <v>4929</v>
      </c>
      <c r="B319" s="218">
        <v>242.858</v>
      </c>
      <c r="C319" s="218">
        <v>218.13399999999999</v>
      </c>
      <c r="D319" s="218">
        <v>211.54599999999999</v>
      </c>
      <c r="E319" s="218">
        <v>212.13300000000001</v>
      </c>
      <c r="F319" s="218">
        <v>37.507100000000001</v>
      </c>
      <c r="G319" s="218">
        <v>38.642800000000001</v>
      </c>
      <c r="H319" s="218">
        <v>39.030099999999997</v>
      </c>
      <c r="I319" s="218">
        <v>36.787599999999998</v>
      </c>
      <c r="J319" s="246">
        <v>94559958</v>
      </c>
      <c r="K319" s="246">
        <v>98882208</v>
      </c>
      <c r="L319" s="218">
        <v>334.12700000000001</v>
      </c>
      <c r="M319" s="187">
        <v>0</v>
      </c>
      <c r="N319" s="251">
        <v>25.3583</v>
      </c>
      <c r="O319" s="251">
        <v>24.977</v>
      </c>
      <c r="P319" s="251">
        <v>25.7028</v>
      </c>
      <c r="Q319" s="251">
        <v>24.643699999999999</v>
      </c>
      <c r="R319" s="254">
        <v>1.06</v>
      </c>
      <c r="S319" s="214">
        <v>0</v>
      </c>
      <c r="T319" s="214">
        <v>1631867</v>
      </c>
      <c r="U319" s="214">
        <v>0</v>
      </c>
      <c r="V319" s="187">
        <f t="shared" si="10"/>
        <v>1631867</v>
      </c>
      <c r="W319" s="187">
        <f t="shared" si="11"/>
        <v>1631867</v>
      </c>
    </row>
    <row r="320" spans="1:23">
      <c r="A320" s="216" t="s">
        <v>4931</v>
      </c>
      <c r="B320" s="218">
        <v>238.91800000000001</v>
      </c>
      <c r="C320" s="218">
        <v>241.726</v>
      </c>
      <c r="D320" s="218">
        <v>234.42599999999999</v>
      </c>
      <c r="E320" s="218">
        <v>227.005</v>
      </c>
      <c r="F320" s="218">
        <v>40.628599999999999</v>
      </c>
      <c r="G320" s="218">
        <v>43.055700000000002</v>
      </c>
      <c r="H320" s="218">
        <v>45.913400000000003</v>
      </c>
      <c r="I320" s="218">
        <v>45.529200000000003</v>
      </c>
      <c r="J320" s="246">
        <v>227312598</v>
      </c>
      <c r="K320" s="246">
        <v>232593575</v>
      </c>
      <c r="L320" s="218">
        <v>359.63400000000001</v>
      </c>
      <c r="M320" s="246">
        <v>217518</v>
      </c>
      <c r="N320" s="251">
        <v>26.6159</v>
      </c>
      <c r="O320" s="251">
        <v>27.6814</v>
      </c>
      <c r="P320" s="251">
        <v>27.355399999999999</v>
      </c>
      <c r="Q320" s="251">
        <v>27.851700000000001</v>
      </c>
      <c r="R320" s="254">
        <v>1.05</v>
      </c>
      <c r="S320" s="214">
        <v>181763</v>
      </c>
      <c r="T320" s="214">
        <v>3207197</v>
      </c>
      <c r="U320" s="214">
        <v>0</v>
      </c>
      <c r="V320" s="187">
        <f t="shared" si="10"/>
        <v>3207197</v>
      </c>
      <c r="W320" s="187">
        <f t="shared" si="11"/>
        <v>3388960</v>
      </c>
    </row>
    <row r="321" spans="1:23">
      <c r="A321" s="216" t="s">
        <v>4933</v>
      </c>
      <c r="B321" s="218">
        <v>304.79199999999997</v>
      </c>
      <c r="C321" s="218">
        <v>303.68400000000003</v>
      </c>
      <c r="D321" s="218">
        <v>306.37400000000002</v>
      </c>
      <c r="E321" s="218">
        <v>304.262</v>
      </c>
      <c r="F321" s="218">
        <v>59.412999999999997</v>
      </c>
      <c r="G321" s="218">
        <v>59.412999999999997</v>
      </c>
      <c r="H321" s="218">
        <v>59.412999999999997</v>
      </c>
      <c r="I321" s="218">
        <v>59.153100000000002</v>
      </c>
      <c r="J321" s="246">
        <v>51605184</v>
      </c>
      <c r="K321" s="246">
        <v>55551554</v>
      </c>
      <c r="L321" s="218">
        <v>618.38800000000003</v>
      </c>
      <c r="M321" s="246">
        <v>37538</v>
      </c>
      <c r="N321" s="251">
        <v>40.122199999999999</v>
      </c>
      <c r="O321" s="251">
        <v>40.003500000000003</v>
      </c>
      <c r="P321" s="251">
        <v>40.001899999999999</v>
      </c>
      <c r="Q321" s="251">
        <v>40.003</v>
      </c>
      <c r="R321" s="254">
        <v>1.05</v>
      </c>
      <c r="S321" s="214">
        <v>38086</v>
      </c>
      <c r="T321" s="214">
        <v>742019</v>
      </c>
      <c r="U321" s="214">
        <v>0</v>
      </c>
      <c r="V321" s="187">
        <f t="shared" si="10"/>
        <v>742019</v>
      </c>
      <c r="W321" s="187">
        <f t="shared" si="11"/>
        <v>780105</v>
      </c>
    </row>
    <row r="322" spans="1:23">
      <c r="A322" s="216" t="s">
        <v>444</v>
      </c>
      <c r="B322" s="218">
        <v>390.14499999999998</v>
      </c>
      <c r="C322" s="218">
        <v>383.52800000000002</v>
      </c>
      <c r="D322" s="218">
        <v>374.27600000000001</v>
      </c>
      <c r="E322" s="218">
        <v>366.04899999999998</v>
      </c>
      <c r="F322" s="218">
        <v>74.920100000000005</v>
      </c>
      <c r="G322" s="218">
        <v>76.925299999999993</v>
      </c>
      <c r="H322" s="218">
        <v>76.396000000000001</v>
      </c>
      <c r="I322" s="218">
        <v>76.765000000000001</v>
      </c>
      <c r="J322" s="246">
        <v>54087587</v>
      </c>
      <c r="K322" s="246">
        <v>58978632</v>
      </c>
      <c r="L322" s="218">
        <v>767.25099999999998</v>
      </c>
      <c r="M322" s="187">
        <v>0</v>
      </c>
      <c r="N322" s="251">
        <v>51.438699999999997</v>
      </c>
      <c r="O322" s="251">
        <v>54.005200000000002</v>
      </c>
      <c r="P322" s="251">
        <v>51.017499999999998</v>
      </c>
      <c r="Q322" s="251">
        <v>52.011899999999997</v>
      </c>
      <c r="R322" s="254">
        <v>1.06</v>
      </c>
      <c r="S322" s="214">
        <v>31638</v>
      </c>
      <c r="T322" s="214">
        <v>739929</v>
      </c>
      <c r="U322" s="214">
        <v>0</v>
      </c>
      <c r="V322" s="187">
        <f t="shared" si="10"/>
        <v>739929</v>
      </c>
      <c r="W322" s="187">
        <f t="shared" si="11"/>
        <v>771567</v>
      </c>
    </row>
    <row r="323" spans="1:23">
      <c r="A323" s="216" t="s">
        <v>3558</v>
      </c>
      <c r="B323" s="218">
        <v>1023.205</v>
      </c>
      <c r="C323" s="218">
        <v>1022.978</v>
      </c>
      <c r="D323" s="218">
        <v>992.08399999999995</v>
      </c>
      <c r="E323" s="218">
        <v>976.18200000000002</v>
      </c>
      <c r="F323" s="218">
        <v>200.92509999999999</v>
      </c>
      <c r="G323" s="218">
        <v>197.69229999999999</v>
      </c>
      <c r="H323" s="218">
        <v>196.1628</v>
      </c>
      <c r="I323" s="218">
        <v>186.952</v>
      </c>
      <c r="J323" s="246">
        <v>125227868</v>
      </c>
      <c r="K323" s="246">
        <v>135364818</v>
      </c>
      <c r="L323" s="218">
        <v>1662.9179999999999</v>
      </c>
      <c r="M323" s="187">
        <v>0</v>
      </c>
      <c r="N323" s="251">
        <v>132.77770000000001</v>
      </c>
      <c r="O323" s="251">
        <v>128.14949999999999</v>
      </c>
      <c r="P323" s="251">
        <v>128.37350000000001</v>
      </c>
      <c r="Q323" s="251">
        <v>120.29430000000001</v>
      </c>
      <c r="R323" s="254">
        <v>1.07</v>
      </c>
      <c r="S323" s="214">
        <v>0</v>
      </c>
      <c r="T323" s="214">
        <v>2069945</v>
      </c>
      <c r="U323" s="214">
        <v>0</v>
      </c>
      <c r="V323" s="187">
        <f t="shared" si="10"/>
        <v>2069945</v>
      </c>
      <c r="W323" s="187">
        <f t="shared" si="11"/>
        <v>2069945</v>
      </c>
    </row>
    <row r="324" spans="1:23">
      <c r="A324" s="216" t="s">
        <v>3560</v>
      </c>
      <c r="B324" s="218">
        <v>700.59900000000005</v>
      </c>
      <c r="C324" s="218">
        <v>683.10400000000004</v>
      </c>
      <c r="D324" s="218">
        <v>662.47400000000005</v>
      </c>
      <c r="E324" s="218">
        <v>655.25</v>
      </c>
      <c r="F324" s="218">
        <v>114.71420000000001</v>
      </c>
      <c r="G324" s="218">
        <v>109.2436</v>
      </c>
      <c r="H324" s="218">
        <v>105.6797</v>
      </c>
      <c r="I324" s="218">
        <v>106.313</v>
      </c>
      <c r="J324" s="246">
        <v>87892936</v>
      </c>
      <c r="K324" s="246">
        <v>93276457</v>
      </c>
      <c r="L324" s="218">
        <v>1062.2760000000001</v>
      </c>
      <c r="M324" s="187">
        <v>0</v>
      </c>
      <c r="N324" s="251">
        <v>80.999399999999994</v>
      </c>
      <c r="O324" s="251">
        <v>81.597999999999999</v>
      </c>
      <c r="P324" s="251">
        <v>79.504900000000006</v>
      </c>
      <c r="Q324" s="251">
        <v>76.205299999999994</v>
      </c>
      <c r="R324" s="254">
        <v>1.06</v>
      </c>
      <c r="S324" s="214">
        <v>0</v>
      </c>
      <c r="T324" s="214">
        <v>1282967</v>
      </c>
      <c r="U324" s="214">
        <v>0</v>
      </c>
      <c r="V324" s="187">
        <f t="shared" si="10"/>
        <v>1282967</v>
      </c>
      <c r="W324" s="187">
        <f t="shared" si="11"/>
        <v>1282967</v>
      </c>
    </row>
    <row r="325" spans="1:23">
      <c r="A325" s="216" t="s">
        <v>3562</v>
      </c>
      <c r="B325" s="218">
        <v>321.62799999999999</v>
      </c>
      <c r="C325" s="218">
        <v>318.34300000000002</v>
      </c>
      <c r="D325" s="218">
        <v>308.72899999999998</v>
      </c>
      <c r="E325" s="218">
        <v>295.54599999999999</v>
      </c>
      <c r="F325" s="218">
        <v>65.863799999999998</v>
      </c>
      <c r="G325" s="218">
        <v>67.479299999999995</v>
      </c>
      <c r="H325" s="218">
        <v>65.945899999999995</v>
      </c>
      <c r="I325" s="218">
        <v>60.108400000000003</v>
      </c>
      <c r="J325" s="246">
        <v>69946575</v>
      </c>
      <c r="K325" s="246">
        <v>73369369</v>
      </c>
      <c r="L325" s="218">
        <v>620.21299999999997</v>
      </c>
      <c r="M325" s="187">
        <v>0</v>
      </c>
      <c r="N325" s="251">
        <v>48.360399999999998</v>
      </c>
      <c r="O325" s="251">
        <v>45.462499999999999</v>
      </c>
      <c r="P325" s="251">
        <v>47.894799999999996</v>
      </c>
      <c r="Q325" s="251">
        <v>40.370100000000001</v>
      </c>
      <c r="R325" s="254">
        <v>1.04</v>
      </c>
      <c r="S325" s="214">
        <v>0</v>
      </c>
      <c r="T325" s="214">
        <v>920859</v>
      </c>
      <c r="U325" s="214">
        <v>0</v>
      </c>
      <c r="V325" s="187">
        <f t="shared" ref="V325:V388" si="12">T325+U325</f>
        <v>920859</v>
      </c>
      <c r="W325" s="187">
        <f t="shared" ref="W325:W388" si="13">V325+S325</f>
        <v>920859</v>
      </c>
    </row>
    <row r="326" spans="1:23">
      <c r="A326" s="216" t="s">
        <v>3564</v>
      </c>
      <c r="B326" s="218">
        <v>13959.913</v>
      </c>
      <c r="C326" s="218">
        <v>14221.9</v>
      </c>
      <c r="D326" s="218">
        <v>15168.379000000001</v>
      </c>
      <c r="E326" s="218">
        <v>15954.898999999999</v>
      </c>
      <c r="F326" s="218">
        <v>1977.3590999999999</v>
      </c>
      <c r="G326" s="218">
        <v>2068.8231000000001</v>
      </c>
      <c r="H326" s="218">
        <v>2264.1700999999998</v>
      </c>
      <c r="I326" s="218">
        <v>2325.4789000000001</v>
      </c>
      <c r="J326" s="246">
        <v>3529169662</v>
      </c>
      <c r="K326" s="246">
        <v>3679539214</v>
      </c>
      <c r="L326" s="218">
        <v>20632.852999999999</v>
      </c>
      <c r="M326" s="246">
        <v>5968196</v>
      </c>
      <c r="N326" s="251">
        <v>1179.1358</v>
      </c>
      <c r="O326" s="251">
        <v>1244.2847999999999</v>
      </c>
      <c r="P326" s="251">
        <v>1340.251</v>
      </c>
      <c r="Q326" s="251">
        <v>1364.336</v>
      </c>
      <c r="R326" s="254">
        <v>1.1599999999999999</v>
      </c>
      <c r="S326" s="214">
        <v>6281235</v>
      </c>
      <c r="T326" s="214">
        <v>57284759</v>
      </c>
      <c r="U326" s="214">
        <v>0</v>
      </c>
      <c r="V326" s="187">
        <f t="shared" si="12"/>
        <v>57284759</v>
      </c>
      <c r="W326" s="187">
        <f t="shared" si="13"/>
        <v>63565994</v>
      </c>
    </row>
    <row r="327" spans="1:23">
      <c r="A327" s="216" t="s">
        <v>6179</v>
      </c>
      <c r="B327" s="218">
        <v>2315.125</v>
      </c>
      <c r="C327" s="218">
        <v>2318.893</v>
      </c>
      <c r="D327" s="218">
        <v>2302.009</v>
      </c>
      <c r="E327" s="218">
        <v>2303.1350000000002</v>
      </c>
      <c r="F327" s="218">
        <v>273.89679999999998</v>
      </c>
      <c r="G327" s="218">
        <v>292.00850000000003</v>
      </c>
      <c r="H327" s="218">
        <v>302.87779999999998</v>
      </c>
      <c r="I327" s="218">
        <v>312.25889999999998</v>
      </c>
      <c r="J327" s="246">
        <v>305976482</v>
      </c>
      <c r="K327" s="246">
        <v>331599447</v>
      </c>
      <c r="L327" s="218">
        <v>3111.09</v>
      </c>
      <c r="M327" s="246">
        <v>302326</v>
      </c>
      <c r="N327" s="251">
        <v>182.1943</v>
      </c>
      <c r="O327" s="251">
        <v>194.19300000000001</v>
      </c>
      <c r="P327" s="251">
        <v>195.6737</v>
      </c>
      <c r="Q327" s="251">
        <v>201.3152</v>
      </c>
      <c r="R327" s="254">
        <v>1.1200000000000001</v>
      </c>
      <c r="S327" s="214">
        <v>551138</v>
      </c>
      <c r="T327" s="214">
        <v>4861952</v>
      </c>
      <c r="U327" s="214">
        <v>0</v>
      </c>
      <c r="V327" s="187">
        <f t="shared" si="12"/>
        <v>4861952</v>
      </c>
      <c r="W327" s="187">
        <f t="shared" si="13"/>
        <v>5413090</v>
      </c>
    </row>
    <row r="328" spans="1:23">
      <c r="A328" s="216" t="s">
        <v>1309</v>
      </c>
      <c r="B328" s="218">
        <v>49031.184999999998</v>
      </c>
      <c r="C328" s="218">
        <v>50372.54</v>
      </c>
      <c r="D328" s="218">
        <v>52499.294000000002</v>
      </c>
      <c r="E328" s="218">
        <v>56625.904999999999</v>
      </c>
      <c r="F328" s="218">
        <v>5619.5282999999999</v>
      </c>
      <c r="G328" s="218">
        <v>6181.1237000000001</v>
      </c>
      <c r="H328" s="218">
        <v>6745.2263000000003</v>
      </c>
      <c r="I328" s="218">
        <v>7216.0586000000003</v>
      </c>
      <c r="J328" s="246">
        <v>11629684725</v>
      </c>
      <c r="K328" s="246">
        <v>12201479826</v>
      </c>
      <c r="L328" s="218">
        <v>69752.236999999994</v>
      </c>
      <c r="M328" s="246">
        <v>18256670</v>
      </c>
      <c r="N328" s="251">
        <v>3628.7755000000002</v>
      </c>
      <c r="O328" s="251">
        <v>3571.9238</v>
      </c>
      <c r="P328" s="251">
        <v>3843.9766</v>
      </c>
      <c r="Q328" s="251">
        <v>4083.5439000000001</v>
      </c>
      <c r="R328" s="254">
        <v>1.1599999999999999</v>
      </c>
      <c r="S328" s="214">
        <v>23390433</v>
      </c>
      <c r="T328" s="214">
        <v>191497273</v>
      </c>
      <c r="U328" s="214">
        <v>0</v>
      </c>
      <c r="V328" s="187">
        <f t="shared" si="12"/>
        <v>191497273</v>
      </c>
      <c r="W328" s="187">
        <f t="shared" si="13"/>
        <v>214887706</v>
      </c>
    </row>
    <row r="329" spans="1:23">
      <c r="A329" s="216" t="s">
        <v>3566</v>
      </c>
      <c r="B329" s="218">
        <v>92.956999999999994</v>
      </c>
      <c r="C329" s="218">
        <v>90.387</v>
      </c>
      <c r="D329" s="218">
        <v>103.78400000000001</v>
      </c>
      <c r="E329" s="218">
        <v>105.905</v>
      </c>
      <c r="F329" s="218">
        <v>11.627000000000001</v>
      </c>
      <c r="G329" s="218">
        <v>17.25</v>
      </c>
      <c r="H329" s="218">
        <v>20.5</v>
      </c>
      <c r="I329" s="218">
        <v>29</v>
      </c>
      <c r="J329" s="246">
        <v>28227495</v>
      </c>
      <c r="K329" s="246">
        <v>30525975</v>
      </c>
      <c r="L329" s="218">
        <v>194.97300000000001</v>
      </c>
      <c r="M329" s="187">
        <v>0</v>
      </c>
      <c r="N329" s="251">
        <v>6.8769999999999998</v>
      </c>
      <c r="O329" s="251">
        <v>11</v>
      </c>
      <c r="P329" s="251">
        <v>12</v>
      </c>
      <c r="Q329" s="251">
        <v>11.4284</v>
      </c>
      <c r="R329" s="254">
        <v>1.1299999999999999</v>
      </c>
      <c r="S329" s="214">
        <v>0</v>
      </c>
      <c r="T329" s="214">
        <v>374251</v>
      </c>
      <c r="U329" s="214">
        <v>0</v>
      </c>
      <c r="V329" s="187">
        <f t="shared" si="12"/>
        <v>374251</v>
      </c>
      <c r="W329" s="187">
        <f t="shared" si="13"/>
        <v>374251</v>
      </c>
    </row>
    <row r="330" spans="1:23">
      <c r="A330" s="216" t="s">
        <v>3568</v>
      </c>
      <c r="B330" s="218">
        <v>2698.107</v>
      </c>
      <c r="C330" s="218">
        <v>2726.6179999999999</v>
      </c>
      <c r="D330" s="218">
        <v>2728.52</v>
      </c>
      <c r="E330" s="218">
        <v>2652.94</v>
      </c>
      <c r="F330" s="218">
        <v>344.32769999999999</v>
      </c>
      <c r="G330" s="218">
        <v>366.68709999999999</v>
      </c>
      <c r="H330" s="218">
        <v>392.99209999999999</v>
      </c>
      <c r="I330" s="218">
        <v>389.39479999999998</v>
      </c>
      <c r="J330" s="246">
        <v>1403272157</v>
      </c>
      <c r="K330" s="246">
        <v>1426834037</v>
      </c>
      <c r="L330" s="218">
        <v>3289.962</v>
      </c>
      <c r="M330" s="246">
        <v>3490036</v>
      </c>
      <c r="N330" s="251">
        <v>218.14070000000001</v>
      </c>
      <c r="O330" s="251">
        <v>223.18539999999999</v>
      </c>
      <c r="P330" s="251">
        <v>225.4778</v>
      </c>
      <c r="Q330" s="251">
        <v>233.80600000000001</v>
      </c>
      <c r="R330" s="254">
        <v>1.1100000000000001</v>
      </c>
      <c r="S330" s="214">
        <v>2971684</v>
      </c>
      <c r="T330" s="214">
        <v>21212040</v>
      </c>
      <c r="U330" s="214">
        <v>0</v>
      </c>
      <c r="V330" s="187">
        <f t="shared" si="12"/>
        <v>21212040</v>
      </c>
      <c r="W330" s="187">
        <f t="shared" si="13"/>
        <v>24183724</v>
      </c>
    </row>
    <row r="331" spans="1:23">
      <c r="A331" s="216" t="s">
        <v>1607</v>
      </c>
      <c r="B331" s="218">
        <v>1444.8019999999999</v>
      </c>
      <c r="C331" s="218">
        <v>1377.2739999999999</v>
      </c>
      <c r="D331" s="218">
        <v>1403.066</v>
      </c>
      <c r="E331" s="218">
        <v>1387.942</v>
      </c>
      <c r="F331" s="218">
        <v>204.40129999999999</v>
      </c>
      <c r="G331" s="218">
        <v>202.78299999999999</v>
      </c>
      <c r="H331" s="218">
        <v>204.20609999999999</v>
      </c>
      <c r="I331" s="218">
        <v>196.98929999999999</v>
      </c>
      <c r="J331" s="246">
        <v>528077912</v>
      </c>
      <c r="K331" s="246">
        <v>549530052</v>
      </c>
      <c r="L331" s="218">
        <v>1902.596</v>
      </c>
      <c r="M331" s="187">
        <v>0</v>
      </c>
      <c r="N331" s="251">
        <v>140.13200000000001</v>
      </c>
      <c r="O331" s="251">
        <v>139.21719999999999</v>
      </c>
      <c r="P331" s="251">
        <v>140.26599999999999</v>
      </c>
      <c r="Q331" s="251">
        <v>137.8896</v>
      </c>
      <c r="R331" s="254">
        <v>1.04</v>
      </c>
      <c r="S331" s="214">
        <v>0</v>
      </c>
      <c r="T331" s="214">
        <v>7159978</v>
      </c>
      <c r="U331" s="214">
        <v>0</v>
      </c>
      <c r="V331" s="187">
        <f t="shared" si="12"/>
        <v>7159978</v>
      </c>
      <c r="W331" s="187">
        <f t="shared" si="13"/>
        <v>7159978</v>
      </c>
    </row>
    <row r="332" spans="1:23">
      <c r="A332" s="216" t="s">
        <v>2482</v>
      </c>
      <c r="B332" s="218">
        <v>1488.3219999999999</v>
      </c>
      <c r="C332" s="218">
        <v>1534.9369999999999</v>
      </c>
      <c r="D332" s="218">
        <v>1524.164</v>
      </c>
      <c r="E332" s="218">
        <v>1532.335</v>
      </c>
      <c r="F332" s="218">
        <v>229.0025</v>
      </c>
      <c r="G332" s="218">
        <v>228.5462</v>
      </c>
      <c r="H332" s="218">
        <v>236.51140000000001</v>
      </c>
      <c r="I332" s="218">
        <v>249.04400000000001</v>
      </c>
      <c r="J332" s="246">
        <v>872343020</v>
      </c>
      <c r="K332" s="246">
        <v>891197480</v>
      </c>
      <c r="L332" s="218">
        <v>2112.9110000000001</v>
      </c>
      <c r="M332" s="246">
        <v>1420888</v>
      </c>
      <c r="N332" s="251">
        <v>150.09780000000001</v>
      </c>
      <c r="O332" s="251">
        <v>152.00919999999999</v>
      </c>
      <c r="P332" s="251">
        <v>154.7107</v>
      </c>
      <c r="Q332" s="251">
        <v>161.3673</v>
      </c>
      <c r="R332" s="254">
        <v>1.06</v>
      </c>
      <c r="S332" s="214">
        <v>1443727</v>
      </c>
      <c r="T332" s="214">
        <v>13669435</v>
      </c>
      <c r="U332" s="214">
        <v>0</v>
      </c>
      <c r="V332" s="187">
        <f t="shared" si="12"/>
        <v>13669435</v>
      </c>
      <c r="W332" s="187">
        <f t="shared" si="13"/>
        <v>15113162</v>
      </c>
    </row>
    <row r="333" spans="1:23">
      <c r="A333" s="216" t="s">
        <v>2484</v>
      </c>
      <c r="B333" s="218">
        <v>1057.04</v>
      </c>
      <c r="C333" s="218">
        <v>1014.908</v>
      </c>
      <c r="D333" s="218">
        <v>1027.6500000000001</v>
      </c>
      <c r="E333" s="218">
        <v>1073.748</v>
      </c>
      <c r="F333" s="218">
        <v>162.2216</v>
      </c>
      <c r="G333" s="218">
        <v>156.73159999999999</v>
      </c>
      <c r="H333" s="218">
        <v>163.7159</v>
      </c>
      <c r="I333" s="218">
        <v>176.2654</v>
      </c>
      <c r="J333" s="246">
        <v>603581427</v>
      </c>
      <c r="K333" s="246">
        <v>615581937</v>
      </c>
      <c r="L333" s="218">
        <v>1536.182</v>
      </c>
      <c r="M333" s="246">
        <v>940795</v>
      </c>
      <c r="N333" s="251">
        <v>104.649</v>
      </c>
      <c r="O333" s="251">
        <v>105.0784</v>
      </c>
      <c r="P333" s="251">
        <v>105.7367</v>
      </c>
      <c r="Q333" s="251">
        <v>107.45780000000001</v>
      </c>
      <c r="R333" s="254">
        <v>1.05</v>
      </c>
      <c r="S333" s="214">
        <v>673182</v>
      </c>
      <c r="T333" s="214">
        <v>10449746</v>
      </c>
      <c r="U333" s="214">
        <v>0</v>
      </c>
      <c r="V333" s="187">
        <f t="shared" si="12"/>
        <v>10449746</v>
      </c>
      <c r="W333" s="187">
        <f t="shared" si="13"/>
        <v>11122928</v>
      </c>
    </row>
    <row r="334" spans="1:23">
      <c r="A334" s="216" t="s">
        <v>2486</v>
      </c>
      <c r="B334" s="218">
        <v>350.92</v>
      </c>
      <c r="C334" s="218">
        <v>380.66</v>
      </c>
      <c r="D334" s="218">
        <v>389.38799999999998</v>
      </c>
      <c r="E334" s="218">
        <v>412.98</v>
      </c>
      <c r="F334" s="218">
        <v>56.322400000000002</v>
      </c>
      <c r="G334" s="218">
        <v>59.997399999999999</v>
      </c>
      <c r="H334" s="218">
        <v>62.588299999999997</v>
      </c>
      <c r="I334" s="218">
        <v>65.765799999999999</v>
      </c>
      <c r="J334" s="246">
        <v>74726543</v>
      </c>
      <c r="K334" s="246">
        <v>78646613</v>
      </c>
      <c r="L334" s="218">
        <v>683.29600000000005</v>
      </c>
      <c r="M334" s="246">
        <v>56393</v>
      </c>
      <c r="N334" s="251">
        <v>41.005699999999997</v>
      </c>
      <c r="O334" s="251">
        <v>42.238100000000003</v>
      </c>
      <c r="P334" s="251">
        <v>44.3523</v>
      </c>
      <c r="Q334" s="251">
        <v>45.590899999999998</v>
      </c>
      <c r="R334" s="254">
        <v>1.05</v>
      </c>
      <c r="S334" s="214">
        <v>60428</v>
      </c>
      <c r="T334" s="214">
        <v>1192141</v>
      </c>
      <c r="U334" s="214">
        <v>0</v>
      </c>
      <c r="V334" s="187">
        <f t="shared" si="12"/>
        <v>1192141</v>
      </c>
      <c r="W334" s="187">
        <f t="shared" si="13"/>
        <v>1252569</v>
      </c>
    </row>
    <row r="335" spans="1:23">
      <c r="A335" s="216" t="s">
        <v>2488</v>
      </c>
      <c r="B335" s="218">
        <v>67.655000000000001</v>
      </c>
      <c r="C335" s="218">
        <v>69.474999999999994</v>
      </c>
      <c r="D335" s="218">
        <v>79.656000000000006</v>
      </c>
      <c r="E335" s="218">
        <v>85.527000000000001</v>
      </c>
      <c r="F335" s="218">
        <v>14.3917</v>
      </c>
      <c r="G335" s="218">
        <v>17.8263</v>
      </c>
      <c r="H335" s="218">
        <v>17.722000000000001</v>
      </c>
      <c r="I335" s="218">
        <v>16.722000000000001</v>
      </c>
      <c r="J335" s="246">
        <v>300384388</v>
      </c>
      <c r="K335" s="246">
        <v>302249998</v>
      </c>
      <c r="L335" s="218">
        <v>147.429</v>
      </c>
      <c r="M335" s="187">
        <v>0</v>
      </c>
      <c r="N335" s="251">
        <v>9.2144999999999992</v>
      </c>
      <c r="O335" s="251">
        <v>9.0004000000000008</v>
      </c>
      <c r="P335" s="251">
        <v>8.9997000000000007</v>
      </c>
      <c r="Q335" s="251">
        <v>8.1708999999999996</v>
      </c>
      <c r="R335" s="254">
        <v>1.06</v>
      </c>
      <c r="S335" s="214">
        <v>0</v>
      </c>
      <c r="T335" s="214">
        <v>4600560</v>
      </c>
      <c r="U335" s="214">
        <v>0</v>
      </c>
      <c r="V335" s="187">
        <f t="shared" si="12"/>
        <v>4600560</v>
      </c>
      <c r="W335" s="187">
        <f t="shared" si="13"/>
        <v>4600560</v>
      </c>
    </row>
    <row r="336" spans="1:23">
      <c r="A336" s="216" t="s">
        <v>2834</v>
      </c>
      <c r="B336" s="218">
        <v>852.59799999999996</v>
      </c>
      <c r="C336" s="218">
        <v>818.95600000000002</v>
      </c>
      <c r="D336" s="218">
        <v>810.56200000000001</v>
      </c>
      <c r="E336" s="218">
        <v>792.745</v>
      </c>
      <c r="F336" s="218">
        <v>155.4752</v>
      </c>
      <c r="G336" s="218">
        <v>159.17869999999999</v>
      </c>
      <c r="H336" s="218">
        <v>162.5369</v>
      </c>
      <c r="I336" s="218">
        <v>167.95959999999999</v>
      </c>
      <c r="J336" s="246">
        <v>86899978</v>
      </c>
      <c r="K336" s="246">
        <v>92563228</v>
      </c>
      <c r="L336" s="218">
        <v>1520.1479999999999</v>
      </c>
      <c r="M336" s="246">
        <v>23327</v>
      </c>
      <c r="N336" s="251">
        <v>104.00320000000001</v>
      </c>
      <c r="O336" s="251">
        <v>108.752</v>
      </c>
      <c r="P336" s="251">
        <v>110.87990000000001</v>
      </c>
      <c r="Q336" s="251">
        <v>113.89400000000001</v>
      </c>
      <c r="R336" s="254">
        <v>1.08</v>
      </c>
      <c r="S336" s="214">
        <v>79119</v>
      </c>
      <c r="T336" s="214">
        <v>1222180</v>
      </c>
      <c r="U336" s="214">
        <v>0</v>
      </c>
      <c r="V336" s="187">
        <f t="shared" si="12"/>
        <v>1222180</v>
      </c>
      <c r="W336" s="187">
        <f t="shared" si="13"/>
        <v>1301299</v>
      </c>
    </row>
    <row r="337" spans="1:23">
      <c r="A337" s="216" t="s">
        <v>445</v>
      </c>
      <c r="B337" s="218">
        <v>2177.3910000000001</v>
      </c>
      <c r="C337" s="218">
        <v>2094.8989999999999</v>
      </c>
      <c r="D337" s="218">
        <v>2114.3609999999999</v>
      </c>
      <c r="E337" s="218">
        <v>2124.7350000000001</v>
      </c>
      <c r="F337" s="218">
        <v>373.88510000000002</v>
      </c>
      <c r="G337" s="218">
        <v>359.0428</v>
      </c>
      <c r="H337" s="218">
        <v>334.36380000000003</v>
      </c>
      <c r="I337" s="218">
        <v>330.6071</v>
      </c>
      <c r="J337" s="246">
        <v>226663562</v>
      </c>
      <c r="K337" s="246">
        <v>242632562</v>
      </c>
      <c r="L337" s="218">
        <v>3054.828</v>
      </c>
      <c r="M337" s="246">
        <v>232363</v>
      </c>
      <c r="N337" s="251">
        <v>227.92320000000001</v>
      </c>
      <c r="O337" s="251">
        <v>224.12860000000001</v>
      </c>
      <c r="P337" s="251">
        <v>200.75989999999999</v>
      </c>
      <c r="Q337" s="251">
        <v>200.93879999999999</v>
      </c>
      <c r="R337" s="254">
        <v>1.0900000000000001</v>
      </c>
      <c r="S337" s="214">
        <v>239170</v>
      </c>
      <c r="T337" s="214">
        <v>3177969</v>
      </c>
      <c r="U337" s="214">
        <v>0</v>
      </c>
      <c r="V337" s="187">
        <f t="shared" si="12"/>
        <v>3177969</v>
      </c>
      <c r="W337" s="187">
        <f t="shared" si="13"/>
        <v>3417139</v>
      </c>
    </row>
    <row r="338" spans="1:23">
      <c r="A338" s="216" t="s">
        <v>2490</v>
      </c>
      <c r="B338" s="218">
        <v>618.98599999999999</v>
      </c>
      <c r="C338" s="218">
        <v>585.40300000000002</v>
      </c>
      <c r="D338" s="218">
        <v>583.11500000000001</v>
      </c>
      <c r="E338" s="218">
        <v>580.08399999999995</v>
      </c>
      <c r="F338" s="218">
        <v>136.32689999999999</v>
      </c>
      <c r="G338" s="218">
        <v>130.93950000000001</v>
      </c>
      <c r="H338" s="218">
        <v>134.63650000000001</v>
      </c>
      <c r="I338" s="218">
        <v>134.5189</v>
      </c>
      <c r="J338" s="246">
        <v>121398162</v>
      </c>
      <c r="K338" s="246">
        <v>126179574</v>
      </c>
      <c r="L338" s="218">
        <v>1042.56</v>
      </c>
      <c r="M338" s="187">
        <v>0</v>
      </c>
      <c r="N338" s="251">
        <v>85.935400000000001</v>
      </c>
      <c r="O338" s="251">
        <v>89.650499999999994</v>
      </c>
      <c r="P338" s="251">
        <v>92.168499999999995</v>
      </c>
      <c r="Q338" s="251">
        <v>93.048699999999997</v>
      </c>
      <c r="R338" s="254">
        <v>1.1200000000000001</v>
      </c>
      <c r="S338" s="214">
        <v>0</v>
      </c>
      <c r="T338" s="214">
        <v>1775240</v>
      </c>
      <c r="U338" s="214">
        <v>0</v>
      </c>
      <c r="V338" s="187">
        <f t="shared" si="12"/>
        <v>1775240</v>
      </c>
      <c r="W338" s="187">
        <f t="shared" si="13"/>
        <v>1775240</v>
      </c>
    </row>
    <row r="339" spans="1:23">
      <c r="A339" s="216" t="s">
        <v>2492</v>
      </c>
      <c r="B339" s="218">
        <v>168.245</v>
      </c>
      <c r="C339" s="218">
        <v>162.1</v>
      </c>
      <c r="D339" s="218">
        <v>157.20500000000001</v>
      </c>
      <c r="E339" s="218">
        <v>136.77699999999999</v>
      </c>
      <c r="F339" s="218">
        <v>37.057200000000002</v>
      </c>
      <c r="G339" s="218">
        <v>36.238999999999997</v>
      </c>
      <c r="H339" s="218">
        <v>34.657200000000003</v>
      </c>
      <c r="I339" s="218">
        <v>35.635800000000003</v>
      </c>
      <c r="J339" s="246">
        <v>222120443</v>
      </c>
      <c r="K339" s="246">
        <v>222977866</v>
      </c>
      <c r="L339" s="218">
        <v>263.95299999999997</v>
      </c>
      <c r="M339" s="246">
        <v>344077</v>
      </c>
      <c r="N339" s="251">
        <v>24.578600000000002</v>
      </c>
      <c r="O339" s="251">
        <v>23.578199999999999</v>
      </c>
      <c r="P339" s="251">
        <v>23.6265</v>
      </c>
      <c r="Q339" s="251">
        <v>23.0855</v>
      </c>
      <c r="R339" s="254">
        <v>1.1299999999999999</v>
      </c>
      <c r="S339" s="214">
        <v>351706</v>
      </c>
      <c r="T339" s="214">
        <v>2452793</v>
      </c>
      <c r="U339" s="214">
        <v>0</v>
      </c>
      <c r="V339" s="187">
        <f t="shared" si="12"/>
        <v>2452793</v>
      </c>
      <c r="W339" s="187">
        <f t="shared" si="13"/>
        <v>2804499</v>
      </c>
    </row>
    <row r="340" spans="1:23">
      <c r="A340" s="216" t="s">
        <v>2494</v>
      </c>
      <c r="B340" s="218">
        <v>2098.8829999999998</v>
      </c>
      <c r="C340" s="218">
        <v>1998.7</v>
      </c>
      <c r="D340" s="218">
        <v>2003.982</v>
      </c>
      <c r="E340" s="218">
        <v>2035.5409999999999</v>
      </c>
      <c r="F340" s="218">
        <v>356.61840000000001</v>
      </c>
      <c r="G340" s="218">
        <v>365.29379999999998</v>
      </c>
      <c r="H340" s="218">
        <v>366.70940000000002</v>
      </c>
      <c r="I340" s="218">
        <v>379.18400000000003</v>
      </c>
      <c r="J340" s="246">
        <v>2009231827</v>
      </c>
      <c r="K340" s="246">
        <v>2029165103</v>
      </c>
      <c r="L340" s="218">
        <v>2725.4110000000001</v>
      </c>
      <c r="M340" s="187">
        <v>0</v>
      </c>
      <c r="N340" s="251">
        <v>219.92500000000001</v>
      </c>
      <c r="O340" s="251">
        <v>225.77549999999999</v>
      </c>
      <c r="P340" s="251">
        <v>230.93530000000001</v>
      </c>
      <c r="Q340" s="251">
        <v>232.62049999999999</v>
      </c>
      <c r="R340" s="254">
        <v>1.1000000000000001</v>
      </c>
      <c r="S340" s="214">
        <v>0</v>
      </c>
      <c r="T340" s="214">
        <v>18559588</v>
      </c>
      <c r="U340" s="214">
        <v>0</v>
      </c>
      <c r="V340" s="187">
        <f t="shared" si="12"/>
        <v>18559588</v>
      </c>
      <c r="W340" s="187">
        <f t="shared" si="13"/>
        <v>18559588</v>
      </c>
    </row>
    <row r="341" spans="1:23">
      <c r="A341" s="216" t="s">
        <v>2498</v>
      </c>
      <c r="B341" s="218">
        <v>5486.9759999999997</v>
      </c>
      <c r="C341" s="218">
        <v>5441.0810000000001</v>
      </c>
      <c r="D341" s="218">
        <v>5593.9380000000001</v>
      </c>
      <c r="E341" s="218">
        <v>5741.6130000000003</v>
      </c>
      <c r="F341" s="218">
        <v>772.51260000000002</v>
      </c>
      <c r="G341" s="218">
        <v>760.36839999999995</v>
      </c>
      <c r="H341" s="218">
        <v>771.13310000000001</v>
      </c>
      <c r="I341" s="218">
        <v>780.63049999999998</v>
      </c>
      <c r="J341" s="246">
        <v>1270295422</v>
      </c>
      <c r="K341" s="246">
        <v>1348380919</v>
      </c>
      <c r="L341" s="218">
        <v>7533.7290000000003</v>
      </c>
      <c r="M341" s="246">
        <v>2540801</v>
      </c>
      <c r="N341" s="251">
        <v>486.95249999999999</v>
      </c>
      <c r="O341" s="251">
        <v>482.60070000000002</v>
      </c>
      <c r="P341" s="251">
        <v>490.2414</v>
      </c>
      <c r="Q341" s="251">
        <v>480.20760000000001</v>
      </c>
      <c r="R341" s="254">
        <v>1.1399999999999999</v>
      </c>
      <c r="S341" s="214">
        <v>3340287</v>
      </c>
      <c r="T341" s="214">
        <v>19044433</v>
      </c>
      <c r="U341" s="214">
        <v>0</v>
      </c>
      <c r="V341" s="187">
        <f t="shared" si="12"/>
        <v>19044433</v>
      </c>
      <c r="W341" s="187">
        <f t="shared" si="13"/>
        <v>22384720</v>
      </c>
    </row>
    <row r="342" spans="1:23">
      <c r="A342" s="216" t="s">
        <v>1670</v>
      </c>
      <c r="B342" s="218">
        <v>8714.7819999999992</v>
      </c>
      <c r="C342" s="218">
        <v>8564.1929999999993</v>
      </c>
      <c r="D342" s="218">
        <v>8441.2909999999993</v>
      </c>
      <c r="E342" s="218">
        <v>8451.2999999999993</v>
      </c>
      <c r="F342" s="218">
        <v>1394.9594</v>
      </c>
      <c r="G342" s="218">
        <v>1426.9816000000001</v>
      </c>
      <c r="H342" s="218">
        <v>1376.6280999999999</v>
      </c>
      <c r="I342" s="218">
        <v>1346.0799</v>
      </c>
      <c r="J342" s="246">
        <v>2467817625</v>
      </c>
      <c r="K342" s="246">
        <v>2578051932</v>
      </c>
      <c r="L342" s="218">
        <v>11406.48</v>
      </c>
      <c r="M342" s="246">
        <v>1568193</v>
      </c>
      <c r="N342" s="251">
        <v>810.66729999999995</v>
      </c>
      <c r="O342" s="251">
        <v>802.01160000000004</v>
      </c>
      <c r="P342" s="251">
        <v>774.25360000000001</v>
      </c>
      <c r="Q342" s="251">
        <v>752.93560000000002</v>
      </c>
      <c r="R342" s="254">
        <v>1.1599999999999999</v>
      </c>
      <c r="S342" s="214">
        <v>1809640</v>
      </c>
      <c r="T342" s="214">
        <v>38646024</v>
      </c>
      <c r="U342" s="214">
        <v>0</v>
      </c>
      <c r="V342" s="187">
        <f t="shared" si="12"/>
        <v>38646024</v>
      </c>
      <c r="W342" s="187">
        <f t="shared" si="13"/>
        <v>40455664</v>
      </c>
    </row>
    <row r="343" spans="1:23">
      <c r="A343" s="216" t="s">
        <v>1867</v>
      </c>
      <c r="B343" s="218">
        <v>268.58100000000002</v>
      </c>
      <c r="C343" s="218">
        <v>260.15499999999997</v>
      </c>
      <c r="D343" s="218">
        <v>267.22000000000003</v>
      </c>
      <c r="E343" s="218">
        <v>259.81799999999998</v>
      </c>
      <c r="F343" s="218">
        <v>49.02</v>
      </c>
      <c r="G343" s="218">
        <v>50.2</v>
      </c>
      <c r="H343" s="218">
        <v>49.38</v>
      </c>
      <c r="I343" s="218">
        <v>48.2</v>
      </c>
      <c r="J343" s="246">
        <v>61588426</v>
      </c>
      <c r="K343" s="246">
        <v>64169017</v>
      </c>
      <c r="L343" s="218">
        <v>467.85</v>
      </c>
      <c r="M343" s="187">
        <v>0</v>
      </c>
      <c r="N343" s="251">
        <v>29.000699999999998</v>
      </c>
      <c r="O343" s="251">
        <v>29.0016</v>
      </c>
      <c r="P343" s="251">
        <v>28.0245</v>
      </c>
      <c r="Q343" s="251">
        <v>27.106200000000001</v>
      </c>
      <c r="R343" s="254">
        <v>1.1000000000000001</v>
      </c>
      <c r="S343" s="214">
        <v>0</v>
      </c>
      <c r="T343" s="214">
        <v>854190</v>
      </c>
      <c r="U343" s="214">
        <v>28233</v>
      </c>
      <c r="V343" s="187">
        <f t="shared" si="12"/>
        <v>882423</v>
      </c>
      <c r="W343" s="187">
        <f t="shared" si="13"/>
        <v>882423</v>
      </c>
    </row>
    <row r="344" spans="1:23">
      <c r="A344" s="216" t="s">
        <v>1672</v>
      </c>
      <c r="B344" s="218">
        <v>3835.0329999999999</v>
      </c>
      <c r="C344" s="218">
        <v>3738.2809999999999</v>
      </c>
      <c r="D344" s="218">
        <v>3654.6260000000002</v>
      </c>
      <c r="E344" s="218">
        <v>3587.9920000000002</v>
      </c>
      <c r="F344" s="218">
        <v>514.3193</v>
      </c>
      <c r="G344" s="218">
        <v>530.14369999999997</v>
      </c>
      <c r="H344" s="218">
        <v>499.6087</v>
      </c>
      <c r="I344" s="218">
        <v>476.286</v>
      </c>
      <c r="J344" s="246">
        <v>1217623900</v>
      </c>
      <c r="K344" s="246">
        <v>1282547265</v>
      </c>
      <c r="L344" s="218">
        <v>4949.1769999999997</v>
      </c>
      <c r="M344" s="246">
        <v>1305521</v>
      </c>
      <c r="N344" s="251">
        <v>333.76990000000001</v>
      </c>
      <c r="O344" s="251">
        <v>332.9889</v>
      </c>
      <c r="P344" s="251">
        <v>314.46519999999998</v>
      </c>
      <c r="Q344" s="251">
        <v>300.52910000000003</v>
      </c>
      <c r="R344" s="254">
        <v>1.1399999999999999</v>
      </c>
      <c r="S344" s="214">
        <v>1775349</v>
      </c>
      <c r="T344" s="214">
        <v>17787175</v>
      </c>
      <c r="U344" s="214">
        <v>0</v>
      </c>
      <c r="V344" s="187">
        <f t="shared" si="12"/>
        <v>17787175</v>
      </c>
      <c r="W344" s="187">
        <f t="shared" si="13"/>
        <v>19562524</v>
      </c>
    </row>
    <row r="345" spans="1:23">
      <c r="A345" s="216" t="s">
        <v>1674</v>
      </c>
      <c r="B345" s="218">
        <v>5496.7489999999998</v>
      </c>
      <c r="C345" s="218">
        <v>5473.2110000000002</v>
      </c>
      <c r="D345" s="218">
        <v>5376.6049999999996</v>
      </c>
      <c r="E345" s="218">
        <v>5311.7659999999996</v>
      </c>
      <c r="F345" s="218">
        <v>836.44370000000004</v>
      </c>
      <c r="G345" s="218">
        <v>815.26400000000001</v>
      </c>
      <c r="H345" s="218">
        <v>758.15970000000004</v>
      </c>
      <c r="I345" s="218">
        <v>813.65060000000005</v>
      </c>
      <c r="J345" s="246">
        <v>2313437081</v>
      </c>
      <c r="K345" s="246">
        <v>2377212142</v>
      </c>
      <c r="L345" s="218">
        <v>6993.9989999999998</v>
      </c>
      <c r="M345" s="246">
        <v>3155381</v>
      </c>
      <c r="N345" s="251">
        <v>495.28629999999998</v>
      </c>
      <c r="O345" s="251">
        <v>519.64620000000002</v>
      </c>
      <c r="P345" s="251">
        <v>479.10509999999999</v>
      </c>
      <c r="Q345" s="251">
        <v>481.16539999999998</v>
      </c>
      <c r="R345" s="254">
        <v>1.1499999999999999</v>
      </c>
      <c r="S345" s="214">
        <v>2256832</v>
      </c>
      <c r="T345" s="214">
        <v>32777111</v>
      </c>
      <c r="U345" s="214">
        <v>0</v>
      </c>
      <c r="V345" s="187">
        <f t="shared" si="12"/>
        <v>32777111</v>
      </c>
      <c r="W345" s="187">
        <f t="shared" si="13"/>
        <v>35033943</v>
      </c>
    </row>
    <row r="346" spans="1:23">
      <c r="A346" s="216" t="s">
        <v>5048</v>
      </c>
      <c r="B346" s="218">
        <v>1151.873</v>
      </c>
      <c r="C346" s="218">
        <v>1124.7529999999999</v>
      </c>
      <c r="D346" s="218">
        <v>1090.7850000000001</v>
      </c>
      <c r="E346" s="218">
        <v>1070.174</v>
      </c>
      <c r="F346" s="218">
        <v>221.1112</v>
      </c>
      <c r="G346" s="218">
        <v>188.00890000000001</v>
      </c>
      <c r="H346" s="218">
        <v>243.52629999999999</v>
      </c>
      <c r="I346" s="218">
        <v>200.79259999999999</v>
      </c>
      <c r="J346" s="246">
        <v>269486880</v>
      </c>
      <c r="K346" s="246">
        <v>287692835</v>
      </c>
      <c r="L346" s="218">
        <v>1734.6510000000001</v>
      </c>
      <c r="M346" s="246">
        <v>579025</v>
      </c>
      <c r="N346" s="251">
        <v>142.93729999999999</v>
      </c>
      <c r="O346" s="251">
        <v>125.5667</v>
      </c>
      <c r="P346" s="251">
        <v>133.66569999999999</v>
      </c>
      <c r="Q346" s="251">
        <v>116.1495</v>
      </c>
      <c r="R346" s="254">
        <v>1.1200000000000001</v>
      </c>
      <c r="S346" s="214">
        <v>745412</v>
      </c>
      <c r="T346" s="214">
        <v>4008771</v>
      </c>
      <c r="U346" s="214">
        <v>0</v>
      </c>
      <c r="V346" s="187">
        <f t="shared" si="12"/>
        <v>4008771</v>
      </c>
      <c r="W346" s="187">
        <f t="shared" si="13"/>
        <v>4754183</v>
      </c>
    </row>
    <row r="347" spans="1:23">
      <c r="A347" s="216" t="s">
        <v>2392</v>
      </c>
      <c r="B347" s="218">
        <v>3992.6239999999998</v>
      </c>
      <c r="C347" s="218">
        <v>4044.643</v>
      </c>
      <c r="D347" s="218">
        <v>4060.2280000000001</v>
      </c>
      <c r="E347" s="218">
        <v>4145.7969999999996</v>
      </c>
      <c r="F347" s="218">
        <v>501.12290000000002</v>
      </c>
      <c r="G347" s="218">
        <v>537.24599999999998</v>
      </c>
      <c r="H347" s="218">
        <v>545.94230000000005</v>
      </c>
      <c r="I347" s="218">
        <v>528.47910000000002</v>
      </c>
      <c r="J347" s="246">
        <v>569836968</v>
      </c>
      <c r="K347" s="246">
        <v>624459003</v>
      </c>
      <c r="L347" s="218">
        <v>5181.9359999999997</v>
      </c>
      <c r="M347" s="246">
        <v>400397</v>
      </c>
      <c r="N347" s="251">
        <v>308.67500000000001</v>
      </c>
      <c r="O347" s="251">
        <v>320.03230000000002</v>
      </c>
      <c r="P347" s="251">
        <v>322.51870000000002</v>
      </c>
      <c r="Q347" s="251">
        <v>315.71600000000001</v>
      </c>
      <c r="R347" s="254">
        <v>1.1299999999999999</v>
      </c>
      <c r="S347" s="214">
        <v>795075</v>
      </c>
      <c r="T347" s="214">
        <v>8788447</v>
      </c>
      <c r="U347" s="214">
        <v>0</v>
      </c>
      <c r="V347" s="187">
        <f t="shared" si="12"/>
        <v>8788447</v>
      </c>
      <c r="W347" s="187">
        <f t="shared" si="13"/>
        <v>9583522</v>
      </c>
    </row>
    <row r="348" spans="1:23">
      <c r="A348" s="216" t="s">
        <v>5050</v>
      </c>
      <c r="B348" s="218">
        <v>26872.669000000002</v>
      </c>
      <c r="C348" s="218">
        <v>28015.760999999999</v>
      </c>
      <c r="D348" s="218">
        <v>29376.116000000002</v>
      </c>
      <c r="E348" s="218">
        <v>30083.102999999999</v>
      </c>
      <c r="F348" s="218">
        <v>3152.7266</v>
      </c>
      <c r="G348" s="218">
        <v>3363.0147999999999</v>
      </c>
      <c r="H348" s="218">
        <v>3529.5635000000002</v>
      </c>
      <c r="I348" s="218">
        <v>3688.1442000000002</v>
      </c>
      <c r="J348" s="246">
        <v>9100670956</v>
      </c>
      <c r="K348" s="246">
        <v>9502989604</v>
      </c>
      <c r="L348" s="218">
        <v>35593.946000000004</v>
      </c>
      <c r="M348" s="246">
        <v>18658303</v>
      </c>
      <c r="N348" s="251">
        <v>1940.9321</v>
      </c>
      <c r="O348" s="251">
        <v>2091.9956999999999</v>
      </c>
      <c r="P348" s="251">
        <v>2110.4935</v>
      </c>
      <c r="Q348" s="251">
        <v>2228.6984000000002</v>
      </c>
      <c r="R348" s="254">
        <v>1.1599999999999999</v>
      </c>
      <c r="S348" s="214">
        <v>22908608</v>
      </c>
      <c r="T348" s="214">
        <v>143176553</v>
      </c>
      <c r="U348" s="214">
        <v>0</v>
      </c>
      <c r="V348" s="187">
        <f t="shared" si="12"/>
        <v>143176553</v>
      </c>
      <c r="W348" s="187">
        <f t="shared" si="13"/>
        <v>166085161</v>
      </c>
    </row>
    <row r="349" spans="1:23">
      <c r="A349" s="216" t="s">
        <v>1311</v>
      </c>
      <c r="B349" s="218">
        <v>4688.8959999999997</v>
      </c>
      <c r="C349" s="218">
        <v>4720.4579999999996</v>
      </c>
      <c r="D349" s="218">
        <v>4911.4849999999997</v>
      </c>
      <c r="E349" s="218">
        <v>5024.6899999999996</v>
      </c>
      <c r="F349" s="218">
        <v>567.88890000000004</v>
      </c>
      <c r="G349" s="218">
        <v>616.86860000000001</v>
      </c>
      <c r="H349" s="218">
        <v>630.53470000000004</v>
      </c>
      <c r="I349" s="218">
        <v>653.87779999999998</v>
      </c>
      <c r="J349" s="246">
        <v>1217282952</v>
      </c>
      <c r="K349" s="246">
        <v>1279806193</v>
      </c>
      <c r="L349" s="218">
        <v>5845.9340000000002</v>
      </c>
      <c r="M349" s="246">
        <v>973436</v>
      </c>
      <c r="N349" s="251">
        <v>346.38819999999998</v>
      </c>
      <c r="O349" s="251">
        <v>367.82909999999998</v>
      </c>
      <c r="P349" s="251">
        <v>368.6576</v>
      </c>
      <c r="Q349" s="251">
        <v>380.03449999999998</v>
      </c>
      <c r="R349" s="254">
        <v>1.1299999999999999</v>
      </c>
      <c r="S349" s="214">
        <v>1807413</v>
      </c>
      <c r="T349" s="214">
        <v>19772174</v>
      </c>
      <c r="U349" s="214">
        <v>0</v>
      </c>
      <c r="V349" s="187">
        <f t="shared" si="12"/>
        <v>19772174</v>
      </c>
      <c r="W349" s="187">
        <f t="shared" si="13"/>
        <v>21579587</v>
      </c>
    </row>
    <row r="350" spans="1:23">
      <c r="A350" s="216" t="s">
        <v>3222</v>
      </c>
      <c r="B350" s="218">
        <v>901.69200000000001</v>
      </c>
      <c r="C350" s="218">
        <v>952.46500000000003</v>
      </c>
      <c r="D350" s="218">
        <v>939.60699999999997</v>
      </c>
      <c r="E350" s="218">
        <v>941.92600000000004</v>
      </c>
      <c r="F350" s="218">
        <v>139.49979999999999</v>
      </c>
      <c r="G350" s="218">
        <v>146.15039999999999</v>
      </c>
      <c r="H350" s="218">
        <v>156.31020000000001</v>
      </c>
      <c r="I350" s="218">
        <v>160.93440000000001</v>
      </c>
      <c r="J350" s="246">
        <v>352812554</v>
      </c>
      <c r="K350" s="246">
        <v>362430274</v>
      </c>
      <c r="L350" s="218">
        <v>1676.809</v>
      </c>
      <c r="M350" s="187">
        <v>0</v>
      </c>
      <c r="N350" s="251">
        <v>96.297200000000004</v>
      </c>
      <c r="O350" s="251">
        <v>102.3001</v>
      </c>
      <c r="P350" s="251">
        <v>106.2788</v>
      </c>
      <c r="Q350" s="251">
        <v>109.601</v>
      </c>
      <c r="R350" s="254">
        <v>1.06</v>
      </c>
      <c r="S350" s="214">
        <v>0</v>
      </c>
      <c r="T350" s="214">
        <v>4802608</v>
      </c>
      <c r="U350" s="214">
        <v>0</v>
      </c>
      <c r="V350" s="187">
        <f t="shared" si="12"/>
        <v>4802608</v>
      </c>
      <c r="W350" s="187">
        <f t="shared" si="13"/>
        <v>4802608</v>
      </c>
    </row>
    <row r="351" spans="1:23">
      <c r="A351" s="216" t="s">
        <v>3224</v>
      </c>
      <c r="B351" s="218">
        <v>160.364</v>
      </c>
      <c r="C351" s="218">
        <v>168.33</v>
      </c>
      <c r="D351" s="218">
        <v>179.971</v>
      </c>
      <c r="E351" s="218">
        <v>181.42</v>
      </c>
      <c r="F351" s="218">
        <v>31.768599999999999</v>
      </c>
      <c r="G351" s="218">
        <v>32.176400000000001</v>
      </c>
      <c r="H351" s="218">
        <v>32.0642</v>
      </c>
      <c r="I351" s="218">
        <v>31.4373</v>
      </c>
      <c r="J351" s="246">
        <v>36589042</v>
      </c>
      <c r="K351" s="246">
        <v>37127152</v>
      </c>
      <c r="L351" s="218">
        <v>335.10700000000003</v>
      </c>
      <c r="M351" s="187">
        <v>0</v>
      </c>
      <c r="N351" s="251">
        <v>19.628299999999999</v>
      </c>
      <c r="O351" s="251">
        <v>19.7256</v>
      </c>
      <c r="P351" s="251">
        <v>20.398599999999998</v>
      </c>
      <c r="Q351" s="251">
        <v>20.263999999999999</v>
      </c>
      <c r="R351" s="254">
        <v>1.08</v>
      </c>
      <c r="S351" s="214">
        <v>0</v>
      </c>
      <c r="T351" s="214">
        <v>524103</v>
      </c>
      <c r="U351" s="214">
        <v>0</v>
      </c>
      <c r="V351" s="187">
        <f t="shared" si="12"/>
        <v>524103</v>
      </c>
      <c r="W351" s="187">
        <f t="shared" si="13"/>
        <v>524103</v>
      </c>
    </row>
    <row r="352" spans="1:23">
      <c r="A352" s="216" t="s">
        <v>3226</v>
      </c>
      <c r="B352" s="218">
        <v>27.181000000000001</v>
      </c>
      <c r="C352" s="218">
        <v>25.094999999999999</v>
      </c>
      <c r="D352" s="218">
        <v>24.43</v>
      </c>
      <c r="E352" s="218">
        <v>25.067</v>
      </c>
      <c r="F352" s="218">
        <v>6.1357999999999997</v>
      </c>
      <c r="G352" s="218">
        <v>6.1357999999999997</v>
      </c>
      <c r="H352" s="218">
        <v>6.1357999999999997</v>
      </c>
      <c r="I352" s="218">
        <v>6.1357999999999997</v>
      </c>
      <c r="J352" s="246">
        <v>14294545</v>
      </c>
      <c r="K352" s="246">
        <v>15028465</v>
      </c>
      <c r="L352" s="218">
        <v>35.552999999999997</v>
      </c>
      <c r="M352" s="187">
        <v>0</v>
      </c>
      <c r="N352" s="251">
        <v>3.9571999999999998</v>
      </c>
      <c r="O352" s="251">
        <v>3.9565999999999999</v>
      </c>
      <c r="P352" s="251">
        <v>3.9569999999999999</v>
      </c>
      <c r="Q352" s="251">
        <v>3.9573</v>
      </c>
      <c r="R352" s="254">
        <v>1.05</v>
      </c>
      <c r="S352" s="214">
        <v>0</v>
      </c>
      <c r="T352" s="214">
        <v>196483</v>
      </c>
      <c r="U352" s="214">
        <v>0</v>
      </c>
      <c r="V352" s="187">
        <f t="shared" si="12"/>
        <v>196483</v>
      </c>
      <c r="W352" s="187">
        <f t="shared" si="13"/>
        <v>196483</v>
      </c>
    </row>
    <row r="353" spans="1:23">
      <c r="A353" s="216" t="s">
        <v>3228</v>
      </c>
      <c r="B353" s="218">
        <v>2583.5210000000002</v>
      </c>
      <c r="C353" s="218">
        <v>2587.761</v>
      </c>
      <c r="D353" s="218">
        <v>2633.8069999999998</v>
      </c>
      <c r="E353" s="218">
        <v>2673.8490000000002</v>
      </c>
      <c r="F353" s="218">
        <v>395.21780000000001</v>
      </c>
      <c r="G353" s="218">
        <v>394.31709999999998</v>
      </c>
      <c r="H353" s="218">
        <v>402.9667</v>
      </c>
      <c r="I353" s="218">
        <v>410.4359</v>
      </c>
      <c r="J353" s="246">
        <v>946832078</v>
      </c>
      <c r="K353" s="246">
        <v>998664734</v>
      </c>
      <c r="L353" s="218">
        <v>3576.8609999999999</v>
      </c>
      <c r="M353" s="246">
        <v>1969771</v>
      </c>
      <c r="N353" s="251">
        <v>248.6942</v>
      </c>
      <c r="O353" s="251">
        <v>236.60390000000001</v>
      </c>
      <c r="P353" s="251">
        <v>253.6591</v>
      </c>
      <c r="Q353" s="251">
        <v>254.38740000000001</v>
      </c>
      <c r="R353" s="254">
        <v>1.06</v>
      </c>
      <c r="S353" s="214">
        <v>1984924</v>
      </c>
      <c r="T353" s="214">
        <v>14791396</v>
      </c>
      <c r="U353" s="214">
        <v>0</v>
      </c>
      <c r="V353" s="187">
        <f t="shared" si="12"/>
        <v>14791396</v>
      </c>
      <c r="W353" s="187">
        <f t="shared" si="13"/>
        <v>16776320</v>
      </c>
    </row>
    <row r="354" spans="1:23">
      <c r="A354" s="216" t="s">
        <v>3230</v>
      </c>
      <c r="B354" s="218">
        <v>378.38299999999998</v>
      </c>
      <c r="C354" s="218">
        <v>428.47699999999998</v>
      </c>
      <c r="D354" s="218">
        <v>453.25299999999999</v>
      </c>
      <c r="E354" s="218">
        <v>454.48500000000001</v>
      </c>
      <c r="F354" s="218">
        <v>67.224800000000002</v>
      </c>
      <c r="G354" s="218">
        <v>72.427999999999997</v>
      </c>
      <c r="H354" s="218">
        <v>75.243499999999997</v>
      </c>
      <c r="I354" s="218">
        <v>81.363799999999998</v>
      </c>
      <c r="J354" s="246">
        <v>131798445</v>
      </c>
      <c r="K354" s="246">
        <v>140138865</v>
      </c>
      <c r="L354" s="218">
        <v>881.48099999999999</v>
      </c>
      <c r="M354" s="187">
        <v>0</v>
      </c>
      <c r="N354" s="251">
        <v>42.759</v>
      </c>
      <c r="O354" s="251">
        <v>45.167299999999997</v>
      </c>
      <c r="P354" s="251">
        <v>49.201099999999997</v>
      </c>
      <c r="Q354" s="251">
        <v>50.317300000000003</v>
      </c>
      <c r="R354" s="254">
        <v>1.04</v>
      </c>
      <c r="S354" s="214">
        <v>0</v>
      </c>
      <c r="T354" s="214">
        <v>1979096</v>
      </c>
      <c r="U354" s="214">
        <v>0</v>
      </c>
      <c r="V354" s="187">
        <f t="shared" si="12"/>
        <v>1979096</v>
      </c>
      <c r="W354" s="187">
        <f t="shared" si="13"/>
        <v>1979096</v>
      </c>
    </row>
    <row r="355" spans="1:23">
      <c r="A355" s="216" t="s">
        <v>3232</v>
      </c>
      <c r="B355" s="218">
        <v>334.21600000000001</v>
      </c>
      <c r="C355" s="218">
        <v>325.49</v>
      </c>
      <c r="D355" s="218">
        <v>315.66000000000003</v>
      </c>
      <c r="E355" s="218">
        <v>306.755</v>
      </c>
      <c r="F355" s="218">
        <v>61.332000000000001</v>
      </c>
      <c r="G355" s="218">
        <v>57.176900000000003</v>
      </c>
      <c r="H355" s="218">
        <v>55.154899999999998</v>
      </c>
      <c r="I355" s="218">
        <v>52.595399999999998</v>
      </c>
      <c r="J355" s="246">
        <v>390148386</v>
      </c>
      <c r="K355" s="246">
        <v>392418077</v>
      </c>
      <c r="L355" s="218">
        <v>589.97299999999996</v>
      </c>
      <c r="M355" s="187">
        <v>0</v>
      </c>
      <c r="N355" s="251">
        <v>38.003300000000003</v>
      </c>
      <c r="O355" s="251">
        <v>34.000700000000002</v>
      </c>
      <c r="P355" s="251">
        <v>34.603200000000001</v>
      </c>
      <c r="Q355" s="251">
        <v>32.122700000000002</v>
      </c>
      <c r="R355" s="254">
        <v>1.0900000000000001</v>
      </c>
      <c r="S355" s="214">
        <v>0</v>
      </c>
      <c r="T355" s="214">
        <v>5451970</v>
      </c>
      <c r="U355" s="214">
        <v>0</v>
      </c>
      <c r="V355" s="187">
        <f t="shared" si="12"/>
        <v>5451970</v>
      </c>
      <c r="W355" s="187">
        <f t="shared" si="13"/>
        <v>5451970</v>
      </c>
    </row>
    <row r="356" spans="1:23">
      <c r="A356" s="216" t="s">
        <v>1899</v>
      </c>
      <c r="B356" s="218">
        <v>1348.5409999999999</v>
      </c>
      <c r="C356" s="218">
        <v>1328.4670000000001</v>
      </c>
      <c r="D356" s="218">
        <v>1304.5519999999999</v>
      </c>
      <c r="E356" s="218">
        <v>1268.4159999999999</v>
      </c>
      <c r="F356" s="218">
        <v>228.28380000000001</v>
      </c>
      <c r="G356" s="218">
        <v>232.0241</v>
      </c>
      <c r="H356" s="218">
        <v>242.43969999999999</v>
      </c>
      <c r="I356" s="218">
        <v>245.53389999999999</v>
      </c>
      <c r="J356" s="246">
        <v>484375679</v>
      </c>
      <c r="K356" s="246">
        <v>501636274</v>
      </c>
      <c r="L356" s="218">
        <v>2004.5409999999999</v>
      </c>
      <c r="M356" s="246">
        <v>358980</v>
      </c>
      <c r="N356" s="251">
        <v>134.2073</v>
      </c>
      <c r="O356" s="251">
        <v>133.27879999999999</v>
      </c>
      <c r="P356" s="251">
        <v>141.51240000000001</v>
      </c>
      <c r="Q356" s="251">
        <v>142.71870000000001</v>
      </c>
      <c r="R356" s="254">
        <v>1.08</v>
      </c>
      <c r="S356" s="214">
        <v>331176</v>
      </c>
      <c r="T356" s="214">
        <v>6732082</v>
      </c>
      <c r="U356" s="214">
        <v>0</v>
      </c>
      <c r="V356" s="187">
        <f t="shared" si="12"/>
        <v>6732082</v>
      </c>
      <c r="W356" s="187">
        <f t="shared" si="13"/>
        <v>7063258</v>
      </c>
    </row>
    <row r="357" spans="1:23">
      <c r="A357" s="216" t="s">
        <v>1853</v>
      </c>
      <c r="B357" s="218">
        <v>2471.7950000000001</v>
      </c>
      <c r="C357" s="218">
        <v>2462.3719999999998</v>
      </c>
      <c r="D357" s="218">
        <v>2462.1579999999999</v>
      </c>
      <c r="E357" s="218">
        <v>2436.587</v>
      </c>
      <c r="F357" s="218">
        <v>384.08569999999997</v>
      </c>
      <c r="G357" s="218">
        <v>418.55520000000001</v>
      </c>
      <c r="H357" s="218">
        <v>418.96069999999997</v>
      </c>
      <c r="I357" s="218">
        <v>416.29669999999999</v>
      </c>
      <c r="J357" s="246">
        <v>314493659</v>
      </c>
      <c r="K357" s="246">
        <v>338542139</v>
      </c>
      <c r="L357" s="218">
        <v>3439.0729999999999</v>
      </c>
      <c r="M357" s="246">
        <v>2966</v>
      </c>
      <c r="N357" s="251">
        <v>258.88479999999998</v>
      </c>
      <c r="O357" s="251">
        <v>275.72000000000003</v>
      </c>
      <c r="P357" s="251">
        <v>269.08679999999998</v>
      </c>
      <c r="Q357" s="251">
        <v>271.24059999999997</v>
      </c>
      <c r="R357" s="254">
        <v>1.07</v>
      </c>
      <c r="S357" s="214">
        <v>217038</v>
      </c>
      <c r="T357" s="214">
        <v>4261368</v>
      </c>
      <c r="U357" s="214">
        <v>0</v>
      </c>
      <c r="V357" s="187">
        <f t="shared" si="12"/>
        <v>4261368</v>
      </c>
      <c r="W357" s="187">
        <f t="shared" si="13"/>
        <v>4478406</v>
      </c>
    </row>
    <row r="358" spans="1:23">
      <c r="A358" s="216" t="s">
        <v>1901</v>
      </c>
      <c r="B358" s="218">
        <v>912.00699999999995</v>
      </c>
      <c r="C358" s="218">
        <v>936.98800000000006</v>
      </c>
      <c r="D358" s="218">
        <v>918.64700000000005</v>
      </c>
      <c r="E358" s="218">
        <v>920.52300000000002</v>
      </c>
      <c r="F358" s="218">
        <v>152.62</v>
      </c>
      <c r="G358" s="218">
        <v>157.2501</v>
      </c>
      <c r="H358" s="218">
        <v>154.5301</v>
      </c>
      <c r="I358" s="218">
        <v>157.0915</v>
      </c>
      <c r="J358" s="246">
        <v>95083064</v>
      </c>
      <c r="K358" s="246">
        <v>103412784</v>
      </c>
      <c r="L358" s="218">
        <v>1573.72</v>
      </c>
      <c r="M358" s="187">
        <v>0</v>
      </c>
      <c r="N358" s="251">
        <v>94.883600000000001</v>
      </c>
      <c r="O358" s="251">
        <v>100.8194</v>
      </c>
      <c r="P358" s="251">
        <v>98.3232</v>
      </c>
      <c r="Q358" s="251">
        <v>98.338499999999996</v>
      </c>
      <c r="R358" s="254">
        <v>1.06</v>
      </c>
      <c r="S358" s="214">
        <v>0</v>
      </c>
      <c r="T358" s="214">
        <v>1237569</v>
      </c>
      <c r="U358" s="214">
        <v>0</v>
      </c>
      <c r="V358" s="187">
        <f t="shared" si="12"/>
        <v>1237569</v>
      </c>
      <c r="W358" s="187">
        <f t="shared" si="13"/>
        <v>1237569</v>
      </c>
    </row>
    <row r="359" spans="1:23">
      <c r="A359" s="216" t="s">
        <v>1903</v>
      </c>
      <c r="B359" s="218">
        <v>243.65899999999999</v>
      </c>
      <c r="C359" s="218">
        <v>234.07400000000001</v>
      </c>
      <c r="D359" s="218">
        <v>244.398</v>
      </c>
      <c r="E359" s="218">
        <v>247.017</v>
      </c>
      <c r="F359" s="218">
        <v>45.148400000000002</v>
      </c>
      <c r="G359" s="218">
        <v>46.939900000000002</v>
      </c>
      <c r="H359" s="218">
        <v>46.731299999999997</v>
      </c>
      <c r="I359" s="218">
        <v>48.691200000000002</v>
      </c>
      <c r="J359" s="246">
        <v>71377835</v>
      </c>
      <c r="K359" s="246">
        <v>74400075</v>
      </c>
      <c r="L359" s="218">
        <v>457.85</v>
      </c>
      <c r="M359" s="187">
        <v>0</v>
      </c>
      <c r="N359" s="251">
        <v>29.000800000000002</v>
      </c>
      <c r="O359" s="251">
        <v>29.913</v>
      </c>
      <c r="P359" s="251">
        <v>29.999400000000001</v>
      </c>
      <c r="Q359" s="251">
        <v>31.520199999999999</v>
      </c>
      <c r="R359" s="254">
        <v>1.07</v>
      </c>
      <c r="S359" s="214">
        <v>0</v>
      </c>
      <c r="T359" s="214">
        <v>1008730</v>
      </c>
      <c r="U359" s="214">
        <v>0</v>
      </c>
      <c r="V359" s="187">
        <f t="shared" si="12"/>
        <v>1008730</v>
      </c>
      <c r="W359" s="187">
        <f t="shared" si="13"/>
        <v>1008730</v>
      </c>
    </row>
    <row r="360" spans="1:23">
      <c r="A360" s="216" t="s">
        <v>52</v>
      </c>
      <c r="B360" s="218">
        <v>166.636</v>
      </c>
      <c r="C360" s="218">
        <v>154.28700000000001</v>
      </c>
      <c r="D360" s="218">
        <v>159.32</v>
      </c>
      <c r="E360" s="218">
        <v>171.52</v>
      </c>
      <c r="F360" s="218">
        <v>28.767399999999999</v>
      </c>
      <c r="G360" s="218">
        <v>31.8504</v>
      </c>
      <c r="H360" s="218">
        <v>33.657899999999998</v>
      </c>
      <c r="I360" s="218">
        <v>34.615099999999998</v>
      </c>
      <c r="J360" s="246">
        <v>78796524</v>
      </c>
      <c r="K360" s="246">
        <v>80228117</v>
      </c>
      <c r="L360" s="218">
        <v>288.08800000000002</v>
      </c>
      <c r="M360" s="246">
        <v>105438</v>
      </c>
      <c r="N360" s="251">
        <v>20.157900000000001</v>
      </c>
      <c r="O360" s="251">
        <v>24.4114</v>
      </c>
      <c r="P360" s="251">
        <v>23.124700000000001</v>
      </c>
      <c r="Q360" s="251">
        <v>25.048200000000001</v>
      </c>
      <c r="R360" s="254">
        <v>1.08</v>
      </c>
      <c r="S360" s="214">
        <v>122693</v>
      </c>
      <c r="T360" s="214">
        <v>1107765</v>
      </c>
      <c r="U360" s="214">
        <v>0</v>
      </c>
      <c r="V360" s="187">
        <f t="shared" si="12"/>
        <v>1107765</v>
      </c>
      <c r="W360" s="187">
        <f t="shared" si="13"/>
        <v>1230458</v>
      </c>
    </row>
    <row r="361" spans="1:23">
      <c r="A361" s="216" t="s">
        <v>54</v>
      </c>
      <c r="B361" s="218">
        <v>186.136</v>
      </c>
      <c r="C361" s="218">
        <v>200.38399999999999</v>
      </c>
      <c r="D361" s="218">
        <v>195.21899999999999</v>
      </c>
      <c r="E361" s="218">
        <v>189.81100000000001</v>
      </c>
      <c r="F361" s="218">
        <v>35.721899999999998</v>
      </c>
      <c r="G361" s="218">
        <v>37.275399999999998</v>
      </c>
      <c r="H361" s="218">
        <v>31.813199999999998</v>
      </c>
      <c r="I361" s="218">
        <v>28.3035</v>
      </c>
      <c r="J361" s="246">
        <v>109065533</v>
      </c>
      <c r="K361" s="246">
        <v>111664623</v>
      </c>
      <c r="L361" s="218">
        <v>375.54</v>
      </c>
      <c r="M361" s="187">
        <v>0</v>
      </c>
      <c r="N361" s="251">
        <v>24.183800000000002</v>
      </c>
      <c r="O361" s="251">
        <v>23.959199999999999</v>
      </c>
      <c r="P361" s="251">
        <v>19.805</v>
      </c>
      <c r="Q361" s="251">
        <v>18.623899999999999</v>
      </c>
      <c r="R361" s="254">
        <v>1.07</v>
      </c>
      <c r="S361" s="214">
        <v>0</v>
      </c>
      <c r="T361" s="214">
        <v>1544400</v>
      </c>
      <c r="U361" s="214">
        <v>0</v>
      </c>
      <c r="V361" s="187">
        <f t="shared" si="12"/>
        <v>1544400</v>
      </c>
      <c r="W361" s="187">
        <f t="shared" si="13"/>
        <v>1544400</v>
      </c>
    </row>
    <row r="362" spans="1:23">
      <c r="A362" s="216" t="s">
        <v>6191</v>
      </c>
      <c r="B362" s="218">
        <v>3395.2159999999999</v>
      </c>
      <c r="C362" s="218">
        <v>3309.4169999999999</v>
      </c>
      <c r="D362" s="218">
        <v>3261.377</v>
      </c>
      <c r="E362" s="218">
        <v>3171.0369999999998</v>
      </c>
      <c r="F362" s="218">
        <v>497.67140000000001</v>
      </c>
      <c r="G362" s="218">
        <v>493.30500000000001</v>
      </c>
      <c r="H362" s="218">
        <v>493.08940000000001</v>
      </c>
      <c r="I362" s="218">
        <v>493.5147</v>
      </c>
      <c r="J362" s="246">
        <v>708881146</v>
      </c>
      <c r="K362" s="246">
        <v>754635806</v>
      </c>
      <c r="L362" s="218">
        <v>4256.9390000000003</v>
      </c>
      <c r="M362" s="187">
        <v>0</v>
      </c>
      <c r="N362" s="251">
        <v>327.04430000000002</v>
      </c>
      <c r="O362" s="251">
        <v>312.60700000000003</v>
      </c>
      <c r="P362" s="251">
        <v>320.47879999999998</v>
      </c>
      <c r="Q362" s="251">
        <v>308.84039999999999</v>
      </c>
      <c r="R362" s="254">
        <v>1.0900000000000001</v>
      </c>
      <c r="S362" s="214">
        <v>327514</v>
      </c>
      <c r="T362" s="214">
        <v>10606293</v>
      </c>
      <c r="U362" s="214">
        <v>0</v>
      </c>
      <c r="V362" s="187">
        <f t="shared" si="12"/>
        <v>10606293</v>
      </c>
      <c r="W362" s="187">
        <f t="shared" si="13"/>
        <v>10933807</v>
      </c>
    </row>
    <row r="363" spans="1:23">
      <c r="A363" s="216" t="s">
        <v>732</v>
      </c>
      <c r="B363" s="218">
        <v>36.506999999999998</v>
      </c>
      <c r="C363" s="218">
        <v>39.463999999999999</v>
      </c>
      <c r="D363" s="218">
        <v>38.271999999999998</v>
      </c>
      <c r="E363" s="218">
        <v>28.638999999999999</v>
      </c>
      <c r="F363" s="218">
        <v>8.4064999999999994</v>
      </c>
      <c r="G363" s="218">
        <v>7.4065000000000003</v>
      </c>
      <c r="H363" s="218">
        <v>9.0311000000000003</v>
      </c>
      <c r="I363" s="218">
        <v>7.6519000000000004</v>
      </c>
      <c r="J363" s="246">
        <v>76015347</v>
      </c>
      <c r="K363" s="246">
        <v>76192059</v>
      </c>
      <c r="L363" s="218">
        <v>42.08</v>
      </c>
      <c r="M363" s="246">
        <v>216774</v>
      </c>
      <c r="N363" s="251">
        <v>3.9622999999999999</v>
      </c>
      <c r="O363" s="251">
        <v>3.9622999999999999</v>
      </c>
      <c r="P363" s="251">
        <v>4.1051000000000002</v>
      </c>
      <c r="Q363" s="251">
        <v>4.1898</v>
      </c>
      <c r="R363" s="254">
        <v>1.08</v>
      </c>
      <c r="S363" s="214">
        <v>328663</v>
      </c>
      <c r="T363" s="214">
        <v>806054</v>
      </c>
      <c r="U363" s="214">
        <v>0</v>
      </c>
      <c r="V363" s="187">
        <f t="shared" si="12"/>
        <v>806054</v>
      </c>
      <c r="W363" s="187">
        <f t="shared" si="13"/>
        <v>1134717</v>
      </c>
    </row>
    <row r="364" spans="1:23">
      <c r="A364" s="216" t="s">
        <v>949</v>
      </c>
      <c r="B364" s="218">
        <v>724.24900000000002</v>
      </c>
      <c r="C364" s="218">
        <v>725.58699999999999</v>
      </c>
      <c r="D364" s="218">
        <v>741.65</v>
      </c>
      <c r="E364" s="218">
        <v>726.40599999999995</v>
      </c>
      <c r="F364" s="218">
        <v>114.2997</v>
      </c>
      <c r="G364" s="218">
        <v>119.48350000000001</v>
      </c>
      <c r="H364" s="218">
        <v>124.56</v>
      </c>
      <c r="I364" s="218">
        <v>127.52119999999999</v>
      </c>
      <c r="J364" s="246">
        <v>66162871</v>
      </c>
      <c r="K364" s="246">
        <v>74459043</v>
      </c>
      <c r="L364" s="218">
        <v>1159.9939999999999</v>
      </c>
      <c r="M364" s="246">
        <v>45715</v>
      </c>
      <c r="N364" s="251">
        <v>79.534000000000006</v>
      </c>
      <c r="O364" s="251">
        <v>84.495199999999997</v>
      </c>
      <c r="P364" s="251">
        <v>86.475700000000003</v>
      </c>
      <c r="Q364" s="251">
        <v>86.360100000000003</v>
      </c>
      <c r="R364" s="254">
        <v>1.08</v>
      </c>
      <c r="S364" s="214">
        <v>80756</v>
      </c>
      <c r="T364" s="214">
        <v>1038525</v>
      </c>
      <c r="U364" s="214">
        <v>0</v>
      </c>
      <c r="V364" s="187">
        <f t="shared" si="12"/>
        <v>1038525</v>
      </c>
      <c r="W364" s="187">
        <f t="shared" si="13"/>
        <v>1119281</v>
      </c>
    </row>
    <row r="365" spans="1:23">
      <c r="A365" s="216" t="s">
        <v>3980</v>
      </c>
      <c r="B365" s="218">
        <v>507.65199999999999</v>
      </c>
      <c r="C365" s="218">
        <v>500.01100000000002</v>
      </c>
      <c r="D365" s="218">
        <v>524.46</v>
      </c>
      <c r="E365" s="218">
        <v>550.56500000000005</v>
      </c>
      <c r="F365" s="218">
        <v>77.854799999999997</v>
      </c>
      <c r="G365" s="218">
        <v>81.903999999999996</v>
      </c>
      <c r="H365" s="218">
        <v>83.903999999999996</v>
      </c>
      <c r="I365" s="218">
        <v>86.903999999999996</v>
      </c>
      <c r="J365" s="246">
        <v>51965958</v>
      </c>
      <c r="K365" s="246">
        <v>57654858</v>
      </c>
      <c r="L365" s="218">
        <v>860.53099999999995</v>
      </c>
      <c r="M365" s="246">
        <v>43845</v>
      </c>
      <c r="N365" s="251">
        <v>55.999299999999998</v>
      </c>
      <c r="O365" s="251">
        <v>55.999400000000001</v>
      </c>
      <c r="P365" s="251">
        <v>60.000900000000001</v>
      </c>
      <c r="Q365" s="251">
        <v>60.999400000000001</v>
      </c>
      <c r="R365" s="254">
        <v>1.07</v>
      </c>
      <c r="S365" s="214">
        <v>45103</v>
      </c>
      <c r="T365" s="214">
        <v>878819</v>
      </c>
      <c r="U365" s="214">
        <v>0</v>
      </c>
      <c r="V365" s="187">
        <f t="shared" si="12"/>
        <v>878819</v>
      </c>
      <c r="W365" s="187">
        <f t="shared" si="13"/>
        <v>923922</v>
      </c>
    </row>
    <row r="366" spans="1:23">
      <c r="A366" s="216" t="s">
        <v>3982</v>
      </c>
      <c r="B366" s="218">
        <v>4264.4229999999998</v>
      </c>
      <c r="C366" s="218">
        <v>4178.9539999999997</v>
      </c>
      <c r="D366" s="218">
        <v>4146.3190000000004</v>
      </c>
      <c r="E366" s="218">
        <v>4206.4560000000001</v>
      </c>
      <c r="F366" s="218">
        <v>603.3501</v>
      </c>
      <c r="G366" s="218">
        <v>596.59339999999997</v>
      </c>
      <c r="H366" s="218">
        <v>600.47299999999996</v>
      </c>
      <c r="I366" s="218">
        <v>587.15629999999999</v>
      </c>
      <c r="J366" s="246">
        <v>774492639</v>
      </c>
      <c r="K366" s="246">
        <v>843772778</v>
      </c>
      <c r="L366" s="218">
        <v>5807.5029999999997</v>
      </c>
      <c r="M366" s="246">
        <v>827231</v>
      </c>
      <c r="N366" s="251">
        <v>370.17419999999998</v>
      </c>
      <c r="O366" s="251">
        <v>365.86599999999999</v>
      </c>
      <c r="P366" s="251">
        <v>376.58940000000001</v>
      </c>
      <c r="Q366" s="251">
        <v>374.24990000000003</v>
      </c>
      <c r="R366" s="254">
        <v>1.1000000000000001</v>
      </c>
      <c r="S366" s="214">
        <v>922964</v>
      </c>
      <c r="T366" s="214">
        <v>11682173</v>
      </c>
      <c r="U366" s="214">
        <v>0</v>
      </c>
      <c r="V366" s="187">
        <f t="shared" si="12"/>
        <v>11682173</v>
      </c>
      <c r="W366" s="187">
        <f t="shared" si="13"/>
        <v>12605137</v>
      </c>
    </row>
    <row r="367" spans="1:23">
      <c r="A367" s="216" t="s">
        <v>1871</v>
      </c>
      <c r="B367" s="218">
        <v>919.803</v>
      </c>
      <c r="C367" s="218">
        <v>950.43799999999999</v>
      </c>
      <c r="D367" s="218">
        <v>951.59699999999998</v>
      </c>
      <c r="E367" s="218">
        <v>975.50099999999998</v>
      </c>
      <c r="F367" s="218">
        <v>121.08580000000001</v>
      </c>
      <c r="G367" s="218">
        <v>134.08420000000001</v>
      </c>
      <c r="H367" s="218">
        <v>141.6396</v>
      </c>
      <c r="I367" s="218">
        <v>151.85</v>
      </c>
      <c r="J367" s="246">
        <v>101623335</v>
      </c>
      <c r="K367" s="246">
        <v>111744801</v>
      </c>
      <c r="L367" s="218">
        <v>1426.79</v>
      </c>
      <c r="M367" s="246">
        <v>113270</v>
      </c>
      <c r="N367" s="251">
        <v>81.964500000000001</v>
      </c>
      <c r="O367" s="251">
        <v>85.984099999999998</v>
      </c>
      <c r="P367" s="251">
        <v>90.400999999999996</v>
      </c>
      <c r="Q367" s="251">
        <v>95.416799999999995</v>
      </c>
      <c r="R367" s="254">
        <v>1.07</v>
      </c>
      <c r="S367" s="214">
        <v>168856</v>
      </c>
      <c r="T367" s="214">
        <v>1645210</v>
      </c>
      <c r="U367" s="214">
        <v>0</v>
      </c>
      <c r="V367" s="187">
        <f t="shared" si="12"/>
        <v>1645210</v>
      </c>
      <c r="W367" s="187">
        <f t="shared" si="13"/>
        <v>1814066</v>
      </c>
    </row>
    <row r="368" spans="1:23">
      <c r="A368" s="216" t="s">
        <v>3116</v>
      </c>
      <c r="B368" s="218">
        <v>5617.3850000000002</v>
      </c>
      <c r="C368" s="218">
        <v>5631.8459999999995</v>
      </c>
      <c r="D368" s="218">
        <v>5673.8789999999999</v>
      </c>
      <c r="E368" s="218">
        <v>5745.4889999999996</v>
      </c>
      <c r="F368" s="218">
        <v>815.18299999999999</v>
      </c>
      <c r="G368" s="218">
        <v>762.67039999999997</v>
      </c>
      <c r="H368" s="218">
        <v>595.32659999999998</v>
      </c>
      <c r="I368" s="218">
        <v>637.32910000000004</v>
      </c>
      <c r="J368" s="246">
        <v>1539321512</v>
      </c>
      <c r="K368" s="246">
        <v>1613760566</v>
      </c>
      <c r="L368" s="218">
        <v>7567.7240000000002</v>
      </c>
      <c r="M368" s="246">
        <v>2950434</v>
      </c>
      <c r="N368" s="251">
        <v>521.62980000000005</v>
      </c>
      <c r="O368" s="251">
        <v>507.0872</v>
      </c>
      <c r="P368" s="251">
        <v>508.9076</v>
      </c>
      <c r="Q368" s="251">
        <v>550.5675</v>
      </c>
      <c r="R368" s="254">
        <v>1.1100000000000001</v>
      </c>
      <c r="S368" s="214">
        <v>2889899</v>
      </c>
      <c r="T368" s="214">
        <v>22813743</v>
      </c>
      <c r="U368" s="214">
        <v>0</v>
      </c>
      <c r="V368" s="187">
        <f t="shared" si="12"/>
        <v>22813743</v>
      </c>
      <c r="W368" s="187">
        <f t="shared" si="13"/>
        <v>25703642</v>
      </c>
    </row>
    <row r="369" spans="1:23">
      <c r="A369" s="216" t="s">
        <v>3118</v>
      </c>
      <c r="B369" s="218">
        <v>126.639</v>
      </c>
      <c r="C369" s="218">
        <v>139.708</v>
      </c>
      <c r="D369" s="218">
        <v>135.489</v>
      </c>
      <c r="E369" s="218">
        <v>152.03399999999999</v>
      </c>
      <c r="F369" s="218">
        <v>20.930499999999999</v>
      </c>
      <c r="G369" s="218">
        <v>22.6952</v>
      </c>
      <c r="H369" s="218">
        <v>23.930599999999998</v>
      </c>
      <c r="I369" s="218">
        <v>21.9251</v>
      </c>
      <c r="J369" s="246">
        <v>29682664</v>
      </c>
      <c r="K369" s="246">
        <v>32271540</v>
      </c>
      <c r="L369" s="218">
        <v>256.702</v>
      </c>
      <c r="M369" s="187">
        <v>0</v>
      </c>
      <c r="N369" s="251">
        <v>15.000299999999999</v>
      </c>
      <c r="O369" s="251">
        <v>15.5831</v>
      </c>
      <c r="P369" s="251">
        <v>16.7637</v>
      </c>
      <c r="Q369" s="251">
        <v>15.0007</v>
      </c>
      <c r="R369" s="254">
        <v>1.08</v>
      </c>
      <c r="S369" s="214">
        <v>0</v>
      </c>
      <c r="T369" s="214">
        <v>529164</v>
      </c>
      <c r="U369" s="214">
        <v>0</v>
      </c>
      <c r="V369" s="187">
        <f t="shared" si="12"/>
        <v>529164</v>
      </c>
      <c r="W369" s="187">
        <f t="shared" si="13"/>
        <v>529164</v>
      </c>
    </row>
    <row r="370" spans="1:23">
      <c r="A370" s="216" t="s">
        <v>2836</v>
      </c>
      <c r="B370" s="218">
        <v>1079.1199999999999</v>
      </c>
      <c r="C370" s="218">
        <v>1125.0709999999999</v>
      </c>
      <c r="D370" s="218">
        <v>1208.8989999999999</v>
      </c>
      <c r="E370" s="218">
        <v>1239.444</v>
      </c>
      <c r="F370" s="218">
        <v>121.49250000000001</v>
      </c>
      <c r="G370" s="218">
        <v>135.16030000000001</v>
      </c>
      <c r="H370" s="218">
        <v>147.40620000000001</v>
      </c>
      <c r="I370" s="218">
        <v>150.6122</v>
      </c>
      <c r="J370" s="246">
        <v>176896262</v>
      </c>
      <c r="K370" s="246">
        <v>190085575</v>
      </c>
      <c r="L370" s="218">
        <v>1647.201</v>
      </c>
      <c r="M370" s="246">
        <v>172908</v>
      </c>
      <c r="N370" s="251">
        <v>86.884799999999998</v>
      </c>
      <c r="O370" s="251">
        <v>94.734999999999999</v>
      </c>
      <c r="P370" s="251">
        <v>101.88630000000001</v>
      </c>
      <c r="Q370" s="251">
        <v>97.4148</v>
      </c>
      <c r="R370" s="254">
        <v>1.07</v>
      </c>
      <c r="S370" s="214">
        <v>713989</v>
      </c>
      <c r="T370" s="214">
        <v>2930359</v>
      </c>
      <c r="U370" s="214">
        <v>0</v>
      </c>
      <c r="V370" s="187">
        <f t="shared" si="12"/>
        <v>2930359</v>
      </c>
      <c r="W370" s="187">
        <f t="shared" si="13"/>
        <v>3644348</v>
      </c>
    </row>
    <row r="371" spans="1:23">
      <c r="A371" s="216" t="s">
        <v>2838</v>
      </c>
      <c r="B371" s="218">
        <v>1434.645</v>
      </c>
      <c r="C371" s="218">
        <v>1448.51</v>
      </c>
      <c r="D371" s="218">
        <v>1458.6469999999999</v>
      </c>
      <c r="E371" s="218">
        <v>1472.01</v>
      </c>
      <c r="F371" s="218">
        <v>200.18199999999999</v>
      </c>
      <c r="G371" s="218">
        <v>189.54560000000001</v>
      </c>
      <c r="H371" s="218">
        <v>191.2611</v>
      </c>
      <c r="I371" s="218">
        <v>189.58860000000001</v>
      </c>
      <c r="J371" s="246">
        <v>205832455</v>
      </c>
      <c r="K371" s="246">
        <v>228737190</v>
      </c>
      <c r="L371" s="218">
        <v>2073.2280000000001</v>
      </c>
      <c r="M371" s="246">
        <v>373100</v>
      </c>
      <c r="N371" s="251">
        <v>139.21190000000001</v>
      </c>
      <c r="O371" s="251">
        <v>130.83500000000001</v>
      </c>
      <c r="P371" s="251">
        <v>128.9819</v>
      </c>
      <c r="Q371" s="251">
        <v>130.3289</v>
      </c>
      <c r="R371" s="254">
        <v>1.08</v>
      </c>
      <c r="S371" s="214">
        <v>498553</v>
      </c>
      <c r="T371" s="214">
        <v>3256653</v>
      </c>
      <c r="U371" s="214">
        <v>0</v>
      </c>
      <c r="V371" s="187">
        <f t="shared" si="12"/>
        <v>3256653</v>
      </c>
      <c r="W371" s="187">
        <f t="shared" si="13"/>
        <v>3755206</v>
      </c>
    </row>
    <row r="372" spans="1:23">
      <c r="A372" s="216" t="s">
        <v>5220</v>
      </c>
      <c r="B372" s="218">
        <v>618.05399999999997</v>
      </c>
      <c r="C372" s="218">
        <v>652.02200000000005</v>
      </c>
      <c r="D372" s="218">
        <v>683.846</v>
      </c>
      <c r="E372" s="218">
        <v>720.00199999999995</v>
      </c>
      <c r="F372" s="218">
        <v>91.7166</v>
      </c>
      <c r="G372" s="218">
        <v>91.7166</v>
      </c>
      <c r="H372" s="218">
        <v>94.962599999999995</v>
      </c>
      <c r="I372" s="218">
        <v>98</v>
      </c>
      <c r="J372" s="246">
        <v>75868374</v>
      </c>
      <c r="K372" s="246">
        <v>83207356</v>
      </c>
      <c r="L372" s="218">
        <v>1127.7070000000001</v>
      </c>
      <c r="M372" s="246">
        <v>75573</v>
      </c>
      <c r="N372" s="251">
        <v>64.954099999999997</v>
      </c>
      <c r="O372" s="251">
        <v>65.072999999999993</v>
      </c>
      <c r="P372" s="251">
        <v>68.964699999999993</v>
      </c>
      <c r="Q372" s="251">
        <v>69.161500000000004</v>
      </c>
      <c r="R372" s="254">
        <v>1.07</v>
      </c>
      <c r="S372" s="214">
        <v>85382</v>
      </c>
      <c r="T372" s="214">
        <v>1239460</v>
      </c>
      <c r="U372" s="214">
        <v>0</v>
      </c>
      <c r="V372" s="187">
        <f t="shared" si="12"/>
        <v>1239460</v>
      </c>
      <c r="W372" s="187">
        <f t="shared" si="13"/>
        <v>1324842</v>
      </c>
    </row>
    <row r="373" spans="1:23">
      <c r="A373" s="216" t="s">
        <v>5129</v>
      </c>
      <c r="B373" s="218">
        <v>1226.47</v>
      </c>
      <c r="C373" s="218">
        <v>1261.146</v>
      </c>
      <c r="D373" s="218">
        <v>1261.078</v>
      </c>
      <c r="E373" s="218">
        <v>1255.3810000000001</v>
      </c>
      <c r="F373" s="218">
        <v>166.8586</v>
      </c>
      <c r="G373" s="218">
        <v>178.98150000000001</v>
      </c>
      <c r="H373" s="218">
        <v>192.90270000000001</v>
      </c>
      <c r="I373" s="218">
        <v>190.59229999999999</v>
      </c>
      <c r="J373" s="246">
        <v>317088768</v>
      </c>
      <c r="K373" s="246">
        <v>337712107</v>
      </c>
      <c r="L373" s="218">
        <v>1763.69</v>
      </c>
      <c r="M373" s="246">
        <v>535301</v>
      </c>
      <c r="N373" s="251">
        <v>110.85120000000001</v>
      </c>
      <c r="O373" s="251">
        <v>117.19759999999999</v>
      </c>
      <c r="P373" s="251">
        <v>125.41719999999999</v>
      </c>
      <c r="Q373" s="251">
        <v>123.6147</v>
      </c>
      <c r="R373" s="254">
        <v>1.07</v>
      </c>
      <c r="S373" s="214">
        <v>659090</v>
      </c>
      <c r="T373" s="214">
        <v>5203821</v>
      </c>
      <c r="U373" s="214">
        <v>0</v>
      </c>
      <c r="V373" s="187">
        <f t="shared" si="12"/>
        <v>5203821</v>
      </c>
      <c r="W373" s="187">
        <f t="shared" si="13"/>
        <v>5862911</v>
      </c>
    </row>
    <row r="374" spans="1:23">
      <c r="A374" s="216" t="s">
        <v>5222</v>
      </c>
      <c r="B374" s="218">
        <v>846.56799999999998</v>
      </c>
      <c r="C374" s="218">
        <v>836.05100000000004</v>
      </c>
      <c r="D374" s="218">
        <v>844.11800000000005</v>
      </c>
      <c r="E374" s="218">
        <v>851.11599999999999</v>
      </c>
      <c r="F374" s="218">
        <v>107.7114</v>
      </c>
      <c r="G374" s="218">
        <v>115.8561</v>
      </c>
      <c r="H374" s="218">
        <v>114.9952</v>
      </c>
      <c r="I374" s="218">
        <v>119.21980000000001</v>
      </c>
      <c r="J374" s="246">
        <v>183444337</v>
      </c>
      <c r="K374" s="246">
        <v>194176574</v>
      </c>
      <c r="L374" s="218">
        <v>1280.191</v>
      </c>
      <c r="M374" s="246">
        <v>361703</v>
      </c>
      <c r="N374" s="251">
        <v>69.2089</v>
      </c>
      <c r="O374" s="251">
        <v>75.055599999999998</v>
      </c>
      <c r="P374" s="251">
        <v>74.004499999999993</v>
      </c>
      <c r="Q374" s="251">
        <v>73.846999999999994</v>
      </c>
      <c r="R374" s="254">
        <v>1.07</v>
      </c>
      <c r="S374" s="214">
        <v>363729</v>
      </c>
      <c r="T374" s="214">
        <v>2575880</v>
      </c>
      <c r="U374" s="214">
        <v>0</v>
      </c>
      <c r="V374" s="187">
        <f t="shared" si="12"/>
        <v>2575880</v>
      </c>
      <c r="W374" s="187">
        <f t="shared" si="13"/>
        <v>2939609</v>
      </c>
    </row>
    <row r="375" spans="1:23">
      <c r="A375" s="216" t="s">
        <v>1858</v>
      </c>
      <c r="B375" s="218">
        <v>620.45500000000004</v>
      </c>
      <c r="C375" s="218">
        <v>647.15800000000002</v>
      </c>
      <c r="D375" s="218">
        <v>682.26599999999996</v>
      </c>
      <c r="E375" s="218">
        <v>732.18</v>
      </c>
      <c r="F375" s="218">
        <v>134.53559999999999</v>
      </c>
      <c r="G375" s="218">
        <v>145.4487</v>
      </c>
      <c r="H375" s="218">
        <v>130.99469999999999</v>
      </c>
      <c r="I375" s="218">
        <v>165.34309999999999</v>
      </c>
      <c r="J375" s="246">
        <v>72813129</v>
      </c>
      <c r="K375" s="246">
        <v>76348312</v>
      </c>
      <c r="L375" s="218">
        <v>1177.44</v>
      </c>
      <c r="M375" s="246">
        <v>43941</v>
      </c>
      <c r="N375" s="251">
        <v>92.610500000000002</v>
      </c>
      <c r="O375" s="251">
        <v>101.4682</v>
      </c>
      <c r="P375" s="251">
        <v>107.9593</v>
      </c>
      <c r="Q375" s="251">
        <v>110.52200000000001</v>
      </c>
      <c r="R375" s="254">
        <v>1.06</v>
      </c>
      <c r="S375" s="214">
        <v>94486</v>
      </c>
      <c r="T375" s="214">
        <v>1165285</v>
      </c>
      <c r="U375" s="214">
        <v>0</v>
      </c>
      <c r="V375" s="187">
        <f t="shared" si="12"/>
        <v>1165285</v>
      </c>
      <c r="W375" s="187">
        <f t="shared" si="13"/>
        <v>1259771</v>
      </c>
    </row>
    <row r="376" spans="1:23">
      <c r="A376" s="216" t="s">
        <v>5224</v>
      </c>
      <c r="B376" s="218">
        <v>778.54</v>
      </c>
      <c r="C376" s="218">
        <v>784.61300000000006</v>
      </c>
      <c r="D376" s="218">
        <v>780.43499999999995</v>
      </c>
      <c r="E376" s="218">
        <v>808.89499999999998</v>
      </c>
      <c r="F376" s="218">
        <v>110.8182</v>
      </c>
      <c r="G376" s="218">
        <v>112.57769999999999</v>
      </c>
      <c r="H376" s="218">
        <v>116.337</v>
      </c>
      <c r="I376" s="218">
        <v>119.377</v>
      </c>
      <c r="J376" s="246">
        <v>78209287</v>
      </c>
      <c r="K376" s="246">
        <v>87472529</v>
      </c>
      <c r="L376" s="218">
        <v>1225.32</v>
      </c>
      <c r="M376" s="246">
        <v>99836</v>
      </c>
      <c r="N376" s="251">
        <v>75.679599999999994</v>
      </c>
      <c r="O376" s="251">
        <v>78.388099999999994</v>
      </c>
      <c r="P376" s="251">
        <v>78.250299999999996</v>
      </c>
      <c r="Q376" s="251">
        <v>79.986900000000006</v>
      </c>
      <c r="R376" s="254">
        <v>1.08</v>
      </c>
      <c r="S376" s="214">
        <v>101431</v>
      </c>
      <c r="T376" s="214">
        <v>1173976</v>
      </c>
      <c r="U376" s="214">
        <v>0</v>
      </c>
      <c r="V376" s="187">
        <f t="shared" si="12"/>
        <v>1173976</v>
      </c>
      <c r="W376" s="187">
        <f t="shared" si="13"/>
        <v>1275407</v>
      </c>
    </row>
    <row r="377" spans="1:23">
      <c r="A377" s="216" t="s">
        <v>5228</v>
      </c>
      <c r="B377" s="218">
        <v>1990.4449999999999</v>
      </c>
      <c r="C377" s="218">
        <v>1937.6990000000001</v>
      </c>
      <c r="D377" s="218">
        <v>1978.213</v>
      </c>
      <c r="E377" s="218">
        <v>2026.578</v>
      </c>
      <c r="F377" s="218">
        <v>332.33390000000003</v>
      </c>
      <c r="G377" s="218">
        <v>334.93520000000001</v>
      </c>
      <c r="H377" s="218">
        <v>344.95119999999997</v>
      </c>
      <c r="I377" s="218">
        <v>328.37959999999998</v>
      </c>
      <c r="J377" s="246">
        <v>356504631</v>
      </c>
      <c r="K377" s="246">
        <v>380703416</v>
      </c>
      <c r="L377" s="218">
        <v>3049.4369999999999</v>
      </c>
      <c r="M377" s="246">
        <v>215542</v>
      </c>
      <c r="N377" s="251">
        <v>222.2396</v>
      </c>
      <c r="O377" s="251">
        <v>220.70160000000001</v>
      </c>
      <c r="P377" s="251">
        <v>225.36170000000001</v>
      </c>
      <c r="Q377" s="251">
        <v>214.89330000000001</v>
      </c>
      <c r="R377" s="254">
        <v>1.06</v>
      </c>
      <c r="S377" s="214">
        <v>221488</v>
      </c>
      <c r="T377" s="214">
        <v>4975531</v>
      </c>
      <c r="U377" s="214">
        <v>0</v>
      </c>
      <c r="V377" s="187">
        <f t="shared" si="12"/>
        <v>4975531</v>
      </c>
      <c r="W377" s="187">
        <f t="shared" si="13"/>
        <v>5197019</v>
      </c>
    </row>
    <row r="378" spans="1:23">
      <c r="A378" s="216" t="s">
        <v>5230</v>
      </c>
      <c r="B378" s="218">
        <v>3374.03</v>
      </c>
      <c r="C378" s="218">
        <v>3364.6309999999999</v>
      </c>
      <c r="D378" s="218">
        <v>3328.0630000000001</v>
      </c>
      <c r="E378" s="218">
        <v>3370.375</v>
      </c>
      <c r="F378" s="218">
        <v>466.11169999999998</v>
      </c>
      <c r="G378" s="218">
        <v>487.2242</v>
      </c>
      <c r="H378" s="218">
        <v>505.40750000000003</v>
      </c>
      <c r="I378" s="218">
        <v>514.51049999999998</v>
      </c>
      <c r="J378" s="246">
        <v>684932634</v>
      </c>
      <c r="K378" s="246">
        <v>728994545</v>
      </c>
      <c r="L378" s="218">
        <v>4561.241</v>
      </c>
      <c r="M378" s="246">
        <v>831895</v>
      </c>
      <c r="N378" s="251">
        <v>298.13440000000003</v>
      </c>
      <c r="O378" s="251">
        <v>319.5881</v>
      </c>
      <c r="P378" s="251">
        <v>330.95060000000001</v>
      </c>
      <c r="Q378" s="251">
        <v>338.83339999999998</v>
      </c>
      <c r="R378" s="254">
        <v>1.07</v>
      </c>
      <c r="S378" s="214">
        <v>880588</v>
      </c>
      <c r="T378" s="214">
        <v>10862150</v>
      </c>
      <c r="U378" s="214">
        <v>0</v>
      </c>
      <c r="V378" s="187">
        <f t="shared" si="12"/>
        <v>10862150</v>
      </c>
      <c r="W378" s="187">
        <f t="shared" si="13"/>
        <v>11742738</v>
      </c>
    </row>
    <row r="379" spans="1:23">
      <c r="A379" s="216" t="s">
        <v>2994</v>
      </c>
      <c r="B379" s="218">
        <v>7879.9520000000002</v>
      </c>
      <c r="C379" s="218">
        <v>7831.7610000000004</v>
      </c>
      <c r="D379" s="218">
        <v>7875.1049999999996</v>
      </c>
      <c r="E379" s="218">
        <v>7686.415</v>
      </c>
      <c r="F379" s="218">
        <v>1227.6027999999999</v>
      </c>
      <c r="G379" s="218">
        <v>1262.6872000000001</v>
      </c>
      <c r="H379" s="218">
        <v>1239.0758000000001</v>
      </c>
      <c r="I379" s="218">
        <v>1224.6683</v>
      </c>
      <c r="J379" s="246">
        <v>2325742115</v>
      </c>
      <c r="K379" s="246">
        <v>2429191126</v>
      </c>
      <c r="L379" s="218">
        <v>10426.264999999999</v>
      </c>
      <c r="M379" s="246">
        <v>1324907</v>
      </c>
      <c r="N379" s="251">
        <v>758.55200000000002</v>
      </c>
      <c r="O379" s="251">
        <v>758.04809999999998</v>
      </c>
      <c r="P379" s="251">
        <v>739.48199999999997</v>
      </c>
      <c r="Q379" s="251">
        <v>738.33900000000006</v>
      </c>
      <c r="R379" s="254">
        <v>1.0900000000000001</v>
      </c>
      <c r="S379" s="214">
        <v>1304272</v>
      </c>
      <c r="T379" s="214">
        <v>35689548</v>
      </c>
      <c r="U379" s="214">
        <v>0</v>
      </c>
      <c r="V379" s="187">
        <f t="shared" si="12"/>
        <v>35689548</v>
      </c>
      <c r="W379" s="187">
        <f t="shared" si="13"/>
        <v>36993820</v>
      </c>
    </row>
    <row r="380" spans="1:23">
      <c r="A380" s="216" t="s">
        <v>7723</v>
      </c>
      <c r="B380" s="218">
        <v>4400.5889999999999</v>
      </c>
      <c r="C380" s="218">
        <v>4366.6149999999998</v>
      </c>
      <c r="D380" s="218">
        <v>4423.3500000000004</v>
      </c>
      <c r="E380" s="218">
        <v>4371.3540000000003</v>
      </c>
      <c r="F380" s="218">
        <v>578.84460000000001</v>
      </c>
      <c r="G380" s="218">
        <v>590.90269999999998</v>
      </c>
      <c r="H380" s="218">
        <v>605.93050000000005</v>
      </c>
      <c r="I380" s="218">
        <v>622.76059999999995</v>
      </c>
      <c r="J380" s="246">
        <v>1079338600</v>
      </c>
      <c r="K380" s="246">
        <v>1134686500</v>
      </c>
      <c r="L380" s="218">
        <v>5531.5739999999996</v>
      </c>
      <c r="M380" s="246">
        <v>1395499</v>
      </c>
      <c r="N380" s="251">
        <v>360.3963</v>
      </c>
      <c r="O380" s="251">
        <v>369.6207</v>
      </c>
      <c r="P380" s="251">
        <v>397.68950000000001</v>
      </c>
      <c r="Q380" s="251">
        <v>401.07249999999999</v>
      </c>
      <c r="R380" s="254">
        <v>1.08</v>
      </c>
      <c r="S380" s="214">
        <v>1460258</v>
      </c>
      <c r="T380" s="214">
        <v>15456725</v>
      </c>
      <c r="U380" s="214">
        <v>0</v>
      </c>
      <c r="V380" s="187">
        <f t="shared" si="12"/>
        <v>15456725</v>
      </c>
      <c r="W380" s="187">
        <f t="shared" si="13"/>
        <v>16916983</v>
      </c>
    </row>
    <row r="381" spans="1:23">
      <c r="A381" s="216" t="s">
        <v>221</v>
      </c>
      <c r="B381" s="218">
        <v>1255.4449999999999</v>
      </c>
      <c r="C381" s="218">
        <v>1251.6489999999999</v>
      </c>
      <c r="D381" s="218">
        <v>1250.558</v>
      </c>
      <c r="E381" s="218">
        <v>1251.4590000000001</v>
      </c>
      <c r="F381" s="218">
        <v>216.6773</v>
      </c>
      <c r="G381" s="218">
        <v>220.804</v>
      </c>
      <c r="H381" s="218">
        <v>224.14150000000001</v>
      </c>
      <c r="I381" s="218">
        <v>233.79470000000001</v>
      </c>
      <c r="J381" s="246">
        <v>171480475</v>
      </c>
      <c r="K381" s="246">
        <v>185300455</v>
      </c>
      <c r="L381" s="218">
        <v>1786.6590000000001</v>
      </c>
      <c r="M381" s="187">
        <v>0</v>
      </c>
      <c r="N381" s="251">
        <v>127.9708</v>
      </c>
      <c r="O381" s="251">
        <v>130.9854</v>
      </c>
      <c r="P381" s="251">
        <v>133.06970000000001</v>
      </c>
      <c r="Q381" s="251">
        <v>142.98060000000001</v>
      </c>
      <c r="R381" s="254">
        <v>1.05</v>
      </c>
      <c r="S381" s="214">
        <v>0</v>
      </c>
      <c r="T381" s="214">
        <v>2532303</v>
      </c>
      <c r="U381" s="214">
        <v>0</v>
      </c>
      <c r="V381" s="187">
        <f t="shared" si="12"/>
        <v>2532303</v>
      </c>
      <c r="W381" s="187">
        <f t="shared" si="13"/>
        <v>2532303</v>
      </c>
    </row>
    <row r="382" spans="1:23">
      <c r="A382" s="216" t="s">
        <v>2406</v>
      </c>
      <c r="B382" s="218">
        <v>1530.278</v>
      </c>
      <c r="C382" s="218">
        <v>1515.2560000000001</v>
      </c>
      <c r="D382" s="218">
        <v>1543.461</v>
      </c>
      <c r="E382" s="218">
        <v>1583.76</v>
      </c>
      <c r="F382" s="218">
        <v>180.19470000000001</v>
      </c>
      <c r="G382" s="218">
        <v>191.28460000000001</v>
      </c>
      <c r="H382" s="218">
        <v>191.52940000000001</v>
      </c>
      <c r="I382" s="218">
        <v>188.71600000000001</v>
      </c>
      <c r="J382" s="246">
        <v>202560639</v>
      </c>
      <c r="K382" s="246">
        <v>217283189</v>
      </c>
      <c r="L382" s="218">
        <v>1993.845</v>
      </c>
      <c r="M382" s="246">
        <v>143976</v>
      </c>
      <c r="N382" s="251">
        <v>131.45410000000001</v>
      </c>
      <c r="O382" s="251">
        <v>134.1763</v>
      </c>
      <c r="P382" s="251">
        <v>135.72559999999999</v>
      </c>
      <c r="Q382" s="251">
        <v>134.9958</v>
      </c>
      <c r="R382" s="254">
        <v>1.05</v>
      </c>
      <c r="S382" s="214">
        <v>282139</v>
      </c>
      <c r="T382" s="214">
        <v>2933107</v>
      </c>
      <c r="U382" s="214">
        <v>0</v>
      </c>
      <c r="V382" s="187">
        <f t="shared" si="12"/>
        <v>2933107</v>
      </c>
      <c r="W382" s="187">
        <f t="shared" si="13"/>
        <v>3215246</v>
      </c>
    </row>
    <row r="383" spans="1:23">
      <c r="A383" s="216" t="s">
        <v>223</v>
      </c>
      <c r="B383" s="218">
        <v>1315.153</v>
      </c>
      <c r="C383" s="218">
        <v>1324.5540000000001</v>
      </c>
      <c r="D383" s="218">
        <v>1300.7860000000001</v>
      </c>
      <c r="E383" s="218">
        <v>1264.7539999999999</v>
      </c>
      <c r="F383" s="218">
        <v>166.65260000000001</v>
      </c>
      <c r="G383" s="218">
        <v>160.67760000000001</v>
      </c>
      <c r="H383" s="218">
        <v>164.47489999999999</v>
      </c>
      <c r="I383" s="218">
        <v>158.3218</v>
      </c>
      <c r="J383" s="246">
        <v>198635438</v>
      </c>
      <c r="K383" s="246">
        <v>212048848</v>
      </c>
      <c r="L383" s="218">
        <v>1625.6279999999999</v>
      </c>
      <c r="M383" s="246">
        <v>121239</v>
      </c>
      <c r="N383" s="251">
        <v>102.2308</v>
      </c>
      <c r="O383" s="251">
        <v>103.6915</v>
      </c>
      <c r="P383" s="251">
        <v>107.14490000000001</v>
      </c>
      <c r="Q383" s="251">
        <v>98.811400000000006</v>
      </c>
      <c r="R383" s="254">
        <v>1.05</v>
      </c>
      <c r="S383" s="214">
        <v>127320</v>
      </c>
      <c r="T383" s="214">
        <v>2876034</v>
      </c>
      <c r="U383" s="214">
        <v>0</v>
      </c>
      <c r="V383" s="187">
        <f t="shared" si="12"/>
        <v>2876034</v>
      </c>
      <c r="W383" s="187">
        <f t="shared" si="13"/>
        <v>3003354</v>
      </c>
    </row>
    <row r="384" spans="1:23">
      <c r="A384" s="216" t="s">
        <v>225</v>
      </c>
      <c r="B384" s="218">
        <v>531.45799999999997</v>
      </c>
      <c r="C384" s="218">
        <v>514.45299999999997</v>
      </c>
      <c r="D384" s="218">
        <v>548.404</v>
      </c>
      <c r="E384" s="218">
        <v>533.21299999999997</v>
      </c>
      <c r="F384" s="218">
        <v>100.23009999999999</v>
      </c>
      <c r="G384" s="218">
        <v>94.7727</v>
      </c>
      <c r="H384" s="218">
        <v>88.125600000000006</v>
      </c>
      <c r="I384" s="218">
        <v>83.537300000000002</v>
      </c>
      <c r="J384" s="246">
        <v>380908879</v>
      </c>
      <c r="K384" s="246">
        <v>387008467</v>
      </c>
      <c r="L384" s="218">
        <v>843.01599999999996</v>
      </c>
      <c r="M384" s="246">
        <v>381500</v>
      </c>
      <c r="N384" s="251">
        <v>63.824399999999997</v>
      </c>
      <c r="O384" s="251">
        <v>64.492099999999994</v>
      </c>
      <c r="P384" s="251">
        <v>56.158200000000001</v>
      </c>
      <c r="Q384" s="251">
        <v>52.002000000000002</v>
      </c>
      <c r="R384" s="254">
        <v>1.08</v>
      </c>
      <c r="S384" s="214">
        <v>184447</v>
      </c>
      <c r="T384" s="214">
        <v>5301030</v>
      </c>
      <c r="U384" s="214">
        <v>0</v>
      </c>
      <c r="V384" s="187">
        <f t="shared" si="12"/>
        <v>5301030</v>
      </c>
      <c r="W384" s="187">
        <f t="shared" si="13"/>
        <v>5485477</v>
      </c>
    </row>
    <row r="385" spans="1:23">
      <c r="A385" s="216" t="s">
        <v>227</v>
      </c>
      <c r="B385" s="218">
        <v>430.202</v>
      </c>
      <c r="C385" s="218">
        <v>417.351</v>
      </c>
      <c r="D385" s="218">
        <v>417.40899999999999</v>
      </c>
      <c r="E385" s="218">
        <v>421.84100000000001</v>
      </c>
      <c r="F385" s="218">
        <v>71.5989</v>
      </c>
      <c r="G385" s="218">
        <v>76.823499999999996</v>
      </c>
      <c r="H385" s="218">
        <v>72.5</v>
      </c>
      <c r="I385" s="218">
        <v>73.462599999999995</v>
      </c>
      <c r="J385" s="246">
        <v>62385602</v>
      </c>
      <c r="K385" s="246">
        <v>67503832</v>
      </c>
      <c r="L385" s="218">
        <v>689.85900000000004</v>
      </c>
      <c r="M385" s="187">
        <v>0</v>
      </c>
      <c r="N385" s="251">
        <v>45.895000000000003</v>
      </c>
      <c r="O385" s="251">
        <v>47.333100000000002</v>
      </c>
      <c r="P385" s="251">
        <v>43.0002</v>
      </c>
      <c r="Q385" s="251">
        <v>47.0015</v>
      </c>
      <c r="R385" s="254">
        <v>1.07</v>
      </c>
      <c r="S385" s="214">
        <v>767</v>
      </c>
      <c r="T385" s="214">
        <v>955097</v>
      </c>
      <c r="U385" s="214">
        <v>0</v>
      </c>
      <c r="V385" s="187">
        <f t="shared" si="12"/>
        <v>955097</v>
      </c>
      <c r="W385" s="187">
        <f t="shared" si="13"/>
        <v>955864</v>
      </c>
    </row>
    <row r="386" spans="1:23">
      <c r="A386" s="216" t="s">
        <v>229</v>
      </c>
      <c r="B386" s="218">
        <v>2945.0970000000002</v>
      </c>
      <c r="C386" s="218">
        <v>2904.34</v>
      </c>
      <c r="D386" s="218">
        <v>2840.1759999999999</v>
      </c>
      <c r="E386" s="218">
        <v>2807.7089999999998</v>
      </c>
      <c r="F386" s="218">
        <v>421.80700000000002</v>
      </c>
      <c r="G386" s="218">
        <v>417.55630000000002</v>
      </c>
      <c r="H386" s="218">
        <v>420.58949999999999</v>
      </c>
      <c r="I386" s="218">
        <v>415.32749999999999</v>
      </c>
      <c r="J386" s="246">
        <v>599234082</v>
      </c>
      <c r="K386" s="246">
        <v>628096242</v>
      </c>
      <c r="L386" s="218">
        <v>3896.6019999999999</v>
      </c>
      <c r="M386" s="246">
        <v>491812</v>
      </c>
      <c r="N386" s="251">
        <v>295.40449999999998</v>
      </c>
      <c r="O386" s="251">
        <v>292.79539999999997</v>
      </c>
      <c r="P386" s="251">
        <v>287.44170000000003</v>
      </c>
      <c r="Q386" s="251">
        <v>286.26850000000002</v>
      </c>
      <c r="R386" s="254">
        <v>1.1100000000000001</v>
      </c>
      <c r="S386" s="214">
        <v>638630</v>
      </c>
      <c r="T386" s="214">
        <v>8922194</v>
      </c>
      <c r="U386" s="214">
        <v>0</v>
      </c>
      <c r="V386" s="187">
        <f t="shared" si="12"/>
        <v>8922194</v>
      </c>
      <c r="W386" s="187">
        <f t="shared" si="13"/>
        <v>9560824</v>
      </c>
    </row>
    <row r="387" spans="1:23">
      <c r="A387" s="216" t="s">
        <v>4039</v>
      </c>
      <c r="B387" s="218">
        <v>159.58000000000001</v>
      </c>
      <c r="C387" s="218">
        <v>152.71199999999999</v>
      </c>
      <c r="D387" s="218">
        <v>157.62299999999999</v>
      </c>
      <c r="E387" s="218">
        <v>160.07300000000001</v>
      </c>
      <c r="F387" s="218">
        <v>28</v>
      </c>
      <c r="G387" s="218">
        <v>31.2941</v>
      </c>
      <c r="H387" s="218">
        <v>31.385000000000002</v>
      </c>
      <c r="I387" s="218">
        <v>28.0962</v>
      </c>
      <c r="J387" s="246">
        <v>53823955</v>
      </c>
      <c r="K387" s="246">
        <v>57232878</v>
      </c>
      <c r="L387" s="218">
        <v>278.70999999999998</v>
      </c>
      <c r="M387" s="187">
        <v>0</v>
      </c>
      <c r="N387" s="251">
        <v>20.000699999999998</v>
      </c>
      <c r="O387" s="251">
        <v>21.000399999999999</v>
      </c>
      <c r="P387" s="251">
        <v>20.001300000000001</v>
      </c>
      <c r="Q387" s="251">
        <v>16.8673</v>
      </c>
      <c r="R387" s="254">
        <v>1.1000000000000001</v>
      </c>
      <c r="S387" s="214">
        <v>0</v>
      </c>
      <c r="T387" s="214">
        <v>787696</v>
      </c>
      <c r="U387" s="214">
        <v>0</v>
      </c>
      <c r="V387" s="187">
        <f t="shared" si="12"/>
        <v>787696</v>
      </c>
      <c r="W387" s="187">
        <f t="shared" si="13"/>
        <v>787696</v>
      </c>
    </row>
    <row r="388" spans="1:23">
      <c r="A388" s="216" t="s">
        <v>2396</v>
      </c>
      <c r="B388" s="218">
        <v>6914.4250000000002</v>
      </c>
      <c r="C388" s="218">
        <v>6973.5609999999997</v>
      </c>
      <c r="D388" s="218">
        <v>6987.375</v>
      </c>
      <c r="E388" s="218">
        <v>6966.6440000000002</v>
      </c>
      <c r="F388" s="218">
        <v>1027.7674999999999</v>
      </c>
      <c r="G388" s="218">
        <v>1060.7991999999999</v>
      </c>
      <c r="H388" s="218">
        <v>1086.4245000000001</v>
      </c>
      <c r="I388" s="218">
        <v>1090.6478</v>
      </c>
      <c r="J388" s="246">
        <v>1254745610</v>
      </c>
      <c r="K388" s="246">
        <v>1337602266</v>
      </c>
      <c r="L388" s="218">
        <v>9363.57</v>
      </c>
      <c r="M388" s="246">
        <v>1140545</v>
      </c>
      <c r="N388" s="251">
        <v>672.85929999999996</v>
      </c>
      <c r="O388" s="251">
        <v>683.37750000000005</v>
      </c>
      <c r="P388" s="251">
        <v>698.92759999999998</v>
      </c>
      <c r="Q388" s="251">
        <v>716.94659999999999</v>
      </c>
      <c r="R388" s="254">
        <v>1.0900000000000001</v>
      </c>
      <c r="S388" s="214">
        <v>2734384</v>
      </c>
      <c r="T388" s="214">
        <v>22261564</v>
      </c>
      <c r="U388" s="214">
        <v>0</v>
      </c>
      <c r="V388" s="187">
        <f t="shared" si="12"/>
        <v>22261564</v>
      </c>
      <c r="W388" s="187">
        <f t="shared" si="13"/>
        <v>24995948</v>
      </c>
    </row>
    <row r="389" spans="1:23">
      <c r="A389" s="216" t="s">
        <v>2394</v>
      </c>
      <c r="B389" s="218">
        <v>5871.0290000000005</v>
      </c>
      <c r="C389" s="218">
        <v>6088.6090000000004</v>
      </c>
      <c r="D389" s="218">
        <v>6071.6559999999999</v>
      </c>
      <c r="E389" s="218">
        <v>6358.0510000000004</v>
      </c>
      <c r="F389" s="218">
        <v>845.57029999999997</v>
      </c>
      <c r="G389" s="218">
        <v>849.74890000000005</v>
      </c>
      <c r="H389" s="218">
        <v>882.04039999999998</v>
      </c>
      <c r="I389" s="218">
        <v>846.23929999999996</v>
      </c>
      <c r="J389" s="246">
        <v>1153635242</v>
      </c>
      <c r="K389" s="246">
        <v>1231931469</v>
      </c>
      <c r="L389" s="218">
        <v>7783.3959999999997</v>
      </c>
      <c r="M389" s="246">
        <v>1868919</v>
      </c>
      <c r="N389" s="251">
        <v>527.65150000000006</v>
      </c>
      <c r="O389" s="251">
        <v>538.09649999999999</v>
      </c>
      <c r="P389" s="251">
        <v>555.73900000000003</v>
      </c>
      <c r="Q389" s="251">
        <v>525.23889999999994</v>
      </c>
      <c r="R389" s="254">
        <v>1.0900000000000001</v>
      </c>
      <c r="S389" s="214">
        <v>2877732</v>
      </c>
      <c r="T389" s="214">
        <v>18804104</v>
      </c>
      <c r="U389" s="214">
        <v>0</v>
      </c>
      <c r="V389" s="187">
        <f t="shared" ref="V389:V452" si="14">T389+U389</f>
        <v>18804104</v>
      </c>
      <c r="W389" s="187">
        <f t="shared" ref="W389:W452" si="15">V389+S389</f>
        <v>21681836</v>
      </c>
    </row>
    <row r="390" spans="1:23">
      <c r="A390" s="216" t="s">
        <v>4042</v>
      </c>
      <c r="B390" s="218">
        <v>915.47500000000002</v>
      </c>
      <c r="C390" s="218">
        <v>971.04899999999998</v>
      </c>
      <c r="D390" s="218">
        <v>1085.5540000000001</v>
      </c>
      <c r="E390" s="218">
        <v>1197.2629999999999</v>
      </c>
      <c r="F390" s="218">
        <v>139.38419999999999</v>
      </c>
      <c r="G390" s="218">
        <v>139.69749999999999</v>
      </c>
      <c r="H390" s="218">
        <v>157.93809999999999</v>
      </c>
      <c r="I390" s="218">
        <v>181.1095</v>
      </c>
      <c r="J390" s="246">
        <v>293160513</v>
      </c>
      <c r="K390" s="246">
        <v>304153938</v>
      </c>
      <c r="L390" s="218">
        <v>1628.3630000000001</v>
      </c>
      <c r="M390" s="246">
        <v>466311</v>
      </c>
      <c r="N390" s="251">
        <v>91.9773</v>
      </c>
      <c r="O390" s="251">
        <v>88.398399999999995</v>
      </c>
      <c r="P390" s="251">
        <v>105.7171</v>
      </c>
      <c r="Q390" s="251">
        <v>123.1938</v>
      </c>
      <c r="R390" s="254">
        <v>1.06</v>
      </c>
      <c r="S390" s="214">
        <v>694697</v>
      </c>
      <c r="T390" s="214">
        <v>4695057</v>
      </c>
      <c r="U390" s="214">
        <v>0</v>
      </c>
      <c r="V390" s="187">
        <f t="shared" si="14"/>
        <v>4695057</v>
      </c>
      <c r="W390" s="187">
        <f t="shared" si="15"/>
        <v>5389754</v>
      </c>
    </row>
    <row r="391" spans="1:23">
      <c r="A391" s="216" t="s">
        <v>3004</v>
      </c>
      <c r="B391" s="218">
        <v>1257.7270000000001</v>
      </c>
      <c r="C391" s="218">
        <v>1271.663</v>
      </c>
      <c r="D391" s="218">
        <v>1285.2429999999999</v>
      </c>
      <c r="E391" s="218">
        <v>1308.6400000000001</v>
      </c>
      <c r="F391" s="218">
        <v>184.9999</v>
      </c>
      <c r="G391" s="218">
        <v>198.05889999999999</v>
      </c>
      <c r="H391" s="218">
        <v>154.2285</v>
      </c>
      <c r="I391" s="218">
        <v>213.28870000000001</v>
      </c>
      <c r="J391" s="246">
        <v>406806918</v>
      </c>
      <c r="K391" s="246">
        <v>421099565</v>
      </c>
      <c r="L391" s="218">
        <v>1806.2850000000001</v>
      </c>
      <c r="M391" s="246">
        <v>315719</v>
      </c>
      <c r="N391" s="251">
        <v>114.3147</v>
      </c>
      <c r="O391" s="251">
        <v>116.78489999999999</v>
      </c>
      <c r="P391" s="251">
        <v>112.97709999999999</v>
      </c>
      <c r="Q391" s="251">
        <v>115.92619999999999</v>
      </c>
      <c r="R391" s="254">
        <v>1.05</v>
      </c>
      <c r="S391" s="214">
        <v>1206006</v>
      </c>
      <c r="T391" s="214">
        <v>5322726</v>
      </c>
      <c r="U391" s="214">
        <v>156522</v>
      </c>
      <c r="V391" s="187">
        <f t="shared" si="14"/>
        <v>5479248</v>
      </c>
      <c r="W391" s="187">
        <f t="shared" si="15"/>
        <v>6685254</v>
      </c>
    </row>
    <row r="392" spans="1:23">
      <c r="A392" s="216" t="s">
        <v>4044</v>
      </c>
      <c r="B392" s="218">
        <v>813.43499999999995</v>
      </c>
      <c r="C392" s="218">
        <v>798.02200000000005</v>
      </c>
      <c r="D392" s="218">
        <v>783.26800000000003</v>
      </c>
      <c r="E392" s="218">
        <v>761.57100000000003</v>
      </c>
      <c r="F392" s="218">
        <v>156.15010000000001</v>
      </c>
      <c r="G392" s="218">
        <v>157.91560000000001</v>
      </c>
      <c r="H392" s="218">
        <v>161.37530000000001</v>
      </c>
      <c r="I392" s="218">
        <v>150.65710000000001</v>
      </c>
      <c r="J392" s="246">
        <v>178443765</v>
      </c>
      <c r="K392" s="246">
        <v>185334110</v>
      </c>
      <c r="L392" s="218">
        <v>1227.875</v>
      </c>
      <c r="M392" s="187">
        <v>0</v>
      </c>
      <c r="N392" s="251">
        <v>109.0748</v>
      </c>
      <c r="O392" s="251">
        <v>110.65860000000001</v>
      </c>
      <c r="P392" s="251">
        <v>110.2401</v>
      </c>
      <c r="Q392" s="251">
        <v>102.7403</v>
      </c>
      <c r="R392" s="254">
        <v>1.06</v>
      </c>
      <c r="S392" s="214">
        <v>0</v>
      </c>
      <c r="T392" s="214">
        <v>3132026</v>
      </c>
      <c r="U392" s="214">
        <v>0</v>
      </c>
      <c r="V392" s="187">
        <f t="shared" si="14"/>
        <v>3132026</v>
      </c>
      <c r="W392" s="187">
        <f t="shared" si="15"/>
        <v>3132026</v>
      </c>
    </row>
    <row r="393" spans="1:23">
      <c r="A393" s="216" t="s">
        <v>4046</v>
      </c>
      <c r="B393" s="218">
        <v>173.29900000000001</v>
      </c>
      <c r="C393" s="218">
        <v>164.45</v>
      </c>
      <c r="D393" s="218">
        <v>159.48400000000001</v>
      </c>
      <c r="E393" s="218">
        <v>153.24799999999999</v>
      </c>
      <c r="F393" s="218">
        <v>32.909100000000002</v>
      </c>
      <c r="G393" s="218">
        <v>31.9894</v>
      </c>
      <c r="H393" s="218">
        <v>32.631</v>
      </c>
      <c r="I393" s="218">
        <v>31.582899999999999</v>
      </c>
      <c r="J393" s="246">
        <v>24427844</v>
      </c>
      <c r="K393" s="246">
        <v>25042495</v>
      </c>
      <c r="L393" s="218">
        <v>288.53100000000001</v>
      </c>
      <c r="M393" s="187">
        <v>0</v>
      </c>
      <c r="N393" s="251">
        <v>20.644400000000001</v>
      </c>
      <c r="O393" s="251">
        <v>19.6418</v>
      </c>
      <c r="P393" s="251">
        <v>20.833500000000001</v>
      </c>
      <c r="Q393" s="251">
        <v>19.697600000000001</v>
      </c>
      <c r="R393" s="254">
        <v>1.0900000000000001</v>
      </c>
      <c r="S393" s="214">
        <v>0</v>
      </c>
      <c r="T393" s="214">
        <v>431222</v>
      </c>
      <c r="U393" s="214">
        <v>0</v>
      </c>
      <c r="V393" s="187">
        <f t="shared" si="14"/>
        <v>431222</v>
      </c>
      <c r="W393" s="187">
        <f t="shared" si="15"/>
        <v>431222</v>
      </c>
    </row>
    <row r="394" spans="1:23">
      <c r="A394" s="216" t="s">
        <v>5402</v>
      </c>
      <c r="B394" s="218">
        <v>690.697</v>
      </c>
      <c r="C394" s="218">
        <v>646.13900000000001</v>
      </c>
      <c r="D394" s="218">
        <v>635.62800000000004</v>
      </c>
      <c r="E394" s="218">
        <v>618.02099999999996</v>
      </c>
      <c r="F394" s="218">
        <v>119.7169</v>
      </c>
      <c r="G394" s="218">
        <v>108.0498</v>
      </c>
      <c r="H394" s="218">
        <v>109.9</v>
      </c>
      <c r="I394" s="218">
        <v>110.39870000000001</v>
      </c>
      <c r="J394" s="246">
        <v>55722651</v>
      </c>
      <c r="K394" s="246">
        <v>60583629</v>
      </c>
      <c r="L394" s="218">
        <v>1074.203</v>
      </c>
      <c r="M394" s="187">
        <v>0</v>
      </c>
      <c r="N394" s="251">
        <v>81.962699999999998</v>
      </c>
      <c r="O394" s="251">
        <v>70.467600000000004</v>
      </c>
      <c r="P394" s="251">
        <v>71.595500000000001</v>
      </c>
      <c r="Q394" s="251">
        <v>72.620699999999999</v>
      </c>
      <c r="R394" s="254">
        <v>1.07</v>
      </c>
      <c r="S394" s="214">
        <v>0</v>
      </c>
      <c r="T394" s="214">
        <v>850332</v>
      </c>
      <c r="U394" s="214">
        <v>0</v>
      </c>
      <c r="V394" s="187">
        <f t="shared" si="14"/>
        <v>850332</v>
      </c>
      <c r="W394" s="187">
        <f t="shared" si="15"/>
        <v>850332</v>
      </c>
    </row>
    <row r="395" spans="1:23">
      <c r="A395" s="216" t="s">
        <v>5404</v>
      </c>
      <c r="B395" s="218">
        <v>366.99900000000002</v>
      </c>
      <c r="C395" s="218">
        <v>336.101</v>
      </c>
      <c r="D395" s="218">
        <v>325.95100000000002</v>
      </c>
      <c r="E395" s="218">
        <v>315.43</v>
      </c>
      <c r="F395" s="218">
        <v>62.171399999999998</v>
      </c>
      <c r="G395" s="218">
        <v>57.791400000000003</v>
      </c>
      <c r="H395" s="218">
        <v>57.487000000000002</v>
      </c>
      <c r="I395" s="218">
        <v>57.075200000000002</v>
      </c>
      <c r="J395" s="246">
        <v>35381185</v>
      </c>
      <c r="K395" s="246">
        <v>38602664</v>
      </c>
      <c r="L395" s="218">
        <v>555.45299999999997</v>
      </c>
      <c r="M395" s="246">
        <v>20339</v>
      </c>
      <c r="N395" s="251">
        <v>40.952800000000003</v>
      </c>
      <c r="O395" s="251">
        <v>38.684100000000001</v>
      </c>
      <c r="P395" s="251">
        <v>38.527799999999999</v>
      </c>
      <c r="Q395" s="251">
        <v>39.627699999999997</v>
      </c>
      <c r="R395" s="254">
        <v>1.06</v>
      </c>
      <c r="S395" s="214">
        <v>21183</v>
      </c>
      <c r="T395" s="214">
        <v>593026</v>
      </c>
      <c r="U395" s="214">
        <v>0</v>
      </c>
      <c r="V395" s="187">
        <f t="shared" si="14"/>
        <v>593026</v>
      </c>
      <c r="W395" s="187">
        <f t="shared" si="15"/>
        <v>614209</v>
      </c>
    </row>
    <row r="396" spans="1:23">
      <c r="A396" s="216" t="s">
        <v>423</v>
      </c>
      <c r="B396" s="218">
        <v>5756.4059999999999</v>
      </c>
      <c r="C396" s="218">
        <v>5553.04</v>
      </c>
      <c r="D396" s="218">
        <v>5490.1779999999999</v>
      </c>
      <c r="E396" s="218">
        <v>5449.31</v>
      </c>
      <c r="F396" s="218">
        <v>759.98919999999998</v>
      </c>
      <c r="G396" s="218">
        <v>754.74869999999999</v>
      </c>
      <c r="H396" s="218">
        <v>699.12980000000005</v>
      </c>
      <c r="I396" s="218">
        <v>708.0367</v>
      </c>
      <c r="J396" s="246">
        <v>793123373</v>
      </c>
      <c r="K396" s="246">
        <v>837351252</v>
      </c>
      <c r="L396" s="218">
        <v>7389.8140000000003</v>
      </c>
      <c r="M396" s="187">
        <v>0</v>
      </c>
      <c r="N396" s="251">
        <v>572.07100000000003</v>
      </c>
      <c r="O396" s="251">
        <v>566.24149999999997</v>
      </c>
      <c r="P396" s="251">
        <v>519.50840000000005</v>
      </c>
      <c r="Q396" s="251">
        <v>533.17070000000001</v>
      </c>
      <c r="R396" s="254">
        <v>1.0900000000000001</v>
      </c>
      <c r="S396" s="214">
        <v>0</v>
      </c>
      <c r="T396" s="214">
        <v>10848582</v>
      </c>
      <c r="U396" s="214">
        <v>0</v>
      </c>
      <c r="V396" s="187">
        <f t="shared" si="14"/>
        <v>10848582</v>
      </c>
      <c r="W396" s="187">
        <f t="shared" si="15"/>
        <v>10848582</v>
      </c>
    </row>
    <row r="397" spans="1:23">
      <c r="A397" s="216" t="s">
        <v>425</v>
      </c>
      <c r="B397" s="218">
        <v>504.05099999999999</v>
      </c>
      <c r="C397" s="218">
        <v>525.58799999999997</v>
      </c>
      <c r="D397" s="218">
        <v>518.25</v>
      </c>
      <c r="E397" s="218">
        <v>506.52199999999999</v>
      </c>
      <c r="F397" s="218">
        <v>107.3155</v>
      </c>
      <c r="G397" s="218">
        <v>117.72190000000001</v>
      </c>
      <c r="H397" s="218">
        <v>119.1631</v>
      </c>
      <c r="I397" s="218">
        <v>118.8403</v>
      </c>
      <c r="J397" s="246">
        <v>86362914</v>
      </c>
      <c r="K397" s="246">
        <v>92958854</v>
      </c>
      <c r="L397" s="218">
        <v>994.83699999999999</v>
      </c>
      <c r="M397" s="187">
        <v>0</v>
      </c>
      <c r="N397" s="251">
        <v>79.394800000000004</v>
      </c>
      <c r="O397" s="251">
        <v>83.441999999999993</v>
      </c>
      <c r="P397" s="251">
        <v>84.5244</v>
      </c>
      <c r="Q397" s="251">
        <v>81.205299999999994</v>
      </c>
      <c r="R397" s="254">
        <v>1.02</v>
      </c>
      <c r="S397" s="214">
        <v>0</v>
      </c>
      <c r="T397" s="214">
        <v>1292345</v>
      </c>
      <c r="U397" s="214">
        <v>0</v>
      </c>
      <c r="V397" s="187">
        <f t="shared" si="14"/>
        <v>1292345</v>
      </c>
      <c r="W397" s="187">
        <f t="shared" si="15"/>
        <v>1292345</v>
      </c>
    </row>
    <row r="398" spans="1:23">
      <c r="A398" s="216" t="s">
        <v>427</v>
      </c>
      <c r="B398" s="218">
        <v>247.833</v>
      </c>
      <c r="C398" s="218">
        <v>247.81</v>
      </c>
      <c r="D398" s="218">
        <v>240.32599999999999</v>
      </c>
      <c r="E398" s="218">
        <v>251.279</v>
      </c>
      <c r="F398" s="218">
        <v>50.659799999999997</v>
      </c>
      <c r="G398" s="218">
        <v>49.1295</v>
      </c>
      <c r="H398" s="218">
        <v>50.0092</v>
      </c>
      <c r="I398" s="218">
        <v>50.265999999999998</v>
      </c>
      <c r="J398" s="246">
        <v>34557872</v>
      </c>
      <c r="K398" s="246">
        <v>37293072</v>
      </c>
      <c r="L398" s="218">
        <v>505.79700000000003</v>
      </c>
      <c r="M398" s="187">
        <v>0</v>
      </c>
      <c r="N398" s="251">
        <v>37.715699999999998</v>
      </c>
      <c r="O398" s="251">
        <v>38.450600000000001</v>
      </c>
      <c r="P398" s="251">
        <v>36.564100000000003</v>
      </c>
      <c r="Q398" s="251">
        <v>33.885399999999997</v>
      </c>
      <c r="R398" s="254">
        <v>1.04</v>
      </c>
      <c r="S398" s="214">
        <v>0</v>
      </c>
      <c r="T398" s="214">
        <v>443122</v>
      </c>
      <c r="U398" s="214">
        <v>0</v>
      </c>
      <c r="V398" s="187">
        <f t="shared" si="14"/>
        <v>443122</v>
      </c>
      <c r="W398" s="187">
        <f t="shared" si="15"/>
        <v>443122</v>
      </c>
    </row>
    <row r="399" spans="1:23">
      <c r="A399" s="216" t="s">
        <v>429</v>
      </c>
      <c r="B399" s="218">
        <v>866.79600000000005</v>
      </c>
      <c r="C399" s="218">
        <v>865.56200000000001</v>
      </c>
      <c r="D399" s="218">
        <v>870.48199999999997</v>
      </c>
      <c r="E399" s="218">
        <v>866.11500000000001</v>
      </c>
      <c r="F399" s="218">
        <v>161.77850000000001</v>
      </c>
      <c r="G399" s="218">
        <v>170.46289999999999</v>
      </c>
      <c r="H399" s="218">
        <v>173.0377</v>
      </c>
      <c r="I399" s="218">
        <v>167.4949</v>
      </c>
      <c r="J399" s="246">
        <v>156610356</v>
      </c>
      <c r="K399" s="246">
        <v>170612036</v>
      </c>
      <c r="L399" s="218">
        <v>1490.925</v>
      </c>
      <c r="M399" s="246">
        <v>228811</v>
      </c>
      <c r="N399" s="251">
        <v>106.0313</v>
      </c>
      <c r="O399" s="251">
        <v>117.9684</v>
      </c>
      <c r="P399" s="251">
        <v>113.24979999999999</v>
      </c>
      <c r="Q399" s="251">
        <v>106.4354</v>
      </c>
      <c r="R399" s="254">
        <v>1.04</v>
      </c>
      <c r="S399" s="214">
        <v>247566</v>
      </c>
      <c r="T399" s="214">
        <v>2342411</v>
      </c>
      <c r="U399" s="214">
        <v>0</v>
      </c>
      <c r="V399" s="187">
        <f t="shared" si="14"/>
        <v>2342411</v>
      </c>
      <c r="W399" s="187">
        <f t="shared" si="15"/>
        <v>2589977</v>
      </c>
    </row>
    <row r="400" spans="1:23">
      <c r="A400" s="216" t="s">
        <v>446</v>
      </c>
      <c r="B400" s="218">
        <v>646.505</v>
      </c>
      <c r="C400" s="218">
        <v>629.178</v>
      </c>
      <c r="D400" s="218">
        <v>623.26</v>
      </c>
      <c r="E400" s="218">
        <v>651.55799999999999</v>
      </c>
      <c r="F400" s="218">
        <v>97.860799999999998</v>
      </c>
      <c r="G400" s="218">
        <v>102.2298</v>
      </c>
      <c r="H400" s="218">
        <v>99.887500000000003</v>
      </c>
      <c r="I400" s="218">
        <v>101.9036</v>
      </c>
      <c r="J400" s="246">
        <v>70152581</v>
      </c>
      <c r="K400" s="246">
        <v>76871901</v>
      </c>
      <c r="L400" s="218">
        <v>1064.252</v>
      </c>
      <c r="M400" s="246">
        <v>13505</v>
      </c>
      <c r="N400" s="251">
        <v>70.764099999999999</v>
      </c>
      <c r="O400" s="251">
        <v>73.376300000000001</v>
      </c>
      <c r="P400" s="251">
        <v>73.980400000000003</v>
      </c>
      <c r="Q400" s="251">
        <v>74.888000000000005</v>
      </c>
      <c r="R400" s="254">
        <v>1.03</v>
      </c>
      <c r="S400" s="214">
        <v>109089</v>
      </c>
      <c r="T400" s="214">
        <v>1160076</v>
      </c>
      <c r="U400" s="214">
        <v>0</v>
      </c>
      <c r="V400" s="187">
        <f t="shared" si="14"/>
        <v>1160076</v>
      </c>
      <c r="W400" s="187">
        <f t="shared" si="15"/>
        <v>1269165</v>
      </c>
    </row>
    <row r="401" spans="1:23">
      <c r="A401" s="216" t="s">
        <v>431</v>
      </c>
      <c r="B401" s="218">
        <v>443.84899999999999</v>
      </c>
      <c r="C401" s="218">
        <v>416.03800000000001</v>
      </c>
      <c r="D401" s="218">
        <v>403.47399999999999</v>
      </c>
      <c r="E401" s="218">
        <v>377.245</v>
      </c>
      <c r="F401" s="218">
        <v>78.592100000000002</v>
      </c>
      <c r="G401" s="218">
        <v>78.318899999999999</v>
      </c>
      <c r="H401" s="218">
        <v>83.587299999999999</v>
      </c>
      <c r="I401" s="218">
        <v>74.181799999999996</v>
      </c>
      <c r="J401" s="246">
        <v>219827962</v>
      </c>
      <c r="K401" s="246">
        <v>223776637</v>
      </c>
      <c r="L401" s="218">
        <v>727.29</v>
      </c>
      <c r="M401" s="187">
        <v>0</v>
      </c>
      <c r="N401" s="251">
        <v>50.095599999999997</v>
      </c>
      <c r="O401" s="251">
        <v>51.792499999999997</v>
      </c>
      <c r="P401" s="251">
        <v>51.198700000000002</v>
      </c>
      <c r="Q401" s="251">
        <v>47.470300000000002</v>
      </c>
      <c r="R401" s="254">
        <v>1.0900000000000001</v>
      </c>
      <c r="S401" s="214">
        <v>0</v>
      </c>
      <c r="T401" s="214">
        <v>3414846</v>
      </c>
      <c r="U401" s="214">
        <v>0</v>
      </c>
      <c r="V401" s="187">
        <f t="shared" si="14"/>
        <v>3414846</v>
      </c>
      <c r="W401" s="187">
        <f t="shared" si="15"/>
        <v>3414846</v>
      </c>
    </row>
    <row r="402" spans="1:23">
      <c r="A402" s="216" t="s">
        <v>4945</v>
      </c>
      <c r="B402" s="218">
        <v>86.11</v>
      </c>
      <c r="C402" s="218">
        <v>96.697000000000003</v>
      </c>
      <c r="D402" s="218">
        <v>102.82299999999999</v>
      </c>
      <c r="E402" s="218">
        <v>100.376</v>
      </c>
      <c r="F402" s="218">
        <v>22.155100000000001</v>
      </c>
      <c r="G402" s="218">
        <v>25.099</v>
      </c>
      <c r="H402" s="218">
        <v>26.1738</v>
      </c>
      <c r="I402" s="218">
        <v>25.6631</v>
      </c>
      <c r="J402" s="246">
        <v>94955511</v>
      </c>
      <c r="K402" s="246">
        <v>95542466</v>
      </c>
      <c r="L402" s="218">
        <v>224.02799999999999</v>
      </c>
      <c r="M402" s="187">
        <v>0</v>
      </c>
      <c r="N402" s="251">
        <v>13.323600000000001</v>
      </c>
      <c r="O402" s="251">
        <v>15.388999999999999</v>
      </c>
      <c r="P402" s="251">
        <v>17.443200000000001</v>
      </c>
      <c r="Q402" s="251">
        <v>17.2987</v>
      </c>
      <c r="R402" s="254">
        <v>1.0900000000000001</v>
      </c>
      <c r="S402" s="214">
        <v>0</v>
      </c>
      <c r="T402" s="214">
        <v>1355087</v>
      </c>
      <c r="U402" s="214">
        <v>0</v>
      </c>
      <c r="V402" s="187">
        <f t="shared" si="14"/>
        <v>1355087</v>
      </c>
      <c r="W402" s="187">
        <f t="shared" si="15"/>
        <v>1355087</v>
      </c>
    </row>
    <row r="403" spans="1:23">
      <c r="A403" s="216" t="s">
        <v>4947</v>
      </c>
      <c r="B403" s="218">
        <v>712.18899999999996</v>
      </c>
      <c r="C403" s="218">
        <v>720.48599999999999</v>
      </c>
      <c r="D403" s="218">
        <v>713.28899999999999</v>
      </c>
      <c r="E403" s="218">
        <v>700.38900000000001</v>
      </c>
      <c r="F403" s="218">
        <v>118.1579</v>
      </c>
      <c r="G403" s="218">
        <v>119.2756</v>
      </c>
      <c r="H403" s="218">
        <v>123.0424</v>
      </c>
      <c r="I403" s="218">
        <v>125.12260000000001</v>
      </c>
      <c r="J403" s="246">
        <v>278338921</v>
      </c>
      <c r="K403" s="246">
        <v>287322821</v>
      </c>
      <c r="L403" s="218">
        <v>1258.4259999999999</v>
      </c>
      <c r="M403" s="246">
        <v>182700</v>
      </c>
      <c r="N403" s="251">
        <v>83.809299999999993</v>
      </c>
      <c r="O403" s="251">
        <v>84.5458</v>
      </c>
      <c r="P403" s="251">
        <v>85.8292</v>
      </c>
      <c r="Q403" s="251">
        <v>87.645399999999995</v>
      </c>
      <c r="R403" s="254">
        <v>1.08</v>
      </c>
      <c r="S403" s="214">
        <v>237940</v>
      </c>
      <c r="T403" s="214">
        <v>4083073</v>
      </c>
      <c r="U403" s="214">
        <v>0</v>
      </c>
      <c r="V403" s="187">
        <f t="shared" si="14"/>
        <v>4083073</v>
      </c>
      <c r="W403" s="187">
        <f t="shared" si="15"/>
        <v>4321013</v>
      </c>
    </row>
    <row r="404" spans="1:23">
      <c r="A404" s="216" t="s">
        <v>4949</v>
      </c>
      <c r="B404" s="218">
        <v>248.08500000000001</v>
      </c>
      <c r="C404" s="218">
        <v>240.42099999999999</v>
      </c>
      <c r="D404" s="218">
        <v>234.095</v>
      </c>
      <c r="E404" s="218">
        <v>227.61099999999999</v>
      </c>
      <c r="F404" s="218">
        <v>43.963700000000003</v>
      </c>
      <c r="G404" s="218">
        <v>42.826799999999999</v>
      </c>
      <c r="H404" s="218">
        <v>43.8187</v>
      </c>
      <c r="I404" s="218">
        <v>42.848100000000002</v>
      </c>
      <c r="J404" s="246">
        <v>79847595</v>
      </c>
      <c r="K404" s="246">
        <v>82002575</v>
      </c>
      <c r="L404" s="218">
        <v>405.358</v>
      </c>
      <c r="M404" s="187">
        <v>0</v>
      </c>
      <c r="N404" s="251">
        <v>26.232800000000001</v>
      </c>
      <c r="O404" s="251">
        <v>26.4328</v>
      </c>
      <c r="P404" s="251">
        <v>27.666</v>
      </c>
      <c r="Q404" s="251">
        <v>26.094200000000001</v>
      </c>
      <c r="R404" s="254">
        <v>1.04</v>
      </c>
      <c r="S404" s="214">
        <v>0</v>
      </c>
      <c r="T404" s="214">
        <v>1093708</v>
      </c>
      <c r="U404" s="214">
        <v>0</v>
      </c>
      <c r="V404" s="187">
        <f t="shared" si="14"/>
        <v>1093708</v>
      </c>
      <c r="W404" s="187">
        <f t="shared" si="15"/>
        <v>1093708</v>
      </c>
    </row>
    <row r="405" spans="1:23">
      <c r="A405" s="216" t="s">
        <v>4951</v>
      </c>
      <c r="B405" s="218">
        <v>607.84400000000005</v>
      </c>
      <c r="C405" s="218">
        <v>585.6</v>
      </c>
      <c r="D405" s="218">
        <v>572.46100000000001</v>
      </c>
      <c r="E405" s="218">
        <v>557.70799999999997</v>
      </c>
      <c r="F405" s="218">
        <v>125.50530000000001</v>
      </c>
      <c r="G405" s="218">
        <v>122.2272</v>
      </c>
      <c r="H405" s="218">
        <v>125.8586</v>
      </c>
      <c r="I405" s="218">
        <v>123.0936</v>
      </c>
      <c r="J405" s="246">
        <v>168264726</v>
      </c>
      <c r="K405" s="246">
        <v>176030076</v>
      </c>
      <c r="L405" s="218">
        <v>1066.8630000000001</v>
      </c>
      <c r="M405" s="246">
        <v>65926</v>
      </c>
      <c r="N405" s="251">
        <v>85.623199999999997</v>
      </c>
      <c r="O405" s="251">
        <v>85.238699999999994</v>
      </c>
      <c r="P405" s="251">
        <v>85.691699999999997</v>
      </c>
      <c r="Q405" s="251">
        <v>83.040899999999993</v>
      </c>
      <c r="R405" s="254">
        <v>1.03</v>
      </c>
      <c r="S405" s="214">
        <v>81805</v>
      </c>
      <c r="T405" s="214">
        <v>2350316</v>
      </c>
      <c r="U405" s="214">
        <v>0</v>
      </c>
      <c r="V405" s="187">
        <f t="shared" si="14"/>
        <v>2350316</v>
      </c>
      <c r="W405" s="187">
        <f t="shared" si="15"/>
        <v>2432121</v>
      </c>
    </row>
    <row r="406" spans="1:23">
      <c r="A406" s="216" t="s">
        <v>1560</v>
      </c>
      <c r="B406" s="218">
        <v>1280.7380000000001</v>
      </c>
      <c r="C406" s="218">
        <v>1267.019</v>
      </c>
      <c r="D406" s="218">
        <v>1291.3</v>
      </c>
      <c r="E406" s="218">
        <v>1300.1579999999999</v>
      </c>
      <c r="F406" s="218">
        <v>212.07390000000001</v>
      </c>
      <c r="G406" s="218">
        <v>218.85329999999999</v>
      </c>
      <c r="H406" s="218">
        <v>222.19280000000001</v>
      </c>
      <c r="I406" s="218">
        <v>219.13939999999999</v>
      </c>
      <c r="J406" s="246">
        <v>163488910</v>
      </c>
      <c r="K406" s="246">
        <v>181120910</v>
      </c>
      <c r="L406" s="218">
        <v>1876.731</v>
      </c>
      <c r="M406" s="246">
        <v>137576</v>
      </c>
      <c r="N406" s="251">
        <v>133.20910000000001</v>
      </c>
      <c r="O406" s="251">
        <v>136.70269999999999</v>
      </c>
      <c r="P406" s="251">
        <v>140.1651</v>
      </c>
      <c r="Q406" s="251">
        <v>139.79339999999999</v>
      </c>
      <c r="R406" s="254">
        <v>1.08</v>
      </c>
      <c r="S406" s="214">
        <v>142627</v>
      </c>
      <c r="T406" s="214">
        <v>2387140</v>
      </c>
      <c r="U406" s="214">
        <v>0</v>
      </c>
      <c r="V406" s="187">
        <f t="shared" si="14"/>
        <v>2387140</v>
      </c>
      <c r="W406" s="187">
        <f t="shared" si="15"/>
        <v>2529767</v>
      </c>
    </row>
    <row r="407" spans="1:23">
      <c r="A407" s="216" t="s">
        <v>2398</v>
      </c>
      <c r="B407" s="218">
        <v>3065.009</v>
      </c>
      <c r="C407" s="218">
        <v>3021.1869999999999</v>
      </c>
      <c r="D407" s="218">
        <v>2963.5050000000001</v>
      </c>
      <c r="E407" s="218">
        <v>2931.2950000000001</v>
      </c>
      <c r="F407" s="218">
        <v>562.8854</v>
      </c>
      <c r="G407" s="218">
        <v>534.49860000000001</v>
      </c>
      <c r="H407" s="218">
        <v>535.81410000000005</v>
      </c>
      <c r="I407" s="218">
        <v>533.10879999999997</v>
      </c>
      <c r="J407" s="246">
        <v>406850904</v>
      </c>
      <c r="K407" s="246">
        <v>448150044</v>
      </c>
      <c r="L407" s="218">
        <v>4050.5219999999999</v>
      </c>
      <c r="M407" s="246">
        <v>60147</v>
      </c>
      <c r="N407" s="251">
        <v>353.36829999999998</v>
      </c>
      <c r="O407" s="251">
        <v>338.45960000000002</v>
      </c>
      <c r="P407" s="251">
        <v>320.11410000000001</v>
      </c>
      <c r="Q407" s="251">
        <v>293.41390000000001</v>
      </c>
      <c r="R407" s="254">
        <v>1.0900000000000001</v>
      </c>
      <c r="S407" s="214">
        <v>488022</v>
      </c>
      <c r="T407" s="214">
        <v>6053914</v>
      </c>
      <c r="U407" s="214">
        <v>0</v>
      </c>
      <c r="V407" s="187">
        <f t="shared" si="14"/>
        <v>6053914</v>
      </c>
      <c r="W407" s="187">
        <f t="shared" si="15"/>
        <v>6541936</v>
      </c>
    </row>
    <row r="408" spans="1:23">
      <c r="A408" s="216" t="s">
        <v>1562</v>
      </c>
      <c r="B408" s="218">
        <v>2109.4140000000002</v>
      </c>
      <c r="C408" s="218">
        <v>2041.3530000000001</v>
      </c>
      <c r="D408" s="218">
        <v>1993.3869999999999</v>
      </c>
      <c r="E408" s="218">
        <v>1980.2429999999999</v>
      </c>
      <c r="F408" s="218">
        <v>303.06849999999997</v>
      </c>
      <c r="G408" s="218">
        <v>295.78570000000002</v>
      </c>
      <c r="H408" s="218">
        <v>299.57780000000002</v>
      </c>
      <c r="I408" s="218">
        <v>298.0949</v>
      </c>
      <c r="J408" s="246">
        <v>454038086</v>
      </c>
      <c r="K408" s="246">
        <v>478141743</v>
      </c>
      <c r="L408" s="218">
        <v>2646.7730000000001</v>
      </c>
      <c r="M408" s="246">
        <v>189933</v>
      </c>
      <c r="N408" s="251">
        <v>187.2004</v>
      </c>
      <c r="O408" s="251">
        <v>185.14789999999999</v>
      </c>
      <c r="P408" s="251">
        <v>182.81</v>
      </c>
      <c r="Q408" s="251">
        <v>184.09180000000001</v>
      </c>
      <c r="R408" s="254">
        <v>1.0900000000000001</v>
      </c>
      <c r="S408" s="214">
        <v>425988</v>
      </c>
      <c r="T408" s="214">
        <v>6107848</v>
      </c>
      <c r="U408" s="214">
        <v>0</v>
      </c>
      <c r="V408" s="187">
        <f t="shared" si="14"/>
        <v>6107848</v>
      </c>
      <c r="W408" s="187">
        <f t="shared" si="15"/>
        <v>6533836</v>
      </c>
    </row>
    <row r="409" spans="1:23">
      <c r="A409" s="216" t="s">
        <v>2997</v>
      </c>
      <c r="B409" s="218">
        <v>3022.6089999999999</v>
      </c>
      <c r="C409" s="218">
        <v>3002.8710000000001</v>
      </c>
      <c r="D409" s="218">
        <v>3078.9189999999999</v>
      </c>
      <c r="E409" s="218">
        <v>3159.2539999999999</v>
      </c>
      <c r="F409" s="218">
        <v>429.34070000000003</v>
      </c>
      <c r="G409" s="218">
        <v>441.96109999999999</v>
      </c>
      <c r="H409" s="218">
        <v>463.2672</v>
      </c>
      <c r="I409" s="218">
        <v>474.50850000000003</v>
      </c>
      <c r="J409" s="246">
        <v>362870590</v>
      </c>
      <c r="K409" s="246">
        <v>402357330</v>
      </c>
      <c r="L409" s="218">
        <v>4080.0659999999998</v>
      </c>
      <c r="M409" s="246">
        <v>18833</v>
      </c>
      <c r="N409" s="251">
        <v>236.39609999999999</v>
      </c>
      <c r="O409" s="251">
        <v>256.70080000000002</v>
      </c>
      <c r="P409" s="251">
        <v>267.26029999999997</v>
      </c>
      <c r="Q409" s="251">
        <v>280.339</v>
      </c>
      <c r="R409" s="254">
        <v>1.0900000000000001</v>
      </c>
      <c r="S409" s="214">
        <v>526081</v>
      </c>
      <c r="T409" s="214">
        <v>6114610</v>
      </c>
      <c r="U409" s="214">
        <v>0</v>
      </c>
      <c r="V409" s="187">
        <f t="shared" si="14"/>
        <v>6114610</v>
      </c>
      <c r="W409" s="187">
        <f t="shared" si="15"/>
        <v>6640691</v>
      </c>
    </row>
    <row r="410" spans="1:23">
      <c r="A410" s="216" t="s">
        <v>856</v>
      </c>
      <c r="B410" s="218">
        <v>633.16</v>
      </c>
      <c r="C410" s="218">
        <v>651.98199999999997</v>
      </c>
      <c r="D410" s="218">
        <v>652.14599999999996</v>
      </c>
      <c r="E410" s="218">
        <v>642.79200000000003</v>
      </c>
      <c r="F410" s="218">
        <v>111.0839</v>
      </c>
      <c r="G410" s="218">
        <v>116.0329</v>
      </c>
      <c r="H410" s="218">
        <v>116.94070000000001</v>
      </c>
      <c r="I410" s="218">
        <v>117.11620000000001</v>
      </c>
      <c r="J410" s="246">
        <v>89149172</v>
      </c>
      <c r="K410" s="246">
        <v>97438852</v>
      </c>
      <c r="L410" s="218">
        <v>1049.931</v>
      </c>
      <c r="M410" s="246">
        <v>98268</v>
      </c>
      <c r="N410" s="251">
        <v>75.607299999999995</v>
      </c>
      <c r="O410" s="251">
        <v>76.428700000000006</v>
      </c>
      <c r="P410" s="251">
        <v>74.6417</v>
      </c>
      <c r="Q410" s="251">
        <v>76.898600000000002</v>
      </c>
      <c r="R410" s="254">
        <v>1.08</v>
      </c>
      <c r="S410" s="214">
        <v>222619</v>
      </c>
      <c r="T410" s="214">
        <v>1448149</v>
      </c>
      <c r="U410" s="214">
        <v>0</v>
      </c>
      <c r="V410" s="187">
        <f t="shared" si="14"/>
        <v>1448149</v>
      </c>
      <c r="W410" s="187">
        <f t="shared" si="15"/>
        <v>1670768</v>
      </c>
    </row>
    <row r="411" spans="1:23">
      <c r="A411" s="216" t="s">
        <v>819</v>
      </c>
      <c r="B411" s="218">
        <v>46619.641000000003</v>
      </c>
      <c r="C411" s="218">
        <v>47874.209000000003</v>
      </c>
      <c r="D411" s="218">
        <v>48967.067999999999</v>
      </c>
      <c r="E411" s="218">
        <v>50922.508999999998</v>
      </c>
      <c r="F411" s="218">
        <v>7074.4216999999999</v>
      </c>
      <c r="G411" s="218">
        <v>7170.0806000000002</v>
      </c>
      <c r="H411" s="218">
        <v>7437.2506000000003</v>
      </c>
      <c r="I411" s="218">
        <v>7668.4255000000003</v>
      </c>
      <c r="J411" s="246">
        <v>7957346686</v>
      </c>
      <c r="K411" s="246">
        <v>8239266876</v>
      </c>
      <c r="L411" s="218">
        <v>69665.180999999997</v>
      </c>
      <c r="M411" s="246">
        <v>4504191</v>
      </c>
      <c r="N411" s="251">
        <v>4509.9874</v>
      </c>
      <c r="O411" s="251">
        <v>4635.2347</v>
      </c>
      <c r="P411" s="251">
        <v>4773.6062000000002</v>
      </c>
      <c r="Q411" s="251">
        <v>4925.2255999999998</v>
      </c>
      <c r="R411" s="254">
        <v>1.1599999999999999</v>
      </c>
      <c r="S411" s="214">
        <v>7484528</v>
      </c>
      <c r="T411" s="214">
        <v>125466770</v>
      </c>
      <c r="U411" s="214">
        <v>3100777</v>
      </c>
      <c r="V411" s="187">
        <f t="shared" si="14"/>
        <v>128567547</v>
      </c>
      <c r="W411" s="187">
        <f t="shared" si="15"/>
        <v>136052075</v>
      </c>
    </row>
    <row r="412" spans="1:23">
      <c r="A412" s="216" t="s">
        <v>3887</v>
      </c>
      <c r="B412" s="218">
        <v>37187.96</v>
      </c>
      <c r="C412" s="218">
        <v>37869.33</v>
      </c>
      <c r="D412" s="218">
        <v>39007.879000000001</v>
      </c>
      <c r="E412" s="218">
        <v>41332.184999999998</v>
      </c>
      <c r="F412" s="218">
        <v>5095.1859000000004</v>
      </c>
      <c r="G412" s="218">
        <v>5186.2457000000004</v>
      </c>
      <c r="H412" s="218">
        <v>5245.7438000000002</v>
      </c>
      <c r="I412" s="218">
        <v>5522.3635000000004</v>
      </c>
      <c r="J412" s="246">
        <v>7200239956</v>
      </c>
      <c r="K412" s="246">
        <v>7446813106</v>
      </c>
      <c r="L412" s="218">
        <v>55335.942999999999</v>
      </c>
      <c r="M412" s="246">
        <v>7208096</v>
      </c>
      <c r="N412" s="251">
        <v>3160.8661999999999</v>
      </c>
      <c r="O412" s="251">
        <v>3026.7743</v>
      </c>
      <c r="P412" s="251">
        <v>3170.9249</v>
      </c>
      <c r="Q412" s="251">
        <v>3438.6345999999999</v>
      </c>
      <c r="R412" s="254">
        <v>1.1599999999999999</v>
      </c>
      <c r="S412" s="214">
        <v>16618481</v>
      </c>
      <c r="T412" s="214">
        <v>112683760</v>
      </c>
      <c r="U412" s="214">
        <v>0</v>
      </c>
      <c r="V412" s="187">
        <f t="shared" si="14"/>
        <v>112683760</v>
      </c>
      <c r="W412" s="187">
        <f t="shared" si="15"/>
        <v>129302241</v>
      </c>
    </row>
    <row r="413" spans="1:23">
      <c r="A413" s="216" t="s">
        <v>1988</v>
      </c>
      <c r="B413" s="218">
        <v>6029.375</v>
      </c>
      <c r="C413" s="218">
        <v>6260.857</v>
      </c>
      <c r="D413" s="218">
        <v>6483.0079999999998</v>
      </c>
      <c r="E413" s="218">
        <v>6665.1049999999996</v>
      </c>
      <c r="F413" s="218">
        <v>804.13459999999998</v>
      </c>
      <c r="G413" s="218">
        <v>837.42330000000004</v>
      </c>
      <c r="H413" s="218">
        <v>864.61320000000001</v>
      </c>
      <c r="I413" s="218">
        <v>905.93939999999998</v>
      </c>
      <c r="J413" s="246">
        <v>1630598228</v>
      </c>
      <c r="K413" s="246">
        <v>1679334058</v>
      </c>
      <c r="L413" s="218">
        <v>8998.36</v>
      </c>
      <c r="M413" s="246">
        <v>2147109</v>
      </c>
      <c r="N413" s="251">
        <v>487.64609999999999</v>
      </c>
      <c r="O413" s="251">
        <v>452.37720000000002</v>
      </c>
      <c r="P413" s="251">
        <v>485.79579999999999</v>
      </c>
      <c r="Q413" s="251">
        <v>518.18119999999999</v>
      </c>
      <c r="R413" s="254">
        <v>1.1399999999999999</v>
      </c>
      <c r="S413" s="214">
        <v>2491178</v>
      </c>
      <c r="T413" s="214">
        <v>24519798</v>
      </c>
      <c r="U413" s="214">
        <v>0</v>
      </c>
      <c r="V413" s="187">
        <f t="shared" si="14"/>
        <v>24519798</v>
      </c>
      <c r="W413" s="187">
        <f t="shared" si="15"/>
        <v>27010976</v>
      </c>
    </row>
    <row r="414" spans="1:23">
      <c r="A414" s="216" t="s">
        <v>245</v>
      </c>
      <c r="B414" s="218">
        <v>3704.6480000000001</v>
      </c>
      <c r="C414" s="218">
        <v>3715.53</v>
      </c>
      <c r="D414" s="218">
        <v>3752.9949999999999</v>
      </c>
      <c r="E414" s="218">
        <v>3866.4389999999999</v>
      </c>
      <c r="F414" s="218">
        <v>490.30630000000002</v>
      </c>
      <c r="G414" s="218">
        <v>557.33330000000001</v>
      </c>
      <c r="H414" s="218">
        <v>576.77210000000002</v>
      </c>
      <c r="I414" s="218">
        <v>596.33330000000001</v>
      </c>
      <c r="J414" s="246">
        <v>604530294</v>
      </c>
      <c r="K414" s="246">
        <v>650031284</v>
      </c>
      <c r="L414" s="218">
        <v>5110.2449999999999</v>
      </c>
      <c r="M414" s="246">
        <v>756870</v>
      </c>
      <c r="N414" s="251">
        <v>285.23480000000001</v>
      </c>
      <c r="O414" s="251">
        <v>300.36579999999998</v>
      </c>
      <c r="P414" s="251">
        <v>311.15789999999998</v>
      </c>
      <c r="Q414" s="251">
        <v>318.1909</v>
      </c>
      <c r="R414" s="254">
        <v>1.1299999999999999</v>
      </c>
      <c r="S414" s="214">
        <v>1137678</v>
      </c>
      <c r="T414" s="214">
        <v>9828894</v>
      </c>
      <c r="U414" s="214">
        <v>0</v>
      </c>
      <c r="V414" s="187">
        <f t="shared" si="14"/>
        <v>9828894</v>
      </c>
      <c r="W414" s="187">
        <f t="shared" si="15"/>
        <v>10966572</v>
      </c>
    </row>
    <row r="415" spans="1:23">
      <c r="A415" s="216" t="s">
        <v>1990</v>
      </c>
      <c r="B415" s="218">
        <v>57298.873</v>
      </c>
      <c r="C415" s="218">
        <v>60129.93</v>
      </c>
      <c r="D415" s="218">
        <v>63814.622000000003</v>
      </c>
      <c r="E415" s="218">
        <v>67187.574999999997</v>
      </c>
      <c r="F415" s="218">
        <v>7523.1127999999999</v>
      </c>
      <c r="G415" s="218">
        <v>8092.3037999999997</v>
      </c>
      <c r="H415" s="218">
        <v>8637.4269999999997</v>
      </c>
      <c r="I415" s="218">
        <v>9154.9758000000002</v>
      </c>
      <c r="J415" s="246">
        <v>16058778008</v>
      </c>
      <c r="K415" s="246">
        <v>16793928008</v>
      </c>
      <c r="L415" s="218">
        <v>82135.994000000006</v>
      </c>
      <c r="M415" s="246">
        <v>32874700</v>
      </c>
      <c r="N415" s="251">
        <v>4679.0776999999998</v>
      </c>
      <c r="O415" s="251">
        <v>5105.7753000000002</v>
      </c>
      <c r="P415" s="251">
        <v>5549.5273999999999</v>
      </c>
      <c r="Q415" s="251">
        <v>5578.3362999999999</v>
      </c>
      <c r="R415" s="254">
        <v>1.1599999999999999</v>
      </c>
      <c r="S415" s="214">
        <v>48921054</v>
      </c>
      <c r="T415" s="214">
        <v>253256066</v>
      </c>
      <c r="U415" s="214">
        <v>0</v>
      </c>
      <c r="V415" s="187">
        <f t="shared" si="14"/>
        <v>253256066</v>
      </c>
      <c r="W415" s="187">
        <f t="shared" si="15"/>
        <v>302177120</v>
      </c>
    </row>
    <row r="416" spans="1:23">
      <c r="A416" s="216" t="s">
        <v>2115</v>
      </c>
      <c r="B416" s="218">
        <v>10867.986999999999</v>
      </c>
      <c r="C416" s="218">
        <v>10686.891</v>
      </c>
      <c r="D416" s="218">
        <v>10643.078</v>
      </c>
      <c r="E416" s="218">
        <v>10779.945</v>
      </c>
      <c r="F416" s="218">
        <v>1533.1688999999999</v>
      </c>
      <c r="G416" s="218">
        <v>1519.2277999999999</v>
      </c>
      <c r="H416" s="218">
        <v>1514.0471</v>
      </c>
      <c r="I416" s="218">
        <v>1598.6007999999999</v>
      </c>
      <c r="J416" s="246">
        <v>6736817448</v>
      </c>
      <c r="K416" s="246">
        <v>6846457440</v>
      </c>
      <c r="L416" s="218">
        <v>13408.573</v>
      </c>
      <c r="M416" s="246">
        <v>12778708</v>
      </c>
      <c r="N416" s="251">
        <v>956.31600000000003</v>
      </c>
      <c r="O416" s="251">
        <v>792.69489999999996</v>
      </c>
      <c r="P416" s="251">
        <v>894.20540000000005</v>
      </c>
      <c r="Q416" s="251">
        <v>938.53809999999999</v>
      </c>
      <c r="R416" s="254">
        <v>1.1599999999999999</v>
      </c>
      <c r="S416" s="214">
        <v>12833455</v>
      </c>
      <c r="T416" s="214">
        <v>100939627</v>
      </c>
      <c r="U416" s="214">
        <v>0</v>
      </c>
      <c r="V416" s="187">
        <f t="shared" si="14"/>
        <v>100939627</v>
      </c>
      <c r="W416" s="187">
        <f t="shared" si="15"/>
        <v>113773082</v>
      </c>
    </row>
    <row r="417" spans="1:23">
      <c r="A417" s="216" t="s">
        <v>6184</v>
      </c>
      <c r="B417" s="218">
        <v>11200.761</v>
      </c>
      <c r="C417" s="218">
        <v>11165.134</v>
      </c>
      <c r="D417" s="218">
        <v>10827.947</v>
      </c>
      <c r="E417" s="218">
        <v>10023.884</v>
      </c>
      <c r="F417" s="218">
        <v>1600.0962999999999</v>
      </c>
      <c r="G417" s="218">
        <v>1627.5829000000001</v>
      </c>
      <c r="H417" s="218">
        <v>1548.7671</v>
      </c>
      <c r="I417" s="218">
        <v>1555.5563</v>
      </c>
      <c r="J417" s="246">
        <v>878098032</v>
      </c>
      <c r="K417" s="246">
        <v>965612692</v>
      </c>
      <c r="L417" s="218">
        <v>13771.465</v>
      </c>
      <c r="M417" s="246">
        <v>198713</v>
      </c>
      <c r="N417" s="251">
        <v>875.77070000000003</v>
      </c>
      <c r="O417" s="251">
        <v>848.87049999999999</v>
      </c>
      <c r="P417" s="251">
        <v>805.38</v>
      </c>
      <c r="Q417" s="251">
        <v>812.63639999999998</v>
      </c>
      <c r="R417" s="254">
        <v>1.18</v>
      </c>
      <c r="S417" s="214">
        <v>1159427</v>
      </c>
      <c r="T417" s="214">
        <v>13441524</v>
      </c>
      <c r="U417" s="214">
        <v>0</v>
      </c>
      <c r="V417" s="187">
        <f t="shared" si="14"/>
        <v>13441524</v>
      </c>
      <c r="W417" s="187">
        <f t="shared" si="15"/>
        <v>14600951</v>
      </c>
    </row>
    <row r="418" spans="1:23">
      <c r="A418" s="216" t="s">
        <v>1315</v>
      </c>
      <c r="B418" s="218">
        <v>16621.496999999999</v>
      </c>
      <c r="C418" s="218">
        <v>17513.199000000001</v>
      </c>
      <c r="D418" s="218">
        <v>18015.982</v>
      </c>
      <c r="E418" s="218">
        <v>18599.966</v>
      </c>
      <c r="F418" s="218">
        <v>2272.5565000000001</v>
      </c>
      <c r="G418" s="218">
        <v>2388.6976</v>
      </c>
      <c r="H418" s="218">
        <v>2524.0599000000002</v>
      </c>
      <c r="I418" s="218">
        <v>2607.9569000000001</v>
      </c>
      <c r="J418" s="246">
        <v>3042910207</v>
      </c>
      <c r="K418" s="246">
        <v>3175561107</v>
      </c>
      <c r="L418" s="218">
        <v>25400.79</v>
      </c>
      <c r="M418" s="246">
        <v>3726199</v>
      </c>
      <c r="N418" s="251">
        <v>1344.9631999999999</v>
      </c>
      <c r="O418" s="251">
        <v>1414.8182999999999</v>
      </c>
      <c r="P418" s="251">
        <v>1481.0533</v>
      </c>
      <c r="Q418" s="251">
        <v>1561.0877</v>
      </c>
      <c r="R418" s="254">
        <v>1.1599999999999999</v>
      </c>
      <c r="S418" s="214">
        <v>5511314</v>
      </c>
      <c r="T418" s="214">
        <v>48922943</v>
      </c>
      <c r="U418" s="214">
        <v>0</v>
      </c>
      <c r="V418" s="187">
        <f t="shared" si="14"/>
        <v>48922943</v>
      </c>
      <c r="W418" s="187">
        <f t="shared" si="15"/>
        <v>54434257</v>
      </c>
    </row>
    <row r="419" spans="1:23">
      <c r="A419" s="216" t="s">
        <v>5622</v>
      </c>
      <c r="B419" s="218">
        <v>16652.785</v>
      </c>
      <c r="C419" s="218">
        <v>16608.009999999998</v>
      </c>
      <c r="D419" s="218">
        <v>16827.629000000001</v>
      </c>
      <c r="E419" s="218">
        <v>17372.165000000001</v>
      </c>
      <c r="F419" s="218">
        <v>2189.5617000000002</v>
      </c>
      <c r="G419" s="218">
        <v>2255.1487999999999</v>
      </c>
      <c r="H419" s="218">
        <v>2298.0677000000001</v>
      </c>
      <c r="I419" s="218">
        <v>2355.6239</v>
      </c>
      <c r="J419" s="246">
        <v>6704276322</v>
      </c>
      <c r="K419" s="246">
        <v>6872639542</v>
      </c>
      <c r="L419" s="218">
        <v>22528.151999999998</v>
      </c>
      <c r="M419" s="246">
        <v>12009921</v>
      </c>
      <c r="N419" s="251">
        <v>1257.8824</v>
      </c>
      <c r="O419" s="251">
        <v>1341.7654</v>
      </c>
      <c r="P419" s="251">
        <v>1316.3303000000001</v>
      </c>
      <c r="Q419" s="251">
        <v>1325.9019000000001</v>
      </c>
      <c r="R419" s="254">
        <v>1.1599999999999999</v>
      </c>
      <c r="S419" s="214">
        <v>13928321</v>
      </c>
      <c r="T419" s="214">
        <v>101120192</v>
      </c>
      <c r="U419" s="214">
        <v>0</v>
      </c>
      <c r="V419" s="187">
        <f t="shared" si="14"/>
        <v>101120192</v>
      </c>
      <c r="W419" s="187">
        <f t="shared" si="15"/>
        <v>115048513</v>
      </c>
    </row>
    <row r="420" spans="1:23">
      <c r="A420" s="216" t="s">
        <v>5624</v>
      </c>
      <c r="B420" s="218">
        <v>190303.85</v>
      </c>
      <c r="C420" s="218">
        <v>189173.61</v>
      </c>
      <c r="D420" s="218">
        <v>190944.47</v>
      </c>
      <c r="E420" s="218">
        <v>192490.15</v>
      </c>
      <c r="F420" s="218">
        <v>23058.595600000001</v>
      </c>
      <c r="G420" s="218">
        <v>24819.646100000002</v>
      </c>
      <c r="H420" s="218">
        <v>29939.612700000001</v>
      </c>
      <c r="I420" s="218">
        <v>27051.975999999999</v>
      </c>
      <c r="J420" s="246">
        <v>63552199371</v>
      </c>
      <c r="K420" s="246">
        <v>65463969371</v>
      </c>
      <c r="L420" s="218">
        <v>268052.94500000001</v>
      </c>
      <c r="M420" s="246">
        <v>61816451</v>
      </c>
      <c r="N420" s="251">
        <v>13804.2168</v>
      </c>
      <c r="O420" s="251">
        <v>13866.167100000001</v>
      </c>
      <c r="P420" s="251">
        <v>14662.423000000001</v>
      </c>
      <c r="Q420" s="251">
        <v>14474.2832</v>
      </c>
      <c r="R420" s="254">
        <v>1.17</v>
      </c>
      <c r="S420" s="214">
        <v>84580985</v>
      </c>
      <c r="T420" s="214">
        <v>943305573</v>
      </c>
      <c r="U420" s="214">
        <v>0</v>
      </c>
      <c r="V420" s="187">
        <f t="shared" si="14"/>
        <v>943305573</v>
      </c>
      <c r="W420" s="187">
        <f t="shared" si="15"/>
        <v>1027886558</v>
      </c>
    </row>
    <row r="421" spans="1:23">
      <c r="A421" s="216" t="s">
        <v>1873</v>
      </c>
      <c r="B421" s="218">
        <v>22948.802</v>
      </c>
      <c r="C421" s="218">
        <v>23415.352999999999</v>
      </c>
      <c r="D421" s="218">
        <v>23951.412</v>
      </c>
      <c r="E421" s="218">
        <v>24572.37</v>
      </c>
      <c r="F421" s="218">
        <v>3128.9013</v>
      </c>
      <c r="G421" s="218">
        <v>3188.2869999999998</v>
      </c>
      <c r="H421" s="218">
        <v>3256.7638000000002</v>
      </c>
      <c r="I421" s="218">
        <v>3299.7013000000002</v>
      </c>
      <c r="J421" s="246">
        <v>5448461428</v>
      </c>
      <c r="K421" s="246">
        <v>5723175408</v>
      </c>
      <c r="L421" s="218">
        <v>29905.527999999998</v>
      </c>
      <c r="M421" s="246">
        <v>9746356</v>
      </c>
      <c r="N421" s="251">
        <v>1908.3783000000001</v>
      </c>
      <c r="O421" s="251">
        <v>1917.8579</v>
      </c>
      <c r="P421" s="251">
        <v>1973.2053000000001</v>
      </c>
      <c r="Q421" s="251">
        <v>2002.0762</v>
      </c>
      <c r="R421" s="254">
        <v>1.1599999999999999</v>
      </c>
      <c r="S421" s="214">
        <v>14208149</v>
      </c>
      <c r="T421" s="214">
        <v>88699248</v>
      </c>
      <c r="U421" s="214">
        <v>0</v>
      </c>
      <c r="V421" s="187">
        <f t="shared" si="14"/>
        <v>88699248</v>
      </c>
      <c r="W421" s="187">
        <f t="shared" si="15"/>
        <v>102907397</v>
      </c>
    </row>
    <row r="422" spans="1:23">
      <c r="A422" s="216" t="s">
        <v>6028</v>
      </c>
      <c r="B422" s="218">
        <v>29952.429</v>
      </c>
      <c r="C422" s="218">
        <v>32123.05</v>
      </c>
      <c r="D422" s="218">
        <v>35663.459000000003</v>
      </c>
      <c r="E422" s="218">
        <v>37747.027999999998</v>
      </c>
      <c r="F422" s="218">
        <v>3940.4065000000001</v>
      </c>
      <c r="G422" s="218">
        <v>4223.7788</v>
      </c>
      <c r="H422" s="218">
        <v>4639.9973</v>
      </c>
      <c r="I422" s="218">
        <v>4958.2831999999999</v>
      </c>
      <c r="J422" s="246">
        <v>8669541052</v>
      </c>
      <c r="K422" s="246">
        <v>9024288703</v>
      </c>
      <c r="L422" s="218">
        <v>45035.250999999997</v>
      </c>
      <c r="M422" s="246">
        <v>18704140</v>
      </c>
      <c r="N422" s="251">
        <v>2381.0445</v>
      </c>
      <c r="O422" s="251">
        <v>2631.7393999999999</v>
      </c>
      <c r="P422" s="251">
        <v>2950.9674</v>
      </c>
      <c r="Q422" s="251">
        <v>3132.9823000000001</v>
      </c>
      <c r="R422" s="254">
        <v>1.1599999999999999</v>
      </c>
      <c r="S422" s="214">
        <v>32749087</v>
      </c>
      <c r="T422" s="214">
        <v>154202907</v>
      </c>
      <c r="U422" s="214">
        <v>0</v>
      </c>
      <c r="V422" s="187">
        <f t="shared" si="14"/>
        <v>154202907</v>
      </c>
      <c r="W422" s="187">
        <f t="shared" si="15"/>
        <v>186951994</v>
      </c>
    </row>
    <row r="423" spans="1:23">
      <c r="A423" s="216" t="s">
        <v>6035</v>
      </c>
      <c r="B423" s="218">
        <v>29630.078000000001</v>
      </c>
      <c r="C423" s="218">
        <v>30245.506000000001</v>
      </c>
      <c r="D423" s="218">
        <v>31254.978999999999</v>
      </c>
      <c r="E423" s="218">
        <v>32652.657999999999</v>
      </c>
      <c r="F423" s="218">
        <v>4167.5685000000003</v>
      </c>
      <c r="G423" s="218">
        <v>4117.7852999999996</v>
      </c>
      <c r="H423" s="218">
        <v>4385.2475999999997</v>
      </c>
      <c r="I423" s="218">
        <v>4490.9038</v>
      </c>
      <c r="J423" s="246">
        <v>6503903818</v>
      </c>
      <c r="K423" s="246">
        <v>6857459868</v>
      </c>
      <c r="L423" s="218">
        <v>40448.089</v>
      </c>
      <c r="M423" s="246">
        <v>12061807</v>
      </c>
      <c r="N423" s="251">
        <v>2441.6279</v>
      </c>
      <c r="O423" s="251">
        <v>2489.7437</v>
      </c>
      <c r="P423" s="251">
        <v>2574.8928999999998</v>
      </c>
      <c r="Q423" s="251">
        <v>2597.538</v>
      </c>
      <c r="R423" s="254">
        <v>1.1599999999999999</v>
      </c>
      <c r="S423" s="214">
        <v>15704534</v>
      </c>
      <c r="T423" s="214">
        <v>106796399</v>
      </c>
      <c r="U423" s="214">
        <v>0</v>
      </c>
      <c r="V423" s="187">
        <f t="shared" si="14"/>
        <v>106796399</v>
      </c>
      <c r="W423" s="187">
        <f t="shared" si="15"/>
        <v>122500933</v>
      </c>
    </row>
    <row r="424" spans="1:23">
      <c r="A424" s="216" t="s">
        <v>5626</v>
      </c>
      <c r="B424" s="218">
        <v>7008.7830000000004</v>
      </c>
      <c r="C424" s="218">
        <v>7172.89</v>
      </c>
      <c r="D424" s="218">
        <v>7296.8019999999997</v>
      </c>
      <c r="E424" s="218">
        <v>7276.9309999999996</v>
      </c>
      <c r="F424" s="218">
        <v>971.73879999999997</v>
      </c>
      <c r="G424" s="218">
        <v>981.82539999999995</v>
      </c>
      <c r="H424" s="218">
        <v>1015.3757000000001</v>
      </c>
      <c r="I424" s="218">
        <v>1052.2823000000001</v>
      </c>
      <c r="J424" s="246">
        <v>4593365180</v>
      </c>
      <c r="K424" s="246">
        <v>4682759600</v>
      </c>
      <c r="L424" s="218">
        <v>9004.268</v>
      </c>
      <c r="M424" s="246">
        <v>8469642</v>
      </c>
      <c r="N424" s="251">
        <v>513.48209999999995</v>
      </c>
      <c r="O424" s="251">
        <v>526.42449999999997</v>
      </c>
      <c r="P424" s="251">
        <v>538.32690000000002</v>
      </c>
      <c r="Q424" s="251">
        <v>578.74009999999998</v>
      </c>
      <c r="R424" s="254">
        <v>1.1499999999999999</v>
      </c>
      <c r="S424" s="214">
        <v>7627978</v>
      </c>
      <c r="T424" s="214">
        <v>63575813</v>
      </c>
      <c r="U424" s="214">
        <v>0</v>
      </c>
      <c r="V424" s="187">
        <f t="shared" si="14"/>
        <v>63575813</v>
      </c>
      <c r="W424" s="187">
        <f t="shared" si="15"/>
        <v>71203791</v>
      </c>
    </row>
    <row r="425" spans="1:23">
      <c r="A425" s="216" t="s">
        <v>6194</v>
      </c>
      <c r="B425" s="218">
        <v>39226.828999999998</v>
      </c>
      <c r="C425" s="218">
        <v>39735.427000000003</v>
      </c>
      <c r="D425" s="218">
        <v>40587.735999999997</v>
      </c>
      <c r="E425" s="218">
        <v>41855.055999999997</v>
      </c>
      <c r="F425" s="218">
        <v>4858.9040000000005</v>
      </c>
      <c r="G425" s="218">
        <v>5028.8674000000001</v>
      </c>
      <c r="H425" s="218">
        <v>5233.1907000000001</v>
      </c>
      <c r="I425" s="218">
        <v>5426.3022000000001</v>
      </c>
      <c r="J425" s="246">
        <v>6032777660</v>
      </c>
      <c r="K425" s="246">
        <v>6357244790</v>
      </c>
      <c r="L425" s="218">
        <v>54286.084000000003</v>
      </c>
      <c r="M425" s="246">
        <v>2659002</v>
      </c>
      <c r="N425" s="251">
        <v>3065.3759</v>
      </c>
      <c r="O425" s="251">
        <v>3246.6129000000001</v>
      </c>
      <c r="P425" s="251">
        <v>3363.5019000000002</v>
      </c>
      <c r="Q425" s="251">
        <v>3454.0309000000002</v>
      </c>
      <c r="R425" s="254">
        <v>1.1599999999999999</v>
      </c>
      <c r="S425" s="214">
        <v>11042835</v>
      </c>
      <c r="T425" s="214">
        <v>97487592</v>
      </c>
      <c r="U425" s="214">
        <v>0</v>
      </c>
      <c r="V425" s="187">
        <f t="shared" si="14"/>
        <v>97487592</v>
      </c>
      <c r="W425" s="187">
        <f t="shared" si="15"/>
        <v>108530427</v>
      </c>
    </row>
    <row r="426" spans="1:23">
      <c r="A426" s="216" t="s">
        <v>1539</v>
      </c>
      <c r="B426" s="218">
        <v>20789.877</v>
      </c>
      <c r="C426" s="218">
        <v>21635.830999999998</v>
      </c>
      <c r="D426" s="218">
        <v>22741.444</v>
      </c>
      <c r="E426" s="218">
        <v>23821.297999999999</v>
      </c>
      <c r="F426" s="218">
        <v>3026.3355999999999</v>
      </c>
      <c r="G426" s="218">
        <v>2996.0641000000001</v>
      </c>
      <c r="H426" s="218">
        <v>3374.0027</v>
      </c>
      <c r="I426" s="218">
        <v>3559.2757000000001</v>
      </c>
      <c r="J426" s="246">
        <v>4806777306</v>
      </c>
      <c r="K426" s="246">
        <v>5005577276</v>
      </c>
      <c r="L426" s="218">
        <v>30569.800999999999</v>
      </c>
      <c r="M426" s="246">
        <v>9144338</v>
      </c>
      <c r="N426" s="251">
        <v>1693.1747</v>
      </c>
      <c r="O426" s="251">
        <v>1763.0350000000001</v>
      </c>
      <c r="P426" s="251">
        <v>1935.992</v>
      </c>
      <c r="Q426" s="251">
        <v>2044.9952000000001</v>
      </c>
      <c r="R426" s="254">
        <v>1.1599999999999999</v>
      </c>
      <c r="S426" s="214">
        <v>16780503</v>
      </c>
      <c r="T426" s="214">
        <v>77512988</v>
      </c>
      <c r="U426" s="214">
        <v>0</v>
      </c>
      <c r="V426" s="187">
        <f t="shared" si="14"/>
        <v>77512988</v>
      </c>
      <c r="W426" s="187">
        <f t="shared" si="15"/>
        <v>94293491</v>
      </c>
    </row>
    <row r="427" spans="1:23">
      <c r="A427" s="216" t="s">
        <v>911</v>
      </c>
      <c r="B427" s="218">
        <v>28856.383000000002</v>
      </c>
      <c r="C427" s="218">
        <v>29013.129000000001</v>
      </c>
      <c r="D427" s="218">
        <v>29645.069</v>
      </c>
      <c r="E427" s="218">
        <v>30059.781999999999</v>
      </c>
      <c r="F427" s="218">
        <v>4051.0608999999999</v>
      </c>
      <c r="G427" s="218">
        <v>4248.1914999999999</v>
      </c>
      <c r="H427" s="218">
        <v>4448.3353999999999</v>
      </c>
      <c r="I427" s="218">
        <v>4661.0249000000003</v>
      </c>
      <c r="J427" s="246">
        <v>10759174881</v>
      </c>
      <c r="K427" s="246">
        <v>11081245221</v>
      </c>
      <c r="L427" s="218">
        <v>39985.932999999997</v>
      </c>
      <c r="M427" s="246">
        <v>20601742</v>
      </c>
      <c r="N427" s="251">
        <v>2395.7966999999999</v>
      </c>
      <c r="O427" s="251">
        <v>2469.0389</v>
      </c>
      <c r="P427" s="251">
        <v>2584.0065</v>
      </c>
      <c r="Q427" s="251">
        <v>2719.3326999999999</v>
      </c>
      <c r="R427" s="254">
        <v>1.1599999999999999</v>
      </c>
      <c r="S427" s="214">
        <v>24756935</v>
      </c>
      <c r="T427" s="214">
        <v>174751813</v>
      </c>
      <c r="U427" s="214">
        <v>0</v>
      </c>
      <c r="V427" s="187">
        <f t="shared" si="14"/>
        <v>174751813</v>
      </c>
      <c r="W427" s="187">
        <f t="shared" si="15"/>
        <v>199508748</v>
      </c>
    </row>
    <row r="428" spans="1:23">
      <c r="A428" s="216" t="s">
        <v>1428</v>
      </c>
      <c r="B428" s="218">
        <v>6666.085</v>
      </c>
      <c r="C428" s="218">
        <v>6936.567</v>
      </c>
      <c r="D428" s="218">
        <v>7304.8059999999996</v>
      </c>
      <c r="E428" s="218">
        <v>7573.7640000000001</v>
      </c>
      <c r="F428" s="218">
        <v>902.0752</v>
      </c>
      <c r="G428" s="218">
        <v>966.17629999999997</v>
      </c>
      <c r="H428" s="218">
        <v>988.73239999999998</v>
      </c>
      <c r="I428" s="218">
        <v>1041.3984</v>
      </c>
      <c r="J428" s="246">
        <v>2395092179</v>
      </c>
      <c r="K428" s="246">
        <v>2476230679</v>
      </c>
      <c r="L428" s="218">
        <v>9151.9660000000003</v>
      </c>
      <c r="M428" s="246">
        <v>5068598</v>
      </c>
      <c r="N428" s="251">
        <v>543.08979999999997</v>
      </c>
      <c r="O428" s="251">
        <v>587.04629999999997</v>
      </c>
      <c r="P428" s="251">
        <v>598.60699999999997</v>
      </c>
      <c r="Q428" s="251">
        <v>633.96379999999999</v>
      </c>
      <c r="R428" s="254">
        <v>1.1399999999999999</v>
      </c>
      <c r="S428" s="214">
        <v>6803612</v>
      </c>
      <c r="T428" s="214">
        <v>37610999</v>
      </c>
      <c r="U428" s="214">
        <v>0</v>
      </c>
      <c r="V428" s="187">
        <f t="shared" si="14"/>
        <v>37610999</v>
      </c>
      <c r="W428" s="187">
        <f t="shared" si="15"/>
        <v>44414611</v>
      </c>
    </row>
    <row r="429" spans="1:23">
      <c r="A429" s="216" t="s">
        <v>1430</v>
      </c>
      <c r="B429" s="218">
        <v>3912.904</v>
      </c>
      <c r="C429" s="218">
        <v>3908.895</v>
      </c>
      <c r="D429" s="218">
        <v>3796.873</v>
      </c>
      <c r="E429" s="218">
        <v>3907.56</v>
      </c>
      <c r="F429" s="218">
        <v>547.45669999999996</v>
      </c>
      <c r="G429" s="218">
        <v>576.9425</v>
      </c>
      <c r="H429" s="218">
        <v>600.42179999999996</v>
      </c>
      <c r="I429" s="218">
        <v>605.25070000000005</v>
      </c>
      <c r="J429" s="246">
        <v>1605381981</v>
      </c>
      <c r="K429" s="246">
        <v>1636848981</v>
      </c>
      <c r="L429" s="218">
        <v>5390.6210000000001</v>
      </c>
      <c r="M429" s="246">
        <v>979968</v>
      </c>
      <c r="N429" s="251">
        <v>320.43239999999997</v>
      </c>
      <c r="O429" s="251">
        <v>322.77300000000002</v>
      </c>
      <c r="P429" s="251">
        <v>324.5711</v>
      </c>
      <c r="Q429" s="251">
        <v>323.38670000000002</v>
      </c>
      <c r="R429" s="254">
        <v>1.1399999999999999</v>
      </c>
      <c r="S429" s="214">
        <v>3060815</v>
      </c>
      <c r="T429" s="214">
        <v>28046876</v>
      </c>
      <c r="U429" s="214">
        <v>0</v>
      </c>
      <c r="V429" s="187">
        <f t="shared" si="14"/>
        <v>28046876</v>
      </c>
      <c r="W429" s="187">
        <f t="shared" si="15"/>
        <v>31107691</v>
      </c>
    </row>
    <row r="430" spans="1:23">
      <c r="A430" s="216" t="s">
        <v>4971</v>
      </c>
      <c r="B430" s="218">
        <v>2282.2939999999999</v>
      </c>
      <c r="C430" s="218">
        <v>2348.1849999999999</v>
      </c>
      <c r="D430" s="218">
        <v>2485.5329999999999</v>
      </c>
      <c r="E430" s="218">
        <v>2575.174</v>
      </c>
      <c r="F430" s="218">
        <v>318.29919999999998</v>
      </c>
      <c r="G430" s="218">
        <v>319.86180000000002</v>
      </c>
      <c r="H430" s="218">
        <v>338.48480000000001</v>
      </c>
      <c r="I430" s="218">
        <v>345.55829999999997</v>
      </c>
      <c r="J430" s="246">
        <v>329846108</v>
      </c>
      <c r="K430" s="246">
        <v>357305638</v>
      </c>
      <c r="L430" s="218">
        <v>3341.7570000000001</v>
      </c>
      <c r="M430" s="246">
        <v>424485</v>
      </c>
      <c r="N430" s="251">
        <v>188.2114</v>
      </c>
      <c r="O430" s="251">
        <v>176.9333</v>
      </c>
      <c r="P430" s="251">
        <v>191.9821</v>
      </c>
      <c r="Q430" s="251">
        <v>193.75839999999999</v>
      </c>
      <c r="R430" s="254">
        <v>1.1200000000000001</v>
      </c>
      <c r="S430" s="214">
        <v>688873</v>
      </c>
      <c r="T430" s="214">
        <v>5620179</v>
      </c>
      <c r="U430" s="214">
        <v>0</v>
      </c>
      <c r="V430" s="187">
        <f t="shared" si="14"/>
        <v>5620179</v>
      </c>
      <c r="W430" s="187">
        <f t="shared" si="15"/>
        <v>6309052</v>
      </c>
    </row>
    <row r="431" spans="1:23">
      <c r="A431" s="216" t="s">
        <v>1432</v>
      </c>
      <c r="B431" s="218">
        <v>336.70400000000001</v>
      </c>
      <c r="C431" s="218">
        <v>329.59800000000001</v>
      </c>
      <c r="D431" s="218">
        <v>319.64400000000001</v>
      </c>
      <c r="E431" s="218">
        <v>301.339</v>
      </c>
      <c r="F431" s="218">
        <v>79.660499999999999</v>
      </c>
      <c r="G431" s="218">
        <v>77.636499999999998</v>
      </c>
      <c r="H431" s="218">
        <v>65.200699999999998</v>
      </c>
      <c r="I431" s="218">
        <v>70.289000000000001</v>
      </c>
      <c r="J431" s="246">
        <v>77763950</v>
      </c>
      <c r="K431" s="246">
        <v>83391237</v>
      </c>
      <c r="L431" s="218">
        <v>556.91800000000001</v>
      </c>
      <c r="M431" s="187">
        <v>0</v>
      </c>
      <c r="N431" s="251">
        <v>50.011699999999998</v>
      </c>
      <c r="O431" s="251">
        <v>46.822299999999998</v>
      </c>
      <c r="P431" s="251">
        <v>39.850700000000003</v>
      </c>
      <c r="Q431" s="251">
        <v>40.406799999999997</v>
      </c>
      <c r="R431" s="254">
        <v>1.06</v>
      </c>
      <c r="S431" s="214">
        <v>1902</v>
      </c>
      <c r="T431" s="214">
        <v>1188101</v>
      </c>
      <c r="U431" s="214">
        <v>0</v>
      </c>
      <c r="V431" s="187">
        <f t="shared" si="14"/>
        <v>1188101</v>
      </c>
      <c r="W431" s="187">
        <f t="shared" si="15"/>
        <v>1190003</v>
      </c>
    </row>
    <row r="432" spans="1:23">
      <c r="A432" s="216" t="s">
        <v>1434</v>
      </c>
      <c r="B432" s="218">
        <v>5807.518</v>
      </c>
      <c r="C432" s="218">
        <v>5705.2619999999997</v>
      </c>
      <c r="D432" s="218">
        <v>5568.4650000000001</v>
      </c>
      <c r="E432" s="218">
        <v>5522.2640000000001</v>
      </c>
      <c r="F432" s="218">
        <v>872.47919999999999</v>
      </c>
      <c r="G432" s="218">
        <v>868.96979999999996</v>
      </c>
      <c r="H432" s="218">
        <v>871.12180000000001</v>
      </c>
      <c r="I432" s="218">
        <v>916.16470000000004</v>
      </c>
      <c r="J432" s="246">
        <v>1199370057</v>
      </c>
      <c r="K432" s="246">
        <v>1266430710</v>
      </c>
      <c r="L432" s="218">
        <v>7443.8649999999998</v>
      </c>
      <c r="M432" s="246">
        <v>695784</v>
      </c>
      <c r="N432" s="251">
        <v>559.33770000000004</v>
      </c>
      <c r="O432" s="251">
        <v>556.1046</v>
      </c>
      <c r="P432" s="251">
        <v>559.02760000000001</v>
      </c>
      <c r="Q432" s="251">
        <v>556.63689999999997</v>
      </c>
      <c r="R432" s="254">
        <v>1.08</v>
      </c>
      <c r="S432" s="214">
        <v>429133</v>
      </c>
      <c r="T432" s="214">
        <v>16956049</v>
      </c>
      <c r="U432" s="214">
        <v>0</v>
      </c>
      <c r="V432" s="187">
        <f t="shared" si="14"/>
        <v>16956049</v>
      </c>
      <c r="W432" s="187">
        <f t="shared" si="15"/>
        <v>17385182</v>
      </c>
    </row>
    <row r="433" spans="1:23">
      <c r="A433" s="216" t="s">
        <v>1436</v>
      </c>
      <c r="B433" s="218">
        <v>762.822</v>
      </c>
      <c r="C433" s="218">
        <v>774.89700000000005</v>
      </c>
      <c r="D433" s="218">
        <v>766.64300000000003</v>
      </c>
      <c r="E433" s="218">
        <v>745.40700000000004</v>
      </c>
      <c r="F433" s="218">
        <v>132.70820000000001</v>
      </c>
      <c r="G433" s="218">
        <v>137.54400000000001</v>
      </c>
      <c r="H433" s="218">
        <v>137.48519999999999</v>
      </c>
      <c r="I433" s="218">
        <v>127.176</v>
      </c>
      <c r="J433" s="246">
        <v>198808910</v>
      </c>
      <c r="K433" s="246">
        <v>207119486</v>
      </c>
      <c r="L433" s="218">
        <v>1200.557</v>
      </c>
      <c r="M433" s="187">
        <v>0</v>
      </c>
      <c r="N433" s="251">
        <v>92.084299999999999</v>
      </c>
      <c r="O433" s="251">
        <v>95.403099999999995</v>
      </c>
      <c r="P433" s="251">
        <v>96.553700000000006</v>
      </c>
      <c r="Q433" s="251">
        <v>89.778899999999993</v>
      </c>
      <c r="R433" s="254">
        <v>1.04</v>
      </c>
      <c r="S433" s="214">
        <v>0</v>
      </c>
      <c r="T433" s="214">
        <v>3009028</v>
      </c>
      <c r="U433" s="214">
        <v>0</v>
      </c>
      <c r="V433" s="187">
        <f t="shared" si="14"/>
        <v>3009028</v>
      </c>
      <c r="W433" s="187">
        <f t="shared" si="15"/>
        <v>3009028</v>
      </c>
    </row>
    <row r="434" spans="1:23">
      <c r="A434" s="216" t="s">
        <v>1438</v>
      </c>
      <c r="B434" s="218">
        <v>3503.4659999999999</v>
      </c>
      <c r="C434" s="218">
        <v>3493.402</v>
      </c>
      <c r="D434" s="218">
        <v>3519.6309999999999</v>
      </c>
      <c r="E434" s="218">
        <v>3549.6039999999998</v>
      </c>
      <c r="F434" s="218">
        <v>530.7346</v>
      </c>
      <c r="G434" s="218">
        <v>553.34339999999997</v>
      </c>
      <c r="H434" s="218">
        <v>561.76260000000002</v>
      </c>
      <c r="I434" s="218">
        <v>572.55859999999996</v>
      </c>
      <c r="J434" s="246">
        <v>1411553293</v>
      </c>
      <c r="K434" s="246">
        <v>1449121052</v>
      </c>
      <c r="L434" s="218">
        <v>4314.6260000000002</v>
      </c>
      <c r="M434" s="246">
        <v>1719651</v>
      </c>
      <c r="N434" s="251">
        <v>302.28590000000003</v>
      </c>
      <c r="O434" s="251">
        <v>309.53190000000001</v>
      </c>
      <c r="P434" s="251">
        <v>316.64760000000001</v>
      </c>
      <c r="Q434" s="251">
        <v>313.53519999999997</v>
      </c>
      <c r="R434" s="254">
        <v>1.07</v>
      </c>
      <c r="S434" s="214">
        <v>2167388</v>
      </c>
      <c r="T434" s="214">
        <v>21032421</v>
      </c>
      <c r="U434" s="214">
        <v>0</v>
      </c>
      <c r="V434" s="187">
        <f t="shared" si="14"/>
        <v>21032421</v>
      </c>
      <c r="W434" s="187">
        <f t="shared" si="15"/>
        <v>23199809</v>
      </c>
    </row>
    <row r="435" spans="1:23">
      <c r="A435" s="216" t="s">
        <v>2580</v>
      </c>
      <c r="B435" s="218">
        <v>569.53800000000001</v>
      </c>
      <c r="C435" s="218">
        <v>580.42600000000004</v>
      </c>
      <c r="D435" s="218">
        <v>593.11300000000006</v>
      </c>
      <c r="E435" s="218">
        <v>579.78</v>
      </c>
      <c r="F435" s="218">
        <v>99.278300000000002</v>
      </c>
      <c r="G435" s="218">
        <v>101.8002</v>
      </c>
      <c r="H435" s="218">
        <v>100.8869</v>
      </c>
      <c r="I435" s="218">
        <v>102.2929</v>
      </c>
      <c r="J435" s="246">
        <v>94453691</v>
      </c>
      <c r="K435" s="246">
        <v>100295768</v>
      </c>
      <c r="L435" s="218">
        <v>918.34500000000003</v>
      </c>
      <c r="M435" s="246">
        <v>83605</v>
      </c>
      <c r="N435" s="251">
        <v>65.000100000000003</v>
      </c>
      <c r="O435" s="251">
        <v>64.682599999999994</v>
      </c>
      <c r="P435" s="251">
        <v>63.999000000000002</v>
      </c>
      <c r="Q435" s="251">
        <v>68.998500000000007</v>
      </c>
      <c r="R435" s="254">
        <v>1.04</v>
      </c>
      <c r="S435" s="214">
        <v>81151</v>
      </c>
      <c r="T435" s="214">
        <v>1334423</v>
      </c>
      <c r="U435" s="214">
        <v>0</v>
      </c>
      <c r="V435" s="187">
        <f t="shared" si="14"/>
        <v>1334423</v>
      </c>
      <c r="W435" s="187">
        <f t="shared" si="15"/>
        <v>1415574</v>
      </c>
    </row>
    <row r="436" spans="1:23">
      <c r="A436" s="216" t="s">
        <v>2582</v>
      </c>
      <c r="B436" s="218">
        <v>910.94399999999996</v>
      </c>
      <c r="C436" s="218">
        <v>929.57299999999998</v>
      </c>
      <c r="D436" s="218">
        <v>933.28800000000001</v>
      </c>
      <c r="E436" s="218">
        <v>908.64700000000005</v>
      </c>
      <c r="F436" s="218">
        <v>136.90870000000001</v>
      </c>
      <c r="G436" s="218">
        <v>144.86199999999999</v>
      </c>
      <c r="H436" s="218">
        <v>145.8879</v>
      </c>
      <c r="I436" s="218">
        <v>144.50370000000001</v>
      </c>
      <c r="J436" s="246">
        <v>290572227</v>
      </c>
      <c r="K436" s="246">
        <v>301503257</v>
      </c>
      <c r="L436" s="218">
        <v>1380.2460000000001</v>
      </c>
      <c r="M436" s="246">
        <v>283388</v>
      </c>
      <c r="N436" s="251">
        <v>86.610200000000006</v>
      </c>
      <c r="O436" s="251">
        <v>92.524100000000004</v>
      </c>
      <c r="P436" s="251">
        <v>95.662099999999995</v>
      </c>
      <c r="Q436" s="251">
        <v>95.302599999999998</v>
      </c>
      <c r="R436" s="254">
        <v>1.04</v>
      </c>
      <c r="S436" s="214">
        <v>374516</v>
      </c>
      <c r="T436" s="214">
        <v>3979766</v>
      </c>
      <c r="U436" s="214">
        <v>0</v>
      </c>
      <c r="V436" s="187">
        <f t="shared" si="14"/>
        <v>3979766</v>
      </c>
      <c r="W436" s="187">
        <f t="shared" si="15"/>
        <v>4354282</v>
      </c>
    </row>
    <row r="437" spans="1:23">
      <c r="A437" s="216" t="s">
        <v>2584</v>
      </c>
      <c r="B437" s="218">
        <v>141.45599999999999</v>
      </c>
      <c r="C437" s="218">
        <v>131.22</v>
      </c>
      <c r="D437" s="218">
        <v>127.25700000000001</v>
      </c>
      <c r="E437" s="218">
        <v>122.664</v>
      </c>
      <c r="F437" s="218">
        <v>27.590900000000001</v>
      </c>
      <c r="G437" s="218">
        <v>26.667899999999999</v>
      </c>
      <c r="H437" s="218">
        <v>27.4358</v>
      </c>
      <c r="I437" s="218">
        <v>27.898399999999999</v>
      </c>
      <c r="J437" s="246">
        <v>84628273</v>
      </c>
      <c r="K437" s="246">
        <v>85552613</v>
      </c>
      <c r="L437" s="218">
        <v>293.97399999999999</v>
      </c>
      <c r="M437" s="187">
        <v>0</v>
      </c>
      <c r="N437" s="251">
        <v>17.892299999999999</v>
      </c>
      <c r="O437" s="251">
        <v>18.9346</v>
      </c>
      <c r="P437" s="251">
        <v>20.324400000000001</v>
      </c>
      <c r="Q437" s="251">
        <v>19.322399999999998</v>
      </c>
      <c r="R437" s="254">
        <v>1.05</v>
      </c>
      <c r="S437" s="214">
        <v>0</v>
      </c>
      <c r="T437" s="214">
        <v>1210479</v>
      </c>
      <c r="U437" s="214">
        <v>0</v>
      </c>
      <c r="V437" s="187">
        <f t="shared" si="14"/>
        <v>1210479</v>
      </c>
      <c r="W437" s="187">
        <f t="shared" si="15"/>
        <v>1210479</v>
      </c>
    </row>
    <row r="438" spans="1:23">
      <c r="A438" s="216" t="s">
        <v>1578</v>
      </c>
      <c r="B438" s="218">
        <v>169.286</v>
      </c>
      <c r="C438" s="218">
        <v>163.125</v>
      </c>
      <c r="D438" s="218">
        <v>158.19900000000001</v>
      </c>
      <c r="E438" s="218">
        <v>152.744</v>
      </c>
      <c r="F438" s="218">
        <v>36.244500000000002</v>
      </c>
      <c r="G438" s="218">
        <v>34.017699999999998</v>
      </c>
      <c r="H438" s="218">
        <v>34.769500000000001</v>
      </c>
      <c r="I438" s="218">
        <v>30.236599999999999</v>
      </c>
      <c r="J438" s="246">
        <v>62740023</v>
      </c>
      <c r="K438" s="246">
        <v>63917153</v>
      </c>
      <c r="L438" s="218">
        <v>304.57400000000001</v>
      </c>
      <c r="M438" s="246">
        <v>76597</v>
      </c>
      <c r="N438" s="251">
        <v>24.032900000000001</v>
      </c>
      <c r="O438" s="251">
        <v>23.608899999999998</v>
      </c>
      <c r="P438" s="251">
        <v>22.502400000000002</v>
      </c>
      <c r="Q438" s="251">
        <v>21.9544</v>
      </c>
      <c r="R438" s="254">
        <v>1.05</v>
      </c>
      <c r="S438" s="214">
        <v>67404</v>
      </c>
      <c r="T438" s="214">
        <v>919911</v>
      </c>
      <c r="U438" s="214">
        <v>0</v>
      </c>
      <c r="V438" s="187">
        <f t="shared" si="14"/>
        <v>919911</v>
      </c>
      <c r="W438" s="187">
        <f t="shared" si="15"/>
        <v>987315</v>
      </c>
    </row>
    <row r="439" spans="1:23">
      <c r="A439" s="216" t="s">
        <v>1580</v>
      </c>
      <c r="B439" s="218">
        <v>615.89700000000005</v>
      </c>
      <c r="C439" s="218">
        <v>593.02200000000005</v>
      </c>
      <c r="D439" s="218">
        <v>575.11300000000006</v>
      </c>
      <c r="E439" s="218">
        <v>548.41300000000001</v>
      </c>
      <c r="F439" s="218">
        <v>130.81280000000001</v>
      </c>
      <c r="G439" s="218">
        <v>123.4224</v>
      </c>
      <c r="H439" s="218">
        <v>120.8516</v>
      </c>
      <c r="I439" s="218">
        <v>113.3914</v>
      </c>
      <c r="J439" s="246">
        <v>84228358</v>
      </c>
      <c r="K439" s="246">
        <v>92784494</v>
      </c>
      <c r="L439" s="218">
        <v>1089.5519999999999</v>
      </c>
      <c r="M439" s="187">
        <v>0</v>
      </c>
      <c r="N439" s="251">
        <v>87.991399999999999</v>
      </c>
      <c r="O439" s="251">
        <v>82.243799999999993</v>
      </c>
      <c r="P439" s="251">
        <v>80.273899999999998</v>
      </c>
      <c r="Q439" s="251">
        <v>75.128399999999999</v>
      </c>
      <c r="R439" s="254">
        <v>1.04</v>
      </c>
      <c r="S439" s="214">
        <v>0</v>
      </c>
      <c r="T439" s="214">
        <v>1200955</v>
      </c>
      <c r="U439" s="214">
        <v>0</v>
      </c>
      <c r="V439" s="187">
        <f t="shared" si="14"/>
        <v>1200955</v>
      </c>
      <c r="W439" s="187">
        <f t="shared" si="15"/>
        <v>1200955</v>
      </c>
    </row>
    <row r="440" spans="1:23">
      <c r="A440" s="216" t="s">
        <v>447</v>
      </c>
      <c r="B440" s="218">
        <v>137.58099999999999</v>
      </c>
      <c r="C440" s="218">
        <v>122.07</v>
      </c>
      <c r="D440" s="218">
        <v>118.383</v>
      </c>
      <c r="E440" s="218">
        <v>112.35299999999999</v>
      </c>
      <c r="F440" s="218">
        <v>36.181899999999999</v>
      </c>
      <c r="G440" s="218">
        <v>30.371300000000002</v>
      </c>
      <c r="H440" s="218">
        <v>32.408700000000003</v>
      </c>
      <c r="I440" s="218">
        <v>33.740200000000002</v>
      </c>
      <c r="J440" s="246">
        <v>19750522</v>
      </c>
      <c r="K440" s="246">
        <v>20760237</v>
      </c>
      <c r="L440" s="218">
        <v>251.34700000000001</v>
      </c>
      <c r="M440" s="187">
        <v>0</v>
      </c>
      <c r="N440" s="251">
        <v>25.372299999999999</v>
      </c>
      <c r="O440" s="251">
        <v>19.8264</v>
      </c>
      <c r="P440" s="251">
        <v>22.708600000000001</v>
      </c>
      <c r="Q440" s="251">
        <v>22.688300000000002</v>
      </c>
      <c r="R440" s="254">
        <v>1.05</v>
      </c>
      <c r="S440" s="214">
        <v>12589</v>
      </c>
      <c r="T440" s="214">
        <v>256498</v>
      </c>
      <c r="U440" s="214">
        <v>0</v>
      </c>
      <c r="V440" s="187">
        <f t="shared" si="14"/>
        <v>256498</v>
      </c>
      <c r="W440" s="187">
        <f t="shared" si="15"/>
        <v>269087</v>
      </c>
    </row>
    <row r="441" spans="1:23">
      <c r="A441" s="216" t="s">
        <v>1582</v>
      </c>
      <c r="B441" s="218">
        <v>189.48500000000001</v>
      </c>
      <c r="C441" s="218">
        <v>174.203</v>
      </c>
      <c r="D441" s="218">
        <v>168.94200000000001</v>
      </c>
      <c r="E441" s="218">
        <v>155.40299999999999</v>
      </c>
      <c r="F441" s="218">
        <v>35.373399999999997</v>
      </c>
      <c r="G441" s="218">
        <v>35.373399999999997</v>
      </c>
      <c r="H441" s="218">
        <v>38.491</v>
      </c>
      <c r="I441" s="218">
        <v>35.814</v>
      </c>
      <c r="J441" s="246">
        <v>24689627</v>
      </c>
      <c r="K441" s="246">
        <v>26825182</v>
      </c>
      <c r="L441" s="218">
        <v>262.60000000000002</v>
      </c>
      <c r="M441" s="187">
        <v>0</v>
      </c>
      <c r="N441" s="251">
        <v>25.7883</v>
      </c>
      <c r="O441" s="251">
        <v>25.786799999999999</v>
      </c>
      <c r="P441" s="251">
        <v>26.618600000000001</v>
      </c>
      <c r="Q441" s="251">
        <v>20.002500000000001</v>
      </c>
      <c r="R441" s="254">
        <v>1.05</v>
      </c>
      <c r="S441" s="214">
        <v>0</v>
      </c>
      <c r="T441" s="214">
        <v>375293</v>
      </c>
      <c r="U441" s="214">
        <v>0</v>
      </c>
      <c r="V441" s="187">
        <f t="shared" si="14"/>
        <v>375293</v>
      </c>
      <c r="W441" s="187">
        <f t="shared" si="15"/>
        <v>375293</v>
      </c>
    </row>
    <row r="442" spans="1:23">
      <c r="A442" s="216" t="s">
        <v>1584</v>
      </c>
      <c r="B442" s="218">
        <v>132.44</v>
      </c>
      <c r="C442" s="218">
        <v>130.85900000000001</v>
      </c>
      <c r="D442" s="218">
        <v>136.10400000000001</v>
      </c>
      <c r="E442" s="218">
        <v>132.334</v>
      </c>
      <c r="F442" s="218">
        <v>30.192499999999999</v>
      </c>
      <c r="G442" s="218">
        <v>29.775400000000001</v>
      </c>
      <c r="H442" s="218">
        <v>31.775400000000001</v>
      </c>
      <c r="I442" s="218">
        <v>30.243300000000001</v>
      </c>
      <c r="J442" s="246">
        <v>37363618</v>
      </c>
      <c r="K442" s="246">
        <v>38316193</v>
      </c>
      <c r="L442" s="218">
        <v>268.48399999999998</v>
      </c>
      <c r="M442" s="187">
        <v>0</v>
      </c>
      <c r="N442" s="251">
        <v>20.6433</v>
      </c>
      <c r="O442" s="251">
        <v>20.073</v>
      </c>
      <c r="P442" s="251">
        <v>20.929500000000001</v>
      </c>
      <c r="Q442" s="251">
        <v>21.504799999999999</v>
      </c>
      <c r="R442" s="254">
        <v>1.06</v>
      </c>
      <c r="S442" s="214">
        <v>0</v>
      </c>
      <c r="T442" s="214">
        <v>561108</v>
      </c>
      <c r="U442" s="214">
        <v>0</v>
      </c>
      <c r="V442" s="187">
        <f t="shared" si="14"/>
        <v>561108</v>
      </c>
      <c r="W442" s="187">
        <f t="shared" si="15"/>
        <v>561108</v>
      </c>
    </row>
    <row r="443" spans="1:23">
      <c r="A443" s="216" t="s">
        <v>1588</v>
      </c>
      <c r="B443" s="218">
        <v>6478.1040000000003</v>
      </c>
      <c r="C443" s="218">
        <v>6569.9530000000004</v>
      </c>
      <c r="D443" s="218">
        <v>6449.1130000000003</v>
      </c>
      <c r="E443" s="218">
        <v>6410.973</v>
      </c>
      <c r="F443" s="218">
        <v>982.58659999999998</v>
      </c>
      <c r="G443" s="218">
        <v>904.33100000000002</v>
      </c>
      <c r="H443" s="218">
        <v>978.79790000000003</v>
      </c>
      <c r="I443" s="218">
        <v>974.67949999999996</v>
      </c>
      <c r="J443" s="246">
        <v>2037161893</v>
      </c>
      <c r="K443" s="246">
        <v>2101597269</v>
      </c>
      <c r="L443" s="218">
        <v>8380.3520000000008</v>
      </c>
      <c r="M443" s="246">
        <v>2134128</v>
      </c>
      <c r="N443" s="251">
        <v>583.53330000000005</v>
      </c>
      <c r="O443" s="251">
        <v>596.51369999999997</v>
      </c>
      <c r="P443" s="251">
        <v>571.81359999999995</v>
      </c>
      <c r="Q443" s="251">
        <v>555.47820000000002</v>
      </c>
      <c r="R443" s="254">
        <v>1.1000000000000001</v>
      </c>
      <c r="S443" s="214">
        <v>2301357</v>
      </c>
      <c r="T443" s="214">
        <v>34299556</v>
      </c>
      <c r="U443" s="214">
        <v>0</v>
      </c>
      <c r="V443" s="187">
        <f t="shared" si="14"/>
        <v>34299556</v>
      </c>
      <c r="W443" s="187">
        <f t="shared" si="15"/>
        <v>36600913</v>
      </c>
    </row>
    <row r="444" spans="1:23">
      <c r="A444" s="216" t="s">
        <v>1292</v>
      </c>
      <c r="B444" s="218">
        <v>2967.04</v>
      </c>
      <c r="C444" s="218">
        <v>3059.7089999999998</v>
      </c>
      <c r="D444" s="218">
        <v>3154.53</v>
      </c>
      <c r="E444" s="218">
        <v>3155.9119999999998</v>
      </c>
      <c r="F444" s="218">
        <v>428.7081</v>
      </c>
      <c r="G444" s="218">
        <v>432.7022</v>
      </c>
      <c r="H444" s="218">
        <v>442.6114</v>
      </c>
      <c r="I444" s="218">
        <v>449.03309999999999</v>
      </c>
      <c r="J444" s="246">
        <v>1066564566</v>
      </c>
      <c r="K444" s="246">
        <v>1106609633</v>
      </c>
      <c r="L444" s="218">
        <v>3965.2620000000002</v>
      </c>
      <c r="M444" s="246">
        <v>2998724</v>
      </c>
      <c r="N444" s="251">
        <v>256.60340000000002</v>
      </c>
      <c r="O444" s="251">
        <v>254.79920000000001</v>
      </c>
      <c r="P444" s="251">
        <v>252.0455</v>
      </c>
      <c r="Q444" s="251">
        <v>257.61660000000001</v>
      </c>
      <c r="R444" s="254">
        <v>1.07</v>
      </c>
      <c r="S444" s="214">
        <v>3655311</v>
      </c>
      <c r="T444" s="214">
        <v>17045792</v>
      </c>
      <c r="U444" s="214">
        <v>0</v>
      </c>
      <c r="V444" s="187">
        <f t="shared" si="14"/>
        <v>17045792</v>
      </c>
      <c r="W444" s="187">
        <f t="shared" si="15"/>
        <v>20701103</v>
      </c>
    </row>
    <row r="445" spans="1:23">
      <c r="A445" s="216" t="s">
        <v>1590</v>
      </c>
      <c r="B445" s="218">
        <v>1544.3989999999999</v>
      </c>
      <c r="C445" s="218">
        <v>1591.5640000000001</v>
      </c>
      <c r="D445" s="218">
        <v>1660.357</v>
      </c>
      <c r="E445" s="218">
        <v>1718.4449999999999</v>
      </c>
      <c r="F445" s="218">
        <v>194.4348</v>
      </c>
      <c r="G445" s="218">
        <v>211.44450000000001</v>
      </c>
      <c r="H445" s="218">
        <v>224.92359999999999</v>
      </c>
      <c r="I445" s="218">
        <v>248.28450000000001</v>
      </c>
      <c r="J445" s="246">
        <v>681213647</v>
      </c>
      <c r="K445" s="246">
        <v>713139334</v>
      </c>
      <c r="L445" s="218">
        <v>2119.1170000000002</v>
      </c>
      <c r="M445" s="246">
        <v>970214</v>
      </c>
      <c r="N445" s="251">
        <v>130.4495</v>
      </c>
      <c r="O445" s="251">
        <v>141.69499999999999</v>
      </c>
      <c r="P445" s="251">
        <v>150.1439</v>
      </c>
      <c r="Q445" s="251">
        <v>167.10890000000001</v>
      </c>
      <c r="R445" s="254">
        <v>1.06</v>
      </c>
      <c r="S445" s="214">
        <v>1581086</v>
      </c>
      <c r="T445" s="214">
        <v>11712433</v>
      </c>
      <c r="U445" s="214">
        <v>0</v>
      </c>
      <c r="V445" s="187">
        <f t="shared" si="14"/>
        <v>11712433</v>
      </c>
      <c r="W445" s="187">
        <f t="shared" si="15"/>
        <v>13293519</v>
      </c>
    </row>
    <row r="446" spans="1:23">
      <c r="A446" s="216" t="s">
        <v>1864</v>
      </c>
      <c r="B446" s="218">
        <v>6289.2569999999996</v>
      </c>
      <c r="C446" s="218">
        <v>6964.9780000000001</v>
      </c>
      <c r="D446" s="218">
        <v>7613.1409999999996</v>
      </c>
      <c r="E446" s="218">
        <v>8089.89</v>
      </c>
      <c r="F446" s="218">
        <v>885.59749999999997</v>
      </c>
      <c r="G446" s="218">
        <v>982.19889999999998</v>
      </c>
      <c r="H446" s="218">
        <v>1093.4014999999999</v>
      </c>
      <c r="I446" s="218">
        <v>1176.4726000000001</v>
      </c>
      <c r="J446" s="246">
        <v>1257892429</v>
      </c>
      <c r="K446" s="246">
        <v>1328232582</v>
      </c>
      <c r="L446" s="218">
        <v>10281.834000000001</v>
      </c>
      <c r="M446" s="246">
        <v>3301724</v>
      </c>
      <c r="N446" s="251">
        <v>498.85120000000001</v>
      </c>
      <c r="O446" s="251">
        <v>554.19560000000001</v>
      </c>
      <c r="P446" s="251">
        <v>619.41219999999998</v>
      </c>
      <c r="Q446" s="251">
        <v>671.24459999999999</v>
      </c>
      <c r="R446" s="254">
        <v>1.1000000000000001</v>
      </c>
      <c r="S446" s="214">
        <v>5861184</v>
      </c>
      <c r="T446" s="214">
        <v>19637546</v>
      </c>
      <c r="U446" s="214">
        <v>0</v>
      </c>
      <c r="V446" s="187">
        <f t="shared" si="14"/>
        <v>19637546</v>
      </c>
      <c r="W446" s="187">
        <f t="shared" si="15"/>
        <v>25498730</v>
      </c>
    </row>
    <row r="447" spans="1:23">
      <c r="A447" s="216" t="s">
        <v>1592</v>
      </c>
      <c r="B447" s="218">
        <v>769.78300000000002</v>
      </c>
      <c r="C447" s="218">
        <v>777.38400000000001</v>
      </c>
      <c r="D447" s="218">
        <v>753.90700000000004</v>
      </c>
      <c r="E447" s="218">
        <v>727.12400000000002</v>
      </c>
      <c r="F447" s="218">
        <v>131.2303</v>
      </c>
      <c r="G447" s="218">
        <v>128.55119999999999</v>
      </c>
      <c r="H447" s="218">
        <v>133.55119999999999</v>
      </c>
      <c r="I447" s="218">
        <v>130.6634</v>
      </c>
      <c r="J447" s="246">
        <v>662990552</v>
      </c>
      <c r="K447" s="246">
        <v>670969932</v>
      </c>
      <c r="L447" s="218">
        <v>1313.069</v>
      </c>
      <c r="M447" s="187">
        <v>0</v>
      </c>
      <c r="N447" s="251">
        <v>84.360399999999998</v>
      </c>
      <c r="O447" s="251">
        <v>84.242400000000004</v>
      </c>
      <c r="P447" s="251">
        <v>86.003500000000003</v>
      </c>
      <c r="Q447" s="251">
        <v>84.380499999999998</v>
      </c>
      <c r="R447" s="254">
        <v>1.07</v>
      </c>
      <c r="S447" s="214">
        <v>1192118</v>
      </c>
      <c r="T447" s="214">
        <v>8174640</v>
      </c>
      <c r="U447" s="214">
        <v>0</v>
      </c>
      <c r="V447" s="187">
        <f t="shared" si="14"/>
        <v>8174640</v>
      </c>
      <c r="W447" s="187">
        <f t="shared" si="15"/>
        <v>9366758</v>
      </c>
    </row>
    <row r="448" spans="1:23">
      <c r="A448" s="216" t="s">
        <v>1594</v>
      </c>
      <c r="B448" s="218">
        <v>3164.4670000000001</v>
      </c>
      <c r="C448" s="218">
        <v>3086.0819999999999</v>
      </c>
      <c r="D448" s="218">
        <v>3143.3939999999998</v>
      </c>
      <c r="E448" s="218">
        <v>3200.748</v>
      </c>
      <c r="F448" s="218">
        <v>456.3263</v>
      </c>
      <c r="G448" s="218">
        <v>464.8075</v>
      </c>
      <c r="H448" s="218">
        <v>344.47059999999999</v>
      </c>
      <c r="I448" s="218">
        <v>524.26949999999999</v>
      </c>
      <c r="J448" s="246">
        <v>665072176</v>
      </c>
      <c r="K448" s="246">
        <v>708318016</v>
      </c>
      <c r="L448" s="218">
        <v>4256.7340000000004</v>
      </c>
      <c r="M448" s="246">
        <v>929125</v>
      </c>
      <c r="N448" s="251">
        <v>291.8775</v>
      </c>
      <c r="O448" s="251">
        <v>301.25049999999999</v>
      </c>
      <c r="P448" s="251">
        <v>297.70119999999997</v>
      </c>
      <c r="Q448" s="251">
        <v>314.2201</v>
      </c>
      <c r="R448" s="254">
        <v>1.06</v>
      </c>
      <c r="S448" s="214">
        <v>839189</v>
      </c>
      <c r="T448" s="214">
        <v>9445394</v>
      </c>
      <c r="U448" s="214">
        <v>0</v>
      </c>
      <c r="V448" s="187">
        <f t="shared" si="14"/>
        <v>9445394</v>
      </c>
      <c r="W448" s="187">
        <f t="shared" si="15"/>
        <v>10284583</v>
      </c>
    </row>
    <row r="449" spans="1:23">
      <c r="A449" s="216" t="s">
        <v>1596</v>
      </c>
      <c r="B449" s="218">
        <v>2341.0300000000002</v>
      </c>
      <c r="C449" s="218">
        <v>2363.848</v>
      </c>
      <c r="D449" s="218">
        <v>2398.8449999999998</v>
      </c>
      <c r="E449" s="218">
        <v>2452.3119999999999</v>
      </c>
      <c r="F449" s="218">
        <v>337.55340000000001</v>
      </c>
      <c r="G449" s="218">
        <v>343.66309999999999</v>
      </c>
      <c r="H449" s="218">
        <v>354.29070000000002</v>
      </c>
      <c r="I449" s="218">
        <v>382.54320000000001</v>
      </c>
      <c r="J449" s="246">
        <v>337017803</v>
      </c>
      <c r="K449" s="246">
        <v>371678733</v>
      </c>
      <c r="L449" s="218">
        <v>3312.4609999999998</v>
      </c>
      <c r="M449" s="246">
        <v>364781</v>
      </c>
      <c r="N449" s="251">
        <v>215.42660000000001</v>
      </c>
      <c r="O449" s="251">
        <v>220.70650000000001</v>
      </c>
      <c r="P449" s="251">
        <v>227.31530000000001</v>
      </c>
      <c r="Q449" s="251">
        <v>228.5823</v>
      </c>
      <c r="R449" s="254">
        <v>1.05</v>
      </c>
      <c r="S449" s="214">
        <v>406025</v>
      </c>
      <c r="T449" s="214">
        <v>5322201</v>
      </c>
      <c r="U449" s="214">
        <v>0</v>
      </c>
      <c r="V449" s="187">
        <f t="shared" si="14"/>
        <v>5322201</v>
      </c>
      <c r="W449" s="187">
        <f t="shared" si="15"/>
        <v>5728226</v>
      </c>
    </row>
    <row r="450" spans="1:23">
      <c r="A450" s="216" t="s">
        <v>1598</v>
      </c>
      <c r="B450" s="218">
        <v>604.048</v>
      </c>
      <c r="C450" s="218">
        <v>598.48199999999997</v>
      </c>
      <c r="D450" s="218">
        <v>580.40800000000002</v>
      </c>
      <c r="E450" s="218">
        <v>569.62099999999998</v>
      </c>
      <c r="F450" s="218">
        <v>89.969200000000001</v>
      </c>
      <c r="G450" s="218">
        <v>88.790199999999999</v>
      </c>
      <c r="H450" s="218">
        <v>90.402900000000002</v>
      </c>
      <c r="I450" s="218">
        <v>90.937700000000007</v>
      </c>
      <c r="J450" s="246">
        <v>131536412</v>
      </c>
      <c r="K450" s="246">
        <v>137880742</v>
      </c>
      <c r="L450" s="218">
        <v>915.28399999999999</v>
      </c>
      <c r="M450" s="246">
        <v>251982</v>
      </c>
      <c r="N450" s="251">
        <v>59.506</v>
      </c>
      <c r="O450" s="251">
        <v>58.702599999999997</v>
      </c>
      <c r="P450" s="251">
        <v>62.8384</v>
      </c>
      <c r="Q450" s="251">
        <v>58.626199999999997</v>
      </c>
      <c r="R450" s="254">
        <v>1.05</v>
      </c>
      <c r="S450" s="214">
        <v>270449</v>
      </c>
      <c r="T450" s="214">
        <v>2097024</v>
      </c>
      <c r="U450" s="214">
        <v>0</v>
      </c>
      <c r="V450" s="187">
        <f t="shared" si="14"/>
        <v>2097024</v>
      </c>
      <c r="W450" s="187">
        <f t="shared" si="15"/>
        <v>2367473</v>
      </c>
    </row>
    <row r="451" spans="1:23">
      <c r="A451" s="216" t="s">
        <v>1600</v>
      </c>
      <c r="B451" s="218">
        <v>1410.17</v>
      </c>
      <c r="C451" s="218">
        <v>1427.5229999999999</v>
      </c>
      <c r="D451" s="218">
        <v>1436.2370000000001</v>
      </c>
      <c r="E451" s="218">
        <v>1437.6880000000001</v>
      </c>
      <c r="F451" s="218">
        <v>209.77629999999999</v>
      </c>
      <c r="G451" s="218">
        <v>207.74010000000001</v>
      </c>
      <c r="H451" s="218">
        <v>215.49799999999999</v>
      </c>
      <c r="I451" s="218">
        <v>234.22790000000001</v>
      </c>
      <c r="J451" s="246">
        <v>238170841</v>
      </c>
      <c r="K451" s="246">
        <v>256605911</v>
      </c>
      <c r="L451" s="218">
        <v>2114.1819999999998</v>
      </c>
      <c r="M451" s="246">
        <v>149540</v>
      </c>
      <c r="N451" s="251">
        <v>135.10990000000001</v>
      </c>
      <c r="O451" s="251">
        <v>120.92310000000001</v>
      </c>
      <c r="P451" s="251">
        <v>142.95609999999999</v>
      </c>
      <c r="Q451" s="251">
        <v>118.72920000000001</v>
      </c>
      <c r="R451" s="254">
        <v>1.04</v>
      </c>
      <c r="S451" s="214">
        <v>182021</v>
      </c>
      <c r="T451" s="214">
        <v>3322637</v>
      </c>
      <c r="U451" s="214">
        <v>0</v>
      </c>
      <c r="V451" s="187">
        <f t="shared" si="14"/>
        <v>3322637</v>
      </c>
      <c r="W451" s="187">
        <f t="shared" si="15"/>
        <v>3504658</v>
      </c>
    </row>
    <row r="452" spans="1:23">
      <c r="A452" s="216" t="s">
        <v>5260</v>
      </c>
      <c r="B452" s="218">
        <v>1083.703</v>
      </c>
      <c r="C452" s="218">
        <v>1061.819</v>
      </c>
      <c r="D452" s="218">
        <v>1043.2439999999999</v>
      </c>
      <c r="E452" s="218">
        <v>1042.701</v>
      </c>
      <c r="F452" s="218">
        <v>195.71850000000001</v>
      </c>
      <c r="G452" s="218">
        <v>197.41669999999999</v>
      </c>
      <c r="H452" s="218">
        <v>198.41149999999999</v>
      </c>
      <c r="I452" s="218">
        <v>190.989</v>
      </c>
      <c r="J452" s="246">
        <v>468934135</v>
      </c>
      <c r="K452" s="246">
        <v>493478385</v>
      </c>
      <c r="L452" s="218">
        <v>1618.7560000000001</v>
      </c>
      <c r="M452" s="246">
        <v>596940</v>
      </c>
      <c r="N452" s="251">
        <v>132.36930000000001</v>
      </c>
      <c r="O452" s="251">
        <v>133.56139999999999</v>
      </c>
      <c r="P452" s="251">
        <v>133.71199999999999</v>
      </c>
      <c r="Q452" s="251">
        <v>128.20439999999999</v>
      </c>
      <c r="R452" s="254">
        <v>1.04</v>
      </c>
      <c r="S452" s="214">
        <v>452088</v>
      </c>
      <c r="T452" s="214">
        <v>7255160</v>
      </c>
      <c r="U452" s="214">
        <v>0</v>
      </c>
      <c r="V452" s="187">
        <f t="shared" si="14"/>
        <v>7255160</v>
      </c>
      <c r="W452" s="187">
        <f t="shared" si="15"/>
        <v>7707248</v>
      </c>
    </row>
    <row r="453" spans="1:23">
      <c r="A453" s="216" t="s">
        <v>2415</v>
      </c>
      <c r="B453" s="218">
        <v>302.488</v>
      </c>
      <c r="C453" s="218">
        <v>278.82</v>
      </c>
      <c r="D453" s="218">
        <v>270.39999999999998</v>
      </c>
      <c r="E453" s="218">
        <v>268.38799999999998</v>
      </c>
      <c r="F453" s="218">
        <v>53.6845</v>
      </c>
      <c r="G453" s="218">
        <v>48.267400000000002</v>
      </c>
      <c r="H453" s="218">
        <v>48.590899999999998</v>
      </c>
      <c r="I453" s="218">
        <v>45.844900000000003</v>
      </c>
      <c r="J453" s="246">
        <v>38229404</v>
      </c>
      <c r="K453" s="246">
        <v>40216034</v>
      </c>
      <c r="L453" s="218">
        <v>462.375</v>
      </c>
      <c r="M453" s="187">
        <v>108</v>
      </c>
      <c r="N453" s="251">
        <v>37.429099999999998</v>
      </c>
      <c r="O453" s="251">
        <v>30.792300000000001</v>
      </c>
      <c r="P453" s="251">
        <v>31.793399999999998</v>
      </c>
      <c r="Q453" s="251">
        <v>31.070399999999999</v>
      </c>
      <c r="R453" s="254">
        <v>1.04</v>
      </c>
      <c r="S453" s="214">
        <v>18958</v>
      </c>
      <c r="T453" s="214">
        <v>575379</v>
      </c>
      <c r="U453" s="214">
        <v>0</v>
      </c>
      <c r="V453" s="187">
        <f t="shared" ref="V453:V516" si="16">T453+U453</f>
        <v>575379</v>
      </c>
      <c r="W453" s="187">
        <f t="shared" ref="W453:W516" si="17">V453+S453</f>
        <v>594337</v>
      </c>
    </row>
    <row r="454" spans="1:23">
      <c r="A454" s="216" t="s">
        <v>4973</v>
      </c>
      <c r="B454" s="218">
        <v>131.17699999999999</v>
      </c>
      <c r="C454" s="218">
        <v>136.41200000000001</v>
      </c>
      <c r="D454" s="218">
        <v>139.98099999999999</v>
      </c>
      <c r="E454" s="218">
        <v>144.03200000000001</v>
      </c>
      <c r="F454" s="218">
        <v>21.550799999999999</v>
      </c>
      <c r="G454" s="218">
        <v>29.818300000000001</v>
      </c>
      <c r="H454" s="218">
        <v>30.091000000000001</v>
      </c>
      <c r="I454" s="218">
        <v>29.185099999999998</v>
      </c>
      <c r="J454" s="246">
        <v>22289850</v>
      </c>
      <c r="K454" s="246">
        <v>24356750</v>
      </c>
      <c r="L454" s="218">
        <v>244.94</v>
      </c>
      <c r="M454" s="187">
        <v>0</v>
      </c>
      <c r="N454" s="251">
        <v>14.9999</v>
      </c>
      <c r="O454" s="251">
        <v>19.662800000000001</v>
      </c>
      <c r="P454" s="251">
        <v>15.807</v>
      </c>
      <c r="Q454" s="251">
        <v>16.16</v>
      </c>
      <c r="R454" s="254">
        <v>1.05</v>
      </c>
      <c r="S454" s="214">
        <v>0</v>
      </c>
      <c r="T454" s="214">
        <v>351700</v>
      </c>
      <c r="U454" s="214">
        <v>15920</v>
      </c>
      <c r="V454" s="187">
        <f t="shared" si="16"/>
        <v>367620</v>
      </c>
      <c r="W454" s="187">
        <f t="shared" si="17"/>
        <v>367620</v>
      </c>
    </row>
    <row r="455" spans="1:23">
      <c r="A455" s="216" t="s">
        <v>5262</v>
      </c>
      <c r="B455" s="218">
        <v>454.14</v>
      </c>
      <c r="C455" s="218">
        <v>438.51100000000002</v>
      </c>
      <c r="D455" s="218">
        <v>434.71100000000001</v>
      </c>
      <c r="E455" s="218">
        <v>428.49599999999998</v>
      </c>
      <c r="F455" s="218">
        <v>65.158100000000005</v>
      </c>
      <c r="G455" s="218">
        <v>67.641999999999996</v>
      </c>
      <c r="H455" s="218">
        <v>66.489400000000003</v>
      </c>
      <c r="I455" s="218">
        <v>68.895700000000005</v>
      </c>
      <c r="J455" s="246">
        <v>227393108</v>
      </c>
      <c r="K455" s="246">
        <v>232620198</v>
      </c>
      <c r="L455" s="218">
        <v>701.18899999999996</v>
      </c>
      <c r="M455" s="187">
        <v>0</v>
      </c>
      <c r="N455" s="251">
        <v>41.933799999999998</v>
      </c>
      <c r="O455" s="251">
        <v>43.889099999999999</v>
      </c>
      <c r="P455" s="251">
        <v>42.759099999999997</v>
      </c>
      <c r="Q455" s="251">
        <v>42.713299999999997</v>
      </c>
      <c r="R455" s="254">
        <v>1.04</v>
      </c>
      <c r="S455" s="214">
        <v>195437</v>
      </c>
      <c r="T455" s="214">
        <v>3035575</v>
      </c>
      <c r="U455" s="214">
        <v>0</v>
      </c>
      <c r="V455" s="187">
        <f t="shared" si="16"/>
        <v>3035575</v>
      </c>
      <c r="W455" s="187">
        <f t="shared" si="17"/>
        <v>3231012</v>
      </c>
    </row>
    <row r="456" spans="1:23">
      <c r="A456" s="216" t="s">
        <v>2054</v>
      </c>
      <c r="B456" s="218">
        <v>9532.2340000000004</v>
      </c>
      <c r="C456" s="218">
        <v>9545.1419999999998</v>
      </c>
      <c r="D456" s="218">
        <v>9789.0460000000003</v>
      </c>
      <c r="E456" s="218">
        <v>10184.008</v>
      </c>
      <c r="F456" s="218">
        <v>1766.5287000000001</v>
      </c>
      <c r="G456" s="218">
        <v>1805.0452</v>
      </c>
      <c r="H456" s="218">
        <v>1865.7528</v>
      </c>
      <c r="I456" s="218">
        <v>1863.3458000000001</v>
      </c>
      <c r="J456" s="246">
        <v>468086617</v>
      </c>
      <c r="K456" s="246">
        <v>530374576</v>
      </c>
      <c r="L456" s="218">
        <v>14625.772000000001</v>
      </c>
      <c r="M456" s="187">
        <v>0</v>
      </c>
      <c r="N456" s="251">
        <v>917.46029999999996</v>
      </c>
      <c r="O456" s="251">
        <v>945.64260000000002</v>
      </c>
      <c r="P456" s="251">
        <v>971.68859999999995</v>
      </c>
      <c r="Q456" s="251">
        <v>1006.915</v>
      </c>
      <c r="R456" s="254">
        <v>1.18</v>
      </c>
      <c r="S456" s="214">
        <v>299833</v>
      </c>
      <c r="T456" s="214">
        <v>7293862</v>
      </c>
      <c r="U456" s="214">
        <v>0</v>
      </c>
      <c r="V456" s="187">
        <f t="shared" si="16"/>
        <v>7293862</v>
      </c>
      <c r="W456" s="187">
        <f t="shared" si="17"/>
        <v>7593695</v>
      </c>
    </row>
    <row r="457" spans="1:23">
      <c r="A457" s="216" t="s">
        <v>1519</v>
      </c>
      <c r="B457" s="218">
        <v>4557.9120000000003</v>
      </c>
      <c r="C457" s="218">
        <v>4624.1289999999999</v>
      </c>
      <c r="D457" s="218">
        <v>4769.826</v>
      </c>
      <c r="E457" s="218">
        <v>4816.616</v>
      </c>
      <c r="F457" s="218">
        <v>786.00469999999996</v>
      </c>
      <c r="G457" s="218">
        <v>798.98929999999996</v>
      </c>
      <c r="H457" s="218">
        <v>888.2115</v>
      </c>
      <c r="I457" s="218">
        <v>850.30880000000002</v>
      </c>
      <c r="J457" s="246">
        <v>132984662</v>
      </c>
      <c r="K457" s="246">
        <v>156263353</v>
      </c>
      <c r="L457" s="218">
        <v>7005.3909999999996</v>
      </c>
      <c r="M457" s="246">
        <v>20904</v>
      </c>
      <c r="N457" s="251">
        <v>450.59739999999999</v>
      </c>
      <c r="O457" s="251">
        <v>460.72629999999998</v>
      </c>
      <c r="P457" s="251">
        <v>486.74799999999999</v>
      </c>
      <c r="Q457" s="251">
        <v>484.32619999999997</v>
      </c>
      <c r="R457" s="254">
        <v>1.18</v>
      </c>
      <c r="S457" s="214">
        <v>199726</v>
      </c>
      <c r="T457" s="214">
        <v>1980480</v>
      </c>
      <c r="U457" s="214">
        <v>0</v>
      </c>
      <c r="V457" s="187">
        <f t="shared" si="16"/>
        <v>1980480</v>
      </c>
      <c r="W457" s="187">
        <f t="shared" si="17"/>
        <v>2180206</v>
      </c>
    </row>
    <row r="458" spans="1:23">
      <c r="A458" s="216" t="s">
        <v>1521</v>
      </c>
      <c r="B458" s="218">
        <v>19609.402999999998</v>
      </c>
      <c r="C458" s="218">
        <v>20389.066999999999</v>
      </c>
      <c r="D458" s="218">
        <v>21484.813999999998</v>
      </c>
      <c r="E458" s="218">
        <v>22495.219000000001</v>
      </c>
      <c r="F458" s="218">
        <v>3102.5221000000001</v>
      </c>
      <c r="G458" s="218">
        <v>3234.7249000000002</v>
      </c>
      <c r="H458" s="218">
        <v>3386.6309000000001</v>
      </c>
      <c r="I458" s="218">
        <v>3388.8094000000001</v>
      </c>
      <c r="J458" s="246">
        <v>2524016995</v>
      </c>
      <c r="K458" s="246">
        <v>2637818517</v>
      </c>
      <c r="L458" s="218">
        <v>31090.864000000001</v>
      </c>
      <c r="M458" s="246">
        <v>1566773</v>
      </c>
      <c r="N458" s="251">
        <v>1813.2644</v>
      </c>
      <c r="O458" s="251">
        <v>1846.1767</v>
      </c>
      <c r="P458" s="251">
        <v>1922.6177</v>
      </c>
      <c r="Q458" s="251">
        <v>1964.8244999999999</v>
      </c>
      <c r="R458" s="254">
        <v>1.18</v>
      </c>
      <c r="S458" s="214">
        <v>3053131</v>
      </c>
      <c r="T458" s="214">
        <v>38858448</v>
      </c>
      <c r="U458" s="214">
        <v>1269305</v>
      </c>
      <c r="V458" s="187">
        <f t="shared" si="16"/>
        <v>40127753</v>
      </c>
      <c r="W458" s="187">
        <f t="shared" si="17"/>
        <v>43180884</v>
      </c>
    </row>
    <row r="459" spans="1:23">
      <c r="A459" s="216" t="s">
        <v>1866</v>
      </c>
      <c r="B459" s="218">
        <v>2441.3359999999998</v>
      </c>
      <c r="C459" s="218">
        <v>2561.3820000000001</v>
      </c>
      <c r="D459" s="218">
        <v>2688.357</v>
      </c>
      <c r="E459" s="218">
        <v>2773.5839999999998</v>
      </c>
      <c r="F459" s="218">
        <v>438.96539999999999</v>
      </c>
      <c r="G459" s="218">
        <v>478.32889999999998</v>
      </c>
      <c r="H459" s="218">
        <v>495.56119999999999</v>
      </c>
      <c r="I459" s="218">
        <v>502.40120000000002</v>
      </c>
      <c r="J459" s="246">
        <v>192942914</v>
      </c>
      <c r="K459" s="246">
        <v>203147553</v>
      </c>
      <c r="L459" s="218">
        <v>4231.5259999999998</v>
      </c>
      <c r="M459" s="246">
        <v>56913</v>
      </c>
      <c r="N459" s="251">
        <v>254.41839999999999</v>
      </c>
      <c r="O459" s="251">
        <v>278.19819999999999</v>
      </c>
      <c r="P459" s="251">
        <v>282.31360000000001</v>
      </c>
      <c r="Q459" s="251">
        <v>296.09379999999999</v>
      </c>
      <c r="R459" s="254">
        <v>1.17</v>
      </c>
      <c r="S459" s="214">
        <v>213976</v>
      </c>
      <c r="T459" s="214">
        <v>2952223</v>
      </c>
      <c r="U459" s="214">
        <v>0</v>
      </c>
      <c r="V459" s="187">
        <f t="shared" si="16"/>
        <v>2952223</v>
      </c>
      <c r="W459" s="187">
        <f t="shared" si="17"/>
        <v>3166199</v>
      </c>
    </row>
    <row r="460" spans="1:23">
      <c r="A460" s="216" t="s">
        <v>6167</v>
      </c>
      <c r="B460" s="218">
        <v>19926.253000000001</v>
      </c>
      <c r="C460" s="218">
        <v>20112.467000000001</v>
      </c>
      <c r="D460" s="218">
        <v>20835.245999999999</v>
      </c>
      <c r="E460" s="218">
        <v>21499.628000000001</v>
      </c>
      <c r="F460" s="218">
        <v>2990.2345999999998</v>
      </c>
      <c r="G460" s="218">
        <v>3259.2060999999999</v>
      </c>
      <c r="H460" s="218">
        <v>3374.1934000000001</v>
      </c>
      <c r="I460" s="218">
        <v>3376.1035999999999</v>
      </c>
      <c r="J460" s="246">
        <v>3547397344</v>
      </c>
      <c r="K460" s="246">
        <v>3702179797</v>
      </c>
      <c r="L460" s="218">
        <v>28857.281999999999</v>
      </c>
      <c r="M460" s="246">
        <v>929903</v>
      </c>
      <c r="N460" s="251">
        <v>1678.8476000000001</v>
      </c>
      <c r="O460" s="251">
        <v>1805.2565</v>
      </c>
      <c r="P460" s="251">
        <v>1842.2952</v>
      </c>
      <c r="Q460" s="251">
        <v>1817.5237</v>
      </c>
      <c r="R460" s="254">
        <v>1.17</v>
      </c>
      <c r="S460" s="214">
        <v>1702749</v>
      </c>
      <c r="T460" s="214">
        <v>55757711</v>
      </c>
      <c r="U460" s="214">
        <v>0</v>
      </c>
      <c r="V460" s="187">
        <f t="shared" si="16"/>
        <v>55757711</v>
      </c>
      <c r="W460" s="187">
        <f t="shared" si="17"/>
        <v>57460460</v>
      </c>
    </row>
    <row r="461" spans="1:23">
      <c r="A461" s="216" t="s">
        <v>6170</v>
      </c>
      <c r="B461" s="218">
        <v>4595.3059999999996</v>
      </c>
      <c r="C461" s="218">
        <v>4604.8209999999999</v>
      </c>
      <c r="D461" s="218">
        <v>4724.9049999999997</v>
      </c>
      <c r="E461" s="218">
        <v>4838.1130000000003</v>
      </c>
      <c r="F461" s="218">
        <v>825.46040000000005</v>
      </c>
      <c r="G461" s="218">
        <v>804.5761</v>
      </c>
      <c r="H461" s="218">
        <v>809.39400000000001</v>
      </c>
      <c r="I461" s="218">
        <v>837.62379999999996</v>
      </c>
      <c r="J461" s="246">
        <v>172043202</v>
      </c>
      <c r="K461" s="246">
        <v>197951846</v>
      </c>
      <c r="L461" s="218">
        <v>6924.5060000000003</v>
      </c>
      <c r="M461" s="187">
        <v>0</v>
      </c>
      <c r="N461" s="251">
        <v>465.61200000000002</v>
      </c>
      <c r="O461" s="251">
        <v>455.93770000000001</v>
      </c>
      <c r="P461" s="251">
        <v>447.53649999999999</v>
      </c>
      <c r="Q461" s="251">
        <v>473.8383</v>
      </c>
      <c r="R461" s="254">
        <v>1.17</v>
      </c>
      <c r="S461" s="214">
        <v>206600</v>
      </c>
      <c r="T461" s="214">
        <v>2673175</v>
      </c>
      <c r="U461" s="214">
        <v>0</v>
      </c>
      <c r="V461" s="187">
        <f t="shared" si="16"/>
        <v>2673175</v>
      </c>
      <c r="W461" s="187">
        <f t="shared" si="17"/>
        <v>2879775</v>
      </c>
    </row>
    <row r="462" spans="1:23">
      <c r="A462" s="216" t="s">
        <v>6176</v>
      </c>
      <c r="B462" s="218">
        <v>11423.704</v>
      </c>
      <c r="C462" s="218">
        <v>11561.791999999999</v>
      </c>
      <c r="D462" s="218">
        <v>12180.989</v>
      </c>
      <c r="E462" s="218">
        <v>12745.06</v>
      </c>
      <c r="F462" s="218">
        <v>1898.5808999999999</v>
      </c>
      <c r="G462" s="218">
        <v>1917.8507999999999</v>
      </c>
      <c r="H462" s="218">
        <v>1928.1049</v>
      </c>
      <c r="I462" s="218">
        <v>1998.7716</v>
      </c>
      <c r="J462" s="246">
        <v>743199866</v>
      </c>
      <c r="K462" s="246">
        <v>823789153</v>
      </c>
      <c r="L462" s="218">
        <v>17171.897000000001</v>
      </c>
      <c r="M462" s="246">
        <v>91379</v>
      </c>
      <c r="N462" s="251">
        <v>1084.1457</v>
      </c>
      <c r="O462" s="251">
        <v>1095.5389</v>
      </c>
      <c r="P462" s="251">
        <v>1093.672</v>
      </c>
      <c r="Q462" s="251">
        <v>1204.9992999999999</v>
      </c>
      <c r="R462" s="254">
        <v>1.19</v>
      </c>
      <c r="S462" s="214">
        <v>1060153</v>
      </c>
      <c r="T462" s="214">
        <v>11683559</v>
      </c>
      <c r="U462" s="214">
        <v>0</v>
      </c>
      <c r="V462" s="187">
        <f t="shared" si="16"/>
        <v>11683559</v>
      </c>
      <c r="W462" s="187">
        <f t="shared" si="17"/>
        <v>12743712</v>
      </c>
    </row>
    <row r="463" spans="1:23">
      <c r="A463" s="216" t="s">
        <v>5125</v>
      </c>
      <c r="B463" s="218">
        <v>20225.103999999999</v>
      </c>
      <c r="C463" s="218">
        <v>20728.905999999999</v>
      </c>
      <c r="D463" s="218">
        <v>21937.483</v>
      </c>
      <c r="E463" s="218">
        <v>23173.687999999998</v>
      </c>
      <c r="F463" s="218">
        <v>3282.2274000000002</v>
      </c>
      <c r="G463" s="218">
        <v>3336.1898999999999</v>
      </c>
      <c r="H463" s="218">
        <v>3419.69</v>
      </c>
      <c r="I463" s="218">
        <v>3601.2285000000002</v>
      </c>
      <c r="J463" s="246">
        <v>1512593345</v>
      </c>
      <c r="K463" s="246">
        <v>1656734593</v>
      </c>
      <c r="L463" s="218">
        <v>32391.440999999999</v>
      </c>
      <c r="M463" s="246">
        <v>379516</v>
      </c>
      <c r="N463" s="251">
        <v>1861.7370000000001</v>
      </c>
      <c r="O463" s="251">
        <v>1962.9848999999999</v>
      </c>
      <c r="P463" s="251">
        <v>2045.1114</v>
      </c>
      <c r="Q463" s="251">
        <v>2156.7309</v>
      </c>
      <c r="R463" s="254">
        <v>1.19</v>
      </c>
      <c r="S463" s="214">
        <v>1952700</v>
      </c>
      <c r="T463" s="214">
        <v>24686251</v>
      </c>
      <c r="U463" s="214">
        <v>0</v>
      </c>
      <c r="V463" s="187">
        <f t="shared" si="16"/>
        <v>24686251</v>
      </c>
      <c r="W463" s="187">
        <f t="shared" si="17"/>
        <v>26638951</v>
      </c>
    </row>
    <row r="464" spans="1:23">
      <c r="A464" s="216" t="s">
        <v>648</v>
      </c>
      <c r="B464" s="218">
        <v>1818.87</v>
      </c>
      <c r="C464" s="218">
        <v>1837.595</v>
      </c>
      <c r="D464" s="218">
        <v>1896.2149999999999</v>
      </c>
      <c r="E464" s="218">
        <v>1969.5360000000001</v>
      </c>
      <c r="F464" s="218">
        <v>319.9896</v>
      </c>
      <c r="G464" s="218">
        <v>334.31810000000002</v>
      </c>
      <c r="H464" s="218">
        <v>379.75119999999998</v>
      </c>
      <c r="I464" s="218">
        <v>357.54140000000001</v>
      </c>
      <c r="J464" s="246">
        <v>52585885</v>
      </c>
      <c r="K464" s="246">
        <v>60844661</v>
      </c>
      <c r="L464" s="218">
        <v>3011.5140000000001</v>
      </c>
      <c r="M464" s="246">
        <v>18323</v>
      </c>
      <c r="N464" s="251">
        <v>188.3878</v>
      </c>
      <c r="O464" s="251">
        <v>193.762</v>
      </c>
      <c r="P464" s="251">
        <v>191.40369999999999</v>
      </c>
      <c r="Q464" s="251">
        <v>195.94569999999999</v>
      </c>
      <c r="R464" s="254">
        <v>1.1599999999999999</v>
      </c>
      <c r="S464" s="214">
        <v>97012</v>
      </c>
      <c r="T464" s="214">
        <v>797925</v>
      </c>
      <c r="U464" s="214">
        <v>0</v>
      </c>
      <c r="V464" s="187">
        <f t="shared" si="16"/>
        <v>797925</v>
      </c>
      <c r="W464" s="187">
        <f t="shared" si="17"/>
        <v>894937</v>
      </c>
    </row>
    <row r="465" spans="1:23">
      <c r="A465" s="216" t="s">
        <v>780</v>
      </c>
      <c r="B465" s="218">
        <v>4572.049</v>
      </c>
      <c r="C465" s="218">
        <v>4867.1509999999998</v>
      </c>
      <c r="D465" s="218">
        <v>5272.5140000000001</v>
      </c>
      <c r="E465" s="218">
        <v>5843.8609999999999</v>
      </c>
      <c r="F465" s="218">
        <v>618.81240000000003</v>
      </c>
      <c r="G465" s="218">
        <v>664.43870000000004</v>
      </c>
      <c r="H465" s="218">
        <v>703.0566</v>
      </c>
      <c r="I465" s="218">
        <v>764.8954</v>
      </c>
      <c r="J465" s="246">
        <v>783581015</v>
      </c>
      <c r="K465" s="246">
        <v>824939073</v>
      </c>
      <c r="L465" s="218">
        <v>7496.5550000000003</v>
      </c>
      <c r="M465" s="246">
        <v>810163</v>
      </c>
      <c r="N465" s="251">
        <v>371.93430000000001</v>
      </c>
      <c r="O465" s="251">
        <v>378.4511</v>
      </c>
      <c r="P465" s="251">
        <v>391.41680000000002</v>
      </c>
      <c r="Q465" s="251">
        <v>432.79820000000001</v>
      </c>
      <c r="R465" s="254">
        <v>1.1399999999999999</v>
      </c>
      <c r="S465" s="214">
        <v>874170</v>
      </c>
      <c r="T465" s="214">
        <v>13100978</v>
      </c>
      <c r="U465" s="214">
        <v>0</v>
      </c>
      <c r="V465" s="187">
        <f t="shared" si="16"/>
        <v>13100978</v>
      </c>
      <c r="W465" s="187">
        <f t="shared" si="17"/>
        <v>13975148</v>
      </c>
    </row>
    <row r="466" spans="1:23">
      <c r="A466" s="216" t="s">
        <v>6038</v>
      </c>
      <c r="B466" s="218">
        <v>15257.231</v>
      </c>
      <c r="C466" s="218">
        <v>16120.624</v>
      </c>
      <c r="D466" s="218">
        <v>17578.364000000001</v>
      </c>
      <c r="E466" s="218">
        <v>18671.474999999999</v>
      </c>
      <c r="F466" s="218">
        <v>2354.4492</v>
      </c>
      <c r="G466" s="218">
        <v>2466.1307999999999</v>
      </c>
      <c r="H466" s="218">
        <v>2665.9521</v>
      </c>
      <c r="I466" s="218">
        <v>2855.2359000000001</v>
      </c>
      <c r="J466" s="246">
        <v>1236307007</v>
      </c>
      <c r="K466" s="246">
        <v>1332354604</v>
      </c>
      <c r="L466" s="218">
        <v>26882.948</v>
      </c>
      <c r="M466" s="246">
        <v>362284</v>
      </c>
      <c r="N466" s="251">
        <v>1236.1044999999999</v>
      </c>
      <c r="O466" s="251">
        <v>1308.5118</v>
      </c>
      <c r="P466" s="251">
        <v>1427.2682</v>
      </c>
      <c r="Q466" s="251">
        <v>1561.5953999999999</v>
      </c>
      <c r="R466" s="254">
        <v>1.2</v>
      </c>
      <c r="S466" s="214">
        <v>947467</v>
      </c>
      <c r="T466" s="214">
        <v>17310950</v>
      </c>
      <c r="U466" s="214">
        <v>0</v>
      </c>
      <c r="V466" s="187">
        <f t="shared" si="16"/>
        <v>17310950</v>
      </c>
      <c r="W466" s="187">
        <f t="shared" si="17"/>
        <v>18258417</v>
      </c>
    </row>
    <row r="467" spans="1:23">
      <c r="A467" s="216" t="s">
        <v>3096</v>
      </c>
      <c r="B467" s="218">
        <v>12745.434999999999</v>
      </c>
      <c r="C467" s="218">
        <v>12838.78</v>
      </c>
      <c r="D467" s="218">
        <v>13264.058000000001</v>
      </c>
      <c r="E467" s="218">
        <v>13845.602999999999</v>
      </c>
      <c r="F467" s="218">
        <v>2071.3613</v>
      </c>
      <c r="G467" s="218">
        <v>2263.0187999999998</v>
      </c>
      <c r="H467" s="218">
        <v>2247.9499000000001</v>
      </c>
      <c r="I467" s="218">
        <v>2197.4297999999999</v>
      </c>
      <c r="J467" s="246">
        <v>890312783</v>
      </c>
      <c r="K467" s="246">
        <v>974496691</v>
      </c>
      <c r="L467" s="218">
        <v>19385.392</v>
      </c>
      <c r="M467" s="246">
        <v>483249</v>
      </c>
      <c r="N467" s="251">
        <v>1092.7534000000001</v>
      </c>
      <c r="O467" s="251">
        <v>927.49559999999997</v>
      </c>
      <c r="P467" s="251">
        <v>1132.8306</v>
      </c>
      <c r="Q467" s="251">
        <v>1143.6968999999999</v>
      </c>
      <c r="R467" s="254">
        <v>1.19</v>
      </c>
      <c r="S467" s="214">
        <v>510259</v>
      </c>
      <c r="T467" s="214">
        <v>13208510</v>
      </c>
      <c r="U467" s="214">
        <v>0</v>
      </c>
      <c r="V467" s="187">
        <f t="shared" si="16"/>
        <v>13208510</v>
      </c>
      <c r="W467" s="187">
        <f t="shared" si="17"/>
        <v>13718769</v>
      </c>
    </row>
    <row r="468" spans="1:23">
      <c r="A468" s="216" t="s">
        <v>6040</v>
      </c>
      <c r="B468" s="218">
        <v>633.22500000000002</v>
      </c>
      <c r="C468" s="218">
        <v>691.70100000000002</v>
      </c>
      <c r="D468" s="218">
        <v>676.99900000000002</v>
      </c>
      <c r="E468" s="218">
        <v>658.24599999999998</v>
      </c>
      <c r="F468" s="218">
        <v>130.01089999999999</v>
      </c>
      <c r="G468" s="218">
        <v>129.12690000000001</v>
      </c>
      <c r="H468" s="218">
        <v>132.95189999999999</v>
      </c>
      <c r="I468" s="218">
        <v>130.77010000000001</v>
      </c>
      <c r="J468" s="246">
        <v>46330267</v>
      </c>
      <c r="K468" s="246">
        <v>49842217</v>
      </c>
      <c r="L468" s="218">
        <v>1183.874</v>
      </c>
      <c r="M468" s="246">
        <v>57007</v>
      </c>
      <c r="N468" s="251">
        <v>80.282899999999998</v>
      </c>
      <c r="O468" s="251">
        <v>76.878799999999998</v>
      </c>
      <c r="P468" s="251">
        <v>83.821299999999994</v>
      </c>
      <c r="Q468" s="251">
        <v>79.511399999999995</v>
      </c>
      <c r="R468" s="254">
        <v>1.1499999999999999</v>
      </c>
      <c r="S468" s="214">
        <v>99852</v>
      </c>
      <c r="T468" s="214">
        <v>628696</v>
      </c>
      <c r="U468" s="214">
        <v>0</v>
      </c>
      <c r="V468" s="187">
        <f t="shared" si="16"/>
        <v>628696</v>
      </c>
      <c r="W468" s="187">
        <f t="shared" si="17"/>
        <v>728548</v>
      </c>
    </row>
    <row r="469" spans="1:23">
      <c r="A469" s="216" t="s">
        <v>3097</v>
      </c>
      <c r="B469" s="218">
        <v>434.30700000000002</v>
      </c>
      <c r="C469" s="218">
        <v>423.43</v>
      </c>
      <c r="D469" s="218">
        <v>415.44200000000001</v>
      </c>
      <c r="E469" s="218">
        <v>418.64499999999998</v>
      </c>
      <c r="F469" s="218">
        <v>81.5535</v>
      </c>
      <c r="G469" s="218">
        <v>86.805199999999999</v>
      </c>
      <c r="H469" s="218">
        <v>78</v>
      </c>
      <c r="I469" s="218">
        <v>86.659599999999998</v>
      </c>
      <c r="J469" s="246">
        <v>29245525</v>
      </c>
      <c r="K469" s="246">
        <v>32762759</v>
      </c>
      <c r="L469" s="218">
        <v>758.27800000000002</v>
      </c>
      <c r="M469" s="246">
        <v>22509</v>
      </c>
      <c r="N469" s="251">
        <v>50.395099999999999</v>
      </c>
      <c r="O469" s="251">
        <v>51.631500000000003</v>
      </c>
      <c r="P469" s="251">
        <v>55.000300000000003</v>
      </c>
      <c r="Q469" s="251">
        <v>48.829799999999999</v>
      </c>
      <c r="R469" s="254">
        <v>1.1399999999999999</v>
      </c>
      <c r="S469" s="214">
        <v>64757</v>
      </c>
      <c r="T469" s="214">
        <v>500182</v>
      </c>
      <c r="U469" s="214">
        <v>0</v>
      </c>
      <c r="V469" s="187">
        <f t="shared" si="16"/>
        <v>500182</v>
      </c>
      <c r="W469" s="187">
        <f t="shared" si="17"/>
        <v>564939</v>
      </c>
    </row>
    <row r="470" spans="1:23">
      <c r="A470" s="216" t="s">
        <v>2419</v>
      </c>
      <c r="B470" s="218">
        <v>1999.877</v>
      </c>
      <c r="C470" s="218">
        <v>2166.3580000000002</v>
      </c>
      <c r="D470" s="218">
        <v>2328.7370000000001</v>
      </c>
      <c r="E470" s="218">
        <v>2521.395</v>
      </c>
      <c r="F470" s="218">
        <v>318.32600000000002</v>
      </c>
      <c r="G470" s="218">
        <v>346.54109999999997</v>
      </c>
      <c r="H470" s="218">
        <v>369.37</v>
      </c>
      <c r="I470" s="218">
        <v>402.67340000000002</v>
      </c>
      <c r="J470" s="246">
        <v>129986646</v>
      </c>
      <c r="K470" s="246">
        <v>140639670</v>
      </c>
      <c r="L470" s="218">
        <v>3858.29</v>
      </c>
      <c r="M470" s="187">
        <v>0</v>
      </c>
      <c r="N470" s="251">
        <v>170.88300000000001</v>
      </c>
      <c r="O470" s="251">
        <v>195.0094</v>
      </c>
      <c r="P470" s="251">
        <v>213.28280000000001</v>
      </c>
      <c r="Q470" s="251">
        <v>225.28970000000001</v>
      </c>
      <c r="R470" s="254">
        <v>1.1599999999999999</v>
      </c>
      <c r="S470" s="214">
        <v>135499</v>
      </c>
      <c r="T470" s="214">
        <v>2046169</v>
      </c>
      <c r="U470" s="214">
        <v>0</v>
      </c>
      <c r="V470" s="187">
        <f t="shared" si="16"/>
        <v>2046169</v>
      </c>
      <c r="W470" s="187">
        <f t="shared" si="17"/>
        <v>2181668</v>
      </c>
    </row>
    <row r="471" spans="1:23">
      <c r="A471" s="216" t="s">
        <v>2608</v>
      </c>
      <c r="B471" s="218">
        <v>253.44900000000001</v>
      </c>
      <c r="C471" s="218">
        <v>253.64699999999999</v>
      </c>
      <c r="D471" s="218">
        <v>245.98699999999999</v>
      </c>
      <c r="E471" s="218">
        <v>259.42500000000001</v>
      </c>
      <c r="F471" s="218">
        <v>45.637300000000003</v>
      </c>
      <c r="G471" s="218">
        <v>45.285299999999999</v>
      </c>
      <c r="H471" s="218">
        <v>46.670400000000001</v>
      </c>
      <c r="I471" s="218">
        <v>46.202100000000002</v>
      </c>
      <c r="J471" s="246">
        <v>30515629</v>
      </c>
      <c r="K471" s="246">
        <v>33387089</v>
      </c>
      <c r="L471" s="218">
        <v>442.41500000000002</v>
      </c>
      <c r="M471" s="187">
        <v>0</v>
      </c>
      <c r="N471" s="251">
        <v>33.308100000000003</v>
      </c>
      <c r="O471" s="251">
        <v>32.738399999999999</v>
      </c>
      <c r="P471" s="251">
        <v>33.833500000000001</v>
      </c>
      <c r="Q471" s="251">
        <v>32.451099999999997</v>
      </c>
      <c r="R471" s="254">
        <v>1.06</v>
      </c>
      <c r="S471" s="214">
        <v>0</v>
      </c>
      <c r="T471" s="214">
        <v>479818</v>
      </c>
      <c r="U471" s="214">
        <v>12047</v>
      </c>
      <c r="V471" s="187">
        <f t="shared" si="16"/>
        <v>491865</v>
      </c>
      <c r="W471" s="187">
        <f t="shared" si="17"/>
        <v>491865</v>
      </c>
    </row>
    <row r="472" spans="1:23">
      <c r="A472" s="216" t="s">
        <v>448</v>
      </c>
      <c r="B472" s="218">
        <v>209.93</v>
      </c>
      <c r="C472" s="218">
        <v>219.00800000000001</v>
      </c>
      <c r="D472" s="218">
        <v>217.77199999999999</v>
      </c>
      <c r="E472" s="218">
        <v>211.74</v>
      </c>
      <c r="F472" s="218">
        <v>40.5</v>
      </c>
      <c r="G472" s="218">
        <v>40.534799999999997</v>
      </c>
      <c r="H472" s="218">
        <v>43.625700000000002</v>
      </c>
      <c r="I472" s="218">
        <v>41.812800000000003</v>
      </c>
      <c r="J472" s="246">
        <v>22514229</v>
      </c>
      <c r="K472" s="246">
        <v>24700265</v>
      </c>
      <c r="L472" s="218">
        <v>382.49099999999999</v>
      </c>
      <c r="M472" s="187">
        <v>0</v>
      </c>
      <c r="N472" s="251">
        <v>22.998899999999999</v>
      </c>
      <c r="O472" s="251">
        <v>27.7424</v>
      </c>
      <c r="P472" s="251">
        <v>31.742599999999999</v>
      </c>
      <c r="Q472" s="251">
        <v>25.887</v>
      </c>
      <c r="R472" s="254">
        <v>1.06</v>
      </c>
      <c r="S472" s="214">
        <v>18462</v>
      </c>
      <c r="T472" s="214">
        <v>355989</v>
      </c>
      <c r="U472" s="214">
        <v>0</v>
      </c>
      <c r="V472" s="187">
        <f t="shared" si="16"/>
        <v>355989</v>
      </c>
      <c r="W472" s="187">
        <f t="shared" si="17"/>
        <v>374451</v>
      </c>
    </row>
    <row r="473" spans="1:23">
      <c r="A473" s="216" t="s">
        <v>243</v>
      </c>
      <c r="B473" s="218">
        <v>330.23500000000001</v>
      </c>
      <c r="C473" s="218">
        <v>295.13</v>
      </c>
      <c r="D473" s="218">
        <v>305.72899999999998</v>
      </c>
      <c r="E473" s="218">
        <v>313.31200000000001</v>
      </c>
      <c r="F473" s="218">
        <v>58.585299999999997</v>
      </c>
      <c r="G473" s="218">
        <v>55.898200000000003</v>
      </c>
      <c r="H473" s="218">
        <v>54.288499999999999</v>
      </c>
      <c r="I473" s="218">
        <v>54.331499999999998</v>
      </c>
      <c r="J473" s="246">
        <v>23873844</v>
      </c>
      <c r="K473" s="246">
        <v>27478380</v>
      </c>
      <c r="L473" s="218">
        <v>525.42600000000004</v>
      </c>
      <c r="M473" s="187">
        <v>0</v>
      </c>
      <c r="N473" s="251">
        <v>44.572400000000002</v>
      </c>
      <c r="O473" s="251">
        <v>30.000800000000002</v>
      </c>
      <c r="P473" s="251">
        <v>28.381499999999999</v>
      </c>
      <c r="Q473" s="251">
        <v>37.025799999999997</v>
      </c>
      <c r="R473" s="254">
        <v>1.05</v>
      </c>
      <c r="S473" s="214">
        <v>90</v>
      </c>
      <c r="T473" s="214">
        <v>394857</v>
      </c>
      <c r="U473" s="214">
        <v>20455</v>
      </c>
      <c r="V473" s="187">
        <f t="shared" si="16"/>
        <v>415312</v>
      </c>
      <c r="W473" s="187">
        <f t="shared" si="17"/>
        <v>415402</v>
      </c>
    </row>
    <row r="474" spans="1:23">
      <c r="A474" s="216" t="s">
        <v>1868</v>
      </c>
      <c r="B474" s="218">
        <v>1657.9690000000001</v>
      </c>
      <c r="C474" s="218">
        <v>1654.27</v>
      </c>
      <c r="D474" s="218">
        <v>1689.297</v>
      </c>
      <c r="E474" s="218">
        <v>1656.7</v>
      </c>
      <c r="F474" s="218">
        <v>310.1551</v>
      </c>
      <c r="G474" s="218">
        <v>318.99619999999999</v>
      </c>
      <c r="H474" s="218">
        <v>338.33629999999999</v>
      </c>
      <c r="I474" s="218">
        <v>344.07010000000002</v>
      </c>
      <c r="J474" s="246">
        <v>301035879</v>
      </c>
      <c r="K474" s="246">
        <v>320755250</v>
      </c>
      <c r="L474" s="218">
        <v>2473.7249999999999</v>
      </c>
      <c r="M474" s="246">
        <v>231731</v>
      </c>
      <c r="N474" s="251">
        <v>192.70079999999999</v>
      </c>
      <c r="O474" s="251">
        <v>192.99449999999999</v>
      </c>
      <c r="P474" s="251">
        <v>200.49379999999999</v>
      </c>
      <c r="Q474" s="251">
        <v>209.17619999999999</v>
      </c>
      <c r="R474" s="254">
        <v>1.05</v>
      </c>
      <c r="S474" s="214">
        <v>1022425</v>
      </c>
      <c r="T474" s="214">
        <v>4811770</v>
      </c>
      <c r="U474" s="214">
        <v>0</v>
      </c>
      <c r="V474" s="187">
        <f t="shared" si="16"/>
        <v>4811770</v>
      </c>
      <c r="W474" s="187">
        <f t="shared" si="17"/>
        <v>5834195</v>
      </c>
    </row>
    <row r="475" spans="1:23">
      <c r="A475" s="216" t="s">
        <v>3098</v>
      </c>
      <c r="B475" s="218">
        <v>477.75</v>
      </c>
      <c r="C475" s="218">
        <v>466.00400000000002</v>
      </c>
      <c r="D475" s="218">
        <v>451.93099999999998</v>
      </c>
      <c r="E475" s="218">
        <v>432.48599999999999</v>
      </c>
      <c r="F475" s="218">
        <v>83.9786</v>
      </c>
      <c r="G475" s="218">
        <v>82.987200000000001</v>
      </c>
      <c r="H475" s="218">
        <v>86.008600000000001</v>
      </c>
      <c r="I475" s="218">
        <v>85.495500000000007</v>
      </c>
      <c r="J475" s="246">
        <v>34199562</v>
      </c>
      <c r="K475" s="246">
        <v>39050107</v>
      </c>
      <c r="L475" s="218">
        <v>743.72799999999995</v>
      </c>
      <c r="M475" s="246">
        <v>14810</v>
      </c>
      <c r="N475" s="251">
        <v>51.998800000000003</v>
      </c>
      <c r="O475" s="251">
        <v>53.999699999999997</v>
      </c>
      <c r="P475" s="251">
        <v>53.002600000000001</v>
      </c>
      <c r="Q475" s="251">
        <v>54.252600000000001</v>
      </c>
      <c r="R475" s="254">
        <v>1.05</v>
      </c>
      <c r="S475" s="214">
        <v>71149</v>
      </c>
      <c r="T475" s="214">
        <v>552617</v>
      </c>
      <c r="U475" s="214">
        <v>0</v>
      </c>
      <c r="V475" s="187">
        <f t="shared" si="16"/>
        <v>552617</v>
      </c>
      <c r="W475" s="187">
        <f t="shared" si="17"/>
        <v>623766</v>
      </c>
    </row>
    <row r="476" spans="1:23">
      <c r="A476" s="216" t="s">
        <v>6022</v>
      </c>
      <c r="B476" s="218">
        <v>497.58499999999998</v>
      </c>
      <c r="C476" s="218">
        <v>513.94500000000005</v>
      </c>
      <c r="D476" s="218">
        <v>562.44799999999998</v>
      </c>
      <c r="E476" s="218">
        <v>593.96600000000001</v>
      </c>
      <c r="F476" s="218">
        <v>83.251800000000003</v>
      </c>
      <c r="G476" s="218">
        <v>85.374799999999993</v>
      </c>
      <c r="H476" s="218">
        <v>87.367900000000006</v>
      </c>
      <c r="I476" s="218">
        <v>81.455500000000001</v>
      </c>
      <c r="J476" s="246">
        <v>61375090</v>
      </c>
      <c r="K476" s="246">
        <v>67936043</v>
      </c>
      <c r="L476" s="218">
        <v>1035.1790000000001</v>
      </c>
      <c r="M476" s="246">
        <v>24378</v>
      </c>
      <c r="N476" s="251">
        <v>58.341999999999999</v>
      </c>
      <c r="O476" s="251">
        <v>60.084400000000002</v>
      </c>
      <c r="P476" s="251">
        <v>59.6203</v>
      </c>
      <c r="Q476" s="251">
        <v>53.871499999999997</v>
      </c>
      <c r="R476" s="254">
        <v>1.06</v>
      </c>
      <c r="S476" s="214">
        <v>63702</v>
      </c>
      <c r="T476" s="214">
        <v>1057165</v>
      </c>
      <c r="U476" s="214">
        <v>0</v>
      </c>
      <c r="V476" s="187">
        <f t="shared" si="16"/>
        <v>1057165</v>
      </c>
      <c r="W476" s="187">
        <f t="shared" si="17"/>
        <v>1120867</v>
      </c>
    </row>
    <row r="477" spans="1:23">
      <c r="A477" s="216" t="s">
        <v>2610</v>
      </c>
      <c r="B477" s="218">
        <v>71.247</v>
      </c>
      <c r="C477" s="218">
        <v>63.716999999999999</v>
      </c>
      <c r="D477" s="218">
        <v>66.819999999999993</v>
      </c>
      <c r="E477" s="218">
        <v>64.968999999999994</v>
      </c>
      <c r="F477" s="218">
        <v>40.695399999999999</v>
      </c>
      <c r="G477" s="218">
        <v>37.094099999999997</v>
      </c>
      <c r="H477" s="218">
        <v>33.9373</v>
      </c>
      <c r="I477" s="218">
        <v>33.513599999999997</v>
      </c>
      <c r="J477" s="246">
        <v>13168498</v>
      </c>
      <c r="K477" s="246">
        <v>14451338</v>
      </c>
      <c r="L477" s="218">
        <v>146.74100000000001</v>
      </c>
      <c r="M477" s="187">
        <v>0</v>
      </c>
      <c r="N477" s="251">
        <v>13.5</v>
      </c>
      <c r="O477" s="251">
        <v>13</v>
      </c>
      <c r="P477" s="251">
        <v>11.9994</v>
      </c>
      <c r="Q477" s="251">
        <v>12.0953</v>
      </c>
      <c r="R477" s="254">
        <v>1.07</v>
      </c>
      <c r="S477" s="214">
        <v>0</v>
      </c>
      <c r="T477" s="214">
        <v>179189</v>
      </c>
      <c r="U477" s="214">
        <v>9313</v>
      </c>
      <c r="V477" s="187">
        <f t="shared" si="16"/>
        <v>188502</v>
      </c>
      <c r="W477" s="187">
        <f t="shared" si="17"/>
        <v>188502</v>
      </c>
    </row>
    <row r="478" spans="1:23">
      <c r="A478" s="216" t="s">
        <v>2612</v>
      </c>
      <c r="B478" s="218">
        <v>96.27</v>
      </c>
      <c r="C478" s="218">
        <v>103.818</v>
      </c>
      <c r="D478" s="218">
        <v>100.68300000000001</v>
      </c>
      <c r="E478" s="218">
        <v>105.666</v>
      </c>
      <c r="F478" s="218">
        <v>33.188099999999999</v>
      </c>
      <c r="G478" s="218">
        <v>34.618099999999998</v>
      </c>
      <c r="H478" s="218">
        <v>35.627299999999998</v>
      </c>
      <c r="I478" s="218">
        <v>28.323599999999999</v>
      </c>
      <c r="J478" s="246">
        <v>13285211</v>
      </c>
      <c r="K478" s="246">
        <v>15273431</v>
      </c>
      <c r="L478" s="218">
        <v>185.286</v>
      </c>
      <c r="M478" s="187">
        <v>0</v>
      </c>
      <c r="N478" s="251">
        <v>25.34</v>
      </c>
      <c r="O478" s="251">
        <v>26.770099999999999</v>
      </c>
      <c r="P478" s="251">
        <v>27.3521</v>
      </c>
      <c r="Q478" s="251">
        <v>20.064699999999998</v>
      </c>
      <c r="R478" s="254">
        <v>1.06</v>
      </c>
      <c r="S478" s="214">
        <v>0</v>
      </c>
      <c r="T478" s="214">
        <v>214348</v>
      </c>
      <c r="U478" s="214">
        <v>9490</v>
      </c>
      <c r="V478" s="187">
        <f t="shared" si="16"/>
        <v>223838</v>
      </c>
      <c r="W478" s="187">
        <f t="shared" si="17"/>
        <v>223838</v>
      </c>
    </row>
    <row r="479" spans="1:23">
      <c r="A479" s="216" t="s">
        <v>782</v>
      </c>
      <c r="B479" s="218">
        <v>1429.12</v>
      </c>
      <c r="C479" s="218">
        <v>1427.338</v>
      </c>
      <c r="D479" s="218">
        <v>1461.33</v>
      </c>
      <c r="E479" s="218">
        <v>1452.848</v>
      </c>
      <c r="F479" s="218">
        <v>208.4974</v>
      </c>
      <c r="G479" s="218">
        <v>229.27090000000001</v>
      </c>
      <c r="H479" s="218">
        <v>222.66800000000001</v>
      </c>
      <c r="I479" s="218">
        <v>236.07239999999999</v>
      </c>
      <c r="J479" s="246">
        <v>307958791</v>
      </c>
      <c r="K479" s="246">
        <v>330027429</v>
      </c>
      <c r="L479" s="218">
        <v>2021.095</v>
      </c>
      <c r="M479" s="246">
        <v>441615</v>
      </c>
      <c r="N479" s="251">
        <v>130.69110000000001</v>
      </c>
      <c r="O479" s="251">
        <v>156.54390000000001</v>
      </c>
      <c r="P479" s="251">
        <v>151.10900000000001</v>
      </c>
      <c r="Q479" s="251">
        <v>150.53229999999999</v>
      </c>
      <c r="R479" s="254">
        <v>1.06</v>
      </c>
      <c r="S479" s="214">
        <v>493612</v>
      </c>
      <c r="T479" s="214">
        <v>4353881</v>
      </c>
      <c r="U479" s="214">
        <v>0</v>
      </c>
      <c r="V479" s="187">
        <f t="shared" si="16"/>
        <v>4353881</v>
      </c>
      <c r="W479" s="187">
        <f t="shared" si="17"/>
        <v>4847493</v>
      </c>
    </row>
    <row r="480" spans="1:23">
      <c r="A480" s="216" t="s">
        <v>2614</v>
      </c>
      <c r="B480" s="218">
        <v>176.43100000000001</v>
      </c>
      <c r="C480" s="218">
        <v>172.11099999999999</v>
      </c>
      <c r="D480" s="218">
        <v>168.249</v>
      </c>
      <c r="E480" s="218">
        <v>182.13200000000001</v>
      </c>
      <c r="F480" s="218">
        <v>29.693899999999999</v>
      </c>
      <c r="G480" s="218">
        <v>27.915800000000001</v>
      </c>
      <c r="H480" s="218">
        <v>29.231300000000001</v>
      </c>
      <c r="I480" s="218">
        <v>30.240600000000001</v>
      </c>
      <c r="J480" s="246">
        <v>24860824</v>
      </c>
      <c r="K480" s="246">
        <v>27579076</v>
      </c>
      <c r="L480" s="218">
        <v>318.54899999999998</v>
      </c>
      <c r="M480" s="187">
        <v>0</v>
      </c>
      <c r="N480" s="251">
        <v>18.5014</v>
      </c>
      <c r="O480" s="251">
        <v>16.500800000000002</v>
      </c>
      <c r="P480" s="251">
        <v>21.250299999999999</v>
      </c>
      <c r="Q480" s="251">
        <v>21.5122</v>
      </c>
      <c r="R480" s="254">
        <v>1.06</v>
      </c>
      <c r="S480" s="214">
        <v>19958</v>
      </c>
      <c r="T480" s="214">
        <v>401965</v>
      </c>
      <c r="U480" s="214">
        <v>0</v>
      </c>
      <c r="V480" s="187">
        <f t="shared" si="16"/>
        <v>401965</v>
      </c>
      <c r="W480" s="187">
        <f t="shared" si="17"/>
        <v>421923</v>
      </c>
    </row>
    <row r="481" spans="1:23">
      <c r="A481" s="216" t="s">
        <v>2468</v>
      </c>
      <c r="B481" s="218">
        <v>259.70400000000001</v>
      </c>
      <c r="C481" s="218">
        <v>261.96499999999997</v>
      </c>
      <c r="D481" s="218">
        <v>264.57299999999998</v>
      </c>
      <c r="E481" s="218">
        <v>294.762</v>
      </c>
      <c r="F481" s="218">
        <v>46.590600000000002</v>
      </c>
      <c r="G481" s="218">
        <v>46.008200000000002</v>
      </c>
      <c r="H481" s="218">
        <v>45.746099999999998</v>
      </c>
      <c r="I481" s="218">
        <v>48.427599999999998</v>
      </c>
      <c r="J481" s="246">
        <v>36644660</v>
      </c>
      <c r="K481" s="246">
        <v>40262021</v>
      </c>
      <c r="L481" s="218">
        <v>509.69600000000003</v>
      </c>
      <c r="M481" s="246">
        <v>41684</v>
      </c>
      <c r="N481" s="251">
        <v>31.015499999999999</v>
      </c>
      <c r="O481" s="251">
        <v>30.958100000000002</v>
      </c>
      <c r="P481" s="251">
        <v>29.202500000000001</v>
      </c>
      <c r="Q481" s="251">
        <v>32.238999999999997</v>
      </c>
      <c r="R481" s="254">
        <v>1.05</v>
      </c>
      <c r="S481" s="214">
        <v>74789</v>
      </c>
      <c r="T481" s="214">
        <v>566622</v>
      </c>
      <c r="U481" s="214">
        <v>0</v>
      </c>
      <c r="V481" s="187">
        <f t="shared" si="16"/>
        <v>566622</v>
      </c>
      <c r="W481" s="187">
        <f t="shared" si="17"/>
        <v>641411</v>
      </c>
    </row>
    <row r="482" spans="1:23">
      <c r="A482" s="216" t="s">
        <v>2616</v>
      </c>
      <c r="B482" s="218">
        <v>146.46199999999999</v>
      </c>
      <c r="C482" s="218">
        <v>154.53299999999999</v>
      </c>
      <c r="D482" s="218">
        <v>157.95500000000001</v>
      </c>
      <c r="E482" s="218">
        <v>170.16800000000001</v>
      </c>
      <c r="F482" s="218">
        <v>28.5962</v>
      </c>
      <c r="G482" s="218">
        <v>32.4529</v>
      </c>
      <c r="H482" s="218">
        <v>33.734699999999997</v>
      </c>
      <c r="I482" s="218">
        <v>33.373199999999997</v>
      </c>
      <c r="J482" s="246">
        <v>12338326</v>
      </c>
      <c r="K482" s="246">
        <v>13766793</v>
      </c>
      <c r="L482" s="218">
        <v>304.84100000000001</v>
      </c>
      <c r="M482" s="187">
        <v>0</v>
      </c>
      <c r="N482" s="251">
        <v>22.338200000000001</v>
      </c>
      <c r="O482" s="251">
        <v>24.622699999999998</v>
      </c>
      <c r="P482" s="251">
        <v>24.950199999999999</v>
      </c>
      <c r="Q482" s="251">
        <v>25.6678</v>
      </c>
      <c r="R482" s="254">
        <v>1.06</v>
      </c>
      <c r="S482" s="214">
        <v>0</v>
      </c>
      <c r="T482" s="214">
        <v>178683</v>
      </c>
      <c r="U482" s="214">
        <v>8704</v>
      </c>
      <c r="V482" s="187">
        <f t="shared" si="16"/>
        <v>187387</v>
      </c>
      <c r="W482" s="187">
        <f t="shared" si="17"/>
        <v>187387</v>
      </c>
    </row>
    <row r="483" spans="1:23">
      <c r="A483" s="216" t="s">
        <v>784</v>
      </c>
      <c r="B483" s="218">
        <v>348.56799999999998</v>
      </c>
      <c r="C483" s="218">
        <v>343.41199999999998</v>
      </c>
      <c r="D483" s="218">
        <v>333.041</v>
      </c>
      <c r="E483" s="218">
        <v>343.36700000000002</v>
      </c>
      <c r="F483" s="218">
        <v>53.951599999999999</v>
      </c>
      <c r="G483" s="218">
        <v>54.066699999999997</v>
      </c>
      <c r="H483" s="218">
        <v>56.07</v>
      </c>
      <c r="I483" s="218">
        <v>58.360900000000001</v>
      </c>
      <c r="J483" s="246">
        <v>39601094</v>
      </c>
      <c r="K483" s="246">
        <v>42433451</v>
      </c>
      <c r="L483" s="218">
        <v>616.78099999999995</v>
      </c>
      <c r="M483" s="187">
        <v>0</v>
      </c>
      <c r="N483" s="251">
        <v>37.334800000000001</v>
      </c>
      <c r="O483" s="251">
        <v>37.180999999999997</v>
      </c>
      <c r="P483" s="251">
        <v>39.325899999999997</v>
      </c>
      <c r="Q483" s="251">
        <v>40.382300000000001</v>
      </c>
      <c r="R483" s="254">
        <v>1.06</v>
      </c>
      <c r="S483" s="214">
        <v>0</v>
      </c>
      <c r="T483" s="214">
        <v>545514</v>
      </c>
      <c r="U483" s="214">
        <v>0</v>
      </c>
      <c r="V483" s="187">
        <f t="shared" si="16"/>
        <v>545514</v>
      </c>
      <c r="W483" s="187">
        <f t="shared" si="17"/>
        <v>545514</v>
      </c>
    </row>
    <row r="484" spans="1:23">
      <c r="A484" s="216" t="s">
        <v>786</v>
      </c>
      <c r="B484" s="218">
        <v>2913.665</v>
      </c>
      <c r="C484" s="218">
        <v>2785.1750000000002</v>
      </c>
      <c r="D484" s="218">
        <v>2775.3</v>
      </c>
      <c r="E484" s="218">
        <v>2790.6770000000001</v>
      </c>
      <c r="F484" s="218">
        <v>479.73009999999999</v>
      </c>
      <c r="G484" s="218">
        <v>494.65719999999999</v>
      </c>
      <c r="H484" s="218">
        <v>513.2586</v>
      </c>
      <c r="I484" s="218">
        <v>520.11620000000005</v>
      </c>
      <c r="J484" s="246">
        <v>777996228</v>
      </c>
      <c r="K484" s="246">
        <v>811630003</v>
      </c>
      <c r="L484" s="218">
        <v>3969.5990000000002</v>
      </c>
      <c r="M484" s="187">
        <v>0</v>
      </c>
      <c r="N484" s="251">
        <v>304.58800000000002</v>
      </c>
      <c r="O484" s="251">
        <v>301.48309999999998</v>
      </c>
      <c r="P484" s="251">
        <v>317.99369999999999</v>
      </c>
      <c r="Q484" s="251">
        <v>318.86470000000003</v>
      </c>
      <c r="R484" s="254">
        <v>1.0900000000000001</v>
      </c>
      <c r="S484" s="214">
        <v>0</v>
      </c>
      <c r="T484" s="214">
        <v>10858933</v>
      </c>
      <c r="U484" s="214">
        <v>0</v>
      </c>
      <c r="V484" s="187">
        <f t="shared" si="16"/>
        <v>10858933</v>
      </c>
      <c r="W484" s="187">
        <f t="shared" si="17"/>
        <v>10858933</v>
      </c>
    </row>
    <row r="485" spans="1:23">
      <c r="A485" s="216" t="s">
        <v>788</v>
      </c>
      <c r="B485" s="218">
        <v>346.10899999999998</v>
      </c>
      <c r="C485" s="218">
        <v>331.423</v>
      </c>
      <c r="D485" s="218">
        <v>321.41399999999999</v>
      </c>
      <c r="E485" s="218">
        <v>322.68299999999999</v>
      </c>
      <c r="F485" s="218">
        <v>64.988600000000005</v>
      </c>
      <c r="G485" s="218">
        <v>62.6464</v>
      </c>
      <c r="H485" s="218">
        <v>60.450200000000002</v>
      </c>
      <c r="I485" s="218">
        <v>59.762700000000002</v>
      </c>
      <c r="J485" s="246">
        <v>35006920</v>
      </c>
      <c r="K485" s="246">
        <v>37762328</v>
      </c>
      <c r="L485" s="218">
        <v>560.40700000000004</v>
      </c>
      <c r="M485" s="187">
        <v>0</v>
      </c>
      <c r="N485" s="251">
        <v>44.0595</v>
      </c>
      <c r="O485" s="251">
        <v>42.664999999999999</v>
      </c>
      <c r="P485" s="251">
        <v>40.389699999999998</v>
      </c>
      <c r="Q485" s="251">
        <v>40.2136</v>
      </c>
      <c r="R485" s="254">
        <v>1.07</v>
      </c>
      <c r="S485" s="214">
        <v>0</v>
      </c>
      <c r="T485" s="214">
        <v>595823</v>
      </c>
      <c r="U485" s="214">
        <v>0</v>
      </c>
      <c r="V485" s="187">
        <f t="shared" si="16"/>
        <v>595823</v>
      </c>
      <c r="W485" s="187">
        <f t="shared" si="17"/>
        <v>595823</v>
      </c>
    </row>
    <row r="486" spans="1:23">
      <c r="A486" s="216" t="s">
        <v>969</v>
      </c>
      <c r="B486" s="218">
        <v>380.00099999999998</v>
      </c>
      <c r="C486" s="218">
        <v>388.14800000000002</v>
      </c>
      <c r="D486" s="218">
        <v>380.60899999999998</v>
      </c>
      <c r="E486" s="218">
        <v>391.34500000000003</v>
      </c>
      <c r="F486" s="218">
        <v>58.302100000000003</v>
      </c>
      <c r="G486" s="218">
        <v>66.398399999999995</v>
      </c>
      <c r="H486" s="218">
        <v>62</v>
      </c>
      <c r="I486" s="218">
        <v>62.5</v>
      </c>
      <c r="J486" s="246">
        <v>48330852</v>
      </c>
      <c r="K486" s="246">
        <v>51758063</v>
      </c>
      <c r="L486" s="218">
        <v>648.91899999999998</v>
      </c>
      <c r="M486" s="187">
        <v>0</v>
      </c>
      <c r="N486" s="251">
        <v>37.728000000000002</v>
      </c>
      <c r="O486" s="251">
        <v>40.774799999999999</v>
      </c>
      <c r="P486" s="251">
        <v>38.9039</v>
      </c>
      <c r="Q486" s="251">
        <v>40.014400000000002</v>
      </c>
      <c r="R486" s="254">
        <v>1.04</v>
      </c>
      <c r="S486" s="214">
        <v>0</v>
      </c>
      <c r="T486" s="214">
        <v>625030</v>
      </c>
      <c r="U486" s="214">
        <v>32330</v>
      </c>
      <c r="V486" s="187">
        <f t="shared" si="16"/>
        <v>657360</v>
      </c>
      <c r="W486" s="187">
        <f t="shared" si="17"/>
        <v>657360</v>
      </c>
    </row>
    <row r="487" spans="1:23">
      <c r="A487" s="216" t="s">
        <v>790</v>
      </c>
      <c r="B487" s="218">
        <v>511.04700000000003</v>
      </c>
      <c r="C487" s="218">
        <v>515.58399999999995</v>
      </c>
      <c r="D487" s="218">
        <v>516.35299999999995</v>
      </c>
      <c r="E487" s="218">
        <v>507.23099999999999</v>
      </c>
      <c r="F487" s="218">
        <v>89</v>
      </c>
      <c r="G487" s="218">
        <v>97</v>
      </c>
      <c r="H487" s="218">
        <v>102</v>
      </c>
      <c r="I487" s="218">
        <v>111</v>
      </c>
      <c r="J487" s="246">
        <v>678164716</v>
      </c>
      <c r="K487" s="246">
        <v>681816108</v>
      </c>
      <c r="L487" s="218">
        <v>796.62800000000004</v>
      </c>
      <c r="M487" s="187">
        <v>0</v>
      </c>
      <c r="N487" s="251">
        <v>59.002400000000002</v>
      </c>
      <c r="O487" s="251">
        <v>66.107200000000006</v>
      </c>
      <c r="P487" s="251">
        <v>69.001199999999997</v>
      </c>
      <c r="Q487" s="251">
        <v>69.000600000000006</v>
      </c>
      <c r="R487" s="254">
        <v>1.06</v>
      </c>
      <c r="S487" s="214">
        <v>0</v>
      </c>
      <c r="T487" s="214">
        <v>9594988</v>
      </c>
      <c r="U487" s="214">
        <v>0</v>
      </c>
      <c r="V487" s="187">
        <f t="shared" si="16"/>
        <v>9594988</v>
      </c>
      <c r="W487" s="187">
        <f t="shared" si="17"/>
        <v>9594988</v>
      </c>
    </row>
    <row r="488" spans="1:23">
      <c r="A488" s="216" t="s">
        <v>792</v>
      </c>
      <c r="B488" s="218">
        <v>195.55799999999999</v>
      </c>
      <c r="C488" s="218">
        <v>198.86199999999999</v>
      </c>
      <c r="D488" s="218">
        <v>192.85599999999999</v>
      </c>
      <c r="E488" s="218">
        <v>185.67099999999999</v>
      </c>
      <c r="F488" s="218">
        <v>35.1417</v>
      </c>
      <c r="G488" s="218">
        <v>35.21</v>
      </c>
      <c r="H488" s="218">
        <v>33.5</v>
      </c>
      <c r="I488" s="218">
        <v>32.5</v>
      </c>
      <c r="J488" s="246">
        <v>24674470</v>
      </c>
      <c r="K488" s="246">
        <v>25772373</v>
      </c>
      <c r="L488" s="218">
        <v>301.93900000000002</v>
      </c>
      <c r="M488" s="187">
        <v>0</v>
      </c>
      <c r="N488" s="251">
        <v>23.238800000000001</v>
      </c>
      <c r="O488" s="251">
        <v>20.672599999999999</v>
      </c>
      <c r="P488" s="251">
        <v>22.159300000000002</v>
      </c>
      <c r="Q488" s="251">
        <v>20.000299999999999</v>
      </c>
      <c r="R488" s="254">
        <v>1.07</v>
      </c>
      <c r="S488" s="214">
        <v>0</v>
      </c>
      <c r="T488" s="214">
        <v>377488</v>
      </c>
      <c r="U488" s="214">
        <v>0</v>
      </c>
      <c r="V488" s="187">
        <f t="shared" si="16"/>
        <v>377488</v>
      </c>
      <c r="W488" s="187">
        <f t="shared" si="17"/>
        <v>377488</v>
      </c>
    </row>
    <row r="489" spans="1:23">
      <c r="A489" s="216" t="s">
        <v>794</v>
      </c>
      <c r="B489" s="218">
        <v>5853.7860000000001</v>
      </c>
      <c r="C489" s="218">
        <v>5842.7939999999999</v>
      </c>
      <c r="D489" s="218">
        <v>6032.241</v>
      </c>
      <c r="E489" s="218">
        <v>6039.9160000000002</v>
      </c>
      <c r="F489" s="218">
        <v>820.18330000000003</v>
      </c>
      <c r="G489" s="218">
        <v>881.96630000000005</v>
      </c>
      <c r="H489" s="218">
        <v>907.84</v>
      </c>
      <c r="I489" s="218">
        <v>894.28560000000004</v>
      </c>
      <c r="J489" s="246">
        <v>1701952566</v>
      </c>
      <c r="K489" s="246">
        <v>1801845885</v>
      </c>
      <c r="L489" s="218">
        <v>7491.3729999999996</v>
      </c>
      <c r="M489" s="246">
        <v>4378414</v>
      </c>
      <c r="N489" s="251">
        <v>478.04230000000001</v>
      </c>
      <c r="O489" s="251">
        <v>502.1148</v>
      </c>
      <c r="P489" s="251">
        <v>504.57589999999999</v>
      </c>
      <c r="Q489" s="251">
        <v>527.38750000000005</v>
      </c>
      <c r="R489" s="254">
        <v>1.08</v>
      </c>
      <c r="S489" s="214">
        <v>4776763</v>
      </c>
      <c r="T489" s="214">
        <v>28167371</v>
      </c>
      <c r="U489" s="214">
        <v>0</v>
      </c>
      <c r="V489" s="187">
        <f t="shared" si="16"/>
        <v>28167371</v>
      </c>
      <c r="W489" s="187">
        <f t="shared" si="17"/>
        <v>32944134</v>
      </c>
    </row>
    <row r="490" spans="1:23">
      <c r="A490" s="216" t="s">
        <v>2991</v>
      </c>
      <c r="B490" s="218">
        <v>300.57299999999998</v>
      </c>
      <c r="C490" s="218">
        <v>304.40499999999997</v>
      </c>
      <c r="D490" s="218">
        <v>310.86500000000001</v>
      </c>
      <c r="E490" s="218">
        <v>302.25400000000002</v>
      </c>
      <c r="F490" s="218">
        <v>54.75</v>
      </c>
      <c r="G490" s="218">
        <v>42.568199999999997</v>
      </c>
      <c r="H490" s="218">
        <v>54.659100000000002</v>
      </c>
      <c r="I490" s="218">
        <v>43.057200000000002</v>
      </c>
      <c r="J490" s="246">
        <v>48399777</v>
      </c>
      <c r="K490" s="246">
        <v>52380197</v>
      </c>
      <c r="L490" s="218">
        <v>479.166</v>
      </c>
      <c r="M490" s="246">
        <v>23370</v>
      </c>
      <c r="N490" s="251">
        <v>34.687800000000003</v>
      </c>
      <c r="O490" s="251">
        <v>35.938600000000001</v>
      </c>
      <c r="P490" s="251">
        <v>36.000300000000003</v>
      </c>
      <c r="Q490" s="251">
        <v>29.600999999999999</v>
      </c>
      <c r="R490" s="254">
        <v>1.04</v>
      </c>
      <c r="S490" s="214">
        <v>127385</v>
      </c>
      <c r="T490" s="214">
        <v>766458</v>
      </c>
      <c r="U490" s="214">
        <v>0</v>
      </c>
      <c r="V490" s="187">
        <f t="shared" si="16"/>
        <v>766458</v>
      </c>
      <c r="W490" s="187">
        <f t="shared" si="17"/>
        <v>893843</v>
      </c>
    </row>
    <row r="491" spans="1:23">
      <c r="A491" s="216" t="s">
        <v>2413</v>
      </c>
      <c r="B491" s="218">
        <v>489.48200000000003</v>
      </c>
      <c r="C491" s="218">
        <v>499.69099999999997</v>
      </c>
      <c r="D491" s="218">
        <v>507.2</v>
      </c>
      <c r="E491" s="218">
        <v>516.18299999999999</v>
      </c>
      <c r="F491" s="218">
        <v>72.852999999999994</v>
      </c>
      <c r="G491" s="218">
        <v>76.045500000000004</v>
      </c>
      <c r="H491" s="218">
        <v>75.585599999999999</v>
      </c>
      <c r="I491" s="218">
        <v>79.871600000000001</v>
      </c>
      <c r="J491" s="246">
        <v>60589738</v>
      </c>
      <c r="K491" s="246">
        <v>65685198</v>
      </c>
      <c r="L491" s="218">
        <v>815.97199999999998</v>
      </c>
      <c r="M491" s="246">
        <v>55556</v>
      </c>
      <c r="N491" s="251">
        <v>49.001800000000003</v>
      </c>
      <c r="O491" s="251">
        <v>50.769199999999998</v>
      </c>
      <c r="P491" s="251">
        <v>51.325099999999999</v>
      </c>
      <c r="Q491" s="251">
        <v>52.131900000000002</v>
      </c>
      <c r="R491" s="254">
        <v>1.04</v>
      </c>
      <c r="S491" s="214">
        <v>111189</v>
      </c>
      <c r="T491" s="214">
        <v>971436</v>
      </c>
      <c r="U491" s="214">
        <v>0</v>
      </c>
      <c r="V491" s="187">
        <f t="shared" si="16"/>
        <v>971436</v>
      </c>
      <c r="W491" s="187">
        <f t="shared" si="17"/>
        <v>1082625</v>
      </c>
    </row>
    <row r="492" spans="1:23">
      <c r="A492" s="216" t="s">
        <v>796</v>
      </c>
      <c r="B492" s="218">
        <v>3634.1280000000002</v>
      </c>
      <c r="C492" s="218">
        <v>3654.0430000000001</v>
      </c>
      <c r="D492" s="218">
        <v>3693.64</v>
      </c>
      <c r="E492" s="218">
        <v>3748.03</v>
      </c>
      <c r="F492" s="218">
        <v>546.57749999999999</v>
      </c>
      <c r="G492" s="218">
        <v>565.27539999999999</v>
      </c>
      <c r="H492" s="218">
        <v>610.65790000000004</v>
      </c>
      <c r="I492" s="218">
        <v>611.33159999999998</v>
      </c>
      <c r="J492" s="246">
        <v>739186101</v>
      </c>
      <c r="K492" s="246">
        <v>787609566</v>
      </c>
      <c r="L492" s="218">
        <v>5000.7070000000003</v>
      </c>
      <c r="M492" s="246">
        <v>471921</v>
      </c>
      <c r="N492" s="251">
        <v>353.74360000000001</v>
      </c>
      <c r="O492" s="251">
        <v>366.70839999999998</v>
      </c>
      <c r="P492" s="251">
        <v>390.61110000000002</v>
      </c>
      <c r="Q492" s="251">
        <v>396.06779999999998</v>
      </c>
      <c r="R492" s="254">
        <v>1.06</v>
      </c>
      <c r="S492" s="214">
        <v>660642</v>
      </c>
      <c r="T492" s="214">
        <v>10802462</v>
      </c>
      <c r="U492" s="214">
        <v>0</v>
      </c>
      <c r="V492" s="187">
        <f t="shared" si="16"/>
        <v>10802462</v>
      </c>
      <c r="W492" s="187">
        <f t="shared" si="17"/>
        <v>11463104</v>
      </c>
    </row>
    <row r="493" spans="1:23">
      <c r="A493" s="216" t="s">
        <v>2044</v>
      </c>
      <c r="B493" s="218">
        <v>292.50599999999997</v>
      </c>
      <c r="C493" s="218">
        <v>313.56799999999998</v>
      </c>
      <c r="D493" s="218">
        <v>343.66699999999997</v>
      </c>
      <c r="E493" s="218">
        <v>353.62799999999999</v>
      </c>
      <c r="F493" s="218">
        <v>45.570999999999998</v>
      </c>
      <c r="G493" s="218">
        <v>48.042999999999999</v>
      </c>
      <c r="H493" s="218">
        <v>59.180900000000001</v>
      </c>
      <c r="I493" s="218">
        <v>61.6008</v>
      </c>
      <c r="J493" s="246">
        <v>38614349</v>
      </c>
      <c r="K493" s="246">
        <v>43063069</v>
      </c>
      <c r="L493" s="218">
        <v>613.62400000000002</v>
      </c>
      <c r="M493" s="187">
        <v>0</v>
      </c>
      <c r="N493" s="251">
        <v>31.7532</v>
      </c>
      <c r="O493" s="251">
        <v>34.968600000000002</v>
      </c>
      <c r="P493" s="251">
        <v>43.119199999999999</v>
      </c>
      <c r="Q493" s="251">
        <v>46.796799999999998</v>
      </c>
      <c r="R493" s="254">
        <v>1.03</v>
      </c>
      <c r="S493" s="214">
        <v>24449</v>
      </c>
      <c r="T493" s="214">
        <v>524033</v>
      </c>
      <c r="U493" s="214">
        <v>0</v>
      </c>
      <c r="V493" s="187">
        <f t="shared" si="16"/>
        <v>524033</v>
      </c>
      <c r="W493" s="187">
        <f t="shared" si="17"/>
        <v>548482</v>
      </c>
    </row>
    <row r="494" spans="1:23">
      <c r="A494" s="216" t="s">
        <v>798</v>
      </c>
      <c r="B494" s="218">
        <v>348.34199999999998</v>
      </c>
      <c r="C494" s="218">
        <v>349.93099999999998</v>
      </c>
      <c r="D494" s="218">
        <v>341.42500000000001</v>
      </c>
      <c r="E494" s="218">
        <v>355.36500000000001</v>
      </c>
      <c r="F494" s="218">
        <v>57.246499999999997</v>
      </c>
      <c r="G494" s="218">
        <v>60.632899999999999</v>
      </c>
      <c r="H494" s="218">
        <v>58.663499999999999</v>
      </c>
      <c r="I494" s="218">
        <v>60.184399999999997</v>
      </c>
      <c r="J494" s="246">
        <v>41300883</v>
      </c>
      <c r="K494" s="246">
        <v>45510723</v>
      </c>
      <c r="L494" s="218">
        <v>625.05100000000004</v>
      </c>
      <c r="M494" s="246">
        <v>40931</v>
      </c>
      <c r="N494" s="251">
        <v>41.027000000000001</v>
      </c>
      <c r="O494" s="251">
        <v>44.635300000000001</v>
      </c>
      <c r="P494" s="251">
        <v>45.753300000000003</v>
      </c>
      <c r="Q494" s="251">
        <v>40.843800000000002</v>
      </c>
      <c r="R494" s="254">
        <v>1.02</v>
      </c>
      <c r="S494" s="214">
        <v>73669</v>
      </c>
      <c r="T494" s="214">
        <v>543894</v>
      </c>
      <c r="U494" s="214">
        <v>0</v>
      </c>
      <c r="V494" s="187">
        <f t="shared" si="16"/>
        <v>543894</v>
      </c>
      <c r="W494" s="187">
        <f t="shared" si="17"/>
        <v>617563</v>
      </c>
    </row>
    <row r="495" spans="1:23">
      <c r="A495" s="216" t="s">
        <v>2358</v>
      </c>
      <c r="B495" s="218">
        <v>231.03</v>
      </c>
      <c r="C495" s="218">
        <v>229.33600000000001</v>
      </c>
      <c r="D495" s="218">
        <v>228.767</v>
      </c>
      <c r="E495" s="218">
        <v>235.262</v>
      </c>
      <c r="F495" s="218">
        <v>40.2851</v>
      </c>
      <c r="G495" s="218">
        <v>42.531199999999998</v>
      </c>
      <c r="H495" s="218">
        <v>46.3553</v>
      </c>
      <c r="I495" s="218">
        <v>47.6145</v>
      </c>
      <c r="J495" s="246">
        <v>28964751</v>
      </c>
      <c r="K495" s="246">
        <v>32105221</v>
      </c>
      <c r="L495" s="218">
        <v>397.84699999999998</v>
      </c>
      <c r="M495" s="187">
        <v>0</v>
      </c>
      <c r="N495" s="251">
        <v>29.958500000000001</v>
      </c>
      <c r="O495" s="251">
        <v>30.993300000000001</v>
      </c>
      <c r="P495" s="251">
        <v>29.015899999999998</v>
      </c>
      <c r="Q495" s="251">
        <v>32.454999999999998</v>
      </c>
      <c r="R495" s="254">
        <v>1.04</v>
      </c>
      <c r="S495" s="214">
        <v>43914</v>
      </c>
      <c r="T495" s="214">
        <v>412421</v>
      </c>
      <c r="U495" s="214">
        <v>0</v>
      </c>
      <c r="V495" s="187">
        <f t="shared" si="16"/>
        <v>412421</v>
      </c>
      <c r="W495" s="187">
        <f t="shared" si="17"/>
        <v>456335</v>
      </c>
    </row>
    <row r="496" spans="1:23">
      <c r="A496" s="216" t="s">
        <v>800</v>
      </c>
      <c r="B496" s="218">
        <v>702.81299999999999</v>
      </c>
      <c r="C496" s="218">
        <v>726.98599999999999</v>
      </c>
      <c r="D496" s="218">
        <v>727.58299999999997</v>
      </c>
      <c r="E496" s="218">
        <v>734.221</v>
      </c>
      <c r="F496" s="218">
        <v>88.122699999999995</v>
      </c>
      <c r="G496" s="218">
        <v>88.819500000000005</v>
      </c>
      <c r="H496" s="218">
        <v>90.412999999999997</v>
      </c>
      <c r="I496" s="218">
        <v>100.32089999999999</v>
      </c>
      <c r="J496" s="246">
        <v>80501178</v>
      </c>
      <c r="K496" s="246">
        <v>87763608</v>
      </c>
      <c r="L496" s="218">
        <v>1175.5450000000001</v>
      </c>
      <c r="M496" s="187">
        <v>0</v>
      </c>
      <c r="N496" s="251">
        <v>66.739000000000004</v>
      </c>
      <c r="O496" s="251">
        <v>65.220500000000001</v>
      </c>
      <c r="P496" s="251">
        <v>70.808099999999996</v>
      </c>
      <c r="Q496" s="251">
        <v>72.412999999999997</v>
      </c>
      <c r="R496" s="254">
        <v>1.04</v>
      </c>
      <c r="S496" s="214">
        <v>0</v>
      </c>
      <c r="T496" s="214">
        <v>1010590</v>
      </c>
      <c r="U496" s="214">
        <v>0</v>
      </c>
      <c r="V496" s="187">
        <f t="shared" si="16"/>
        <v>1010590</v>
      </c>
      <c r="W496" s="187">
        <f t="shared" si="17"/>
        <v>1010590</v>
      </c>
    </row>
    <row r="497" spans="1:23">
      <c r="A497" s="216" t="s">
        <v>802</v>
      </c>
      <c r="B497" s="218">
        <v>229.52199999999999</v>
      </c>
      <c r="C497" s="218">
        <v>222.572</v>
      </c>
      <c r="D497" s="218">
        <v>237.339</v>
      </c>
      <c r="E497" s="218">
        <v>236.30600000000001</v>
      </c>
      <c r="F497" s="218">
        <v>32.194699999999997</v>
      </c>
      <c r="G497" s="218">
        <v>35.136499999999998</v>
      </c>
      <c r="H497" s="218">
        <v>33.637799999999999</v>
      </c>
      <c r="I497" s="218">
        <v>34.878399999999999</v>
      </c>
      <c r="J497" s="246">
        <v>25132690</v>
      </c>
      <c r="K497" s="246">
        <v>27512030</v>
      </c>
      <c r="L497" s="218">
        <v>441.93400000000003</v>
      </c>
      <c r="M497" s="187">
        <v>0</v>
      </c>
      <c r="N497" s="251">
        <v>24.584700000000002</v>
      </c>
      <c r="O497" s="251">
        <v>26.8916</v>
      </c>
      <c r="P497" s="251">
        <v>24.4648</v>
      </c>
      <c r="Q497" s="251">
        <v>26.3065</v>
      </c>
      <c r="R497" s="254">
        <v>1.04</v>
      </c>
      <c r="S497" s="214">
        <v>0</v>
      </c>
      <c r="T497" s="214">
        <v>322246</v>
      </c>
      <c r="U497" s="214">
        <v>0</v>
      </c>
      <c r="V497" s="187">
        <f t="shared" si="16"/>
        <v>322246</v>
      </c>
      <c r="W497" s="187">
        <f t="shared" si="17"/>
        <v>322246</v>
      </c>
    </row>
    <row r="498" spans="1:23">
      <c r="A498" s="216" t="s">
        <v>2046</v>
      </c>
      <c r="B498" s="218">
        <v>245.518</v>
      </c>
      <c r="C498" s="218">
        <v>252.62200000000001</v>
      </c>
      <c r="D498" s="218">
        <v>244.99299999999999</v>
      </c>
      <c r="E498" s="218">
        <v>233.685</v>
      </c>
      <c r="F498" s="218">
        <v>39.449399999999997</v>
      </c>
      <c r="G498" s="218">
        <v>38.668399999999998</v>
      </c>
      <c r="H498" s="218">
        <v>40.061500000000002</v>
      </c>
      <c r="I498" s="218">
        <v>39.5</v>
      </c>
      <c r="J498" s="246">
        <v>31622283</v>
      </c>
      <c r="K498" s="246">
        <v>34506533</v>
      </c>
      <c r="L498" s="218">
        <v>405.05900000000003</v>
      </c>
      <c r="M498" s="246">
        <v>24716</v>
      </c>
      <c r="N498" s="251">
        <v>25.776199999999999</v>
      </c>
      <c r="O498" s="251">
        <v>24.501100000000001</v>
      </c>
      <c r="P498" s="251">
        <v>24.9879</v>
      </c>
      <c r="Q498" s="251">
        <v>24.619299999999999</v>
      </c>
      <c r="R498" s="254">
        <v>1.03</v>
      </c>
      <c r="S498" s="214">
        <v>49277</v>
      </c>
      <c r="T498" s="214">
        <v>420543</v>
      </c>
      <c r="U498" s="214">
        <v>0</v>
      </c>
      <c r="V498" s="187">
        <f t="shared" si="16"/>
        <v>420543</v>
      </c>
      <c r="W498" s="187">
        <f t="shared" si="17"/>
        <v>469820</v>
      </c>
    </row>
    <row r="499" spans="1:23">
      <c r="A499" s="216" t="s">
        <v>804</v>
      </c>
      <c r="B499" s="218">
        <v>1723.1990000000001</v>
      </c>
      <c r="C499" s="218">
        <v>1622.3240000000001</v>
      </c>
      <c r="D499" s="218">
        <v>1586.6210000000001</v>
      </c>
      <c r="E499" s="218">
        <v>1547.7850000000001</v>
      </c>
      <c r="F499" s="218">
        <v>306.42520000000002</v>
      </c>
      <c r="G499" s="218">
        <v>316.40069999999997</v>
      </c>
      <c r="H499" s="218">
        <v>299.60719999999998</v>
      </c>
      <c r="I499" s="218">
        <v>322.5564</v>
      </c>
      <c r="J499" s="246">
        <v>226724439</v>
      </c>
      <c r="K499" s="246">
        <v>248717639</v>
      </c>
      <c r="L499" s="218">
        <v>2290.2310000000002</v>
      </c>
      <c r="M499" s="187">
        <v>0</v>
      </c>
      <c r="N499" s="251">
        <v>204.92349999999999</v>
      </c>
      <c r="O499" s="251">
        <v>210.04259999999999</v>
      </c>
      <c r="P499" s="251">
        <v>190.16419999999999</v>
      </c>
      <c r="Q499" s="251">
        <v>212.86920000000001</v>
      </c>
      <c r="R499" s="254">
        <v>1.07</v>
      </c>
      <c r="S499" s="214">
        <v>9047</v>
      </c>
      <c r="T499" s="214">
        <v>3427140</v>
      </c>
      <c r="U499" s="214">
        <v>0</v>
      </c>
      <c r="V499" s="187">
        <f t="shared" si="16"/>
        <v>3427140</v>
      </c>
      <c r="W499" s="187">
        <f t="shared" si="17"/>
        <v>3436187</v>
      </c>
    </row>
    <row r="500" spans="1:23">
      <c r="A500" s="216" t="s">
        <v>806</v>
      </c>
      <c r="B500" s="218">
        <v>652.17999999999995</v>
      </c>
      <c r="C500" s="218">
        <v>612.23800000000006</v>
      </c>
      <c r="D500" s="218">
        <v>593.74800000000005</v>
      </c>
      <c r="E500" s="218">
        <v>566.178</v>
      </c>
      <c r="F500" s="218">
        <v>106.28700000000001</v>
      </c>
      <c r="G500" s="218">
        <v>105.85299999999999</v>
      </c>
      <c r="H500" s="218">
        <v>90.930499999999995</v>
      </c>
      <c r="I500" s="218">
        <v>90.407200000000003</v>
      </c>
      <c r="J500" s="246">
        <v>145687555</v>
      </c>
      <c r="K500" s="246">
        <v>156647035</v>
      </c>
      <c r="L500" s="218">
        <v>934.56399999999996</v>
      </c>
      <c r="M500" s="187">
        <v>0</v>
      </c>
      <c r="N500" s="251">
        <v>75.000500000000002</v>
      </c>
      <c r="O500" s="251">
        <v>73.375799999999998</v>
      </c>
      <c r="P500" s="251">
        <v>61.609499999999997</v>
      </c>
      <c r="Q500" s="251">
        <v>58.666400000000003</v>
      </c>
      <c r="R500" s="254">
        <v>1.04</v>
      </c>
      <c r="S500" s="214">
        <v>0</v>
      </c>
      <c r="T500" s="214">
        <v>2120924</v>
      </c>
      <c r="U500" s="214">
        <v>0</v>
      </c>
      <c r="V500" s="187">
        <f t="shared" si="16"/>
        <v>2120924</v>
      </c>
      <c r="W500" s="187">
        <f t="shared" si="17"/>
        <v>2120924</v>
      </c>
    </row>
    <row r="501" spans="1:23">
      <c r="A501" s="216" t="s">
        <v>808</v>
      </c>
      <c r="B501" s="218">
        <v>486.01600000000002</v>
      </c>
      <c r="C501" s="218">
        <v>480.36099999999999</v>
      </c>
      <c r="D501" s="218">
        <v>492.96699999999998</v>
      </c>
      <c r="E501" s="218">
        <v>483.31099999999998</v>
      </c>
      <c r="F501" s="218">
        <v>84.342600000000004</v>
      </c>
      <c r="G501" s="218">
        <v>84.746899999999997</v>
      </c>
      <c r="H501" s="218">
        <v>87.468299999999999</v>
      </c>
      <c r="I501" s="218">
        <v>82.914699999999996</v>
      </c>
      <c r="J501" s="246">
        <v>121503911</v>
      </c>
      <c r="K501" s="246">
        <v>128794900</v>
      </c>
      <c r="L501" s="218">
        <v>897.52099999999996</v>
      </c>
      <c r="M501" s="187">
        <v>0</v>
      </c>
      <c r="N501" s="251">
        <v>56.001899999999999</v>
      </c>
      <c r="O501" s="251">
        <v>56.0015</v>
      </c>
      <c r="P501" s="251">
        <v>61.001600000000003</v>
      </c>
      <c r="Q501" s="251">
        <v>58.0017</v>
      </c>
      <c r="R501" s="254">
        <v>1.04</v>
      </c>
      <c r="S501" s="214">
        <v>3550</v>
      </c>
      <c r="T501" s="214">
        <v>1643329</v>
      </c>
      <c r="U501" s="214">
        <v>0</v>
      </c>
      <c r="V501" s="187">
        <f t="shared" si="16"/>
        <v>1643329</v>
      </c>
      <c r="W501" s="187">
        <f t="shared" si="17"/>
        <v>1646879</v>
      </c>
    </row>
    <row r="502" spans="1:23">
      <c r="A502" s="216" t="s">
        <v>810</v>
      </c>
      <c r="B502" s="218">
        <v>417.20499999999998</v>
      </c>
      <c r="C502" s="218">
        <v>436.17099999999999</v>
      </c>
      <c r="D502" s="218">
        <v>422.99900000000002</v>
      </c>
      <c r="E502" s="218">
        <v>442.846</v>
      </c>
      <c r="F502" s="218">
        <v>65.155299999999997</v>
      </c>
      <c r="G502" s="218">
        <v>70.427899999999994</v>
      </c>
      <c r="H502" s="218">
        <v>67.938400000000001</v>
      </c>
      <c r="I502" s="218">
        <v>68.614900000000006</v>
      </c>
      <c r="J502" s="246">
        <v>85233007</v>
      </c>
      <c r="K502" s="246">
        <v>91372188</v>
      </c>
      <c r="L502" s="218">
        <v>701.91099999999994</v>
      </c>
      <c r="M502" s="246">
        <v>157041</v>
      </c>
      <c r="N502" s="251">
        <v>45.171799999999998</v>
      </c>
      <c r="O502" s="251">
        <v>48.473199999999999</v>
      </c>
      <c r="P502" s="251">
        <v>46.832599999999999</v>
      </c>
      <c r="Q502" s="251">
        <v>47.500999999999998</v>
      </c>
      <c r="R502" s="254">
        <v>1.03</v>
      </c>
      <c r="S502" s="214">
        <v>142953</v>
      </c>
      <c r="T502" s="214">
        <v>1218115</v>
      </c>
      <c r="U502" s="214">
        <v>0</v>
      </c>
      <c r="V502" s="187">
        <f t="shared" si="16"/>
        <v>1218115</v>
      </c>
      <c r="W502" s="187">
        <f t="shared" si="17"/>
        <v>1361068</v>
      </c>
    </row>
    <row r="503" spans="1:23">
      <c r="A503" s="216" t="s">
        <v>667</v>
      </c>
      <c r="B503" s="218">
        <v>365.63400000000001</v>
      </c>
      <c r="C503" s="218">
        <v>347.952</v>
      </c>
      <c r="D503" s="218">
        <v>337.44400000000002</v>
      </c>
      <c r="E503" s="218">
        <v>310.51499999999999</v>
      </c>
      <c r="F503" s="218">
        <v>66.366600000000005</v>
      </c>
      <c r="G503" s="218">
        <v>70.035200000000003</v>
      </c>
      <c r="H503" s="218">
        <v>68.663399999999996</v>
      </c>
      <c r="I503" s="218">
        <v>68.486999999999995</v>
      </c>
      <c r="J503" s="246">
        <v>71545104</v>
      </c>
      <c r="K503" s="246">
        <v>77561503</v>
      </c>
      <c r="L503" s="218">
        <v>639.85799999999995</v>
      </c>
      <c r="M503" s="246">
        <v>42346</v>
      </c>
      <c r="N503" s="251">
        <v>40.155000000000001</v>
      </c>
      <c r="O503" s="251">
        <v>43.095100000000002</v>
      </c>
      <c r="P503" s="251">
        <v>41.496200000000002</v>
      </c>
      <c r="Q503" s="251">
        <v>41.320099999999996</v>
      </c>
      <c r="R503" s="254">
        <v>1.06</v>
      </c>
      <c r="S503" s="214">
        <v>42903</v>
      </c>
      <c r="T503" s="214">
        <v>968467</v>
      </c>
      <c r="U503" s="214">
        <v>0</v>
      </c>
      <c r="V503" s="187">
        <f t="shared" si="16"/>
        <v>968467</v>
      </c>
      <c r="W503" s="187">
        <f t="shared" si="17"/>
        <v>1011370</v>
      </c>
    </row>
    <row r="504" spans="1:23">
      <c r="A504" s="216" t="s">
        <v>1707</v>
      </c>
      <c r="B504" s="218">
        <v>3906.9430000000002</v>
      </c>
      <c r="C504" s="218">
        <v>3821.4989999999998</v>
      </c>
      <c r="D504" s="218">
        <v>3754.7939999999999</v>
      </c>
      <c r="E504" s="218">
        <v>3694.0419999999999</v>
      </c>
      <c r="F504" s="218">
        <v>615.85609999999997</v>
      </c>
      <c r="G504" s="218">
        <v>598.2251</v>
      </c>
      <c r="H504" s="218">
        <v>605.7808</v>
      </c>
      <c r="I504" s="218">
        <v>558.33069999999998</v>
      </c>
      <c r="J504" s="246">
        <v>662096536</v>
      </c>
      <c r="K504" s="246">
        <v>705228492</v>
      </c>
      <c r="L504" s="218">
        <v>4930.6170000000002</v>
      </c>
      <c r="M504" s="246">
        <v>488161</v>
      </c>
      <c r="N504" s="251">
        <v>365.08280000000002</v>
      </c>
      <c r="O504" s="251">
        <v>353.90929999999997</v>
      </c>
      <c r="P504" s="251">
        <v>360.02499999999998</v>
      </c>
      <c r="Q504" s="251">
        <v>346.91680000000002</v>
      </c>
      <c r="R504" s="254">
        <v>1.08</v>
      </c>
      <c r="S504" s="214">
        <v>460824</v>
      </c>
      <c r="T504" s="214">
        <v>9178434</v>
      </c>
      <c r="U504" s="214">
        <v>0</v>
      </c>
      <c r="V504" s="187">
        <f t="shared" si="16"/>
        <v>9178434</v>
      </c>
      <c r="W504" s="187">
        <f t="shared" si="17"/>
        <v>9639258</v>
      </c>
    </row>
    <row r="505" spans="1:23">
      <c r="A505" s="216" t="s">
        <v>1709</v>
      </c>
      <c r="B505" s="218">
        <v>861.49900000000002</v>
      </c>
      <c r="C505" s="218">
        <v>823.11500000000001</v>
      </c>
      <c r="D505" s="218">
        <v>819.71199999999999</v>
      </c>
      <c r="E505" s="218">
        <v>799.32299999999998</v>
      </c>
      <c r="F505" s="218">
        <v>123.3164</v>
      </c>
      <c r="G505" s="218">
        <v>129.70840000000001</v>
      </c>
      <c r="H505" s="218">
        <v>127.3164</v>
      </c>
      <c r="I505" s="218">
        <v>124.741</v>
      </c>
      <c r="J505" s="246">
        <v>213337493</v>
      </c>
      <c r="K505" s="246">
        <v>222728529</v>
      </c>
      <c r="L505" s="218">
        <v>1329.4</v>
      </c>
      <c r="M505" s="187">
        <v>0</v>
      </c>
      <c r="N505" s="251">
        <v>82.481099999999998</v>
      </c>
      <c r="O505" s="251">
        <v>86.892899999999997</v>
      </c>
      <c r="P505" s="251">
        <v>85.999899999999997</v>
      </c>
      <c r="Q505" s="251">
        <v>82.999399999999994</v>
      </c>
      <c r="R505" s="254">
        <v>1.05</v>
      </c>
      <c r="S505" s="214">
        <v>0</v>
      </c>
      <c r="T505" s="214">
        <v>2989845</v>
      </c>
      <c r="U505" s="214">
        <v>0</v>
      </c>
      <c r="V505" s="187">
        <f t="shared" si="16"/>
        <v>2989845</v>
      </c>
      <c r="W505" s="187">
        <f t="shared" si="17"/>
        <v>2989845</v>
      </c>
    </row>
    <row r="506" spans="1:23">
      <c r="A506" s="216" t="s">
        <v>1711</v>
      </c>
      <c r="B506" s="218">
        <v>649.81299999999999</v>
      </c>
      <c r="C506" s="218">
        <v>637.48500000000001</v>
      </c>
      <c r="D506" s="218">
        <v>624.48500000000001</v>
      </c>
      <c r="E506" s="218">
        <v>643.11699999999996</v>
      </c>
      <c r="F506" s="218">
        <v>80.813100000000006</v>
      </c>
      <c r="G506" s="218">
        <v>86.315799999999996</v>
      </c>
      <c r="H506" s="218">
        <v>89.690100000000001</v>
      </c>
      <c r="I506" s="218">
        <v>86.839799999999997</v>
      </c>
      <c r="J506" s="246">
        <v>235243268</v>
      </c>
      <c r="K506" s="246">
        <v>241208369</v>
      </c>
      <c r="L506" s="218">
        <v>946.67200000000003</v>
      </c>
      <c r="M506" s="187">
        <v>0</v>
      </c>
      <c r="N506" s="251">
        <v>58.487200000000001</v>
      </c>
      <c r="O506" s="251">
        <v>55.999200000000002</v>
      </c>
      <c r="P506" s="251">
        <v>58.182699999999997</v>
      </c>
      <c r="Q506" s="251">
        <v>56.550600000000003</v>
      </c>
      <c r="R506" s="254">
        <v>1.06</v>
      </c>
      <c r="S506" s="214">
        <v>0</v>
      </c>
      <c r="T506" s="214">
        <v>3456118</v>
      </c>
      <c r="U506" s="214">
        <v>0</v>
      </c>
      <c r="V506" s="187">
        <f t="shared" si="16"/>
        <v>3456118</v>
      </c>
      <c r="W506" s="187">
        <f t="shared" si="17"/>
        <v>3456118</v>
      </c>
    </row>
    <row r="507" spans="1:23">
      <c r="A507" s="216" t="s">
        <v>1713</v>
      </c>
      <c r="B507" s="218">
        <v>483.137</v>
      </c>
      <c r="C507" s="218">
        <v>530.45799999999997</v>
      </c>
      <c r="D507" s="218">
        <v>553.65800000000002</v>
      </c>
      <c r="E507" s="218">
        <v>557.21799999999996</v>
      </c>
      <c r="F507" s="218">
        <v>76.802800000000005</v>
      </c>
      <c r="G507" s="218">
        <v>82.573300000000003</v>
      </c>
      <c r="H507" s="218">
        <v>84.407499999999999</v>
      </c>
      <c r="I507" s="218">
        <v>82.664199999999994</v>
      </c>
      <c r="J507" s="246">
        <v>95334613</v>
      </c>
      <c r="K507" s="246">
        <v>97670035</v>
      </c>
      <c r="L507" s="218">
        <v>1078.4970000000001</v>
      </c>
      <c r="M507" s="246">
        <v>68546</v>
      </c>
      <c r="N507" s="251">
        <v>50.0931</v>
      </c>
      <c r="O507" s="251">
        <v>56.5443</v>
      </c>
      <c r="P507" s="251">
        <v>56.539299999999997</v>
      </c>
      <c r="Q507" s="251">
        <v>54.489899999999999</v>
      </c>
      <c r="R507" s="254">
        <v>1.1100000000000001</v>
      </c>
      <c r="S507" s="214">
        <v>125401</v>
      </c>
      <c r="T507" s="214">
        <v>976979</v>
      </c>
      <c r="U507" s="214">
        <v>0</v>
      </c>
      <c r="V507" s="187">
        <f t="shared" si="16"/>
        <v>976979</v>
      </c>
      <c r="W507" s="187">
        <f t="shared" si="17"/>
        <v>1102380</v>
      </c>
    </row>
    <row r="508" spans="1:23">
      <c r="A508" s="216" t="s">
        <v>1330</v>
      </c>
      <c r="B508" s="218">
        <v>122.01600000000001</v>
      </c>
      <c r="C508" s="218">
        <v>124.94499999999999</v>
      </c>
      <c r="D508" s="218">
        <v>133.12200000000001</v>
      </c>
      <c r="E508" s="218">
        <v>136.27600000000001</v>
      </c>
      <c r="F508" s="218">
        <v>27.5</v>
      </c>
      <c r="G508" s="218">
        <v>25.5</v>
      </c>
      <c r="H508" s="218">
        <v>30</v>
      </c>
      <c r="I508" s="218">
        <v>22</v>
      </c>
      <c r="J508" s="246">
        <v>41217756</v>
      </c>
      <c r="K508" s="246">
        <v>42357076</v>
      </c>
      <c r="L508" s="218">
        <v>276.64800000000002</v>
      </c>
      <c r="M508" s="187">
        <v>0</v>
      </c>
      <c r="N508" s="251">
        <v>15.8751</v>
      </c>
      <c r="O508" s="251">
        <v>16.250499999999999</v>
      </c>
      <c r="P508" s="251">
        <v>21.132000000000001</v>
      </c>
      <c r="Q508" s="251">
        <v>15.891999999999999</v>
      </c>
      <c r="R508" s="254">
        <v>1.1000000000000001</v>
      </c>
      <c r="S508" s="214">
        <v>0</v>
      </c>
      <c r="T508" s="214">
        <v>659368</v>
      </c>
      <c r="U508" s="214">
        <v>0</v>
      </c>
      <c r="V508" s="187">
        <f t="shared" si="16"/>
        <v>659368</v>
      </c>
      <c r="W508" s="187">
        <f t="shared" si="17"/>
        <v>659368</v>
      </c>
    </row>
    <row r="509" spans="1:23">
      <c r="A509" s="216" t="s">
        <v>1332</v>
      </c>
      <c r="B509" s="218">
        <v>169.15700000000001</v>
      </c>
      <c r="C509" s="218">
        <v>150.08699999999999</v>
      </c>
      <c r="D509" s="218">
        <v>145.554</v>
      </c>
      <c r="E509" s="218">
        <v>149.471</v>
      </c>
      <c r="F509" s="218">
        <v>35.866599999999998</v>
      </c>
      <c r="G509" s="218">
        <v>34.986600000000003</v>
      </c>
      <c r="H509" s="218">
        <v>34.481299999999997</v>
      </c>
      <c r="I509" s="218">
        <v>38.353000000000002</v>
      </c>
      <c r="J509" s="246">
        <v>40202846</v>
      </c>
      <c r="K509" s="246">
        <v>41307254</v>
      </c>
      <c r="L509" s="218">
        <v>325.35399999999998</v>
      </c>
      <c r="M509" s="187">
        <v>0</v>
      </c>
      <c r="N509" s="251">
        <v>19.636800000000001</v>
      </c>
      <c r="O509" s="251">
        <v>21.677900000000001</v>
      </c>
      <c r="P509" s="251">
        <v>22.057200000000002</v>
      </c>
      <c r="Q509" s="251">
        <v>24.3338</v>
      </c>
      <c r="R509" s="254">
        <v>1.1000000000000001</v>
      </c>
      <c r="S509" s="214">
        <v>0</v>
      </c>
      <c r="T509" s="214">
        <v>587670</v>
      </c>
      <c r="U509" s="214">
        <v>0</v>
      </c>
      <c r="V509" s="187">
        <f t="shared" si="16"/>
        <v>587670</v>
      </c>
      <c r="W509" s="187">
        <f t="shared" si="17"/>
        <v>587670</v>
      </c>
    </row>
    <row r="510" spans="1:23">
      <c r="A510" s="216" t="s">
        <v>979</v>
      </c>
      <c r="B510" s="218">
        <v>951.65300000000002</v>
      </c>
      <c r="C510" s="218">
        <v>990.81299999999999</v>
      </c>
      <c r="D510" s="218">
        <v>1041.1030000000001</v>
      </c>
      <c r="E510" s="218">
        <v>1094.2</v>
      </c>
      <c r="F510" s="218">
        <v>133.0498</v>
      </c>
      <c r="G510" s="218">
        <v>141.2037</v>
      </c>
      <c r="H510" s="218">
        <v>157.7303</v>
      </c>
      <c r="I510" s="218">
        <v>174.49969999999999</v>
      </c>
      <c r="J510" s="246">
        <v>123945919</v>
      </c>
      <c r="K510" s="246">
        <v>136530589</v>
      </c>
      <c r="L510" s="218">
        <v>1594.8050000000001</v>
      </c>
      <c r="M510" s="246">
        <v>154216</v>
      </c>
      <c r="N510" s="251">
        <v>93.132800000000003</v>
      </c>
      <c r="O510" s="251">
        <v>96.018699999999995</v>
      </c>
      <c r="P510" s="251">
        <v>103.8608</v>
      </c>
      <c r="Q510" s="251">
        <v>108.5304</v>
      </c>
      <c r="R510" s="254">
        <v>1.06</v>
      </c>
      <c r="S510" s="214">
        <v>327586</v>
      </c>
      <c r="T510" s="214">
        <v>1905540</v>
      </c>
      <c r="U510" s="214">
        <v>0</v>
      </c>
      <c r="V510" s="187">
        <f t="shared" si="16"/>
        <v>1905540</v>
      </c>
      <c r="W510" s="187">
        <f t="shared" si="17"/>
        <v>2233126</v>
      </c>
    </row>
    <row r="511" spans="1:23">
      <c r="A511" s="216" t="s">
        <v>1334</v>
      </c>
      <c r="B511" s="218">
        <v>435.18900000000002</v>
      </c>
      <c r="C511" s="218">
        <v>429.62</v>
      </c>
      <c r="D511" s="218">
        <v>449.61900000000003</v>
      </c>
      <c r="E511" s="218">
        <v>474.70600000000002</v>
      </c>
      <c r="F511" s="218">
        <v>67.986599999999996</v>
      </c>
      <c r="G511" s="218">
        <v>69.954700000000003</v>
      </c>
      <c r="H511" s="218">
        <v>65.427999999999997</v>
      </c>
      <c r="I511" s="218">
        <v>71.395899999999997</v>
      </c>
      <c r="J511" s="246">
        <v>42136915</v>
      </c>
      <c r="K511" s="246">
        <v>47871885</v>
      </c>
      <c r="L511" s="218">
        <v>765.81299999999999</v>
      </c>
      <c r="M511" s="246">
        <v>27542</v>
      </c>
      <c r="N511" s="251">
        <v>46</v>
      </c>
      <c r="O511" s="251">
        <v>48.336599999999997</v>
      </c>
      <c r="P511" s="251">
        <v>45.396799999999999</v>
      </c>
      <c r="Q511" s="251">
        <v>48.992800000000003</v>
      </c>
      <c r="R511" s="254">
        <v>1.05</v>
      </c>
      <c r="S511" s="214">
        <v>32000</v>
      </c>
      <c r="T511" s="214">
        <v>634897</v>
      </c>
      <c r="U511" s="214">
        <v>0</v>
      </c>
      <c r="V511" s="187">
        <f t="shared" si="16"/>
        <v>634897</v>
      </c>
      <c r="W511" s="187">
        <f t="shared" si="17"/>
        <v>666897</v>
      </c>
    </row>
    <row r="512" spans="1:23">
      <c r="A512" s="216" t="s">
        <v>235</v>
      </c>
      <c r="B512" s="218">
        <v>1610.248</v>
      </c>
      <c r="C512" s="218">
        <v>1632.752</v>
      </c>
      <c r="D512" s="218">
        <v>1680.4760000000001</v>
      </c>
      <c r="E512" s="218">
        <v>1694.2560000000001</v>
      </c>
      <c r="F512" s="218">
        <v>254.7604</v>
      </c>
      <c r="G512" s="218">
        <v>260.93220000000002</v>
      </c>
      <c r="H512" s="218">
        <v>270.56709999999998</v>
      </c>
      <c r="I512" s="218">
        <v>270.55070000000001</v>
      </c>
      <c r="J512" s="246">
        <v>250115314</v>
      </c>
      <c r="K512" s="246">
        <v>267578954</v>
      </c>
      <c r="L512" s="218">
        <v>2453.4209999999998</v>
      </c>
      <c r="M512" s="246">
        <v>292332</v>
      </c>
      <c r="N512" s="251">
        <v>153.018</v>
      </c>
      <c r="O512" s="251">
        <v>158.07650000000001</v>
      </c>
      <c r="P512" s="251">
        <v>167.02440000000001</v>
      </c>
      <c r="Q512" s="251">
        <v>173.9597</v>
      </c>
      <c r="R512" s="254">
        <v>1.06</v>
      </c>
      <c r="S512" s="214">
        <v>448640</v>
      </c>
      <c r="T512" s="214">
        <v>3897086</v>
      </c>
      <c r="U512" s="214">
        <v>0</v>
      </c>
      <c r="V512" s="187">
        <f t="shared" si="16"/>
        <v>3897086</v>
      </c>
      <c r="W512" s="187">
        <f t="shared" si="17"/>
        <v>4345726</v>
      </c>
    </row>
    <row r="513" spans="1:23">
      <c r="A513" s="216" t="s">
        <v>3961</v>
      </c>
      <c r="B513" s="218">
        <v>4825.0249999999996</v>
      </c>
      <c r="C513" s="218">
        <v>4739.2259999999997</v>
      </c>
      <c r="D513" s="218">
        <v>4784.4380000000001</v>
      </c>
      <c r="E513" s="218">
        <v>4729.8280000000004</v>
      </c>
      <c r="F513" s="218">
        <v>725.39940000000001</v>
      </c>
      <c r="G513" s="218">
        <v>732.13580000000002</v>
      </c>
      <c r="H513" s="218">
        <v>723.46420000000001</v>
      </c>
      <c r="I513" s="218">
        <v>713.71090000000004</v>
      </c>
      <c r="J513" s="246">
        <v>912524180</v>
      </c>
      <c r="K513" s="246">
        <v>971745630</v>
      </c>
      <c r="L513" s="218">
        <v>6195.5209999999997</v>
      </c>
      <c r="M513" s="246">
        <v>204279</v>
      </c>
      <c r="N513" s="251">
        <v>475.62189999999998</v>
      </c>
      <c r="O513" s="251">
        <v>481.30349999999999</v>
      </c>
      <c r="P513" s="251">
        <v>470.3698</v>
      </c>
      <c r="Q513" s="251">
        <v>477.67759999999998</v>
      </c>
      <c r="R513" s="254">
        <v>1.08</v>
      </c>
      <c r="S513" s="214">
        <v>2221801</v>
      </c>
      <c r="T513" s="214">
        <v>13385143</v>
      </c>
      <c r="U513" s="214">
        <v>0</v>
      </c>
      <c r="V513" s="187">
        <f t="shared" si="16"/>
        <v>13385143</v>
      </c>
      <c r="W513" s="187">
        <f t="shared" si="17"/>
        <v>15606944</v>
      </c>
    </row>
    <row r="514" spans="1:23">
      <c r="A514" s="216" t="s">
        <v>2359</v>
      </c>
      <c r="B514" s="218">
        <v>704.33699999999999</v>
      </c>
      <c r="C514" s="218">
        <v>711.79700000000003</v>
      </c>
      <c r="D514" s="218">
        <v>755.11300000000006</v>
      </c>
      <c r="E514" s="218">
        <v>798.13800000000003</v>
      </c>
      <c r="F514" s="218">
        <v>100.539</v>
      </c>
      <c r="G514" s="218">
        <v>106.84520000000001</v>
      </c>
      <c r="H514" s="218">
        <v>110.3075</v>
      </c>
      <c r="I514" s="218">
        <v>118.2377</v>
      </c>
      <c r="J514" s="246">
        <v>78519350</v>
      </c>
      <c r="K514" s="246">
        <v>88690060</v>
      </c>
      <c r="L514" s="218">
        <v>1250.1110000000001</v>
      </c>
      <c r="M514" s="246">
        <v>78025</v>
      </c>
      <c r="N514" s="251">
        <v>63.3324</v>
      </c>
      <c r="O514" s="251">
        <v>67.436000000000007</v>
      </c>
      <c r="P514" s="251">
        <v>70.738699999999994</v>
      </c>
      <c r="Q514" s="251">
        <v>70.699100000000001</v>
      </c>
      <c r="R514" s="254">
        <v>1.04</v>
      </c>
      <c r="S514" s="214">
        <v>150758</v>
      </c>
      <c r="T514" s="214">
        <v>1122787</v>
      </c>
      <c r="U514" s="214">
        <v>0</v>
      </c>
      <c r="V514" s="187">
        <f t="shared" si="16"/>
        <v>1122787</v>
      </c>
      <c r="W514" s="187">
        <f t="shared" si="17"/>
        <v>1273545</v>
      </c>
    </row>
    <row r="515" spans="1:23">
      <c r="A515" s="216" t="s">
        <v>650</v>
      </c>
      <c r="B515" s="218">
        <v>2564.1529999999998</v>
      </c>
      <c r="C515" s="218">
        <v>2601.5700000000002</v>
      </c>
      <c r="D515" s="218">
        <v>2670.0630000000001</v>
      </c>
      <c r="E515" s="218">
        <v>2648.982</v>
      </c>
      <c r="F515" s="218">
        <v>373.21629999999999</v>
      </c>
      <c r="G515" s="218">
        <v>397.6508</v>
      </c>
      <c r="H515" s="218">
        <v>424.53890000000001</v>
      </c>
      <c r="I515" s="218">
        <v>447.08710000000002</v>
      </c>
      <c r="J515" s="246">
        <v>332216220</v>
      </c>
      <c r="K515" s="246">
        <v>370296160</v>
      </c>
      <c r="L515" s="218">
        <v>3713.9639999999999</v>
      </c>
      <c r="M515" s="246">
        <v>102177</v>
      </c>
      <c r="N515" s="251">
        <v>229.91679999999999</v>
      </c>
      <c r="O515" s="251">
        <v>240.77019999999999</v>
      </c>
      <c r="P515" s="251">
        <v>251.37950000000001</v>
      </c>
      <c r="Q515" s="251">
        <v>260.7697</v>
      </c>
      <c r="R515" s="254">
        <v>1.07</v>
      </c>
      <c r="S515" s="214">
        <v>704076</v>
      </c>
      <c r="T515" s="214">
        <v>4539581</v>
      </c>
      <c r="U515" s="214">
        <v>0</v>
      </c>
      <c r="V515" s="187">
        <f t="shared" si="16"/>
        <v>4539581</v>
      </c>
      <c r="W515" s="187">
        <f t="shared" si="17"/>
        <v>5243657</v>
      </c>
    </row>
    <row r="516" spans="1:23">
      <c r="A516" s="216" t="s">
        <v>2127</v>
      </c>
      <c r="B516" s="218">
        <v>593.55399999999997</v>
      </c>
      <c r="C516" s="218">
        <v>563.303</v>
      </c>
      <c r="D516" s="218">
        <v>552.84400000000005</v>
      </c>
      <c r="E516" s="218">
        <v>562.75599999999997</v>
      </c>
      <c r="F516" s="218">
        <v>93.626000000000005</v>
      </c>
      <c r="G516" s="218">
        <v>98.489599999999996</v>
      </c>
      <c r="H516" s="218">
        <v>99.679500000000004</v>
      </c>
      <c r="I516" s="218">
        <v>93.128699999999995</v>
      </c>
      <c r="J516" s="246">
        <v>52196106</v>
      </c>
      <c r="K516" s="246">
        <v>59758376</v>
      </c>
      <c r="L516" s="218">
        <v>947.44600000000003</v>
      </c>
      <c r="M516" s="246">
        <v>74228</v>
      </c>
      <c r="N516" s="251">
        <v>66.286500000000004</v>
      </c>
      <c r="O516" s="251">
        <v>67.500299999999996</v>
      </c>
      <c r="P516" s="251">
        <v>69.536699999999996</v>
      </c>
      <c r="Q516" s="251">
        <v>65.337400000000002</v>
      </c>
      <c r="R516" s="254">
        <v>1.06</v>
      </c>
      <c r="S516" s="214">
        <v>118258</v>
      </c>
      <c r="T516" s="214">
        <v>776151</v>
      </c>
      <c r="U516" s="214">
        <v>0</v>
      </c>
      <c r="V516" s="187">
        <f t="shared" si="16"/>
        <v>776151</v>
      </c>
      <c r="W516" s="187">
        <f t="shared" si="17"/>
        <v>894409</v>
      </c>
    </row>
    <row r="517" spans="1:23">
      <c r="A517" s="216" t="s">
        <v>3963</v>
      </c>
      <c r="B517" s="218">
        <v>307.45499999999998</v>
      </c>
      <c r="C517" s="218">
        <v>302.346</v>
      </c>
      <c r="D517" s="218">
        <v>293.21499999999997</v>
      </c>
      <c r="E517" s="218">
        <v>284.98200000000003</v>
      </c>
      <c r="F517" s="218">
        <v>53.402500000000003</v>
      </c>
      <c r="G517" s="218">
        <v>53.582799999999999</v>
      </c>
      <c r="H517" s="218">
        <v>60.818100000000001</v>
      </c>
      <c r="I517" s="218">
        <v>53.866300000000003</v>
      </c>
      <c r="J517" s="246">
        <v>37372257</v>
      </c>
      <c r="K517" s="246">
        <v>42879378</v>
      </c>
      <c r="L517" s="218">
        <v>497.16</v>
      </c>
      <c r="M517" s="246">
        <v>39562</v>
      </c>
      <c r="N517" s="251">
        <v>37.215899999999998</v>
      </c>
      <c r="O517" s="251">
        <v>38.583500000000001</v>
      </c>
      <c r="P517" s="251">
        <v>41.238599999999998</v>
      </c>
      <c r="Q517" s="251">
        <v>36.045499999999997</v>
      </c>
      <c r="R517" s="254">
        <v>1.05</v>
      </c>
      <c r="S517" s="214">
        <v>40682</v>
      </c>
      <c r="T517" s="214">
        <v>525722</v>
      </c>
      <c r="U517" s="214">
        <v>0</v>
      </c>
      <c r="V517" s="187">
        <f t="shared" ref="V517:V580" si="18">T517+U517</f>
        <v>525722</v>
      </c>
      <c r="W517" s="187">
        <f t="shared" ref="W517:W580" si="19">V517+S517</f>
        <v>566404</v>
      </c>
    </row>
    <row r="518" spans="1:23">
      <c r="A518" s="216" t="s">
        <v>953</v>
      </c>
      <c r="B518" s="218">
        <v>511.27</v>
      </c>
      <c r="C518" s="218">
        <v>517.20500000000004</v>
      </c>
      <c r="D518" s="218">
        <v>545.41700000000003</v>
      </c>
      <c r="E518" s="218">
        <v>530.30899999999997</v>
      </c>
      <c r="F518" s="218">
        <v>73.030500000000004</v>
      </c>
      <c r="G518" s="218">
        <v>79.612799999999993</v>
      </c>
      <c r="H518" s="218">
        <v>81.995199999999997</v>
      </c>
      <c r="I518" s="218">
        <v>82.936300000000003</v>
      </c>
      <c r="J518" s="246">
        <v>56264357</v>
      </c>
      <c r="K518" s="246">
        <v>62989867</v>
      </c>
      <c r="L518" s="218">
        <v>848.14099999999996</v>
      </c>
      <c r="M518" s="246">
        <v>26770</v>
      </c>
      <c r="N518" s="251">
        <v>52.1218</v>
      </c>
      <c r="O518" s="251">
        <v>41.3977</v>
      </c>
      <c r="P518" s="251">
        <v>57.479300000000002</v>
      </c>
      <c r="Q518" s="251">
        <v>57.412300000000002</v>
      </c>
      <c r="R518" s="254">
        <v>1.04</v>
      </c>
      <c r="S518" s="214">
        <v>26662</v>
      </c>
      <c r="T518" s="214">
        <v>763781</v>
      </c>
      <c r="U518" s="214">
        <v>28495</v>
      </c>
      <c r="V518" s="187">
        <f t="shared" si="18"/>
        <v>792276</v>
      </c>
      <c r="W518" s="187">
        <f t="shared" si="19"/>
        <v>818938</v>
      </c>
    </row>
    <row r="519" spans="1:23">
      <c r="A519" s="216" t="s">
        <v>971</v>
      </c>
      <c r="B519" s="218">
        <v>476.35599999999999</v>
      </c>
      <c r="C519" s="218">
        <v>585.49599999999998</v>
      </c>
      <c r="D519" s="218">
        <v>567.81399999999996</v>
      </c>
      <c r="E519" s="218">
        <v>489.904</v>
      </c>
      <c r="F519" s="218">
        <v>82.861000000000004</v>
      </c>
      <c r="G519" s="218">
        <v>93.647000000000006</v>
      </c>
      <c r="H519" s="218">
        <v>86.080299999999994</v>
      </c>
      <c r="I519" s="218">
        <v>93.390600000000006</v>
      </c>
      <c r="J519" s="246">
        <v>8769542</v>
      </c>
      <c r="K519" s="246">
        <v>9988274</v>
      </c>
      <c r="L519" s="218">
        <v>876.95</v>
      </c>
      <c r="M519" s="187">
        <v>0</v>
      </c>
      <c r="N519" s="251">
        <v>57.689599999999999</v>
      </c>
      <c r="O519" s="251">
        <v>71.638099999999994</v>
      </c>
      <c r="P519" s="251">
        <v>57.105800000000002</v>
      </c>
      <c r="Q519" s="251">
        <v>60.579799999999999</v>
      </c>
      <c r="R519" s="254">
        <v>1.07</v>
      </c>
      <c r="S519" s="214">
        <v>6639</v>
      </c>
      <c r="T519" s="214">
        <v>129169</v>
      </c>
      <c r="U519" s="214">
        <v>0</v>
      </c>
      <c r="V519" s="187">
        <f t="shared" si="18"/>
        <v>129169</v>
      </c>
      <c r="W519" s="187">
        <f t="shared" si="19"/>
        <v>135808</v>
      </c>
    </row>
    <row r="520" spans="1:23">
      <c r="A520" s="216" t="s">
        <v>3965</v>
      </c>
      <c r="B520" s="218">
        <v>2886.288</v>
      </c>
      <c r="C520" s="218">
        <v>2804.5329999999999</v>
      </c>
      <c r="D520" s="218">
        <v>2719.8359999999998</v>
      </c>
      <c r="E520" s="218">
        <v>2690.8209999999999</v>
      </c>
      <c r="F520" s="218">
        <v>424.00839999999999</v>
      </c>
      <c r="G520" s="218">
        <v>429.59910000000002</v>
      </c>
      <c r="H520" s="218">
        <v>420.09870000000001</v>
      </c>
      <c r="I520" s="218">
        <v>441.29610000000002</v>
      </c>
      <c r="J520" s="246">
        <v>410762318</v>
      </c>
      <c r="K520" s="246">
        <v>451482248</v>
      </c>
      <c r="L520" s="218">
        <v>3680.5889999999999</v>
      </c>
      <c r="M520" s="187">
        <v>0</v>
      </c>
      <c r="N520" s="251">
        <v>293.34660000000002</v>
      </c>
      <c r="O520" s="251">
        <v>287.78129999999999</v>
      </c>
      <c r="P520" s="251">
        <v>281.96550000000002</v>
      </c>
      <c r="Q520" s="251">
        <v>277.81099999999998</v>
      </c>
      <c r="R520" s="254">
        <v>1.08</v>
      </c>
      <c r="S520" s="214">
        <v>0</v>
      </c>
      <c r="T520" s="214">
        <v>5916238</v>
      </c>
      <c r="U520" s="214">
        <v>0</v>
      </c>
      <c r="V520" s="187">
        <f t="shared" si="18"/>
        <v>5916238</v>
      </c>
      <c r="W520" s="187">
        <f t="shared" si="19"/>
        <v>5916238</v>
      </c>
    </row>
    <row r="521" spans="1:23">
      <c r="A521" s="216" t="s">
        <v>3967</v>
      </c>
      <c r="B521" s="218">
        <v>1008.258</v>
      </c>
      <c r="C521" s="218">
        <v>935.64700000000005</v>
      </c>
      <c r="D521" s="218">
        <v>907.39</v>
      </c>
      <c r="E521" s="218">
        <v>868.56899999999996</v>
      </c>
      <c r="F521" s="218">
        <v>164.23670000000001</v>
      </c>
      <c r="G521" s="218">
        <v>157.5634</v>
      </c>
      <c r="H521" s="218">
        <v>152.42949999999999</v>
      </c>
      <c r="I521" s="218">
        <v>153.09729999999999</v>
      </c>
      <c r="J521" s="246">
        <v>124001614</v>
      </c>
      <c r="K521" s="246">
        <v>139776844</v>
      </c>
      <c r="L521" s="218">
        <v>1368.6289999999999</v>
      </c>
      <c r="M521" s="246">
        <v>128649</v>
      </c>
      <c r="N521" s="251">
        <v>112.8484</v>
      </c>
      <c r="O521" s="251">
        <v>99.838499999999996</v>
      </c>
      <c r="P521" s="251">
        <v>101.35339999999999</v>
      </c>
      <c r="Q521" s="251">
        <v>101.4847</v>
      </c>
      <c r="R521" s="254">
        <v>1.07</v>
      </c>
      <c r="S521" s="214">
        <v>187438</v>
      </c>
      <c r="T521" s="214">
        <v>1680729</v>
      </c>
      <c r="U521" s="214">
        <v>0</v>
      </c>
      <c r="V521" s="187">
        <f t="shared" si="18"/>
        <v>1680729</v>
      </c>
      <c r="W521" s="187">
        <f t="shared" si="19"/>
        <v>1868167</v>
      </c>
    </row>
    <row r="522" spans="1:23">
      <c r="A522" s="216" t="s">
        <v>3969</v>
      </c>
      <c r="B522" s="218">
        <v>630.09100000000001</v>
      </c>
      <c r="C522" s="218">
        <v>587.404</v>
      </c>
      <c r="D522" s="218">
        <v>576.71900000000005</v>
      </c>
      <c r="E522" s="218">
        <v>594.41899999999998</v>
      </c>
      <c r="F522" s="218">
        <v>132.10599999999999</v>
      </c>
      <c r="G522" s="218">
        <v>120.47490000000001</v>
      </c>
      <c r="H522" s="218">
        <v>122.2795</v>
      </c>
      <c r="I522" s="218">
        <v>130.15389999999999</v>
      </c>
      <c r="J522" s="246">
        <v>816033115</v>
      </c>
      <c r="K522" s="246">
        <v>823536805</v>
      </c>
      <c r="L522" s="218">
        <v>1158.653</v>
      </c>
      <c r="M522" s="246">
        <v>691649</v>
      </c>
      <c r="N522" s="251">
        <v>87.495900000000006</v>
      </c>
      <c r="O522" s="251">
        <v>78.536699999999996</v>
      </c>
      <c r="P522" s="251">
        <v>76.090900000000005</v>
      </c>
      <c r="Q522" s="251">
        <v>66.0047</v>
      </c>
      <c r="R522" s="254">
        <v>1.06</v>
      </c>
      <c r="S522" s="214">
        <v>966956</v>
      </c>
      <c r="T522" s="214">
        <v>10752540</v>
      </c>
      <c r="U522" s="214">
        <v>0</v>
      </c>
      <c r="V522" s="187">
        <f t="shared" si="18"/>
        <v>10752540</v>
      </c>
      <c r="W522" s="187">
        <f t="shared" si="19"/>
        <v>11719496</v>
      </c>
    </row>
    <row r="523" spans="1:23">
      <c r="A523" s="216" t="s">
        <v>757</v>
      </c>
      <c r="B523" s="218">
        <v>91.962999999999994</v>
      </c>
      <c r="C523" s="218">
        <v>104.703</v>
      </c>
      <c r="D523" s="218">
        <v>105.736</v>
      </c>
      <c r="E523" s="218">
        <v>102.807</v>
      </c>
      <c r="F523" s="218">
        <v>20.9087</v>
      </c>
      <c r="G523" s="218">
        <v>23.405899999999999</v>
      </c>
      <c r="H523" s="218">
        <v>21.626000000000001</v>
      </c>
      <c r="I523" s="218">
        <v>15.197900000000001</v>
      </c>
      <c r="J523" s="246">
        <v>29109799</v>
      </c>
      <c r="K523" s="246">
        <v>29366370</v>
      </c>
      <c r="L523" s="218">
        <v>172.69900000000001</v>
      </c>
      <c r="M523" s="187">
        <v>0</v>
      </c>
      <c r="N523" s="251">
        <v>14.3424</v>
      </c>
      <c r="O523" s="251">
        <v>17.870899999999999</v>
      </c>
      <c r="P523" s="251">
        <v>16.410499999999999</v>
      </c>
      <c r="Q523" s="251">
        <v>8.4833999999999996</v>
      </c>
      <c r="R523" s="254">
        <v>1.07</v>
      </c>
      <c r="S523" s="214">
        <v>0</v>
      </c>
      <c r="T523" s="214">
        <v>373653</v>
      </c>
      <c r="U523" s="214">
        <v>0</v>
      </c>
      <c r="V523" s="187">
        <f t="shared" si="18"/>
        <v>373653</v>
      </c>
      <c r="W523" s="187">
        <f t="shared" si="19"/>
        <v>373653</v>
      </c>
    </row>
    <row r="524" spans="1:23">
      <c r="A524" s="216" t="s">
        <v>759</v>
      </c>
      <c r="B524" s="218">
        <v>339.44499999999999</v>
      </c>
      <c r="C524" s="218">
        <v>332.88299999999998</v>
      </c>
      <c r="D524" s="218">
        <v>327.18099999999998</v>
      </c>
      <c r="E524" s="218">
        <v>352.21300000000002</v>
      </c>
      <c r="F524" s="218">
        <v>65.365700000000004</v>
      </c>
      <c r="G524" s="218">
        <v>66.070099999999996</v>
      </c>
      <c r="H524" s="218">
        <v>59.984499999999997</v>
      </c>
      <c r="I524" s="218">
        <v>63.401699999999998</v>
      </c>
      <c r="J524" s="246">
        <v>225164206</v>
      </c>
      <c r="K524" s="246">
        <v>229204484</v>
      </c>
      <c r="L524" s="218">
        <v>677.68899999999996</v>
      </c>
      <c r="M524" s="187">
        <v>0</v>
      </c>
      <c r="N524" s="251">
        <v>42.834899999999998</v>
      </c>
      <c r="O524" s="251">
        <v>42.000399999999999</v>
      </c>
      <c r="P524" s="251">
        <v>37.511699999999998</v>
      </c>
      <c r="Q524" s="251">
        <v>40.334000000000003</v>
      </c>
      <c r="R524" s="254">
        <v>1.06</v>
      </c>
      <c r="S524" s="214">
        <v>1072</v>
      </c>
      <c r="T524" s="214">
        <v>3189814</v>
      </c>
      <c r="U524" s="214">
        <v>0</v>
      </c>
      <c r="V524" s="187">
        <f t="shared" si="18"/>
        <v>3189814</v>
      </c>
      <c r="W524" s="187">
        <f t="shared" si="19"/>
        <v>3190886</v>
      </c>
    </row>
    <row r="525" spans="1:23">
      <c r="A525" s="216" t="s">
        <v>69</v>
      </c>
      <c r="B525" s="218">
        <v>231.63200000000001</v>
      </c>
      <c r="C525" s="218">
        <v>228.124</v>
      </c>
      <c r="D525" s="218">
        <v>234.78200000000001</v>
      </c>
      <c r="E525" s="218">
        <v>242.79599999999999</v>
      </c>
      <c r="F525" s="218">
        <v>47.369</v>
      </c>
      <c r="G525" s="218">
        <v>45.866300000000003</v>
      </c>
      <c r="H525" s="218">
        <v>42.4572</v>
      </c>
      <c r="I525" s="218">
        <v>42.4465</v>
      </c>
      <c r="J525" s="246">
        <v>55253178</v>
      </c>
      <c r="K525" s="246">
        <v>58013408</v>
      </c>
      <c r="L525" s="218">
        <v>417.59899999999999</v>
      </c>
      <c r="M525" s="246">
        <v>33940</v>
      </c>
      <c r="N525" s="251">
        <v>32.037599999999998</v>
      </c>
      <c r="O525" s="251">
        <v>32.536799999999999</v>
      </c>
      <c r="P525" s="251">
        <v>30.645</v>
      </c>
      <c r="Q525" s="251">
        <v>29.619399999999999</v>
      </c>
      <c r="R525" s="254">
        <v>1.05</v>
      </c>
      <c r="S525" s="214">
        <v>35493</v>
      </c>
      <c r="T525" s="214">
        <v>810585</v>
      </c>
      <c r="U525" s="214">
        <v>0</v>
      </c>
      <c r="V525" s="187">
        <f t="shared" si="18"/>
        <v>810585</v>
      </c>
      <c r="W525" s="187">
        <f t="shared" si="19"/>
        <v>846078</v>
      </c>
    </row>
    <row r="526" spans="1:23">
      <c r="A526" s="216" t="s">
        <v>71</v>
      </c>
      <c r="B526" s="218">
        <v>1019.444</v>
      </c>
      <c r="C526" s="218">
        <v>951.66399999999999</v>
      </c>
      <c r="D526" s="218">
        <v>943.80399999999997</v>
      </c>
      <c r="E526" s="218">
        <v>946.70299999999997</v>
      </c>
      <c r="F526" s="218">
        <v>156.77520000000001</v>
      </c>
      <c r="G526" s="218">
        <v>154.19499999999999</v>
      </c>
      <c r="H526" s="218">
        <v>153.8501</v>
      </c>
      <c r="I526" s="218">
        <v>144.17310000000001</v>
      </c>
      <c r="J526" s="246">
        <v>232697042</v>
      </c>
      <c r="K526" s="246">
        <v>246622932</v>
      </c>
      <c r="L526" s="218">
        <v>1598.144</v>
      </c>
      <c r="M526" s="187">
        <v>0</v>
      </c>
      <c r="N526" s="251">
        <v>118.16889999999999</v>
      </c>
      <c r="O526" s="251">
        <v>116.25660000000001</v>
      </c>
      <c r="P526" s="251">
        <v>114.5887</v>
      </c>
      <c r="Q526" s="251">
        <v>105.3259</v>
      </c>
      <c r="R526" s="254">
        <v>1.05</v>
      </c>
      <c r="S526" s="214">
        <v>0</v>
      </c>
      <c r="T526" s="214">
        <v>3397131</v>
      </c>
      <c r="U526" s="214">
        <v>0</v>
      </c>
      <c r="V526" s="187">
        <f t="shared" si="18"/>
        <v>3397131</v>
      </c>
      <c r="W526" s="187">
        <f t="shared" si="19"/>
        <v>3397131</v>
      </c>
    </row>
    <row r="527" spans="1:23">
      <c r="A527" s="216" t="s">
        <v>73</v>
      </c>
      <c r="B527" s="218">
        <v>388.23099999999999</v>
      </c>
      <c r="C527" s="218">
        <v>357.27</v>
      </c>
      <c r="D527" s="218">
        <v>348.34699999999998</v>
      </c>
      <c r="E527" s="218">
        <v>346.779</v>
      </c>
      <c r="F527" s="218">
        <v>62.425199999999997</v>
      </c>
      <c r="G527" s="218">
        <v>58.443899999999999</v>
      </c>
      <c r="H527" s="218">
        <v>51.7059</v>
      </c>
      <c r="I527" s="218">
        <v>52.788800000000002</v>
      </c>
      <c r="J527" s="246">
        <v>58472622</v>
      </c>
      <c r="K527" s="246">
        <v>63323892</v>
      </c>
      <c r="L527" s="218">
        <v>550.88699999999994</v>
      </c>
      <c r="M527" s="246">
        <v>37824</v>
      </c>
      <c r="N527" s="251">
        <v>41.101599999999998</v>
      </c>
      <c r="O527" s="251">
        <v>39.695900000000002</v>
      </c>
      <c r="P527" s="251">
        <v>35.881999999999998</v>
      </c>
      <c r="Q527" s="251">
        <v>36.307299999999998</v>
      </c>
      <c r="R527" s="254">
        <v>1.05</v>
      </c>
      <c r="S527" s="214">
        <v>42735</v>
      </c>
      <c r="T527" s="214">
        <v>910750</v>
      </c>
      <c r="U527" s="214">
        <v>0</v>
      </c>
      <c r="V527" s="187">
        <f t="shared" si="18"/>
        <v>910750</v>
      </c>
      <c r="W527" s="187">
        <f t="shared" si="19"/>
        <v>953485</v>
      </c>
    </row>
    <row r="528" spans="1:23">
      <c r="A528" s="216" t="s">
        <v>75</v>
      </c>
      <c r="B528" s="218">
        <v>1576.6579999999999</v>
      </c>
      <c r="C528" s="218">
        <v>1554.414</v>
      </c>
      <c r="D528" s="218">
        <v>1507.471</v>
      </c>
      <c r="E528" s="218">
        <v>1485.0309999999999</v>
      </c>
      <c r="F528" s="218">
        <v>252.49250000000001</v>
      </c>
      <c r="G528" s="218">
        <v>204.81819999999999</v>
      </c>
      <c r="H528" s="218">
        <v>198.81549999999999</v>
      </c>
      <c r="I528" s="218">
        <v>235.5318</v>
      </c>
      <c r="J528" s="246">
        <v>289379095</v>
      </c>
      <c r="K528" s="246">
        <v>305022685</v>
      </c>
      <c r="L528" s="218">
        <v>2096.2469999999998</v>
      </c>
      <c r="M528" s="246">
        <v>165323</v>
      </c>
      <c r="N528" s="251">
        <v>164.1292</v>
      </c>
      <c r="O528" s="251">
        <v>156.86320000000001</v>
      </c>
      <c r="P528" s="251">
        <v>157.714</v>
      </c>
      <c r="Q528" s="251">
        <v>154.19120000000001</v>
      </c>
      <c r="R528" s="254">
        <v>1.08</v>
      </c>
      <c r="S528" s="214">
        <v>155813</v>
      </c>
      <c r="T528" s="214">
        <v>4033464</v>
      </c>
      <c r="U528" s="214">
        <v>0</v>
      </c>
      <c r="V528" s="187">
        <f t="shared" si="18"/>
        <v>4033464</v>
      </c>
      <c r="W528" s="187">
        <f t="shared" si="19"/>
        <v>4189277</v>
      </c>
    </row>
    <row r="529" spans="1:23">
      <c r="A529" s="216" t="s">
        <v>1316</v>
      </c>
      <c r="B529" s="218">
        <v>655.91600000000005</v>
      </c>
      <c r="C529" s="218">
        <v>642.29899999999998</v>
      </c>
      <c r="D529" s="218">
        <v>622.90200000000004</v>
      </c>
      <c r="E529" s="218">
        <v>603.928</v>
      </c>
      <c r="F529" s="218">
        <v>97.9011</v>
      </c>
      <c r="G529" s="218">
        <v>104.3984</v>
      </c>
      <c r="H529" s="218">
        <v>106</v>
      </c>
      <c r="I529" s="218">
        <v>106.6524</v>
      </c>
      <c r="J529" s="246">
        <v>103736594</v>
      </c>
      <c r="K529" s="246">
        <v>111220679</v>
      </c>
      <c r="L529" s="218">
        <v>975.101</v>
      </c>
      <c r="M529" s="246">
        <v>1288</v>
      </c>
      <c r="N529" s="251">
        <v>65.234300000000005</v>
      </c>
      <c r="O529" s="251">
        <v>67.9255</v>
      </c>
      <c r="P529" s="251">
        <v>65.991600000000005</v>
      </c>
      <c r="Q529" s="251">
        <v>72.502200000000002</v>
      </c>
      <c r="R529" s="254">
        <v>1.0900000000000001</v>
      </c>
      <c r="S529" s="214">
        <v>69937</v>
      </c>
      <c r="T529" s="214">
        <v>1478862</v>
      </c>
      <c r="U529" s="214">
        <v>0</v>
      </c>
      <c r="V529" s="187">
        <f t="shared" si="18"/>
        <v>1478862</v>
      </c>
      <c r="W529" s="187">
        <f t="shared" si="19"/>
        <v>1548799</v>
      </c>
    </row>
    <row r="530" spans="1:23">
      <c r="A530" s="216" t="s">
        <v>2600</v>
      </c>
      <c r="B530" s="218">
        <v>929.803</v>
      </c>
      <c r="C530" s="218">
        <v>933.53200000000004</v>
      </c>
      <c r="D530" s="218">
        <v>905.33900000000006</v>
      </c>
      <c r="E530" s="218">
        <v>892.88400000000001</v>
      </c>
      <c r="F530" s="218">
        <v>187.1524</v>
      </c>
      <c r="G530" s="218">
        <v>185.8588</v>
      </c>
      <c r="H530" s="218">
        <v>170.29429999999999</v>
      </c>
      <c r="I530" s="218">
        <v>152.8158</v>
      </c>
      <c r="J530" s="246">
        <v>509915263</v>
      </c>
      <c r="K530" s="246">
        <v>517156915</v>
      </c>
      <c r="L530" s="218">
        <v>1417.1179999999999</v>
      </c>
      <c r="M530" s="246">
        <v>1452136</v>
      </c>
      <c r="N530" s="251">
        <v>107.7175</v>
      </c>
      <c r="O530" s="251">
        <v>111.8509</v>
      </c>
      <c r="P530" s="251">
        <v>103.41070000000001</v>
      </c>
      <c r="Q530" s="251">
        <v>90.595600000000005</v>
      </c>
      <c r="R530" s="254">
        <v>1.07</v>
      </c>
      <c r="S530" s="214">
        <v>1517798</v>
      </c>
      <c r="T530" s="214">
        <v>4654409</v>
      </c>
      <c r="U530" s="214">
        <v>0</v>
      </c>
      <c r="V530" s="187">
        <f t="shared" si="18"/>
        <v>4654409</v>
      </c>
      <c r="W530" s="187">
        <f t="shared" si="19"/>
        <v>6172207</v>
      </c>
    </row>
    <row r="531" spans="1:23">
      <c r="A531" s="216" t="s">
        <v>7133</v>
      </c>
      <c r="B531" s="218">
        <v>315.27</v>
      </c>
      <c r="C531" s="218">
        <v>289.077</v>
      </c>
      <c r="D531" s="218">
        <v>280.34699999999998</v>
      </c>
      <c r="E531" s="218">
        <v>268.08</v>
      </c>
      <c r="F531" s="218">
        <v>59.5989</v>
      </c>
      <c r="G531" s="218">
        <v>58.588299999999997</v>
      </c>
      <c r="H531" s="218">
        <v>55.395800000000001</v>
      </c>
      <c r="I531" s="218">
        <v>51.278199999999998</v>
      </c>
      <c r="J531" s="246">
        <v>117045517</v>
      </c>
      <c r="K531" s="246">
        <v>123080850</v>
      </c>
      <c r="L531" s="218">
        <v>493.81200000000001</v>
      </c>
      <c r="M531" s="187">
        <v>0</v>
      </c>
      <c r="N531" s="251">
        <v>39.884500000000003</v>
      </c>
      <c r="O531" s="251">
        <v>38.999299999999998</v>
      </c>
      <c r="P531" s="251">
        <v>36.654299999999999</v>
      </c>
      <c r="Q531" s="251">
        <v>32.899900000000002</v>
      </c>
      <c r="R531" s="254">
        <v>1.07</v>
      </c>
      <c r="S531" s="214">
        <v>0</v>
      </c>
      <c r="T531" s="214">
        <v>1646380</v>
      </c>
      <c r="U531" s="214">
        <v>0</v>
      </c>
      <c r="V531" s="187">
        <f t="shared" si="18"/>
        <v>1646380</v>
      </c>
      <c r="W531" s="187">
        <f t="shared" si="19"/>
        <v>1646380</v>
      </c>
    </row>
    <row r="532" spans="1:23">
      <c r="A532" s="216" t="s">
        <v>961</v>
      </c>
      <c r="B532" s="218">
        <v>1517.1130000000001</v>
      </c>
      <c r="C532" s="218">
        <v>1507.1369999999999</v>
      </c>
      <c r="D532" s="218">
        <v>1507.491</v>
      </c>
      <c r="E532" s="218">
        <v>1511.751</v>
      </c>
      <c r="F532" s="218">
        <v>266.28269999999998</v>
      </c>
      <c r="G532" s="218">
        <v>286.0059</v>
      </c>
      <c r="H532" s="218">
        <v>284.78039999999999</v>
      </c>
      <c r="I532" s="218">
        <v>285.70839999999998</v>
      </c>
      <c r="J532" s="246">
        <v>184972387</v>
      </c>
      <c r="K532" s="246">
        <v>204040570</v>
      </c>
      <c r="L532" s="218">
        <v>2075.0680000000002</v>
      </c>
      <c r="M532" s="246">
        <v>82561</v>
      </c>
      <c r="N532" s="251">
        <v>171.89449999999999</v>
      </c>
      <c r="O532" s="251">
        <v>177.4838</v>
      </c>
      <c r="P532" s="251">
        <v>178.4777</v>
      </c>
      <c r="Q532" s="251">
        <v>178.41720000000001</v>
      </c>
      <c r="R532" s="254">
        <v>1.06</v>
      </c>
      <c r="S532" s="214">
        <v>330966</v>
      </c>
      <c r="T532" s="214">
        <v>2749203</v>
      </c>
      <c r="U532" s="214">
        <v>0</v>
      </c>
      <c r="V532" s="187">
        <f t="shared" si="18"/>
        <v>2749203</v>
      </c>
      <c r="W532" s="187">
        <f t="shared" si="19"/>
        <v>3080169</v>
      </c>
    </row>
    <row r="533" spans="1:23">
      <c r="A533" s="216" t="s">
        <v>6024</v>
      </c>
      <c r="B533" s="218">
        <v>3040.203</v>
      </c>
      <c r="C533" s="218">
        <v>2923.4180000000001</v>
      </c>
      <c r="D533" s="218">
        <v>2938.4960000000001</v>
      </c>
      <c r="E533" s="218">
        <v>2906.3449999999998</v>
      </c>
      <c r="F533" s="218">
        <v>515.95039999999995</v>
      </c>
      <c r="G533" s="218">
        <v>502.5711</v>
      </c>
      <c r="H533" s="218">
        <v>481.03699999999998</v>
      </c>
      <c r="I533" s="218">
        <v>501.92989999999998</v>
      </c>
      <c r="J533" s="246">
        <v>442170730</v>
      </c>
      <c r="K533" s="246">
        <v>480870334</v>
      </c>
      <c r="L533" s="218">
        <v>4113.3620000000001</v>
      </c>
      <c r="M533" s="246">
        <v>131449</v>
      </c>
      <c r="N533" s="251">
        <v>322.16649999999998</v>
      </c>
      <c r="O533" s="251">
        <v>290.7722</v>
      </c>
      <c r="P533" s="251">
        <v>302.8501</v>
      </c>
      <c r="Q533" s="251">
        <v>284.08150000000001</v>
      </c>
      <c r="R533" s="254">
        <v>1.08</v>
      </c>
      <c r="S533" s="214">
        <v>698566</v>
      </c>
      <c r="T533" s="214">
        <v>6556616</v>
      </c>
      <c r="U533" s="214">
        <v>0</v>
      </c>
      <c r="V533" s="187">
        <f t="shared" si="18"/>
        <v>6556616</v>
      </c>
      <c r="W533" s="187">
        <f t="shared" si="19"/>
        <v>7255182</v>
      </c>
    </row>
    <row r="534" spans="1:23">
      <c r="A534" s="216" t="s">
        <v>6034</v>
      </c>
      <c r="B534" s="218">
        <v>1542.568</v>
      </c>
      <c r="C534" s="218">
        <v>1496.3019999999999</v>
      </c>
      <c r="D534" s="218">
        <v>1451.114</v>
      </c>
      <c r="E534" s="218">
        <v>1464.615</v>
      </c>
      <c r="F534" s="218">
        <v>201.70480000000001</v>
      </c>
      <c r="G534" s="218">
        <v>206.34280000000001</v>
      </c>
      <c r="H534" s="218">
        <v>211.53909999999999</v>
      </c>
      <c r="I534" s="218">
        <v>208.46430000000001</v>
      </c>
      <c r="J534" s="246">
        <v>123776070</v>
      </c>
      <c r="K534" s="246">
        <v>143056911</v>
      </c>
      <c r="L534" s="218">
        <v>2052.8539999999998</v>
      </c>
      <c r="M534" s="246">
        <v>74492</v>
      </c>
      <c r="N534" s="251">
        <v>134.3109</v>
      </c>
      <c r="O534" s="251">
        <v>137.97280000000001</v>
      </c>
      <c r="P534" s="251">
        <v>140.49889999999999</v>
      </c>
      <c r="Q534" s="251">
        <v>137.839</v>
      </c>
      <c r="R534" s="254">
        <v>1.06</v>
      </c>
      <c r="S534" s="214">
        <v>202390</v>
      </c>
      <c r="T534" s="214">
        <v>1764973</v>
      </c>
      <c r="U534" s="214">
        <v>0</v>
      </c>
      <c r="V534" s="187">
        <f t="shared" si="18"/>
        <v>1764973</v>
      </c>
      <c r="W534" s="187">
        <f t="shared" si="19"/>
        <v>1967363</v>
      </c>
    </row>
    <row r="535" spans="1:23">
      <c r="A535" s="216" t="s">
        <v>7135</v>
      </c>
      <c r="B535" s="218">
        <v>433.90800000000002</v>
      </c>
      <c r="C535" s="218">
        <v>413.24400000000003</v>
      </c>
      <c r="D535" s="218">
        <v>416.95800000000003</v>
      </c>
      <c r="E535" s="218">
        <v>415.31</v>
      </c>
      <c r="F535" s="218">
        <v>76.0749</v>
      </c>
      <c r="G535" s="218">
        <v>80.502700000000004</v>
      </c>
      <c r="H535" s="218">
        <v>83.486699999999999</v>
      </c>
      <c r="I535" s="218">
        <v>81.936000000000007</v>
      </c>
      <c r="J535" s="246">
        <v>553982216</v>
      </c>
      <c r="K535" s="246">
        <v>557949458</v>
      </c>
      <c r="L535" s="218">
        <v>673.76199999999994</v>
      </c>
      <c r="M535" s="246">
        <v>623774</v>
      </c>
      <c r="N535" s="251">
        <v>47.572600000000001</v>
      </c>
      <c r="O535" s="251">
        <v>50.000900000000001</v>
      </c>
      <c r="P535" s="251">
        <v>51.002099999999999</v>
      </c>
      <c r="Q535" s="251">
        <v>49.394399999999997</v>
      </c>
      <c r="R535" s="254">
        <v>1.05</v>
      </c>
      <c r="S535" s="214">
        <v>601312</v>
      </c>
      <c r="T535" s="214">
        <v>5735411</v>
      </c>
      <c r="U535" s="214">
        <v>0</v>
      </c>
      <c r="V535" s="187">
        <f t="shared" si="18"/>
        <v>5735411</v>
      </c>
      <c r="W535" s="187">
        <f t="shared" si="19"/>
        <v>6336723</v>
      </c>
    </row>
    <row r="536" spans="1:23">
      <c r="A536" s="216" t="s">
        <v>7137</v>
      </c>
      <c r="B536" s="218">
        <v>342.53699999999998</v>
      </c>
      <c r="C536" s="218">
        <v>319.95699999999999</v>
      </c>
      <c r="D536" s="218">
        <v>314.80399999999997</v>
      </c>
      <c r="E536" s="218">
        <v>326.45699999999999</v>
      </c>
      <c r="F536" s="218">
        <v>69.655100000000004</v>
      </c>
      <c r="G536" s="218">
        <v>72.393000000000001</v>
      </c>
      <c r="H536" s="218">
        <v>72.5428</v>
      </c>
      <c r="I536" s="218">
        <v>73.088300000000004</v>
      </c>
      <c r="J536" s="246">
        <v>110389831</v>
      </c>
      <c r="K536" s="246">
        <v>115155942</v>
      </c>
      <c r="L536" s="218">
        <v>982.46199999999999</v>
      </c>
      <c r="M536" s="187">
        <v>0</v>
      </c>
      <c r="N536" s="251">
        <v>52.450299999999999</v>
      </c>
      <c r="O536" s="251">
        <v>53.712299999999999</v>
      </c>
      <c r="P536" s="251">
        <v>54.385800000000003</v>
      </c>
      <c r="Q536" s="251">
        <v>53.529400000000003</v>
      </c>
      <c r="R536" s="254">
        <v>1.08</v>
      </c>
      <c r="S536" s="214">
        <v>0</v>
      </c>
      <c r="T536" s="214">
        <v>1511005</v>
      </c>
      <c r="U536" s="214">
        <v>0</v>
      </c>
      <c r="V536" s="187">
        <f t="shared" si="18"/>
        <v>1511005</v>
      </c>
      <c r="W536" s="187">
        <f t="shared" si="19"/>
        <v>1511005</v>
      </c>
    </row>
    <row r="537" spans="1:23">
      <c r="A537" s="216" t="s">
        <v>7139</v>
      </c>
      <c r="B537" s="218">
        <v>57.042000000000002</v>
      </c>
      <c r="C537" s="218">
        <v>67.626000000000005</v>
      </c>
      <c r="D537" s="218">
        <v>65.584000000000003</v>
      </c>
      <c r="E537" s="218">
        <v>63.018000000000001</v>
      </c>
      <c r="F537" s="218">
        <v>20</v>
      </c>
      <c r="G537" s="218">
        <v>19.5</v>
      </c>
      <c r="H537" s="218">
        <v>20</v>
      </c>
      <c r="I537" s="218">
        <v>19</v>
      </c>
      <c r="J537" s="246">
        <v>27920540</v>
      </c>
      <c r="K537" s="246">
        <v>28445822</v>
      </c>
      <c r="L537" s="218">
        <v>259.084</v>
      </c>
      <c r="M537" s="187">
        <v>0</v>
      </c>
      <c r="N537" s="251">
        <v>13.2384</v>
      </c>
      <c r="O537" s="251">
        <v>13.500999999999999</v>
      </c>
      <c r="P537" s="251">
        <v>14.002800000000001</v>
      </c>
      <c r="Q537" s="251">
        <v>14.3208</v>
      </c>
      <c r="R537" s="254">
        <v>1.0900000000000001</v>
      </c>
      <c r="S537" s="214">
        <v>0</v>
      </c>
      <c r="T537" s="214">
        <v>342824</v>
      </c>
      <c r="U537" s="214">
        <v>0</v>
      </c>
      <c r="V537" s="187">
        <f t="shared" si="18"/>
        <v>342824</v>
      </c>
      <c r="W537" s="187">
        <f t="shared" si="19"/>
        <v>342824</v>
      </c>
    </row>
    <row r="538" spans="1:23">
      <c r="A538" s="216" t="s">
        <v>6178</v>
      </c>
      <c r="B538" s="218">
        <v>4777.9989999999998</v>
      </c>
      <c r="C538" s="218">
        <v>4882.1989999999996</v>
      </c>
      <c r="D538" s="218">
        <v>4849.6509999999998</v>
      </c>
      <c r="E538" s="218">
        <v>4787.0640000000003</v>
      </c>
      <c r="F538" s="218">
        <v>672.73230000000001</v>
      </c>
      <c r="G538" s="218">
        <v>677.12270000000001</v>
      </c>
      <c r="H538" s="218">
        <v>681.63080000000002</v>
      </c>
      <c r="I538" s="218">
        <v>663.74080000000004</v>
      </c>
      <c r="J538" s="246">
        <v>1008028354</v>
      </c>
      <c r="K538" s="246">
        <v>1079040894</v>
      </c>
      <c r="L538" s="218">
        <v>6145.78</v>
      </c>
      <c r="M538" s="246">
        <v>400813</v>
      </c>
      <c r="N538" s="251">
        <v>387.09530000000001</v>
      </c>
      <c r="O538" s="251">
        <v>402.06310000000002</v>
      </c>
      <c r="P538" s="251">
        <v>400.37759999999997</v>
      </c>
      <c r="Q538" s="251">
        <v>395.36110000000002</v>
      </c>
      <c r="R538" s="254">
        <v>1.1200000000000001</v>
      </c>
      <c r="S538" s="214">
        <v>896944</v>
      </c>
      <c r="T538" s="214">
        <v>14646566</v>
      </c>
      <c r="U538" s="214">
        <v>0</v>
      </c>
      <c r="V538" s="187">
        <f t="shared" si="18"/>
        <v>14646566</v>
      </c>
      <c r="W538" s="187">
        <f t="shared" si="19"/>
        <v>15543510</v>
      </c>
    </row>
    <row r="539" spans="1:23">
      <c r="A539" s="216" t="s">
        <v>7145</v>
      </c>
      <c r="B539" s="218">
        <v>10130.883</v>
      </c>
      <c r="C539" s="218">
        <v>9957.5519999999997</v>
      </c>
      <c r="D539" s="218">
        <v>9815.4069999999992</v>
      </c>
      <c r="E539" s="218">
        <v>9543.52</v>
      </c>
      <c r="F539" s="218">
        <v>1489.067</v>
      </c>
      <c r="G539" s="218">
        <v>1606.4552000000001</v>
      </c>
      <c r="H539" s="218">
        <v>1607.1465000000001</v>
      </c>
      <c r="I539" s="218">
        <v>1405.3230000000001</v>
      </c>
      <c r="J539" s="246">
        <v>2463214914</v>
      </c>
      <c r="K539" s="246">
        <v>2577528644</v>
      </c>
      <c r="L539" s="218">
        <v>12825.857</v>
      </c>
      <c r="M539" s="187">
        <v>0</v>
      </c>
      <c r="N539" s="251">
        <v>922.61329999999998</v>
      </c>
      <c r="O539" s="251">
        <v>960.71559999999999</v>
      </c>
      <c r="P539" s="251">
        <v>960.16070000000002</v>
      </c>
      <c r="Q539" s="251">
        <v>867.29700000000003</v>
      </c>
      <c r="R539" s="254">
        <v>1.1399999999999999</v>
      </c>
      <c r="S539" s="214">
        <v>780713</v>
      </c>
      <c r="T539" s="214">
        <v>36848805</v>
      </c>
      <c r="U539" s="214">
        <v>0</v>
      </c>
      <c r="V539" s="187">
        <f t="shared" si="18"/>
        <v>36848805</v>
      </c>
      <c r="W539" s="187">
        <f t="shared" si="19"/>
        <v>37629518</v>
      </c>
    </row>
    <row r="540" spans="1:23">
      <c r="A540" s="216" t="s">
        <v>7147</v>
      </c>
      <c r="B540" s="218">
        <v>4695.5770000000002</v>
      </c>
      <c r="C540" s="218">
        <v>4711.8540000000003</v>
      </c>
      <c r="D540" s="218">
        <v>4569.5559999999996</v>
      </c>
      <c r="E540" s="218">
        <v>4490.8909999999996</v>
      </c>
      <c r="F540" s="218">
        <v>644.57860000000005</v>
      </c>
      <c r="G540" s="218">
        <v>640.07330000000002</v>
      </c>
      <c r="H540" s="218">
        <v>632.7758</v>
      </c>
      <c r="I540" s="218">
        <v>627.13570000000004</v>
      </c>
      <c r="J540" s="246">
        <v>2152227962</v>
      </c>
      <c r="K540" s="246">
        <v>2227254852</v>
      </c>
      <c r="L540" s="218">
        <v>5453.3710000000001</v>
      </c>
      <c r="M540" s="246">
        <v>4308815</v>
      </c>
      <c r="N540" s="251">
        <v>390.83519999999999</v>
      </c>
      <c r="O540" s="251">
        <v>397.7989</v>
      </c>
      <c r="P540" s="251">
        <v>396.26310000000001</v>
      </c>
      <c r="Q540" s="251">
        <v>393.45060000000001</v>
      </c>
      <c r="R540" s="254">
        <v>1.1200000000000001</v>
      </c>
      <c r="S540" s="214">
        <v>3760130</v>
      </c>
      <c r="T540" s="214">
        <v>35948934</v>
      </c>
      <c r="U540" s="214">
        <v>0</v>
      </c>
      <c r="V540" s="187">
        <f t="shared" si="18"/>
        <v>35948934</v>
      </c>
      <c r="W540" s="187">
        <f t="shared" si="19"/>
        <v>39709064</v>
      </c>
    </row>
    <row r="541" spans="1:23">
      <c r="A541" s="216" t="s">
        <v>2808</v>
      </c>
      <c r="B541" s="218">
        <v>19200.816999999999</v>
      </c>
      <c r="C541" s="218">
        <v>19172.891</v>
      </c>
      <c r="D541" s="218">
        <v>19335.52</v>
      </c>
      <c r="E541" s="218">
        <v>19160.851999999999</v>
      </c>
      <c r="F541" s="218">
        <v>2864.2447999999999</v>
      </c>
      <c r="G541" s="218">
        <v>2946.1813999999999</v>
      </c>
      <c r="H541" s="218">
        <v>2877.2977000000001</v>
      </c>
      <c r="I541" s="218">
        <v>2874.4247999999998</v>
      </c>
      <c r="J541" s="246">
        <v>6255567358</v>
      </c>
      <c r="K541" s="246">
        <v>6508582768</v>
      </c>
      <c r="L541" s="218">
        <v>25664.384999999998</v>
      </c>
      <c r="M541" s="246">
        <v>4133163</v>
      </c>
      <c r="N541" s="251">
        <v>1865.2543000000001</v>
      </c>
      <c r="O541" s="251">
        <v>1849.4462000000001</v>
      </c>
      <c r="P541" s="251">
        <v>1799.5941</v>
      </c>
      <c r="Q541" s="251">
        <v>1787.6878999999999</v>
      </c>
      <c r="R541" s="254">
        <v>1.1399999999999999</v>
      </c>
      <c r="S541" s="214">
        <v>4618085</v>
      </c>
      <c r="T541" s="214">
        <v>90174625</v>
      </c>
      <c r="U541" s="214">
        <v>0</v>
      </c>
      <c r="V541" s="187">
        <f t="shared" si="18"/>
        <v>90174625</v>
      </c>
      <c r="W541" s="187">
        <f t="shared" si="19"/>
        <v>94792710</v>
      </c>
    </row>
    <row r="542" spans="1:23">
      <c r="A542" s="216" t="s">
        <v>2810</v>
      </c>
      <c r="B542" s="218">
        <v>144.749</v>
      </c>
      <c r="C542" s="218">
        <v>137.56100000000001</v>
      </c>
      <c r="D542" s="218">
        <v>141.208</v>
      </c>
      <c r="E542" s="218">
        <v>207.64</v>
      </c>
      <c r="F542" s="218">
        <v>30.5</v>
      </c>
      <c r="G542" s="218">
        <v>31.5</v>
      </c>
      <c r="H542" s="218">
        <v>31.5</v>
      </c>
      <c r="I542" s="218">
        <v>36.644100000000002</v>
      </c>
      <c r="J542" s="246">
        <v>426953425</v>
      </c>
      <c r="K542" s="246">
        <v>428131156</v>
      </c>
      <c r="L542" s="218">
        <v>396.32100000000003</v>
      </c>
      <c r="M542" s="246">
        <v>736322</v>
      </c>
      <c r="N542" s="251">
        <v>18.500499999999999</v>
      </c>
      <c r="O542" s="251">
        <v>19.500599999999999</v>
      </c>
      <c r="P542" s="251">
        <v>20.0001</v>
      </c>
      <c r="Q542" s="251">
        <v>20.638100000000001</v>
      </c>
      <c r="R542" s="254">
        <v>1.0900000000000001</v>
      </c>
      <c r="S542" s="214">
        <v>751896</v>
      </c>
      <c r="T542" s="214">
        <v>5971210</v>
      </c>
      <c r="U542" s="214">
        <v>0</v>
      </c>
      <c r="V542" s="187">
        <f t="shared" si="18"/>
        <v>5971210</v>
      </c>
      <c r="W542" s="187">
        <f t="shared" si="19"/>
        <v>6723106</v>
      </c>
    </row>
    <row r="543" spans="1:23">
      <c r="A543" s="216" t="s">
        <v>1859</v>
      </c>
      <c r="B543" s="218">
        <v>1821.6369999999999</v>
      </c>
      <c r="C543" s="218">
        <v>1774.981</v>
      </c>
      <c r="D543" s="218">
        <v>1721.377</v>
      </c>
      <c r="E543" s="218">
        <v>1675.4760000000001</v>
      </c>
      <c r="F543" s="218">
        <v>244.87809999999999</v>
      </c>
      <c r="G543" s="218">
        <v>251.89</v>
      </c>
      <c r="H543" s="218">
        <v>242.88560000000001</v>
      </c>
      <c r="I543" s="218">
        <v>218.82140000000001</v>
      </c>
      <c r="J543" s="246">
        <v>382753356</v>
      </c>
      <c r="K543" s="246">
        <v>404060396</v>
      </c>
      <c r="L543" s="218">
        <v>2230.1419999999998</v>
      </c>
      <c r="M543" s="246">
        <v>215469</v>
      </c>
      <c r="N543" s="251">
        <v>149.50280000000001</v>
      </c>
      <c r="O543" s="251">
        <v>142.50229999999999</v>
      </c>
      <c r="P543" s="251">
        <v>156.5078</v>
      </c>
      <c r="Q543" s="251">
        <v>143.05680000000001</v>
      </c>
      <c r="R543" s="254">
        <v>1.0900000000000001</v>
      </c>
      <c r="S543" s="214">
        <v>626520</v>
      </c>
      <c r="T543" s="214">
        <v>5380436</v>
      </c>
      <c r="U543" s="214">
        <v>0</v>
      </c>
      <c r="V543" s="187">
        <f t="shared" si="18"/>
        <v>5380436</v>
      </c>
      <c r="W543" s="187">
        <f t="shared" si="19"/>
        <v>6006956</v>
      </c>
    </row>
    <row r="544" spans="1:23">
      <c r="A544" s="216" t="s">
        <v>2812</v>
      </c>
      <c r="B544" s="218">
        <v>1137.1120000000001</v>
      </c>
      <c r="C544" s="218">
        <v>1116.9380000000001</v>
      </c>
      <c r="D544" s="218">
        <v>1104.7149999999999</v>
      </c>
      <c r="E544" s="218">
        <v>1074.114</v>
      </c>
      <c r="F544" s="218">
        <v>204.107</v>
      </c>
      <c r="G544" s="218">
        <v>202.26339999999999</v>
      </c>
      <c r="H544" s="218">
        <v>206.58029999999999</v>
      </c>
      <c r="I544" s="218">
        <v>203.298</v>
      </c>
      <c r="J544" s="246">
        <v>379239385</v>
      </c>
      <c r="K544" s="246">
        <v>390471445</v>
      </c>
      <c r="L544" s="218">
        <v>1947.4359999999999</v>
      </c>
      <c r="M544" s="246">
        <v>311895</v>
      </c>
      <c r="N544" s="251">
        <v>124.82259999999999</v>
      </c>
      <c r="O544" s="251">
        <v>129.2235</v>
      </c>
      <c r="P544" s="251">
        <v>129.85300000000001</v>
      </c>
      <c r="Q544" s="251">
        <v>124.8387</v>
      </c>
      <c r="R544" s="254">
        <v>1.1000000000000001</v>
      </c>
      <c r="S544" s="214">
        <v>457737</v>
      </c>
      <c r="T544" s="214">
        <v>5390080</v>
      </c>
      <c r="U544" s="214">
        <v>0</v>
      </c>
      <c r="V544" s="187">
        <f t="shared" si="18"/>
        <v>5390080</v>
      </c>
      <c r="W544" s="187">
        <f t="shared" si="19"/>
        <v>5847817</v>
      </c>
    </row>
    <row r="545" spans="1:23">
      <c r="A545" s="216" t="s">
        <v>820</v>
      </c>
      <c r="B545" s="218">
        <v>5229.5129999999999</v>
      </c>
      <c r="C545" s="218">
        <v>5233.5370000000003</v>
      </c>
      <c r="D545" s="218">
        <v>5222.0590000000002</v>
      </c>
      <c r="E545" s="218">
        <v>5204.4809999999998</v>
      </c>
      <c r="F545" s="218">
        <v>882.41920000000005</v>
      </c>
      <c r="G545" s="218">
        <v>877.23379999999997</v>
      </c>
      <c r="H545" s="218">
        <v>871.08969999999999</v>
      </c>
      <c r="I545" s="218">
        <v>863.67520000000002</v>
      </c>
      <c r="J545" s="246">
        <v>557027881</v>
      </c>
      <c r="K545" s="246">
        <v>597069573</v>
      </c>
      <c r="L545" s="218">
        <v>6956.2039999999997</v>
      </c>
      <c r="M545" s="246">
        <v>227387</v>
      </c>
      <c r="N545" s="251">
        <v>508.16669999999999</v>
      </c>
      <c r="O545" s="251">
        <v>509.07190000000003</v>
      </c>
      <c r="P545" s="251">
        <v>507.14460000000003</v>
      </c>
      <c r="Q545" s="251">
        <v>500.31450000000001</v>
      </c>
      <c r="R545" s="254">
        <v>1.1200000000000001</v>
      </c>
      <c r="S545" s="214">
        <v>1015471</v>
      </c>
      <c r="T545" s="214">
        <v>9117103</v>
      </c>
      <c r="U545" s="214">
        <v>0</v>
      </c>
      <c r="V545" s="187">
        <f t="shared" si="18"/>
        <v>9117103</v>
      </c>
      <c r="W545" s="187">
        <f t="shared" si="19"/>
        <v>10132574</v>
      </c>
    </row>
    <row r="546" spans="1:23">
      <c r="A546" s="216" t="s">
        <v>127</v>
      </c>
      <c r="B546" s="218">
        <v>583.95299999999997</v>
      </c>
      <c r="C546" s="218">
        <v>561.80899999999997</v>
      </c>
      <c r="D546" s="218">
        <v>570.12599999999998</v>
      </c>
      <c r="E546" s="218">
        <v>578.78</v>
      </c>
      <c r="F546" s="218">
        <v>96</v>
      </c>
      <c r="G546" s="218">
        <v>92.711200000000005</v>
      </c>
      <c r="H546" s="218">
        <v>86.6096</v>
      </c>
      <c r="I546" s="218">
        <v>110.3907</v>
      </c>
      <c r="J546" s="246">
        <v>37139598</v>
      </c>
      <c r="K546" s="246">
        <v>40406676</v>
      </c>
      <c r="L546" s="218">
        <v>986.29399999999998</v>
      </c>
      <c r="M546" s="187">
        <v>0</v>
      </c>
      <c r="N546" s="251">
        <v>76.999899999999997</v>
      </c>
      <c r="O546" s="251">
        <v>77.714200000000005</v>
      </c>
      <c r="P546" s="251">
        <v>56.576599999999999</v>
      </c>
      <c r="Q546" s="251">
        <v>71.830799999999996</v>
      </c>
      <c r="R546" s="254">
        <v>1.1000000000000001</v>
      </c>
      <c r="S546" s="214">
        <v>45713</v>
      </c>
      <c r="T546" s="214">
        <v>650492</v>
      </c>
      <c r="U546" s="214">
        <v>0</v>
      </c>
      <c r="V546" s="187">
        <f t="shared" si="18"/>
        <v>650492</v>
      </c>
      <c r="W546" s="187">
        <f t="shared" si="19"/>
        <v>696205</v>
      </c>
    </row>
    <row r="547" spans="1:23">
      <c r="A547" s="216" t="s">
        <v>6189</v>
      </c>
      <c r="B547" s="218">
        <v>1372.29</v>
      </c>
      <c r="C547" s="218">
        <v>1406.3589999999999</v>
      </c>
      <c r="D547" s="218">
        <v>1429.3230000000001</v>
      </c>
      <c r="E547" s="218">
        <v>1476.2550000000001</v>
      </c>
      <c r="F547" s="218">
        <v>181.9847</v>
      </c>
      <c r="G547" s="218">
        <v>188.92</v>
      </c>
      <c r="H547" s="218">
        <v>192.12280000000001</v>
      </c>
      <c r="I547" s="218">
        <v>210.97049999999999</v>
      </c>
      <c r="J547" s="246">
        <v>81518300</v>
      </c>
      <c r="K547" s="246">
        <v>90281999</v>
      </c>
      <c r="L547" s="218">
        <v>2112.915</v>
      </c>
      <c r="M547" s="246">
        <v>37071</v>
      </c>
      <c r="N547" s="251">
        <v>130.40780000000001</v>
      </c>
      <c r="O547" s="251">
        <v>126.5889</v>
      </c>
      <c r="P547" s="251">
        <v>127.8069</v>
      </c>
      <c r="Q547" s="251">
        <v>132.80240000000001</v>
      </c>
      <c r="R547" s="254">
        <v>1.0900000000000001</v>
      </c>
      <c r="S547" s="214">
        <v>154473</v>
      </c>
      <c r="T547" s="214">
        <v>1375120</v>
      </c>
      <c r="U547" s="214">
        <v>0</v>
      </c>
      <c r="V547" s="187">
        <f t="shared" si="18"/>
        <v>1375120</v>
      </c>
      <c r="W547" s="187">
        <f t="shared" si="19"/>
        <v>1529593</v>
      </c>
    </row>
    <row r="548" spans="1:23">
      <c r="A548" s="216" t="s">
        <v>5130</v>
      </c>
      <c r="B548" s="218">
        <v>894.14</v>
      </c>
      <c r="C548" s="218">
        <v>875.96</v>
      </c>
      <c r="D548" s="218">
        <v>885.55</v>
      </c>
      <c r="E548" s="218">
        <v>875.61400000000003</v>
      </c>
      <c r="F548" s="218">
        <v>136.56180000000001</v>
      </c>
      <c r="G548" s="218">
        <v>136.81030000000001</v>
      </c>
      <c r="H548" s="218">
        <v>138.4091</v>
      </c>
      <c r="I548" s="218">
        <v>140.74870000000001</v>
      </c>
      <c r="J548" s="246">
        <v>103750304</v>
      </c>
      <c r="K548" s="246">
        <v>109388425</v>
      </c>
      <c r="L548" s="218">
        <v>1439.03</v>
      </c>
      <c r="M548" s="246">
        <v>1948</v>
      </c>
      <c r="N548" s="251">
        <v>97.1554</v>
      </c>
      <c r="O548" s="251">
        <v>96.025700000000001</v>
      </c>
      <c r="P548" s="251">
        <v>99.410799999999995</v>
      </c>
      <c r="Q548" s="251">
        <v>98.262200000000007</v>
      </c>
      <c r="R548" s="254">
        <v>1.08</v>
      </c>
      <c r="S548" s="214">
        <v>58149</v>
      </c>
      <c r="T548" s="214">
        <v>1445514</v>
      </c>
      <c r="U548" s="214">
        <v>0</v>
      </c>
      <c r="V548" s="187">
        <f t="shared" si="18"/>
        <v>1445514</v>
      </c>
      <c r="W548" s="187">
        <f t="shared" si="19"/>
        <v>1503663</v>
      </c>
    </row>
    <row r="549" spans="1:23">
      <c r="A549" s="216" t="s">
        <v>2815</v>
      </c>
      <c r="B549" s="218">
        <v>108.389</v>
      </c>
      <c r="C549" s="218">
        <v>104.069</v>
      </c>
      <c r="D549" s="218">
        <v>100.926</v>
      </c>
      <c r="E549" s="218">
        <v>86.796999999999997</v>
      </c>
      <c r="F549" s="218">
        <v>17</v>
      </c>
      <c r="G549" s="218">
        <v>17</v>
      </c>
      <c r="H549" s="218">
        <v>17.5</v>
      </c>
      <c r="I549" s="218">
        <v>16.5</v>
      </c>
      <c r="J549" s="246">
        <v>26011597</v>
      </c>
      <c r="K549" s="246">
        <v>26517951</v>
      </c>
      <c r="L549" s="218">
        <v>150.02600000000001</v>
      </c>
      <c r="M549" s="187">
        <v>0</v>
      </c>
      <c r="N549" s="251">
        <v>10.927899999999999</v>
      </c>
      <c r="O549" s="251">
        <v>11.9992</v>
      </c>
      <c r="P549" s="251">
        <v>12</v>
      </c>
      <c r="Q549" s="251">
        <v>11.4999</v>
      </c>
      <c r="R549" s="254">
        <v>1.1299999999999999</v>
      </c>
      <c r="S549" s="214">
        <v>0</v>
      </c>
      <c r="T549" s="214">
        <v>397664</v>
      </c>
      <c r="U549" s="214">
        <v>0</v>
      </c>
      <c r="V549" s="187">
        <f t="shared" si="18"/>
        <v>397664</v>
      </c>
      <c r="W549" s="187">
        <f t="shared" si="19"/>
        <v>397664</v>
      </c>
    </row>
    <row r="550" spans="1:23">
      <c r="A550" s="216" t="s">
        <v>3888</v>
      </c>
      <c r="B550" s="218">
        <v>2865.9940000000001</v>
      </c>
      <c r="C550" s="218">
        <v>2953.616</v>
      </c>
      <c r="D550" s="218">
        <v>3185.7240000000002</v>
      </c>
      <c r="E550" s="218">
        <v>3257.1970000000001</v>
      </c>
      <c r="F550" s="218">
        <v>418.98570000000001</v>
      </c>
      <c r="G550" s="218">
        <v>451.5872</v>
      </c>
      <c r="H550" s="218">
        <v>483.18150000000003</v>
      </c>
      <c r="I550" s="218">
        <v>462.33089999999999</v>
      </c>
      <c r="J550" s="246">
        <v>408402091</v>
      </c>
      <c r="K550" s="246">
        <v>445419618</v>
      </c>
      <c r="L550" s="218">
        <v>4517.2839999999997</v>
      </c>
      <c r="M550" s="246">
        <v>425435</v>
      </c>
      <c r="N550" s="251">
        <v>264.3313</v>
      </c>
      <c r="O550" s="251">
        <v>280.53120000000001</v>
      </c>
      <c r="P550" s="251">
        <v>285.71010000000001</v>
      </c>
      <c r="Q550" s="251">
        <v>267.92200000000003</v>
      </c>
      <c r="R550" s="254">
        <v>1.1000000000000001</v>
      </c>
      <c r="S550" s="214">
        <v>1275797</v>
      </c>
      <c r="T550" s="214">
        <v>5919550</v>
      </c>
      <c r="U550" s="214">
        <v>0</v>
      </c>
      <c r="V550" s="187">
        <f t="shared" si="18"/>
        <v>5919550</v>
      </c>
      <c r="W550" s="187">
        <f t="shared" si="19"/>
        <v>7195347</v>
      </c>
    </row>
    <row r="551" spans="1:23">
      <c r="A551" s="216" t="s">
        <v>977</v>
      </c>
      <c r="B551" s="218">
        <v>5911.0839999999998</v>
      </c>
      <c r="C551" s="218">
        <v>6002.5630000000001</v>
      </c>
      <c r="D551" s="218">
        <v>6268.9960000000001</v>
      </c>
      <c r="E551" s="218">
        <v>6525.1610000000001</v>
      </c>
      <c r="F551" s="218">
        <v>747.9511</v>
      </c>
      <c r="G551" s="218">
        <v>771.50540000000001</v>
      </c>
      <c r="H551" s="218">
        <v>795.72640000000001</v>
      </c>
      <c r="I551" s="218">
        <v>834.51499999999999</v>
      </c>
      <c r="J551" s="246">
        <v>1244267041</v>
      </c>
      <c r="K551" s="246">
        <v>1320735848</v>
      </c>
      <c r="L551" s="218">
        <v>7799.1379999999999</v>
      </c>
      <c r="M551" s="246">
        <v>1595633</v>
      </c>
      <c r="N551" s="251">
        <v>520.70910000000003</v>
      </c>
      <c r="O551" s="251">
        <v>539.66869999999994</v>
      </c>
      <c r="P551" s="251">
        <v>552.20339999999999</v>
      </c>
      <c r="Q551" s="251">
        <v>575.32590000000005</v>
      </c>
      <c r="R551" s="254">
        <v>1.1100000000000001</v>
      </c>
      <c r="S551" s="214">
        <v>3832763</v>
      </c>
      <c r="T551" s="214">
        <v>20524289</v>
      </c>
      <c r="U551" s="214">
        <v>0</v>
      </c>
      <c r="V551" s="187">
        <f t="shared" si="18"/>
        <v>20524289</v>
      </c>
      <c r="W551" s="187">
        <f t="shared" si="19"/>
        <v>24357052</v>
      </c>
    </row>
    <row r="552" spans="1:23">
      <c r="A552" s="216" t="s">
        <v>739</v>
      </c>
      <c r="B552" s="218">
        <v>5636.5810000000001</v>
      </c>
      <c r="C552" s="218">
        <v>5726.9939999999997</v>
      </c>
      <c r="D552" s="218">
        <v>5886.0990000000002</v>
      </c>
      <c r="E552" s="218">
        <v>5879.6319999999996</v>
      </c>
      <c r="F552" s="218">
        <v>728.46770000000004</v>
      </c>
      <c r="G552" s="218">
        <v>764.98620000000005</v>
      </c>
      <c r="H552" s="218">
        <v>778.21879999999999</v>
      </c>
      <c r="I552" s="218">
        <v>816.98050000000001</v>
      </c>
      <c r="J552" s="246">
        <v>1238659559</v>
      </c>
      <c r="K552" s="246">
        <v>1315439406</v>
      </c>
      <c r="L552" s="218">
        <v>7568.7259999999997</v>
      </c>
      <c r="M552" s="246">
        <v>2079196</v>
      </c>
      <c r="N552" s="251">
        <v>483.53609999999998</v>
      </c>
      <c r="O552" s="251">
        <v>488.62439999999998</v>
      </c>
      <c r="P552" s="251">
        <v>503.99059999999997</v>
      </c>
      <c r="Q552" s="251">
        <v>506.04880000000003</v>
      </c>
      <c r="R552" s="254">
        <v>1.1100000000000001</v>
      </c>
      <c r="S552" s="214">
        <v>2773380</v>
      </c>
      <c r="T552" s="214">
        <v>18848814</v>
      </c>
      <c r="U552" s="214">
        <v>262917</v>
      </c>
      <c r="V552" s="187">
        <f t="shared" si="18"/>
        <v>19111731</v>
      </c>
      <c r="W552" s="187">
        <f t="shared" si="19"/>
        <v>21885111</v>
      </c>
    </row>
    <row r="553" spans="1:23">
      <c r="A553" s="216" t="s">
        <v>1855</v>
      </c>
      <c r="B553" s="218">
        <v>969.96199999999999</v>
      </c>
      <c r="C553" s="218">
        <v>989.71299999999997</v>
      </c>
      <c r="D553" s="218">
        <v>1030.556</v>
      </c>
      <c r="E553" s="218">
        <v>1062.4159999999999</v>
      </c>
      <c r="F553" s="218">
        <v>186.3604</v>
      </c>
      <c r="G553" s="218">
        <v>199.59530000000001</v>
      </c>
      <c r="H553" s="218">
        <v>201.6807</v>
      </c>
      <c r="I553" s="218">
        <v>202.98269999999999</v>
      </c>
      <c r="J553" s="246">
        <v>109886209</v>
      </c>
      <c r="K553" s="246">
        <v>120014170</v>
      </c>
      <c r="L553" s="218">
        <v>1590.42</v>
      </c>
      <c r="M553" s="246">
        <v>6548</v>
      </c>
      <c r="N553" s="251">
        <v>125.2291</v>
      </c>
      <c r="O553" s="251">
        <v>129.7473</v>
      </c>
      <c r="P553" s="251">
        <v>127.91840000000001</v>
      </c>
      <c r="Q553" s="251">
        <v>126.0968</v>
      </c>
      <c r="R553" s="254">
        <v>1.0900000000000001</v>
      </c>
      <c r="S553" s="214">
        <v>103627</v>
      </c>
      <c r="T553" s="214">
        <v>1709663</v>
      </c>
      <c r="U553" s="214">
        <v>73376</v>
      </c>
      <c r="V553" s="187">
        <f t="shared" si="18"/>
        <v>1783039</v>
      </c>
      <c r="W553" s="187">
        <f t="shared" si="19"/>
        <v>1886666</v>
      </c>
    </row>
    <row r="554" spans="1:23">
      <c r="A554" s="216" t="s">
        <v>6025</v>
      </c>
      <c r="B554" s="218">
        <v>3850.8159999999998</v>
      </c>
      <c r="C554" s="218">
        <v>3938.77</v>
      </c>
      <c r="D554" s="218">
        <v>3982.3139999999999</v>
      </c>
      <c r="E554" s="218">
        <v>4093.0439999999999</v>
      </c>
      <c r="F554" s="218">
        <v>564.36620000000005</v>
      </c>
      <c r="G554" s="218">
        <v>591.1454</v>
      </c>
      <c r="H554" s="218">
        <v>619.29259999999999</v>
      </c>
      <c r="I554" s="218">
        <v>657.74980000000005</v>
      </c>
      <c r="J554" s="246">
        <v>539377550</v>
      </c>
      <c r="K554" s="246">
        <v>584282446</v>
      </c>
      <c r="L554" s="218">
        <v>5321.3040000000001</v>
      </c>
      <c r="M554" s="246">
        <v>408796</v>
      </c>
      <c r="N554" s="251">
        <v>315.43040000000002</v>
      </c>
      <c r="O554" s="251">
        <v>350.88619999999997</v>
      </c>
      <c r="P554" s="251">
        <v>360.678</v>
      </c>
      <c r="Q554" s="251">
        <v>375.39519999999999</v>
      </c>
      <c r="R554" s="254">
        <v>1.1200000000000001</v>
      </c>
      <c r="S554" s="214">
        <v>1476699</v>
      </c>
      <c r="T554" s="214">
        <v>8336581</v>
      </c>
      <c r="U554" s="214">
        <v>0</v>
      </c>
      <c r="V554" s="187">
        <f t="shared" si="18"/>
        <v>8336581</v>
      </c>
      <c r="W554" s="187">
        <f t="shared" si="19"/>
        <v>9813280</v>
      </c>
    </row>
    <row r="555" spans="1:23">
      <c r="A555" s="216" t="s">
        <v>2817</v>
      </c>
      <c r="B555" s="218">
        <v>573.95500000000004</v>
      </c>
      <c r="C555" s="218">
        <v>643.66999999999996</v>
      </c>
      <c r="D555" s="218">
        <v>732.26900000000001</v>
      </c>
      <c r="E555" s="218">
        <v>771.58500000000004</v>
      </c>
      <c r="F555" s="218">
        <v>110.9735</v>
      </c>
      <c r="G555" s="218">
        <v>125.97669999999999</v>
      </c>
      <c r="H555" s="218">
        <v>135.54169999999999</v>
      </c>
      <c r="I555" s="218">
        <v>138.2139</v>
      </c>
      <c r="J555" s="246">
        <v>83730548</v>
      </c>
      <c r="K555" s="246">
        <v>90421801</v>
      </c>
      <c r="L555" s="218">
        <v>1335.1769999999999</v>
      </c>
      <c r="M555" s="187">
        <v>0</v>
      </c>
      <c r="N555" s="251">
        <v>72.133499999999998</v>
      </c>
      <c r="O555" s="251">
        <v>81.864800000000002</v>
      </c>
      <c r="P555" s="251">
        <v>88.156000000000006</v>
      </c>
      <c r="Q555" s="251">
        <v>90.313299999999998</v>
      </c>
      <c r="R555" s="254">
        <v>1.08</v>
      </c>
      <c r="S555" s="214">
        <v>244066</v>
      </c>
      <c r="T555" s="214">
        <v>1257131</v>
      </c>
      <c r="U555" s="214">
        <v>0</v>
      </c>
      <c r="V555" s="187">
        <f t="shared" si="18"/>
        <v>1257131</v>
      </c>
      <c r="W555" s="187">
        <f t="shared" si="19"/>
        <v>1501197</v>
      </c>
    </row>
    <row r="556" spans="1:23">
      <c r="A556" s="216" t="s">
        <v>128</v>
      </c>
      <c r="B556" s="218">
        <v>868.875</v>
      </c>
      <c r="C556" s="218">
        <v>848.34299999999996</v>
      </c>
      <c r="D556" s="218">
        <v>822.72299999999996</v>
      </c>
      <c r="E556" s="218">
        <v>845.31500000000005</v>
      </c>
      <c r="F556" s="218">
        <v>138.12180000000001</v>
      </c>
      <c r="G556" s="218">
        <v>142.809</v>
      </c>
      <c r="H556" s="218">
        <v>131.43360000000001</v>
      </c>
      <c r="I556" s="218">
        <v>143.5034</v>
      </c>
      <c r="J556" s="246">
        <v>75502510</v>
      </c>
      <c r="K556" s="246">
        <v>84362492</v>
      </c>
      <c r="L556" s="218">
        <v>1319.54</v>
      </c>
      <c r="M556" s="246">
        <v>47208</v>
      </c>
      <c r="N556" s="251">
        <v>85.629499999999993</v>
      </c>
      <c r="O556" s="251">
        <v>90.011200000000002</v>
      </c>
      <c r="P556" s="251">
        <v>78.798199999999994</v>
      </c>
      <c r="Q556" s="251">
        <v>91.201599999999999</v>
      </c>
      <c r="R556" s="254">
        <v>1.08</v>
      </c>
      <c r="S556" s="214">
        <v>126533</v>
      </c>
      <c r="T556" s="214">
        <v>1224700</v>
      </c>
      <c r="U556" s="214">
        <v>0</v>
      </c>
      <c r="V556" s="187">
        <f t="shared" si="18"/>
        <v>1224700</v>
      </c>
      <c r="W556" s="187">
        <f t="shared" si="19"/>
        <v>1351233</v>
      </c>
    </row>
    <row r="557" spans="1:23">
      <c r="A557" s="216" t="s">
        <v>3551</v>
      </c>
      <c r="B557" s="218">
        <v>1542.5060000000001</v>
      </c>
      <c r="C557" s="218">
        <v>1670.894</v>
      </c>
      <c r="D557" s="218">
        <v>1724.3889999999999</v>
      </c>
      <c r="E557" s="218">
        <v>1735.8820000000001</v>
      </c>
      <c r="F557" s="218">
        <v>217.10339999999999</v>
      </c>
      <c r="G557" s="218">
        <v>237.43039999999999</v>
      </c>
      <c r="H557" s="218">
        <v>260.63639999999998</v>
      </c>
      <c r="I557" s="218">
        <v>246.1559</v>
      </c>
      <c r="J557" s="246">
        <v>141993766</v>
      </c>
      <c r="K557" s="246">
        <v>153784874</v>
      </c>
      <c r="L557" s="218">
        <v>2699.761</v>
      </c>
      <c r="M557" s="246">
        <v>71801</v>
      </c>
      <c r="N557" s="251">
        <v>161.8749</v>
      </c>
      <c r="O557" s="251">
        <v>174.09460000000001</v>
      </c>
      <c r="P557" s="251">
        <v>200.4203</v>
      </c>
      <c r="Q557" s="251">
        <v>170.54069999999999</v>
      </c>
      <c r="R557" s="254">
        <v>1.08</v>
      </c>
      <c r="S557" s="214">
        <v>216723</v>
      </c>
      <c r="T557" s="214">
        <v>1881352</v>
      </c>
      <c r="U557" s="214">
        <v>0</v>
      </c>
      <c r="V557" s="187">
        <f t="shared" si="18"/>
        <v>1881352</v>
      </c>
      <c r="W557" s="187">
        <f t="shared" si="19"/>
        <v>2098075</v>
      </c>
    </row>
    <row r="558" spans="1:23">
      <c r="A558" s="216" t="s">
        <v>1851</v>
      </c>
      <c r="B558" s="218">
        <v>1094.1600000000001</v>
      </c>
      <c r="C558" s="218">
        <v>1234.586</v>
      </c>
      <c r="D558" s="218">
        <v>1274.7570000000001</v>
      </c>
      <c r="E558" s="218">
        <v>1284.771</v>
      </c>
      <c r="F558" s="218">
        <v>157.47569999999999</v>
      </c>
      <c r="G558" s="218">
        <v>192.31319999999999</v>
      </c>
      <c r="H558" s="218">
        <v>195.58240000000001</v>
      </c>
      <c r="I558" s="218">
        <v>190.74449999999999</v>
      </c>
      <c r="J558" s="246">
        <v>128633840</v>
      </c>
      <c r="K558" s="246">
        <v>140317800</v>
      </c>
      <c r="L558" s="218">
        <v>2046.8969999999999</v>
      </c>
      <c r="M558" s="246">
        <v>95990</v>
      </c>
      <c r="N558" s="251">
        <v>109.9066</v>
      </c>
      <c r="O558" s="251">
        <v>132.77430000000001</v>
      </c>
      <c r="P558" s="251">
        <v>134.2679</v>
      </c>
      <c r="Q558" s="251">
        <v>127.67230000000001</v>
      </c>
      <c r="R558" s="254">
        <v>1.08</v>
      </c>
      <c r="S558" s="214">
        <v>256029</v>
      </c>
      <c r="T558" s="214">
        <v>1883456</v>
      </c>
      <c r="U558" s="214">
        <v>0</v>
      </c>
      <c r="V558" s="187">
        <f t="shared" si="18"/>
        <v>1883456</v>
      </c>
      <c r="W558" s="187">
        <f t="shared" si="19"/>
        <v>2139485</v>
      </c>
    </row>
    <row r="559" spans="1:23">
      <c r="A559" s="216" t="s">
        <v>267</v>
      </c>
      <c r="B559" s="218">
        <v>792.79</v>
      </c>
      <c r="C559" s="218">
        <v>779.61500000000001</v>
      </c>
      <c r="D559" s="218">
        <v>768.08799999999997</v>
      </c>
      <c r="E559" s="218">
        <v>748.15700000000004</v>
      </c>
      <c r="F559" s="218">
        <v>146.03460000000001</v>
      </c>
      <c r="G559" s="218">
        <v>141.26949999999999</v>
      </c>
      <c r="H559" s="218">
        <v>142.94210000000001</v>
      </c>
      <c r="I559" s="218">
        <v>140.84690000000001</v>
      </c>
      <c r="J559" s="246">
        <v>72951979</v>
      </c>
      <c r="K559" s="246">
        <v>81185979</v>
      </c>
      <c r="L559" s="218">
        <v>1284.5450000000001</v>
      </c>
      <c r="M559" s="187">
        <v>0</v>
      </c>
      <c r="N559" s="251">
        <v>99.065299999999993</v>
      </c>
      <c r="O559" s="251">
        <v>102.7114</v>
      </c>
      <c r="P559" s="251">
        <v>102.1074</v>
      </c>
      <c r="Q559" s="251">
        <v>97.82</v>
      </c>
      <c r="R559" s="254">
        <v>1.06</v>
      </c>
      <c r="S559" s="214">
        <v>0</v>
      </c>
      <c r="T559" s="214">
        <v>1063457</v>
      </c>
      <c r="U559" s="214">
        <v>26155</v>
      </c>
      <c r="V559" s="187">
        <f t="shared" si="18"/>
        <v>1089612</v>
      </c>
      <c r="W559" s="187">
        <f t="shared" si="19"/>
        <v>1089612</v>
      </c>
    </row>
    <row r="560" spans="1:23">
      <c r="A560" s="216" t="s">
        <v>2819</v>
      </c>
      <c r="B560" s="218">
        <v>530.72299999999996</v>
      </c>
      <c r="C560" s="218">
        <v>515.19899999999996</v>
      </c>
      <c r="D560" s="218">
        <v>499.64</v>
      </c>
      <c r="E560" s="218">
        <v>480.75400000000002</v>
      </c>
      <c r="F560" s="218">
        <v>109.62</v>
      </c>
      <c r="G560" s="218">
        <v>101.8342</v>
      </c>
      <c r="H560" s="218">
        <v>96.179100000000005</v>
      </c>
      <c r="I560" s="218">
        <v>93.6</v>
      </c>
      <c r="J560" s="246">
        <v>66040053</v>
      </c>
      <c r="K560" s="246">
        <v>71801514</v>
      </c>
      <c r="L560" s="218">
        <v>877.51700000000005</v>
      </c>
      <c r="M560" s="246">
        <v>77779</v>
      </c>
      <c r="N560" s="251">
        <v>76.001199999999997</v>
      </c>
      <c r="O560" s="251">
        <v>67.287000000000006</v>
      </c>
      <c r="P560" s="251">
        <v>65.011799999999994</v>
      </c>
      <c r="Q560" s="251">
        <v>64.249399999999994</v>
      </c>
      <c r="R560" s="254">
        <v>1.05</v>
      </c>
      <c r="S560" s="214">
        <v>72385</v>
      </c>
      <c r="T560" s="214">
        <v>923258</v>
      </c>
      <c r="U560" s="214">
        <v>0</v>
      </c>
      <c r="V560" s="187">
        <f t="shared" si="18"/>
        <v>923258</v>
      </c>
      <c r="W560" s="187">
        <f t="shared" si="19"/>
        <v>995643</v>
      </c>
    </row>
    <row r="561" spans="1:23">
      <c r="A561" s="216" t="s">
        <v>1863</v>
      </c>
      <c r="B561" s="218">
        <v>735.678</v>
      </c>
      <c r="C561" s="218">
        <v>726.82799999999997</v>
      </c>
      <c r="D561" s="218">
        <v>713.78399999999999</v>
      </c>
      <c r="E561" s="218">
        <v>719.19500000000005</v>
      </c>
      <c r="F561" s="218">
        <v>121.952</v>
      </c>
      <c r="G561" s="218">
        <v>123.16759999999999</v>
      </c>
      <c r="H561" s="218">
        <v>121.52419999999999</v>
      </c>
      <c r="I561" s="218">
        <v>120.0484</v>
      </c>
      <c r="J561" s="246">
        <v>50872458</v>
      </c>
      <c r="K561" s="246">
        <v>57547361</v>
      </c>
      <c r="L561" s="218">
        <v>1186.393</v>
      </c>
      <c r="M561" s="187">
        <v>0</v>
      </c>
      <c r="N561" s="251">
        <v>82.717699999999994</v>
      </c>
      <c r="O561" s="251">
        <v>80.835099999999997</v>
      </c>
      <c r="P561" s="251">
        <v>82.916499999999999</v>
      </c>
      <c r="Q561" s="251">
        <v>81.631</v>
      </c>
      <c r="R561" s="254">
        <v>1.06</v>
      </c>
      <c r="S561" s="214">
        <v>0</v>
      </c>
      <c r="T561" s="214">
        <v>704348</v>
      </c>
      <c r="U561" s="214">
        <v>35719</v>
      </c>
      <c r="V561" s="187">
        <f t="shared" si="18"/>
        <v>740067</v>
      </c>
      <c r="W561" s="187">
        <f t="shared" si="19"/>
        <v>740067</v>
      </c>
    </row>
    <row r="562" spans="1:23">
      <c r="A562" s="216" t="s">
        <v>449</v>
      </c>
      <c r="B562" s="218">
        <v>153.52199999999999</v>
      </c>
      <c r="C562" s="218">
        <v>146.82900000000001</v>
      </c>
      <c r="D562" s="218">
        <v>142.39500000000001</v>
      </c>
      <c r="E562" s="218">
        <v>140.55000000000001</v>
      </c>
      <c r="F562" s="218">
        <v>38.5</v>
      </c>
      <c r="G562" s="218">
        <v>34.954599999999999</v>
      </c>
      <c r="H562" s="218">
        <v>35.831600000000002</v>
      </c>
      <c r="I562" s="218">
        <v>35.903799999999997</v>
      </c>
      <c r="J562" s="246">
        <v>24829103</v>
      </c>
      <c r="K562" s="246">
        <v>26484500</v>
      </c>
      <c r="L562" s="218">
        <v>315.35300000000001</v>
      </c>
      <c r="M562" s="187">
        <v>0</v>
      </c>
      <c r="N562" s="251">
        <v>26.499199999999998</v>
      </c>
      <c r="O562" s="251">
        <v>24.4998</v>
      </c>
      <c r="P562" s="251">
        <v>24.500299999999999</v>
      </c>
      <c r="Q562" s="251">
        <v>23.437799999999999</v>
      </c>
      <c r="R562" s="254">
        <v>1.05</v>
      </c>
      <c r="S562" s="214">
        <v>16975</v>
      </c>
      <c r="T562" s="214">
        <v>374067</v>
      </c>
      <c r="U562" s="214">
        <v>0</v>
      </c>
      <c r="V562" s="187">
        <f t="shared" si="18"/>
        <v>374067</v>
      </c>
      <c r="W562" s="187">
        <f t="shared" si="19"/>
        <v>391042</v>
      </c>
    </row>
    <row r="563" spans="1:23">
      <c r="A563" s="216" t="s">
        <v>5138</v>
      </c>
      <c r="B563" s="218">
        <v>759.077</v>
      </c>
      <c r="C563" s="218">
        <v>753.65499999999997</v>
      </c>
      <c r="D563" s="218">
        <v>730.89499999999998</v>
      </c>
      <c r="E563" s="218">
        <v>697.28300000000002</v>
      </c>
      <c r="F563" s="218">
        <v>161.0565</v>
      </c>
      <c r="G563" s="218">
        <v>162.9316</v>
      </c>
      <c r="H563" s="218">
        <v>157.7122</v>
      </c>
      <c r="I563" s="218">
        <v>153.52440000000001</v>
      </c>
      <c r="J563" s="246">
        <v>59789341</v>
      </c>
      <c r="K563" s="246">
        <v>67436186</v>
      </c>
      <c r="L563" s="218">
        <v>1162.1110000000001</v>
      </c>
      <c r="M563" s="187">
        <v>0</v>
      </c>
      <c r="N563" s="251">
        <v>102.45359999999999</v>
      </c>
      <c r="O563" s="251">
        <v>105.18600000000001</v>
      </c>
      <c r="P563" s="251">
        <v>100.92659999999999</v>
      </c>
      <c r="Q563" s="251">
        <v>99.361400000000003</v>
      </c>
      <c r="R563" s="254">
        <v>1.04</v>
      </c>
      <c r="S563" s="214">
        <v>48018</v>
      </c>
      <c r="T563" s="214">
        <v>876767</v>
      </c>
      <c r="U563" s="214">
        <v>0</v>
      </c>
      <c r="V563" s="187">
        <f t="shared" si="18"/>
        <v>876767</v>
      </c>
      <c r="W563" s="187">
        <f t="shared" si="19"/>
        <v>924785</v>
      </c>
    </row>
    <row r="564" spans="1:23">
      <c r="A564" s="216" t="s">
        <v>6027</v>
      </c>
      <c r="B564" s="218">
        <v>939.98</v>
      </c>
      <c r="C564" s="218">
        <v>921.49599999999998</v>
      </c>
      <c r="D564" s="218">
        <v>906.62800000000004</v>
      </c>
      <c r="E564" s="218">
        <v>885.73299999999995</v>
      </c>
      <c r="F564" s="218">
        <v>167.62799999999999</v>
      </c>
      <c r="G564" s="218">
        <v>172.94390000000001</v>
      </c>
      <c r="H564" s="218">
        <v>169.94290000000001</v>
      </c>
      <c r="I564" s="218">
        <v>165.45599999999999</v>
      </c>
      <c r="J564" s="246">
        <v>149453998</v>
      </c>
      <c r="K564" s="246">
        <v>160055798</v>
      </c>
      <c r="L564" s="218">
        <v>1507.327</v>
      </c>
      <c r="M564" s="187">
        <v>517</v>
      </c>
      <c r="N564" s="251">
        <v>107.5097</v>
      </c>
      <c r="O564" s="251">
        <v>110.8279</v>
      </c>
      <c r="P564" s="251">
        <v>111.33450000000001</v>
      </c>
      <c r="Q564" s="251">
        <v>106.17449999999999</v>
      </c>
      <c r="R564" s="254">
        <v>1.06</v>
      </c>
      <c r="S564" s="214">
        <v>46613</v>
      </c>
      <c r="T564" s="214">
        <v>2148404</v>
      </c>
      <c r="U564" s="214">
        <v>0</v>
      </c>
      <c r="V564" s="187">
        <f t="shared" si="18"/>
        <v>2148404</v>
      </c>
      <c r="W564" s="187">
        <f t="shared" si="19"/>
        <v>2195017</v>
      </c>
    </row>
    <row r="565" spans="1:23">
      <c r="A565" s="216" t="s">
        <v>450</v>
      </c>
      <c r="B565" s="218">
        <v>916.18299999999999</v>
      </c>
      <c r="C565" s="218">
        <v>871.27200000000005</v>
      </c>
      <c r="D565" s="218">
        <v>870.52099999999996</v>
      </c>
      <c r="E565" s="218">
        <v>846.40800000000002</v>
      </c>
      <c r="F565" s="218">
        <v>166.79429999999999</v>
      </c>
      <c r="G565" s="218">
        <v>167.512</v>
      </c>
      <c r="H565" s="218">
        <v>166.2527</v>
      </c>
      <c r="I565" s="218">
        <v>159.21889999999999</v>
      </c>
      <c r="J565" s="246">
        <v>84550171</v>
      </c>
      <c r="K565" s="246">
        <v>93515471</v>
      </c>
      <c r="L565" s="218">
        <v>1402.6679999999999</v>
      </c>
      <c r="M565" s="187">
        <v>0</v>
      </c>
      <c r="N565" s="251">
        <v>103.91549999999999</v>
      </c>
      <c r="O565" s="251">
        <v>103.4046</v>
      </c>
      <c r="P565" s="251">
        <v>106.1977</v>
      </c>
      <c r="Q565" s="251">
        <v>102.0154</v>
      </c>
      <c r="R565" s="254">
        <v>1.08</v>
      </c>
      <c r="S565" s="214">
        <v>60805</v>
      </c>
      <c r="T565" s="214">
        <v>1224554</v>
      </c>
      <c r="U565" s="214">
        <v>0</v>
      </c>
      <c r="V565" s="187">
        <f t="shared" si="18"/>
        <v>1224554</v>
      </c>
      <c r="W565" s="187">
        <f t="shared" si="19"/>
        <v>1285359</v>
      </c>
    </row>
    <row r="566" spans="1:23">
      <c r="A566" s="216" t="s">
        <v>516</v>
      </c>
      <c r="B566" s="218">
        <v>293.12299999999999</v>
      </c>
      <c r="C566" s="218">
        <v>302.28399999999999</v>
      </c>
      <c r="D566" s="218">
        <v>293.15499999999997</v>
      </c>
      <c r="E566" s="218">
        <v>274.13099999999997</v>
      </c>
      <c r="F566" s="218">
        <v>61.716700000000003</v>
      </c>
      <c r="G566" s="218">
        <v>58.722099999999998</v>
      </c>
      <c r="H566" s="218">
        <v>61.6526</v>
      </c>
      <c r="I566" s="218">
        <v>63.401000000000003</v>
      </c>
      <c r="J566" s="246">
        <v>33720526</v>
      </c>
      <c r="K566" s="246">
        <v>36429166</v>
      </c>
      <c r="L566" s="218">
        <v>492.06</v>
      </c>
      <c r="M566" s="187">
        <v>0</v>
      </c>
      <c r="N566" s="251">
        <v>42.430100000000003</v>
      </c>
      <c r="O566" s="251">
        <v>40.476900000000001</v>
      </c>
      <c r="P566" s="251">
        <v>45.145099999999999</v>
      </c>
      <c r="Q566" s="251">
        <v>45.783799999999999</v>
      </c>
      <c r="R566" s="254">
        <v>1.06</v>
      </c>
      <c r="S566" s="214">
        <v>0</v>
      </c>
      <c r="T566" s="214">
        <v>467845</v>
      </c>
      <c r="U566" s="214">
        <v>0</v>
      </c>
      <c r="V566" s="187">
        <f t="shared" si="18"/>
        <v>467845</v>
      </c>
      <c r="W566" s="187">
        <f t="shared" si="19"/>
        <v>467845</v>
      </c>
    </row>
    <row r="567" spans="1:23">
      <c r="A567" s="216" t="s">
        <v>1525</v>
      </c>
      <c r="B567" s="218">
        <v>331.54</v>
      </c>
      <c r="C567" s="218">
        <v>333.26299999999998</v>
      </c>
      <c r="D567" s="218">
        <v>323.19799999999998</v>
      </c>
      <c r="E567" s="218">
        <v>311.57600000000002</v>
      </c>
      <c r="F567" s="218">
        <v>56.636699999999998</v>
      </c>
      <c r="G567" s="218">
        <v>58.337600000000002</v>
      </c>
      <c r="H567" s="218">
        <v>57.745199999999997</v>
      </c>
      <c r="I567" s="218">
        <v>51.972499999999997</v>
      </c>
      <c r="J567" s="246">
        <v>36728219</v>
      </c>
      <c r="K567" s="246">
        <v>41502059</v>
      </c>
      <c r="L567" s="218">
        <v>497.77600000000001</v>
      </c>
      <c r="M567" s="187">
        <v>0</v>
      </c>
      <c r="N567" s="251">
        <v>33.267400000000002</v>
      </c>
      <c r="O567" s="251">
        <v>35.015300000000003</v>
      </c>
      <c r="P567" s="251">
        <v>33.511099999999999</v>
      </c>
      <c r="Q567" s="251">
        <v>32.084899999999998</v>
      </c>
      <c r="R567" s="254">
        <v>1.04</v>
      </c>
      <c r="S567" s="214">
        <v>50082</v>
      </c>
      <c r="T567" s="214">
        <v>553872</v>
      </c>
      <c r="U567" s="214">
        <v>0</v>
      </c>
      <c r="V567" s="187">
        <f t="shared" si="18"/>
        <v>553872</v>
      </c>
      <c r="W567" s="187">
        <f t="shared" si="19"/>
        <v>603954</v>
      </c>
    </row>
    <row r="568" spans="1:23">
      <c r="A568" s="216" t="s">
        <v>244</v>
      </c>
      <c r="B568" s="218">
        <v>1707.242</v>
      </c>
      <c r="C568" s="218">
        <v>1817.473</v>
      </c>
      <c r="D568" s="218">
        <v>1884.3420000000001</v>
      </c>
      <c r="E568" s="218">
        <v>1925.077</v>
      </c>
      <c r="F568" s="218">
        <v>236.93170000000001</v>
      </c>
      <c r="G568" s="218">
        <v>225.87970000000001</v>
      </c>
      <c r="H568" s="218">
        <v>242.86349999999999</v>
      </c>
      <c r="I568" s="218">
        <v>261.2808</v>
      </c>
      <c r="J568" s="246">
        <v>245557090</v>
      </c>
      <c r="K568" s="246">
        <v>263373830</v>
      </c>
      <c r="L568" s="218">
        <v>2538.8490000000002</v>
      </c>
      <c r="M568" s="246">
        <v>150933</v>
      </c>
      <c r="N568" s="251">
        <v>147.40790000000001</v>
      </c>
      <c r="O568" s="251">
        <v>154.94540000000001</v>
      </c>
      <c r="P568" s="251">
        <v>168.4854</v>
      </c>
      <c r="Q568" s="251">
        <v>176.0042</v>
      </c>
      <c r="R568" s="254">
        <v>1.08</v>
      </c>
      <c r="S568" s="214">
        <v>669526</v>
      </c>
      <c r="T568" s="214">
        <v>4068317</v>
      </c>
      <c r="U568" s="214">
        <v>0</v>
      </c>
      <c r="V568" s="187">
        <f t="shared" si="18"/>
        <v>4068317</v>
      </c>
      <c r="W568" s="187">
        <f t="shared" si="19"/>
        <v>4737843</v>
      </c>
    </row>
    <row r="569" spans="1:23">
      <c r="A569" s="216" t="s">
        <v>1308</v>
      </c>
      <c r="B569" s="218">
        <v>2397.1959999999999</v>
      </c>
      <c r="C569" s="218">
        <v>2555.8000000000002</v>
      </c>
      <c r="D569" s="218">
        <v>2795.6970000000001</v>
      </c>
      <c r="E569" s="218">
        <v>3243.3240000000001</v>
      </c>
      <c r="F569" s="218">
        <v>289.87</v>
      </c>
      <c r="G569" s="218">
        <v>303.19200000000001</v>
      </c>
      <c r="H569" s="218">
        <v>342.64330000000001</v>
      </c>
      <c r="I569" s="218">
        <v>393.55180000000001</v>
      </c>
      <c r="J569" s="246">
        <v>566229292</v>
      </c>
      <c r="K569" s="246">
        <v>595062142</v>
      </c>
      <c r="L569" s="218">
        <v>4005.2869999999998</v>
      </c>
      <c r="M569" s="246">
        <v>952774</v>
      </c>
      <c r="N569" s="251">
        <v>196.60939999999999</v>
      </c>
      <c r="O569" s="251">
        <v>206.2184</v>
      </c>
      <c r="P569" s="251">
        <v>229.17689999999999</v>
      </c>
      <c r="Q569" s="251">
        <v>264.6343</v>
      </c>
      <c r="R569" s="254">
        <v>1.08</v>
      </c>
      <c r="S569" s="214">
        <v>1369988</v>
      </c>
      <c r="T569" s="214">
        <v>9199205</v>
      </c>
      <c r="U569" s="214">
        <v>0</v>
      </c>
      <c r="V569" s="187">
        <f t="shared" si="18"/>
        <v>9199205</v>
      </c>
      <c r="W569" s="187">
        <f t="shared" si="19"/>
        <v>10569193</v>
      </c>
    </row>
    <row r="570" spans="1:23">
      <c r="A570" s="216" t="s">
        <v>6029</v>
      </c>
      <c r="B570" s="218">
        <v>2809.7440000000001</v>
      </c>
      <c r="C570" s="218">
        <v>2866.009</v>
      </c>
      <c r="D570" s="218">
        <v>3024.1080000000002</v>
      </c>
      <c r="E570" s="218">
        <v>3137.0169999999998</v>
      </c>
      <c r="F570" s="218">
        <v>335.41039999999998</v>
      </c>
      <c r="G570" s="218">
        <v>371.24430000000001</v>
      </c>
      <c r="H570" s="218">
        <v>426.50400000000002</v>
      </c>
      <c r="I570" s="218">
        <v>447.23180000000002</v>
      </c>
      <c r="J570" s="246">
        <v>401471734</v>
      </c>
      <c r="K570" s="246">
        <v>436135264</v>
      </c>
      <c r="L570" s="218">
        <v>4273.701</v>
      </c>
      <c r="M570" s="187">
        <v>0</v>
      </c>
      <c r="N570" s="251">
        <v>211.80099999999999</v>
      </c>
      <c r="O570" s="251">
        <v>224.09549999999999</v>
      </c>
      <c r="P570" s="251">
        <v>267.97829999999999</v>
      </c>
      <c r="Q570" s="251">
        <v>276.63339999999999</v>
      </c>
      <c r="R570" s="254">
        <v>1.1000000000000001</v>
      </c>
      <c r="S570" s="214">
        <v>1080053</v>
      </c>
      <c r="T570" s="214">
        <v>6353428</v>
      </c>
      <c r="U570" s="214">
        <v>0</v>
      </c>
      <c r="V570" s="187">
        <f t="shared" si="18"/>
        <v>6353428</v>
      </c>
      <c r="W570" s="187">
        <f t="shared" si="19"/>
        <v>7433481</v>
      </c>
    </row>
    <row r="571" spans="1:23">
      <c r="A571" s="216" t="s">
        <v>6031</v>
      </c>
      <c r="B571" s="218">
        <v>1516.8510000000001</v>
      </c>
      <c r="C571" s="218">
        <v>1523.4069999999999</v>
      </c>
      <c r="D571" s="218">
        <v>1556.135</v>
      </c>
      <c r="E571" s="218">
        <v>1551.75</v>
      </c>
      <c r="F571" s="218">
        <v>233.21350000000001</v>
      </c>
      <c r="G571" s="218">
        <v>245.6542</v>
      </c>
      <c r="H571" s="218">
        <v>251.3827</v>
      </c>
      <c r="I571" s="218">
        <v>253.82239999999999</v>
      </c>
      <c r="J571" s="246">
        <v>178652109</v>
      </c>
      <c r="K571" s="246">
        <v>198782667</v>
      </c>
      <c r="L571" s="218">
        <v>2169.5569999999998</v>
      </c>
      <c r="M571" s="246">
        <v>113475</v>
      </c>
      <c r="N571" s="251">
        <v>143.5667</v>
      </c>
      <c r="O571" s="251">
        <v>152.14510000000001</v>
      </c>
      <c r="P571" s="251">
        <v>153.34739999999999</v>
      </c>
      <c r="Q571" s="251">
        <v>153.6499</v>
      </c>
      <c r="R571" s="254">
        <v>1.08</v>
      </c>
      <c r="S571" s="214">
        <v>160483</v>
      </c>
      <c r="T571" s="214">
        <v>2920782</v>
      </c>
      <c r="U571" s="214">
        <v>0</v>
      </c>
      <c r="V571" s="187">
        <f t="shared" si="18"/>
        <v>2920782</v>
      </c>
      <c r="W571" s="187">
        <f t="shared" si="19"/>
        <v>3081265</v>
      </c>
    </row>
    <row r="572" spans="1:23">
      <c r="A572" s="216" t="s">
        <v>5628</v>
      </c>
      <c r="B572" s="218">
        <v>2763.8789999999999</v>
      </c>
      <c r="C572" s="218">
        <v>2851.9450000000002</v>
      </c>
      <c r="D572" s="218">
        <v>2927.7469999999998</v>
      </c>
      <c r="E572" s="218">
        <v>2970.2249999999999</v>
      </c>
      <c r="F572" s="218">
        <v>440.58420000000001</v>
      </c>
      <c r="G572" s="218">
        <v>443.1112</v>
      </c>
      <c r="H572" s="218">
        <v>457.94290000000001</v>
      </c>
      <c r="I572" s="218">
        <v>467.39699999999999</v>
      </c>
      <c r="J572" s="246">
        <v>529030765</v>
      </c>
      <c r="K572" s="246">
        <v>569914775</v>
      </c>
      <c r="L572" s="218">
        <v>4187.9589999999998</v>
      </c>
      <c r="M572" s="246">
        <v>238073</v>
      </c>
      <c r="N572" s="251">
        <v>277.48289999999997</v>
      </c>
      <c r="O572" s="251">
        <v>284.85449999999997</v>
      </c>
      <c r="P572" s="251">
        <v>290.6986</v>
      </c>
      <c r="Q572" s="251">
        <v>295.84890000000001</v>
      </c>
      <c r="R572" s="254">
        <v>1.0900000000000001</v>
      </c>
      <c r="S572" s="214">
        <v>335704</v>
      </c>
      <c r="T572" s="214">
        <v>8054852</v>
      </c>
      <c r="U572" s="214">
        <v>0</v>
      </c>
      <c r="V572" s="187">
        <f t="shared" si="18"/>
        <v>8054852</v>
      </c>
      <c r="W572" s="187">
        <f t="shared" si="19"/>
        <v>8390556</v>
      </c>
    </row>
    <row r="573" spans="1:23">
      <c r="A573" s="216" t="s">
        <v>5630</v>
      </c>
      <c r="B573" s="218">
        <v>3682.346</v>
      </c>
      <c r="C573" s="218">
        <v>3831.5120000000002</v>
      </c>
      <c r="D573" s="218">
        <v>3856.9430000000002</v>
      </c>
      <c r="E573" s="218">
        <v>3874.123</v>
      </c>
      <c r="F573" s="218">
        <v>548.21519999999998</v>
      </c>
      <c r="G573" s="218">
        <v>566.36569999999995</v>
      </c>
      <c r="H573" s="218">
        <v>591.16750000000002</v>
      </c>
      <c r="I573" s="218">
        <v>595.7364</v>
      </c>
      <c r="J573" s="246">
        <v>871150530</v>
      </c>
      <c r="K573" s="246">
        <v>912700758</v>
      </c>
      <c r="L573" s="218">
        <v>5584.0050000000001</v>
      </c>
      <c r="M573" s="246">
        <v>520467</v>
      </c>
      <c r="N573" s="251">
        <v>356.88420000000002</v>
      </c>
      <c r="O573" s="251">
        <v>362.81180000000001</v>
      </c>
      <c r="P573" s="251">
        <v>378.49849999999998</v>
      </c>
      <c r="Q573" s="251">
        <v>377.49590000000001</v>
      </c>
      <c r="R573" s="254">
        <v>1.1000000000000001</v>
      </c>
      <c r="S573" s="214">
        <v>1970689</v>
      </c>
      <c r="T573" s="214">
        <v>13035142</v>
      </c>
      <c r="U573" s="214">
        <v>0</v>
      </c>
      <c r="V573" s="187">
        <f t="shared" si="18"/>
        <v>13035142</v>
      </c>
      <c r="W573" s="187">
        <f t="shared" si="19"/>
        <v>15005831</v>
      </c>
    </row>
    <row r="574" spans="1:23">
      <c r="A574" s="216" t="s">
        <v>2395</v>
      </c>
      <c r="B574" s="218">
        <v>721.40300000000002</v>
      </c>
      <c r="C574" s="218">
        <v>735.52800000000002</v>
      </c>
      <c r="D574" s="218">
        <v>752.322</v>
      </c>
      <c r="E574" s="218">
        <v>744.61300000000006</v>
      </c>
      <c r="F574" s="218">
        <v>115.7961</v>
      </c>
      <c r="G574" s="218">
        <v>117.0938</v>
      </c>
      <c r="H574" s="218">
        <v>122.0134</v>
      </c>
      <c r="I574" s="218">
        <v>113.7771</v>
      </c>
      <c r="J574" s="246">
        <v>100848729</v>
      </c>
      <c r="K574" s="246">
        <v>109989789</v>
      </c>
      <c r="L574" s="218">
        <v>1146.7080000000001</v>
      </c>
      <c r="M574" s="246">
        <v>43545</v>
      </c>
      <c r="N574" s="251">
        <v>69.758099999999999</v>
      </c>
      <c r="O574" s="251">
        <v>71.585099999999997</v>
      </c>
      <c r="P574" s="251">
        <v>71.300700000000006</v>
      </c>
      <c r="Q574" s="251">
        <v>70.803600000000003</v>
      </c>
      <c r="R574" s="254">
        <v>1.07</v>
      </c>
      <c r="S574" s="214">
        <v>265989</v>
      </c>
      <c r="T574" s="214">
        <v>1555537</v>
      </c>
      <c r="U574" s="214">
        <v>65519</v>
      </c>
      <c r="V574" s="187">
        <f t="shared" si="18"/>
        <v>1621056</v>
      </c>
      <c r="W574" s="187">
        <f t="shared" si="19"/>
        <v>1887045</v>
      </c>
    </row>
    <row r="575" spans="1:23">
      <c r="A575" s="216" t="s">
        <v>5632</v>
      </c>
      <c r="B575" s="218">
        <v>4582.6549999999997</v>
      </c>
      <c r="C575" s="218">
        <v>4667.7389999999996</v>
      </c>
      <c r="D575" s="218">
        <v>4783.1629999999996</v>
      </c>
      <c r="E575" s="218">
        <v>4903.8289999999997</v>
      </c>
      <c r="F575" s="218">
        <v>578.16700000000003</v>
      </c>
      <c r="G575" s="218">
        <v>663.22590000000002</v>
      </c>
      <c r="H575" s="218">
        <v>708.24419999999998</v>
      </c>
      <c r="I575" s="218">
        <v>731.48559999999998</v>
      </c>
      <c r="J575" s="246">
        <v>1737252534</v>
      </c>
      <c r="K575" s="246">
        <v>1800970224</v>
      </c>
      <c r="L575" s="218">
        <v>6104.1710000000003</v>
      </c>
      <c r="M575" s="246">
        <v>2944879</v>
      </c>
      <c r="N575" s="251">
        <v>392.36790000000002</v>
      </c>
      <c r="O575" s="251">
        <v>422.5444</v>
      </c>
      <c r="P575" s="251">
        <v>454.99590000000001</v>
      </c>
      <c r="Q575" s="251">
        <v>470.64269999999999</v>
      </c>
      <c r="R575" s="254">
        <v>1.0900000000000001</v>
      </c>
      <c r="S575" s="214">
        <v>3525692</v>
      </c>
      <c r="T575" s="214">
        <v>27475857</v>
      </c>
      <c r="U575" s="214">
        <v>0</v>
      </c>
      <c r="V575" s="187">
        <f t="shared" si="18"/>
        <v>27475857</v>
      </c>
      <c r="W575" s="187">
        <f t="shared" si="19"/>
        <v>31001549</v>
      </c>
    </row>
    <row r="576" spans="1:23">
      <c r="A576" s="216" t="s">
        <v>6147</v>
      </c>
      <c r="B576" s="218">
        <v>1025.6679999999999</v>
      </c>
      <c r="C576" s="218">
        <v>1059.2270000000001</v>
      </c>
      <c r="D576" s="218">
        <v>1070.6880000000001</v>
      </c>
      <c r="E576" s="218">
        <v>1089.7090000000001</v>
      </c>
      <c r="F576" s="218">
        <v>167.55969999999999</v>
      </c>
      <c r="G576" s="218">
        <v>173.63200000000001</v>
      </c>
      <c r="H576" s="218">
        <v>177.649</v>
      </c>
      <c r="I576" s="218">
        <v>186.82380000000001</v>
      </c>
      <c r="J576" s="246">
        <v>275640651</v>
      </c>
      <c r="K576" s="246">
        <v>291429601</v>
      </c>
      <c r="L576" s="218">
        <v>1727.7049999999999</v>
      </c>
      <c r="M576" s="246">
        <v>513980</v>
      </c>
      <c r="N576" s="251">
        <v>113.0917</v>
      </c>
      <c r="O576" s="251">
        <v>115.74809999999999</v>
      </c>
      <c r="P576" s="251">
        <v>113.6561</v>
      </c>
      <c r="Q576" s="251">
        <v>118.10769999999999</v>
      </c>
      <c r="R576" s="254">
        <v>1.06</v>
      </c>
      <c r="S576" s="214">
        <v>513818</v>
      </c>
      <c r="T576" s="214">
        <v>3746959</v>
      </c>
      <c r="U576" s="214">
        <v>0</v>
      </c>
      <c r="V576" s="187">
        <f t="shared" si="18"/>
        <v>3746959</v>
      </c>
      <c r="W576" s="187">
        <f t="shared" si="19"/>
        <v>4260777</v>
      </c>
    </row>
    <row r="577" spans="1:23">
      <c r="A577" s="216" t="s">
        <v>1417</v>
      </c>
      <c r="B577" s="218">
        <v>67.427000000000007</v>
      </c>
      <c r="C577" s="218">
        <v>60.527000000000001</v>
      </c>
      <c r="D577" s="218">
        <v>64.864999999999995</v>
      </c>
      <c r="E577" s="218">
        <v>66.504000000000005</v>
      </c>
      <c r="F577" s="218">
        <v>17.6629</v>
      </c>
      <c r="G577" s="218">
        <v>16.045200000000001</v>
      </c>
      <c r="H577" s="218">
        <v>16.172599999999999</v>
      </c>
      <c r="I577" s="218">
        <v>16.924700000000001</v>
      </c>
      <c r="J577" s="246">
        <v>271383305</v>
      </c>
      <c r="K577" s="246">
        <v>271570805</v>
      </c>
      <c r="L577" s="218">
        <v>147.11799999999999</v>
      </c>
      <c r="M577" s="187">
        <v>0</v>
      </c>
      <c r="N577" s="251">
        <v>9.2943999999999996</v>
      </c>
      <c r="O577" s="251">
        <v>9.3310999999999993</v>
      </c>
      <c r="P577" s="251">
        <v>9.9398999999999997</v>
      </c>
      <c r="Q577" s="251">
        <v>11.1921</v>
      </c>
      <c r="R577" s="254">
        <v>1.1200000000000001</v>
      </c>
      <c r="S577" s="214">
        <v>0</v>
      </c>
      <c r="T577" s="214">
        <v>4897517</v>
      </c>
      <c r="U577" s="214">
        <v>0</v>
      </c>
      <c r="V577" s="187">
        <f t="shared" si="18"/>
        <v>4897517</v>
      </c>
      <c r="W577" s="187">
        <f t="shared" si="19"/>
        <v>4897517</v>
      </c>
    </row>
    <row r="578" spans="1:23">
      <c r="A578" s="216" t="s">
        <v>1419</v>
      </c>
      <c r="B578" s="218">
        <v>155.10599999999999</v>
      </c>
      <c r="C578" s="218">
        <v>136.827</v>
      </c>
      <c r="D578" s="218">
        <v>139.74799999999999</v>
      </c>
      <c r="E578" s="218">
        <v>135.87700000000001</v>
      </c>
      <c r="F578" s="218">
        <v>44.773299999999999</v>
      </c>
      <c r="G578" s="218">
        <v>42.617699999999999</v>
      </c>
      <c r="H578" s="218">
        <v>40.8217</v>
      </c>
      <c r="I578" s="218">
        <v>38.741900000000001</v>
      </c>
      <c r="J578" s="246">
        <v>330491698</v>
      </c>
      <c r="K578" s="246">
        <v>332095825</v>
      </c>
      <c r="L578" s="218">
        <v>290.42</v>
      </c>
      <c r="M578" s="246">
        <v>494329</v>
      </c>
      <c r="N578" s="251">
        <v>25.0047</v>
      </c>
      <c r="O578" s="251">
        <v>24.2363</v>
      </c>
      <c r="P578" s="251">
        <v>22.682700000000001</v>
      </c>
      <c r="Q578" s="251">
        <v>20.285</v>
      </c>
      <c r="R578" s="254">
        <v>1.07</v>
      </c>
      <c r="S578" s="214">
        <v>368656</v>
      </c>
      <c r="T578" s="214">
        <v>3977134</v>
      </c>
      <c r="U578" s="214">
        <v>0</v>
      </c>
      <c r="V578" s="187">
        <f t="shared" si="18"/>
        <v>3977134</v>
      </c>
      <c r="W578" s="187">
        <f t="shared" si="19"/>
        <v>4345790</v>
      </c>
    </row>
    <row r="579" spans="1:23">
      <c r="A579" s="216" t="s">
        <v>2469</v>
      </c>
      <c r="B579" s="218">
        <v>563.76400000000001</v>
      </c>
      <c r="C579" s="218">
        <v>527.96400000000006</v>
      </c>
      <c r="D579" s="218">
        <v>512.01900000000001</v>
      </c>
      <c r="E579" s="218">
        <v>513.38800000000003</v>
      </c>
      <c r="F579" s="218">
        <v>91.556299999999993</v>
      </c>
      <c r="G579" s="218">
        <v>84.893299999999996</v>
      </c>
      <c r="H579" s="218">
        <v>83.315700000000007</v>
      </c>
      <c r="I579" s="218">
        <v>87.371799999999993</v>
      </c>
      <c r="J579" s="246">
        <v>91564287</v>
      </c>
      <c r="K579" s="246">
        <v>99588015</v>
      </c>
      <c r="L579" s="218">
        <v>840.23900000000003</v>
      </c>
      <c r="M579" s="187">
        <v>0</v>
      </c>
      <c r="N579" s="251">
        <v>57.936</v>
      </c>
      <c r="O579" s="251">
        <v>54.406300000000002</v>
      </c>
      <c r="P579" s="251">
        <v>53.249400000000001</v>
      </c>
      <c r="Q579" s="251">
        <v>53.136499999999998</v>
      </c>
      <c r="R579" s="254">
        <v>1.05</v>
      </c>
      <c r="S579" s="214">
        <v>76779</v>
      </c>
      <c r="T579" s="214">
        <v>1407885</v>
      </c>
      <c r="U579" s="214">
        <v>0</v>
      </c>
      <c r="V579" s="187">
        <f t="shared" si="18"/>
        <v>1407885</v>
      </c>
      <c r="W579" s="187">
        <f t="shared" si="19"/>
        <v>1484664</v>
      </c>
    </row>
    <row r="580" spans="1:23">
      <c r="A580" s="216" t="s">
        <v>1421</v>
      </c>
      <c r="B580" s="218">
        <v>131.36099999999999</v>
      </c>
      <c r="C580" s="218">
        <v>157.42699999999999</v>
      </c>
      <c r="D580" s="218">
        <v>183.07400000000001</v>
      </c>
      <c r="E580" s="218">
        <v>178.00299999999999</v>
      </c>
      <c r="F580" s="218">
        <v>25.529499999999999</v>
      </c>
      <c r="G580" s="218">
        <v>26.088000000000001</v>
      </c>
      <c r="H580" s="218">
        <v>30.197900000000001</v>
      </c>
      <c r="I580" s="218">
        <v>30.433199999999999</v>
      </c>
      <c r="J580" s="246">
        <v>149695151</v>
      </c>
      <c r="K580" s="246">
        <v>153738358</v>
      </c>
      <c r="L580" s="218">
        <v>279.51299999999998</v>
      </c>
      <c r="M580" s="187">
        <v>0</v>
      </c>
      <c r="N580" s="251">
        <v>17.604600000000001</v>
      </c>
      <c r="O580" s="251">
        <v>18.785799999999998</v>
      </c>
      <c r="P580" s="251">
        <v>21.1599</v>
      </c>
      <c r="Q580" s="251">
        <v>21.019600000000001</v>
      </c>
      <c r="R580" s="254">
        <v>1.05</v>
      </c>
      <c r="S580" s="214">
        <v>0</v>
      </c>
      <c r="T580" s="214">
        <v>2396195</v>
      </c>
      <c r="U580" s="214">
        <v>0</v>
      </c>
      <c r="V580" s="187">
        <f t="shared" si="18"/>
        <v>2396195</v>
      </c>
      <c r="W580" s="187">
        <f t="shared" si="19"/>
        <v>2396195</v>
      </c>
    </row>
    <row r="581" spans="1:23">
      <c r="A581" s="216" t="s">
        <v>1423</v>
      </c>
      <c r="B581" s="218">
        <v>4403.4250000000002</v>
      </c>
      <c r="C581" s="218">
        <v>4338.1270000000004</v>
      </c>
      <c r="D581" s="218">
        <v>4402.8609999999999</v>
      </c>
      <c r="E581" s="218">
        <v>4385.8149999999996</v>
      </c>
      <c r="F581" s="218">
        <v>696.54020000000003</v>
      </c>
      <c r="G581" s="218">
        <v>675.83770000000004</v>
      </c>
      <c r="H581" s="218">
        <v>658.57090000000005</v>
      </c>
      <c r="I581" s="218">
        <v>663.1087</v>
      </c>
      <c r="J581" s="246">
        <v>1199661386</v>
      </c>
      <c r="K581" s="246">
        <v>1280166242</v>
      </c>
      <c r="L581" s="218">
        <v>5762.5789999999997</v>
      </c>
      <c r="M581" s="246">
        <v>3147906</v>
      </c>
      <c r="N581" s="251">
        <v>461.31659999999999</v>
      </c>
      <c r="O581" s="251">
        <v>432.18099999999998</v>
      </c>
      <c r="P581" s="251">
        <v>440.93340000000001</v>
      </c>
      <c r="Q581" s="251">
        <v>428.30700000000002</v>
      </c>
      <c r="R581" s="254">
        <v>1.06</v>
      </c>
      <c r="S581" s="214">
        <v>3800093</v>
      </c>
      <c r="T581" s="214">
        <v>18026431</v>
      </c>
      <c r="U581" s="214">
        <v>0</v>
      </c>
      <c r="V581" s="187">
        <f t="shared" ref="V581:V644" si="20">T581+U581</f>
        <v>18026431</v>
      </c>
      <c r="W581" s="187">
        <f t="shared" ref="W581:W644" si="21">V581+S581</f>
        <v>21826524</v>
      </c>
    </row>
    <row r="582" spans="1:23">
      <c r="A582" s="216" t="s">
        <v>1425</v>
      </c>
      <c r="B582" s="218">
        <v>1439.7159999999999</v>
      </c>
      <c r="C582" s="218">
        <v>1394.607</v>
      </c>
      <c r="D582" s="218">
        <v>1419.806</v>
      </c>
      <c r="E582" s="218">
        <v>1416.885</v>
      </c>
      <c r="F582" s="218">
        <v>263.37079999999997</v>
      </c>
      <c r="G582" s="218">
        <v>265.1499</v>
      </c>
      <c r="H582" s="218">
        <v>262.61579999999998</v>
      </c>
      <c r="I582" s="218">
        <v>240.5078</v>
      </c>
      <c r="J582" s="246">
        <v>215163520</v>
      </c>
      <c r="K582" s="246">
        <v>234800803</v>
      </c>
      <c r="L582" s="218">
        <v>2078.9360000000001</v>
      </c>
      <c r="M582" s="246">
        <v>225635</v>
      </c>
      <c r="N582" s="251">
        <v>165.46289999999999</v>
      </c>
      <c r="O582" s="251">
        <v>163.75460000000001</v>
      </c>
      <c r="P582" s="251">
        <v>163.70230000000001</v>
      </c>
      <c r="Q582" s="251">
        <v>153.90369999999999</v>
      </c>
      <c r="R582" s="254">
        <v>1.05</v>
      </c>
      <c r="S582" s="214">
        <v>149670</v>
      </c>
      <c r="T582" s="214">
        <v>3370531</v>
      </c>
      <c r="U582" s="214">
        <v>0</v>
      </c>
      <c r="V582" s="187">
        <f t="shared" si="20"/>
        <v>3370531</v>
      </c>
      <c r="W582" s="187">
        <f t="shared" si="21"/>
        <v>3520201</v>
      </c>
    </row>
    <row r="583" spans="1:23">
      <c r="A583" s="216" t="s">
        <v>7151</v>
      </c>
      <c r="B583" s="218">
        <v>22.829000000000001</v>
      </c>
      <c r="C583" s="218">
        <v>16.352</v>
      </c>
      <c r="D583" s="218">
        <v>15.858000000000001</v>
      </c>
      <c r="E583" s="218">
        <v>14.29</v>
      </c>
      <c r="F583" s="218">
        <v>3.6135999999999999</v>
      </c>
      <c r="G583" s="218">
        <v>3.6135999999999999</v>
      </c>
      <c r="H583" s="218">
        <v>3.6242999999999999</v>
      </c>
      <c r="I583" s="218">
        <v>3.6242999999999999</v>
      </c>
      <c r="J583" s="246">
        <v>25826080</v>
      </c>
      <c r="K583" s="246">
        <v>26086080</v>
      </c>
      <c r="L583" s="218">
        <v>88.355999999999995</v>
      </c>
      <c r="M583" s="187">
        <v>0</v>
      </c>
      <c r="N583" s="251">
        <v>3.3633000000000002</v>
      </c>
      <c r="O583" s="251">
        <v>3.2397999999999998</v>
      </c>
      <c r="P583" s="251">
        <v>3.2490999999999999</v>
      </c>
      <c r="Q583" s="251">
        <v>3.2490000000000001</v>
      </c>
      <c r="R583" s="254">
        <v>1.05</v>
      </c>
      <c r="S583" s="214">
        <v>0</v>
      </c>
      <c r="T583" s="214">
        <v>356600</v>
      </c>
      <c r="U583" s="214">
        <v>0</v>
      </c>
      <c r="V583" s="187">
        <f t="shared" si="20"/>
        <v>356600</v>
      </c>
      <c r="W583" s="187">
        <f t="shared" si="21"/>
        <v>356600</v>
      </c>
    </row>
    <row r="584" spans="1:23">
      <c r="A584" s="216" t="s">
        <v>7153</v>
      </c>
      <c r="B584" s="218">
        <v>708.69100000000003</v>
      </c>
      <c r="C584" s="218">
        <v>712.81700000000001</v>
      </c>
      <c r="D584" s="218">
        <v>704.80200000000002</v>
      </c>
      <c r="E584" s="218">
        <v>690.15300000000002</v>
      </c>
      <c r="F584" s="218">
        <v>132.9485</v>
      </c>
      <c r="G584" s="218">
        <v>138.0729</v>
      </c>
      <c r="H584" s="218">
        <v>133.4272</v>
      </c>
      <c r="I584" s="218">
        <v>129.5163</v>
      </c>
      <c r="J584" s="246">
        <v>157738763</v>
      </c>
      <c r="K584" s="246">
        <v>168217863</v>
      </c>
      <c r="L584" s="218">
        <v>1251.2560000000001</v>
      </c>
      <c r="M584" s="246">
        <v>72185</v>
      </c>
      <c r="N584" s="251">
        <v>95.129599999999996</v>
      </c>
      <c r="O584" s="251">
        <v>98.173299999999998</v>
      </c>
      <c r="P584" s="251">
        <v>96.367000000000004</v>
      </c>
      <c r="Q584" s="251">
        <v>92.160899999999998</v>
      </c>
      <c r="R584" s="254">
        <v>1.05</v>
      </c>
      <c r="S584" s="214">
        <v>68682</v>
      </c>
      <c r="T584" s="214">
        <v>2419843</v>
      </c>
      <c r="U584" s="214">
        <v>0</v>
      </c>
      <c r="V584" s="187">
        <f t="shared" si="20"/>
        <v>2419843</v>
      </c>
      <c r="W584" s="187">
        <f t="shared" si="21"/>
        <v>2488525</v>
      </c>
    </row>
    <row r="585" spans="1:23">
      <c r="A585" s="216" t="s">
        <v>1833</v>
      </c>
      <c r="B585" s="218">
        <v>86.066000000000003</v>
      </c>
      <c r="C585" s="218">
        <v>81.287999999999997</v>
      </c>
      <c r="D585" s="218">
        <v>81.698999999999998</v>
      </c>
      <c r="E585" s="218">
        <v>93.411000000000001</v>
      </c>
      <c r="F585" s="218">
        <v>30.040099999999999</v>
      </c>
      <c r="G585" s="218">
        <v>19</v>
      </c>
      <c r="H585" s="218">
        <v>30.088200000000001</v>
      </c>
      <c r="I585" s="218">
        <v>32.693600000000004</v>
      </c>
      <c r="J585" s="246">
        <v>159931821</v>
      </c>
      <c r="K585" s="246">
        <v>160188467</v>
      </c>
      <c r="L585" s="218">
        <v>260.56700000000001</v>
      </c>
      <c r="M585" s="246">
        <v>343168</v>
      </c>
      <c r="N585" s="251">
        <v>16.5427</v>
      </c>
      <c r="O585" s="251">
        <v>15.8331</v>
      </c>
      <c r="P585" s="251">
        <v>17.616900000000001</v>
      </c>
      <c r="Q585" s="251">
        <v>20.345199999999998</v>
      </c>
      <c r="R585" s="254">
        <v>1.08</v>
      </c>
      <c r="S585" s="214">
        <v>150446</v>
      </c>
      <c r="T585" s="214">
        <v>1933588</v>
      </c>
      <c r="U585" s="214">
        <v>0</v>
      </c>
      <c r="V585" s="187">
        <f t="shared" si="20"/>
        <v>1933588</v>
      </c>
      <c r="W585" s="187">
        <f t="shared" si="21"/>
        <v>2084034</v>
      </c>
    </row>
    <row r="586" spans="1:23">
      <c r="A586" s="216" t="s">
        <v>1835</v>
      </c>
      <c r="B586" s="218">
        <v>648.26800000000003</v>
      </c>
      <c r="C586" s="218">
        <v>639.29700000000003</v>
      </c>
      <c r="D586" s="218">
        <v>628.74900000000002</v>
      </c>
      <c r="E586" s="218">
        <v>611.33299999999997</v>
      </c>
      <c r="F586" s="218">
        <v>105.3847</v>
      </c>
      <c r="G586" s="218">
        <v>103.9971</v>
      </c>
      <c r="H586" s="218">
        <v>99.874799999999993</v>
      </c>
      <c r="I586" s="218">
        <v>99.006399999999999</v>
      </c>
      <c r="J586" s="246">
        <v>106533751</v>
      </c>
      <c r="K586" s="246">
        <v>114740265</v>
      </c>
      <c r="L586" s="218">
        <v>1189.248</v>
      </c>
      <c r="M586" s="246">
        <v>95945</v>
      </c>
      <c r="N586" s="251">
        <v>74.882900000000006</v>
      </c>
      <c r="O586" s="251">
        <v>76.065399999999997</v>
      </c>
      <c r="P586" s="251">
        <v>71.403199999999998</v>
      </c>
      <c r="Q586" s="251">
        <v>68.0017</v>
      </c>
      <c r="R586" s="254">
        <v>1.1000000000000001</v>
      </c>
      <c r="S586" s="214">
        <v>95058</v>
      </c>
      <c r="T586" s="214">
        <v>1306548</v>
      </c>
      <c r="U586" s="214">
        <v>0</v>
      </c>
      <c r="V586" s="187">
        <f t="shared" si="20"/>
        <v>1306548</v>
      </c>
      <c r="W586" s="187">
        <f t="shared" si="21"/>
        <v>1401606</v>
      </c>
    </row>
    <row r="587" spans="1:23">
      <c r="A587" s="216" t="s">
        <v>510</v>
      </c>
      <c r="B587" s="218">
        <v>4361.6090000000004</v>
      </c>
      <c r="C587" s="218">
        <v>4278.9949999999999</v>
      </c>
      <c r="D587" s="218">
        <v>4197.6130000000003</v>
      </c>
      <c r="E587" s="218">
        <v>4112.8360000000002</v>
      </c>
      <c r="F587" s="218">
        <v>732.82320000000004</v>
      </c>
      <c r="G587" s="218">
        <v>717.9348</v>
      </c>
      <c r="H587" s="218">
        <v>726.4085</v>
      </c>
      <c r="I587" s="218">
        <v>696.63810000000001</v>
      </c>
      <c r="J587" s="246">
        <v>526061479</v>
      </c>
      <c r="K587" s="246">
        <v>568266506</v>
      </c>
      <c r="L587" s="218">
        <v>5867.2209999999995</v>
      </c>
      <c r="M587" s="187">
        <v>0</v>
      </c>
      <c r="N587" s="251">
        <v>454.4982</v>
      </c>
      <c r="O587" s="251">
        <v>453.41460000000001</v>
      </c>
      <c r="P587" s="251">
        <v>451.67899999999997</v>
      </c>
      <c r="Q587" s="251">
        <v>438.59219999999999</v>
      </c>
      <c r="R587" s="254">
        <v>1.1200000000000001</v>
      </c>
      <c r="S587" s="214">
        <v>597507</v>
      </c>
      <c r="T587" s="214">
        <v>7811265</v>
      </c>
      <c r="U587" s="214">
        <v>0</v>
      </c>
      <c r="V587" s="187">
        <f t="shared" si="20"/>
        <v>7811265</v>
      </c>
      <c r="W587" s="187">
        <f t="shared" si="21"/>
        <v>8408772</v>
      </c>
    </row>
    <row r="588" spans="1:23">
      <c r="A588" s="216" t="s">
        <v>3530</v>
      </c>
      <c r="B588" s="218">
        <v>537.83399999999995</v>
      </c>
      <c r="C588" s="218">
        <v>501.459</v>
      </c>
      <c r="D588" s="218">
        <v>505.96899999999999</v>
      </c>
      <c r="E588" s="218">
        <v>510.935</v>
      </c>
      <c r="F588" s="218">
        <v>72.046800000000005</v>
      </c>
      <c r="G588" s="218">
        <v>82.816400000000002</v>
      </c>
      <c r="H588" s="218">
        <v>84.437799999999996</v>
      </c>
      <c r="I588" s="218">
        <v>83.303799999999995</v>
      </c>
      <c r="J588" s="246">
        <v>47060278</v>
      </c>
      <c r="K588" s="246">
        <v>54242424</v>
      </c>
      <c r="L588" s="218">
        <v>829.18700000000001</v>
      </c>
      <c r="M588" s="187">
        <v>0</v>
      </c>
      <c r="N588" s="251">
        <v>46.872799999999998</v>
      </c>
      <c r="O588" s="251">
        <v>47.642400000000002</v>
      </c>
      <c r="P588" s="251">
        <v>48.4086</v>
      </c>
      <c r="Q588" s="251">
        <v>48.378</v>
      </c>
      <c r="R588" s="254">
        <v>1.08</v>
      </c>
      <c r="S588" s="214">
        <v>0</v>
      </c>
      <c r="T588" s="214">
        <v>1292264</v>
      </c>
      <c r="U588" s="214">
        <v>0</v>
      </c>
      <c r="V588" s="187">
        <f t="shared" si="20"/>
        <v>1292264</v>
      </c>
      <c r="W588" s="187">
        <f t="shared" si="21"/>
        <v>1292264</v>
      </c>
    </row>
    <row r="589" spans="1:23">
      <c r="A589" s="216" t="s">
        <v>3532</v>
      </c>
      <c r="B589" s="218">
        <v>505.863</v>
      </c>
      <c r="C589" s="218">
        <v>484.13</v>
      </c>
      <c r="D589" s="218">
        <v>486.33300000000003</v>
      </c>
      <c r="E589" s="218">
        <v>489.08800000000002</v>
      </c>
      <c r="F589" s="218">
        <v>78.422700000000006</v>
      </c>
      <c r="G589" s="218">
        <v>85.629800000000003</v>
      </c>
      <c r="H589" s="218">
        <v>91.044799999999995</v>
      </c>
      <c r="I589" s="218">
        <v>92.335400000000007</v>
      </c>
      <c r="J589" s="246">
        <v>159328941</v>
      </c>
      <c r="K589" s="246">
        <v>162718061</v>
      </c>
      <c r="L589" s="218">
        <v>966.94</v>
      </c>
      <c r="M589" s="187">
        <v>0</v>
      </c>
      <c r="N589" s="251">
        <v>59.3797</v>
      </c>
      <c r="O589" s="251">
        <v>53.498699999999999</v>
      </c>
      <c r="P589" s="251">
        <v>48.648099999999999</v>
      </c>
      <c r="Q589" s="251">
        <v>59.5351</v>
      </c>
      <c r="R589" s="254">
        <v>1.0900000000000001</v>
      </c>
      <c r="S589" s="214">
        <v>0</v>
      </c>
      <c r="T589" s="214">
        <v>2108687</v>
      </c>
      <c r="U589" s="214">
        <v>0</v>
      </c>
      <c r="V589" s="187">
        <f t="shared" si="20"/>
        <v>2108687</v>
      </c>
      <c r="W589" s="187">
        <f t="shared" si="21"/>
        <v>2108687</v>
      </c>
    </row>
    <row r="590" spans="1:23">
      <c r="A590" s="216" t="s">
        <v>3534</v>
      </c>
      <c r="B590" s="218">
        <v>261.23599999999999</v>
      </c>
      <c r="C590" s="218">
        <v>258.53199999999998</v>
      </c>
      <c r="D590" s="218">
        <v>257.82100000000003</v>
      </c>
      <c r="E590" s="218">
        <v>262.76499999999999</v>
      </c>
      <c r="F590" s="218">
        <v>53.744700000000002</v>
      </c>
      <c r="G590" s="218">
        <v>55.791400000000003</v>
      </c>
      <c r="H590" s="218">
        <v>55.291400000000003</v>
      </c>
      <c r="I590" s="218">
        <v>56.8904</v>
      </c>
      <c r="J590" s="246">
        <v>142134526</v>
      </c>
      <c r="K590" s="246">
        <v>142134526</v>
      </c>
      <c r="L590" s="218">
        <v>470.35199999999998</v>
      </c>
      <c r="M590" s="187">
        <v>0</v>
      </c>
      <c r="N590" s="251">
        <v>37.743899999999996</v>
      </c>
      <c r="O590" s="251">
        <v>39.792099999999998</v>
      </c>
      <c r="P590" s="251">
        <v>34.603999999999999</v>
      </c>
      <c r="Q590" s="251">
        <v>34.5351</v>
      </c>
      <c r="R590" s="254">
        <v>1.0900000000000001</v>
      </c>
      <c r="S590" s="214">
        <v>0</v>
      </c>
      <c r="T590" s="214">
        <v>2191888</v>
      </c>
      <c r="U590" s="214">
        <v>0</v>
      </c>
      <c r="V590" s="187">
        <f t="shared" si="20"/>
        <v>2191888</v>
      </c>
      <c r="W590" s="187">
        <f t="shared" si="21"/>
        <v>2191888</v>
      </c>
    </row>
    <row r="591" spans="1:23">
      <c r="A591" s="216" t="s">
        <v>3536</v>
      </c>
      <c r="B591" s="218">
        <v>60.180999999999997</v>
      </c>
      <c r="C591" s="218">
        <v>52.482999999999997</v>
      </c>
      <c r="D591" s="218">
        <v>53.674999999999997</v>
      </c>
      <c r="E591" s="218">
        <v>52.188000000000002</v>
      </c>
      <c r="F591" s="218">
        <v>19.409199999999998</v>
      </c>
      <c r="G591" s="218">
        <v>17.9894</v>
      </c>
      <c r="H591" s="218">
        <v>15.492000000000001</v>
      </c>
      <c r="I591" s="218">
        <v>13</v>
      </c>
      <c r="J591" s="246">
        <v>10073472</v>
      </c>
      <c r="K591" s="246">
        <v>10736202</v>
      </c>
      <c r="L591" s="218">
        <v>148.821</v>
      </c>
      <c r="M591" s="187">
        <v>0</v>
      </c>
      <c r="N591" s="251">
        <v>10.420400000000001</v>
      </c>
      <c r="O591" s="251">
        <v>12.0001</v>
      </c>
      <c r="P591" s="251">
        <v>10.4998</v>
      </c>
      <c r="Q591" s="251">
        <v>8.5006000000000004</v>
      </c>
      <c r="R591" s="254">
        <v>1.1100000000000001</v>
      </c>
      <c r="S591" s="214">
        <v>0</v>
      </c>
      <c r="T591" s="214">
        <v>156402</v>
      </c>
      <c r="U591" s="214">
        <v>0</v>
      </c>
      <c r="V591" s="187">
        <f t="shared" si="20"/>
        <v>156402</v>
      </c>
      <c r="W591" s="187">
        <f t="shared" si="21"/>
        <v>156402</v>
      </c>
    </row>
    <row r="592" spans="1:23">
      <c r="A592" s="216" t="s">
        <v>511</v>
      </c>
      <c r="B592" s="218">
        <v>333.33699999999999</v>
      </c>
      <c r="C592" s="218">
        <v>302.84699999999998</v>
      </c>
      <c r="D592" s="218">
        <v>294.59100000000001</v>
      </c>
      <c r="E592" s="218">
        <v>286.43099999999998</v>
      </c>
      <c r="F592" s="218">
        <v>74.759500000000003</v>
      </c>
      <c r="G592" s="218">
        <v>72.684600000000003</v>
      </c>
      <c r="H592" s="218">
        <v>71.844999999999999</v>
      </c>
      <c r="I592" s="218">
        <v>71.844999999999999</v>
      </c>
      <c r="J592" s="246">
        <v>45761555</v>
      </c>
      <c r="K592" s="246">
        <v>49910745</v>
      </c>
      <c r="L592" s="218">
        <v>518.44399999999996</v>
      </c>
      <c r="M592" s="187">
        <v>0</v>
      </c>
      <c r="N592" s="251">
        <v>51.453800000000001</v>
      </c>
      <c r="O592" s="251">
        <v>45.116900000000001</v>
      </c>
      <c r="P592" s="251">
        <v>44.588299999999997</v>
      </c>
      <c r="Q592" s="251">
        <v>45.306600000000003</v>
      </c>
      <c r="R592" s="254">
        <v>1.08</v>
      </c>
      <c r="S592" s="214">
        <v>26898</v>
      </c>
      <c r="T592" s="214">
        <v>639038</v>
      </c>
      <c r="U592" s="214">
        <v>0</v>
      </c>
      <c r="V592" s="187">
        <f t="shared" si="20"/>
        <v>639038</v>
      </c>
      <c r="W592" s="187">
        <f t="shared" si="21"/>
        <v>665936</v>
      </c>
    </row>
    <row r="593" spans="1:23">
      <c r="A593" s="216" t="s">
        <v>3539</v>
      </c>
      <c r="B593" s="218">
        <v>414.83199999999999</v>
      </c>
      <c r="C593" s="218">
        <v>391.06900000000002</v>
      </c>
      <c r="D593" s="218">
        <v>404.58499999999998</v>
      </c>
      <c r="E593" s="218">
        <v>407.84699999999998</v>
      </c>
      <c r="F593" s="218">
        <v>69.683300000000003</v>
      </c>
      <c r="G593" s="218">
        <v>67.966800000000006</v>
      </c>
      <c r="H593" s="218">
        <v>72.466800000000006</v>
      </c>
      <c r="I593" s="218">
        <v>68.966800000000006</v>
      </c>
      <c r="J593" s="246">
        <v>29827025</v>
      </c>
      <c r="K593" s="246">
        <v>34100575</v>
      </c>
      <c r="L593" s="218">
        <v>686.29399999999998</v>
      </c>
      <c r="M593" s="187">
        <v>0</v>
      </c>
      <c r="N593" s="251">
        <v>52.718600000000002</v>
      </c>
      <c r="O593" s="251">
        <v>50.351599999999998</v>
      </c>
      <c r="P593" s="251">
        <v>50.995199999999997</v>
      </c>
      <c r="Q593" s="251">
        <v>46.999400000000001</v>
      </c>
      <c r="R593" s="254">
        <v>1.08</v>
      </c>
      <c r="S593" s="214">
        <v>0</v>
      </c>
      <c r="T593" s="214">
        <v>454011</v>
      </c>
      <c r="U593" s="214">
        <v>0</v>
      </c>
      <c r="V593" s="187">
        <f t="shared" si="20"/>
        <v>454011</v>
      </c>
      <c r="W593" s="187">
        <f t="shared" si="21"/>
        <v>454011</v>
      </c>
    </row>
    <row r="594" spans="1:23">
      <c r="A594" s="216" t="s">
        <v>3541</v>
      </c>
      <c r="B594" s="218">
        <v>97.489000000000004</v>
      </c>
      <c r="C594" s="218">
        <v>95.78</v>
      </c>
      <c r="D594" s="218">
        <v>92.887</v>
      </c>
      <c r="E594" s="218">
        <v>88.466999999999999</v>
      </c>
      <c r="F594" s="218">
        <v>19.2578</v>
      </c>
      <c r="G594" s="218">
        <v>23.0534</v>
      </c>
      <c r="H594" s="218">
        <v>20.229900000000001</v>
      </c>
      <c r="I594" s="218">
        <v>20.229900000000001</v>
      </c>
      <c r="J594" s="246">
        <v>22286507</v>
      </c>
      <c r="K594" s="246">
        <v>23083947</v>
      </c>
      <c r="L594" s="218">
        <v>260.64800000000002</v>
      </c>
      <c r="M594" s="187">
        <v>0</v>
      </c>
      <c r="N594" s="251">
        <v>12.8286</v>
      </c>
      <c r="O594" s="251">
        <v>17.053999999999998</v>
      </c>
      <c r="P594" s="251">
        <v>13.4763</v>
      </c>
      <c r="Q594" s="251">
        <v>14.1214</v>
      </c>
      <c r="R594" s="254">
        <v>1.08</v>
      </c>
      <c r="S594" s="214">
        <v>0</v>
      </c>
      <c r="T594" s="214">
        <v>331484</v>
      </c>
      <c r="U594" s="214">
        <v>0</v>
      </c>
      <c r="V594" s="187">
        <f t="shared" si="20"/>
        <v>331484</v>
      </c>
      <c r="W594" s="187">
        <f t="shared" si="21"/>
        <v>331484</v>
      </c>
    </row>
    <row r="595" spans="1:23">
      <c r="A595" s="216" t="s">
        <v>3543</v>
      </c>
      <c r="B595" s="218">
        <v>758.87599999999998</v>
      </c>
      <c r="C595" s="218">
        <v>738.89599999999996</v>
      </c>
      <c r="D595" s="218">
        <v>772.01800000000003</v>
      </c>
      <c r="E595" s="218">
        <v>837.39499999999998</v>
      </c>
      <c r="F595" s="218">
        <v>114.18219999999999</v>
      </c>
      <c r="G595" s="218">
        <v>114.1982</v>
      </c>
      <c r="H595" s="218">
        <v>114.1096</v>
      </c>
      <c r="I595" s="218">
        <v>113.2915</v>
      </c>
      <c r="J595" s="246">
        <v>532926663</v>
      </c>
      <c r="K595" s="246">
        <v>540048900</v>
      </c>
      <c r="L595" s="218">
        <v>1196.4590000000001</v>
      </c>
      <c r="M595" s="246">
        <v>994903</v>
      </c>
      <c r="N595" s="251">
        <v>71.374099999999999</v>
      </c>
      <c r="O595" s="251">
        <v>71.5745</v>
      </c>
      <c r="P595" s="251">
        <v>72.732399999999998</v>
      </c>
      <c r="Q595" s="251">
        <v>72.391599999999997</v>
      </c>
      <c r="R595" s="254">
        <v>1.03</v>
      </c>
      <c r="S595" s="214">
        <v>780929</v>
      </c>
      <c r="T595" s="214">
        <v>7516580</v>
      </c>
      <c r="U595" s="214">
        <v>0</v>
      </c>
      <c r="V595" s="187">
        <f t="shared" si="20"/>
        <v>7516580</v>
      </c>
      <c r="W595" s="187">
        <f t="shared" si="21"/>
        <v>8297509</v>
      </c>
    </row>
    <row r="596" spans="1:23">
      <c r="A596" s="216" t="s">
        <v>129</v>
      </c>
      <c r="B596" s="218">
        <v>254.58099999999999</v>
      </c>
      <c r="C596" s="218">
        <v>236.023</v>
      </c>
      <c r="D596" s="218">
        <v>228.89500000000001</v>
      </c>
      <c r="E596" s="218">
        <v>233.005</v>
      </c>
      <c r="F596" s="218">
        <v>39.604199999999999</v>
      </c>
      <c r="G596" s="218">
        <v>40.556100000000001</v>
      </c>
      <c r="H596" s="218">
        <v>40.1068</v>
      </c>
      <c r="I596" s="218">
        <v>41.401000000000003</v>
      </c>
      <c r="J596" s="246">
        <v>23677060</v>
      </c>
      <c r="K596" s="246">
        <v>26433550</v>
      </c>
      <c r="L596" s="218">
        <v>417.26600000000002</v>
      </c>
      <c r="M596" s="246">
        <v>13727</v>
      </c>
      <c r="N596" s="251">
        <v>28.000399999999999</v>
      </c>
      <c r="O596" s="251">
        <v>27.1662</v>
      </c>
      <c r="P596" s="251">
        <v>25.7545</v>
      </c>
      <c r="Q596" s="251">
        <v>29.289200000000001</v>
      </c>
      <c r="R596" s="254">
        <v>1.05</v>
      </c>
      <c r="S596" s="214">
        <v>28433</v>
      </c>
      <c r="T596" s="214">
        <v>372934</v>
      </c>
      <c r="U596" s="214">
        <v>0</v>
      </c>
      <c r="V596" s="187">
        <f t="shared" si="20"/>
        <v>372934</v>
      </c>
      <c r="W596" s="187">
        <f t="shared" si="21"/>
        <v>401367</v>
      </c>
    </row>
    <row r="597" spans="1:23">
      <c r="A597" s="216" t="s">
        <v>6193</v>
      </c>
      <c r="B597" s="218">
        <v>3536.8110000000001</v>
      </c>
      <c r="C597" s="218">
        <v>3510.482</v>
      </c>
      <c r="D597" s="218">
        <v>3543.0250000000001</v>
      </c>
      <c r="E597" s="218">
        <v>3551.1460000000002</v>
      </c>
      <c r="F597" s="218">
        <v>641.37860000000001</v>
      </c>
      <c r="G597" s="218">
        <v>650.97450000000003</v>
      </c>
      <c r="H597" s="218">
        <v>653.14949999999999</v>
      </c>
      <c r="I597" s="218">
        <v>650.36159999999995</v>
      </c>
      <c r="J597" s="246">
        <v>517691799</v>
      </c>
      <c r="K597" s="246">
        <v>563403441</v>
      </c>
      <c r="L597" s="218">
        <v>4934.9380000000001</v>
      </c>
      <c r="M597" s="246">
        <v>83321</v>
      </c>
      <c r="N597" s="251">
        <v>396.24860000000001</v>
      </c>
      <c r="O597" s="251">
        <v>401.97430000000003</v>
      </c>
      <c r="P597" s="251">
        <v>406.4341</v>
      </c>
      <c r="Q597" s="251">
        <v>401.30900000000003</v>
      </c>
      <c r="R597" s="254">
        <v>1.06</v>
      </c>
      <c r="S597" s="214">
        <v>513796</v>
      </c>
      <c r="T597" s="214">
        <v>7951555</v>
      </c>
      <c r="U597" s="214">
        <v>0</v>
      </c>
      <c r="V597" s="187">
        <f t="shared" si="20"/>
        <v>7951555</v>
      </c>
      <c r="W597" s="187">
        <f t="shared" si="21"/>
        <v>8465351</v>
      </c>
    </row>
    <row r="598" spans="1:23">
      <c r="A598" s="216" t="s">
        <v>2674</v>
      </c>
      <c r="B598" s="218">
        <v>2951.89</v>
      </c>
      <c r="C598" s="218">
        <v>3017.3589999999999</v>
      </c>
      <c r="D598" s="218">
        <v>3003.7440000000001</v>
      </c>
      <c r="E598" s="218">
        <v>3026.7339999999999</v>
      </c>
      <c r="F598" s="218">
        <v>419.18459999999999</v>
      </c>
      <c r="G598" s="218">
        <v>415.05739999999997</v>
      </c>
      <c r="H598" s="218">
        <v>435.5224</v>
      </c>
      <c r="I598" s="218">
        <v>427.6705</v>
      </c>
      <c r="J598" s="246">
        <v>606782641</v>
      </c>
      <c r="K598" s="246">
        <v>694499839</v>
      </c>
      <c r="L598" s="218">
        <v>3959.8620000000001</v>
      </c>
      <c r="M598" s="246">
        <v>726325</v>
      </c>
      <c r="N598" s="251">
        <v>280.4058</v>
      </c>
      <c r="O598" s="251">
        <v>292.47559999999999</v>
      </c>
      <c r="P598" s="251">
        <v>297.84100000000001</v>
      </c>
      <c r="Q598" s="251">
        <v>301.66680000000002</v>
      </c>
      <c r="R598" s="254">
        <v>1.06</v>
      </c>
      <c r="S598" s="214">
        <v>1398136</v>
      </c>
      <c r="T598" s="214">
        <v>8666424</v>
      </c>
      <c r="U598" s="214">
        <v>0</v>
      </c>
      <c r="V598" s="187">
        <f t="shared" si="20"/>
        <v>8666424</v>
      </c>
      <c r="W598" s="187">
        <f t="shared" si="21"/>
        <v>10064560</v>
      </c>
    </row>
    <row r="599" spans="1:23">
      <c r="A599" s="216" t="s">
        <v>512</v>
      </c>
      <c r="B599" s="218">
        <v>934.13199999999995</v>
      </c>
      <c r="C599" s="218">
        <v>933.66700000000003</v>
      </c>
      <c r="D599" s="218">
        <v>953.91300000000001</v>
      </c>
      <c r="E599" s="218">
        <v>978.79499999999996</v>
      </c>
      <c r="F599" s="218">
        <v>142.54169999999999</v>
      </c>
      <c r="G599" s="218">
        <v>142.97479999999999</v>
      </c>
      <c r="H599" s="218">
        <v>134.98750000000001</v>
      </c>
      <c r="I599" s="218">
        <v>130.13740000000001</v>
      </c>
      <c r="J599" s="246">
        <v>91671619</v>
      </c>
      <c r="K599" s="246">
        <v>105039849</v>
      </c>
      <c r="L599" s="218">
        <v>1466.1379999999999</v>
      </c>
      <c r="M599" s="187">
        <v>0</v>
      </c>
      <c r="N599" s="251">
        <v>99.627200000000002</v>
      </c>
      <c r="O599" s="251">
        <v>99.057500000000005</v>
      </c>
      <c r="P599" s="251">
        <v>92.2547</v>
      </c>
      <c r="Q599" s="251">
        <v>87.599599999999995</v>
      </c>
      <c r="R599" s="254">
        <v>1.04</v>
      </c>
      <c r="S599" s="214">
        <v>222229</v>
      </c>
      <c r="T599" s="214">
        <v>1338407</v>
      </c>
      <c r="U599" s="214">
        <v>0</v>
      </c>
      <c r="V599" s="187">
        <f t="shared" si="20"/>
        <v>1338407</v>
      </c>
      <c r="W599" s="187">
        <f t="shared" si="21"/>
        <v>1560636</v>
      </c>
    </row>
    <row r="600" spans="1:23">
      <c r="A600" s="216" t="s">
        <v>600</v>
      </c>
      <c r="B600" s="218">
        <v>176.714</v>
      </c>
      <c r="C600" s="218">
        <v>170.84800000000001</v>
      </c>
      <c r="D600" s="218">
        <v>166.19399999999999</v>
      </c>
      <c r="E600" s="218">
        <v>170.40799999999999</v>
      </c>
      <c r="F600" s="218">
        <v>34.0642</v>
      </c>
      <c r="G600" s="218">
        <v>33.0642</v>
      </c>
      <c r="H600" s="218">
        <v>35.299500000000002</v>
      </c>
      <c r="I600" s="218">
        <v>33.818199999999997</v>
      </c>
      <c r="J600" s="246">
        <v>29039548</v>
      </c>
      <c r="K600" s="246">
        <v>30638658</v>
      </c>
      <c r="L600" s="218">
        <v>312.73</v>
      </c>
      <c r="M600" s="187">
        <v>0</v>
      </c>
      <c r="N600" s="251">
        <v>21.623799999999999</v>
      </c>
      <c r="O600" s="251">
        <v>21.713899999999999</v>
      </c>
      <c r="P600" s="251">
        <v>23.9483</v>
      </c>
      <c r="Q600" s="251">
        <v>22.964300000000001</v>
      </c>
      <c r="R600" s="254">
        <v>1.06</v>
      </c>
      <c r="S600" s="214">
        <v>0</v>
      </c>
      <c r="T600" s="214">
        <v>512803</v>
      </c>
      <c r="U600" s="214">
        <v>0</v>
      </c>
      <c r="V600" s="187">
        <f t="shared" si="20"/>
        <v>512803</v>
      </c>
      <c r="W600" s="187">
        <f t="shared" si="21"/>
        <v>512803</v>
      </c>
    </row>
    <row r="601" spans="1:23">
      <c r="A601" s="216" t="s">
        <v>602</v>
      </c>
      <c r="B601" s="218">
        <v>1418.069</v>
      </c>
      <c r="C601" s="218">
        <v>1483.1880000000001</v>
      </c>
      <c r="D601" s="218">
        <v>1484.453</v>
      </c>
      <c r="E601" s="218">
        <v>1536.509</v>
      </c>
      <c r="F601" s="218">
        <v>197.94210000000001</v>
      </c>
      <c r="G601" s="218">
        <v>201.37540000000001</v>
      </c>
      <c r="H601" s="218">
        <v>206.5565</v>
      </c>
      <c r="I601" s="218">
        <v>213.04640000000001</v>
      </c>
      <c r="J601" s="246">
        <v>171023679</v>
      </c>
      <c r="K601" s="246">
        <v>185160489</v>
      </c>
      <c r="L601" s="218">
        <v>2495.7649999999999</v>
      </c>
      <c r="M601" s="246">
        <v>56836</v>
      </c>
      <c r="N601" s="251">
        <v>133.39449999999999</v>
      </c>
      <c r="O601" s="251">
        <v>135.9913</v>
      </c>
      <c r="P601" s="251">
        <v>141.52719999999999</v>
      </c>
      <c r="Q601" s="251">
        <v>147.303</v>
      </c>
      <c r="R601" s="254">
        <v>1.07</v>
      </c>
      <c r="S601" s="214">
        <v>37807</v>
      </c>
      <c r="T601" s="214">
        <v>2278892</v>
      </c>
      <c r="U601" s="214">
        <v>0</v>
      </c>
      <c r="V601" s="187">
        <f t="shared" si="20"/>
        <v>2278892</v>
      </c>
      <c r="W601" s="187">
        <f t="shared" si="21"/>
        <v>2316699</v>
      </c>
    </row>
    <row r="602" spans="1:23">
      <c r="A602" s="216" t="s">
        <v>6188</v>
      </c>
      <c r="B602" s="218">
        <v>723.50199999999995</v>
      </c>
      <c r="C602" s="218">
        <v>709.779</v>
      </c>
      <c r="D602" s="218">
        <v>711.69200000000001</v>
      </c>
      <c r="E602" s="218">
        <v>721.13699999999994</v>
      </c>
      <c r="F602" s="218">
        <v>147.82990000000001</v>
      </c>
      <c r="G602" s="218">
        <v>138.54339999999999</v>
      </c>
      <c r="H602" s="218">
        <v>141.04570000000001</v>
      </c>
      <c r="I602" s="218">
        <v>132.7697</v>
      </c>
      <c r="J602" s="246">
        <v>70420481</v>
      </c>
      <c r="K602" s="246">
        <v>75328551</v>
      </c>
      <c r="L602" s="218">
        <v>1221.846</v>
      </c>
      <c r="M602" s="187">
        <v>0</v>
      </c>
      <c r="N602" s="251">
        <v>103.0907</v>
      </c>
      <c r="O602" s="251">
        <v>92.422899999999998</v>
      </c>
      <c r="P602" s="251">
        <v>94.513900000000007</v>
      </c>
      <c r="Q602" s="251">
        <v>86.240700000000004</v>
      </c>
      <c r="R602" s="254">
        <v>1.07</v>
      </c>
      <c r="S602" s="214">
        <v>66388</v>
      </c>
      <c r="T602" s="214">
        <v>1246567</v>
      </c>
      <c r="U602" s="214">
        <v>0</v>
      </c>
      <c r="V602" s="187">
        <f t="shared" si="20"/>
        <v>1246567</v>
      </c>
      <c r="W602" s="187">
        <f t="shared" si="21"/>
        <v>1312955</v>
      </c>
    </row>
    <row r="603" spans="1:23">
      <c r="A603" s="216" t="s">
        <v>2016</v>
      </c>
      <c r="B603" s="218">
        <v>105.35299999999999</v>
      </c>
      <c r="C603" s="218">
        <v>149.911</v>
      </c>
      <c r="D603" s="218">
        <v>166.67400000000001</v>
      </c>
      <c r="E603" s="218">
        <v>162.05699999999999</v>
      </c>
      <c r="F603" s="218">
        <v>25.689800000000002</v>
      </c>
      <c r="G603" s="218">
        <v>33.737900000000003</v>
      </c>
      <c r="H603" s="218">
        <v>36.711199999999998</v>
      </c>
      <c r="I603" s="218">
        <v>35.975900000000003</v>
      </c>
      <c r="J603" s="246">
        <v>10746413</v>
      </c>
      <c r="K603" s="246">
        <v>11253893</v>
      </c>
      <c r="L603" s="218">
        <v>301.33600000000001</v>
      </c>
      <c r="M603" s="187">
        <v>0</v>
      </c>
      <c r="N603" s="251">
        <v>17.401599999999998</v>
      </c>
      <c r="O603" s="251">
        <v>24.4009</v>
      </c>
      <c r="P603" s="251">
        <v>23.402200000000001</v>
      </c>
      <c r="Q603" s="251">
        <v>23.7943</v>
      </c>
      <c r="R603" s="254">
        <v>1.07</v>
      </c>
      <c r="S603" s="214">
        <v>0</v>
      </c>
      <c r="T603" s="214">
        <v>203390</v>
      </c>
      <c r="U603" s="214">
        <v>0</v>
      </c>
      <c r="V603" s="187">
        <f t="shared" si="20"/>
        <v>203390</v>
      </c>
      <c r="W603" s="187">
        <f t="shared" si="21"/>
        <v>203390</v>
      </c>
    </row>
    <row r="604" spans="1:23">
      <c r="A604" s="216" t="s">
        <v>2018</v>
      </c>
      <c r="B604" s="218">
        <v>395.92500000000001</v>
      </c>
      <c r="C604" s="218">
        <v>401.94600000000003</v>
      </c>
      <c r="D604" s="218">
        <v>389.80700000000002</v>
      </c>
      <c r="E604" s="218">
        <v>360.35599999999999</v>
      </c>
      <c r="F604" s="218">
        <v>66.738200000000006</v>
      </c>
      <c r="G604" s="218">
        <v>71.126000000000005</v>
      </c>
      <c r="H604" s="218">
        <v>68.492199999999997</v>
      </c>
      <c r="I604" s="218">
        <v>54.462600000000002</v>
      </c>
      <c r="J604" s="246">
        <v>48504252</v>
      </c>
      <c r="K604" s="246">
        <v>52144231</v>
      </c>
      <c r="L604" s="218">
        <v>661.29700000000003</v>
      </c>
      <c r="M604" s="187">
        <v>0</v>
      </c>
      <c r="N604" s="251">
        <v>43.997599999999998</v>
      </c>
      <c r="O604" s="251">
        <v>43.002000000000002</v>
      </c>
      <c r="P604" s="251">
        <v>45.011000000000003</v>
      </c>
      <c r="Q604" s="251">
        <v>44.499499999999998</v>
      </c>
      <c r="R604" s="254">
        <v>1.07</v>
      </c>
      <c r="S604" s="214">
        <v>0</v>
      </c>
      <c r="T604" s="214">
        <v>897172</v>
      </c>
      <c r="U604" s="214">
        <v>0</v>
      </c>
      <c r="V604" s="187">
        <f t="shared" si="20"/>
        <v>897172</v>
      </c>
      <c r="W604" s="187">
        <f t="shared" si="21"/>
        <v>897172</v>
      </c>
    </row>
    <row r="605" spans="1:23">
      <c r="A605" s="216" t="s">
        <v>2020</v>
      </c>
      <c r="B605" s="218">
        <v>324.041</v>
      </c>
      <c r="C605" s="218">
        <v>317.89800000000002</v>
      </c>
      <c r="D605" s="218">
        <v>318.428</v>
      </c>
      <c r="E605" s="218">
        <v>357.71699999999998</v>
      </c>
      <c r="F605" s="218">
        <v>67.260999999999996</v>
      </c>
      <c r="G605" s="218">
        <v>68</v>
      </c>
      <c r="H605" s="218">
        <v>66.871799999999993</v>
      </c>
      <c r="I605" s="218">
        <v>71.807599999999994</v>
      </c>
      <c r="J605" s="246">
        <v>457979750</v>
      </c>
      <c r="K605" s="246">
        <v>461737145</v>
      </c>
      <c r="L605" s="218">
        <v>724.78499999999997</v>
      </c>
      <c r="M605" s="246">
        <v>366522</v>
      </c>
      <c r="N605" s="251">
        <v>42.861499999999999</v>
      </c>
      <c r="O605" s="251">
        <v>46.000999999999998</v>
      </c>
      <c r="P605" s="251">
        <v>43.000500000000002</v>
      </c>
      <c r="Q605" s="251">
        <v>46.000999999999998</v>
      </c>
      <c r="R605" s="254">
        <v>1.06</v>
      </c>
      <c r="S605" s="214">
        <v>214995</v>
      </c>
      <c r="T605" s="214">
        <v>5714075</v>
      </c>
      <c r="U605" s="214">
        <v>0</v>
      </c>
      <c r="V605" s="187">
        <f t="shared" si="20"/>
        <v>5714075</v>
      </c>
      <c r="W605" s="187">
        <f t="shared" si="21"/>
        <v>5929070</v>
      </c>
    </row>
    <row r="606" spans="1:23">
      <c r="A606" s="216" t="s">
        <v>2024</v>
      </c>
      <c r="B606" s="218">
        <v>3055.7620000000002</v>
      </c>
      <c r="C606" s="218">
        <v>3043.8429999999998</v>
      </c>
      <c r="D606" s="218">
        <v>3031.3510000000001</v>
      </c>
      <c r="E606" s="218">
        <v>3055.902</v>
      </c>
      <c r="F606" s="218">
        <v>473.79390000000001</v>
      </c>
      <c r="G606" s="218">
        <v>457.2278</v>
      </c>
      <c r="H606" s="218">
        <v>458.9889</v>
      </c>
      <c r="I606" s="218">
        <v>458.01870000000002</v>
      </c>
      <c r="J606" s="246">
        <v>462178060</v>
      </c>
      <c r="K606" s="246">
        <v>501789080</v>
      </c>
      <c r="L606" s="218">
        <v>4162.0159999999996</v>
      </c>
      <c r="M606" s="246">
        <v>257931</v>
      </c>
      <c r="N606" s="251">
        <v>294.03699999999998</v>
      </c>
      <c r="O606" s="251">
        <v>285.0702</v>
      </c>
      <c r="P606" s="251">
        <v>282.03710000000001</v>
      </c>
      <c r="Q606" s="251">
        <v>276.41890000000001</v>
      </c>
      <c r="R606" s="254">
        <v>1.07</v>
      </c>
      <c r="S606" s="214">
        <v>257480</v>
      </c>
      <c r="T606" s="214">
        <v>7225327</v>
      </c>
      <c r="U606" s="214">
        <v>0</v>
      </c>
      <c r="V606" s="187">
        <f t="shared" si="20"/>
        <v>7225327</v>
      </c>
      <c r="W606" s="187">
        <f t="shared" si="21"/>
        <v>7482807</v>
      </c>
    </row>
    <row r="607" spans="1:23">
      <c r="A607" s="216" t="s">
        <v>2026</v>
      </c>
      <c r="B607" s="218">
        <v>253.971</v>
      </c>
      <c r="C607" s="218">
        <v>239.536</v>
      </c>
      <c r="D607" s="218">
        <v>249.65299999999999</v>
      </c>
      <c r="E607" s="218">
        <v>266.29000000000002</v>
      </c>
      <c r="F607" s="218">
        <v>51.360999999999997</v>
      </c>
      <c r="G607" s="218">
        <v>53.909100000000002</v>
      </c>
      <c r="H607" s="218">
        <v>53.600999999999999</v>
      </c>
      <c r="I607" s="218">
        <v>50.850299999999997</v>
      </c>
      <c r="J607" s="246">
        <v>44480184</v>
      </c>
      <c r="K607" s="246">
        <v>47729074</v>
      </c>
      <c r="L607" s="218">
        <v>526.82600000000002</v>
      </c>
      <c r="M607" s="187">
        <v>0</v>
      </c>
      <c r="N607" s="251">
        <v>27.500599999999999</v>
      </c>
      <c r="O607" s="251">
        <v>37.464799999999997</v>
      </c>
      <c r="P607" s="251">
        <v>37.24</v>
      </c>
      <c r="Q607" s="251">
        <v>30.498899999999999</v>
      </c>
      <c r="R607" s="254">
        <v>1.06</v>
      </c>
      <c r="S607" s="214">
        <v>0</v>
      </c>
      <c r="T607" s="214">
        <v>621601</v>
      </c>
      <c r="U607" s="214">
        <v>0</v>
      </c>
      <c r="V607" s="187">
        <f t="shared" si="20"/>
        <v>621601</v>
      </c>
      <c r="W607" s="187">
        <f t="shared" si="21"/>
        <v>621601</v>
      </c>
    </row>
    <row r="608" spans="1:23">
      <c r="A608" s="216" t="s">
        <v>242</v>
      </c>
      <c r="B608" s="218">
        <v>1270.7829999999999</v>
      </c>
      <c r="C608" s="218">
        <v>1158.0029999999999</v>
      </c>
      <c r="D608" s="218">
        <v>1140.2080000000001</v>
      </c>
      <c r="E608" s="218">
        <v>1150.5889999999999</v>
      </c>
      <c r="F608" s="218">
        <v>197.41480000000001</v>
      </c>
      <c r="G608" s="218">
        <v>197.7139</v>
      </c>
      <c r="H608" s="218">
        <v>196.55070000000001</v>
      </c>
      <c r="I608" s="218">
        <v>227.76480000000001</v>
      </c>
      <c r="J608" s="246">
        <v>185961086</v>
      </c>
      <c r="K608" s="246">
        <v>195494783</v>
      </c>
      <c r="L608" s="218">
        <v>1933.1659999999999</v>
      </c>
      <c r="M608" s="187">
        <v>0</v>
      </c>
      <c r="N608" s="251">
        <v>128.11080000000001</v>
      </c>
      <c r="O608" s="251">
        <v>127.8691</v>
      </c>
      <c r="P608" s="251">
        <v>120.68040000000001</v>
      </c>
      <c r="Q608" s="251">
        <v>125.848</v>
      </c>
      <c r="R608" s="254">
        <v>1.1000000000000001</v>
      </c>
      <c r="S608" s="214">
        <v>176924</v>
      </c>
      <c r="T608" s="214">
        <v>2926771</v>
      </c>
      <c r="U608" s="214">
        <v>0</v>
      </c>
      <c r="V608" s="187">
        <f t="shared" si="20"/>
        <v>2926771</v>
      </c>
      <c r="W608" s="187">
        <f t="shared" si="21"/>
        <v>3103695</v>
      </c>
    </row>
    <row r="609" spans="1:23">
      <c r="A609" s="216" t="s">
        <v>2028</v>
      </c>
      <c r="B609" s="218">
        <v>1029.9449999999999</v>
      </c>
      <c r="C609" s="218">
        <v>999.53499999999997</v>
      </c>
      <c r="D609" s="218">
        <v>987.73099999999999</v>
      </c>
      <c r="E609" s="218">
        <v>974.29</v>
      </c>
      <c r="F609" s="218">
        <v>141.35929999999999</v>
      </c>
      <c r="G609" s="218">
        <v>143.38650000000001</v>
      </c>
      <c r="H609" s="218">
        <v>147.7654</v>
      </c>
      <c r="I609" s="218">
        <v>147.19749999999999</v>
      </c>
      <c r="J609" s="246">
        <v>441737616</v>
      </c>
      <c r="K609" s="246">
        <v>460648042</v>
      </c>
      <c r="L609" s="218">
        <v>1609.8810000000001</v>
      </c>
      <c r="M609" s="187">
        <v>0</v>
      </c>
      <c r="N609" s="251">
        <v>91.023300000000006</v>
      </c>
      <c r="O609" s="251">
        <v>91.858999999999995</v>
      </c>
      <c r="P609" s="251">
        <v>95.035600000000002</v>
      </c>
      <c r="Q609" s="251">
        <v>96.837000000000003</v>
      </c>
      <c r="R609" s="254">
        <v>1.06</v>
      </c>
      <c r="S609" s="214">
        <v>0</v>
      </c>
      <c r="T609" s="214">
        <v>5882683</v>
      </c>
      <c r="U609" s="214">
        <v>0</v>
      </c>
      <c r="V609" s="187">
        <f t="shared" si="20"/>
        <v>5882683</v>
      </c>
      <c r="W609" s="187">
        <f t="shared" si="21"/>
        <v>5882683</v>
      </c>
    </row>
    <row r="610" spans="1:23">
      <c r="A610" s="216" t="s">
        <v>2030</v>
      </c>
      <c r="B610" s="218">
        <v>367.37900000000002</v>
      </c>
      <c r="C610" s="218">
        <v>347.85899999999998</v>
      </c>
      <c r="D610" s="218">
        <v>343.55799999999999</v>
      </c>
      <c r="E610" s="218">
        <v>342.642</v>
      </c>
      <c r="F610" s="218">
        <v>51.6554</v>
      </c>
      <c r="G610" s="218">
        <v>53.177500000000002</v>
      </c>
      <c r="H610" s="218">
        <v>53.7577</v>
      </c>
      <c r="I610" s="218">
        <v>55.957599999999999</v>
      </c>
      <c r="J610" s="246">
        <v>42952249</v>
      </c>
      <c r="K610" s="246">
        <v>49332129</v>
      </c>
      <c r="L610" s="218">
        <v>571.94399999999996</v>
      </c>
      <c r="M610" s="246">
        <v>15159</v>
      </c>
      <c r="N610" s="251">
        <v>34.000300000000003</v>
      </c>
      <c r="O610" s="251">
        <v>35.000399999999999</v>
      </c>
      <c r="P610" s="251">
        <v>34.000799999999998</v>
      </c>
      <c r="Q610" s="251">
        <v>35</v>
      </c>
      <c r="R610" s="254">
        <v>1.06</v>
      </c>
      <c r="S610" s="214">
        <v>16390</v>
      </c>
      <c r="T610" s="214">
        <v>597091</v>
      </c>
      <c r="U610" s="214">
        <v>0</v>
      </c>
      <c r="V610" s="187">
        <f t="shared" si="20"/>
        <v>597091</v>
      </c>
      <c r="W610" s="187">
        <f t="shared" si="21"/>
        <v>613481</v>
      </c>
    </row>
    <row r="611" spans="1:23">
      <c r="A611" s="216" t="s">
        <v>2032</v>
      </c>
      <c r="B611" s="218">
        <v>519.18100000000004</v>
      </c>
      <c r="C611" s="218">
        <v>509.20400000000001</v>
      </c>
      <c r="D611" s="218">
        <v>493.82600000000002</v>
      </c>
      <c r="E611" s="218">
        <v>478.702</v>
      </c>
      <c r="F611" s="218">
        <v>84.255799999999994</v>
      </c>
      <c r="G611" s="218">
        <v>89.160700000000006</v>
      </c>
      <c r="H611" s="218">
        <v>94.005499999999998</v>
      </c>
      <c r="I611" s="218">
        <v>90.294200000000004</v>
      </c>
      <c r="J611" s="246">
        <v>127167747</v>
      </c>
      <c r="K611" s="246">
        <v>139319133</v>
      </c>
      <c r="L611" s="218">
        <v>799.88599999999997</v>
      </c>
      <c r="M611" s="187">
        <v>0</v>
      </c>
      <c r="N611" s="251">
        <v>58.072699999999998</v>
      </c>
      <c r="O611" s="251">
        <v>59.976500000000001</v>
      </c>
      <c r="P611" s="251">
        <v>61.647100000000002</v>
      </c>
      <c r="Q611" s="251">
        <v>59.424399999999999</v>
      </c>
      <c r="R611" s="254">
        <v>1.07</v>
      </c>
      <c r="S611" s="214">
        <v>0</v>
      </c>
      <c r="T611" s="214">
        <v>1899672</v>
      </c>
      <c r="U611" s="214">
        <v>0</v>
      </c>
      <c r="V611" s="187">
        <f t="shared" si="20"/>
        <v>1899672</v>
      </c>
      <c r="W611" s="187">
        <f t="shared" si="21"/>
        <v>1899672</v>
      </c>
    </row>
    <row r="612" spans="1:23">
      <c r="A612" s="216" t="s">
        <v>2034</v>
      </c>
      <c r="B612" s="218">
        <v>68.100999999999999</v>
      </c>
      <c r="C612" s="218">
        <v>66.566000000000003</v>
      </c>
      <c r="D612" s="218">
        <v>74.63</v>
      </c>
      <c r="E612" s="218">
        <v>82.045000000000002</v>
      </c>
      <c r="F612" s="218">
        <v>14.5068</v>
      </c>
      <c r="G612" s="218">
        <v>13.5068</v>
      </c>
      <c r="H612" s="218">
        <v>13.5068</v>
      </c>
      <c r="I612" s="218">
        <v>14.448</v>
      </c>
      <c r="J612" s="246">
        <v>43241991</v>
      </c>
      <c r="K612" s="246">
        <v>45563662</v>
      </c>
      <c r="L612" s="218">
        <v>137.64400000000001</v>
      </c>
      <c r="M612" s="187">
        <v>0</v>
      </c>
      <c r="N612" s="251">
        <v>10.2965</v>
      </c>
      <c r="O612" s="251">
        <v>9.6182999999999996</v>
      </c>
      <c r="P612" s="251">
        <v>9.2012</v>
      </c>
      <c r="Q612" s="251">
        <v>9.4359999999999999</v>
      </c>
      <c r="R612" s="254">
        <v>1.07</v>
      </c>
      <c r="S612" s="214">
        <v>0</v>
      </c>
      <c r="T612" s="214">
        <v>634777</v>
      </c>
      <c r="U612" s="214">
        <v>0</v>
      </c>
      <c r="V612" s="187">
        <f t="shared" si="20"/>
        <v>634777</v>
      </c>
      <c r="W612" s="187">
        <f t="shared" si="21"/>
        <v>634777</v>
      </c>
    </row>
    <row r="613" spans="1:23">
      <c r="A613" s="216" t="s">
        <v>2036</v>
      </c>
      <c r="B613" s="218">
        <v>81.215000000000003</v>
      </c>
      <c r="C613" s="218">
        <v>77.629000000000005</v>
      </c>
      <c r="D613" s="218">
        <v>76.555999999999997</v>
      </c>
      <c r="E613" s="218">
        <v>80.462000000000003</v>
      </c>
      <c r="F613" s="218">
        <v>12.9574</v>
      </c>
      <c r="G613" s="218">
        <v>13.2247</v>
      </c>
      <c r="H613" s="218">
        <v>14.732799999999999</v>
      </c>
      <c r="I613" s="218">
        <v>14.770200000000001</v>
      </c>
      <c r="J613" s="246">
        <v>17366190</v>
      </c>
      <c r="K613" s="246">
        <v>19708090</v>
      </c>
      <c r="L613" s="218">
        <v>128.67099999999999</v>
      </c>
      <c r="M613" s="187">
        <v>0</v>
      </c>
      <c r="N613" s="251">
        <v>6.8933</v>
      </c>
      <c r="O613" s="251">
        <v>7.7866999999999997</v>
      </c>
      <c r="P613" s="251">
        <v>8.7688000000000006</v>
      </c>
      <c r="Q613" s="251">
        <v>8.9794</v>
      </c>
      <c r="R613" s="254">
        <v>1.07</v>
      </c>
      <c r="S613" s="214">
        <v>0</v>
      </c>
      <c r="T613" s="214">
        <v>341722</v>
      </c>
      <c r="U613" s="214">
        <v>0</v>
      </c>
      <c r="V613" s="187">
        <f t="shared" si="20"/>
        <v>341722</v>
      </c>
      <c r="W613" s="187">
        <f t="shared" si="21"/>
        <v>341722</v>
      </c>
    </row>
    <row r="614" spans="1:23">
      <c r="A614" s="216" t="s">
        <v>308</v>
      </c>
      <c r="B614" s="218">
        <v>76.009</v>
      </c>
      <c r="C614" s="218">
        <v>71.575999999999993</v>
      </c>
      <c r="D614" s="218">
        <v>69.414000000000001</v>
      </c>
      <c r="E614" s="218">
        <v>69.081000000000003</v>
      </c>
      <c r="F614" s="218">
        <v>13.9305</v>
      </c>
      <c r="G614" s="218">
        <v>13.9091</v>
      </c>
      <c r="H614" s="218">
        <v>15.8611</v>
      </c>
      <c r="I614" s="218">
        <v>14.8985</v>
      </c>
      <c r="J614" s="246">
        <v>109551349</v>
      </c>
      <c r="K614" s="246">
        <v>111726059</v>
      </c>
      <c r="L614" s="218">
        <v>120.61199999999999</v>
      </c>
      <c r="M614" s="187">
        <v>0</v>
      </c>
      <c r="N614" s="251">
        <v>10.184200000000001</v>
      </c>
      <c r="O614" s="251">
        <v>10.1721</v>
      </c>
      <c r="P614" s="251">
        <v>10.279400000000001</v>
      </c>
      <c r="Q614" s="251">
        <v>10.279299999999999</v>
      </c>
      <c r="R614" s="254">
        <v>1.07</v>
      </c>
      <c r="S614" s="214">
        <v>0</v>
      </c>
      <c r="T614" s="214">
        <v>1365148</v>
      </c>
      <c r="U614" s="214">
        <v>0</v>
      </c>
      <c r="V614" s="187">
        <f t="shared" si="20"/>
        <v>1365148</v>
      </c>
      <c r="W614" s="187">
        <f t="shared" si="21"/>
        <v>1365148</v>
      </c>
    </row>
    <row r="615" spans="1:23">
      <c r="A615" s="216" t="s">
        <v>310</v>
      </c>
      <c r="B615" s="218">
        <v>1656.329</v>
      </c>
      <c r="C615" s="218">
        <v>1636.1590000000001</v>
      </c>
      <c r="D615" s="218">
        <v>1651.684</v>
      </c>
      <c r="E615" s="218">
        <v>1685.9839999999999</v>
      </c>
      <c r="F615" s="218">
        <v>285.03680000000003</v>
      </c>
      <c r="G615" s="218">
        <v>289.2296</v>
      </c>
      <c r="H615" s="218">
        <v>296.80709999999999</v>
      </c>
      <c r="I615" s="218">
        <v>295.76150000000001</v>
      </c>
      <c r="J615" s="246">
        <v>405788943</v>
      </c>
      <c r="K615" s="246">
        <v>425755743</v>
      </c>
      <c r="L615" s="218">
        <v>2386.7460000000001</v>
      </c>
      <c r="M615" s="246">
        <v>445189</v>
      </c>
      <c r="N615" s="251">
        <v>172.345</v>
      </c>
      <c r="O615" s="251">
        <v>185.4803</v>
      </c>
      <c r="P615" s="251">
        <v>184.6763</v>
      </c>
      <c r="Q615" s="251">
        <v>182.6165</v>
      </c>
      <c r="R615" s="254">
        <v>1.08</v>
      </c>
      <c r="S615" s="214">
        <v>478793</v>
      </c>
      <c r="T615" s="214">
        <v>5949883</v>
      </c>
      <c r="U615" s="214">
        <v>0</v>
      </c>
      <c r="V615" s="187">
        <f t="shared" si="20"/>
        <v>5949883</v>
      </c>
      <c r="W615" s="187">
        <f t="shared" si="21"/>
        <v>6428676</v>
      </c>
    </row>
    <row r="616" spans="1:23">
      <c r="A616" s="216" t="s">
        <v>312</v>
      </c>
      <c r="B616" s="218">
        <v>942.30499999999995</v>
      </c>
      <c r="C616" s="218">
        <v>945.51499999999999</v>
      </c>
      <c r="D616" s="218">
        <v>964.32100000000003</v>
      </c>
      <c r="E616" s="218">
        <v>964.73900000000003</v>
      </c>
      <c r="F616" s="218">
        <v>144.7269</v>
      </c>
      <c r="G616" s="218">
        <v>145.56100000000001</v>
      </c>
      <c r="H616" s="218">
        <v>155.61259999999999</v>
      </c>
      <c r="I616" s="218">
        <v>155.89590000000001</v>
      </c>
      <c r="J616" s="246">
        <v>149440984</v>
      </c>
      <c r="K616" s="246">
        <v>162022017</v>
      </c>
      <c r="L616" s="218">
        <v>1459.7670000000001</v>
      </c>
      <c r="M616" s="246">
        <v>105812</v>
      </c>
      <c r="N616" s="251">
        <v>101.0723</v>
      </c>
      <c r="O616" s="251">
        <v>98.170500000000004</v>
      </c>
      <c r="P616" s="251">
        <v>102.1737</v>
      </c>
      <c r="Q616" s="251">
        <v>100.4426</v>
      </c>
      <c r="R616" s="254">
        <v>1.07</v>
      </c>
      <c r="S616" s="214">
        <v>108462</v>
      </c>
      <c r="T616" s="214">
        <v>2247802</v>
      </c>
      <c r="U616" s="214">
        <v>0</v>
      </c>
      <c r="V616" s="187">
        <f t="shared" si="20"/>
        <v>2247802</v>
      </c>
      <c r="W616" s="187">
        <f t="shared" si="21"/>
        <v>2356264</v>
      </c>
    </row>
    <row r="617" spans="1:23">
      <c r="A617" s="216" t="s">
        <v>314</v>
      </c>
      <c r="B617" s="218">
        <v>190.255</v>
      </c>
      <c r="C617" s="218">
        <v>215.01</v>
      </c>
      <c r="D617" s="218">
        <v>227.65299999999999</v>
      </c>
      <c r="E617" s="218">
        <v>221.34700000000001</v>
      </c>
      <c r="F617" s="218">
        <v>39.505200000000002</v>
      </c>
      <c r="G617" s="218">
        <v>37.299300000000002</v>
      </c>
      <c r="H617" s="218">
        <v>40.7485</v>
      </c>
      <c r="I617" s="218">
        <v>42.108499999999999</v>
      </c>
      <c r="J617" s="246">
        <v>82619646</v>
      </c>
      <c r="K617" s="246">
        <v>85430480</v>
      </c>
      <c r="L617" s="218">
        <v>401.09399999999999</v>
      </c>
      <c r="M617" s="187">
        <v>0</v>
      </c>
      <c r="N617" s="251">
        <v>24.693000000000001</v>
      </c>
      <c r="O617" s="251">
        <v>21.957000000000001</v>
      </c>
      <c r="P617" s="251">
        <v>22.9772</v>
      </c>
      <c r="Q617" s="251">
        <v>29.008900000000001</v>
      </c>
      <c r="R617" s="254">
        <v>1.0900000000000001</v>
      </c>
      <c r="S617" s="214">
        <v>0</v>
      </c>
      <c r="T617" s="214">
        <v>1224493</v>
      </c>
      <c r="U617" s="214">
        <v>0</v>
      </c>
      <c r="V617" s="187">
        <f t="shared" si="20"/>
        <v>1224493</v>
      </c>
      <c r="W617" s="187">
        <f t="shared" si="21"/>
        <v>1224493</v>
      </c>
    </row>
    <row r="618" spans="1:23">
      <c r="A618" s="216" t="s">
        <v>316</v>
      </c>
      <c r="B618" s="218">
        <v>747.04499999999996</v>
      </c>
      <c r="C618" s="218">
        <v>743.30799999999999</v>
      </c>
      <c r="D618" s="218">
        <v>748.61500000000001</v>
      </c>
      <c r="E618" s="218">
        <v>727.87800000000004</v>
      </c>
      <c r="F618" s="218">
        <v>124.21120000000001</v>
      </c>
      <c r="G618" s="218">
        <v>116.3395</v>
      </c>
      <c r="H618" s="218">
        <v>117.5133</v>
      </c>
      <c r="I618" s="218">
        <v>121.4171</v>
      </c>
      <c r="J618" s="246">
        <v>132000867</v>
      </c>
      <c r="K618" s="246">
        <v>140662497</v>
      </c>
      <c r="L618" s="218">
        <v>1169.249</v>
      </c>
      <c r="M618" s="246">
        <v>108031</v>
      </c>
      <c r="N618" s="251">
        <v>74.177899999999994</v>
      </c>
      <c r="O618" s="251">
        <v>73.272199999999998</v>
      </c>
      <c r="P618" s="251">
        <v>75.855199999999996</v>
      </c>
      <c r="Q618" s="251">
        <v>73.000500000000002</v>
      </c>
      <c r="R618" s="254">
        <v>1.07</v>
      </c>
      <c r="S618" s="214">
        <v>163702</v>
      </c>
      <c r="T618" s="214">
        <v>2017683</v>
      </c>
      <c r="U618" s="214">
        <v>0</v>
      </c>
      <c r="V618" s="187">
        <f t="shared" si="20"/>
        <v>2017683</v>
      </c>
      <c r="W618" s="187">
        <f t="shared" si="21"/>
        <v>2181385</v>
      </c>
    </row>
    <row r="619" spans="1:23">
      <c r="A619" s="216" t="s">
        <v>318</v>
      </c>
      <c r="B619" s="218">
        <v>707.95299999999997</v>
      </c>
      <c r="C619" s="218">
        <v>700.51199999999994</v>
      </c>
      <c r="D619" s="218">
        <v>679.35699999999997</v>
      </c>
      <c r="E619" s="218">
        <v>675.50900000000001</v>
      </c>
      <c r="F619" s="218">
        <v>116.5244</v>
      </c>
      <c r="G619" s="218">
        <v>118.88809999999999</v>
      </c>
      <c r="H619" s="218">
        <v>120.4442</v>
      </c>
      <c r="I619" s="218">
        <v>122.9629</v>
      </c>
      <c r="J619" s="246">
        <v>164786768</v>
      </c>
      <c r="K619" s="246">
        <v>175058068</v>
      </c>
      <c r="L619" s="218">
        <v>1214.7929999999999</v>
      </c>
      <c r="M619" s="246">
        <v>158167</v>
      </c>
      <c r="N619" s="251">
        <v>67.501099999999994</v>
      </c>
      <c r="O619" s="251">
        <v>70.219800000000006</v>
      </c>
      <c r="P619" s="251">
        <v>71.352599999999995</v>
      </c>
      <c r="Q619" s="251">
        <v>71.751900000000006</v>
      </c>
      <c r="R619" s="254">
        <v>1.06</v>
      </c>
      <c r="S619" s="214">
        <v>137960</v>
      </c>
      <c r="T619" s="214">
        <v>2235736</v>
      </c>
      <c r="U619" s="214">
        <v>0</v>
      </c>
      <c r="V619" s="187">
        <f t="shared" si="20"/>
        <v>2235736</v>
      </c>
      <c r="W619" s="187">
        <f t="shared" si="21"/>
        <v>2373696</v>
      </c>
    </row>
    <row r="620" spans="1:23">
      <c r="A620" s="216" t="s">
        <v>320</v>
      </c>
      <c r="B620" s="218">
        <v>478.72300000000001</v>
      </c>
      <c r="C620" s="218">
        <v>486.40300000000002</v>
      </c>
      <c r="D620" s="218">
        <v>513.38900000000001</v>
      </c>
      <c r="E620" s="218">
        <v>537.17600000000004</v>
      </c>
      <c r="F620" s="218">
        <v>79.219300000000004</v>
      </c>
      <c r="G620" s="218">
        <v>77.2273</v>
      </c>
      <c r="H620" s="218">
        <v>76.272800000000004</v>
      </c>
      <c r="I620" s="218">
        <v>83.288799999999995</v>
      </c>
      <c r="J620" s="246">
        <v>115532105</v>
      </c>
      <c r="K620" s="246">
        <v>125147105</v>
      </c>
      <c r="L620" s="218">
        <v>851.64700000000005</v>
      </c>
      <c r="M620" s="246">
        <v>204699</v>
      </c>
      <c r="N620" s="251">
        <v>47.613599999999998</v>
      </c>
      <c r="O620" s="251">
        <v>46.498899999999999</v>
      </c>
      <c r="P620" s="251">
        <v>48.533999999999999</v>
      </c>
      <c r="Q620" s="251">
        <v>53.534199999999998</v>
      </c>
      <c r="R620" s="254">
        <v>1.06</v>
      </c>
      <c r="S620" s="214">
        <v>247101</v>
      </c>
      <c r="T620" s="214">
        <v>1684512</v>
      </c>
      <c r="U620" s="214">
        <v>0</v>
      </c>
      <c r="V620" s="187">
        <f t="shared" si="20"/>
        <v>1684512</v>
      </c>
      <c r="W620" s="187">
        <f t="shared" si="21"/>
        <v>1931613</v>
      </c>
    </row>
    <row r="621" spans="1:23">
      <c r="A621" s="216" t="s">
        <v>2319</v>
      </c>
      <c r="B621" s="218">
        <v>236.81100000000001</v>
      </c>
      <c r="C621" s="218">
        <v>232.934</v>
      </c>
      <c r="D621" s="218">
        <v>235.25899999999999</v>
      </c>
      <c r="E621" s="218">
        <v>238.93899999999999</v>
      </c>
      <c r="F621" s="218">
        <v>42.5</v>
      </c>
      <c r="G621" s="218">
        <v>44.5</v>
      </c>
      <c r="H621" s="218">
        <v>46.5</v>
      </c>
      <c r="I621" s="218">
        <v>45</v>
      </c>
      <c r="J621" s="246">
        <v>71453562</v>
      </c>
      <c r="K621" s="246">
        <v>76762742</v>
      </c>
      <c r="L621" s="218">
        <v>436.59199999999998</v>
      </c>
      <c r="M621" s="246">
        <v>111074</v>
      </c>
      <c r="N621" s="251">
        <v>32.000500000000002</v>
      </c>
      <c r="O621" s="251">
        <v>31.999700000000001</v>
      </c>
      <c r="P621" s="251">
        <v>29.595099999999999</v>
      </c>
      <c r="Q621" s="251">
        <v>19.214300000000001</v>
      </c>
      <c r="R621" s="254">
        <v>1.06</v>
      </c>
      <c r="S621" s="214">
        <v>110180</v>
      </c>
      <c r="T621" s="214">
        <v>991707</v>
      </c>
      <c r="U621" s="214">
        <v>0</v>
      </c>
      <c r="V621" s="187">
        <f t="shared" si="20"/>
        <v>991707</v>
      </c>
      <c r="W621" s="187">
        <f t="shared" si="21"/>
        <v>1101887</v>
      </c>
    </row>
    <row r="622" spans="1:23">
      <c r="A622" s="216" t="s">
        <v>2321</v>
      </c>
      <c r="B622" s="218">
        <v>679.73099999999999</v>
      </c>
      <c r="C622" s="218">
        <v>663.38199999999995</v>
      </c>
      <c r="D622" s="218">
        <v>669.178</v>
      </c>
      <c r="E622" s="218">
        <v>650.64200000000005</v>
      </c>
      <c r="F622" s="218">
        <v>108.83459999999999</v>
      </c>
      <c r="G622" s="218">
        <v>111.7436</v>
      </c>
      <c r="H622" s="218">
        <v>117.07899999999999</v>
      </c>
      <c r="I622" s="218">
        <v>116.7996</v>
      </c>
      <c r="J622" s="246">
        <v>420251345</v>
      </c>
      <c r="K622" s="246">
        <v>428263285</v>
      </c>
      <c r="L622" s="218">
        <v>1176.6120000000001</v>
      </c>
      <c r="M622" s="246">
        <v>384611</v>
      </c>
      <c r="N622" s="251">
        <v>67.410200000000003</v>
      </c>
      <c r="O622" s="251">
        <v>66.661199999999994</v>
      </c>
      <c r="P622" s="251">
        <v>76.744200000000006</v>
      </c>
      <c r="Q622" s="251">
        <v>78.551900000000003</v>
      </c>
      <c r="R622" s="254">
        <v>1.07</v>
      </c>
      <c r="S622" s="214">
        <v>314089</v>
      </c>
      <c r="T622" s="214">
        <v>4816676</v>
      </c>
      <c r="U622" s="214">
        <v>0</v>
      </c>
      <c r="V622" s="187">
        <f t="shared" si="20"/>
        <v>4816676</v>
      </c>
      <c r="W622" s="187">
        <f t="shared" si="21"/>
        <v>5130765</v>
      </c>
    </row>
    <row r="623" spans="1:23">
      <c r="A623" s="216" t="s">
        <v>3178</v>
      </c>
      <c r="B623" s="218">
        <v>2780.3139999999999</v>
      </c>
      <c r="C623" s="218">
        <v>2877.663</v>
      </c>
      <c r="D623" s="218">
        <v>2951.134</v>
      </c>
      <c r="E623" s="218">
        <v>3002.3049999999998</v>
      </c>
      <c r="F623" s="218">
        <v>386.28890000000001</v>
      </c>
      <c r="G623" s="218">
        <v>410.71690000000001</v>
      </c>
      <c r="H623" s="218">
        <v>434.61759999999998</v>
      </c>
      <c r="I623" s="218">
        <v>457.91969999999998</v>
      </c>
      <c r="J623" s="246">
        <v>450092862</v>
      </c>
      <c r="K623" s="246">
        <v>478874432</v>
      </c>
      <c r="L623" s="218">
        <v>4176.3860000000004</v>
      </c>
      <c r="M623" s="187">
        <v>0</v>
      </c>
      <c r="N623" s="251">
        <v>241.07679999999999</v>
      </c>
      <c r="O623" s="251">
        <v>244.5891</v>
      </c>
      <c r="P623" s="251">
        <v>252.64109999999999</v>
      </c>
      <c r="Q623" s="251">
        <v>265.36470000000003</v>
      </c>
      <c r="R623" s="254">
        <v>1.1299999999999999</v>
      </c>
      <c r="S623" s="214">
        <v>826483</v>
      </c>
      <c r="T623" s="214">
        <v>6002353</v>
      </c>
      <c r="U623" s="214">
        <v>0</v>
      </c>
      <c r="V623" s="187">
        <f t="shared" si="20"/>
        <v>6002353</v>
      </c>
      <c r="W623" s="187">
        <f t="shared" si="21"/>
        <v>6828836</v>
      </c>
    </row>
    <row r="624" spans="1:23">
      <c r="A624" s="216" t="s">
        <v>249</v>
      </c>
      <c r="B624" s="218">
        <v>4439.0910000000003</v>
      </c>
      <c r="C624" s="218">
        <v>4614.7539999999999</v>
      </c>
      <c r="D624" s="218">
        <v>4734.2550000000001</v>
      </c>
      <c r="E624" s="218">
        <v>4708.1859999999997</v>
      </c>
      <c r="F624" s="218">
        <v>562.5951</v>
      </c>
      <c r="G624" s="218">
        <v>576.77359999999999</v>
      </c>
      <c r="H624" s="218">
        <v>574.85320000000002</v>
      </c>
      <c r="I624" s="218">
        <v>571.13679999999999</v>
      </c>
      <c r="J624" s="246">
        <v>756351753</v>
      </c>
      <c r="K624" s="246">
        <v>803397113</v>
      </c>
      <c r="L624" s="218">
        <v>6019.866</v>
      </c>
      <c r="M624" s="246">
        <v>123489</v>
      </c>
      <c r="N624" s="251">
        <v>339.185</v>
      </c>
      <c r="O624" s="251">
        <v>362.08269999999999</v>
      </c>
      <c r="P624" s="251">
        <v>375.14210000000003</v>
      </c>
      <c r="Q624" s="251">
        <v>370.971</v>
      </c>
      <c r="R624" s="254">
        <v>1.1200000000000001</v>
      </c>
      <c r="S624" s="214">
        <v>810090</v>
      </c>
      <c r="T624" s="214">
        <v>10913020</v>
      </c>
      <c r="U624" s="214">
        <v>0</v>
      </c>
      <c r="V624" s="187">
        <f t="shared" si="20"/>
        <v>10913020</v>
      </c>
      <c r="W624" s="187">
        <f t="shared" si="21"/>
        <v>11723110</v>
      </c>
    </row>
    <row r="625" spans="1:23">
      <c r="A625" s="216" t="s">
        <v>2323</v>
      </c>
      <c r="B625" s="218">
        <v>152.774</v>
      </c>
      <c r="C625" s="218">
        <v>161.05799999999999</v>
      </c>
      <c r="D625" s="218">
        <v>160.649</v>
      </c>
      <c r="E625" s="218">
        <v>156.19900000000001</v>
      </c>
      <c r="F625" s="218">
        <v>26.4</v>
      </c>
      <c r="G625" s="218">
        <v>28.310199999999998</v>
      </c>
      <c r="H625" s="218">
        <v>29</v>
      </c>
      <c r="I625" s="218">
        <v>27.740600000000001</v>
      </c>
      <c r="J625" s="246">
        <v>76217022</v>
      </c>
      <c r="K625" s="246">
        <v>78290722</v>
      </c>
      <c r="L625" s="218">
        <v>269.89499999999998</v>
      </c>
      <c r="M625" s="187">
        <v>0</v>
      </c>
      <c r="N625" s="251">
        <v>13.999599999999999</v>
      </c>
      <c r="O625" s="251">
        <v>16.3108</v>
      </c>
      <c r="P625" s="251">
        <v>16.999099999999999</v>
      </c>
      <c r="Q625" s="251">
        <v>17.4999</v>
      </c>
      <c r="R625" s="254">
        <v>1.1100000000000001</v>
      </c>
      <c r="S625" s="214">
        <v>173554</v>
      </c>
      <c r="T625" s="214">
        <v>1750994</v>
      </c>
      <c r="U625" s="214">
        <v>0</v>
      </c>
      <c r="V625" s="187">
        <f t="shared" si="20"/>
        <v>1750994</v>
      </c>
      <c r="W625" s="187">
        <f t="shared" si="21"/>
        <v>1924548</v>
      </c>
    </row>
    <row r="626" spans="1:23">
      <c r="A626" s="216" t="s">
        <v>513</v>
      </c>
      <c r="B626" s="218">
        <v>1120.771</v>
      </c>
      <c r="C626" s="218">
        <v>1155.171</v>
      </c>
      <c r="D626" s="218">
        <v>1141.5150000000001</v>
      </c>
      <c r="E626" s="218">
        <v>1170.056</v>
      </c>
      <c r="F626" s="218">
        <v>162.3871</v>
      </c>
      <c r="G626" s="218">
        <v>188.2919</v>
      </c>
      <c r="H626" s="218">
        <v>186.542</v>
      </c>
      <c r="I626" s="218">
        <v>191.99250000000001</v>
      </c>
      <c r="J626" s="246">
        <v>152478511</v>
      </c>
      <c r="K626" s="246">
        <v>168059461</v>
      </c>
      <c r="L626" s="218">
        <v>1684.65</v>
      </c>
      <c r="M626" s="187">
        <v>0</v>
      </c>
      <c r="N626" s="251">
        <v>99.2517</v>
      </c>
      <c r="O626" s="251">
        <v>99.275599999999997</v>
      </c>
      <c r="P626" s="251">
        <v>119.79770000000001</v>
      </c>
      <c r="Q626" s="251">
        <v>122.6403</v>
      </c>
      <c r="R626" s="254">
        <v>1.1000000000000001</v>
      </c>
      <c r="S626" s="214">
        <v>0</v>
      </c>
      <c r="T626" s="214">
        <v>2045063</v>
      </c>
      <c r="U626" s="214">
        <v>106879</v>
      </c>
      <c r="V626" s="187">
        <f t="shared" si="20"/>
        <v>2151942</v>
      </c>
      <c r="W626" s="187">
        <f t="shared" si="21"/>
        <v>2151942</v>
      </c>
    </row>
    <row r="627" spans="1:23">
      <c r="A627" s="216" t="s">
        <v>1872</v>
      </c>
      <c r="B627" s="218">
        <v>687.62199999999996</v>
      </c>
      <c r="C627" s="218">
        <v>674.83299999999997</v>
      </c>
      <c r="D627" s="218">
        <v>654.45299999999997</v>
      </c>
      <c r="E627" s="218">
        <v>619.00800000000004</v>
      </c>
      <c r="F627" s="218">
        <v>123.37479999999999</v>
      </c>
      <c r="G627" s="218">
        <v>98.925200000000004</v>
      </c>
      <c r="H627" s="218">
        <v>120.40949999999999</v>
      </c>
      <c r="I627" s="218">
        <v>117.74379999999999</v>
      </c>
      <c r="J627" s="246">
        <v>138234069</v>
      </c>
      <c r="K627" s="246">
        <v>145605434</v>
      </c>
      <c r="L627" s="218">
        <v>1038.5940000000001</v>
      </c>
      <c r="M627" s="187">
        <v>71</v>
      </c>
      <c r="N627" s="251">
        <v>80.573999999999998</v>
      </c>
      <c r="O627" s="251">
        <v>83.821200000000005</v>
      </c>
      <c r="P627" s="251">
        <v>79.931200000000004</v>
      </c>
      <c r="Q627" s="251">
        <v>76.748699999999999</v>
      </c>
      <c r="R627" s="254">
        <v>1.1000000000000001</v>
      </c>
      <c r="S627" s="214">
        <v>96249</v>
      </c>
      <c r="T627" s="214">
        <v>1870902</v>
      </c>
      <c r="U627" s="214">
        <v>0</v>
      </c>
      <c r="V627" s="187">
        <f t="shared" si="20"/>
        <v>1870902</v>
      </c>
      <c r="W627" s="187">
        <f t="shared" si="21"/>
        <v>1967151</v>
      </c>
    </row>
    <row r="628" spans="1:23">
      <c r="A628" s="216" t="s">
        <v>2325</v>
      </c>
      <c r="B628" s="218">
        <v>2278.2139999999999</v>
      </c>
      <c r="C628" s="218">
        <v>2205.2910000000002</v>
      </c>
      <c r="D628" s="218">
        <v>2191.7089999999998</v>
      </c>
      <c r="E628" s="218">
        <v>2168.1</v>
      </c>
      <c r="F628" s="218">
        <v>392.41890000000001</v>
      </c>
      <c r="G628" s="218">
        <v>422.28489999999999</v>
      </c>
      <c r="H628" s="218">
        <v>398.47329999999999</v>
      </c>
      <c r="I628" s="218">
        <v>381.52890000000002</v>
      </c>
      <c r="J628" s="246">
        <v>535025790</v>
      </c>
      <c r="K628" s="246">
        <v>558618401</v>
      </c>
      <c r="L628" s="218">
        <v>3004.163</v>
      </c>
      <c r="M628" s="246">
        <v>451096</v>
      </c>
      <c r="N628" s="251">
        <v>232.9332</v>
      </c>
      <c r="O628" s="251">
        <v>243.44550000000001</v>
      </c>
      <c r="P628" s="251">
        <v>235.6156</v>
      </c>
      <c r="Q628" s="251">
        <v>226.9744</v>
      </c>
      <c r="R628" s="254">
        <v>1.1200000000000001</v>
      </c>
      <c r="S628" s="214">
        <v>1238255</v>
      </c>
      <c r="T628" s="214">
        <v>7332782</v>
      </c>
      <c r="U628" s="214">
        <v>0</v>
      </c>
      <c r="V628" s="187">
        <f t="shared" si="20"/>
        <v>7332782</v>
      </c>
      <c r="W628" s="187">
        <f t="shared" si="21"/>
        <v>8571037</v>
      </c>
    </row>
    <row r="629" spans="1:23">
      <c r="A629" s="216" t="s">
        <v>2327</v>
      </c>
      <c r="B629" s="218">
        <v>1572.329</v>
      </c>
      <c r="C629" s="218">
        <v>1621.971</v>
      </c>
      <c r="D629" s="218">
        <v>1674.894</v>
      </c>
      <c r="E629" s="218">
        <v>1699.123</v>
      </c>
      <c r="F629" s="218">
        <v>223.601</v>
      </c>
      <c r="G629" s="218">
        <v>225.18100000000001</v>
      </c>
      <c r="H629" s="218">
        <v>225.4606</v>
      </c>
      <c r="I629" s="218">
        <v>244.03909999999999</v>
      </c>
      <c r="J629" s="246">
        <v>210978915</v>
      </c>
      <c r="K629" s="246">
        <v>228770055</v>
      </c>
      <c r="L629" s="218">
        <v>2229.9389999999999</v>
      </c>
      <c r="M629" s="187">
        <v>0</v>
      </c>
      <c r="N629" s="251">
        <v>139.33510000000001</v>
      </c>
      <c r="O629" s="251">
        <v>146.34350000000001</v>
      </c>
      <c r="P629" s="251">
        <v>153.7302</v>
      </c>
      <c r="Q629" s="251">
        <v>170.398</v>
      </c>
      <c r="R629" s="254">
        <v>1.1100000000000001</v>
      </c>
      <c r="S629" s="214">
        <v>0</v>
      </c>
      <c r="T629" s="214">
        <v>2998395</v>
      </c>
      <c r="U629" s="214">
        <v>0</v>
      </c>
      <c r="V629" s="187">
        <f t="shared" si="20"/>
        <v>2998395</v>
      </c>
      <c r="W629" s="187">
        <f t="shared" si="21"/>
        <v>2998395</v>
      </c>
    </row>
    <row r="630" spans="1:23">
      <c r="A630" s="216" t="s">
        <v>5236</v>
      </c>
      <c r="B630" s="218">
        <v>236.49700000000001</v>
      </c>
      <c r="C630" s="218">
        <v>229.91900000000001</v>
      </c>
      <c r="D630" s="218">
        <v>226.51400000000001</v>
      </c>
      <c r="E630" s="218">
        <v>246.46100000000001</v>
      </c>
      <c r="F630" s="218">
        <v>44.14</v>
      </c>
      <c r="G630" s="218">
        <v>46.106999999999999</v>
      </c>
      <c r="H630" s="218">
        <v>49.246000000000002</v>
      </c>
      <c r="I630" s="218">
        <v>45.593600000000002</v>
      </c>
      <c r="J630" s="246">
        <v>20547262</v>
      </c>
      <c r="K630" s="246">
        <v>22770342</v>
      </c>
      <c r="L630" s="218">
        <v>446.28699999999998</v>
      </c>
      <c r="M630" s="246">
        <v>24513</v>
      </c>
      <c r="N630" s="251">
        <v>27.139099999999999</v>
      </c>
      <c r="O630" s="251">
        <v>27.716999999999999</v>
      </c>
      <c r="P630" s="251">
        <v>29.285699999999999</v>
      </c>
      <c r="Q630" s="251">
        <v>26.7653</v>
      </c>
      <c r="R630" s="254">
        <v>1.05</v>
      </c>
      <c r="S630" s="214">
        <v>31494</v>
      </c>
      <c r="T630" s="214">
        <v>301256</v>
      </c>
      <c r="U630" s="214">
        <v>0</v>
      </c>
      <c r="V630" s="187">
        <f t="shared" si="20"/>
        <v>301256</v>
      </c>
      <c r="W630" s="187">
        <f t="shared" si="21"/>
        <v>332750</v>
      </c>
    </row>
    <row r="631" spans="1:23">
      <c r="A631" s="216" t="s">
        <v>7700</v>
      </c>
      <c r="B631" s="218">
        <v>1517.624</v>
      </c>
      <c r="C631" s="218">
        <v>1549.6279999999999</v>
      </c>
      <c r="D631" s="218">
        <v>1507.5519999999999</v>
      </c>
      <c r="E631" s="218">
        <v>1507.1310000000001</v>
      </c>
      <c r="F631" s="218">
        <v>255.39240000000001</v>
      </c>
      <c r="G631" s="218">
        <v>252.79650000000001</v>
      </c>
      <c r="H631" s="218">
        <v>253.94579999999999</v>
      </c>
      <c r="I631" s="218">
        <v>266.2253</v>
      </c>
      <c r="J631" s="246">
        <v>823594074</v>
      </c>
      <c r="K631" s="246">
        <v>844240724</v>
      </c>
      <c r="L631" s="218">
        <v>2153.4050000000002</v>
      </c>
      <c r="M631" s="187">
        <v>0</v>
      </c>
      <c r="N631" s="251">
        <v>149.9684</v>
      </c>
      <c r="O631" s="251">
        <v>157.80770000000001</v>
      </c>
      <c r="P631" s="251">
        <v>156.93129999999999</v>
      </c>
      <c r="Q631" s="251">
        <v>133.39779999999999</v>
      </c>
      <c r="R631" s="254">
        <v>1.05</v>
      </c>
      <c r="S631" s="214">
        <v>0</v>
      </c>
      <c r="T631" s="214">
        <v>12277226</v>
      </c>
      <c r="U631" s="214">
        <v>0</v>
      </c>
      <c r="V631" s="187">
        <f t="shared" si="20"/>
        <v>12277226</v>
      </c>
      <c r="W631" s="187">
        <f t="shared" si="21"/>
        <v>12277226</v>
      </c>
    </row>
    <row r="632" spans="1:23">
      <c r="A632" s="216" t="s">
        <v>7702</v>
      </c>
      <c r="B632" s="218">
        <v>2107.2620000000002</v>
      </c>
      <c r="C632" s="218">
        <v>2127.08</v>
      </c>
      <c r="D632" s="218">
        <v>2149.7330000000002</v>
      </c>
      <c r="E632" s="218">
        <v>2143.9059999999999</v>
      </c>
      <c r="F632" s="218">
        <v>337.11829999999998</v>
      </c>
      <c r="G632" s="218">
        <v>350.43110000000001</v>
      </c>
      <c r="H632" s="218">
        <v>344.48050000000001</v>
      </c>
      <c r="I632" s="218">
        <v>348.92939999999999</v>
      </c>
      <c r="J632" s="246">
        <v>220671107</v>
      </c>
      <c r="K632" s="246">
        <v>243960557</v>
      </c>
      <c r="L632" s="218">
        <v>3182.2</v>
      </c>
      <c r="M632" s="246">
        <v>103177</v>
      </c>
      <c r="N632" s="251">
        <v>222.46510000000001</v>
      </c>
      <c r="O632" s="251">
        <v>226.46799999999999</v>
      </c>
      <c r="P632" s="251">
        <v>219.9873</v>
      </c>
      <c r="Q632" s="251">
        <v>218.52959999999999</v>
      </c>
      <c r="R632" s="254">
        <v>1.06</v>
      </c>
      <c r="S632" s="214">
        <v>110638</v>
      </c>
      <c r="T632" s="214">
        <v>3585157</v>
      </c>
      <c r="U632" s="214">
        <v>0</v>
      </c>
      <c r="V632" s="187">
        <f t="shared" si="20"/>
        <v>3585157</v>
      </c>
      <c r="W632" s="187">
        <f t="shared" si="21"/>
        <v>3695795</v>
      </c>
    </row>
    <row r="633" spans="1:23">
      <c r="A633" s="216" t="s">
        <v>7704</v>
      </c>
      <c r="B633" s="218">
        <v>373.83800000000002</v>
      </c>
      <c r="C633" s="218">
        <v>362.87799999999999</v>
      </c>
      <c r="D633" s="218">
        <v>351.91899999999998</v>
      </c>
      <c r="E633" s="218">
        <v>346.08800000000002</v>
      </c>
      <c r="F633" s="218">
        <v>69.099500000000006</v>
      </c>
      <c r="G633" s="218">
        <v>66.049800000000005</v>
      </c>
      <c r="H633" s="218">
        <v>65.678399999999996</v>
      </c>
      <c r="I633" s="218">
        <v>61.526000000000003</v>
      </c>
      <c r="J633" s="246">
        <v>94687590</v>
      </c>
      <c r="K633" s="246">
        <v>97666648</v>
      </c>
      <c r="L633" s="218">
        <v>615.54300000000001</v>
      </c>
      <c r="M633" s="187">
        <v>0</v>
      </c>
      <c r="N633" s="251">
        <v>44.551000000000002</v>
      </c>
      <c r="O633" s="251">
        <v>44.129899999999999</v>
      </c>
      <c r="P633" s="251">
        <v>44.214300000000001</v>
      </c>
      <c r="Q633" s="251">
        <v>38.856200000000001</v>
      </c>
      <c r="R633" s="254">
        <v>1.07</v>
      </c>
      <c r="S633" s="214">
        <v>0</v>
      </c>
      <c r="T633" s="214">
        <v>1426485</v>
      </c>
      <c r="U633" s="214">
        <v>0</v>
      </c>
      <c r="V633" s="187">
        <f t="shared" si="20"/>
        <v>1426485</v>
      </c>
      <c r="W633" s="187">
        <f t="shared" si="21"/>
        <v>1426485</v>
      </c>
    </row>
    <row r="634" spans="1:23">
      <c r="A634" s="216" t="s">
        <v>5634</v>
      </c>
      <c r="B634" s="218">
        <v>137.31100000000001</v>
      </c>
      <c r="C634" s="218">
        <v>135.67599999999999</v>
      </c>
      <c r="D634" s="218">
        <v>144.01</v>
      </c>
      <c r="E634" s="218">
        <v>149.26300000000001</v>
      </c>
      <c r="F634" s="218">
        <v>29.093299999999999</v>
      </c>
      <c r="G634" s="218">
        <v>30.535799999999998</v>
      </c>
      <c r="H634" s="218">
        <v>33</v>
      </c>
      <c r="I634" s="218">
        <v>31.3826</v>
      </c>
      <c r="J634" s="246">
        <v>103955615</v>
      </c>
      <c r="K634" s="246">
        <v>105557465</v>
      </c>
      <c r="L634" s="218">
        <v>265.733</v>
      </c>
      <c r="M634" s="187">
        <v>0</v>
      </c>
      <c r="N634" s="251">
        <v>20.0596</v>
      </c>
      <c r="O634" s="251">
        <v>20.764700000000001</v>
      </c>
      <c r="P634" s="251">
        <v>22.244</v>
      </c>
      <c r="Q634" s="251">
        <v>21.382400000000001</v>
      </c>
      <c r="R634" s="254">
        <v>1.08</v>
      </c>
      <c r="S634" s="214">
        <v>0</v>
      </c>
      <c r="T634" s="214">
        <v>1667644</v>
      </c>
      <c r="U634" s="214">
        <v>0</v>
      </c>
      <c r="V634" s="187">
        <f t="shared" si="20"/>
        <v>1667644</v>
      </c>
      <c r="W634" s="187">
        <f t="shared" si="21"/>
        <v>1667644</v>
      </c>
    </row>
    <row r="635" spans="1:23">
      <c r="A635" s="216" t="s">
        <v>5636</v>
      </c>
      <c r="B635" s="218">
        <v>92.503</v>
      </c>
      <c r="C635" s="218">
        <v>94.468999999999994</v>
      </c>
      <c r="D635" s="218">
        <v>103.52</v>
      </c>
      <c r="E635" s="218">
        <v>100.652</v>
      </c>
      <c r="F635" s="218">
        <v>26.387799999999999</v>
      </c>
      <c r="G635" s="218">
        <v>25.387799999999999</v>
      </c>
      <c r="H635" s="218">
        <v>25.906500000000001</v>
      </c>
      <c r="I635" s="218">
        <v>26.387799999999999</v>
      </c>
      <c r="J635" s="246">
        <v>74825674</v>
      </c>
      <c r="K635" s="246">
        <v>76204760</v>
      </c>
      <c r="L635" s="218">
        <v>240.44499999999999</v>
      </c>
      <c r="M635" s="187">
        <v>0</v>
      </c>
      <c r="N635" s="251">
        <v>18.9634</v>
      </c>
      <c r="O635" s="251">
        <v>17.9635</v>
      </c>
      <c r="P635" s="251">
        <v>18.000800000000002</v>
      </c>
      <c r="Q635" s="251">
        <v>18.482099999999999</v>
      </c>
      <c r="R635" s="254">
        <v>1.08</v>
      </c>
      <c r="S635" s="214">
        <v>0</v>
      </c>
      <c r="T635" s="214">
        <v>1214555</v>
      </c>
      <c r="U635" s="214">
        <v>0</v>
      </c>
      <c r="V635" s="187">
        <f t="shared" si="20"/>
        <v>1214555</v>
      </c>
      <c r="W635" s="187">
        <f t="shared" si="21"/>
        <v>1214555</v>
      </c>
    </row>
    <row r="636" spans="1:23">
      <c r="A636" s="216" t="s">
        <v>4016</v>
      </c>
      <c r="B636" s="218">
        <v>40.435000000000002</v>
      </c>
      <c r="C636" s="218">
        <v>49.253999999999998</v>
      </c>
      <c r="D636" s="218">
        <v>59.298999999999999</v>
      </c>
      <c r="E636" s="218">
        <v>57.655999999999999</v>
      </c>
      <c r="F636" s="218">
        <v>17.2743</v>
      </c>
      <c r="G636" s="218">
        <v>19.826599999999999</v>
      </c>
      <c r="H636" s="218">
        <v>18.282900000000001</v>
      </c>
      <c r="I636" s="218">
        <v>17.959800000000001</v>
      </c>
      <c r="J636" s="246">
        <v>90093650</v>
      </c>
      <c r="K636" s="246">
        <v>91225510</v>
      </c>
      <c r="L636" s="218">
        <v>103.065</v>
      </c>
      <c r="M636" s="187">
        <v>0</v>
      </c>
      <c r="N636" s="251">
        <v>8.9998000000000005</v>
      </c>
      <c r="O636" s="251">
        <v>11.0001</v>
      </c>
      <c r="P636" s="251">
        <v>10.5001</v>
      </c>
      <c r="Q636" s="251">
        <v>10.4999</v>
      </c>
      <c r="R636" s="254">
        <v>1.08</v>
      </c>
      <c r="S636" s="214">
        <v>0</v>
      </c>
      <c r="T636" s="214">
        <v>1511299</v>
      </c>
      <c r="U636" s="214">
        <v>0</v>
      </c>
      <c r="V636" s="187">
        <f t="shared" si="20"/>
        <v>1511299</v>
      </c>
      <c r="W636" s="187">
        <f t="shared" si="21"/>
        <v>1511299</v>
      </c>
    </row>
    <row r="637" spans="1:23">
      <c r="A637" s="216" t="s">
        <v>4018</v>
      </c>
      <c r="B637" s="218">
        <v>1167.046</v>
      </c>
      <c r="C637" s="218">
        <v>1133.386</v>
      </c>
      <c r="D637" s="218">
        <v>1099.1579999999999</v>
      </c>
      <c r="E637" s="218">
        <v>1069.049</v>
      </c>
      <c r="F637" s="218">
        <v>183.4254</v>
      </c>
      <c r="G637" s="218">
        <v>175.54839999999999</v>
      </c>
      <c r="H637" s="218">
        <v>167.14009999999999</v>
      </c>
      <c r="I637" s="218">
        <v>171.11250000000001</v>
      </c>
      <c r="J637" s="246">
        <v>305185083</v>
      </c>
      <c r="K637" s="246">
        <v>322688353</v>
      </c>
      <c r="L637" s="218">
        <v>1673.3389999999999</v>
      </c>
      <c r="M637" s="187">
        <v>0</v>
      </c>
      <c r="N637" s="251">
        <v>118.8918</v>
      </c>
      <c r="O637" s="251">
        <v>110.47669999999999</v>
      </c>
      <c r="P637" s="251">
        <v>103.31870000000001</v>
      </c>
      <c r="Q637" s="251">
        <v>104.52930000000001</v>
      </c>
      <c r="R637" s="254">
        <v>1.06</v>
      </c>
      <c r="S637" s="214">
        <v>0</v>
      </c>
      <c r="T637" s="214">
        <v>4341721</v>
      </c>
      <c r="U637" s="214">
        <v>0</v>
      </c>
      <c r="V637" s="187">
        <f t="shared" si="20"/>
        <v>4341721</v>
      </c>
      <c r="W637" s="187">
        <f t="shared" si="21"/>
        <v>4341721</v>
      </c>
    </row>
    <row r="638" spans="1:23">
      <c r="A638" s="216" t="s">
        <v>4020</v>
      </c>
      <c r="B638" s="218">
        <v>728.52</v>
      </c>
      <c r="C638" s="218">
        <v>714.49800000000005</v>
      </c>
      <c r="D638" s="218">
        <v>710.13300000000004</v>
      </c>
      <c r="E638" s="218">
        <v>690.46199999999999</v>
      </c>
      <c r="F638" s="218">
        <v>133.06829999999999</v>
      </c>
      <c r="G638" s="218">
        <v>132.06829999999999</v>
      </c>
      <c r="H638" s="218">
        <v>132.42250000000001</v>
      </c>
      <c r="I638" s="218">
        <v>126.2727</v>
      </c>
      <c r="J638" s="246">
        <v>334809968</v>
      </c>
      <c r="K638" s="246">
        <v>343468928</v>
      </c>
      <c r="L638" s="218">
        <v>1204.3789999999999</v>
      </c>
      <c r="M638" s="246">
        <v>252476</v>
      </c>
      <c r="N638" s="251">
        <v>89</v>
      </c>
      <c r="O638" s="251">
        <v>86.000500000000002</v>
      </c>
      <c r="P638" s="251">
        <v>68.000299999999996</v>
      </c>
      <c r="Q638" s="251">
        <v>79.266599999999997</v>
      </c>
      <c r="R638" s="254">
        <v>1.05</v>
      </c>
      <c r="S638" s="214">
        <v>250212</v>
      </c>
      <c r="T638" s="214">
        <v>4637679</v>
      </c>
      <c r="U638" s="214">
        <v>0</v>
      </c>
      <c r="V638" s="187">
        <f t="shared" si="20"/>
        <v>4637679</v>
      </c>
      <c r="W638" s="187">
        <f t="shared" si="21"/>
        <v>4887891</v>
      </c>
    </row>
    <row r="639" spans="1:23">
      <c r="A639" s="216" t="s">
        <v>4022</v>
      </c>
      <c r="B639" s="218">
        <v>1571.7929999999999</v>
      </c>
      <c r="C639" s="218">
        <v>1579.8710000000001</v>
      </c>
      <c r="D639" s="218">
        <v>1685.1780000000001</v>
      </c>
      <c r="E639" s="218">
        <v>1750.932</v>
      </c>
      <c r="F639" s="218">
        <v>266.02100000000002</v>
      </c>
      <c r="G639" s="218">
        <v>281.88729999999998</v>
      </c>
      <c r="H639" s="218">
        <v>314.24160000000001</v>
      </c>
      <c r="I639" s="218">
        <v>326.70659999999998</v>
      </c>
      <c r="J639" s="246">
        <v>1105796158</v>
      </c>
      <c r="K639" s="246">
        <v>1151898957</v>
      </c>
      <c r="L639" s="218">
        <v>2369.4340000000002</v>
      </c>
      <c r="M639" s="246">
        <v>2031255</v>
      </c>
      <c r="N639" s="251">
        <v>164.90369999999999</v>
      </c>
      <c r="O639" s="251">
        <v>176.39709999999999</v>
      </c>
      <c r="P639" s="251">
        <v>197.5652</v>
      </c>
      <c r="Q639" s="251">
        <v>210.17869999999999</v>
      </c>
      <c r="R639" s="254">
        <v>1.05</v>
      </c>
      <c r="S639" s="214">
        <v>1531431</v>
      </c>
      <c r="T639" s="214">
        <v>19027497</v>
      </c>
      <c r="U639" s="214">
        <v>0</v>
      </c>
      <c r="V639" s="187">
        <f t="shared" si="20"/>
        <v>19027497</v>
      </c>
      <c r="W639" s="187">
        <f t="shared" si="21"/>
        <v>20558928</v>
      </c>
    </row>
    <row r="640" spans="1:23">
      <c r="A640" s="216" t="s">
        <v>2996</v>
      </c>
      <c r="B640" s="218">
        <v>27368.118999999999</v>
      </c>
      <c r="C640" s="218">
        <v>27062.021000000001</v>
      </c>
      <c r="D640" s="218">
        <v>26993.191999999999</v>
      </c>
      <c r="E640" s="218">
        <v>26825.69</v>
      </c>
      <c r="F640" s="218">
        <v>3509.1118000000001</v>
      </c>
      <c r="G640" s="218">
        <v>3583.2026000000001</v>
      </c>
      <c r="H640" s="218">
        <v>3582.6918999999998</v>
      </c>
      <c r="I640" s="218">
        <v>3592.6365999999998</v>
      </c>
      <c r="J640" s="246">
        <v>5573651392</v>
      </c>
      <c r="K640" s="246">
        <v>5905343594</v>
      </c>
      <c r="L640" s="218">
        <v>35772.156000000003</v>
      </c>
      <c r="M640" s="246">
        <v>4710935</v>
      </c>
      <c r="N640" s="251">
        <v>2596.4002</v>
      </c>
      <c r="O640" s="251">
        <v>2636.9958999999999</v>
      </c>
      <c r="P640" s="251">
        <v>2640.0473000000002</v>
      </c>
      <c r="Q640" s="251">
        <v>2590.9938000000002</v>
      </c>
      <c r="R640" s="254">
        <v>1.1100000000000001</v>
      </c>
      <c r="S640" s="214">
        <v>6068836</v>
      </c>
      <c r="T640" s="214">
        <v>86181759</v>
      </c>
      <c r="U640" s="214">
        <v>0</v>
      </c>
      <c r="V640" s="187">
        <f t="shared" si="20"/>
        <v>86181759</v>
      </c>
      <c r="W640" s="187">
        <f t="shared" si="21"/>
        <v>92250595</v>
      </c>
    </row>
    <row r="641" spans="1:23">
      <c r="A641" s="216" t="s">
        <v>4028</v>
      </c>
      <c r="B641" s="218">
        <v>664.21699999999998</v>
      </c>
      <c r="C641" s="218">
        <v>670.57600000000002</v>
      </c>
      <c r="D641" s="218">
        <v>669.35</v>
      </c>
      <c r="E641" s="218">
        <v>679.13499999999999</v>
      </c>
      <c r="F641" s="218">
        <v>91.914199999999994</v>
      </c>
      <c r="G641" s="218">
        <v>93.845799999999997</v>
      </c>
      <c r="H641" s="218">
        <v>90.885599999999997</v>
      </c>
      <c r="I641" s="218">
        <v>91.159899999999993</v>
      </c>
      <c r="J641" s="246">
        <v>81810259</v>
      </c>
      <c r="K641" s="246">
        <v>88122202</v>
      </c>
      <c r="L641" s="218">
        <v>1116.92</v>
      </c>
      <c r="M641" s="187">
        <v>0</v>
      </c>
      <c r="N641" s="251">
        <v>70.092399999999998</v>
      </c>
      <c r="O641" s="251">
        <v>72.958299999999994</v>
      </c>
      <c r="P641" s="251">
        <v>71.502700000000004</v>
      </c>
      <c r="Q641" s="251">
        <v>72.504499999999993</v>
      </c>
      <c r="R641" s="254">
        <v>1.04</v>
      </c>
      <c r="S641" s="214">
        <v>0</v>
      </c>
      <c r="T641" s="214">
        <v>1299227</v>
      </c>
      <c r="U641" s="214">
        <v>0</v>
      </c>
      <c r="V641" s="187">
        <f t="shared" si="20"/>
        <v>1299227</v>
      </c>
      <c r="W641" s="187">
        <f t="shared" si="21"/>
        <v>1299227</v>
      </c>
    </row>
    <row r="642" spans="1:23">
      <c r="A642" s="216" t="s">
        <v>4030</v>
      </c>
      <c r="B642" s="218">
        <v>1336.442</v>
      </c>
      <c r="C642" s="218">
        <v>1293.51</v>
      </c>
      <c r="D642" s="218">
        <v>1268.1500000000001</v>
      </c>
      <c r="E642" s="218">
        <v>1277.9059999999999</v>
      </c>
      <c r="F642" s="218">
        <v>239.77440000000001</v>
      </c>
      <c r="G642" s="218">
        <v>236.55629999999999</v>
      </c>
      <c r="H642" s="218">
        <v>219.05350000000001</v>
      </c>
      <c r="I642" s="218">
        <v>215.96270000000001</v>
      </c>
      <c r="J642" s="246">
        <v>196067348</v>
      </c>
      <c r="K642" s="246">
        <v>213489638</v>
      </c>
      <c r="L642" s="218">
        <v>1933.9760000000001</v>
      </c>
      <c r="M642" s="187">
        <v>0</v>
      </c>
      <c r="N642" s="251">
        <v>157.92189999999999</v>
      </c>
      <c r="O642" s="251">
        <v>149.41579999999999</v>
      </c>
      <c r="P642" s="251">
        <v>142.70359999999999</v>
      </c>
      <c r="Q642" s="251">
        <v>141.47280000000001</v>
      </c>
      <c r="R642" s="254">
        <v>1.07</v>
      </c>
      <c r="S642" s="214">
        <v>474684</v>
      </c>
      <c r="T642" s="214">
        <v>2989481</v>
      </c>
      <c r="U642" s="214">
        <v>0</v>
      </c>
      <c r="V642" s="187">
        <f t="shared" si="20"/>
        <v>2989481</v>
      </c>
      <c r="W642" s="187">
        <f t="shared" si="21"/>
        <v>3464165</v>
      </c>
    </row>
    <row r="643" spans="1:23">
      <c r="A643" s="216" t="s">
        <v>2903</v>
      </c>
      <c r="B643" s="218">
        <v>1852.1890000000001</v>
      </c>
      <c r="C643" s="218">
        <v>1984.1569999999999</v>
      </c>
      <c r="D643" s="218">
        <v>2016.5889999999999</v>
      </c>
      <c r="E643" s="218">
        <v>2180.556</v>
      </c>
      <c r="F643" s="218">
        <v>276.46140000000003</v>
      </c>
      <c r="G643" s="218">
        <v>285.17750000000001</v>
      </c>
      <c r="H643" s="218">
        <v>295.84070000000003</v>
      </c>
      <c r="I643" s="218">
        <v>345.24720000000002</v>
      </c>
      <c r="J643" s="246">
        <v>316828764</v>
      </c>
      <c r="K643" s="246">
        <v>335127456</v>
      </c>
      <c r="L643" s="218">
        <v>3065.2249999999999</v>
      </c>
      <c r="M643" s="246">
        <v>352760</v>
      </c>
      <c r="N643" s="251">
        <v>168.26849999999999</v>
      </c>
      <c r="O643" s="251">
        <v>181.21860000000001</v>
      </c>
      <c r="P643" s="251">
        <v>188.98099999999999</v>
      </c>
      <c r="Q643" s="251">
        <v>210.02359999999999</v>
      </c>
      <c r="R643" s="254">
        <v>1.05</v>
      </c>
      <c r="S643" s="214">
        <v>870350</v>
      </c>
      <c r="T643" s="214">
        <v>5239818</v>
      </c>
      <c r="U643" s="214">
        <v>0</v>
      </c>
      <c r="V643" s="187">
        <f t="shared" si="20"/>
        <v>5239818</v>
      </c>
      <c r="W643" s="187">
        <f t="shared" si="21"/>
        <v>6110168</v>
      </c>
    </row>
    <row r="644" spans="1:23">
      <c r="A644" s="216" t="s">
        <v>1310</v>
      </c>
      <c r="B644" s="218">
        <v>4848.1130000000003</v>
      </c>
      <c r="C644" s="218">
        <v>5010.87</v>
      </c>
      <c r="D644" s="218">
        <v>5065.1559999999999</v>
      </c>
      <c r="E644" s="218">
        <v>5132.7449999999999</v>
      </c>
      <c r="F644" s="218">
        <v>567.67179999999996</v>
      </c>
      <c r="G644" s="218">
        <v>575.33690000000001</v>
      </c>
      <c r="H644" s="218">
        <v>571.59889999999996</v>
      </c>
      <c r="I644" s="218">
        <v>593.9117</v>
      </c>
      <c r="J644" s="246">
        <v>896382455</v>
      </c>
      <c r="K644" s="246">
        <v>945407673</v>
      </c>
      <c r="L644" s="218">
        <v>6386.8459999999995</v>
      </c>
      <c r="M644" s="246">
        <v>1867467</v>
      </c>
      <c r="N644" s="251">
        <v>418.15249999999997</v>
      </c>
      <c r="O644" s="251">
        <v>422.07909999999998</v>
      </c>
      <c r="P644" s="251">
        <v>415.05950000000001</v>
      </c>
      <c r="Q644" s="251">
        <v>423.15980000000002</v>
      </c>
      <c r="R644" s="254">
        <v>1.08</v>
      </c>
      <c r="S644" s="214">
        <v>2323636</v>
      </c>
      <c r="T644" s="214">
        <v>14152170</v>
      </c>
      <c r="U644" s="214">
        <v>0</v>
      </c>
      <c r="V644" s="187">
        <f t="shared" si="20"/>
        <v>14152170</v>
      </c>
      <c r="W644" s="187">
        <f t="shared" si="21"/>
        <v>16475806</v>
      </c>
    </row>
    <row r="645" spans="1:23">
      <c r="A645" s="216" t="s">
        <v>4032</v>
      </c>
      <c r="B645" s="218">
        <v>1227.578</v>
      </c>
      <c r="C645" s="218">
        <v>1134.1769999999999</v>
      </c>
      <c r="D645" s="218">
        <v>1148.8789999999999</v>
      </c>
      <c r="E645" s="218">
        <v>1131.665</v>
      </c>
      <c r="F645" s="218">
        <v>193.53710000000001</v>
      </c>
      <c r="G645" s="218">
        <v>196.0796</v>
      </c>
      <c r="H645" s="218">
        <v>152.1001</v>
      </c>
      <c r="I645" s="218">
        <v>193.65719999999999</v>
      </c>
      <c r="J645" s="246">
        <v>105319060</v>
      </c>
      <c r="K645" s="246">
        <v>114161969</v>
      </c>
      <c r="L645" s="218">
        <v>1790.3820000000001</v>
      </c>
      <c r="M645" s="187">
        <v>0</v>
      </c>
      <c r="N645" s="251">
        <v>126.18040000000001</v>
      </c>
      <c r="O645" s="251">
        <v>127.2244</v>
      </c>
      <c r="P645" s="251">
        <v>119.7193</v>
      </c>
      <c r="Q645" s="251">
        <v>122.89879999999999</v>
      </c>
      <c r="R645" s="254">
        <v>1.05</v>
      </c>
      <c r="S645" s="214">
        <v>0</v>
      </c>
      <c r="T645" s="214">
        <v>1605462</v>
      </c>
      <c r="U645" s="214">
        <v>0</v>
      </c>
      <c r="V645" s="187">
        <f t="shared" ref="V645:V708" si="22">T645+U645</f>
        <v>1605462</v>
      </c>
      <c r="W645" s="187">
        <f t="shared" ref="W645:W708" si="23">V645+S645</f>
        <v>1605462</v>
      </c>
    </row>
    <row r="646" spans="1:23">
      <c r="A646" s="216" t="s">
        <v>2397</v>
      </c>
      <c r="B646" s="218">
        <v>1157.0029999999999</v>
      </c>
      <c r="C646" s="218">
        <v>1141.741</v>
      </c>
      <c r="D646" s="218">
        <v>1133.587</v>
      </c>
      <c r="E646" s="218">
        <v>1188.5160000000001</v>
      </c>
      <c r="F646" s="218">
        <v>146.6343</v>
      </c>
      <c r="G646" s="218">
        <v>150.5324</v>
      </c>
      <c r="H646" s="218">
        <v>159.49950000000001</v>
      </c>
      <c r="I646" s="218">
        <v>165.5676</v>
      </c>
      <c r="J646" s="246">
        <v>96649105</v>
      </c>
      <c r="K646" s="246">
        <v>105245828</v>
      </c>
      <c r="L646" s="218">
        <v>1694.114</v>
      </c>
      <c r="M646" s="246">
        <v>68097</v>
      </c>
      <c r="N646" s="251">
        <v>100.93600000000001</v>
      </c>
      <c r="O646" s="251">
        <v>102.53489999999999</v>
      </c>
      <c r="P646" s="251">
        <v>111.3952</v>
      </c>
      <c r="Q646" s="251">
        <v>113.8528</v>
      </c>
      <c r="R646" s="254">
        <v>1.04</v>
      </c>
      <c r="S646" s="214">
        <v>213544</v>
      </c>
      <c r="T646" s="214">
        <v>1452080</v>
      </c>
      <c r="U646" s="214">
        <v>0</v>
      </c>
      <c r="V646" s="187">
        <f t="shared" si="22"/>
        <v>1452080</v>
      </c>
      <c r="W646" s="187">
        <f t="shared" si="23"/>
        <v>1665624</v>
      </c>
    </row>
    <row r="647" spans="1:23">
      <c r="A647" s="216" t="s">
        <v>669</v>
      </c>
      <c r="B647" s="218">
        <v>790.54</v>
      </c>
      <c r="C647" s="218">
        <v>786.13099999999997</v>
      </c>
      <c r="D647" s="218">
        <v>775.77700000000004</v>
      </c>
      <c r="E647" s="218">
        <v>775.94899999999996</v>
      </c>
      <c r="F647" s="218">
        <v>113.4198</v>
      </c>
      <c r="G647" s="218">
        <v>106.3934</v>
      </c>
      <c r="H647" s="218">
        <v>105.1952</v>
      </c>
      <c r="I647" s="218">
        <v>107.4679</v>
      </c>
      <c r="J647" s="246">
        <v>109316692</v>
      </c>
      <c r="K647" s="246">
        <v>116472427</v>
      </c>
      <c r="L647" s="218">
        <v>1219.5740000000001</v>
      </c>
      <c r="M647" s="246">
        <v>94271</v>
      </c>
      <c r="N647" s="251">
        <v>82.624099999999999</v>
      </c>
      <c r="O647" s="251">
        <v>77.806200000000004</v>
      </c>
      <c r="P647" s="251">
        <v>75.601699999999994</v>
      </c>
      <c r="Q647" s="251">
        <v>77.685599999999994</v>
      </c>
      <c r="R647" s="254">
        <v>1.04</v>
      </c>
      <c r="S647" s="214">
        <v>128219</v>
      </c>
      <c r="T647" s="214">
        <v>1552654</v>
      </c>
      <c r="U647" s="214">
        <v>0</v>
      </c>
      <c r="V647" s="187">
        <f t="shared" si="22"/>
        <v>1552654</v>
      </c>
      <c r="W647" s="187">
        <f t="shared" si="23"/>
        <v>1680873</v>
      </c>
    </row>
    <row r="648" spans="1:23">
      <c r="A648" s="216" t="s">
        <v>4151</v>
      </c>
      <c r="B648" s="218">
        <v>377.79199999999997</v>
      </c>
      <c r="C648" s="218">
        <v>360.154</v>
      </c>
      <c r="D648" s="218">
        <v>349.27699999999999</v>
      </c>
      <c r="E648" s="218">
        <v>338.7</v>
      </c>
      <c r="F648" s="218">
        <v>75.235399999999998</v>
      </c>
      <c r="G648" s="218">
        <v>71.448899999999995</v>
      </c>
      <c r="H648" s="218">
        <v>71.020200000000003</v>
      </c>
      <c r="I648" s="218">
        <v>65.607200000000006</v>
      </c>
      <c r="J648" s="246">
        <v>50645952</v>
      </c>
      <c r="K648" s="246">
        <v>53189257</v>
      </c>
      <c r="L648" s="218">
        <v>696.08799999999997</v>
      </c>
      <c r="M648" s="246">
        <v>53221</v>
      </c>
      <c r="N648" s="251">
        <v>44.648200000000003</v>
      </c>
      <c r="O648" s="251">
        <v>42.530500000000004</v>
      </c>
      <c r="P648" s="251">
        <v>43.821100000000001</v>
      </c>
      <c r="Q648" s="251">
        <v>41.447899999999997</v>
      </c>
      <c r="R648" s="254">
        <v>1.07</v>
      </c>
      <c r="S648" s="214">
        <v>53649</v>
      </c>
      <c r="T648" s="214">
        <v>749873</v>
      </c>
      <c r="U648" s="214">
        <v>0</v>
      </c>
      <c r="V648" s="187">
        <f t="shared" si="22"/>
        <v>749873</v>
      </c>
      <c r="W648" s="187">
        <f t="shared" si="23"/>
        <v>803522</v>
      </c>
    </row>
    <row r="649" spans="1:23">
      <c r="A649" s="216" t="s">
        <v>4153</v>
      </c>
      <c r="B649" s="218">
        <v>731.495</v>
      </c>
      <c r="C649" s="218">
        <v>711.86599999999999</v>
      </c>
      <c r="D649" s="218">
        <v>690.36800000000005</v>
      </c>
      <c r="E649" s="218">
        <v>694</v>
      </c>
      <c r="F649" s="218">
        <v>128.35310000000001</v>
      </c>
      <c r="G649" s="218">
        <v>126.44880000000001</v>
      </c>
      <c r="H649" s="218">
        <v>125.66849999999999</v>
      </c>
      <c r="I649" s="218">
        <v>124.79689999999999</v>
      </c>
      <c r="J649" s="246">
        <v>75820585</v>
      </c>
      <c r="K649" s="246">
        <v>83035005</v>
      </c>
      <c r="L649" s="218">
        <v>1312.5619999999999</v>
      </c>
      <c r="M649" s="187">
        <v>0</v>
      </c>
      <c r="N649" s="251">
        <v>86.961699999999993</v>
      </c>
      <c r="O649" s="251">
        <v>82.08</v>
      </c>
      <c r="P649" s="251">
        <v>80.963899999999995</v>
      </c>
      <c r="Q649" s="251">
        <v>82.962000000000003</v>
      </c>
      <c r="R649" s="254">
        <v>1.07</v>
      </c>
      <c r="S649" s="214">
        <v>0</v>
      </c>
      <c r="T649" s="214">
        <v>1174158</v>
      </c>
      <c r="U649" s="214">
        <v>0</v>
      </c>
      <c r="V649" s="187">
        <f t="shared" si="22"/>
        <v>1174158</v>
      </c>
      <c r="W649" s="187">
        <f t="shared" si="23"/>
        <v>1174158</v>
      </c>
    </row>
    <row r="650" spans="1:23">
      <c r="A650" s="216" t="s">
        <v>4155</v>
      </c>
      <c r="B650" s="218">
        <v>200.12299999999999</v>
      </c>
      <c r="C650" s="218">
        <v>199.745</v>
      </c>
      <c r="D650" s="218">
        <v>197.45</v>
      </c>
      <c r="E650" s="218">
        <v>191.98099999999999</v>
      </c>
      <c r="F650" s="218">
        <v>35.5</v>
      </c>
      <c r="G650" s="218">
        <v>33.535699999999999</v>
      </c>
      <c r="H650" s="218">
        <v>35.299999999999997</v>
      </c>
      <c r="I650" s="218">
        <v>35.1417</v>
      </c>
      <c r="J650" s="246">
        <v>27525237</v>
      </c>
      <c r="K650" s="246">
        <v>29224537</v>
      </c>
      <c r="L650" s="218">
        <v>335.71899999999999</v>
      </c>
      <c r="M650" s="187">
        <v>0</v>
      </c>
      <c r="N650" s="251">
        <v>24.374700000000001</v>
      </c>
      <c r="O650" s="251">
        <v>23.9618</v>
      </c>
      <c r="P650" s="251">
        <v>23.733699999999999</v>
      </c>
      <c r="Q650" s="251">
        <v>23.2059</v>
      </c>
      <c r="R650" s="254">
        <v>1.07</v>
      </c>
      <c r="S650" s="214">
        <v>0</v>
      </c>
      <c r="T650" s="214">
        <v>451250</v>
      </c>
      <c r="U650" s="214">
        <v>0</v>
      </c>
      <c r="V650" s="187">
        <f t="shared" si="22"/>
        <v>451250</v>
      </c>
      <c r="W650" s="187">
        <f t="shared" si="23"/>
        <v>451250</v>
      </c>
    </row>
    <row r="651" spans="1:23">
      <c r="A651" s="216" t="s">
        <v>4157</v>
      </c>
      <c r="B651" s="218">
        <v>197.05600000000001</v>
      </c>
      <c r="C651" s="218">
        <v>192.35900000000001</v>
      </c>
      <c r="D651" s="218">
        <v>186.55</v>
      </c>
      <c r="E651" s="218">
        <v>165.404</v>
      </c>
      <c r="F651" s="218">
        <v>43.514699999999998</v>
      </c>
      <c r="G651" s="218">
        <v>41</v>
      </c>
      <c r="H651" s="218">
        <v>36.369</v>
      </c>
      <c r="I651" s="218">
        <v>30.512</v>
      </c>
      <c r="J651" s="246">
        <v>27331082</v>
      </c>
      <c r="K651" s="246">
        <v>29428022</v>
      </c>
      <c r="L651" s="218">
        <v>294.30599999999998</v>
      </c>
      <c r="M651" s="246">
        <v>21299</v>
      </c>
      <c r="N651" s="251">
        <v>28.616499999999998</v>
      </c>
      <c r="O651" s="251">
        <v>26</v>
      </c>
      <c r="P651" s="251">
        <v>23.919599999999999</v>
      </c>
      <c r="Q651" s="251">
        <v>19.2498</v>
      </c>
      <c r="R651" s="254">
        <v>1.06</v>
      </c>
      <c r="S651" s="214">
        <v>25953</v>
      </c>
      <c r="T651" s="214">
        <v>441275</v>
      </c>
      <c r="U651" s="214">
        <v>0</v>
      </c>
      <c r="V651" s="187">
        <f t="shared" si="22"/>
        <v>441275</v>
      </c>
      <c r="W651" s="187">
        <f t="shared" si="23"/>
        <v>467228</v>
      </c>
    </row>
    <row r="652" spans="1:23">
      <c r="A652" s="216" t="s">
        <v>3000</v>
      </c>
      <c r="B652" s="218">
        <v>1817.9839999999999</v>
      </c>
      <c r="C652" s="218">
        <v>1850.395</v>
      </c>
      <c r="D652" s="218">
        <v>1905.373</v>
      </c>
      <c r="E652" s="218">
        <v>1940.7840000000001</v>
      </c>
      <c r="F652" s="218">
        <v>256.05349999999999</v>
      </c>
      <c r="G652" s="218">
        <v>275.71660000000003</v>
      </c>
      <c r="H652" s="218">
        <v>284.05869999999999</v>
      </c>
      <c r="I652" s="218">
        <v>298.96820000000002</v>
      </c>
      <c r="J652" s="246">
        <v>264323519</v>
      </c>
      <c r="K652" s="246">
        <v>286634590</v>
      </c>
      <c r="L652" s="218">
        <v>2789.3829999999998</v>
      </c>
      <c r="M652" s="246">
        <v>196895</v>
      </c>
      <c r="N652" s="251">
        <v>165.02690000000001</v>
      </c>
      <c r="O652" s="251">
        <v>169.0395</v>
      </c>
      <c r="P652" s="251">
        <v>181.7731</v>
      </c>
      <c r="Q652" s="251">
        <v>192.95140000000001</v>
      </c>
      <c r="R652" s="254">
        <v>1.07</v>
      </c>
      <c r="S652" s="214">
        <v>505050</v>
      </c>
      <c r="T652" s="214">
        <v>3929581</v>
      </c>
      <c r="U652" s="214">
        <v>0</v>
      </c>
      <c r="V652" s="187">
        <f t="shared" si="22"/>
        <v>3929581</v>
      </c>
      <c r="W652" s="187">
        <f t="shared" si="23"/>
        <v>4434631</v>
      </c>
    </row>
    <row r="653" spans="1:23">
      <c r="A653" s="216" t="s">
        <v>4159</v>
      </c>
      <c r="B653" s="218">
        <v>336.529</v>
      </c>
      <c r="C653" s="218">
        <v>314.30700000000002</v>
      </c>
      <c r="D653" s="218">
        <v>309.85599999999999</v>
      </c>
      <c r="E653" s="218">
        <v>301.27300000000002</v>
      </c>
      <c r="F653" s="218">
        <v>53.790100000000002</v>
      </c>
      <c r="G653" s="218">
        <v>55</v>
      </c>
      <c r="H653" s="218">
        <v>53.9572</v>
      </c>
      <c r="I653" s="218">
        <v>56.288699999999999</v>
      </c>
      <c r="J653" s="246">
        <v>53896407</v>
      </c>
      <c r="K653" s="246">
        <v>57972687</v>
      </c>
      <c r="L653" s="218">
        <v>499.346</v>
      </c>
      <c r="M653" s="187">
        <v>0</v>
      </c>
      <c r="N653" s="251">
        <v>36.615499999999997</v>
      </c>
      <c r="O653" s="251">
        <v>31.6068</v>
      </c>
      <c r="P653" s="251">
        <v>34.958799999999997</v>
      </c>
      <c r="Q653" s="251">
        <v>38.4208</v>
      </c>
      <c r="R653" s="254">
        <v>1.07</v>
      </c>
      <c r="S653" s="214">
        <v>769</v>
      </c>
      <c r="T653" s="214">
        <v>797621</v>
      </c>
      <c r="U653" s="214">
        <v>0</v>
      </c>
      <c r="V653" s="187">
        <f t="shared" si="22"/>
        <v>797621</v>
      </c>
      <c r="W653" s="187">
        <f t="shared" si="23"/>
        <v>798390</v>
      </c>
    </row>
    <row r="654" spans="1:23">
      <c r="A654" s="216" t="s">
        <v>4161</v>
      </c>
      <c r="B654" s="218">
        <v>1441.182</v>
      </c>
      <c r="C654" s="218">
        <v>1408.617</v>
      </c>
      <c r="D654" s="218">
        <v>1366.077</v>
      </c>
      <c r="E654" s="218">
        <v>1333.1849999999999</v>
      </c>
      <c r="F654" s="218">
        <v>255.2072</v>
      </c>
      <c r="G654" s="218">
        <v>248.31639999999999</v>
      </c>
      <c r="H654" s="218">
        <v>245.99549999999999</v>
      </c>
      <c r="I654" s="218">
        <v>250.26820000000001</v>
      </c>
      <c r="J654" s="246">
        <v>403557435</v>
      </c>
      <c r="K654" s="246">
        <v>429693295</v>
      </c>
      <c r="L654" s="218">
        <v>2154.2449999999999</v>
      </c>
      <c r="M654" s="246">
        <v>640002</v>
      </c>
      <c r="N654" s="251">
        <v>166.3236</v>
      </c>
      <c r="O654" s="251">
        <v>156.03129999999999</v>
      </c>
      <c r="P654" s="251">
        <v>153.6601</v>
      </c>
      <c r="Q654" s="251">
        <v>159.7861</v>
      </c>
      <c r="R654" s="254">
        <v>1.06</v>
      </c>
      <c r="S654" s="214">
        <v>601616</v>
      </c>
      <c r="T654" s="214">
        <v>4630311</v>
      </c>
      <c r="U654" s="214">
        <v>0</v>
      </c>
      <c r="V654" s="187">
        <f t="shared" si="22"/>
        <v>4630311</v>
      </c>
      <c r="W654" s="187">
        <f t="shared" si="23"/>
        <v>5231927</v>
      </c>
    </row>
    <row r="655" spans="1:23">
      <c r="A655" s="216" t="s">
        <v>4163</v>
      </c>
      <c r="B655" s="218">
        <v>817.35500000000002</v>
      </c>
      <c r="C655" s="218">
        <v>788.548</v>
      </c>
      <c r="D655" s="218">
        <v>766.53599999999994</v>
      </c>
      <c r="E655" s="218">
        <v>745.303</v>
      </c>
      <c r="F655" s="218">
        <v>139.78909999999999</v>
      </c>
      <c r="G655" s="218">
        <v>140.94399999999999</v>
      </c>
      <c r="H655" s="218">
        <v>147.9306</v>
      </c>
      <c r="I655" s="218">
        <v>140.17939999999999</v>
      </c>
      <c r="J655" s="246">
        <v>171746112</v>
      </c>
      <c r="K655" s="246">
        <v>180221922</v>
      </c>
      <c r="L655" s="218">
        <v>1347.585</v>
      </c>
      <c r="M655" s="187">
        <v>0</v>
      </c>
      <c r="N655" s="251">
        <v>93.820899999999995</v>
      </c>
      <c r="O655" s="251">
        <v>91.7333</v>
      </c>
      <c r="P655" s="251">
        <v>98.054599999999994</v>
      </c>
      <c r="Q655" s="251">
        <v>92.391400000000004</v>
      </c>
      <c r="R655" s="254">
        <v>1.0900000000000001</v>
      </c>
      <c r="S655" s="214">
        <v>0</v>
      </c>
      <c r="T655" s="214">
        <v>2480659</v>
      </c>
      <c r="U655" s="214">
        <v>0</v>
      </c>
      <c r="V655" s="187">
        <f t="shared" si="22"/>
        <v>2480659</v>
      </c>
      <c r="W655" s="187">
        <f t="shared" si="23"/>
        <v>2480659</v>
      </c>
    </row>
    <row r="656" spans="1:23">
      <c r="A656" s="216" t="s">
        <v>4165</v>
      </c>
      <c r="B656" s="218">
        <v>208.833</v>
      </c>
      <c r="C656" s="218">
        <v>209.19399999999999</v>
      </c>
      <c r="D656" s="218">
        <v>205.59</v>
      </c>
      <c r="E656" s="218">
        <v>213.81</v>
      </c>
      <c r="F656" s="218">
        <v>34.7331</v>
      </c>
      <c r="G656" s="218">
        <v>36.5946</v>
      </c>
      <c r="H656" s="218">
        <v>35.558700000000002</v>
      </c>
      <c r="I656" s="218">
        <v>35.751300000000001</v>
      </c>
      <c r="J656" s="246">
        <v>168260369</v>
      </c>
      <c r="K656" s="246">
        <v>169239225</v>
      </c>
      <c r="L656" s="218">
        <v>358.93900000000002</v>
      </c>
      <c r="M656" s="187">
        <v>0</v>
      </c>
      <c r="N656" s="251">
        <v>23.6371</v>
      </c>
      <c r="O656" s="251">
        <v>22.709199999999999</v>
      </c>
      <c r="P656" s="251">
        <v>22.906099999999999</v>
      </c>
      <c r="Q656" s="251">
        <v>23.428100000000001</v>
      </c>
      <c r="R656" s="254">
        <v>1.0900000000000001</v>
      </c>
      <c r="S656" s="214">
        <v>0</v>
      </c>
      <c r="T656" s="214">
        <v>2184555</v>
      </c>
      <c r="U656" s="214">
        <v>0</v>
      </c>
      <c r="V656" s="187">
        <f t="shared" si="22"/>
        <v>2184555</v>
      </c>
      <c r="W656" s="187">
        <f t="shared" si="23"/>
        <v>2184555</v>
      </c>
    </row>
    <row r="657" spans="1:23">
      <c r="A657" s="216" t="s">
        <v>4167</v>
      </c>
      <c r="B657" s="218">
        <v>579.10599999999999</v>
      </c>
      <c r="C657" s="218">
        <v>568.56899999999996</v>
      </c>
      <c r="D657" s="218">
        <v>566.76800000000003</v>
      </c>
      <c r="E657" s="218">
        <v>551.06899999999996</v>
      </c>
      <c r="F657" s="218">
        <v>120.0513</v>
      </c>
      <c r="G657" s="218">
        <v>113.48309999999999</v>
      </c>
      <c r="H657" s="218">
        <v>108.5364</v>
      </c>
      <c r="I657" s="218">
        <v>106.1447</v>
      </c>
      <c r="J657" s="246">
        <v>135850520</v>
      </c>
      <c r="K657" s="246">
        <v>146386289</v>
      </c>
      <c r="L657" s="218">
        <v>1086.94</v>
      </c>
      <c r="M657" s="187">
        <v>0</v>
      </c>
      <c r="N657" s="251">
        <v>75.468999999999994</v>
      </c>
      <c r="O657" s="251">
        <v>70.735600000000005</v>
      </c>
      <c r="P657" s="251">
        <v>65.423400000000001</v>
      </c>
      <c r="Q657" s="251">
        <v>61.979199999999999</v>
      </c>
      <c r="R657" s="254">
        <v>1.05</v>
      </c>
      <c r="S657" s="214">
        <v>0</v>
      </c>
      <c r="T657" s="214">
        <v>2279526</v>
      </c>
      <c r="U657" s="214">
        <v>0</v>
      </c>
      <c r="V657" s="187">
        <f t="shared" si="22"/>
        <v>2279526</v>
      </c>
      <c r="W657" s="187">
        <f t="shared" si="23"/>
        <v>2279526</v>
      </c>
    </row>
    <row r="658" spans="1:23">
      <c r="A658" s="216" t="s">
        <v>4169</v>
      </c>
      <c r="B658" s="218">
        <v>4062.8130000000001</v>
      </c>
      <c r="C658" s="218">
        <v>4088.0929999999998</v>
      </c>
      <c r="D658" s="218">
        <v>4028.98</v>
      </c>
      <c r="E658" s="218">
        <v>3999.2730000000001</v>
      </c>
      <c r="F658" s="218">
        <v>654.56169999999997</v>
      </c>
      <c r="G658" s="218">
        <v>654.18700000000001</v>
      </c>
      <c r="H658" s="218">
        <v>640.92550000000006</v>
      </c>
      <c r="I658" s="218">
        <v>656.95219999999995</v>
      </c>
      <c r="J658" s="246">
        <v>802739132</v>
      </c>
      <c r="K658" s="246">
        <v>837571982</v>
      </c>
      <c r="L658" s="218">
        <v>5500.982</v>
      </c>
      <c r="M658" s="246">
        <v>1283147</v>
      </c>
      <c r="N658" s="251">
        <v>405.28429999999997</v>
      </c>
      <c r="O658" s="251">
        <v>400.95670000000001</v>
      </c>
      <c r="P658" s="251">
        <v>389.69040000000001</v>
      </c>
      <c r="Q658" s="251">
        <v>383.44830000000002</v>
      </c>
      <c r="R658" s="254">
        <v>1.1299999999999999</v>
      </c>
      <c r="S658" s="214">
        <v>1141143</v>
      </c>
      <c r="T658" s="214">
        <v>11346198</v>
      </c>
      <c r="U658" s="214">
        <v>0</v>
      </c>
      <c r="V658" s="187">
        <f t="shared" si="22"/>
        <v>11346198</v>
      </c>
      <c r="W658" s="187">
        <f t="shared" si="23"/>
        <v>12487341</v>
      </c>
    </row>
    <row r="659" spans="1:23">
      <c r="A659" s="216" t="s">
        <v>4171</v>
      </c>
      <c r="B659" s="218">
        <v>882.94399999999996</v>
      </c>
      <c r="C659" s="218">
        <v>815.25099999999998</v>
      </c>
      <c r="D659" s="218">
        <v>824.53700000000003</v>
      </c>
      <c r="E659" s="218">
        <v>846.31</v>
      </c>
      <c r="F659" s="218">
        <v>142.44880000000001</v>
      </c>
      <c r="G659" s="218">
        <v>145.48349999999999</v>
      </c>
      <c r="H659" s="218">
        <v>146.505</v>
      </c>
      <c r="I659" s="218">
        <v>144.1841</v>
      </c>
      <c r="J659" s="246">
        <v>317607259</v>
      </c>
      <c r="K659" s="246">
        <v>325178009</v>
      </c>
      <c r="L659" s="218">
        <v>1495.011</v>
      </c>
      <c r="M659" s="187">
        <v>0</v>
      </c>
      <c r="N659" s="251">
        <v>92.486900000000006</v>
      </c>
      <c r="O659" s="251">
        <v>95.501000000000005</v>
      </c>
      <c r="P659" s="251">
        <v>97.361699999999999</v>
      </c>
      <c r="Q659" s="251">
        <v>96.724199999999996</v>
      </c>
      <c r="R659" s="254">
        <v>1.0900000000000001</v>
      </c>
      <c r="S659" s="214">
        <v>0</v>
      </c>
      <c r="T659" s="214">
        <v>4235285</v>
      </c>
      <c r="U659" s="214">
        <v>0</v>
      </c>
      <c r="V659" s="187">
        <f t="shared" si="22"/>
        <v>4235285</v>
      </c>
      <c r="W659" s="187">
        <f t="shared" si="23"/>
        <v>4235285</v>
      </c>
    </row>
    <row r="660" spans="1:23">
      <c r="A660" s="216" t="s">
        <v>2055</v>
      </c>
      <c r="B660" s="218">
        <v>73.138999999999996</v>
      </c>
      <c r="C660" s="218">
        <v>73.709000000000003</v>
      </c>
      <c r="D660" s="218">
        <v>71.483000000000004</v>
      </c>
      <c r="E660" s="218">
        <v>68.528999999999996</v>
      </c>
      <c r="F660" s="218">
        <v>15.9252</v>
      </c>
      <c r="G660" s="218">
        <v>17.962599999999998</v>
      </c>
      <c r="H660" s="218">
        <v>16.962599999999998</v>
      </c>
      <c r="I660" s="218">
        <v>16.962599999999998</v>
      </c>
      <c r="J660" s="246">
        <v>82577506</v>
      </c>
      <c r="K660" s="246">
        <v>85066466</v>
      </c>
      <c r="L660" s="218">
        <v>126.95399999999999</v>
      </c>
      <c r="M660" s="187">
        <v>0</v>
      </c>
      <c r="N660" s="251">
        <v>9.0000999999999998</v>
      </c>
      <c r="O660" s="251">
        <v>9</v>
      </c>
      <c r="P660" s="251">
        <v>9</v>
      </c>
      <c r="Q660" s="251">
        <v>8</v>
      </c>
      <c r="R660" s="254">
        <v>1.1000000000000001</v>
      </c>
      <c r="S660" s="214">
        <v>0</v>
      </c>
      <c r="T660" s="214">
        <v>1199055</v>
      </c>
      <c r="U660" s="214">
        <v>0</v>
      </c>
      <c r="V660" s="187">
        <f t="shared" si="22"/>
        <v>1199055</v>
      </c>
      <c r="W660" s="187">
        <f t="shared" si="23"/>
        <v>1199055</v>
      </c>
    </row>
    <row r="661" spans="1:23">
      <c r="A661" s="216" t="s">
        <v>2057</v>
      </c>
      <c r="B661" s="218">
        <v>1613.5029999999999</v>
      </c>
      <c r="C661" s="218">
        <v>1606.634</v>
      </c>
      <c r="D661" s="218">
        <v>1581.403</v>
      </c>
      <c r="E661" s="218">
        <v>1584.0060000000001</v>
      </c>
      <c r="F661" s="218">
        <v>254.7808</v>
      </c>
      <c r="G661" s="218">
        <v>254.7808</v>
      </c>
      <c r="H661" s="218">
        <v>248.7166</v>
      </c>
      <c r="I661" s="218">
        <v>245.57220000000001</v>
      </c>
      <c r="J661" s="246">
        <v>1258056046</v>
      </c>
      <c r="K661" s="246">
        <v>1269225365</v>
      </c>
      <c r="L661" s="218">
        <v>2188.09</v>
      </c>
      <c r="M661" s="246">
        <v>645620</v>
      </c>
      <c r="N661" s="251">
        <v>167.2321</v>
      </c>
      <c r="O661" s="251">
        <v>165.87379999999999</v>
      </c>
      <c r="P661" s="251">
        <v>162.29480000000001</v>
      </c>
      <c r="Q661" s="251">
        <v>163.9736</v>
      </c>
      <c r="R661" s="254">
        <v>1.1100000000000001</v>
      </c>
      <c r="S661" s="214">
        <v>1065088</v>
      </c>
      <c r="T661" s="214">
        <v>15417639</v>
      </c>
      <c r="U661" s="214">
        <v>0</v>
      </c>
      <c r="V661" s="187">
        <f t="shared" si="22"/>
        <v>15417639</v>
      </c>
      <c r="W661" s="187">
        <f t="shared" si="23"/>
        <v>16482727</v>
      </c>
    </row>
    <row r="662" spans="1:23">
      <c r="A662" s="216" t="s">
        <v>2059</v>
      </c>
      <c r="B662" s="218">
        <v>926.49699999999996</v>
      </c>
      <c r="C662" s="218">
        <v>928.02700000000004</v>
      </c>
      <c r="D662" s="218">
        <v>900.00099999999998</v>
      </c>
      <c r="E662" s="218">
        <v>920.90899999999999</v>
      </c>
      <c r="F662" s="218">
        <v>147.0035</v>
      </c>
      <c r="G662" s="218">
        <v>148.62909999999999</v>
      </c>
      <c r="H662" s="218">
        <v>153.17179999999999</v>
      </c>
      <c r="I662" s="218">
        <v>144.68790000000001</v>
      </c>
      <c r="J662" s="246">
        <v>210808615</v>
      </c>
      <c r="K662" s="246">
        <v>222955165</v>
      </c>
      <c r="L662" s="218">
        <v>1591.0239999999999</v>
      </c>
      <c r="M662" s="187">
        <v>0</v>
      </c>
      <c r="N662" s="251">
        <v>90.254900000000006</v>
      </c>
      <c r="O662" s="251">
        <v>76.518299999999996</v>
      </c>
      <c r="P662" s="251">
        <v>86.410899999999998</v>
      </c>
      <c r="Q662" s="251">
        <v>98.003600000000006</v>
      </c>
      <c r="R662" s="254">
        <v>1.1100000000000001</v>
      </c>
      <c r="S662" s="214">
        <v>0</v>
      </c>
      <c r="T662" s="214">
        <v>3424306</v>
      </c>
      <c r="U662" s="214">
        <v>0</v>
      </c>
      <c r="V662" s="187">
        <f t="shared" si="22"/>
        <v>3424306</v>
      </c>
      <c r="W662" s="187">
        <f t="shared" si="23"/>
        <v>3424306</v>
      </c>
    </row>
    <row r="663" spans="1:23">
      <c r="A663" s="216" t="s">
        <v>1814</v>
      </c>
      <c r="B663" s="218">
        <v>11711.248</v>
      </c>
      <c r="C663" s="218">
        <v>11786.946</v>
      </c>
      <c r="D663" s="218">
        <v>12019.745000000001</v>
      </c>
      <c r="E663" s="218">
        <v>12222.6</v>
      </c>
      <c r="F663" s="218">
        <v>1636.4168</v>
      </c>
      <c r="G663" s="218">
        <v>1690.7055</v>
      </c>
      <c r="H663" s="218">
        <v>1704.9547</v>
      </c>
      <c r="I663" s="218">
        <v>1774.2460000000001</v>
      </c>
      <c r="J663" s="246">
        <v>847404549</v>
      </c>
      <c r="K663" s="246">
        <v>927077090</v>
      </c>
      <c r="L663" s="218">
        <v>16861.337</v>
      </c>
      <c r="M663" s="246">
        <v>149980</v>
      </c>
      <c r="N663" s="251">
        <v>993.4701</v>
      </c>
      <c r="O663" s="251">
        <v>1018.0657</v>
      </c>
      <c r="P663" s="251">
        <v>999.27670000000001</v>
      </c>
      <c r="Q663" s="251">
        <v>1020.2872</v>
      </c>
      <c r="R663" s="254">
        <v>1.1499999999999999</v>
      </c>
      <c r="S663" s="214">
        <v>765721</v>
      </c>
      <c r="T663" s="214">
        <v>11637958</v>
      </c>
      <c r="U663" s="214">
        <v>0</v>
      </c>
      <c r="V663" s="187">
        <f t="shared" si="22"/>
        <v>11637958</v>
      </c>
      <c r="W663" s="187">
        <f t="shared" si="23"/>
        <v>12403679</v>
      </c>
    </row>
    <row r="664" spans="1:23">
      <c r="A664" s="216" t="s">
        <v>958</v>
      </c>
      <c r="B664" s="218">
        <v>1317.8009999999999</v>
      </c>
      <c r="C664" s="218">
        <v>1270.6220000000001</v>
      </c>
      <c r="D664" s="218">
        <v>1247.693</v>
      </c>
      <c r="E664" s="218">
        <v>1271.0350000000001</v>
      </c>
      <c r="F664" s="218">
        <v>247.1431</v>
      </c>
      <c r="G664" s="218">
        <v>254.73079999999999</v>
      </c>
      <c r="H664" s="218">
        <v>252.88890000000001</v>
      </c>
      <c r="I664" s="218">
        <v>252.8083</v>
      </c>
      <c r="J664" s="246">
        <v>176571840</v>
      </c>
      <c r="K664" s="246">
        <v>192677610</v>
      </c>
      <c r="L664" s="218">
        <v>2021.1289999999999</v>
      </c>
      <c r="M664" s="246">
        <v>153211</v>
      </c>
      <c r="N664" s="251">
        <v>161.2011</v>
      </c>
      <c r="O664" s="251">
        <v>171.09139999999999</v>
      </c>
      <c r="P664" s="251">
        <v>165.7397</v>
      </c>
      <c r="Q664" s="251">
        <v>161.06870000000001</v>
      </c>
      <c r="R664" s="254">
        <v>1.03</v>
      </c>
      <c r="S664" s="214">
        <v>344806</v>
      </c>
      <c r="T664" s="214">
        <v>2775937</v>
      </c>
      <c r="U664" s="214">
        <v>0</v>
      </c>
      <c r="V664" s="187">
        <f t="shared" si="22"/>
        <v>2775937</v>
      </c>
      <c r="W664" s="187">
        <f t="shared" si="23"/>
        <v>3120743</v>
      </c>
    </row>
    <row r="665" spans="1:23">
      <c r="A665" s="216" t="s">
        <v>2061</v>
      </c>
      <c r="B665" s="218">
        <v>187.31299999999999</v>
      </c>
      <c r="C665" s="218">
        <v>179.86500000000001</v>
      </c>
      <c r="D665" s="218">
        <v>182.28200000000001</v>
      </c>
      <c r="E665" s="218">
        <v>193.65</v>
      </c>
      <c r="F665" s="218">
        <v>42.787799999999997</v>
      </c>
      <c r="G665" s="218">
        <v>43.3504</v>
      </c>
      <c r="H665" s="218">
        <v>30.5</v>
      </c>
      <c r="I665" s="218">
        <v>42.462600000000002</v>
      </c>
      <c r="J665" s="246">
        <v>28093215</v>
      </c>
      <c r="K665" s="246">
        <v>30453515</v>
      </c>
      <c r="L665" s="218">
        <v>417.08199999999999</v>
      </c>
      <c r="M665" s="187">
        <v>0</v>
      </c>
      <c r="N665" s="251">
        <v>27.591000000000001</v>
      </c>
      <c r="O665" s="251">
        <v>27.881799999999998</v>
      </c>
      <c r="P665" s="251">
        <v>25.9297</v>
      </c>
      <c r="Q665" s="251">
        <v>27.6904</v>
      </c>
      <c r="R665" s="254">
        <v>1.05</v>
      </c>
      <c r="S665" s="214">
        <v>0</v>
      </c>
      <c r="T665" s="214">
        <v>434180</v>
      </c>
      <c r="U665" s="214">
        <v>0</v>
      </c>
      <c r="V665" s="187">
        <f t="shared" si="22"/>
        <v>434180</v>
      </c>
      <c r="W665" s="187">
        <f t="shared" si="23"/>
        <v>434180</v>
      </c>
    </row>
    <row r="666" spans="1:23">
      <c r="A666" s="216" t="s">
        <v>1845</v>
      </c>
      <c r="B666" s="218">
        <v>93.72</v>
      </c>
      <c r="C666" s="218">
        <v>100.732</v>
      </c>
      <c r="D666" s="218">
        <v>102.914</v>
      </c>
      <c r="E666" s="218">
        <v>106.05800000000001</v>
      </c>
      <c r="F666" s="218">
        <v>24.085699999999999</v>
      </c>
      <c r="G666" s="218">
        <v>25.085699999999999</v>
      </c>
      <c r="H666" s="218">
        <v>26.585699999999999</v>
      </c>
      <c r="I666" s="218">
        <v>28.104399999999998</v>
      </c>
      <c r="J666" s="246">
        <v>14972519</v>
      </c>
      <c r="K666" s="246">
        <v>15609439</v>
      </c>
      <c r="L666" s="218">
        <v>281.54599999999999</v>
      </c>
      <c r="M666" s="187">
        <v>0</v>
      </c>
      <c r="N666" s="251">
        <v>16.4102</v>
      </c>
      <c r="O666" s="251">
        <v>18.107199999999999</v>
      </c>
      <c r="P666" s="251">
        <v>18.608699999999999</v>
      </c>
      <c r="Q666" s="251">
        <v>19.606999999999999</v>
      </c>
      <c r="R666" s="254">
        <v>1.04</v>
      </c>
      <c r="S666" s="214">
        <v>11157</v>
      </c>
      <c r="T666" s="214">
        <v>219354</v>
      </c>
      <c r="U666" s="214">
        <v>0</v>
      </c>
      <c r="V666" s="187">
        <f t="shared" si="22"/>
        <v>219354</v>
      </c>
      <c r="W666" s="187">
        <f t="shared" si="23"/>
        <v>230511</v>
      </c>
    </row>
    <row r="667" spans="1:23">
      <c r="A667" s="216" t="s">
        <v>5237</v>
      </c>
      <c r="B667" s="218">
        <v>557.21600000000001</v>
      </c>
      <c r="C667" s="218">
        <v>581.26599999999996</v>
      </c>
      <c r="D667" s="218">
        <v>585.20299999999997</v>
      </c>
      <c r="E667" s="218">
        <v>588.29100000000005</v>
      </c>
      <c r="F667" s="218">
        <v>70.338899999999995</v>
      </c>
      <c r="G667" s="218">
        <v>74.425200000000004</v>
      </c>
      <c r="H667" s="218">
        <v>79.927700000000002</v>
      </c>
      <c r="I667" s="218">
        <v>88.503200000000007</v>
      </c>
      <c r="J667" s="246">
        <v>65432855</v>
      </c>
      <c r="K667" s="246">
        <v>70971465</v>
      </c>
      <c r="L667" s="218">
        <v>864.572</v>
      </c>
      <c r="M667" s="246">
        <v>43338</v>
      </c>
      <c r="N667" s="251">
        <v>44.086399999999998</v>
      </c>
      <c r="O667" s="251">
        <v>47.571199999999997</v>
      </c>
      <c r="P667" s="251">
        <v>48.596299999999999</v>
      </c>
      <c r="Q667" s="251">
        <v>52.249200000000002</v>
      </c>
      <c r="R667" s="254">
        <v>1.03</v>
      </c>
      <c r="S667" s="214">
        <v>132557</v>
      </c>
      <c r="T667" s="214">
        <v>1025454</v>
      </c>
      <c r="U667" s="214">
        <v>0</v>
      </c>
      <c r="V667" s="187">
        <f t="shared" si="22"/>
        <v>1025454</v>
      </c>
      <c r="W667" s="187">
        <f t="shared" si="23"/>
        <v>1158011</v>
      </c>
    </row>
    <row r="668" spans="1:23">
      <c r="A668" s="216" t="s">
        <v>2065</v>
      </c>
      <c r="B668" s="218">
        <v>5466.8990000000003</v>
      </c>
      <c r="C668" s="218">
        <v>5539.6589999999997</v>
      </c>
      <c r="D668" s="218">
        <v>5517.9849999999997</v>
      </c>
      <c r="E668" s="218">
        <v>5470.8140000000003</v>
      </c>
      <c r="F668" s="218">
        <v>683.09810000000004</v>
      </c>
      <c r="G668" s="218">
        <v>691.95240000000001</v>
      </c>
      <c r="H668" s="218">
        <v>743.86289999999997</v>
      </c>
      <c r="I668" s="218">
        <v>760.65419999999995</v>
      </c>
      <c r="J668" s="246">
        <v>1772345964</v>
      </c>
      <c r="K668" s="246">
        <v>1849852262</v>
      </c>
      <c r="L668" s="218">
        <v>6455.9920000000002</v>
      </c>
      <c r="M668" s="246">
        <v>5139803</v>
      </c>
      <c r="N668" s="251">
        <v>435.01150000000001</v>
      </c>
      <c r="O668" s="251">
        <v>445.97329999999999</v>
      </c>
      <c r="P668" s="251">
        <v>448.88819999999998</v>
      </c>
      <c r="Q668" s="251">
        <v>447.50220000000002</v>
      </c>
      <c r="R668" s="254">
        <v>1.08</v>
      </c>
      <c r="S668" s="214">
        <v>5629398</v>
      </c>
      <c r="T668" s="214">
        <v>26138028</v>
      </c>
      <c r="U668" s="214">
        <v>0</v>
      </c>
      <c r="V668" s="187">
        <f t="shared" si="22"/>
        <v>26138028</v>
      </c>
      <c r="W668" s="187">
        <f t="shared" si="23"/>
        <v>31767426</v>
      </c>
    </row>
    <row r="669" spans="1:23">
      <c r="A669" s="216" t="s">
        <v>2905</v>
      </c>
      <c r="B669" s="218">
        <v>2306.3310000000001</v>
      </c>
      <c r="C669" s="218">
        <v>2316.732</v>
      </c>
      <c r="D669" s="218">
        <v>2334.3510000000001</v>
      </c>
      <c r="E669" s="218">
        <v>2345.018</v>
      </c>
      <c r="F669" s="218">
        <v>361.17959999999999</v>
      </c>
      <c r="G669" s="218">
        <v>394.07319999999999</v>
      </c>
      <c r="H669" s="218">
        <v>391.44959999999998</v>
      </c>
      <c r="I669" s="218">
        <v>404.14479999999998</v>
      </c>
      <c r="J669" s="246">
        <v>293800047</v>
      </c>
      <c r="K669" s="246">
        <v>315760545</v>
      </c>
      <c r="L669" s="218">
        <v>3402.6559999999999</v>
      </c>
      <c r="M669" s="187">
        <v>0</v>
      </c>
      <c r="N669" s="251">
        <v>207.68950000000001</v>
      </c>
      <c r="O669" s="251">
        <v>238.1481</v>
      </c>
      <c r="P669" s="251">
        <v>233.42599999999999</v>
      </c>
      <c r="Q669" s="251">
        <v>246.9068</v>
      </c>
      <c r="R669" s="254">
        <v>1.06</v>
      </c>
      <c r="S669" s="214">
        <v>201654</v>
      </c>
      <c r="T669" s="214">
        <v>4792364</v>
      </c>
      <c r="U669" s="214">
        <v>0</v>
      </c>
      <c r="V669" s="187">
        <f t="shared" si="22"/>
        <v>4792364</v>
      </c>
      <c r="W669" s="187">
        <f t="shared" si="23"/>
        <v>4994018</v>
      </c>
    </row>
    <row r="670" spans="1:23">
      <c r="A670" s="216" t="s">
        <v>5238</v>
      </c>
      <c r="B670" s="218">
        <v>1426.3440000000001</v>
      </c>
      <c r="C670" s="218">
        <v>1423.838</v>
      </c>
      <c r="D670" s="218">
        <v>1459.1969999999999</v>
      </c>
      <c r="E670" s="218">
        <v>1515.48</v>
      </c>
      <c r="F670" s="218">
        <v>158.15469999999999</v>
      </c>
      <c r="G670" s="218">
        <v>159.5992</v>
      </c>
      <c r="H670" s="218">
        <v>166.59540000000001</v>
      </c>
      <c r="I670" s="218">
        <v>166.416</v>
      </c>
      <c r="J670" s="246">
        <v>163727868</v>
      </c>
      <c r="K670" s="246">
        <v>180272011</v>
      </c>
      <c r="L670" s="218">
        <v>2028.933</v>
      </c>
      <c r="M670" s="246">
        <v>219295</v>
      </c>
      <c r="N670" s="251">
        <v>90.894900000000007</v>
      </c>
      <c r="O670" s="251">
        <v>101.9996</v>
      </c>
      <c r="P670" s="251">
        <v>97.232900000000001</v>
      </c>
      <c r="Q670" s="251">
        <v>97.494799999999998</v>
      </c>
      <c r="R670" s="254">
        <v>1.05</v>
      </c>
      <c r="S670" s="214">
        <v>562348</v>
      </c>
      <c r="T670" s="214">
        <v>2739376</v>
      </c>
      <c r="U670" s="214">
        <v>0</v>
      </c>
      <c r="V670" s="187">
        <f t="shared" si="22"/>
        <v>2739376</v>
      </c>
      <c r="W670" s="187">
        <f t="shared" si="23"/>
        <v>3301724</v>
      </c>
    </row>
    <row r="671" spans="1:23">
      <c r="A671" s="216" t="s">
        <v>6163</v>
      </c>
      <c r="B671" s="218">
        <v>703.91700000000003</v>
      </c>
      <c r="C671" s="218">
        <v>674.48400000000004</v>
      </c>
      <c r="D671" s="218">
        <v>664.46799999999996</v>
      </c>
      <c r="E671" s="218">
        <v>646.06200000000001</v>
      </c>
      <c r="F671" s="218">
        <v>87.893199999999993</v>
      </c>
      <c r="G671" s="218">
        <v>106.7543</v>
      </c>
      <c r="H671" s="218">
        <v>101.9174</v>
      </c>
      <c r="I671" s="218">
        <v>107.3368</v>
      </c>
      <c r="J671" s="246">
        <v>49429950</v>
      </c>
      <c r="K671" s="246">
        <v>55881535</v>
      </c>
      <c r="L671" s="218">
        <v>1087.069</v>
      </c>
      <c r="M671" s="246">
        <v>29758</v>
      </c>
      <c r="N671" s="251">
        <v>52.914700000000003</v>
      </c>
      <c r="O671" s="251">
        <v>72.001099999999994</v>
      </c>
      <c r="P671" s="251">
        <v>71.654799999999994</v>
      </c>
      <c r="Q671" s="251">
        <v>72.936199999999999</v>
      </c>
      <c r="R671" s="254">
        <v>1.05</v>
      </c>
      <c r="S671" s="214">
        <v>79418</v>
      </c>
      <c r="T671" s="214">
        <v>794919</v>
      </c>
      <c r="U671" s="214">
        <v>0</v>
      </c>
      <c r="V671" s="187">
        <f t="shared" si="22"/>
        <v>794919</v>
      </c>
      <c r="W671" s="187">
        <f t="shared" si="23"/>
        <v>874337</v>
      </c>
    </row>
    <row r="672" spans="1:23">
      <c r="A672" s="216" t="s">
        <v>2470</v>
      </c>
      <c r="B672" s="218">
        <v>1069.5630000000001</v>
      </c>
      <c r="C672" s="218">
        <v>1064.6400000000001</v>
      </c>
      <c r="D672" s="218">
        <v>1042.519</v>
      </c>
      <c r="E672" s="218">
        <v>1070.403</v>
      </c>
      <c r="F672" s="218">
        <v>188.74379999999999</v>
      </c>
      <c r="G672" s="218">
        <v>196.02369999999999</v>
      </c>
      <c r="H672" s="218">
        <v>202.0137</v>
      </c>
      <c r="I672" s="218">
        <v>213.2474</v>
      </c>
      <c r="J672" s="246">
        <v>158294639</v>
      </c>
      <c r="K672" s="246">
        <v>169825291</v>
      </c>
      <c r="L672" s="218">
        <v>1660.6130000000001</v>
      </c>
      <c r="M672" s="246">
        <v>148752</v>
      </c>
      <c r="N672" s="251">
        <v>121.5548</v>
      </c>
      <c r="O672" s="251">
        <v>122.5865</v>
      </c>
      <c r="P672" s="251">
        <v>136.1807</v>
      </c>
      <c r="Q672" s="251">
        <v>144.5737</v>
      </c>
      <c r="R672" s="254">
        <v>1.05</v>
      </c>
      <c r="S672" s="214">
        <v>347065</v>
      </c>
      <c r="T672" s="214">
        <v>2380865</v>
      </c>
      <c r="U672" s="214">
        <v>0</v>
      </c>
      <c r="V672" s="187">
        <f t="shared" si="22"/>
        <v>2380865</v>
      </c>
      <c r="W672" s="187">
        <f t="shared" si="23"/>
        <v>2727930</v>
      </c>
    </row>
    <row r="673" spans="1:23">
      <c r="A673" s="216" t="s">
        <v>973</v>
      </c>
      <c r="B673" s="218">
        <v>705.12800000000004</v>
      </c>
      <c r="C673" s="218">
        <v>675.29</v>
      </c>
      <c r="D673" s="218">
        <v>667.68899999999996</v>
      </c>
      <c r="E673" s="218">
        <v>696.35299999999995</v>
      </c>
      <c r="F673" s="218">
        <v>103.7046</v>
      </c>
      <c r="G673" s="218">
        <v>102.81489999999999</v>
      </c>
      <c r="H673" s="218">
        <v>106.3884</v>
      </c>
      <c r="I673" s="218">
        <v>108.2131</v>
      </c>
      <c r="J673" s="246">
        <v>63322110</v>
      </c>
      <c r="K673" s="246">
        <v>71281067</v>
      </c>
      <c r="L673" s="218">
        <v>1118.2539999999999</v>
      </c>
      <c r="M673" s="187">
        <v>0</v>
      </c>
      <c r="N673" s="251">
        <v>67.328699999999998</v>
      </c>
      <c r="O673" s="251">
        <v>68.011200000000002</v>
      </c>
      <c r="P673" s="251">
        <v>73.777100000000004</v>
      </c>
      <c r="Q673" s="251">
        <v>73.905500000000004</v>
      </c>
      <c r="R673" s="254">
        <v>1.05</v>
      </c>
      <c r="S673" s="214">
        <v>1246</v>
      </c>
      <c r="T673" s="214">
        <v>977504</v>
      </c>
      <c r="U673" s="214">
        <v>0</v>
      </c>
      <c r="V673" s="187">
        <f t="shared" si="22"/>
        <v>977504</v>
      </c>
      <c r="W673" s="187">
        <f t="shared" si="23"/>
        <v>978750</v>
      </c>
    </row>
    <row r="674" spans="1:23">
      <c r="A674" s="216" t="s">
        <v>2769</v>
      </c>
      <c r="B674" s="218">
        <v>547.29399999999998</v>
      </c>
      <c r="C674" s="218">
        <v>560.91899999999998</v>
      </c>
      <c r="D674" s="218">
        <v>556.17100000000005</v>
      </c>
      <c r="E674" s="218">
        <v>556.18899999999996</v>
      </c>
      <c r="F674" s="218">
        <v>77.016800000000003</v>
      </c>
      <c r="G674" s="218">
        <v>85.079300000000003</v>
      </c>
      <c r="H674" s="218">
        <v>86.218800000000002</v>
      </c>
      <c r="I674" s="218">
        <v>82.899600000000007</v>
      </c>
      <c r="J674" s="246">
        <v>50018969</v>
      </c>
      <c r="K674" s="246">
        <v>55206519</v>
      </c>
      <c r="L674" s="218">
        <v>898.96900000000005</v>
      </c>
      <c r="M674" s="187">
        <v>0</v>
      </c>
      <c r="N674" s="251">
        <v>54.256700000000002</v>
      </c>
      <c r="O674" s="251">
        <v>57.783700000000003</v>
      </c>
      <c r="P674" s="251">
        <v>60.826300000000003</v>
      </c>
      <c r="Q674" s="251">
        <v>56.832000000000001</v>
      </c>
      <c r="R674" s="254">
        <v>1.04</v>
      </c>
      <c r="S674" s="214">
        <v>70903</v>
      </c>
      <c r="T674" s="214">
        <v>732939</v>
      </c>
      <c r="U674" s="214">
        <v>0</v>
      </c>
      <c r="V674" s="187">
        <f t="shared" si="22"/>
        <v>732939</v>
      </c>
      <c r="W674" s="187">
        <f t="shared" si="23"/>
        <v>803842</v>
      </c>
    </row>
    <row r="675" spans="1:23">
      <c r="A675" s="216" t="s">
        <v>3553</v>
      </c>
      <c r="B675" s="218">
        <v>14225.746999999999</v>
      </c>
      <c r="C675" s="218">
        <v>14117.799000000001</v>
      </c>
      <c r="D675" s="218">
        <v>14128.384</v>
      </c>
      <c r="E675" s="218">
        <v>14290.521000000001</v>
      </c>
      <c r="F675" s="218">
        <v>2101.3472000000002</v>
      </c>
      <c r="G675" s="218">
        <v>2041.3651</v>
      </c>
      <c r="H675" s="218">
        <v>2111.1601999999998</v>
      </c>
      <c r="I675" s="218">
        <v>2130.1064999999999</v>
      </c>
      <c r="J675" s="246">
        <v>2171825815</v>
      </c>
      <c r="K675" s="246">
        <v>2327644383</v>
      </c>
      <c r="L675" s="218">
        <v>19852.663</v>
      </c>
      <c r="M675" s="246">
        <v>1830330</v>
      </c>
      <c r="N675" s="251">
        <v>1138.2938999999999</v>
      </c>
      <c r="O675" s="251">
        <v>1154.0553</v>
      </c>
      <c r="P675" s="251">
        <v>1282.9526000000001</v>
      </c>
      <c r="Q675" s="251">
        <v>1284.3236999999999</v>
      </c>
      <c r="R675" s="254">
        <v>1.1100000000000001</v>
      </c>
      <c r="S675" s="214">
        <v>2919268</v>
      </c>
      <c r="T675" s="214">
        <v>33641746</v>
      </c>
      <c r="U675" s="214">
        <v>0</v>
      </c>
      <c r="V675" s="187">
        <f t="shared" si="22"/>
        <v>33641746</v>
      </c>
      <c r="W675" s="187">
        <f t="shared" si="23"/>
        <v>36561014</v>
      </c>
    </row>
    <row r="676" spans="1:23">
      <c r="A676" s="216" t="s">
        <v>3556</v>
      </c>
      <c r="B676" s="218">
        <v>1458.9649999999999</v>
      </c>
      <c r="C676" s="218">
        <v>1419.0809999999999</v>
      </c>
      <c r="D676" s="218">
        <v>1454.6849999999999</v>
      </c>
      <c r="E676" s="218">
        <v>1436.2639999999999</v>
      </c>
      <c r="F676" s="218">
        <v>160.39109999999999</v>
      </c>
      <c r="G676" s="218">
        <v>176.23330000000001</v>
      </c>
      <c r="H676" s="218">
        <v>176.85849999999999</v>
      </c>
      <c r="I676" s="218">
        <v>174.9598</v>
      </c>
      <c r="J676" s="246">
        <v>160311094</v>
      </c>
      <c r="K676" s="246">
        <v>179913068</v>
      </c>
      <c r="L676" s="218">
        <v>2189.3530000000001</v>
      </c>
      <c r="M676" s="246">
        <v>75517</v>
      </c>
      <c r="N676" s="251">
        <v>102.9988</v>
      </c>
      <c r="O676" s="251">
        <v>107.45180000000001</v>
      </c>
      <c r="P676" s="251">
        <v>103.8805</v>
      </c>
      <c r="Q676" s="251">
        <v>99.500699999999995</v>
      </c>
      <c r="R676" s="254">
        <v>1.05</v>
      </c>
      <c r="S676" s="214">
        <v>252497</v>
      </c>
      <c r="T676" s="214">
        <v>2645842</v>
      </c>
      <c r="U676" s="214">
        <v>0</v>
      </c>
      <c r="V676" s="187">
        <f t="shared" si="22"/>
        <v>2645842</v>
      </c>
      <c r="W676" s="187">
        <f t="shared" si="23"/>
        <v>2898339</v>
      </c>
    </row>
    <row r="677" spans="1:23">
      <c r="A677" s="216" t="s">
        <v>5052</v>
      </c>
      <c r="B677" s="218">
        <v>722.60400000000004</v>
      </c>
      <c r="C677" s="218">
        <v>699.10799999999995</v>
      </c>
      <c r="D677" s="218">
        <v>683.81200000000001</v>
      </c>
      <c r="E677" s="218">
        <v>715.67600000000004</v>
      </c>
      <c r="F677" s="218">
        <v>75.509600000000006</v>
      </c>
      <c r="G677" s="218">
        <v>77.129900000000006</v>
      </c>
      <c r="H677" s="218">
        <v>81.600499999999997</v>
      </c>
      <c r="I677" s="218">
        <v>83.600499999999997</v>
      </c>
      <c r="J677" s="246">
        <v>48089518</v>
      </c>
      <c r="K677" s="246">
        <v>55439337</v>
      </c>
      <c r="L677" s="218">
        <v>1560.4069999999999</v>
      </c>
      <c r="M677" s="187">
        <v>0</v>
      </c>
      <c r="N677" s="251">
        <v>49.132800000000003</v>
      </c>
      <c r="O677" s="251">
        <v>49.505499999999998</v>
      </c>
      <c r="P677" s="251">
        <v>53.834400000000002</v>
      </c>
      <c r="Q677" s="251">
        <v>55.002099999999999</v>
      </c>
      <c r="R677" s="254">
        <v>1.04</v>
      </c>
      <c r="S677" s="214">
        <v>0</v>
      </c>
      <c r="T677" s="214">
        <v>786207</v>
      </c>
      <c r="U677" s="214">
        <v>0</v>
      </c>
      <c r="V677" s="187">
        <f t="shared" si="22"/>
        <v>786207</v>
      </c>
      <c r="W677" s="187">
        <f t="shared" si="23"/>
        <v>786207</v>
      </c>
    </row>
    <row r="678" spans="1:23">
      <c r="A678" s="216" t="s">
        <v>5054</v>
      </c>
      <c r="B678" s="218">
        <v>887.45399999999995</v>
      </c>
      <c r="C678" s="218">
        <v>893.49699999999996</v>
      </c>
      <c r="D678" s="218">
        <v>877.23</v>
      </c>
      <c r="E678" s="218">
        <v>886.15099999999995</v>
      </c>
      <c r="F678" s="218">
        <v>411.48899999999998</v>
      </c>
      <c r="G678" s="218">
        <v>396.74470000000002</v>
      </c>
      <c r="H678" s="218">
        <v>430.08179999999999</v>
      </c>
      <c r="I678" s="218">
        <v>421.32760000000002</v>
      </c>
      <c r="J678" s="246">
        <v>75141220</v>
      </c>
      <c r="K678" s="246">
        <v>83026820</v>
      </c>
      <c r="L678" s="218">
        <v>1565.145</v>
      </c>
      <c r="M678" s="246">
        <v>25784</v>
      </c>
      <c r="N678" s="251">
        <v>287.9384</v>
      </c>
      <c r="O678" s="251">
        <v>290.91739999999999</v>
      </c>
      <c r="P678" s="251">
        <v>304.86759999999998</v>
      </c>
      <c r="Q678" s="251">
        <v>288.31540000000001</v>
      </c>
      <c r="R678" s="254">
        <v>1.04</v>
      </c>
      <c r="S678" s="214">
        <v>43894</v>
      </c>
      <c r="T678" s="214">
        <v>1094114</v>
      </c>
      <c r="U678" s="214">
        <v>0</v>
      </c>
      <c r="V678" s="187">
        <f t="shared" si="22"/>
        <v>1094114</v>
      </c>
      <c r="W678" s="187">
        <f t="shared" si="23"/>
        <v>1138008</v>
      </c>
    </row>
    <row r="679" spans="1:23">
      <c r="A679" s="216" t="s">
        <v>737</v>
      </c>
      <c r="B679" s="218">
        <v>1441.0909999999999</v>
      </c>
      <c r="C679" s="218">
        <v>1481.3869999999999</v>
      </c>
      <c r="D679" s="218">
        <v>1573.53</v>
      </c>
      <c r="E679" s="218">
        <v>1655.278</v>
      </c>
      <c r="F679" s="218">
        <v>163.50790000000001</v>
      </c>
      <c r="G679" s="218">
        <v>175.82480000000001</v>
      </c>
      <c r="H679" s="218">
        <v>181.60050000000001</v>
      </c>
      <c r="I679" s="218">
        <v>191.15170000000001</v>
      </c>
      <c r="J679" s="246">
        <v>187533748</v>
      </c>
      <c r="K679" s="246">
        <v>204631647</v>
      </c>
      <c r="L679" s="218">
        <v>2239.5149999999999</v>
      </c>
      <c r="M679" s="246">
        <v>191617</v>
      </c>
      <c r="N679" s="251">
        <v>96.994399999999999</v>
      </c>
      <c r="O679" s="251">
        <v>98.509399999999999</v>
      </c>
      <c r="P679" s="251">
        <v>102.5039</v>
      </c>
      <c r="Q679" s="251">
        <v>118.1619</v>
      </c>
      <c r="R679" s="254">
        <v>1.04</v>
      </c>
      <c r="S679" s="214">
        <v>527894</v>
      </c>
      <c r="T679" s="214">
        <v>3073723</v>
      </c>
      <c r="U679" s="214">
        <v>0</v>
      </c>
      <c r="V679" s="187">
        <f t="shared" si="22"/>
        <v>3073723</v>
      </c>
      <c r="W679" s="187">
        <f t="shared" si="23"/>
        <v>3601617</v>
      </c>
    </row>
    <row r="680" spans="1:23">
      <c r="A680" s="216" t="s">
        <v>237</v>
      </c>
      <c r="B680" s="218">
        <v>2342.404</v>
      </c>
      <c r="C680" s="218">
        <v>2303.9110000000001</v>
      </c>
      <c r="D680" s="218">
        <v>2310.1260000000002</v>
      </c>
      <c r="E680" s="218">
        <v>2357.6790000000001</v>
      </c>
      <c r="F680" s="218">
        <v>370.68220000000002</v>
      </c>
      <c r="G680" s="218">
        <v>375.42509999999999</v>
      </c>
      <c r="H680" s="218">
        <v>388.28750000000002</v>
      </c>
      <c r="I680" s="218">
        <v>387.53879999999998</v>
      </c>
      <c r="J680" s="246">
        <v>272103192</v>
      </c>
      <c r="K680" s="246">
        <v>294936534</v>
      </c>
      <c r="L680" s="218">
        <v>3379.7330000000002</v>
      </c>
      <c r="M680" s="246">
        <v>206781</v>
      </c>
      <c r="N680" s="251">
        <v>240.27260000000001</v>
      </c>
      <c r="O680" s="251">
        <v>242.87010000000001</v>
      </c>
      <c r="P680" s="251">
        <v>247.1251</v>
      </c>
      <c r="Q680" s="251">
        <v>261.01569999999998</v>
      </c>
      <c r="R680" s="254">
        <v>1.06</v>
      </c>
      <c r="S680" s="214">
        <v>452247</v>
      </c>
      <c r="T680" s="214">
        <v>4305367</v>
      </c>
      <c r="U680" s="214">
        <v>0</v>
      </c>
      <c r="V680" s="187">
        <f t="shared" si="22"/>
        <v>4305367</v>
      </c>
      <c r="W680" s="187">
        <f t="shared" si="23"/>
        <v>4757614</v>
      </c>
    </row>
    <row r="681" spans="1:23">
      <c r="A681" s="216" t="s">
        <v>2307</v>
      </c>
      <c r="B681" s="218">
        <v>1910.9739999999999</v>
      </c>
      <c r="C681" s="218">
        <v>1921.317</v>
      </c>
      <c r="D681" s="218">
        <v>1943.6210000000001</v>
      </c>
      <c r="E681" s="218">
        <v>1939.36</v>
      </c>
      <c r="F681" s="218">
        <v>277.19729999999998</v>
      </c>
      <c r="G681" s="218">
        <v>274.03559999999999</v>
      </c>
      <c r="H681" s="218">
        <v>289.90870000000001</v>
      </c>
      <c r="I681" s="218">
        <v>291.21769999999998</v>
      </c>
      <c r="J681" s="246">
        <v>206028985</v>
      </c>
      <c r="K681" s="246">
        <v>230100492</v>
      </c>
      <c r="L681" s="218">
        <v>2576.2199999999998</v>
      </c>
      <c r="M681" s="246">
        <v>211116</v>
      </c>
      <c r="N681" s="251">
        <v>186.6754</v>
      </c>
      <c r="O681" s="251">
        <v>189.0334</v>
      </c>
      <c r="P681" s="251">
        <v>193.2484</v>
      </c>
      <c r="Q681" s="251">
        <v>203.93899999999999</v>
      </c>
      <c r="R681" s="254">
        <v>1.06</v>
      </c>
      <c r="S681" s="214">
        <v>371985</v>
      </c>
      <c r="T681" s="214">
        <v>3575691</v>
      </c>
      <c r="U681" s="214">
        <v>0</v>
      </c>
      <c r="V681" s="187">
        <f t="shared" si="22"/>
        <v>3575691</v>
      </c>
      <c r="W681" s="187">
        <f t="shared" si="23"/>
        <v>3947676</v>
      </c>
    </row>
    <row r="682" spans="1:23">
      <c r="A682" s="216" t="s">
        <v>957</v>
      </c>
      <c r="B682" s="218">
        <v>429.399</v>
      </c>
      <c r="C682" s="218">
        <v>429.41300000000001</v>
      </c>
      <c r="D682" s="218">
        <v>430.45299999999997</v>
      </c>
      <c r="E682" s="218">
        <v>446.09100000000001</v>
      </c>
      <c r="F682" s="218">
        <v>75.125600000000006</v>
      </c>
      <c r="G682" s="218">
        <v>75.296700000000001</v>
      </c>
      <c r="H682" s="218">
        <v>77.925700000000006</v>
      </c>
      <c r="I682" s="218">
        <v>79.027799999999999</v>
      </c>
      <c r="J682" s="246">
        <v>65180185</v>
      </c>
      <c r="K682" s="246">
        <v>69042493</v>
      </c>
      <c r="L682" s="218">
        <v>756.71199999999999</v>
      </c>
      <c r="M682" s="187">
        <v>146</v>
      </c>
      <c r="N682" s="251">
        <v>43.021900000000002</v>
      </c>
      <c r="O682" s="251">
        <v>44.876300000000001</v>
      </c>
      <c r="P682" s="251">
        <v>43.069099999999999</v>
      </c>
      <c r="Q682" s="251">
        <v>43.866500000000002</v>
      </c>
      <c r="R682" s="254">
        <v>1.04</v>
      </c>
      <c r="S682" s="214">
        <v>68541</v>
      </c>
      <c r="T682" s="214">
        <v>1064639</v>
      </c>
      <c r="U682" s="214">
        <v>0</v>
      </c>
      <c r="V682" s="187">
        <f t="shared" si="22"/>
        <v>1064639</v>
      </c>
      <c r="W682" s="187">
        <f t="shared" si="23"/>
        <v>1133180</v>
      </c>
    </row>
    <row r="683" spans="1:23">
      <c r="A683" s="216" t="s">
        <v>5056</v>
      </c>
      <c r="B683" s="218">
        <v>95.338999999999999</v>
      </c>
      <c r="C683" s="218">
        <v>105.77</v>
      </c>
      <c r="D683" s="218">
        <v>101.32899999999999</v>
      </c>
      <c r="E683" s="218">
        <v>98.768000000000001</v>
      </c>
      <c r="F683" s="218">
        <v>16.9466</v>
      </c>
      <c r="G683" s="218">
        <v>16.743400000000001</v>
      </c>
      <c r="H683" s="218">
        <v>16.9466</v>
      </c>
      <c r="I683" s="218">
        <v>16.9466</v>
      </c>
      <c r="J683" s="246">
        <v>68313147</v>
      </c>
      <c r="K683" s="246">
        <v>71132400</v>
      </c>
      <c r="L683" s="218">
        <v>167.33199999999999</v>
      </c>
      <c r="M683" s="187">
        <v>0</v>
      </c>
      <c r="N683" s="251">
        <v>9.0000999999999998</v>
      </c>
      <c r="O683" s="251">
        <v>9.4929000000000006</v>
      </c>
      <c r="P683" s="251">
        <v>9.4502000000000006</v>
      </c>
      <c r="Q683" s="251">
        <v>9.4497</v>
      </c>
      <c r="R683" s="254">
        <v>1.05</v>
      </c>
      <c r="S683" s="214">
        <v>0</v>
      </c>
      <c r="T683" s="214">
        <v>1024331</v>
      </c>
      <c r="U683" s="214">
        <v>0</v>
      </c>
      <c r="V683" s="187">
        <f t="shared" si="22"/>
        <v>1024331</v>
      </c>
      <c r="W683" s="187">
        <f t="shared" si="23"/>
        <v>1024331</v>
      </c>
    </row>
    <row r="684" spans="1:23">
      <c r="A684" s="216" t="s">
        <v>5137</v>
      </c>
      <c r="B684" s="218">
        <v>149.53899999999999</v>
      </c>
      <c r="C684" s="218">
        <v>127.86799999999999</v>
      </c>
      <c r="D684" s="218">
        <v>139.12</v>
      </c>
      <c r="E684" s="218">
        <v>135.73699999999999</v>
      </c>
      <c r="F684" s="218">
        <v>22.692</v>
      </c>
      <c r="G684" s="218">
        <v>23.281600000000001</v>
      </c>
      <c r="H684" s="218">
        <v>22.284300000000002</v>
      </c>
      <c r="I684" s="218">
        <v>23.711200000000002</v>
      </c>
      <c r="J684" s="246">
        <v>12762984</v>
      </c>
      <c r="K684" s="246">
        <v>15529559</v>
      </c>
      <c r="L684" s="218">
        <v>249.72499999999999</v>
      </c>
      <c r="M684" s="187">
        <v>0</v>
      </c>
      <c r="N684" s="251">
        <v>15.5991</v>
      </c>
      <c r="O684" s="251">
        <v>17.081399999999999</v>
      </c>
      <c r="P684" s="251">
        <v>16.094999999999999</v>
      </c>
      <c r="Q684" s="251">
        <v>16.764500000000002</v>
      </c>
      <c r="R684" s="254">
        <v>1.05</v>
      </c>
      <c r="S684" s="214">
        <v>0</v>
      </c>
      <c r="T684" s="214">
        <v>275559</v>
      </c>
      <c r="U684" s="214">
        <v>0</v>
      </c>
      <c r="V684" s="187">
        <f t="shared" si="22"/>
        <v>275559</v>
      </c>
      <c r="W684" s="187">
        <f t="shared" si="23"/>
        <v>275559</v>
      </c>
    </row>
    <row r="685" spans="1:23">
      <c r="A685" s="216" t="s">
        <v>4568</v>
      </c>
      <c r="B685" s="218">
        <v>172.685</v>
      </c>
      <c r="C685" s="218">
        <v>160.26400000000001</v>
      </c>
      <c r="D685" s="218">
        <v>159.953</v>
      </c>
      <c r="E685" s="218">
        <v>155.52199999999999</v>
      </c>
      <c r="F685" s="218">
        <v>40.981299999999997</v>
      </c>
      <c r="G685" s="218">
        <v>40.473300000000002</v>
      </c>
      <c r="H685" s="218">
        <v>42.481299999999997</v>
      </c>
      <c r="I685" s="218">
        <v>43.481299999999997</v>
      </c>
      <c r="J685" s="246">
        <v>245300403</v>
      </c>
      <c r="K685" s="246">
        <v>246894760</v>
      </c>
      <c r="L685" s="218">
        <v>320.05099999999999</v>
      </c>
      <c r="M685" s="187">
        <v>0</v>
      </c>
      <c r="N685" s="251">
        <v>25.999500000000001</v>
      </c>
      <c r="O685" s="251">
        <v>24.4877</v>
      </c>
      <c r="P685" s="251">
        <v>26.952999999999999</v>
      </c>
      <c r="Q685" s="251">
        <v>25.1678</v>
      </c>
      <c r="R685" s="254">
        <v>1.07</v>
      </c>
      <c r="S685" s="214">
        <v>543479</v>
      </c>
      <c r="T685" s="214">
        <v>2884056</v>
      </c>
      <c r="U685" s="214">
        <v>0</v>
      </c>
      <c r="V685" s="187">
        <f t="shared" si="22"/>
        <v>2884056</v>
      </c>
      <c r="W685" s="187">
        <f t="shared" si="23"/>
        <v>3427535</v>
      </c>
    </row>
    <row r="686" spans="1:23">
      <c r="A686" s="216" t="s">
        <v>2053</v>
      </c>
      <c r="B686" s="218">
        <v>1762.1759999999999</v>
      </c>
      <c r="C686" s="218">
        <v>1742.2950000000001</v>
      </c>
      <c r="D686" s="218">
        <v>1766.2439999999999</v>
      </c>
      <c r="E686" s="218">
        <v>1760.8420000000001</v>
      </c>
      <c r="F686" s="218">
        <v>258.43560000000002</v>
      </c>
      <c r="G686" s="218">
        <v>269.005</v>
      </c>
      <c r="H686" s="218">
        <v>274.88040000000001</v>
      </c>
      <c r="I686" s="218">
        <v>282.09160000000003</v>
      </c>
      <c r="J686" s="246">
        <v>175867806</v>
      </c>
      <c r="K686" s="246">
        <v>192791716</v>
      </c>
      <c r="L686" s="218">
        <v>2481.096</v>
      </c>
      <c r="M686" s="246">
        <v>68812</v>
      </c>
      <c r="N686" s="251">
        <v>174.0427</v>
      </c>
      <c r="O686" s="251">
        <v>176.21250000000001</v>
      </c>
      <c r="P686" s="251">
        <v>176.53749999999999</v>
      </c>
      <c r="Q686" s="251">
        <v>182.33250000000001</v>
      </c>
      <c r="R686" s="254">
        <v>1.07</v>
      </c>
      <c r="S686" s="214">
        <v>184147</v>
      </c>
      <c r="T686" s="214">
        <v>2500936</v>
      </c>
      <c r="U686" s="214">
        <v>0</v>
      </c>
      <c r="V686" s="187">
        <f t="shared" si="22"/>
        <v>2500936</v>
      </c>
      <c r="W686" s="187">
        <f t="shared" si="23"/>
        <v>2685083</v>
      </c>
    </row>
    <row r="687" spans="1:23">
      <c r="A687" s="216" t="s">
        <v>1846</v>
      </c>
      <c r="B687" s="218">
        <v>265.017</v>
      </c>
      <c r="C687" s="218">
        <v>262.78899999999999</v>
      </c>
      <c r="D687" s="218">
        <v>274.19499999999999</v>
      </c>
      <c r="E687" s="218">
        <v>274.51499999999999</v>
      </c>
      <c r="F687" s="218">
        <v>47.57</v>
      </c>
      <c r="G687" s="218">
        <v>45.078200000000002</v>
      </c>
      <c r="H687" s="218">
        <v>46.778599999999997</v>
      </c>
      <c r="I687" s="218">
        <v>49.032600000000002</v>
      </c>
      <c r="J687" s="246">
        <v>50603807</v>
      </c>
      <c r="K687" s="246">
        <v>53569217</v>
      </c>
      <c r="L687" s="218">
        <v>535.66700000000003</v>
      </c>
      <c r="M687" s="187">
        <v>0</v>
      </c>
      <c r="N687" s="251">
        <v>32.000500000000002</v>
      </c>
      <c r="O687" s="251">
        <v>29.641400000000001</v>
      </c>
      <c r="P687" s="251">
        <v>30.277999999999999</v>
      </c>
      <c r="Q687" s="251">
        <v>31.823499999999999</v>
      </c>
      <c r="R687" s="254">
        <v>1.06</v>
      </c>
      <c r="S687" s="214">
        <v>38165</v>
      </c>
      <c r="T687" s="214">
        <v>734690</v>
      </c>
      <c r="U687" s="214">
        <v>0</v>
      </c>
      <c r="V687" s="187">
        <f t="shared" si="22"/>
        <v>734690</v>
      </c>
      <c r="W687" s="187">
        <f t="shared" si="23"/>
        <v>772855</v>
      </c>
    </row>
    <row r="688" spans="1:23">
      <c r="A688" s="216" t="s">
        <v>5239</v>
      </c>
      <c r="B688" s="218">
        <v>1021.728</v>
      </c>
      <c r="C688" s="218">
        <v>1056.3330000000001</v>
      </c>
      <c r="D688" s="218">
        <v>1048.6279999999999</v>
      </c>
      <c r="E688" s="218">
        <v>1064.943</v>
      </c>
      <c r="F688" s="218">
        <v>169.76650000000001</v>
      </c>
      <c r="G688" s="218">
        <v>177.7311</v>
      </c>
      <c r="H688" s="218">
        <v>183.26519999999999</v>
      </c>
      <c r="I688" s="218">
        <v>199.12780000000001</v>
      </c>
      <c r="J688" s="246">
        <v>69950394</v>
      </c>
      <c r="K688" s="246">
        <v>79883494</v>
      </c>
      <c r="L688" s="218">
        <v>1662.3420000000001</v>
      </c>
      <c r="M688" s="246">
        <v>35757</v>
      </c>
      <c r="N688" s="251">
        <v>114.22369999999999</v>
      </c>
      <c r="O688" s="251">
        <v>123.5155</v>
      </c>
      <c r="P688" s="251">
        <v>119.6245</v>
      </c>
      <c r="Q688" s="251">
        <v>113.98569999999999</v>
      </c>
      <c r="R688" s="254">
        <v>1.07</v>
      </c>
      <c r="S688" s="214">
        <v>88438</v>
      </c>
      <c r="T688" s="214">
        <v>1068651</v>
      </c>
      <c r="U688" s="214">
        <v>0</v>
      </c>
      <c r="V688" s="187">
        <f t="shared" si="22"/>
        <v>1068651</v>
      </c>
      <c r="W688" s="187">
        <f t="shared" si="23"/>
        <v>1157089</v>
      </c>
    </row>
    <row r="689" spans="1:23">
      <c r="A689" s="216" t="s">
        <v>1870</v>
      </c>
      <c r="B689" s="218">
        <v>1946.808</v>
      </c>
      <c r="C689" s="218">
        <v>1966.787</v>
      </c>
      <c r="D689" s="218">
        <v>2009.1030000000001</v>
      </c>
      <c r="E689" s="218">
        <v>2004.413</v>
      </c>
      <c r="F689" s="218">
        <v>321.93259999999998</v>
      </c>
      <c r="G689" s="218">
        <v>339.67070000000001</v>
      </c>
      <c r="H689" s="218">
        <v>333.54070000000002</v>
      </c>
      <c r="I689" s="218">
        <v>347.37470000000002</v>
      </c>
      <c r="J689" s="246">
        <v>240352357</v>
      </c>
      <c r="K689" s="246">
        <v>261789440</v>
      </c>
      <c r="L689" s="218">
        <v>2764.6320000000001</v>
      </c>
      <c r="M689" s="187">
        <v>0</v>
      </c>
      <c r="N689" s="251">
        <v>223.6739</v>
      </c>
      <c r="O689" s="251">
        <v>228.8887</v>
      </c>
      <c r="P689" s="251">
        <v>225.74639999999999</v>
      </c>
      <c r="Q689" s="251">
        <v>236.53380000000001</v>
      </c>
      <c r="R689" s="254">
        <v>1.08</v>
      </c>
      <c r="S689" s="214">
        <v>226786</v>
      </c>
      <c r="T689" s="214">
        <v>3708922</v>
      </c>
      <c r="U689" s="214">
        <v>0</v>
      </c>
      <c r="V689" s="187">
        <f t="shared" si="22"/>
        <v>3708922</v>
      </c>
      <c r="W689" s="187">
        <f t="shared" si="23"/>
        <v>3935708</v>
      </c>
    </row>
    <row r="690" spans="1:23">
      <c r="A690" s="216" t="s">
        <v>6169</v>
      </c>
      <c r="B690" s="218">
        <v>2742.0149999999999</v>
      </c>
      <c r="C690" s="218">
        <v>2747.3429999999998</v>
      </c>
      <c r="D690" s="218">
        <v>2788.3159999999998</v>
      </c>
      <c r="E690" s="218">
        <v>2782.9059999999999</v>
      </c>
      <c r="F690" s="218">
        <v>374.39640000000003</v>
      </c>
      <c r="G690" s="218">
        <v>398.12650000000002</v>
      </c>
      <c r="H690" s="218">
        <v>421.7527</v>
      </c>
      <c r="I690" s="218">
        <v>417.55500000000001</v>
      </c>
      <c r="J690" s="246">
        <v>416163895</v>
      </c>
      <c r="K690" s="246">
        <v>448544578</v>
      </c>
      <c r="L690" s="218">
        <v>3847.489</v>
      </c>
      <c r="M690" s="187">
        <v>0</v>
      </c>
      <c r="N690" s="251">
        <v>226.5788</v>
      </c>
      <c r="O690" s="251">
        <v>229.28960000000001</v>
      </c>
      <c r="P690" s="251">
        <v>234.55340000000001</v>
      </c>
      <c r="Q690" s="251">
        <v>233.8278</v>
      </c>
      <c r="R690" s="254">
        <v>1.08</v>
      </c>
      <c r="S690" s="214">
        <v>538146</v>
      </c>
      <c r="T690" s="214">
        <v>6430129</v>
      </c>
      <c r="U690" s="214">
        <v>0</v>
      </c>
      <c r="V690" s="187">
        <f t="shared" si="22"/>
        <v>6430129</v>
      </c>
      <c r="W690" s="187">
        <f t="shared" si="23"/>
        <v>6968275</v>
      </c>
    </row>
    <row r="691" spans="1:23">
      <c r="A691" s="216" t="s">
        <v>574</v>
      </c>
      <c r="B691" s="218">
        <v>441.536</v>
      </c>
      <c r="C691" s="218">
        <v>431.88600000000002</v>
      </c>
      <c r="D691" s="218">
        <v>418.84300000000002</v>
      </c>
      <c r="E691" s="218">
        <v>390.13799999999998</v>
      </c>
      <c r="F691" s="218">
        <v>91.871700000000004</v>
      </c>
      <c r="G691" s="218">
        <v>92.459900000000005</v>
      </c>
      <c r="H691" s="218">
        <v>101.0134</v>
      </c>
      <c r="I691" s="218">
        <v>96.3262</v>
      </c>
      <c r="J691" s="246">
        <v>72057638</v>
      </c>
      <c r="K691" s="246">
        <v>77480828</v>
      </c>
      <c r="L691" s="218">
        <v>786.43100000000004</v>
      </c>
      <c r="M691" s="187">
        <v>0</v>
      </c>
      <c r="N691" s="251">
        <v>55.083500000000001</v>
      </c>
      <c r="O691" s="251">
        <v>55.885599999999997</v>
      </c>
      <c r="P691" s="251">
        <v>59.995100000000001</v>
      </c>
      <c r="Q691" s="251">
        <v>51.234200000000001</v>
      </c>
      <c r="R691" s="254">
        <v>1.06</v>
      </c>
      <c r="S691" s="214">
        <v>0</v>
      </c>
      <c r="T691" s="214">
        <v>1196027</v>
      </c>
      <c r="U691" s="214">
        <v>0</v>
      </c>
      <c r="V691" s="187">
        <f t="shared" si="22"/>
        <v>1196027</v>
      </c>
      <c r="W691" s="187">
        <f t="shared" si="23"/>
        <v>1196027</v>
      </c>
    </row>
    <row r="692" spans="1:23">
      <c r="A692" s="216" t="s">
        <v>6172</v>
      </c>
      <c r="B692" s="218">
        <v>19665.580000000002</v>
      </c>
      <c r="C692" s="218">
        <v>19147.784</v>
      </c>
      <c r="D692" s="218">
        <v>19324.633000000002</v>
      </c>
      <c r="E692" s="218">
        <v>19264.473000000002</v>
      </c>
      <c r="F692" s="218">
        <v>2801.3631</v>
      </c>
      <c r="G692" s="218">
        <v>2724.4488000000001</v>
      </c>
      <c r="H692" s="218">
        <v>2704.0740999999998</v>
      </c>
      <c r="I692" s="218">
        <v>2760.0693999999999</v>
      </c>
      <c r="J692" s="246">
        <v>4552993275</v>
      </c>
      <c r="K692" s="246">
        <v>4778487655</v>
      </c>
      <c r="L692" s="218">
        <v>24701.287</v>
      </c>
      <c r="M692" s="246">
        <v>2083494</v>
      </c>
      <c r="N692" s="251">
        <v>1621.8264999999999</v>
      </c>
      <c r="O692" s="251">
        <v>1575.8389999999999</v>
      </c>
      <c r="P692" s="251">
        <v>1565.9893</v>
      </c>
      <c r="Q692" s="251">
        <v>1587.6152999999999</v>
      </c>
      <c r="R692" s="254">
        <v>1.1399999999999999</v>
      </c>
      <c r="S692" s="214">
        <v>4640399</v>
      </c>
      <c r="T692" s="214">
        <v>66133041</v>
      </c>
      <c r="U692" s="214">
        <v>0</v>
      </c>
      <c r="V692" s="187">
        <f t="shared" si="22"/>
        <v>66133041</v>
      </c>
      <c r="W692" s="187">
        <f t="shared" si="23"/>
        <v>70773440</v>
      </c>
    </row>
    <row r="693" spans="1:23">
      <c r="A693" s="216" t="s">
        <v>578</v>
      </c>
      <c r="B693" s="218">
        <v>1543.8969999999999</v>
      </c>
      <c r="C693" s="218">
        <v>1496.998</v>
      </c>
      <c r="D693" s="218">
        <v>1487.681</v>
      </c>
      <c r="E693" s="218">
        <v>1446.472</v>
      </c>
      <c r="F693" s="218">
        <v>175.2569</v>
      </c>
      <c r="G693" s="218">
        <v>174.1713</v>
      </c>
      <c r="H693" s="218">
        <v>173.749</v>
      </c>
      <c r="I693" s="218">
        <v>173.5403</v>
      </c>
      <c r="J693" s="246">
        <v>261741156</v>
      </c>
      <c r="K693" s="246">
        <v>271840816</v>
      </c>
      <c r="L693" s="218">
        <v>1931.643</v>
      </c>
      <c r="M693" s="187">
        <v>0</v>
      </c>
      <c r="N693" s="251">
        <v>123.14879999999999</v>
      </c>
      <c r="O693" s="251">
        <v>126.35680000000001</v>
      </c>
      <c r="P693" s="251">
        <v>123.7914</v>
      </c>
      <c r="Q693" s="251">
        <v>121.4254</v>
      </c>
      <c r="R693" s="254">
        <v>1.0900000000000001</v>
      </c>
      <c r="S693" s="214">
        <v>0</v>
      </c>
      <c r="T693" s="214">
        <v>3664066</v>
      </c>
      <c r="U693" s="214">
        <v>0</v>
      </c>
      <c r="V693" s="187">
        <f t="shared" si="22"/>
        <v>3664066</v>
      </c>
      <c r="W693" s="187">
        <f t="shared" si="23"/>
        <v>3664066</v>
      </c>
    </row>
    <row r="694" spans="1:23">
      <c r="A694" s="216" t="s">
        <v>980</v>
      </c>
      <c r="B694" s="218">
        <v>1580.2760000000001</v>
      </c>
      <c r="C694" s="218">
        <v>1586.9570000000001</v>
      </c>
      <c r="D694" s="218">
        <v>1562.55</v>
      </c>
      <c r="E694" s="218">
        <v>1537.1179999999999</v>
      </c>
      <c r="F694" s="218">
        <v>252.24289999999999</v>
      </c>
      <c r="G694" s="218">
        <v>255.4152</v>
      </c>
      <c r="H694" s="218">
        <v>257.71460000000002</v>
      </c>
      <c r="I694" s="218">
        <v>265.81920000000002</v>
      </c>
      <c r="J694" s="246">
        <v>190768617</v>
      </c>
      <c r="K694" s="246">
        <v>209573887</v>
      </c>
      <c r="L694" s="218">
        <v>2242.54</v>
      </c>
      <c r="M694" s="246">
        <v>93059</v>
      </c>
      <c r="N694" s="251">
        <v>181.1636</v>
      </c>
      <c r="O694" s="251">
        <v>176.13059999999999</v>
      </c>
      <c r="P694" s="251">
        <v>174.77930000000001</v>
      </c>
      <c r="Q694" s="251">
        <v>177.14400000000001</v>
      </c>
      <c r="R694" s="254">
        <v>1.08</v>
      </c>
      <c r="S694" s="214">
        <v>644951</v>
      </c>
      <c r="T694" s="214">
        <v>2848135</v>
      </c>
      <c r="U694" s="214">
        <v>0</v>
      </c>
      <c r="V694" s="187">
        <f t="shared" si="22"/>
        <v>2848135</v>
      </c>
      <c r="W694" s="187">
        <f t="shared" si="23"/>
        <v>3493086</v>
      </c>
    </row>
    <row r="695" spans="1:23">
      <c r="A695" s="216" t="s">
        <v>3972</v>
      </c>
      <c r="B695" s="218">
        <v>141.78299999999999</v>
      </c>
      <c r="C695" s="218">
        <v>153.70599999999999</v>
      </c>
      <c r="D695" s="218">
        <v>149.06399999999999</v>
      </c>
      <c r="E695" s="218">
        <v>143.04599999999999</v>
      </c>
      <c r="F695" s="218">
        <v>22.8049</v>
      </c>
      <c r="G695" s="218">
        <v>24.849599999999999</v>
      </c>
      <c r="H695" s="218">
        <v>24.919799999999999</v>
      </c>
      <c r="I695" s="218">
        <v>25.9358</v>
      </c>
      <c r="J695" s="246">
        <v>36953283</v>
      </c>
      <c r="K695" s="246">
        <v>39236778</v>
      </c>
      <c r="L695" s="218">
        <v>245.95400000000001</v>
      </c>
      <c r="M695" s="246">
        <v>28158</v>
      </c>
      <c r="N695" s="251">
        <v>15.438599999999999</v>
      </c>
      <c r="O695" s="251">
        <v>16.728100000000001</v>
      </c>
      <c r="P695" s="251">
        <v>17</v>
      </c>
      <c r="Q695" s="251">
        <v>18.0002</v>
      </c>
      <c r="R695" s="254">
        <v>1.08</v>
      </c>
      <c r="S695" s="214">
        <v>754</v>
      </c>
      <c r="T695" s="214">
        <v>562999</v>
      </c>
      <c r="U695" s="214">
        <v>0</v>
      </c>
      <c r="V695" s="187">
        <f t="shared" si="22"/>
        <v>562999</v>
      </c>
      <c r="W695" s="187">
        <f t="shared" si="23"/>
        <v>563753</v>
      </c>
    </row>
    <row r="696" spans="1:23">
      <c r="A696" s="216" t="s">
        <v>6173</v>
      </c>
      <c r="B696" s="218">
        <v>354.91500000000002</v>
      </c>
      <c r="C696" s="218">
        <v>384.53300000000002</v>
      </c>
      <c r="D696" s="218">
        <v>372.92</v>
      </c>
      <c r="E696" s="218">
        <v>374.93299999999999</v>
      </c>
      <c r="F696" s="218">
        <v>69.4482</v>
      </c>
      <c r="G696" s="218">
        <v>66.780799999999999</v>
      </c>
      <c r="H696" s="218">
        <v>69.034700000000001</v>
      </c>
      <c r="I696" s="218">
        <v>74.860900000000001</v>
      </c>
      <c r="J696" s="246">
        <v>39137080</v>
      </c>
      <c r="K696" s="246">
        <v>43103370</v>
      </c>
      <c r="L696" s="218">
        <v>635.60799999999995</v>
      </c>
      <c r="M696" s="187">
        <v>0</v>
      </c>
      <c r="N696" s="251">
        <v>49.217199999999998</v>
      </c>
      <c r="O696" s="251">
        <v>49.409500000000001</v>
      </c>
      <c r="P696" s="251">
        <v>49.161299999999997</v>
      </c>
      <c r="Q696" s="251">
        <v>50.4236</v>
      </c>
      <c r="R696" s="254">
        <v>1.06</v>
      </c>
      <c r="S696" s="214">
        <v>0</v>
      </c>
      <c r="T696" s="214">
        <v>696669</v>
      </c>
      <c r="U696" s="214">
        <v>0</v>
      </c>
      <c r="V696" s="187">
        <f t="shared" si="22"/>
        <v>696669</v>
      </c>
      <c r="W696" s="187">
        <f t="shared" si="23"/>
        <v>696669</v>
      </c>
    </row>
    <row r="697" spans="1:23">
      <c r="A697" s="216" t="s">
        <v>3974</v>
      </c>
      <c r="B697" s="218">
        <v>1738.0429999999999</v>
      </c>
      <c r="C697" s="218">
        <v>1704.8230000000001</v>
      </c>
      <c r="D697" s="218">
        <v>1724.1389999999999</v>
      </c>
      <c r="E697" s="218">
        <v>1764.8430000000001</v>
      </c>
      <c r="F697" s="218">
        <v>228.11009999999999</v>
      </c>
      <c r="G697" s="218">
        <v>234.8905</v>
      </c>
      <c r="H697" s="218">
        <v>240.4761</v>
      </c>
      <c r="I697" s="218">
        <v>234.05410000000001</v>
      </c>
      <c r="J697" s="246">
        <v>551458838</v>
      </c>
      <c r="K697" s="246">
        <v>571816054</v>
      </c>
      <c r="L697" s="218">
        <v>2591.2130000000002</v>
      </c>
      <c r="M697" s="187">
        <v>0</v>
      </c>
      <c r="N697" s="251">
        <v>146.2457</v>
      </c>
      <c r="O697" s="251">
        <v>148.3749</v>
      </c>
      <c r="P697" s="251">
        <v>148.9247</v>
      </c>
      <c r="Q697" s="251">
        <v>146.99549999999999</v>
      </c>
      <c r="R697" s="254">
        <v>1.08</v>
      </c>
      <c r="S697" s="214">
        <v>0</v>
      </c>
      <c r="T697" s="214">
        <v>7926986</v>
      </c>
      <c r="U697" s="214">
        <v>0</v>
      </c>
      <c r="V697" s="187">
        <f t="shared" si="22"/>
        <v>7926986</v>
      </c>
      <c r="W697" s="187">
        <f t="shared" si="23"/>
        <v>7926986</v>
      </c>
    </row>
    <row r="698" spans="1:23">
      <c r="A698" s="216" t="s">
        <v>814</v>
      </c>
      <c r="B698" s="218">
        <v>483.87</v>
      </c>
      <c r="C698" s="218">
        <v>501.37200000000001</v>
      </c>
      <c r="D698" s="218">
        <v>494.733</v>
      </c>
      <c r="E698" s="218">
        <v>511.16699999999997</v>
      </c>
      <c r="F698" s="218">
        <v>70.9298</v>
      </c>
      <c r="G698" s="218">
        <v>77.930700000000002</v>
      </c>
      <c r="H698" s="218">
        <v>82.247100000000003</v>
      </c>
      <c r="I698" s="218">
        <v>84.831100000000006</v>
      </c>
      <c r="J698" s="246">
        <v>63704165</v>
      </c>
      <c r="K698" s="246">
        <v>70331095</v>
      </c>
      <c r="L698" s="218">
        <v>831.58199999999999</v>
      </c>
      <c r="M698" s="246">
        <v>61421</v>
      </c>
      <c r="N698" s="251">
        <v>53.284999999999997</v>
      </c>
      <c r="O698" s="251">
        <v>59.476599999999998</v>
      </c>
      <c r="P698" s="251">
        <v>63.144799999999996</v>
      </c>
      <c r="Q698" s="251">
        <v>63.096299999999999</v>
      </c>
      <c r="R698" s="254">
        <v>1.06</v>
      </c>
      <c r="S698" s="214">
        <v>124071</v>
      </c>
      <c r="T698" s="214">
        <v>1020475</v>
      </c>
      <c r="U698" s="214">
        <v>0</v>
      </c>
      <c r="V698" s="187">
        <f t="shared" si="22"/>
        <v>1020475</v>
      </c>
      <c r="W698" s="187">
        <f t="shared" si="23"/>
        <v>1144546</v>
      </c>
    </row>
    <row r="699" spans="1:23">
      <c r="A699" s="216" t="s">
        <v>4587</v>
      </c>
      <c r="B699" s="218">
        <v>188.13800000000001</v>
      </c>
      <c r="C699" s="218">
        <v>187.94499999999999</v>
      </c>
      <c r="D699" s="218">
        <v>197.62</v>
      </c>
      <c r="E699" s="218">
        <v>199.874</v>
      </c>
      <c r="F699" s="218">
        <v>39.832900000000002</v>
      </c>
      <c r="G699" s="218">
        <v>39.812800000000003</v>
      </c>
      <c r="H699" s="218">
        <v>41.037399999999998</v>
      </c>
      <c r="I699" s="218">
        <v>41.3583</v>
      </c>
      <c r="J699" s="246">
        <v>18064777</v>
      </c>
      <c r="K699" s="246">
        <v>19671927</v>
      </c>
      <c r="L699" s="218">
        <v>376.71100000000001</v>
      </c>
      <c r="M699" s="187">
        <v>0</v>
      </c>
      <c r="N699" s="251">
        <v>28.394100000000002</v>
      </c>
      <c r="O699" s="251">
        <v>28.702999999999999</v>
      </c>
      <c r="P699" s="251">
        <v>29.7029</v>
      </c>
      <c r="Q699" s="251">
        <v>28.7026</v>
      </c>
      <c r="R699" s="254">
        <v>1.08</v>
      </c>
      <c r="S699" s="214">
        <v>14130</v>
      </c>
      <c r="T699" s="214">
        <v>279930</v>
      </c>
      <c r="U699" s="214">
        <v>0</v>
      </c>
      <c r="V699" s="187">
        <f t="shared" si="22"/>
        <v>279930</v>
      </c>
      <c r="W699" s="187">
        <f t="shared" si="23"/>
        <v>294060</v>
      </c>
    </row>
    <row r="700" spans="1:23">
      <c r="A700" s="216" t="s">
        <v>1852</v>
      </c>
      <c r="B700" s="218">
        <v>637.23299999999995</v>
      </c>
      <c r="C700" s="218">
        <v>633.61199999999997</v>
      </c>
      <c r="D700" s="218">
        <v>631.774</v>
      </c>
      <c r="E700" s="218">
        <v>625.86900000000003</v>
      </c>
      <c r="F700" s="218">
        <v>116.41540000000001</v>
      </c>
      <c r="G700" s="218">
        <v>107.78870000000001</v>
      </c>
      <c r="H700" s="218">
        <v>103.0428</v>
      </c>
      <c r="I700" s="218">
        <v>94.971900000000005</v>
      </c>
      <c r="J700" s="246">
        <v>85701003</v>
      </c>
      <c r="K700" s="246">
        <v>94250506</v>
      </c>
      <c r="L700" s="218">
        <v>1223.1410000000001</v>
      </c>
      <c r="M700" s="246">
        <v>45866</v>
      </c>
      <c r="N700" s="251">
        <v>81.123500000000007</v>
      </c>
      <c r="O700" s="251">
        <v>77.599500000000006</v>
      </c>
      <c r="P700" s="251">
        <v>71.0852</v>
      </c>
      <c r="Q700" s="251">
        <v>63.6785</v>
      </c>
      <c r="R700" s="254">
        <v>1.04</v>
      </c>
      <c r="S700" s="214">
        <v>115564</v>
      </c>
      <c r="T700" s="214">
        <v>1129934</v>
      </c>
      <c r="U700" s="214">
        <v>0</v>
      </c>
      <c r="V700" s="187">
        <f t="shared" si="22"/>
        <v>1129934</v>
      </c>
      <c r="W700" s="187">
        <f t="shared" si="23"/>
        <v>1245498</v>
      </c>
    </row>
    <row r="701" spans="1:23">
      <c r="A701" s="216" t="s">
        <v>141</v>
      </c>
      <c r="B701" s="218">
        <v>144.37200000000001</v>
      </c>
      <c r="C701" s="218">
        <v>144.316</v>
      </c>
      <c r="D701" s="218">
        <v>139.958</v>
      </c>
      <c r="E701" s="218">
        <v>123.76</v>
      </c>
      <c r="F701" s="218">
        <v>43.812800000000003</v>
      </c>
      <c r="G701" s="218">
        <v>42.828899999999997</v>
      </c>
      <c r="H701" s="218">
        <v>41.518700000000003</v>
      </c>
      <c r="I701" s="218">
        <v>41.5749</v>
      </c>
      <c r="J701" s="246">
        <v>34911415</v>
      </c>
      <c r="K701" s="246">
        <v>37366989</v>
      </c>
      <c r="L701" s="218">
        <v>395.57799999999997</v>
      </c>
      <c r="M701" s="187">
        <v>0</v>
      </c>
      <c r="N701" s="251">
        <v>28.495999999999999</v>
      </c>
      <c r="O701" s="251">
        <v>28.8521</v>
      </c>
      <c r="P701" s="251">
        <v>28.208500000000001</v>
      </c>
      <c r="Q701" s="251">
        <v>29.3157</v>
      </c>
      <c r="R701" s="254">
        <v>1.05</v>
      </c>
      <c r="S701" s="214">
        <v>0</v>
      </c>
      <c r="T701" s="214">
        <v>473951</v>
      </c>
      <c r="U701" s="214">
        <v>0</v>
      </c>
      <c r="V701" s="187">
        <f t="shared" si="22"/>
        <v>473951</v>
      </c>
      <c r="W701" s="187">
        <f t="shared" si="23"/>
        <v>473951</v>
      </c>
    </row>
    <row r="702" spans="1:23">
      <c r="A702" s="216" t="s">
        <v>143</v>
      </c>
      <c r="B702" s="218">
        <v>102.42</v>
      </c>
      <c r="C702" s="218">
        <v>106.586</v>
      </c>
      <c r="D702" s="218">
        <v>103.367</v>
      </c>
      <c r="E702" s="218">
        <v>98.436000000000007</v>
      </c>
      <c r="F702" s="218">
        <v>27.61</v>
      </c>
      <c r="G702" s="218">
        <v>25.962599999999998</v>
      </c>
      <c r="H702" s="218">
        <v>33.443899999999999</v>
      </c>
      <c r="I702" s="218">
        <v>32.981299999999997</v>
      </c>
      <c r="J702" s="246">
        <v>14708052</v>
      </c>
      <c r="K702" s="246">
        <v>15621525</v>
      </c>
      <c r="L702" s="218">
        <v>384.178</v>
      </c>
      <c r="M702" s="187">
        <v>0</v>
      </c>
      <c r="N702" s="251">
        <v>18.0001</v>
      </c>
      <c r="O702" s="251">
        <v>19.0016</v>
      </c>
      <c r="P702" s="251">
        <v>22.381499999999999</v>
      </c>
      <c r="Q702" s="251">
        <v>20.499099999999999</v>
      </c>
      <c r="R702" s="254">
        <v>1.04</v>
      </c>
      <c r="S702" s="214">
        <v>0</v>
      </c>
      <c r="T702" s="214">
        <v>195837</v>
      </c>
      <c r="U702" s="214">
        <v>0</v>
      </c>
      <c r="V702" s="187">
        <f t="shared" si="22"/>
        <v>195837</v>
      </c>
      <c r="W702" s="187">
        <f t="shared" si="23"/>
        <v>195837</v>
      </c>
    </row>
    <row r="703" spans="1:23">
      <c r="A703" s="216" t="s">
        <v>1847</v>
      </c>
      <c r="B703" s="218">
        <v>109.75</v>
      </c>
      <c r="C703" s="218">
        <v>98.804000000000002</v>
      </c>
      <c r="D703" s="218">
        <v>97.429000000000002</v>
      </c>
      <c r="E703" s="218">
        <v>98.114000000000004</v>
      </c>
      <c r="F703" s="218">
        <v>22.4893</v>
      </c>
      <c r="G703" s="218">
        <v>22</v>
      </c>
      <c r="H703" s="218">
        <v>22.465199999999999</v>
      </c>
      <c r="I703" s="218">
        <v>24</v>
      </c>
      <c r="J703" s="246">
        <v>12396970</v>
      </c>
      <c r="K703" s="246">
        <v>13649264</v>
      </c>
      <c r="L703" s="218">
        <v>263.80500000000001</v>
      </c>
      <c r="M703" s="187">
        <v>0</v>
      </c>
      <c r="N703" s="251">
        <v>15.882199999999999</v>
      </c>
      <c r="O703" s="251">
        <v>14.9993</v>
      </c>
      <c r="P703" s="251">
        <v>16.000399999999999</v>
      </c>
      <c r="Q703" s="251">
        <v>17.0002</v>
      </c>
      <c r="R703" s="254">
        <v>1.05</v>
      </c>
      <c r="S703" s="214">
        <v>6578</v>
      </c>
      <c r="T703" s="214">
        <v>153100</v>
      </c>
      <c r="U703" s="214">
        <v>0</v>
      </c>
      <c r="V703" s="187">
        <f t="shared" si="22"/>
        <v>153100</v>
      </c>
      <c r="W703" s="187">
        <f t="shared" si="23"/>
        <v>159678</v>
      </c>
    </row>
    <row r="704" spans="1:23">
      <c r="A704" s="216" t="s">
        <v>145</v>
      </c>
      <c r="B704" s="218">
        <v>1043.5920000000001</v>
      </c>
      <c r="C704" s="218">
        <v>1010.272</v>
      </c>
      <c r="D704" s="218">
        <v>979.76199999999994</v>
      </c>
      <c r="E704" s="218">
        <v>942.98400000000004</v>
      </c>
      <c r="F704" s="218">
        <v>187.5609</v>
      </c>
      <c r="G704" s="218">
        <v>195.63319999999999</v>
      </c>
      <c r="H704" s="218">
        <v>199.87970000000001</v>
      </c>
      <c r="I704" s="218">
        <v>188.0873</v>
      </c>
      <c r="J704" s="246">
        <v>214086147</v>
      </c>
      <c r="K704" s="246">
        <v>226007757</v>
      </c>
      <c r="L704" s="218">
        <v>1612.2170000000001</v>
      </c>
      <c r="M704" s="187">
        <v>0</v>
      </c>
      <c r="N704" s="251">
        <v>128.58969999999999</v>
      </c>
      <c r="O704" s="251">
        <v>128.81460000000001</v>
      </c>
      <c r="P704" s="251">
        <v>129.76310000000001</v>
      </c>
      <c r="Q704" s="251">
        <v>120.6216</v>
      </c>
      <c r="R704" s="254">
        <v>1.07</v>
      </c>
      <c r="S704" s="214">
        <v>0</v>
      </c>
      <c r="T704" s="214">
        <v>3047153</v>
      </c>
      <c r="U704" s="214">
        <v>0</v>
      </c>
      <c r="V704" s="187">
        <f t="shared" si="22"/>
        <v>3047153</v>
      </c>
      <c r="W704" s="187">
        <f t="shared" si="23"/>
        <v>3047153</v>
      </c>
    </row>
    <row r="705" spans="1:23">
      <c r="A705" s="216" t="s">
        <v>147</v>
      </c>
      <c r="B705" s="218">
        <v>159.29300000000001</v>
      </c>
      <c r="C705" s="218">
        <v>161.21199999999999</v>
      </c>
      <c r="D705" s="218">
        <v>156.613</v>
      </c>
      <c r="E705" s="218">
        <v>155.042</v>
      </c>
      <c r="F705" s="218">
        <v>26.856000000000002</v>
      </c>
      <c r="G705" s="218">
        <v>27.056100000000001</v>
      </c>
      <c r="H705" s="218">
        <v>29.8797</v>
      </c>
      <c r="I705" s="218">
        <v>31.398399999999999</v>
      </c>
      <c r="J705" s="246">
        <v>22083605</v>
      </c>
      <c r="K705" s="246">
        <v>24447715</v>
      </c>
      <c r="L705" s="218">
        <v>294.71199999999999</v>
      </c>
      <c r="M705" s="187">
        <v>0</v>
      </c>
      <c r="N705" s="251">
        <v>18.349799999999998</v>
      </c>
      <c r="O705" s="251">
        <v>17.9895</v>
      </c>
      <c r="P705" s="251">
        <v>19.7852</v>
      </c>
      <c r="Q705" s="251">
        <v>21.0015</v>
      </c>
      <c r="R705" s="254">
        <v>1.06</v>
      </c>
      <c r="S705" s="214">
        <v>0</v>
      </c>
      <c r="T705" s="214">
        <v>348754</v>
      </c>
      <c r="U705" s="214">
        <v>0</v>
      </c>
      <c r="V705" s="187">
        <f t="shared" si="22"/>
        <v>348754</v>
      </c>
      <c r="W705" s="187">
        <f t="shared" si="23"/>
        <v>348754</v>
      </c>
    </row>
    <row r="706" spans="1:23">
      <c r="A706" s="216" t="s">
        <v>149</v>
      </c>
      <c r="B706" s="218">
        <v>139.49700000000001</v>
      </c>
      <c r="C706" s="218">
        <v>138.113</v>
      </c>
      <c r="D706" s="218">
        <v>138.16200000000001</v>
      </c>
      <c r="E706" s="218">
        <v>134.33500000000001</v>
      </c>
      <c r="F706" s="218">
        <v>31.2059</v>
      </c>
      <c r="G706" s="218">
        <v>33.491999999999997</v>
      </c>
      <c r="H706" s="218">
        <v>34.9358</v>
      </c>
      <c r="I706" s="218">
        <v>33.9358</v>
      </c>
      <c r="J706" s="246">
        <v>127981285</v>
      </c>
      <c r="K706" s="246">
        <v>129801104</v>
      </c>
      <c r="L706" s="218">
        <v>234.86199999999999</v>
      </c>
      <c r="M706" s="187">
        <v>0</v>
      </c>
      <c r="N706" s="251">
        <v>17.508600000000001</v>
      </c>
      <c r="O706" s="251">
        <v>18.986799999999999</v>
      </c>
      <c r="P706" s="251">
        <v>20.834199999999999</v>
      </c>
      <c r="Q706" s="251">
        <v>20.354099999999999</v>
      </c>
      <c r="R706" s="254">
        <v>1.08</v>
      </c>
      <c r="S706" s="214">
        <v>0</v>
      </c>
      <c r="T706" s="214">
        <v>1659222</v>
      </c>
      <c r="U706" s="214">
        <v>0</v>
      </c>
      <c r="V706" s="187">
        <f t="shared" si="22"/>
        <v>1659222</v>
      </c>
      <c r="W706" s="187">
        <f t="shared" si="23"/>
        <v>1659222</v>
      </c>
    </row>
    <row r="707" spans="1:23">
      <c r="A707" s="216" t="s">
        <v>1956</v>
      </c>
      <c r="B707" s="218">
        <v>1538.269</v>
      </c>
      <c r="C707" s="218">
        <v>1511.0550000000001</v>
      </c>
      <c r="D707" s="218">
        <v>1554.9110000000001</v>
      </c>
      <c r="E707" s="218">
        <v>1547.655</v>
      </c>
      <c r="F707" s="218">
        <v>225.19470000000001</v>
      </c>
      <c r="G707" s="218">
        <v>214.3569</v>
      </c>
      <c r="H707" s="218">
        <v>213.44730000000001</v>
      </c>
      <c r="I707" s="218">
        <v>229.5059</v>
      </c>
      <c r="J707" s="246">
        <v>283738226</v>
      </c>
      <c r="K707" s="246">
        <v>310570541</v>
      </c>
      <c r="L707" s="218">
        <v>2136.5149999999999</v>
      </c>
      <c r="M707" s="187">
        <v>0</v>
      </c>
      <c r="N707" s="251">
        <v>154.33629999999999</v>
      </c>
      <c r="O707" s="251">
        <v>152.1301</v>
      </c>
      <c r="P707" s="251">
        <v>151.45400000000001</v>
      </c>
      <c r="Q707" s="251">
        <v>162.9495</v>
      </c>
      <c r="R707" s="254">
        <v>1.07</v>
      </c>
      <c r="S707" s="214">
        <v>0</v>
      </c>
      <c r="T707" s="214">
        <v>4510802</v>
      </c>
      <c r="U707" s="214">
        <v>0</v>
      </c>
      <c r="V707" s="187">
        <f t="shared" si="22"/>
        <v>4510802</v>
      </c>
      <c r="W707" s="187">
        <f t="shared" si="23"/>
        <v>4510802</v>
      </c>
    </row>
    <row r="708" spans="1:23">
      <c r="A708" s="216" t="s">
        <v>1958</v>
      </c>
      <c r="B708" s="218">
        <v>786.78499999999997</v>
      </c>
      <c r="C708" s="218">
        <v>778.65499999999997</v>
      </c>
      <c r="D708" s="218">
        <v>774.12</v>
      </c>
      <c r="E708" s="218">
        <v>779.60699999999997</v>
      </c>
      <c r="F708" s="218">
        <v>158.36449999999999</v>
      </c>
      <c r="G708" s="218">
        <v>150.92400000000001</v>
      </c>
      <c r="H708" s="218">
        <v>160.9171</v>
      </c>
      <c r="I708" s="218">
        <v>159.40260000000001</v>
      </c>
      <c r="J708" s="246">
        <v>107376109</v>
      </c>
      <c r="K708" s="246">
        <v>119107849</v>
      </c>
      <c r="L708" s="218">
        <v>1283.6579999999999</v>
      </c>
      <c r="M708" s="187">
        <v>0</v>
      </c>
      <c r="N708" s="251">
        <v>100.9064</v>
      </c>
      <c r="O708" s="251">
        <v>98.531000000000006</v>
      </c>
      <c r="P708" s="251">
        <v>104.84310000000001</v>
      </c>
      <c r="Q708" s="251">
        <v>102.10469999999999</v>
      </c>
      <c r="R708" s="254">
        <v>1.06</v>
      </c>
      <c r="S708" s="214">
        <v>0</v>
      </c>
      <c r="T708" s="214">
        <v>1654331</v>
      </c>
      <c r="U708" s="214">
        <v>0</v>
      </c>
      <c r="V708" s="187">
        <f t="shared" si="22"/>
        <v>1654331</v>
      </c>
      <c r="W708" s="187">
        <f t="shared" si="23"/>
        <v>1654331</v>
      </c>
    </row>
    <row r="709" spans="1:23">
      <c r="A709" s="216" t="s">
        <v>1960</v>
      </c>
      <c r="B709" s="218">
        <v>97.716999999999999</v>
      </c>
      <c r="C709" s="218">
        <v>108.723</v>
      </c>
      <c r="D709" s="218">
        <v>106.47199999999999</v>
      </c>
      <c r="E709" s="218">
        <v>103.523</v>
      </c>
      <c r="F709" s="218">
        <v>26.981300000000001</v>
      </c>
      <c r="G709" s="218">
        <v>28.831499999999998</v>
      </c>
      <c r="H709" s="218">
        <v>31.743400000000001</v>
      </c>
      <c r="I709" s="218">
        <v>29.259399999999999</v>
      </c>
      <c r="J709" s="246">
        <v>33929618</v>
      </c>
      <c r="K709" s="246">
        <v>35889178</v>
      </c>
      <c r="L709" s="218">
        <v>262.55599999999998</v>
      </c>
      <c r="M709" s="246">
        <v>68782</v>
      </c>
      <c r="N709" s="251">
        <v>18.002099999999999</v>
      </c>
      <c r="O709" s="251">
        <v>17.964200000000002</v>
      </c>
      <c r="P709" s="251">
        <v>20.457899999999999</v>
      </c>
      <c r="Q709" s="251">
        <v>18.815100000000001</v>
      </c>
      <c r="R709" s="254">
        <v>1.07</v>
      </c>
      <c r="S709" s="214">
        <v>105395</v>
      </c>
      <c r="T709" s="214">
        <v>619914</v>
      </c>
      <c r="U709" s="214">
        <v>0</v>
      </c>
      <c r="V709" s="187">
        <f t="shared" ref="V709:V761" si="24">T709+U709</f>
        <v>619914</v>
      </c>
      <c r="W709" s="187">
        <f t="shared" ref="W709:W761" si="25">V709+S709</f>
        <v>725309</v>
      </c>
    </row>
    <row r="710" spans="1:23">
      <c r="A710" s="216" t="s">
        <v>2039</v>
      </c>
      <c r="B710" s="218">
        <v>47.735999999999997</v>
      </c>
      <c r="C710" s="218">
        <v>51.843000000000004</v>
      </c>
      <c r="D710" s="218">
        <v>53.728999999999999</v>
      </c>
      <c r="E710" s="218">
        <v>53.042999999999999</v>
      </c>
      <c r="F710" s="218">
        <v>12.540100000000001</v>
      </c>
      <c r="G710" s="218">
        <v>15.002700000000001</v>
      </c>
      <c r="H710" s="218">
        <v>14.2963</v>
      </c>
      <c r="I710" s="218">
        <v>12.55</v>
      </c>
      <c r="J710" s="246">
        <v>13484640</v>
      </c>
      <c r="K710" s="246">
        <v>15128250</v>
      </c>
      <c r="L710" s="218">
        <v>129.24799999999999</v>
      </c>
      <c r="M710" s="187">
        <v>0</v>
      </c>
      <c r="N710" s="251">
        <v>7.9569999999999999</v>
      </c>
      <c r="O710" s="251">
        <v>7.9570999999999996</v>
      </c>
      <c r="P710" s="251">
        <v>9.2001000000000008</v>
      </c>
      <c r="Q710" s="251">
        <v>8.2194000000000003</v>
      </c>
      <c r="R710" s="254">
        <v>1.07</v>
      </c>
      <c r="S710" s="214">
        <v>0</v>
      </c>
      <c r="T710" s="214">
        <v>185859</v>
      </c>
      <c r="U710" s="214">
        <v>0</v>
      </c>
      <c r="V710" s="187">
        <f t="shared" si="24"/>
        <v>185859</v>
      </c>
      <c r="W710" s="187">
        <f t="shared" si="25"/>
        <v>185859</v>
      </c>
    </row>
    <row r="711" spans="1:23">
      <c r="A711" s="216" t="s">
        <v>2041</v>
      </c>
      <c r="B711" s="218">
        <v>118.806</v>
      </c>
      <c r="C711" s="218">
        <v>115.334</v>
      </c>
      <c r="D711" s="218">
        <v>111.84699999999999</v>
      </c>
      <c r="E711" s="218">
        <v>110.657</v>
      </c>
      <c r="F711" s="218">
        <v>27.353100000000001</v>
      </c>
      <c r="G711" s="218">
        <v>26.347799999999999</v>
      </c>
      <c r="H711" s="218">
        <v>26.853100000000001</v>
      </c>
      <c r="I711" s="218">
        <v>25.346499999999999</v>
      </c>
      <c r="J711" s="246">
        <v>55789290</v>
      </c>
      <c r="K711" s="246">
        <v>57736355</v>
      </c>
      <c r="L711" s="218">
        <v>259.14400000000001</v>
      </c>
      <c r="M711" s="187">
        <v>0</v>
      </c>
      <c r="N711" s="251">
        <v>17.503699999999998</v>
      </c>
      <c r="O711" s="251">
        <v>16.496700000000001</v>
      </c>
      <c r="P711" s="251">
        <v>17.9648</v>
      </c>
      <c r="Q711" s="251">
        <v>19.465800000000002</v>
      </c>
      <c r="R711" s="254">
        <v>1.06</v>
      </c>
      <c r="S711" s="214">
        <v>0</v>
      </c>
      <c r="T711" s="214">
        <v>775781</v>
      </c>
      <c r="U711" s="214">
        <v>0</v>
      </c>
      <c r="V711" s="187">
        <f t="shared" si="24"/>
        <v>775781</v>
      </c>
      <c r="W711" s="187">
        <f t="shared" si="25"/>
        <v>775781</v>
      </c>
    </row>
    <row r="712" spans="1:23">
      <c r="A712" s="216" t="s">
        <v>1825</v>
      </c>
      <c r="B712" s="218">
        <v>160.267</v>
      </c>
      <c r="C712" s="218">
        <v>148.56899999999999</v>
      </c>
      <c r="D712" s="218">
        <v>168.03399999999999</v>
      </c>
      <c r="E712" s="218">
        <v>163.37899999999999</v>
      </c>
      <c r="F712" s="218">
        <v>33.425199999999997</v>
      </c>
      <c r="G712" s="218">
        <v>34.339599999999997</v>
      </c>
      <c r="H712" s="218">
        <v>31.4252</v>
      </c>
      <c r="I712" s="218">
        <v>29.962599999999998</v>
      </c>
      <c r="J712" s="246">
        <v>25716072</v>
      </c>
      <c r="K712" s="246">
        <v>28295122</v>
      </c>
      <c r="L712" s="218">
        <v>295.40600000000001</v>
      </c>
      <c r="M712" s="246">
        <v>23842</v>
      </c>
      <c r="N712" s="251">
        <v>21.714500000000001</v>
      </c>
      <c r="O712" s="251">
        <v>22.415500000000002</v>
      </c>
      <c r="P712" s="251">
        <v>21.49</v>
      </c>
      <c r="Q712" s="251">
        <v>21.6694</v>
      </c>
      <c r="R712" s="254">
        <v>1.06</v>
      </c>
      <c r="S712" s="214">
        <v>28746</v>
      </c>
      <c r="T712" s="214">
        <v>428663</v>
      </c>
      <c r="U712" s="214">
        <v>0</v>
      </c>
      <c r="V712" s="187">
        <f t="shared" si="24"/>
        <v>428663</v>
      </c>
      <c r="W712" s="187">
        <f t="shared" si="25"/>
        <v>457409</v>
      </c>
    </row>
    <row r="713" spans="1:23">
      <c r="A713" s="216" t="s">
        <v>1827</v>
      </c>
      <c r="B713" s="218">
        <v>348.53199999999998</v>
      </c>
      <c r="C713" s="218">
        <v>331.20299999999997</v>
      </c>
      <c r="D713" s="218">
        <v>327.858</v>
      </c>
      <c r="E713" s="218">
        <v>325.39699999999999</v>
      </c>
      <c r="F713" s="218">
        <v>64.1477</v>
      </c>
      <c r="G713" s="218">
        <v>64.005399999999995</v>
      </c>
      <c r="H713" s="218">
        <v>68.844099999999997</v>
      </c>
      <c r="I713" s="218">
        <v>57.532800000000002</v>
      </c>
      <c r="J713" s="246">
        <v>49168743</v>
      </c>
      <c r="K713" s="246">
        <v>53612873</v>
      </c>
      <c r="L713" s="218">
        <v>554.30499999999995</v>
      </c>
      <c r="M713" s="246">
        <v>65050</v>
      </c>
      <c r="N713" s="251">
        <v>38.852400000000003</v>
      </c>
      <c r="O713" s="251">
        <v>41.979100000000003</v>
      </c>
      <c r="P713" s="251">
        <v>41.084800000000001</v>
      </c>
      <c r="Q713" s="251">
        <v>38.337299999999999</v>
      </c>
      <c r="R713" s="254">
        <v>1.05</v>
      </c>
      <c r="S713" s="214">
        <v>68907</v>
      </c>
      <c r="T713" s="214">
        <v>760708</v>
      </c>
      <c r="U713" s="214">
        <v>0</v>
      </c>
      <c r="V713" s="187">
        <f t="shared" si="24"/>
        <v>760708</v>
      </c>
      <c r="W713" s="187">
        <f t="shared" si="25"/>
        <v>829615</v>
      </c>
    </row>
    <row r="714" spans="1:23">
      <c r="A714" s="216" t="s">
        <v>238</v>
      </c>
      <c r="B714" s="218">
        <v>30349.921999999999</v>
      </c>
      <c r="C714" s="218">
        <v>31872.761999999999</v>
      </c>
      <c r="D714" s="218">
        <v>33383.379000000001</v>
      </c>
      <c r="E714" s="218">
        <v>34502.572999999997</v>
      </c>
      <c r="F714" s="218">
        <v>4216.2970999999998</v>
      </c>
      <c r="G714" s="218">
        <v>4489.5911999999998</v>
      </c>
      <c r="H714" s="218">
        <v>4767.3343999999997</v>
      </c>
      <c r="I714" s="218">
        <v>4962.0517</v>
      </c>
      <c r="J714" s="246">
        <v>8644371509</v>
      </c>
      <c r="K714" s="246">
        <v>9030598625</v>
      </c>
      <c r="L714" s="218">
        <v>42818.383000000002</v>
      </c>
      <c r="M714" s="246">
        <v>18592869</v>
      </c>
      <c r="N714" s="251">
        <v>2512.4922000000001</v>
      </c>
      <c r="O714" s="251">
        <v>2637.0315000000001</v>
      </c>
      <c r="P714" s="251">
        <v>2818.4766</v>
      </c>
      <c r="Q714" s="251">
        <v>2943.7512999999999</v>
      </c>
      <c r="R714" s="254">
        <v>1.1599999999999999</v>
      </c>
      <c r="S714" s="214">
        <v>22206391</v>
      </c>
      <c r="T714" s="214">
        <v>149652841</v>
      </c>
      <c r="U714" s="214">
        <v>0</v>
      </c>
      <c r="V714" s="187">
        <f t="shared" si="24"/>
        <v>149652841</v>
      </c>
      <c r="W714" s="187">
        <f t="shared" si="25"/>
        <v>171859232</v>
      </c>
    </row>
    <row r="715" spans="1:23">
      <c r="A715" s="216" t="s">
        <v>1829</v>
      </c>
      <c r="B715" s="218">
        <v>3290.9270000000001</v>
      </c>
      <c r="C715" s="218">
        <v>3537.1489999999999</v>
      </c>
      <c r="D715" s="218">
        <v>3672.6709999999998</v>
      </c>
      <c r="E715" s="218">
        <v>3900.991</v>
      </c>
      <c r="F715" s="218">
        <v>441.54340000000002</v>
      </c>
      <c r="G715" s="218">
        <v>474.96390000000002</v>
      </c>
      <c r="H715" s="218">
        <v>513.22990000000004</v>
      </c>
      <c r="I715" s="218">
        <v>538.26509999999996</v>
      </c>
      <c r="J715" s="246">
        <v>1396839709</v>
      </c>
      <c r="K715" s="246">
        <v>1463189819</v>
      </c>
      <c r="L715" s="218">
        <v>4952.9120000000003</v>
      </c>
      <c r="M715" s="246">
        <v>1524440</v>
      </c>
      <c r="N715" s="251">
        <v>260.87329999999997</v>
      </c>
      <c r="O715" s="251">
        <v>279.34460000000001</v>
      </c>
      <c r="P715" s="251">
        <v>299.26909999999998</v>
      </c>
      <c r="Q715" s="251">
        <v>315.52069999999998</v>
      </c>
      <c r="R715" s="254">
        <v>1.1200000000000001</v>
      </c>
      <c r="S715" s="214">
        <v>3876437</v>
      </c>
      <c r="T715" s="214">
        <v>23936699</v>
      </c>
      <c r="U715" s="214">
        <v>0</v>
      </c>
      <c r="V715" s="187">
        <f t="shared" si="24"/>
        <v>23936699</v>
      </c>
      <c r="W715" s="187">
        <f t="shared" si="25"/>
        <v>27813136</v>
      </c>
    </row>
    <row r="716" spans="1:23">
      <c r="A716" s="216" t="s">
        <v>859</v>
      </c>
      <c r="B716" s="218">
        <v>4051.759</v>
      </c>
      <c r="C716" s="218">
        <v>4067.2550000000001</v>
      </c>
      <c r="D716" s="218">
        <v>4107.518</v>
      </c>
      <c r="E716" s="218">
        <v>4168.8599999999997</v>
      </c>
      <c r="F716" s="218">
        <v>587.84969999999998</v>
      </c>
      <c r="G716" s="218">
        <v>568.97280000000001</v>
      </c>
      <c r="H716" s="218">
        <v>581.5213</v>
      </c>
      <c r="I716" s="218">
        <v>583.07709999999997</v>
      </c>
      <c r="J716" s="246">
        <v>869123122</v>
      </c>
      <c r="K716" s="246">
        <v>931964802</v>
      </c>
      <c r="L716" s="218">
        <v>5603.7190000000001</v>
      </c>
      <c r="M716" s="246">
        <v>975966</v>
      </c>
      <c r="N716" s="251">
        <v>341.08229999999998</v>
      </c>
      <c r="O716" s="251">
        <v>349.87180000000001</v>
      </c>
      <c r="P716" s="251">
        <v>349.70280000000002</v>
      </c>
      <c r="Q716" s="251">
        <v>346.7285</v>
      </c>
      <c r="R716" s="254">
        <v>1.1299999999999999</v>
      </c>
      <c r="S716" s="214">
        <v>2587057</v>
      </c>
      <c r="T716" s="214">
        <v>14769026</v>
      </c>
      <c r="U716" s="214">
        <v>0</v>
      </c>
      <c r="V716" s="187">
        <f t="shared" si="24"/>
        <v>14769026</v>
      </c>
      <c r="W716" s="187">
        <f t="shared" si="25"/>
        <v>17356083</v>
      </c>
    </row>
    <row r="717" spans="1:23">
      <c r="A717" s="216" t="s">
        <v>3001</v>
      </c>
      <c r="B717" s="218">
        <v>6118.84</v>
      </c>
      <c r="C717" s="218">
        <v>6665.1869999999999</v>
      </c>
      <c r="D717" s="218">
        <v>7279.5839999999998</v>
      </c>
      <c r="E717" s="218">
        <v>7978.1509999999998</v>
      </c>
      <c r="F717" s="218">
        <v>837.89430000000004</v>
      </c>
      <c r="G717" s="218">
        <v>918.96720000000005</v>
      </c>
      <c r="H717" s="218">
        <v>1005.4061</v>
      </c>
      <c r="I717" s="218">
        <v>1121.252</v>
      </c>
      <c r="J717" s="246">
        <v>1233522529</v>
      </c>
      <c r="K717" s="246">
        <v>1308052725</v>
      </c>
      <c r="L717" s="218">
        <v>10038.069</v>
      </c>
      <c r="M717" s="246">
        <v>1862680</v>
      </c>
      <c r="N717" s="251">
        <v>485.65210000000002</v>
      </c>
      <c r="O717" s="251">
        <v>535.96090000000004</v>
      </c>
      <c r="P717" s="251">
        <v>605.26940000000002</v>
      </c>
      <c r="Q717" s="251">
        <v>658.29219999999998</v>
      </c>
      <c r="R717" s="254">
        <v>1.1299999999999999</v>
      </c>
      <c r="S717" s="214">
        <v>4820182</v>
      </c>
      <c r="T717" s="214">
        <v>19901217</v>
      </c>
      <c r="U717" s="214">
        <v>0</v>
      </c>
      <c r="V717" s="187">
        <f t="shared" si="24"/>
        <v>19901217</v>
      </c>
      <c r="W717" s="187">
        <f t="shared" si="25"/>
        <v>24721399</v>
      </c>
    </row>
    <row r="718" spans="1:23">
      <c r="A718" s="216" t="s">
        <v>2405</v>
      </c>
      <c r="B718" s="218">
        <v>2577.8539999999998</v>
      </c>
      <c r="C718" s="218">
        <v>2648.4070000000002</v>
      </c>
      <c r="D718" s="218">
        <v>2725.5729999999999</v>
      </c>
      <c r="E718" s="218">
        <v>2769.3380000000002</v>
      </c>
      <c r="F718" s="218">
        <v>397.26330000000002</v>
      </c>
      <c r="G718" s="218">
        <v>410.4606</v>
      </c>
      <c r="H718" s="218">
        <v>430.24200000000002</v>
      </c>
      <c r="I718" s="218">
        <v>449.67020000000002</v>
      </c>
      <c r="J718" s="246">
        <v>179963101</v>
      </c>
      <c r="K718" s="246">
        <v>203023311</v>
      </c>
      <c r="L718" s="218">
        <v>3710.83</v>
      </c>
      <c r="M718" s="246">
        <v>135288</v>
      </c>
      <c r="N718" s="251">
        <v>238.73089999999999</v>
      </c>
      <c r="O718" s="251">
        <v>247.43940000000001</v>
      </c>
      <c r="P718" s="251">
        <v>239.1746</v>
      </c>
      <c r="Q718" s="251">
        <v>254.5017</v>
      </c>
      <c r="R718" s="254">
        <v>1.1200000000000001</v>
      </c>
      <c r="S718" s="214">
        <v>291950</v>
      </c>
      <c r="T718" s="214">
        <v>2819015</v>
      </c>
      <c r="U718" s="214">
        <v>112311</v>
      </c>
      <c r="V718" s="187">
        <f t="shared" si="24"/>
        <v>2931326</v>
      </c>
      <c r="W718" s="187">
        <f t="shared" si="25"/>
        <v>3223276</v>
      </c>
    </row>
    <row r="719" spans="1:23">
      <c r="A719" s="216" t="s">
        <v>2907</v>
      </c>
      <c r="B719" s="218">
        <v>5470.8789999999999</v>
      </c>
      <c r="C719" s="218">
        <v>5697.0919999999996</v>
      </c>
      <c r="D719" s="218">
        <v>5955.2820000000002</v>
      </c>
      <c r="E719" s="218">
        <v>6206.7659999999996</v>
      </c>
      <c r="F719" s="218">
        <v>846.6617</v>
      </c>
      <c r="G719" s="218">
        <v>870.2473</v>
      </c>
      <c r="H719" s="218">
        <v>910.57370000000003</v>
      </c>
      <c r="I719" s="218">
        <v>972.04899999999998</v>
      </c>
      <c r="J719" s="246">
        <v>787333738</v>
      </c>
      <c r="K719" s="246">
        <v>852129698</v>
      </c>
      <c r="L719" s="218">
        <v>8168.6779999999999</v>
      </c>
      <c r="M719" s="246">
        <v>1498706</v>
      </c>
      <c r="N719" s="251">
        <v>475.0917</v>
      </c>
      <c r="O719" s="251">
        <v>499.47809999999998</v>
      </c>
      <c r="P719" s="251">
        <v>531.06050000000005</v>
      </c>
      <c r="Q719" s="251">
        <v>567.07449999999994</v>
      </c>
      <c r="R719" s="254">
        <v>1.1399999999999999</v>
      </c>
      <c r="S719" s="214">
        <v>2048900</v>
      </c>
      <c r="T719" s="214">
        <v>12427765</v>
      </c>
      <c r="U719" s="214">
        <v>0</v>
      </c>
      <c r="V719" s="187">
        <f t="shared" si="24"/>
        <v>12427765</v>
      </c>
      <c r="W719" s="187">
        <f t="shared" si="25"/>
        <v>14476665</v>
      </c>
    </row>
    <row r="720" spans="1:23">
      <c r="A720" s="216" t="s">
        <v>1222</v>
      </c>
      <c r="B720" s="218">
        <v>3772.319</v>
      </c>
      <c r="C720" s="218">
        <v>3787.1370000000002</v>
      </c>
      <c r="D720" s="218">
        <v>3748.424</v>
      </c>
      <c r="E720" s="218">
        <v>3877.6190000000001</v>
      </c>
      <c r="F720" s="218">
        <v>530.92070000000001</v>
      </c>
      <c r="G720" s="218">
        <v>544.34270000000004</v>
      </c>
      <c r="H720" s="218">
        <v>550.76499999999999</v>
      </c>
      <c r="I720" s="218">
        <v>545.62249999999995</v>
      </c>
      <c r="J720" s="246">
        <v>1311749343</v>
      </c>
      <c r="K720" s="246">
        <v>1344690622</v>
      </c>
      <c r="L720" s="218">
        <v>5093.3270000000002</v>
      </c>
      <c r="M720" s="246">
        <v>625369</v>
      </c>
      <c r="N720" s="251">
        <v>341.56970000000001</v>
      </c>
      <c r="O720" s="251">
        <v>349.01</v>
      </c>
      <c r="P720" s="251">
        <v>359.7758</v>
      </c>
      <c r="Q720" s="251">
        <v>358.15570000000002</v>
      </c>
      <c r="R720" s="254">
        <v>1.08</v>
      </c>
      <c r="S720" s="214">
        <v>656020</v>
      </c>
      <c r="T720" s="214">
        <v>18251312</v>
      </c>
      <c r="U720" s="214">
        <v>0</v>
      </c>
      <c r="V720" s="187">
        <f t="shared" si="24"/>
        <v>18251312</v>
      </c>
      <c r="W720" s="187">
        <f t="shared" si="25"/>
        <v>18907332</v>
      </c>
    </row>
    <row r="721" spans="1:23">
      <c r="A721" s="216" t="s">
        <v>1224</v>
      </c>
      <c r="B721" s="218">
        <v>555.06399999999996</v>
      </c>
      <c r="C721" s="218">
        <v>499.935</v>
      </c>
      <c r="D721" s="218">
        <v>500.68</v>
      </c>
      <c r="E721" s="218">
        <v>486.81099999999998</v>
      </c>
      <c r="F721" s="218">
        <v>100.3129</v>
      </c>
      <c r="G721" s="218">
        <v>99.235299999999995</v>
      </c>
      <c r="H721" s="218">
        <v>92.616</v>
      </c>
      <c r="I721" s="218">
        <v>91.352900000000005</v>
      </c>
      <c r="J721" s="246">
        <v>185418108</v>
      </c>
      <c r="K721" s="246">
        <v>189686138</v>
      </c>
      <c r="L721" s="218">
        <v>795.03</v>
      </c>
      <c r="M721" s="246">
        <v>261171</v>
      </c>
      <c r="N721" s="251">
        <v>68.551500000000004</v>
      </c>
      <c r="O721" s="251">
        <v>66.071899999999999</v>
      </c>
      <c r="P721" s="251">
        <v>61.328299999999999</v>
      </c>
      <c r="Q721" s="251">
        <v>59.988999999999997</v>
      </c>
      <c r="R721" s="254">
        <v>1.05</v>
      </c>
      <c r="S721" s="214">
        <v>355889</v>
      </c>
      <c r="T721" s="214">
        <v>2878609</v>
      </c>
      <c r="U721" s="214">
        <v>0</v>
      </c>
      <c r="V721" s="187">
        <f t="shared" si="24"/>
        <v>2878609</v>
      </c>
      <c r="W721" s="187">
        <f t="shared" si="25"/>
        <v>3234498</v>
      </c>
    </row>
    <row r="722" spans="1:23">
      <c r="A722" s="216" t="s">
        <v>5375</v>
      </c>
      <c r="B722" s="218">
        <v>1600.944</v>
      </c>
      <c r="C722" s="218">
        <v>1546.421</v>
      </c>
      <c r="D722" s="218">
        <v>1499.7190000000001</v>
      </c>
      <c r="E722" s="218">
        <v>1484.7280000000001</v>
      </c>
      <c r="F722" s="218">
        <v>270.35789999999997</v>
      </c>
      <c r="G722" s="218">
        <v>269.49810000000002</v>
      </c>
      <c r="H722" s="218">
        <v>272.13549999999998</v>
      </c>
      <c r="I722" s="218">
        <v>256.07420000000002</v>
      </c>
      <c r="J722" s="246">
        <v>702088747</v>
      </c>
      <c r="K722" s="246">
        <v>723297671</v>
      </c>
      <c r="L722" s="218">
        <v>2053.3130000000001</v>
      </c>
      <c r="M722" s="187">
        <v>0</v>
      </c>
      <c r="N722" s="251">
        <v>179.04820000000001</v>
      </c>
      <c r="O722" s="251">
        <v>177.02610000000001</v>
      </c>
      <c r="P722" s="251">
        <v>177.02449999999999</v>
      </c>
      <c r="Q722" s="251">
        <v>161.07919999999999</v>
      </c>
      <c r="R722" s="254">
        <v>1.06</v>
      </c>
      <c r="S722" s="214">
        <v>790159</v>
      </c>
      <c r="T722" s="214">
        <v>9147037</v>
      </c>
      <c r="U722" s="214">
        <v>0</v>
      </c>
      <c r="V722" s="187">
        <f t="shared" si="24"/>
        <v>9147037</v>
      </c>
      <c r="W722" s="187">
        <f t="shared" si="25"/>
        <v>9937196</v>
      </c>
    </row>
    <row r="723" spans="1:23">
      <c r="A723" s="216" t="s">
        <v>5377</v>
      </c>
      <c r="B723" s="218">
        <v>903.50400000000002</v>
      </c>
      <c r="C723" s="218">
        <v>909.78300000000002</v>
      </c>
      <c r="D723" s="218">
        <v>882.30799999999999</v>
      </c>
      <c r="E723" s="218">
        <v>840.3</v>
      </c>
      <c r="F723" s="218">
        <v>156.9384</v>
      </c>
      <c r="G723" s="218">
        <v>149.66030000000001</v>
      </c>
      <c r="H723" s="218">
        <v>150.6738</v>
      </c>
      <c r="I723" s="218">
        <v>149.62809999999999</v>
      </c>
      <c r="J723" s="246">
        <v>120715541</v>
      </c>
      <c r="K723" s="246">
        <v>134293391</v>
      </c>
      <c r="L723" s="218">
        <v>1356.8720000000001</v>
      </c>
      <c r="M723" s="187">
        <v>0</v>
      </c>
      <c r="N723" s="251">
        <v>103.6448</v>
      </c>
      <c r="O723" s="251">
        <v>101.3639</v>
      </c>
      <c r="P723" s="251">
        <v>102.3643</v>
      </c>
      <c r="Q723" s="251">
        <v>98.988200000000006</v>
      </c>
      <c r="R723" s="254">
        <v>1.04</v>
      </c>
      <c r="S723" s="214">
        <v>5642</v>
      </c>
      <c r="T723" s="214">
        <v>1626039</v>
      </c>
      <c r="U723" s="214">
        <v>0</v>
      </c>
      <c r="V723" s="187">
        <f t="shared" si="24"/>
        <v>1626039</v>
      </c>
      <c r="W723" s="187">
        <f t="shared" si="25"/>
        <v>1631681</v>
      </c>
    </row>
    <row r="724" spans="1:23">
      <c r="A724" s="216" t="s">
        <v>5379</v>
      </c>
      <c r="B724" s="218">
        <v>218.87100000000001</v>
      </c>
      <c r="C724" s="218">
        <v>188.63900000000001</v>
      </c>
      <c r="D724" s="218">
        <v>182.94200000000001</v>
      </c>
      <c r="E724" s="218">
        <v>164.471</v>
      </c>
      <c r="F724" s="218">
        <v>52.4679</v>
      </c>
      <c r="G724" s="218">
        <v>48.7</v>
      </c>
      <c r="H724" s="218">
        <v>48</v>
      </c>
      <c r="I724" s="218">
        <v>46.406500000000001</v>
      </c>
      <c r="J724" s="246">
        <v>55891898</v>
      </c>
      <c r="K724" s="246">
        <v>59215256</v>
      </c>
      <c r="L724" s="218">
        <v>344.65</v>
      </c>
      <c r="M724" s="187">
        <v>0</v>
      </c>
      <c r="N724" s="251">
        <v>34.502699999999997</v>
      </c>
      <c r="O724" s="251">
        <v>30.541599999999999</v>
      </c>
      <c r="P724" s="251">
        <v>27.226299999999998</v>
      </c>
      <c r="Q724" s="251">
        <v>26.257200000000001</v>
      </c>
      <c r="R724" s="254">
        <v>1.04</v>
      </c>
      <c r="S724" s="214">
        <v>0</v>
      </c>
      <c r="T724" s="214">
        <v>859857</v>
      </c>
      <c r="U724" s="214">
        <v>0</v>
      </c>
      <c r="V724" s="187">
        <f t="shared" si="24"/>
        <v>859857</v>
      </c>
      <c r="W724" s="187">
        <f t="shared" si="25"/>
        <v>859857</v>
      </c>
    </row>
    <row r="725" spans="1:23">
      <c r="A725" s="216" t="s">
        <v>642</v>
      </c>
      <c r="B725" s="218">
        <v>327.32900000000001</v>
      </c>
      <c r="C725" s="218">
        <v>313.30399999999997</v>
      </c>
      <c r="D725" s="218">
        <v>308.82299999999998</v>
      </c>
      <c r="E725" s="218">
        <v>307.41199999999998</v>
      </c>
      <c r="F725" s="218">
        <v>55</v>
      </c>
      <c r="G725" s="218">
        <v>50</v>
      </c>
      <c r="H725" s="218">
        <v>52.5</v>
      </c>
      <c r="I725" s="218">
        <v>52</v>
      </c>
      <c r="J725" s="246">
        <v>26566580</v>
      </c>
      <c r="K725" s="246">
        <v>30298390</v>
      </c>
      <c r="L725" s="218">
        <v>544.79999999999995</v>
      </c>
      <c r="M725" s="187">
        <v>0</v>
      </c>
      <c r="N725" s="251">
        <v>34.405900000000003</v>
      </c>
      <c r="O725" s="251">
        <v>35.479100000000003</v>
      </c>
      <c r="P725" s="251">
        <v>39.240499999999997</v>
      </c>
      <c r="Q725" s="251">
        <v>37.977699999999999</v>
      </c>
      <c r="R725" s="254">
        <v>1.03</v>
      </c>
      <c r="S725" s="214">
        <v>21248</v>
      </c>
      <c r="T725" s="214">
        <v>415477</v>
      </c>
      <c r="U725" s="214">
        <v>0</v>
      </c>
      <c r="V725" s="187">
        <f t="shared" si="24"/>
        <v>415477</v>
      </c>
      <c r="W725" s="187">
        <f t="shared" si="25"/>
        <v>436725</v>
      </c>
    </row>
    <row r="726" spans="1:23">
      <c r="A726" s="216" t="s">
        <v>2618</v>
      </c>
      <c r="B726" s="218">
        <v>458.77</v>
      </c>
      <c r="C726" s="218">
        <v>474.36200000000002</v>
      </c>
      <c r="D726" s="218">
        <v>479.00700000000001</v>
      </c>
      <c r="E726" s="218">
        <v>465.73899999999998</v>
      </c>
      <c r="F726" s="218">
        <v>78.414599999999993</v>
      </c>
      <c r="G726" s="218">
        <v>77.451999999999998</v>
      </c>
      <c r="H726" s="218">
        <v>74.957300000000004</v>
      </c>
      <c r="I726" s="218">
        <v>72.919799999999995</v>
      </c>
      <c r="J726" s="246">
        <v>165997307</v>
      </c>
      <c r="K726" s="246">
        <v>173811457</v>
      </c>
      <c r="L726" s="218">
        <v>788.59199999999998</v>
      </c>
      <c r="M726" s="187">
        <v>0</v>
      </c>
      <c r="N726" s="251">
        <v>52.4876</v>
      </c>
      <c r="O726" s="251">
        <v>50.489400000000003</v>
      </c>
      <c r="P726" s="251">
        <v>44.994799999999998</v>
      </c>
      <c r="Q726" s="251">
        <v>43.9572</v>
      </c>
      <c r="R726" s="254">
        <v>1.03</v>
      </c>
      <c r="S726" s="214">
        <v>0</v>
      </c>
      <c r="T726" s="214">
        <v>2501746</v>
      </c>
      <c r="U726" s="214">
        <v>0</v>
      </c>
      <c r="V726" s="187">
        <f t="shared" si="24"/>
        <v>2501746</v>
      </c>
      <c r="W726" s="187">
        <f t="shared" si="25"/>
        <v>2501746</v>
      </c>
    </row>
    <row r="727" spans="1:23">
      <c r="A727" s="216" t="s">
        <v>644</v>
      </c>
      <c r="B727" s="218">
        <v>639.17399999999998</v>
      </c>
      <c r="C727" s="218">
        <v>639.87199999999996</v>
      </c>
      <c r="D727" s="218">
        <v>630.23199999999997</v>
      </c>
      <c r="E727" s="218">
        <v>633.899</v>
      </c>
      <c r="F727" s="218">
        <v>96.243300000000005</v>
      </c>
      <c r="G727" s="218">
        <v>98.756500000000003</v>
      </c>
      <c r="H727" s="218">
        <v>104.2953</v>
      </c>
      <c r="I727" s="218">
        <v>105.3745</v>
      </c>
      <c r="J727" s="246">
        <v>73804526</v>
      </c>
      <c r="K727" s="246">
        <v>81407946</v>
      </c>
      <c r="L727" s="218">
        <v>1067.4469999999999</v>
      </c>
      <c r="M727" s="187">
        <v>0</v>
      </c>
      <c r="N727" s="251">
        <v>62.661900000000003</v>
      </c>
      <c r="O727" s="251">
        <v>65.107500000000002</v>
      </c>
      <c r="P727" s="251">
        <v>67.040999999999997</v>
      </c>
      <c r="Q727" s="251">
        <v>68.933899999999994</v>
      </c>
      <c r="R727" s="254">
        <v>1.04</v>
      </c>
      <c r="S727" s="214">
        <v>55584</v>
      </c>
      <c r="T727" s="214">
        <v>1088398</v>
      </c>
      <c r="U727" s="214">
        <v>0</v>
      </c>
      <c r="V727" s="187">
        <f t="shared" si="24"/>
        <v>1088398</v>
      </c>
      <c r="W727" s="187">
        <f t="shared" si="25"/>
        <v>1143982</v>
      </c>
    </row>
    <row r="728" spans="1:23">
      <c r="A728" s="216" t="s">
        <v>2620</v>
      </c>
      <c r="B728" s="218">
        <v>5870.9040000000005</v>
      </c>
      <c r="C728" s="218">
        <v>5760.1850000000004</v>
      </c>
      <c r="D728" s="218">
        <v>5825.9780000000001</v>
      </c>
      <c r="E728" s="218">
        <v>5852.8140000000003</v>
      </c>
      <c r="F728" s="218">
        <v>865.8922</v>
      </c>
      <c r="G728" s="218">
        <v>869.49099999999999</v>
      </c>
      <c r="H728" s="218">
        <v>873.77940000000001</v>
      </c>
      <c r="I728" s="218">
        <v>877.04700000000003</v>
      </c>
      <c r="J728" s="246">
        <v>1100154085</v>
      </c>
      <c r="K728" s="246">
        <v>1174053875</v>
      </c>
      <c r="L728" s="218">
        <v>7521.2579999999998</v>
      </c>
      <c r="M728" s="246">
        <v>1056822</v>
      </c>
      <c r="N728" s="251">
        <v>453.8938</v>
      </c>
      <c r="O728" s="251">
        <v>466.77629999999999</v>
      </c>
      <c r="P728" s="251">
        <v>470.62889999999999</v>
      </c>
      <c r="Q728" s="251">
        <v>435.96980000000002</v>
      </c>
      <c r="R728" s="254">
        <v>1.06</v>
      </c>
      <c r="S728" s="214">
        <v>2627475</v>
      </c>
      <c r="T728" s="214">
        <v>16762558</v>
      </c>
      <c r="U728" s="214">
        <v>0</v>
      </c>
      <c r="V728" s="187">
        <f t="shared" si="24"/>
        <v>16762558</v>
      </c>
      <c r="W728" s="187">
        <f t="shared" si="25"/>
        <v>19390033</v>
      </c>
    </row>
    <row r="729" spans="1:23">
      <c r="A729" s="216" t="s">
        <v>4588</v>
      </c>
      <c r="B729" s="218">
        <v>740.29700000000003</v>
      </c>
      <c r="C729" s="218">
        <v>726.88199999999995</v>
      </c>
      <c r="D729" s="218">
        <v>757.11099999999999</v>
      </c>
      <c r="E729" s="218">
        <v>784.84900000000005</v>
      </c>
      <c r="F729" s="218">
        <v>135.125</v>
      </c>
      <c r="G729" s="218">
        <v>128.8545</v>
      </c>
      <c r="H729" s="218">
        <v>135.10339999999999</v>
      </c>
      <c r="I729" s="218">
        <v>138.08869999999999</v>
      </c>
      <c r="J729" s="246">
        <v>58771783</v>
      </c>
      <c r="K729" s="246">
        <v>65090333</v>
      </c>
      <c r="L729" s="218">
        <v>1262.2380000000001</v>
      </c>
      <c r="M729" s="187">
        <v>0</v>
      </c>
      <c r="N729" s="251">
        <v>90.912999999999997</v>
      </c>
      <c r="O729" s="251">
        <v>86.668599999999998</v>
      </c>
      <c r="P729" s="251">
        <v>91.167599999999993</v>
      </c>
      <c r="Q729" s="251">
        <v>91.022199999999998</v>
      </c>
      <c r="R729" s="254">
        <v>1.03</v>
      </c>
      <c r="S729" s="214">
        <v>26602</v>
      </c>
      <c r="T729" s="214">
        <v>890798</v>
      </c>
      <c r="U729" s="214">
        <v>0</v>
      </c>
      <c r="V729" s="187">
        <f t="shared" si="24"/>
        <v>890798</v>
      </c>
      <c r="W729" s="187">
        <f t="shared" si="25"/>
        <v>917400</v>
      </c>
    </row>
    <row r="730" spans="1:23">
      <c r="A730" s="216" t="s">
        <v>2622</v>
      </c>
      <c r="B730" s="218">
        <v>629.05399999999997</v>
      </c>
      <c r="C730" s="218">
        <v>666.09</v>
      </c>
      <c r="D730" s="218">
        <v>660.25199999999995</v>
      </c>
      <c r="E730" s="218">
        <v>696.59699999999998</v>
      </c>
      <c r="F730" s="218">
        <v>91.674099999999996</v>
      </c>
      <c r="G730" s="218">
        <v>94.722700000000003</v>
      </c>
      <c r="H730" s="218">
        <v>96.392200000000003</v>
      </c>
      <c r="I730" s="218">
        <v>97.325500000000005</v>
      </c>
      <c r="J730" s="246">
        <v>46842356</v>
      </c>
      <c r="K730" s="246">
        <v>53593556</v>
      </c>
      <c r="L730" s="218">
        <v>1101.146</v>
      </c>
      <c r="M730" s="246">
        <v>23598</v>
      </c>
      <c r="N730" s="251">
        <v>69.978200000000001</v>
      </c>
      <c r="O730" s="251">
        <v>69.999799999999993</v>
      </c>
      <c r="P730" s="251">
        <v>72.467500000000001</v>
      </c>
      <c r="Q730" s="251">
        <v>72.462199999999996</v>
      </c>
      <c r="R730" s="254">
        <v>1.03</v>
      </c>
      <c r="S730" s="214">
        <v>20919</v>
      </c>
      <c r="T730" s="214">
        <v>653840</v>
      </c>
      <c r="U730" s="214">
        <v>0</v>
      </c>
      <c r="V730" s="187">
        <f t="shared" si="24"/>
        <v>653840</v>
      </c>
      <c r="W730" s="187">
        <f t="shared" si="25"/>
        <v>674759</v>
      </c>
    </row>
    <row r="731" spans="1:23">
      <c r="A731" s="216" t="s">
        <v>2624</v>
      </c>
      <c r="B731" s="218">
        <v>296.21100000000001</v>
      </c>
      <c r="C731" s="218">
        <v>307.80200000000002</v>
      </c>
      <c r="D731" s="218">
        <v>314.46899999999999</v>
      </c>
      <c r="E731" s="218">
        <v>310.71899999999999</v>
      </c>
      <c r="F731" s="218">
        <v>49.621099999999998</v>
      </c>
      <c r="G731" s="218">
        <v>52.808900000000001</v>
      </c>
      <c r="H731" s="218">
        <v>55.887799999999999</v>
      </c>
      <c r="I731" s="218">
        <v>54.534799999999997</v>
      </c>
      <c r="J731" s="246">
        <v>21490484</v>
      </c>
      <c r="K731" s="246">
        <v>24674704</v>
      </c>
      <c r="L731" s="218">
        <v>524.01900000000001</v>
      </c>
      <c r="M731" s="246">
        <v>25643</v>
      </c>
      <c r="N731" s="251">
        <v>32.083300000000001</v>
      </c>
      <c r="O731" s="251">
        <v>30.988</v>
      </c>
      <c r="P731" s="251">
        <v>31.9876</v>
      </c>
      <c r="Q731" s="251">
        <v>33.181199999999997</v>
      </c>
      <c r="R731" s="254">
        <v>1.04</v>
      </c>
      <c r="S731" s="214">
        <v>28992</v>
      </c>
      <c r="T731" s="214">
        <v>334094</v>
      </c>
      <c r="U731" s="214">
        <v>0</v>
      </c>
      <c r="V731" s="187">
        <f t="shared" si="24"/>
        <v>334094</v>
      </c>
      <c r="W731" s="187">
        <f t="shared" si="25"/>
        <v>363086</v>
      </c>
    </row>
    <row r="732" spans="1:23">
      <c r="A732" s="216" t="s">
        <v>1523</v>
      </c>
      <c r="B732" s="218">
        <v>165.892</v>
      </c>
      <c r="C732" s="218">
        <v>150.94</v>
      </c>
      <c r="D732" s="218">
        <v>146.38200000000001</v>
      </c>
      <c r="E732" s="218">
        <v>132.65299999999999</v>
      </c>
      <c r="F732" s="218">
        <v>24.5</v>
      </c>
      <c r="G732" s="218">
        <v>23.4465</v>
      </c>
      <c r="H732" s="218">
        <v>22.973299999999998</v>
      </c>
      <c r="I732" s="218">
        <v>23.4465</v>
      </c>
      <c r="J732" s="246">
        <v>27967025</v>
      </c>
      <c r="K732" s="246">
        <v>31628485</v>
      </c>
      <c r="L732" s="218">
        <v>237.52799999999999</v>
      </c>
      <c r="M732" s="187">
        <v>0</v>
      </c>
      <c r="N732" s="251">
        <v>14.999599999999999</v>
      </c>
      <c r="O732" s="251">
        <v>13.5001</v>
      </c>
      <c r="P732" s="251">
        <v>11.9526</v>
      </c>
      <c r="Q732" s="251">
        <v>13.5002</v>
      </c>
      <c r="R732" s="254">
        <v>1.04</v>
      </c>
      <c r="S732" s="214">
        <v>0</v>
      </c>
      <c r="T732" s="214">
        <v>372597</v>
      </c>
      <c r="U732" s="214">
        <v>17192</v>
      </c>
      <c r="V732" s="187">
        <f t="shared" si="24"/>
        <v>389789</v>
      </c>
      <c r="W732" s="187">
        <f t="shared" si="25"/>
        <v>389789</v>
      </c>
    </row>
    <row r="733" spans="1:23">
      <c r="A733" s="216" t="s">
        <v>2626</v>
      </c>
      <c r="B733" s="218">
        <v>343.32400000000001</v>
      </c>
      <c r="C733" s="218">
        <v>341.53899999999999</v>
      </c>
      <c r="D733" s="218">
        <v>331.22500000000002</v>
      </c>
      <c r="E733" s="218">
        <v>326.00599999999997</v>
      </c>
      <c r="F733" s="218">
        <v>42.951900000000002</v>
      </c>
      <c r="G733" s="218">
        <v>44.57</v>
      </c>
      <c r="H733" s="218">
        <v>46</v>
      </c>
      <c r="I733" s="218">
        <v>44</v>
      </c>
      <c r="J733" s="246">
        <v>53141521</v>
      </c>
      <c r="K733" s="246">
        <v>57521911</v>
      </c>
      <c r="L733" s="218">
        <v>526.44600000000003</v>
      </c>
      <c r="M733" s="246">
        <v>36528</v>
      </c>
      <c r="N733" s="251">
        <v>30.002099999999999</v>
      </c>
      <c r="O733" s="251">
        <v>30.572399999999998</v>
      </c>
      <c r="P733" s="251">
        <v>32.002699999999997</v>
      </c>
      <c r="Q733" s="251">
        <v>31.001899999999999</v>
      </c>
      <c r="R733" s="254">
        <v>1.03</v>
      </c>
      <c r="S733" s="214">
        <v>1388</v>
      </c>
      <c r="T733" s="214">
        <v>822976</v>
      </c>
      <c r="U733" s="214">
        <v>0</v>
      </c>
      <c r="V733" s="187">
        <f t="shared" si="24"/>
        <v>822976</v>
      </c>
      <c r="W733" s="187">
        <f t="shared" si="25"/>
        <v>824364</v>
      </c>
    </row>
    <row r="734" spans="1:23">
      <c r="A734" s="216" t="s">
        <v>2628</v>
      </c>
      <c r="B734" s="218">
        <v>742.91499999999996</v>
      </c>
      <c r="C734" s="218">
        <v>725.88199999999995</v>
      </c>
      <c r="D734" s="218">
        <v>761.77099999999996</v>
      </c>
      <c r="E734" s="218">
        <v>784.15</v>
      </c>
      <c r="F734" s="218">
        <v>121.2486</v>
      </c>
      <c r="G734" s="218">
        <v>116.3776</v>
      </c>
      <c r="H734" s="218">
        <v>117.9076</v>
      </c>
      <c r="I734" s="218">
        <v>122.36669999999999</v>
      </c>
      <c r="J734" s="246">
        <v>68409632</v>
      </c>
      <c r="K734" s="246">
        <v>77674612</v>
      </c>
      <c r="L734" s="218">
        <v>1234.1479999999999</v>
      </c>
      <c r="M734" s="187">
        <v>0</v>
      </c>
      <c r="N734" s="251">
        <v>62.453499999999998</v>
      </c>
      <c r="O734" s="251">
        <v>69.089799999999997</v>
      </c>
      <c r="P734" s="251">
        <v>64.072100000000006</v>
      </c>
      <c r="Q734" s="251">
        <v>77.103899999999996</v>
      </c>
      <c r="R734" s="254">
        <v>1.05</v>
      </c>
      <c r="S734" s="214">
        <v>0</v>
      </c>
      <c r="T734" s="214">
        <v>1097298</v>
      </c>
      <c r="U734" s="214">
        <v>0</v>
      </c>
      <c r="V734" s="187">
        <f t="shared" si="24"/>
        <v>1097298</v>
      </c>
      <c r="W734" s="187">
        <f t="shared" si="25"/>
        <v>1097298</v>
      </c>
    </row>
    <row r="735" spans="1:23">
      <c r="A735" s="216" t="s">
        <v>241</v>
      </c>
      <c r="B735" s="218">
        <v>4736.6660000000002</v>
      </c>
      <c r="C735" s="218">
        <v>4828.5569999999998</v>
      </c>
      <c r="D735" s="218">
        <v>4965.9210000000003</v>
      </c>
      <c r="E735" s="218">
        <v>4992.7349999999997</v>
      </c>
      <c r="F735" s="218">
        <v>698.37620000000004</v>
      </c>
      <c r="G735" s="218">
        <v>717.19629999999995</v>
      </c>
      <c r="H735" s="218">
        <v>738.47990000000004</v>
      </c>
      <c r="I735" s="218">
        <v>755.15269999999998</v>
      </c>
      <c r="J735" s="246">
        <v>842736868</v>
      </c>
      <c r="K735" s="246">
        <v>895042724</v>
      </c>
      <c r="L735" s="218">
        <v>6681.7150000000001</v>
      </c>
      <c r="M735" s="246">
        <v>507863</v>
      </c>
      <c r="N735" s="251">
        <v>472.90449999999998</v>
      </c>
      <c r="O735" s="251">
        <v>466.48349999999999</v>
      </c>
      <c r="P735" s="251">
        <v>475.60109999999997</v>
      </c>
      <c r="Q735" s="251">
        <v>487.18830000000003</v>
      </c>
      <c r="R735" s="254">
        <v>1.07</v>
      </c>
      <c r="S735" s="214">
        <v>947807</v>
      </c>
      <c r="T735" s="214">
        <v>12219703</v>
      </c>
      <c r="U735" s="214">
        <v>0</v>
      </c>
      <c r="V735" s="187">
        <f t="shared" si="24"/>
        <v>12219703</v>
      </c>
      <c r="W735" s="187">
        <f t="shared" si="25"/>
        <v>13167510</v>
      </c>
    </row>
    <row r="736" spans="1:23">
      <c r="A736" s="216" t="s">
        <v>248</v>
      </c>
      <c r="B736" s="218">
        <v>494.12200000000001</v>
      </c>
      <c r="C736" s="218">
        <v>458.85700000000003</v>
      </c>
      <c r="D736" s="218">
        <v>458.49</v>
      </c>
      <c r="E736" s="218">
        <v>463.06299999999999</v>
      </c>
      <c r="F736" s="218">
        <v>78.543400000000005</v>
      </c>
      <c r="G736" s="218">
        <v>82.863799999999998</v>
      </c>
      <c r="H736" s="218">
        <v>83.513599999999997</v>
      </c>
      <c r="I736" s="218">
        <v>84.417400000000001</v>
      </c>
      <c r="J736" s="246">
        <v>44618657</v>
      </c>
      <c r="K736" s="246">
        <v>50873647</v>
      </c>
      <c r="L736" s="218">
        <v>774.16</v>
      </c>
      <c r="M736" s="187">
        <v>0</v>
      </c>
      <c r="N736" s="251">
        <v>58.334400000000002</v>
      </c>
      <c r="O736" s="251">
        <v>60.347999999999999</v>
      </c>
      <c r="P736" s="251">
        <v>60.847700000000003</v>
      </c>
      <c r="Q736" s="251">
        <v>58.630699999999997</v>
      </c>
      <c r="R736" s="254">
        <v>1.04</v>
      </c>
      <c r="S736" s="214">
        <v>0</v>
      </c>
      <c r="T736" s="214">
        <v>658810</v>
      </c>
      <c r="U736" s="214">
        <v>33863</v>
      </c>
      <c r="V736" s="187">
        <f t="shared" si="24"/>
        <v>692673</v>
      </c>
      <c r="W736" s="187">
        <f t="shared" si="25"/>
        <v>692673</v>
      </c>
    </row>
    <row r="737" spans="1:23">
      <c r="A737" s="216" t="s">
        <v>5084</v>
      </c>
      <c r="B737" s="218">
        <v>365.28500000000003</v>
      </c>
      <c r="C737" s="218">
        <v>379.96</v>
      </c>
      <c r="D737" s="218">
        <v>371.70499999999998</v>
      </c>
      <c r="E737" s="218">
        <v>376.48200000000003</v>
      </c>
      <c r="F737" s="218">
        <v>56.497300000000003</v>
      </c>
      <c r="G737" s="218">
        <v>62.409100000000002</v>
      </c>
      <c r="H737" s="218">
        <v>62.5</v>
      </c>
      <c r="I737" s="218">
        <v>61.5</v>
      </c>
      <c r="J737" s="246">
        <v>36162198</v>
      </c>
      <c r="K737" s="246">
        <v>40034688</v>
      </c>
      <c r="L737" s="218">
        <v>654.34199999999998</v>
      </c>
      <c r="M737" s="187">
        <v>0</v>
      </c>
      <c r="N737" s="251">
        <v>35.6188</v>
      </c>
      <c r="O737" s="251">
        <v>39.527999999999999</v>
      </c>
      <c r="P737" s="251">
        <v>43.497900000000001</v>
      </c>
      <c r="Q737" s="251">
        <v>42.609200000000001</v>
      </c>
      <c r="R737" s="254">
        <v>1.04</v>
      </c>
      <c r="S737" s="214">
        <v>0</v>
      </c>
      <c r="T737" s="214">
        <v>527986</v>
      </c>
      <c r="U737" s="214">
        <v>0</v>
      </c>
      <c r="V737" s="187">
        <f t="shared" si="24"/>
        <v>527986</v>
      </c>
      <c r="W737" s="187">
        <f t="shared" si="25"/>
        <v>527986</v>
      </c>
    </row>
    <row r="738" spans="1:23">
      <c r="A738" s="216" t="s">
        <v>2534</v>
      </c>
      <c r="B738" s="218">
        <v>686.39099999999996</v>
      </c>
      <c r="C738" s="218">
        <v>669.80799999999999</v>
      </c>
      <c r="D738" s="218">
        <v>662.149</v>
      </c>
      <c r="E738" s="218">
        <v>668.84299999999996</v>
      </c>
      <c r="F738" s="218">
        <v>104.8612</v>
      </c>
      <c r="G738" s="218">
        <v>106.84520000000001</v>
      </c>
      <c r="H738" s="218">
        <v>108.84520000000001</v>
      </c>
      <c r="I738" s="218">
        <v>110.5778</v>
      </c>
      <c r="J738" s="246">
        <v>86812787</v>
      </c>
      <c r="K738" s="246">
        <v>94086457</v>
      </c>
      <c r="L738" s="218">
        <v>1115.7670000000001</v>
      </c>
      <c r="M738" s="187">
        <v>0</v>
      </c>
      <c r="N738" s="251">
        <v>72</v>
      </c>
      <c r="O738" s="251">
        <v>73.344399999999993</v>
      </c>
      <c r="P738" s="251">
        <v>76.227199999999996</v>
      </c>
      <c r="Q738" s="251">
        <v>76.907200000000003</v>
      </c>
      <c r="R738" s="254">
        <v>1.06</v>
      </c>
      <c r="S738" s="214">
        <v>67290</v>
      </c>
      <c r="T738" s="214">
        <v>1278924</v>
      </c>
      <c r="U738" s="214">
        <v>0</v>
      </c>
      <c r="V738" s="187">
        <f t="shared" si="24"/>
        <v>1278924</v>
      </c>
      <c r="W738" s="187">
        <f t="shared" si="25"/>
        <v>1346214</v>
      </c>
    </row>
    <row r="739" spans="1:23">
      <c r="A739" s="216" t="s">
        <v>5086</v>
      </c>
      <c r="B739" s="218">
        <v>548.51599999999996</v>
      </c>
      <c r="C739" s="218">
        <v>596.94399999999996</v>
      </c>
      <c r="D739" s="218">
        <v>595.43899999999996</v>
      </c>
      <c r="E739" s="218">
        <v>614.471</v>
      </c>
      <c r="F739" s="218">
        <v>78.970600000000005</v>
      </c>
      <c r="G739" s="218">
        <v>86.478700000000003</v>
      </c>
      <c r="H739" s="218">
        <v>91.807599999999994</v>
      </c>
      <c r="I739" s="218">
        <v>101.1139</v>
      </c>
      <c r="J739" s="246">
        <v>149762926</v>
      </c>
      <c r="K739" s="246">
        <v>155064176</v>
      </c>
      <c r="L739" s="218">
        <v>970.81299999999999</v>
      </c>
      <c r="M739" s="246">
        <v>207301</v>
      </c>
      <c r="N739" s="251">
        <v>55.3932</v>
      </c>
      <c r="O739" s="251">
        <v>46.435299999999998</v>
      </c>
      <c r="P739" s="251">
        <v>51.500500000000002</v>
      </c>
      <c r="Q739" s="251">
        <v>53.499899999999997</v>
      </c>
      <c r="R739" s="254">
        <v>1.04</v>
      </c>
      <c r="S739" s="214">
        <v>220784</v>
      </c>
      <c r="T739" s="214">
        <v>1981676</v>
      </c>
      <c r="U739" s="214">
        <v>0</v>
      </c>
      <c r="V739" s="187">
        <f t="shared" si="24"/>
        <v>1981676</v>
      </c>
      <c r="W739" s="187">
        <f t="shared" si="25"/>
        <v>2202460</v>
      </c>
    </row>
    <row r="740" spans="1:23">
      <c r="A740" s="216" t="s">
        <v>2768</v>
      </c>
      <c r="B740" s="218">
        <v>515.101</v>
      </c>
      <c r="C740" s="218">
        <v>558.96900000000005</v>
      </c>
      <c r="D740" s="218">
        <v>586.83199999999999</v>
      </c>
      <c r="E740" s="218">
        <v>632.56399999999996</v>
      </c>
      <c r="F740" s="218">
        <v>76.828900000000004</v>
      </c>
      <c r="G740" s="218">
        <v>86.229900000000001</v>
      </c>
      <c r="H740" s="218">
        <v>94.158000000000001</v>
      </c>
      <c r="I740" s="218">
        <v>98.784000000000006</v>
      </c>
      <c r="J740" s="246">
        <v>39911652</v>
      </c>
      <c r="K740" s="246">
        <v>43715992</v>
      </c>
      <c r="L740" s="218">
        <v>1033.165</v>
      </c>
      <c r="M740" s="246">
        <v>55505</v>
      </c>
      <c r="N740" s="251">
        <v>49.866500000000002</v>
      </c>
      <c r="O740" s="251">
        <v>57.500900000000001</v>
      </c>
      <c r="P740" s="251">
        <v>64.409499999999994</v>
      </c>
      <c r="Q740" s="251">
        <v>66.797700000000006</v>
      </c>
      <c r="R740" s="254">
        <v>1.04</v>
      </c>
      <c r="S740" s="214">
        <v>79998</v>
      </c>
      <c r="T740" s="214">
        <v>643077</v>
      </c>
      <c r="U740" s="214">
        <v>0</v>
      </c>
      <c r="V740" s="187">
        <f t="shared" si="24"/>
        <v>643077</v>
      </c>
      <c r="W740" s="187">
        <f t="shared" si="25"/>
        <v>723075</v>
      </c>
    </row>
    <row r="741" spans="1:23">
      <c r="A741" s="216" t="s">
        <v>5088</v>
      </c>
      <c r="B741" s="218">
        <v>399.97800000000001</v>
      </c>
      <c r="C741" s="218">
        <v>388.97699999999998</v>
      </c>
      <c r="D741" s="218">
        <v>410.17200000000003</v>
      </c>
      <c r="E741" s="218">
        <v>405.10300000000001</v>
      </c>
      <c r="F741" s="218">
        <v>86.819500000000005</v>
      </c>
      <c r="G741" s="218">
        <v>85.417000000000002</v>
      </c>
      <c r="H741" s="218">
        <v>85.684399999999997</v>
      </c>
      <c r="I741" s="218">
        <v>83.443799999999996</v>
      </c>
      <c r="J741" s="246">
        <v>127613947</v>
      </c>
      <c r="K741" s="246">
        <v>133341760</v>
      </c>
      <c r="L741" s="218">
        <v>867.03499999999997</v>
      </c>
      <c r="M741" s="246">
        <v>214867</v>
      </c>
      <c r="N741" s="251">
        <v>61.502899999999997</v>
      </c>
      <c r="O741" s="251">
        <v>59.269199999999998</v>
      </c>
      <c r="P741" s="251">
        <v>58.479300000000002</v>
      </c>
      <c r="Q741" s="251">
        <v>57.203899999999997</v>
      </c>
      <c r="R741" s="254">
        <v>1.08</v>
      </c>
      <c r="S741" s="214">
        <v>248238</v>
      </c>
      <c r="T741" s="214">
        <v>2080733</v>
      </c>
      <c r="U741" s="214">
        <v>0</v>
      </c>
      <c r="V741" s="187">
        <f t="shared" si="24"/>
        <v>2080733</v>
      </c>
      <c r="W741" s="187">
        <f t="shared" si="25"/>
        <v>2328971</v>
      </c>
    </row>
    <row r="742" spans="1:23">
      <c r="A742" s="216" t="s">
        <v>6181</v>
      </c>
      <c r="B742" s="218">
        <v>1305.171</v>
      </c>
      <c r="C742" s="218">
        <v>1261.6590000000001</v>
      </c>
      <c r="D742" s="218">
        <v>1234.6610000000001</v>
      </c>
      <c r="E742" s="218">
        <v>1213.1120000000001</v>
      </c>
      <c r="F742" s="218">
        <v>229.81710000000001</v>
      </c>
      <c r="G742" s="218">
        <v>231.76079999999999</v>
      </c>
      <c r="H742" s="218">
        <v>240.93969999999999</v>
      </c>
      <c r="I742" s="218">
        <v>226.5548</v>
      </c>
      <c r="J742" s="246">
        <v>166706439</v>
      </c>
      <c r="K742" s="246">
        <v>183031842</v>
      </c>
      <c r="L742" s="218">
        <v>2062.4929999999999</v>
      </c>
      <c r="M742" s="246">
        <v>189185</v>
      </c>
      <c r="N742" s="251">
        <v>146.7997</v>
      </c>
      <c r="O742" s="251">
        <v>146.4333</v>
      </c>
      <c r="P742" s="251">
        <v>144.05930000000001</v>
      </c>
      <c r="Q742" s="251">
        <v>143.1259</v>
      </c>
      <c r="R742" s="254">
        <v>1.07</v>
      </c>
      <c r="S742" s="214">
        <v>330607</v>
      </c>
      <c r="T742" s="214">
        <v>2152703</v>
      </c>
      <c r="U742" s="214">
        <v>0</v>
      </c>
      <c r="V742" s="187">
        <f t="shared" si="24"/>
        <v>2152703</v>
      </c>
      <c r="W742" s="187">
        <f t="shared" si="25"/>
        <v>2483310</v>
      </c>
    </row>
    <row r="743" spans="1:23">
      <c r="A743" s="216" t="s">
        <v>1848</v>
      </c>
      <c r="B743" s="218">
        <v>716.17100000000005</v>
      </c>
      <c r="C743" s="218">
        <v>730.90499999999997</v>
      </c>
      <c r="D743" s="218">
        <v>719.06399999999996</v>
      </c>
      <c r="E743" s="218">
        <v>699.23800000000006</v>
      </c>
      <c r="F743" s="218">
        <v>110.8197</v>
      </c>
      <c r="G743" s="218">
        <v>110.0159</v>
      </c>
      <c r="H743" s="218">
        <v>121.58280000000001</v>
      </c>
      <c r="I743" s="218">
        <v>121.786</v>
      </c>
      <c r="J743" s="246">
        <v>82090956</v>
      </c>
      <c r="K743" s="246">
        <v>91135856</v>
      </c>
      <c r="L743" s="218">
        <v>1145.4000000000001</v>
      </c>
      <c r="M743" s="187">
        <v>0</v>
      </c>
      <c r="N743" s="251">
        <v>70.404799999999994</v>
      </c>
      <c r="O743" s="251">
        <v>60.816000000000003</v>
      </c>
      <c r="P743" s="251">
        <v>64.002499999999998</v>
      </c>
      <c r="Q743" s="251">
        <v>75.001000000000005</v>
      </c>
      <c r="R743" s="254">
        <v>1.07</v>
      </c>
      <c r="S743" s="214">
        <v>397437</v>
      </c>
      <c r="T743" s="214">
        <v>2194164</v>
      </c>
      <c r="U743" s="214">
        <v>0</v>
      </c>
      <c r="V743" s="187">
        <f t="shared" si="24"/>
        <v>2194164</v>
      </c>
      <c r="W743" s="187">
        <f t="shared" si="25"/>
        <v>2591601</v>
      </c>
    </row>
    <row r="744" spans="1:23">
      <c r="A744" s="216" t="s">
        <v>2471</v>
      </c>
      <c r="B744" s="218">
        <v>372.27499999999998</v>
      </c>
      <c r="C744" s="218">
        <v>358.99299999999999</v>
      </c>
      <c r="D744" s="218">
        <v>361.23</v>
      </c>
      <c r="E744" s="218">
        <v>351.22399999999999</v>
      </c>
      <c r="F744" s="218">
        <v>63.187199999999997</v>
      </c>
      <c r="G744" s="218">
        <v>63.5321</v>
      </c>
      <c r="H744" s="218">
        <v>61.417099999999998</v>
      </c>
      <c r="I744" s="218">
        <v>59.513399999999997</v>
      </c>
      <c r="J744" s="246">
        <v>53609236</v>
      </c>
      <c r="K744" s="246">
        <v>57950685</v>
      </c>
      <c r="L744" s="218">
        <v>603.35799999999995</v>
      </c>
      <c r="M744" s="246">
        <v>20569</v>
      </c>
      <c r="N744" s="251">
        <v>46.603200000000001</v>
      </c>
      <c r="O744" s="251">
        <v>46.616799999999998</v>
      </c>
      <c r="P744" s="251">
        <v>43.287700000000001</v>
      </c>
      <c r="Q744" s="251">
        <v>42.182699999999997</v>
      </c>
      <c r="R744" s="254">
        <v>1.05</v>
      </c>
      <c r="S744" s="214">
        <v>67251</v>
      </c>
      <c r="T744" s="214">
        <v>765003</v>
      </c>
      <c r="U744" s="214">
        <v>0</v>
      </c>
      <c r="V744" s="187">
        <f t="shared" si="24"/>
        <v>765003</v>
      </c>
      <c r="W744" s="187">
        <f t="shared" si="25"/>
        <v>832254</v>
      </c>
    </row>
    <row r="745" spans="1:23">
      <c r="A745" s="216" t="s">
        <v>6044</v>
      </c>
      <c r="B745" s="218">
        <v>2430.9319999999998</v>
      </c>
      <c r="C745" s="218">
        <v>2298.0549999999998</v>
      </c>
      <c r="D745" s="218">
        <v>2228.654</v>
      </c>
      <c r="E745" s="218">
        <v>2322.7730000000001</v>
      </c>
      <c r="F745" s="218">
        <v>419.5172</v>
      </c>
      <c r="G745" s="218">
        <v>417.73270000000002</v>
      </c>
      <c r="H745" s="218">
        <v>401.29450000000003</v>
      </c>
      <c r="I745" s="218">
        <v>392.35849999999999</v>
      </c>
      <c r="J745" s="246">
        <v>371133845</v>
      </c>
      <c r="K745" s="246">
        <v>399674306</v>
      </c>
      <c r="L745" s="218">
        <v>3238.1350000000002</v>
      </c>
      <c r="M745" s="246">
        <v>294607</v>
      </c>
      <c r="N745" s="251">
        <v>283.24799999999999</v>
      </c>
      <c r="O745" s="251">
        <v>275.9914</v>
      </c>
      <c r="P745" s="251">
        <v>256.43360000000001</v>
      </c>
      <c r="Q745" s="251">
        <v>246.27269999999999</v>
      </c>
      <c r="R745" s="254">
        <v>1.07</v>
      </c>
      <c r="S745" s="214">
        <v>312879</v>
      </c>
      <c r="T745" s="214">
        <v>5700691</v>
      </c>
      <c r="U745" s="214">
        <v>0</v>
      </c>
      <c r="V745" s="187">
        <f t="shared" si="24"/>
        <v>5700691</v>
      </c>
      <c r="W745" s="187">
        <f t="shared" si="25"/>
        <v>6013570</v>
      </c>
    </row>
    <row r="746" spans="1:23">
      <c r="A746" s="216" t="s">
        <v>6046</v>
      </c>
      <c r="B746" s="218">
        <v>183.13</v>
      </c>
      <c r="C746" s="218">
        <v>170.67</v>
      </c>
      <c r="D746" s="218">
        <v>165.51599999999999</v>
      </c>
      <c r="E746" s="218">
        <v>154.37</v>
      </c>
      <c r="F746" s="218">
        <v>36.8919</v>
      </c>
      <c r="G746" s="218">
        <v>38.825000000000003</v>
      </c>
      <c r="H746" s="218">
        <v>37.921300000000002</v>
      </c>
      <c r="I746" s="218">
        <v>37.314</v>
      </c>
      <c r="J746" s="246">
        <v>106111467</v>
      </c>
      <c r="K746" s="246">
        <v>108854704</v>
      </c>
      <c r="L746" s="218">
        <v>332.36</v>
      </c>
      <c r="M746" s="187">
        <v>0</v>
      </c>
      <c r="N746" s="251">
        <v>25.133700000000001</v>
      </c>
      <c r="O746" s="251">
        <v>25.166799999999999</v>
      </c>
      <c r="P746" s="251">
        <v>24.7941</v>
      </c>
      <c r="Q746" s="251">
        <v>23.3779</v>
      </c>
      <c r="R746" s="254">
        <v>1.07</v>
      </c>
      <c r="S746" s="214">
        <v>0</v>
      </c>
      <c r="T746" s="214">
        <v>1517317</v>
      </c>
      <c r="U746" s="214">
        <v>0</v>
      </c>
      <c r="V746" s="187">
        <f t="shared" si="24"/>
        <v>1517317</v>
      </c>
      <c r="W746" s="187">
        <f t="shared" si="25"/>
        <v>1517317</v>
      </c>
    </row>
    <row r="747" spans="1:23">
      <c r="A747" s="216" t="s">
        <v>4185</v>
      </c>
      <c r="B747" s="218">
        <v>196.48400000000001</v>
      </c>
      <c r="C747" s="218">
        <v>199.81399999999999</v>
      </c>
      <c r="D747" s="218">
        <v>193.78</v>
      </c>
      <c r="E747" s="218">
        <v>203.56100000000001</v>
      </c>
      <c r="F747" s="218">
        <v>32.893000000000001</v>
      </c>
      <c r="G747" s="218">
        <v>36.427799999999998</v>
      </c>
      <c r="H747" s="218">
        <v>34.882399999999997</v>
      </c>
      <c r="I747" s="218">
        <v>34.799500000000002</v>
      </c>
      <c r="J747" s="246">
        <v>81650307</v>
      </c>
      <c r="K747" s="246">
        <v>82591014</v>
      </c>
      <c r="L747" s="218">
        <v>356.46600000000001</v>
      </c>
      <c r="M747" s="246">
        <v>102897</v>
      </c>
      <c r="N747" s="251">
        <v>22.966699999999999</v>
      </c>
      <c r="O747" s="251">
        <v>25.7529</v>
      </c>
      <c r="P747" s="251">
        <v>23.776800000000001</v>
      </c>
      <c r="Q747" s="251">
        <v>23.383299999999998</v>
      </c>
      <c r="R747" s="254">
        <v>1.06</v>
      </c>
      <c r="S747" s="214">
        <v>89737</v>
      </c>
      <c r="T747" s="214">
        <v>1117086</v>
      </c>
      <c r="U747" s="214">
        <v>0</v>
      </c>
      <c r="V747" s="187">
        <f t="shared" si="24"/>
        <v>1117086</v>
      </c>
      <c r="W747" s="187">
        <f t="shared" si="25"/>
        <v>1206823</v>
      </c>
    </row>
    <row r="748" spans="1:23">
      <c r="A748" s="216" t="s">
        <v>6689</v>
      </c>
      <c r="B748" s="218">
        <v>336.71100000000001</v>
      </c>
      <c r="C748" s="218">
        <v>312.42500000000001</v>
      </c>
      <c r="D748" s="218">
        <v>302.99</v>
      </c>
      <c r="E748" s="218">
        <v>300.10000000000002</v>
      </c>
      <c r="F748" s="218">
        <v>55.647100000000002</v>
      </c>
      <c r="G748" s="218">
        <v>51.221899999999998</v>
      </c>
      <c r="H748" s="218">
        <v>49.644399999999997</v>
      </c>
      <c r="I748" s="218">
        <v>50.949199999999998</v>
      </c>
      <c r="J748" s="246">
        <v>75383874</v>
      </c>
      <c r="K748" s="246">
        <v>78217924</v>
      </c>
      <c r="L748" s="218">
        <v>499.923</v>
      </c>
      <c r="M748" s="246">
        <v>206378</v>
      </c>
      <c r="N748" s="251">
        <v>36.000300000000003</v>
      </c>
      <c r="O748" s="251">
        <v>35.262900000000002</v>
      </c>
      <c r="P748" s="251">
        <v>34.209200000000003</v>
      </c>
      <c r="Q748" s="251">
        <v>34.0017</v>
      </c>
      <c r="R748" s="254">
        <v>1.07</v>
      </c>
      <c r="S748" s="214">
        <v>221989</v>
      </c>
      <c r="T748" s="214">
        <v>1076556</v>
      </c>
      <c r="U748" s="214">
        <v>0</v>
      </c>
      <c r="V748" s="187">
        <f t="shared" si="24"/>
        <v>1076556</v>
      </c>
      <c r="W748" s="187">
        <f t="shared" si="25"/>
        <v>1298545</v>
      </c>
    </row>
    <row r="749" spans="1:23">
      <c r="A749" s="216" t="s">
        <v>6691</v>
      </c>
      <c r="B749" s="218">
        <v>1173.443</v>
      </c>
      <c r="C749" s="218">
        <v>1123.25</v>
      </c>
      <c r="D749" s="218">
        <v>1098.3119999999999</v>
      </c>
      <c r="E749" s="218">
        <v>1080.5250000000001</v>
      </c>
      <c r="F749" s="218">
        <v>190.1557</v>
      </c>
      <c r="G749" s="218">
        <v>191.93170000000001</v>
      </c>
      <c r="H749" s="218">
        <v>196.2859</v>
      </c>
      <c r="I749" s="218">
        <v>171.36340000000001</v>
      </c>
      <c r="J749" s="246">
        <v>476835078</v>
      </c>
      <c r="K749" s="246">
        <v>488817282</v>
      </c>
      <c r="L749" s="218">
        <v>1665.4349999999999</v>
      </c>
      <c r="M749" s="246">
        <v>721443</v>
      </c>
      <c r="N749" s="251">
        <v>126.3372</v>
      </c>
      <c r="O749" s="251">
        <v>127.74930000000001</v>
      </c>
      <c r="P749" s="251">
        <v>128.7106</v>
      </c>
      <c r="Q749" s="251">
        <v>110.9686</v>
      </c>
      <c r="R749" s="254">
        <v>1.08</v>
      </c>
      <c r="S749" s="214">
        <v>742485</v>
      </c>
      <c r="T749" s="214">
        <v>6560549</v>
      </c>
      <c r="U749" s="214">
        <v>0</v>
      </c>
      <c r="V749" s="187">
        <f t="shared" si="24"/>
        <v>6560549</v>
      </c>
      <c r="W749" s="187">
        <f t="shared" si="25"/>
        <v>7303034</v>
      </c>
    </row>
    <row r="750" spans="1:23">
      <c r="A750" s="216" t="s">
        <v>6693</v>
      </c>
      <c r="B750" s="218">
        <v>4261.9070000000002</v>
      </c>
      <c r="C750" s="218">
        <v>4014.54</v>
      </c>
      <c r="D750" s="218">
        <v>3959.6550000000002</v>
      </c>
      <c r="E750" s="218">
        <v>3849.973</v>
      </c>
      <c r="F750" s="218">
        <v>600.10410000000002</v>
      </c>
      <c r="G750" s="218">
        <v>563.21270000000004</v>
      </c>
      <c r="H750" s="218">
        <v>554.91150000000005</v>
      </c>
      <c r="I750" s="218">
        <v>540.27819999999997</v>
      </c>
      <c r="J750" s="246">
        <v>861625612</v>
      </c>
      <c r="K750" s="246">
        <v>906163465</v>
      </c>
      <c r="L750" s="218">
        <v>4973.92</v>
      </c>
      <c r="M750" s="246">
        <v>828124</v>
      </c>
      <c r="N750" s="251">
        <v>371.94819999999999</v>
      </c>
      <c r="O750" s="251">
        <v>350.9751</v>
      </c>
      <c r="P750" s="251">
        <v>331.96170000000001</v>
      </c>
      <c r="Q750" s="251">
        <v>319.69920000000002</v>
      </c>
      <c r="R750" s="254">
        <v>1.1100000000000001</v>
      </c>
      <c r="S750" s="214">
        <v>853430</v>
      </c>
      <c r="T750" s="214">
        <v>13376005</v>
      </c>
      <c r="U750" s="214">
        <v>0</v>
      </c>
      <c r="V750" s="187">
        <f t="shared" si="24"/>
        <v>13376005</v>
      </c>
      <c r="W750" s="187">
        <f t="shared" si="25"/>
        <v>14229435</v>
      </c>
    </row>
    <row r="751" spans="1:23">
      <c r="A751" s="216" t="s">
        <v>240</v>
      </c>
      <c r="B751" s="218">
        <v>36533.212</v>
      </c>
      <c r="C751" s="218">
        <v>36222.966999999997</v>
      </c>
      <c r="D751" s="218">
        <v>36382.385000000002</v>
      </c>
      <c r="E751" s="218">
        <v>36087.756000000001</v>
      </c>
      <c r="F751" s="218">
        <v>4964.6481000000003</v>
      </c>
      <c r="G751" s="218">
        <v>4994.1307999999999</v>
      </c>
      <c r="H751" s="218">
        <v>4985.6882999999998</v>
      </c>
      <c r="I751" s="218">
        <v>5050.9416000000001</v>
      </c>
      <c r="J751" s="246">
        <v>6494355191</v>
      </c>
      <c r="K751" s="246">
        <v>6924295377</v>
      </c>
      <c r="L751" s="218">
        <v>48207.042000000001</v>
      </c>
      <c r="M751" s="246">
        <v>5902410</v>
      </c>
      <c r="N751" s="251">
        <v>2992.3993999999998</v>
      </c>
      <c r="O751" s="251">
        <v>3055.9821000000002</v>
      </c>
      <c r="P751" s="251">
        <v>3019.4122000000002</v>
      </c>
      <c r="Q751" s="251">
        <v>3109.4778999999999</v>
      </c>
      <c r="R751" s="254">
        <v>1.1100000000000001</v>
      </c>
      <c r="S751" s="214">
        <v>7795919</v>
      </c>
      <c r="T751" s="214">
        <v>98644850</v>
      </c>
      <c r="U751" s="214">
        <v>0</v>
      </c>
      <c r="V751" s="187">
        <f t="shared" si="24"/>
        <v>98644850</v>
      </c>
      <c r="W751" s="187">
        <f t="shared" si="25"/>
        <v>106440769</v>
      </c>
    </row>
    <row r="752" spans="1:23">
      <c r="A752" s="216" t="s">
        <v>6695</v>
      </c>
      <c r="B752" s="218">
        <v>249.07599999999999</v>
      </c>
      <c r="C752" s="218">
        <v>266</v>
      </c>
      <c r="D752" s="218">
        <v>280.25900000000001</v>
      </c>
      <c r="E752" s="218">
        <v>272.49599999999998</v>
      </c>
      <c r="F752" s="218">
        <v>48.1571</v>
      </c>
      <c r="G752" s="218">
        <v>51.701900000000002</v>
      </c>
      <c r="H752" s="218">
        <v>56.575000000000003</v>
      </c>
      <c r="I752" s="218">
        <v>52.461599999999997</v>
      </c>
      <c r="J752" s="246">
        <v>47272391</v>
      </c>
      <c r="K752" s="246">
        <v>49484642</v>
      </c>
      <c r="L752" s="218">
        <v>487.80099999999999</v>
      </c>
      <c r="M752" s="246">
        <v>286029</v>
      </c>
      <c r="N752" s="251">
        <v>32.179600000000001</v>
      </c>
      <c r="O752" s="251">
        <v>33.470599999999997</v>
      </c>
      <c r="P752" s="251">
        <v>33.363300000000002</v>
      </c>
      <c r="Q752" s="251">
        <v>31.164000000000001</v>
      </c>
      <c r="R752" s="254">
        <v>1.1100000000000001</v>
      </c>
      <c r="S752" s="214">
        <v>316507</v>
      </c>
      <c r="T752" s="214">
        <v>1415309</v>
      </c>
      <c r="U752" s="214">
        <v>0</v>
      </c>
      <c r="V752" s="187">
        <f t="shared" si="24"/>
        <v>1415309</v>
      </c>
      <c r="W752" s="187">
        <f t="shared" si="25"/>
        <v>1731816</v>
      </c>
    </row>
    <row r="753" spans="1:23">
      <c r="A753" s="216" t="s">
        <v>745</v>
      </c>
      <c r="B753" s="218">
        <v>172.989</v>
      </c>
      <c r="C753" s="218">
        <v>182.387</v>
      </c>
      <c r="D753" s="218">
        <v>176.87899999999999</v>
      </c>
      <c r="E753" s="218">
        <v>172.84299999999999</v>
      </c>
      <c r="F753" s="218">
        <v>27.745200000000001</v>
      </c>
      <c r="G753" s="218">
        <v>29.041499999999999</v>
      </c>
      <c r="H753" s="218">
        <v>28.2471</v>
      </c>
      <c r="I753" s="218">
        <v>26.758800000000001</v>
      </c>
      <c r="J753" s="246">
        <v>67240842</v>
      </c>
      <c r="K753" s="246">
        <v>68730842</v>
      </c>
      <c r="L753" s="218">
        <v>276.40800000000002</v>
      </c>
      <c r="M753" s="187">
        <v>0</v>
      </c>
      <c r="N753" s="251">
        <v>19.3002</v>
      </c>
      <c r="O753" s="251">
        <v>19.3003</v>
      </c>
      <c r="P753" s="251">
        <v>19.263500000000001</v>
      </c>
      <c r="Q753" s="251">
        <v>18.6859</v>
      </c>
      <c r="R753" s="254">
        <v>1.08</v>
      </c>
      <c r="S753" s="214">
        <v>0</v>
      </c>
      <c r="T753" s="214">
        <v>911251</v>
      </c>
      <c r="U753" s="214">
        <v>0</v>
      </c>
      <c r="V753" s="187">
        <f t="shared" si="24"/>
        <v>911251</v>
      </c>
      <c r="W753" s="187">
        <f t="shared" si="25"/>
        <v>911251</v>
      </c>
    </row>
    <row r="754" spans="1:23">
      <c r="A754" s="216" t="s">
        <v>747</v>
      </c>
      <c r="B754" s="218">
        <v>510.49200000000002</v>
      </c>
      <c r="C754" s="218">
        <v>503.22300000000001</v>
      </c>
      <c r="D754" s="218">
        <v>488.02600000000001</v>
      </c>
      <c r="E754" s="218">
        <v>482.81599999999997</v>
      </c>
      <c r="F754" s="218">
        <v>85.319299999999998</v>
      </c>
      <c r="G754" s="218">
        <v>87.011799999999994</v>
      </c>
      <c r="H754" s="218">
        <v>90.862899999999996</v>
      </c>
      <c r="I754" s="218">
        <v>91.437700000000007</v>
      </c>
      <c r="J754" s="246">
        <v>578707598</v>
      </c>
      <c r="K754" s="246">
        <v>588059685</v>
      </c>
      <c r="L754" s="218">
        <v>782.94200000000001</v>
      </c>
      <c r="M754" s="246">
        <v>442571</v>
      </c>
      <c r="N754" s="251">
        <v>59.5854</v>
      </c>
      <c r="O754" s="251">
        <v>61.478400000000001</v>
      </c>
      <c r="P754" s="251">
        <v>61.114400000000003</v>
      </c>
      <c r="Q754" s="251">
        <v>63.5974</v>
      </c>
      <c r="R754" s="254">
        <v>1.07</v>
      </c>
      <c r="S754" s="214">
        <v>832908</v>
      </c>
      <c r="T754" s="214">
        <v>8961792</v>
      </c>
      <c r="U754" s="214">
        <v>0</v>
      </c>
      <c r="V754" s="187">
        <f t="shared" si="24"/>
        <v>8961792</v>
      </c>
      <c r="W754" s="187">
        <f t="shared" si="25"/>
        <v>9794700</v>
      </c>
    </row>
    <row r="755" spans="1:23">
      <c r="A755" s="216" t="s">
        <v>2308</v>
      </c>
      <c r="B755" s="218">
        <v>3817.9079999999999</v>
      </c>
      <c r="C755" s="218">
        <v>3709.1480000000001</v>
      </c>
      <c r="D755" s="218">
        <v>3597.1320000000001</v>
      </c>
      <c r="E755" s="218">
        <v>3513.5189999999998</v>
      </c>
      <c r="F755" s="218">
        <v>703.14269999999999</v>
      </c>
      <c r="G755" s="218">
        <v>687.59119999999996</v>
      </c>
      <c r="H755" s="218">
        <v>665.928</v>
      </c>
      <c r="I755" s="218">
        <v>656.68499999999995</v>
      </c>
      <c r="J755" s="246">
        <v>184225812</v>
      </c>
      <c r="K755" s="246">
        <v>211073609</v>
      </c>
      <c r="L755" s="218">
        <v>5325.6469999999999</v>
      </c>
      <c r="M755" s="246">
        <v>187173</v>
      </c>
      <c r="N755" s="251">
        <v>418.99259999999998</v>
      </c>
      <c r="O755" s="251">
        <v>406.2319</v>
      </c>
      <c r="P755" s="251">
        <v>386.08769999999998</v>
      </c>
      <c r="Q755" s="251">
        <v>372.4631</v>
      </c>
      <c r="R755" s="254">
        <v>1.1599999999999999</v>
      </c>
      <c r="S755" s="214">
        <v>305363</v>
      </c>
      <c r="T755" s="214">
        <v>2820172</v>
      </c>
      <c r="U755" s="214">
        <v>0</v>
      </c>
      <c r="V755" s="187">
        <f t="shared" si="24"/>
        <v>2820172</v>
      </c>
      <c r="W755" s="187">
        <f t="shared" si="25"/>
        <v>3125535</v>
      </c>
    </row>
    <row r="756" spans="1:23">
      <c r="A756" s="216" t="s">
        <v>749</v>
      </c>
      <c r="B756" s="218">
        <v>2837.2890000000002</v>
      </c>
      <c r="C756" s="218">
        <v>2847.2379999999998</v>
      </c>
      <c r="D756" s="218">
        <v>2938.0390000000002</v>
      </c>
      <c r="E756" s="218">
        <v>2980.46</v>
      </c>
      <c r="F756" s="218">
        <v>394.35390000000001</v>
      </c>
      <c r="G756" s="218">
        <v>394.06700000000001</v>
      </c>
      <c r="H756" s="218">
        <v>395.27229999999997</v>
      </c>
      <c r="I756" s="218">
        <v>380.45940000000002</v>
      </c>
      <c r="J756" s="246">
        <v>960624866</v>
      </c>
      <c r="K756" s="246">
        <v>981515158</v>
      </c>
      <c r="L756" s="218">
        <v>4009.4760000000001</v>
      </c>
      <c r="M756" s="246">
        <v>2289602</v>
      </c>
      <c r="N756" s="251">
        <v>260.55029999999999</v>
      </c>
      <c r="O756" s="251">
        <v>256.96609999999998</v>
      </c>
      <c r="P756" s="251">
        <v>247.95679999999999</v>
      </c>
      <c r="Q756" s="251">
        <v>246.36349999999999</v>
      </c>
      <c r="R756" s="254">
        <v>1.1000000000000001</v>
      </c>
      <c r="S756" s="214">
        <v>2532445</v>
      </c>
      <c r="T756" s="214">
        <v>14388114</v>
      </c>
      <c r="U756" s="214">
        <v>0</v>
      </c>
      <c r="V756" s="187">
        <f t="shared" si="24"/>
        <v>14388114</v>
      </c>
      <c r="W756" s="187">
        <f t="shared" si="25"/>
        <v>16920559</v>
      </c>
    </row>
    <row r="757" spans="1:23">
      <c r="A757" s="216" t="s">
        <v>2953</v>
      </c>
      <c r="B757" s="218">
        <v>729.73800000000006</v>
      </c>
      <c r="C757" s="218">
        <v>746.32500000000005</v>
      </c>
      <c r="D757" s="218">
        <v>774.62699999999995</v>
      </c>
      <c r="E757" s="218">
        <v>793.47500000000002</v>
      </c>
      <c r="F757" s="218">
        <v>126.2141</v>
      </c>
      <c r="G757" s="218">
        <v>116.80759999999999</v>
      </c>
      <c r="H757" s="218">
        <v>122.0697</v>
      </c>
      <c r="I757" s="218">
        <v>124.6872</v>
      </c>
      <c r="J757" s="246">
        <v>199911931</v>
      </c>
      <c r="K757" s="246">
        <v>207067092</v>
      </c>
      <c r="L757" s="218">
        <v>1303.444</v>
      </c>
      <c r="M757" s="246">
        <v>338326</v>
      </c>
      <c r="N757" s="251">
        <v>83.002700000000004</v>
      </c>
      <c r="O757" s="251">
        <v>76.629599999999996</v>
      </c>
      <c r="P757" s="251">
        <v>80.855000000000004</v>
      </c>
      <c r="Q757" s="251">
        <v>82.003200000000007</v>
      </c>
      <c r="R757" s="254">
        <v>1.08</v>
      </c>
      <c r="S757" s="214">
        <v>353025</v>
      </c>
      <c r="T757" s="214">
        <v>2874672</v>
      </c>
      <c r="U757" s="214">
        <v>0</v>
      </c>
      <c r="V757" s="187">
        <f t="shared" si="24"/>
        <v>2874672</v>
      </c>
      <c r="W757" s="187">
        <f t="shared" si="25"/>
        <v>3227697</v>
      </c>
    </row>
    <row r="758" spans="1:23">
      <c r="A758" s="216" t="s">
        <v>2955</v>
      </c>
      <c r="B758" s="218">
        <v>4637.2920000000004</v>
      </c>
      <c r="C758" s="218">
        <v>4639.5290000000005</v>
      </c>
      <c r="D758" s="218">
        <v>4627.13</v>
      </c>
      <c r="E758" s="218">
        <v>4612.0619999999999</v>
      </c>
      <c r="F758" s="218">
        <v>679.90570000000002</v>
      </c>
      <c r="G758" s="218">
        <v>692.79570000000001</v>
      </c>
      <c r="H758" s="218">
        <v>684.35590000000002</v>
      </c>
      <c r="I758" s="218">
        <v>752.61030000000005</v>
      </c>
      <c r="J758" s="246">
        <v>882925927</v>
      </c>
      <c r="K758" s="246">
        <v>939412269</v>
      </c>
      <c r="L758" s="218">
        <v>6024.9350000000004</v>
      </c>
      <c r="M758" s="246">
        <v>397984</v>
      </c>
      <c r="N758" s="251">
        <v>413.3288</v>
      </c>
      <c r="O758" s="251">
        <v>415.2122</v>
      </c>
      <c r="P758" s="251">
        <v>416.8272</v>
      </c>
      <c r="Q758" s="251">
        <v>434.64819999999997</v>
      </c>
      <c r="R758" s="254">
        <v>1.1100000000000001</v>
      </c>
      <c r="S758" s="214">
        <v>419048</v>
      </c>
      <c r="T758" s="214">
        <v>14542325</v>
      </c>
      <c r="U758" s="214">
        <v>0</v>
      </c>
      <c r="V758" s="187">
        <f t="shared" si="24"/>
        <v>14542325</v>
      </c>
      <c r="W758" s="187">
        <f t="shared" si="25"/>
        <v>14961373</v>
      </c>
    </row>
    <row r="759" spans="1:23">
      <c r="A759" s="216" t="s">
        <v>2957</v>
      </c>
      <c r="B759" s="218">
        <v>1758.002</v>
      </c>
      <c r="C759" s="218">
        <v>1725.963</v>
      </c>
      <c r="D759" s="218">
        <v>1709.7139999999999</v>
      </c>
      <c r="E759" s="218">
        <v>1745.808</v>
      </c>
      <c r="F759" s="218">
        <v>314.13310000000001</v>
      </c>
      <c r="G759" s="218">
        <v>297.11919999999998</v>
      </c>
      <c r="H759" s="218">
        <v>296.43400000000003</v>
      </c>
      <c r="I759" s="218">
        <v>269.45569999999998</v>
      </c>
      <c r="J759" s="246">
        <v>300321994</v>
      </c>
      <c r="K759" s="246">
        <v>315522546</v>
      </c>
      <c r="L759" s="218">
        <v>2633.9250000000002</v>
      </c>
      <c r="M759" s="246">
        <v>229641</v>
      </c>
      <c r="N759" s="251">
        <v>199.91630000000001</v>
      </c>
      <c r="O759" s="251">
        <v>178.626</v>
      </c>
      <c r="P759" s="251">
        <v>178.357</v>
      </c>
      <c r="Q759" s="251">
        <v>159.9025</v>
      </c>
      <c r="R759" s="254">
        <v>1.1200000000000001</v>
      </c>
      <c r="S759" s="214">
        <v>219298</v>
      </c>
      <c r="T759" s="214">
        <v>4517957</v>
      </c>
      <c r="U759" s="214">
        <v>0</v>
      </c>
      <c r="V759" s="187">
        <f t="shared" si="24"/>
        <v>4517957</v>
      </c>
      <c r="W759" s="187">
        <f t="shared" si="25"/>
        <v>4737255</v>
      </c>
    </row>
    <row r="760" spans="1:23">
      <c r="A760" s="216" t="s">
        <v>5123</v>
      </c>
      <c r="B760" s="218">
        <v>1807.788</v>
      </c>
      <c r="C760" s="218">
        <v>1873.4780000000001</v>
      </c>
      <c r="D760" s="218">
        <v>1884.18</v>
      </c>
      <c r="E760" s="218">
        <v>1831.9880000000001</v>
      </c>
      <c r="F760" s="218">
        <v>289.69130000000001</v>
      </c>
      <c r="G760" s="218">
        <v>287.9169</v>
      </c>
      <c r="H760" s="218">
        <v>293.52980000000002</v>
      </c>
      <c r="I760" s="218">
        <v>294.20139999999998</v>
      </c>
      <c r="J760" s="246">
        <v>528476486</v>
      </c>
      <c r="K760" s="246">
        <v>548198426</v>
      </c>
      <c r="L760" s="218">
        <v>2597.9050000000002</v>
      </c>
      <c r="M760" s="246">
        <v>110579</v>
      </c>
      <c r="N760" s="251">
        <v>193.31909999999999</v>
      </c>
      <c r="O760" s="251">
        <v>194.01650000000001</v>
      </c>
      <c r="P760" s="251">
        <v>198.60499999999999</v>
      </c>
      <c r="Q760" s="251">
        <v>194.1687</v>
      </c>
      <c r="R760" s="254">
        <v>1.1000000000000001</v>
      </c>
      <c r="S760" s="214">
        <v>561495</v>
      </c>
      <c r="T760" s="214">
        <v>8231258</v>
      </c>
      <c r="U760" s="214">
        <v>0</v>
      </c>
      <c r="V760" s="187">
        <f t="shared" si="24"/>
        <v>8231258</v>
      </c>
      <c r="W760" s="187">
        <f t="shared" si="25"/>
        <v>8792753</v>
      </c>
    </row>
    <row r="761" spans="1:23">
      <c r="A761" s="216" t="s">
        <v>7156</v>
      </c>
      <c r="B761" s="218">
        <v>311.64299999999997</v>
      </c>
      <c r="C761" s="218">
        <v>334.82100000000003</v>
      </c>
      <c r="D761" s="218">
        <v>346.70600000000002</v>
      </c>
      <c r="E761" s="218">
        <v>341.14400000000001</v>
      </c>
      <c r="F761" s="218">
        <v>101.63639999999999</v>
      </c>
      <c r="G761" s="218">
        <v>106.4624</v>
      </c>
      <c r="H761" s="218">
        <v>108.9893</v>
      </c>
      <c r="I761" s="218">
        <v>109.10169999999999</v>
      </c>
      <c r="J761" s="57">
        <v>0</v>
      </c>
      <c r="K761" s="57">
        <v>0</v>
      </c>
      <c r="L761" s="218">
        <v>0</v>
      </c>
      <c r="M761" s="246">
        <v>0</v>
      </c>
      <c r="N761" s="251">
        <v>76.230800000000002</v>
      </c>
      <c r="O761" s="251">
        <v>79.819299999999998</v>
      </c>
      <c r="P761" s="251">
        <v>81.345799999999997</v>
      </c>
      <c r="Q761" s="251">
        <v>80.350499999999997</v>
      </c>
      <c r="R761" s="254">
        <v>1.0900000000000001</v>
      </c>
      <c r="S761" s="94">
        <v>0</v>
      </c>
      <c r="T761" s="94">
        <v>0</v>
      </c>
      <c r="U761" s="94">
        <v>0</v>
      </c>
      <c r="V761">
        <f t="shared" si="24"/>
        <v>0</v>
      </c>
      <c r="W761">
        <f t="shared" si="25"/>
        <v>0</v>
      </c>
    </row>
    <row r="762" spans="1:23">
      <c r="A762" s="216" t="s">
        <v>4119</v>
      </c>
      <c r="B762" s="218">
        <v>323.22899999999998</v>
      </c>
      <c r="C762" s="218">
        <v>305.99099999999999</v>
      </c>
      <c r="D762" s="218">
        <v>296.75</v>
      </c>
      <c r="E762" s="218">
        <v>281.59100000000001</v>
      </c>
      <c r="F762" s="218">
        <v>59.898400000000002</v>
      </c>
      <c r="G762" s="218">
        <v>60.898400000000002</v>
      </c>
      <c r="H762" s="218">
        <v>60.898400000000002</v>
      </c>
      <c r="I762" s="218">
        <v>59.898400000000002</v>
      </c>
      <c r="J762" s="246">
        <v>54549486</v>
      </c>
      <c r="K762" s="246">
        <v>57670604</v>
      </c>
      <c r="L762" s="218">
        <v>565.38800000000003</v>
      </c>
      <c r="M762" s="187">
        <v>0</v>
      </c>
      <c r="N762" s="251">
        <v>36.268500000000003</v>
      </c>
      <c r="O762" s="251">
        <v>38.787199999999999</v>
      </c>
      <c r="P762" s="251">
        <v>38.805399999999999</v>
      </c>
      <c r="Q762" s="251">
        <v>38.8048</v>
      </c>
      <c r="R762" s="254">
        <v>1.04</v>
      </c>
      <c r="S762" s="214">
        <v>0</v>
      </c>
      <c r="T762" s="214">
        <v>823484</v>
      </c>
      <c r="U762" s="214">
        <v>0</v>
      </c>
      <c r="V762" s="187">
        <f t="shared" ref="V762:V773" si="26">T762+U762</f>
        <v>823484</v>
      </c>
      <c r="W762" s="187">
        <f t="shared" ref="W762:W773" si="27">V762+S762</f>
        <v>823484</v>
      </c>
    </row>
    <row r="763" spans="1:23">
      <c r="A763" s="216" t="s">
        <v>4121</v>
      </c>
      <c r="B763" s="218">
        <v>85.790999999999997</v>
      </c>
      <c r="C763" s="218">
        <v>110.84</v>
      </c>
      <c r="D763" s="218">
        <v>108.36799999999999</v>
      </c>
      <c r="E763" s="218">
        <v>114.256</v>
      </c>
      <c r="F763" s="218">
        <v>22.568899999999999</v>
      </c>
      <c r="G763" s="218">
        <v>22.568899999999999</v>
      </c>
      <c r="H763" s="218">
        <v>22.5716</v>
      </c>
      <c r="I763" s="218">
        <v>23.349699999999999</v>
      </c>
      <c r="J763" s="246">
        <v>34321234</v>
      </c>
      <c r="K763" s="246">
        <v>35021369</v>
      </c>
      <c r="L763" s="218">
        <v>281.96499999999997</v>
      </c>
      <c r="M763" s="187">
        <v>0</v>
      </c>
      <c r="N763" s="251">
        <v>16</v>
      </c>
      <c r="O763" s="251">
        <v>15.000299999999999</v>
      </c>
      <c r="P763" s="251">
        <v>16.210599999999999</v>
      </c>
      <c r="Q763" s="251">
        <v>16.062999999999999</v>
      </c>
      <c r="R763" s="254">
        <v>1.06</v>
      </c>
      <c r="S763" s="214">
        <v>0</v>
      </c>
      <c r="T763" s="214">
        <v>501494</v>
      </c>
      <c r="U763" s="214">
        <v>0</v>
      </c>
      <c r="V763" s="187">
        <f t="shared" si="26"/>
        <v>501494</v>
      </c>
      <c r="W763" s="187">
        <f t="shared" si="27"/>
        <v>501494</v>
      </c>
    </row>
    <row r="764" spans="1:23">
      <c r="A764" s="216" t="s">
        <v>4123</v>
      </c>
      <c r="B764" s="218">
        <v>74.888999999999996</v>
      </c>
      <c r="C764" s="218">
        <v>76.843000000000004</v>
      </c>
      <c r="D764" s="218">
        <v>77.921999999999997</v>
      </c>
      <c r="E764" s="218">
        <v>75.763999999999996</v>
      </c>
      <c r="F764" s="218">
        <v>14.302899999999999</v>
      </c>
      <c r="G764" s="218">
        <v>15.401</v>
      </c>
      <c r="H764" s="218">
        <v>15.5748</v>
      </c>
      <c r="I764" s="218">
        <v>15.4892</v>
      </c>
      <c r="J764" s="246">
        <v>12903393</v>
      </c>
      <c r="K764" s="246">
        <v>13701804</v>
      </c>
      <c r="L764" s="218">
        <v>131.99700000000001</v>
      </c>
      <c r="M764" s="187">
        <v>0</v>
      </c>
      <c r="N764" s="251">
        <v>10.0238</v>
      </c>
      <c r="O764" s="251">
        <v>10.4901</v>
      </c>
      <c r="P764" s="251">
        <v>11.184799999999999</v>
      </c>
      <c r="Q764" s="251">
        <v>11.0991</v>
      </c>
      <c r="R764" s="254">
        <v>1.05</v>
      </c>
      <c r="S764" s="214">
        <v>0</v>
      </c>
      <c r="T764" s="214">
        <v>305384</v>
      </c>
      <c r="U764" s="214">
        <v>0</v>
      </c>
      <c r="V764" s="187">
        <f t="shared" si="26"/>
        <v>305384</v>
      </c>
      <c r="W764" s="187">
        <f t="shared" si="27"/>
        <v>305384</v>
      </c>
    </row>
    <row r="765" spans="1:23">
      <c r="A765" s="216" t="s">
        <v>5032</v>
      </c>
      <c r="B765" s="218">
        <v>2646.2750000000001</v>
      </c>
      <c r="C765" s="218">
        <v>2574</v>
      </c>
      <c r="D765" s="218">
        <v>2551.8609999999999</v>
      </c>
      <c r="E765" s="218">
        <v>2494.6840000000002</v>
      </c>
      <c r="F765" s="218">
        <v>358.25700000000001</v>
      </c>
      <c r="G765" s="218">
        <v>364.64299999999997</v>
      </c>
      <c r="H765" s="218">
        <v>381.09949999999998</v>
      </c>
      <c r="I765" s="218">
        <v>370.66860000000003</v>
      </c>
      <c r="J765" s="246">
        <v>431822239</v>
      </c>
      <c r="K765" s="246">
        <v>466725219</v>
      </c>
      <c r="L765" s="218">
        <v>3324.0630000000001</v>
      </c>
      <c r="M765" s="246">
        <v>109196</v>
      </c>
      <c r="N765" s="251">
        <v>222.5351</v>
      </c>
      <c r="O765" s="251">
        <v>231.8365</v>
      </c>
      <c r="P765" s="251">
        <v>238.91569999999999</v>
      </c>
      <c r="Q765" s="251">
        <v>228.4743</v>
      </c>
      <c r="R765" s="254">
        <v>1.1000000000000001</v>
      </c>
      <c r="S765" s="214">
        <v>484293</v>
      </c>
      <c r="T765" s="214">
        <v>6248119</v>
      </c>
      <c r="U765" s="214">
        <v>0</v>
      </c>
      <c r="V765" s="187">
        <f t="shared" si="26"/>
        <v>6248119</v>
      </c>
      <c r="W765" s="187">
        <f t="shared" si="27"/>
        <v>6732412</v>
      </c>
    </row>
    <row r="766" spans="1:23">
      <c r="A766" s="216" t="s">
        <v>4125</v>
      </c>
      <c r="B766" s="218">
        <v>1505.12</v>
      </c>
      <c r="C766" s="218">
        <v>1519.9079999999999</v>
      </c>
      <c r="D766" s="218">
        <v>1522.69</v>
      </c>
      <c r="E766" s="218">
        <v>1535.114</v>
      </c>
      <c r="F766" s="218">
        <v>200.39080000000001</v>
      </c>
      <c r="G766" s="218">
        <v>198.98</v>
      </c>
      <c r="H766" s="218">
        <v>202.84399999999999</v>
      </c>
      <c r="I766" s="218">
        <v>217.57759999999999</v>
      </c>
      <c r="J766" s="246">
        <v>217448668</v>
      </c>
      <c r="K766" s="246">
        <v>235195248</v>
      </c>
      <c r="L766" s="218">
        <v>2077.1889999999999</v>
      </c>
      <c r="M766" s="246">
        <v>152447</v>
      </c>
      <c r="N766" s="251">
        <v>127.53060000000001</v>
      </c>
      <c r="O766" s="251">
        <v>126.0889</v>
      </c>
      <c r="P766" s="251">
        <v>127.7221</v>
      </c>
      <c r="Q766" s="251">
        <v>129.4358</v>
      </c>
      <c r="R766" s="254">
        <v>1.08</v>
      </c>
      <c r="S766" s="214">
        <v>182382</v>
      </c>
      <c r="T766" s="214">
        <v>3181071</v>
      </c>
      <c r="U766" s="214">
        <v>0</v>
      </c>
      <c r="V766" s="187">
        <f t="shared" si="26"/>
        <v>3181071</v>
      </c>
      <c r="W766" s="187">
        <f t="shared" si="27"/>
        <v>3363453</v>
      </c>
    </row>
    <row r="767" spans="1:23">
      <c r="A767" s="216" t="s">
        <v>4127</v>
      </c>
      <c r="B767" s="218">
        <v>3340.6709999999998</v>
      </c>
      <c r="C767" s="218">
        <v>3171.9349999999999</v>
      </c>
      <c r="D767" s="218">
        <v>3076.143</v>
      </c>
      <c r="E767" s="218">
        <v>2975.134</v>
      </c>
      <c r="F767" s="218">
        <v>585.05619999999999</v>
      </c>
      <c r="G767" s="218">
        <v>589.87139999999999</v>
      </c>
      <c r="H767" s="218">
        <v>591.23839999999996</v>
      </c>
      <c r="I767" s="218">
        <v>566.85209999999995</v>
      </c>
      <c r="J767" s="246">
        <v>1803254548</v>
      </c>
      <c r="K767" s="246">
        <v>1849465948</v>
      </c>
      <c r="L767" s="218">
        <v>4148.51</v>
      </c>
      <c r="M767" s="246">
        <v>1088376</v>
      </c>
      <c r="N767" s="251">
        <v>324.02350000000001</v>
      </c>
      <c r="O767" s="251">
        <v>347.1404</v>
      </c>
      <c r="P767" s="251">
        <v>349.7885</v>
      </c>
      <c r="Q767" s="251">
        <v>326.00470000000001</v>
      </c>
      <c r="R767" s="254">
        <v>1.1100000000000001</v>
      </c>
      <c r="S767" s="214">
        <v>831601</v>
      </c>
      <c r="T767" s="214">
        <v>26985008</v>
      </c>
      <c r="U767" s="214">
        <v>0</v>
      </c>
      <c r="V767" s="187">
        <f t="shared" si="26"/>
        <v>26985008</v>
      </c>
      <c r="W767" s="187">
        <f t="shared" si="27"/>
        <v>27816609</v>
      </c>
    </row>
    <row r="768" spans="1:23">
      <c r="A768" s="216" t="s">
        <v>5033</v>
      </c>
      <c r="B768" s="218">
        <v>5060.4560000000001</v>
      </c>
      <c r="C768" s="218">
        <v>4981.3019999999997</v>
      </c>
      <c r="D768" s="218">
        <v>4847.6610000000001</v>
      </c>
      <c r="E768" s="218">
        <v>4810.5370000000003</v>
      </c>
      <c r="F768" s="218">
        <v>741.71600000000001</v>
      </c>
      <c r="G768" s="218">
        <v>738.77750000000003</v>
      </c>
      <c r="H768" s="218">
        <v>711.28309999999999</v>
      </c>
      <c r="I768" s="218">
        <v>711.74940000000004</v>
      </c>
      <c r="J768" s="246">
        <v>518451491</v>
      </c>
      <c r="K768" s="246">
        <v>582535951</v>
      </c>
      <c r="L768" s="218">
        <v>6566.5259999999998</v>
      </c>
      <c r="M768" s="187">
        <v>0</v>
      </c>
      <c r="N768" s="251">
        <v>484.97359999999998</v>
      </c>
      <c r="O768" s="251">
        <v>483.29360000000003</v>
      </c>
      <c r="P768" s="251">
        <v>461.44009999999997</v>
      </c>
      <c r="Q768" s="251">
        <v>469.5874</v>
      </c>
      <c r="R768" s="254">
        <v>1.1000000000000001</v>
      </c>
      <c r="S768" s="214">
        <v>462040</v>
      </c>
      <c r="T768" s="214">
        <v>7581090</v>
      </c>
      <c r="U768" s="214">
        <v>0</v>
      </c>
      <c r="V768" s="187">
        <f t="shared" si="26"/>
        <v>7581090</v>
      </c>
      <c r="W768" s="187">
        <f t="shared" si="27"/>
        <v>8043130</v>
      </c>
    </row>
    <row r="769" spans="1:23">
      <c r="A769" s="216" t="s">
        <v>4129</v>
      </c>
      <c r="B769" s="218">
        <v>3414.991</v>
      </c>
      <c r="C769" s="218">
        <v>3434.6729999999998</v>
      </c>
      <c r="D769" s="218">
        <v>3448.88</v>
      </c>
      <c r="E769" s="218">
        <v>3429.4560000000001</v>
      </c>
      <c r="F769" s="218">
        <v>484.3331</v>
      </c>
      <c r="G769" s="218">
        <v>492.4248</v>
      </c>
      <c r="H769" s="218">
        <v>496.70749999999998</v>
      </c>
      <c r="I769" s="218">
        <v>508.71100000000001</v>
      </c>
      <c r="J769" s="246">
        <v>539793737</v>
      </c>
      <c r="K769" s="246">
        <v>586395887</v>
      </c>
      <c r="L769" s="218">
        <v>4646.6809999999996</v>
      </c>
      <c r="M769" s="246">
        <v>590233</v>
      </c>
      <c r="N769" s="251">
        <v>296.7174</v>
      </c>
      <c r="O769" s="251">
        <v>299.93650000000002</v>
      </c>
      <c r="P769" s="251">
        <v>300.19150000000002</v>
      </c>
      <c r="Q769" s="251">
        <v>309.41079999999999</v>
      </c>
      <c r="R769" s="254">
        <v>1.1000000000000001</v>
      </c>
      <c r="S769" s="214">
        <v>622228</v>
      </c>
      <c r="T769" s="214">
        <v>7950145</v>
      </c>
      <c r="U769" s="214">
        <v>0</v>
      </c>
      <c r="V769" s="187">
        <f t="shared" si="26"/>
        <v>7950145</v>
      </c>
      <c r="W769" s="187">
        <f t="shared" si="27"/>
        <v>8572373</v>
      </c>
    </row>
    <row r="770" spans="1:23">
      <c r="A770" s="216" t="s">
        <v>4131</v>
      </c>
      <c r="B770" s="218">
        <v>214.792</v>
      </c>
      <c r="C770" s="218">
        <v>202.959</v>
      </c>
      <c r="D770" s="218">
        <v>211.77099999999999</v>
      </c>
      <c r="E770" s="218">
        <v>205.905</v>
      </c>
      <c r="F770" s="218">
        <v>32.811700000000002</v>
      </c>
      <c r="G770" s="218">
        <v>34.155099999999997</v>
      </c>
      <c r="H770" s="218">
        <v>36.155099999999997</v>
      </c>
      <c r="I770" s="218">
        <v>33.481299999999997</v>
      </c>
      <c r="J770" s="246">
        <v>52158684</v>
      </c>
      <c r="K770" s="246">
        <v>54847914</v>
      </c>
      <c r="L770" s="218">
        <v>339.11500000000001</v>
      </c>
      <c r="M770" s="246">
        <v>53677</v>
      </c>
      <c r="N770" s="251">
        <v>21.406500000000001</v>
      </c>
      <c r="O770" s="251">
        <v>23.525400000000001</v>
      </c>
      <c r="P770" s="251">
        <v>23.644300000000001</v>
      </c>
      <c r="Q770" s="251">
        <v>23.0319</v>
      </c>
      <c r="R770" s="254">
        <v>1.06</v>
      </c>
      <c r="S770" s="214">
        <v>51778</v>
      </c>
      <c r="T770" s="214">
        <v>733866</v>
      </c>
      <c r="U770" s="214">
        <v>0</v>
      </c>
      <c r="V770" s="187">
        <f t="shared" si="26"/>
        <v>733866</v>
      </c>
      <c r="W770" s="187">
        <f t="shared" si="27"/>
        <v>785644</v>
      </c>
    </row>
    <row r="771" spans="1:23">
      <c r="A771" s="216" t="s">
        <v>4133</v>
      </c>
      <c r="B771" s="218">
        <v>366.55900000000003</v>
      </c>
      <c r="C771" s="218">
        <v>349.02800000000002</v>
      </c>
      <c r="D771" s="218">
        <v>348.42</v>
      </c>
      <c r="E771" s="218">
        <v>340.37</v>
      </c>
      <c r="F771" s="218">
        <v>59.973500000000001</v>
      </c>
      <c r="G771" s="218">
        <v>59.689900000000002</v>
      </c>
      <c r="H771" s="218">
        <v>57.529400000000003</v>
      </c>
      <c r="I771" s="218">
        <v>59</v>
      </c>
      <c r="J771" s="246">
        <v>252649764</v>
      </c>
      <c r="K771" s="246">
        <v>258747854</v>
      </c>
      <c r="L771" s="218">
        <v>572.63199999999995</v>
      </c>
      <c r="M771" s="187">
        <v>0</v>
      </c>
      <c r="N771" s="251">
        <v>39.996000000000002</v>
      </c>
      <c r="O771" s="251">
        <v>37.525599999999997</v>
      </c>
      <c r="P771" s="251">
        <v>36.567900000000002</v>
      </c>
      <c r="Q771" s="251">
        <v>35.3352</v>
      </c>
      <c r="R771" s="254">
        <v>1.05</v>
      </c>
      <c r="S771" s="214">
        <v>253864</v>
      </c>
      <c r="T771" s="214">
        <v>3684904</v>
      </c>
      <c r="U771" s="214">
        <v>0</v>
      </c>
      <c r="V771" s="187">
        <f t="shared" si="26"/>
        <v>3684904</v>
      </c>
      <c r="W771" s="187">
        <f t="shared" si="27"/>
        <v>3938768</v>
      </c>
    </row>
    <row r="772" spans="1:23">
      <c r="A772" s="216" t="s">
        <v>6175</v>
      </c>
      <c r="B772" s="218">
        <v>3388.681</v>
      </c>
      <c r="C772" s="218">
        <v>3406.11</v>
      </c>
      <c r="D772" s="218">
        <v>3342.8040000000001</v>
      </c>
      <c r="E772" s="218">
        <v>3365.1750000000002</v>
      </c>
      <c r="F772" s="218">
        <v>496.82979999999998</v>
      </c>
      <c r="G772" s="218">
        <v>518.35040000000004</v>
      </c>
      <c r="H772" s="218">
        <v>522.10209999999995</v>
      </c>
      <c r="I772" s="218">
        <v>546.50710000000004</v>
      </c>
      <c r="J772" s="246">
        <v>390164291</v>
      </c>
      <c r="K772" s="246">
        <v>428829539</v>
      </c>
      <c r="L772" s="218">
        <v>4788.3270000000002</v>
      </c>
      <c r="M772" s="246">
        <v>399520</v>
      </c>
      <c r="N772" s="251">
        <v>346.7122</v>
      </c>
      <c r="O772" s="251">
        <v>358.90460000000002</v>
      </c>
      <c r="P772" s="251">
        <v>356.30590000000001</v>
      </c>
      <c r="Q772" s="251">
        <v>362.89589999999998</v>
      </c>
      <c r="R772" s="254">
        <v>1.07</v>
      </c>
      <c r="S772" s="214">
        <v>561403</v>
      </c>
      <c r="T772" s="214">
        <v>5904085</v>
      </c>
      <c r="U772" s="214">
        <v>0</v>
      </c>
      <c r="V772" s="187">
        <f t="shared" si="26"/>
        <v>5904085</v>
      </c>
      <c r="W772" s="187">
        <f t="shared" si="27"/>
        <v>6465488</v>
      </c>
    </row>
    <row r="773" spans="1:23">
      <c r="A773" s="216" t="s">
        <v>4135</v>
      </c>
      <c r="B773" s="218">
        <v>403.88900000000001</v>
      </c>
      <c r="C773" s="218">
        <v>419.19799999999998</v>
      </c>
      <c r="D773" s="218">
        <v>433.59100000000001</v>
      </c>
      <c r="E773" s="218">
        <v>456.26499999999999</v>
      </c>
      <c r="F773" s="218">
        <v>59.6205</v>
      </c>
      <c r="G773" s="218">
        <v>65.117800000000003</v>
      </c>
      <c r="H773" s="218">
        <v>66.093699999999998</v>
      </c>
      <c r="I773" s="218">
        <v>67.099100000000007</v>
      </c>
      <c r="J773" s="246">
        <v>135988297</v>
      </c>
      <c r="K773" s="246">
        <v>143679676</v>
      </c>
      <c r="L773" s="218">
        <v>715.71100000000001</v>
      </c>
      <c r="M773" s="187">
        <v>0</v>
      </c>
      <c r="N773" s="251">
        <v>38.537599999999998</v>
      </c>
      <c r="O773" s="251">
        <v>40.626800000000003</v>
      </c>
      <c r="P773" s="251">
        <v>40.903100000000002</v>
      </c>
      <c r="Q773" s="251">
        <v>42.998800000000003</v>
      </c>
      <c r="R773" s="254">
        <v>1.05</v>
      </c>
      <c r="S773" s="214">
        <v>141831</v>
      </c>
      <c r="T773" s="214">
        <v>2107861</v>
      </c>
      <c r="U773" s="214">
        <v>0</v>
      </c>
      <c r="V773" s="187">
        <f t="shared" si="26"/>
        <v>2107861</v>
      </c>
      <c r="W773" s="187">
        <f t="shared" si="27"/>
        <v>2249692</v>
      </c>
    </row>
    <row r="774" spans="1:23">
      <c r="A774" s="216" t="s">
        <v>4137</v>
      </c>
      <c r="B774" s="218">
        <v>195.21899999999999</v>
      </c>
      <c r="C774" s="218">
        <v>189.624</v>
      </c>
      <c r="D774" s="218">
        <v>183.89699999999999</v>
      </c>
      <c r="E774" s="218">
        <v>193.624</v>
      </c>
      <c r="F774" s="218">
        <v>37</v>
      </c>
      <c r="G774" s="218">
        <v>38</v>
      </c>
      <c r="H774" s="218">
        <v>37</v>
      </c>
      <c r="I774" s="218">
        <v>30.4344</v>
      </c>
      <c r="J774" s="246">
        <v>46442518</v>
      </c>
      <c r="K774" s="246">
        <v>48431518</v>
      </c>
      <c r="L774" s="218">
        <v>340.89699999999999</v>
      </c>
      <c r="M774" s="187">
        <v>0</v>
      </c>
      <c r="N774" s="251">
        <v>25.000599999999999</v>
      </c>
      <c r="O774" s="251">
        <v>25.999700000000001</v>
      </c>
      <c r="P774" s="251">
        <v>28.000900000000001</v>
      </c>
      <c r="Q774" s="251">
        <v>19.467600000000001</v>
      </c>
      <c r="R774" s="254">
        <v>1.06</v>
      </c>
      <c r="S774" s="214">
        <v>0</v>
      </c>
      <c r="T774" s="214">
        <v>641030</v>
      </c>
      <c r="U774" s="214">
        <v>0</v>
      </c>
      <c r="V774" s="187">
        <f t="shared" ref="V774:V837" si="28">T774+U774</f>
        <v>641030</v>
      </c>
      <c r="W774" s="187">
        <f t="shared" ref="W774:W837" si="29">V774+S774</f>
        <v>641030</v>
      </c>
    </row>
    <row r="775" spans="1:23">
      <c r="A775" s="216" t="s">
        <v>4139</v>
      </c>
      <c r="B775" s="218">
        <v>85.019000000000005</v>
      </c>
      <c r="C775" s="218">
        <v>79.602000000000004</v>
      </c>
      <c r="D775" s="218">
        <v>89.48</v>
      </c>
      <c r="E775" s="218">
        <v>94.26</v>
      </c>
      <c r="F775" s="218">
        <v>18.502700000000001</v>
      </c>
      <c r="G775" s="218">
        <v>17.396999999999998</v>
      </c>
      <c r="H775" s="218">
        <v>19.697800000000001</v>
      </c>
      <c r="I775" s="218">
        <v>21.0791</v>
      </c>
      <c r="J775" s="246">
        <v>208892660</v>
      </c>
      <c r="K775" s="246">
        <v>211138570</v>
      </c>
      <c r="L775" s="218">
        <v>172.45099999999999</v>
      </c>
      <c r="M775" s="246">
        <v>115559</v>
      </c>
      <c r="N775" s="251">
        <v>11.962199999999999</v>
      </c>
      <c r="O775" s="251">
        <v>11.609400000000001</v>
      </c>
      <c r="P775" s="251">
        <v>12.999599999999999</v>
      </c>
      <c r="Q775" s="251">
        <v>13.999700000000001</v>
      </c>
      <c r="R775" s="254">
        <v>1.06</v>
      </c>
      <c r="S775" s="214">
        <v>90621</v>
      </c>
      <c r="T775" s="214">
        <v>3075032</v>
      </c>
      <c r="U775" s="214">
        <v>0</v>
      </c>
      <c r="V775" s="187">
        <f t="shared" si="28"/>
        <v>3075032</v>
      </c>
      <c r="W775" s="187">
        <f t="shared" si="29"/>
        <v>3165653</v>
      </c>
    </row>
    <row r="776" spans="1:23">
      <c r="A776" s="216" t="s">
        <v>4141</v>
      </c>
      <c r="B776" s="218">
        <v>383.89299999999997</v>
      </c>
      <c r="C776" s="218">
        <v>362.61</v>
      </c>
      <c r="D776" s="218">
        <v>383.56400000000002</v>
      </c>
      <c r="E776" s="218">
        <v>388.62099999999998</v>
      </c>
      <c r="F776" s="218">
        <v>88.056899999999999</v>
      </c>
      <c r="G776" s="218">
        <v>86.953199999999995</v>
      </c>
      <c r="H776" s="218">
        <v>79.587199999999996</v>
      </c>
      <c r="I776" s="218">
        <v>67.928299999999993</v>
      </c>
      <c r="J776" s="246">
        <v>389701266</v>
      </c>
      <c r="K776" s="246">
        <v>395931416</v>
      </c>
      <c r="L776" s="218">
        <v>648.08100000000002</v>
      </c>
      <c r="M776" s="246">
        <v>882890</v>
      </c>
      <c r="N776" s="251">
        <v>50.087699999999998</v>
      </c>
      <c r="O776" s="251">
        <v>48.571399999999997</v>
      </c>
      <c r="P776" s="251">
        <v>48.664299999999997</v>
      </c>
      <c r="Q776" s="251">
        <v>38.653100000000002</v>
      </c>
      <c r="R776" s="254">
        <v>1.05</v>
      </c>
      <c r="S776" s="214">
        <v>647645</v>
      </c>
      <c r="T776" s="214">
        <v>5735649</v>
      </c>
      <c r="U776" s="214">
        <v>0</v>
      </c>
      <c r="V776" s="187">
        <f t="shared" si="28"/>
        <v>5735649</v>
      </c>
      <c r="W776" s="187">
        <f t="shared" si="29"/>
        <v>6383294</v>
      </c>
    </row>
    <row r="777" spans="1:23">
      <c r="A777" s="216" t="s">
        <v>4143</v>
      </c>
      <c r="B777" s="218">
        <v>2984.6410000000001</v>
      </c>
      <c r="C777" s="218">
        <v>2868.8020000000001</v>
      </c>
      <c r="D777" s="218">
        <v>2804.8850000000002</v>
      </c>
      <c r="E777" s="218">
        <v>2762.7159999999999</v>
      </c>
      <c r="F777" s="218">
        <v>523.16340000000002</v>
      </c>
      <c r="G777" s="218">
        <v>513.3152</v>
      </c>
      <c r="H777" s="218">
        <v>470.53140000000002</v>
      </c>
      <c r="I777" s="218">
        <v>449.96030000000002</v>
      </c>
      <c r="J777" s="246">
        <v>1905903996</v>
      </c>
      <c r="K777" s="246">
        <v>1949748176</v>
      </c>
      <c r="L777" s="218">
        <v>3463.0050000000001</v>
      </c>
      <c r="M777" s="246">
        <v>1572690</v>
      </c>
      <c r="N777" s="251">
        <v>305.82029999999997</v>
      </c>
      <c r="O777" s="251">
        <v>300.11750000000001</v>
      </c>
      <c r="P777" s="251">
        <v>281.1044</v>
      </c>
      <c r="Q777" s="251">
        <v>274.77269999999999</v>
      </c>
      <c r="R777" s="254">
        <v>1.07</v>
      </c>
      <c r="S777" s="214">
        <v>1069965</v>
      </c>
      <c r="T777" s="214">
        <v>26750283</v>
      </c>
      <c r="U777" s="214">
        <v>0</v>
      </c>
      <c r="V777" s="187">
        <f t="shared" si="28"/>
        <v>26750283</v>
      </c>
      <c r="W777" s="187">
        <f t="shared" si="29"/>
        <v>27820248</v>
      </c>
    </row>
    <row r="778" spans="1:23">
      <c r="A778" s="216" t="s">
        <v>1318</v>
      </c>
      <c r="B778" s="218">
        <v>282.06900000000002</v>
      </c>
      <c r="C778" s="218">
        <v>274.33</v>
      </c>
      <c r="D778" s="218">
        <v>270.255</v>
      </c>
      <c r="E778" s="218">
        <v>265.19099999999997</v>
      </c>
      <c r="F778" s="218">
        <v>46.040300000000002</v>
      </c>
      <c r="G778" s="218">
        <v>46.013500000000001</v>
      </c>
      <c r="H778" s="218">
        <v>48.315600000000003</v>
      </c>
      <c r="I778" s="218">
        <v>48.3476</v>
      </c>
      <c r="J778" s="246">
        <v>111175411</v>
      </c>
      <c r="K778" s="246">
        <v>115768378</v>
      </c>
      <c r="L778" s="218">
        <v>475.04399999999998</v>
      </c>
      <c r="M778" s="246">
        <v>56071</v>
      </c>
      <c r="N778" s="251">
        <v>27.359400000000001</v>
      </c>
      <c r="O778" s="251">
        <v>26.477499999999999</v>
      </c>
      <c r="P778" s="251">
        <v>29.476500000000001</v>
      </c>
      <c r="Q778" s="251">
        <v>32.194200000000002</v>
      </c>
      <c r="R778" s="254">
        <v>1.04</v>
      </c>
      <c r="S778" s="214">
        <v>127101</v>
      </c>
      <c r="T778" s="214">
        <v>1393207</v>
      </c>
      <c r="U778" s="214">
        <v>0</v>
      </c>
      <c r="V778" s="187">
        <f t="shared" si="28"/>
        <v>1393207</v>
      </c>
      <c r="W778" s="187">
        <f t="shared" si="29"/>
        <v>1520308</v>
      </c>
    </row>
    <row r="779" spans="1:23">
      <c r="A779" s="216" t="s">
        <v>2536</v>
      </c>
      <c r="B779" s="218">
        <v>410.51600000000002</v>
      </c>
      <c r="C779" s="218">
        <v>425.589</v>
      </c>
      <c r="D779" s="218">
        <v>441.76299999999998</v>
      </c>
      <c r="E779" s="218">
        <v>477.62</v>
      </c>
      <c r="F779" s="218">
        <v>63.855499999999999</v>
      </c>
      <c r="G779" s="218">
        <v>66.064300000000003</v>
      </c>
      <c r="H779" s="218">
        <v>78.337000000000003</v>
      </c>
      <c r="I779" s="218">
        <v>76.679100000000005</v>
      </c>
      <c r="J779" s="246">
        <v>66597450</v>
      </c>
      <c r="K779" s="246">
        <v>71701670</v>
      </c>
      <c r="L779" s="218">
        <v>815.20500000000004</v>
      </c>
      <c r="M779" s="246">
        <v>64931</v>
      </c>
      <c r="N779" s="251">
        <v>39.845599999999997</v>
      </c>
      <c r="O779" s="251">
        <v>37.749600000000001</v>
      </c>
      <c r="P779" s="251">
        <v>50.127899999999997</v>
      </c>
      <c r="Q779" s="251">
        <v>51.825400000000002</v>
      </c>
      <c r="R779" s="254">
        <v>1.0900000000000001</v>
      </c>
      <c r="S779" s="214">
        <v>141079</v>
      </c>
      <c r="T779" s="214">
        <v>1013647</v>
      </c>
      <c r="U779" s="214">
        <v>0</v>
      </c>
      <c r="V779" s="187">
        <f t="shared" si="28"/>
        <v>1013647</v>
      </c>
      <c r="W779" s="187">
        <f t="shared" si="29"/>
        <v>1154726</v>
      </c>
    </row>
    <row r="780" spans="1:23">
      <c r="A780" s="216" t="s">
        <v>2407</v>
      </c>
      <c r="B780" s="218">
        <v>3110.8980000000001</v>
      </c>
      <c r="C780" s="218">
        <v>3221.5120000000002</v>
      </c>
      <c r="D780" s="218">
        <v>3228.875</v>
      </c>
      <c r="E780" s="218">
        <v>3335.1060000000002</v>
      </c>
      <c r="F780" s="218">
        <v>449.34620000000001</v>
      </c>
      <c r="G780" s="218">
        <v>506.77140000000003</v>
      </c>
      <c r="H780" s="218">
        <v>536.61779999999999</v>
      </c>
      <c r="I780" s="218">
        <v>521.32830000000001</v>
      </c>
      <c r="J780" s="246">
        <v>368060874</v>
      </c>
      <c r="K780" s="246">
        <v>405528264</v>
      </c>
      <c r="L780" s="218">
        <v>4526.5110000000004</v>
      </c>
      <c r="M780" s="246">
        <v>275089</v>
      </c>
      <c r="N780" s="251">
        <v>292.10270000000003</v>
      </c>
      <c r="O780" s="251">
        <v>326.6454</v>
      </c>
      <c r="P780" s="251">
        <v>343.41250000000002</v>
      </c>
      <c r="Q780" s="251">
        <v>334.3329</v>
      </c>
      <c r="R780" s="254">
        <v>1.1100000000000001</v>
      </c>
      <c r="S780" s="214">
        <v>516418</v>
      </c>
      <c r="T780" s="214">
        <v>6169042</v>
      </c>
      <c r="U780" s="214">
        <v>0</v>
      </c>
      <c r="V780" s="187">
        <f t="shared" si="28"/>
        <v>6169042</v>
      </c>
      <c r="W780" s="187">
        <f t="shared" si="29"/>
        <v>6685460</v>
      </c>
    </row>
    <row r="781" spans="1:23">
      <c r="A781" s="216" t="s">
        <v>5034</v>
      </c>
      <c r="B781" s="218">
        <v>6212.9970000000003</v>
      </c>
      <c r="C781" s="218">
        <v>6356.2790000000005</v>
      </c>
      <c r="D781" s="218">
        <v>6505.9690000000001</v>
      </c>
      <c r="E781" s="218">
        <v>6597.8180000000002</v>
      </c>
      <c r="F781" s="218">
        <v>761.72519999999997</v>
      </c>
      <c r="G781" s="218">
        <v>808.49339999999995</v>
      </c>
      <c r="H781" s="218">
        <v>848.58230000000003</v>
      </c>
      <c r="I781" s="218">
        <v>893.62599999999998</v>
      </c>
      <c r="J781" s="246">
        <v>1360953217</v>
      </c>
      <c r="K781" s="246">
        <v>1453043047</v>
      </c>
      <c r="L781" s="218">
        <v>8425.8070000000007</v>
      </c>
      <c r="M781" s="246">
        <v>682868</v>
      </c>
      <c r="N781" s="251">
        <v>525.31700000000001</v>
      </c>
      <c r="O781" s="251">
        <v>541.49210000000005</v>
      </c>
      <c r="P781" s="251">
        <v>570.23630000000003</v>
      </c>
      <c r="Q781" s="251">
        <v>587.56960000000004</v>
      </c>
      <c r="R781" s="254">
        <v>1.1200000000000001</v>
      </c>
      <c r="S781" s="214">
        <v>3116823</v>
      </c>
      <c r="T781" s="214">
        <v>22864717</v>
      </c>
      <c r="U781" s="214">
        <v>0</v>
      </c>
      <c r="V781" s="187">
        <f t="shared" si="28"/>
        <v>22864717</v>
      </c>
      <c r="W781" s="187">
        <f t="shared" si="29"/>
        <v>25981540</v>
      </c>
    </row>
    <row r="782" spans="1:23">
      <c r="A782" s="216" t="s">
        <v>6174</v>
      </c>
      <c r="B782" s="218">
        <v>669.327</v>
      </c>
      <c r="C782" s="218">
        <v>684.99699999999996</v>
      </c>
      <c r="D782" s="218">
        <v>679.16099999999994</v>
      </c>
      <c r="E782" s="218">
        <v>696.50400000000002</v>
      </c>
      <c r="F782" s="218">
        <v>88.636399999999995</v>
      </c>
      <c r="G782" s="218">
        <v>91.192700000000002</v>
      </c>
      <c r="H782" s="218">
        <v>94.524199999999993</v>
      </c>
      <c r="I782" s="218">
        <v>103.2595</v>
      </c>
      <c r="J782" s="246">
        <v>116741119</v>
      </c>
      <c r="K782" s="246">
        <v>125544079</v>
      </c>
      <c r="L782" s="218">
        <v>1137.71</v>
      </c>
      <c r="M782" s="246">
        <v>81015</v>
      </c>
      <c r="N782" s="251">
        <v>65.205699999999993</v>
      </c>
      <c r="O782" s="251">
        <v>68.000799999999998</v>
      </c>
      <c r="P782" s="251">
        <v>68.349000000000004</v>
      </c>
      <c r="Q782" s="251">
        <v>71.928299999999993</v>
      </c>
      <c r="R782" s="254">
        <v>1.1000000000000001</v>
      </c>
      <c r="S782" s="214">
        <v>450496</v>
      </c>
      <c r="T782" s="214">
        <v>1929399</v>
      </c>
      <c r="U782" s="214">
        <v>0</v>
      </c>
      <c r="V782" s="187">
        <f t="shared" si="28"/>
        <v>1929399</v>
      </c>
      <c r="W782" s="187">
        <f t="shared" si="29"/>
        <v>2379895</v>
      </c>
    </row>
    <row r="783" spans="1:23">
      <c r="A783" s="216" t="s">
        <v>4145</v>
      </c>
      <c r="B783" s="218">
        <v>2785.7460000000001</v>
      </c>
      <c r="C783" s="218">
        <v>2912.17</v>
      </c>
      <c r="D783" s="218">
        <v>3048.6729999999998</v>
      </c>
      <c r="E783" s="218">
        <v>3261.5390000000002</v>
      </c>
      <c r="F783" s="218">
        <v>332.0926</v>
      </c>
      <c r="G783" s="218">
        <v>399.62779999999998</v>
      </c>
      <c r="H783" s="218">
        <v>401.1182</v>
      </c>
      <c r="I783" s="218">
        <v>404.291</v>
      </c>
      <c r="J783" s="246">
        <v>695908261</v>
      </c>
      <c r="K783" s="246">
        <v>728342631</v>
      </c>
      <c r="L783" s="218">
        <v>3950.3739999999998</v>
      </c>
      <c r="M783" s="246">
        <v>1576425</v>
      </c>
      <c r="N783" s="251">
        <v>224.5273</v>
      </c>
      <c r="O783" s="251">
        <v>267.46469999999999</v>
      </c>
      <c r="P783" s="251">
        <v>269.48410000000001</v>
      </c>
      <c r="Q783" s="251">
        <v>271.21870000000001</v>
      </c>
      <c r="R783" s="254">
        <v>1.1100000000000001</v>
      </c>
      <c r="S783" s="214">
        <v>1963636</v>
      </c>
      <c r="T783" s="214">
        <v>12740705</v>
      </c>
      <c r="U783" s="214">
        <v>0</v>
      </c>
      <c r="V783" s="187">
        <f t="shared" si="28"/>
        <v>12740705</v>
      </c>
      <c r="W783" s="187">
        <f t="shared" si="29"/>
        <v>14704341</v>
      </c>
    </row>
    <row r="784" spans="1:23">
      <c r="A784" s="216" t="s">
        <v>6196</v>
      </c>
      <c r="B784" s="218">
        <v>835.15800000000002</v>
      </c>
      <c r="C784" s="218">
        <v>836.05</v>
      </c>
      <c r="D784" s="218">
        <v>885.10799999999995</v>
      </c>
      <c r="E784" s="218">
        <v>878.94100000000003</v>
      </c>
      <c r="F784" s="218">
        <v>111.5031</v>
      </c>
      <c r="G784" s="218">
        <v>119.48699999999999</v>
      </c>
      <c r="H784" s="218">
        <v>120.6974</v>
      </c>
      <c r="I784" s="218">
        <v>147.7088</v>
      </c>
      <c r="J784" s="246">
        <v>79428509</v>
      </c>
      <c r="K784" s="246">
        <v>87007339</v>
      </c>
      <c r="L784" s="218">
        <v>1327.51</v>
      </c>
      <c r="M784" s="246">
        <v>46704</v>
      </c>
      <c r="N784" s="251">
        <v>81.968299999999999</v>
      </c>
      <c r="O784" s="251">
        <v>90.269099999999995</v>
      </c>
      <c r="P784" s="251">
        <v>90.162800000000004</v>
      </c>
      <c r="Q784" s="251">
        <v>101.0668</v>
      </c>
      <c r="R784" s="254">
        <v>1.0900000000000001</v>
      </c>
      <c r="S784" s="214">
        <v>308590</v>
      </c>
      <c r="T784" s="214">
        <v>1303608</v>
      </c>
      <c r="U784" s="214">
        <v>42145</v>
      </c>
      <c r="V784" s="187">
        <f t="shared" si="28"/>
        <v>1345753</v>
      </c>
      <c r="W784" s="187">
        <f t="shared" si="29"/>
        <v>1654343</v>
      </c>
    </row>
    <row r="785" spans="1:23">
      <c r="A785" s="216" t="s">
        <v>6131</v>
      </c>
      <c r="B785" s="218">
        <v>598.78599999999994</v>
      </c>
      <c r="C785" s="218">
        <v>680.24300000000005</v>
      </c>
      <c r="D785" s="218">
        <v>674.34100000000001</v>
      </c>
      <c r="E785" s="218">
        <v>668.21900000000005</v>
      </c>
      <c r="F785" s="218">
        <v>92</v>
      </c>
      <c r="G785" s="218">
        <v>100.9465</v>
      </c>
      <c r="H785" s="218">
        <v>100.9385</v>
      </c>
      <c r="I785" s="218">
        <v>106.28879999999999</v>
      </c>
      <c r="J785" s="246">
        <v>94917790</v>
      </c>
      <c r="K785" s="246">
        <v>101550780</v>
      </c>
      <c r="L785" s="218">
        <v>985.89800000000002</v>
      </c>
      <c r="M785" s="246">
        <v>52160</v>
      </c>
      <c r="N785" s="251">
        <v>62</v>
      </c>
      <c r="O785" s="251">
        <v>64.476100000000002</v>
      </c>
      <c r="P785" s="251">
        <v>67.084299999999999</v>
      </c>
      <c r="Q785" s="251">
        <v>72.859200000000001</v>
      </c>
      <c r="R785" s="254">
        <v>1.08</v>
      </c>
      <c r="S785" s="214">
        <v>211452</v>
      </c>
      <c r="T785" s="214">
        <v>1817127</v>
      </c>
      <c r="U785" s="214">
        <v>0</v>
      </c>
      <c r="V785" s="187">
        <f t="shared" si="28"/>
        <v>1817127</v>
      </c>
      <c r="W785" s="187">
        <f t="shared" si="29"/>
        <v>2028579</v>
      </c>
    </row>
    <row r="786" spans="1:23">
      <c r="A786" s="216" t="s">
        <v>254</v>
      </c>
      <c r="B786" s="218">
        <v>173.161</v>
      </c>
      <c r="C786" s="218">
        <v>173.47</v>
      </c>
      <c r="D786" s="218">
        <v>169.00399999999999</v>
      </c>
      <c r="E786" s="218">
        <v>164.32300000000001</v>
      </c>
      <c r="F786" s="218">
        <v>30.55</v>
      </c>
      <c r="G786" s="218">
        <v>28.981300000000001</v>
      </c>
      <c r="H786" s="218">
        <v>27.981300000000001</v>
      </c>
      <c r="I786" s="218">
        <v>25.9252</v>
      </c>
      <c r="J786" s="246">
        <v>67921420</v>
      </c>
      <c r="K786" s="246">
        <v>71573010</v>
      </c>
      <c r="L786" s="218">
        <v>289.76100000000002</v>
      </c>
      <c r="M786" s="246">
        <v>56846</v>
      </c>
      <c r="N786" s="251">
        <v>20.751999999999999</v>
      </c>
      <c r="O786" s="251">
        <v>20.5001</v>
      </c>
      <c r="P786" s="251">
        <v>18.5</v>
      </c>
      <c r="Q786" s="251">
        <v>18.393599999999999</v>
      </c>
      <c r="R786" s="254">
        <v>1.1000000000000001</v>
      </c>
      <c r="S786" s="214">
        <v>108296</v>
      </c>
      <c r="T786" s="214">
        <v>1071728</v>
      </c>
      <c r="U786" s="214">
        <v>0</v>
      </c>
      <c r="V786" s="187">
        <f t="shared" si="28"/>
        <v>1071728</v>
      </c>
      <c r="W786" s="187">
        <f t="shared" si="29"/>
        <v>1180024</v>
      </c>
    </row>
    <row r="787" spans="1:23">
      <c r="A787" s="216" t="s">
        <v>256</v>
      </c>
      <c r="B787" s="218">
        <v>511.13900000000001</v>
      </c>
      <c r="C787" s="218">
        <v>518.47</v>
      </c>
      <c r="D787" s="218">
        <v>534.39599999999996</v>
      </c>
      <c r="E787" s="218">
        <v>533.98900000000003</v>
      </c>
      <c r="F787" s="218">
        <v>94.876900000000006</v>
      </c>
      <c r="G787" s="218">
        <v>95.061400000000006</v>
      </c>
      <c r="H787" s="218">
        <v>98.852999999999994</v>
      </c>
      <c r="I787" s="218">
        <v>97.473299999999995</v>
      </c>
      <c r="J787" s="246">
        <v>48587728</v>
      </c>
      <c r="K787" s="246">
        <v>52108124</v>
      </c>
      <c r="L787" s="218">
        <v>949.21</v>
      </c>
      <c r="M787" s="187">
        <v>0</v>
      </c>
      <c r="N787" s="251">
        <v>69.505899999999997</v>
      </c>
      <c r="O787" s="251">
        <v>69.061700000000002</v>
      </c>
      <c r="P787" s="251">
        <v>69.871799999999993</v>
      </c>
      <c r="Q787" s="251">
        <v>64.500900000000001</v>
      </c>
      <c r="R787" s="254">
        <v>1.05</v>
      </c>
      <c r="S787" s="214">
        <v>0</v>
      </c>
      <c r="T787" s="214">
        <v>679256</v>
      </c>
      <c r="U787" s="214">
        <v>0</v>
      </c>
      <c r="V787" s="187">
        <f t="shared" si="28"/>
        <v>679256</v>
      </c>
      <c r="W787" s="187">
        <f t="shared" si="29"/>
        <v>679256</v>
      </c>
    </row>
    <row r="788" spans="1:23">
      <c r="A788" s="216" t="s">
        <v>258</v>
      </c>
      <c r="B788" s="218">
        <v>513.34100000000001</v>
      </c>
      <c r="C788" s="218">
        <v>468.07</v>
      </c>
      <c r="D788" s="218">
        <v>453.93400000000003</v>
      </c>
      <c r="E788" s="218">
        <v>431.166</v>
      </c>
      <c r="F788" s="218">
        <v>91.364800000000002</v>
      </c>
      <c r="G788" s="218">
        <v>86.773399999999995</v>
      </c>
      <c r="H788" s="218">
        <v>85.822299999999998</v>
      </c>
      <c r="I788" s="218">
        <v>80.028199999999998</v>
      </c>
      <c r="J788" s="246">
        <v>75444648</v>
      </c>
      <c r="K788" s="246">
        <v>80441253</v>
      </c>
      <c r="L788" s="218">
        <v>731.35500000000002</v>
      </c>
      <c r="M788" s="246">
        <v>56146</v>
      </c>
      <c r="N788" s="251">
        <v>69.567400000000006</v>
      </c>
      <c r="O788" s="251">
        <v>65.870099999999994</v>
      </c>
      <c r="P788" s="251">
        <v>63.895400000000002</v>
      </c>
      <c r="Q788" s="251">
        <v>58.24</v>
      </c>
      <c r="R788" s="254">
        <v>1.05</v>
      </c>
      <c r="S788" s="214">
        <v>74337</v>
      </c>
      <c r="T788" s="214">
        <v>1057261</v>
      </c>
      <c r="U788" s="214">
        <v>0</v>
      </c>
      <c r="V788" s="187">
        <f t="shared" si="28"/>
        <v>1057261</v>
      </c>
      <c r="W788" s="187">
        <f t="shared" si="29"/>
        <v>1131598</v>
      </c>
    </row>
    <row r="789" spans="1:23">
      <c r="A789" s="216" t="s">
        <v>260</v>
      </c>
      <c r="B789" s="218">
        <v>1154.375</v>
      </c>
      <c r="C789" s="218">
        <v>1131.3030000000001</v>
      </c>
      <c r="D789" s="218">
        <v>1125.7370000000001</v>
      </c>
      <c r="E789" s="218">
        <v>1161.307</v>
      </c>
      <c r="F789" s="218">
        <v>201.70480000000001</v>
      </c>
      <c r="G789" s="218">
        <v>200.0564</v>
      </c>
      <c r="H789" s="218">
        <v>201.39789999999999</v>
      </c>
      <c r="I789" s="218">
        <v>209.9128</v>
      </c>
      <c r="J789" s="246">
        <v>179290175</v>
      </c>
      <c r="K789" s="246">
        <v>188395289</v>
      </c>
      <c r="L789" s="218">
        <v>1886.454</v>
      </c>
      <c r="M789" s="187">
        <v>0</v>
      </c>
      <c r="N789" s="251">
        <v>137.5592</v>
      </c>
      <c r="O789" s="251">
        <v>137.00229999999999</v>
      </c>
      <c r="P789" s="251">
        <v>136.5789</v>
      </c>
      <c r="Q789" s="251">
        <v>144.73070000000001</v>
      </c>
      <c r="R789" s="254">
        <v>1.06</v>
      </c>
      <c r="S789" s="214">
        <v>0</v>
      </c>
      <c r="T789" s="214">
        <v>2201984</v>
      </c>
      <c r="U789" s="214">
        <v>0</v>
      </c>
      <c r="V789" s="187">
        <f t="shared" si="28"/>
        <v>2201984</v>
      </c>
      <c r="W789" s="187">
        <f t="shared" si="29"/>
        <v>2201984</v>
      </c>
    </row>
    <row r="790" spans="1:23">
      <c r="A790" s="216" t="s">
        <v>262</v>
      </c>
      <c r="B790" s="218">
        <v>199.78399999999999</v>
      </c>
      <c r="C790" s="218">
        <v>193.63200000000001</v>
      </c>
      <c r="D790" s="218">
        <v>193.66800000000001</v>
      </c>
      <c r="E790" s="218">
        <v>188.303</v>
      </c>
      <c r="F790" s="218">
        <v>39.418300000000002</v>
      </c>
      <c r="G790" s="218">
        <v>40.174700000000001</v>
      </c>
      <c r="H790" s="218">
        <v>41.372199999999999</v>
      </c>
      <c r="I790" s="218">
        <v>42.244399999999999</v>
      </c>
      <c r="J790" s="246">
        <v>37947058</v>
      </c>
      <c r="K790" s="246">
        <v>39162936</v>
      </c>
      <c r="L790" s="218">
        <v>350.71800000000002</v>
      </c>
      <c r="M790" s="187">
        <v>0</v>
      </c>
      <c r="N790" s="251">
        <v>27.955200000000001</v>
      </c>
      <c r="O790" s="251">
        <v>27.091699999999999</v>
      </c>
      <c r="P790" s="251">
        <v>28.000800000000002</v>
      </c>
      <c r="Q790" s="251">
        <v>27.000800000000002</v>
      </c>
      <c r="R790" s="254">
        <v>1.05</v>
      </c>
      <c r="S790" s="214">
        <v>0</v>
      </c>
      <c r="T790" s="214">
        <v>705730</v>
      </c>
      <c r="U790" s="214">
        <v>0</v>
      </c>
      <c r="V790" s="187">
        <f t="shared" si="28"/>
        <v>705730</v>
      </c>
      <c r="W790" s="187">
        <f t="shared" si="29"/>
        <v>705730</v>
      </c>
    </row>
    <row r="791" spans="1:23">
      <c r="A791" s="216" t="s">
        <v>872</v>
      </c>
      <c r="B791" s="218">
        <v>113.877</v>
      </c>
      <c r="C791" s="218">
        <v>106.29600000000001</v>
      </c>
      <c r="D791" s="218">
        <v>112.361</v>
      </c>
      <c r="E791" s="218">
        <v>109.249</v>
      </c>
      <c r="F791" s="218">
        <v>34.683300000000003</v>
      </c>
      <c r="G791" s="218">
        <v>37.785200000000003</v>
      </c>
      <c r="H791" s="218">
        <v>35.973300000000002</v>
      </c>
      <c r="I791" s="218">
        <v>35.473300000000002</v>
      </c>
      <c r="J791" s="246">
        <v>139363427</v>
      </c>
      <c r="K791" s="246">
        <v>140059807</v>
      </c>
      <c r="L791" s="218">
        <v>274.24099999999999</v>
      </c>
      <c r="M791" s="187">
        <v>0</v>
      </c>
      <c r="N791" s="251">
        <v>20.840900000000001</v>
      </c>
      <c r="O791" s="251">
        <v>23.742899999999999</v>
      </c>
      <c r="P791" s="251">
        <v>22.237500000000001</v>
      </c>
      <c r="Q791" s="251">
        <v>21.955100000000002</v>
      </c>
      <c r="R791" s="254">
        <v>1.1100000000000001</v>
      </c>
      <c r="S791" s="214">
        <v>0</v>
      </c>
      <c r="T791" s="214">
        <v>3043624</v>
      </c>
      <c r="U791" s="214">
        <v>0</v>
      </c>
      <c r="V791" s="187">
        <f t="shared" si="28"/>
        <v>3043624</v>
      </c>
      <c r="W791" s="187">
        <f t="shared" si="29"/>
        <v>3043624</v>
      </c>
    </row>
    <row r="792" spans="1:23">
      <c r="A792" s="216" t="s">
        <v>874</v>
      </c>
      <c r="B792" s="218">
        <v>2485.9960000000001</v>
      </c>
      <c r="C792" s="218">
        <v>2301.8629999999998</v>
      </c>
      <c r="D792" s="218">
        <v>2261.6080000000002</v>
      </c>
      <c r="E792" s="218">
        <v>2243.703</v>
      </c>
      <c r="F792" s="218">
        <v>447.48390000000001</v>
      </c>
      <c r="G792" s="218">
        <v>421.58</v>
      </c>
      <c r="H792" s="218">
        <v>387.11750000000001</v>
      </c>
      <c r="I792" s="218">
        <v>382.1121</v>
      </c>
      <c r="J792" s="246">
        <v>1174543579</v>
      </c>
      <c r="K792" s="246">
        <v>1198623489</v>
      </c>
      <c r="L792" s="218">
        <v>2998.596</v>
      </c>
      <c r="M792" s="246">
        <v>1314084</v>
      </c>
      <c r="N792" s="251">
        <v>263.18470000000002</v>
      </c>
      <c r="O792" s="251">
        <v>241.4776</v>
      </c>
      <c r="P792" s="251">
        <v>225.9238</v>
      </c>
      <c r="Q792" s="251">
        <v>226.82</v>
      </c>
      <c r="R792" s="254">
        <v>1.1299999999999999</v>
      </c>
      <c r="S792" s="214">
        <v>1328884</v>
      </c>
      <c r="T792" s="214">
        <v>16961572</v>
      </c>
      <c r="U792" s="214">
        <v>0</v>
      </c>
      <c r="V792" s="187">
        <f t="shared" si="28"/>
        <v>16961572</v>
      </c>
      <c r="W792" s="187">
        <f t="shared" si="29"/>
        <v>18290456</v>
      </c>
    </row>
    <row r="793" spans="1:23">
      <c r="A793" s="216" t="s">
        <v>876</v>
      </c>
      <c r="B793" s="218">
        <v>512.72900000000004</v>
      </c>
      <c r="C793" s="218">
        <v>501.09100000000001</v>
      </c>
      <c r="D793" s="218">
        <v>492.88900000000001</v>
      </c>
      <c r="E793" s="218">
        <v>486.47</v>
      </c>
      <c r="F793" s="218">
        <v>90.211299999999994</v>
      </c>
      <c r="G793" s="218">
        <v>91.692499999999995</v>
      </c>
      <c r="H793" s="218">
        <v>95.962599999999995</v>
      </c>
      <c r="I793" s="218">
        <v>91</v>
      </c>
      <c r="J793" s="246">
        <v>792112472</v>
      </c>
      <c r="K793" s="246">
        <v>795396268</v>
      </c>
      <c r="L793" s="218">
        <v>935.36199999999997</v>
      </c>
      <c r="M793" s="246">
        <v>919771</v>
      </c>
      <c r="N793" s="251">
        <v>57.723599999999998</v>
      </c>
      <c r="O793" s="251">
        <v>62.740200000000002</v>
      </c>
      <c r="P793" s="251">
        <v>62.570500000000003</v>
      </c>
      <c r="Q793" s="251">
        <v>58.557899999999997</v>
      </c>
      <c r="R793" s="254">
        <v>1.1000000000000001</v>
      </c>
      <c r="S793" s="214">
        <v>917388</v>
      </c>
      <c r="T793" s="214">
        <v>11017537</v>
      </c>
      <c r="U793" s="214">
        <v>0</v>
      </c>
      <c r="V793" s="187">
        <f t="shared" si="28"/>
        <v>11017537</v>
      </c>
      <c r="W793" s="187">
        <f t="shared" si="29"/>
        <v>11934925</v>
      </c>
    </row>
    <row r="794" spans="1:23">
      <c r="A794" s="216" t="s">
        <v>3040</v>
      </c>
      <c r="B794" s="218">
        <v>411.16399999999999</v>
      </c>
      <c r="C794" s="218">
        <v>402.57299999999998</v>
      </c>
      <c r="D794" s="218">
        <v>406.42700000000002</v>
      </c>
      <c r="E794" s="218">
        <v>408.27600000000001</v>
      </c>
      <c r="F794" s="218">
        <v>58.598999999999997</v>
      </c>
      <c r="G794" s="218">
        <v>59.839599999999997</v>
      </c>
      <c r="H794" s="218">
        <v>60.839599999999997</v>
      </c>
      <c r="I794" s="218">
        <v>65.3476</v>
      </c>
      <c r="J794" s="246">
        <v>271684925</v>
      </c>
      <c r="K794" s="246">
        <v>275384605</v>
      </c>
      <c r="L794" s="218">
        <v>723.62599999999998</v>
      </c>
      <c r="M794" s="246">
        <v>291901</v>
      </c>
      <c r="N794" s="251">
        <v>43.000999999999998</v>
      </c>
      <c r="O794" s="251">
        <v>43.116700000000002</v>
      </c>
      <c r="P794" s="251">
        <v>43.003999999999998</v>
      </c>
      <c r="Q794" s="251">
        <v>46.119500000000002</v>
      </c>
      <c r="R794" s="254">
        <v>1.05</v>
      </c>
      <c r="S794" s="214">
        <v>271665</v>
      </c>
      <c r="T794" s="214">
        <v>3724231</v>
      </c>
      <c r="U794" s="214">
        <v>0</v>
      </c>
      <c r="V794" s="187">
        <f t="shared" si="28"/>
        <v>3724231</v>
      </c>
      <c r="W794" s="187">
        <f t="shared" si="29"/>
        <v>3995896</v>
      </c>
    </row>
    <row r="795" spans="1:23">
      <c r="A795" s="216" t="s">
        <v>3042</v>
      </c>
      <c r="B795" s="218">
        <v>282.88600000000002</v>
      </c>
      <c r="C795" s="218">
        <v>252.506</v>
      </c>
      <c r="D795" s="218">
        <v>266.702</v>
      </c>
      <c r="E795" s="218">
        <v>270.54599999999999</v>
      </c>
      <c r="F795" s="218">
        <v>58.069499999999998</v>
      </c>
      <c r="G795" s="218">
        <v>60.713900000000002</v>
      </c>
      <c r="H795" s="218">
        <v>55.334200000000003</v>
      </c>
      <c r="I795" s="218">
        <v>57.895699999999998</v>
      </c>
      <c r="J795" s="246">
        <v>63178482</v>
      </c>
      <c r="K795" s="246">
        <v>67996623</v>
      </c>
      <c r="L795" s="218">
        <v>488.483</v>
      </c>
      <c r="M795" s="187">
        <v>0</v>
      </c>
      <c r="N795" s="251">
        <v>39.273800000000001</v>
      </c>
      <c r="O795" s="251">
        <v>38.779000000000003</v>
      </c>
      <c r="P795" s="251">
        <v>37.0548</v>
      </c>
      <c r="Q795" s="251">
        <v>37.0045</v>
      </c>
      <c r="R795" s="254">
        <v>1.06</v>
      </c>
      <c r="S795" s="214">
        <v>0</v>
      </c>
      <c r="T795" s="214">
        <v>908362</v>
      </c>
      <c r="U795" s="214">
        <v>0</v>
      </c>
      <c r="V795" s="187">
        <f t="shared" si="28"/>
        <v>908362</v>
      </c>
      <c r="W795" s="187">
        <f t="shared" si="29"/>
        <v>908362</v>
      </c>
    </row>
    <row r="796" spans="1:23">
      <c r="A796" s="216" t="s">
        <v>709</v>
      </c>
      <c r="B796" s="218">
        <v>1090.672</v>
      </c>
      <c r="C796" s="218">
        <v>1066.518</v>
      </c>
      <c r="D796" s="218">
        <v>1085.8309999999999</v>
      </c>
      <c r="E796" s="218">
        <v>1055.7529999999999</v>
      </c>
      <c r="F796" s="218">
        <v>189.56030000000001</v>
      </c>
      <c r="G796" s="218">
        <v>198.9845</v>
      </c>
      <c r="H796" s="218">
        <v>191.47550000000001</v>
      </c>
      <c r="I796" s="218">
        <v>184.22829999999999</v>
      </c>
      <c r="J796" s="246">
        <v>176456899</v>
      </c>
      <c r="K796" s="246">
        <v>184339292</v>
      </c>
      <c r="L796" s="218">
        <v>1726.5450000000001</v>
      </c>
      <c r="M796" s="246">
        <v>189688</v>
      </c>
      <c r="N796" s="251">
        <v>117.7114</v>
      </c>
      <c r="O796" s="251">
        <v>126.1999</v>
      </c>
      <c r="P796" s="251">
        <v>123.18989999999999</v>
      </c>
      <c r="Q796" s="251">
        <v>123.43049999999999</v>
      </c>
      <c r="R796" s="254">
        <v>1.07</v>
      </c>
      <c r="S796" s="214">
        <v>188674</v>
      </c>
      <c r="T796" s="214">
        <v>2469305</v>
      </c>
      <c r="U796" s="214">
        <v>0</v>
      </c>
      <c r="V796" s="187">
        <f t="shared" si="28"/>
        <v>2469305</v>
      </c>
      <c r="W796" s="187">
        <f t="shared" si="29"/>
        <v>2657979</v>
      </c>
    </row>
    <row r="797" spans="1:23">
      <c r="A797" s="216" t="s">
        <v>3044</v>
      </c>
      <c r="B797" s="218">
        <v>241.03399999999999</v>
      </c>
      <c r="C797" s="218">
        <v>228.00299999999999</v>
      </c>
      <c r="D797" s="218">
        <v>221.11699999999999</v>
      </c>
      <c r="E797" s="218">
        <v>251.16300000000001</v>
      </c>
      <c r="F797" s="218">
        <v>40.791499999999999</v>
      </c>
      <c r="G797" s="218">
        <v>40.909100000000002</v>
      </c>
      <c r="H797" s="218">
        <v>42.5</v>
      </c>
      <c r="I797" s="218">
        <v>43.462600000000002</v>
      </c>
      <c r="J797" s="246">
        <v>87572975</v>
      </c>
      <c r="K797" s="246">
        <v>89761822</v>
      </c>
      <c r="L797" s="218">
        <v>465.55500000000001</v>
      </c>
      <c r="M797" s="187">
        <v>0</v>
      </c>
      <c r="N797" s="251">
        <v>26.445499999999999</v>
      </c>
      <c r="O797" s="251">
        <v>26.908300000000001</v>
      </c>
      <c r="P797" s="251">
        <v>27.000800000000002</v>
      </c>
      <c r="Q797" s="251">
        <v>27.963699999999999</v>
      </c>
      <c r="R797" s="254">
        <v>1.07</v>
      </c>
      <c r="S797" s="214">
        <v>0</v>
      </c>
      <c r="T797" s="214">
        <v>1228931</v>
      </c>
      <c r="U797" s="214">
        <v>0</v>
      </c>
      <c r="V797" s="187">
        <f t="shared" si="28"/>
        <v>1228931</v>
      </c>
      <c r="W797" s="187">
        <f t="shared" si="29"/>
        <v>1228931</v>
      </c>
    </row>
    <row r="798" spans="1:23">
      <c r="A798" s="216" t="s">
        <v>2992</v>
      </c>
      <c r="B798" s="218">
        <v>3788.634</v>
      </c>
      <c r="C798" s="218">
        <v>3807.5839999999998</v>
      </c>
      <c r="D798" s="218">
        <v>3836.63</v>
      </c>
      <c r="E798" s="218">
        <v>3787.6979999999999</v>
      </c>
      <c r="F798" s="218">
        <v>541.02520000000004</v>
      </c>
      <c r="G798" s="218">
        <v>572.02919999999995</v>
      </c>
      <c r="H798" s="218">
        <v>577.84270000000004</v>
      </c>
      <c r="I798" s="218">
        <v>583.87339999999995</v>
      </c>
      <c r="J798" s="246">
        <v>684435194</v>
      </c>
      <c r="K798" s="246">
        <v>734901868</v>
      </c>
      <c r="L798" s="218">
        <v>5295.0129999999999</v>
      </c>
      <c r="M798" s="246">
        <v>39457</v>
      </c>
      <c r="N798" s="251">
        <v>351.6902</v>
      </c>
      <c r="O798" s="251">
        <v>362.37360000000001</v>
      </c>
      <c r="P798" s="251">
        <v>360.2595</v>
      </c>
      <c r="Q798" s="251">
        <v>365.08850000000001</v>
      </c>
      <c r="R798" s="254">
        <v>1.07</v>
      </c>
      <c r="S798" s="214">
        <v>540447</v>
      </c>
      <c r="T798" s="214">
        <v>10460862</v>
      </c>
      <c r="U798" s="214">
        <v>0</v>
      </c>
      <c r="V798" s="187">
        <f t="shared" si="28"/>
        <v>10460862</v>
      </c>
      <c r="W798" s="187">
        <f t="shared" si="29"/>
        <v>11001309</v>
      </c>
    </row>
    <row r="799" spans="1:23">
      <c r="A799" s="216" t="s">
        <v>3046</v>
      </c>
      <c r="B799" s="218">
        <v>469.31799999999998</v>
      </c>
      <c r="C799" s="218">
        <v>477.654</v>
      </c>
      <c r="D799" s="218">
        <v>523.87800000000004</v>
      </c>
      <c r="E799" s="218">
        <v>612.74599999999998</v>
      </c>
      <c r="F799" s="218">
        <v>77.7042</v>
      </c>
      <c r="G799" s="218">
        <v>77.375699999999995</v>
      </c>
      <c r="H799" s="218">
        <v>89.078999999999994</v>
      </c>
      <c r="I799" s="218">
        <v>99.9773</v>
      </c>
      <c r="J799" s="246">
        <v>181241431</v>
      </c>
      <c r="K799" s="246">
        <v>199028240</v>
      </c>
      <c r="L799" s="218">
        <v>1036.364</v>
      </c>
      <c r="M799" s="246">
        <v>182574</v>
      </c>
      <c r="N799" s="251">
        <v>45.868499999999997</v>
      </c>
      <c r="O799" s="251">
        <v>50.2652</v>
      </c>
      <c r="P799" s="251">
        <v>56.802700000000002</v>
      </c>
      <c r="Q799" s="251">
        <v>62.7333</v>
      </c>
      <c r="R799" s="254">
        <v>1.05</v>
      </c>
      <c r="S799" s="214">
        <v>481035</v>
      </c>
      <c r="T799" s="214">
        <v>2594600</v>
      </c>
      <c r="U799" s="214">
        <v>0</v>
      </c>
      <c r="V799" s="187">
        <f t="shared" si="28"/>
        <v>2594600</v>
      </c>
      <c r="W799" s="187">
        <f t="shared" si="29"/>
        <v>3075635</v>
      </c>
    </row>
    <row r="800" spans="1:23">
      <c r="A800" s="216" t="s">
        <v>264</v>
      </c>
      <c r="B800" s="218">
        <v>25786.792000000001</v>
      </c>
      <c r="C800" s="218">
        <v>25960.253000000001</v>
      </c>
      <c r="D800" s="218">
        <v>26373.987000000001</v>
      </c>
      <c r="E800" s="218">
        <v>26726.641</v>
      </c>
      <c r="F800" s="218">
        <v>3505.5517</v>
      </c>
      <c r="G800" s="218">
        <v>3683.1208999999999</v>
      </c>
      <c r="H800" s="218">
        <v>3622.4816999999998</v>
      </c>
      <c r="I800" s="218">
        <v>3658.4335999999998</v>
      </c>
      <c r="J800" s="246">
        <v>4860724173</v>
      </c>
      <c r="K800" s="246">
        <v>5188091382</v>
      </c>
      <c r="L800" s="218">
        <v>35050.427000000003</v>
      </c>
      <c r="M800" s="246">
        <v>3597945</v>
      </c>
      <c r="N800" s="251">
        <v>2170.6433999999999</v>
      </c>
      <c r="O800" s="251">
        <v>2266.4425999999999</v>
      </c>
      <c r="P800" s="251">
        <v>2251.9488999999999</v>
      </c>
      <c r="Q800" s="251">
        <v>2271.1981999999998</v>
      </c>
      <c r="R800" s="254">
        <v>1.1100000000000001</v>
      </c>
      <c r="S800" s="214">
        <v>5521916</v>
      </c>
      <c r="T800" s="214">
        <v>74182518</v>
      </c>
      <c r="U800" s="214">
        <v>0</v>
      </c>
      <c r="V800" s="187">
        <f t="shared" si="28"/>
        <v>74182518</v>
      </c>
      <c r="W800" s="187">
        <f t="shared" si="29"/>
        <v>79704434</v>
      </c>
    </row>
    <row r="801" spans="1:23">
      <c r="A801" s="216" t="s">
        <v>2306</v>
      </c>
      <c r="B801" s="218">
        <v>1360.2819999999999</v>
      </c>
      <c r="C801" s="218">
        <v>1372.835</v>
      </c>
      <c r="D801" s="218">
        <v>1374.6389999999999</v>
      </c>
      <c r="E801" s="218">
        <v>1336.5609999999999</v>
      </c>
      <c r="F801" s="218">
        <v>218.3742</v>
      </c>
      <c r="G801" s="218">
        <v>211.5557</v>
      </c>
      <c r="H801" s="218">
        <v>212.04349999999999</v>
      </c>
      <c r="I801" s="218">
        <v>210.72</v>
      </c>
      <c r="J801" s="246">
        <v>160504606</v>
      </c>
      <c r="K801" s="246">
        <v>177089258</v>
      </c>
      <c r="L801" s="218">
        <v>1850.6110000000001</v>
      </c>
      <c r="M801" s="246">
        <v>3574</v>
      </c>
      <c r="N801" s="251">
        <v>129.0582</v>
      </c>
      <c r="O801" s="251">
        <v>127.5031</v>
      </c>
      <c r="P801" s="251">
        <v>127.0625</v>
      </c>
      <c r="Q801" s="251">
        <v>131.13229999999999</v>
      </c>
      <c r="R801" s="254">
        <v>1.05</v>
      </c>
      <c r="S801" s="214">
        <v>121604</v>
      </c>
      <c r="T801" s="214">
        <v>2550217</v>
      </c>
      <c r="U801" s="214">
        <v>0</v>
      </c>
      <c r="V801" s="187">
        <f t="shared" si="28"/>
        <v>2550217</v>
      </c>
      <c r="W801" s="187">
        <f t="shared" si="29"/>
        <v>2671821</v>
      </c>
    </row>
    <row r="802" spans="1:23">
      <c r="A802" s="216" t="s">
        <v>3048</v>
      </c>
      <c r="B802" s="218">
        <v>784.45500000000004</v>
      </c>
      <c r="C802" s="218">
        <v>772.51</v>
      </c>
      <c r="D802" s="218">
        <v>783.7</v>
      </c>
      <c r="E802" s="218">
        <v>761.99199999999996</v>
      </c>
      <c r="F802" s="218">
        <v>119.508</v>
      </c>
      <c r="G802" s="218">
        <v>119.56959999999999</v>
      </c>
      <c r="H802" s="218">
        <v>120.2017</v>
      </c>
      <c r="I802" s="218">
        <v>121.0359</v>
      </c>
      <c r="J802" s="246">
        <v>662244048</v>
      </c>
      <c r="K802" s="246">
        <v>664148686</v>
      </c>
      <c r="L802" s="218">
        <v>1232.7159999999999</v>
      </c>
      <c r="M802" s="246">
        <v>598333</v>
      </c>
      <c r="N802" s="251">
        <v>79.6173</v>
      </c>
      <c r="O802" s="251">
        <v>76.054699999999997</v>
      </c>
      <c r="P802" s="251">
        <v>75.354100000000003</v>
      </c>
      <c r="Q802" s="251">
        <v>73.498599999999996</v>
      </c>
      <c r="R802" s="254">
        <v>1.05</v>
      </c>
      <c r="S802" s="214">
        <v>900384</v>
      </c>
      <c r="T802" s="214">
        <v>9223685</v>
      </c>
      <c r="U802" s="214">
        <v>0</v>
      </c>
      <c r="V802" s="187">
        <f t="shared" si="28"/>
        <v>9223685</v>
      </c>
      <c r="W802" s="187">
        <f t="shared" si="29"/>
        <v>10124069</v>
      </c>
    </row>
    <row r="803" spans="1:23">
      <c r="A803" s="216" t="s">
        <v>3049</v>
      </c>
      <c r="B803" s="218">
        <v>490.97399999999999</v>
      </c>
      <c r="C803" s="218">
        <v>509.21899999999999</v>
      </c>
      <c r="D803" s="218">
        <v>517.52800000000002</v>
      </c>
      <c r="E803" s="218">
        <v>542.755</v>
      </c>
      <c r="F803" s="218">
        <v>82.974100000000007</v>
      </c>
      <c r="G803" s="218">
        <v>88.936199999999999</v>
      </c>
      <c r="H803" s="218">
        <v>98.2286</v>
      </c>
      <c r="I803" s="218">
        <v>96.347099999999998</v>
      </c>
      <c r="J803" s="246">
        <v>445905589</v>
      </c>
      <c r="K803" s="246">
        <v>454696243</v>
      </c>
      <c r="L803" s="218">
        <v>886.06700000000001</v>
      </c>
      <c r="M803" s="187">
        <v>0</v>
      </c>
      <c r="N803" s="251">
        <v>56.222999999999999</v>
      </c>
      <c r="O803" s="251">
        <v>58.385399999999997</v>
      </c>
      <c r="P803" s="251">
        <v>62.500799999999998</v>
      </c>
      <c r="Q803" s="251">
        <v>60.500500000000002</v>
      </c>
      <c r="R803" s="254">
        <v>1.04</v>
      </c>
      <c r="S803" s="214">
        <v>335731</v>
      </c>
      <c r="T803" s="214">
        <v>6578977</v>
      </c>
      <c r="U803" s="214">
        <v>0</v>
      </c>
      <c r="V803" s="187">
        <f t="shared" si="28"/>
        <v>6578977</v>
      </c>
      <c r="W803" s="187">
        <f t="shared" si="29"/>
        <v>6914708</v>
      </c>
    </row>
    <row r="804" spans="1:23">
      <c r="A804" s="216" t="s">
        <v>5035</v>
      </c>
      <c r="B804" s="218">
        <v>487.34800000000001</v>
      </c>
      <c r="C804" s="218">
        <v>456.06</v>
      </c>
      <c r="D804" s="218">
        <v>455.108</v>
      </c>
      <c r="E804" s="218">
        <v>442.64299999999997</v>
      </c>
      <c r="F804" s="218">
        <v>86.682100000000005</v>
      </c>
      <c r="G804" s="218">
        <v>90.953699999999998</v>
      </c>
      <c r="H804" s="218">
        <v>90.898600000000002</v>
      </c>
      <c r="I804" s="218">
        <v>87.732799999999997</v>
      </c>
      <c r="J804" s="246">
        <v>104168565</v>
      </c>
      <c r="K804" s="246">
        <v>110142775</v>
      </c>
      <c r="L804" s="218">
        <v>868.08900000000006</v>
      </c>
      <c r="M804" s="187">
        <v>0</v>
      </c>
      <c r="N804" s="251">
        <v>58.756999999999998</v>
      </c>
      <c r="O804" s="251">
        <v>60.3748</v>
      </c>
      <c r="P804" s="251">
        <v>59.845799999999997</v>
      </c>
      <c r="Q804" s="251">
        <v>55.953099999999999</v>
      </c>
      <c r="R804" s="254">
        <v>1.06</v>
      </c>
      <c r="S804" s="214">
        <v>141111</v>
      </c>
      <c r="T804" s="214">
        <v>1211530</v>
      </c>
      <c r="U804" s="214">
        <v>0</v>
      </c>
      <c r="V804" s="187">
        <f t="shared" si="28"/>
        <v>1211530</v>
      </c>
      <c r="W804" s="187">
        <f t="shared" si="29"/>
        <v>1352641</v>
      </c>
    </row>
    <row r="805" spans="1:23">
      <c r="A805" s="216" t="s">
        <v>5131</v>
      </c>
      <c r="B805" s="218">
        <v>1363.145</v>
      </c>
      <c r="C805" s="218">
        <v>1352.635</v>
      </c>
      <c r="D805" s="218">
        <v>1379.356</v>
      </c>
      <c r="E805" s="218">
        <v>1382.6379999999999</v>
      </c>
      <c r="F805" s="218">
        <v>221.78129999999999</v>
      </c>
      <c r="G805" s="218">
        <v>218.5034</v>
      </c>
      <c r="H805" s="218">
        <v>220.86150000000001</v>
      </c>
      <c r="I805" s="218">
        <v>229.6069</v>
      </c>
      <c r="J805" s="246">
        <v>70993093</v>
      </c>
      <c r="K805" s="246">
        <v>78461460</v>
      </c>
      <c r="L805" s="218">
        <v>2116.7179999999998</v>
      </c>
      <c r="M805" s="246">
        <v>36607</v>
      </c>
      <c r="N805" s="251">
        <v>145.33029999999999</v>
      </c>
      <c r="O805" s="251">
        <v>137.5882</v>
      </c>
      <c r="P805" s="251">
        <v>137.38570000000001</v>
      </c>
      <c r="Q805" s="251">
        <v>140.12219999999999</v>
      </c>
      <c r="R805" s="254">
        <v>1.1000000000000001</v>
      </c>
      <c r="S805" s="214">
        <v>173927</v>
      </c>
      <c r="T805" s="214">
        <v>822774</v>
      </c>
      <c r="U805" s="214">
        <v>0</v>
      </c>
      <c r="V805" s="187">
        <f t="shared" si="28"/>
        <v>822774</v>
      </c>
      <c r="W805" s="187">
        <f t="shared" si="29"/>
        <v>996701</v>
      </c>
    </row>
    <row r="806" spans="1:23">
      <c r="A806" s="216" t="s">
        <v>5231</v>
      </c>
      <c r="B806" s="218">
        <v>1352.6420000000001</v>
      </c>
      <c r="C806" s="218">
        <v>1370.9369999999999</v>
      </c>
      <c r="D806" s="218">
        <v>1367.211</v>
      </c>
      <c r="E806" s="218">
        <v>1416.4570000000001</v>
      </c>
      <c r="F806" s="218">
        <v>219.79730000000001</v>
      </c>
      <c r="G806" s="218">
        <v>226.65539999999999</v>
      </c>
      <c r="H806" s="218">
        <v>228.749</v>
      </c>
      <c r="I806" s="218">
        <v>233.98650000000001</v>
      </c>
      <c r="J806" s="246">
        <v>253511183</v>
      </c>
      <c r="K806" s="246">
        <v>275571145</v>
      </c>
      <c r="L806" s="218">
        <v>1995.5239999999999</v>
      </c>
      <c r="M806" s="246">
        <v>184912</v>
      </c>
      <c r="N806" s="251">
        <v>136.94759999999999</v>
      </c>
      <c r="O806" s="251">
        <v>142.3449</v>
      </c>
      <c r="P806" s="251">
        <v>151.97730000000001</v>
      </c>
      <c r="Q806" s="251">
        <v>151.29159999999999</v>
      </c>
      <c r="R806" s="254">
        <v>1.04</v>
      </c>
      <c r="S806" s="214">
        <v>192159</v>
      </c>
      <c r="T806" s="214">
        <v>4085459</v>
      </c>
      <c r="U806" s="214">
        <v>0</v>
      </c>
      <c r="V806" s="187">
        <f t="shared" si="28"/>
        <v>4085459</v>
      </c>
      <c r="W806" s="187">
        <f t="shared" si="29"/>
        <v>4277618</v>
      </c>
    </row>
    <row r="807" spans="1:23">
      <c r="A807" s="216" t="s">
        <v>3109</v>
      </c>
      <c r="B807" s="218">
        <v>6822.9359999999997</v>
      </c>
      <c r="C807" s="218">
        <v>6851.2610000000004</v>
      </c>
      <c r="D807" s="218">
        <v>6943.6120000000001</v>
      </c>
      <c r="E807" s="218">
        <v>7029.11</v>
      </c>
      <c r="F807" s="218">
        <v>851.78970000000004</v>
      </c>
      <c r="G807" s="218">
        <v>998.3981</v>
      </c>
      <c r="H807" s="218">
        <v>975.54259999999999</v>
      </c>
      <c r="I807" s="218">
        <v>986.73519999999996</v>
      </c>
      <c r="J807" s="246">
        <v>1500674779</v>
      </c>
      <c r="K807" s="246">
        <v>1587763858</v>
      </c>
      <c r="L807" s="218">
        <v>8540.4069999999992</v>
      </c>
      <c r="M807" s="246">
        <v>1427362</v>
      </c>
      <c r="N807" s="251">
        <v>553.88760000000002</v>
      </c>
      <c r="O807" s="251">
        <v>564.24710000000005</v>
      </c>
      <c r="P807" s="251">
        <v>559.17179999999996</v>
      </c>
      <c r="Q807" s="251">
        <v>572.30930000000001</v>
      </c>
      <c r="R807" s="254">
        <v>1.06</v>
      </c>
      <c r="S807" s="214">
        <v>3187758</v>
      </c>
      <c r="T807" s="214">
        <v>22728183</v>
      </c>
      <c r="U807" s="214">
        <v>0</v>
      </c>
      <c r="V807" s="187">
        <f t="shared" si="28"/>
        <v>22728183</v>
      </c>
      <c r="W807" s="187">
        <f t="shared" si="29"/>
        <v>25915941</v>
      </c>
    </row>
    <row r="808" spans="1:23">
      <c r="A808" s="216" t="s">
        <v>3111</v>
      </c>
      <c r="B808" s="218">
        <v>890.12699999999995</v>
      </c>
      <c r="C808" s="218">
        <v>847.47699999999998</v>
      </c>
      <c r="D808" s="218">
        <v>821.88300000000004</v>
      </c>
      <c r="E808" s="218">
        <v>783.54200000000003</v>
      </c>
      <c r="F808" s="218">
        <v>155.80500000000001</v>
      </c>
      <c r="G808" s="218">
        <v>155.72890000000001</v>
      </c>
      <c r="H808" s="218">
        <v>153.08969999999999</v>
      </c>
      <c r="I808" s="218">
        <v>147.0273</v>
      </c>
      <c r="J808" s="246">
        <v>470045243</v>
      </c>
      <c r="K808" s="246">
        <v>476549898</v>
      </c>
      <c r="L808" s="218">
        <v>1426.8140000000001</v>
      </c>
      <c r="M808" s="187">
        <v>0</v>
      </c>
      <c r="N808" s="251">
        <v>107.0005</v>
      </c>
      <c r="O808" s="251">
        <v>103.35680000000001</v>
      </c>
      <c r="P808" s="251">
        <v>105.00320000000001</v>
      </c>
      <c r="Q808" s="251">
        <v>97.306600000000003</v>
      </c>
      <c r="R808" s="254">
        <v>1.0900000000000001</v>
      </c>
      <c r="S808" s="214">
        <v>0</v>
      </c>
      <c r="T808" s="214">
        <v>6803389</v>
      </c>
      <c r="U808" s="214">
        <v>0</v>
      </c>
      <c r="V808" s="187">
        <f t="shared" si="28"/>
        <v>6803389</v>
      </c>
      <c r="W808" s="187">
        <f t="shared" si="29"/>
        <v>6803389</v>
      </c>
    </row>
    <row r="809" spans="1:23">
      <c r="A809" s="216" t="s">
        <v>3113</v>
      </c>
      <c r="B809" s="218">
        <v>267.14</v>
      </c>
      <c r="C809" s="218">
        <v>277.27</v>
      </c>
      <c r="D809" s="218">
        <v>282.28399999999999</v>
      </c>
      <c r="E809" s="218">
        <v>279.291</v>
      </c>
      <c r="F809" s="218">
        <v>56.0107</v>
      </c>
      <c r="G809" s="218">
        <v>55.048099999999998</v>
      </c>
      <c r="H809" s="218">
        <v>51.636400000000002</v>
      </c>
      <c r="I809" s="218">
        <v>61.611899999999999</v>
      </c>
      <c r="J809" s="246">
        <v>105291853</v>
      </c>
      <c r="K809" s="246">
        <v>110532471</v>
      </c>
      <c r="L809" s="218">
        <v>577.72400000000005</v>
      </c>
      <c r="M809" s="187">
        <v>0</v>
      </c>
      <c r="N809" s="251">
        <v>37.000399999999999</v>
      </c>
      <c r="O809" s="251">
        <v>39.107300000000002</v>
      </c>
      <c r="P809" s="251">
        <v>36.514800000000001</v>
      </c>
      <c r="Q809" s="251">
        <v>34.978400000000001</v>
      </c>
      <c r="R809" s="254">
        <v>1.05</v>
      </c>
      <c r="S809" s="214">
        <v>0</v>
      </c>
      <c r="T809" s="214">
        <v>1500880</v>
      </c>
      <c r="U809" s="214">
        <v>0</v>
      </c>
      <c r="V809" s="187">
        <f t="shared" si="28"/>
        <v>1500880</v>
      </c>
      <c r="W809" s="187">
        <f t="shared" si="29"/>
        <v>1500880</v>
      </c>
    </row>
    <row r="810" spans="1:23">
      <c r="A810" s="216" t="s">
        <v>975</v>
      </c>
      <c r="B810" s="218">
        <v>364.44400000000002</v>
      </c>
      <c r="C810" s="218">
        <v>355.82100000000003</v>
      </c>
      <c r="D810" s="218">
        <v>376.86</v>
      </c>
      <c r="E810" s="218">
        <v>369.50400000000002</v>
      </c>
      <c r="F810" s="218">
        <v>60.882300000000001</v>
      </c>
      <c r="G810" s="218">
        <v>59.811399999999999</v>
      </c>
      <c r="H810" s="218">
        <v>61.184399999999997</v>
      </c>
      <c r="I810" s="218">
        <v>57.979100000000003</v>
      </c>
      <c r="J810" s="246">
        <v>30902534</v>
      </c>
      <c r="K810" s="246">
        <v>35314914</v>
      </c>
      <c r="L810" s="218">
        <v>644.85</v>
      </c>
      <c r="M810" s="187">
        <v>0</v>
      </c>
      <c r="N810" s="251">
        <v>39.4634</v>
      </c>
      <c r="O810" s="251">
        <v>38.817900000000002</v>
      </c>
      <c r="P810" s="251">
        <v>38.212699999999998</v>
      </c>
      <c r="Q810" s="251">
        <v>39.094799999999999</v>
      </c>
      <c r="R810" s="254">
        <v>1.05</v>
      </c>
      <c r="S810" s="214">
        <v>0</v>
      </c>
      <c r="T810" s="214">
        <v>417021</v>
      </c>
      <c r="U810" s="214">
        <v>18081</v>
      </c>
      <c r="V810" s="187">
        <f t="shared" si="28"/>
        <v>435102</v>
      </c>
      <c r="W810" s="187">
        <f t="shared" si="29"/>
        <v>435102</v>
      </c>
    </row>
    <row r="811" spans="1:23">
      <c r="A811" s="216" t="s">
        <v>2771</v>
      </c>
      <c r="B811" s="218">
        <v>671.17</v>
      </c>
      <c r="C811" s="218">
        <v>661.34799999999996</v>
      </c>
      <c r="D811" s="218">
        <v>641.375</v>
      </c>
      <c r="E811" s="218">
        <v>674.61300000000006</v>
      </c>
      <c r="F811" s="218">
        <v>96.656800000000004</v>
      </c>
      <c r="G811" s="218">
        <v>93.882300000000001</v>
      </c>
      <c r="H811" s="218">
        <v>96.652699999999996</v>
      </c>
      <c r="I811" s="218">
        <v>95.607299999999995</v>
      </c>
      <c r="J811" s="246">
        <v>87846120</v>
      </c>
      <c r="K811" s="246">
        <v>97996192</v>
      </c>
      <c r="L811" s="218">
        <v>1083.6400000000001</v>
      </c>
      <c r="M811" s="246">
        <v>74677</v>
      </c>
      <c r="N811" s="251">
        <v>68.628299999999996</v>
      </c>
      <c r="O811" s="251">
        <v>67.182000000000002</v>
      </c>
      <c r="P811" s="251">
        <v>66.049400000000006</v>
      </c>
      <c r="Q811" s="251">
        <v>65.865499999999997</v>
      </c>
      <c r="R811" s="254">
        <v>1.05</v>
      </c>
      <c r="S811" s="214">
        <v>186159</v>
      </c>
      <c r="T811" s="214">
        <v>1012860</v>
      </c>
      <c r="U811" s="214">
        <v>0</v>
      </c>
      <c r="V811" s="187">
        <f t="shared" si="28"/>
        <v>1012860</v>
      </c>
      <c r="W811" s="187">
        <f t="shared" si="29"/>
        <v>1199019</v>
      </c>
    </row>
    <row r="812" spans="1:23">
      <c r="A812" s="216" t="s">
        <v>2821</v>
      </c>
      <c r="B812" s="218">
        <v>1140.0250000000001</v>
      </c>
      <c r="C812" s="218">
        <v>1094.925</v>
      </c>
      <c r="D812" s="218">
        <v>1061.8579999999999</v>
      </c>
      <c r="E812" s="218">
        <v>1015.2809999999999</v>
      </c>
      <c r="F812" s="218">
        <v>216.6705</v>
      </c>
      <c r="G812" s="218">
        <v>215.66919999999999</v>
      </c>
      <c r="H812" s="218">
        <v>219.82759999999999</v>
      </c>
      <c r="I812" s="218">
        <v>228.601</v>
      </c>
      <c r="J812" s="246">
        <v>159523297</v>
      </c>
      <c r="K812" s="246">
        <v>176115067</v>
      </c>
      <c r="L812" s="218">
        <v>1812.307</v>
      </c>
      <c r="M812" s="187">
        <v>0</v>
      </c>
      <c r="N812" s="251">
        <v>140.929</v>
      </c>
      <c r="O812" s="251">
        <v>135.44130000000001</v>
      </c>
      <c r="P812" s="251">
        <v>137.35830000000001</v>
      </c>
      <c r="Q812" s="251">
        <v>140.4639</v>
      </c>
      <c r="R812" s="254">
        <v>1.05</v>
      </c>
      <c r="S812" s="214">
        <v>0</v>
      </c>
      <c r="T812" s="214">
        <v>2070818</v>
      </c>
      <c r="U812" s="214">
        <v>0</v>
      </c>
      <c r="V812" s="187">
        <f t="shared" si="28"/>
        <v>2070818</v>
      </c>
      <c r="W812" s="187">
        <f t="shared" si="29"/>
        <v>2070818</v>
      </c>
    </row>
    <row r="813" spans="1:23">
      <c r="A813" s="216" t="s">
        <v>4589</v>
      </c>
      <c r="B813" s="218">
        <v>467.78699999999998</v>
      </c>
      <c r="C813" s="218">
        <v>463.85899999999998</v>
      </c>
      <c r="D813" s="218">
        <v>467.20499999999998</v>
      </c>
      <c r="E813" s="218">
        <v>475.54</v>
      </c>
      <c r="F813" s="218">
        <v>97.143799999999999</v>
      </c>
      <c r="G813" s="218">
        <v>99.8733</v>
      </c>
      <c r="H813" s="218">
        <v>101.81780000000001</v>
      </c>
      <c r="I813" s="218">
        <v>106.4969</v>
      </c>
      <c r="J813" s="246">
        <v>39243067</v>
      </c>
      <c r="K813" s="246">
        <v>44465297</v>
      </c>
      <c r="L813" s="218">
        <v>803.47400000000005</v>
      </c>
      <c r="M813" s="187">
        <v>0</v>
      </c>
      <c r="N813" s="251">
        <v>67.778999999999996</v>
      </c>
      <c r="O813" s="251">
        <v>72.213399999999993</v>
      </c>
      <c r="P813" s="251">
        <v>73.649000000000001</v>
      </c>
      <c r="Q813" s="251">
        <v>69.655600000000007</v>
      </c>
      <c r="R813" s="254">
        <v>1.04</v>
      </c>
      <c r="S813" s="214">
        <v>21081</v>
      </c>
      <c r="T813" s="214">
        <v>544031</v>
      </c>
      <c r="U813" s="214">
        <v>0</v>
      </c>
      <c r="V813" s="187">
        <f t="shared" si="28"/>
        <v>544031</v>
      </c>
      <c r="W813" s="187">
        <f t="shared" si="29"/>
        <v>565112</v>
      </c>
    </row>
    <row r="814" spans="1:23">
      <c r="A814" s="216" t="s">
        <v>2572</v>
      </c>
      <c r="B814" s="218">
        <v>2753.73</v>
      </c>
      <c r="C814" s="218">
        <v>2609.165</v>
      </c>
      <c r="D814" s="218">
        <v>2530.3679999999999</v>
      </c>
      <c r="E814" s="218">
        <v>2421.4769999999999</v>
      </c>
      <c r="F814" s="218">
        <v>431.4135</v>
      </c>
      <c r="G814" s="218">
        <v>414.77280000000002</v>
      </c>
      <c r="H814" s="218">
        <v>397.94389999999999</v>
      </c>
      <c r="I814" s="218">
        <v>383.24880000000002</v>
      </c>
      <c r="J814" s="246">
        <v>488342396</v>
      </c>
      <c r="K814" s="246">
        <v>507806937</v>
      </c>
      <c r="L814" s="218">
        <v>3485.6030000000001</v>
      </c>
      <c r="M814" s="187">
        <v>0</v>
      </c>
      <c r="N814" s="251">
        <v>265.30610000000001</v>
      </c>
      <c r="O814" s="251">
        <v>247.88829999999999</v>
      </c>
      <c r="P814" s="251">
        <v>249.05009999999999</v>
      </c>
      <c r="Q814" s="251">
        <v>240.26410000000001</v>
      </c>
      <c r="R814" s="254">
        <v>1.1299999999999999</v>
      </c>
      <c r="S814" s="214">
        <v>0</v>
      </c>
      <c r="T814" s="214">
        <v>6896390</v>
      </c>
      <c r="U814" s="214">
        <v>0</v>
      </c>
      <c r="V814" s="187">
        <f t="shared" si="28"/>
        <v>6896390</v>
      </c>
      <c r="W814" s="187">
        <f t="shared" si="29"/>
        <v>6896390</v>
      </c>
    </row>
    <row r="815" spans="1:23">
      <c r="A815" s="216" t="s">
        <v>1507</v>
      </c>
      <c r="B815" s="218">
        <v>219.386</v>
      </c>
      <c r="C815" s="218">
        <v>209.74600000000001</v>
      </c>
      <c r="D815" s="218">
        <v>203.41200000000001</v>
      </c>
      <c r="E815" s="218">
        <v>193.62700000000001</v>
      </c>
      <c r="F815" s="218">
        <v>47.560499999999998</v>
      </c>
      <c r="G815" s="218">
        <v>47.698700000000002</v>
      </c>
      <c r="H815" s="218">
        <v>46.165100000000002</v>
      </c>
      <c r="I815" s="218">
        <v>48.532499999999999</v>
      </c>
      <c r="J815" s="246">
        <v>24362751</v>
      </c>
      <c r="K815" s="246">
        <v>25286051</v>
      </c>
      <c r="L815" s="218">
        <v>427.67</v>
      </c>
      <c r="M815" s="187">
        <v>0</v>
      </c>
      <c r="N815" s="251">
        <v>28.878299999999999</v>
      </c>
      <c r="O815" s="251">
        <v>27.778500000000001</v>
      </c>
      <c r="P815" s="251">
        <v>28.846299999999999</v>
      </c>
      <c r="Q815" s="251">
        <v>29.607700000000001</v>
      </c>
      <c r="R815" s="254">
        <v>1.1200000000000001</v>
      </c>
      <c r="S815" s="214">
        <v>17015</v>
      </c>
      <c r="T815" s="214">
        <v>369984</v>
      </c>
      <c r="U815" s="214">
        <v>0</v>
      </c>
      <c r="V815" s="187">
        <f t="shared" si="28"/>
        <v>369984</v>
      </c>
      <c r="W815" s="187">
        <f t="shared" si="29"/>
        <v>386999</v>
      </c>
    </row>
    <row r="816" spans="1:23">
      <c r="A816" s="216" t="s">
        <v>2574</v>
      </c>
      <c r="B816" s="218">
        <v>183.61199999999999</v>
      </c>
      <c r="C816" s="218">
        <v>178.952</v>
      </c>
      <c r="D816" s="218">
        <v>173.548</v>
      </c>
      <c r="E816" s="218">
        <v>168.73699999999999</v>
      </c>
      <c r="F816" s="218">
        <v>33.4786</v>
      </c>
      <c r="G816" s="218">
        <v>34.489400000000003</v>
      </c>
      <c r="H816" s="218">
        <v>34.489400000000003</v>
      </c>
      <c r="I816" s="218">
        <v>33.860999999999997</v>
      </c>
      <c r="J816" s="246">
        <v>169350480</v>
      </c>
      <c r="K816" s="246">
        <v>171339761</v>
      </c>
      <c r="L816" s="218">
        <v>294.07400000000001</v>
      </c>
      <c r="M816" s="246">
        <v>179936</v>
      </c>
      <c r="N816" s="251">
        <v>21.1906</v>
      </c>
      <c r="O816" s="251">
        <v>21.480799999999999</v>
      </c>
      <c r="P816" s="251">
        <v>20.5717</v>
      </c>
      <c r="Q816" s="251">
        <v>20.067</v>
      </c>
      <c r="R816" s="254">
        <v>1.07</v>
      </c>
      <c r="S816" s="214">
        <v>105153</v>
      </c>
      <c r="T816" s="214">
        <v>2315604</v>
      </c>
      <c r="U816" s="214">
        <v>0</v>
      </c>
      <c r="V816" s="187">
        <f t="shared" si="28"/>
        <v>2315604</v>
      </c>
      <c r="W816" s="187">
        <f t="shared" si="29"/>
        <v>2420757</v>
      </c>
    </row>
    <row r="817" spans="1:23">
      <c r="A817" s="216" t="s">
        <v>2576</v>
      </c>
      <c r="B817" s="218">
        <v>573.44100000000003</v>
      </c>
      <c r="C817" s="218">
        <v>543.68399999999997</v>
      </c>
      <c r="D817" s="218">
        <v>527.84799999999996</v>
      </c>
      <c r="E817" s="218">
        <v>513.22699999999998</v>
      </c>
      <c r="F817" s="218">
        <v>103.4251</v>
      </c>
      <c r="G817" s="218">
        <v>104.4973</v>
      </c>
      <c r="H817" s="218">
        <v>106</v>
      </c>
      <c r="I817" s="218">
        <v>103.2</v>
      </c>
      <c r="J817" s="246">
        <v>106731201</v>
      </c>
      <c r="K817" s="246">
        <v>112635941</v>
      </c>
      <c r="L817" s="218">
        <v>897.88199999999995</v>
      </c>
      <c r="M817" s="187">
        <v>0</v>
      </c>
      <c r="N817" s="251">
        <v>73.353499999999997</v>
      </c>
      <c r="O817" s="251">
        <v>73.996099999999998</v>
      </c>
      <c r="P817" s="251">
        <v>77.376000000000005</v>
      </c>
      <c r="Q817" s="251">
        <v>73.9392</v>
      </c>
      <c r="R817" s="254">
        <v>1.08</v>
      </c>
      <c r="S817" s="214">
        <v>0</v>
      </c>
      <c r="T817" s="214">
        <v>1512252</v>
      </c>
      <c r="U817" s="214">
        <v>0</v>
      </c>
      <c r="V817" s="187">
        <f t="shared" si="28"/>
        <v>1512252</v>
      </c>
      <c r="W817" s="187">
        <f t="shared" si="29"/>
        <v>1512252</v>
      </c>
    </row>
    <row r="818" spans="1:23">
      <c r="A818" s="216" t="s">
        <v>2578</v>
      </c>
      <c r="B818" s="218">
        <v>820.46400000000006</v>
      </c>
      <c r="C818" s="218">
        <v>764.36300000000006</v>
      </c>
      <c r="D818" s="218">
        <v>741.279</v>
      </c>
      <c r="E818" s="218">
        <v>714.298</v>
      </c>
      <c r="F818" s="218">
        <v>126.2422</v>
      </c>
      <c r="G818" s="218">
        <v>129.047</v>
      </c>
      <c r="H818" s="218">
        <v>123.8021</v>
      </c>
      <c r="I818" s="218">
        <v>122.04810000000001</v>
      </c>
      <c r="J818" s="246">
        <v>317586188</v>
      </c>
      <c r="K818" s="246">
        <v>323515669</v>
      </c>
      <c r="L818" s="218">
        <v>1297.6610000000001</v>
      </c>
      <c r="M818" s="187">
        <v>0</v>
      </c>
      <c r="N818" s="251">
        <v>88.977099999999993</v>
      </c>
      <c r="O818" s="251">
        <v>89.655600000000007</v>
      </c>
      <c r="P818" s="251">
        <v>83.658100000000005</v>
      </c>
      <c r="Q818" s="251">
        <v>82.713999999999999</v>
      </c>
      <c r="R818" s="254">
        <v>1.07</v>
      </c>
      <c r="S818" s="214">
        <v>0</v>
      </c>
      <c r="T818" s="214">
        <v>4333177</v>
      </c>
      <c r="U818" s="214">
        <v>0</v>
      </c>
      <c r="V818" s="187">
        <f t="shared" si="28"/>
        <v>4333177</v>
      </c>
      <c r="W818" s="187">
        <f t="shared" si="29"/>
        <v>4333177</v>
      </c>
    </row>
    <row r="819" spans="1:23">
      <c r="A819" s="216" t="s">
        <v>158</v>
      </c>
      <c r="B819" s="218">
        <v>169.79</v>
      </c>
      <c r="C819" s="218">
        <v>157.32599999999999</v>
      </c>
      <c r="D819" s="218">
        <v>152.57499999999999</v>
      </c>
      <c r="E819" s="218">
        <v>147.917</v>
      </c>
      <c r="F819" s="218">
        <v>38.468000000000004</v>
      </c>
      <c r="G819" s="218">
        <v>43.248899999999999</v>
      </c>
      <c r="H819" s="218">
        <v>43.264899999999997</v>
      </c>
      <c r="I819" s="218">
        <v>40.089799999999997</v>
      </c>
      <c r="J819" s="246">
        <v>303558679</v>
      </c>
      <c r="K819" s="246">
        <v>305295966</v>
      </c>
      <c r="L819" s="218">
        <v>279.26400000000001</v>
      </c>
      <c r="M819" s="246">
        <v>88000</v>
      </c>
      <c r="N819" s="251">
        <v>25.119599999999998</v>
      </c>
      <c r="O819" s="251">
        <v>26.217700000000001</v>
      </c>
      <c r="P819" s="251">
        <v>26.329599999999999</v>
      </c>
      <c r="Q819" s="251">
        <v>24.660499999999999</v>
      </c>
      <c r="R819" s="254">
        <v>1.08</v>
      </c>
      <c r="S819" s="214">
        <v>165523</v>
      </c>
      <c r="T819" s="214">
        <v>4632473</v>
      </c>
      <c r="U819" s="214">
        <v>0</v>
      </c>
      <c r="V819" s="187">
        <f t="shared" si="28"/>
        <v>4632473</v>
      </c>
      <c r="W819" s="187">
        <f t="shared" si="29"/>
        <v>4797996</v>
      </c>
    </row>
    <row r="820" spans="1:23">
      <c r="A820" s="216" t="s">
        <v>5211</v>
      </c>
      <c r="B820" s="218">
        <v>442.39</v>
      </c>
      <c r="C820" s="218">
        <v>438.13799999999998</v>
      </c>
      <c r="D820" s="218">
        <v>441.3</v>
      </c>
      <c r="E820" s="218">
        <v>442.286</v>
      </c>
      <c r="F820" s="218">
        <v>74.770099999999999</v>
      </c>
      <c r="G820" s="218">
        <v>79.294499999999999</v>
      </c>
      <c r="H820" s="218">
        <v>77.3292</v>
      </c>
      <c r="I820" s="218">
        <v>79.064499999999995</v>
      </c>
      <c r="J820" s="246">
        <v>282978959</v>
      </c>
      <c r="K820" s="246">
        <v>287400028</v>
      </c>
      <c r="L820" s="218">
        <v>710.21199999999999</v>
      </c>
      <c r="M820" s="246">
        <v>601307</v>
      </c>
      <c r="N820" s="251">
        <v>47.8309</v>
      </c>
      <c r="O820" s="251">
        <v>49.499200000000002</v>
      </c>
      <c r="P820" s="251">
        <v>49.999099999999999</v>
      </c>
      <c r="Q820" s="251">
        <v>52.2699</v>
      </c>
      <c r="R820" s="254">
        <v>1.06</v>
      </c>
      <c r="S820" s="214">
        <v>666339</v>
      </c>
      <c r="T820" s="214">
        <v>3956461</v>
      </c>
      <c r="U820" s="214">
        <v>0</v>
      </c>
      <c r="V820" s="187">
        <f t="shared" si="28"/>
        <v>3956461</v>
      </c>
      <c r="W820" s="187">
        <f t="shared" si="29"/>
        <v>4622800</v>
      </c>
    </row>
    <row r="821" spans="1:23">
      <c r="A821" s="216" t="s">
        <v>5213</v>
      </c>
      <c r="B821" s="218">
        <v>294.87</v>
      </c>
      <c r="C821" s="218">
        <v>294.51900000000001</v>
      </c>
      <c r="D821" s="218">
        <v>285.625</v>
      </c>
      <c r="E821" s="218">
        <v>271.84100000000001</v>
      </c>
      <c r="F821" s="218">
        <v>59.698700000000002</v>
      </c>
      <c r="G821" s="218">
        <v>57.792499999999997</v>
      </c>
      <c r="H821" s="218">
        <v>61.511800000000001</v>
      </c>
      <c r="I821" s="218">
        <v>63.434199999999997</v>
      </c>
      <c r="J821" s="246">
        <v>50286071</v>
      </c>
      <c r="K821" s="246">
        <v>53574201</v>
      </c>
      <c r="L821" s="218">
        <v>528.19200000000001</v>
      </c>
      <c r="M821" s="187">
        <v>0</v>
      </c>
      <c r="N821" s="251">
        <v>39.376600000000003</v>
      </c>
      <c r="O821" s="251">
        <v>38.067300000000003</v>
      </c>
      <c r="P821" s="251">
        <v>39.811199999999999</v>
      </c>
      <c r="Q821" s="251">
        <v>42.298400000000001</v>
      </c>
      <c r="R821" s="254">
        <v>1.0900000000000001</v>
      </c>
      <c r="S821" s="214">
        <v>0</v>
      </c>
      <c r="T821" s="214">
        <v>729345</v>
      </c>
      <c r="U821" s="214">
        <v>0</v>
      </c>
      <c r="V821" s="187">
        <f t="shared" si="28"/>
        <v>729345</v>
      </c>
      <c r="W821" s="187">
        <f t="shared" si="29"/>
        <v>729345</v>
      </c>
    </row>
    <row r="822" spans="1:23">
      <c r="A822" s="216" t="s">
        <v>5215</v>
      </c>
      <c r="B822" s="218">
        <v>894.86800000000005</v>
      </c>
      <c r="C822" s="218">
        <v>878.44100000000003</v>
      </c>
      <c r="D822" s="218">
        <v>919.81399999999996</v>
      </c>
      <c r="E822" s="218">
        <v>894.33500000000004</v>
      </c>
      <c r="F822" s="218">
        <v>134.04820000000001</v>
      </c>
      <c r="G822" s="218">
        <v>136.81649999999999</v>
      </c>
      <c r="H822" s="218">
        <v>158.4419</v>
      </c>
      <c r="I822" s="218">
        <v>156.25890000000001</v>
      </c>
      <c r="J822" s="246">
        <v>248851757</v>
      </c>
      <c r="K822" s="246">
        <v>260573557</v>
      </c>
      <c r="L822" s="218">
        <v>1456.337</v>
      </c>
      <c r="M822" s="246">
        <v>484956</v>
      </c>
      <c r="N822" s="251">
        <v>94.084299999999999</v>
      </c>
      <c r="O822" s="251">
        <v>99.703299999999999</v>
      </c>
      <c r="P822" s="251">
        <v>102.06440000000001</v>
      </c>
      <c r="Q822" s="251">
        <v>104.7651</v>
      </c>
      <c r="R822" s="254">
        <v>1.07</v>
      </c>
      <c r="S822" s="214">
        <v>473817</v>
      </c>
      <c r="T822" s="214">
        <v>4026147</v>
      </c>
      <c r="U822" s="214">
        <v>0</v>
      </c>
      <c r="V822" s="187">
        <f t="shared" si="28"/>
        <v>4026147</v>
      </c>
      <c r="W822" s="187">
        <f t="shared" si="29"/>
        <v>4499964</v>
      </c>
    </row>
    <row r="823" spans="1:23">
      <c r="A823" s="216" t="s">
        <v>5217</v>
      </c>
      <c r="B823" s="218">
        <v>1167.7550000000001</v>
      </c>
      <c r="C823" s="218">
        <v>1091.6859999999999</v>
      </c>
      <c r="D823" s="218">
        <v>1058.7170000000001</v>
      </c>
      <c r="E823" s="218">
        <v>1037.9929999999999</v>
      </c>
      <c r="F823" s="218">
        <v>212.90870000000001</v>
      </c>
      <c r="G823" s="218">
        <v>220.6985</v>
      </c>
      <c r="H823" s="218">
        <v>211.42320000000001</v>
      </c>
      <c r="I823" s="218">
        <v>215.4931</v>
      </c>
      <c r="J823" s="246">
        <v>216325818</v>
      </c>
      <c r="K823" s="246">
        <v>228553808</v>
      </c>
      <c r="L823" s="218">
        <v>1697.752</v>
      </c>
      <c r="M823" s="187">
        <v>0</v>
      </c>
      <c r="N823" s="251">
        <v>134.3948</v>
      </c>
      <c r="O823" s="251">
        <v>142.2286</v>
      </c>
      <c r="P823" s="251">
        <v>135.19550000000001</v>
      </c>
      <c r="Q823" s="251">
        <v>143.00729999999999</v>
      </c>
      <c r="R823" s="254">
        <v>1.1000000000000001</v>
      </c>
      <c r="S823" s="214">
        <v>0</v>
      </c>
      <c r="T823" s="214">
        <v>3142535</v>
      </c>
      <c r="U823" s="214">
        <v>0</v>
      </c>
      <c r="V823" s="187">
        <f t="shared" si="28"/>
        <v>3142535</v>
      </c>
      <c r="W823" s="187">
        <f t="shared" si="29"/>
        <v>3142535</v>
      </c>
    </row>
    <row r="824" spans="1:23">
      <c r="A824" s="216" t="s">
        <v>5219</v>
      </c>
      <c r="B824" s="218">
        <v>245.28200000000001</v>
      </c>
      <c r="C824" s="218">
        <v>316.24099999999999</v>
      </c>
      <c r="D824" s="218">
        <v>391.601</v>
      </c>
      <c r="E824" s="218">
        <v>396.63600000000002</v>
      </c>
      <c r="F824" s="218">
        <v>34.057000000000002</v>
      </c>
      <c r="G824" s="218">
        <v>43.811300000000003</v>
      </c>
      <c r="H824" s="218">
        <v>53.121600000000001</v>
      </c>
      <c r="I824" s="218">
        <v>61.368699999999997</v>
      </c>
      <c r="J824" s="246">
        <v>41391138</v>
      </c>
      <c r="K824" s="246">
        <v>41621120</v>
      </c>
      <c r="L824" s="218">
        <v>709.48500000000001</v>
      </c>
      <c r="M824" s="187">
        <v>0</v>
      </c>
      <c r="N824" s="251">
        <v>27.14</v>
      </c>
      <c r="O824" s="251">
        <v>32.784500000000001</v>
      </c>
      <c r="P824" s="251">
        <v>35.71</v>
      </c>
      <c r="Q824" s="251">
        <v>40.945999999999998</v>
      </c>
      <c r="R824" s="254">
        <v>1.1299999999999999</v>
      </c>
      <c r="S824" s="214">
        <v>0</v>
      </c>
      <c r="T824" s="214">
        <v>523534</v>
      </c>
      <c r="U824" s="214">
        <v>0</v>
      </c>
      <c r="V824" s="187">
        <f t="shared" si="28"/>
        <v>523534</v>
      </c>
      <c r="W824" s="187">
        <f t="shared" si="29"/>
        <v>523534</v>
      </c>
    </row>
    <row r="825" spans="1:23">
      <c r="A825" s="216" t="s">
        <v>2125</v>
      </c>
      <c r="B825" s="218">
        <v>7215.098</v>
      </c>
      <c r="C825" s="218">
        <v>7742.2690000000002</v>
      </c>
      <c r="D825" s="218">
        <v>8236.7860000000001</v>
      </c>
      <c r="E825" s="218">
        <v>8745.6669999999995</v>
      </c>
      <c r="F825" s="218">
        <v>974.45899999999995</v>
      </c>
      <c r="G825" s="218">
        <v>979.71029999999996</v>
      </c>
      <c r="H825" s="218">
        <v>1049.2462</v>
      </c>
      <c r="I825" s="218">
        <v>1128.9586999999999</v>
      </c>
      <c r="J825" s="246">
        <v>2677901548</v>
      </c>
      <c r="K825" s="246">
        <v>2777739703</v>
      </c>
      <c r="L825" s="218">
        <v>10358.638999999999</v>
      </c>
      <c r="M825" s="246">
        <v>3080805</v>
      </c>
      <c r="N825" s="251">
        <v>574.39</v>
      </c>
      <c r="O825" s="251">
        <v>596.79930000000002</v>
      </c>
      <c r="P825" s="251">
        <v>609.88779999999997</v>
      </c>
      <c r="Q825" s="251">
        <v>661.47310000000004</v>
      </c>
      <c r="R825" s="254">
        <v>1.1299999999999999</v>
      </c>
      <c r="S825" s="214">
        <v>10370358</v>
      </c>
      <c r="T825" s="214">
        <v>46174420</v>
      </c>
      <c r="U825" s="214">
        <v>0</v>
      </c>
      <c r="V825" s="187">
        <f t="shared" si="28"/>
        <v>46174420</v>
      </c>
      <c r="W825" s="187">
        <f t="shared" si="29"/>
        <v>56544778</v>
      </c>
    </row>
    <row r="826" spans="1:23">
      <c r="A826" s="216" t="s">
        <v>870</v>
      </c>
      <c r="B826" s="218">
        <v>1787.82</v>
      </c>
      <c r="C826" s="218">
        <v>1878.193</v>
      </c>
      <c r="D826" s="218">
        <v>2052.1790000000001</v>
      </c>
      <c r="E826" s="218">
        <v>2280.5410000000002</v>
      </c>
      <c r="F826" s="218">
        <v>248.51480000000001</v>
      </c>
      <c r="G826" s="218">
        <v>265.66640000000001</v>
      </c>
      <c r="H826" s="218">
        <v>278.23360000000002</v>
      </c>
      <c r="I826" s="218">
        <v>326.24540000000002</v>
      </c>
      <c r="J826" s="246">
        <v>243322652</v>
      </c>
      <c r="K826" s="246">
        <v>259888822</v>
      </c>
      <c r="L826" s="218">
        <v>3105.9580000000001</v>
      </c>
      <c r="M826" s="246">
        <v>179140</v>
      </c>
      <c r="N826" s="251">
        <v>155.79990000000001</v>
      </c>
      <c r="O826" s="251">
        <v>166.5907</v>
      </c>
      <c r="P826" s="251">
        <v>175.79509999999999</v>
      </c>
      <c r="Q826" s="251">
        <v>204.27529999999999</v>
      </c>
      <c r="R826" s="254">
        <v>1.1000000000000001</v>
      </c>
      <c r="S826" s="214">
        <v>785962</v>
      </c>
      <c r="T826" s="214">
        <v>3937328</v>
      </c>
      <c r="U826" s="214">
        <v>0</v>
      </c>
      <c r="V826" s="187">
        <f t="shared" si="28"/>
        <v>3937328</v>
      </c>
      <c r="W826" s="187">
        <f t="shared" si="29"/>
        <v>4723290</v>
      </c>
    </row>
    <row r="827" spans="1:23">
      <c r="A827" s="216" t="s">
        <v>5615</v>
      </c>
      <c r="B827" s="218">
        <v>1102.443</v>
      </c>
      <c r="C827" s="218">
        <v>1051.6510000000001</v>
      </c>
      <c r="D827" s="218">
        <v>1019.891</v>
      </c>
      <c r="E827" s="218">
        <v>989.03300000000002</v>
      </c>
      <c r="F827" s="218">
        <v>197.18369999999999</v>
      </c>
      <c r="G827" s="218">
        <v>205.25559999999999</v>
      </c>
      <c r="H827" s="218">
        <v>191.095</v>
      </c>
      <c r="I827" s="218">
        <v>191.7593</v>
      </c>
      <c r="J827" s="246">
        <v>142735835</v>
      </c>
      <c r="K827" s="246">
        <v>157097165</v>
      </c>
      <c r="L827" s="218">
        <v>1669.5719999999999</v>
      </c>
      <c r="M827" s="246">
        <v>66744</v>
      </c>
      <c r="N827" s="251">
        <v>137.589</v>
      </c>
      <c r="O827" s="251">
        <v>128.6215</v>
      </c>
      <c r="P827" s="251">
        <v>122.33329999999999</v>
      </c>
      <c r="Q827" s="251">
        <v>119.68</v>
      </c>
      <c r="R827" s="254">
        <v>1.06</v>
      </c>
      <c r="S827" s="214">
        <v>98475</v>
      </c>
      <c r="T827" s="214">
        <v>2087388</v>
      </c>
      <c r="U827" s="214">
        <v>0</v>
      </c>
      <c r="V827" s="187">
        <f t="shared" si="28"/>
        <v>2087388</v>
      </c>
      <c r="W827" s="187">
        <f t="shared" si="29"/>
        <v>2185863</v>
      </c>
    </row>
    <row r="828" spans="1:23">
      <c r="A828" s="216" t="s">
        <v>4590</v>
      </c>
      <c r="B828" s="218">
        <v>462.30099999999999</v>
      </c>
      <c r="C828" s="218">
        <v>463.875</v>
      </c>
      <c r="D828" s="218">
        <v>449.86599999999999</v>
      </c>
      <c r="E828" s="218">
        <v>414.29899999999998</v>
      </c>
      <c r="F828" s="218">
        <v>82.695099999999996</v>
      </c>
      <c r="G828" s="218">
        <v>82.384100000000004</v>
      </c>
      <c r="H828" s="218">
        <v>84.752700000000004</v>
      </c>
      <c r="I828" s="218">
        <v>81.478399999999993</v>
      </c>
      <c r="J828" s="246">
        <v>34142505</v>
      </c>
      <c r="K828" s="246">
        <v>38081835</v>
      </c>
      <c r="L828" s="218">
        <v>724.54899999999998</v>
      </c>
      <c r="M828" s="187">
        <v>0</v>
      </c>
      <c r="N828" s="251">
        <v>57.482900000000001</v>
      </c>
      <c r="O828" s="251">
        <v>56.750399999999999</v>
      </c>
      <c r="P828" s="251">
        <v>59.75</v>
      </c>
      <c r="Q828" s="251">
        <v>56.797800000000002</v>
      </c>
      <c r="R828" s="254">
        <v>1.05</v>
      </c>
      <c r="S828" s="214">
        <v>19027</v>
      </c>
      <c r="T828" s="214">
        <v>503466</v>
      </c>
      <c r="U828" s="214">
        <v>0</v>
      </c>
      <c r="V828" s="187">
        <f t="shared" si="28"/>
        <v>503466</v>
      </c>
      <c r="W828" s="187">
        <f t="shared" si="29"/>
        <v>522493</v>
      </c>
    </row>
    <row r="829" spans="1:23">
      <c r="A829" s="216" t="s">
        <v>860</v>
      </c>
      <c r="B829" s="218">
        <v>767.98500000000001</v>
      </c>
      <c r="C829" s="218">
        <v>753.19200000000001</v>
      </c>
      <c r="D829" s="218">
        <v>730.44600000000003</v>
      </c>
      <c r="E829" s="218">
        <v>684.53700000000003</v>
      </c>
      <c r="F829" s="218">
        <v>97</v>
      </c>
      <c r="G829" s="218">
        <v>96.5</v>
      </c>
      <c r="H829" s="218">
        <v>93</v>
      </c>
      <c r="I829" s="218">
        <v>85.807500000000005</v>
      </c>
      <c r="J829" s="246">
        <v>94286778</v>
      </c>
      <c r="K829" s="246">
        <v>103177858</v>
      </c>
      <c r="L829" s="218">
        <v>1230.3779999999999</v>
      </c>
      <c r="M829" s="246">
        <v>57586</v>
      </c>
      <c r="N829" s="251">
        <v>86.996899999999997</v>
      </c>
      <c r="O829" s="251">
        <v>85.129199999999997</v>
      </c>
      <c r="P829" s="251">
        <v>82.997699999999995</v>
      </c>
      <c r="Q829" s="251">
        <v>74.811000000000007</v>
      </c>
      <c r="R829" s="254">
        <v>1.05</v>
      </c>
      <c r="S829" s="214">
        <v>68541</v>
      </c>
      <c r="T829" s="214">
        <v>1286723</v>
      </c>
      <c r="U829" s="214">
        <v>56231</v>
      </c>
      <c r="V829" s="187">
        <f t="shared" si="28"/>
        <v>1342954</v>
      </c>
      <c r="W829" s="187">
        <f t="shared" si="29"/>
        <v>1411495</v>
      </c>
    </row>
    <row r="830" spans="1:23">
      <c r="A830" s="216" t="s">
        <v>4591</v>
      </c>
      <c r="B830" s="218">
        <v>64.988</v>
      </c>
      <c r="C830" s="218">
        <v>71.41</v>
      </c>
      <c r="D830" s="218">
        <v>74.156999999999996</v>
      </c>
      <c r="E830" s="218">
        <v>75.897999999999996</v>
      </c>
      <c r="F830" s="218">
        <v>18.850300000000001</v>
      </c>
      <c r="G830" s="218">
        <v>17.775300000000001</v>
      </c>
      <c r="H830" s="218">
        <v>16.4358</v>
      </c>
      <c r="I830" s="218">
        <v>17.844899999999999</v>
      </c>
      <c r="J830" s="246">
        <v>3295775</v>
      </c>
      <c r="K830" s="246">
        <v>3590815</v>
      </c>
      <c r="L830" s="218">
        <v>137.99299999999999</v>
      </c>
      <c r="M830" s="187">
        <v>0</v>
      </c>
      <c r="N830" s="251">
        <v>12.8019</v>
      </c>
      <c r="O830" s="251">
        <v>11.9354</v>
      </c>
      <c r="P830" s="251">
        <v>11.204599999999999</v>
      </c>
      <c r="Q830" s="251">
        <v>11.9358</v>
      </c>
      <c r="R830" s="254">
        <v>1.07</v>
      </c>
      <c r="S830" s="214">
        <v>2317</v>
      </c>
      <c r="T830" s="214">
        <v>46348</v>
      </c>
      <c r="U830" s="214">
        <v>0</v>
      </c>
      <c r="V830" s="187">
        <f t="shared" si="28"/>
        <v>46348</v>
      </c>
      <c r="W830" s="187">
        <f t="shared" si="29"/>
        <v>48665</v>
      </c>
    </row>
    <row r="831" spans="1:23">
      <c r="A831" s="216" t="s">
        <v>5617</v>
      </c>
      <c r="B831" s="218">
        <v>3421.2919999999999</v>
      </c>
      <c r="C831" s="218">
        <v>3350.1460000000002</v>
      </c>
      <c r="D831" s="218">
        <v>3378.1909999999998</v>
      </c>
      <c r="E831" s="218">
        <v>3299.8560000000002</v>
      </c>
      <c r="F831" s="218">
        <v>588.73509999999999</v>
      </c>
      <c r="G831" s="218">
        <v>594.15970000000004</v>
      </c>
      <c r="H831" s="218">
        <v>602.98760000000004</v>
      </c>
      <c r="I831" s="218">
        <v>583.27739999999994</v>
      </c>
      <c r="J831" s="246">
        <v>852125518</v>
      </c>
      <c r="K831" s="246">
        <v>899640838</v>
      </c>
      <c r="L831" s="218">
        <v>4544.549</v>
      </c>
      <c r="M831" s="246">
        <v>892078</v>
      </c>
      <c r="N831" s="251">
        <v>357.54689999999999</v>
      </c>
      <c r="O831" s="251">
        <v>367.42720000000003</v>
      </c>
      <c r="P831" s="251">
        <v>367.3263</v>
      </c>
      <c r="Q831" s="251">
        <v>356.5009</v>
      </c>
      <c r="R831" s="254">
        <v>1.07</v>
      </c>
      <c r="S831" s="214">
        <v>854919</v>
      </c>
      <c r="T831" s="214">
        <v>12722398</v>
      </c>
      <c r="U831" s="214">
        <v>0</v>
      </c>
      <c r="V831" s="187">
        <f t="shared" si="28"/>
        <v>12722398</v>
      </c>
      <c r="W831" s="187">
        <f t="shared" si="29"/>
        <v>13577317</v>
      </c>
    </row>
    <row r="832" spans="1:23">
      <c r="A832" s="216" t="s">
        <v>3150</v>
      </c>
      <c r="B832" s="218">
        <v>202.35599999999999</v>
      </c>
      <c r="C832" s="218">
        <v>196.14599999999999</v>
      </c>
      <c r="D832" s="218">
        <v>197.15700000000001</v>
      </c>
      <c r="E832" s="218">
        <v>191.696</v>
      </c>
      <c r="F832" s="218">
        <v>45.596699999999998</v>
      </c>
      <c r="G832" s="218">
        <v>46.114899999999999</v>
      </c>
      <c r="H832" s="218">
        <v>43.980699999999999</v>
      </c>
      <c r="I832" s="218">
        <v>42.087600000000002</v>
      </c>
      <c r="J832" s="246">
        <v>37575119</v>
      </c>
      <c r="K832" s="246">
        <v>41814379</v>
      </c>
      <c r="L832" s="218">
        <v>415.58300000000003</v>
      </c>
      <c r="M832" s="187">
        <v>0</v>
      </c>
      <c r="N832" s="251">
        <v>31.300799999999999</v>
      </c>
      <c r="O832" s="251">
        <v>32.4985</v>
      </c>
      <c r="P832" s="251">
        <v>31.6371</v>
      </c>
      <c r="Q832" s="251">
        <v>29.5672</v>
      </c>
      <c r="R832" s="254">
        <v>1.08</v>
      </c>
      <c r="S832" s="214">
        <v>0</v>
      </c>
      <c r="T832" s="214">
        <v>595533</v>
      </c>
      <c r="U832" s="214">
        <v>0</v>
      </c>
      <c r="V832" s="187">
        <f t="shared" si="28"/>
        <v>595533</v>
      </c>
      <c r="W832" s="187">
        <f t="shared" si="29"/>
        <v>595533</v>
      </c>
    </row>
    <row r="833" spans="1:23">
      <c r="A833" s="216" t="s">
        <v>3152</v>
      </c>
      <c r="B833" s="218">
        <v>206.577</v>
      </c>
      <c r="C833" s="218">
        <v>220.077</v>
      </c>
      <c r="D833" s="218">
        <v>213.43100000000001</v>
      </c>
      <c r="E833" s="218">
        <v>220.53700000000001</v>
      </c>
      <c r="F833" s="218">
        <v>43.1997</v>
      </c>
      <c r="G833" s="218">
        <v>41.786499999999997</v>
      </c>
      <c r="H833" s="218">
        <v>42.016399999999997</v>
      </c>
      <c r="I833" s="218">
        <v>38.645200000000003</v>
      </c>
      <c r="J833" s="246">
        <v>24095785</v>
      </c>
      <c r="K833" s="246">
        <v>25362243</v>
      </c>
      <c r="L833" s="218">
        <v>389.82499999999999</v>
      </c>
      <c r="M833" s="187">
        <v>0</v>
      </c>
      <c r="N833" s="251">
        <v>27.500699999999998</v>
      </c>
      <c r="O833" s="251">
        <v>27.0853</v>
      </c>
      <c r="P833" s="251">
        <v>28.000499999999999</v>
      </c>
      <c r="Q833" s="251">
        <v>25.037299999999998</v>
      </c>
      <c r="R833" s="254">
        <v>1.1000000000000001</v>
      </c>
      <c r="S833" s="214">
        <v>0</v>
      </c>
      <c r="T833" s="214">
        <v>348688</v>
      </c>
      <c r="U833" s="214">
        <v>0</v>
      </c>
      <c r="V833" s="187">
        <f t="shared" si="28"/>
        <v>348688</v>
      </c>
      <c r="W833" s="187">
        <f t="shared" si="29"/>
        <v>348688</v>
      </c>
    </row>
    <row r="834" spans="1:23">
      <c r="A834" s="216" t="s">
        <v>1949</v>
      </c>
      <c r="B834" s="218">
        <v>378.72500000000002</v>
      </c>
      <c r="C834" s="218">
        <v>389.08300000000003</v>
      </c>
      <c r="D834" s="218">
        <v>381.89100000000002</v>
      </c>
      <c r="E834" s="218">
        <v>380.48700000000002</v>
      </c>
      <c r="F834" s="218">
        <v>69.545500000000004</v>
      </c>
      <c r="G834" s="218">
        <v>59.957299999999996</v>
      </c>
      <c r="H834" s="218">
        <v>58.973300000000002</v>
      </c>
      <c r="I834" s="218">
        <v>56.973300000000002</v>
      </c>
      <c r="J834" s="246">
        <v>33590458</v>
      </c>
      <c r="K834" s="246">
        <v>37730058</v>
      </c>
      <c r="L834" s="218">
        <v>616.82100000000003</v>
      </c>
      <c r="M834" s="246">
        <v>47385</v>
      </c>
      <c r="N834" s="251">
        <v>52.364699999999999</v>
      </c>
      <c r="O834" s="251">
        <v>44.339300000000001</v>
      </c>
      <c r="P834" s="251">
        <v>44.292200000000001</v>
      </c>
      <c r="Q834" s="251">
        <v>42.792099999999998</v>
      </c>
      <c r="R834" s="254">
        <v>1.04</v>
      </c>
      <c r="S834" s="214">
        <v>50725</v>
      </c>
      <c r="T834" s="214">
        <v>418538</v>
      </c>
      <c r="U834" s="214">
        <v>14264</v>
      </c>
      <c r="V834" s="187">
        <f t="shared" si="28"/>
        <v>432802</v>
      </c>
      <c r="W834" s="187">
        <f t="shared" si="29"/>
        <v>483527</v>
      </c>
    </row>
    <row r="835" spans="1:23">
      <c r="A835" s="216" t="s">
        <v>1951</v>
      </c>
      <c r="B835" s="218">
        <v>446.80900000000003</v>
      </c>
      <c r="C835" s="218">
        <v>458.14299999999997</v>
      </c>
      <c r="D835" s="218">
        <v>444.30700000000002</v>
      </c>
      <c r="E835" s="218">
        <v>451.69799999999998</v>
      </c>
      <c r="F835" s="218">
        <v>76.534700000000001</v>
      </c>
      <c r="G835" s="218">
        <v>92.504499999999993</v>
      </c>
      <c r="H835" s="218">
        <v>95.3506</v>
      </c>
      <c r="I835" s="218">
        <v>96.235399999999998</v>
      </c>
      <c r="J835" s="246">
        <v>36456869</v>
      </c>
      <c r="K835" s="246">
        <v>42333229</v>
      </c>
      <c r="L835" s="218">
        <v>752.27599999999995</v>
      </c>
      <c r="M835" s="187">
        <v>0</v>
      </c>
      <c r="N835" s="251">
        <v>55.071300000000001</v>
      </c>
      <c r="O835" s="251">
        <v>63.867400000000004</v>
      </c>
      <c r="P835" s="251">
        <v>65.6447</v>
      </c>
      <c r="Q835" s="251">
        <v>65.399900000000002</v>
      </c>
      <c r="R835" s="254">
        <v>1.04</v>
      </c>
      <c r="S835" s="214">
        <v>37226</v>
      </c>
      <c r="T835" s="214">
        <v>522858</v>
      </c>
      <c r="U835" s="214">
        <v>0</v>
      </c>
      <c r="V835" s="187">
        <f t="shared" si="28"/>
        <v>522858</v>
      </c>
      <c r="W835" s="187">
        <f t="shared" si="29"/>
        <v>560084</v>
      </c>
    </row>
    <row r="836" spans="1:23">
      <c r="A836" s="216" t="s">
        <v>3154</v>
      </c>
      <c r="B836" s="218">
        <v>1191.883</v>
      </c>
      <c r="C836" s="218">
        <v>1133.0229999999999</v>
      </c>
      <c r="D836" s="218">
        <v>1099.077</v>
      </c>
      <c r="E836" s="218">
        <v>1111.9079999999999</v>
      </c>
      <c r="F836" s="218">
        <v>179.76310000000001</v>
      </c>
      <c r="G836" s="218">
        <v>172.3603</v>
      </c>
      <c r="H836" s="218">
        <v>171.91239999999999</v>
      </c>
      <c r="I836" s="218">
        <v>170.67740000000001</v>
      </c>
      <c r="J836" s="246">
        <v>1142700948</v>
      </c>
      <c r="K836" s="246">
        <v>1155543428</v>
      </c>
      <c r="L836" s="218">
        <v>1567.0139999999999</v>
      </c>
      <c r="M836" s="187">
        <v>0</v>
      </c>
      <c r="N836" s="251">
        <v>113.19119999999999</v>
      </c>
      <c r="O836" s="251">
        <v>108.824</v>
      </c>
      <c r="P836" s="251">
        <v>107.2248</v>
      </c>
      <c r="Q836" s="251">
        <v>104.03</v>
      </c>
      <c r="R836" s="254">
        <v>1.04</v>
      </c>
      <c r="S836" s="214">
        <v>0</v>
      </c>
      <c r="T836" s="214">
        <v>16344149</v>
      </c>
      <c r="U836" s="214">
        <v>0</v>
      </c>
      <c r="V836" s="187">
        <f t="shared" si="28"/>
        <v>16344149</v>
      </c>
      <c r="W836" s="187">
        <f t="shared" si="29"/>
        <v>16344149</v>
      </c>
    </row>
    <row r="837" spans="1:23">
      <c r="A837" s="216" t="s">
        <v>3883</v>
      </c>
      <c r="B837" s="218">
        <v>453.34300000000002</v>
      </c>
      <c r="C837" s="218">
        <v>459.61500000000001</v>
      </c>
      <c r="D837" s="218">
        <v>449.214</v>
      </c>
      <c r="E837" s="218">
        <v>474.41</v>
      </c>
      <c r="F837" s="218">
        <v>76.502600000000001</v>
      </c>
      <c r="G837" s="218">
        <v>70.7727</v>
      </c>
      <c r="H837" s="218">
        <v>76.085599999999999</v>
      </c>
      <c r="I837" s="218">
        <v>71.812899999999999</v>
      </c>
      <c r="J837" s="246">
        <v>43112905</v>
      </c>
      <c r="K837" s="246">
        <v>47442995</v>
      </c>
      <c r="L837" s="218">
        <v>783.71</v>
      </c>
      <c r="M837" s="187">
        <v>0</v>
      </c>
      <c r="N837" s="251">
        <v>50.399500000000003</v>
      </c>
      <c r="O837" s="251">
        <v>46.584000000000003</v>
      </c>
      <c r="P837" s="251">
        <v>49.340899999999998</v>
      </c>
      <c r="Q837" s="251">
        <v>48.3857</v>
      </c>
      <c r="R837" s="254">
        <v>1.03</v>
      </c>
      <c r="S837" s="214">
        <v>30600</v>
      </c>
      <c r="T837" s="214">
        <v>656396</v>
      </c>
      <c r="U837" s="214">
        <v>0</v>
      </c>
      <c r="V837" s="187">
        <f t="shared" si="28"/>
        <v>656396</v>
      </c>
      <c r="W837" s="187">
        <f t="shared" si="29"/>
        <v>686996</v>
      </c>
    </row>
    <row r="838" spans="1:23">
      <c r="A838" s="216" t="s">
        <v>3156</v>
      </c>
      <c r="B838" s="218">
        <v>849.65599999999995</v>
      </c>
      <c r="C838" s="218">
        <v>802.654</v>
      </c>
      <c r="D838" s="218">
        <v>778.41399999999999</v>
      </c>
      <c r="E838" s="218">
        <v>741.65800000000002</v>
      </c>
      <c r="F838" s="218">
        <v>148.7621</v>
      </c>
      <c r="G838" s="218">
        <v>141.70060000000001</v>
      </c>
      <c r="H838" s="218">
        <v>134.03469999999999</v>
      </c>
      <c r="I838" s="218">
        <v>128.42259999999999</v>
      </c>
      <c r="J838" s="246">
        <v>213156516</v>
      </c>
      <c r="K838" s="246">
        <v>225136679</v>
      </c>
      <c r="L838" s="218">
        <v>1173.4179999999999</v>
      </c>
      <c r="M838" s="187">
        <v>0</v>
      </c>
      <c r="N838" s="251">
        <v>95.768900000000002</v>
      </c>
      <c r="O838" s="251">
        <v>91.083799999999997</v>
      </c>
      <c r="P838" s="251">
        <v>88.872900000000001</v>
      </c>
      <c r="Q838" s="251">
        <v>83.163499999999999</v>
      </c>
      <c r="R838" s="254">
        <v>1.05</v>
      </c>
      <c r="S838" s="214">
        <v>0</v>
      </c>
      <c r="T838" s="214">
        <v>2921059</v>
      </c>
      <c r="U838" s="214">
        <v>0</v>
      </c>
      <c r="V838" s="187">
        <f t="shared" ref="V838:V895" si="30">T838+U838</f>
        <v>2921059</v>
      </c>
      <c r="W838" s="187">
        <f t="shared" ref="W838:W895" si="31">V838+S838</f>
        <v>2921059</v>
      </c>
    </row>
    <row r="839" spans="1:23">
      <c r="A839" s="216" t="s">
        <v>3158</v>
      </c>
      <c r="B839" s="218">
        <v>911.97299999999996</v>
      </c>
      <c r="C839" s="218">
        <v>909.88900000000001</v>
      </c>
      <c r="D839" s="218">
        <v>886.779</v>
      </c>
      <c r="E839" s="218">
        <v>878.12800000000004</v>
      </c>
      <c r="F839" s="218">
        <v>162.28880000000001</v>
      </c>
      <c r="G839" s="218">
        <v>164.1978</v>
      </c>
      <c r="H839" s="218">
        <v>161.97319999999999</v>
      </c>
      <c r="I839" s="218">
        <v>151.28880000000001</v>
      </c>
      <c r="J839" s="246">
        <v>209472364</v>
      </c>
      <c r="K839" s="246">
        <v>231747571</v>
      </c>
      <c r="L839" s="218">
        <v>1523.329</v>
      </c>
      <c r="M839" s="187">
        <v>0</v>
      </c>
      <c r="N839" s="251">
        <v>102.14830000000001</v>
      </c>
      <c r="O839" s="251">
        <v>104.3408</v>
      </c>
      <c r="P839" s="251">
        <v>104.2252</v>
      </c>
      <c r="Q839" s="251">
        <v>94.972899999999996</v>
      </c>
      <c r="R839" s="254">
        <v>1.04</v>
      </c>
      <c r="S839" s="214">
        <v>0</v>
      </c>
      <c r="T839" s="214">
        <v>2922556</v>
      </c>
      <c r="U839" s="214">
        <v>0</v>
      </c>
      <c r="V839" s="187">
        <f t="shared" si="30"/>
        <v>2922556</v>
      </c>
      <c r="W839" s="187">
        <f t="shared" si="31"/>
        <v>2922556</v>
      </c>
    </row>
    <row r="840" spans="1:23">
      <c r="A840" s="216" t="s">
        <v>3160</v>
      </c>
      <c r="B840" s="218">
        <v>566.13199999999995</v>
      </c>
      <c r="C840" s="218">
        <v>573.80100000000004</v>
      </c>
      <c r="D840" s="218">
        <v>567.13599999999997</v>
      </c>
      <c r="E840" s="218">
        <v>583.30200000000002</v>
      </c>
      <c r="F840" s="218">
        <v>98.903800000000004</v>
      </c>
      <c r="G840" s="218">
        <v>104.7919</v>
      </c>
      <c r="H840" s="218">
        <v>100.952</v>
      </c>
      <c r="I840" s="218">
        <v>101.8626</v>
      </c>
      <c r="J840" s="246">
        <v>69576194</v>
      </c>
      <c r="K840" s="246">
        <v>76401602</v>
      </c>
      <c r="L840" s="218">
        <v>994.66399999999999</v>
      </c>
      <c r="M840" s="187">
        <v>0</v>
      </c>
      <c r="N840" s="251">
        <v>64.119699999999995</v>
      </c>
      <c r="O840" s="251">
        <v>64.147900000000007</v>
      </c>
      <c r="P840" s="251">
        <v>66.004000000000005</v>
      </c>
      <c r="Q840" s="251">
        <v>68.005300000000005</v>
      </c>
      <c r="R840" s="254">
        <v>1.05</v>
      </c>
      <c r="S840" s="214">
        <v>0</v>
      </c>
      <c r="T840" s="214">
        <v>990261</v>
      </c>
      <c r="U840" s="214">
        <v>0</v>
      </c>
      <c r="V840" s="187">
        <f t="shared" si="30"/>
        <v>990261</v>
      </c>
      <c r="W840" s="187">
        <f t="shared" si="31"/>
        <v>990261</v>
      </c>
    </row>
    <row r="841" spans="1:23">
      <c r="A841" s="216" t="s">
        <v>3162</v>
      </c>
      <c r="B841" s="218">
        <v>975.55499999999995</v>
      </c>
      <c r="C841" s="218">
        <v>948.12400000000002</v>
      </c>
      <c r="D841" s="218">
        <v>919.49099999999999</v>
      </c>
      <c r="E841" s="218">
        <v>897.32</v>
      </c>
      <c r="F841" s="218">
        <v>204.5455</v>
      </c>
      <c r="G841" s="218">
        <v>205.20079999999999</v>
      </c>
      <c r="H841" s="218">
        <v>204.51150000000001</v>
      </c>
      <c r="I841" s="218">
        <v>188.62110000000001</v>
      </c>
      <c r="J841" s="246">
        <v>114323758</v>
      </c>
      <c r="K841" s="246">
        <v>126261948</v>
      </c>
      <c r="L841" s="218">
        <v>1525.829</v>
      </c>
      <c r="M841" s="187">
        <v>0</v>
      </c>
      <c r="N841" s="251">
        <v>122.9991</v>
      </c>
      <c r="O841" s="251">
        <v>124.5086</v>
      </c>
      <c r="P841" s="251">
        <v>129.19329999999999</v>
      </c>
      <c r="Q841" s="251">
        <v>109.5087</v>
      </c>
      <c r="R841" s="254">
        <v>1.06</v>
      </c>
      <c r="S841" s="214">
        <v>0</v>
      </c>
      <c r="T841" s="214">
        <v>1619112</v>
      </c>
      <c r="U841" s="214">
        <v>0</v>
      </c>
      <c r="V841" s="187">
        <f t="shared" si="30"/>
        <v>1619112</v>
      </c>
      <c r="W841" s="187">
        <f t="shared" si="31"/>
        <v>1619112</v>
      </c>
    </row>
    <row r="842" spans="1:23">
      <c r="A842" s="216" t="s">
        <v>569</v>
      </c>
      <c r="B842" s="218">
        <v>407.44799999999998</v>
      </c>
      <c r="C842" s="218">
        <v>395.40899999999999</v>
      </c>
      <c r="D842" s="218">
        <v>416.774</v>
      </c>
      <c r="E842" s="218">
        <v>428.00400000000002</v>
      </c>
      <c r="F842" s="218">
        <v>70.241699999999994</v>
      </c>
      <c r="G842" s="218">
        <v>69.657200000000003</v>
      </c>
      <c r="H842" s="218">
        <v>64.827799999999996</v>
      </c>
      <c r="I842" s="218">
        <v>67.159899999999993</v>
      </c>
      <c r="J842" s="246">
        <v>56135462</v>
      </c>
      <c r="K842" s="246">
        <v>62891382</v>
      </c>
      <c r="L842" s="218">
        <v>768.93100000000004</v>
      </c>
      <c r="M842" s="187">
        <v>0</v>
      </c>
      <c r="N842" s="251">
        <v>48.412399999999998</v>
      </c>
      <c r="O842" s="251">
        <v>45.4298</v>
      </c>
      <c r="P842" s="251">
        <v>44.001899999999999</v>
      </c>
      <c r="Q842" s="251">
        <v>44.945999999999998</v>
      </c>
      <c r="R842" s="254">
        <v>1.06</v>
      </c>
      <c r="S842" s="214">
        <v>0</v>
      </c>
      <c r="T842" s="214">
        <v>833531</v>
      </c>
      <c r="U842" s="214">
        <v>0</v>
      </c>
      <c r="V842" s="187">
        <f t="shared" si="30"/>
        <v>833531</v>
      </c>
      <c r="W842" s="187">
        <f t="shared" si="31"/>
        <v>833531</v>
      </c>
    </row>
    <row r="843" spans="1:23">
      <c r="A843" s="216" t="s">
        <v>571</v>
      </c>
      <c r="B843" s="218">
        <v>1677.703</v>
      </c>
      <c r="C843" s="218">
        <v>1682.7180000000001</v>
      </c>
      <c r="D843" s="218">
        <v>1642.5619999999999</v>
      </c>
      <c r="E843" s="218">
        <v>1655.896</v>
      </c>
      <c r="F843" s="218">
        <v>263.05630000000002</v>
      </c>
      <c r="G843" s="218">
        <v>273.83170000000001</v>
      </c>
      <c r="H843" s="218">
        <v>275.404</v>
      </c>
      <c r="I843" s="218">
        <v>272.5324</v>
      </c>
      <c r="J843" s="246">
        <v>470279928</v>
      </c>
      <c r="K843" s="246">
        <v>503569234</v>
      </c>
      <c r="L843" s="218">
        <v>2358.451</v>
      </c>
      <c r="M843" s="246">
        <v>410637</v>
      </c>
      <c r="N843" s="251">
        <v>161.26929999999999</v>
      </c>
      <c r="O843" s="251">
        <v>167.75739999999999</v>
      </c>
      <c r="P843" s="251">
        <v>170.49680000000001</v>
      </c>
      <c r="Q843" s="251">
        <v>167.5686</v>
      </c>
      <c r="R843" s="254">
        <v>1.1000000000000001</v>
      </c>
      <c r="S843" s="214">
        <v>472464</v>
      </c>
      <c r="T843" s="214">
        <v>6770647</v>
      </c>
      <c r="U843" s="214">
        <v>0</v>
      </c>
      <c r="V843" s="187">
        <f t="shared" si="30"/>
        <v>6770647</v>
      </c>
      <c r="W843" s="187">
        <f t="shared" si="31"/>
        <v>7243111</v>
      </c>
    </row>
    <row r="844" spans="1:23">
      <c r="A844" s="216" t="s">
        <v>3181</v>
      </c>
      <c r="B844" s="218">
        <v>1675.173</v>
      </c>
      <c r="C844" s="218">
        <v>1666.4839999999999</v>
      </c>
      <c r="D844" s="218">
        <v>1668.7739999999999</v>
      </c>
      <c r="E844" s="218">
        <v>1684.559</v>
      </c>
      <c r="F844" s="218">
        <v>252.73269999999999</v>
      </c>
      <c r="G844" s="218">
        <v>256.1875</v>
      </c>
      <c r="H844" s="218">
        <v>260.32909999999998</v>
      </c>
      <c r="I844" s="218">
        <v>272.56760000000003</v>
      </c>
      <c r="J844" s="246">
        <v>135095091</v>
      </c>
      <c r="K844" s="246">
        <v>153225296</v>
      </c>
      <c r="L844" s="218">
        <v>2449.8209999999999</v>
      </c>
      <c r="M844" s="246">
        <v>110035</v>
      </c>
      <c r="N844" s="251">
        <v>168.75059999999999</v>
      </c>
      <c r="O844" s="251">
        <v>166.00620000000001</v>
      </c>
      <c r="P844" s="251">
        <v>170.9693</v>
      </c>
      <c r="Q844" s="251">
        <v>180.07310000000001</v>
      </c>
      <c r="R844" s="254">
        <v>1.0900000000000001</v>
      </c>
      <c r="S844" s="214">
        <v>98085</v>
      </c>
      <c r="T844" s="214">
        <v>1918773</v>
      </c>
      <c r="U844" s="214">
        <v>0</v>
      </c>
      <c r="V844" s="187">
        <f t="shared" si="30"/>
        <v>1918773</v>
      </c>
      <c r="W844" s="187">
        <f t="shared" si="31"/>
        <v>2016858</v>
      </c>
    </row>
    <row r="845" spans="1:23">
      <c r="A845" s="216" t="s">
        <v>2071</v>
      </c>
      <c r="B845" s="218">
        <v>2009.3130000000001</v>
      </c>
      <c r="C845" s="218">
        <v>1970.223</v>
      </c>
      <c r="D845" s="218">
        <v>1935.9749999999999</v>
      </c>
      <c r="E845" s="218">
        <v>1910.54</v>
      </c>
      <c r="F845" s="218">
        <v>334.38510000000002</v>
      </c>
      <c r="G845" s="218">
        <v>338.04500000000002</v>
      </c>
      <c r="H845" s="218">
        <v>339.60980000000001</v>
      </c>
      <c r="I845" s="218">
        <v>348.47719999999998</v>
      </c>
      <c r="J845" s="246">
        <v>265189719</v>
      </c>
      <c r="K845" s="246">
        <v>284772770</v>
      </c>
      <c r="L845" s="218">
        <v>2828.6039999999998</v>
      </c>
      <c r="M845" s="187">
        <v>661</v>
      </c>
      <c r="N845" s="251">
        <v>215.90649999999999</v>
      </c>
      <c r="O845" s="251">
        <v>208.64850000000001</v>
      </c>
      <c r="P845" s="251">
        <v>218.28120000000001</v>
      </c>
      <c r="Q845" s="251">
        <v>219.9254</v>
      </c>
      <c r="R845" s="254">
        <v>1.1000000000000001</v>
      </c>
      <c r="S845" s="214">
        <v>233645</v>
      </c>
      <c r="T845" s="214">
        <v>4213401</v>
      </c>
      <c r="U845" s="214">
        <v>0</v>
      </c>
      <c r="V845" s="187">
        <f t="shared" si="30"/>
        <v>4213401</v>
      </c>
      <c r="W845" s="187">
        <f t="shared" si="31"/>
        <v>4447046</v>
      </c>
    </row>
    <row r="846" spans="1:23">
      <c r="A846" s="216" t="s">
        <v>3183</v>
      </c>
      <c r="B846" s="218">
        <v>4260.7039999999997</v>
      </c>
      <c r="C846" s="218">
        <v>4186.933</v>
      </c>
      <c r="D846" s="218">
        <v>4141.3680000000004</v>
      </c>
      <c r="E846" s="218">
        <v>4031.3110000000001</v>
      </c>
      <c r="F846" s="218">
        <v>528.24839999999995</v>
      </c>
      <c r="G846" s="218">
        <v>531.9085</v>
      </c>
      <c r="H846" s="218">
        <v>487.63249999999999</v>
      </c>
      <c r="I846" s="218">
        <v>496.2876</v>
      </c>
      <c r="J846" s="246">
        <v>674538256</v>
      </c>
      <c r="K846" s="246">
        <v>759643858</v>
      </c>
      <c r="L846" s="218">
        <v>5152.6869999999999</v>
      </c>
      <c r="M846" s="246">
        <v>1679653</v>
      </c>
      <c r="N846" s="251">
        <v>332.86900000000003</v>
      </c>
      <c r="O846" s="251">
        <v>332.62819999999999</v>
      </c>
      <c r="P846" s="251">
        <v>305.17509999999999</v>
      </c>
      <c r="Q846" s="251">
        <v>300.19560000000001</v>
      </c>
      <c r="R846" s="254">
        <v>1.0900000000000001</v>
      </c>
      <c r="S846" s="214">
        <v>1887278</v>
      </c>
      <c r="T846" s="214">
        <v>10288824</v>
      </c>
      <c r="U846" s="214">
        <v>0</v>
      </c>
      <c r="V846" s="187">
        <f t="shared" si="30"/>
        <v>10288824</v>
      </c>
      <c r="W846" s="187">
        <f t="shared" si="31"/>
        <v>12176102</v>
      </c>
    </row>
    <row r="847" spans="1:23">
      <c r="A847" s="216" t="s">
        <v>924</v>
      </c>
      <c r="B847" s="218">
        <v>1941.7750000000001</v>
      </c>
      <c r="C847" s="218">
        <v>1929.7819999999999</v>
      </c>
      <c r="D847" s="218">
        <v>1995.18</v>
      </c>
      <c r="E847" s="218">
        <v>2069.431</v>
      </c>
      <c r="F847" s="218">
        <v>261.99619999999999</v>
      </c>
      <c r="G847" s="218">
        <v>284.03910000000002</v>
      </c>
      <c r="H847" s="218">
        <v>323.69139999999999</v>
      </c>
      <c r="I847" s="218">
        <v>289.17590000000001</v>
      </c>
      <c r="J847" s="246">
        <v>991401873</v>
      </c>
      <c r="K847" s="246">
        <v>1010021682</v>
      </c>
      <c r="L847" s="218">
        <v>2590.4569999999999</v>
      </c>
      <c r="M847" s="246">
        <v>548352</v>
      </c>
      <c r="N847" s="251">
        <v>163.01740000000001</v>
      </c>
      <c r="O847" s="251">
        <v>180.85040000000001</v>
      </c>
      <c r="P847" s="251">
        <v>198.76339999999999</v>
      </c>
      <c r="Q847" s="251">
        <v>187.77770000000001</v>
      </c>
      <c r="R847" s="254">
        <v>1.08</v>
      </c>
      <c r="S847" s="214">
        <v>445681</v>
      </c>
      <c r="T847" s="214">
        <v>13877995</v>
      </c>
      <c r="U847" s="214">
        <v>0</v>
      </c>
      <c r="V847" s="187">
        <f t="shared" si="30"/>
        <v>13877995</v>
      </c>
      <c r="W847" s="187">
        <f t="shared" si="31"/>
        <v>14323676</v>
      </c>
    </row>
    <row r="848" spans="1:23">
      <c r="A848" s="216" t="s">
        <v>6165</v>
      </c>
      <c r="B848" s="218">
        <v>2022.8240000000001</v>
      </c>
      <c r="C848" s="218">
        <v>1961.943</v>
      </c>
      <c r="D848" s="218">
        <v>1915.1890000000001</v>
      </c>
      <c r="E848" s="218">
        <v>1862.1379999999999</v>
      </c>
      <c r="F848" s="218">
        <v>346.3415</v>
      </c>
      <c r="G848" s="218">
        <v>347.42309999999998</v>
      </c>
      <c r="H848" s="218">
        <v>356.49799999999999</v>
      </c>
      <c r="I848" s="218">
        <v>324.96879999999999</v>
      </c>
      <c r="J848" s="246">
        <v>152730151</v>
      </c>
      <c r="K848" s="246">
        <v>172214973</v>
      </c>
      <c r="L848" s="218">
        <v>2750.1469999999999</v>
      </c>
      <c r="M848" s="246">
        <v>1616</v>
      </c>
      <c r="N848" s="251">
        <v>221.63409999999999</v>
      </c>
      <c r="O848" s="251">
        <v>211.905</v>
      </c>
      <c r="P848" s="251">
        <v>215.85509999999999</v>
      </c>
      <c r="Q848" s="251">
        <v>196.81290000000001</v>
      </c>
      <c r="R848" s="254">
        <v>1.1200000000000001</v>
      </c>
      <c r="S848" s="214">
        <v>136591</v>
      </c>
      <c r="T848" s="214">
        <v>2360074</v>
      </c>
      <c r="U848" s="214">
        <v>0</v>
      </c>
      <c r="V848" s="187">
        <f t="shared" si="30"/>
        <v>2360074</v>
      </c>
      <c r="W848" s="187">
        <f t="shared" si="31"/>
        <v>2496665</v>
      </c>
    </row>
    <row r="849" spans="1:23">
      <c r="A849" s="216" t="s">
        <v>6187</v>
      </c>
      <c r="B849" s="218">
        <v>1133.0889999999999</v>
      </c>
      <c r="C849" s="218">
        <v>1116.33</v>
      </c>
      <c r="D849" s="218">
        <v>1121.451</v>
      </c>
      <c r="E849" s="218">
        <v>1125.6669999999999</v>
      </c>
      <c r="F849" s="218">
        <v>185.66329999999999</v>
      </c>
      <c r="G849" s="218">
        <v>182.22749999999999</v>
      </c>
      <c r="H849" s="218">
        <v>193.1712</v>
      </c>
      <c r="I849" s="218">
        <v>203.71430000000001</v>
      </c>
      <c r="J849" s="246">
        <v>122853521</v>
      </c>
      <c r="K849" s="246">
        <v>132292291</v>
      </c>
      <c r="L849" s="218">
        <v>1658.691</v>
      </c>
      <c r="M849" s="246">
        <v>20155</v>
      </c>
      <c r="N849" s="251">
        <v>108.2285</v>
      </c>
      <c r="O849" s="251">
        <v>99.654300000000006</v>
      </c>
      <c r="P849" s="251">
        <v>97.384699999999995</v>
      </c>
      <c r="Q849" s="251">
        <v>99.722099999999998</v>
      </c>
      <c r="R849" s="254">
        <v>1.0900000000000001</v>
      </c>
      <c r="S849" s="214">
        <v>136022</v>
      </c>
      <c r="T849" s="214">
        <v>1824142</v>
      </c>
      <c r="U849" s="214">
        <v>0</v>
      </c>
      <c r="V849" s="187">
        <f t="shared" si="30"/>
        <v>1824142</v>
      </c>
      <c r="W849" s="187">
        <f t="shared" si="31"/>
        <v>1960164</v>
      </c>
    </row>
    <row r="850" spans="1:23">
      <c r="A850" s="216" t="s">
        <v>1837</v>
      </c>
      <c r="B850" s="218">
        <v>2043.1769999999999</v>
      </c>
      <c r="C850" s="218">
        <v>2006.82</v>
      </c>
      <c r="D850" s="218">
        <v>1947.2639999999999</v>
      </c>
      <c r="E850" s="218">
        <v>1975.4659999999999</v>
      </c>
      <c r="F850" s="218">
        <v>326.50850000000003</v>
      </c>
      <c r="G850" s="218">
        <v>337.5521</v>
      </c>
      <c r="H850" s="218">
        <v>327.67840000000001</v>
      </c>
      <c r="I850" s="218">
        <v>320.80360000000002</v>
      </c>
      <c r="J850" s="246">
        <v>213085662</v>
      </c>
      <c r="K850" s="246">
        <v>230323436</v>
      </c>
      <c r="L850" s="218">
        <v>2854.1840000000002</v>
      </c>
      <c r="M850" s="187">
        <v>0</v>
      </c>
      <c r="N850" s="251">
        <v>197.1728</v>
      </c>
      <c r="O850" s="251">
        <v>205.24119999999999</v>
      </c>
      <c r="P850" s="251">
        <v>202.20339999999999</v>
      </c>
      <c r="Q850" s="251">
        <v>197.48500000000001</v>
      </c>
      <c r="R850" s="254">
        <v>1.1000000000000001</v>
      </c>
      <c r="S850" s="214">
        <v>158966</v>
      </c>
      <c r="T850" s="214">
        <v>3162192</v>
      </c>
      <c r="U850" s="214">
        <v>0</v>
      </c>
      <c r="V850" s="187">
        <f t="shared" si="30"/>
        <v>3162192</v>
      </c>
      <c r="W850" s="187">
        <f t="shared" si="31"/>
        <v>3321158</v>
      </c>
    </row>
    <row r="851" spans="1:23">
      <c r="A851" s="216" t="s">
        <v>3884</v>
      </c>
      <c r="B851" s="218">
        <v>1373.8</v>
      </c>
      <c r="C851" s="218">
        <v>1372.723</v>
      </c>
      <c r="D851" s="218">
        <v>1347.079</v>
      </c>
      <c r="E851" s="218">
        <v>1309.7650000000001</v>
      </c>
      <c r="F851" s="218">
        <v>239.44210000000001</v>
      </c>
      <c r="G851" s="218">
        <v>237.07470000000001</v>
      </c>
      <c r="H851" s="218">
        <v>239.41839999999999</v>
      </c>
      <c r="I851" s="218">
        <v>239.19229999999999</v>
      </c>
      <c r="J851" s="246">
        <v>140974746</v>
      </c>
      <c r="K851" s="246">
        <v>151295372</v>
      </c>
      <c r="L851" s="218">
        <v>2063.3139999999999</v>
      </c>
      <c r="M851" s="246">
        <v>3460</v>
      </c>
      <c r="N851" s="251">
        <v>156.3417</v>
      </c>
      <c r="O851" s="251">
        <v>148.87010000000001</v>
      </c>
      <c r="P851" s="251">
        <v>146.0052</v>
      </c>
      <c r="Q851" s="251">
        <v>153.10740000000001</v>
      </c>
      <c r="R851" s="254">
        <v>1.1000000000000001</v>
      </c>
      <c r="S851" s="214">
        <v>92857</v>
      </c>
      <c r="T851" s="214">
        <v>1995561</v>
      </c>
      <c r="U851" s="214">
        <v>0</v>
      </c>
      <c r="V851" s="187">
        <f t="shared" si="30"/>
        <v>1995561</v>
      </c>
      <c r="W851" s="187">
        <f t="shared" si="31"/>
        <v>2088418</v>
      </c>
    </row>
    <row r="852" spans="1:23">
      <c r="A852" s="216" t="s">
        <v>2390</v>
      </c>
      <c r="B852" s="218">
        <v>757.57399999999996</v>
      </c>
      <c r="C852" s="218">
        <v>768.48099999999999</v>
      </c>
      <c r="D852" s="218">
        <v>770.64</v>
      </c>
      <c r="E852" s="218">
        <v>749.29300000000001</v>
      </c>
      <c r="F852" s="218">
        <v>135.17519999999999</v>
      </c>
      <c r="G852" s="218">
        <v>137.19649999999999</v>
      </c>
      <c r="H852" s="218">
        <v>132.72329999999999</v>
      </c>
      <c r="I852" s="218">
        <v>130.22329999999999</v>
      </c>
      <c r="J852" s="246">
        <v>106117154</v>
      </c>
      <c r="K852" s="246">
        <v>115845974</v>
      </c>
      <c r="L852" s="218">
        <v>1345.76</v>
      </c>
      <c r="M852" s="187">
        <v>0</v>
      </c>
      <c r="N852" s="251">
        <v>94.104699999999994</v>
      </c>
      <c r="O852" s="251">
        <v>92.200100000000006</v>
      </c>
      <c r="P852" s="251">
        <v>88.927400000000006</v>
      </c>
      <c r="Q852" s="251">
        <v>86.87</v>
      </c>
      <c r="R852" s="254">
        <v>1.02</v>
      </c>
      <c r="S852" s="214">
        <v>96702</v>
      </c>
      <c r="T852" s="214">
        <v>1482178</v>
      </c>
      <c r="U852" s="214">
        <v>0</v>
      </c>
      <c r="V852" s="187">
        <f t="shared" si="30"/>
        <v>1482178</v>
      </c>
      <c r="W852" s="187">
        <f t="shared" si="31"/>
        <v>1578880</v>
      </c>
    </row>
    <row r="853" spans="1:23">
      <c r="A853" s="216" t="s">
        <v>926</v>
      </c>
      <c r="B853" s="218">
        <v>159.42699999999999</v>
      </c>
      <c r="C853" s="218">
        <v>156.298</v>
      </c>
      <c r="D853" s="218">
        <v>151.578</v>
      </c>
      <c r="E853" s="218">
        <v>138.34200000000001</v>
      </c>
      <c r="F853" s="218">
        <v>34</v>
      </c>
      <c r="G853" s="218">
        <v>31.871600000000001</v>
      </c>
      <c r="H853" s="218">
        <v>29.550799999999999</v>
      </c>
      <c r="I853" s="218">
        <v>31.417100000000001</v>
      </c>
      <c r="J853" s="246">
        <v>30930539</v>
      </c>
      <c r="K853" s="246">
        <v>33170429</v>
      </c>
      <c r="L853" s="218">
        <v>329.64600000000002</v>
      </c>
      <c r="M853" s="187">
        <v>0</v>
      </c>
      <c r="N853" s="251">
        <v>22.230799999999999</v>
      </c>
      <c r="O853" s="251">
        <v>20.309000000000001</v>
      </c>
      <c r="P853" s="251">
        <v>20.450800000000001</v>
      </c>
      <c r="Q853" s="251">
        <v>20.767600000000002</v>
      </c>
      <c r="R853" s="254">
        <v>1.04</v>
      </c>
      <c r="S853" s="214">
        <v>0</v>
      </c>
      <c r="T853" s="214">
        <v>506451</v>
      </c>
      <c r="U853" s="214">
        <v>0</v>
      </c>
      <c r="V853" s="187">
        <f t="shared" si="30"/>
        <v>506451</v>
      </c>
      <c r="W853" s="187">
        <f t="shared" si="31"/>
        <v>506451</v>
      </c>
    </row>
    <row r="854" spans="1:23">
      <c r="A854" s="216" t="s">
        <v>928</v>
      </c>
      <c r="B854" s="218">
        <v>151.49600000000001</v>
      </c>
      <c r="C854" s="218">
        <v>139.21700000000001</v>
      </c>
      <c r="D854" s="218">
        <v>135.01300000000001</v>
      </c>
      <c r="E854" s="218">
        <v>141.61500000000001</v>
      </c>
      <c r="F854" s="218">
        <v>33.385100000000001</v>
      </c>
      <c r="G854" s="218">
        <v>36.369100000000003</v>
      </c>
      <c r="H854" s="218">
        <v>36.369100000000003</v>
      </c>
      <c r="I854" s="218">
        <v>35.369100000000003</v>
      </c>
      <c r="J854" s="246">
        <v>26602904</v>
      </c>
      <c r="K854" s="246">
        <v>27884634</v>
      </c>
      <c r="L854" s="218">
        <v>307.12900000000002</v>
      </c>
      <c r="M854" s="187">
        <v>0</v>
      </c>
      <c r="N854" s="251">
        <v>25.0015</v>
      </c>
      <c r="O854" s="251">
        <v>25.247900000000001</v>
      </c>
      <c r="P854" s="251">
        <v>26</v>
      </c>
      <c r="Q854" s="251">
        <v>25.122699999999998</v>
      </c>
      <c r="R854" s="254">
        <v>1.04</v>
      </c>
      <c r="S854" s="214">
        <v>0</v>
      </c>
      <c r="T854" s="214">
        <v>380273</v>
      </c>
      <c r="U854" s="214">
        <v>0</v>
      </c>
      <c r="V854" s="187">
        <f t="shared" si="30"/>
        <v>380273</v>
      </c>
      <c r="W854" s="187">
        <f t="shared" si="31"/>
        <v>380273</v>
      </c>
    </row>
    <row r="855" spans="1:23">
      <c r="A855" s="216" t="s">
        <v>930</v>
      </c>
      <c r="B855" s="218">
        <v>639.91099999999994</v>
      </c>
      <c r="C855" s="218">
        <v>620.71100000000001</v>
      </c>
      <c r="D855" s="218">
        <v>601.96600000000001</v>
      </c>
      <c r="E855" s="218">
        <v>580.98699999999997</v>
      </c>
      <c r="F855" s="218">
        <v>128.23419999999999</v>
      </c>
      <c r="G855" s="218">
        <v>123.1942</v>
      </c>
      <c r="H855" s="218">
        <v>116.1991</v>
      </c>
      <c r="I855" s="218">
        <v>121.0921</v>
      </c>
      <c r="J855" s="246">
        <v>185103522</v>
      </c>
      <c r="K855" s="246">
        <v>190676432</v>
      </c>
      <c r="L855" s="218">
        <v>1061.8620000000001</v>
      </c>
      <c r="M855" s="187">
        <v>0</v>
      </c>
      <c r="N855" s="251">
        <v>80.965199999999996</v>
      </c>
      <c r="O855" s="251">
        <v>78.997399999999999</v>
      </c>
      <c r="P855" s="251">
        <v>77.970699999999994</v>
      </c>
      <c r="Q855" s="251">
        <v>78.854900000000001</v>
      </c>
      <c r="R855" s="254">
        <v>1.05</v>
      </c>
      <c r="S855" s="214">
        <v>0</v>
      </c>
      <c r="T855" s="214">
        <v>2801988</v>
      </c>
      <c r="U855" s="214">
        <v>0</v>
      </c>
      <c r="V855" s="187">
        <f t="shared" si="30"/>
        <v>2801988</v>
      </c>
      <c r="W855" s="187">
        <f t="shared" si="31"/>
        <v>2801988</v>
      </c>
    </row>
    <row r="856" spans="1:23">
      <c r="A856" s="216" t="s">
        <v>932</v>
      </c>
      <c r="B856" s="218">
        <v>130.41900000000001</v>
      </c>
      <c r="C856" s="218">
        <v>107.114</v>
      </c>
      <c r="D856" s="218">
        <v>108.012</v>
      </c>
      <c r="E856" s="218">
        <v>113.616</v>
      </c>
      <c r="F856" s="218">
        <v>29.387699999999999</v>
      </c>
      <c r="G856" s="218">
        <v>28.5</v>
      </c>
      <c r="H856" s="218">
        <v>24.534800000000001</v>
      </c>
      <c r="I856" s="218">
        <v>26.5</v>
      </c>
      <c r="J856" s="246">
        <v>27512440</v>
      </c>
      <c r="K856" s="246">
        <v>29656185</v>
      </c>
      <c r="L856" s="218">
        <v>251.489</v>
      </c>
      <c r="M856" s="187">
        <v>0</v>
      </c>
      <c r="N856" s="251">
        <v>20.0014</v>
      </c>
      <c r="O856" s="251">
        <v>19.856100000000001</v>
      </c>
      <c r="P856" s="251">
        <v>16.751000000000001</v>
      </c>
      <c r="Q856" s="251">
        <v>18.6328</v>
      </c>
      <c r="R856" s="254">
        <v>1.08</v>
      </c>
      <c r="S856" s="214">
        <v>0</v>
      </c>
      <c r="T856" s="214">
        <v>461170</v>
      </c>
      <c r="U856" s="214">
        <v>0</v>
      </c>
      <c r="V856" s="187">
        <f t="shared" si="30"/>
        <v>461170</v>
      </c>
      <c r="W856" s="187">
        <f t="shared" si="31"/>
        <v>461170</v>
      </c>
    </row>
    <row r="857" spans="1:23">
      <c r="A857" s="216" t="s">
        <v>934</v>
      </c>
      <c r="B857" s="218">
        <v>2712.567</v>
      </c>
      <c r="C857" s="218">
        <v>2583.4</v>
      </c>
      <c r="D857" s="218">
        <v>2501.7429999999999</v>
      </c>
      <c r="E857" s="218">
        <v>2495.6689999999999</v>
      </c>
      <c r="F857" s="218">
        <v>399.15780000000001</v>
      </c>
      <c r="G857" s="218">
        <v>382.69880000000001</v>
      </c>
      <c r="H857" s="218">
        <v>379.50650000000002</v>
      </c>
      <c r="I857" s="218">
        <v>351.78339999999997</v>
      </c>
      <c r="J857" s="246">
        <v>606217749</v>
      </c>
      <c r="K857" s="246">
        <v>641099147</v>
      </c>
      <c r="L857" s="218">
        <v>3562.6289999999999</v>
      </c>
      <c r="M857" s="187">
        <v>0</v>
      </c>
      <c r="N857" s="251">
        <v>281.16160000000002</v>
      </c>
      <c r="O857" s="251">
        <v>270.46850000000001</v>
      </c>
      <c r="P857" s="251">
        <v>262.14280000000002</v>
      </c>
      <c r="Q857" s="251">
        <v>248.625</v>
      </c>
      <c r="R857" s="254">
        <v>1.1000000000000001</v>
      </c>
      <c r="S857" s="214">
        <v>0</v>
      </c>
      <c r="T857" s="214">
        <v>9975421</v>
      </c>
      <c r="U857" s="214">
        <v>0</v>
      </c>
      <c r="V857" s="187">
        <f t="shared" si="30"/>
        <v>9975421</v>
      </c>
      <c r="W857" s="187">
        <f t="shared" si="31"/>
        <v>9975421</v>
      </c>
    </row>
    <row r="858" spans="1:23">
      <c r="A858" s="216" t="s">
        <v>936</v>
      </c>
      <c r="B858" s="218">
        <v>182.50899999999999</v>
      </c>
      <c r="C858" s="218">
        <v>164.37100000000001</v>
      </c>
      <c r="D858" s="218">
        <v>186.51599999999999</v>
      </c>
      <c r="E858" s="218">
        <v>193.167</v>
      </c>
      <c r="F858" s="218">
        <v>30.187200000000001</v>
      </c>
      <c r="G858" s="218">
        <v>32.187199999999997</v>
      </c>
      <c r="H858" s="218">
        <v>32</v>
      </c>
      <c r="I858" s="218">
        <v>31.33</v>
      </c>
      <c r="J858" s="246">
        <v>93623659</v>
      </c>
      <c r="K858" s="246">
        <v>95261127</v>
      </c>
      <c r="L858" s="218">
        <v>304.08100000000002</v>
      </c>
      <c r="M858" s="187">
        <v>0</v>
      </c>
      <c r="N858" s="251">
        <v>21.335000000000001</v>
      </c>
      <c r="O858" s="251">
        <v>22.584900000000001</v>
      </c>
      <c r="P858" s="251">
        <v>22.3432</v>
      </c>
      <c r="Q858" s="251">
        <v>21.263300000000001</v>
      </c>
      <c r="R858" s="254">
        <v>1.07</v>
      </c>
      <c r="S858" s="214">
        <v>0</v>
      </c>
      <c r="T858" s="214">
        <v>1320584</v>
      </c>
      <c r="U858" s="214">
        <v>0</v>
      </c>
      <c r="V858" s="187">
        <f t="shared" si="30"/>
        <v>1320584</v>
      </c>
      <c r="W858" s="187">
        <f t="shared" si="31"/>
        <v>1320584</v>
      </c>
    </row>
    <row r="859" spans="1:23">
      <c r="A859" s="216" t="s">
        <v>5145</v>
      </c>
      <c r="B859" s="218">
        <v>550.11599999999999</v>
      </c>
      <c r="C859" s="218">
        <v>557.62099999999998</v>
      </c>
      <c r="D859" s="218">
        <v>541.90800000000002</v>
      </c>
      <c r="E859" s="218">
        <v>538.99800000000005</v>
      </c>
      <c r="F859" s="218">
        <v>80.178600000000003</v>
      </c>
      <c r="G859" s="218">
        <v>84.891499999999994</v>
      </c>
      <c r="H859" s="218">
        <v>86.608199999999997</v>
      </c>
      <c r="I859" s="218">
        <v>86.337800000000001</v>
      </c>
      <c r="J859" s="246">
        <v>131159870</v>
      </c>
      <c r="K859" s="246">
        <v>137580206</v>
      </c>
      <c r="L859" s="218">
        <v>1010.728</v>
      </c>
      <c r="M859" s="246">
        <v>171915</v>
      </c>
      <c r="N859" s="251">
        <v>56.607199999999999</v>
      </c>
      <c r="O859" s="251">
        <v>57.844900000000003</v>
      </c>
      <c r="P859" s="251">
        <v>59.492199999999997</v>
      </c>
      <c r="Q859" s="251">
        <v>58.965000000000003</v>
      </c>
      <c r="R859" s="254">
        <v>1.05</v>
      </c>
      <c r="S859" s="214">
        <v>174917</v>
      </c>
      <c r="T859" s="214">
        <v>1594106</v>
      </c>
      <c r="U859" s="214">
        <v>0</v>
      </c>
      <c r="V859" s="187">
        <f t="shared" si="30"/>
        <v>1594106</v>
      </c>
      <c r="W859" s="187">
        <f t="shared" si="31"/>
        <v>1769023</v>
      </c>
    </row>
    <row r="860" spans="1:23">
      <c r="A860" s="216" t="s">
        <v>2950</v>
      </c>
      <c r="B860" s="218">
        <v>104.44799999999999</v>
      </c>
      <c r="C860" s="218">
        <v>96.296000000000006</v>
      </c>
      <c r="D860" s="218">
        <v>99.933000000000007</v>
      </c>
      <c r="E860" s="218">
        <v>97.165000000000006</v>
      </c>
      <c r="F860" s="218">
        <v>22.402100000000001</v>
      </c>
      <c r="G860" s="218">
        <v>24.211200000000002</v>
      </c>
      <c r="H860" s="218">
        <v>24.711200000000002</v>
      </c>
      <c r="I860" s="218">
        <v>26.4</v>
      </c>
      <c r="J860" s="246">
        <v>26342085</v>
      </c>
      <c r="K860" s="246">
        <v>27404455</v>
      </c>
      <c r="L860" s="218">
        <v>269.01400000000001</v>
      </c>
      <c r="M860" s="187">
        <v>0</v>
      </c>
      <c r="N860" s="251">
        <v>16.0002</v>
      </c>
      <c r="O860" s="251">
        <v>16.765599999999999</v>
      </c>
      <c r="P860" s="251">
        <v>15.385199999999999</v>
      </c>
      <c r="Q860" s="251">
        <v>18.399899999999999</v>
      </c>
      <c r="R860" s="254">
        <v>1.05</v>
      </c>
      <c r="S860" s="214">
        <v>0</v>
      </c>
      <c r="T860" s="214">
        <v>365390</v>
      </c>
      <c r="U860" s="214">
        <v>0</v>
      </c>
      <c r="V860" s="187">
        <f t="shared" si="30"/>
        <v>365390</v>
      </c>
      <c r="W860" s="187">
        <f t="shared" si="31"/>
        <v>365390</v>
      </c>
    </row>
    <row r="861" spans="1:23">
      <c r="A861" s="216" t="s">
        <v>2952</v>
      </c>
      <c r="B861" s="218">
        <v>2171.0909999999999</v>
      </c>
      <c r="C861" s="218">
        <v>2127.1619999999998</v>
      </c>
      <c r="D861" s="218">
        <v>2192.7959999999998</v>
      </c>
      <c r="E861" s="218">
        <v>2240.3000000000002</v>
      </c>
      <c r="F861" s="218">
        <v>331.13119999999998</v>
      </c>
      <c r="G861" s="218">
        <v>335.30509999999998</v>
      </c>
      <c r="H861" s="218">
        <v>342.7063</v>
      </c>
      <c r="I861" s="218">
        <v>349.62360000000001</v>
      </c>
      <c r="J861" s="246">
        <v>252907122</v>
      </c>
      <c r="K861" s="246">
        <v>276536014</v>
      </c>
      <c r="L861" s="218">
        <v>3137.7910000000002</v>
      </c>
      <c r="M861" s="246">
        <v>180850</v>
      </c>
      <c r="N861" s="251">
        <v>218.03790000000001</v>
      </c>
      <c r="O861" s="251">
        <v>220.58510000000001</v>
      </c>
      <c r="P861" s="251">
        <v>216.0932</v>
      </c>
      <c r="Q861" s="251">
        <v>221.6764</v>
      </c>
      <c r="R861" s="254">
        <v>1.05</v>
      </c>
      <c r="S861" s="214">
        <v>395067</v>
      </c>
      <c r="T861" s="214">
        <v>3716230</v>
      </c>
      <c r="U861" s="214">
        <v>0</v>
      </c>
      <c r="V861" s="187">
        <f t="shared" si="30"/>
        <v>3716230</v>
      </c>
      <c r="W861" s="187">
        <f t="shared" si="31"/>
        <v>4111297</v>
      </c>
    </row>
    <row r="862" spans="1:23">
      <c r="A862" s="216" t="s">
        <v>2526</v>
      </c>
      <c r="B862" s="218">
        <v>570.93399999999997</v>
      </c>
      <c r="C862" s="218">
        <v>589.34699999999998</v>
      </c>
      <c r="D862" s="218">
        <v>589.29600000000005</v>
      </c>
      <c r="E862" s="218">
        <v>598.06799999999998</v>
      </c>
      <c r="F862" s="218">
        <v>104.0699</v>
      </c>
      <c r="G862" s="218">
        <v>98.796599999999998</v>
      </c>
      <c r="H862" s="218">
        <v>104.58669999999999</v>
      </c>
      <c r="I862" s="218">
        <v>108.15689999999999</v>
      </c>
      <c r="J862" s="246">
        <v>99283732</v>
      </c>
      <c r="K862" s="246">
        <v>108138575</v>
      </c>
      <c r="L862" s="218">
        <v>989.07299999999998</v>
      </c>
      <c r="M862" s="246">
        <v>102317</v>
      </c>
      <c r="N862" s="251">
        <v>69.881699999999995</v>
      </c>
      <c r="O862" s="251">
        <v>65.286600000000007</v>
      </c>
      <c r="P862" s="251">
        <v>67.799800000000005</v>
      </c>
      <c r="Q862" s="251">
        <v>68.089399999999998</v>
      </c>
      <c r="R862" s="254">
        <v>1.04</v>
      </c>
      <c r="S862" s="214">
        <v>105644</v>
      </c>
      <c r="T862" s="214">
        <v>1554186</v>
      </c>
      <c r="U862" s="214">
        <v>0</v>
      </c>
      <c r="V862" s="187">
        <f t="shared" si="30"/>
        <v>1554186</v>
      </c>
      <c r="W862" s="187">
        <f t="shared" si="31"/>
        <v>1659830</v>
      </c>
    </row>
    <row r="863" spans="1:23">
      <c r="A863" s="216" t="s">
        <v>3885</v>
      </c>
      <c r="B863" s="218">
        <v>669.54</v>
      </c>
      <c r="C863" s="218">
        <v>654.59100000000001</v>
      </c>
      <c r="D863" s="218">
        <v>655.12300000000005</v>
      </c>
      <c r="E863" s="218">
        <v>643.24900000000002</v>
      </c>
      <c r="F863" s="218">
        <v>108.4516</v>
      </c>
      <c r="G863" s="218">
        <v>112.3554</v>
      </c>
      <c r="H863" s="218">
        <v>110.51739999999999</v>
      </c>
      <c r="I863" s="218">
        <v>108.0575</v>
      </c>
      <c r="J863" s="246">
        <v>83611472</v>
      </c>
      <c r="K863" s="246">
        <v>91518552</v>
      </c>
      <c r="L863" s="218">
        <v>1056.528</v>
      </c>
      <c r="M863" s="246">
        <v>34285</v>
      </c>
      <c r="N863" s="251">
        <v>72.734099999999998</v>
      </c>
      <c r="O863" s="251">
        <v>74.875699999999995</v>
      </c>
      <c r="P863" s="251">
        <v>73.866699999999994</v>
      </c>
      <c r="Q863" s="251">
        <v>72.266800000000003</v>
      </c>
      <c r="R863" s="254">
        <v>1.05</v>
      </c>
      <c r="S863" s="214">
        <v>94508</v>
      </c>
      <c r="T863" s="214">
        <v>1285528</v>
      </c>
      <c r="U863" s="214">
        <v>0</v>
      </c>
      <c r="V863" s="187">
        <f t="shared" si="30"/>
        <v>1285528</v>
      </c>
      <c r="W863" s="187">
        <f t="shared" si="31"/>
        <v>1380036</v>
      </c>
    </row>
    <row r="864" spans="1:23">
      <c r="A864" s="216" t="s">
        <v>2528</v>
      </c>
      <c r="B864" s="218">
        <v>381.471</v>
      </c>
      <c r="C864" s="218">
        <v>381.48599999999999</v>
      </c>
      <c r="D864" s="218">
        <v>373.25400000000002</v>
      </c>
      <c r="E864" s="218">
        <v>373.09800000000001</v>
      </c>
      <c r="F864" s="218">
        <v>74.843299999999999</v>
      </c>
      <c r="G864" s="218">
        <v>76.692300000000003</v>
      </c>
      <c r="H864" s="218">
        <v>84.086399999999998</v>
      </c>
      <c r="I864" s="218">
        <v>80.816199999999995</v>
      </c>
      <c r="J864" s="246">
        <v>48202344</v>
      </c>
      <c r="K864" s="246">
        <v>52847577</v>
      </c>
      <c r="L864" s="218">
        <v>659.65899999999999</v>
      </c>
      <c r="M864" s="187">
        <v>0</v>
      </c>
      <c r="N864" s="251">
        <v>52.728999999999999</v>
      </c>
      <c r="O864" s="251">
        <v>52.171100000000003</v>
      </c>
      <c r="P864" s="251">
        <v>55.207000000000001</v>
      </c>
      <c r="Q864" s="251">
        <v>51.609299999999998</v>
      </c>
      <c r="R864" s="254">
        <v>1.04</v>
      </c>
      <c r="S864" s="214">
        <v>0</v>
      </c>
      <c r="T864" s="214">
        <v>661574</v>
      </c>
      <c r="U864" s="214">
        <v>0</v>
      </c>
      <c r="V864" s="187">
        <f t="shared" si="30"/>
        <v>661574</v>
      </c>
      <c r="W864" s="187">
        <f t="shared" si="31"/>
        <v>661574</v>
      </c>
    </row>
    <row r="865" spans="1:23">
      <c r="A865" s="216" t="s">
        <v>2530</v>
      </c>
      <c r="B865" s="218">
        <v>577.5</v>
      </c>
      <c r="C865" s="218">
        <v>547.32500000000005</v>
      </c>
      <c r="D865" s="218">
        <v>562.5</v>
      </c>
      <c r="E865" s="218">
        <v>548.59199999999998</v>
      </c>
      <c r="F865" s="218">
        <v>113.4653</v>
      </c>
      <c r="G865" s="218">
        <v>112.9213</v>
      </c>
      <c r="H865" s="218">
        <v>109.93049999999999</v>
      </c>
      <c r="I865" s="218">
        <v>81.689899999999994</v>
      </c>
      <c r="J865" s="246">
        <v>77126726</v>
      </c>
      <c r="K865" s="246">
        <v>85633266</v>
      </c>
      <c r="L865" s="218">
        <v>938.77</v>
      </c>
      <c r="M865" s="246">
        <v>72866</v>
      </c>
      <c r="N865" s="251">
        <v>73.002200000000002</v>
      </c>
      <c r="O865" s="251">
        <v>70.170199999999994</v>
      </c>
      <c r="P865" s="251">
        <v>69.174099999999996</v>
      </c>
      <c r="Q865" s="251">
        <v>45.784500000000001</v>
      </c>
      <c r="R865" s="254">
        <v>1.04</v>
      </c>
      <c r="S865" s="214">
        <v>78275</v>
      </c>
      <c r="T865" s="214">
        <v>1176675</v>
      </c>
      <c r="U865" s="214">
        <v>0</v>
      </c>
      <c r="V865" s="187">
        <f t="shared" si="30"/>
        <v>1176675</v>
      </c>
      <c r="W865" s="187">
        <f t="shared" si="31"/>
        <v>1254950</v>
      </c>
    </row>
    <row r="866" spans="1:23">
      <c r="A866" s="216" t="s">
        <v>2532</v>
      </c>
      <c r="B866" s="218">
        <v>65.584000000000003</v>
      </c>
      <c r="C866" s="218">
        <v>63.182000000000002</v>
      </c>
      <c r="D866" s="218">
        <v>61.341999999999999</v>
      </c>
      <c r="E866" s="218">
        <v>59.643000000000001</v>
      </c>
      <c r="F866" s="218">
        <v>19</v>
      </c>
      <c r="G866" s="218">
        <v>18</v>
      </c>
      <c r="H866" s="218">
        <v>16</v>
      </c>
      <c r="I866" s="218">
        <v>15.9626</v>
      </c>
      <c r="J866" s="246">
        <v>8388395</v>
      </c>
      <c r="K866" s="246">
        <v>9562162</v>
      </c>
      <c r="L866" s="218">
        <v>139.822</v>
      </c>
      <c r="M866" s="187">
        <v>0</v>
      </c>
      <c r="N866" s="251">
        <v>12.0001</v>
      </c>
      <c r="O866" s="251">
        <v>11</v>
      </c>
      <c r="P866" s="251">
        <v>9.9999000000000002</v>
      </c>
      <c r="Q866" s="251">
        <v>12.000400000000001</v>
      </c>
      <c r="R866" s="254">
        <v>1.04</v>
      </c>
      <c r="S866" s="214">
        <v>0</v>
      </c>
      <c r="T866" s="214">
        <v>137491</v>
      </c>
      <c r="U866" s="214">
        <v>0</v>
      </c>
      <c r="V866" s="187">
        <f t="shared" si="30"/>
        <v>137491</v>
      </c>
      <c r="W866" s="187">
        <f t="shared" si="31"/>
        <v>137491</v>
      </c>
    </row>
    <row r="867" spans="1:23">
      <c r="A867" s="216" t="s">
        <v>2316</v>
      </c>
      <c r="B867" s="218">
        <v>137.24600000000001</v>
      </c>
      <c r="C867" s="218">
        <v>132.34100000000001</v>
      </c>
      <c r="D867" s="218">
        <v>131.059</v>
      </c>
      <c r="E867" s="218">
        <v>127.429</v>
      </c>
      <c r="F867" s="218">
        <v>28.473800000000001</v>
      </c>
      <c r="G867" s="218">
        <v>31.087700000000002</v>
      </c>
      <c r="H867" s="218">
        <v>31.023499999999999</v>
      </c>
      <c r="I867" s="218">
        <v>33.314</v>
      </c>
      <c r="J867" s="246">
        <v>106770800</v>
      </c>
      <c r="K867" s="246">
        <v>108066500</v>
      </c>
      <c r="L867" s="218">
        <v>249.40600000000001</v>
      </c>
      <c r="M867" s="187">
        <v>0</v>
      </c>
      <c r="N867" s="251">
        <v>19.1279</v>
      </c>
      <c r="O867" s="251">
        <v>21.797000000000001</v>
      </c>
      <c r="P867" s="251">
        <v>23.116900000000001</v>
      </c>
      <c r="Q867" s="251">
        <v>23.652699999999999</v>
      </c>
      <c r="R867" s="254">
        <v>1.0900000000000001</v>
      </c>
      <c r="S867" s="214">
        <v>0</v>
      </c>
      <c r="T867" s="214">
        <v>1529950</v>
      </c>
      <c r="U867" s="214">
        <v>0</v>
      </c>
      <c r="V867" s="187">
        <f t="shared" si="30"/>
        <v>1529950</v>
      </c>
      <c r="W867" s="187">
        <f t="shared" si="31"/>
        <v>1529950</v>
      </c>
    </row>
    <row r="868" spans="1:23">
      <c r="A868" s="216" t="s">
        <v>5105</v>
      </c>
      <c r="B868" s="218">
        <v>573.30100000000004</v>
      </c>
      <c r="C868" s="218">
        <v>561.46600000000001</v>
      </c>
      <c r="D868" s="218">
        <v>591.81299999999999</v>
      </c>
      <c r="E868" s="218">
        <v>585.96</v>
      </c>
      <c r="F868" s="218">
        <v>95.308999999999997</v>
      </c>
      <c r="G868" s="218">
        <v>98.647000000000006</v>
      </c>
      <c r="H868" s="218">
        <v>99.333500000000001</v>
      </c>
      <c r="I868" s="218">
        <v>102.5968</v>
      </c>
      <c r="J868" s="246">
        <v>277654832</v>
      </c>
      <c r="K868" s="246">
        <v>283442932</v>
      </c>
      <c r="L868" s="218">
        <v>1066.2190000000001</v>
      </c>
      <c r="M868" s="246">
        <v>315049</v>
      </c>
      <c r="N868" s="251">
        <v>65.686000000000007</v>
      </c>
      <c r="O868" s="251">
        <v>69.732299999999995</v>
      </c>
      <c r="P868" s="251">
        <v>64.979200000000006</v>
      </c>
      <c r="Q868" s="251">
        <v>71.292299999999997</v>
      </c>
      <c r="R868" s="254">
        <v>1.08</v>
      </c>
      <c r="S868" s="214">
        <v>233196</v>
      </c>
      <c r="T868" s="214">
        <v>4301212</v>
      </c>
      <c r="U868" s="214">
        <v>0</v>
      </c>
      <c r="V868" s="187">
        <f t="shared" si="30"/>
        <v>4301212</v>
      </c>
      <c r="W868" s="187">
        <f t="shared" si="31"/>
        <v>4534408</v>
      </c>
    </row>
    <row r="869" spans="1:23">
      <c r="A869" s="216" t="s">
        <v>5036</v>
      </c>
      <c r="B869" s="218">
        <v>822.61400000000003</v>
      </c>
      <c r="C869" s="218">
        <v>819.23800000000006</v>
      </c>
      <c r="D869" s="218">
        <v>822.57899999999995</v>
      </c>
      <c r="E869" s="218">
        <v>867.029</v>
      </c>
      <c r="F869" s="218">
        <v>125.3561</v>
      </c>
      <c r="G869" s="218">
        <v>125.32340000000001</v>
      </c>
      <c r="H869" s="218">
        <v>127.79389999999999</v>
      </c>
      <c r="I869" s="218">
        <v>129.42850000000001</v>
      </c>
      <c r="J869" s="246">
        <v>144427754</v>
      </c>
      <c r="K869" s="246">
        <v>157061175</v>
      </c>
      <c r="L869" s="218">
        <v>1328.8920000000001</v>
      </c>
      <c r="M869" s="246">
        <v>147540</v>
      </c>
      <c r="N869" s="251">
        <v>78.754999999999995</v>
      </c>
      <c r="O869" s="251">
        <v>77.915099999999995</v>
      </c>
      <c r="P869" s="251">
        <v>80.739599999999996</v>
      </c>
      <c r="Q869" s="251">
        <v>85.170500000000004</v>
      </c>
      <c r="R869" s="254">
        <v>1.04</v>
      </c>
      <c r="S869" s="214">
        <v>409509</v>
      </c>
      <c r="T869" s="214">
        <v>2170150</v>
      </c>
      <c r="U869" s="214">
        <v>0</v>
      </c>
      <c r="V869" s="187">
        <f t="shared" si="30"/>
        <v>2170150</v>
      </c>
      <c r="W869" s="187">
        <f t="shared" si="31"/>
        <v>2579659</v>
      </c>
    </row>
    <row r="870" spans="1:23">
      <c r="A870" s="216" t="s">
        <v>2430</v>
      </c>
      <c r="B870" s="218">
        <v>1260.558</v>
      </c>
      <c r="C870" s="218">
        <v>1316.1030000000001</v>
      </c>
      <c r="D870" s="218">
        <v>1334.587</v>
      </c>
      <c r="E870" s="218">
        <v>1396.097</v>
      </c>
      <c r="F870" s="218">
        <v>160.27010000000001</v>
      </c>
      <c r="G870" s="218">
        <v>164.27289999999999</v>
      </c>
      <c r="H870" s="218">
        <v>172.32650000000001</v>
      </c>
      <c r="I870" s="218">
        <v>188.10210000000001</v>
      </c>
      <c r="J870" s="246">
        <v>314808936</v>
      </c>
      <c r="K870" s="246">
        <v>337701034</v>
      </c>
      <c r="L870" s="218">
        <v>1847.271</v>
      </c>
      <c r="M870" s="246">
        <v>867363</v>
      </c>
      <c r="N870" s="251">
        <v>105.61960000000001</v>
      </c>
      <c r="O870" s="251">
        <v>110.95</v>
      </c>
      <c r="P870" s="251">
        <v>115.0017</v>
      </c>
      <c r="Q870" s="251">
        <v>120.1104</v>
      </c>
      <c r="R870" s="254">
        <v>1.04</v>
      </c>
      <c r="S870" s="214">
        <v>871507</v>
      </c>
      <c r="T870" s="214">
        <v>4434104</v>
      </c>
      <c r="U870" s="214">
        <v>0</v>
      </c>
      <c r="V870" s="187">
        <f t="shared" si="30"/>
        <v>4434104</v>
      </c>
      <c r="W870" s="187">
        <f t="shared" si="31"/>
        <v>5305611</v>
      </c>
    </row>
    <row r="871" spans="1:23">
      <c r="A871" s="216" t="s">
        <v>2432</v>
      </c>
      <c r="B871" s="218">
        <v>2516.3780000000002</v>
      </c>
      <c r="C871" s="218">
        <v>2573.7399999999998</v>
      </c>
      <c r="D871" s="218">
        <v>2744.5590000000002</v>
      </c>
      <c r="E871" s="218">
        <v>2868.578</v>
      </c>
      <c r="F871" s="218">
        <v>343.44920000000002</v>
      </c>
      <c r="G871" s="218">
        <v>352.5668</v>
      </c>
      <c r="H871" s="218">
        <v>391.45350000000002</v>
      </c>
      <c r="I871" s="218">
        <v>410.06349999999998</v>
      </c>
      <c r="J871" s="246">
        <v>530120357</v>
      </c>
      <c r="K871" s="246">
        <v>567494628</v>
      </c>
      <c r="L871" s="218">
        <v>3747.962</v>
      </c>
      <c r="M871" s="246">
        <v>748146</v>
      </c>
      <c r="N871" s="251">
        <v>225.512</v>
      </c>
      <c r="O871" s="251">
        <v>233.64320000000001</v>
      </c>
      <c r="P871" s="251">
        <v>243.7056</v>
      </c>
      <c r="Q871" s="251">
        <v>259.70170000000002</v>
      </c>
      <c r="R871" s="254">
        <v>1.06</v>
      </c>
      <c r="S871" s="214">
        <v>1038436</v>
      </c>
      <c r="T871" s="214">
        <v>8360263</v>
      </c>
      <c r="U871" s="214">
        <v>0</v>
      </c>
      <c r="V871" s="187">
        <f t="shared" si="30"/>
        <v>8360263</v>
      </c>
      <c r="W871" s="187">
        <f t="shared" si="31"/>
        <v>9398699</v>
      </c>
    </row>
    <row r="872" spans="1:23">
      <c r="A872" s="216" t="s">
        <v>5339</v>
      </c>
      <c r="B872" s="218">
        <v>854.61199999999997</v>
      </c>
      <c r="C872" s="218">
        <v>890.44899999999996</v>
      </c>
      <c r="D872" s="218">
        <v>898.74199999999996</v>
      </c>
      <c r="E872" s="218">
        <v>911.86699999999996</v>
      </c>
      <c r="F872" s="218">
        <v>127.66200000000001</v>
      </c>
      <c r="G872" s="218">
        <v>138.06530000000001</v>
      </c>
      <c r="H872" s="218">
        <v>142.08250000000001</v>
      </c>
      <c r="I872" s="218">
        <v>135.70400000000001</v>
      </c>
      <c r="J872" s="246">
        <v>101724896</v>
      </c>
      <c r="K872" s="246">
        <v>111518432</v>
      </c>
      <c r="L872" s="218">
        <v>1316.21</v>
      </c>
      <c r="M872" s="246">
        <v>58395</v>
      </c>
      <c r="N872" s="251">
        <v>84.641800000000003</v>
      </c>
      <c r="O872" s="251">
        <v>89.395200000000003</v>
      </c>
      <c r="P872" s="251">
        <v>90.876300000000001</v>
      </c>
      <c r="Q872" s="251">
        <v>89.543999999999997</v>
      </c>
      <c r="R872" s="254">
        <v>1.04</v>
      </c>
      <c r="S872" s="214">
        <v>63254</v>
      </c>
      <c r="T872" s="214">
        <v>1640194</v>
      </c>
      <c r="U872" s="214">
        <v>0</v>
      </c>
      <c r="V872" s="187">
        <f t="shared" si="30"/>
        <v>1640194</v>
      </c>
      <c r="W872" s="187">
        <f t="shared" si="31"/>
        <v>1703448</v>
      </c>
    </row>
    <row r="873" spans="1:23">
      <c r="A873" s="216" t="s">
        <v>5341</v>
      </c>
      <c r="B873" s="218">
        <v>15431.767</v>
      </c>
      <c r="C873" s="218">
        <v>15628.82</v>
      </c>
      <c r="D873" s="218">
        <v>15694.781999999999</v>
      </c>
      <c r="E873" s="218">
        <v>15885.335999999999</v>
      </c>
      <c r="F873" s="218">
        <v>2227.7516999999998</v>
      </c>
      <c r="G873" s="218">
        <v>2257.4778000000001</v>
      </c>
      <c r="H873" s="218">
        <v>2231.6579000000002</v>
      </c>
      <c r="I873" s="218">
        <v>2321.8591999999999</v>
      </c>
      <c r="J873" s="246">
        <v>4426881797</v>
      </c>
      <c r="K873" s="246">
        <v>4645813393</v>
      </c>
      <c r="L873" s="218">
        <v>20955.768</v>
      </c>
      <c r="M873" s="246">
        <v>1695166</v>
      </c>
      <c r="N873" s="251">
        <v>1443.6846</v>
      </c>
      <c r="O873" s="251">
        <v>1485.4917</v>
      </c>
      <c r="P873" s="251">
        <v>1464.8510000000001</v>
      </c>
      <c r="Q873" s="251">
        <v>1516.9528</v>
      </c>
      <c r="R873" s="254">
        <v>1.1000000000000001</v>
      </c>
      <c r="S873" s="214">
        <v>1820176</v>
      </c>
      <c r="T873" s="214">
        <v>65856827</v>
      </c>
      <c r="U873" s="214">
        <v>0</v>
      </c>
      <c r="V873" s="187">
        <f t="shared" si="30"/>
        <v>65856827</v>
      </c>
      <c r="W873" s="187">
        <f t="shared" si="31"/>
        <v>67677003</v>
      </c>
    </row>
    <row r="874" spans="1:23">
      <c r="A874" s="216" t="s">
        <v>858</v>
      </c>
      <c r="B874" s="218">
        <v>3788.1909999999998</v>
      </c>
      <c r="C874" s="218">
        <v>3774.9319999999998</v>
      </c>
      <c r="D874" s="218">
        <v>3805.6030000000001</v>
      </c>
      <c r="E874" s="218">
        <v>3815.252</v>
      </c>
      <c r="F874" s="218">
        <v>446.09730000000002</v>
      </c>
      <c r="G874" s="218">
        <v>450.97949999999997</v>
      </c>
      <c r="H874" s="218">
        <v>465.01900000000001</v>
      </c>
      <c r="I874" s="218">
        <v>472.55810000000002</v>
      </c>
      <c r="J874" s="246">
        <v>768294601</v>
      </c>
      <c r="K874" s="246">
        <v>815872316</v>
      </c>
      <c r="L874" s="218">
        <v>4612.4470000000001</v>
      </c>
      <c r="M874" s="246">
        <v>750932</v>
      </c>
      <c r="N874" s="251">
        <v>304.9787</v>
      </c>
      <c r="O874" s="251">
        <v>308.80399999999997</v>
      </c>
      <c r="P874" s="251">
        <v>301.4751</v>
      </c>
      <c r="Q874" s="251">
        <v>308.7679</v>
      </c>
      <c r="R874" s="254">
        <v>1.07</v>
      </c>
      <c r="S874" s="214">
        <v>750458</v>
      </c>
      <c r="T874" s="214">
        <v>11597875</v>
      </c>
      <c r="U874" s="214">
        <v>0</v>
      </c>
      <c r="V874" s="187">
        <f t="shared" si="30"/>
        <v>11597875</v>
      </c>
      <c r="W874" s="187">
        <f t="shared" si="31"/>
        <v>12348333</v>
      </c>
    </row>
    <row r="875" spans="1:23">
      <c r="A875" s="216" t="s">
        <v>5343</v>
      </c>
      <c r="B875" s="218">
        <v>2821.2379999999998</v>
      </c>
      <c r="C875" s="218">
        <v>2809.8870000000002</v>
      </c>
      <c r="D875" s="218">
        <v>2725.0279999999998</v>
      </c>
      <c r="E875" s="218">
        <v>2799.3960000000002</v>
      </c>
      <c r="F875" s="218">
        <v>453.30810000000002</v>
      </c>
      <c r="G875" s="218">
        <v>463.34320000000002</v>
      </c>
      <c r="H875" s="218">
        <v>452.0856</v>
      </c>
      <c r="I875" s="218">
        <v>441.18349999999998</v>
      </c>
      <c r="J875" s="246">
        <v>541735327</v>
      </c>
      <c r="K875" s="246">
        <v>579769445</v>
      </c>
      <c r="L875" s="218">
        <v>3722.6959999999999</v>
      </c>
      <c r="M875" s="246">
        <v>476873</v>
      </c>
      <c r="N875" s="251">
        <v>272.36709999999999</v>
      </c>
      <c r="O875" s="251">
        <v>287.14530000000002</v>
      </c>
      <c r="P875" s="251">
        <v>278.58479999999997</v>
      </c>
      <c r="Q875" s="251">
        <v>281.01409999999998</v>
      </c>
      <c r="R875" s="254">
        <v>1.07</v>
      </c>
      <c r="S875" s="214">
        <v>736339</v>
      </c>
      <c r="T875" s="214">
        <v>8331768</v>
      </c>
      <c r="U875" s="214">
        <v>0</v>
      </c>
      <c r="V875" s="187">
        <f t="shared" si="30"/>
        <v>8331768</v>
      </c>
      <c r="W875" s="187">
        <f t="shared" si="31"/>
        <v>9068107</v>
      </c>
    </row>
    <row r="876" spans="1:23">
      <c r="A876" s="216" t="s">
        <v>5344</v>
      </c>
      <c r="B876" s="218">
        <v>913.71600000000001</v>
      </c>
      <c r="C876" s="218">
        <v>959.86099999999999</v>
      </c>
      <c r="D876" s="218">
        <v>961.52</v>
      </c>
      <c r="E876" s="218">
        <v>945.33399999999995</v>
      </c>
      <c r="F876" s="218">
        <v>137.32400000000001</v>
      </c>
      <c r="G876" s="218">
        <v>158.2079</v>
      </c>
      <c r="H876" s="218">
        <v>159.95339999999999</v>
      </c>
      <c r="I876" s="218">
        <v>170.8597</v>
      </c>
      <c r="J876" s="246">
        <v>199344608</v>
      </c>
      <c r="K876" s="246">
        <v>212118366</v>
      </c>
      <c r="L876" s="218">
        <v>1393.6469999999999</v>
      </c>
      <c r="M876" s="246">
        <v>136705</v>
      </c>
      <c r="N876" s="251">
        <v>91.954300000000003</v>
      </c>
      <c r="O876" s="251">
        <v>99.858500000000006</v>
      </c>
      <c r="P876" s="251">
        <v>105.2638</v>
      </c>
      <c r="Q876" s="251">
        <v>108.8892</v>
      </c>
      <c r="R876" s="254">
        <v>1.04</v>
      </c>
      <c r="S876" s="214">
        <v>142156</v>
      </c>
      <c r="T876" s="214">
        <v>2943597</v>
      </c>
      <c r="U876" s="214">
        <v>0</v>
      </c>
      <c r="V876" s="187">
        <f t="shared" si="30"/>
        <v>2943597</v>
      </c>
      <c r="W876" s="187">
        <f t="shared" si="31"/>
        <v>3085753</v>
      </c>
    </row>
    <row r="877" spans="1:23">
      <c r="A877" s="216" t="s">
        <v>5346</v>
      </c>
      <c r="B877" s="218">
        <v>1488.94</v>
      </c>
      <c r="C877" s="218">
        <v>1498.5830000000001</v>
      </c>
      <c r="D877" s="218">
        <v>1555.4059999999999</v>
      </c>
      <c r="E877" s="218">
        <v>1552.904</v>
      </c>
      <c r="F877" s="218">
        <v>317.73140000000001</v>
      </c>
      <c r="G877" s="218">
        <v>329.83339999999998</v>
      </c>
      <c r="H877" s="218">
        <v>322.322</v>
      </c>
      <c r="I877" s="218">
        <v>284.75229999999999</v>
      </c>
      <c r="J877" s="246">
        <v>1891846113</v>
      </c>
      <c r="K877" s="246">
        <v>1903373261</v>
      </c>
      <c r="L877" s="218">
        <v>2014.751</v>
      </c>
      <c r="M877" s="187">
        <v>0</v>
      </c>
      <c r="N877" s="251">
        <v>194.2698</v>
      </c>
      <c r="O877" s="251">
        <v>203.70599999999999</v>
      </c>
      <c r="P877" s="251">
        <v>196.67019999999999</v>
      </c>
      <c r="Q877" s="251">
        <v>172.9564</v>
      </c>
      <c r="R877" s="254">
        <v>1.05</v>
      </c>
      <c r="S877" s="214">
        <v>128</v>
      </c>
      <c r="T877" s="214">
        <v>18725864</v>
      </c>
      <c r="U877" s="214">
        <v>0</v>
      </c>
      <c r="V877" s="187">
        <f t="shared" si="30"/>
        <v>18725864</v>
      </c>
      <c r="W877" s="187">
        <f t="shared" si="31"/>
        <v>18725992</v>
      </c>
    </row>
    <row r="878" spans="1:23">
      <c r="A878" s="216" t="s">
        <v>2770</v>
      </c>
      <c r="B878" s="218">
        <v>7890.7730000000001</v>
      </c>
      <c r="C878" s="218">
        <v>8006.2650000000003</v>
      </c>
      <c r="D878" s="218">
        <v>8417.759</v>
      </c>
      <c r="E878" s="218">
        <v>8581.5619999999999</v>
      </c>
      <c r="F878" s="218">
        <v>1471.8843999999999</v>
      </c>
      <c r="G878" s="218">
        <v>1506.1892</v>
      </c>
      <c r="H878" s="218">
        <v>1609.8294000000001</v>
      </c>
      <c r="I878" s="218">
        <v>1630.5243</v>
      </c>
      <c r="J878" s="246">
        <v>512843830</v>
      </c>
      <c r="K878" s="246">
        <v>561719410</v>
      </c>
      <c r="L878" s="218">
        <v>12639.422</v>
      </c>
      <c r="M878" s="187">
        <v>0</v>
      </c>
      <c r="N878" s="251">
        <v>712.08230000000003</v>
      </c>
      <c r="O878" s="251">
        <v>734.85109999999997</v>
      </c>
      <c r="P878" s="251">
        <v>802.85739999999998</v>
      </c>
      <c r="Q878" s="251">
        <v>821.36300000000006</v>
      </c>
      <c r="R878" s="254">
        <v>1.18</v>
      </c>
      <c r="S878" s="214">
        <v>347175</v>
      </c>
      <c r="T878" s="214">
        <v>7919984</v>
      </c>
      <c r="U878" s="214">
        <v>100887</v>
      </c>
      <c r="V878" s="187">
        <f t="shared" si="30"/>
        <v>8020871</v>
      </c>
      <c r="W878" s="187">
        <f t="shared" si="31"/>
        <v>8368046</v>
      </c>
    </row>
    <row r="879" spans="1:23">
      <c r="A879" s="216" t="s">
        <v>5348</v>
      </c>
      <c r="B879" s="218">
        <v>243.38200000000001</v>
      </c>
      <c r="C879" s="218">
        <v>244.601</v>
      </c>
      <c r="D879" s="218">
        <v>253.274</v>
      </c>
      <c r="E879" s="218">
        <v>246.25800000000001</v>
      </c>
      <c r="F879" s="218">
        <v>71.374600000000001</v>
      </c>
      <c r="G879" s="218">
        <v>65.377099999999999</v>
      </c>
      <c r="H879" s="218">
        <v>63.692700000000002</v>
      </c>
      <c r="I879" s="218">
        <v>67.462699999999998</v>
      </c>
      <c r="J879" s="246">
        <v>255943868</v>
      </c>
      <c r="K879" s="246">
        <v>257958188</v>
      </c>
      <c r="L879" s="218">
        <v>471</v>
      </c>
      <c r="M879" s="187">
        <v>0</v>
      </c>
      <c r="N879" s="251">
        <v>40.4679</v>
      </c>
      <c r="O879" s="251">
        <v>36.087899999999998</v>
      </c>
      <c r="P879" s="251">
        <v>35.089399999999998</v>
      </c>
      <c r="Q879" s="251">
        <v>35.086199999999998</v>
      </c>
      <c r="R879" s="254">
        <v>1.1200000000000001</v>
      </c>
      <c r="S879" s="214">
        <v>0</v>
      </c>
      <c r="T879" s="214">
        <v>3967026</v>
      </c>
      <c r="U879" s="214">
        <v>0</v>
      </c>
      <c r="V879" s="187">
        <f t="shared" si="30"/>
        <v>3967026</v>
      </c>
      <c r="W879" s="187">
        <f t="shared" si="31"/>
        <v>3967026</v>
      </c>
    </row>
    <row r="880" spans="1:23">
      <c r="A880" s="216" t="s">
        <v>3886</v>
      </c>
      <c r="B880" s="218">
        <v>5528.2579999999998</v>
      </c>
      <c r="C880" s="218">
        <v>5481.5810000000001</v>
      </c>
      <c r="D880" s="218">
        <v>5593.6329999999998</v>
      </c>
      <c r="E880" s="218">
        <v>5593.5450000000001</v>
      </c>
      <c r="F880" s="218">
        <v>975.5385</v>
      </c>
      <c r="G880" s="218">
        <v>994.89279999999997</v>
      </c>
      <c r="H880" s="218">
        <v>992.87940000000003</v>
      </c>
      <c r="I880" s="218">
        <v>991.20519999999999</v>
      </c>
      <c r="J880" s="246">
        <v>358467092</v>
      </c>
      <c r="K880" s="246">
        <v>391585871</v>
      </c>
      <c r="L880" s="218">
        <v>8032.0879999999997</v>
      </c>
      <c r="M880" s="187">
        <v>0</v>
      </c>
      <c r="N880" s="251">
        <v>551.02710000000002</v>
      </c>
      <c r="O880" s="251">
        <v>562.79750000000001</v>
      </c>
      <c r="P880" s="251">
        <v>570.86720000000003</v>
      </c>
      <c r="Q880" s="251">
        <v>581.16499999999996</v>
      </c>
      <c r="R880" s="254">
        <v>1.2</v>
      </c>
      <c r="S880" s="214">
        <v>269659</v>
      </c>
      <c r="T880" s="214">
        <v>4479896</v>
      </c>
      <c r="U880" s="214">
        <v>0</v>
      </c>
      <c r="V880" s="187">
        <f t="shared" si="30"/>
        <v>4479896</v>
      </c>
      <c r="W880" s="187">
        <f t="shared" si="31"/>
        <v>4749555</v>
      </c>
    </row>
    <row r="881" spans="1:23">
      <c r="A881" s="216" t="s">
        <v>5350</v>
      </c>
      <c r="B881" s="218">
        <v>1714.98</v>
      </c>
      <c r="C881" s="218">
        <v>1660.202</v>
      </c>
      <c r="D881" s="218">
        <v>1626.576</v>
      </c>
      <c r="E881" s="218">
        <v>1581.52</v>
      </c>
      <c r="F881" s="218">
        <v>243.4383</v>
      </c>
      <c r="G881" s="218">
        <v>237.61869999999999</v>
      </c>
      <c r="H881" s="218">
        <v>239.70330000000001</v>
      </c>
      <c r="I881" s="218">
        <v>256.17540000000002</v>
      </c>
      <c r="J881" s="246">
        <v>430936336</v>
      </c>
      <c r="K881" s="246">
        <v>450450736</v>
      </c>
      <c r="L881" s="218">
        <v>2242.7240000000002</v>
      </c>
      <c r="M881" s="187">
        <v>0</v>
      </c>
      <c r="N881" s="251">
        <v>159.21960000000001</v>
      </c>
      <c r="O881" s="251">
        <v>158.5444</v>
      </c>
      <c r="P881" s="251">
        <v>158.3981</v>
      </c>
      <c r="Q881" s="251">
        <v>168.49430000000001</v>
      </c>
      <c r="R881" s="254">
        <v>1.07</v>
      </c>
      <c r="S881" s="214">
        <v>0</v>
      </c>
      <c r="T881" s="214">
        <v>5809176</v>
      </c>
      <c r="U881" s="214">
        <v>0</v>
      </c>
      <c r="V881" s="187">
        <f t="shared" si="30"/>
        <v>5809176</v>
      </c>
      <c r="W881" s="187">
        <f t="shared" si="31"/>
        <v>5809176</v>
      </c>
    </row>
    <row r="882" spans="1:23">
      <c r="A882" s="216" t="s">
        <v>3139</v>
      </c>
      <c r="B882" s="218">
        <v>295.11799999999999</v>
      </c>
      <c r="C882" s="218">
        <v>289.92200000000003</v>
      </c>
      <c r="D882" s="218">
        <v>282.86099999999999</v>
      </c>
      <c r="E882" s="218">
        <v>285.70100000000002</v>
      </c>
      <c r="F882" s="218">
        <v>60.750300000000003</v>
      </c>
      <c r="G882" s="218">
        <v>59.306399999999996</v>
      </c>
      <c r="H882" s="218">
        <v>63.456200000000003</v>
      </c>
      <c r="I882" s="218">
        <v>62.343699999999998</v>
      </c>
      <c r="J882" s="246">
        <v>272439389</v>
      </c>
      <c r="K882" s="246">
        <v>275527979</v>
      </c>
      <c r="L882" s="218">
        <v>586.95000000000005</v>
      </c>
      <c r="M882" s="187">
        <v>0</v>
      </c>
      <c r="N882" s="251">
        <v>40.6648</v>
      </c>
      <c r="O882" s="251">
        <v>38.093499999999999</v>
      </c>
      <c r="P882" s="251">
        <v>42.803100000000001</v>
      </c>
      <c r="Q882" s="251">
        <v>41.768599999999999</v>
      </c>
      <c r="R882" s="254">
        <v>1.06</v>
      </c>
      <c r="S882" s="214">
        <v>0</v>
      </c>
      <c r="T882" s="214">
        <v>3888300</v>
      </c>
      <c r="U882" s="214">
        <v>0</v>
      </c>
      <c r="V882" s="187">
        <f t="shared" si="30"/>
        <v>3888300</v>
      </c>
      <c r="W882" s="187">
        <f t="shared" si="31"/>
        <v>3888300</v>
      </c>
    </row>
    <row r="883" spans="1:23">
      <c r="A883" s="216" t="s">
        <v>1530</v>
      </c>
      <c r="B883" s="218">
        <v>279.37</v>
      </c>
      <c r="C883" s="218">
        <v>237.90299999999999</v>
      </c>
      <c r="D883" s="218">
        <v>231.84899999999999</v>
      </c>
      <c r="E883" s="218">
        <v>229.761</v>
      </c>
      <c r="F883" s="218">
        <v>64.850399999999993</v>
      </c>
      <c r="G883" s="218">
        <v>54.104399999999998</v>
      </c>
      <c r="H883" s="218">
        <v>51.771500000000003</v>
      </c>
      <c r="I883" s="218">
        <v>49.387799999999999</v>
      </c>
      <c r="J883" s="246">
        <v>108553275</v>
      </c>
      <c r="K883" s="246">
        <v>112262046</v>
      </c>
      <c r="L883" s="218">
        <v>472.02800000000002</v>
      </c>
      <c r="M883" s="187">
        <v>0</v>
      </c>
      <c r="N883" s="251">
        <v>46.560099999999998</v>
      </c>
      <c r="O883" s="251">
        <v>37.083300000000001</v>
      </c>
      <c r="P883" s="251">
        <v>34.324100000000001</v>
      </c>
      <c r="Q883" s="251">
        <v>36.179299999999998</v>
      </c>
      <c r="R883" s="254">
        <v>1.04</v>
      </c>
      <c r="S883" s="214">
        <v>0</v>
      </c>
      <c r="T883" s="214">
        <v>1548008</v>
      </c>
      <c r="U883" s="214">
        <v>0</v>
      </c>
      <c r="V883" s="187">
        <f t="shared" si="30"/>
        <v>1548008</v>
      </c>
      <c r="W883" s="187">
        <f t="shared" si="31"/>
        <v>1548008</v>
      </c>
    </row>
    <row r="884" spans="1:23">
      <c r="A884" s="216" t="s">
        <v>1532</v>
      </c>
      <c r="B884" s="218">
        <v>887.65800000000002</v>
      </c>
      <c r="C884" s="218">
        <v>881.97299999999996</v>
      </c>
      <c r="D884" s="218">
        <v>861.20500000000004</v>
      </c>
      <c r="E884" s="218">
        <v>853.65800000000002</v>
      </c>
      <c r="F884" s="218">
        <v>155.82060000000001</v>
      </c>
      <c r="G884" s="218">
        <v>156.648</v>
      </c>
      <c r="H884" s="218">
        <v>152.3622</v>
      </c>
      <c r="I884" s="218">
        <v>150.93170000000001</v>
      </c>
      <c r="J884" s="246">
        <v>416921618</v>
      </c>
      <c r="K884" s="246">
        <v>426100608</v>
      </c>
      <c r="L884" s="218">
        <v>1479.5709999999999</v>
      </c>
      <c r="M884" s="187">
        <v>0</v>
      </c>
      <c r="N884" s="251">
        <v>104.9053</v>
      </c>
      <c r="O884" s="251">
        <v>106.00069999999999</v>
      </c>
      <c r="P884" s="251">
        <v>104.0599</v>
      </c>
      <c r="Q884" s="251">
        <v>104.9676</v>
      </c>
      <c r="R884" s="254">
        <v>1.08</v>
      </c>
      <c r="S884" s="214">
        <v>849254</v>
      </c>
      <c r="T884" s="214">
        <v>7812965</v>
      </c>
      <c r="U884" s="214">
        <v>0</v>
      </c>
      <c r="V884" s="187">
        <f t="shared" si="30"/>
        <v>7812965</v>
      </c>
      <c r="W884" s="187">
        <f t="shared" si="31"/>
        <v>8662219</v>
      </c>
    </row>
    <row r="885" spans="1:23">
      <c r="A885" s="216" t="s">
        <v>624</v>
      </c>
      <c r="B885" s="218">
        <v>203.262</v>
      </c>
      <c r="C885" s="218">
        <v>221.899</v>
      </c>
      <c r="D885" s="218">
        <v>215.19800000000001</v>
      </c>
      <c r="E885" s="218">
        <v>209.828</v>
      </c>
      <c r="F885" s="218">
        <v>43.9617</v>
      </c>
      <c r="G885" s="218">
        <v>41.134799999999998</v>
      </c>
      <c r="H885" s="218">
        <v>45.293700000000001</v>
      </c>
      <c r="I885" s="218">
        <v>42.555599999999998</v>
      </c>
      <c r="J885" s="246">
        <v>52435198</v>
      </c>
      <c r="K885" s="246">
        <v>54845918</v>
      </c>
      <c r="L885" s="218">
        <v>422.41500000000002</v>
      </c>
      <c r="M885" s="187">
        <v>0</v>
      </c>
      <c r="N885" s="251">
        <v>27.959399999999999</v>
      </c>
      <c r="O885" s="251">
        <v>24.3261</v>
      </c>
      <c r="P885" s="251">
        <v>26.720300000000002</v>
      </c>
      <c r="Q885" s="251">
        <v>26.483899999999998</v>
      </c>
      <c r="R885" s="254">
        <v>1.06</v>
      </c>
      <c r="S885" s="214">
        <v>0</v>
      </c>
      <c r="T885" s="214">
        <v>825674</v>
      </c>
      <c r="U885" s="214">
        <v>0</v>
      </c>
      <c r="V885" s="187">
        <f t="shared" si="30"/>
        <v>825674</v>
      </c>
      <c r="W885" s="187">
        <f t="shared" si="31"/>
        <v>825674</v>
      </c>
    </row>
    <row r="886" spans="1:23">
      <c r="A886" s="216" t="s">
        <v>626</v>
      </c>
      <c r="B886" s="218">
        <v>1247.788</v>
      </c>
      <c r="C886" s="218">
        <v>1192.3710000000001</v>
      </c>
      <c r="D886" s="218">
        <v>1156.3610000000001</v>
      </c>
      <c r="E886" s="218">
        <v>1104.002</v>
      </c>
      <c r="F886" s="218">
        <v>232.76750000000001</v>
      </c>
      <c r="G886" s="218">
        <v>222.59049999999999</v>
      </c>
      <c r="H886" s="218">
        <v>203.02</v>
      </c>
      <c r="I886" s="218">
        <v>202.34059999999999</v>
      </c>
      <c r="J886" s="246">
        <v>117774744</v>
      </c>
      <c r="K886" s="246">
        <v>128712604</v>
      </c>
      <c r="L886" s="218">
        <v>1815.9349999999999</v>
      </c>
      <c r="M886" s="187">
        <v>0</v>
      </c>
      <c r="N886" s="251">
        <v>160.7107</v>
      </c>
      <c r="O886" s="251">
        <v>152.20509999999999</v>
      </c>
      <c r="P886" s="251">
        <v>135.36850000000001</v>
      </c>
      <c r="Q886" s="251">
        <v>131.9556</v>
      </c>
      <c r="R886" s="254">
        <v>1.08</v>
      </c>
      <c r="S886" s="214">
        <v>0</v>
      </c>
      <c r="T886" s="214">
        <v>1857076</v>
      </c>
      <c r="U886" s="214">
        <v>0</v>
      </c>
      <c r="V886" s="187">
        <f t="shared" si="30"/>
        <v>1857076</v>
      </c>
      <c r="W886" s="187">
        <f t="shared" si="31"/>
        <v>1857076</v>
      </c>
    </row>
    <row r="887" spans="1:23">
      <c r="A887" s="216" t="s">
        <v>628</v>
      </c>
      <c r="B887" s="218">
        <v>306.32600000000002</v>
      </c>
      <c r="C887" s="218">
        <v>311.60399999999998</v>
      </c>
      <c r="D887" s="218">
        <v>307.85399999999998</v>
      </c>
      <c r="E887" s="218">
        <v>299.32600000000002</v>
      </c>
      <c r="F887" s="218">
        <v>60.7834</v>
      </c>
      <c r="G887" s="218">
        <v>62.831499999999998</v>
      </c>
      <c r="H887" s="218">
        <v>58.831499999999998</v>
      </c>
      <c r="I887" s="218">
        <v>59.384999999999998</v>
      </c>
      <c r="J887" s="246">
        <v>44286561</v>
      </c>
      <c r="K887" s="246">
        <v>46930471</v>
      </c>
      <c r="L887" s="218">
        <v>508.06099999999998</v>
      </c>
      <c r="M887" s="187">
        <v>0</v>
      </c>
      <c r="N887" s="251">
        <v>40.503100000000003</v>
      </c>
      <c r="O887" s="251">
        <v>42.5002</v>
      </c>
      <c r="P887" s="251">
        <v>37.591700000000003</v>
      </c>
      <c r="Q887" s="251">
        <v>38.002499999999998</v>
      </c>
      <c r="R887" s="254">
        <v>1.07</v>
      </c>
      <c r="S887" s="214">
        <v>0</v>
      </c>
      <c r="T887" s="214">
        <v>787548</v>
      </c>
      <c r="U887" s="214">
        <v>0</v>
      </c>
      <c r="V887" s="187">
        <f t="shared" si="30"/>
        <v>787548</v>
      </c>
      <c r="W887" s="187">
        <f t="shared" si="31"/>
        <v>787548</v>
      </c>
    </row>
    <row r="888" spans="1:23">
      <c r="A888" s="216" t="s">
        <v>269</v>
      </c>
      <c r="B888" s="218">
        <v>51249.921999999999</v>
      </c>
      <c r="C888" s="218">
        <v>54842.800999999999</v>
      </c>
      <c r="D888" s="218">
        <v>56016.186999999998</v>
      </c>
      <c r="E888" s="218">
        <v>57010.377</v>
      </c>
      <c r="F888" s="218">
        <v>6604.3449000000001</v>
      </c>
      <c r="G888" s="218">
        <v>7274.1854999999996</v>
      </c>
      <c r="H888" s="218">
        <v>7824.9587000000001</v>
      </c>
      <c r="I888" s="218">
        <v>7594.1103999999996</v>
      </c>
      <c r="J888" s="246">
        <v>16140831962</v>
      </c>
      <c r="K888" s="246">
        <v>16733008683</v>
      </c>
      <c r="L888" s="218">
        <v>72417.781000000003</v>
      </c>
      <c r="M888" s="246">
        <v>36072205</v>
      </c>
      <c r="N888" s="251">
        <v>4128.7991000000002</v>
      </c>
      <c r="O888" s="251">
        <v>4599.4165000000003</v>
      </c>
      <c r="P888" s="251">
        <v>4814.4355999999998</v>
      </c>
      <c r="Q888" s="251">
        <v>4749.6705000000002</v>
      </c>
      <c r="R888" s="254">
        <v>1.1399999999999999</v>
      </c>
      <c r="S888" s="214">
        <v>43195664</v>
      </c>
      <c r="T888" s="214">
        <v>250652955</v>
      </c>
      <c r="U888" s="214">
        <v>0</v>
      </c>
      <c r="V888" s="187">
        <f t="shared" si="30"/>
        <v>250652955</v>
      </c>
      <c r="W888" s="187">
        <f t="shared" si="31"/>
        <v>293848619</v>
      </c>
    </row>
    <row r="889" spans="1:23">
      <c r="A889" s="216" t="s">
        <v>951</v>
      </c>
      <c r="B889" s="218">
        <v>19516.898000000001</v>
      </c>
      <c r="C889" s="218">
        <v>19896.276999999998</v>
      </c>
      <c r="D889" s="218">
        <v>20429.53</v>
      </c>
      <c r="E889" s="218">
        <v>20791.214</v>
      </c>
      <c r="F889" s="218">
        <v>2502.3865999999998</v>
      </c>
      <c r="G889" s="218">
        <v>2516.9935</v>
      </c>
      <c r="H889" s="218">
        <v>2614.1156000000001</v>
      </c>
      <c r="I889" s="218">
        <v>2703.3489</v>
      </c>
      <c r="J889" s="246">
        <v>5049424248</v>
      </c>
      <c r="K889" s="246">
        <v>5318128344</v>
      </c>
      <c r="L889" s="218">
        <v>26589.654999999999</v>
      </c>
      <c r="M889" s="246">
        <v>6759586</v>
      </c>
      <c r="N889" s="251">
        <v>1371.6610000000001</v>
      </c>
      <c r="O889" s="251">
        <v>1408.0201999999999</v>
      </c>
      <c r="P889" s="251">
        <v>1457.2266</v>
      </c>
      <c r="Q889" s="251">
        <v>1466.4761000000001</v>
      </c>
      <c r="R889" s="254">
        <v>1.1399999999999999</v>
      </c>
      <c r="S889" s="214">
        <v>8819384</v>
      </c>
      <c r="T889" s="214">
        <v>79143840</v>
      </c>
      <c r="U889" s="214">
        <v>0</v>
      </c>
      <c r="V889" s="187">
        <f t="shared" si="30"/>
        <v>79143840</v>
      </c>
      <c r="W889" s="187">
        <f t="shared" si="31"/>
        <v>87963224</v>
      </c>
    </row>
    <row r="890" spans="1:23">
      <c r="A890" s="216" t="s">
        <v>409</v>
      </c>
      <c r="B890" s="218">
        <v>3221.1619999999998</v>
      </c>
      <c r="C890" s="218">
        <v>3382.5309999999999</v>
      </c>
      <c r="D890" s="218">
        <v>3378.3989999999999</v>
      </c>
      <c r="E890" s="218">
        <v>3542.5340000000001</v>
      </c>
      <c r="F890" s="218">
        <v>461.46480000000003</v>
      </c>
      <c r="G890" s="218">
        <v>467.41070000000002</v>
      </c>
      <c r="H890" s="218">
        <v>487.39179999999999</v>
      </c>
      <c r="I890" s="218">
        <v>493.27050000000003</v>
      </c>
      <c r="J890" s="246">
        <v>562287735</v>
      </c>
      <c r="K890" s="246">
        <v>600722915</v>
      </c>
      <c r="L890" s="218">
        <v>5043.973</v>
      </c>
      <c r="M890" s="246">
        <v>546467</v>
      </c>
      <c r="N890" s="251">
        <v>298.23430000000002</v>
      </c>
      <c r="O890" s="251">
        <v>298.0188</v>
      </c>
      <c r="P890" s="251">
        <v>314.20569999999998</v>
      </c>
      <c r="Q890" s="251">
        <v>316.13499999999999</v>
      </c>
      <c r="R890" s="254">
        <v>1.1100000000000001</v>
      </c>
      <c r="S890" s="214">
        <v>608725</v>
      </c>
      <c r="T890" s="214">
        <v>8499884</v>
      </c>
      <c r="U890" s="214">
        <v>0</v>
      </c>
      <c r="V890" s="187">
        <f t="shared" si="30"/>
        <v>8499884</v>
      </c>
      <c r="W890" s="187">
        <f t="shared" si="31"/>
        <v>9108609</v>
      </c>
    </row>
    <row r="891" spans="1:23">
      <c r="A891" s="216" t="s">
        <v>3996</v>
      </c>
      <c r="B891" s="218">
        <v>71655.37</v>
      </c>
      <c r="C891" s="218">
        <v>72135.188999999998</v>
      </c>
      <c r="D891" s="218">
        <v>73275.513000000006</v>
      </c>
      <c r="E891" s="218">
        <v>73695.296000000002</v>
      </c>
      <c r="F891" s="218">
        <v>9117.2949000000008</v>
      </c>
      <c r="G891" s="218">
        <v>9878.5475999999999</v>
      </c>
      <c r="H891" s="218">
        <v>9823.2790000000005</v>
      </c>
      <c r="I891" s="218">
        <v>9939.2317999999996</v>
      </c>
      <c r="J891" s="246">
        <v>15080314818</v>
      </c>
      <c r="K891" s="246">
        <v>15858397227</v>
      </c>
      <c r="L891" s="218">
        <v>98560.786999999997</v>
      </c>
      <c r="M891" s="246">
        <v>21816041</v>
      </c>
      <c r="N891" s="251">
        <v>5436.0091000000002</v>
      </c>
      <c r="O891" s="251">
        <v>5603.2358000000004</v>
      </c>
      <c r="P891" s="251">
        <v>5959.4686000000002</v>
      </c>
      <c r="Q891" s="251">
        <v>5959.1691000000001</v>
      </c>
      <c r="R891" s="254">
        <v>1.1399999999999999</v>
      </c>
      <c r="S891" s="214">
        <v>29421015</v>
      </c>
      <c r="T891" s="214">
        <v>233014832</v>
      </c>
      <c r="U891" s="214">
        <v>0</v>
      </c>
      <c r="V891" s="187">
        <f t="shared" si="30"/>
        <v>233014832</v>
      </c>
      <c r="W891" s="187">
        <f t="shared" si="31"/>
        <v>262435847</v>
      </c>
    </row>
    <row r="892" spans="1:23">
      <c r="A892" s="216" t="s">
        <v>3998</v>
      </c>
      <c r="B892" s="218">
        <v>12898.241</v>
      </c>
      <c r="C892" s="218">
        <v>13035.703</v>
      </c>
      <c r="D892" s="218">
        <v>13235.132</v>
      </c>
      <c r="E892" s="218">
        <v>13225.746999999999</v>
      </c>
      <c r="F892" s="218">
        <v>1626.6976999999999</v>
      </c>
      <c r="G892" s="218">
        <v>1683.5524</v>
      </c>
      <c r="H892" s="218">
        <v>1693.6767</v>
      </c>
      <c r="I892" s="218">
        <v>1647.7588000000001</v>
      </c>
      <c r="J892" s="246">
        <v>7081610027</v>
      </c>
      <c r="K892" s="246">
        <v>7295699816</v>
      </c>
      <c r="L892" s="218">
        <v>15209.175999999999</v>
      </c>
      <c r="M892" s="246">
        <v>13552242</v>
      </c>
      <c r="N892" s="251">
        <v>1076.2326</v>
      </c>
      <c r="O892" s="251">
        <v>1101.7663</v>
      </c>
      <c r="P892" s="251">
        <v>1102.0589</v>
      </c>
      <c r="Q892" s="251">
        <v>1071.6622</v>
      </c>
      <c r="R892" s="254">
        <v>1.1299999999999999</v>
      </c>
      <c r="S892" s="214">
        <v>16540596</v>
      </c>
      <c r="T892" s="214">
        <v>104017549</v>
      </c>
      <c r="U892" s="214">
        <v>0</v>
      </c>
      <c r="V892" s="187">
        <f t="shared" si="30"/>
        <v>104017549</v>
      </c>
      <c r="W892" s="187">
        <f t="shared" si="31"/>
        <v>120558145</v>
      </c>
    </row>
    <row r="893" spans="1:23">
      <c r="A893" s="216" t="s">
        <v>6030</v>
      </c>
      <c r="B893" s="218">
        <v>14553.724</v>
      </c>
      <c r="C893" s="218">
        <v>15767.397000000001</v>
      </c>
      <c r="D893" s="218">
        <v>16965.866000000002</v>
      </c>
      <c r="E893" s="218">
        <v>18413.197</v>
      </c>
      <c r="F893" s="218">
        <v>1481.0675000000001</v>
      </c>
      <c r="G893" s="218">
        <v>1666.3286000000001</v>
      </c>
      <c r="H893" s="218">
        <v>1869.4762000000001</v>
      </c>
      <c r="I893" s="218">
        <v>2002.4023999999999</v>
      </c>
      <c r="J893" s="246">
        <v>4341927194</v>
      </c>
      <c r="K893" s="246">
        <v>4554614792</v>
      </c>
      <c r="L893" s="218">
        <v>21204.347000000002</v>
      </c>
      <c r="M893" s="246">
        <v>12336729</v>
      </c>
      <c r="N893" s="251">
        <v>972.43330000000003</v>
      </c>
      <c r="O893" s="251">
        <v>1087.0500999999999</v>
      </c>
      <c r="P893" s="251">
        <v>1197.9675</v>
      </c>
      <c r="Q893" s="251">
        <v>1274.2320999999999</v>
      </c>
      <c r="R893" s="254">
        <v>1.1299999999999999</v>
      </c>
      <c r="S893" s="214">
        <v>13661772</v>
      </c>
      <c r="T893" s="214">
        <v>73205791</v>
      </c>
      <c r="U893" s="214">
        <v>0</v>
      </c>
      <c r="V893" s="187">
        <f t="shared" si="30"/>
        <v>73205791</v>
      </c>
      <c r="W893" s="187">
        <f t="shared" si="31"/>
        <v>86867563</v>
      </c>
    </row>
    <row r="894" spans="1:23">
      <c r="A894" s="216" t="s">
        <v>3002</v>
      </c>
      <c r="B894" s="218">
        <v>12826.76</v>
      </c>
      <c r="C894" s="218">
        <v>14264.772000000001</v>
      </c>
      <c r="D894" s="218">
        <v>16128.87</v>
      </c>
      <c r="E894" s="218">
        <v>18109.055</v>
      </c>
      <c r="F894" s="218">
        <v>1553.4426000000001</v>
      </c>
      <c r="G894" s="218">
        <v>1754.2384999999999</v>
      </c>
      <c r="H894" s="218">
        <v>2002.8498999999999</v>
      </c>
      <c r="I894" s="218">
        <v>2236.1071000000002</v>
      </c>
      <c r="J894" s="246">
        <v>3512858794</v>
      </c>
      <c r="K894" s="246">
        <v>3687185098</v>
      </c>
      <c r="L894" s="218">
        <v>22180.192999999999</v>
      </c>
      <c r="M894" s="246">
        <v>6751696</v>
      </c>
      <c r="N894" s="251">
        <v>994.69349999999997</v>
      </c>
      <c r="O894" s="251">
        <v>1131.0059000000001</v>
      </c>
      <c r="P894" s="251">
        <v>1272.7405000000001</v>
      </c>
      <c r="Q894" s="251">
        <v>1430.3879999999999</v>
      </c>
      <c r="R894" s="254">
        <v>1.1299999999999999</v>
      </c>
      <c r="S894" s="214">
        <v>13356323</v>
      </c>
      <c r="T894" s="214">
        <v>57769970</v>
      </c>
      <c r="U894" s="214">
        <v>0</v>
      </c>
      <c r="V894" s="187">
        <f t="shared" si="30"/>
        <v>57769970</v>
      </c>
      <c r="W894" s="187">
        <f t="shared" si="31"/>
        <v>71126293</v>
      </c>
    </row>
    <row r="895" spans="1:23">
      <c r="A895" s="216" t="s">
        <v>4000</v>
      </c>
      <c r="B895" s="218">
        <v>109.61</v>
      </c>
      <c r="C895" s="218">
        <v>146.68299999999999</v>
      </c>
      <c r="D895" s="218">
        <v>151.262</v>
      </c>
      <c r="E895" s="218">
        <v>147.072</v>
      </c>
      <c r="F895" s="218">
        <v>26.524100000000001</v>
      </c>
      <c r="G895" s="218">
        <v>32.262</v>
      </c>
      <c r="H895" s="218">
        <v>36.616</v>
      </c>
      <c r="I895" s="218">
        <v>32</v>
      </c>
      <c r="J895" s="57">
        <v>0</v>
      </c>
      <c r="K895" s="57">
        <v>0</v>
      </c>
      <c r="L895" s="218">
        <v>0</v>
      </c>
      <c r="M895" s="246">
        <v>0</v>
      </c>
      <c r="N895" s="251">
        <v>20.524000000000001</v>
      </c>
      <c r="O895" s="251">
        <v>23.999600000000001</v>
      </c>
      <c r="P895" s="251">
        <v>27.001200000000001</v>
      </c>
      <c r="Q895" s="251">
        <v>23.0002</v>
      </c>
      <c r="R895" s="254">
        <v>1.0900000000000001</v>
      </c>
      <c r="S895" s="94">
        <v>0</v>
      </c>
      <c r="T895" s="94">
        <v>0</v>
      </c>
      <c r="U895" s="94">
        <v>0</v>
      </c>
      <c r="V895">
        <f t="shared" si="30"/>
        <v>0</v>
      </c>
      <c r="W895">
        <f t="shared" si="31"/>
        <v>0</v>
      </c>
    </row>
    <row r="896" spans="1:23">
      <c r="A896" s="216" t="s">
        <v>2986</v>
      </c>
      <c r="B896" s="218">
        <v>1731.9839999999999</v>
      </c>
      <c r="C896" s="218">
        <v>1805.4880000000001</v>
      </c>
      <c r="D896" s="218">
        <v>1881.2449999999999</v>
      </c>
      <c r="E896" s="218">
        <v>1949.3779999999999</v>
      </c>
      <c r="F896" s="218">
        <v>308.02530000000002</v>
      </c>
      <c r="G896" s="218">
        <v>312.51299999999998</v>
      </c>
      <c r="H896" s="218">
        <v>322.50639999999999</v>
      </c>
      <c r="I896" s="218">
        <v>351.16149999999999</v>
      </c>
      <c r="J896" s="246">
        <v>310079332</v>
      </c>
      <c r="K896" s="246">
        <v>326323341</v>
      </c>
      <c r="L896" s="218">
        <v>2756.2559999999999</v>
      </c>
      <c r="M896" s="246">
        <v>348960</v>
      </c>
      <c r="N896" s="251">
        <v>186.38380000000001</v>
      </c>
      <c r="O896" s="251">
        <v>187.68530000000001</v>
      </c>
      <c r="P896" s="251">
        <v>191.87559999999999</v>
      </c>
      <c r="Q896" s="251">
        <v>206.8219</v>
      </c>
      <c r="R896" s="254">
        <v>1.0900000000000001</v>
      </c>
      <c r="S896" s="214">
        <v>1035070</v>
      </c>
      <c r="T896" s="214">
        <v>5118276</v>
      </c>
      <c r="U896" s="214">
        <v>0</v>
      </c>
      <c r="V896" s="187">
        <f t="shared" ref="V896:V902" si="32">T896+U896</f>
        <v>5118276</v>
      </c>
      <c r="W896" s="187">
        <f t="shared" ref="W896:W902" si="33">V896+S896</f>
        <v>6153346</v>
      </c>
    </row>
    <row r="897" spans="1:23">
      <c r="A897" s="216" t="s">
        <v>246</v>
      </c>
      <c r="B897" s="218">
        <v>7952.3950000000004</v>
      </c>
      <c r="C897" s="218">
        <v>8443.4419999999991</v>
      </c>
      <c r="D897" s="218">
        <v>9148.4259999999995</v>
      </c>
      <c r="E897" s="218">
        <v>10001.727000000001</v>
      </c>
      <c r="F897" s="218">
        <v>1174.9899</v>
      </c>
      <c r="G897" s="218">
        <v>1217.0235</v>
      </c>
      <c r="H897" s="218">
        <v>1305.0820000000001</v>
      </c>
      <c r="I897" s="218">
        <v>1387.5488</v>
      </c>
      <c r="J897" s="246">
        <v>2342798533</v>
      </c>
      <c r="K897" s="246">
        <v>2444751613</v>
      </c>
      <c r="L897" s="218">
        <v>12376.83</v>
      </c>
      <c r="M897" s="246">
        <v>2490832</v>
      </c>
      <c r="N897" s="251">
        <v>811.28959999999995</v>
      </c>
      <c r="O897" s="251">
        <v>856.67520000000002</v>
      </c>
      <c r="P897" s="251">
        <v>938.60730000000001</v>
      </c>
      <c r="Q897" s="251">
        <v>993.82680000000005</v>
      </c>
      <c r="R897" s="254">
        <v>1.1200000000000001</v>
      </c>
      <c r="S897" s="214">
        <v>5710220</v>
      </c>
      <c r="T897" s="214">
        <v>38412951</v>
      </c>
      <c r="U897" s="214">
        <v>0</v>
      </c>
      <c r="V897" s="187">
        <f t="shared" si="32"/>
        <v>38412951</v>
      </c>
      <c r="W897" s="187">
        <f t="shared" si="33"/>
        <v>44123171</v>
      </c>
    </row>
    <row r="898" spans="1:23">
      <c r="A898" s="216" t="s">
        <v>6032</v>
      </c>
      <c r="B898" s="218">
        <v>2359.3339999999998</v>
      </c>
      <c r="C898" s="218">
        <v>2485.0070000000001</v>
      </c>
      <c r="D898" s="218">
        <v>2517.183</v>
      </c>
      <c r="E898" s="218">
        <v>2615.9250000000002</v>
      </c>
      <c r="F898" s="218">
        <v>340.33670000000001</v>
      </c>
      <c r="G898" s="218">
        <v>344.94600000000003</v>
      </c>
      <c r="H898" s="218">
        <v>338.53460000000001</v>
      </c>
      <c r="I898" s="218">
        <v>342.65780000000001</v>
      </c>
      <c r="J898" s="246">
        <v>559609288</v>
      </c>
      <c r="K898" s="246">
        <v>595343914</v>
      </c>
      <c r="L898" s="218">
        <v>3337.3530000000001</v>
      </c>
      <c r="M898" s="246">
        <v>380109</v>
      </c>
      <c r="N898" s="251">
        <v>234.17590000000001</v>
      </c>
      <c r="O898" s="251">
        <v>229.61490000000001</v>
      </c>
      <c r="P898" s="251">
        <v>223.69800000000001</v>
      </c>
      <c r="Q898" s="251">
        <v>222.3785</v>
      </c>
      <c r="R898" s="254">
        <v>1.0900000000000001</v>
      </c>
      <c r="S898" s="214">
        <v>775335</v>
      </c>
      <c r="T898" s="214">
        <v>9445581</v>
      </c>
      <c r="U898" s="214">
        <v>0</v>
      </c>
      <c r="V898" s="187">
        <f t="shared" si="32"/>
        <v>9445581</v>
      </c>
      <c r="W898" s="187">
        <f t="shared" si="33"/>
        <v>10220916</v>
      </c>
    </row>
    <row r="899" spans="1:23">
      <c r="A899" s="216" t="s">
        <v>946</v>
      </c>
      <c r="B899" s="218">
        <v>5244.8779999999997</v>
      </c>
      <c r="C899" s="218">
        <v>5492.2160000000003</v>
      </c>
      <c r="D899" s="218">
        <v>5496.5529999999999</v>
      </c>
      <c r="E899" s="218">
        <v>5500.9930000000004</v>
      </c>
      <c r="F899" s="218">
        <v>781.79660000000001</v>
      </c>
      <c r="G899" s="218">
        <v>794.52340000000004</v>
      </c>
      <c r="H899" s="218">
        <v>829.57389999999998</v>
      </c>
      <c r="I899" s="218">
        <v>798.40679999999998</v>
      </c>
      <c r="J899" s="246">
        <v>913494889</v>
      </c>
      <c r="K899" s="246">
        <v>981290774</v>
      </c>
      <c r="L899" s="218">
        <v>6854.9</v>
      </c>
      <c r="M899" s="246">
        <v>747389</v>
      </c>
      <c r="N899" s="251">
        <v>506.44</v>
      </c>
      <c r="O899" s="251">
        <v>518.87130000000002</v>
      </c>
      <c r="P899" s="251">
        <v>521.71690000000001</v>
      </c>
      <c r="Q899" s="251">
        <v>503.63459999999998</v>
      </c>
      <c r="R899" s="254">
        <v>1.1200000000000001</v>
      </c>
      <c r="S899" s="214">
        <v>1536586</v>
      </c>
      <c r="T899" s="214">
        <v>15258834</v>
      </c>
      <c r="U899" s="214">
        <v>0</v>
      </c>
      <c r="V899" s="187">
        <f t="shared" si="32"/>
        <v>15258834</v>
      </c>
      <c r="W899" s="187">
        <f t="shared" si="33"/>
        <v>16795420</v>
      </c>
    </row>
    <row r="900" spans="1:23">
      <c r="A900" s="216" t="s">
        <v>1875</v>
      </c>
      <c r="B900" s="218">
        <v>17993.923999999999</v>
      </c>
      <c r="C900" s="218">
        <v>18112.669000000002</v>
      </c>
      <c r="D900" s="218">
        <v>18365.819</v>
      </c>
      <c r="E900" s="218">
        <v>18515.100999999999</v>
      </c>
      <c r="F900" s="218">
        <v>2303.7683000000002</v>
      </c>
      <c r="G900" s="218">
        <v>2343.7538</v>
      </c>
      <c r="H900" s="218">
        <v>2408.8773999999999</v>
      </c>
      <c r="I900" s="218">
        <v>2388.7687000000001</v>
      </c>
      <c r="J900" s="246">
        <v>6879932032</v>
      </c>
      <c r="K900" s="246">
        <v>7135954388</v>
      </c>
      <c r="L900" s="218">
        <v>22935.437999999998</v>
      </c>
      <c r="M900" s="246">
        <v>11729394</v>
      </c>
      <c r="N900" s="251">
        <v>1480.4172000000001</v>
      </c>
      <c r="O900" s="251">
        <v>1473.4079999999999</v>
      </c>
      <c r="P900" s="251">
        <v>1481.8353999999999</v>
      </c>
      <c r="Q900" s="251">
        <v>1467.0231000000001</v>
      </c>
      <c r="R900" s="254">
        <v>1.1399999999999999</v>
      </c>
      <c r="S900" s="214">
        <v>16309753</v>
      </c>
      <c r="T900" s="214">
        <v>99778465</v>
      </c>
      <c r="U900" s="214">
        <v>0</v>
      </c>
      <c r="V900" s="187">
        <f t="shared" si="32"/>
        <v>99778465</v>
      </c>
      <c r="W900" s="187">
        <f t="shared" si="33"/>
        <v>116088218</v>
      </c>
    </row>
    <row r="901" spans="1:23">
      <c r="A901" s="216" t="s">
        <v>6682</v>
      </c>
      <c r="B901" s="218">
        <v>2967.375</v>
      </c>
      <c r="C901" s="218">
        <v>3058.9969999999998</v>
      </c>
      <c r="D901" s="218">
        <v>3000.201</v>
      </c>
      <c r="E901" s="218">
        <v>2983.6579999999999</v>
      </c>
      <c r="F901" s="218">
        <v>443.59109999999998</v>
      </c>
      <c r="G901" s="218">
        <v>443.00639999999999</v>
      </c>
      <c r="H901" s="218">
        <v>440.7072</v>
      </c>
      <c r="I901" s="218">
        <v>440.84309999999999</v>
      </c>
      <c r="J901" s="246">
        <v>281039666</v>
      </c>
      <c r="K901" s="246">
        <v>318913798</v>
      </c>
      <c r="L901" s="218">
        <v>4145.9179999999997</v>
      </c>
      <c r="M901" s="246">
        <v>135963</v>
      </c>
      <c r="N901" s="251">
        <v>275.66359999999997</v>
      </c>
      <c r="O901" s="251">
        <v>271.94299999999998</v>
      </c>
      <c r="P901" s="251">
        <v>262.77949999999998</v>
      </c>
      <c r="Q901" s="251">
        <v>248.97130000000001</v>
      </c>
      <c r="R901" s="254">
        <v>1.1100000000000001</v>
      </c>
      <c r="S901" s="214">
        <v>524056</v>
      </c>
      <c r="T901" s="214">
        <v>4380598</v>
      </c>
      <c r="U901" s="214">
        <v>0</v>
      </c>
      <c r="V901" s="187">
        <f t="shared" si="32"/>
        <v>4380598</v>
      </c>
      <c r="W901" s="187">
        <f t="shared" si="33"/>
        <v>4904654</v>
      </c>
    </row>
    <row r="902" spans="1:23">
      <c r="A902" s="216" t="s">
        <v>4002</v>
      </c>
      <c r="B902" s="218">
        <v>5855.0820000000003</v>
      </c>
      <c r="C902" s="218">
        <v>6205.8469999999998</v>
      </c>
      <c r="D902" s="218">
        <v>6777.5879999999997</v>
      </c>
      <c r="E902" s="218">
        <v>7335.0879999999997</v>
      </c>
      <c r="F902" s="218">
        <v>685.50199999999995</v>
      </c>
      <c r="G902" s="218">
        <v>714.44550000000004</v>
      </c>
      <c r="H902" s="218">
        <v>779.55840000000001</v>
      </c>
      <c r="I902" s="218">
        <v>818.68010000000004</v>
      </c>
      <c r="J902" s="246">
        <v>2458262681</v>
      </c>
      <c r="K902" s="246">
        <v>2545061490</v>
      </c>
      <c r="L902" s="218">
        <v>8638.7990000000009</v>
      </c>
      <c r="M902" s="246">
        <v>2473120</v>
      </c>
      <c r="N902" s="251">
        <v>442.14769999999999</v>
      </c>
      <c r="O902" s="251">
        <v>456.3562</v>
      </c>
      <c r="P902" s="251">
        <v>500.40600000000001</v>
      </c>
      <c r="Q902" s="251">
        <v>531.57449999999994</v>
      </c>
      <c r="R902" s="254">
        <v>1.1200000000000001</v>
      </c>
      <c r="S902" s="214">
        <v>7220324</v>
      </c>
      <c r="T902" s="214">
        <v>35129652</v>
      </c>
      <c r="U902" s="214">
        <v>0</v>
      </c>
      <c r="V902" s="187">
        <f t="shared" si="32"/>
        <v>35129652</v>
      </c>
      <c r="W902" s="187">
        <f t="shared" si="33"/>
        <v>42349976</v>
      </c>
    </row>
    <row r="903" spans="1:23">
      <c r="A903" s="216" t="s">
        <v>6681</v>
      </c>
      <c r="B903" s="218">
        <v>5927.616</v>
      </c>
      <c r="C903" s="218">
        <v>6274.415</v>
      </c>
      <c r="D903" s="218">
        <v>6783.5950000000003</v>
      </c>
      <c r="E903" s="218">
        <v>6984.9290000000001</v>
      </c>
      <c r="F903" s="218">
        <v>778.91980000000001</v>
      </c>
      <c r="G903" s="218">
        <v>856.64369999999997</v>
      </c>
      <c r="H903" s="218">
        <v>958.84370000000001</v>
      </c>
      <c r="I903" s="218">
        <v>978.88070000000005</v>
      </c>
      <c r="J903" s="246">
        <v>3011387647</v>
      </c>
      <c r="K903" s="246">
        <v>3077798709</v>
      </c>
      <c r="L903" s="218">
        <v>7898.4939999999997</v>
      </c>
      <c r="M903" s="246">
        <v>8733024</v>
      </c>
      <c r="N903" s="251">
        <v>509.54430000000002</v>
      </c>
      <c r="O903" s="251">
        <v>550.83040000000005</v>
      </c>
      <c r="P903" s="251">
        <v>568.53189999999995</v>
      </c>
      <c r="Q903" s="251">
        <v>569.32029999999997</v>
      </c>
      <c r="R903" s="254">
        <v>1.1000000000000001</v>
      </c>
      <c r="S903" s="214">
        <v>17103721</v>
      </c>
      <c r="T903" s="214">
        <v>49286694</v>
      </c>
      <c r="U903" s="214">
        <v>0</v>
      </c>
      <c r="V903" s="187">
        <f t="shared" ref="V903:V966" si="34">T903+U903</f>
        <v>49286694</v>
      </c>
      <c r="W903" s="187">
        <f t="shared" ref="W903:W966" si="35">V903+S903</f>
        <v>66390415</v>
      </c>
    </row>
    <row r="904" spans="1:23">
      <c r="A904" s="216" t="s">
        <v>857</v>
      </c>
      <c r="B904" s="218">
        <v>4144.7030000000004</v>
      </c>
      <c r="C904" s="218">
        <v>4158.49</v>
      </c>
      <c r="D904" s="218">
        <v>4286.8509999999997</v>
      </c>
      <c r="E904" s="218">
        <v>4355.9719999999998</v>
      </c>
      <c r="F904" s="218">
        <v>604.67790000000002</v>
      </c>
      <c r="G904" s="218">
        <v>619.07860000000005</v>
      </c>
      <c r="H904" s="218">
        <v>622.0675</v>
      </c>
      <c r="I904" s="218">
        <v>618.92219999999998</v>
      </c>
      <c r="J904" s="246">
        <v>611490807</v>
      </c>
      <c r="K904" s="246">
        <v>661372262</v>
      </c>
      <c r="L904" s="218">
        <v>5583.5529999999999</v>
      </c>
      <c r="M904" s="246">
        <v>234507</v>
      </c>
      <c r="N904" s="251">
        <v>383.76769999999999</v>
      </c>
      <c r="O904" s="251">
        <v>386.55860000000001</v>
      </c>
      <c r="P904" s="251">
        <v>387.39830000000001</v>
      </c>
      <c r="Q904" s="251">
        <v>387.97340000000003</v>
      </c>
      <c r="R904" s="254">
        <v>1.1100000000000001</v>
      </c>
      <c r="S904" s="214">
        <v>734870</v>
      </c>
      <c r="T904" s="214">
        <v>10219094</v>
      </c>
      <c r="U904" s="214">
        <v>0</v>
      </c>
      <c r="V904" s="187">
        <f t="shared" si="34"/>
        <v>10219094</v>
      </c>
      <c r="W904" s="187">
        <f t="shared" si="35"/>
        <v>10953964</v>
      </c>
    </row>
    <row r="905" spans="1:23">
      <c r="A905" s="216" t="s">
        <v>4006</v>
      </c>
      <c r="B905" s="218">
        <v>17492.598000000002</v>
      </c>
      <c r="C905" s="218">
        <v>16837.508000000002</v>
      </c>
      <c r="D905" s="218">
        <v>16370.575000000001</v>
      </c>
      <c r="E905" s="218">
        <v>16041.141</v>
      </c>
      <c r="F905" s="218">
        <v>2792.5738000000001</v>
      </c>
      <c r="G905" s="218">
        <v>2738.7076999999999</v>
      </c>
      <c r="H905" s="218">
        <v>2588.3362999999999</v>
      </c>
      <c r="I905" s="218">
        <v>2533.902</v>
      </c>
      <c r="J905" s="246">
        <v>2604059438</v>
      </c>
      <c r="K905" s="246">
        <v>2804063444</v>
      </c>
      <c r="L905" s="218">
        <v>21790.86</v>
      </c>
      <c r="M905" s="246">
        <v>1002676</v>
      </c>
      <c r="N905" s="251">
        <v>1802.1558</v>
      </c>
      <c r="O905" s="251">
        <v>1768.4068</v>
      </c>
      <c r="P905" s="251">
        <v>1661.0530000000001</v>
      </c>
      <c r="Q905" s="251">
        <v>1600.5118</v>
      </c>
      <c r="R905" s="254">
        <v>1.0900000000000001</v>
      </c>
      <c r="S905" s="214">
        <v>1268276</v>
      </c>
      <c r="T905" s="214">
        <v>38600547</v>
      </c>
      <c r="U905" s="214">
        <v>0</v>
      </c>
      <c r="V905" s="187">
        <f t="shared" si="34"/>
        <v>38600547</v>
      </c>
      <c r="W905" s="187">
        <f t="shared" si="35"/>
        <v>39868823</v>
      </c>
    </row>
    <row r="906" spans="1:23">
      <c r="A906" s="216" t="s">
        <v>4008</v>
      </c>
      <c r="B906" s="218">
        <v>1307.2339999999999</v>
      </c>
      <c r="C906" s="218">
        <v>1342.489</v>
      </c>
      <c r="D906" s="218">
        <v>1338.7380000000001</v>
      </c>
      <c r="E906" s="218">
        <v>1301.655</v>
      </c>
      <c r="F906" s="218">
        <v>222.4675</v>
      </c>
      <c r="G906" s="218">
        <v>220.44880000000001</v>
      </c>
      <c r="H906" s="218">
        <v>226.51679999999999</v>
      </c>
      <c r="I906" s="218">
        <v>222.84209999999999</v>
      </c>
      <c r="J906" s="246">
        <v>166250505</v>
      </c>
      <c r="K906" s="246">
        <v>180684099</v>
      </c>
      <c r="L906" s="218">
        <v>2087.3359999999998</v>
      </c>
      <c r="M906" s="246">
        <v>102391</v>
      </c>
      <c r="N906" s="251">
        <v>154.8663</v>
      </c>
      <c r="O906" s="251">
        <v>151.3115</v>
      </c>
      <c r="P906" s="251">
        <v>154.7364</v>
      </c>
      <c r="Q906" s="251">
        <v>153.06739999999999</v>
      </c>
      <c r="R906" s="254">
        <v>1.04</v>
      </c>
      <c r="S906" s="214">
        <v>81607</v>
      </c>
      <c r="T906" s="214">
        <v>2250117</v>
      </c>
      <c r="U906" s="214">
        <v>0</v>
      </c>
      <c r="V906" s="187">
        <f t="shared" si="34"/>
        <v>2250117</v>
      </c>
      <c r="W906" s="187">
        <f t="shared" si="35"/>
        <v>2331724</v>
      </c>
    </row>
    <row r="907" spans="1:23">
      <c r="A907" s="216" t="s">
        <v>4010</v>
      </c>
      <c r="B907" s="218">
        <v>146.24299999999999</v>
      </c>
      <c r="C907" s="218">
        <v>149.77099999999999</v>
      </c>
      <c r="D907" s="218">
        <v>145.24799999999999</v>
      </c>
      <c r="E907" s="218">
        <v>133.64599999999999</v>
      </c>
      <c r="F907" s="218">
        <v>33.497300000000003</v>
      </c>
      <c r="G907" s="218">
        <v>32.735300000000002</v>
      </c>
      <c r="H907" s="218">
        <v>35.462600000000002</v>
      </c>
      <c r="I907" s="218">
        <v>31.4038</v>
      </c>
      <c r="J907" s="246">
        <v>43205651</v>
      </c>
      <c r="K907" s="246">
        <v>44839490</v>
      </c>
      <c r="L907" s="218">
        <v>263.077</v>
      </c>
      <c r="M907" s="187">
        <v>0</v>
      </c>
      <c r="N907" s="251">
        <v>24.5002</v>
      </c>
      <c r="O907" s="251">
        <v>22.302499999999998</v>
      </c>
      <c r="P907" s="251">
        <v>23.549700000000001</v>
      </c>
      <c r="Q907" s="251">
        <v>18.215800000000002</v>
      </c>
      <c r="R907" s="254">
        <v>1.05</v>
      </c>
      <c r="S907" s="214">
        <v>240246</v>
      </c>
      <c r="T907" s="214">
        <v>1837375</v>
      </c>
      <c r="U907" s="214">
        <v>0</v>
      </c>
      <c r="V907" s="187">
        <f t="shared" si="34"/>
        <v>1837375</v>
      </c>
      <c r="W907" s="187">
        <f t="shared" si="35"/>
        <v>2077621</v>
      </c>
    </row>
    <row r="908" spans="1:23">
      <c r="A908" s="216" t="s">
        <v>4012</v>
      </c>
      <c r="B908" s="218">
        <v>961.44</v>
      </c>
      <c r="C908" s="218">
        <v>969.48599999999999</v>
      </c>
      <c r="D908" s="218">
        <v>940.20799999999997</v>
      </c>
      <c r="E908" s="218">
        <v>947.12699999999995</v>
      </c>
      <c r="F908" s="218">
        <v>158.8262</v>
      </c>
      <c r="G908" s="218">
        <v>161.5241</v>
      </c>
      <c r="H908" s="218">
        <v>162.3099</v>
      </c>
      <c r="I908" s="218">
        <v>167.64230000000001</v>
      </c>
      <c r="J908" s="246">
        <v>137934620</v>
      </c>
      <c r="K908" s="246">
        <v>150771008</v>
      </c>
      <c r="L908" s="218">
        <v>1512.4280000000001</v>
      </c>
      <c r="M908" s="246">
        <v>141105</v>
      </c>
      <c r="N908" s="251">
        <v>97.025700000000001</v>
      </c>
      <c r="O908" s="251">
        <v>103.0248</v>
      </c>
      <c r="P908" s="251">
        <v>104.3079</v>
      </c>
      <c r="Q908" s="251">
        <v>104.30970000000001</v>
      </c>
      <c r="R908" s="254">
        <v>1.04</v>
      </c>
      <c r="S908" s="214">
        <v>145799</v>
      </c>
      <c r="T908" s="214">
        <v>1964526</v>
      </c>
      <c r="U908" s="214">
        <v>0</v>
      </c>
      <c r="V908" s="187">
        <f t="shared" si="34"/>
        <v>1964526</v>
      </c>
      <c r="W908" s="187">
        <f t="shared" si="35"/>
        <v>2110325</v>
      </c>
    </row>
    <row r="909" spans="1:23">
      <c r="A909" s="216" t="s">
        <v>4014</v>
      </c>
      <c r="B909" s="218">
        <v>2543.3449999999998</v>
      </c>
      <c r="C909" s="218">
        <v>2560.5410000000002</v>
      </c>
      <c r="D909" s="218">
        <v>2637.3960000000002</v>
      </c>
      <c r="E909" s="218">
        <v>2656.1579999999999</v>
      </c>
      <c r="F909" s="218">
        <v>278.49239999999998</v>
      </c>
      <c r="G909" s="218">
        <v>281.96300000000002</v>
      </c>
      <c r="H909" s="218">
        <v>276.64499999999998</v>
      </c>
      <c r="I909" s="218">
        <v>282.68220000000002</v>
      </c>
      <c r="J909" s="246">
        <v>600461622</v>
      </c>
      <c r="K909" s="246">
        <v>635625502</v>
      </c>
      <c r="L909" s="218">
        <v>3311.91</v>
      </c>
      <c r="M909" s="246">
        <v>961020</v>
      </c>
      <c r="N909" s="251">
        <v>192.1771</v>
      </c>
      <c r="O909" s="251">
        <v>192.02070000000001</v>
      </c>
      <c r="P909" s="251">
        <v>190.5866</v>
      </c>
      <c r="Q909" s="251">
        <v>193.08459999999999</v>
      </c>
      <c r="R909" s="254">
        <v>1.05</v>
      </c>
      <c r="S909" s="214">
        <v>1016201</v>
      </c>
      <c r="T909" s="214">
        <v>7606249</v>
      </c>
      <c r="U909" s="214">
        <v>0</v>
      </c>
      <c r="V909" s="187">
        <f t="shared" si="34"/>
        <v>7606249</v>
      </c>
      <c r="W909" s="187">
        <f t="shared" si="35"/>
        <v>8622450</v>
      </c>
    </row>
    <row r="910" spans="1:23">
      <c r="A910" s="216" t="s">
        <v>4015</v>
      </c>
      <c r="B910" s="218">
        <v>205.73500000000001</v>
      </c>
      <c r="C910" s="218">
        <v>186.38200000000001</v>
      </c>
      <c r="D910" s="218">
        <v>186.26</v>
      </c>
      <c r="E910" s="218">
        <v>181.101</v>
      </c>
      <c r="F910" s="218">
        <v>51.927999999999997</v>
      </c>
      <c r="G910" s="218">
        <v>49.984099999999998</v>
      </c>
      <c r="H910" s="218">
        <v>52.4467</v>
      </c>
      <c r="I910" s="218">
        <v>52.4467</v>
      </c>
      <c r="J910" s="246">
        <v>299270523</v>
      </c>
      <c r="K910" s="246">
        <v>301854927</v>
      </c>
      <c r="L910" s="218">
        <v>381.15600000000001</v>
      </c>
      <c r="M910" s="187">
        <v>0</v>
      </c>
      <c r="N910" s="251">
        <v>28.8066</v>
      </c>
      <c r="O910" s="251">
        <v>27.318200000000001</v>
      </c>
      <c r="P910" s="251">
        <v>29.615300000000001</v>
      </c>
      <c r="Q910" s="251">
        <v>28.501300000000001</v>
      </c>
      <c r="R910" s="254">
        <v>1.0900000000000001</v>
      </c>
      <c r="S910" s="214">
        <v>60</v>
      </c>
      <c r="T910" s="214">
        <v>4338997</v>
      </c>
      <c r="U910" s="214">
        <v>0</v>
      </c>
      <c r="V910" s="187">
        <f t="shared" si="34"/>
        <v>4338997</v>
      </c>
      <c r="W910" s="187">
        <f t="shared" si="35"/>
        <v>4339057</v>
      </c>
    </row>
    <row r="911" spans="1:23">
      <c r="A911" s="216" t="s">
        <v>6120</v>
      </c>
      <c r="B911" s="218">
        <v>2022.673</v>
      </c>
      <c r="C911" s="218">
        <v>1925.665</v>
      </c>
      <c r="D911" s="218">
        <v>1894.5160000000001</v>
      </c>
      <c r="E911" s="218">
        <v>1843.097</v>
      </c>
      <c r="F911" s="218">
        <v>307.74299999999999</v>
      </c>
      <c r="G911" s="218">
        <v>317.73770000000002</v>
      </c>
      <c r="H911" s="218">
        <v>328.59359999999998</v>
      </c>
      <c r="I911" s="218">
        <v>326.80020000000002</v>
      </c>
      <c r="J911" s="246">
        <v>382964685</v>
      </c>
      <c r="K911" s="246">
        <v>401834295</v>
      </c>
      <c r="L911" s="218">
        <v>2684.9050000000002</v>
      </c>
      <c r="M911" s="187">
        <v>0</v>
      </c>
      <c r="N911" s="251">
        <v>207.14349999999999</v>
      </c>
      <c r="O911" s="251">
        <v>209.66730000000001</v>
      </c>
      <c r="P911" s="251">
        <v>218.70660000000001</v>
      </c>
      <c r="Q911" s="251">
        <v>215.19280000000001</v>
      </c>
      <c r="R911" s="254">
        <v>1.08</v>
      </c>
      <c r="S911" s="214">
        <v>486879</v>
      </c>
      <c r="T911" s="214">
        <v>5423508</v>
      </c>
      <c r="U911" s="214">
        <v>0</v>
      </c>
      <c r="V911" s="187">
        <f t="shared" si="34"/>
        <v>5423508</v>
      </c>
      <c r="W911" s="187">
        <f t="shared" si="35"/>
        <v>5910387</v>
      </c>
    </row>
    <row r="912" spans="1:23">
      <c r="A912" s="216" t="s">
        <v>6679</v>
      </c>
      <c r="B912" s="218">
        <v>307.887</v>
      </c>
      <c r="C912" s="218">
        <v>300.714</v>
      </c>
      <c r="D912" s="218">
        <v>291.63200000000001</v>
      </c>
      <c r="E912" s="218">
        <v>275.60700000000003</v>
      </c>
      <c r="F912" s="218">
        <v>51.577500000000001</v>
      </c>
      <c r="G912" s="218">
        <v>51.172499999999999</v>
      </c>
      <c r="H912" s="218">
        <v>49.520099999999999</v>
      </c>
      <c r="I912" s="218">
        <v>45.96</v>
      </c>
      <c r="J912" s="246">
        <v>50021080</v>
      </c>
      <c r="K912" s="246">
        <v>51397577</v>
      </c>
      <c r="L912" s="218">
        <v>475.73099999999999</v>
      </c>
      <c r="M912" s="187">
        <v>0</v>
      </c>
      <c r="N912" s="251">
        <v>33.459299999999999</v>
      </c>
      <c r="O912" s="251">
        <v>33.507800000000003</v>
      </c>
      <c r="P912" s="251">
        <v>32.506599999999999</v>
      </c>
      <c r="Q912" s="251">
        <v>29.721</v>
      </c>
      <c r="R912" s="254">
        <v>1.07</v>
      </c>
      <c r="S912" s="214">
        <v>36938</v>
      </c>
      <c r="T912" s="214">
        <v>740857</v>
      </c>
      <c r="U912" s="214">
        <v>0</v>
      </c>
      <c r="V912" s="187">
        <f t="shared" si="34"/>
        <v>740857</v>
      </c>
      <c r="W912" s="187">
        <f t="shared" si="35"/>
        <v>777795</v>
      </c>
    </row>
    <row r="913" spans="1:23">
      <c r="A913" s="216" t="s">
        <v>6122</v>
      </c>
      <c r="B913" s="218">
        <v>217.25</v>
      </c>
      <c r="C913" s="218">
        <v>218.31100000000001</v>
      </c>
      <c r="D913" s="218">
        <v>211.71799999999999</v>
      </c>
      <c r="E913" s="218">
        <v>233.834</v>
      </c>
      <c r="F913" s="218">
        <v>36.502600000000001</v>
      </c>
      <c r="G913" s="218">
        <v>36.887799999999999</v>
      </c>
      <c r="H913" s="218">
        <v>36.620399999999997</v>
      </c>
      <c r="I913" s="218">
        <v>38.887799999999999</v>
      </c>
      <c r="J913" s="246">
        <v>84147440</v>
      </c>
      <c r="K913" s="246">
        <v>84939101</v>
      </c>
      <c r="L913" s="218">
        <v>398.20699999999999</v>
      </c>
      <c r="M913" s="187">
        <v>0</v>
      </c>
      <c r="N913" s="251">
        <v>23.1188</v>
      </c>
      <c r="O913" s="251">
        <v>22.9834</v>
      </c>
      <c r="P913" s="251">
        <v>23.744299999999999</v>
      </c>
      <c r="Q913" s="251">
        <v>24.564599999999999</v>
      </c>
      <c r="R913" s="254">
        <v>1.07</v>
      </c>
      <c r="S913" s="214">
        <v>0</v>
      </c>
      <c r="T913" s="214">
        <v>1222684</v>
      </c>
      <c r="U913" s="214">
        <v>0</v>
      </c>
      <c r="V913" s="187">
        <f t="shared" si="34"/>
        <v>1222684</v>
      </c>
      <c r="W913" s="187">
        <f t="shared" si="35"/>
        <v>1222684</v>
      </c>
    </row>
    <row r="914" spans="1:23">
      <c r="A914" s="216" t="s">
        <v>1801</v>
      </c>
      <c r="B914" s="218">
        <v>223.21100000000001</v>
      </c>
      <c r="C914" s="218">
        <v>217.54400000000001</v>
      </c>
      <c r="D914" s="218">
        <v>213.154</v>
      </c>
      <c r="E914" s="218">
        <v>207.25</v>
      </c>
      <c r="F914" s="218">
        <v>47.049900000000001</v>
      </c>
      <c r="G914" s="218">
        <v>45.587299999999999</v>
      </c>
      <c r="H914" s="218">
        <v>44.414499999999997</v>
      </c>
      <c r="I914" s="218">
        <v>43.425199999999997</v>
      </c>
      <c r="J914" s="246">
        <v>84581414</v>
      </c>
      <c r="K914" s="246">
        <v>88027303</v>
      </c>
      <c r="L914" s="218">
        <v>418.02300000000002</v>
      </c>
      <c r="M914" s="187">
        <v>0</v>
      </c>
      <c r="N914" s="251">
        <v>31.034800000000001</v>
      </c>
      <c r="O914" s="251">
        <v>30.8916</v>
      </c>
      <c r="P914" s="251">
        <v>29.847100000000001</v>
      </c>
      <c r="Q914" s="251">
        <v>28.2515</v>
      </c>
      <c r="R914" s="254">
        <v>1.07</v>
      </c>
      <c r="S914" s="214">
        <v>0</v>
      </c>
      <c r="T914" s="214">
        <v>1197364</v>
      </c>
      <c r="U914" s="214">
        <v>0</v>
      </c>
      <c r="V914" s="187">
        <f t="shared" si="34"/>
        <v>1197364</v>
      </c>
      <c r="W914" s="187">
        <f t="shared" si="35"/>
        <v>1197364</v>
      </c>
    </row>
    <row r="915" spans="1:23">
      <c r="A915" s="216" t="s">
        <v>1803</v>
      </c>
      <c r="B915" s="218">
        <v>137.75800000000001</v>
      </c>
      <c r="C915" s="218">
        <v>134.30600000000001</v>
      </c>
      <c r="D915" s="218">
        <v>130.25</v>
      </c>
      <c r="E915" s="218">
        <v>115.334</v>
      </c>
      <c r="F915" s="218">
        <v>25.181799999999999</v>
      </c>
      <c r="G915" s="218">
        <v>26.181799999999999</v>
      </c>
      <c r="H915" s="218">
        <v>25</v>
      </c>
      <c r="I915" s="218">
        <v>24.5</v>
      </c>
      <c r="J915" s="246">
        <v>22243168</v>
      </c>
      <c r="K915" s="246">
        <v>23500338</v>
      </c>
      <c r="L915" s="218">
        <v>246.00899999999999</v>
      </c>
      <c r="M915" s="187">
        <v>0</v>
      </c>
      <c r="N915" s="251">
        <v>18.546700000000001</v>
      </c>
      <c r="O915" s="251">
        <v>19.376000000000001</v>
      </c>
      <c r="P915" s="251">
        <v>18.488800000000001</v>
      </c>
      <c r="Q915" s="251">
        <v>17.868500000000001</v>
      </c>
      <c r="R915" s="254">
        <v>1.0900000000000001</v>
      </c>
      <c r="S915" s="214">
        <v>0</v>
      </c>
      <c r="T915" s="214">
        <v>363572</v>
      </c>
      <c r="U915" s="214">
        <v>0</v>
      </c>
      <c r="V915" s="187">
        <f t="shared" si="34"/>
        <v>363572</v>
      </c>
      <c r="W915" s="187">
        <f t="shared" si="35"/>
        <v>363572</v>
      </c>
    </row>
    <row r="916" spans="1:23">
      <c r="A916" s="216" t="s">
        <v>1805</v>
      </c>
      <c r="B916" s="218">
        <v>4178.335</v>
      </c>
      <c r="C916" s="218">
        <v>4263.7169999999996</v>
      </c>
      <c r="D916" s="218">
        <v>4376.6239999999998</v>
      </c>
      <c r="E916" s="218">
        <v>4473.5450000000001</v>
      </c>
      <c r="F916" s="218">
        <v>701.09799999999996</v>
      </c>
      <c r="G916" s="218">
        <v>760.48929999999996</v>
      </c>
      <c r="H916" s="218">
        <v>853.04970000000003</v>
      </c>
      <c r="I916" s="218">
        <v>911.22029999999995</v>
      </c>
      <c r="J916" s="246">
        <v>1211638741</v>
      </c>
      <c r="K916" s="246">
        <v>1253746921</v>
      </c>
      <c r="L916" s="218">
        <v>6415.5060000000003</v>
      </c>
      <c r="M916" s="246">
        <v>657560</v>
      </c>
      <c r="N916" s="251">
        <v>439.80919999999998</v>
      </c>
      <c r="O916" s="251">
        <v>478.4341</v>
      </c>
      <c r="P916" s="251">
        <v>518.18140000000005</v>
      </c>
      <c r="Q916" s="251">
        <v>540.04369999999994</v>
      </c>
      <c r="R916" s="254">
        <v>1.08</v>
      </c>
      <c r="S916" s="214">
        <v>688745</v>
      </c>
      <c r="T916" s="214">
        <v>17848807</v>
      </c>
      <c r="U916" s="214">
        <v>0</v>
      </c>
      <c r="V916" s="187">
        <f t="shared" si="34"/>
        <v>17848807</v>
      </c>
      <c r="W916" s="187">
        <f t="shared" si="35"/>
        <v>18537552</v>
      </c>
    </row>
    <row r="917" spans="1:23">
      <c r="A917" s="216" t="s">
        <v>1807</v>
      </c>
      <c r="B917" s="218">
        <v>137.34700000000001</v>
      </c>
      <c r="C917" s="218">
        <v>128.58799999999999</v>
      </c>
      <c r="D917" s="218">
        <v>126.562</v>
      </c>
      <c r="E917" s="218">
        <v>137.42599999999999</v>
      </c>
      <c r="F917" s="218">
        <v>22.882400000000001</v>
      </c>
      <c r="G917" s="218">
        <v>24.9039</v>
      </c>
      <c r="H917" s="218">
        <v>26.4252</v>
      </c>
      <c r="I917" s="218">
        <v>23.818200000000001</v>
      </c>
      <c r="J917" s="246">
        <v>61675567</v>
      </c>
      <c r="K917" s="246">
        <v>63192256</v>
      </c>
      <c r="L917" s="218">
        <v>247.495</v>
      </c>
      <c r="M917" s="187">
        <v>0</v>
      </c>
      <c r="N917" s="251">
        <v>14.9358</v>
      </c>
      <c r="O917" s="251">
        <v>15.9574</v>
      </c>
      <c r="P917" s="251">
        <v>17.000900000000001</v>
      </c>
      <c r="Q917" s="251">
        <v>13.9998</v>
      </c>
      <c r="R917" s="254">
        <v>1.05</v>
      </c>
      <c r="S917" s="214">
        <v>0</v>
      </c>
      <c r="T917" s="214">
        <v>859485</v>
      </c>
      <c r="U917" s="214">
        <v>0</v>
      </c>
      <c r="V917" s="187">
        <f t="shared" si="34"/>
        <v>859485</v>
      </c>
      <c r="W917" s="187">
        <f t="shared" si="35"/>
        <v>859485</v>
      </c>
    </row>
    <row r="918" spans="1:23">
      <c r="A918" s="216" t="s">
        <v>5037</v>
      </c>
      <c r="B918" s="218">
        <v>699.57</v>
      </c>
      <c r="C918" s="218">
        <v>715.13400000000001</v>
      </c>
      <c r="D918" s="218">
        <v>769.9</v>
      </c>
      <c r="E918" s="218">
        <v>783.471</v>
      </c>
      <c r="F918" s="218">
        <v>88.446600000000004</v>
      </c>
      <c r="G918" s="218">
        <v>99.778099999999995</v>
      </c>
      <c r="H918" s="218">
        <v>103.69799999999999</v>
      </c>
      <c r="I918" s="218">
        <v>112.5802</v>
      </c>
      <c r="J918" s="246">
        <v>54449334</v>
      </c>
      <c r="K918" s="246">
        <v>59986998</v>
      </c>
      <c r="L918" s="218">
        <v>1180.259</v>
      </c>
      <c r="M918" s="187">
        <v>0</v>
      </c>
      <c r="N918" s="251">
        <v>60.696100000000001</v>
      </c>
      <c r="O918" s="251">
        <v>68.173000000000002</v>
      </c>
      <c r="P918" s="251">
        <v>71.144300000000001</v>
      </c>
      <c r="Q918" s="251">
        <v>79.0047</v>
      </c>
      <c r="R918" s="254">
        <v>1.04</v>
      </c>
      <c r="S918" s="214">
        <v>40242</v>
      </c>
      <c r="T918" s="214">
        <v>792364</v>
      </c>
      <c r="U918" s="214">
        <v>0</v>
      </c>
      <c r="V918" s="187">
        <f t="shared" si="34"/>
        <v>792364</v>
      </c>
      <c r="W918" s="187">
        <f t="shared" si="35"/>
        <v>832606</v>
      </c>
    </row>
    <row r="919" spans="1:23">
      <c r="A919" s="216" t="s">
        <v>1809</v>
      </c>
      <c r="B919" s="218">
        <v>399.74099999999999</v>
      </c>
      <c r="C919" s="218">
        <v>401.70299999999997</v>
      </c>
      <c r="D919" s="218">
        <v>393.14400000000001</v>
      </c>
      <c r="E919" s="218">
        <v>408.19099999999997</v>
      </c>
      <c r="F919" s="218">
        <v>50.5</v>
      </c>
      <c r="G919" s="218">
        <v>50.339599999999997</v>
      </c>
      <c r="H919" s="218">
        <v>54.5</v>
      </c>
      <c r="I919" s="218">
        <v>57.462600000000002</v>
      </c>
      <c r="J919" s="246">
        <v>58577661</v>
      </c>
      <c r="K919" s="246">
        <v>64736301</v>
      </c>
      <c r="L919" s="218">
        <v>655.58</v>
      </c>
      <c r="M919" s="187">
        <v>0</v>
      </c>
      <c r="N919" s="251">
        <v>33.000100000000003</v>
      </c>
      <c r="O919" s="251">
        <v>35.839599999999997</v>
      </c>
      <c r="P919" s="251">
        <v>36.9998</v>
      </c>
      <c r="Q919" s="251">
        <v>38</v>
      </c>
      <c r="R919" s="254">
        <v>1.03</v>
      </c>
      <c r="S919" s="214">
        <v>0</v>
      </c>
      <c r="T919" s="214">
        <v>961285</v>
      </c>
      <c r="U919" s="214">
        <v>0</v>
      </c>
      <c r="V919" s="187">
        <f t="shared" si="34"/>
        <v>961285</v>
      </c>
      <c r="W919" s="187">
        <f t="shared" si="35"/>
        <v>961285</v>
      </c>
    </row>
    <row r="920" spans="1:23">
      <c r="A920" s="216" t="s">
        <v>1697</v>
      </c>
      <c r="B920" s="218">
        <v>361.47199999999998</v>
      </c>
      <c r="C920" s="218">
        <v>365.28100000000001</v>
      </c>
      <c r="D920" s="218">
        <v>354.25</v>
      </c>
      <c r="E920" s="218">
        <v>351.589</v>
      </c>
      <c r="F920" s="218">
        <v>62.802199999999999</v>
      </c>
      <c r="G920" s="218">
        <v>63.764699999999998</v>
      </c>
      <c r="H920" s="218">
        <v>65.069400000000002</v>
      </c>
      <c r="I920" s="218">
        <v>65.346199999999996</v>
      </c>
      <c r="J920" s="246">
        <v>68488021</v>
      </c>
      <c r="K920" s="246">
        <v>74122158</v>
      </c>
      <c r="L920" s="218">
        <v>671.59500000000003</v>
      </c>
      <c r="M920" s="246">
        <v>61469</v>
      </c>
      <c r="N920" s="251">
        <v>39.511299999999999</v>
      </c>
      <c r="O920" s="251">
        <v>40.803600000000003</v>
      </c>
      <c r="P920" s="251">
        <v>41.459099999999999</v>
      </c>
      <c r="Q920" s="251">
        <v>40.1768</v>
      </c>
      <c r="R920" s="254">
        <v>1.04</v>
      </c>
      <c r="S920" s="214">
        <v>58929</v>
      </c>
      <c r="T920" s="214">
        <v>1018114</v>
      </c>
      <c r="U920" s="214">
        <v>0</v>
      </c>
      <c r="V920" s="187">
        <f t="shared" si="34"/>
        <v>1018114</v>
      </c>
      <c r="W920" s="187">
        <f t="shared" si="35"/>
        <v>1077043</v>
      </c>
    </row>
    <row r="921" spans="1:23">
      <c r="A921" s="216" t="s">
        <v>2385</v>
      </c>
      <c r="B921" s="218">
        <v>15312.2</v>
      </c>
      <c r="C921" s="218">
        <v>15028.424000000001</v>
      </c>
      <c r="D921" s="218">
        <v>14737.133</v>
      </c>
      <c r="E921" s="218">
        <v>14328.914000000001</v>
      </c>
      <c r="F921" s="218">
        <v>2185.7150999999999</v>
      </c>
      <c r="G921" s="218">
        <v>2149.518</v>
      </c>
      <c r="H921" s="218">
        <v>1873.6016999999999</v>
      </c>
      <c r="I921" s="218">
        <v>1876.4360999999999</v>
      </c>
      <c r="J921" s="246">
        <v>2007079090</v>
      </c>
      <c r="K921" s="246">
        <v>2214988990</v>
      </c>
      <c r="L921" s="218">
        <v>18690.067999999999</v>
      </c>
      <c r="M921" s="246">
        <v>564152</v>
      </c>
      <c r="N921" s="251">
        <v>1302.0153</v>
      </c>
      <c r="O921" s="251">
        <v>1254.2067</v>
      </c>
      <c r="P921" s="251">
        <v>1147.039</v>
      </c>
      <c r="Q921" s="251">
        <v>1169.2614000000001</v>
      </c>
      <c r="R921" s="254">
        <v>1.08</v>
      </c>
      <c r="S921" s="214">
        <v>1375511</v>
      </c>
      <c r="T921" s="214">
        <v>29805487</v>
      </c>
      <c r="U921" s="214">
        <v>0</v>
      </c>
      <c r="V921" s="187">
        <f t="shared" si="34"/>
        <v>29805487</v>
      </c>
      <c r="W921" s="187">
        <f t="shared" si="35"/>
        <v>31180998</v>
      </c>
    </row>
    <row r="922" spans="1:23">
      <c r="A922" s="216" t="s">
        <v>1699</v>
      </c>
      <c r="B922" s="218">
        <v>332.245</v>
      </c>
      <c r="C922" s="218">
        <v>300.59199999999998</v>
      </c>
      <c r="D922" s="218">
        <v>300.38400000000001</v>
      </c>
      <c r="E922" s="218">
        <v>302.69499999999999</v>
      </c>
      <c r="F922" s="218">
        <v>57.2928</v>
      </c>
      <c r="G922" s="218">
        <v>54.223300000000002</v>
      </c>
      <c r="H922" s="218">
        <v>50.935699999999997</v>
      </c>
      <c r="I922" s="218">
        <v>50.620399999999997</v>
      </c>
      <c r="J922" s="246">
        <v>60261180</v>
      </c>
      <c r="K922" s="246">
        <v>64615230</v>
      </c>
      <c r="L922" s="218">
        <v>628.42700000000002</v>
      </c>
      <c r="M922" s="187">
        <v>0</v>
      </c>
      <c r="N922" s="251">
        <v>36.751399999999997</v>
      </c>
      <c r="O922" s="251">
        <v>33.753500000000003</v>
      </c>
      <c r="P922" s="251">
        <v>31.830400000000001</v>
      </c>
      <c r="Q922" s="251">
        <v>30.787700000000001</v>
      </c>
      <c r="R922" s="254">
        <v>1.03</v>
      </c>
      <c r="S922" s="214">
        <v>0</v>
      </c>
      <c r="T922" s="214">
        <v>854616</v>
      </c>
      <c r="U922" s="214">
        <v>0</v>
      </c>
      <c r="V922" s="187">
        <f t="shared" si="34"/>
        <v>854616</v>
      </c>
      <c r="W922" s="187">
        <f t="shared" si="35"/>
        <v>854616</v>
      </c>
    </row>
    <row r="923" spans="1:23">
      <c r="A923" s="216" t="s">
        <v>3554</v>
      </c>
      <c r="B923" s="218">
        <v>937.72299999999996</v>
      </c>
      <c r="C923" s="218">
        <v>901.91700000000003</v>
      </c>
      <c r="D923" s="218">
        <v>879.27800000000002</v>
      </c>
      <c r="E923" s="218">
        <v>922.96600000000001</v>
      </c>
      <c r="F923" s="218">
        <v>260.21809999999999</v>
      </c>
      <c r="G923" s="218">
        <v>268.72539999999998</v>
      </c>
      <c r="H923" s="218">
        <v>274.9984</v>
      </c>
      <c r="I923" s="218">
        <v>197.2611</v>
      </c>
      <c r="J923" s="246">
        <v>111716067</v>
      </c>
      <c r="K923" s="246">
        <v>120686467</v>
      </c>
      <c r="L923" s="218">
        <v>1490.788</v>
      </c>
      <c r="M923" s="246">
        <v>86955</v>
      </c>
      <c r="N923" s="251">
        <v>174.7381</v>
      </c>
      <c r="O923" s="251">
        <v>179.39590000000001</v>
      </c>
      <c r="P923" s="251">
        <v>186.9067</v>
      </c>
      <c r="Q923" s="251">
        <v>135.2105</v>
      </c>
      <c r="R923" s="254">
        <v>1.05</v>
      </c>
      <c r="S923" s="214">
        <v>180104</v>
      </c>
      <c r="T923" s="214">
        <v>1655470</v>
      </c>
      <c r="U923" s="214">
        <v>0</v>
      </c>
      <c r="V923" s="187">
        <f t="shared" si="34"/>
        <v>1655470</v>
      </c>
      <c r="W923" s="187">
        <f t="shared" si="35"/>
        <v>1835574</v>
      </c>
    </row>
    <row r="924" spans="1:23">
      <c r="A924" s="216" t="s">
        <v>1857</v>
      </c>
      <c r="B924" s="218">
        <v>1068.3520000000001</v>
      </c>
      <c r="C924" s="218">
        <v>1086.0909999999999</v>
      </c>
      <c r="D924" s="218">
        <v>1097.1289999999999</v>
      </c>
      <c r="E924" s="218">
        <v>1108.9929999999999</v>
      </c>
      <c r="F924" s="218">
        <v>155.28219999999999</v>
      </c>
      <c r="G924" s="218">
        <v>153.39109999999999</v>
      </c>
      <c r="H924" s="218">
        <v>159.37280000000001</v>
      </c>
      <c r="I924" s="218">
        <v>178.54259999999999</v>
      </c>
      <c r="J924" s="246">
        <v>91029188</v>
      </c>
      <c r="K924" s="246">
        <v>105641138</v>
      </c>
      <c r="L924" s="218">
        <v>1663.3979999999999</v>
      </c>
      <c r="M924" s="246">
        <v>51272</v>
      </c>
      <c r="N924" s="251">
        <v>94.976500000000001</v>
      </c>
      <c r="O924" s="251">
        <v>102.1169</v>
      </c>
      <c r="P924" s="251">
        <v>107.0616</v>
      </c>
      <c r="Q924" s="251">
        <v>115.60769999999999</v>
      </c>
      <c r="R924" s="254">
        <v>1.05</v>
      </c>
      <c r="S924" s="214">
        <v>186012</v>
      </c>
      <c r="T924" s="214">
        <v>1368043</v>
      </c>
      <c r="U924" s="214">
        <v>0</v>
      </c>
      <c r="V924" s="187">
        <f t="shared" si="34"/>
        <v>1368043</v>
      </c>
      <c r="W924" s="187">
        <f t="shared" si="35"/>
        <v>1554055</v>
      </c>
    </row>
    <row r="925" spans="1:23">
      <c r="A925" s="216" t="s">
        <v>7288</v>
      </c>
      <c r="B925" s="218">
        <v>236.06899999999999</v>
      </c>
      <c r="C925" s="218">
        <v>260.95400000000001</v>
      </c>
      <c r="D925" s="218">
        <v>257.49700000000001</v>
      </c>
      <c r="E925" s="218">
        <v>276.56900000000002</v>
      </c>
      <c r="F925" s="218">
        <v>47.3904</v>
      </c>
      <c r="G925" s="218">
        <v>50.6</v>
      </c>
      <c r="H925" s="218">
        <v>40</v>
      </c>
      <c r="I925" s="218">
        <v>44</v>
      </c>
      <c r="J925" s="246">
        <v>50914167</v>
      </c>
      <c r="K925" s="246">
        <v>53907467</v>
      </c>
      <c r="L925" s="218">
        <v>494.51600000000002</v>
      </c>
      <c r="M925" s="187">
        <v>0</v>
      </c>
      <c r="N925" s="251">
        <v>31.104299999999999</v>
      </c>
      <c r="O925" s="251">
        <v>33.428699999999999</v>
      </c>
      <c r="P925" s="251">
        <v>26.0002</v>
      </c>
      <c r="Q925" s="251">
        <v>28.999700000000001</v>
      </c>
      <c r="R925" s="254">
        <v>1.05</v>
      </c>
      <c r="S925" s="214">
        <v>64314</v>
      </c>
      <c r="T925" s="214">
        <v>827080</v>
      </c>
      <c r="U925" s="214">
        <v>0</v>
      </c>
      <c r="V925" s="187">
        <f t="shared" si="34"/>
        <v>827080</v>
      </c>
      <c r="W925" s="187">
        <f t="shared" si="35"/>
        <v>891394</v>
      </c>
    </row>
    <row r="926" spans="1:23">
      <c r="A926" s="216" t="s">
        <v>2791</v>
      </c>
      <c r="B926" s="218">
        <v>70707.856</v>
      </c>
      <c r="C926" s="218">
        <v>70674.210999999996</v>
      </c>
      <c r="D926" s="218">
        <v>70878.441999999995</v>
      </c>
      <c r="E926" s="218">
        <v>71493.081000000006</v>
      </c>
      <c r="F926" s="218">
        <v>9558.0347000000002</v>
      </c>
      <c r="G926" s="218">
        <v>9751.7414000000008</v>
      </c>
      <c r="H926" s="218">
        <v>10071.407800000001</v>
      </c>
      <c r="I926" s="218">
        <v>10348.0609</v>
      </c>
      <c r="J926" s="246">
        <v>38060881698</v>
      </c>
      <c r="K926" s="246">
        <v>39051523942</v>
      </c>
      <c r="L926" s="218">
        <v>94001.837</v>
      </c>
      <c r="M926" s="246">
        <v>60361652</v>
      </c>
      <c r="N926" s="251">
        <v>5841.4818999999998</v>
      </c>
      <c r="O926" s="251">
        <v>5926.5052999999998</v>
      </c>
      <c r="P926" s="251">
        <v>6146.1152000000002</v>
      </c>
      <c r="Q926" s="251">
        <v>6290.4143999999997</v>
      </c>
      <c r="R926" s="254">
        <v>1.1000000000000001</v>
      </c>
      <c r="S926" s="214">
        <v>38568331</v>
      </c>
      <c r="T926" s="214">
        <v>598537028</v>
      </c>
      <c r="U926" s="214">
        <v>0</v>
      </c>
      <c r="V926" s="187">
        <f t="shared" si="34"/>
        <v>598537028</v>
      </c>
      <c r="W926" s="187">
        <f t="shared" si="35"/>
        <v>637105359</v>
      </c>
    </row>
    <row r="927" spans="1:23">
      <c r="A927" s="216" t="s">
        <v>5124</v>
      </c>
      <c r="B927" s="218">
        <v>12854.157999999999</v>
      </c>
      <c r="C927" s="218">
        <v>13829.51</v>
      </c>
      <c r="D927" s="218">
        <v>14422.049000000001</v>
      </c>
      <c r="E927" s="218">
        <v>14976.815000000001</v>
      </c>
      <c r="F927" s="218">
        <v>1421.1727000000001</v>
      </c>
      <c r="G927" s="218">
        <v>1506.9939999999999</v>
      </c>
      <c r="H927" s="218">
        <v>1630.4711</v>
      </c>
      <c r="I927" s="218">
        <v>1677.7855</v>
      </c>
      <c r="J927" s="246">
        <v>3874574899</v>
      </c>
      <c r="K927" s="246">
        <v>4052474498</v>
      </c>
      <c r="L927" s="218">
        <v>18373.236000000001</v>
      </c>
      <c r="M927" s="246">
        <v>9198147</v>
      </c>
      <c r="N927" s="251">
        <v>993.51189999999997</v>
      </c>
      <c r="O927" s="251">
        <v>1103.3344999999999</v>
      </c>
      <c r="P927" s="251">
        <v>1174.1211000000001</v>
      </c>
      <c r="Q927" s="251">
        <v>1179.383</v>
      </c>
      <c r="R927" s="254">
        <v>1.1100000000000001</v>
      </c>
      <c r="S927" s="214">
        <v>13529000</v>
      </c>
      <c r="T927" s="214">
        <v>63312310</v>
      </c>
      <c r="U927" s="214">
        <v>0</v>
      </c>
      <c r="V927" s="187">
        <f t="shared" si="34"/>
        <v>63312310</v>
      </c>
      <c r="W927" s="187">
        <f t="shared" si="35"/>
        <v>76841310</v>
      </c>
    </row>
    <row r="928" spans="1:23">
      <c r="A928" s="216" t="s">
        <v>2793</v>
      </c>
      <c r="B928" s="218">
        <v>2258.6480000000001</v>
      </c>
      <c r="C928" s="218">
        <v>2468.6930000000002</v>
      </c>
      <c r="D928" s="218">
        <v>2603.41</v>
      </c>
      <c r="E928" s="218">
        <v>2698.8710000000001</v>
      </c>
      <c r="F928" s="218">
        <v>453.14420000000001</v>
      </c>
      <c r="G928" s="218">
        <v>402.9282</v>
      </c>
      <c r="H928" s="218">
        <v>454.93920000000003</v>
      </c>
      <c r="I928" s="218">
        <v>460.20760000000001</v>
      </c>
      <c r="J928" s="246">
        <v>1655770567</v>
      </c>
      <c r="K928" s="246">
        <v>1679337639</v>
      </c>
      <c r="L928" s="218">
        <v>3672.1320000000001</v>
      </c>
      <c r="M928" s="246">
        <v>4175369</v>
      </c>
      <c r="N928" s="251">
        <v>265.5521</v>
      </c>
      <c r="O928" s="251">
        <v>238.12809999999999</v>
      </c>
      <c r="P928" s="251">
        <v>268.91840000000002</v>
      </c>
      <c r="Q928" s="251">
        <v>267.21210000000002</v>
      </c>
      <c r="R928" s="254">
        <v>1.07</v>
      </c>
      <c r="S928" s="214">
        <v>3352243</v>
      </c>
      <c r="T928" s="214">
        <v>23430445</v>
      </c>
      <c r="U928" s="214">
        <v>0</v>
      </c>
      <c r="V928" s="187">
        <f t="shared" si="34"/>
        <v>23430445</v>
      </c>
      <c r="W928" s="187">
        <f t="shared" si="35"/>
        <v>26782688</v>
      </c>
    </row>
    <row r="929" spans="1:23">
      <c r="A929" s="216" t="s">
        <v>2795</v>
      </c>
      <c r="B929" s="218">
        <v>7160.3860000000004</v>
      </c>
      <c r="C929" s="218">
        <v>7092.2370000000001</v>
      </c>
      <c r="D929" s="218">
        <v>6975.9579999999996</v>
      </c>
      <c r="E929" s="218">
        <v>6854.2309999999998</v>
      </c>
      <c r="F929" s="218">
        <v>975.45330000000001</v>
      </c>
      <c r="G929" s="218">
        <v>977.52639999999997</v>
      </c>
      <c r="H929" s="218">
        <v>994.33209999999997</v>
      </c>
      <c r="I929" s="218">
        <v>1005.104</v>
      </c>
      <c r="J929" s="246">
        <v>5666862273</v>
      </c>
      <c r="K929" s="246">
        <v>5769442671</v>
      </c>
      <c r="L929" s="218">
        <v>7923.5770000000002</v>
      </c>
      <c r="M929" s="246">
        <v>15590765</v>
      </c>
      <c r="N929" s="251">
        <v>651.70119999999997</v>
      </c>
      <c r="O929" s="251">
        <v>646.61220000000003</v>
      </c>
      <c r="P929" s="251">
        <v>646.42520000000002</v>
      </c>
      <c r="Q929" s="251">
        <v>629.35580000000004</v>
      </c>
      <c r="R929" s="254">
        <v>1.1000000000000001</v>
      </c>
      <c r="S929" s="214">
        <v>14119891</v>
      </c>
      <c r="T929" s="214">
        <v>91547871</v>
      </c>
      <c r="U929" s="214">
        <v>0</v>
      </c>
      <c r="V929" s="187">
        <f t="shared" si="34"/>
        <v>91547871</v>
      </c>
      <c r="W929" s="187">
        <f t="shared" si="35"/>
        <v>105667762</v>
      </c>
    </row>
    <row r="930" spans="1:23">
      <c r="A930" s="216" t="s">
        <v>2052</v>
      </c>
      <c r="B930" s="218">
        <v>5524.8590000000004</v>
      </c>
      <c r="C930" s="218">
        <v>6044.94</v>
      </c>
      <c r="D930" s="218">
        <v>6396.6130000000003</v>
      </c>
      <c r="E930" s="218">
        <v>6699.3680000000004</v>
      </c>
      <c r="F930" s="218">
        <v>824.85900000000004</v>
      </c>
      <c r="G930" s="218">
        <v>914.59860000000003</v>
      </c>
      <c r="H930" s="218">
        <v>1006.8117999999999</v>
      </c>
      <c r="I930" s="218">
        <v>1012.6928</v>
      </c>
      <c r="J930" s="246">
        <v>2293007733</v>
      </c>
      <c r="K930" s="246">
        <v>2337029060</v>
      </c>
      <c r="L930" s="218">
        <v>9204.8619999999992</v>
      </c>
      <c r="M930" s="246">
        <v>2094872</v>
      </c>
      <c r="N930" s="251">
        <v>492.29199999999997</v>
      </c>
      <c r="O930" s="251">
        <v>575.7586</v>
      </c>
      <c r="P930" s="251">
        <v>620.01800000000003</v>
      </c>
      <c r="Q930" s="251">
        <v>640.09259999999995</v>
      </c>
      <c r="R930" s="254">
        <v>1.1100000000000001</v>
      </c>
      <c r="S930" s="214">
        <v>5884255</v>
      </c>
      <c r="T930" s="214">
        <v>31930320</v>
      </c>
      <c r="U930" s="214">
        <v>0</v>
      </c>
      <c r="V930" s="187">
        <f t="shared" si="34"/>
        <v>31930320</v>
      </c>
      <c r="W930" s="187">
        <f t="shared" si="35"/>
        <v>37814575</v>
      </c>
    </row>
    <row r="931" spans="1:23">
      <c r="A931" s="216" t="s">
        <v>2797</v>
      </c>
      <c r="B931" s="218">
        <v>817.59400000000005</v>
      </c>
      <c r="C931" s="218">
        <v>908.05499999999995</v>
      </c>
      <c r="D931" s="218">
        <v>966.44500000000005</v>
      </c>
      <c r="E931" s="218">
        <v>1007.216</v>
      </c>
      <c r="F931" s="218">
        <v>129.4204</v>
      </c>
      <c r="G931" s="218">
        <v>147.40690000000001</v>
      </c>
      <c r="H931" s="218">
        <v>155.63419999999999</v>
      </c>
      <c r="I931" s="218">
        <v>156.93719999999999</v>
      </c>
      <c r="J931" s="246">
        <v>581234932</v>
      </c>
      <c r="K931" s="246">
        <v>602561425</v>
      </c>
      <c r="L931" s="218">
        <v>1398.89</v>
      </c>
      <c r="M931" s="246">
        <v>1685581</v>
      </c>
      <c r="N931" s="251">
        <v>83.068700000000007</v>
      </c>
      <c r="O931" s="251">
        <v>100.3421</v>
      </c>
      <c r="P931" s="251">
        <v>101.2744</v>
      </c>
      <c r="Q931" s="251">
        <v>100.2762</v>
      </c>
      <c r="R931" s="254">
        <v>1.05</v>
      </c>
      <c r="S931" s="214">
        <v>1392483</v>
      </c>
      <c r="T931" s="214">
        <v>8933809</v>
      </c>
      <c r="U931" s="214">
        <v>0</v>
      </c>
      <c r="V931" s="187">
        <f t="shared" si="34"/>
        <v>8933809</v>
      </c>
      <c r="W931" s="187">
        <f t="shared" si="35"/>
        <v>10326292</v>
      </c>
    </row>
    <row r="932" spans="1:23">
      <c r="A932" s="216" t="s">
        <v>2799</v>
      </c>
      <c r="B932" s="218">
        <v>3597.2730000000001</v>
      </c>
      <c r="C932" s="218">
        <v>3956.337</v>
      </c>
      <c r="D932" s="218">
        <v>4168.5910000000003</v>
      </c>
      <c r="E932" s="218">
        <v>4416.4290000000001</v>
      </c>
      <c r="F932" s="218">
        <v>506.43790000000001</v>
      </c>
      <c r="G932" s="218">
        <v>557.81420000000003</v>
      </c>
      <c r="H932" s="218">
        <v>605.51940000000002</v>
      </c>
      <c r="I932" s="218">
        <v>584.82309999999995</v>
      </c>
      <c r="J932" s="246">
        <v>2552084682</v>
      </c>
      <c r="K932" s="246">
        <v>2626661330</v>
      </c>
      <c r="L932" s="218">
        <v>5138.32</v>
      </c>
      <c r="M932" s="246">
        <v>7401046</v>
      </c>
      <c r="N932" s="251">
        <v>320.42750000000001</v>
      </c>
      <c r="O932" s="251">
        <v>330.38060000000002</v>
      </c>
      <c r="P932" s="251">
        <v>362.286</v>
      </c>
      <c r="Q932" s="251">
        <v>344.2389</v>
      </c>
      <c r="R932" s="254">
        <v>1.08</v>
      </c>
      <c r="S932" s="214">
        <v>8344730</v>
      </c>
      <c r="T932" s="214">
        <v>43177496</v>
      </c>
      <c r="U932" s="214">
        <v>0</v>
      </c>
      <c r="V932" s="187">
        <f t="shared" si="34"/>
        <v>43177496</v>
      </c>
      <c r="W932" s="187">
        <f t="shared" si="35"/>
        <v>51522226</v>
      </c>
    </row>
    <row r="933" spans="1:23">
      <c r="A933" s="216" t="s">
        <v>2801</v>
      </c>
      <c r="B933" s="218">
        <v>657.52800000000002</v>
      </c>
      <c r="C933" s="218">
        <v>654.596</v>
      </c>
      <c r="D933" s="218">
        <v>654.83000000000004</v>
      </c>
      <c r="E933" s="218">
        <v>657.697</v>
      </c>
      <c r="F933" s="218">
        <v>131.61500000000001</v>
      </c>
      <c r="G933" s="218">
        <v>131.8878</v>
      </c>
      <c r="H933" s="218">
        <v>123.8449</v>
      </c>
      <c r="I933" s="218">
        <v>122.4973</v>
      </c>
      <c r="J933" s="246">
        <v>133482045</v>
      </c>
      <c r="K933" s="246">
        <v>144794377</v>
      </c>
      <c r="L933" s="218">
        <v>1215.473</v>
      </c>
      <c r="M933" s="187">
        <v>0</v>
      </c>
      <c r="N933" s="251">
        <v>86.302400000000006</v>
      </c>
      <c r="O933" s="251">
        <v>84.001999999999995</v>
      </c>
      <c r="P933" s="251">
        <v>78.897400000000005</v>
      </c>
      <c r="Q933" s="251">
        <v>80.622900000000001</v>
      </c>
      <c r="R933" s="254">
        <v>1.04</v>
      </c>
      <c r="S933" s="214">
        <v>168</v>
      </c>
      <c r="T933" s="214">
        <v>1793817</v>
      </c>
      <c r="U933" s="214">
        <v>0</v>
      </c>
      <c r="V933" s="187">
        <f t="shared" si="34"/>
        <v>1793817</v>
      </c>
      <c r="W933" s="187">
        <f t="shared" si="35"/>
        <v>1793985</v>
      </c>
    </row>
    <row r="934" spans="1:23">
      <c r="A934" s="216" t="s">
        <v>2803</v>
      </c>
      <c r="B934" s="218">
        <v>1158.1949999999999</v>
      </c>
      <c r="C934" s="218">
        <v>1182.509</v>
      </c>
      <c r="D934" s="218">
        <v>1146.797</v>
      </c>
      <c r="E934" s="218">
        <v>1166.3340000000001</v>
      </c>
      <c r="F934" s="218">
        <v>173.8382</v>
      </c>
      <c r="G934" s="218">
        <v>178.27520000000001</v>
      </c>
      <c r="H934" s="218">
        <v>183.37430000000001</v>
      </c>
      <c r="I934" s="218">
        <v>184.74340000000001</v>
      </c>
      <c r="J934" s="246">
        <v>191787194</v>
      </c>
      <c r="K934" s="246">
        <v>209865078</v>
      </c>
      <c r="L934" s="218">
        <v>1762.4079999999999</v>
      </c>
      <c r="M934" s="246">
        <v>308905</v>
      </c>
      <c r="N934" s="251">
        <v>111.15309999999999</v>
      </c>
      <c r="O934" s="251">
        <v>113.03149999999999</v>
      </c>
      <c r="P934" s="251">
        <v>119.0313</v>
      </c>
      <c r="Q934" s="251">
        <v>118.902</v>
      </c>
      <c r="R934" s="254">
        <v>1.05</v>
      </c>
      <c r="S934" s="214">
        <v>314231</v>
      </c>
      <c r="T934" s="214">
        <v>2693392</v>
      </c>
      <c r="U934" s="214">
        <v>0</v>
      </c>
      <c r="V934" s="187">
        <f t="shared" si="34"/>
        <v>2693392</v>
      </c>
      <c r="W934" s="187">
        <f t="shared" si="35"/>
        <v>3007623</v>
      </c>
    </row>
    <row r="935" spans="1:23">
      <c r="A935" s="216" t="s">
        <v>2805</v>
      </c>
      <c r="B935" s="218">
        <v>131.51599999999999</v>
      </c>
      <c r="C935" s="218">
        <v>144.197</v>
      </c>
      <c r="D935" s="218">
        <v>139.84200000000001</v>
      </c>
      <c r="E935" s="218">
        <v>136.49600000000001</v>
      </c>
      <c r="F935" s="218">
        <v>32.812899999999999</v>
      </c>
      <c r="G935" s="218">
        <v>29.238099999999999</v>
      </c>
      <c r="H935" s="218">
        <v>28.409199999999998</v>
      </c>
      <c r="I935" s="218">
        <v>30.441199999999998</v>
      </c>
      <c r="J935" s="246">
        <v>17432705</v>
      </c>
      <c r="K935" s="246">
        <v>19201075</v>
      </c>
      <c r="L935" s="218">
        <v>275.351</v>
      </c>
      <c r="M935" s="187">
        <v>0</v>
      </c>
      <c r="N935" s="251">
        <v>26.0335</v>
      </c>
      <c r="O935" s="251">
        <v>21.500900000000001</v>
      </c>
      <c r="P935" s="251">
        <v>22.002500000000001</v>
      </c>
      <c r="Q935" s="251">
        <v>24.001999999999999</v>
      </c>
      <c r="R935" s="254">
        <v>1.05</v>
      </c>
      <c r="S935" s="214">
        <v>0</v>
      </c>
      <c r="T935" s="214">
        <v>261621</v>
      </c>
      <c r="U935" s="214">
        <v>0</v>
      </c>
      <c r="V935" s="187">
        <f t="shared" si="34"/>
        <v>261621</v>
      </c>
      <c r="W935" s="187">
        <f t="shared" si="35"/>
        <v>261621</v>
      </c>
    </row>
    <row r="936" spans="1:23">
      <c r="A936" s="216" t="s">
        <v>2806</v>
      </c>
      <c r="B936" s="218">
        <v>246.99100000000001</v>
      </c>
      <c r="C936" s="218">
        <v>244.99700000000001</v>
      </c>
      <c r="D936" s="218">
        <v>237.59800000000001</v>
      </c>
      <c r="E936" s="218">
        <v>218.91399999999999</v>
      </c>
      <c r="F936" s="218">
        <v>46.236499999999999</v>
      </c>
      <c r="G936" s="218">
        <v>46.693199999999997</v>
      </c>
      <c r="H936" s="218">
        <v>44.503799999999998</v>
      </c>
      <c r="I936" s="218">
        <v>46.873699999999999</v>
      </c>
      <c r="J936" s="246">
        <v>25396901</v>
      </c>
      <c r="K936" s="246">
        <v>28097834</v>
      </c>
      <c r="L936" s="218">
        <v>386.68700000000001</v>
      </c>
      <c r="M936" s="187">
        <v>0</v>
      </c>
      <c r="N936" s="251">
        <v>26.857700000000001</v>
      </c>
      <c r="O936" s="251">
        <v>33.853499999999997</v>
      </c>
      <c r="P936" s="251">
        <v>31.000599999999999</v>
      </c>
      <c r="Q936" s="251">
        <v>32.839799999999997</v>
      </c>
      <c r="R936" s="254">
        <v>1.05</v>
      </c>
      <c r="S936" s="214">
        <v>0</v>
      </c>
      <c r="T936" s="214">
        <v>392625</v>
      </c>
      <c r="U936" s="214">
        <v>0</v>
      </c>
      <c r="V936" s="187">
        <f t="shared" si="34"/>
        <v>392625</v>
      </c>
      <c r="W936" s="187">
        <f t="shared" si="35"/>
        <v>392625</v>
      </c>
    </row>
    <row r="937" spans="1:23">
      <c r="A937" s="216" t="s">
        <v>232</v>
      </c>
      <c r="B937" s="218">
        <v>596.84100000000001</v>
      </c>
      <c r="C937" s="218">
        <v>577.59900000000005</v>
      </c>
      <c r="D937" s="218">
        <v>560.15599999999995</v>
      </c>
      <c r="E937" s="218">
        <v>568.58500000000004</v>
      </c>
      <c r="F937" s="218">
        <v>94.903400000000005</v>
      </c>
      <c r="G937" s="218">
        <v>97.352999999999994</v>
      </c>
      <c r="H937" s="218">
        <v>99.072299999999998</v>
      </c>
      <c r="I937" s="218">
        <v>95.508300000000006</v>
      </c>
      <c r="J937" s="246">
        <v>72428021</v>
      </c>
      <c r="K937" s="246">
        <v>80208021</v>
      </c>
      <c r="L937" s="218">
        <v>899.18399999999997</v>
      </c>
      <c r="M937" s="187">
        <v>0</v>
      </c>
      <c r="N937" s="251">
        <v>60.058599999999998</v>
      </c>
      <c r="O937" s="251">
        <v>65.104100000000003</v>
      </c>
      <c r="P937" s="251">
        <v>66.650700000000001</v>
      </c>
      <c r="Q937" s="251">
        <v>60.820599999999999</v>
      </c>
      <c r="R937" s="254">
        <v>1.05</v>
      </c>
      <c r="S937" s="214">
        <v>0</v>
      </c>
      <c r="T937" s="214">
        <v>926871</v>
      </c>
      <c r="U937" s="214">
        <v>57539</v>
      </c>
      <c r="V937" s="187">
        <f t="shared" si="34"/>
        <v>984410</v>
      </c>
      <c r="W937" s="187">
        <f t="shared" si="35"/>
        <v>984410</v>
      </c>
    </row>
    <row r="938" spans="1:23">
      <c r="A938" s="216" t="s">
        <v>3572</v>
      </c>
      <c r="B938" s="218">
        <v>1389.364</v>
      </c>
      <c r="C938" s="218">
        <v>1342.1659999999999</v>
      </c>
      <c r="D938" s="218">
        <v>1341.55</v>
      </c>
      <c r="E938" s="218">
        <v>1330.385</v>
      </c>
      <c r="F938" s="218">
        <v>245.23840000000001</v>
      </c>
      <c r="G938" s="218">
        <v>247.04069999999999</v>
      </c>
      <c r="H938" s="218">
        <v>243.7919</v>
      </c>
      <c r="I938" s="218">
        <v>253.2629</v>
      </c>
      <c r="J938" s="246">
        <v>235161870</v>
      </c>
      <c r="K938" s="246">
        <v>257760739</v>
      </c>
      <c r="L938" s="218">
        <v>2133.1759999999999</v>
      </c>
      <c r="M938" s="246">
        <v>338277</v>
      </c>
      <c r="N938" s="251">
        <v>156.72749999999999</v>
      </c>
      <c r="O938" s="251">
        <v>154.1917</v>
      </c>
      <c r="P938" s="251">
        <v>154.06909999999999</v>
      </c>
      <c r="Q938" s="251">
        <v>150.41380000000001</v>
      </c>
      <c r="R938" s="254">
        <v>1.06</v>
      </c>
      <c r="S938" s="214">
        <v>359331</v>
      </c>
      <c r="T938" s="214">
        <v>3441342</v>
      </c>
      <c r="U938" s="214">
        <v>0</v>
      </c>
      <c r="V938" s="187">
        <f t="shared" si="34"/>
        <v>3441342</v>
      </c>
      <c r="W938" s="187">
        <f t="shared" si="35"/>
        <v>3800673</v>
      </c>
    </row>
    <row r="939" spans="1:23">
      <c r="A939" s="216" t="s">
        <v>3574</v>
      </c>
      <c r="B939" s="218">
        <v>1022.129</v>
      </c>
      <c r="C939" s="218">
        <v>975.04399999999998</v>
      </c>
      <c r="D939" s="218">
        <v>945.59799999999996</v>
      </c>
      <c r="E939" s="218">
        <v>937.66899999999998</v>
      </c>
      <c r="F939" s="218">
        <v>151.15209999999999</v>
      </c>
      <c r="G939" s="218">
        <v>149.52950000000001</v>
      </c>
      <c r="H939" s="218">
        <v>152.68049999999999</v>
      </c>
      <c r="I939" s="218">
        <v>152.55969999999999</v>
      </c>
      <c r="J939" s="246">
        <v>174588787</v>
      </c>
      <c r="K939" s="246">
        <v>191854588</v>
      </c>
      <c r="L939" s="218">
        <v>1382.405</v>
      </c>
      <c r="M939" s="187">
        <v>0</v>
      </c>
      <c r="N939" s="251">
        <v>105.28700000000001</v>
      </c>
      <c r="O939" s="251">
        <v>104.6889</v>
      </c>
      <c r="P939" s="251">
        <v>101.5154</v>
      </c>
      <c r="Q939" s="251">
        <v>99.773099999999999</v>
      </c>
      <c r="R939" s="254">
        <v>1.04</v>
      </c>
      <c r="S939" s="214">
        <v>0</v>
      </c>
      <c r="T939" s="214">
        <v>2496873</v>
      </c>
      <c r="U939" s="214">
        <v>0</v>
      </c>
      <c r="V939" s="187">
        <f t="shared" si="34"/>
        <v>2496873</v>
      </c>
      <c r="W939" s="187">
        <f t="shared" si="35"/>
        <v>2496873</v>
      </c>
    </row>
    <row r="940" spans="1:23">
      <c r="A940" s="216" t="s">
        <v>4072</v>
      </c>
      <c r="B940" s="218">
        <v>401.98899999999998</v>
      </c>
      <c r="C940" s="218">
        <v>401.97699999999998</v>
      </c>
      <c r="D940" s="218">
        <v>463.87</v>
      </c>
      <c r="E940" s="218">
        <v>451.02100000000002</v>
      </c>
      <c r="F940" s="218">
        <v>77.366399999999999</v>
      </c>
      <c r="G940" s="218">
        <v>77.048299999999998</v>
      </c>
      <c r="H940" s="218">
        <v>79.759399999999999</v>
      </c>
      <c r="I940" s="218">
        <v>82.6845</v>
      </c>
      <c r="J940" s="246">
        <v>37515698</v>
      </c>
      <c r="K940" s="246">
        <v>42702874</v>
      </c>
      <c r="L940" s="218">
        <v>734.16</v>
      </c>
      <c r="M940" s="187">
        <v>0</v>
      </c>
      <c r="N940" s="251">
        <v>50.570300000000003</v>
      </c>
      <c r="O940" s="251">
        <v>51.7851</v>
      </c>
      <c r="P940" s="251">
        <v>52.129100000000001</v>
      </c>
      <c r="Q940" s="251">
        <v>54.884399999999999</v>
      </c>
      <c r="R940" s="254">
        <v>1.04</v>
      </c>
      <c r="S940" s="214">
        <v>177296</v>
      </c>
      <c r="T940" s="214">
        <v>546910</v>
      </c>
      <c r="U940" s="214">
        <v>0</v>
      </c>
      <c r="V940" s="187">
        <f t="shared" si="34"/>
        <v>546910</v>
      </c>
      <c r="W940" s="187">
        <f t="shared" si="35"/>
        <v>724206</v>
      </c>
    </row>
    <row r="941" spans="1:23">
      <c r="A941" s="216" t="s">
        <v>735</v>
      </c>
      <c r="B941" s="218">
        <v>189.506</v>
      </c>
      <c r="C941" s="218">
        <v>204.34800000000001</v>
      </c>
      <c r="D941" s="218">
        <v>198.17699999999999</v>
      </c>
      <c r="E941" s="218">
        <v>192.607</v>
      </c>
      <c r="F941" s="218">
        <v>45.0214</v>
      </c>
      <c r="G941" s="218">
        <v>47.320799999999998</v>
      </c>
      <c r="H941" s="218">
        <v>43.352899999999998</v>
      </c>
      <c r="I941" s="218">
        <v>40.267499999999998</v>
      </c>
      <c r="J941" s="246">
        <v>40301257</v>
      </c>
      <c r="K941" s="246">
        <v>43831547</v>
      </c>
      <c r="L941" s="218">
        <v>348.99799999999999</v>
      </c>
      <c r="M941" s="187">
        <v>0</v>
      </c>
      <c r="N941" s="251">
        <v>28.971900000000002</v>
      </c>
      <c r="O941" s="251">
        <v>27.9999</v>
      </c>
      <c r="P941" s="251">
        <v>24.000299999999999</v>
      </c>
      <c r="Q941" s="251">
        <v>23.386299999999999</v>
      </c>
      <c r="R941" s="254">
        <v>1.04</v>
      </c>
      <c r="S941" s="214">
        <v>20919</v>
      </c>
      <c r="T941" s="214">
        <v>688531</v>
      </c>
      <c r="U941" s="214">
        <v>0</v>
      </c>
      <c r="V941" s="187">
        <f t="shared" si="34"/>
        <v>688531</v>
      </c>
      <c r="W941" s="187">
        <f t="shared" si="35"/>
        <v>709450</v>
      </c>
    </row>
    <row r="942" spans="1:23">
      <c r="A942" s="216" t="s">
        <v>3576</v>
      </c>
      <c r="B942" s="218">
        <v>659.29700000000003</v>
      </c>
      <c r="C942" s="218">
        <v>640.73</v>
      </c>
      <c r="D942" s="218">
        <v>667.94799999999998</v>
      </c>
      <c r="E942" s="218">
        <v>679.47500000000002</v>
      </c>
      <c r="F942" s="218">
        <v>104.5497</v>
      </c>
      <c r="G942" s="218">
        <v>106.44119999999999</v>
      </c>
      <c r="H942" s="218">
        <v>107.316</v>
      </c>
      <c r="I942" s="218">
        <v>106.20480000000001</v>
      </c>
      <c r="J942" s="246">
        <v>107549957</v>
      </c>
      <c r="K942" s="246">
        <v>116179863</v>
      </c>
      <c r="L942" s="218">
        <v>1080.0139999999999</v>
      </c>
      <c r="M942" s="187">
        <v>0</v>
      </c>
      <c r="N942" s="251">
        <v>73.336100000000002</v>
      </c>
      <c r="O942" s="251">
        <v>69.864999999999995</v>
      </c>
      <c r="P942" s="251">
        <v>71.069699999999997</v>
      </c>
      <c r="Q942" s="251">
        <v>70.774000000000001</v>
      </c>
      <c r="R942" s="254">
        <v>1.06</v>
      </c>
      <c r="S942" s="214">
        <v>0</v>
      </c>
      <c r="T942" s="214">
        <v>1492652</v>
      </c>
      <c r="U942" s="214">
        <v>0</v>
      </c>
      <c r="V942" s="187">
        <f t="shared" si="34"/>
        <v>1492652</v>
      </c>
      <c r="W942" s="187">
        <f t="shared" si="35"/>
        <v>1492652</v>
      </c>
    </row>
    <row r="943" spans="1:23">
      <c r="A943" s="216" t="s">
        <v>3577</v>
      </c>
      <c r="B943" s="218">
        <v>2194.0300000000002</v>
      </c>
      <c r="C943" s="218">
        <v>2204.4960000000001</v>
      </c>
      <c r="D943" s="218">
        <v>2160.4569999999999</v>
      </c>
      <c r="E943" s="218">
        <v>2136.1709999999998</v>
      </c>
      <c r="F943" s="218">
        <v>354.4006</v>
      </c>
      <c r="G943" s="218">
        <v>359.13249999999999</v>
      </c>
      <c r="H943" s="218">
        <v>352.21789999999999</v>
      </c>
      <c r="I943" s="218">
        <v>369.31700000000001</v>
      </c>
      <c r="J943" s="246">
        <v>557725024</v>
      </c>
      <c r="K943" s="246">
        <v>595253002</v>
      </c>
      <c r="L943" s="218">
        <v>2937.375</v>
      </c>
      <c r="M943" s="187">
        <v>0</v>
      </c>
      <c r="N943" s="251">
        <v>225.9871</v>
      </c>
      <c r="O943" s="251">
        <v>227.69229999999999</v>
      </c>
      <c r="P943" s="251">
        <v>237.441</v>
      </c>
      <c r="Q943" s="251">
        <v>235.9057</v>
      </c>
      <c r="R943" s="254">
        <v>1.06</v>
      </c>
      <c r="S943" s="214">
        <v>0</v>
      </c>
      <c r="T943" s="214">
        <v>8434569</v>
      </c>
      <c r="U943" s="214">
        <v>0</v>
      </c>
      <c r="V943" s="187">
        <f t="shared" si="34"/>
        <v>8434569</v>
      </c>
      <c r="W943" s="187">
        <f t="shared" si="35"/>
        <v>8434569</v>
      </c>
    </row>
    <row r="944" spans="1:23">
      <c r="A944" s="216" t="s">
        <v>6190</v>
      </c>
      <c r="B944" s="218">
        <v>784.53700000000003</v>
      </c>
      <c r="C944" s="218">
        <v>751.70100000000002</v>
      </c>
      <c r="D944" s="218">
        <v>760.74099999999999</v>
      </c>
      <c r="E944" s="218">
        <v>785.51300000000003</v>
      </c>
      <c r="F944" s="218">
        <v>127.6153</v>
      </c>
      <c r="G944" s="218">
        <v>125.54049999999999</v>
      </c>
      <c r="H944" s="218">
        <v>142.4657</v>
      </c>
      <c r="I944" s="218">
        <v>146.011</v>
      </c>
      <c r="J944" s="246">
        <v>78066592</v>
      </c>
      <c r="K944" s="246">
        <v>88105786</v>
      </c>
      <c r="L944" s="218">
        <v>1263.319</v>
      </c>
      <c r="M944" s="246">
        <v>3684</v>
      </c>
      <c r="N944" s="251">
        <v>76.162000000000006</v>
      </c>
      <c r="O944" s="251">
        <v>80.002200000000002</v>
      </c>
      <c r="P944" s="251">
        <v>89.001300000000001</v>
      </c>
      <c r="Q944" s="251">
        <v>88.718500000000006</v>
      </c>
      <c r="R944" s="254">
        <v>1.05</v>
      </c>
      <c r="S944" s="214">
        <v>64900</v>
      </c>
      <c r="T944" s="214">
        <v>1288836</v>
      </c>
      <c r="U944" s="214">
        <v>0</v>
      </c>
      <c r="V944" s="187">
        <f t="shared" si="34"/>
        <v>1288836</v>
      </c>
      <c r="W944" s="187">
        <f t="shared" si="35"/>
        <v>1353736</v>
      </c>
    </row>
    <row r="945" spans="1:23">
      <c r="A945" s="216" t="s">
        <v>3580</v>
      </c>
      <c r="B945" s="218">
        <v>276.78100000000001</v>
      </c>
      <c r="C945" s="218">
        <v>277.18599999999998</v>
      </c>
      <c r="D945" s="218">
        <v>291.79000000000002</v>
      </c>
      <c r="E945" s="218">
        <v>302.25099999999998</v>
      </c>
      <c r="F945" s="218">
        <v>47.858400000000003</v>
      </c>
      <c r="G945" s="218">
        <v>47.337000000000003</v>
      </c>
      <c r="H945" s="218">
        <v>51.342399999999998</v>
      </c>
      <c r="I945" s="218">
        <v>51.695399999999999</v>
      </c>
      <c r="J945" s="246">
        <v>56945730</v>
      </c>
      <c r="K945" s="246">
        <v>62057031</v>
      </c>
      <c r="L945" s="218">
        <v>553.91800000000001</v>
      </c>
      <c r="M945" s="187">
        <v>0</v>
      </c>
      <c r="N945" s="251">
        <v>31.5002</v>
      </c>
      <c r="O945" s="251">
        <v>32.0002</v>
      </c>
      <c r="P945" s="251">
        <v>33.876600000000003</v>
      </c>
      <c r="Q945" s="251">
        <v>34.2303</v>
      </c>
      <c r="R945" s="254">
        <v>1.06</v>
      </c>
      <c r="S945" s="214">
        <v>0</v>
      </c>
      <c r="T945" s="214">
        <v>820974</v>
      </c>
      <c r="U945" s="214">
        <v>0</v>
      </c>
      <c r="V945" s="187">
        <f t="shared" si="34"/>
        <v>820974</v>
      </c>
      <c r="W945" s="187">
        <f t="shared" si="35"/>
        <v>820974</v>
      </c>
    </row>
    <row r="946" spans="1:23">
      <c r="A946" s="216" t="s">
        <v>1862</v>
      </c>
      <c r="B946" s="218">
        <v>901.37300000000005</v>
      </c>
      <c r="C946" s="218">
        <v>897.476</v>
      </c>
      <c r="D946" s="218">
        <v>900.81399999999996</v>
      </c>
      <c r="E946" s="218">
        <v>921.55499999999995</v>
      </c>
      <c r="F946" s="218">
        <v>151.7362</v>
      </c>
      <c r="G946" s="218">
        <v>157.25700000000001</v>
      </c>
      <c r="H946" s="218">
        <v>164.7491</v>
      </c>
      <c r="I946" s="218">
        <v>165.32599999999999</v>
      </c>
      <c r="J946" s="246">
        <v>223670188</v>
      </c>
      <c r="K946" s="246">
        <v>239252254</v>
      </c>
      <c r="L946" s="218">
        <v>1408.174</v>
      </c>
      <c r="M946" s="246">
        <v>100647</v>
      </c>
      <c r="N946" s="251">
        <v>95.994500000000002</v>
      </c>
      <c r="O946" s="251">
        <v>97.902699999999996</v>
      </c>
      <c r="P946" s="251">
        <v>102.63639999999999</v>
      </c>
      <c r="Q946" s="251">
        <v>101.7766</v>
      </c>
      <c r="R946" s="254">
        <v>1.06</v>
      </c>
      <c r="S946" s="214">
        <v>117247</v>
      </c>
      <c r="T946" s="214">
        <v>3362116</v>
      </c>
      <c r="U946" s="214">
        <v>0</v>
      </c>
      <c r="V946" s="187">
        <f t="shared" si="34"/>
        <v>3362116</v>
      </c>
      <c r="W946" s="187">
        <f t="shared" si="35"/>
        <v>3479363</v>
      </c>
    </row>
    <row r="947" spans="1:23">
      <c r="A947" s="216" t="s">
        <v>3582</v>
      </c>
      <c r="B947" s="218">
        <v>847.98900000000003</v>
      </c>
      <c r="C947" s="218">
        <v>800.34299999999996</v>
      </c>
      <c r="D947" s="218">
        <v>802.60799999999995</v>
      </c>
      <c r="E947" s="218">
        <v>809.923</v>
      </c>
      <c r="F947" s="218">
        <v>106.23180000000001</v>
      </c>
      <c r="G947" s="218">
        <v>115.1305</v>
      </c>
      <c r="H947" s="218">
        <v>112.792</v>
      </c>
      <c r="I947" s="218">
        <v>114.60890000000001</v>
      </c>
      <c r="J947" s="246">
        <v>61679142</v>
      </c>
      <c r="K947" s="246">
        <v>70862867</v>
      </c>
      <c r="L947" s="218">
        <v>1214.039</v>
      </c>
      <c r="M947" s="187">
        <v>0</v>
      </c>
      <c r="N947" s="251">
        <v>75.644000000000005</v>
      </c>
      <c r="O947" s="251">
        <v>81.489400000000003</v>
      </c>
      <c r="P947" s="251">
        <v>79.617400000000004</v>
      </c>
      <c r="Q947" s="251">
        <v>80.9482</v>
      </c>
      <c r="R947" s="254">
        <v>1.06</v>
      </c>
      <c r="S947" s="214">
        <v>5749</v>
      </c>
      <c r="T947" s="214">
        <v>969877</v>
      </c>
      <c r="U947" s="214">
        <v>0</v>
      </c>
      <c r="V947" s="187">
        <f t="shared" si="34"/>
        <v>969877</v>
      </c>
      <c r="W947" s="187">
        <f t="shared" si="35"/>
        <v>975626</v>
      </c>
    </row>
    <row r="948" spans="1:23">
      <c r="A948" s="216" t="s">
        <v>3584</v>
      </c>
      <c r="B948" s="218">
        <v>636.35400000000004</v>
      </c>
      <c r="C948" s="218">
        <v>637.54700000000003</v>
      </c>
      <c r="D948" s="218">
        <v>649.45699999999999</v>
      </c>
      <c r="E948" s="218">
        <v>684.88699999999994</v>
      </c>
      <c r="F948" s="218">
        <v>101.6957</v>
      </c>
      <c r="G948" s="218">
        <v>104.58759999999999</v>
      </c>
      <c r="H948" s="218">
        <v>106.2594</v>
      </c>
      <c r="I948" s="218">
        <v>106.239</v>
      </c>
      <c r="J948" s="246">
        <v>127694458</v>
      </c>
      <c r="K948" s="246">
        <v>134895881</v>
      </c>
      <c r="L948" s="218">
        <v>1053.298</v>
      </c>
      <c r="M948" s="246">
        <v>131406</v>
      </c>
      <c r="N948" s="251">
        <v>68.399900000000002</v>
      </c>
      <c r="O948" s="251">
        <v>70.008700000000005</v>
      </c>
      <c r="P948" s="251">
        <v>69.751499999999993</v>
      </c>
      <c r="Q948" s="251">
        <v>70.385800000000003</v>
      </c>
      <c r="R948" s="254">
        <v>1.06</v>
      </c>
      <c r="S948" s="214">
        <v>145939</v>
      </c>
      <c r="T948" s="214">
        <v>1882695</v>
      </c>
      <c r="U948" s="214">
        <v>0</v>
      </c>
      <c r="V948" s="187">
        <f t="shared" si="34"/>
        <v>1882695</v>
      </c>
      <c r="W948" s="187">
        <f t="shared" si="35"/>
        <v>2028634</v>
      </c>
    </row>
    <row r="949" spans="1:23">
      <c r="A949" s="216" t="s">
        <v>3586</v>
      </c>
      <c r="B949" s="218">
        <v>545.64300000000003</v>
      </c>
      <c r="C949" s="218">
        <v>489.74299999999999</v>
      </c>
      <c r="D949" s="218">
        <v>474.95299999999997</v>
      </c>
      <c r="E949" s="218">
        <v>461.39800000000002</v>
      </c>
      <c r="F949" s="218">
        <v>109.2184</v>
      </c>
      <c r="G949" s="218">
        <v>104.85039999999999</v>
      </c>
      <c r="H949" s="218">
        <v>102.85039999999999</v>
      </c>
      <c r="I949" s="218">
        <v>97.674000000000007</v>
      </c>
      <c r="J949" s="246">
        <v>520011800</v>
      </c>
      <c r="K949" s="246">
        <v>525012902</v>
      </c>
      <c r="L949" s="218">
        <v>919.36</v>
      </c>
      <c r="M949" s="187">
        <v>0</v>
      </c>
      <c r="N949" s="251">
        <v>68.217699999999994</v>
      </c>
      <c r="O949" s="251">
        <v>69.602099999999993</v>
      </c>
      <c r="P949" s="251">
        <v>67.781599999999997</v>
      </c>
      <c r="Q949" s="251">
        <v>62.521799999999999</v>
      </c>
      <c r="R949" s="254">
        <v>1.0900000000000001</v>
      </c>
      <c r="S949" s="214">
        <v>0</v>
      </c>
      <c r="T949" s="214">
        <v>9822365</v>
      </c>
      <c r="U949" s="214">
        <v>0</v>
      </c>
      <c r="V949" s="187">
        <f t="shared" si="34"/>
        <v>9822365</v>
      </c>
      <c r="W949" s="187">
        <f t="shared" si="35"/>
        <v>9822365</v>
      </c>
    </row>
    <row r="950" spans="1:23">
      <c r="A950" s="216" t="s">
        <v>3588</v>
      </c>
      <c r="B950" s="218">
        <v>290.488</v>
      </c>
      <c r="C950" s="218">
        <v>266.49900000000002</v>
      </c>
      <c r="D950" s="218">
        <v>258.45100000000002</v>
      </c>
      <c r="E950" s="218">
        <v>245.38900000000001</v>
      </c>
      <c r="F950" s="218">
        <v>66.323800000000006</v>
      </c>
      <c r="G950" s="218">
        <v>66.823800000000006</v>
      </c>
      <c r="H950" s="218">
        <v>65.6661</v>
      </c>
      <c r="I950" s="218">
        <v>57.663200000000003</v>
      </c>
      <c r="J950" s="246">
        <v>353858646</v>
      </c>
      <c r="K950" s="246">
        <v>356301396</v>
      </c>
      <c r="L950" s="218">
        <v>483.84300000000002</v>
      </c>
      <c r="M950" s="187">
        <v>0</v>
      </c>
      <c r="N950" s="251">
        <v>40.524900000000002</v>
      </c>
      <c r="O950" s="251">
        <v>40.901899999999998</v>
      </c>
      <c r="P950" s="251">
        <v>39.1648</v>
      </c>
      <c r="Q950" s="251">
        <v>34.5655</v>
      </c>
      <c r="R950" s="254">
        <v>1.0900000000000001</v>
      </c>
      <c r="S950" s="214">
        <v>0</v>
      </c>
      <c r="T950" s="214">
        <v>5508545</v>
      </c>
      <c r="U950" s="214">
        <v>0</v>
      </c>
      <c r="V950" s="187">
        <f t="shared" si="34"/>
        <v>5508545</v>
      </c>
      <c r="W950" s="187">
        <f t="shared" si="35"/>
        <v>5508545</v>
      </c>
    </row>
    <row r="951" spans="1:23">
      <c r="A951" s="216" t="s">
        <v>6036</v>
      </c>
      <c r="B951" s="218">
        <v>223.86699999999999</v>
      </c>
      <c r="C951" s="218">
        <v>207.035</v>
      </c>
      <c r="D951" s="218">
        <v>206.35</v>
      </c>
      <c r="E951" s="218">
        <v>205.96</v>
      </c>
      <c r="F951" s="218">
        <v>38.794699999999999</v>
      </c>
      <c r="G951" s="218">
        <v>39.094700000000003</v>
      </c>
      <c r="H951" s="218">
        <v>36.700000000000003</v>
      </c>
      <c r="I951" s="218">
        <v>35.288800000000002</v>
      </c>
      <c r="J951" s="246">
        <v>28659708</v>
      </c>
      <c r="K951" s="246">
        <v>30468396</v>
      </c>
      <c r="L951" s="218">
        <v>341.48</v>
      </c>
      <c r="M951" s="187">
        <v>0</v>
      </c>
      <c r="N951" s="251">
        <v>23.4953</v>
      </c>
      <c r="O951" s="251">
        <v>23.995699999999999</v>
      </c>
      <c r="P951" s="251">
        <v>23.999500000000001</v>
      </c>
      <c r="Q951" s="251">
        <v>21.2241</v>
      </c>
      <c r="R951" s="254">
        <v>1.08</v>
      </c>
      <c r="S951" s="214">
        <v>19258</v>
      </c>
      <c r="T951" s="214">
        <v>357663</v>
      </c>
      <c r="U951" s="214">
        <v>0</v>
      </c>
      <c r="V951" s="187">
        <f t="shared" si="34"/>
        <v>357663</v>
      </c>
      <c r="W951" s="187">
        <f t="shared" si="35"/>
        <v>376921</v>
      </c>
    </row>
    <row r="952" spans="1:23">
      <c r="A952" s="216" t="s">
        <v>2472</v>
      </c>
      <c r="B952" s="218">
        <v>488.9</v>
      </c>
      <c r="C952" s="218">
        <v>484.61700000000002</v>
      </c>
      <c r="D952" s="218">
        <v>501.43799999999999</v>
      </c>
      <c r="E952" s="218">
        <v>508.30799999999999</v>
      </c>
      <c r="F952" s="218">
        <v>95.4816</v>
      </c>
      <c r="G952" s="218">
        <v>94.291700000000006</v>
      </c>
      <c r="H952" s="218">
        <v>95.091300000000004</v>
      </c>
      <c r="I952" s="218">
        <v>92.077699999999993</v>
      </c>
      <c r="J952" s="246">
        <v>85987502</v>
      </c>
      <c r="K952" s="246">
        <v>91372039</v>
      </c>
      <c r="L952" s="218">
        <v>1017.314</v>
      </c>
      <c r="M952" s="187">
        <v>0</v>
      </c>
      <c r="N952" s="251">
        <v>64.991299999999995</v>
      </c>
      <c r="O952" s="251">
        <v>61.511299999999999</v>
      </c>
      <c r="P952" s="251">
        <v>61.294199999999996</v>
      </c>
      <c r="Q952" s="251">
        <v>57.663200000000003</v>
      </c>
      <c r="R952" s="254">
        <v>1.08</v>
      </c>
      <c r="S952" s="214">
        <v>63396</v>
      </c>
      <c r="T952" s="214">
        <v>1025154</v>
      </c>
      <c r="U952" s="214">
        <v>0</v>
      </c>
      <c r="V952" s="187">
        <f t="shared" si="34"/>
        <v>1025154</v>
      </c>
      <c r="W952" s="187">
        <f t="shared" si="35"/>
        <v>1088550</v>
      </c>
    </row>
    <row r="953" spans="1:23">
      <c r="A953" s="216" t="s">
        <v>2418</v>
      </c>
      <c r="B953" s="218">
        <v>4891.2420000000002</v>
      </c>
      <c r="C953" s="218">
        <v>4791.5159999999996</v>
      </c>
      <c r="D953" s="218">
        <v>4738.8249999999998</v>
      </c>
      <c r="E953" s="218">
        <v>4731.1819999999998</v>
      </c>
      <c r="F953" s="218">
        <v>847.87860000000001</v>
      </c>
      <c r="G953" s="218">
        <v>853.59069999999997</v>
      </c>
      <c r="H953" s="218">
        <v>814.57659999999998</v>
      </c>
      <c r="I953" s="218">
        <v>795.44060000000002</v>
      </c>
      <c r="J953" s="246">
        <v>473425118</v>
      </c>
      <c r="K953" s="246">
        <v>515769617</v>
      </c>
      <c r="L953" s="218">
        <v>6493.2389999999996</v>
      </c>
      <c r="M953" s="246">
        <v>156242</v>
      </c>
      <c r="N953" s="251">
        <v>516.5761</v>
      </c>
      <c r="O953" s="251">
        <v>498.67020000000002</v>
      </c>
      <c r="P953" s="251">
        <v>475.81150000000002</v>
      </c>
      <c r="Q953" s="251">
        <v>470.88560000000001</v>
      </c>
      <c r="R953" s="254">
        <v>1.1200000000000001</v>
      </c>
      <c r="S953" s="214">
        <v>876407</v>
      </c>
      <c r="T953" s="214">
        <v>7062788</v>
      </c>
      <c r="U953" s="214">
        <v>0</v>
      </c>
      <c r="V953" s="187">
        <f t="shared" si="34"/>
        <v>7062788</v>
      </c>
      <c r="W953" s="187">
        <f t="shared" si="35"/>
        <v>7939195</v>
      </c>
    </row>
    <row r="954" spans="1:23">
      <c r="A954" s="216" t="s">
        <v>3590</v>
      </c>
      <c r="B954" s="218">
        <v>208.78200000000001</v>
      </c>
      <c r="C954" s="218">
        <v>196.44499999999999</v>
      </c>
      <c r="D954" s="218">
        <v>195.69200000000001</v>
      </c>
      <c r="E954" s="218">
        <v>196.34</v>
      </c>
      <c r="F954" s="218">
        <v>36.701799999999999</v>
      </c>
      <c r="G954" s="218">
        <v>35.738399999999999</v>
      </c>
      <c r="H954" s="218">
        <v>37.7684</v>
      </c>
      <c r="I954" s="218">
        <v>36.2286</v>
      </c>
      <c r="J954" s="246">
        <v>81752060</v>
      </c>
      <c r="K954" s="246">
        <v>85708250</v>
      </c>
      <c r="L954" s="218">
        <v>400.29599999999999</v>
      </c>
      <c r="M954" s="187">
        <v>0</v>
      </c>
      <c r="N954" s="251">
        <v>22.971800000000002</v>
      </c>
      <c r="O954" s="251">
        <v>23.5398</v>
      </c>
      <c r="P954" s="251">
        <v>23.330400000000001</v>
      </c>
      <c r="Q954" s="251">
        <v>22.0002</v>
      </c>
      <c r="R954" s="254">
        <v>1.07</v>
      </c>
      <c r="S954" s="214">
        <v>0</v>
      </c>
      <c r="T954" s="214">
        <v>1111514</v>
      </c>
      <c r="U954" s="214">
        <v>0</v>
      </c>
      <c r="V954" s="187">
        <f t="shared" si="34"/>
        <v>1111514</v>
      </c>
      <c r="W954" s="187">
        <f t="shared" si="35"/>
        <v>1111514</v>
      </c>
    </row>
    <row r="955" spans="1:23">
      <c r="A955" s="216" t="s">
        <v>2389</v>
      </c>
      <c r="B955" s="218">
        <v>9320.6080000000002</v>
      </c>
      <c r="C955" s="218">
        <v>9173.4740000000002</v>
      </c>
      <c r="D955" s="218">
        <v>9409.0930000000008</v>
      </c>
      <c r="E955" s="218">
        <v>9490.0349999999999</v>
      </c>
      <c r="F955" s="218">
        <v>1320.1177</v>
      </c>
      <c r="G955" s="218">
        <v>1295.3308</v>
      </c>
      <c r="H955" s="218">
        <v>1196.5500999999999</v>
      </c>
      <c r="I955" s="218">
        <v>1257.4272000000001</v>
      </c>
      <c r="J955" s="246">
        <v>762528836</v>
      </c>
      <c r="K955" s="246">
        <v>832948839</v>
      </c>
      <c r="L955" s="218">
        <v>12948.665999999999</v>
      </c>
      <c r="M955" s="187">
        <v>0</v>
      </c>
      <c r="N955" s="251">
        <v>745.86069999999995</v>
      </c>
      <c r="O955" s="251">
        <v>774.7251</v>
      </c>
      <c r="P955" s="251">
        <v>659.19989999999996</v>
      </c>
      <c r="Q955" s="251">
        <v>703.4579</v>
      </c>
      <c r="R955" s="254">
        <v>1.1299999999999999</v>
      </c>
      <c r="S955" s="214">
        <v>459575</v>
      </c>
      <c r="T955" s="214">
        <v>10563827</v>
      </c>
      <c r="U955" s="214">
        <v>180360</v>
      </c>
      <c r="V955" s="187">
        <f t="shared" si="34"/>
        <v>10744187</v>
      </c>
      <c r="W955" s="187">
        <f t="shared" si="35"/>
        <v>11203762</v>
      </c>
    </row>
    <row r="956" spans="1:23">
      <c r="A956" s="216" t="s">
        <v>3594</v>
      </c>
      <c r="B956" s="218">
        <v>148.24600000000001</v>
      </c>
      <c r="C956" s="218">
        <v>159.893</v>
      </c>
      <c r="D956" s="218">
        <v>155.06399999999999</v>
      </c>
      <c r="E956" s="218">
        <v>151.96700000000001</v>
      </c>
      <c r="F956" s="218">
        <v>29.791799999999999</v>
      </c>
      <c r="G956" s="218">
        <v>29.561800000000002</v>
      </c>
      <c r="H956" s="218">
        <v>29.834399999999999</v>
      </c>
      <c r="I956" s="218">
        <v>31.866499999999998</v>
      </c>
      <c r="J956" s="246">
        <v>114410710</v>
      </c>
      <c r="K956" s="246">
        <v>115794386</v>
      </c>
      <c r="L956" s="218">
        <v>288.92500000000001</v>
      </c>
      <c r="M956" s="187">
        <v>0</v>
      </c>
      <c r="N956" s="251">
        <v>17.584599999999998</v>
      </c>
      <c r="O956" s="251">
        <v>19.727399999999999</v>
      </c>
      <c r="P956" s="251">
        <v>19.6082</v>
      </c>
      <c r="Q956" s="251">
        <v>19.131799999999998</v>
      </c>
      <c r="R956" s="254">
        <v>1.08</v>
      </c>
      <c r="S956" s="214">
        <v>208325</v>
      </c>
      <c r="T956" s="214">
        <v>1777594</v>
      </c>
      <c r="U956" s="214">
        <v>0</v>
      </c>
      <c r="V956" s="187">
        <f t="shared" si="34"/>
        <v>1777594</v>
      </c>
      <c r="W956" s="187">
        <f t="shared" si="35"/>
        <v>1985919</v>
      </c>
    </row>
    <row r="957" spans="1:23">
      <c r="A957" s="216" t="s">
        <v>6241</v>
      </c>
      <c r="B957" s="218">
        <v>1638.6759999999999</v>
      </c>
      <c r="C957" s="218">
        <v>1624.4390000000001</v>
      </c>
      <c r="D957" s="218">
        <v>1642.807</v>
      </c>
      <c r="E957" s="218">
        <v>1639.9459999999999</v>
      </c>
      <c r="F957" s="218">
        <v>217.33459999999999</v>
      </c>
      <c r="G957" s="218">
        <v>229.70679999999999</v>
      </c>
      <c r="H957" s="218">
        <v>223.84469999999999</v>
      </c>
      <c r="I957" s="218">
        <v>223.64150000000001</v>
      </c>
      <c r="J957" s="246">
        <v>338921234</v>
      </c>
      <c r="K957" s="246">
        <v>366345104</v>
      </c>
      <c r="L957" s="218">
        <v>2179.297</v>
      </c>
      <c r="M957" s="246">
        <v>532031</v>
      </c>
      <c r="N957" s="251">
        <v>144.2604</v>
      </c>
      <c r="O957" s="251">
        <v>144.09469999999999</v>
      </c>
      <c r="P957" s="251">
        <v>148.4008</v>
      </c>
      <c r="Q957" s="251">
        <v>143.27209999999999</v>
      </c>
      <c r="R957" s="254">
        <v>1.04</v>
      </c>
      <c r="S957" s="214">
        <v>545391</v>
      </c>
      <c r="T957" s="214">
        <v>4960442</v>
      </c>
      <c r="U957" s="214">
        <v>0</v>
      </c>
      <c r="V957" s="187">
        <f t="shared" si="34"/>
        <v>4960442</v>
      </c>
      <c r="W957" s="187">
        <f t="shared" si="35"/>
        <v>5505833</v>
      </c>
    </row>
    <row r="958" spans="1:23">
      <c r="A958" s="216" t="s">
        <v>6243</v>
      </c>
      <c r="B958" s="218">
        <v>840.81</v>
      </c>
      <c r="C958" s="218">
        <v>827.57600000000002</v>
      </c>
      <c r="D958" s="218">
        <v>830.346</v>
      </c>
      <c r="E958" s="218">
        <v>852.86699999999996</v>
      </c>
      <c r="F958" s="218">
        <v>114.57340000000001</v>
      </c>
      <c r="G958" s="218">
        <v>116.7957</v>
      </c>
      <c r="H958" s="218">
        <v>117.9841</v>
      </c>
      <c r="I958" s="218">
        <v>150.46</v>
      </c>
      <c r="J958" s="246">
        <v>123471736</v>
      </c>
      <c r="K958" s="246">
        <v>135286056</v>
      </c>
      <c r="L958" s="218">
        <v>1302.683</v>
      </c>
      <c r="M958" s="246">
        <v>123230</v>
      </c>
      <c r="N958" s="251">
        <v>78.800899999999999</v>
      </c>
      <c r="O958" s="251">
        <v>75.915999999999997</v>
      </c>
      <c r="P958" s="251">
        <v>77.162300000000002</v>
      </c>
      <c r="Q958" s="251">
        <v>95.966099999999997</v>
      </c>
      <c r="R958" s="254">
        <v>1.03</v>
      </c>
      <c r="S958" s="214">
        <v>174416</v>
      </c>
      <c r="T958" s="214">
        <v>1571042</v>
      </c>
      <c r="U958" s="214">
        <v>0</v>
      </c>
      <c r="V958" s="187">
        <f t="shared" si="34"/>
        <v>1571042</v>
      </c>
      <c r="W958" s="187">
        <f t="shared" si="35"/>
        <v>1745458</v>
      </c>
    </row>
    <row r="959" spans="1:23">
      <c r="A959" s="216" t="s">
        <v>1832</v>
      </c>
      <c r="B959" s="218">
        <v>1118.133</v>
      </c>
      <c r="C959" s="218">
        <v>1107.586</v>
      </c>
      <c r="D959" s="218">
        <v>1109.866</v>
      </c>
      <c r="E959" s="218">
        <v>1133.9739999999999</v>
      </c>
      <c r="F959" s="218">
        <v>167.2373</v>
      </c>
      <c r="G959" s="218">
        <v>172.69749999999999</v>
      </c>
      <c r="H959" s="218">
        <v>173.50479999999999</v>
      </c>
      <c r="I959" s="218">
        <v>144.32849999999999</v>
      </c>
      <c r="J959" s="246">
        <v>139172499</v>
      </c>
      <c r="K959" s="246">
        <v>153745408</v>
      </c>
      <c r="L959" s="218">
        <v>1622.4939999999999</v>
      </c>
      <c r="M959" s="246">
        <v>54811</v>
      </c>
      <c r="N959" s="251">
        <v>111.2311</v>
      </c>
      <c r="O959" s="251">
        <v>116.3068</v>
      </c>
      <c r="P959" s="251">
        <v>117.6302</v>
      </c>
      <c r="Q959" s="251">
        <v>99.860100000000003</v>
      </c>
      <c r="R959" s="254">
        <v>1.03</v>
      </c>
      <c r="S959" s="214">
        <v>322962</v>
      </c>
      <c r="T959" s="214">
        <v>1685731</v>
      </c>
      <c r="U959" s="214">
        <v>0</v>
      </c>
      <c r="V959" s="187">
        <f t="shared" si="34"/>
        <v>1685731</v>
      </c>
      <c r="W959" s="187">
        <f t="shared" si="35"/>
        <v>2008693</v>
      </c>
    </row>
    <row r="960" spans="1:23">
      <c r="A960" s="216" t="s">
        <v>6164</v>
      </c>
      <c r="B960" s="218">
        <v>384.85</v>
      </c>
      <c r="C960" s="218">
        <v>418.87</v>
      </c>
      <c r="D960" s="218">
        <v>423.089</v>
      </c>
      <c r="E960" s="218">
        <v>429.76900000000001</v>
      </c>
      <c r="F960" s="218">
        <v>65.872500000000002</v>
      </c>
      <c r="G960" s="218">
        <v>69.866200000000006</v>
      </c>
      <c r="H960" s="218">
        <v>70.587299999999999</v>
      </c>
      <c r="I960" s="218">
        <v>76.218400000000003</v>
      </c>
      <c r="J960" s="246">
        <v>49799455</v>
      </c>
      <c r="K960" s="246">
        <v>54108165</v>
      </c>
      <c r="L960" s="218">
        <v>741.82600000000002</v>
      </c>
      <c r="M960" s="246">
        <v>22657</v>
      </c>
      <c r="N960" s="251">
        <v>43.749600000000001</v>
      </c>
      <c r="O960" s="251">
        <v>45.292299999999997</v>
      </c>
      <c r="P960" s="251">
        <v>43.825200000000002</v>
      </c>
      <c r="Q960" s="251">
        <v>50.452500000000001</v>
      </c>
      <c r="R960" s="254">
        <v>1.03</v>
      </c>
      <c r="S960" s="214">
        <v>58133</v>
      </c>
      <c r="T960" s="214">
        <v>737501</v>
      </c>
      <c r="U960" s="214">
        <v>0</v>
      </c>
      <c r="V960" s="187">
        <f t="shared" si="34"/>
        <v>737501</v>
      </c>
      <c r="W960" s="187">
        <f t="shared" si="35"/>
        <v>795634</v>
      </c>
    </row>
    <row r="961" spans="1:23">
      <c r="A961" s="216" t="s">
        <v>6244</v>
      </c>
      <c r="B961" s="218">
        <v>1916.248</v>
      </c>
      <c r="C961" s="218">
        <v>1933.02</v>
      </c>
      <c r="D961" s="218">
        <v>1969.498</v>
      </c>
      <c r="E961" s="218">
        <v>2025.731</v>
      </c>
      <c r="F961" s="218">
        <v>268.34710000000001</v>
      </c>
      <c r="G961" s="218">
        <v>278.08679999999998</v>
      </c>
      <c r="H961" s="218">
        <v>292.12509999999997</v>
      </c>
      <c r="I961" s="218">
        <v>306.23610000000002</v>
      </c>
      <c r="J961" s="246">
        <v>341735825</v>
      </c>
      <c r="K961" s="246">
        <v>369341014</v>
      </c>
      <c r="L961" s="218">
        <v>2750.5770000000002</v>
      </c>
      <c r="M961" s="246">
        <v>185794</v>
      </c>
      <c r="N961" s="251">
        <v>173.62819999999999</v>
      </c>
      <c r="O961" s="251">
        <v>173.00190000000001</v>
      </c>
      <c r="P961" s="251">
        <v>181.85849999999999</v>
      </c>
      <c r="Q961" s="251">
        <v>189.95050000000001</v>
      </c>
      <c r="R961" s="254">
        <v>1.04</v>
      </c>
      <c r="S961" s="214">
        <v>189555</v>
      </c>
      <c r="T961" s="214">
        <v>4331181</v>
      </c>
      <c r="U961" s="214">
        <v>0</v>
      </c>
      <c r="V961" s="187">
        <f t="shared" si="34"/>
        <v>4331181</v>
      </c>
      <c r="W961" s="187">
        <f t="shared" si="35"/>
        <v>4520736</v>
      </c>
    </row>
    <row r="962" spans="1:23">
      <c r="A962" s="216" t="s">
        <v>6246</v>
      </c>
      <c r="B962" s="218">
        <v>2362.6590000000001</v>
      </c>
      <c r="C962" s="218">
        <v>2392.9769999999999</v>
      </c>
      <c r="D962" s="218">
        <v>2434.3090000000002</v>
      </c>
      <c r="E962" s="218">
        <v>2456.4090000000001</v>
      </c>
      <c r="F962" s="218">
        <v>332.72109999999998</v>
      </c>
      <c r="G962" s="218">
        <v>346.27710000000002</v>
      </c>
      <c r="H962" s="218">
        <v>352.67759999999998</v>
      </c>
      <c r="I962" s="218">
        <v>348.62790000000001</v>
      </c>
      <c r="J962" s="246">
        <v>304328258</v>
      </c>
      <c r="K962" s="246">
        <v>334063638</v>
      </c>
      <c r="L962" s="218">
        <v>3330.5970000000002</v>
      </c>
      <c r="M962" s="246">
        <v>113602</v>
      </c>
      <c r="N962" s="251">
        <v>207.03630000000001</v>
      </c>
      <c r="O962" s="251">
        <v>210.76339999999999</v>
      </c>
      <c r="P962" s="251">
        <v>218.79570000000001</v>
      </c>
      <c r="Q962" s="251">
        <v>215.9974</v>
      </c>
      <c r="R962" s="254">
        <v>1.04</v>
      </c>
      <c r="S962" s="214">
        <v>275706</v>
      </c>
      <c r="T962" s="214">
        <v>4657072</v>
      </c>
      <c r="U962" s="214">
        <v>0</v>
      </c>
      <c r="V962" s="187">
        <f t="shared" si="34"/>
        <v>4657072</v>
      </c>
      <c r="W962" s="187">
        <f t="shared" si="35"/>
        <v>4932778</v>
      </c>
    </row>
    <row r="963" spans="1:23">
      <c r="A963" s="216" t="s">
        <v>1313</v>
      </c>
      <c r="B963" s="218">
        <v>296.077</v>
      </c>
      <c r="C963" s="218">
        <v>318.76499999999999</v>
      </c>
      <c r="D963" s="218">
        <v>346.565</v>
      </c>
      <c r="E963" s="218">
        <v>387.24</v>
      </c>
      <c r="F963" s="218">
        <v>57.575600000000001</v>
      </c>
      <c r="G963" s="218">
        <v>60.586300000000001</v>
      </c>
      <c r="H963" s="218">
        <v>63.131999999999998</v>
      </c>
      <c r="I963" s="218">
        <v>67.314700000000002</v>
      </c>
      <c r="J963" s="246">
        <v>34262202</v>
      </c>
      <c r="K963" s="246">
        <v>37869025</v>
      </c>
      <c r="L963" s="218">
        <v>702.51800000000003</v>
      </c>
      <c r="M963" s="187">
        <v>0</v>
      </c>
      <c r="N963" s="251">
        <v>35.983699999999999</v>
      </c>
      <c r="O963" s="251">
        <v>39.853999999999999</v>
      </c>
      <c r="P963" s="251">
        <v>42.399099999999997</v>
      </c>
      <c r="Q963" s="251">
        <v>44.082500000000003</v>
      </c>
      <c r="R963" s="254">
        <v>1.03</v>
      </c>
      <c r="S963" s="214">
        <v>22246</v>
      </c>
      <c r="T963" s="214">
        <v>483621</v>
      </c>
      <c r="U963" s="214">
        <v>0</v>
      </c>
      <c r="V963" s="187">
        <f t="shared" si="34"/>
        <v>483621</v>
      </c>
      <c r="W963" s="187">
        <f t="shared" si="35"/>
        <v>505867</v>
      </c>
    </row>
    <row r="964" spans="1:23">
      <c r="A964" s="216" t="s">
        <v>955</v>
      </c>
      <c r="B964" s="218">
        <v>943.178</v>
      </c>
      <c r="C964" s="218">
        <v>932.42100000000005</v>
      </c>
      <c r="D964" s="218">
        <v>904.45500000000004</v>
      </c>
      <c r="E964" s="218">
        <v>902.85900000000004</v>
      </c>
      <c r="F964" s="218">
        <v>154.63149999999999</v>
      </c>
      <c r="G964" s="218">
        <v>158.6782</v>
      </c>
      <c r="H964" s="218">
        <v>159.19290000000001</v>
      </c>
      <c r="I964" s="218">
        <v>150.71170000000001</v>
      </c>
      <c r="J964" s="246">
        <v>119395075</v>
      </c>
      <c r="K964" s="246">
        <v>125949255</v>
      </c>
      <c r="L964" s="218">
        <v>1480.829</v>
      </c>
      <c r="M964" s="246">
        <v>1467</v>
      </c>
      <c r="N964" s="251">
        <v>100.4179</v>
      </c>
      <c r="O964" s="251">
        <v>101.95189999999999</v>
      </c>
      <c r="P964" s="251">
        <v>104.3103</v>
      </c>
      <c r="Q964" s="251">
        <v>97.669300000000007</v>
      </c>
      <c r="R964" s="254">
        <v>1.07</v>
      </c>
      <c r="S964" s="214">
        <v>179209</v>
      </c>
      <c r="T964" s="214">
        <v>1690362</v>
      </c>
      <c r="U964" s="214">
        <v>0</v>
      </c>
      <c r="V964" s="187">
        <f t="shared" si="34"/>
        <v>1690362</v>
      </c>
      <c r="W964" s="187">
        <f t="shared" si="35"/>
        <v>1869571</v>
      </c>
    </row>
    <row r="965" spans="1:23">
      <c r="A965" s="216" t="s">
        <v>3552</v>
      </c>
      <c r="B965" s="218">
        <v>13573.964</v>
      </c>
      <c r="C965" s="218">
        <v>13297.065000000001</v>
      </c>
      <c r="D965" s="218">
        <v>13214.687</v>
      </c>
      <c r="E965" s="218">
        <v>13266.386</v>
      </c>
      <c r="F965" s="218">
        <v>2255.0266999999999</v>
      </c>
      <c r="G965" s="218">
        <v>2264.8038999999999</v>
      </c>
      <c r="H965" s="218">
        <v>2260.8951000000002</v>
      </c>
      <c r="I965" s="218">
        <v>2174.9324999999999</v>
      </c>
      <c r="J965" s="246">
        <v>2990989967</v>
      </c>
      <c r="K965" s="246">
        <v>3135593490</v>
      </c>
      <c r="L965" s="218">
        <v>17236.866000000002</v>
      </c>
      <c r="M965" s="246">
        <v>1707878</v>
      </c>
      <c r="N965" s="251">
        <v>1328.6871000000001</v>
      </c>
      <c r="O965" s="251">
        <v>1372.2184999999999</v>
      </c>
      <c r="P965" s="251">
        <v>1356.3259</v>
      </c>
      <c r="Q965" s="251">
        <v>1297.3034</v>
      </c>
      <c r="R965" s="254">
        <v>1.1000000000000001</v>
      </c>
      <c r="S965" s="214">
        <v>2934490</v>
      </c>
      <c r="T965" s="214">
        <v>43749912</v>
      </c>
      <c r="U965" s="214">
        <v>0</v>
      </c>
      <c r="V965" s="187">
        <f t="shared" si="34"/>
        <v>43749912</v>
      </c>
      <c r="W965" s="187">
        <f t="shared" si="35"/>
        <v>46684402</v>
      </c>
    </row>
    <row r="966" spans="1:23">
      <c r="A966" s="216" t="s">
        <v>6248</v>
      </c>
      <c r="B966" s="218">
        <v>97.263999999999996</v>
      </c>
      <c r="C966" s="218">
        <v>91.066000000000003</v>
      </c>
      <c r="D966" s="218">
        <v>94.641000000000005</v>
      </c>
      <c r="E966" s="218">
        <v>92.019000000000005</v>
      </c>
      <c r="F966" s="218">
        <v>11.5</v>
      </c>
      <c r="G966" s="218">
        <v>11.5</v>
      </c>
      <c r="H966" s="218">
        <v>11.888999999999999</v>
      </c>
      <c r="I966" s="218">
        <v>13.4252</v>
      </c>
      <c r="J966" s="246">
        <v>55817253</v>
      </c>
      <c r="K966" s="246">
        <v>59206174</v>
      </c>
      <c r="L966" s="218">
        <v>154.43299999999999</v>
      </c>
      <c r="M966" s="187">
        <v>0</v>
      </c>
      <c r="N966" s="251">
        <v>9</v>
      </c>
      <c r="O966" s="251">
        <v>9.0422999999999991</v>
      </c>
      <c r="P966" s="251">
        <v>9.0454000000000008</v>
      </c>
      <c r="Q966" s="251">
        <v>10.4869</v>
      </c>
      <c r="R966" s="254">
        <v>1.07</v>
      </c>
      <c r="S966" s="214">
        <v>0</v>
      </c>
      <c r="T966" s="214">
        <v>756949</v>
      </c>
      <c r="U966" s="214">
        <v>0</v>
      </c>
      <c r="V966" s="187">
        <f t="shared" si="34"/>
        <v>756949</v>
      </c>
      <c r="W966" s="187">
        <f t="shared" si="35"/>
        <v>756949</v>
      </c>
    </row>
    <row r="967" spans="1:23">
      <c r="A967" s="216" t="s">
        <v>6182</v>
      </c>
      <c r="B967" s="218">
        <v>783.26400000000001</v>
      </c>
      <c r="C967" s="218">
        <v>796.84</v>
      </c>
      <c r="D967" s="218">
        <v>831.77</v>
      </c>
      <c r="E967" s="218">
        <v>846.096</v>
      </c>
      <c r="F967" s="218">
        <v>121.1336</v>
      </c>
      <c r="G967" s="218">
        <v>129.3485</v>
      </c>
      <c r="H967" s="218">
        <v>135.92529999999999</v>
      </c>
      <c r="I967" s="218">
        <v>146.9152</v>
      </c>
      <c r="J967" s="246">
        <v>85257835</v>
      </c>
      <c r="K967" s="246">
        <v>94527616</v>
      </c>
      <c r="L967" s="218">
        <v>1313.7929999999999</v>
      </c>
      <c r="M967" s="246">
        <v>15700</v>
      </c>
      <c r="N967" s="251">
        <v>86.181799999999996</v>
      </c>
      <c r="O967" s="251">
        <v>87.688900000000004</v>
      </c>
      <c r="P967" s="251">
        <v>92.1755</v>
      </c>
      <c r="Q967" s="251">
        <v>97.756500000000003</v>
      </c>
      <c r="R967" s="254">
        <v>1.06</v>
      </c>
      <c r="S967" s="214">
        <v>402137</v>
      </c>
      <c r="T967" s="214">
        <v>1247094</v>
      </c>
      <c r="U967" s="214">
        <v>0</v>
      </c>
      <c r="V967" s="187">
        <f t="shared" ref="V967:V1030" si="36">T967+U967</f>
        <v>1247094</v>
      </c>
      <c r="W967" s="187">
        <f t="shared" ref="W967:W1030" si="37">V967+S967</f>
        <v>1649231</v>
      </c>
    </row>
    <row r="968" spans="1:23">
      <c r="A968" s="216" t="s">
        <v>6250</v>
      </c>
      <c r="B968" s="218">
        <v>6237.7089999999998</v>
      </c>
      <c r="C968" s="218">
        <v>6146.6509999999998</v>
      </c>
      <c r="D968" s="218">
        <v>6211.5129999999999</v>
      </c>
      <c r="E968" s="218">
        <v>6275.6540000000005</v>
      </c>
      <c r="F968" s="218">
        <v>984.55700000000002</v>
      </c>
      <c r="G968" s="218">
        <v>968.95849999999996</v>
      </c>
      <c r="H968" s="218">
        <v>949.7346</v>
      </c>
      <c r="I968" s="218">
        <v>949.89419999999996</v>
      </c>
      <c r="J968" s="246">
        <v>960079502</v>
      </c>
      <c r="K968" s="246">
        <v>1034401831</v>
      </c>
      <c r="L968" s="218">
        <v>8158.8119999999999</v>
      </c>
      <c r="M968" s="246">
        <v>1845868</v>
      </c>
      <c r="N968" s="251">
        <v>591.51020000000005</v>
      </c>
      <c r="O968" s="251">
        <v>585.32249999999999</v>
      </c>
      <c r="P968" s="251">
        <v>558.41840000000002</v>
      </c>
      <c r="Q968" s="251">
        <v>569.21759999999995</v>
      </c>
      <c r="R968" s="254">
        <v>1.1000000000000001</v>
      </c>
      <c r="S968" s="214">
        <v>1838314</v>
      </c>
      <c r="T968" s="214">
        <v>14690895</v>
      </c>
      <c r="U968" s="214">
        <v>0</v>
      </c>
      <c r="V968" s="187">
        <f t="shared" si="36"/>
        <v>14690895</v>
      </c>
      <c r="W968" s="187">
        <f t="shared" si="37"/>
        <v>16529209</v>
      </c>
    </row>
    <row r="969" spans="1:23">
      <c r="A969" s="216" t="s">
        <v>5038</v>
      </c>
      <c r="B969" s="218">
        <v>1322.1949999999999</v>
      </c>
      <c r="C969" s="218">
        <v>1315.4390000000001</v>
      </c>
      <c r="D969" s="218">
        <v>1360.1849999999999</v>
      </c>
      <c r="E969" s="218">
        <v>1322.508</v>
      </c>
      <c r="F969" s="218">
        <v>221.27269999999999</v>
      </c>
      <c r="G969" s="218">
        <v>219.39869999999999</v>
      </c>
      <c r="H969" s="218">
        <v>213.94649999999999</v>
      </c>
      <c r="I969" s="218">
        <v>221.23509999999999</v>
      </c>
      <c r="J969" s="246">
        <v>243428228</v>
      </c>
      <c r="K969" s="246">
        <v>257468193</v>
      </c>
      <c r="L969" s="218">
        <v>2042.9259999999999</v>
      </c>
      <c r="M969" s="246">
        <v>257426</v>
      </c>
      <c r="N969" s="251">
        <v>141.80670000000001</v>
      </c>
      <c r="O969" s="251">
        <v>141.4093</v>
      </c>
      <c r="P969" s="251">
        <v>135.4032</v>
      </c>
      <c r="Q969" s="251">
        <v>139.11670000000001</v>
      </c>
      <c r="R969" s="254">
        <v>1.1200000000000001</v>
      </c>
      <c r="S969" s="214">
        <v>643581</v>
      </c>
      <c r="T969" s="214">
        <v>3733693</v>
      </c>
      <c r="U969" s="214">
        <v>0</v>
      </c>
      <c r="V969" s="187">
        <f t="shared" si="36"/>
        <v>3733693</v>
      </c>
      <c r="W969" s="187">
        <f t="shared" si="37"/>
        <v>4377274</v>
      </c>
    </row>
    <row r="970" spans="1:23">
      <c r="A970" s="216" t="s">
        <v>5039</v>
      </c>
      <c r="B970" s="218">
        <v>3834.7359999999999</v>
      </c>
      <c r="C970" s="218">
        <v>4001.7040000000002</v>
      </c>
      <c r="D970" s="218">
        <v>4168.5789999999997</v>
      </c>
      <c r="E970" s="218">
        <v>4338.8559999999998</v>
      </c>
      <c r="F970" s="218">
        <v>563.89959999999996</v>
      </c>
      <c r="G970" s="218">
        <v>613.39499999999998</v>
      </c>
      <c r="H970" s="218">
        <v>619.2586</v>
      </c>
      <c r="I970" s="218">
        <v>655.02089999999998</v>
      </c>
      <c r="J970" s="246">
        <v>790454468</v>
      </c>
      <c r="K970" s="246">
        <v>839806868</v>
      </c>
      <c r="L970" s="218">
        <v>5736.5079999999998</v>
      </c>
      <c r="M970" s="246">
        <v>1598649</v>
      </c>
      <c r="N970" s="251">
        <v>331.53719999999998</v>
      </c>
      <c r="O970" s="251">
        <v>359.2944</v>
      </c>
      <c r="P970" s="251">
        <v>369.96929999999998</v>
      </c>
      <c r="Q970" s="251">
        <v>370.05349999999999</v>
      </c>
      <c r="R970" s="254">
        <v>1.1399999999999999</v>
      </c>
      <c r="S970" s="214">
        <v>1726220</v>
      </c>
      <c r="T970" s="214">
        <v>12946645</v>
      </c>
      <c r="U970" s="214">
        <v>0</v>
      </c>
      <c r="V970" s="187">
        <f t="shared" si="36"/>
        <v>12946645</v>
      </c>
      <c r="W970" s="187">
        <f t="shared" si="37"/>
        <v>14672865</v>
      </c>
    </row>
    <row r="971" spans="1:23">
      <c r="A971" s="216" t="s">
        <v>2082</v>
      </c>
      <c r="B971" s="218">
        <v>1313.335</v>
      </c>
      <c r="C971" s="218">
        <v>1349.595</v>
      </c>
      <c r="D971" s="218">
        <v>1365.741</v>
      </c>
      <c r="E971" s="218">
        <v>1456.502</v>
      </c>
      <c r="F971" s="218">
        <v>201.86259999999999</v>
      </c>
      <c r="G971" s="218">
        <v>201.76410000000001</v>
      </c>
      <c r="H971" s="218">
        <v>214.49780000000001</v>
      </c>
      <c r="I971" s="218">
        <v>207.15530000000001</v>
      </c>
      <c r="J971" s="246">
        <v>316874963</v>
      </c>
      <c r="K971" s="246">
        <v>329995467</v>
      </c>
      <c r="L971" s="218">
        <v>2153.1379999999999</v>
      </c>
      <c r="M971" s="246">
        <v>599259</v>
      </c>
      <c r="N971" s="251">
        <v>130.4076</v>
      </c>
      <c r="O971" s="251">
        <v>126.5085</v>
      </c>
      <c r="P971" s="251">
        <v>137.0292</v>
      </c>
      <c r="Q971" s="251">
        <v>138.10319999999999</v>
      </c>
      <c r="R971" s="254">
        <v>1.1299999999999999</v>
      </c>
      <c r="S971" s="214">
        <v>592132</v>
      </c>
      <c r="T971" s="214">
        <v>4899531</v>
      </c>
      <c r="U971" s="214">
        <v>0</v>
      </c>
      <c r="V971" s="187">
        <f t="shared" si="36"/>
        <v>4899531</v>
      </c>
      <c r="W971" s="187">
        <f t="shared" si="37"/>
        <v>5491663</v>
      </c>
    </row>
    <row r="972" spans="1:23">
      <c r="A972" s="216" t="s">
        <v>2084</v>
      </c>
      <c r="B972" s="218">
        <v>2134.3870000000002</v>
      </c>
      <c r="C972" s="218">
        <v>1971.65</v>
      </c>
      <c r="D972" s="218">
        <v>1928.1969999999999</v>
      </c>
      <c r="E972" s="218">
        <v>1874.7860000000001</v>
      </c>
      <c r="F972" s="218">
        <v>331.23239999999998</v>
      </c>
      <c r="G972" s="218">
        <v>335.09980000000002</v>
      </c>
      <c r="H972" s="218">
        <v>330.94850000000002</v>
      </c>
      <c r="I972" s="218">
        <v>296.03829999999999</v>
      </c>
      <c r="J972" s="246">
        <v>795177929</v>
      </c>
      <c r="K972" s="246">
        <v>816263981</v>
      </c>
      <c r="L972" s="218">
        <v>2678.7959999999998</v>
      </c>
      <c r="M972" s="187">
        <v>0</v>
      </c>
      <c r="N972" s="251">
        <v>210.40379999999999</v>
      </c>
      <c r="O972" s="251">
        <v>216.6934</v>
      </c>
      <c r="P972" s="251">
        <v>212.37700000000001</v>
      </c>
      <c r="Q972" s="251">
        <v>185.8339</v>
      </c>
      <c r="R972" s="254">
        <v>1.1200000000000001</v>
      </c>
      <c r="S972" s="214">
        <v>0</v>
      </c>
      <c r="T972" s="214">
        <v>11177010</v>
      </c>
      <c r="U972" s="214">
        <v>0</v>
      </c>
      <c r="V972" s="187">
        <f t="shared" si="36"/>
        <v>11177010</v>
      </c>
      <c r="W972" s="187">
        <f t="shared" si="37"/>
        <v>11177010</v>
      </c>
    </row>
    <row r="973" spans="1:23">
      <c r="A973" s="216" t="s">
        <v>2086</v>
      </c>
      <c r="B973" s="218">
        <v>136.26599999999999</v>
      </c>
      <c r="C973" s="218">
        <v>123.298</v>
      </c>
      <c r="D973" s="218">
        <v>119.574</v>
      </c>
      <c r="E973" s="218">
        <v>111.392</v>
      </c>
      <c r="F973" s="218">
        <v>38.5</v>
      </c>
      <c r="G973" s="218">
        <v>35.75</v>
      </c>
      <c r="H973" s="218">
        <v>33.75</v>
      </c>
      <c r="I973" s="218">
        <v>33.75</v>
      </c>
      <c r="J973" s="246">
        <v>82138913</v>
      </c>
      <c r="K973" s="246">
        <v>82880927</v>
      </c>
      <c r="L973" s="218">
        <v>269.226</v>
      </c>
      <c r="M973" s="246">
        <v>147485</v>
      </c>
      <c r="N973" s="251">
        <v>25.430700000000002</v>
      </c>
      <c r="O973" s="251">
        <v>23.869499999999999</v>
      </c>
      <c r="P973" s="251">
        <v>21.0014</v>
      </c>
      <c r="Q973" s="251">
        <v>22.6571</v>
      </c>
      <c r="R973" s="254">
        <v>1.1000000000000001</v>
      </c>
      <c r="S973" s="214">
        <v>93695</v>
      </c>
      <c r="T973" s="214">
        <v>1200551</v>
      </c>
      <c r="U973" s="214">
        <v>0</v>
      </c>
      <c r="V973" s="187">
        <f t="shared" si="36"/>
        <v>1200551</v>
      </c>
      <c r="W973" s="187">
        <f t="shared" si="37"/>
        <v>1294246</v>
      </c>
    </row>
    <row r="974" spans="1:23">
      <c r="A974" s="216" t="s">
        <v>2088</v>
      </c>
      <c r="B974" s="218">
        <v>4427.3180000000002</v>
      </c>
      <c r="C974" s="218">
        <v>4412.5619999999999</v>
      </c>
      <c r="D974" s="218">
        <v>4396.2719999999999</v>
      </c>
      <c r="E974" s="218">
        <v>4424.8320000000003</v>
      </c>
      <c r="F974" s="218">
        <v>655.73379999999997</v>
      </c>
      <c r="G974" s="218">
        <v>622.98090000000002</v>
      </c>
      <c r="H974" s="218">
        <v>660.00540000000001</v>
      </c>
      <c r="I974" s="218">
        <v>672.14020000000005</v>
      </c>
      <c r="J974" s="246">
        <v>1290142985</v>
      </c>
      <c r="K974" s="246">
        <v>1355040527</v>
      </c>
      <c r="L974" s="218">
        <v>5894.4250000000002</v>
      </c>
      <c r="M974" s="246">
        <v>1776735</v>
      </c>
      <c r="N974" s="251">
        <v>408.71820000000002</v>
      </c>
      <c r="O974" s="251">
        <v>422.12959999999998</v>
      </c>
      <c r="P974" s="251">
        <v>450.59019999999998</v>
      </c>
      <c r="Q974" s="251">
        <v>458.6857</v>
      </c>
      <c r="R974" s="254">
        <v>1.1200000000000001</v>
      </c>
      <c r="S974" s="214">
        <v>1318246</v>
      </c>
      <c r="T974" s="214">
        <v>19864141</v>
      </c>
      <c r="U974" s="214">
        <v>0</v>
      </c>
      <c r="V974" s="187">
        <f t="shared" si="36"/>
        <v>19864141</v>
      </c>
      <c r="W974" s="187">
        <f t="shared" si="37"/>
        <v>21182387</v>
      </c>
    </row>
    <row r="975" spans="1:23">
      <c r="A975" s="216" t="s">
        <v>2090</v>
      </c>
      <c r="B975" s="218">
        <v>431.80700000000002</v>
      </c>
      <c r="C975" s="218">
        <v>432.971</v>
      </c>
      <c r="D975" s="218">
        <v>426.05700000000002</v>
      </c>
      <c r="E975" s="218">
        <v>414.255</v>
      </c>
      <c r="F975" s="218">
        <v>63.655299999999997</v>
      </c>
      <c r="G975" s="218">
        <v>71.1768</v>
      </c>
      <c r="H975" s="218">
        <v>78.016099999999994</v>
      </c>
      <c r="I975" s="218">
        <v>76.308899999999994</v>
      </c>
      <c r="J975" s="246">
        <v>165036964</v>
      </c>
      <c r="K975" s="246">
        <v>172856901</v>
      </c>
      <c r="L975" s="218">
        <v>701.74</v>
      </c>
      <c r="M975" s="246">
        <v>86399</v>
      </c>
      <c r="N975" s="251">
        <v>39.628900000000002</v>
      </c>
      <c r="O975" s="251">
        <v>45.501800000000003</v>
      </c>
      <c r="P975" s="251">
        <v>51.393099999999997</v>
      </c>
      <c r="Q975" s="251">
        <v>50.7502</v>
      </c>
      <c r="R975" s="254">
        <v>1.08</v>
      </c>
      <c r="S975" s="214">
        <v>83164</v>
      </c>
      <c r="T975" s="214">
        <v>2611062</v>
      </c>
      <c r="U975" s="214">
        <v>0</v>
      </c>
      <c r="V975" s="187">
        <f t="shared" si="36"/>
        <v>2611062</v>
      </c>
      <c r="W975" s="187">
        <f t="shared" si="37"/>
        <v>2694226</v>
      </c>
    </row>
    <row r="976" spans="1:23">
      <c r="A976" s="216" t="s">
        <v>2987</v>
      </c>
      <c r="B976" s="218">
        <v>20853.448</v>
      </c>
      <c r="C976" s="218">
        <v>20929.249</v>
      </c>
      <c r="D976" s="218">
        <v>21495.263999999999</v>
      </c>
      <c r="E976" s="218">
        <v>22012.901999999998</v>
      </c>
      <c r="F976" s="218">
        <v>3318.0862999999999</v>
      </c>
      <c r="G976" s="218">
        <v>3108.1341000000002</v>
      </c>
      <c r="H976" s="218">
        <v>3384.2237</v>
      </c>
      <c r="I976" s="218">
        <v>3458.2078000000001</v>
      </c>
      <c r="J976" s="246">
        <v>1307351696</v>
      </c>
      <c r="K976" s="246">
        <v>1427429459</v>
      </c>
      <c r="L976" s="218">
        <v>32737.64</v>
      </c>
      <c r="M976" s="246">
        <v>192254</v>
      </c>
      <c r="N976" s="251">
        <v>1914.2577000000001</v>
      </c>
      <c r="O976" s="251">
        <v>1684.7527</v>
      </c>
      <c r="P976" s="251">
        <v>1993.1572000000001</v>
      </c>
      <c r="Q976" s="251">
        <v>1987.6819</v>
      </c>
      <c r="R976" s="254">
        <v>1.1599999999999999</v>
      </c>
      <c r="S976" s="214">
        <v>2391437</v>
      </c>
      <c r="T976" s="214">
        <v>17791656</v>
      </c>
      <c r="U976" s="214">
        <v>0</v>
      </c>
      <c r="V976" s="187">
        <f t="shared" si="36"/>
        <v>17791656</v>
      </c>
      <c r="W976" s="187">
        <f t="shared" si="37"/>
        <v>20183093</v>
      </c>
    </row>
    <row r="977" spans="1:23">
      <c r="A977" s="216" t="s">
        <v>2094</v>
      </c>
      <c r="B977" s="218">
        <v>57.893000000000001</v>
      </c>
      <c r="C977" s="218">
        <v>66.366</v>
      </c>
      <c r="D977" s="218">
        <v>64.361999999999995</v>
      </c>
      <c r="E977" s="218">
        <v>42.832999999999998</v>
      </c>
      <c r="F977" s="218">
        <v>15</v>
      </c>
      <c r="G977" s="218">
        <v>15</v>
      </c>
      <c r="H977" s="218">
        <v>11</v>
      </c>
      <c r="I977" s="218">
        <v>12.13</v>
      </c>
      <c r="J977" s="246">
        <v>20861287</v>
      </c>
      <c r="K977" s="246">
        <v>21567895</v>
      </c>
      <c r="L977" s="218">
        <v>137.49299999999999</v>
      </c>
      <c r="M977" s="187">
        <v>0</v>
      </c>
      <c r="N977" s="251">
        <v>9</v>
      </c>
      <c r="O977" s="251">
        <v>10.916600000000001</v>
      </c>
      <c r="P977" s="251">
        <v>6.9166999999999996</v>
      </c>
      <c r="Q977" s="251">
        <v>8.4283999999999999</v>
      </c>
      <c r="R977" s="254">
        <v>1.0900000000000001</v>
      </c>
      <c r="S977" s="214">
        <v>0</v>
      </c>
      <c r="T977" s="214">
        <v>517349</v>
      </c>
      <c r="U977" s="214">
        <v>0</v>
      </c>
      <c r="V977" s="187">
        <f t="shared" si="36"/>
        <v>517349</v>
      </c>
      <c r="W977" s="187">
        <f t="shared" si="37"/>
        <v>517349</v>
      </c>
    </row>
    <row r="978" spans="1:23">
      <c r="A978" s="216" t="s">
        <v>2417</v>
      </c>
      <c r="B978" s="218">
        <v>23920.146000000001</v>
      </c>
      <c r="C978" s="218">
        <v>25532.188999999998</v>
      </c>
      <c r="D978" s="218">
        <v>26988.952000000001</v>
      </c>
      <c r="E978" s="218">
        <v>28493.904999999999</v>
      </c>
      <c r="F978" s="218">
        <v>3476.377</v>
      </c>
      <c r="G978" s="218">
        <v>3842.3494000000001</v>
      </c>
      <c r="H978" s="218">
        <v>4194.6628000000001</v>
      </c>
      <c r="I978" s="218">
        <v>4425.0153</v>
      </c>
      <c r="J978" s="246">
        <v>4189740398</v>
      </c>
      <c r="K978" s="246">
        <v>4343246624</v>
      </c>
      <c r="L978" s="218">
        <v>39947.732000000004</v>
      </c>
      <c r="M978" s="246">
        <v>5006824</v>
      </c>
      <c r="N978" s="251">
        <v>2037.1188</v>
      </c>
      <c r="O978" s="251">
        <v>2203.2874000000002</v>
      </c>
      <c r="P978" s="251">
        <v>2390.7876000000001</v>
      </c>
      <c r="Q978" s="251">
        <v>2512.5288999999998</v>
      </c>
      <c r="R978" s="254">
        <v>1.1399999999999999</v>
      </c>
      <c r="S978" s="214">
        <v>6729420</v>
      </c>
      <c r="T978" s="214">
        <v>59466295</v>
      </c>
      <c r="U978" s="214">
        <v>0</v>
      </c>
      <c r="V978" s="187">
        <f t="shared" si="36"/>
        <v>59466295</v>
      </c>
      <c r="W978" s="187">
        <f t="shared" si="37"/>
        <v>66195715</v>
      </c>
    </row>
    <row r="979" spans="1:23">
      <c r="A979" s="216" t="s">
        <v>78</v>
      </c>
      <c r="B979" s="218">
        <v>337.45400000000001</v>
      </c>
      <c r="C979" s="218">
        <v>323.363</v>
      </c>
      <c r="D979" s="218">
        <v>322.15699999999998</v>
      </c>
      <c r="E979" s="218">
        <v>313.233</v>
      </c>
      <c r="F979" s="218">
        <v>95.166600000000003</v>
      </c>
      <c r="G979" s="218">
        <v>93.166600000000003</v>
      </c>
      <c r="H979" s="218">
        <v>87.257400000000004</v>
      </c>
      <c r="I979" s="218">
        <v>85.722800000000007</v>
      </c>
      <c r="J979" s="246">
        <v>665543441</v>
      </c>
      <c r="K979" s="246">
        <v>667118005</v>
      </c>
      <c r="L979" s="218">
        <v>654.48500000000001</v>
      </c>
      <c r="M979" s="187">
        <v>0</v>
      </c>
      <c r="N979" s="251">
        <v>47.082999999999998</v>
      </c>
      <c r="O979" s="251">
        <v>45.965400000000002</v>
      </c>
      <c r="P979" s="251">
        <v>45.9621</v>
      </c>
      <c r="Q979" s="251">
        <v>55.986800000000002</v>
      </c>
      <c r="R979" s="254">
        <v>1.07</v>
      </c>
      <c r="S979" s="214">
        <v>0</v>
      </c>
      <c r="T979" s="214">
        <v>6390558</v>
      </c>
      <c r="U979" s="214">
        <v>0</v>
      </c>
      <c r="V979" s="187">
        <f t="shared" si="36"/>
        <v>6390558</v>
      </c>
      <c r="W979" s="187">
        <f t="shared" si="37"/>
        <v>6390558</v>
      </c>
    </row>
    <row r="980" spans="1:23">
      <c r="A980" s="216" t="s">
        <v>80</v>
      </c>
      <c r="B980" s="218">
        <v>942.40599999999995</v>
      </c>
      <c r="C980" s="218">
        <v>919.25099999999998</v>
      </c>
      <c r="D980" s="218">
        <v>891.49</v>
      </c>
      <c r="E980" s="218">
        <v>866.18799999999999</v>
      </c>
      <c r="F980" s="218">
        <v>144.8869</v>
      </c>
      <c r="G980" s="218">
        <v>148.6902</v>
      </c>
      <c r="H980" s="218">
        <v>144.26169999999999</v>
      </c>
      <c r="I980" s="218">
        <v>145.49879999999999</v>
      </c>
      <c r="J980" s="246">
        <v>120601631</v>
      </c>
      <c r="K980" s="246">
        <v>130354431</v>
      </c>
      <c r="L980" s="218">
        <v>1372.925</v>
      </c>
      <c r="M980" s="187">
        <v>0</v>
      </c>
      <c r="N980" s="251">
        <v>86.572100000000006</v>
      </c>
      <c r="O980" s="251">
        <v>96.064099999999996</v>
      </c>
      <c r="P980" s="251">
        <v>91.197100000000006</v>
      </c>
      <c r="Q980" s="251">
        <v>92.209299999999999</v>
      </c>
      <c r="R980" s="254">
        <v>1.0900000000000001</v>
      </c>
      <c r="S980" s="214">
        <v>0</v>
      </c>
      <c r="T980" s="214">
        <v>2086419</v>
      </c>
      <c r="U980" s="214">
        <v>0</v>
      </c>
      <c r="V980" s="187">
        <f t="shared" si="36"/>
        <v>2086419</v>
      </c>
      <c r="W980" s="187">
        <f t="shared" si="37"/>
        <v>2086419</v>
      </c>
    </row>
    <row r="981" spans="1:23">
      <c r="A981" s="216" t="s">
        <v>82</v>
      </c>
      <c r="B981" s="218">
        <v>806.99099999999999</v>
      </c>
      <c r="C981" s="218">
        <v>823.14599999999996</v>
      </c>
      <c r="D981" s="218">
        <v>820.47</v>
      </c>
      <c r="E981" s="218">
        <v>833.60699999999997</v>
      </c>
      <c r="F981" s="218">
        <v>118.379</v>
      </c>
      <c r="G981" s="218">
        <v>119.9062</v>
      </c>
      <c r="H981" s="218">
        <v>126.58499999999999</v>
      </c>
      <c r="I981" s="218">
        <v>134.63749999999999</v>
      </c>
      <c r="J981" s="246">
        <v>177334572</v>
      </c>
      <c r="K981" s="246">
        <v>186284482</v>
      </c>
      <c r="L981" s="218">
        <v>1275.395</v>
      </c>
      <c r="M981" s="246">
        <v>53076</v>
      </c>
      <c r="N981" s="251">
        <v>75.989900000000006</v>
      </c>
      <c r="O981" s="251">
        <v>80.182699999999997</v>
      </c>
      <c r="P981" s="251">
        <v>84.623699999999999</v>
      </c>
      <c r="Q981" s="251">
        <v>89.268699999999995</v>
      </c>
      <c r="R981" s="254">
        <v>1.0900000000000001</v>
      </c>
      <c r="S981" s="214">
        <v>55340</v>
      </c>
      <c r="T981" s="214">
        <v>2265390</v>
      </c>
      <c r="U981" s="214">
        <v>0</v>
      </c>
      <c r="V981" s="187">
        <f t="shared" si="36"/>
        <v>2265390</v>
      </c>
      <c r="W981" s="187">
        <f t="shared" si="37"/>
        <v>2320730</v>
      </c>
    </row>
    <row r="982" spans="1:23">
      <c r="A982" s="216" t="s">
        <v>84</v>
      </c>
      <c r="B982" s="218">
        <v>3482.6089999999999</v>
      </c>
      <c r="C982" s="218">
        <v>3375.2289999999998</v>
      </c>
      <c r="D982" s="218">
        <v>3381.5479999999998</v>
      </c>
      <c r="E982" s="218">
        <v>3359.8249999999998</v>
      </c>
      <c r="F982" s="218">
        <v>502.32190000000003</v>
      </c>
      <c r="G982" s="218">
        <v>505.48790000000002</v>
      </c>
      <c r="H982" s="218">
        <v>497</v>
      </c>
      <c r="I982" s="218">
        <v>499.9776</v>
      </c>
      <c r="J982" s="246">
        <v>688440171</v>
      </c>
      <c r="K982" s="246">
        <v>723836607</v>
      </c>
      <c r="L982" s="218">
        <v>4633.1559999999999</v>
      </c>
      <c r="M982" s="246">
        <v>299502</v>
      </c>
      <c r="N982" s="251">
        <v>331.74</v>
      </c>
      <c r="O982" s="251">
        <v>334.5104</v>
      </c>
      <c r="P982" s="251">
        <v>329.58730000000003</v>
      </c>
      <c r="Q982" s="251">
        <v>328.03390000000002</v>
      </c>
      <c r="R982" s="254">
        <v>1.1100000000000001</v>
      </c>
      <c r="S982" s="214">
        <v>294663</v>
      </c>
      <c r="T982" s="214">
        <v>9505563</v>
      </c>
      <c r="U982" s="214">
        <v>0</v>
      </c>
      <c r="V982" s="187">
        <f t="shared" si="36"/>
        <v>9505563</v>
      </c>
      <c r="W982" s="187">
        <f t="shared" si="37"/>
        <v>9800226</v>
      </c>
    </row>
    <row r="983" spans="1:23">
      <c r="A983" s="216" t="s">
        <v>86</v>
      </c>
      <c r="B983" s="218">
        <v>2470.37</v>
      </c>
      <c r="C983" s="218">
        <v>2411.62</v>
      </c>
      <c r="D983" s="218">
        <v>2400.2629999999999</v>
      </c>
      <c r="E983" s="218">
        <v>2357.549</v>
      </c>
      <c r="F983" s="218">
        <v>407.19830000000002</v>
      </c>
      <c r="G983" s="218">
        <v>414.14449999999999</v>
      </c>
      <c r="H983" s="218">
        <v>410.43599999999998</v>
      </c>
      <c r="I983" s="218">
        <v>412.61279999999999</v>
      </c>
      <c r="J983" s="246">
        <v>430202137</v>
      </c>
      <c r="K983" s="246">
        <v>456209558</v>
      </c>
      <c r="L983" s="218">
        <v>3378.375</v>
      </c>
      <c r="M983" s="187">
        <v>0</v>
      </c>
      <c r="N983" s="251">
        <v>266.66770000000002</v>
      </c>
      <c r="O983" s="251">
        <v>270.24349999999998</v>
      </c>
      <c r="P983" s="251">
        <v>264.30009999999999</v>
      </c>
      <c r="Q983" s="251">
        <v>266.97469999999998</v>
      </c>
      <c r="R983" s="254">
        <v>1.1100000000000001</v>
      </c>
      <c r="S983" s="214">
        <v>0</v>
      </c>
      <c r="T983" s="214">
        <v>6388483</v>
      </c>
      <c r="U983" s="214">
        <v>0</v>
      </c>
      <c r="V983" s="187">
        <f t="shared" si="36"/>
        <v>6388483</v>
      </c>
      <c r="W983" s="187">
        <f t="shared" si="37"/>
        <v>6388483</v>
      </c>
    </row>
    <row r="984" spans="1:23">
      <c r="A984" s="216" t="s">
        <v>88</v>
      </c>
      <c r="B984" s="218">
        <v>491.517</v>
      </c>
      <c r="C984" s="218">
        <v>524.43299999999999</v>
      </c>
      <c r="D984" s="218">
        <v>508.59500000000003</v>
      </c>
      <c r="E984" s="218">
        <v>491.02499999999998</v>
      </c>
      <c r="F984" s="218">
        <v>78.952200000000005</v>
      </c>
      <c r="G984" s="218">
        <v>78.740799999999993</v>
      </c>
      <c r="H984" s="218">
        <v>82.230099999999993</v>
      </c>
      <c r="I984" s="218">
        <v>79.331900000000005</v>
      </c>
      <c r="J984" s="246">
        <v>115680875</v>
      </c>
      <c r="K984" s="246">
        <v>120735405</v>
      </c>
      <c r="L984" s="218">
        <v>816.58900000000006</v>
      </c>
      <c r="M984" s="246">
        <v>177465</v>
      </c>
      <c r="N984" s="251">
        <v>52.24</v>
      </c>
      <c r="O984" s="251">
        <v>53.773899999999998</v>
      </c>
      <c r="P984" s="251">
        <v>52.560200000000002</v>
      </c>
      <c r="Q984" s="251">
        <v>50.997100000000003</v>
      </c>
      <c r="R984" s="254">
        <v>1.0900000000000001</v>
      </c>
      <c r="S984" s="214">
        <v>184909</v>
      </c>
      <c r="T984" s="214">
        <v>1696483</v>
      </c>
      <c r="U984" s="214">
        <v>0</v>
      </c>
      <c r="V984" s="187">
        <f t="shared" si="36"/>
        <v>1696483</v>
      </c>
      <c r="W984" s="187">
        <f t="shared" si="37"/>
        <v>1881392</v>
      </c>
    </row>
    <row r="985" spans="1:23">
      <c r="A985" s="216" t="s">
        <v>90</v>
      </c>
      <c r="B985" s="218">
        <v>391.52300000000002</v>
      </c>
      <c r="C985" s="218">
        <v>386.63299999999998</v>
      </c>
      <c r="D985" s="218">
        <v>374.95699999999999</v>
      </c>
      <c r="E985" s="218">
        <v>366.39499999999998</v>
      </c>
      <c r="F985" s="218">
        <v>95.022499999999994</v>
      </c>
      <c r="G985" s="218">
        <v>97.254599999999996</v>
      </c>
      <c r="H985" s="218">
        <v>92.701899999999995</v>
      </c>
      <c r="I985" s="218">
        <v>85.554900000000004</v>
      </c>
      <c r="J985" s="246">
        <v>89145532</v>
      </c>
      <c r="K985" s="246">
        <v>95220439</v>
      </c>
      <c r="L985" s="218">
        <v>714.74599999999998</v>
      </c>
      <c r="M985" s="187">
        <v>0</v>
      </c>
      <c r="N985" s="251">
        <v>67.766900000000007</v>
      </c>
      <c r="O985" s="251">
        <v>70.229299999999995</v>
      </c>
      <c r="P985" s="251">
        <v>65.992999999999995</v>
      </c>
      <c r="Q985" s="251">
        <v>58.9358</v>
      </c>
      <c r="R985" s="254">
        <v>1.07</v>
      </c>
      <c r="S985" s="214">
        <v>0</v>
      </c>
      <c r="T985" s="214">
        <v>1233337</v>
      </c>
      <c r="U985" s="214">
        <v>0</v>
      </c>
      <c r="V985" s="187">
        <f t="shared" si="36"/>
        <v>1233337</v>
      </c>
      <c r="W985" s="187">
        <f t="shared" si="37"/>
        <v>1233337</v>
      </c>
    </row>
    <row r="986" spans="1:23">
      <c r="A986" s="216" t="s">
        <v>92</v>
      </c>
      <c r="B986" s="218">
        <v>348.91500000000002</v>
      </c>
      <c r="C986" s="218">
        <v>319.26100000000002</v>
      </c>
      <c r="D986" s="218">
        <v>311.178</v>
      </c>
      <c r="E986" s="218">
        <v>302.55799999999999</v>
      </c>
      <c r="F986" s="218">
        <v>64.454800000000006</v>
      </c>
      <c r="G986" s="218">
        <v>63.508299999999998</v>
      </c>
      <c r="H986" s="218">
        <v>55.922699999999999</v>
      </c>
      <c r="I986" s="218">
        <v>50.3</v>
      </c>
      <c r="J986" s="246">
        <v>99564557</v>
      </c>
      <c r="K986" s="246">
        <v>104145732</v>
      </c>
      <c r="L986" s="218">
        <v>496.24200000000002</v>
      </c>
      <c r="M986" s="187">
        <v>0</v>
      </c>
      <c r="N986" s="251">
        <v>43.762599999999999</v>
      </c>
      <c r="O986" s="251">
        <v>43.835099999999997</v>
      </c>
      <c r="P986" s="251">
        <v>39.448599999999999</v>
      </c>
      <c r="Q986" s="251">
        <v>32.4146</v>
      </c>
      <c r="R986" s="254">
        <v>1.06</v>
      </c>
      <c r="S986" s="214">
        <v>0</v>
      </c>
      <c r="T986" s="214">
        <v>1553392</v>
      </c>
      <c r="U986" s="214">
        <v>0</v>
      </c>
      <c r="V986" s="187">
        <f t="shared" si="36"/>
        <v>1553392</v>
      </c>
      <c r="W986" s="187">
        <f t="shared" si="37"/>
        <v>1553392</v>
      </c>
    </row>
    <row r="987" spans="1:23">
      <c r="A987" s="216" t="s">
        <v>94</v>
      </c>
      <c r="B987" s="218">
        <v>65.543000000000006</v>
      </c>
      <c r="C987" s="218">
        <v>47.942999999999998</v>
      </c>
      <c r="D987" s="218">
        <v>48.784999999999997</v>
      </c>
      <c r="E987" s="218">
        <v>47.433999999999997</v>
      </c>
      <c r="F987" s="218">
        <v>21.4786</v>
      </c>
      <c r="G987" s="218">
        <v>23.188600000000001</v>
      </c>
      <c r="H987" s="218">
        <v>23.4786</v>
      </c>
      <c r="I987" s="218">
        <v>23.852900000000002</v>
      </c>
      <c r="J987" s="246">
        <v>172304762</v>
      </c>
      <c r="K987" s="246">
        <v>173025772</v>
      </c>
      <c r="L987" s="218">
        <v>100.42100000000001</v>
      </c>
      <c r="M987" s="187">
        <v>0</v>
      </c>
      <c r="N987" s="251">
        <v>15.4985</v>
      </c>
      <c r="O987" s="251">
        <v>15.4998</v>
      </c>
      <c r="P987" s="251">
        <v>14.5303</v>
      </c>
      <c r="Q987" s="251">
        <v>13.7476</v>
      </c>
      <c r="R987" s="254">
        <v>1.08</v>
      </c>
      <c r="S987" s="214">
        <v>0</v>
      </c>
      <c r="T987" s="214">
        <v>2457256</v>
      </c>
      <c r="U987" s="214">
        <v>0</v>
      </c>
      <c r="V987" s="187">
        <f t="shared" si="36"/>
        <v>2457256</v>
      </c>
      <c r="W987" s="187">
        <f t="shared" si="37"/>
        <v>2457256</v>
      </c>
    </row>
    <row r="988" spans="1:23">
      <c r="A988" s="216" t="s">
        <v>2332</v>
      </c>
      <c r="B988" s="218">
        <v>11.192</v>
      </c>
      <c r="C988" s="218">
        <v>20.198</v>
      </c>
      <c r="D988" s="218">
        <v>32.250999999999998</v>
      </c>
      <c r="E988" s="218">
        <v>53.01</v>
      </c>
      <c r="F988" s="218">
        <v>9.1550999999999991</v>
      </c>
      <c r="G988" s="218">
        <v>9.9572000000000003</v>
      </c>
      <c r="H988" s="218">
        <v>10.9572</v>
      </c>
      <c r="I988" s="218">
        <v>13.834199999999999</v>
      </c>
      <c r="J988" s="246">
        <v>92978524</v>
      </c>
      <c r="K988" s="246">
        <v>93252914</v>
      </c>
      <c r="L988" s="218">
        <v>96.649000000000001</v>
      </c>
      <c r="M988" s="187">
        <v>0</v>
      </c>
      <c r="N988" s="251">
        <v>5.0003000000000002</v>
      </c>
      <c r="O988" s="251">
        <v>4.9997999999999996</v>
      </c>
      <c r="P988" s="251">
        <v>7.9791999999999996</v>
      </c>
      <c r="Q988" s="251">
        <v>10.8553</v>
      </c>
      <c r="R988" s="254">
        <v>1.08</v>
      </c>
      <c r="S988" s="214">
        <v>0</v>
      </c>
      <c r="T988" s="214">
        <v>1136583</v>
      </c>
      <c r="U988" s="214">
        <v>0</v>
      </c>
      <c r="V988" s="187">
        <f t="shared" si="36"/>
        <v>1136583</v>
      </c>
      <c r="W988" s="187">
        <f t="shared" si="37"/>
        <v>1136583</v>
      </c>
    </row>
    <row r="989" spans="1:23">
      <c r="A989" s="216" t="s">
        <v>2334</v>
      </c>
      <c r="B989" s="218">
        <v>110.092</v>
      </c>
      <c r="C989" s="218">
        <v>106.83199999999999</v>
      </c>
      <c r="D989" s="218">
        <v>110.514</v>
      </c>
      <c r="E989" s="218">
        <v>112.895</v>
      </c>
      <c r="F989" s="218">
        <v>32.013599999999997</v>
      </c>
      <c r="G989" s="218">
        <v>33.186999999999998</v>
      </c>
      <c r="H989" s="218">
        <v>32.213700000000003</v>
      </c>
      <c r="I989" s="218">
        <v>33.319200000000002</v>
      </c>
      <c r="J989" s="246">
        <v>239349030</v>
      </c>
      <c r="K989" s="246">
        <v>240637756</v>
      </c>
      <c r="L989" s="218">
        <v>252.18799999999999</v>
      </c>
      <c r="M989" s="246">
        <v>471048</v>
      </c>
      <c r="N989" s="251">
        <v>18.824300000000001</v>
      </c>
      <c r="O989" s="251">
        <v>17.931999999999999</v>
      </c>
      <c r="P989" s="251">
        <v>18.975999999999999</v>
      </c>
      <c r="Q989" s="251">
        <v>19.2056</v>
      </c>
      <c r="R989" s="254">
        <v>1.07</v>
      </c>
      <c r="S989" s="214">
        <v>223665</v>
      </c>
      <c r="T989" s="214">
        <v>2826040</v>
      </c>
      <c r="U989" s="214">
        <v>0</v>
      </c>
      <c r="V989" s="187">
        <f t="shared" si="36"/>
        <v>2826040</v>
      </c>
      <c r="W989" s="187">
        <f t="shared" si="37"/>
        <v>3049705</v>
      </c>
    </row>
    <row r="990" spans="1:23">
      <c r="A990" s="216" t="s">
        <v>962</v>
      </c>
      <c r="B990" s="218">
        <v>3501.5030000000002</v>
      </c>
      <c r="C990" s="218">
        <v>3480.0970000000002</v>
      </c>
      <c r="D990" s="218">
        <v>3427.1770000000001</v>
      </c>
      <c r="E990" s="218">
        <v>3396.5970000000002</v>
      </c>
      <c r="F990" s="218">
        <v>484.66559999999998</v>
      </c>
      <c r="G990" s="218">
        <v>492.28680000000003</v>
      </c>
      <c r="H990" s="218">
        <v>516.20000000000005</v>
      </c>
      <c r="I990" s="218">
        <v>522.13419999999996</v>
      </c>
      <c r="J990" s="246">
        <v>510167096</v>
      </c>
      <c r="K990" s="246">
        <v>548836843</v>
      </c>
      <c r="L990" s="218">
        <v>4467.8590000000004</v>
      </c>
      <c r="M990" s="246">
        <v>316559</v>
      </c>
      <c r="N990" s="251">
        <v>338.22789999999998</v>
      </c>
      <c r="O990" s="251">
        <v>342.59469999999999</v>
      </c>
      <c r="P990" s="251">
        <v>349.1626</v>
      </c>
      <c r="Q990" s="251">
        <v>355.5009</v>
      </c>
      <c r="R990" s="254">
        <v>1.07</v>
      </c>
      <c r="S990" s="214">
        <v>705432</v>
      </c>
      <c r="T990" s="214">
        <v>7541593</v>
      </c>
      <c r="U990" s="214">
        <v>0</v>
      </c>
      <c r="V990" s="187">
        <f t="shared" si="36"/>
        <v>7541593</v>
      </c>
      <c r="W990" s="187">
        <f t="shared" si="37"/>
        <v>8247025</v>
      </c>
    </row>
    <row r="991" spans="1:23">
      <c r="A991" s="216" t="s">
        <v>2336</v>
      </c>
      <c r="B991" s="218">
        <v>683.18</v>
      </c>
      <c r="C991" s="218">
        <v>645.73199999999997</v>
      </c>
      <c r="D991" s="218">
        <v>632.71799999999996</v>
      </c>
      <c r="E991" s="218">
        <v>615.19200000000001</v>
      </c>
      <c r="F991" s="218">
        <v>112.2478</v>
      </c>
      <c r="G991" s="218">
        <v>115.51519999999999</v>
      </c>
      <c r="H991" s="218">
        <v>113.39490000000001</v>
      </c>
      <c r="I991" s="218">
        <v>102.3156</v>
      </c>
      <c r="J991" s="246">
        <v>110630727</v>
      </c>
      <c r="K991" s="246">
        <v>118512696</v>
      </c>
      <c r="L991" s="218">
        <v>982.47</v>
      </c>
      <c r="M991" s="246">
        <v>101754</v>
      </c>
      <c r="N991" s="251">
        <v>71.66</v>
      </c>
      <c r="O991" s="251">
        <v>73.650700000000001</v>
      </c>
      <c r="P991" s="251">
        <v>74.720600000000005</v>
      </c>
      <c r="Q991" s="251">
        <v>69.462000000000003</v>
      </c>
      <c r="R991" s="254">
        <v>1.05</v>
      </c>
      <c r="S991" s="214">
        <v>96909</v>
      </c>
      <c r="T991" s="214">
        <v>1603330</v>
      </c>
      <c r="U991" s="214">
        <v>0</v>
      </c>
      <c r="V991" s="187">
        <f t="shared" si="36"/>
        <v>1603330</v>
      </c>
      <c r="W991" s="187">
        <f t="shared" si="37"/>
        <v>1700239</v>
      </c>
    </row>
    <row r="992" spans="1:23">
      <c r="A992" s="216" t="s">
        <v>2338</v>
      </c>
      <c r="B992" s="218">
        <v>2006.79</v>
      </c>
      <c r="C992" s="218">
        <v>1899.971</v>
      </c>
      <c r="D992" s="218">
        <v>1842.5920000000001</v>
      </c>
      <c r="E992" s="218">
        <v>1740.1</v>
      </c>
      <c r="F992" s="218">
        <v>229.2681</v>
      </c>
      <c r="G992" s="218">
        <v>236.5752</v>
      </c>
      <c r="H992" s="218">
        <v>233.55420000000001</v>
      </c>
      <c r="I992" s="218">
        <v>228.36529999999999</v>
      </c>
      <c r="J992" s="246">
        <v>364904126</v>
      </c>
      <c r="K992" s="246">
        <v>391561775</v>
      </c>
      <c r="L992" s="218">
        <v>2238.1619999999998</v>
      </c>
      <c r="M992" s="246">
        <v>360625</v>
      </c>
      <c r="N992" s="251">
        <v>157.16759999999999</v>
      </c>
      <c r="O992" s="251">
        <v>160.5685</v>
      </c>
      <c r="P992" s="251">
        <v>161.73249999999999</v>
      </c>
      <c r="Q992" s="251">
        <v>155.80289999999999</v>
      </c>
      <c r="R992" s="254">
        <v>1.06</v>
      </c>
      <c r="S992" s="214">
        <v>383787</v>
      </c>
      <c r="T992" s="214">
        <v>5250067</v>
      </c>
      <c r="U992" s="214">
        <v>0</v>
      </c>
      <c r="V992" s="187">
        <f t="shared" si="36"/>
        <v>5250067</v>
      </c>
      <c r="W992" s="187">
        <f t="shared" si="37"/>
        <v>5633854</v>
      </c>
    </row>
    <row r="993" spans="1:23">
      <c r="A993" s="216" t="s">
        <v>2340</v>
      </c>
      <c r="B993" s="218">
        <v>14084.287</v>
      </c>
      <c r="C993" s="218">
        <v>13881.02</v>
      </c>
      <c r="D993" s="218">
        <v>14059.445</v>
      </c>
      <c r="E993" s="218">
        <v>13764.87</v>
      </c>
      <c r="F993" s="218">
        <v>2105.3276999999998</v>
      </c>
      <c r="G993" s="218">
        <v>2137.2550000000001</v>
      </c>
      <c r="H993" s="218">
        <v>2112.5711999999999</v>
      </c>
      <c r="I993" s="218">
        <v>2025.3495</v>
      </c>
      <c r="J993" s="246">
        <v>2872852075</v>
      </c>
      <c r="K993" s="246">
        <v>3044222818</v>
      </c>
      <c r="L993" s="218">
        <v>17876.356</v>
      </c>
      <c r="M993" s="246">
        <v>1338282</v>
      </c>
      <c r="N993" s="251">
        <v>1446.7873999999999</v>
      </c>
      <c r="O993" s="251">
        <v>1420.6521</v>
      </c>
      <c r="P993" s="251">
        <v>1460.1610000000001</v>
      </c>
      <c r="Q993" s="251">
        <v>1397.8779</v>
      </c>
      <c r="R993" s="254">
        <v>1.0900000000000001</v>
      </c>
      <c r="S993" s="214">
        <v>1885012</v>
      </c>
      <c r="T993" s="214">
        <v>44422237</v>
      </c>
      <c r="U993" s="214">
        <v>0</v>
      </c>
      <c r="V993" s="187">
        <f t="shared" si="36"/>
        <v>44422237</v>
      </c>
      <c r="W993" s="187">
        <f t="shared" si="37"/>
        <v>46307249</v>
      </c>
    </row>
    <row r="994" spans="1:23">
      <c r="A994" s="216" t="s">
        <v>738</v>
      </c>
      <c r="B994" s="218">
        <v>768.15899999999999</v>
      </c>
      <c r="C994" s="218">
        <v>874.73900000000003</v>
      </c>
      <c r="D994" s="218">
        <v>927.22400000000005</v>
      </c>
      <c r="E994" s="218">
        <v>1017.037</v>
      </c>
      <c r="F994" s="218">
        <v>95.2303</v>
      </c>
      <c r="G994" s="218">
        <v>113.7196</v>
      </c>
      <c r="H994" s="218">
        <v>135.7278</v>
      </c>
      <c r="I994" s="218">
        <v>138.74379999999999</v>
      </c>
      <c r="J994" s="246">
        <v>121885973</v>
      </c>
      <c r="K994" s="246">
        <v>132483695</v>
      </c>
      <c r="L994" s="218">
        <v>1485.2370000000001</v>
      </c>
      <c r="M994" s="246">
        <v>128143</v>
      </c>
      <c r="N994" s="251">
        <v>70.628900000000002</v>
      </c>
      <c r="O994" s="251">
        <v>81.2577</v>
      </c>
      <c r="P994" s="251">
        <v>97.001300000000001</v>
      </c>
      <c r="Q994" s="251">
        <v>101.2278</v>
      </c>
      <c r="R994" s="254">
        <v>1.05</v>
      </c>
      <c r="S994" s="214">
        <v>260149</v>
      </c>
      <c r="T994" s="214">
        <v>2032195</v>
      </c>
      <c r="U994" s="214">
        <v>0</v>
      </c>
      <c r="V994" s="187">
        <f t="shared" si="36"/>
        <v>2032195</v>
      </c>
      <c r="W994" s="187">
        <f t="shared" si="37"/>
        <v>2292344</v>
      </c>
    </row>
    <row r="995" spans="1:23">
      <c r="A995" s="216" t="s">
        <v>3219</v>
      </c>
      <c r="B995" s="218">
        <v>113.09</v>
      </c>
      <c r="C995" s="218">
        <v>110.27</v>
      </c>
      <c r="D995" s="218">
        <v>107.86199999999999</v>
      </c>
      <c r="E995" s="218">
        <v>109.18300000000001</v>
      </c>
      <c r="F995" s="218">
        <v>23.296199999999999</v>
      </c>
      <c r="G995" s="218">
        <v>23.1358</v>
      </c>
      <c r="H995" s="218">
        <v>22.317599999999999</v>
      </c>
      <c r="I995" s="218">
        <v>20.317599999999999</v>
      </c>
      <c r="J995" s="246">
        <v>21461247</v>
      </c>
      <c r="K995" s="246">
        <v>21841467</v>
      </c>
      <c r="L995" s="218">
        <v>232.19800000000001</v>
      </c>
      <c r="M995" s="187">
        <v>0</v>
      </c>
      <c r="N995" s="251">
        <v>17.2178</v>
      </c>
      <c r="O995" s="251">
        <v>14.0007</v>
      </c>
      <c r="P995" s="251">
        <v>16.2377</v>
      </c>
      <c r="Q995" s="251">
        <v>15.3573</v>
      </c>
      <c r="R995" s="254">
        <v>1.07</v>
      </c>
      <c r="S995" s="214">
        <v>0</v>
      </c>
      <c r="T995" s="214">
        <v>308433</v>
      </c>
      <c r="U995" s="214">
        <v>0</v>
      </c>
      <c r="V995" s="187">
        <f t="shared" si="36"/>
        <v>308433</v>
      </c>
      <c r="W995" s="187">
        <f t="shared" si="37"/>
        <v>308433</v>
      </c>
    </row>
    <row r="996" spans="1:23">
      <c r="A996" s="216" t="s">
        <v>608</v>
      </c>
      <c r="B996" s="218">
        <v>2431.4929999999999</v>
      </c>
      <c r="C996" s="218">
        <v>2367.6439999999998</v>
      </c>
      <c r="D996" s="218">
        <v>2315.6689999999999</v>
      </c>
      <c r="E996" s="218">
        <v>2251.5250000000001</v>
      </c>
      <c r="F996" s="218">
        <v>311.5478</v>
      </c>
      <c r="G996" s="218">
        <v>329.09120000000001</v>
      </c>
      <c r="H996" s="218">
        <v>329.8005</v>
      </c>
      <c r="I996" s="218">
        <v>322.77569999999997</v>
      </c>
      <c r="J996" s="246">
        <v>633841061</v>
      </c>
      <c r="K996" s="246">
        <v>656996072</v>
      </c>
      <c r="L996" s="218">
        <v>3280.2849999999999</v>
      </c>
      <c r="M996" s="246">
        <v>533086</v>
      </c>
      <c r="N996" s="251">
        <v>229.49440000000001</v>
      </c>
      <c r="O996" s="251">
        <v>245.2809</v>
      </c>
      <c r="P996" s="251">
        <v>240.30500000000001</v>
      </c>
      <c r="Q996" s="251">
        <v>228.5564</v>
      </c>
      <c r="R996" s="254">
        <v>1.0900000000000001</v>
      </c>
      <c r="S996" s="214">
        <v>679810</v>
      </c>
      <c r="T996" s="214">
        <v>8779328</v>
      </c>
      <c r="U996" s="214">
        <v>0</v>
      </c>
      <c r="V996" s="187">
        <f t="shared" si="36"/>
        <v>8779328</v>
      </c>
      <c r="W996" s="187">
        <f t="shared" si="37"/>
        <v>9459138</v>
      </c>
    </row>
    <row r="997" spans="1:23">
      <c r="A997" s="216" t="s">
        <v>610</v>
      </c>
      <c r="B997" s="218">
        <v>152.672</v>
      </c>
      <c r="C997" s="218">
        <v>161.809</v>
      </c>
      <c r="D997" s="218">
        <v>163.04599999999999</v>
      </c>
      <c r="E997" s="218">
        <v>162.21899999999999</v>
      </c>
      <c r="F997" s="218">
        <v>25</v>
      </c>
      <c r="G997" s="218">
        <v>23</v>
      </c>
      <c r="H997" s="218">
        <v>25.5</v>
      </c>
      <c r="I997" s="218">
        <v>26.4786</v>
      </c>
      <c r="J997" s="246">
        <v>12714819</v>
      </c>
      <c r="K997" s="246">
        <v>13252837</v>
      </c>
      <c r="L997" s="218">
        <v>268.84800000000001</v>
      </c>
      <c r="M997" s="187">
        <v>0</v>
      </c>
      <c r="N997" s="251">
        <v>17.534500000000001</v>
      </c>
      <c r="O997" s="251">
        <v>18.482399999999998</v>
      </c>
      <c r="P997" s="251">
        <v>17.975000000000001</v>
      </c>
      <c r="Q997" s="251">
        <v>19.0517</v>
      </c>
      <c r="R997" s="254">
        <v>1.07</v>
      </c>
      <c r="S997" s="214">
        <v>0</v>
      </c>
      <c r="T997" s="214">
        <v>181202</v>
      </c>
      <c r="U997" s="214">
        <v>0</v>
      </c>
      <c r="V997" s="187">
        <f t="shared" si="36"/>
        <v>181202</v>
      </c>
      <c r="W997" s="187">
        <f t="shared" si="37"/>
        <v>181202</v>
      </c>
    </row>
    <row r="998" spans="1:23">
      <c r="A998" s="216" t="s">
        <v>6145</v>
      </c>
      <c r="B998" s="218">
        <v>279.51900000000001</v>
      </c>
      <c r="C998" s="218">
        <v>285.04500000000002</v>
      </c>
      <c r="D998" s="218">
        <v>276.43700000000001</v>
      </c>
      <c r="E998" s="218">
        <v>285.39999999999998</v>
      </c>
      <c r="F998" s="218">
        <v>63.712299999999999</v>
      </c>
      <c r="G998" s="218">
        <v>64.617599999999996</v>
      </c>
      <c r="H998" s="218">
        <v>66.019000000000005</v>
      </c>
      <c r="I998" s="218">
        <v>56.6873</v>
      </c>
      <c r="J998" s="246">
        <v>17843846</v>
      </c>
      <c r="K998" s="246">
        <v>20138143</v>
      </c>
      <c r="L998" s="218">
        <v>514.53300000000002</v>
      </c>
      <c r="M998" s="187">
        <v>0</v>
      </c>
      <c r="N998" s="251">
        <v>41</v>
      </c>
      <c r="O998" s="251">
        <v>41.001100000000001</v>
      </c>
      <c r="P998" s="251">
        <v>42.610700000000001</v>
      </c>
      <c r="Q998" s="251">
        <v>33.878399999999999</v>
      </c>
      <c r="R998" s="254">
        <v>1.1599999999999999</v>
      </c>
      <c r="S998" s="214">
        <v>25397</v>
      </c>
      <c r="T998" s="214">
        <v>290256</v>
      </c>
      <c r="U998" s="214">
        <v>0</v>
      </c>
      <c r="V998" s="187">
        <f t="shared" si="36"/>
        <v>290256</v>
      </c>
      <c r="W998" s="187">
        <f t="shared" si="37"/>
        <v>315653</v>
      </c>
    </row>
    <row r="999" spans="1:23">
      <c r="A999" s="216" t="s">
        <v>2998</v>
      </c>
      <c r="B999" s="218">
        <v>1438.2539999999999</v>
      </c>
      <c r="C999" s="218">
        <v>1430.7909999999999</v>
      </c>
      <c r="D999" s="218">
        <v>1461.925</v>
      </c>
      <c r="E999" s="218">
        <v>1421.43</v>
      </c>
      <c r="F999" s="218">
        <v>280.59840000000003</v>
      </c>
      <c r="G999" s="218">
        <v>288.48579999999998</v>
      </c>
      <c r="H999" s="218">
        <v>297.85019999999997</v>
      </c>
      <c r="I999" s="218">
        <v>285.68459999999999</v>
      </c>
      <c r="J999" s="246">
        <v>111154063</v>
      </c>
      <c r="K999" s="246">
        <v>122161008</v>
      </c>
      <c r="L999" s="218">
        <v>2299.2579999999998</v>
      </c>
      <c r="M999" s="187">
        <v>0</v>
      </c>
      <c r="N999" s="251">
        <v>160.8843</v>
      </c>
      <c r="O999" s="251">
        <v>161.2499</v>
      </c>
      <c r="P999" s="251">
        <v>143.9803</v>
      </c>
      <c r="Q999" s="251">
        <v>150.98949999999999</v>
      </c>
      <c r="R999" s="254">
        <v>1.1499999999999999</v>
      </c>
      <c r="S999" s="214">
        <v>90224</v>
      </c>
      <c r="T999" s="214">
        <v>1723885</v>
      </c>
      <c r="U999" s="214">
        <v>91854</v>
      </c>
      <c r="V999" s="187">
        <f t="shared" si="36"/>
        <v>1815739</v>
      </c>
      <c r="W999" s="187">
        <f t="shared" si="37"/>
        <v>1905963</v>
      </c>
    </row>
    <row r="1000" spans="1:23">
      <c r="A1000" s="216" t="s">
        <v>2766</v>
      </c>
      <c r="B1000" s="218">
        <v>2536.4580000000001</v>
      </c>
      <c r="C1000" s="218">
        <v>2470.424</v>
      </c>
      <c r="D1000" s="218">
        <v>2409.1779999999999</v>
      </c>
      <c r="E1000" s="218">
        <v>2441.1759999999999</v>
      </c>
      <c r="F1000" s="218">
        <v>473.56369999999998</v>
      </c>
      <c r="G1000" s="218">
        <v>426.68</v>
      </c>
      <c r="H1000" s="218">
        <v>377.98660000000001</v>
      </c>
      <c r="I1000" s="218">
        <v>388.33390000000003</v>
      </c>
      <c r="J1000" s="246">
        <v>251082637</v>
      </c>
      <c r="K1000" s="246">
        <v>269138365</v>
      </c>
      <c r="L1000" s="218">
        <v>3707.8209999999999</v>
      </c>
      <c r="M1000" s="246">
        <v>2742</v>
      </c>
      <c r="N1000" s="251">
        <v>288.41250000000002</v>
      </c>
      <c r="O1000" s="251">
        <v>252.9949</v>
      </c>
      <c r="P1000" s="251">
        <v>210.82769999999999</v>
      </c>
      <c r="Q1000" s="251">
        <v>220.93690000000001</v>
      </c>
      <c r="R1000" s="254">
        <v>1.17</v>
      </c>
      <c r="S1000" s="214">
        <v>407113</v>
      </c>
      <c r="T1000" s="214">
        <v>3516187</v>
      </c>
      <c r="U1000" s="214">
        <v>0</v>
      </c>
      <c r="V1000" s="187">
        <f t="shared" si="36"/>
        <v>3516187</v>
      </c>
      <c r="W1000" s="187">
        <f t="shared" si="37"/>
        <v>3923300</v>
      </c>
    </row>
    <row r="1001" spans="1:23">
      <c r="A1001" s="216" t="s">
        <v>5040</v>
      </c>
      <c r="B1001" s="218">
        <v>274.58999999999997</v>
      </c>
      <c r="C1001" s="218">
        <v>259.87</v>
      </c>
      <c r="D1001" s="218">
        <v>252.02199999999999</v>
      </c>
      <c r="E1001" s="218">
        <v>244.50700000000001</v>
      </c>
      <c r="F1001" s="218">
        <v>54.692</v>
      </c>
      <c r="G1001" s="218">
        <v>56.253599999999999</v>
      </c>
      <c r="H1001" s="218">
        <v>53.518700000000003</v>
      </c>
      <c r="I1001" s="218">
        <v>58</v>
      </c>
      <c r="J1001" s="246">
        <v>50030129</v>
      </c>
      <c r="K1001" s="246">
        <v>52835753</v>
      </c>
      <c r="L1001" s="218">
        <v>560.673</v>
      </c>
      <c r="M1001" s="187">
        <v>0</v>
      </c>
      <c r="N1001" s="251">
        <v>31.0991</v>
      </c>
      <c r="O1001" s="251">
        <v>31.1006</v>
      </c>
      <c r="P1001" s="251">
        <v>27.7012</v>
      </c>
      <c r="Q1001" s="251">
        <v>37.001399999999997</v>
      </c>
      <c r="R1001" s="254">
        <v>1.1399999999999999</v>
      </c>
      <c r="S1001" s="214">
        <v>36074</v>
      </c>
      <c r="T1001" s="214">
        <v>758804</v>
      </c>
      <c r="U1001" s="214">
        <v>0</v>
      </c>
      <c r="V1001" s="187">
        <f t="shared" si="36"/>
        <v>758804</v>
      </c>
      <c r="W1001" s="187">
        <f t="shared" si="37"/>
        <v>794878</v>
      </c>
    </row>
    <row r="1002" spans="1:23">
      <c r="A1002" s="216" t="s">
        <v>1307</v>
      </c>
      <c r="B1002" s="218">
        <v>908.77300000000002</v>
      </c>
      <c r="C1002" s="218">
        <v>927.32399999999996</v>
      </c>
      <c r="D1002" s="218">
        <v>927.23599999999999</v>
      </c>
      <c r="E1002" s="218">
        <v>971.70500000000004</v>
      </c>
      <c r="F1002" s="218">
        <v>137.69499999999999</v>
      </c>
      <c r="G1002" s="218">
        <v>142.51070000000001</v>
      </c>
      <c r="H1002" s="218">
        <v>151.4151</v>
      </c>
      <c r="I1002" s="218">
        <v>142.64680000000001</v>
      </c>
      <c r="J1002" s="246">
        <v>148505210</v>
      </c>
      <c r="K1002" s="246">
        <v>158999146</v>
      </c>
      <c r="L1002" s="218">
        <v>1510.671</v>
      </c>
      <c r="M1002" s="246">
        <v>297580</v>
      </c>
      <c r="N1002" s="251">
        <v>89.837800000000001</v>
      </c>
      <c r="O1002" s="251">
        <v>91.008799999999994</v>
      </c>
      <c r="P1002" s="251">
        <v>90.929299999999998</v>
      </c>
      <c r="Q1002" s="251">
        <v>91.692099999999996</v>
      </c>
      <c r="R1002" s="254">
        <v>1.07</v>
      </c>
      <c r="S1002" s="214">
        <v>384050</v>
      </c>
      <c r="T1002" s="214">
        <v>2460499</v>
      </c>
      <c r="U1002" s="214">
        <v>0</v>
      </c>
      <c r="V1002" s="187">
        <f t="shared" si="36"/>
        <v>2460499</v>
      </c>
      <c r="W1002" s="187">
        <f t="shared" si="37"/>
        <v>2844549</v>
      </c>
    </row>
    <row r="1003" spans="1:23">
      <c r="A1003" s="216" t="s">
        <v>1319</v>
      </c>
      <c r="B1003" s="218">
        <v>7251.5230000000001</v>
      </c>
      <c r="C1003" s="218">
        <v>7583.3620000000001</v>
      </c>
      <c r="D1003" s="218">
        <v>7900.9070000000002</v>
      </c>
      <c r="E1003" s="218">
        <v>7993.2529999999997</v>
      </c>
      <c r="F1003" s="218">
        <v>1116.1833999999999</v>
      </c>
      <c r="G1003" s="218">
        <v>1179.0437999999999</v>
      </c>
      <c r="H1003" s="218">
        <v>1266.3619000000001</v>
      </c>
      <c r="I1003" s="218">
        <v>1292.222</v>
      </c>
      <c r="J1003" s="246">
        <v>2625124169</v>
      </c>
      <c r="K1003" s="246">
        <v>2737185050</v>
      </c>
      <c r="L1003" s="218">
        <v>9758.5669999999991</v>
      </c>
      <c r="M1003" s="246">
        <v>5728714</v>
      </c>
      <c r="N1003" s="251">
        <v>730.12580000000003</v>
      </c>
      <c r="O1003" s="251">
        <v>737.98350000000005</v>
      </c>
      <c r="P1003" s="251">
        <v>795.08309999999994</v>
      </c>
      <c r="Q1003" s="251">
        <v>819.38900000000001</v>
      </c>
      <c r="R1003" s="254">
        <v>1.0900000000000001</v>
      </c>
      <c r="S1003" s="214">
        <v>6629670</v>
      </c>
      <c r="T1003" s="214">
        <v>43299095</v>
      </c>
      <c r="U1003" s="214">
        <v>0</v>
      </c>
      <c r="V1003" s="187">
        <f t="shared" si="36"/>
        <v>43299095</v>
      </c>
      <c r="W1003" s="187">
        <f t="shared" si="37"/>
        <v>49928765</v>
      </c>
    </row>
    <row r="1004" spans="1:23">
      <c r="A1004" s="216" t="s">
        <v>1856</v>
      </c>
      <c r="B1004" s="218">
        <v>386.93200000000002</v>
      </c>
      <c r="C1004" s="218">
        <v>391.40300000000002</v>
      </c>
      <c r="D1004" s="218">
        <v>411.24799999999999</v>
      </c>
      <c r="E1004" s="218">
        <v>440.96300000000002</v>
      </c>
      <c r="F1004" s="218">
        <v>60.280700000000003</v>
      </c>
      <c r="G1004" s="218">
        <v>60.323500000000003</v>
      </c>
      <c r="H1004" s="218">
        <v>60.350299999999997</v>
      </c>
      <c r="I1004" s="218">
        <v>63.9251</v>
      </c>
      <c r="J1004" s="246">
        <v>64083880</v>
      </c>
      <c r="K1004" s="246">
        <v>69820484</v>
      </c>
      <c r="L1004" s="218">
        <v>734.01900000000001</v>
      </c>
      <c r="M1004" s="246">
        <v>14792</v>
      </c>
      <c r="N1004" s="251">
        <v>42.479300000000002</v>
      </c>
      <c r="O1004" s="251">
        <v>43.465800000000002</v>
      </c>
      <c r="P1004" s="251">
        <v>44.808900000000001</v>
      </c>
      <c r="Q1004" s="251">
        <v>47.251399999999997</v>
      </c>
      <c r="R1004" s="254">
        <v>1.06</v>
      </c>
      <c r="S1004" s="214">
        <v>58541</v>
      </c>
      <c r="T1004" s="214">
        <v>948778</v>
      </c>
      <c r="U1004" s="214">
        <v>0</v>
      </c>
      <c r="V1004" s="187">
        <f t="shared" si="36"/>
        <v>948778</v>
      </c>
      <c r="W1004" s="187">
        <f t="shared" si="37"/>
        <v>1007319</v>
      </c>
    </row>
    <row r="1005" spans="1:23">
      <c r="A1005" s="216" t="s">
        <v>6020</v>
      </c>
      <c r="B1005" s="218">
        <v>1025.3589999999999</v>
      </c>
      <c r="C1005" s="218">
        <v>1168.6990000000001</v>
      </c>
      <c r="D1005" s="218">
        <v>1375.482</v>
      </c>
      <c r="E1005" s="218">
        <v>1576.7919999999999</v>
      </c>
      <c r="F1005" s="218">
        <v>142.00450000000001</v>
      </c>
      <c r="G1005" s="218">
        <v>166.63759999999999</v>
      </c>
      <c r="H1005" s="218">
        <v>181.60390000000001</v>
      </c>
      <c r="I1005" s="218">
        <v>211.1601</v>
      </c>
      <c r="J1005" s="246">
        <v>324803590</v>
      </c>
      <c r="K1005" s="246">
        <v>336915829</v>
      </c>
      <c r="L1005" s="218">
        <v>2023.1559999999999</v>
      </c>
      <c r="M1005" s="246">
        <v>331663</v>
      </c>
      <c r="N1005" s="251">
        <v>92.899500000000003</v>
      </c>
      <c r="O1005" s="251">
        <v>104.15179999999999</v>
      </c>
      <c r="P1005" s="251">
        <v>118.9023</v>
      </c>
      <c r="Q1005" s="251">
        <v>139.68879999999999</v>
      </c>
      <c r="R1005" s="254">
        <v>1.06</v>
      </c>
      <c r="S1005" s="214">
        <v>1267798</v>
      </c>
      <c r="T1005" s="214">
        <v>6005149</v>
      </c>
      <c r="U1005" s="214">
        <v>0</v>
      </c>
      <c r="V1005" s="187">
        <f t="shared" si="36"/>
        <v>6005149</v>
      </c>
      <c r="W1005" s="187">
        <f t="shared" si="37"/>
        <v>7272947</v>
      </c>
    </row>
    <row r="1006" spans="1:23">
      <c r="A1006" s="216" t="s">
        <v>611</v>
      </c>
      <c r="B1006" s="218">
        <v>634.65599999999995</v>
      </c>
      <c r="C1006" s="218">
        <v>649.69600000000003</v>
      </c>
      <c r="D1006" s="218">
        <v>666.35900000000004</v>
      </c>
      <c r="E1006" s="218">
        <v>647.90099999999995</v>
      </c>
      <c r="F1006" s="218">
        <v>104.7059</v>
      </c>
      <c r="G1006" s="218">
        <v>106.0981</v>
      </c>
      <c r="H1006" s="218">
        <v>99.0548</v>
      </c>
      <c r="I1006" s="218">
        <v>107.46169999999999</v>
      </c>
      <c r="J1006" s="246">
        <v>197593533</v>
      </c>
      <c r="K1006" s="246">
        <v>208251383</v>
      </c>
      <c r="L1006" s="218">
        <v>1056.5129999999999</v>
      </c>
      <c r="M1006" s="187">
        <v>0</v>
      </c>
      <c r="N1006" s="251">
        <v>71.899900000000002</v>
      </c>
      <c r="O1006" s="251">
        <v>71.963499999999996</v>
      </c>
      <c r="P1006" s="251">
        <v>68.671400000000006</v>
      </c>
      <c r="Q1006" s="251">
        <v>76.021100000000004</v>
      </c>
      <c r="R1006" s="254">
        <v>1.06</v>
      </c>
      <c r="S1006" s="214">
        <v>268918</v>
      </c>
      <c r="T1006" s="214">
        <v>3485143</v>
      </c>
      <c r="U1006" s="214">
        <v>0</v>
      </c>
      <c r="V1006" s="187">
        <f t="shared" si="36"/>
        <v>3485143</v>
      </c>
      <c r="W1006" s="187">
        <f t="shared" si="37"/>
        <v>3754061</v>
      </c>
    </row>
    <row r="1007" spans="1:23">
      <c r="A1007" s="216" t="s">
        <v>2990</v>
      </c>
      <c r="B1007" s="218">
        <v>1371.0129999999999</v>
      </c>
      <c r="C1007" s="218">
        <v>1504.913</v>
      </c>
      <c r="D1007" s="218">
        <v>1580.098</v>
      </c>
      <c r="E1007" s="218">
        <v>1671.182</v>
      </c>
      <c r="F1007" s="218">
        <v>229.94380000000001</v>
      </c>
      <c r="G1007" s="218">
        <v>243.4657</v>
      </c>
      <c r="H1007" s="218">
        <v>277.6361</v>
      </c>
      <c r="I1007" s="218">
        <v>258.84960000000001</v>
      </c>
      <c r="J1007" s="246">
        <v>378307896</v>
      </c>
      <c r="K1007" s="246">
        <v>394377298</v>
      </c>
      <c r="L1007" s="218">
        <v>2240.7849999999999</v>
      </c>
      <c r="M1007" s="246">
        <v>502763</v>
      </c>
      <c r="N1007" s="251">
        <v>160.3158</v>
      </c>
      <c r="O1007" s="251">
        <v>168.5624</v>
      </c>
      <c r="P1007" s="251">
        <v>188.3561</v>
      </c>
      <c r="Q1007" s="251">
        <v>181.85720000000001</v>
      </c>
      <c r="R1007" s="254">
        <v>1.06</v>
      </c>
      <c r="S1007" s="214">
        <v>730575</v>
      </c>
      <c r="T1007" s="214">
        <v>6574036</v>
      </c>
      <c r="U1007" s="214">
        <v>0</v>
      </c>
      <c r="V1007" s="187">
        <f t="shared" si="36"/>
        <v>6574036</v>
      </c>
      <c r="W1007" s="187">
        <f t="shared" si="37"/>
        <v>7304611</v>
      </c>
    </row>
    <row r="1008" spans="1:23">
      <c r="A1008" s="216" t="s">
        <v>2382</v>
      </c>
      <c r="B1008" s="218">
        <v>28842.987000000001</v>
      </c>
      <c r="C1008" s="218">
        <v>30033.964</v>
      </c>
      <c r="D1008" s="218">
        <v>31110.191999999999</v>
      </c>
      <c r="E1008" s="218">
        <v>32284.93</v>
      </c>
      <c r="F1008" s="218">
        <v>3770.0596999999998</v>
      </c>
      <c r="G1008" s="218">
        <v>4168.6619000000001</v>
      </c>
      <c r="H1008" s="218">
        <v>4494.9489999999996</v>
      </c>
      <c r="I1008" s="218">
        <v>4387.5998</v>
      </c>
      <c r="J1008" s="246">
        <v>12315783013</v>
      </c>
      <c r="K1008" s="246">
        <v>12672551004</v>
      </c>
      <c r="L1008" s="218">
        <v>39139.868999999999</v>
      </c>
      <c r="M1008" s="246">
        <v>35715771</v>
      </c>
      <c r="N1008" s="251">
        <v>2448.5772999999999</v>
      </c>
      <c r="O1008" s="251">
        <v>2652.3267999999998</v>
      </c>
      <c r="P1008" s="251">
        <v>2785.6664999999998</v>
      </c>
      <c r="Q1008" s="251">
        <v>2770.7525999999998</v>
      </c>
      <c r="R1008" s="254">
        <v>1.1200000000000001</v>
      </c>
      <c r="S1008" s="214">
        <v>49349895</v>
      </c>
      <c r="T1008" s="214">
        <v>189509559</v>
      </c>
      <c r="U1008" s="214">
        <v>0</v>
      </c>
      <c r="V1008" s="187">
        <f t="shared" si="36"/>
        <v>189509559</v>
      </c>
      <c r="W1008" s="187">
        <f t="shared" si="37"/>
        <v>238859454</v>
      </c>
    </row>
    <row r="1009" spans="1:23">
      <c r="A1009" s="216" t="s">
        <v>2473</v>
      </c>
      <c r="B1009" s="218">
        <v>2731.8679999999999</v>
      </c>
      <c r="C1009" s="218">
        <v>2857.2449999999999</v>
      </c>
      <c r="D1009" s="218">
        <v>2931.866</v>
      </c>
      <c r="E1009" s="218">
        <v>2912.2350000000001</v>
      </c>
      <c r="F1009" s="218">
        <v>486.9468</v>
      </c>
      <c r="G1009" s="218">
        <v>512.28539999999998</v>
      </c>
      <c r="H1009" s="218">
        <v>540.85419999999999</v>
      </c>
      <c r="I1009" s="218">
        <v>559.57169999999996</v>
      </c>
      <c r="J1009" s="246">
        <v>504278301</v>
      </c>
      <c r="K1009" s="246">
        <v>536599413</v>
      </c>
      <c r="L1009" s="218">
        <v>4044.4940000000001</v>
      </c>
      <c r="M1009" s="246">
        <v>588428</v>
      </c>
      <c r="N1009" s="251">
        <v>298.21559999999999</v>
      </c>
      <c r="O1009" s="251">
        <v>286.05489999999998</v>
      </c>
      <c r="P1009" s="251">
        <v>297.96780000000001</v>
      </c>
      <c r="Q1009" s="251">
        <v>309.51679999999999</v>
      </c>
      <c r="R1009" s="254">
        <v>1.08</v>
      </c>
      <c r="S1009" s="214">
        <v>856310</v>
      </c>
      <c r="T1009" s="214">
        <v>8329699</v>
      </c>
      <c r="U1009" s="214">
        <v>0</v>
      </c>
      <c r="V1009" s="187">
        <f t="shared" si="36"/>
        <v>8329699</v>
      </c>
      <c r="W1009" s="187">
        <f t="shared" si="37"/>
        <v>9186009</v>
      </c>
    </row>
    <row r="1010" spans="1:23">
      <c r="A1010" s="216" t="s">
        <v>2412</v>
      </c>
      <c r="B1010" s="218">
        <v>471.55799999999999</v>
      </c>
      <c r="C1010" s="218">
        <v>456.18799999999999</v>
      </c>
      <c r="D1010" s="218">
        <v>467.26400000000001</v>
      </c>
      <c r="E1010" s="218">
        <v>519.65899999999999</v>
      </c>
      <c r="F1010" s="218">
        <v>69.552000000000007</v>
      </c>
      <c r="G1010" s="218">
        <v>61.680500000000002</v>
      </c>
      <c r="H1010" s="218">
        <v>64.303200000000004</v>
      </c>
      <c r="I1010" s="218">
        <v>83.282300000000006</v>
      </c>
      <c r="J1010" s="246">
        <v>90595855</v>
      </c>
      <c r="K1010" s="246">
        <v>96502603</v>
      </c>
      <c r="L1010" s="218">
        <v>834.89800000000002</v>
      </c>
      <c r="M1010" s="246">
        <v>50665</v>
      </c>
      <c r="N1010" s="251">
        <v>45.426000000000002</v>
      </c>
      <c r="O1010" s="251">
        <v>40.853200000000001</v>
      </c>
      <c r="P1010" s="251">
        <v>42.224400000000003</v>
      </c>
      <c r="Q1010" s="251">
        <v>48.2301</v>
      </c>
      <c r="R1010" s="254">
        <v>1.06</v>
      </c>
      <c r="S1010" s="214">
        <v>120663</v>
      </c>
      <c r="T1010" s="214">
        <v>1427523</v>
      </c>
      <c r="U1010" s="214">
        <v>0</v>
      </c>
      <c r="V1010" s="187">
        <f t="shared" si="36"/>
        <v>1427523</v>
      </c>
      <c r="W1010" s="187">
        <f t="shared" si="37"/>
        <v>1548186</v>
      </c>
    </row>
    <row r="1011" spans="1:23">
      <c r="A1011" s="216" t="s">
        <v>2988</v>
      </c>
      <c r="B1011" s="218">
        <v>12469.549000000001</v>
      </c>
      <c r="C1011" s="218">
        <v>13747.816999999999</v>
      </c>
      <c r="D1011" s="218">
        <v>14888.498</v>
      </c>
      <c r="E1011" s="218">
        <v>15955.397000000001</v>
      </c>
      <c r="F1011" s="218">
        <v>1591.3439000000001</v>
      </c>
      <c r="G1011" s="218">
        <v>1764.9695999999999</v>
      </c>
      <c r="H1011" s="218">
        <v>1963.5383999999999</v>
      </c>
      <c r="I1011" s="218">
        <v>2090.1021000000001</v>
      </c>
      <c r="J1011" s="246">
        <v>4853741461</v>
      </c>
      <c r="K1011" s="246">
        <v>5039589856</v>
      </c>
      <c r="L1011" s="218">
        <v>19328.600999999999</v>
      </c>
      <c r="M1011" s="246">
        <v>9568450</v>
      </c>
      <c r="N1011" s="251">
        <v>1013.9646</v>
      </c>
      <c r="O1011" s="251">
        <v>1133.4697000000001</v>
      </c>
      <c r="P1011" s="251">
        <v>1259.125</v>
      </c>
      <c r="Q1011" s="251">
        <v>1330.1469999999999</v>
      </c>
      <c r="R1011" s="254">
        <v>1.1000000000000001</v>
      </c>
      <c r="S1011" s="214">
        <v>16998515</v>
      </c>
      <c r="T1011" s="214">
        <v>84657299</v>
      </c>
      <c r="U1011" s="214">
        <v>0</v>
      </c>
      <c r="V1011" s="187">
        <f t="shared" si="36"/>
        <v>84657299</v>
      </c>
      <c r="W1011" s="187">
        <f t="shared" si="37"/>
        <v>101655814</v>
      </c>
    </row>
    <row r="1012" spans="1:23">
      <c r="A1012" s="216" t="s">
        <v>613</v>
      </c>
      <c r="B1012" s="218">
        <v>120.801</v>
      </c>
      <c r="C1012" s="218">
        <v>117.131</v>
      </c>
      <c r="D1012" s="218">
        <v>113.59399999999999</v>
      </c>
      <c r="E1012" s="218">
        <v>121.419</v>
      </c>
      <c r="F1012" s="218">
        <v>21.280799999999999</v>
      </c>
      <c r="G1012" s="218">
        <v>20</v>
      </c>
      <c r="H1012" s="218">
        <v>22</v>
      </c>
      <c r="I1012" s="218">
        <v>20</v>
      </c>
      <c r="J1012" s="246">
        <v>33704992</v>
      </c>
      <c r="K1012" s="246">
        <v>35993104</v>
      </c>
      <c r="L1012" s="218">
        <v>190.73699999999999</v>
      </c>
      <c r="M1012" s="187">
        <v>0</v>
      </c>
      <c r="N1012" s="251">
        <v>15.871600000000001</v>
      </c>
      <c r="O1012" s="251">
        <v>15.0002</v>
      </c>
      <c r="P1012" s="251">
        <v>17.000499999999999</v>
      </c>
      <c r="Q1012" s="251">
        <v>15.0007</v>
      </c>
      <c r="R1012" s="254">
        <v>1.07</v>
      </c>
      <c r="S1012" s="214">
        <v>0</v>
      </c>
      <c r="T1012" s="214">
        <v>535873</v>
      </c>
      <c r="U1012" s="214">
        <v>0</v>
      </c>
      <c r="V1012" s="187">
        <f t="shared" si="36"/>
        <v>535873</v>
      </c>
      <c r="W1012" s="187">
        <f t="shared" si="37"/>
        <v>535873</v>
      </c>
    </row>
    <row r="1013" spans="1:23">
      <c r="A1013" s="216" t="s">
        <v>5041</v>
      </c>
      <c r="B1013" s="218">
        <v>3156.7460000000001</v>
      </c>
      <c r="C1013" s="218">
        <v>3166.3</v>
      </c>
      <c r="D1013" s="218">
        <v>3160.8589999999999</v>
      </c>
      <c r="E1013" s="218">
        <v>3251.4349999999999</v>
      </c>
      <c r="F1013" s="218">
        <v>476.75119999999998</v>
      </c>
      <c r="G1013" s="218">
        <v>507.21910000000003</v>
      </c>
      <c r="H1013" s="218">
        <v>525.82349999999997</v>
      </c>
      <c r="I1013" s="218">
        <v>514.95050000000003</v>
      </c>
      <c r="J1013" s="246">
        <v>482414817</v>
      </c>
      <c r="K1013" s="246">
        <v>520213747</v>
      </c>
      <c r="L1013" s="218">
        <v>4412.71</v>
      </c>
      <c r="M1013" s="246">
        <v>196096</v>
      </c>
      <c r="N1013" s="251">
        <v>324.31700000000001</v>
      </c>
      <c r="O1013" s="251">
        <v>330.86270000000002</v>
      </c>
      <c r="P1013" s="251">
        <v>333.6848</v>
      </c>
      <c r="Q1013" s="251">
        <v>330.58839999999998</v>
      </c>
      <c r="R1013" s="254">
        <v>1.08</v>
      </c>
      <c r="S1013" s="214">
        <v>791358</v>
      </c>
      <c r="T1013" s="214">
        <v>7562594</v>
      </c>
      <c r="U1013" s="214">
        <v>0</v>
      </c>
      <c r="V1013" s="187">
        <f t="shared" si="36"/>
        <v>7562594</v>
      </c>
      <c r="W1013" s="187">
        <f t="shared" si="37"/>
        <v>8353952</v>
      </c>
    </row>
    <row r="1014" spans="1:23">
      <c r="A1014" s="216" t="s">
        <v>6039</v>
      </c>
      <c r="B1014" s="218">
        <v>1999.904</v>
      </c>
      <c r="C1014" s="218">
        <v>2054.0479999999998</v>
      </c>
      <c r="D1014" s="218">
        <v>2154.2190000000001</v>
      </c>
      <c r="E1014" s="218">
        <v>2201.5990000000002</v>
      </c>
      <c r="F1014" s="218">
        <v>265.30709999999999</v>
      </c>
      <c r="G1014" s="218">
        <v>266.32040000000001</v>
      </c>
      <c r="H1014" s="218">
        <v>294.65789999999998</v>
      </c>
      <c r="I1014" s="218">
        <v>303.16210000000001</v>
      </c>
      <c r="J1014" s="246">
        <v>269475396</v>
      </c>
      <c r="K1014" s="246">
        <v>291916972</v>
      </c>
      <c r="L1014" s="218">
        <v>3008.14</v>
      </c>
      <c r="M1014" s="246">
        <v>185160</v>
      </c>
      <c r="N1014" s="251">
        <v>171.93109999999999</v>
      </c>
      <c r="O1014" s="251">
        <v>173.55940000000001</v>
      </c>
      <c r="P1014" s="251">
        <v>182.9743</v>
      </c>
      <c r="Q1014" s="251">
        <v>184.47550000000001</v>
      </c>
      <c r="R1014" s="254">
        <v>1.07</v>
      </c>
      <c r="S1014" s="214">
        <v>456649</v>
      </c>
      <c r="T1014" s="214">
        <v>4260012</v>
      </c>
      <c r="U1014" s="214">
        <v>0</v>
      </c>
      <c r="V1014" s="187">
        <f t="shared" si="36"/>
        <v>4260012</v>
      </c>
      <c r="W1014" s="187">
        <f t="shared" si="37"/>
        <v>4716661</v>
      </c>
    </row>
    <row r="1015" spans="1:23">
      <c r="A1015" s="216" t="s">
        <v>5043</v>
      </c>
      <c r="B1015" s="218">
        <v>723.01599999999996</v>
      </c>
      <c r="C1015" s="218">
        <v>697.97699999999998</v>
      </c>
      <c r="D1015" s="218">
        <v>687.78899999999999</v>
      </c>
      <c r="E1015" s="218">
        <v>682.45899999999995</v>
      </c>
      <c r="F1015" s="218">
        <v>104.9384</v>
      </c>
      <c r="G1015" s="218">
        <v>105.06140000000001</v>
      </c>
      <c r="H1015" s="218">
        <v>104.8747</v>
      </c>
      <c r="I1015" s="218">
        <v>102.1634</v>
      </c>
      <c r="J1015" s="246">
        <v>85541018</v>
      </c>
      <c r="K1015" s="246">
        <v>93640338</v>
      </c>
      <c r="L1015" s="218">
        <v>1023.4109999999999</v>
      </c>
      <c r="M1015" s="187">
        <v>0</v>
      </c>
      <c r="N1015" s="251">
        <v>66.000299999999996</v>
      </c>
      <c r="O1015" s="251">
        <v>67.6096</v>
      </c>
      <c r="P1015" s="251">
        <v>68.501499999999993</v>
      </c>
      <c r="Q1015" s="251">
        <v>67.634699999999995</v>
      </c>
      <c r="R1015" s="254">
        <v>1.07</v>
      </c>
      <c r="S1015" s="214">
        <v>57035</v>
      </c>
      <c r="T1015" s="214">
        <v>1243372</v>
      </c>
      <c r="U1015" s="214">
        <v>0</v>
      </c>
      <c r="V1015" s="187">
        <f t="shared" si="36"/>
        <v>1243372</v>
      </c>
      <c r="W1015" s="187">
        <f t="shared" si="37"/>
        <v>1300407</v>
      </c>
    </row>
    <row r="1016" spans="1:23">
      <c r="A1016" s="216" t="s">
        <v>2409</v>
      </c>
      <c r="B1016" s="218">
        <v>702.72500000000002</v>
      </c>
      <c r="C1016" s="218">
        <v>676.46299999999997</v>
      </c>
      <c r="D1016" s="218">
        <v>706.07899999999995</v>
      </c>
      <c r="E1016" s="218">
        <v>713.10900000000004</v>
      </c>
      <c r="F1016" s="218">
        <v>101.8823</v>
      </c>
      <c r="G1016" s="218">
        <v>92.031999999999996</v>
      </c>
      <c r="H1016" s="218">
        <v>97.243300000000005</v>
      </c>
      <c r="I1016" s="218">
        <v>107.61499999999999</v>
      </c>
      <c r="J1016" s="246">
        <v>83051957</v>
      </c>
      <c r="K1016" s="246">
        <v>90166567</v>
      </c>
      <c r="L1016" s="218">
        <v>1103.289</v>
      </c>
      <c r="M1016" s="246">
        <v>1569</v>
      </c>
      <c r="N1016" s="251">
        <v>67.891900000000007</v>
      </c>
      <c r="O1016" s="251">
        <v>62.547400000000003</v>
      </c>
      <c r="P1016" s="251">
        <v>66.441999999999993</v>
      </c>
      <c r="Q1016" s="251">
        <v>74.423699999999997</v>
      </c>
      <c r="R1016" s="254">
        <v>1.07</v>
      </c>
      <c r="S1016" s="214">
        <v>18663</v>
      </c>
      <c r="T1016" s="214">
        <v>1185493</v>
      </c>
      <c r="U1016" s="214">
        <v>0</v>
      </c>
      <c r="V1016" s="187">
        <f t="shared" si="36"/>
        <v>1185493</v>
      </c>
      <c r="W1016" s="187">
        <f t="shared" si="37"/>
        <v>1204156</v>
      </c>
    </row>
    <row r="1017" spans="1:23">
      <c r="A1017" s="216" t="s">
        <v>615</v>
      </c>
      <c r="B1017" s="218">
        <v>1345.548</v>
      </c>
      <c r="C1017" s="218">
        <v>1299.2809999999999</v>
      </c>
      <c r="D1017" s="218">
        <v>1260.0429999999999</v>
      </c>
      <c r="E1017" s="218">
        <v>1215.0719999999999</v>
      </c>
      <c r="F1017" s="218">
        <v>244.88720000000001</v>
      </c>
      <c r="G1017" s="218">
        <v>244.0145</v>
      </c>
      <c r="H1017" s="218">
        <v>243.84729999999999</v>
      </c>
      <c r="I1017" s="218">
        <v>228.9802</v>
      </c>
      <c r="J1017" s="246">
        <v>373381363</v>
      </c>
      <c r="K1017" s="246">
        <v>386423613</v>
      </c>
      <c r="L1017" s="218">
        <v>2057.0940000000001</v>
      </c>
      <c r="M1017" s="187">
        <v>0</v>
      </c>
      <c r="N1017" s="251">
        <v>149.4034</v>
      </c>
      <c r="O1017" s="251">
        <v>151.21260000000001</v>
      </c>
      <c r="P1017" s="251">
        <v>153.0849</v>
      </c>
      <c r="Q1017" s="251">
        <v>137.75030000000001</v>
      </c>
      <c r="R1017" s="254">
        <v>1.1299999999999999</v>
      </c>
      <c r="S1017" s="214">
        <v>0</v>
      </c>
      <c r="T1017" s="214">
        <v>5486545</v>
      </c>
      <c r="U1017" s="214">
        <v>0</v>
      </c>
      <c r="V1017" s="187">
        <f t="shared" si="36"/>
        <v>5486545</v>
      </c>
      <c r="W1017" s="187">
        <f t="shared" si="37"/>
        <v>5486545</v>
      </c>
    </row>
    <row r="1018" spans="1:23">
      <c r="A1018" s="216" t="s">
        <v>617</v>
      </c>
      <c r="B1018" s="218">
        <v>329.54199999999997</v>
      </c>
      <c r="C1018" s="218">
        <v>327.59699999999998</v>
      </c>
      <c r="D1018" s="218">
        <v>317.70400000000001</v>
      </c>
      <c r="E1018" s="218">
        <v>316.90100000000001</v>
      </c>
      <c r="F1018" s="218">
        <v>75</v>
      </c>
      <c r="G1018" s="218">
        <v>75</v>
      </c>
      <c r="H1018" s="218">
        <v>75.5</v>
      </c>
      <c r="I1018" s="218">
        <v>74.462599999999995</v>
      </c>
      <c r="J1018" s="246">
        <v>408936540</v>
      </c>
      <c r="K1018" s="246">
        <v>411155630</v>
      </c>
      <c r="L1018" s="218">
        <v>613.17499999999995</v>
      </c>
      <c r="M1018" s="246">
        <v>258264</v>
      </c>
      <c r="N1018" s="251">
        <v>43.932899999999997</v>
      </c>
      <c r="O1018" s="251">
        <v>43.133400000000002</v>
      </c>
      <c r="P1018" s="251">
        <v>44.752699999999997</v>
      </c>
      <c r="Q1018" s="251">
        <v>44.068100000000001</v>
      </c>
      <c r="R1018" s="254">
        <v>1.1000000000000001</v>
      </c>
      <c r="S1018" s="214">
        <v>80154</v>
      </c>
      <c r="T1018" s="214">
        <v>5685266</v>
      </c>
      <c r="U1018" s="214">
        <v>0</v>
      </c>
      <c r="V1018" s="187">
        <f t="shared" si="36"/>
        <v>5685266</v>
      </c>
      <c r="W1018" s="187">
        <f t="shared" si="37"/>
        <v>5765420</v>
      </c>
    </row>
    <row r="1019" spans="1:23">
      <c r="A1019" s="216" t="s">
        <v>3889</v>
      </c>
      <c r="B1019" s="218">
        <v>545.13599999999997</v>
      </c>
      <c r="C1019" s="218">
        <v>576.95299999999997</v>
      </c>
      <c r="D1019" s="218">
        <v>610.61900000000003</v>
      </c>
      <c r="E1019" s="218">
        <v>647.19100000000003</v>
      </c>
      <c r="F1019" s="218">
        <v>72.834400000000002</v>
      </c>
      <c r="G1019" s="218">
        <v>75.853099999999998</v>
      </c>
      <c r="H1019" s="218">
        <v>84.048299999999998</v>
      </c>
      <c r="I1019" s="218">
        <v>93.141900000000007</v>
      </c>
      <c r="J1019" s="246">
        <v>83182690</v>
      </c>
      <c r="K1019" s="246">
        <v>91054229</v>
      </c>
      <c r="L1019" s="218">
        <v>1003.72</v>
      </c>
      <c r="M1019" s="246">
        <v>46508</v>
      </c>
      <c r="N1019" s="251">
        <v>47.713200000000001</v>
      </c>
      <c r="O1019" s="251">
        <v>51.001399999999997</v>
      </c>
      <c r="P1019" s="251">
        <v>56.594499999999996</v>
      </c>
      <c r="Q1019" s="251">
        <v>60.117899999999999</v>
      </c>
      <c r="R1019" s="254">
        <v>1.1000000000000001</v>
      </c>
      <c r="S1019" s="214">
        <v>132946</v>
      </c>
      <c r="T1019" s="214">
        <v>1273690</v>
      </c>
      <c r="U1019" s="214">
        <v>0</v>
      </c>
      <c r="V1019" s="187">
        <f t="shared" si="36"/>
        <v>1273690</v>
      </c>
      <c r="W1019" s="187">
        <f t="shared" si="37"/>
        <v>1406636</v>
      </c>
    </row>
    <row r="1020" spans="1:23">
      <c r="A1020" s="216" t="s">
        <v>619</v>
      </c>
      <c r="B1020" s="218">
        <v>1017.579</v>
      </c>
      <c r="C1020" s="218">
        <v>974.67399999999998</v>
      </c>
      <c r="D1020" s="218">
        <v>983.548</v>
      </c>
      <c r="E1020" s="218">
        <v>1035.1610000000001</v>
      </c>
      <c r="F1020" s="218">
        <v>148.45509999999999</v>
      </c>
      <c r="G1020" s="218">
        <v>138.31880000000001</v>
      </c>
      <c r="H1020" s="218">
        <v>154.96619999999999</v>
      </c>
      <c r="I1020" s="218">
        <v>158.67310000000001</v>
      </c>
      <c r="J1020" s="246">
        <v>196915723</v>
      </c>
      <c r="K1020" s="246">
        <v>209819009</v>
      </c>
      <c r="L1020" s="218">
        <v>1533.857</v>
      </c>
      <c r="M1020" s="246">
        <v>303605</v>
      </c>
      <c r="N1020" s="251">
        <v>103.6784</v>
      </c>
      <c r="O1020" s="251">
        <v>96.465999999999994</v>
      </c>
      <c r="P1020" s="251">
        <v>105.91679999999999</v>
      </c>
      <c r="Q1020" s="251">
        <v>107.0018</v>
      </c>
      <c r="R1020" s="254">
        <v>1.1100000000000001</v>
      </c>
      <c r="S1020" s="214">
        <v>259051</v>
      </c>
      <c r="T1020" s="214">
        <v>3073013</v>
      </c>
      <c r="U1020" s="214">
        <v>0</v>
      </c>
      <c r="V1020" s="187">
        <f t="shared" si="36"/>
        <v>3073013</v>
      </c>
      <c r="W1020" s="187">
        <f t="shared" si="37"/>
        <v>3332064</v>
      </c>
    </row>
    <row r="1021" spans="1:23">
      <c r="A1021" s="216" t="s">
        <v>1328</v>
      </c>
      <c r="B1021" s="218">
        <v>1989.1980000000001</v>
      </c>
      <c r="C1021" s="218">
        <v>2020.5139999999999</v>
      </c>
      <c r="D1021" s="218">
        <v>2064.154</v>
      </c>
      <c r="E1021" s="218">
        <v>2036.979</v>
      </c>
      <c r="F1021" s="218">
        <v>325.8134</v>
      </c>
      <c r="G1021" s="218">
        <v>342.85550000000001</v>
      </c>
      <c r="H1021" s="218">
        <v>353.55349999999999</v>
      </c>
      <c r="I1021" s="218">
        <v>369.661</v>
      </c>
      <c r="J1021" s="246">
        <v>395523226</v>
      </c>
      <c r="K1021" s="246">
        <v>417958316</v>
      </c>
      <c r="L1021" s="218">
        <v>2854.8829999999998</v>
      </c>
      <c r="M1021" s="246">
        <v>615778</v>
      </c>
      <c r="N1021" s="251">
        <v>200.07050000000001</v>
      </c>
      <c r="O1021" s="251">
        <v>213.4452</v>
      </c>
      <c r="P1021" s="251">
        <v>220.17760000000001</v>
      </c>
      <c r="Q1021" s="251">
        <v>227.64769999999999</v>
      </c>
      <c r="R1021" s="254">
        <v>1.1000000000000001</v>
      </c>
      <c r="S1021" s="214">
        <v>792205</v>
      </c>
      <c r="T1021" s="214">
        <v>6920003</v>
      </c>
      <c r="U1021" s="214">
        <v>0</v>
      </c>
      <c r="V1021" s="187">
        <f t="shared" si="36"/>
        <v>6920003</v>
      </c>
      <c r="W1021" s="187">
        <f t="shared" si="37"/>
        <v>7712208</v>
      </c>
    </row>
    <row r="1022" spans="1:23">
      <c r="A1022" s="216" t="s">
        <v>6708</v>
      </c>
      <c r="B1022" s="218">
        <v>639.95299999999997</v>
      </c>
      <c r="C1022" s="218">
        <v>626.15099999999995</v>
      </c>
      <c r="D1022" s="218">
        <v>627.346</v>
      </c>
      <c r="E1022" s="218">
        <v>640.18399999999997</v>
      </c>
      <c r="F1022" s="218">
        <v>96.200599999999994</v>
      </c>
      <c r="G1022" s="218">
        <v>62.5</v>
      </c>
      <c r="H1022" s="218">
        <v>64.5</v>
      </c>
      <c r="I1022" s="218">
        <v>71.5</v>
      </c>
      <c r="J1022" s="246">
        <v>184185977</v>
      </c>
      <c r="K1022" s="246">
        <v>192264173</v>
      </c>
      <c r="L1022" s="218">
        <v>1014.547</v>
      </c>
      <c r="M1022" s="246">
        <v>187011</v>
      </c>
      <c r="N1022" s="251">
        <v>59.394399999999997</v>
      </c>
      <c r="O1022" s="251">
        <v>54.742600000000003</v>
      </c>
      <c r="P1022" s="251">
        <v>57.741100000000003</v>
      </c>
      <c r="Q1022" s="251">
        <v>63.741500000000002</v>
      </c>
      <c r="R1022" s="254">
        <v>1.1000000000000001</v>
      </c>
      <c r="S1022" s="214">
        <v>221844</v>
      </c>
      <c r="T1022" s="214">
        <v>2719097</v>
      </c>
      <c r="U1022" s="214">
        <v>0</v>
      </c>
      <c r="V1022" s="187">
        <f t="shared" si="36"/>
        <v>2719097</v>
      </c>
      <c r="W1022" s="187">
        <f t="shared" si="37"/>
        <v>2940941</v>
      </c>
    </row>
    <row r="1023" spans="1:23">
      <c r="A1023" s="216" t="s">
        <v>6710</v>
      </c>
      <c r="B1023" s="218">
        <v>2401.23</v>
      </c>
      <c r="C1023" s="218">
        <v>2486.0909999999999</v>
      </c>
      <c r="D1023" s="218">
        <v>2490.9029999999998</v>
      </c>
      <c r="E1023" s="218">
        <v>2581.0740000000001</v>
      </c>
      <c r="F1023" s="218">
        <v>296.40719999999999</v>
      </c>
      <c r="G1023" s="218">
        <v>322.9984</v>
      </c>
      <c r="H1023" s="218">
        <v>335.81599999999997</v>
      </c>
      <c r="I1023" s="218">
        <v>344.01639999999998</v>
      </c>
      <c r="J1023" s="246">
        <v>618039733</v>
      </c>
      <c r="K1023" s="246">
        <v>646411883</v>
      </c>
      <c r="L1023" s="218">
        <v>3449.152</v>
      </c>
      <c r="M1023" s="246">
        <v>1244521</v>
      </c>
      <c r="N1023" s="251">
        <v>210.99930000000001</v>
      </c>
      <c r="O1023" s="251">
        <v>220.05410000000001</v>
      </c>
      <c r="P1023" s="251">
        <v>227.8794</v>
      </c>
      <c r="Q1023" s="251">
        <v>234.93639999999999</v>
      </c>
      <c r="R1023" s="254">
        <v>1.1000000000000001</v>
      </c>
      <c r="S1023" s="214">
        <v>1279681</v>
      </c>
      <c r="T1023" s="214">
        <v>10158653</v>
      </c>
      <c r="U1023" s="214">
        <v>0</v>
      </c>
      <c r="V1023" s="187">
        <f t="shared" si="36"/>
        <v>10158653</v>
      </c>
      <c r="W1023" s="187">
        <f t="shared" si="37"/>
        <v>11438334</v>
      </c>
    </row>
    <row r="1024" spans="1:23">
      <c r="A1024" s="216" t="s">
        <v>6192</v>
      </c>
      <c r="B1024" s="218">
        <v>814.02800000000002</v>
      </c>
      <c r="C1024" s="218">
        <v>839.76700000000005</v>
      </c>
      <c r="D1024" s="218">
        <v>876.76099999999997</v>
      </c>
      <c r="E1024" s="218">
        <v>895.91</v>
      </c>
      <c r="F1024" s="218">
        <v>113.3476</v>
      </c>
      <c r="G1024" s="218">
        <v>130.10169999999999</v>
      </c>
      <c r="H1024" s="218">
        <v>135.5883</v>
      </c>
      <c r="I1024" s="218">
        <v>127.4118</v>
      </c>
      <c r="J1024" s="246">
        <v>121149536</v>
      </c>
      <c r="K1024" s="246">
        <v>131181024</v>
      </c>
      <c r="L1024" s="218">
        <v>1334.134</v>
      </c>
      <c r="M1024" s="246">
        <v>74857</v>
      </c>
      <c r="N1024" s="251">
        <v>78.792199999999994</v>
      </c>
      <c r="O1024" s="251">
        <v>82.463999999999999</v>
      </c>
      <c r="P1024" s="251">
        <v>88.881500000000003</v>
      </c>
      <c r="Q1024" s="251">
        <v>78.941500000000005</v>
      </c>
      <c r="R1024" s="254">
        <v>1.1000000000000001</v>
      </c>
      <c r="S1024" s="214">
        <v>356244</v>
      </c>
      <c r="T1024" s="214">
        <v>1904000</v>
      </c>
      <c r="U1024" s="214">
        <v>0</v>
      </c>
      <c r="V1024" s="187">
        <f t="shared" si="36"/>
        <v>1904000</v>
      </c>
      <c r="W1024" s="187">
        <f t="shared" si="37"/>
        <v>2260244</v>
      </c>
    </row>
    <row r="1025" spans="1:23">
      <c r="A1025" s="216" t="s">
        <v>2400</v>
      </c>
      <c r="B1025" s="218">
        <v>335.82900000000001</v>
      </c>
      <c r="C1025" s="218">
        <v>321.79199999999997</v>
      </c>
      <c r="D1025" s="218">
        <v>313.22899999999998</v>
      </c>
      <c r="E1025" s="218">
        <v>304.553</v>
      </c>
      <c r="F1025" s="218">
        <v>63.510100000000001</v>
      </c>
      <c r="G1025" s="218">
        <v>63.5</v>
      </c>
      <c r="H1025" s="218">
        <v>59.5</v>
      </c>
      <c r="I1025" s="218">
        <v>47.7834</v>
      </c>
      <c r="J1025" s="246">
        <v>46083524</v>
      </c>
      <c r="K1025" s="246">
        <v>49978664</v>
      </c>
      <c r="L1025" s="218">
        <v>525.07600000000002</v>
      </c>
      <c r="M1025" s="246">
        <v>14748</v>
      </c>
      <c r="N1025" s="251">
        <v>40.684100000000001</v>
      </c>
      <c r="O1025" s="251">
        <v>37.674199999999999</v>
      </c>
      <c r="P1025" s="251">
        <v>36.977600000000002</v>
      </c>
      <c r="Q1025" s="251">
        <v>31.746099999999998</v>
      </c>
      <c r="R1025" s="254">
        <v>1.1000000000000001</v>
      </c>
      <c r="S1025" s="214">
        <v>75431</v>
      </c>
      <c r="T1025" s="214">
        <v>669119</v>
      </c>
      <c r="U1025" s="214">
        <v>0</v>
      </c>
      <c r="V1025" s="187">
        <f t="shared" si="36"/>
        <v>669119</v>
      </c>
      <c r="W1025" s="187">
        <f t="shared" si="37"/>
        <v>744550</v>
      </c>
    </row>
    <row r="1026" spans="1:23">
      <c r="A1026" s="216" t="s">
        <v>6712</v>
      </c>
      <c r="B1026" s="218">
        <v>690.43</v>
      </c>
      <c r="C1026" s="218">
        <v>688.64599999999996</v>
      </c>
      <c r="D1026" s="218">
        <v>681.53499999999997</v>
      </c>
      <c r="E1026" s="218">
        <v>674.89300000000003</v>
      </c>
      <c r="F1026" s="218">
        <v>100.8843</v>
      </c>
      <c r="G1026" s="218">
        <v>105.642</v>
      </c>
      <c r="H1026" s="218">
        <v>108.9735</v>
      </c>
      <c r="I1026" s="218">
        <v>117.8749</v>
      </c>
      <c r="J1026" s="246">
        <v>298322533</v>
      </c>
      <c r="K1026" s="246">
        <v>308416046</v>
      </c>
      <c r="L1026" s="218">
        <v>1080.2139999999999</v>
      </c>
      <c r="M1026" s="187">
        <v>0</v>
      </c>
      <c r="N1026" s="251">
        <v>57.205399999999997</v>
      </c>
      <c r="O1026" s="251">
        <v>64.637200000000007</v>
      </c>
      <c r="P1026" s="251">
        <v>66.762299999999996</v>
      </c>
      <c r="Q1026" s="251">
        <v>71.335499999999996</v>
      </c>
      <c r="R1026" s="254">
        <v>1.04</v>
      </c>
      <c r="S1026" s="214">
        <v>0</v>
      </c>
      <c r="T1026" s="214">
        <v>3526383</v>
      </c>
      <c r="U1026" s="214">
        <v>0</v>
      </c>
      <c r="V1026" s="187">
        <f t="shared" si="36"/>
        <v>3526383</v>
      </c>
      <c r="W1026" s="187">
        <f t="shared" si="37"/>
        <v>3526383</v>
      </c>
    </row>
    <row r="1027" spans="1:23">
      <c r="A1027" s="216" t="s">
        <v>6714</v>
      </c>
      <c r="B1027" s="218">
        <v>1386.885</v>
      </c>
      <c r="C1027" s="218">
        <v>1412.4469999999999</v>
      </c>
      <c r="D1027" s="218">
        <v>1424.4280000000001</v>
      </c>
      <c r="E1027" s="218">
        <v>1457.902</v>
      </c>
      <c r="F1027" s="218">
        <v>186.39060000000001</v>
      </c>
      <c r="G1027" s="218">
        <v>184.08789999999999</v>
      </c>
      <c r="H1027" s="218">
        <v>193.2671</v>
      </c>
      <c r="I1027" s="218">
        <v>196.6397</v>
      </c>
      <c r="J1027" s="246">
        <v>265411212</v>
      </c>
      <c r="K1027" s="246">
        <v>287478917</v>
      </c>
      <c r="L1027" s="218">
        <v>2031.8520000000001</v>
      </c>
      <c r="M1027" s="246">
        <v>303402</v>
      </c>
      <c r="N1027" s="251">
        <v>120.4504</v>
      </c>
      <c r="O1027" s="251">
        <v>123.444</v>
      </c>
      <c r="P1027" s="251">
        <v>134.00749999999999</v>
      </c>
      <c r="Q1027" s="251">
        <v>135.08779999999999</v>
      </c>
      <c r="R1027" s="254">
        <v>1.04</v>
      </c>
      <c r="S1027" s="214">
        <v>138505</v>
      </c>
      <c r="T1027" s="214">
        <v>4014399</v>
      </c>
      <c r="U1027" s="214">
        <v>0</v>
      </c>
      <c r="V1027" s="187">
        <f t="shared" si="36"/>
        <v>4014399</v>
      </c>
      <c r="W1027" s="187">
        <f t="shared" si="37"/>
        <v>4152904</v>
      </c>
    </row>
    <row r="1028" spans="1:23">
      <c r="A1028" s="216" t="s">
        <v>6716</v>
      </c>
      <c r="B1028" s="218">
        <v>1139.78</v>
      </c>
      <c r="C1028" s="218">
        <v>1076.346</v>
      </c>
      <c r="D1028" s="218">
        <v>1092.2059999999999</v>
      </c>
      <c r="E1028" s="218">
        <v>1080.499</v>
      </c>
      <c r="F1028" s="218">
        <v>201.8561</v>
      </c>
      <c r="G1028" s="218">
        <v>197.86600000000001</v>
      </c>
      <c r="H1028" s="218">
        <v>202.82390000000001</v>
      </c>
      <c r="I1028" s="218">
        <v>209.21889999999999</v>
      </c>
      <c r="J1028" s="246">
        <v>285544827</v>
      </c>
      <c r="K1028" s="246">
        <v>305693613</v>
      </c>
      <c r="L1028" s="218">
        <v>1668.5050000000001</v>
      </c>
      <c r="M1028" s="187">
        <v>0</v>
      </c>
      <c r="N1028" s="251">
        <v>120.9238</v>
      </c>
      <c r="O1028" s="251">
        <v>128.4522</v>
      </c>
      <c r="P1028" s="251">
        <v>131.01660000000001</v>
      </c>
      <c r="Q1028" s="251">
        <v>137.9485</v>
      </c>
      <c r="R1028" s="254">
        <v>1.05</v>
      </c>
      <c r="S1028" s="214">
        <v>328991</v>
      </c>
      <c r="T1028" s="214">
        <v>3875014</v>
      </c>
      <c r="U1028" s="214">
        <v>0</v>
      </c>
      <c r="V1028" s="187">
        <f t="shared" si="36"/>
        <v>3875014</v>
      </c>
      <c r="W1028" s="187">
        <f t="shared" si="37"/>
        <v>4204005</v>
      </c>
    </row>
    <row r="1029" spans="1:23">
      <c r="A1029" s="216" t="s">
        <v>6718</v>
      </c>
      <c r="B1029" s="218">
        <v>294.18599999999998</v>
      </c>
      <c r="C1029" s="218">
        <v>292.19099999999997</v>
      </c>
      <c r="D1029" s="218">
        <v>322.09300000000002</v>
      </c>
      <c r="E1029" s="218">
        <v>339.85599999999999</v>
      </c>
      <c r="F1029" s="218">
        <v>49.4011</v>
      </c>
      <c r="G1029" s="218">
        <v>49.631</v>
      </c>
      <c r="H1029" s="218">
        <v>52.528199999999998</v>
      </c>
      <c r="I1029" s="218">
        <v>51.855699999999999</v>
      </c>
      <c r="J1029" s="246">
        <v>127798113</v>
      </c>
      <c r="K1029" s="246">
        <v>135478133</v>
      </c>
      <c r="L1029" s="218">
        <v>555.14499999999998</v>
      </c>
      <c r="M1029" s="246">
        <v>123605</v>
      </c>
      <c r="N1029" s="251">
        <v>34.023099999999999</v>
      </c>
      <c r="O1029" s="251">
        <v>34.669400000000003</v>
      </c>
      <c r="P1029" s="251">
        <v>33.362200000000001</v>
      </c>
      <c r="Q1029" s="251">
        <v>33.578099999999999</v>
      </c>
      <c r="R1029" s="254">
        <v>1.04</v>
      </c>
      <c r="S1029" s="214">
        <v>198629</v>
      </c>
      <c r="T1029" s="214">
        <v>1853455</v>
      </c>
      <c r="U1029" s="214">
        <v>0</v>
      </c>
      <c r="V1029" s="187">
        <f t="shared" si="36"/>
        <v>1853455</v>
      </c>
      <c r="W1029" s="187">
        <f t="shared" si="37"/>
        <v>2052084</v>
      </c>
    </row>
    <row r="1030" spans="1:23">
      <c r="A1030" s="216" t="s">
        <v>2443</v>
      </c>
      <c r="B1030" s="218">
        <v>720.35900000000004</v>
      </c>
      <c r="C1030" s="218">
        <v>718.95</v>
      </c>
      <c r="D1030" s="218">
        <v>711.03300000000002</v>
      </c>
      <c r="E1030" s="218">
        <v>706.346</v>
      </c>
      <c r="F1030" s="218">
        <v>107.87990000000001</v>
      </c>
      <c r="G1030" s="218">
        <v>114.7433</v>
      </c>
      <c r="H1030" s="218">
        <v>115.5642</v>
      </c>
      <c r="I1030" s="218">
        <v>113.3235</v>
      </c>
      <c r="J1030" s="246">
        <v>118624593</v>
      </c>
      <c r="K1030" s="246">
        <v>130980733</v>
      </c>
      <c r="L1030" s="218">
        <v>1139.9280000000001</v>
      </c>
      <c r="M1030" s="187">
        <v>0</v>
      </c>
      <c r="N1030" s="251">
        <v>75.2042</v>
      </c>
      <c r="O1030" s="251">
        <v>78.254499999999993</v>
      </c>
      <c r="P1030" s="251">
        <v>79.828000000000003</v>
      </c>
      <c r="Q1030" s="251">
        <v>78.786699999999996</v>
      </c>
      <c r="R1030" s="254">
        <v>1.05</v>
      </c>
      <c r="S1030" s="214">
        <v>0</v>
      </c>
      <c r="T1030" s="214">
        <v>1735949</v>
      </c>
      <c r="U1030" s="214">
        <v>0</v>
      </c>
      <c r="V1030" s="187">
        <f t="shared" si="36"/>
        <v>1735949</v>
      </c>
      <c r="W1030" s="187">
        <f t="shared" si="37"/>
        <v>1735949</v>
      </c>
    </row>
    <row r="1031" spans="1:23">
      <c r="A1031" s="216" t="s">
        <v>2445</v>
      </c>
      <c r="B1031" s="218">
        <v>1297.1489999999999</v>
      </c>
      <c r="C1031" s="218">
        <v>1340.2070000000001</v>
      </c>
      <c r="D1031" s="218">
        <v>1313.578</v>
      </c>
      <c r="E1031" s="218">
        <v>1364.4760000000001</v>
      </c>
      <c r="F1031" s="218">
        <v>190.12629999999999</v>
      </c>
      <c r="G1031" s="218">
        <v>196.71019999999999</v>
      </c>
      <c r="H1031" s="218">
        <v>202.1327</v>
      </c>
      <c r="I1031" s="218">
        <v>204.2499</v>
      </c>
      <c r="J1031" s="246">
        <v>268540148</v>
      </c>
      <c r="K1031" s="246">
        <v>290316972</v>
      </c>
      <c r="L1031" s="218">
        <v>1875.6510000000001</v>
      </c>
      <c r="M1031" s="187">
        <v>0</v>
      </c>
      <c r="N1031" s="251">
        <v>124.4736</v>
      </c>
      <c r="O1031" s="251">
        <v>132.9957</v>
      </c>
      <c r="P1031" s="251">
        <v>135.77719999999999</v>
      </c>
      <c r="Q1031" s="251">
        <v>136.79820000000001</v>
      </c>
      <c r="R1031" s="254">
        <v>1.04</v>
      </c>
      <c r="S1031" s="214">
        <v>8319</v>
      </c>
      <c r="T1031" s="214">
        <v>3958968</v>
      </c>
      <c r="U1031" s="214">
        <v>0</v>
      </c>
      <c r="V1031" s="187">
        <f t="shared" ref="V1031:V1039" si="38">T1031+U1031</f>
        <v>3958968</v>
      </c>
      <c r="W1031" s="187">
        <f t="shared" ref="W1031:W1039" si="39">V1031+S1031</f>
        <v>3967287</v>
      </c>
    </row>
    <row r="1032" spans="1:23">
      <c r="A1032" s="216" t="s">
        <v>2447</v>
      </c>
      <c r="B1032" s="218">
        <v>1334.184</v>
      </c>
      <c r="C1032" s="218">
        <v>1280.2460000000001</v>
      </c>
      <c r="D1032" s="218">
        <v>1243.059</v>
      </c>
      <c r="E1032" s="218">
        <v>1208.626</v>
      </c>
      <c r="F1032" s="218">
        <v>212.57509999999999</v>
      </c>
      <c r="G1032" s="218">
        <v>207.25909999999999</v>
      </c>
      <c r="H1032" s="218">
        <v>194.67250000000001</v>
      </c>
      <c r="I1032" s="218">
        <v>207.20439999999999</v>
      </c>
      <c r="J1032" s="246">
        <v>1271874154</v>
      </c>
      <c r="K1032" s="246">
        <v>1281239719</v>
      </c>
      <c r="L1032" s="218">
        <v>1733.394</v>
      </c>
      <c r="M1032" s="187">
        <v>0</v>
      </c>
      <c r="N1032" s="251">
        <v>136.8939</v>
      </c>
      <c r="O1032" s="251">
        <v>138.4572</v>
      </c>
      <c r="P1032" s="251">
        <v>135.7304</v>
      </c>
      <c r="Q1032" s="251">
        <v>129.11410000000001</v>
      </c>
      <c r="R1032" s="254">
        <v>1.1100000000000001</v>
      </c>
      <c r="S1032" s="214">
        <v>2080377</v>
      </c>
      <c r="T1032" s="214">
        <v>17961785</v>
      </c>
      <c r="U1032" s="214">
        <v>0</v>
      </c>
      <c r="V1032" s="187">
        <f t="shared" si="38"/>
        <v>17961785</v>
      </c>
      <c r="W1032" s="187">
        <f t="shared" si="39"/>
        <v>20042162</v>
      </c>
    </row>
    <row r="1033" spans="1:23">
      <c r="A1033" s="216" t="s">
        <v>905</v>
      </c>
      <c r="B1033" s="218">
        <v>548.976</v>
      </c>
      <c r="C1033" s="218">
        <v>509.74</v>
      </c>
      <c r="D1033" s="218">
        <v>494.346</v>
      </c>
      <c r="E1033" s="218">
        <v>462.8</v>
      </c>
      <c r="F1033" s="218">
        <v>89.007499999999993</v>
      </c>
      <c r="G1033" s="218">
        <v>91.635900000000007</v>
      </c>
      <c r="H1033" s="218">
        <v>93.589200000000005</v>
      </c>
      <c r="I1033" s="218">
        <v>92.097700000000003</v>
      </c>
      <c r="J1033" s="246">
        <v>483552025</v>
      </c>
      <c r="K1033" s="246">
        <v>487271046</v>
      </c>
      <c r="L1033" s="218">
        <v>910.26499999999999</v>
      </c>
      <c r="M1033" s="187">
        <v>0</v>
      </c>
      <c r="N1033" s="251">
        <v>60.747199999999999</v>
      </c>
      <c r="O1033" s="251">
        <v>60.920900000000003</v>
      </c>
      <c r="P1033" s="251">
        <v>63.413699999999999</v>
      </c>
      <c r="Q1033" s="251">
        <v>62.6541</v>
      </c>
      <c r="R1033" s="254">
        <v>1.1100000000000001</v>
      </c>
      <c r="S1033" s="214">
        <v>0</v>
      </c>
      <c r="T1033" s="214">
        <v>6812287</v>
      </c>
      <c r="U1033" s="214">
        <v>0</v>
      </c>
      <c r="V1033" s="187">
        <f t="shared" si="38"/>
        <v>6812287</v>
      </c>
      <c r="W1033" s="187">
        <f t="shared" si="39"/>
        <v>6812287</v>
      </c>
    </row>
    <row r="1034" spans="1:23">
      <c r="A1034" s="216" t="s">
        <v>1854</v>
      </c>
      <c r="B1034" s="218">
        <v>2287.9969999999998</v>
      </c>
      <c r="C1034" s="218">
        <v>2254.9630000000002</v>
      </c>
      <c r="D1034" s="218">
        <v>2259.7660000000001</v>
      </c>
      <c r="E1034" s="218">
        <v>2278.2429999999999</v>
      </c>
      <c r="F1034" s="218">
        <v>297.5127</v>
      </c>
      <c r="G1034" s="218">
        <v>280.81330000000003</v>
      </c>
      <c r="H1034" s="218">
        <v>262.69</v>
      </c>
      <c r="I1034" s="218">
        <v>270.6112</v>
      </c>
      <c r="J1034" s="246">
        <v>369059160</v>
      </c>
      <c r="K1034" s="246">
        <v>400931410</v>
      </c>
      <c r="L1034" s="218">
        <v>3125.3580000000002</v>
      </c>
      <c r="M1034" s="187">
        <v>0</v>
      </c>
      <c r="N1034" s="251">
        <v>225.22900000000001</v>
      </c>
      <c r="O1034" s="251">
        <v>211.0155</v>
      </c>
      <c r="P1034" s="251">
        <v>215.0076</v>
      </c>
      <c r="Q1034" s="251">
        <v>225.4008</v>
      </c>
      <c r="R1034" s="254">
        <v>1.0900000000000001</v>
      </c>
      <c r="S1034" s="214">
        <v>280726</v>
      </c>
      <c r="T1034" s="214">
        <v>5394857</v>
      </c>
      <c r="U1034" s="214">
        <v>0</v>
      </c>
      <c r="V1034" s="187">
        <f t="shared" si="38"/>
        <v>5394857</v>
      </c>
      <c r="W1034" s="187">
        <f t="shared" si="39"/>
        <v>5675583</v>
      </c>
    </row>
    <row r="1035" spans="1:23">
      <c r="A1035" s="216" t="s">
        <v>907</v>
      </c>
      <c r="B1035" s="218">
        <v>185.18</v>
      </c>
      <c r="C1035" s="218">
        <v>162.78</v>
      </c>
      <c r="D1035" s="218">
        <v>181.101</v>
      </c>
      <c r="E1035" s="218">
        <v>183.04400000000001</v>
      </c>
      <c r="F1035" s="218">
        <v>40.17</v>
      </c>
      <c r="G1035" s="218">
        <v>40.874200000000002</v>
      </c>
      <c r="H1035" s="218">
        <v>33.825899999999997</v>
      </c>
      <c r="I1035" s="218">
        <v>37.668399999999998</v>
      </c>
      <c r="J1035" s="246">
        <v>30753672</v>
      </c>
      <c r="K1035" s="246">
        <v>32499994</v>
      </c>
      <c r="L1035" s="218">
        <v>332.459</v>
      </c>
      <c r="M1035" s="187">
        <v>0</v>
      </c>
      <c r="N1035" s="251">
        <v>26.285</v>
      </c>
      <c r="O1035" s="251">
        <v>26.188300000000002</v>
      </c>
      <c r="P1035" s="251">
        <v>21.5198</v>
      </c>
      <c r="Q1035" s="251">
        <v>25.891400000000001</v>
      </c>
      <c r="R1035" s="254">
        <v>1.07</v>
      </c>
      <c r="S1035" s="214">
        <v>0</v>
      </c>
      <c r="T1035" s="214">
        <v>465689</v>
      </c>
      <c r="U1035" s="214">
        <v>0</v>
      </c>
      <c r="V1035" s="187">
        <f t="shared" si="38"/>
        <v>465689</v>
      </c>
      <c r="W1035" s="187">
        <f t="shared" si="39"/>
        <v>465689</v>
      </c>
    </row>
    <row r="1036" spans="1:23">
      <c r="A1036" s="216" t="s">
        <v>6146</v>
      </c>
      <c r="B1036" s="218">
        <v>784.42700000000002</v>
      </c>
      <c r="C1036" s="218">
        <v>752.38699999999994</v>
      </c>
      <c r="D1036" s="218">
        <v>729.66499999999996</v>
      </c>
      <c r="E1036" s="218">
        <v>705.52800000000002</v>
      </c>
      <c r="F1036" s="218">
        <v>135.64240000000001</v>
      </c>
      <c r="G1036" s="218">
        <v>136.0136</v>
      </c>
      <c r="H1036" s="218">
        <v>132.67859999999999</v>
      </c>
      <c r="I1036" s="218">
        <v>129.82689999999999</v>
      </c>
      <c r="J1036" s="246">
        <v>82083798</v>
      </c>
      <c r="K1036" s="246">
        <v>90555448</v>
      </c>
      <c r="L1036" s="218">
        <v>1153.7619999999999</v>
      </c>
      <c r="M1036" s="187">
        <v>0</v>
      </c>
      <c r="N1036" s="251">
        <v>95.965900000000005</v>
      </c>
      <c r="O1036" s="251">
        <v>96.258700000000005</v>
      </c>
      <c r="P1036" s="251">
        <v>89.378</v>
      </c>
      <c r="Q1036" s="251">
        <v>87.192099999999996</v>
      </c>
      <c r="R1036" s="254">
        <v>1.06</v>
      </c>
      <c r="S1036" s="214">
        <v>150078</v>
      </c>
      <c r="T1036" s="214">
        <v>1437011</v>
      </c>
      <c r="U1036" s="214">
        <v>0</v>
      </c>
      <c r="V1036" s="187">
        <f t="shared" si="38"/>
        <v>1437011</v>
      </c>
      <c r="W1036" s="187">
        <f t="shared" si="39"/>
        <v>1587089</v>
      </c>
    </row>
    <row r="1037" spans="1:23">
      <c r="A1037" s="216" t="s">
        <v>909</v>
      </c>
      <c r="B1037" s="218">
        <v>2601.2620000000002</v>
      </c>
      <c r="C1037" s="218">
        <v>2681.96</v>
      </c>
      <c r="D1037" s="218">
        <v>2859.9160000000002</v>
      </c>
      <c r="E1037" s="218">
        <v>2833.2040000000002</v>
      </c>
      <c r="F1037" s="218">
        <v>518.04780000000005</v>
      </c>
      <c r="G1037" s="218">
        <v>524.61199999999997</v>
      </c>
      <c r="H1037" s="218">
        <v>552.45939999999996</v>
      </c>
      <c r="I1037" s="218">
        <v>559.96230000000003</v>
      </c>
      <c r="J1037" s="246">
        <v>1703580745</v>
      </c>
      <c r="K1037" s="246">
        <v>1725154944</v>
      </c>
      <c r="L1037" s="218">
        <v>3905.75</v>
      </c>
      <c r="M1037" s="246">
        <v>2986179</v>
      </c>
      <c r="N1037" s="251">
        <v>282.71429999999998</v>
      </c>
      <c r="O1037" s="251">
        <v>285.62130000000002</v>
      </c>
      <c r="P1037" s="251">
        <v>295.14479999999998</v>
      </c>
      <c r="Q1037" s="251">
        <v>317.017</v>
      </c>
      <c r="R1037" s="254">
        <v>1.1200000000000001</v>
      </c>
      <c r="S1037" s="214">
        <v>1889289</v>
      </c>
      <c r="T1037" s="214">
        <v>25089251</v>
      </c>
      <c r="U1037" s="214">
        <v>0</v>
      </c>
      <c r="V1037" s="187">
        <f t="shared" si="38"/>
        <v>25089251</v>
      </c>
      <c r="W1037" s="187">
        <f t="shared" si="39"/>
        <v>26978540</v>
      </c>
    </row>
    <row r="1038" spans="1:23">
      <c r="A1038" s="216" t="s">
        <v>247</v>
      </c>
      <c r="B1038" s="218">
        <v>1966.5530000000001</v>
      </c>
      <c r="C1038" s="218">
        <v>1911.4459999999999</v>
      </c>
      <c r="D1038" s="218">
        <v>1903.3409999999999</v>
      </c>
      <c r="E1038" s="218">
        <v>1910.5820000000001</v>
      </c>
      <c r="F1038" s="218">
        <v>341.94619999999998</v>
      </c>
      <c r="G1038" s="218">
        <v>365.16989999999998</v>
      </c>
      <c r="H1038" s="218">
        <v>359.01179999999999</v>
      </c>
      <c r="I1038" s="218">
        <v>359.88630000000001</v>
      </c>
      <c r="J1038" s="246">
        <v>119277695</v>
      </c>
      <c r="K1038" s="246">
        <v>131644643</v>
      </c>
      <c r="L1038" s="218">
        <v>2935.5230000000001</v>
      </c>
      <c r="M1038" s="246">
        <v>24003</v>
      </c>
      <c r="N1038" s="251">
        <v>210.31780000000001</v>
      </c>
      <c r="O1038" s="251">
        <v>213.63730000000001</v>
      </c>
      <c r="P1038" s="251">
        <v>208.03870000000001</v>
      </c>
      <c r="Q1038" s="251">
        <v>210.51329999999999</v>
      </c>
      <c r="R1038" s="254">
        <v>1.1399999999999999</v>
      </c>
      <c r="S1038" s="214">
        <v>212728</v>
      </c>
      <c r="T1038" s="214">
        <v>1851870</v>
      </c>
      <c r="U1038" s="214">
        <v>0</v>
      </c>
      <c r="V1038" s="187">
        <f t="shared" si="38"/>
        <v>1851870</v>
      </c>
      <c r="W1038" s="187">
        <f t="shared" si="39"/>
        <v>2064598</v>
      </c>
    </row>
    <row r="1039" spans="1:23">
      <c r="A1039" s="216" t="s">
        <v>1527</v>
      </c>
      <c r="B1039" s="218">
        <v>426.81299999999999</v>
      </c>
      <c r="C1039" s="218">
        <v>416.13799999999998</v>
      </c>
      <c r="D1039" s="218">
        <v>416.76</v>
      </c>
      <c r="E1039" s="218">
        <v>422.16899999999998</v>
      </c>
      <c r="F1039" s="218">
        <v>92.128299999999996</v>
      </c>
      <c r="G1039" s="218">
        <v>92.090999999999994</v>
      </c>
      <c r="H1039" s="218">
        <v>89.767399999999995</v>
      </c>
      <c r="I1039" s="218">
        <v>82.8476</v>
      </c>
      <c r="J1039" s="246">
        <v>28913739</v>
      </c>
      <c r="K1039" s="246">
        <v>31608440</v>
      </c>
      <c r="L1039" s="218">
        <v>852.71299999999997</v>
      </c>
      <c r="M1039" s="246">
        <v>14962</v>
      </c>
      <c r="N1039" s="251">
        <v>38.881</v>
      </c>
      <c r="O1039" s="251">
        <v>61.002299999999998</v>
      </c>
      <c r="P1039" s="251">
        <v>53.8767</v>
      </c>
      <c r="Q1039" s="251">
        <v>52.350299999999997</v>
      </c>
      <c r="R1039" s="254">
        <v>1.0900000000000001</v>
      </c>
      <c r="S1039" s="214">
        <v>42123</v>
      </c>
      <c r="T1039" s="214">
        <v>417432</v>
      </c>
      <c r="U1039" s="214">
        <v>0</v>
      </c>
      <c r="V1039" s="187">
        <f t="shared" si="38"/>
        <v>417432</v>
      </c>
      <c r="W1039" s="187">
        <f t="shared" si="39"/>
        <v>459555</v>
      </c>
    </row>
  </sheetData>
  <sheetProtection sheet="1" objects="1" scenarios="1"/>
  <phoneticPr fontId="0" type="noConversion"/>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L1034"/>
  <sheetViews>
    <sheetView topLeftCell="H1" workbookViewId="0">
      <selection activeCell="P24" sqref="P24"/>
    </sheetView>
  </sheetViews>
  <sheetFormatPr defaultColWidth="9.21875" defaultRowHeight="13.2"/>
  <cols>
    <col min="1" max="1" width="0.44140625" style="187" customWidth="1"/>
    <col min="2" max="2" width="22.77734375" style="187" customWidth="1"/>
    <col min="3" max="3" width="18.5546875" style="246" customWidth="1"/>
    <col min="4" max="7" width="20.77734375" style="246" customWidth="1"/>
    <col min="8" max="8" width="16.77734375" style="246" bestFit="1" customWidth="1"/>
    <col min="9" max="9" width="3.44140625" style="246" customWidth="1"/>
    <col min="10" max="10" width="11.5546875" style="669" customWidth="1"/>
    <col min="11" max="12" width="14.21875" style="669" customWidth="1"/>
    <col min="13" max="16384" width="9.21875" style="187"/>
  </cols>
  <sheetData>
    <row r="1" spans="1:12" ht="39.6">
      <c r="A1" s="656"/>
      <c r="B1" s="656" t="s">
        <v>6827</v>
      </c>
      <c r="C1" s="657"/>
      <c r="D1" s="657" t="s">
        <v>6828</v>
      </c>
      <c r="E1" s="657"/>
      <c r="F1" s="657"/>
      <c r="G1" s="657"/>
      <c r="H1" s="657"/>
      <c r="I1" s="657"/>
      <c r="J1" s="658"/>
      <c r="K1" s="658"/>
      <c r="L1" s="658"/>
    </row>
    <row r="2" spans="1:12">
      <c r="A2" s="656"/>
      <c r="B2" s="656"/>
      <c r="C2" s="657"/>
      <c r="D2" s="657" t="s">
        <v>6829</v>
      </c>
      <c r="E2" s="657"/>
      <c r="F2" s="657"/>
      <c r="G2" s="657" t="s">
        <v>6830</v>
      </c>
      <c r="H2" s="657"/>
      <c r="I2" s="657"/>
      <c r="J2" s="658" t="s">
        <v>6831</v>
      </c>
      <c r="K2" s="658" t="s">
        <v>6832</v>
      </c>
      <c r="L2" s="658" t="s">
        <v>6833</v>
      </c>
    </row>
    <row r="3" spans="1:12" s="663" customFormat="1" ht="105.6">
      <c r="A3" s="659" t="s">
        <v>1757</v>
      </c>
      <c r="B3" s="660" t="s">
        <v>1757</v>
      </c>
      <c r="C3" s="661" t="s">
        <v>6834</v>
      </c>
      <c r="D3" s="661" t="s">
        <v>6834</v>
      </c>
      <c r="E3" s="661" t="s">
        <v>6834</v>
      </c>
      <c r="F3" s="661" t="s">
        <v>6834</v>
      </c>
      <c r="G3" s="661" t="s">
        <v>6835</v>
      </c>
      <c r="H3" s="661" t="s">
        <v>6836</v>
      </c>
      <c r="I3" s="661"/>
      <c r="J3" s="662" t="s">
        <v>6837</v>
      </c>
      <c r="K3" s="662" t="s">
        <v>6838</v>
      </c>
      <c r="L3" s="662"/>
    </row>
    <row r="4" spans="1:12" s="663" customFormat="1" ht="79.2">
      <c r="A4" s="659" t="s">
        <v>6839</v>
      </c>
      <c r="B4" s="660" t="s">
        <v>1759</v>
      </c>
      <c r="C4" s="661" t="s">
        <v>6840</v>
      </c>
      <c r="D4" s="661" t="s">
        <v>6841</v>
      </c>
      <c r="E4" s="661" t="s">
        <v>6842</v>
      </c>
      <c r="F4" s="661" t="s">
        <v>6843</v>
      </c>
      <c r="G4" s="661" t="s">
        <v>6844</v>
      </c>
      <c r="H4" s="661" t="s">
        <v>6845</v>
      </c>
      <c r="I4" s="661"/>
      <c r="J4" s="662" t="s">
        <v>6846</v>
      </c>
      <c r="K4" s="662" t="s">
        <v>6846</v>
      </c>
      <c r="L4" s="662" t="s">
        <v>6846</v>
      </c>
    </row>
    <row r="5" spans="1:12" s="668" customFormat="1" ht="20.25" customHeight="1">
      <c r="A5" s="664" t="s">
        <v>5238</v>
      </c>
      <c r="B5" s="665" t="e">
        <f>'Data Entry - SOF'!B1</f>
        <v>#N/A</v>
      </c>
      <c r="C5" s="666" t="e">
        <f>VLOOKUP(B5,B7:C1033,2,FALSE)</f>
        <v>#N/A</v>
      </c>
      <c r="D5" s="666" t="e">
        <f>VLOOKUP(B5,B7:D1033,3,FALSE)</f>
        <v>#N/A</v>
      </c>
      <c r="E5" s="666"/>
      <c r="F5" s="666"/>
      <c r="G5" s="666"/>
      <c r="H5" s="666"/>
      <c r="I5" s="666"/>
      <c r="J5" s="667" t="e">
        <f>VLOOKUP(B5,B7:J1032,9,FALSE)</f>
        <v>#N/A</v>
      </c>
      <c r="K5" s="667"/>
      <c r="L5" s="667"/>
    </row>
    <row r="6" spans="1:12" ht="7.5" customHeight="1"/>
    <row r="7" spans="1:12">
      <c r="A7" s="423" t="s">
        <v>4515</v>
      </c>
      <c r="B7" s="423" t="s">
        <v>1763</v>
      </c>
      <c r="C7" s="246">
        <v>266415502</v>
      </c>
      <c r="D7" s="246">
        <v>260245232</v>
      </c>
      <c r="E7" s="246">
        <v>263040800</v>
      </c>
      <c r="F7" s="246">
        <v>256870530</v>
      </c>
      <c r="G7" s="246">
        <v>6170270</v>
      </c>
      <c r="H7" s="246">
        <v>3374702</v>
      </c>
      <c r="J7" s="669">
        <v>1.5</v>
      </c>
      <c r="K7" s="669">
        <v>0</v>
      </c>
      <c r="L7" s="669">
        <v>1.5</v>
      </c>
    </row>
    <row r="8" spans="1:12">
      <c r="A8" s="423" t="s">
        <v>4516</v>
      </c>
      <c r="B8" s="423" t="s">
        <v>1764</v>
      </c>
      <c r="C8" s="246">
        <v>169938783</v>
      </c>
      <c r="D8" s="246">
        <v>155980293</v>
      </c>
      <c r="E8" s="246">
        <v>169938783</v>
      </c>
      <c r="F8" s="246">
        <v>155980293</v>
      </c>
      <c r="G8" s="246">
        <v>13958490</v>
      </c>
      <c r="H8" s="246">
        <v>0</v>
      </c>
      <c r="J8" s="669">
        <v>1.5</v>
      </c>
      <c r="K8" s="669">
        <v>0</v>
      </c>
      <c r="L8" s="669">
        <v>1.5</v>
      </c>
    </row>
    <row r="9" spans="1:12">
      <c r="A9" s="423" t="s">
        <v>4517</v>
      </c>
      <c r="B9" s="423" t="s">
        <v>1765</v>
      </c>
      <c r="C9" s="246">
        <v>251481611</v>
      </c>
      <c r="D9" s="246">
        <v>239973191</v>
      </c>
      <c r="E9" s="246">
        <v>242941372</v>
      </c>
      <c r="F9" s="246">
        <v>231432952</v>
      </c>
      <c r="G9" s="246">
        <v>11508420</v>
      </c>
      <c r="H9" s="246">
        <v>8540239</v>
      </c>
      <c r="J9" s="669">
        <v>1.4556</v>
      </c>
      <c r="K9" s="669">
        <v>7.2900000000000006E-2</v>
      </c>
      <c r="L9" s="669">
        <v>1.5285</v>
      </c>
    </row>
    <row r="10" spans="1:12">
      <c r="A10" s="423" t="s">
        <v>4518</v>
      </c>
      <c r="B10" s="423" t="s">
        <v>1766</v>
      </c>
      <c r="C10" s="246">
        <v>73908430</v>
      </c>
      <c r="D10" s="246">
        <v>70227960</v>
      </c>
      <c r="E10" s="246">
        <v>71544113</v>
      </c>
      <c r="F10" s="246">
        <v>67863643</v>
      </c>
      <c r="G10" s="246">
        <v>3680470</v>
      </c>
      <c r="H10" s="246">
        <v>2364317</v>
      </c>
      <c r="J10" s="669">
        <v>1.5</v>
      </c>
      <c r="K10" s="669">
        <v>0</v>
      </c>
      <c r="L10" s="669">
        <v>1.5</v>
      </c>
    </row>
    <row r="11" spans="1:12">
      <c r="A11" s="423" t="s">
        <v>4519</v>
      </c>
      <c r="B11" s="423" t="s">
        <v>1767</v>
      </c>
      <c r="C11" s="246">
        <v>797760729</v>
      </c>
      <c r="D11" s="246">
        <v>751855203</v>
      </c>
      <c r="E11" s="246">
        <v>797760729</v>
      </c>
      <c r="F11" s="246">
        <v>751855203</v>
      </c>
      <c r="G11" s="246">
        <v>45905526</v>
      </c>
      <c r="H11" s="246">
        <v>0</v>
      </c>
      <c r="J11" s="669">
        <v>1.5</v>
      </c>
      <c r="K11" s="669">
        <v>0.1176</v>
      </c>
      <c r="L11" s="669">
        <v>1.6175999999999999</v>
      </c>
    </row>
    <row r="12" spans="1:12">
      <c r="A12" s="423" t="s">
        <v>4520</v>
      </c>
      <c r="B12" s="423" t="s">
        <v>1768</v>
      </c>
      <c r="C12" s="246">
        <v>363889184</v>
      </c>
      <c r="D12" s="246">
        <v>344676503</v>
      </c>
      <c r="E12" s="246">
        <v>363889184</v>
      </c>
      <c r="F12" s="246">
        <v>344676503</v>
      </c>
      <c r="G12" s="246">
        <v>19212681</v>
      </c>
      <c r="H12" s="246">
        <v>0</v>
      </c>
      <c r="J12" s="669">
        <v>1.337</v>
      </c>
      <c r="K12" s="669">
        <v>0</v>
      </c>
      <c r="L12" s="669">
        <v>1.337</v>
      </c>
    </row>
    <row r="13" spans="1:12">
      <c r="A13" s="423" t="s">
        <v>4521</v>
      </c>
      <c r="B13" s="423" t="s">
        <v>1769</v>
      </c>
      <c r="C13" s="246">
        <v>80055738</v>
      </c>
      <c r="D13" s="246">
        <v>74743448</v>
      </c>
      <c r="E13" s="246">
        <v>80055738</v>
      </c>
      <c r="F13" s="246">
        <v>74743448</v>
      </c>
      <c r="G13" s="246">
        <v>5312290</v>
      </c>
      <c r="H13" s="246">
        <v>0</v>
      </c>
      <c r="J13" s="669">
        <v>1.2871999999999999</v>
      </c>
      <c r="K13" s="669">
        <v>0</v>
      </c>
      <c r="L13" s="669">
        <v>1.2871999999999999</v>
      </c>
    </row>
    <row r="14" spans="1:12">
      <c r="A14" s="423" t="s">
        <v>4522</v>
      </c>
      <c r="B14" s="423" t="s">
        <v>5003</v>
      </c>
      <c r="C14" s="246">
        <v>2428024428</v>
      </c>
      <c r="D14" s="246">
        <v>2397754505</v>
      </c>
      <c r="E14" s="246">
        <v>2413672250</v>
      </c>
      <c r="F14" s="246">
        <v>2383402327</v>
      </c>
      <c r="G14" s="246">
        <v>30269923</v>
      </c>
      <c r="H14" s="246">
        <v>14352178</v>
      </c>
      <c r="J14" s="669">
        <v>1.5</v>
      </c>
      <c r="K14" s="669">
        <v>0.15223999999999999</v>
      </c>
      <c r="L14" s="669">
        <v>1.6522399999999999</v>
      </c>
    </row>
    <row r="15" spans="1:12">
      <c r="A15" s="423" t="s">
        <v>4523</v>
      </c>
      <c r="B15" s="423" t="s">
        <v>3853</v>
      </c>
      <c r="C15" s="246">
        <v>246315241</v>
      </c>
      <c r="D15" s="246">
        <v>226564521</v>
      </c>
      <c r="E15" s="246">
        <v>246315241</v>
      </c>
      <c r="F15" s="246">
        <v>226564521</v>
      </c>
      <c r="G15" s="246">
        <v>19750720</v>
      </c>
      <c r="H15" s="246">
        <v>0</v>
      </c>
      <c r="J15" s="669">
        <v>1.4350000000000001</v>
      </c>
      <c r="K15" s="669">
        <v>9.5000000000000001E-2</v>
      </c>
      <c r="L15" s="669">
        <v>1.53</v>
      </c>
    </row>
    <row r="16" spans="1:12">
      <c r="A16" s="423" t="s">
        <v>4524</v>
      </c>
      <c r="B16" s="423" t="s">
        <v>5004</v>
      </c>
      <c r="C16" s="246">
        <v>1883576320</v>
      </c>
      <c r="D16" s="246">
        <v>1795608545</v>
      </c>
      <c r="E16" s="246">
        <v>1883576320</v>
      </c>
      <c r="F16" s="246">
        <v>1795608545</v>
      </c>
      <c r="G16" s="246">
        <v>87967775</v>
      </c>
      <c r="H16" s="246">
        <v>0</v>
      </c>
      <c r="J16" s="669">
        <v>1.5</v>
      </c>
      <c r="K16" s="669">
        <v>7.3999999999999996E-2</v>
      </c>
      <c r="L16" s="669">
        <v>1.5740000000000001</v>
      </c>
    </row>
    <row r="17" spans="1:12">
      <c r="A17" s="423" t="s">
        <v>4525</v>
      </c>
      <c r="B17" s="423" t="s">
        <v>3857</v>
      </c>
      <c r="C17" s="246">
        <v>175554062</v>
      </c>
      <c r="D17" s="246">
        <v>161595282</v>
      </c>
      <c r="E17" s="246">
        <v>168429974</v>
      </c>
      <c r="F17" s="246">
        <v>154471194</v>
      </c>
      <c r="G17" s="246">
        <v>13958780</v>
      </c>
      <c r="H17" s="246">
        <v>7124088</v>
      </c>
      <c r="J17" s="669">
        <v>1.5</v>
      </c>
      <c r="K17" s="669">
        <v>0.14000000000000001</v>
      </c>
      <c r="L17" s="669">
        <v>1.64</v>
      </c>
    </row>
    <row r="18" spans="1:12">
      <c r="A18" s="423" t="s">
        <v>4526</v>
      </c>
      <c r="B18" s="423" t="s">
        <v>5005</v>
      </c>
      <c r="C18" s="246">
        <v>271065332</v>
      </c>
      <c r="D18" s="246">
        <v>257509381</v>
      </c>
      <c r="E18" s="246">
        <v>263998916</v>
      </c>
      <c r="F18" s="246">
        <v>250442965</v>
      </c>
      <c r="G18" s="246">
        <v>13555951</v>
      </c>
      <c r="H18" s="246">
        <v>7066416</v>
      </c>
      <c r="J18" s="669">
        <v>1.5</v>
      </c>
      <c r="K18" s="669">
        <v>0</v>
      </c>
      <c r="L18" s="669">
        <v>1.5</v>
      </c>
    </row>
    <row r="19" spans="1:12">
      <c r="A19" s="423" t="s">
        <v>4527</v>
      </c>
      <c r="B19" s="423" t="s">
        <v>5006</v>
      </c>
      <c r="C19" s="246">
        <v>76639555</v>
      </c>
      <c r="D19" s="246">
        <v>70585235</v>
      </c>
      <c r="E19" s="246">
        <v>74291826</v>
      </c>
      <c r="F19" s="246">
        <v>68237506</v>
      </c>
      <c r="G19" s="246">
        <v>6054320</v>
      </c>
      <c r="H19" s="246">
        <v>2347729</v>
      </c>
      <c r="J19" s="669">
        <v>1.4415</v>
      </c>
      <c r="K19" s="669">
        <v>7.0000000000000007E-2</v>
      </c>
      <c r="L19" s="669">
        <v>1.5115000000000001</v>
      </c>
    </row>
    <row r="20" spans="1:12">
      <c r="A20" s="423" t="s">
        <v>4528</v>
      </c>
      <c r="B20" s="423" t="s">
        <v>5007</v>
      </c>
      <c r="C20" s="246">
        <v>180902599</v>
      </c>
      <c r="D20" s="246">
        <v>163276869</v>
      </c>
      <c r="E20" s="246">
        <v>180902599</v>
      </c>
      <c r="F20" s="246">
        <v>163276869</v>
      </c>
      <c r="G20" s="246">
        <v>17625730</v>
      </c>
      <c r="H20" s="246">
        <v>0</v>
      </c>
      <c r="J20" s="669">
        <v>1.5</v>
      </c>
      <c r="K20" s="669">
        <v>0</v>
      </c>
      <c r="L20" s="669">
        <v>1.5</v>
      </c>
    </row>
    <row r="21" spans="1:12">
      <c r="A21" s="423" t="s">
        <v>4529</v>
      </c>
      <c r="B21" s="423" t="s">
        <v>5008</v>
      </c>
      <c r="C21" s="246">
        <v>1650196593</v>
      </c>
      <c r="D21" s="246">
        <v>1600556316</v>
      </c>
      <c r="E21" s="246">
        <v>1650196593</v>
      </c>
      <c r="F21" s="246">
        <v>1600556316</v>
      </c>
      <c r="G21" s="246">
        <v>49640277</v>
      </c>
      <c r="H21" s="246">
        <v>0</v>
      </c>
      <c r="J21" s="669">
        <v>1.462</v>
      </c>
      <c r="K21" s="669">
        <v>5.6399999999999999E-2</v>
      </c>
      <c r="L21" s="669">
        <v>1.5184</v>
      </c>
    </row>
    <row r="22" spans="1:12">
      <c r="A22" s="423" t="s">
        <v>4530</v>
      </c>
      <c r="B22" s="423" t="s">
        <v>4094</v>
      </c>
      <c r="C22" s="246">
        <v>137364145</v>
      </c>
      <c r="D22" s="246">
        <v>129722080</v>
      </c>
      <c r="E22" s="246">
        <v>137364145</v>
      </c>
      <c r="F22" s="246">
        <v>129722080</v>
      </c>
      <c r="G22" s="246">
        <v>7642065</v>
      </c>
      <c r="H22" s="246">
        <v>0</v>
      </c>
      <c r="J22" s="669">
        <v>1.35</v>
      </c>
      <c r="K22" s="669">
        <v>0.08</v>
      </c>
      <c r="L22" s="669">
        <v>1.43</v>
      </c>
    </row>
    <row r="23" spans="1:12">
      <c r="A23" s="423" t="s">
        <v>4531</v>
      </c>
      <c r="B23" s="423" t="s">
        <v>4095</v>
      </c>
      <c r="C23" s="246">
        <v>180156199</v>
      </c>
      <c r="D23" s="246">
        <v>168304012</v>
      </c>
      <c r="E23" s="246">
        <v>180156199</v>
      </c>
      <c r="F23" s="246">
        <v>168304012</v>
      </c>
      <c r="G23" s="246">
        <v>11852187</v>
      </c>
      <c r="H23" s="246">
        <v>0</v>
      </c>
      <c r="J23" s="669">
        <v>1.5</v>
      </c>
      <c r="K23" s="669">
        <v>0.27300000000000002</v>
      </c>
      <c r="L23" s="669">
        <v>1.7729999999999999</v>
      </c>
    </row>
    <row r="24" spans="1:12">
      <c r="A24" s="423" t="s">
        <v>4533</v>
      </c>
      <c r="B24" s="423" t="s">
        <v>2004</v>
      </c>
      <c r="C24" s="246">
        <v>48966386</v>
      </c>
      <c r="D24" s="246">
        <v>45506616</v>
      </c>
      <c r="E24" s="246">
        <v>48966386</v>
      </c>
      <c r="F24" s="246">
        <v>45506616</v>
      </c>
      <c r="G24" s="246">
        <v>3459770</v>
      </c>
      <c r="H24" s="246">
        <v>0</v>
      </c>
      <c r="J24" s="669">
        <v>1.5</v>
      </c>
      <c r="K24" s="669">
        <v>0.11</v>
      </c>
      <c r="L24" s="669">
        <v>1.61</v>
      </c>
    </row>
    <row r="25" spans="1:12">
      <c r="A25" s="423" t="s">
        <v>4534</v>
      </c>
      <c r="B25" s="423" t="s">
        <v>4097</v>
      </c>
      <c r="C25" s="246">
        <v>88680942</v>
      </c>
      <c r="D25" s="246">
        <v>83879042</v>
      </c>
      <c r="E25" s="246">
        <v>88680942</v>
      </c>
      <c r="F25" s="246">
        <v>83879042</v>
      </c>
      <c r="G25" s="246">
        <v>4801900</v>
      </c>
      <c r="H25" s="246">
        <v>0</v>
      </c>
      <c r="J25" s="669">
        <v>1.36</v>
      </c>
      <c r="K25" s="669">
        <v>0.14599999999999999</v>
      </c>
      <c r="L25" s="669">
        <v>1.506</v>
      </c>
    </row>
    <row r="26" spans="1:12">
      <c r="A26" s="423" t="s">
        <v>4535</v>
      </c>
      <c r="B26" s="423" t="s">
        <v>6107</v>
      </c>
      <c r="C26" s="246">
        <v>67826179</v>
      </c>
      <c r="D26" s="246">
        <v>63756529</v>
      </c>
      <c r="E26" s="246">
        <v>67826179</v>
      </c>
      <c r="F26" s="246">
        <v>63756529</v>
      </c>
      <c r="G26" s="246">
        <v>4069650</v>
      </c>
      <c r="H26" s="246">
        <v>0</v>
      </c>
      <c r="J26" s="669">
        <v>1.39</v>
      </c>
      <c r="K26" s="669">
        <v>0.14000000000000001</v>
      </c>
      <c r="L26" s="669">
        <v>1.53</v>
      </c>
    </row>
    <row r="27" spans="1:12">
      <c r="A27" s="423" t="s">
        <v>4536</v>
      </c>
      <c r="B27" s="423" t="s">
        <v>4098</v>
      </c>
      <c r="C27" s="246">
        <v>321662601</v>
      </c>
      <c r="D27" s="246">
        <v>309801079</v>
      </c>
      <c r="E27" s="246">
        <v>321662601</v>
      </c>
      <c r="F27" s="246">
        <v>309801079</v>
      </c>
      <c r="G27" s="246">
        <v>11861522</v>
      </c>
      <c r="H27" s="246">
        <v>0</v>
      </c>
      <c r="J27" s="669">
        <v>1.5</v>
      </c>
      <c r="K27" s="669">
        <v>0</v>
      </c>
      <c r="L27" s="669">
        <v>1.5</v>
      </c>
    </row>
    <row r="28" spans="1:12">
      <c r="A28" s="423" t="s">
        <v>4537</v>
      </c>
      <c r="B28" s="423" t="s">
        <v>4099</v>
      </c>
      <c r="C28" s="246">
        <v>143721920</v>
      </c>
      <c r="D28" s="246">
        <v>131657690</v>
      </c>
      <c r="E28" s="246">
        <v>143721920</v>
      </c>
      <c r="F28" s="246">
        <v>131657690</v>
      </c>
      <c r="G28" s="246">
        <v>12064230</v>
      </c>
      <c r="H28" s="246">
        <v>0</v>
      </c>
      <c r="J28" s="669">
        <v>1.5</v>
      </c>
      <c r="K28" s="669">
        <v>0.37859999999999999</v>
      </c>
      <c r="L28" s="669">
        <v>1.8786</v>
      </c>
    </row>
    <row r="29" spans="1:12">
      <c r="A29" s="423" t="s">
        <v>4538</v>
      </c>
      <c r="B29" s="423" t="s">
        <v>342</v>
      </c>
      <c r="C29" s="246">
        <v>489592359</v>
      </c>
      <c r="D29" s="246">
        <v>457004769</v>
      </c>
      <c r="E29" s="246">
        <v>489592359</v>
      </c>
      <c r="F29" s="246">
        <v>457004769</v>
      </c>
      <c r="G29" s="246">
        <v>32587590</v>
      </c>
      <c r="H29" s="246">
        <v>0</v>
      </c>
      <c r="J29" s="669">
        <v>1.5</v>
      </c>
      <c r="K29" s="669">
        <v>5.5E-2</v>
      </c>
      <c r="L29" s="669">
        <v>1.5549999999999999</v>
      </c>
    </row>
    <row r="30" spans="1:12">
      <c r="A30" s="423" t="s">
        <v>4539</v>
      </c>
      <c r="B30" s="423" t="s">
        <v>345</v>
      </c>
      <c r="C30" s="246">
        <v>122716427</v>
      </c>
      <c r="D30" s="246">
        <v>108848409</v>
      </c>
      <c r="E30" s="246">
        <v>122716427</v>
      </c>
      <c r="F30" s="246">
        <v>108848409</v>
      </c>
      <c r="G30" s="246">
        <v>13868018</v>
      </c>
      <c r="H30" s="246">
        <v>0</v>
      </c>
      <c r="J30" s="669">
        <v>1.5</v>
      </c>
      <c r="K30" s="669">
        <v>6.8900000000000003E-2</v>
      </c>
      <c r="L30" s="669">
        <v>1.5689</v>
      </c>
    </row>
    <row r="31" spans="1:12">
      <c r="A31" s="423" t="s">
        <v>4540</v>
      </c>
      <c r="B31" s="423" t="s">
        <v>4100</v>
      </c>
      <c r="C31" s="246">
        <v>645962836</v>
      </c>
      <c r="D31" s="246">
        <v>612065485</v>
      </c>
      <c r="E31" s="246">
        <v>645962836</v>
      </c>
      <c r="F31" s="246">
        <v>612065485</v>
      </c>
      <c r="G31" s="246">
        <v>33897351</v>
      </c>
      <c r="H31" s="246">
        <v>0</v>
      </c>
      <c r="J31" s="669">
        <v>1.5</v>
      </c>
      <c r="K31" s="669">
        <v>0.18</v>
      </c>
      <c r="L31" s="669">
        <v>1.68</v>
      </c>
    </row>
    <row r="32" spans="1:12">
      <c r="A32" s="423" t="s">
        <v>4541</v>
      </c>
      <c r="B32" s="423" t="s">
        <v>4101</v>
      </c>
      <c r="C32" s="246">
        <v>698616480</v>
      </c>
      <c r="D32" s="246">
        <v>670149321</v>
      </c>
      <c r="E32" s="246">
        <v>672993741</v>
      </c>
      <c r="F32" s="246">
        <v>644526582</v>
      </c>
      <c r="G32" s="246">
        <v>28467159</v>
      </c>
      <c r="H32" s="246">
        <v>25622739</v>
      </c>
      <c r="J32" s="669">
        <v>1.38</v>
      </c>
      <c r="K32" s="669">
        <v>0.22</v>
      </c>
      <c r="L32" s="669">
        <v>1.6</v>
      </c>
    </row>
    <row r="33" spans="1:12">
      <c r="A33" s="423" t="s">
        <v>4542</v>
      </c>
      <c r="B33" s="423" t="s">
        <v>4102</v>
      </c>
      <c r="C33" s="246">
        <v>400276130</v>
      </c>
      <c r="D33" s="246">
        <v>389813594</v>
      </c>
      <c r="E33" s="246">
        <v>397610466</v>
      </c>
      <c r="F33" s="246">
        <v>387147930</v>
      </c>
      <c r="G33" s="246">
        <v>10462536</v>
      </c>
      <c r="H33" s="246">
        <v>2665664</v>
      </c>
      <c r="J33" s="669">
        <v>1.5</v>
      </c>
      <c r="K33" s="669">
        <v>0.1812</v>
      </c>
      <c r="L33" s="669">
        <v>1.6812</v>
      </c>
    </row>
    <row r="34" spans="1:12">
      <c r="A34" s="423" t="s">
        <v>4543</v>
      </c>
      <c r="B34" s="423" t="s">
        <v>4103</v>
      </c>
      <c r="C34" s="246">
        <v>191457739</v>
      </c>
      <c r="D34" s="246">
        <v>179398797</v>
      </c>
      <c r="E34" s="246">
        <v>191457739</v>
      </c>
      <c r="F34" s="246">
        <v>179398797</v>
      </c>
      <c r="G34" s="246">
        <v>12058942</v>
      </c>
      <c r="H34" s="246">
        <v>0</v>
      </c>
      <c r="J34" s="669">
        <v>1.5</v>
      </c>
      <c r="K34" s="669">
        <v>0</v>
      </c>
      <c r="L34" s="669">
        <v>1.5</v>
      </c>
    </row>
    <row r="35" spans="1:12">
      <c r="A35" s="423" t="s">
        <v>4544</v>
      </c>
      <c r="B35" s="423" t="s">
        <v>4104</v>
      </c>
      <c r="C35" s="246">
        <v>125297520</v>
      </c>
      <c r="D35" s="246">
        <v>120252072</v>
      </c>
      <c r="E35" s="246">
        <v>125297520</v>
      </c>
      <c r="F35" s="246">
        <v>120252072</v>
      </c>
      <c r="G35" s="246">
        <v>5045448</v>
      </c>
      <c r="H35" s="246">
        <v>0</v>
      </c>
      <c r="J35" s="669">
        <v>1.38</v>
      </c>
      <c r="K35" s="669">
        <v>0</v>
      </c>
      <c r="L35" s="669">
        <v>1.38</v>
      </c>
    </row>
    <row r="36" spans="1:12">
      <c r="A36" s="423" t="s">
        <v>4545</v>
      </c>
      <c r="B36" s="423" t="s">
        <v>7695</v>
      </c>
      <c r="C36" s="246">
        <v>769263889</v>
      </c>
      <c r="D36" s="246">
        <v>727082591</v>
      </c>
      <c r="E36" s="246">
        <v>769263889</v>
      </c>
      <c r="F36" s="246">
        <v>727082591</v>
      </c>
      <c r="G36" s="246">
        <v>42181298</v>
      </c>
      <c r="H36" s="246">
        <v>0</v>
      </c>
      <c r="J36" s="669">
        <v>1.44</v>
      </c>
      <c r="K36" s="669">
        <v>0.19</v>
      </c>
      <c r="L36" s="669">
        <v>1.63</v>
      </c>
    </row>
    <row r="37" spans="1:12">
      <c r="A37" s="423" t="s">
        <v>4546</v>
      </c>
      <c r="B37" s="423" t="s">
        <v>7697</v>
      </c>
      <c r="C37" s="246">
        <v>2065092685</v>
      </c>
      <c r="D37" s="246">
        <v>1981156628</v>
      </c>
      <c r="E37" s="246">
        <v>2065092685</v>
      </c>
      <c r="F37" s="246">
        <v>1981156628</v>
      </c>
      <c r="G37" s="246">
        <v>83936057</v>
      </c>
      <c r="H37" s="246">
        <v>0</v>
      </c>
      <c r="J37" s="669">
        <v>1.5</v>
      </c>
      <c r="K37" s="669">
        <v>0.22800000000000001</v>
      </c>
      <c r="L37" s="669">
        <v>1.728</v>
      </c>
    </row>
    <row r="38" spans="1:12">
      <c r="A38" s="423" t="s">
        <v>4547</v>
      </c>
      <c r="B38" s="423" t="s">
        <v>1928</v>
      </c>
      <c r="C38" s="246">
        <v>687088345</v>
      </c>
      <c r="D38" s="246">
        <v>654056836</v>
      </c>
      <c r="E38" s="246">
        <v>687088345</v>
      </c>
      <c r="F38" s="246">
        <v>654056836</v>
      </c>
      <c r="G38" s="246">
        <v>33031509</v>
      </c>
      <c r="H38" s="246">
        <v>0</v>
      </c>
      <c r="J38" s="669">
        <v>1.5</v>
      </c>
      <c r="K38" s="669">
        <v>0.35</v>
      </c>
      <c r="L38" s="669">
        <v>1.85</v>
      </c>
    </row>
    <row r="39" spans="1:12">
      <c r="A39" s="423" t="s">
        <v>4548</v>
      </c>
      <c r="B39" s="423" t="s">
        <v>2343</v>
      </c>
      <c r="C39" s="246">
        <v>449770900</v>
      </c>
      <c r="D39" s="246">
        <v>424757676</v>
      </c>
      <c r="E39" s="246">
        <v>449770900</v>
      </c>
      <c r="F39" s="246">
        <v>424757676</v>
      </c>
      <c r="G39" s="246">
        <v>25013224</v>
      </c>
      <c r="H39" s="246">
        <v>0</v>
      </c>
      <c r="J39" s="669">
        <v>1.5</v>
      </c>
      <c r="K39" s="669">
        <v>0.28499999999999998</v>
      </c>
      <c r="L39" s="669">
        <v>1.7849999999999999</v>
      </c>
    </row>
    <row r="40" spans="1:12">
      <c r="A40" s="423" t="s">
        <v>2505</v>
      </c>
      <c r="B40" s="423" t="s">
        <v>6074</v>
      </c>
      <c r="C40" s="246">
        <v>56138581</v>
      </c>
      <c r="D40" s="246">
        <v>53078382</v>
      </c>
      <c r="E40" s="246">
        <v>56138581</v>
      </c>
      <c r="F40" s="246">
        <v>53078382</v>
      </c>
      <c r="G40" s="246">
        <v>3060199</v>
      </c>
      <c r="H40" s="246">
        <v>0</v>
      </c>
      <c r="J40" s="669">
        <v>1.5</v>
      </c>
      <c r="K40" s="669">
        <v>7.7499999999999999E-2</v>
      </c>
      <c r="L40" s="669">
        <v>1.5774999999999999</v>
      </c>
    </row>
    <row r="41" spans="1:12">
      <c r="A41" s="423" t="s">
        <v>2506</v>
      </c>
      <c r="B41" s="423" t="s">
        <v>4105</v>
      </c>
      <c r="C41" s="246">
        <v>133608820</v>
      </c>
      <c r="D41" s="246">
        <v>122597460</v>
      </c>
      <c r="E41" s="246">
        <v>133608820</v>
      </c>
      <c r="F41" s="246">
        <v>122597460</v>
      </c>
      <c r="G41" s="246">
        <v>11011360</v>
      </c>
      <c r="H41" s="246">
        <v>0</v>
      </c>
      <c r="J41" s="669">
        <v>1.5</v>
      </c>
      <c r="K41" s="669">
        <v>0.105</v>
      </c>
      <c r="L41" s="669">
        <v>1.605</v>
      </c>
    </row>
    <row r="42" spans="1:12">
      <c r="A42" s="423" t="s">
        <v>2507</v>
      </c>
      <c r="B42" s="423" t="s">
        <v>7698</v>
      </c>
      <c r="C42" s="246">
        <v>449601200</v>
      </c>
      <c r="D42" s="246">
        <v>413708890</v>
      </c>
      <c r="E42" s="246">
        <v>449601200</v>
      </c>
      <c r="F42" s="246">
        <v>413708890</v>
      </c>
      <c r="G42" s="246">
        <v>35892310</v>
      </c>
      <c r="H42" s="246">
        <v>0</v>
      </c>
      <c r="J42" s="669">
        <v>1.5</v>
      </c>
      <c r="K42" s="669">
        <v>0.09</v>
      </c>
      <c r="L42" s="669">
        <v>1.59</v>
      </c>
    </row>
    <row r="43" spans="1:12">
      <c r="A43" s="423" t="s">
        <v>2508</v>
      </c>
      <c r="B43" s="423" t="s">
        <v>4106</v>
      </c>
      <c r="C43" s="246">
        <v>160726212</v>
      </c>
      <c r="D43" s="246">
        <v>159026101</v>
      </c>
      <c r="E43" s="246">
        <v>159843293</v>
      </c>
      <c r="F43" s="246">
        <v>158143182</v>
      </c>
      <c r="G43" s="246">
        <v>1700111</v>
      </c>
      <c r="H43" s="246">
        <v>882919</v>
      </c>
      <c r="J43" s="669">
        <v>1.3035399999999999</v>
      </c>
      <c r="K43" s="669">
        <v>0</v>
      </c>
      <c r="L43" s="669">
        <v>1.3035399999999999</v>
      </c>
    </row>
    <row r="44" spans="1:12">
      <c r="A44" s="423" t="s">
        <v>2509</v>
      </c>
      <c r="B44" s="423" t="s">
        <v>4107</v>
      </c>
      <c r="C44" s="246">
        <v>150885441</v>
      </c>
      <c r="D44" s="246">
        <v>146886154</v>
      </c>
      <c r="E44" s="246">
        <v>150885441</v>
      </c>
      <c r="F44" s="246">
        <v>146886154</v>
      </c>
      <c r="G44" s="246">
        <v>3999287</v>
      </c>
      <c r="H44" s="246">
        <v>0</v>
      </c>
      <c r="J44" s="669">
        <v>1.5</v>
      </c>
      <c r="K44" s="669">
        <v>0</v>
      </c>
      <c r="L44" s="669">
        <v>1.5</v>
      </c>
    </row>
    <row r="45" spans="1:12">
      <c r="A45" s="423" t="s">
        <v>2510</v>
      </c>
      <c r="B45" s="423" t="s">
        <v>2341</v>
      </c>
      <c r="C45" s="246">
        <v>101965970</v>
      </c>
      <c r="D45" s="246">
        <v>96185620</v>
      </c>
      <c r="E45" s="246">
        <v>99356955</v>
      </c>
      <c r="F45" s="246">
        <v>93576605</v>
      </c>
      <c r="G45" s="246">
        <v>5780350</v>
      </c>
      <c r="H45" s="246">
        <v>2609015</v>
      </c>
      <c r="J45" s="669">
        <v>1.5</v>
      </c>
      <c r="K45" s="669">
        <v>5.4949999999999999E-2</v>
      </c>
      <c r="L45" s="669">
        <v>1.5549500000000001</v>
      </c>
    </row>
    <row r="46" spans="1:12">
      <c r="A46" s="423" t="s">
        <v>2511</v>
      </c>
      <c r="B46" s="423" t="s">
        <v>4108</v>
      </c>
      <c r="C46" s="246">
        <v>150349598</v>
      </c>
      <c r="D46" s="246">
        <v>139535949</v>
      </c>
      <c r="E46" s="246">
        <v>150349598</v>
      </c>
      <c r="F46" s="246">
        <v>139535949</v>
      </c>
      <c r="G46" s="246">
        <v>10813649</v>
      </c>
      <c r="H46" s="246">
        <v>0</v>
      </c>
      <c r="J46" s="669">
        <v>1.4993000000000001</v>
      </c>
      <c r="K46" s="669">
        <v>0.1547</v>
      </c>
      <c r="L46" s="669">
        <v>1.6539999999999999</v>
      </c>
    </row>
    <row r="47" spans="1:12">
      <c r="A47" s="423" t="s">
        <v>2512</v>
      </c>
      <c r="B47" s="423" t="s">
        <v>7696</v>
      </c>
      <c r="C47" s="246">
        <v>70078959</v>
      </c>
      <c r="D47" s="246">
        <v>64389905</v>
      </c>
      <c r="E47" s="246">
        <v>70078959</v>
      </c>
      <c r="F47" s="246">
        <v>64389905</v>
      </c>
      <c r="G47" s="246">
        <v>5689054</v>
      </c>
      <c r="H47" s="246">
        <v>0</v>
      </c>
      <c r="J47" s="669">
        <v>1.5</v>
      </c>
      <c r="K47" s="669">
        <v>0.13370000000000001</v>
      </c>
      <c r="L47" s="669">
        <v>1.6336999999999999</v>
      </c>
    </row>
    <row r="48" spans="1:12">
      <c r="A48" s="423" t="s">
        <v>2513</v>
      </c>
      <c r="B48" s="423" t="s">
        <v>7654</v>
      </c>
      <c r="C48" s="246">
        <v>1312527739</v>
      </c>
      <c r="D48" s="246">
        <v>1230067109</v>
      </c>
      <c r="E48" s="246">
        <v>1312527739</v>
      </c>
      <c r="F48" s="246">
        <v>1230067109</v>
      </c>
      <c r="G48" s="246">
        <v>82460630</v>
      </c>
      <c r="H48" s="246">
        <v>0</v>
      </c>
      <c r="J48" s="669">
        <v>1.5</v>
      </c>
      <c r="K48" s="669">
        <v>0.2185</v>
      </c>
      <c r="L48" s="669">
        <v>1.7184999999999999</v>
      </c>
    </row>
    <row r="49" spans="1:12">
      <c r="A49" s="423" t="s">
        <v>2514</v>
      </c>
      <c r="B49" s="423" t="s">
        <v>3848</v>
      </c>
      <c r="C49" s="246">
        <v>72346232</v>
      </c>
      <c r="D49" s="246">
        <v>66951903</v>
      </c>
      <c r="E49" s="246">
        <v>72346232</v>
      </c>
      <c r="F49" s="246">
        <v>66951903</v>
      </c>
      <c r="G49" s="246">
        <v>5394329</v>
      </c>
      <c r="H49" s="246">
        <v>0</v>
      </c>
      <c r="J49" s="669">
        <v>1.42</v>
      </c>
      <c r="K49" s="669">
        <v>0.14990000000000001</v>
      </c>
      <c r="L49" s="669">
        <v>1.5699000000000001</v>
      </c>
    </row>
    <row r="50" spans="1:12">
      <c r="A50" s="423" t="s">
        <v>2515</v>
      </c>
      <c r="B50" s="423" t="s">
        <v>1920</v>
      </c>
      <c r="C50" s="246">
        <v>4016798311</v>
      </c>
      <c r="D50" s="246">
        <v>3796819521</v>
      </c>
      <c r="E50" s="246">
        <v>4016798311</v>
      </c>
      <c r="F50" s="246">
        <v>3796819521</v>
      </c>
      <c r="G50" s="246">
        <v>219978790</v>
      </c>
      <c r="H50" s="246">
        <v>0</v>
      </c>
      <c r="J50" s="669">
        <v>1.42</v>
      </c>
      <c r="K50" s="669">
        <v>0.13830000000000001</v>
      </c>
      <c r="L50" s="669">
        <v>1.5583</v>
      </c>
    </row>
    <row r="51" spans="1:12">
      <c r="A51" s="423" t="s">
        <v>2516</v>
      </c>
      <c r="B51" s="423" t="s">
        <v>367</v>
      </c>
      <c r="C51" s="246">
        <v>115020065</v>
      </c>
      <c r="D51" s="246">
        <v>105690185</v>
      </c>
      <c r="E51" s="246">
        <v>115020065</v>
      </c>
      <c r="F51" s="246">
        <v>105690185</v>
      </c>
      <c r="G51" s="246">
        <v>9329880</v>
      </c>
      <c r="H51" s="246">
        <v>0</v>
      </c>
      <c r="J51" s="669">
        <v>1.4750000000000001</v>
      </c>
      <c r="K51" s="669">
        <v>7.85E-2</v>
      </c>
      <c r="L51" s="669">
        <v>1.5535000000000001</v>
      </c>
    </row>
    <row r="52" spans="1:12">
      <c r="A52" s="423" t="s">
        <v>2517</v>
      </c>
      <c r="B52" s="423" t="s">
        <v>376</v>
      </c>
      <c r="C52" s="246">
        <v>445242079</v>
      </c>
      <c r="D52" s="246">
        <v>426886738</v>
      </c>
      <c r="E52" s="246">
        <v>445242079</v>
      </c>
      <c r="F52" s="246">
        <v>426886738</v>
      </c>
      <c r="G52" s="246">
        <v>18355341</v>
      </c>
      <c r="H52" s="246">
        <v>0</v>
      </c>
      <c r="J52" s="669">
        <v>1.4219999999999999</v>
      </c>
      <c r="K52" s="669">
        <v>0.158</v>
      </c>
      <c r="L52" s="669">
        <v>1.58</v>
      </c>
    </row>
    <row r="53" spans="1:12">
      <c r="A53" s="423" t="s">
        <v>2518</v>
      </c>
      <c r="B53" s="423" t="s">
        <v>5364</v>
      </c>
      <c r="C53" s="246">
        <v>2365185825</v>
      </c>
      <c r="D53" s="246">
        <v>2261990671</v>
      </c>
      <c r="E53" s="246">
        <v>2365185825</v>
      </c>
      <c r="F53" s="246">
        <v>2261990671</v>
      </c>
      <c r="G53" s="246">
        <v>103195154</v>
      </c>
      <c r="H53" s="246">
        <v>0</v>
      </c>
      <c r="J53" s="669">
        <v>1.5</v>
      </c>
      <c r="K53" s="669">
        <v>0.13</v>
      </c>
      <c r="L53" s="669">
        <v>1.63</v>
      </c>
    </row>
    <row r="54" spans="1:12">
      <c r="A54" s="423" t="s">
        <v>2519</v>
      </c>
      <c r="B54" s="423" t="s">
        <v>5369</v>
      </c>
      <c r="C54" s="246">
        <v>189687040</v>
      </c>
      <c r="D54" s="246">
        <v>175949675</v>
      </c>
      <c r="E54" s="246">
        <v>189687040</v>
      </c>
      <c r="F54" s="246">
        <v>175949675</v>
      </c>
      <c r="G54" s="246">
        <v>13737365</v>
      </c>
      <c r="H54" s="246">
        <v>0</v>
      </c>
      <c r="J54" s="669">
        <v>1.49</v>
      </c>
      <c r="K54" s="669">
        <v>0.1825</v>
      </c>
      <c r="L54" s="669">
        <v>1.6725000000000001</v>
      </c>
    </row>
    <row r="55" spans="1:12">
      <c r="A55" s="423" t="s">
        <v>2520</v>
      </c>
      <c r="B55" s="423" t="s">
        <v>4109</v>
      </c>
      <c r="C55" s="246">
        <v>3548347906</v>
      </c>
      <c r="D55" s="246">
        <v>3475115859</v>
      </c>
      <c r="E55" s="246">
        <v>3548347906</v>
      </c>
      <c r="F55" s="246">
        <v>3475115859</v>
      </c>
      <c r="G55" s="246">
        <v>73232047</v>
      </c>
      <c r="H55" s="246">
        <v>0</v>
      </c>
      <c r="J55" s="669">
        <v>1.5</v>
      </c>
      <c r="K55" s="669">
        <v>0.15659999999999999</v>
      </c>
      <c r="L55" s="669">
        <v>1.6566000000000001</v>
      </c>
    </row>
    <row r="56" spans="1:12">
      <c r="A56" s="423" t="s">
        <v>2521</v>
      </c>
      <c r="B56" s="423" t="s">
        <v>3918</v>
      </c>
      <c r="C56" s="246">
        <v>1102532839</v>
      </c>
      <c r="D56" s="246">
        <v>989650830</v>
      </c>
      <c r="E56" s="246">
        <v>1102532839</v>
      </c>
      <c r="F56" s="246">
        <v>989650830</v>
      </c>
      <c r="G56" s="246">
        <v>112882009</v>
      </c>
      <c r="H56" s="246">
        <v>0</v>
      </c>
      <c r="J56" s="669">
        <v>1.5</v>
      </c>
      <c r="K56" s="669">
        <v>0.25600000000000001</v>
      </c>
      <c r="L56" s="669">
        <v>1.756</v>
      </c>
    </row>
    <row r="57" spans="1:12">
      <c r="A57" s="423" t="s">
        <v>2522</v>
      </c>
      <c r="B57" s="423" t="s">
        <v>1926</v>
      </c>
      <c r="C57" s="246">
        <v>831628489</v>
      </c>
      <c r="D57" s="246">
        <v>732148685</v>
      </c>
      <c r="E57" s="246">
        <v>831628489</v>
      </c>
      <c r="F57" s="246">
        <v>732148685</v>
      </c>
      <c r="G57" s="246">
        <v>99479804</v>
      </c>
      <c r="H57" s="246">
        <v>0</v>
      </c>
      <c r="J57" s="669">
        <v>1.5</v>
      </c>
      <c r="K57" s="669">
        <v>0.22220000000000001</v>
      </c>
      <c r="L57" s="669">
        <v>1.7222</v>
      </c>
    </row>
    <row r="58" spans="1:12">
      <c r="A58" s="423" t="s">
        <v>2523</v>
      </c>
      <c r="B58" s="423" t="s">
        <v>379</v>
      </c>
      <c r="C58" s="246">
        <v>9056741017</v>
      </c>
      <c r="D58" s="246">
        <v>8542207484</v>
      </c>
      <c r="E58" s="246">
        <v>9056741017</v>
      </c>
      <c r="F58" s="246">
        <v>8542207484</v>
      </c>
      <c r="G58" s="246">
        <v>514533533</v>
      </c>
      <c r="H58" s="246">
        <v>0</v>
      </c>
      <c r="J58" s="669">
        <v>1.5</v>
      </c>
      <c r="K58" s="669">
        <v>0.22</v>
      </c>
      <c r="L58" s="669">
        <v>1.72</v>
      </c>
    </row>
    <row r="59" spans="1:12">
      <c r="A59" s="423" t="s">
        <v>4611</v>
      </c>
      <c r="B59" s="423" t="s">
        <v>2347</v>
      </c>
      <c r="C59" s="246">
        <v>936979384</v>
      </c>
      <c r="D59" s="246">
        <v>871639332</v>
      </c>
      <c r="E59" s="246">
        <v>936979384</v>
      </c>
      <c r="F59" s="246">
        <v>871639332</v>
      </c>
      <c r="G59" s="246">
        <v>65340052</v>
      </c>
      <c r="H59" s="246">
        <v>0</v>
      </c>
      <c r="J59" s="669">
        <v>1.5</v>
      </c>
      <c r="K59" s="669">
        <v>0.34</v>
      </c>
      <c r="L59" s="669">
        <v>1.84</v>
      </c>
    </row>
    <row r="60" spans="1:12">
      <c r="A60" s="423" t="s">
        <v>4612</v>
      </c>
      <c r="B60" s="423" t="s">
        <v>2346</v>
      </c>
      <c r="C60" s="246">
        <v>256547443</v>
      </c>
      <c r="D60" s="246">
        <v>233040910</v>
      </c>
      <c r="E60" s="246">
        <v>256547443</v>
      </c>
      <c r="F60" s="246">
        <v>233040910</v>
      </c>
      <c r="G60" s="246">
        <v>23506533</v>
      </c>
      <c r="H60" s="246">
        <v>0</v>
      </c>
      <c r="J60" s="669">
        <v>1.5</v>
      </c>
      <c r="K60" s="669">
        <v>0.185</v>
      </c>
      <c r="L60" s="669">
        <v>1.6850000000000001</v>
      </c>
    </row>
    <row r="61" spans="1:12">
      <c r="A61" s="423" t="s">
        <v>4613</v>
      </c>
      <c r="B61" s="423" t="s">
        <v>1937</v>
      </c>
      <c r="C61" s="246">
        <v>20480171169</v>
      </c>
      <c r="D61" s="246">
        <v>19702628029</v>
      </c>
      <c r="E61" s="246">
        <v>20480171169</v>
      </c>
      <c r="F61" s="246">
        <v>19702628029</v>
      </c>
      <c r="G61" s="246">
        <v>777543140</v>
      </c>
      <c r="H61" s="246">
        <v>0</v>
      </c>
      <c r="J61" s="669">
        <v>1.5</v>
      </c>
      <c r="K61" s="669">
        <v>0.29399999999999998</v>
      </c>
      <c r="L61" s="669">
        <v>1.794</v>
      </c>
    </row>
    <row r="62" spans="1:12">
      <c r="A62" s="423" t="s">
        <v>4614</v>
      </c>
      <c r="B62" s="423" t="s">
        <v>3013</v>
      </c>
      <c r="C62" s="246">
        <v>1295603586</v>
      </c>
      <c r="D62" s="246">
        <v>1210193436</v>
      </c>
      <c r="E62" s="246">
        <v>1295603586</v>
      </c>
      <c r="F62" s="246">
        <v>1210193436</v>
      </c>
      <c r="G62" s="246">
        <v>85410150</v>
      </c>
      <c r="H62" s="246">
        <v>0</v>
      </c>
      <c r="J62" s="669">
        <v>1.5</v>
      </c>
      <c r="K62" s="669">
        <v>0.18</v>
      </c>
      <c r="L62" s="669">
        <v>1.68</v>
      </c>
    </row>
    <row r="63" spans="1:12">
      <c r="A63" s="423" t="s">
        <v>4615</v>
      </c>
      <c r="B63" s="423" t="s">
        <v>2349</v>
      </c>
      <c r="C63" s="246">
        <v>763541448</v>
      </c>
      <c r="D63" s="246">
        <v>699603530</v>
      </c>
      <c r="E63" s="246">
        <v>763541448</v>
      </c>
      <c r="F63" s="246">
        <v>699603530</v>
      </c>
      <c r="G63" s="246">
        <v>63937918</v>
      </c>
      <c r="H63" s="246">
        <v>0</v>
      </c>
      <c r="J63" s="669">
        <v>1.5</v>
      </c>
      <c r="K63" s="669">
        <v>0.1188</v>
      </c>
      <c r="L63" s="669">
        <v>1.6188</v>
      </c>
    </row>
    <row r="64" spans="1:12">
      <c r="A64" s="423" t="s">
        <v>4616</v>
      </c>
      <c r="B64" s="423" t="s">
        <v>1939</v>
      </c>
      <c r="C64" s="246">
        <v>20000130193</v>
      </c>
      <c r="D64" s="246">
        <v>19173846385</v>
      </c>
      <c r="E64" s="246">
        <v>20000130193</v>
      </c>
      <c r="F64" s="246">
        <v>19173846385</v>
      </c>
      <c r="G64" s="246">
        <v>826283808</v>
      </c>
      <c r="H64" s="246">
        <v>0</v>
      </c>
      <c r="J64" s="669">
        <v>1.5</v>
      </c>
      <c r="K64" s="669">
        <v>0.27500000000000002</v>
      </c>
      <c r="L64" s="669">
        <v>1.7749999999999999</v>
      </c>
    </row>
    <row r="65" spans="1:12">
      <c r="A65" s="423" t="s">
        <v>4617</v>
      </c>
      <c r="B65" s="423" t="s">
        <v>1911</v>
      </c>
      <c r="C65" s="246">
        <v>4144477917</v>
      </c>
      <c r="D65" s="246">
        <v>3952069071</v>
      </c>
      <c r="E65" s="246">
        <v>4144477917</v>
      </c>
      <c r="F65" s="246">
        <v>3952069071</v>
      </c>
      <c r="G65" s="246">
        <v>192408846</v>
      </c>
      <c r="H65" s="246">
        <v>0</v>
      </c>
      <c r="J65" s="669">
        <v>1.5</v>
      </c>
      <c r="K65" s="669">
        <v>0.27600000000000002</v>
      </c>
      <c r="L65" s="669">
        <v>1.776</v>
      </c>
    </row>
    <row r="66" spans="1:12">
      <c r="A66" s="423" t="s">
        <v>4618</v>
      </c>
      <c r="B66" s="423" t="s">
        <v>2348</v>
      </c>
      <c r="C66" s="246">
        <v>381528840</v>
      </c>
      <c r="D66" s="246">
        <v>346869296</v>
      </c>
      <c r="E66" s="246">
        <v>381528840</v>
      </c>
      <c r="F66" s="246">
        <v>346869296</v>
      </c>
      <c r="G66" s="246">
        <v>34659544</v>
      </c>
      <c r="H66" s="246">
        <v>0</v>
      </c>
      <c r="J66" s="669">
        <v>1.5</v>
      </c>
      <c r="K66" s="669">
        <v>0.22</v>
      </c>
      <c r="L66" s="669">
        <v>1.72</v>
      </c>
    </row>
    <row r="67" spans="1:12">
      <c r="A67" s="423" t="s">
        <v>4619</v>
      </c>
      <c r="B67" s="423" t="s">
        <v>4113</v>
      </c>
      <c r="C67" s="246">
        <v>357379580</v>
      </c>
      <c r="D67" s="246">
        <v>344532700</v>
      </c>
      <c r="E67" s="246">
        <v>357379580</v>
      </c>
      <c r="F67" s="246">
        <v>344532700</v>
      </c>
      <c r="G67" s="246">
        <v>12846880</v>
      </c>
      <c r="H67" s="246">
        <v>0</v>
      </c>
      <c r="J67" s="669">
        <v>1.5</v>
      </c>
      <c r="K67" s="669">
        <v>0.11269999999999999</v>
      </c>
      <c r="L67" s="669">
        <v>1.6127</v>
      </c>
    </row>
    <row r="68" spans="1:12">
      <c r="A68" s="423" t="s">
        <v>4620</v>
      </c>
      <c r="B68" s="423" t="s">
        <v>7657</v>
      </c>
      <c r="C68" s="246">
        <v>363048306</v>
      </c>
      <c r="D68" s="246">
        <v>347459676</v>
      </c>
      <c r="E68" s="246">
        <v>363048306</v>
      </c>
      <c r="F68" s="246">
        <v>347459676</v>
      </c>
      <c r="G68" s="246">
        <v>15588630</v>
      </c>
      <c r="H68" s="246">
        <v>0</v>
      </c>
      <c r="J68" s="669">
        <v>1.5</v>
      </c>
      <c r="K68" s="669">
        <v>0.1</v>
      </c>
      <c r="L68" s="669">
        <v>1.6</v>
      </c>
    </row>
    <row r="69" spans="1:12">
      <c r="A69" s="423" t="s">
        <v>4621</v>
      </c>
      <c r="B69" s="423" t="s">
        <v>4114</v>
      </c>
      <c r="C69" s="246">
        <v>483480060</v>
      </c>
      <c r="D69" s="246">
        <v>482193010</v>
      </c>
      <c r="E69" s="246">
        <v>483142121</v>
      </c>
      <c r="F69" s="246">
        <v>481855071</v>
      </c>
      <c r="G69" s="246">
        <v>1287050</v>
      </c>
      <c r="H69" s="246">
        <v>337939</v>
      </c>
      <c r="J69" s="669">
        <v>1.44</v>
      </c>
      <c r="K69" s="669">
        <v>0</v>
      </c>
      <c r="L69" s="669">
        <v>1.44</v>
      </c>
    </row>
    <row r="70" spans="1:12">
      <c r="A70" s="423" t="s">
        <v>4622</v>
      </c>
      <c r="B70" s="423" t="s">
        <v>6115</v>
      </c>
      <c r="C70" s="246">
        <v>377752211</v>
      </c>
      <c r="D70" s="246">
        <v>361033122</v>
      </c>
      <c r="E70" s="246">
        <v>377752211</v>
      </c>
      <c r="F70" s="246">
        <v>361033122</v>
      </c>
      <c r="G70" s="246">
        <v>16719089</v>
      </c>
      <c r="H70" s="246">
        <v>0</v>
      </c>
      <c r="J70" s="669">
        <v>1.4261999999999999</v>
      </c>
      <c r="K70" s="669">
        <v>0.1525</v>
      </c>
      <c r="L70" s="669">
        <v>1.5787</v>
      </c>
    </row>
    <row r="71" spans="1:12">
      <c r="A71" s="423" t="s">
        <v>4623</v>
      </c>
      <c r="B71" s="423" t="s">
        <v>4115</v>
      </c>
      <c r="C71" s="246">
        <v>116411131</v>
      </c>
      <c r="D71" s="246">
        <v>110294451</v>
      </c>
      <c r="E71" s="246">
        <v>116411131</v>
      </c>
      <c r="F71" s="246">
        <v>110294451</v>
      </c>
      <c r="G71" s="246">
        <v>6116680</v>
      </c>
      <c r="H71" s="246">
        <v>0</v>
      </c>
      <c r="J71" s="669">
        <v>1.341</v>
      </c>
      <c r="K71" s="669">
        <v>0.109</v>
      </c>
      <c r="L71" s="669">
        <v>1.45</v>
      </c>
    </row>
    <row r="72" spans="1:12">
      <c r="A72" s="423" t="s">
        <v>4624</v>
      </c>
      <c r="B72" s="423" t="s">
        <v>4116</v>
      </c>
      <c r="C72" s="246">
        <v>46659644</v>
      </c>
      <c r="D72" s="246">
        <v>44499614</v>
      </c>
      <c r="E72" s="246">
        <v>46659644</v>
      </c>
      <c r="F72" s="246">
        <v>44499614</v>
      </c>
      <c r="G72" s="246">
        <v>2160030</v>
      </c>
      <c r="H72" s="246">
        <v>0</v>
      </c>
      <c r="J72" s="669">
        <v>1.47</v>
      </c>
      <c r="K72" s="669">
        <v>0</v>
      </c>
      <c r="L72" s="669">
        <v>1.47</v>
      </c>
    </row>
    <row r="73" spans="1:12">
      <c r="A73" s="423" t="s">
        <v>4625</v>
      </c>
      <c r="B73" s="423" t="s">
        <v>4117</v>
      </c>
      <c r="C73" s="246">
        <v>148353831</v>
      </c>
      <c r="D73" s="246">
        <v>141228960</v>
      </c>
      <c r="E73" s="246">
        <v>148353831</v>
      </c>
      <c r="F73" s="246">
        <v>141228960</v>
      </c>
      <c r="G73" s="246">
        <v>7124871</v>
      </c>
      <c r="H73" s="246">
        <v>0</v>
      </c>
      <c r="J73" s="669">
        <v>1.5</v>
      </c>
      <c r="K73" s="669">
        <v>0.16</v>
      </c>
      <c r="L73" s="669">
        <v>1.66</v>
      </c>
    </row>
    <row r="74" spans="1:12">
      <c r="A74" s="423" t="s">
        <v>4626</v>
      </c>
      <c r="B74" s="423" t="s">
        <v>329</v>
      </c>
      <c r="C74" s="246">
        <v>47135107</v>
      </c>
      <c r="D74" s="246">
        <v>44976457</v>
      </c>
      <c r="E74" s="246">
        <v>47135107</v>
      </c>
      <c r="F74" s="246">
        <v>44976457</v>
      </c>
      <c r="G74" s="246">
        <v>2158650</v>
      </c>
      <c r="H74" s="246">
        <v>0</v>
      </c>
      <c r="J74" s="669">
        <v>1.1499999999999999</v>
      </c>
      <c r="K74" s="669">
        <v>0</v>
      </c>
      <c r="L74" s="669">
        <v>1.1499999999999999</v>
      </c>
    </row>
    <row r="75" spans="1:12">
      <c r="A75" s="423" t="s">
        <v>4627</v>
      </c>
      <c r="B75" s="423" t="s">
        <v>1663</v>
      </c>
      <c r="C75" s="246">
        <v>49449604</v>
      </c>
      <c r="D75" s="246">
        <v>47059343</v>
      </c>
      <c r="E75" s="246">
        <v>49449604</v>
      </c>
      <c r="F75" s="246">
        <v>47059343</v>
      </c>
      <c r="G75" s="246">
        <v>2390261</v>
      </c>
      <c r="H75" s="246">
        <v>0</v>
      </c>
      <c r="J75" s="669">
        <v>1.4291</v>
      </c>
      <c r="K75" s="669">
        <v>0.1414</v>
      </c>
      <c r="L75" s="669">
        <v>1.5705</v>
      </c>
    </row>
    <row r="76" spans="1:12">
      <c r="A76" s="423" t="s">
        <v>4628</v>
      </c>
      <c r="B76" s="423" t="s">
        <v>1664</v>
      </c>
      <c r="C76" s="246">
        <v>85515466</v>
      </c>
      <c r="D76" s="246">
        <v>80618095</v>
      </c>
      <c r="E76" s="246">
        <v>85515466</v>
      </c>
      <c r="F76" s="246">
        <v>80618095</v>
      </c>
      <c r="G76" s="246">
        <v>4897371</v>
      </c>
      <c r="H76" s="246">
        <v>0</v>
      </c>
      <c r="J76" s="669">
        <v>1.48</v>
      </c>
      <c r="K76" s="669">
        <v>0.02</v>
      </c>
      <c r="L76" s="669">
        <v>1.5</v>
      </c>
    </row>
    <row r="77" spans="1:12">
      <c r="A77" s="423" t="s">
        <v>4629</v>
      </c>
      <c r="B77" s="423" t="s">
        <v>885</v>
      </c>
      <c r="C77" s="246">
        <v>49260943</v>
      </c>
      <c r="D77" s="246">
        <v>46946322</v>
      </c>
      <c r="E77" s="246">
        <v>49260943</v>
      </c>
      <c r="F77" s="246">
        <v>46946322</v>
      </c>
      <c r="G77" s="246">
        <v>2314621</v>
      </c>
      <c r="H77" s="246">
        <v>0</v>
      </c>
      <c r="J77" s="669">
        <v>1.46</v>
      </c>
      <c r="K77" s="669">
        <v>0</v>
      </c>
      <c r="L77" s="669">
        <v>1.46</v>
      </c>
    </row>
    <row r="78" spans="1:12">
      <c r="A78" s="423" t="s">
        <v>4630</v>
      </c>
      <c r="B78" s="423" t="s">
        <v>996</v>
      </c>
      <c r="C78" s="246">
        <v>131763795</v>
      </c>
      <c r="D78" s="246">
        <v>120030985</v>
      </c>
      <c r="E78" s="246">
        <v>131763795</v>
      </c>
      <c r="F78" s="246">
        <v>120030985</v>
      </c>
      <c r="G78" s="246">
        <v>11732810</v>
      </c>
      <c r="H78" s="246">
        <v>0</v>
      </c>
      <c r="J78" s="669">
        <v>1.5</v>
      </c>
      <c r="K78" s="669">
        <v>2.1700000000000001E-2</v>
      </c>
      <c r="L78" s="669">
        <v>1.5217000000000001</v>
      </c>
    </row>
    <row r="79" spans="1:12">
      <c r="A79" s="423" t="s">
        <v>4631</v>
      </c>
      <c r="B79" s="423" t="s">
        <v>3850</v>
      </c>
      <c r="C79" s="246">
        <v>116482944</v>
      </c>
      <c r="D79" s="246">
        <v>104942813</v>
      </c>
      <c r="E79" s="246">
        <v>116482944</v>
      </c>
      <c r="F79" s="246">
        <v>104942813</v>
      </c>
      <c r="G79" s="246">
        <v>11540131</v>
      </c>
      <c r="H79" s="246">
        <v>0</v>
      </c>
      <c r="J79" s="669">
        <v>1.41</v>
      </c>
      <c r="K79" s="669">
        <v>0.15</v>
      </c>
      <c r="L79" s="669">
        <v>1.56</v>
      </c>
    </row>
    <row r="80" spans="1:12">
      <c r="A80" s="423" t="s">
        <v>4632</v>
      </c>
      <c r="B80" s="423" t="s">
        <v>6070</v>
      </c>
      <c r="C80" s="246">
        <v>47402797</v>
      </c>
      <c r="D80" s="246">
        <v>41763421</v>
      </c>
      <c r="E80" s="246">
        <v>47402797</v>
      </c>
      <c r="F80" s="246">
        <v>41763421</v>
      </c>
      <c r="G80" s="246">
        <v>5639376</v>
      </c>
      <c r="H80" s="246">
        <v>0</v>
      </c>
      <c r="J80" s="669">
        <v>1.3545</v>
      </c>
      <c r="K80" s="669">
        <v>5.0900000000000001E-2</v>
      </c>
      <c r="L80" s="669">
        <v>1.4054</v>
      </c>
    </row>
    <row r="81" spans="1:12">
      <c r="A81" s="423" t="s">
        <v>4633</v>
      </c>
      <c r="B81" s="423" t="s">
        <v>886</v>
      </c>
      <c r="C81" s="246">
        <v>256698032</v>
      </c>
      <c r="D81" s="246">
        <v>238173062</v>
      </c>
      <c r="E81" s="246">
        <v>256698032</v>
      </c>
      <c r="F81" s="246">
        <v>238173062</v>
      </c>
      <c r="G81" s="246">
        <v>18524970</v>
      </c>
      <c r="H81" s="246">
        <v>0</v>
      </c>
      <c r="J81" s="669">
        <v>1.4567000000000001</v>
      </c>
      <c r="K81" s="669">
        <v>7.4499999999999997E-2</v>
      </c>
      <c r="L81" s="669">
        <v>1.5311999999999999</v>
      </c>
    </row>
    <row r="82" spans="1:12">
      <c r="A82" s="423" t="s">
        <v>4634</v>
      </c>
      <c r="B82" s="423" t="s">
        <v>887</v>
      </c>
      <c r="C82" s="246">
        <v>150314981</v>
      </c>
      <c r="D82" s="246">
        <v>138610265</v>
      </c>
      <c r="E82" s="246">
        <v>150314981</v>
      </c>
      <c r="F82" s="246">
        <v>138610265</v>
      </c>
      <c r="G82" s="246">
        <v>11704716</v>
      </c>
      <c r="H82" s="246">
        <v>0</v>
      </c>
      <c r="J82" s="669">
        <v>1.3714999999999999</v>
      </c>
      <c r="K82" s="669">
        <v>0.1052</v>
      </c>
      <c r="L82" s="669">
        <v>1.4766999999999999</v>
      </c>
    </row>
    <row r="83" spans="1:12">
      <c r="A83" s="423" t="s">
        <v>4635</v>
      </c>
      <c r="B83" s="423" t="s">
        <v>888</v>
      </c>
      <c r="C83" s="246">
        <v>1508108409</v>
      </c>
      <c r="D83" s="246">
        <v>1452471905</v>
      </c>
      <c r="E83" s="246">
        <v>1508108409</v>
      </c>
      <c r="F83" s="246">
        <v>1452471905</v>
      </c>
      <c r="G83" s="246">
        <v>55636504</v>
      </c>
      <c r="H83" s="246">
        <v>0</v>
      </c>
      <c r="J83" s="669">
        <v>1.5</v>
      </c>
      <c r="K83" s="669">
        <v>0.12</v>
      </c>
      <c r="L83" s="669">
        <v>1.62</v>
      </c>
    </row>
    <row r="84" spans="1:12">
      <c r="A84" s="423" t="s">
        <v>4636</v>
      </c>
      <c r="B84" s="423" t="s">
        <v>889</v>
      </c>
      <c r="C84" s="246">
        <v>413968020</v>
      </c>
      <c r="D84" s="246">
        <v>387475652</v>
      </c>
      <c r="E84" s="246">
        <v>413968020</v>
      </c>
      <c r="F84" s="246">
        <v>387475652</v>
      </c>
      <c r="G84" s="246">
        <v>26492368</v>
      </c>
      <c r="H84" s="246">
        <v>0</v>
      </c>
      <c r="J84" s="669">
        <v>1.4644999999999999</v>
      </c>
      <c r="K84" s="669">
        <v>8.0799999999999997E-2</v>
      </c>
      <c r="L84" s="669">
        <v>1.5452999999999999</v>
      </c>
    </row>
    <row r="85" spans="1:12">
      <c r="A85" s="423" t="s">
        <v>4637</v>
      </c>
      <c r="B85" s="423" t="s">
        <v>1467</v>
      </c>
      <c r="C85" s="246">
        <v>72333331</v>
      </c>
      <c r="D85" s="246">
        <v>65201566</v>
      </c>
      <c r="E85" s="246">
        <v>72333331</v>
      </c>
      <c r="F85" s="246">
        <v>65201566</v>
      </c>
      <c r="G85" s="246">
        <v>7131765</v>
      </c>
      <c r="H85" s="246">
        <v>0</v>
      </c>
      <c r="J85" s="669">
        <v>1.3229</v>
      </c>
      <c r="K85" s="669">
        <v>5.8500000000000003E-2</v>
      </c>
      <c r="L85" s="669">
        <v>1.3814</v>
      </c>
    </row>
    <row r="86" spans="1:12">
      <c r="A86" s="423" t="s">
        <v>4638</v>
      </c>
      <c r="B86" s="423" t="s">
        <v>6061</v>
      </c>
      <c r="C86" s="246">
        <v>13357070</v>
      </c>
      <c r="D86" s="246">
        <v>11628706</v>
      </c>
      <c r="E86" s="246">
        <v>13357070</v>
      </c>
      <c r="F86" s="246">
        <v>11628706</v>
      </c>
      <c r="G86" s="246">
        <v>1728364</v>
      </c>
      <c r="H86" s="246">
        <v>0</v>
      </c>
      <c r="J86" s="669">
        <v>1.43</v>
      </c>
      <c r="K86" s="669">
        <v>0.03</v>
      </c>
      <c r="L86" s="669">
        <v>1.46</v>
      </c>
    </row>
    <row r="87" spans="1:12">
      <c r="A87" s="423" t="s">
        <v>4639</v>
      </c>
      <c r="B87" s="423" t="s">
        <v>890</v>
      </c>
      <c r="C87" s="246">
        <v>118447692</v>
      </c>
      <c r="D87" s="246">
        <v>112557227</v>
      </c>
      <c r="E87" s="246">
        <v>118447692</v>
      </c>
      <c r="F87" s="246">
        <v>112557227</v>
      </c>
      <c r="G87" s="246">
        <v>5890465</v>
      </c>
      <c r="H87" s="246">
        <v>0</v>
      </c>
      <c r="J87" s="669">
        <v>0.96640000000000004</v>
      </c>
      <c r="K87" s="669">
        <v>0</v>
      </c>
      <c r="L87" s="669">
        <v>0.96640000000000004</v>
      </c>
    </row>
    <row r="88" spans="1:12">
      <c r="A88" s="423" t="s">
        <v>4640</v>
      </c>
      <c r="B88" s="423" t="s">
        <v>891</v>
      </c>
      <c r="C88" s="246">
        <v>650008523</v>
      </c>
      <c r="D88" s="246">
        <v>625149955</v>
      </c>
      <c r="E88" s="246">
        <v>650008523</v>
      </c>
      <c r="F88" s="246">
        <v>625149955</v>
      </c>
      <c r="G88" s="246">
        <v>24858568</v>
      </c>
      <c r="H88" s="246">
        <v>0</v>
      </c>
      <c r="J88" s="669">
        <v>1.4694</v>
      </c>
      <c r="K88" s="669">
        <v>0.19009999999999999</v>
      </c>
      <c r="L88" s="669">
        <v>1.6595</v>
      </c>
    </row>
    <row r="89" spans="1:12">
      <c r="A89" s="423" t="s">
        <v>4641</v>
      </c>
      <c r="B89" s="423" t="s">
        <v>3852</v>
      </c>
      <c r="C89" s="246">
        <v>14709715</v>
      </c>
      <c r="D89" s="246">
        <v>13147835</v>
      </c>
      <c r="E89" s="246">
        <v>14709715</v>
      </c>
      <c r="F89" s="246">
        <v>13147835</v>
      </c>
      <c r="G89" s="246">
        <v>1561880</v>
      </c>
      <c r="H89" s="246">
        <v>0</v>
      </c>
      <c r="J89" s="669">
        <v>1.46</v>
      </c>
      <c r="K89" s="669">
        <v>0</v>
      </c>
      <c r="L89" s="669">
        <v>1.46</v>
      </c>
    </row>
    <row r="90" spans="1:12">
      <c r="A90" s="423" t="s">
        <v>4642</v>
      </c>
      <c r="B90" s="423" t="s">
        <v>892</v>
      </c>
      <c r="C90" s="246">
        <v>24276986</v>
      </c>
      <c r="D90" s="246">
        <v>22055087</v>
      </c>
      <c r="E90" s="246">
        <v>24276986</v>
      </c>
      <c r="F90" s="246">
        <v>22055087</v>
      </c>
      <c r="G90" s="246">
        <v>2221899</v>
      </c>
      <c r="H90" s="246">
        <v>0</v>
      </c>
      <c r="J90" s="669">
        <v>1.41</v>
      </c>
      <c r="K90" s="669">
        <v>0</v>
      </c>
      <c r="L90" s="669">
        <v>1.41</v>
      </c>
    </row>
    <row r="91" spans="1:12">
      <c r="A91" s="423" t="s">
        <v>4643</v>
      </c>
      <c r="B91" s="423" t="s">
        <v>7679</v>
      </c>
      <c r="C91" s="246">
        <v>2746689106</v>
      </c>
      <c r="D91" s="246">
        <v>2611740343</v>
      </c>
      <c r="E91" s="246">
        <v>2746689106</v>
      </c>
      <c r="F91" s="246">
        <v>2611740343</v>
      </c>
      <c r="G91" s="246">
        <v>134948763</v>
      </c>
      <c r="H91" s="246">
        <v>0</v>
      </c>
      <c r="J91" s="669">
        <v>1.4410000000000001</v>
      </c>
      <c r="K91" s="669">
        <v>0.26479999999999998</v>
      </c>
      <c r="L91" s="669">
        <v>1.7058</v>
      </c>
    </row>
    <row r="92" spans="1:12">
      <c r="A92" s="423" t="s">
        <v>4644</v>
      </c>
      <c r="B92" s="423" t="s">
        <v>893</v>
      </c>
      <c r="C92" s="246">
        <v>2218764609</v>
      </c>
      <c r="D92" s="246">
        <v>2149741349</v>
      </c>
      <c r="E92" s="246">
        <v>2218764609</v>
      </c>
      <c r="F92" s="246">
        <v>2149741349</v>
      </c>
      <c r="G92" s="246">
        <v>69023260</v>
      </c>
      <c r="H92" s="246">
        <v>0</v>
      </c>
      <c r="J92" s="669">
        <v>1.4151</v>
      </c>
      <c r="K92" s="669">
        <v>0.15590000000000001</v>
      </c>
      <c r="L92" s="669">
        <v>1.571</v>
      </c>
    </row>
    <row r="93" spans="1:12">
      <c r="A93" s="423" t="s">
        <v>4645</v>
      </c>
      <c r="B93" s="423" t="s">
        <v>992</v>
      </c>
      <c r="C93" s="246">
        <v>128194314</v>
      </c>
      <c r="D93" s="246">
        <v>119637644</v>
      </c>
      <c r="E93" s="246">
        <v>128194314</v>
      </c>
      <c r="F93" s="246">
        <v>119637644</v>
      </c>
      <c r="G93" s="246">
        <v>8556670</v>
      </c>
      <c r="H93" s="246">
        <v>0</v>
      </c>
      <c r="J93" s="669">
        <v>1.4582999999999999</v>
      </c>
      <c r="K93" s="669">
        <v>9.9299999999999999E-2</v>
      </c>
      <c r="L93" s="669">
        <v>1.5576000000000001</v>
      </c>
    </row>
    <row r="94" spans="1:12">
      <c r="A94" s="423" t="s">
        <v>4646</v>
      </c>
      <c r="B94" s="423" t="s">
        <v>1571</v>
      </c>
      <c r="C94" s="246">
        <v>6340921915</v>
      </c>
      <c r="D94" s="246">
        <v>6212608465</v>
      </c>
      <c r="E94" s="246">
        <v>6272401859</v>
      </c>
      <c r="F94" s="246">
        <v>6144088409</v>
      </c>
      <c r="G94" s="246">
        <v>128313450</v>
      </c>
      <c r="H94" s="246">
        <v>68520056</v>
      </c>
      <c r="J94" s="669">
        <v>1.3626</v>
      </c>
      <c r="K94" s="669">
        <v>0.2102</v>
      </c>
      <c r="L94" s="669">
        <v>1.5728</v>
      </c>
    </row>
    <row r="95" spans="1:12">
      <c r="A95" s="423" t="s">
        <v>4647</v>
      </c>
      <c r="B95" s="423" t="s">
        <v>1572</v>
      </c>
      <c r="C95" s="246">
        <v>1461415156</v>
      </c>
      <c r="D95" s="246">
        <v>1435016156</v>
      </c>
      <c r="E95" s="246">
        <v>1440477485</v>
      </c>
      <c r="F95" s="246">
        <v>1414078485</v>
      </c>
      <c r="G95" s="246">
        <v>26399000</v>
      </c>
      <c r="H95" s="246">
        <v>20937671</v>
      </c>
      <c r="J95" s="669">
        <v>1.5</v>
      </c>
      <c r="K95" s="669">
        <v>0.17100000000000001</v>
      </c>
      <c r="L95" s="669">
        <v>1.671</v>
      </c>
    </row>
    <row r="96" spans="1:12">
      <c r="A96" s="423" t="s">
        <v>4648</v>
      </c>
      <c r="B96" s="423" t="s">
        <v>2640</v>
      </c>
      <c r="C96" s="246">
        <v>659578445</v>
      </c>
      <c r="D96" s="246">
        <v>612929695</v>
      </c>
      <c r="E96" s="246">
        <v>639302700</v>
      </c>
      <c r="F96" s="246">
        <v>592653950</v>
      </c>
      <c r="G96" s="246">
        <v>46648750</v>
      </c>
      <c r="H96" s="246">
        <v>20275745</v>
      </c>
      <c r="J96" s="669">
        <v>1.5</v>
      </c>
      <c r="K96" s="669">
        <v>0.27</v>
      </c>
      <c r="L96" s="669">
        <v>1.77</v>
      </c>
    </row>
    <row r="97" spans="1:12">
      <c r="A97" s="423" t="s">
        <v>4649</v>
      </c>
      <c r="B97" s="423" t="s">
        <v>5293</v>
      </c>
      <c r="C97" s="246">
        <v>4622375253</v>
      </c>
      <c r="D97" s="246">
        <v>4412465469</v>
      </c>
      <c r="E97" s="246">
        <v>4622375253</v>
      </c>
      <c r="F97" s="246">
        <v>4412465469</v>
      </c>
      <c r="G97" s="246">
        <v>209909784</v>
      </c>
      <c r="H97" s="246">
        <v>0</v>
      </c>
      <c r="J97" s="669">
        <v>1.5</v>
      </c>
      <c r="K97" s="669">
        <v>0.29220000000000002</v>
      </c>
      <c r="L97" s="669">
        <v>1.7922</v>
      </c>
    </row>
    <row r="98" spans="1:12">
      <c r="A98" s="423" t="s">
        <v>4650</v>
      </c>
      <c r="B98" s="423" t="s">
        <v>1573</v>
      </c>
      <c r="C98" s="246">
        <v>36124816</v>
      </c>
      <c r="D98" s="246">
        <v>33533816</v>
      </c>
      <c r="E98" s="246">
        <v>36124816</v>
      </c>
      <c r="F98" s="246">
        <v>33533816</v>
      </c>
      <c r="G98" s="246">
        <v>2591000</v>
      </c>
      <c r="H98" s="246">
        <v>0</v>
      </c>
      <c r="J98" s="669">
        <v>1.42</v>
      </c>
      <c r="K98" s="669">
        <v>0</v>
      </c>
      <c r="L98" s="669">
        <v>1.42</v>
      </c>
    </row>
    <row r="99" spans="1:12">
      <c r="A99" s="423" t="s">
        <v>4651</v>
      </c>
      <c r="B99" s="423" t="s">
        <v>6119</v>
      </c>
      <c r="C99" s="246">
        <v>4024201589</v>
      </c>
      <c r="D99" s="246">
        <v>3933118948</v>
      </c>
      <c r="E99" s="246">
        <v>4024201589</v>
      </c>
      <c r="F99" s="246">
        <v>3933118948</v>
      </c>
      <c r="G99" s="246">
        <v>91082641</v>
      </c>
      <c r="H99" s="246">
        <v>0</v>
      </c>
      <c r="J99" s="669">
        <v>1.5</v>
      </c>
      <c r="K99" s="669">
        <v>0.17499999999999999</v>
      </c>
      <c r="L99" s="669">
        <v>1.675</v>
      </c>
    </row>
    <row r="100" spans="1:12">
      <c r="A100" s="423" t="s">
        <v>4652</v>
      </c>
      <c r="B100" s="423" t="s">
        <v>2143</v>
      </c>
      <c r="C100" s="246">
        <v>3332580193</v>
      </c>
      <c r="D100" s="246">
        <v>3204509683</v>
      </c>
      <c r="E100" s="246">
        <v>3332580193</v>
      </c>
      <c r="F100" s="246">
        <v>3204509683</v>
      </c>
      <c r="G100" s="246">
        <v>128070510</v>
      </c>
      <c r="H100" s="246">
        <v>0</v>
      </c>
      <c r="J100" s="669">
        <v>1.5</v>
      </c>
      <c r="K100" s="669">
        <v>0.28000000000000003</v>
      </c>
      <c r="L100" s="669">
        <v>1.78</v>
      </c>
    </row>
    <row r="101" spans="1:12">
      <c r="A101" s="423" t="s">
        <v>4653</v>
      </c>
      <c r="B101" s="423" t="s">
        <v>107</v>
      </c>
      <c r="C101" s="246">
        <v>56413959</v>
      </c>
      <c r="D101" s="246">
        <v>54653466</v>
      </c>
      <c r="E101" s="246">
        <v>56413959</v>
      </c>
      <c r="F101" s="246">
        <v>54653466</v>
      </c>
      <c r="G101" s="246">
        <v>1760493</v>
      </c>
      <c r="H101" s="246">
        <v>0</v>
      </c>
      <c r="J101" s="669">
        <v>1.3</v>
      </c>
      <c r="K101" s="669">
        <v>0</v>
      </c>
      <c r="L101" s="669">
        <v>1.3</v>
      </c>
    </row>
    <row r="102" spans="1:12">
      <c r="A102" s="423" t="s">
        <v>4654</v>
      </c>
      <c r="B102" s="423" t="s">
        <v>108</v>
      </c>
      <c r="C102" s="246">
        <v>292500864</v>
      </c>
      <c r="D102" s="246">
        <v>274609564</v>
      </c>
      <c r="E102" s="246">
        <v>285339635</v>
      </c>
      <c r="F102" s="246">
        <v>267448335</v>
      </c>
      <c r="G102" s="246">
        <v>17891300</v>
      </c>
      <c r="H102" s="246">
        <v>7161229</v>
      </c>
      <c r="J102" s="669">
        <v>1.5</v>
      </c>
      <c r="K102" s="669">
        <v>0.1182</v>
      </c>
      <c r="L102" s="669">
        <v>1.6182000000000001</v>
      </c>
    </row>
    <row r="103" spans="1:12">
      <c r="A103" s="423" t="s">
        <v>4655</v>
      </c>
      <c r="B103" s="423" t="s">
        <v>3792</v>
      </c>
      <c r="C103" s="246">
        <v>49642857</v>
      </c>
      <c r="D103" s="246">
        <v>48020364</v>
      </c>
      <c r="E103" s="246">
        <v>49642857</v>
      </c>
      <c r="F103" s="246">
        <v>48020364</v>
      </c>
      <c r="G103" s="246">
        <v>1622493</v>
      </c>
      <c r="H103" s="246">
        <v>0</v>
      </c>
      <c r="J103" s="669">
        <v>1.5</v>
      </c>
      <c r="K103" s="669">
        <v>0</v>
      </c>
      <c r="L103" s="669">
        <v>1.5</v>
      </c>
    </row>
    <row r="104" spans="1:12">
      <c r="A104" s="423" t="s">
        <v>4656</v>
      </c>
      <c r="B104" s="423" t="s">
        <v>3793</v>
      </c>
      <c r="C104" s="246">
        <v>5448621</v>
      </c>
      <c r="D104" s="246">
        <v>5407890</v>
      </c>
      <c r="E104" s="246">
        <v>5448621</v>
      </c>
      <c r="F104" s="246">
        <v>5407890</v>
      </c>
      <c r="G104" s="246">
        <v>40731</v>
      </c>
      <c r="H104" s="246">
        <v>0</v>
      </c>
      <c r="J104" s="669">
        <v>1.23</v>
      </c>
      <c r="K104" s="669">
        <v>0</v>
      </c>
      <c r="L104" s="669">
        <v>1.23</v>
      </c>
    </row>
    <row r="105" spans="1:12">
      <c r="A105" s="423" t="s">
        <v>4657</v>
      </c>
      <c r="B105" s="423" t="s">
        <v>3794</v>
      </c>
      <c r="C105" s="246">
        <v>52293740</v>
      </c>
      <c r="D105" s="246">
        <v>49334052</v>
      </c>
      <c r="E105" s="246">
        <v>52293740</v>
      </c>
      <c r="F105" s="246">
        <v>49334052</v>
      </c>
      <c r="G105" s="246">
        <v>2959688</v>
      </c>
      <c r="H105" s="246">
        <v>0</v>
      </c>
      <c r="J105" s="669">
        <v>1.36</v>
      </c>
      <c r="K105" s="669">
        <v>0</v>
      </c>
      <c r="L105" s="669">
        <v>1.36</v>
      </c>
    </row>
    <row r="106" spans="1:12">
      <c r="A106" s="423" t="s">
        <v>4658</v>
      </c>
      <c r="B106" s="423" t="s">
        <v>3795</v>
      </c>
      <c r="C106" s="246">
        <v>813186837</v>
      </c>
      <c r="D106" s="246">
        <v>799496247</v>
      </c>
      <c r="E106" s="246">
        <v>813186837</v>
      </c>
      <c r="F106" s="246">
        <v>799496247</v>
      </c>
      <c r="G106" s="246">
        <v>13690590</v>
      </c>
      <c r="H106" s="246">
        <v>0</v>
      </c>
      <c r="J106" s="669">
        <v>1.3937999999999999</v>
      </c>
      <c r="K106" s="669">
        <v>3.3500000000000002E-2</v>
      </c>
      <c r="L106" s="669">
        <v>1.4273</v>
      </c>
    </row>
    <row r="107" spans="1:12">
      <c r="A107" s="423" t="s">
        <v>4659</v>
      </c>
      <c r="B107" s="423" t="s">
        <v>3796</v>
      </c>
      <c r="C107" s="246">
        <v>180107866</v>
      </c>
      <c r="D107" s="246">
        <v>163622202</v>
      </c>
      <c r="E107" s="246">
        <v>180107866</v>
      </c>
      <c r="F107" s="246">
        <v>163622202</v>
      </c>
      <c r="G107" s="246">
        <v>16485664</v>
      </c>
      <c r="H107" s="246">
        <v>0</v>
      </c>
      <c r="J107" s="669">
        <v>1.4265000000000001</v>
      </c>
      <c r="K107" s="669">
        <v>0.14499999999999999</v>
      </c>
      <c r="L107" s="669">
        <v>1.5714999999999999</v>
      </c>
    </row>
    <row r="108" spans="1:12">
      <c r="A108" s="423" t="s">
        <v>4660</v>
      </c>
      <c r="B108" s="423" t="s">
        <v>3797</v>
      </c>
      <c r="C108" s="246">
        <v>872474837</v>
      </c>
      <c r="D108" s="246">
        <v>829803504</v>
      </c>
      <c r="E108" s="246">
        <v>872474837</v>
      </c>
      <c r="F108" s="246">
        <v>829803504</v>
      </c>
      <c r="G108" s="246">
        <v>42671333</v>
      </c>
      <c r="H108" s="246">
        <v>0</v>
      </c>
      <c r="J108" s="669">
        <v>1.46</v>
      </c>
      <c r="K108" s="669">
        <v>0.28749999999999998</v>
      </c>
      <c r="L108" s="669">
        <v>1.7475000000000001</v>
      </c>
    </row>
    <row r="109" spans="1:12">
      <c r="A109" s="423" t="s">
        <v>4661</v>
      </c>
      <c r="B109" s="423" t="s">
        <v>7659</v>
      </c>
      <c r="C109" s="246">
        <v>30839175</v>
      </c>
      <c r="D109" s="246">
        <v>27944373</v>
      </c>
      <c r="E109" s="246">
        <v>30839175</v>
      </c>
      <c r="F109" s="246">
        <v>27944373</v>
      </c>
      <c r="G109" s="246">
        <v>2894802</v>
      </c>
      <c r="H109" s="246">
        <v>0</v>
      </c>
      <c r="J109" s="669">
        <v>1.5</v>
      </c>
      <c r="K109" s="669">
        <v>7.0000000000000007E-2</v>
      </c>
      <c r="L109" s="669">
        <v>1.57</v>
      </c>
    </row>
    <row r="110" spans="1:12">
      <c r="A110" s="423" t="s">
        <v>4662</v>
      </c>
      <c r="B110" s="423" t="s">
        <v>6071</v>
      </c>
      <c r="C110" s="246">
        <v>91391544</v>
      </c>
      <c r="D110" s="246">
        <v>85508302</v>
      </c>
      <c r="E110" s="246">
        <v>91391544</v>
      </c>
      <c r="F110" s="246">
        <v>85508302</v>
      </c>
      <c r="G110" s="246">
        <v>5883242</v>
      </c>
      <c r="H110" s="246">
        <v>0</v>
      </c>
      <c r="J110" s="669">
        <v>1.325</v>
      </c>
      <c r="K110" s="669">
        <v>0.1343</v>
      </c>
      <c r="L110" s="669">
        <v>1.4593</v>
      </c>
    </row>
    <row r="111" spans="1:12">
      <c r="A111" s="423" t="s">
        <v>4663</v>
      </c>
      <c r="B111" s="423" t="s">
        <v>2011</v>
      </c>
      <c r="C111" s="246">
        <v>26843430</v>
      </c>
      <c r="D111" s="246">
        <v>24893238</v>
      </c>
      <c r="E111" s="246">
        <v>26843430</v>
      </c>
      <c r="F111" s="246">
        <v>24893238</v>
      </c>
      <c r="G111" s="246">
        <v>1950192</v>
      </c>
      <c r="H111" s="246">
        <v>0</v>
      </c>
      <c r="J111" s="669">
        <v>1.375</v>
      </c>
      <c r="K111" s="669">
        <v>3.5000000000000003E-2</v>
      </c>
      <c r="L111" s="669">
        <v>1.41</v>
      </c>
    </row>
    <row r="112" spans="1:12">
      <c r="A112" s="423" t="s">
        <v>4664</v>
      </c>
      <c r="B112" s="423" t="s">
        <v>2141</v>
      </c>
      <c r="C112" s="246">
        <v>37797473</v>
      </c>
      <c r="D112" s="246">
        <v>35433302</v>
      </c>
      <c r="E112" s="246">
        <v>37797473</v>
      </c>
      <c r="F112" s="246">
        <v>35433302</v>
      </c>
      <c r="G112" s="246">
        <v>2364171</v>
      </c>
      <c r="H112" s="246">
        <v>0</v>
      </c>
      <c r="J112" s="669">
        <v>1.5</v>
      </c>
      <c r="K112" s="669">
        <v>0.1226</v>
      </c>
      <c r="L112" s="669">
        <v>1.6226</v>
      </c>
    </row>
    <row r="113" spans="1:12">
      <c r="A113" s="423" t="s">
        <v>4665</v>
      </c>
      <c r="B113" s="423" t="s">
        <v>3012</v>
      </c>
      <c r="C113" s="246">
        <v>164441704</v>
      </c>
      <c r="D113" s="246">
        <v>151343731</v>
      </c>
      <c r="E113" s="246">
        <v>164441704</v>
      </c>
      <c r="F113" s="246">
        <v>151343731</v>
      </c>
      <c r="G113" s="246">
        <v>13097973</v>
      </c>
      <c r="H113" s="246">
        <v>0</v>
      </c>
      <c r="J113" s="669">
        <v>1.4530000000000001</v>
      </c>
      <c r="K113" s="669">
        <v>8.3000000000000004E-2</v>
      </c>
      <c r="L113" s="669">
        <v>1.536</v>
      </c>
    </row>
    <row r="114" spans="1:12">
      <c r="A114" s="423" t="s">
        <v>4666</v>
      </c>
      <c r="B114" s="423" t="s">
        <v>3798</v>
      </c>
      <c r="C114" s="246">
        <v>513117552</v>
      </c>
      <c r="D114" s="246">
        <v>490003750</v>
      </c>
      <c r="E114" s="246">
        <v>513117552</v>
      </c>
      <c r="F114" s="246">
        <v>490003750</v>
      </c>
      <c r="G114" s="246">
        <v>23113802</v>
      </c>
      <c r="H114" s="246">
        <v>0</v>
      </c>
      <c r="J114" s="669">
        <v>1.5</v>
      </c>
      <c r="K114" s="669">
        <v>9.4289999999999999E-2</v>
      </c>
      <c r="L114" s="669">
        <v>1.59429</v>
      </c>
    </row>
    <row r="115" spans="1:12">
      <c r="A115" s="423" t="s">
        <v>4667</v>
      </c>
      <c r="B115" s="423" t="s">
        <v>3799</v>
      </c>
      <c r="C115" s="246">
        <v>170366391</v>
      </c>
      <c r="D115" s="246">
        <v>159215696</v>
      </c>
      <c r="E115" s="246">
        <v>170366391</v>
      </c>
      <c r="F115" s="246">
        <v>159215696</v>
      </c>
      <c r="G115" s="246">
        <v>11150695</v>
      </c>
      <c r="H115" s="246">
        <v>0</v>
      </c>
      <c r="J115" s="669">
        <v>1.5</v>
      </c>
      <c r="K115" s="669">
        <v>8.4449999999999997E-2</v>
      </c>
      <c r="L115" s="669">
        <v>1.5844499999999999</v>
      </c>
    </row>
    <row r="116" spans="1:12">
      <c r="A116" s="423" t="s">
        <v>4668</v>
      </c>
      <c r="B116" s="423" t="s">
        <v>3800</v>
      </c>
      <c r="C116" s="246">
        <v>124743348</v>
      </c>
      <c r="D116" s="246">
        <v>117873562</v>
      </c>
      <c r="E116" s="246">
        <v>124743348</v>
      </c>
      <c r="F116" s="246">
        <v>117873562</v>
      </c>
      <c r="G116" s="246">
        <v>6869786</v>
      </c>
      <c r="H116" s="246">
        <v>0</v>
      </c>
      <c r="J116" s="669">
        <v>1.5</v>
      </c>
      <c r="K116" s="669">
        <v>0</v>
      </c>
      <c r="L116" s="669">
        <v>1.5</v>
      </c>
    </row>
    <row r="117" spans="1:12">
      <c r="A117" s="423" t="s">
        <v>4669</v>
      </c>
      <c r="B117" s="423" t="s">
        <v>4670</v>
      </c>
      <c r="C117" s="246">
        <v>1115579326</v>
      </c>
      <c r="D117" s="246">
        <v>1063028365</v>
      </c>
      <c r="E117" s="246">
        <v>1115579326</v>
      </c>
      <c r="F117" s="246">
        <v>1063028365</v>
      </c>
      <c r="G117" s="246">
        <v>52550961</v>
      </c>
      <c r="H117" s="246">
        <v>0</v>
      </c>
      <c r="J117" s="669">
        <v>1.4750000000000001</v>
      </c>
      <c r="K117" s="669">
        <v>0.26500000000000001</v>
      </c>
      <c r="L117" s="669">
        <v>1.74</v>
      </c>
    </row>
    <row r="118" spans="1:12">
      <c r="A118" s="423" t="s">
        <v>4671</v>
      </c>
      <c r="B118" s="423" t="s">
        <v>6063</v>
      </c>
      <c r="C118" s="246">
        <v>1820467527</v>
      </c>
      <c r="D118" s="246">
        <v>1767545885</v>
      </c>
      <c r="E118" s="246">
        <v>1820467527</v>
      </c>
      <c r="F118" s="246">
        <v>1767545885</v>
      </c>
      <c r="G118" s="246">
        <v>52921642</v>
      </c>
      <c r="H118" s="246">
        <v>0</v>
      </c>
      <c r="J118" s="669">
        <v>1.49</v>
      </c>
      <c r="K118" s="669">
        <v>0.15</v>
      </c>
      <c r="L118" s="669">
        <v>1.64</v>
      </c>
    </row>
    <row r="119" spans="1:12">
      <c r="A119" s="423" t="s">
        <v>4672</v>
      </c>
      <c r="B119" s="423" t="s">
        <v>196</v>
      </c>
      <c r="C119" s="246">
        <v>735007469</v>
      </c>
      <c r="D119" s="246">
        <v>691340618</v>
      </c>
      <c r="E119" s="246">
        <v>735007469</v>
      </c>
      <c r="F119" s="246">
        <v>691340618</v>
      </c>
      <c r="G119" s="246">
        <v>43666851</v>
      </c>
      <c r="H119" s="246">
        <v>0</v>
      </c>
      <c r="J119" s="669">
        <v>1.5</v>
      </c>
      <c r="K119" s="669">
        <v>0.19</v>
      </c>
      <c r="L119" s="669">
        <v>1.69</v>
      </c>
    </row>
    <row r="120" spans="1:12">
      <c r="A120" s="423" t="s">
        <v>4673</v>
      </c>
      <c r="B120" s="423" t="s">
        <v>6056</v>
      </c>
      <c r="C120" s="246">
        <v>238351625</v>
      </c>
      <c r="D120" s="246">
        <v>224380105</v>
      </c>
      <c r="E120" s="246">
        <v>238351625</v>
      </c>
      <c r="F120" s="246">
        <v>224380105</v>
      </c>
      <c r="G120" s="246">
        <v>13971520</v>
      </c>
      <c r="H120" s="246">
        <v>0</v>
      </c>
      <c r="J120" s="669">
        <v>1.2849999999999999</v>
      </c>
      <c r="K120" s="669">
        <v>0.06</v>
      </c>
      <c r="L120" s="669">
        <v>1.345</v>
      </c>
    </row>
    <row r="121" spans="1:12">
      <c r="A121" s="423" t="s">
        <v>4674</v>
      </c>
      <c r="B121" s="423" t="s">
        <v>3801</v>
      </c>
      <c r="C121" s="246">
        <v>67212783</v>
      </c>
      <c r="D121" s="246">
        <v>64717923</v>
      </c>
      <c r="E121" s="246">
        <v>67212783</v>
      </c>
      <c r="F121" s="246">
        <v>64717923</v>
      </c>
      <c r="G121" s="246">
        <v>2494860</v>
      </c>
      <c r="H121" s="246">
        <v>0</v>
      </c>
      <c r="J121" s="669">
        <v>1.2</v>
      </c>
      <c r="K121" s="669">
        <v>0</v>
      </c>
      <c r="L121" s="669">
        <v>1.2</v>
      </c>
    </row>
    <row r="122" spans="1:12">
      <c r="A122" s="423" t="s">
        <v>4675</v>
      </c>
      <c r="B122" s="423" t="s">
        <v>4676</v>
      </c>
      <c r="C122" s="246">
        <v>3642913820</v>
      </c>
      <c r="D122" s="246">
        <v>3595895069</v>
      </c>
      <c r="E122" s="246">
        <v>3610414918</v>
      </c>
      <c r="F122" s="246">
        <v>3563396167</v>
      </c>
      <c r="G122" s="246">
        <v>47018751</v>
      </c>
      <c r="H122" s="246">
        <v>32498902</v>
      </c>
      <c r="J122" s="669">
        <v>1.4176</v>
      </c>
      <c r="K122" s="669">
        <v>0</v>
      </c>
      <c r="L122" s="669">
        <v>1.4176</v>
      </c>
    </row>
    <row r="123" spans="1:12">
      <c r="A123" s="423" t="s">
        <v>4677</v>
      </c>
      <c r="B123" s="423" t="s">
        <v>3803</v>
      </c>
      <c r="C123" s="246">
        <v>77700026</v>
      </c>
      <c r="D123" s="246">
        <v>70547458</v>
      </c>
      <c r="E123" s="246">
        <v>77700026</v>
      </c>
      <c r="F123" s="246">
        <v>70547458</v>
      </c>
      <c r="G123" s="246">
        <v>7152568</v>
      </c>
      <c r="H123" s="246">
        <v>0</v>
      </c>
      <c r="J123" s="669">
        <v>1.2273000000000001</v>
      </c>
      <c r="K123" s="669">
        <v>6.7100000000000007E-2</v>
      </c>
      <c r="L123" s="669">
        <v>1.2944</v>
      </c>
    </row>
    <row r="124" spans="1:12">
      <c r="A124" s="423" t="s">
        <v>4678</v>
      </c>
      <c r="B124" s="423" t="s">
        <v>4679</v>
      </c>
      <c r="C124" s="246">
        <v>182217492</v>
      </c>
      <c r="D124" s="246">
        <v>161998762</v>
      </c>
      <c r="E124" s="246">
        <v>182217492</v>
      </c>
      <c r="F124" s="246">
        <v>161998762</v>
      </c>
      <c r="G124" s="246">
        <v>20218730</v>
      </c>
      <c r="H124" s="246">
        <v>0</v>
      </c>
      <c r="J124" s="669">
        <v>1.5</v>
      </c>
      <c r="K124" s="669">
        <v>0.12959999999999999</v>
      </c>
      <c r="L124" s="669">
        <v>1.6295999999999999</v>
      </c>
    </row>
    <row r="125" spans="1:12">
      <c r="A125" s="423" t="s">
        <v>4680</v>
      </c>
      <c r="B125" s="423" t="s">
        <v>3804</v>
      </c>
      <c r="C125" s="246">
        <v>85619633</v>
      </c>
      <c r="D125" s="246">
        <v>78653083</v>
      </c>
      <c r="E125" s="246">
        <v>85619633</v>
      </c>
      <c r="F125" s="246">
        <v>78653083</v>
      </c>
      <c r="G125" s="246">
        <v>6966550</v>
      </c>
      <c r="H125" s="246">
        <v>0</v>
      </c>
      <c r="J125" s="669">
        <v>1.36198</v>
      </c>
      <c r="K125" s="669">
        <v>0</v>
      </c>
      <c r="L125" s="669">
        <v>1.36198</v>
      </c>
    </row>
    <row r="126" spans="1:12">
      <c r="A126" s="423" t="s">
        <v>4681</v>
      </c>
      <c r="B126" s="423" t="s">
        <v>3805</v>
      </c>
      <c r="C126" s="246">
        <v>128231977</v>
      </c>
      <c r="D126" s="246">
        <v>122194238</v>
      </c>
      <c r="E126" s="246">
        <v>128231977</v>
      </c>
      <c r="F126" s="246">
        <v>122194238</v>
      </c>
      <c r="G126" s="246">
        <v>6037739</v>
      </c>
      <c r="H126" s="246">
        <v>0</v>
      </c>
      <c r="J126" s="669">
        <v>1.4524999999999999</v>
      </c>
      <c r="K126" s="669">
        <v>0.22750000000000001</v>
      </c>
      <c r="L126" s="669">
        <v>1.68</v>
      </c>
    </row>
    <row r="127" spans="1:12">
      <c r="A127" s="423" t="s">
        <v>4682</v>
      </c>
      <c r="B127" s="423" t="s">
        <v>2142</v>
      </c>
      <c r="C127" s="246">
        <v>4074727906</v>
      </c>
      <c r="D127" s="246">
        <v>3854819206</v>
      </c>
      <c r="E127" s="246">
        <v>4074727906</v>
      </c>
      <c r="F127" s="246">
        <v>3854819206</v>
      </c>
      <c r="G127" s="246">
        <v>219908700</v>
      </c>
      <c r="H127" s="246">
        <v>0</v>
      </c>
      <c r="J127" s="669">
        <v>1.4387000000000001</v>
      </c>
      <c r="K127" s="669">
        <v>4.6899999999999997E-2</v>
      </c>
      <c r="L127" s="669">
        <v>1.4856</v>
      </c>
    </row>
    <row r="128" spans="1:12">
      <c r="A128" s="423" t="s">
        <v>4683</v>
      </c>
      <c r="B128" s="423" t="s">
        <v>4684</v>
      </c>
      <c r="C128" s="246">
        <v>2560058046</v>
      </c>
      <c r="D128" s="246">
        <v>2431343105</v>
      </c>
      <c r="E128" s="246">
        <v>2560058046</v>
      </c>
      <c r="F128" s="246">
        <v>2431343105</v>
      </c>
      <c r="G128" s="246">
        <v>128714941</v>
      </c>
      <c r="H128" s="246">
        <v>0</v>
      </c>
      <c r="J128" s="669">
        <v>1.4650000000000001</v>
      </c>
      <c r="K128" s="669">
        <v>8.5000000000000006E-2</v>
      </c>
      <c r="L128" s="669">
        <v>1.55</v>
      </c>
    </row>
    <row r="129" spans="1:12">
      <c r="A129" s="423" t="s">
        <v>4685</v>
      </c>
      <c r="B129" s="423" t="s">
        <v>2152</v>
      </c>
      <c r="C129" s="246">
        <v>254548371</v>
      </c>
      <c r="D129" s="246">
        <v>232239659</v>
      </c>
      <c r="E129" s="246">
        <v>254548371</v>
      </c>
      <c r="F129" s="246">
        <v>232239659</v>
      </c>
      <c r="G129" s="246">
        <v>22308712</v>
      </c>
      <c r="H129" s="246">
        <v>0</v>
      </c>
      <c r="J129" s="669">
        <v>1.3640000000000001</v>
      </c>
      <c r="K129" s="669">
        <v>0.245</v>
      </c>
      <c r="L129" s="669">
        <v>1.609</v>
      </c>
    </row>
    <row r="130" spans="1:12">
      <c r="A130" s="423" t="s">
        <v>4686</v>
      </c>
      <c r="B130" s="423" t="s">
        <v>4687</v>
      </c>
      <c r="C130" s="246">
        <v>823642229</v>
      </c>
      <c r="D130" s="246">
        <v>775332120</v>
      </c>
      <c r="E130" s="246">
        <v>823642229</v>
      </c>
      <c r="F130" s="246">
        <v>775332120</v>
      </c>
      <c r="G130" s="246">
        <v>48310109</v>
      </c>
      <c r="H130" s="246">
        <v>0</v>
      </c>
      <c r="J130" s="669">
        <v>1.454</v>
      </c>
      <c r="K130" s="669">
        <v>0.122</v>
      </c>
      <c r="L130" s="669">
        <v>1.5760000000000001</v>
      </c>
    </row>
    <row r="131" spans="1:12">
      <c r="A131" s="423" t="s">
        <v>4688</v>
      </c>
      <c r="B131" s="423" t="s">
        <v>3806</v>
      </c>
      <c r="C131" s="246">
        <v>2273478414</v>
      </c>
      <c r="D131" s="246">
        <v>2250024589</v>
      </c>
      <c r="E131" s="246">
        <v>2273478414</v>
      </c>
      <c r="F131" s="246">
        <v>2250024589</v>
      </c>
      <c r="G131" s="246">
        <v>23453825</v>
      </c>
      <c r="H131" s="246">
        <v>0</v>
      </c>
      <c r="J131" s="669">
        <v>1.2874699999999999</v>
      </c>
      <c r="K131" s="669">
        <v>6.8652000000000005E-2</v>
      </c>
      <c r="L131" s="669">
        <v>1.35612</v>
      </c>
    </row>
    <row r="132" spans="1:12">
      <c r="A132" s="423" t="s">
        <v>4689</v>
      </c>
      <c r="B132" s="423" t="s">
        <v>361</v>
      </c>
      <c r="C132" s="246">
        <v>165508400</v>
      </c>
      <c r="D132" s="246">
        <v>151639258</v>
      </c>
      <c r="E132" s="246">
        <v>165508400</v>
      </c>
      <c r="F132" s="246">
        <v>151639258</v>
      </c>
      <c r="G132" s="246">
        <v>13869142</v>
      </c>
      <c r="H132" s="246">
        <v>0</v>
      </c>
      <c r="J132" s="669">
        <v>1.47</v>
      </c>
      <c r="K132" s="669">
        <v>0.2281</v>
      </c>
      <c r="L132" s="669">
        <v>1.6980999999999999</v>
      </c>
    </row>
    <row r="133" spans="1:12">
      <c r="A133" s="423" t="s">
        <v>4690</v>
      </c>
      <c r="B133" s="423" t="s">
        <v>4691</v>
      </c>
      <c r="C133" s="246">
        <v>676782974</v>
      </c>
      <c r="D133" s="246">
        <v>619268647</v>
      </c>
      <c r="E133" s="246">
        <v>676782974</v>
      </c>
      <c r="F133" s="246">
        <v>619268647</v>
      </c>
      <c r="G133" s="246">
        <v>57514327</v>
      </c>
      <c r="H133" s="246">
        <v>0</v>
      </c>
      <c r="J133" s="669">
        <v>1.4450000000000001</v>
      </c>
      <c r="K133" s="669">
        <v>0.14399999999999999</v>
      </c>
      <c r="L133" s="669">
        <v>1.589</v>
      </c>
    </row>
    <row r="134" spans="1:12">
      <c r="A134" s="423" t="s">
        <v>4692</v>
      </c>
      <c r="B134" s="423" t="s">
        <v>1459</v>
      </c>
      <c r="C134" s="246">
        <v>30291058</v>
      </c>
      <c r="D134" s="246">
        <v>27383209</v>
      </c>
      <c r="E134" s="246">
        <v>30291058</v>
      </c>
      <c r="F134" s="246">
        <v>27383209</v>
      </c>
      <c r="G134" s="246">
        <v>2907849</v>
      </c>
      <c r="H134" s="246">
        <v>0</v>
      </c>
      <c r="J134" s="669">
        <v>1.5</v>
      </c>
      <c r="K134" s="669">
        <v>0.1966</v>
      </c>
      <c r="L134" s="669">
        <v>1.6966000000000001</v>
      </c>
    </row>
    <row r="135" spans="1:12">
      <c r="A135" s="423" t="s">
        <v>4693</v>
      </c>
      <c r="B135" s="423" t="s">
        <v>1460</v>
      </c>
      <c r="C135" s="246">
        <v>55877240</v>
      </c>
      <c r="D135" s="246">
        <v>49488073</v>
      </c>
      <c r="E135" s="246">
        <v>55877240</v>
      </c>
      <c r="F135" s="246">
        <v>49488073</v>
      </c>
      <c r="G135" s="246">
        <v>6389167</v>
      </c>
      <c r="H135" s="246">
        <v>0</v>
      </c>
      <c r="J135" s="669">
        <v>1.46</v>
      </c>
      <c r="K135" s="669">
        <v>0.16</v>
      </c>
      <c r="L135" s="669">
        <v>1.62</v>
      </c>
    </row>
    <row r="136" spans="1:12">
      <c r="A136" s="423" t="s">
        <v>4694</v>
      </c>
      <c r="B136" s="423" t="s">
        <v>3807</v>
      </c>
      <c r="C136" s="246">
        <v>560566483</v>
      </c>
      <c r="D136" s="246">
        <v>532331638</v>
      </c>
      <c r="E136" s="246">
        <v>560566483</v>
      </c>
      <c r="F136" s="246">
        <v>532331638</v>
      </c>
      <c r="G136" s="246">
        <v>28234845</v>
      </c>
      <c r="H136" s="246">
        <v>0</v>
      </c>
      <c r="J136" s="669">
        <v>1.3789800000000001</v>
      </c>
      <c r="K136" s="669">
        <v>6.1019999999999998E-2</v>
      </c>
      <c r="L136" s="669">
        <v>1.44</v>
      </c>
    </row>
    <row r="137" spans="1:12">
      <c r="A137" s="423" t="s">
        <v>4695</v>
      </c>
      <c r="B137" s="423" t="s">
        <v>3808</v>
      </c>
      <c r="C137" s="246">
        <v>62953145</v>
      </c>
      <c r="D137" s="246">
        <v>60586085</v>
      </c>
      <c r="E137" s="246">
        <v>62953145</v>
      </c>
      <c r="F137" s="246">
        <v>60586085</v>
      </c>
      <c r="G137" s="246">
        <v>2367060</v>
      </c>
      <c r="H137" s="246">
        <v>0</v>
      </c>
      <c r="J137" s="669">
        <v>1.5</v>
      </c>
      <c r="K137" s="669">
        <v>9.2999999999999999E-2</v>
      </c>
      <c r="L137" s="669">
        <v>1.593</v>
      </c>
    </row>
    <row r="138" spans="1:12">
      <c r="A138" s="423" t="s">
        <v>4696</v>
      </c>
      <c r="B138" s="423" t="s">
        <v>3809</v>
      </c>
      <c r="C138" s="246">
        <v>342807523</v>
      </c>
      <c r="D138" s="246">
        <v>333287203</v>
      </c>
      <c r="E138" s="246">
        <v>335984528</v>
      </c>
      <c r="F138" s="246">
        <v>326464208</v>
      </c>
      <c r="G138" s="246">
        <v>9520320</v>
      </c>
      <c r="H138" s="246">
        <v>6822995</v>
      </c>
      <c r="J138" s="669">
        <v>1.4590000000000001</v>
      </c>
      <c r="K138" s="669">
        <v>4.1000000000000002E-2</v>
      </c>
      <c r="L138" s="669">
        <v>1.5</v>
      </c>
    </row>
    <row r="139" spans="1:12">
      <c r="A139" s="423" t="s">
        <v>4697</v>
      </c>
      <c r="B139" s="423" t="s">
        <v>6208</v>
      </c>
      <c r="C139" s="246">
        <v>352319737</v>
      </c>
      <c r="D139" s="246">
        <v>347470897</v>
      </c>
      <c r="E139" s="246">
        <v>350171252</v>
      </c>
      <c r="F139" s="246">
        <v>345322412</v>
      </c>
      <c r="G139" s="246">
        <v>4848840</v>
      </c>
      <c r="H139" s="246">
        <v>2148485</v>
      </c>
      <c r="J139" s="669">
        <v>1.49</v>
      </c>
      <c r="K139" s="669">
        <v>0</v>
      </c>
      <c r="L139" s="669">
        <v>1.49</v>
      </c>
    </row>
    <row r="140" spans="1:12">
      <c r="A140" s="423" t="s">
        <v>4698</v>
      </c>
      <c r="B140" s="423" t="s">
        <v>6209</v>
      </c>
      <c r="C140" s="246">
        <v>352204259</v>
      </c>
      <c r="D140" s="246">
        <v>323846759</v>
      </c>
      <c r="E140" s="246">
        <v>352204259</v>
      </c>
      <c r="F140" s="246">
        <v>323846759</v>
      </c>
      <c r="G140" s="246">
        <v>28357500</v>
      </c>
      <c r="H140" s="246">
        <v>0</v>
      </c>
      <c r="J140" s="669">
        <v>1.476</v>
      </c>
      <c r="K140" s="669">
        <v>5.6349000000000003E-2</v>
      </c>
      <c r="L140" s="669">
        <v>1.5323500000000001</v>
      </c>
    </row>
    <row r="141" spans="1:12">
      <c r="A141" s="423" t="s">
        <v>4699</v>
      </c>
      <c r="B141" s="423" t="s">
        <v>6210</v>
      </c>
      <c r="C141" s="246">
        <v>42096570</v>
      </c>
      <c r="D141" s="246">
        <v>38743760</v>
      </c>
      <c r="E141" s="246">
        <v>42096570</v>
      </c>
      <c r="F141" s="246">
        <v>38743760</v>
      </c>
      <c r="G141" s="246">
        <v>3352810</v>
      </c>
      <c r="H141" s="246">
        <v>0</v>
      </c>
      <c r="J141" s="669">
        <v>1.5</v>
      </c>
      <c r="K141" s="669">
        <v>0</v>
      </c>
      <c r="L141" s="669">
        <v>1.5</v>
      </c>
    </row>
    <row r="142" spans="1:12">
      <c r="A142" s="423" t="s">
        <v>4700</v>
      </c>
      <c r="B142" s="423" t="s">
        <v>6211</v>
      </c>
      <c r="C142" s="246">
        <v>198115075</v>
      </c>
      <c r="D142" s="246">
        <v>185664125</v>
      </c>
      <c r="E142" s="246">
        <v>198115075</v>
      </c>
      <c r="F142" s="246">
        <v>185664125</v>
      </c>
      <c r="G142" s="246">
        <v>12450950</v>
      </c>
      <c r="H142" s="246">
        <v>0</v>
      </c>
      <c r="J142" s="669">
        <v>1.47</v>
      </c>
      <c r="K142" s="669">
        <v>5.0380000000000001E-2</v>
      </c>
      <c r="L142" s="669">
        <v>1.5203800000000001</v>
      </c>
    </row>
    <row r="143" spans="1:12">
      <c r="A143" s="423" t="s">
        <v>4701</v>
      </c>
      <c r="B143" s="423" t="s">
        <v>4702</v>
      </c>
      <c r="C143" s="246">
        <v>159071945</v>
      </c>
      <c r="D143" s="246">
        <v>142844525</v>
      </c>
      <c r="E143" s="246">
        <v>151679835</v>
      </c>
      <c r="F143" s="246">
        <v>135452415</v>
      </c>
      <c r="G143" s="246">
        <v>16227420</v>
      </c>
      <c r="H143" s="246">
        <v>7392110</v>
      </c>
      <c r="J143" s="669">
        <v>1.48</v>
      </c>
      <c r="K143" s="669">
        <v>0</v>
      </c>
      <c r="L143" s="669">
        <v>1.48</v>
      </c>
    </row>
    <row r="144" spans="1:12">
      <c r="A144" s="423" t="s">
        <v>4703</v>
      </c>
      <c r="B144" s="423" t="s">
        <v>6077</v>
      </c>
      <c r="C144" s="246">
        <v>23357677</v>
      </c>
      <c r="D144" s="246">
        <v>20997937</v>
      </c>
      <c r="E144" s="246">
        <v>23357677</v>
      </c>
      <c r="F144" s="246">
        <v>20997937</v>
      </c>
      <c r="G144" s="246">
        <v>2359740</v>
      </c>
      <c r="H144" s="246">
        <v>0</v>
      </c>
      <c r="J144" s="669">
        <v>1.3955</v>
      </c>
      <c r="K144" s="669">
        <v>0</v>
      </c>
      <c r="L144" s="669">
        <v>1.3955</v>
      </c>
    </row>
    <row r="145" spans="1:12">
      <c r="A145" s="423" t="s">
        <v>4704</v>
      </c>
      <c r="B145" s="423" t="s">
        <v>3814</v>
      </c>
      <c r="C145" s="246">
        <v>318801632</v>
      </c>
      <c r="D145" s="246">
        <v>304855022</v>
      </c>
      <c r="E145" s="246">
        <v>311638752</v>
      </c>
      <c r="F145" s="246">
        <v>297692142</v>
      </c>
      <c r="G145" s="246">
        <v>13946610</v>
      </c>
      <c r="H145" s="246">
        <v>7162880</v>
      </c>
      <c r="J145" s="669">
        <v>1.5</v>
      </c>
      <c r="K145" s="669">
        <v>9.7570000000000004E-2</v>
      </c>
      <c r="L145" s="669">
        <v>1.5975699999999999</v>
      </c>
    </row>
    <row r="146" spans="1:12">
      <c r="A146" s="423" t="s">
        <v>4705</v>
      </c>
      <c r="B146" s="423" t="s">
        <v>3815</v>
      </c>
      <c r="C146" s="246">
        <v>15315488</v>
      </c>
      <c r="D146" s="246">
        <v>13219738</v>
      </c>
      <c r="E146" s="246">
        <v>15315488</v>
      </c>
      <c r="F146" s="246">
        <v>13219738</v>
      </c>
      <c r="G146" s="246">
        <v>2095750</v>
      </c>
      <c r="H146" s="246">
        <v>0</v>
      </c>
      <c r="J146" s="669">
        <v>1.3862000000000001</v>
      </c>
      <c r="K146" s="669">
        <v>0</v>
      </c>
      <c r="L146" s="669">
        <v>1.3862000000000001</v>
      </c>
    </row>
    <row r="147" spans="1:12">
      <c r="A147" s="423" t="s">
        <v>4706</v>
      </c>
      <c r="B147" s="423" t="s">
        <v>3816</v>
      </c>
      <c r="C147" s="246">
        <v>27069610</v>
      </c>
      <c r="D147" s="246">
        <v>23516040</v>
      </c>
      <c r="E147" s="246">
        <v>27069610</v>
      </c>
      <c r="F147" s="246">
        <v>23516040</v>
      </c>
      <c r="G147" s="246">
        <v>3553570</v>
      </c>
      <c r="H147" s="246">
        <v>0</v>
      </c>
      <c r="J147" s="669">
        <v>1.5</v>
      </c>
      <c r="K147" s="669">
        <v>0</v>
      </c>
      <c r="L147" s="669">
        <v>1.5</v>
      </c>
    </row>
    <row r="148" spans="1:12">
      <c r="A148" s="423" t="s">
        <v>4707</v>
      </c>
      <c r="B148" s="423" t="s">
        <v>3817</v>
      </c>
      <c r="C148" s="246">
        <v>188106500</v>
      </c>
      <c r="D148" s="246">
        <v>178071760</v>
      </c>
      <c r="E148" s="246">
        <v>188106500</v>
      </c>
      <c r="F148" s="246">
        <v>178071760</v>
      </c>
      <c r="G148" s="246">
        <v>10034740</v>
      </c>
      <c r="H148" s="246">
        <v>0</v>
      </c>
      <c r="J148" s="669">
        <v>1.5</v>
      </c>
      <c r="K148" s="669">
        <v>0</v>
      </c>
      <c r="L148" s="669">
        <v>1.5</v>
      </c>
    </row>
    <row r="149" spans="1:12">
      <c r="A149" s="423" t="s">
        <v>4708</v>
      </c>
      <c r="B149" s="423" t="s">
        <v>3818</v>
      </c>
      <c r="C149" s="246">
        <v>56303130</v>
      </c>
      <c r="D149" s="246">
        <v>53713130</v>
      </c>
      <c r="E149" s="246">
        <v>56303130</v>
      </c>
      <c r="F149" s="246">
        <v>53713130</v>
      </c>
      <c r="G149" s="246">
        <v>2590000</v>
      </c>
      <c r="H149" s="246">
        <v>0</v>
      </c>
      <c r="J149" s="669">
        <v>1.45</v>
      </c>
      <c r="K149" s="669">
        <v>0</v>
      </c>
      <c r="L149" s="669">
        <v>1.45</v>
      </c>
    </row>
    <row r="150" spans="1:12">
      <c r="A150" s="423" t="s">
        <v>4709</v>
      </c>
      <c r="B150" s="423" t="s">
        <v>506</v>
      </c>
      <c r="C150" s="246">
        <v>23651532</v>
      </c>
      <c r="D150" s="246">
        <v>21975072</v>
      </c>
      <c r="E150" s="246">
        <v>23651532</v>
      </c>
      <c r="F150" s="246">
        <v>21975072</v>
      </c>
      <c r="G150" s="246">
        <v>1676460</v>
      </c>
      <c r="H150" s="246">
        <v>0</v>
      </c>
      <c r="J150" s="669">
        <v>1.48</v>
      </c>
      <c r="K150" s="669">
        <v>0.15</v>
      </c>
      <c r="L150" s="669">
        <v>1.63</v>
      </c>
    </row>
    <row r="151" spans="1:12">
      <c r="A151" s="423" t="s">
        <v>4710</v>
      </c>
      <c r="B151" s="423" t="s">
        <v>7682</v>
      </c>
      <c r="C151" s="246">
        <v>292259461</v>
      </c>
      <c r="D151" s="246">
        <v>274704031</v>
      </c>
      <c r="E151" s="246">
        <v>279972816</v>
      </c>
      <c r="F151" s="246">
        <v>262417386</v>
      </c>
      <c r="G151" s="246">
        <v>17555430</v>
      </c>
      <c r="H151" s="246">
        <v>12286645</v>
      </c>
      <c r="J151" s="669">
        <v>1.5</v>
      </c>
      <c r="K151" s="669">
        <v>0.1103</v>
      </c>
      <c r="L151" s="669">
        <v>1.6103000000000001</v>
      </c>
    </row>
    <row r="152" spans="1:12">
      <c r="A152" s="423" t="s">
        <v>4711</v>
      </c>
      <c r="B152" s="423" t="s">
        <v>3819</v>
      </c>
      <c r="C152" s="246">
        <v>2382897173</v>
      </c>
      <c r="D152" s="246">
        <v>2351551353</v>
      </c>
      <c r="E152" s="246">
        <v>2338392128</v>
      </c>
      <c r="F152" s="246">
        <v>2307046308</v>
      </c>
      <c r="G152" s="246">
        <v>31345820</v>
      </c>
      <c r="H152" s="246">
        <v>44505045</v>
      </c>
      <c r="J152" s="669">
        <v>1.5</v>
      </c>
      <c r="K152" s="669">
        <v>0.28989999999999999</v>
      </c>
      <c r="L152" s="669">
        <v>1.7899</v>
      </c>
    </row>
    <row r="153" spans="1:12">
      <c r="A153" s="423" t="s">
        <v>4712</v>
      </c>
      <c r="B153" s="423" t="s">
        <v>3820</v>
      </c>
      <c r="C153" s="246">
        <v>274014488</v>
      </c>
      <c r="D153" s="246">
        <v>260788178</v>
      </c>
      <c r="E153" s="246">
        <v>264005528</v>
      </c>
      <c r="F153" s="246">
        <v>250779218</v>
      </c>
      <c r="G153" s="246">
        <v>13226310</v>
      </c>
      <c r="H153" s="246">
        <v>10008960</v>
      </c>
      <c r="J153" s="669">
        <v>1.41</v>
      </c>
      <c r="K153" s="669">
        <v>0</v>
      </c>
      <c r="L153" s="669">
        <v>1.41</v>
      </c>
    </row>
    <row r="154" spans="1:12">
      <c r="A154" s="423" t="s">
        <v>4713</v>
      </c>
      <c r="B154" s="423" t="s">
        <v>3821</v>
      </c>
      <c r="C154" s="246">
        <v>121104947</v>
      </c>
      <c r="D154" s="246">
        <v>113594756</v>
      </c>
      <c r="E154" s="246">
        <v>121104947</v>
      </c>
      <c r="F154" s="246">
        <v>113594756</v>
      </c>
      <c r="G154" s="246">
        <v>7510191</v>
      </c>
      <c r="H154" s="246">
        <v>0</v>
      </c>
      <c r="J154" s="669">
        <v>1.464</v>
      </c>
      <c r="K154" s="669">
        <v>0.05</v>
      </c>
      <c r="L154" s="669">
        <v>1.514</v>
      </c>
    </row>
    <row r="155" spans="1:12">
      <c r="A155" s="423" t="s">
        <v>4714</v>
      </c>
      <c r="B155" s="423" t="s">
        <v>1908</v>
      </c>
      <c r="C155" s="246">
        <v>778591401</v>
      </c>
      <c r="D155" s="246">
        <v>727244822</v>
      </c>
      <c r="E155" s="246">
        <v>778591401</v>
      </c>
      <c r="F155" s="246">
        <v>727244822</v>
      </c>
      <c r="G155" s="246">
        <v>51346579</v>
      </c>
      <c r="H155" s="246">
        <v>0</v>
      </c>
      <c r="J155" s="669">
        <v>1.4550000000000001</v>
      </c>
      <c r="K155" s="669">
        <v>8.5000000000000006E-2</v>
      </c>
      <c r="L155" s="669">
        <v>1.54</v>
      </c>
    </row>
    <row r="156" spans="1:12">
      <c r="A156" s="423" t="s">
        <v>4715</v>
      </c>
      <c r="B156" s="423" t="s">
        <v>374</v>
      </c>
      <c r="C156" s="246">
        <v>306397610</v>
      </c>
      <c r="D156" s="246">
        <v>283076440</v>
      </c>
      <c r="E156" s="246">
        <v>306397610</v>
      </c>
      <c r="F156" s="246">
        <v>283076440</v>
      </c>
      <c r="G156" s="246">
        <v>23321170</v>
      </c>
      <c r="H156" s="246">
        <v>0</v>
      </c>
      <c r="J156" s="669">
        <v>1.5</v>
      </c>
      <c r="K156" s="669">
        <v>5.2499999999999998E-2</v>
      </c>
      <c r="L156" s="669">
        <v>1.5525</v>
      </c>
    </row>
    <row r="157" spans="1:12">
      <c r="A157" s="423" t="s">
        <v>4716</v>
      </c>
      <c r="B157" s="423" t="s">
        <v>1934</v>
      </c>
      <c r="C157" s="246">
        <v>36765221</v>
      </c>
      <c r="D157" s="246">
        <v>33399366</v>
      </c>
      <c r="E157" s="246">
        <v>36765221</v>
      </c>
      <c r="F157" s="246">
        <v>33399366</v>
      </c>
      <c r="G157" s="246">
        <v>3365855</v>
      </c>
      <c r="H157" s="246">
        <v>0</v>
      </c>
      <c r="J157" s="669">
        <v>1.47</v>
      </c>
      <c r="K157" s="669">
        <v>0</v>
      </c>
      <c r="L157" s="669">
        <v>1.47</v>
      </c>
    </row>
    <row r="158" spans="1:12">
      <c r="A158" s="423" t="s">
        <v>4717</v>
      </c>
      <c r="B158" s="423" t="s">
        <v>3822</v>
      </c>
      <c r="C158" s="246">
        <v>37623295</v>
      </c>
      <c r="D158" s="246">
        <v>34002195</v>
      </c>
      <c r="E158" s="246">
        <v>37623295</v>
      </c>
      <c r="F158" s="246">
        <v>34002195</v>
      </c>
      <c r="G158" s="246">
        <v>3621100</v>
      </c>
      <c r="H158" s="246">
        <v>0</v>
      </c>
      <c r="J158" s="669">
        <v>1.5</v>
      </c>
      <c r="K158" s="669">
        <v>0</v>
      </c>
      <c r="L158" s="669">
        <v>1.5</v>
      </c>
    </row>
    <row r="159" spans="1:12">
      <c r="A159" s="423" t="s">
        <v>4718</v>
      </c>
      <c r="B159" s="423" t="s">
        <v>6109</v>
      </c>
      <c r="C159" s="246">
        <v>171256038</v>
      </c>
      <c r="D159" s="246">
        <v>156161348</v>
      </c>
      <c r="E159" s="246">
        <v>171256038</v>
      </c>
      <c r="F159" s="246">
        <v>156161348</v>
      </c>
      <c r="G159" s="246">
        <v>15094690</v>
      </c>
      <c r="H159" s="246">
        <v>0</v>
      </c>
      <c r="J159" s="669">
        <v>1.5</v>
      </c>
      <c r="K159" s="669">
        <v>9.4952999999999996E-2</v>
      </c>
      <c r="L159" s="669">
        <v>1.5949500000000001</v>
      </c>
    </row>
    <row r="160" spans="1:12">
      <c r="A160" s="423" t="s">
        <v>4719</v>
      </c>
      <c r="B160" s="423" t="s">
        <v>3823</v>
      </c>
      <c r="C160" s="246">
        <v>19847313</v>
      </c>
      <c r="D160" s="246">
        <v>18048483</v>
      </c>
      <c r="E160" s="246">
        <v>19847313</v>
      </c>
      <c r="F160" s="246">
        <v>18048483</v>
      </c>
      <c r="G160" s="246">
        <v>1798830</v>
      </c>
      <c r="H160" s="246">
        <v>0</v>
      </c>
      <c r="J160" s="669">
        <v>1.5</v>
      </c>
      <c r="K160" s="669">
        <v>0</v>
      </c>
      <c r="L160" s="669">
        <v>1.5</v>
      </c>
    </row>
    <row r="161" spans="1:12">
      <c r="A161" s="423" t="s">
        <v>4720</v>
      </c>
      <c r="B161" s="423" t="s">
        <v>3824</v>
      </c>
      <c r="C161" s="246">
        <v>276725947</v>
      </c>
      <c r="D161" s="246">
        <v>260730387</v>
      </c>
      <c r="E161" s="246">
        <v>276725947</v>
      </c>
      <c r="F161" s="246">
        <v>260730387</v>
      </c>
      <c r="G161" s="246">
        <v>15995560</v>
      </c>
      <c r="H161" s="246">
        <v>0</v>
      </c>
      <c r="J161" s="669">
        <v>1.47</v>
      </c>
      <c r="K161" s="669">
        <v>7.0000000000000007E-2</v>
      </c>
      <c r="L161" s="669">
        <v>1.54</v>
      </c>
    </row>
    <row r="162" spans="1:12">
      <c r="A162" s="423" t="s">
        <v>4721</v>
      </c>
      <c r="B162" s="423" t="s">
        <v>338</v>
      </c>
      <c r="C162" s="246">
        <v>70804026</v>
      </c>
      <c r="D162" s="246">
        <v>65097676</v>
      </c>
      <c r="E162" s="246">
        <v>70804026</v>
      </c>
      <c r="F162" s="246">
        <v>65097676</v>
      </c>
      <c r="G162" s="246">
        <v>5706350</v>
      </c>
      <c r="H162" s="246">
        <v>0</v>
      </c>
      <c r="J162" s="669">
        <v>1.5</v>
      </c>
      <c r="K162" s="669">
        <v>0.216</v>
      </c>
      <c r="L162" s="669">
        <v>1.716</v>
      </c>
    </row>
    <row r="163" spans="1:12">
      <c r="A163" s="423" t="s">
        <v>4722</v>
      </c>
      <c r="B163" s="423" t="s">
        <v>3825</v>
      </c>
      <c r="C163" s="246">
        <v>35640210</v>
      </c>
      <c r="D163" s="246">
        <v>33722540</v>
      </c>
      <c r="E163" s="246">
        <v>35640210</v>
      </c>
      <c r="F163" s="246">
        <v>33722540</v>
      </c>
      <c r="G163" s="246">
        <v>1917670</v>
      </c>
      <c r="H163" s="246">
        <v>0</v>
      </c>
      <c r="J163" s="669">
        <v>1.5</v>
      </c>
      <c r="K163" s="669">
        <v>0</v>
      </c>
      <c r="L163" s="669">
        <v>1.5</v>
      </c>
    </row>
    <row r="164" spans="1:12">
      <c r="A164" s="423" t="s">
        <v>4723</v>
      </c>
      <c r="B164" s="423" t="s">
        <v>2855</v>
      </c>
      <c r="C164" s="246">
        <v>61815400</v>
      </c>
      <c r="D164" s="246">
        <v>59287630</v>
      </c>
      <c r="E164" s="246">
        <v>61815400</v>
      </c>
      <c r="F164" s="246">
        <v>59287630</v>
      </c>
      <c r="G164" s="246">
        <v>2527770</v>
      </c>
      <c r="H164" s="246">
        <v>0</v>
      </c>
      <c r="J164" s="669">
        <v>1.5</v>
      </c>
      <c r="K164" s="669">
        <v>0</v>
      </c>
      <c r="L164" s="669">
        <v>1.5</v>
      </c>
    </row>
    <row r="165" spans="1:12">
      <c r="A165" s="423" t="s">
        <v>4724</v>
      </c>
      <c r="B165" s="423" t="s">
        <v>2856</v>
      </c>
      <c r="C165" s="246">
        <v>57200015</v>
      </c>
      <c r="D165" s="246">
        <v>52874225</v>
      </c>
      <c r="E165" s="246">
        <v>57200015</v>
      </c>
      <c r="F165" s="246">
        <v>52874225</v>
      </c>
      <c r="G165" s="246">
        <v>4325790</v>
      </c>
      <c r="H165" s="246">
        <v>0</v>
      </c>
      <c r="J165" s="669">
        <v>1.5</v>
      </c>
      <c r="K165" s="669">
        <v>0</v>
      </c>
      <c r="L165" s="669">
        <v>1.5</v>
      </c>
    </row>
    <row r="166" spans="1:12">
      <c r="A166" s="423" t="s">
        <v>4725</v>
      </c>
      <c r="B166" s="423" t="s">
        <v>4726</v>
      </c>
      <c r="C166" s="246">
        <v>419393403</v>
      </c>
      <c r="D166" s="246">
        <v>417573383</v>
      </c>
      <c r="E166" s="246">
        <v>419393403</v>
      </c>
      <c r="F166" s="246">
        <v>417573383</v>
      </c>
      <c r="G166" s="246">
        <v>1820020</v>
      </c>
      <c r="H166" s="246">
        <v>0</v>
      </c>
      <c r="J166" s="669">
        <v>1.5</v>
      </c>
      <c r="K166" s="669">
        <v>0</v>
      </c>
      <c r="L166" s="669">
        <v>1.5</v>
      </c>
    </row>
    <row r="167" spans="1:12">
      <c r="A167" s="423" t="s">
        <v>4727</v>
      </c>
      <c r="B167" s="423" t="s">
        <v>2858</v>
      </c>
      <c r="C167" s="246">
        <v>72806729</v>
      </c>
      <c r="D167" s="246">
        <v>69002509</v>
      </c>
      <c r="E167" s="246">
        <v>70898994</v>
      </c>
      <c r="F167" s="246">
        <v>67094774</v>
      </c>
      <c r="G167" s="246">
        <v>3804220</v>
      </c>
      <c r="H167" s="246">
        <v>1907735</v>
      </c>
      <c r="J167" s="669">
        <v>1.45</v>
      </c>
      <c r="K167" s="669">
        <v>0</v>
      </c>
      <c r="L167" s="669">
        <v>1.45</v>
      </c>
    </row>
    <row r="168" spans="1:12">
      <c r="A168" s="423" t="s">
        <v>4728</v>
      </c>
      <c r="B168" s="423" t="s">
        <v>2859</v>
      </c>
      <c r="C168" s="246">
        <v>134480223</v>
      </c>
      <c r="D168" s="246">
        <v>129680683</v>
      </c>
      <c r="E168" s="246">
        <v>132225071</v>
      </c>
      <c r="F168" s="246">
        <v>127425531</v>
      </c>
      <c r="G168" s="246">
        <v>4799540</v>
      </c>
      <c r="H168" s="246">
        <v>2255152</v>
      </c>
      <c r="J168" s="669">
        <v>1.5</v>
      </c>
      <c r="K168" s="669">
        <v>0</v>
      </c>
      <c r="L168" s="669">
        <v>1.5</v>
      </c>
    </row>
    <row r="169" spans="1:12">
      <c r="A169" s="423" t="s">
        <v>4729</v>
      </c>
      <c r="B169" s="423" t="s">
        <v>6118</v>
      </c>
      <c r="C169" s="246">
        <v>97215530</v>
      </c>
      <c r="D169" s="246">
        <v>83472860</v>
      </c>
      <c r="E169" s="246">
        <v>97215530</v>
      </c>
      <c r="F169" s="246">
        <v>83472860</v>
      </c>
      <c r="G169" s="246">
        <v>13742670</v>
      </c>
      <c r="H169" s="246">
        <v>0</v>
      </c>
      <c r="J169" s="669">
        <v>1.46</v>
      </c>
      <c r="K169" s="669">
        <v>0.22</v>
      </c>
      <c r="L169" s="669">
        <v>1.68</v>
      </c>
    </row>
    <row r="170" spans="1:12">
      <c r="A170" s="423" t="s">
        <v>4730</v>
      </c>
      <c r="B170" s="423" t="s">
        <v>1457</v>
      </c>
      <c r="C170" s="246">
        <v>47712539</v>
      </c>
      <c r="D170" s="246">
        <v>43945089</v>
      </c>
      <c r="E170" s="246">
        <v>47712539</v>
      </c>
      <c r="F170" s="246">
        <v>43945089</v>
      </c>
      <c r="G170" s="246">
        <v>3767450</v>
      </c>
      <c r="H170" s="246">
        <v>0</v>
      </c>
      <c r="J170" s="669">
        <v>1.5</v>
      </c>
      <c r="K170" s="669">
        <v>0.08</v>
      </c>
      <c r="L170" s="669">
        <v>1.58</v>
      </c>
    </row>
    <row r="171" spans="1:12">
      <c r="A171" s="423" t="s">
        <v>4731</v>
      </c>
      <c r="B171" s="423" t="s">
        <v>4732</v>
      </c>
      <c r="C171" s="246">
        <v>60684427</v>
      </c>
      <c r="D171" s="246">
        <v>57746717</v>
      </c>
      <c r="E171" s="246">
        <v>60684427</v>
      </c>
      <c r="F171" s="246">
        <v>57746717</v>
      </c>
      <c r="G171" s="246">
        <v>2937710</v>
      </c>
      <c r="H171" s="246">
        <v>0</v>
      </c>
      <c r="J171" s="669">
        <v>1.5</v>
      </c>
      <c r="K171" s="669">
        <v>0</v>
      </c>
      <c r="L171" s="669">
        <v>1.5</v>
      </c>
    </row>
    <row r="172" spans="1:12">
      <c r="A172" s="423" t="s">
        <v>4733</v>
      </c>
      <c r="B172" s="423" t="s">
        <v>2861</v>
      </c>
      <c r="C172" s="246">
        <v>34156528</v>
      </c>
      <c r="D172" s="246">
        <v>32336048</v>
      </c>
      <c r="E172" s="246">
        <v>34156528</v>
      </c>
      <c r="F172" s="246">
        <v>32336048</v>
      </c>
      <c r="G172" s="246">
        <v>1820480</v>
      </c>
      <c r="H172" s="246">
        <v>0</v>
      </c>
      <c r="J172" s="669">
        <v>1.5</v>
      </c>
      <c r="K172" s="669">
        <v>0</v>
      </c>
      <c r="L172" s="669">
        <v>1.5</v>
      </c>
    </row>
    <row r="173" spans="1:12">
      <c r="A173" s="423" t="s">
        <v>4734</v>
      </c>
      <c r="B173" s="423" t="s">
        <v>7677</v>
      </c>
      <c r="C173" s="246">
        <v>4979482584</v>
      </c>
      <c r="D173" s="246">
        <v>4819716884</v>
      </c>
      <c r="E173" s="246">
        <v>4979482584</v>
      </c>
      <c r="F173" s="246">
        <v>4819716884</v>
      </c>
      <c r="G173" s="246">
        <v>159765700</v>
      </c>
      <c r="H173" s="246">
        <v>0</v>
      </c>
      <c r="J173" s="669">
        <v>1.5</v>
      </c>
      <c r="K173" s="669">
        <v>0.41245900000000002</v>
      </c>
      <c r="L173" s="669">
        <v>1.91246</v>
      </c>
    </row>
    <row r="174" spans="1:12">
      <c r="A174" s="423" t="s">
        <v>4735</v>
      </c>
      <c r="B174" s="423" t="s">
        <v>7683</v>
      </c>
      <c r="C174" s="246">
        <v>345797673</v>
      </c>
      <c r="D174" s="246">
        <v>329758002</v>
      </c>
      <c r="E174" s="246">
        <v>345797673</v>
      </c>
      <c r="F174" s="246">
        <v>329758002</v>
      </c>
      <c r="G174" s="246">
        <v>16039671</v>
      </c>
      <c r="H174" s="246">
        <v>0</v>
      </c>
      <c r="J174" s="669">
        <v>1.4552400000000001</v>
      </c>
      <c r="K174" s="669">
        <v>0.36975599999999997</v>
      </c>
      <c r="L174" s="669">
        <v>1.825</v>
      </c>
    </row>
    <row r="175" spans="1:12">
      <c r="A175" s="423" t="s">
        <v>4736</v>
      </c>
      <c r="B175" s="423" t="s">
        <v>6104</v>
      </c>
      <c r="C175" s="246">
        <v>431034532</v>
      </c>
      <c r="D175" s="246">
        <v>415148093</v>
      </c>
      <c r="E175" s="246">
        <v>431034532</v>
      </c>
      <c r="F175" s="246">
        <v>415148093</v>
      </c>
      <c r="G175" s="246">
        <v>15886439</v>
      </c>
      <c r="H175" s="246">
        <v>0</v>
      </c>
      <c r="J175" s="669">
        <v>1.5</v>
      </c>
      <c r="K175" s="669">
        <v>0.28000000000000003</v>
      </c>
      <c r="L175" s="669">
        <v>1.78</v>
      </c>
    </row>
    <row r="176" spans="1:12">
      <c r="A176" s="423" t="s">
        <v>4737</v>
      </c>
      <c r="B176" s="423" t="s">
        <v>110</v>
      </c>
      <c r="C176" s="246">
        <v>270851492</v>
      </c>
      <c r="D176" s="246">
        <v>255028556</v>
      </c>
      <c r="E176" s="246">
        <v>270851492</v>
      </c>
      <c r="F176" s="246">
        <v>255028556</v>
      </c>
      <c r="G176" s="246">
        <v>15822936</v>
      </c>
      <c r="H176" s="246">
        <v>0</v>
      </c>
      <c r="J176" s="669">
        <v>1.44</v>
      </c>
      <c r="K176" s="669">
        <v>0.3</v>
      </c>
      <c r="L176" s="669">
        <v>1.74</v>
      </c>
    </row>
    <row r="177" spans="1:12">
      <c r="A177" s="423" t="s">
        <v>4738</v>
      </c>
      <c r="B177" s="423" t="s">
        <v>117</v>
      </c>
      <c r="C177" s="246">
        <v>9651297894</v>
      </c>
      <c r="D177" s="246">
        <v>9425818423</v>
      </c>
      <c r="E177" s="246">
        <v>9651297894</v>
      </c>
      <c r="F177" s="246">
        <v>9425818423</v>
      </c>
      <c r="G177" s="246">
        <v>225479471</v>
      </c>
      <c r="H177" s="246">
        <v>0</v>
      </c>
      <c r="J177" s="669">
        <v>1.32</v>
      </c>
      <c r="K177" s="669">
        <v>0.31</v>
      </c>
      <c r="L177" s="669">
        <v>1.63</v>
      </c>
    </row>
    <row r="178" spans="1:12">
      <c r="A178" s="423" t="s">
        <v>4739</v>
      </c>
      <c r="B178" s="423" t="s">
        <v>6076</v>
      </c>
      <c r="C178" s="246">
        <v>6815039048</v>
      </c>
      <c r="D178" s="246">
        <v>6614978103</v>
      </c>
      <c r="E178" s="246">
        <v>6815039048</v>
      </c>
      <c r="F178" s="246">
        <v>6614978103</v>
      </c>
      <c r="G178" s="246">
        <v>200060945</v>
      </c>
      <c r="H178" s="246">
        <v>0</v>
      </c>
      <c r="J178" s="669">
        <v>1.5</v>
      </c>
      <c r="K178" s="669">
        <v>0.5</v>
      </c>
      <c r="L178" s="669">
        <v>2</v>
      </c>
    </row>
    <row r="179" spans="1:12">
      <c r="A179" s="423" t="s">
        <v>4740</v>
      </c>
      <c r="B179" s="423" t="s">
        <v>2862</v>
      </c>
      <c r="C179" s="246">
        <v>284013400</v>
      </c>
      <c r="D179" s="246">
        <v>274745260</v>
      </c>
      <c r="E179" s="246">
        <v>284013400</v>
      </c>
      <c r="F179" s="246">
        <v>274745260</v>
      </c>
      <c r="G179" s="246">
        <v>9268140</v>
      </c>
      <c r="H179" s="246">
        <v>0</v>
      </c>
      <c r="J179" s="669">
        <v>1.5</v>
      </c>
      <c r="K179" s="669">
        <v>0.41</v>
      </c>
      <c r="L179" s="669">
        <v>1.91</v>
      </c>
    </row>
    <row r="180" spans="1:12">
      <c r="A180" s="423" t="s">
        <v>4741</v>
      </c>
      <c r="B180" s="423" t="s">
        <v>2863</v>
      </c>
      <c r="C180" s="246">
        <v>29620902234</v>
      </c>
      <c r="D180" s="246">
        <v>28921415823</v>
      </c>
      <c r="E180" s="246">
        <v>29620902234</v>
      </c>
      <c r="F180" s="246">
        <v>28921415823</v>
      </c>
      <c r="G180" s="246">
        <v>699486411</v>
      </c>
      <c r="H180" s="246">
        <v>0</v>
      </c>
      <c r="J180" s="669">
        <v>1.5</v>
      </c>
      <c r="K180" s="669">
        <v>0.2334</v>
      </c>
      <c r="L180" s="669">
        <v>1.7334000000000001</v>
      </c>
    </row>
    <row r="181" spans="1:12">
      <c r="A181" s="423" t="s">
        <v>4742</v>
      </c>
      <c r="B181" s="423" t="s">
        <v>352</v>
      </c>
      <c r="C181" s="246">
        <v>388098061</v>
      </c>
      <c r="D181" s="246">
        <v>362953336</v>
      </c>
      <c r="E181" s="246">
        <v>388098061</v>
      </c>
      <c r="F181" s="246">
        <v>362953336</v>
      </c>
      <c r="G181" s="246">
        <v>25144725</v>
      </c>
      <c r="H181" s="246">
        <v>0</v>
      </c>
      <c r="J181" s="669">
        <v>1.42</v>
      </c>
      <c r="K181" s="669">
        <v>0.32775900000000002</v>
      </c>
      <c r="L181" s="669">
        <v>1.74776</v>
      </c>
    </row>
    <row r="182" spans="1:12">
      <c r="A182" s="423" t="s">
        <v>4743</v>
      </c>
      <c r="B182" s="423" t="s">
        <v>354</v>
      </c>
      <c r="C182" s="246">
        <v>763844953</v>
      </c>
      <c r="D182" s="246">
        <v>744594909</v>
      </c>
      <c r="E182" s="246">
        <v>763844953</v>
      </c>
      <c r="F182" s="246">
        <v>744594909</v>
      </c>
      <c r="G182" s="246">
        <v>19250044</v>
      </c>
      <c r="H182" s="246">
        <v>0</v>
      </c>
      <c r="J182" s="669">
        <v>1.5</v>
      </c>
      <c r="K182" s="669">
        <v>0.47531000000000001</v>
      </c>
      <c r="L182" s="669">
        <v>1.9753099999999999</v>
      </c>
    </row>
    <row r="183" spans="1:12">
      <c r="A183" s="423" t="s">
        <v>4744</v>
      </c>
      <c r="B183" s="423" t="s">
        <v>2008</v>
      </c>
      <c r="C183" s="246">
        <v>2201500541</v>
      </c>
      <c r="D183" s="246">
        <v>2105076162</v>
      </c>
      <c r="E183" s="246">
        <v>2201500541</v>
      </c>
      <c r="F183" s="246">
        <v>2105076162</v>
      </c>
      <c r="G183" s="246">
        <v>96424379</v>
      </c>
      <c r="H183" s="246">
        <v>0</v>
      </c>
      <c r="J183" s="669">
        <v>1.5</v>
      </c>
      <c r="K183" s="669">
        <v>0.317</v>
      </c>
      <c r="L183" s="669">
        <v>1.8169999999999999</v>
      </c>
    </row>
    <row r="184" spans="1:12">
      <c r="A184" s="423" t="s">
        <v>4745</v>
      </c>
      <c r="B184" s="423" t="s">
        <v>7661</v>
      </c>
      <c r="C184" s="246">
        <v>104011610</v>
      </c>
      <c r="D184" s="246">
        <v>96498831</v>
      </c>
      <c r="E184" s="246">
        <v>104011610</v>
      </c>
      <c r="F184" s="246">
        <v>96498831</v>
      </c>
      <c r="G184" s="246">
        <v>7512779</v>
      </c>
      <c r="H184" s="246">
        <v>0</v>
      </c>
      <c r="J184" s="669">
        <v>1.5</v>
      </c>
      <c r="K184" s="669">
        <v>0.2407</v>
      </c>
      <c r="L184" s="669">
        <v>1.7406999999999999</v>
      </c>
    </row>
    <row r="185" spans="1:12">
      <c r="A185" s="423" t="s">
        <v>4746</v>
      </c>
      <c r="B185" s="423" t="s">
        <v>2643</v>
      </c>
      <c r="C185" s="246">
        <v>312754770</v>
      </c>
      <c r="D185" s="246">
        <v>295315760</v>
      </c>
      <c r="E185" s="246">
        <v>312754770</v>
      </c>
      <c r="F185" s="246">
        <v>295315760</v>
      </c>
      <c r="G185" s="246">
        <v>17439010</v>
      </c>
      <c r="H185" s="246">
        <v>0</v>
      </c>
      <c r="J185" s="669">
        <v>1.5</v>
      </c>
      <c r="K185" s="669">
        <v>0.17</v>
      </c>
      <c r="L185" s="669">
        <v>1.67</v>
      </c>
    </row>
    <row r="186" spans="1:12">
      <c r="A186" s="423" t="s">
        <v>4747</v>
      </c>
      <c r="B186" s="423" t="s">
        <v>2864</v>
      </c>
      <c r="C186" s="246">
        <v>1022054324</v>
      </c>
      <c r="D186" s="246">
        <v>993791824</v>
      </c>
      <c r="E186" s="246">
        <v>1022054324</v>
      </c>
      <c r="F186" s="246">
        <v>993791824</v>
      </c>
      <c r="G186" s="246">
        <v>28262500</v>
      </c>
      <c r="H186" s="246">
        <v>0</v>
      </c>
      <c r="J186" s="669">
        <v>1.5</v>
      </c>
      <c r="K186" s="669">
        <v>0.32340000000000002</v>
      </c>
      <c r="L186" s="669">
        <v>1.8233999999999999</v>
      </c>
    </row>
    <row r="187" spans="1:12">
      <c r="A187" s="423" t="s">
        <v>4748</v>
      </c>
      <c r="B187" s="423" t="s">
        <v>2865</v>
      </c>
      <c r="C187" s="246">
        <v>72888830</v>
      </c>
      <c r="D187" s="246">
        <v>66170720</v>
      </c>
      <c r="E187" s="246">
        <v>72888830</v>
      </c>
      <c r="F187" s="246">
        <v>66170720</v>
      </c>
      <c r="G187" s="246">
        <v>6718110</v>
      </c>
      <c r="H187" s="246">
        <v>0</v>
      </c>
      <c r="J187" s="669">
        <v>1.36</v>
      </c>
      <c r="K187" s="669">
        <v>0</v>
      </c>
      <c r="L187" s="669">
        <v>1.36</v>
      </c>
    </row>
    <row r="188" spans="1:12">
      <c r="A188" s="423" t="s">
        <v>4749</v>
      </c>
      <c r="B188" s="423" t="s">
        <v>2866</v>
      </c>
      <c r="C188" s="246">
        <v>35808250</v>
      </c>
      <c r="D188" s="246">
        <v>35344390</v>
      </c>
      <c r="E188" s="246">
        <v>35808250</v>
      </c>
      <c r="F188" s="246">
        <v>35344390</v>
      </c>
      <c r="G188" s="246">
        <v>463860</v>
      </c>
      <c r="H188" s="246">
        <v>0</v>
      </c>
      <c r="J188" s="669">
        <v>1.335</v>
      </c>
      <c r="K188" s="669">
        <v>0</v>
      </c>
      <c r="L188" s="669">
        <v>1.335</v>
      </c>
    </row>
    <row r="189" spans="1:12">
      <c r="A189" s="423" t="s">
        <v>4750</v>
      </c>
      <c r="B189" s="423" t="s">
        <v>2641</v>
      </c>
      <c r="C189" s="246">
        <v>563364446</v>
      </c>
      <c r="D189" s="246">
        <v>536559754</v>
      </c>
      <c r="E189" s="246">
        <v>557175305</v>
      </c>
      <c r="F189" s="246">
        <v>530370613</v>
      </c>
      <c r="G189" s="246">
        <v>26804692</v>
      </c>
      <c r="H189" s="246">
        <v>6189141</v>
      </c>
      <c r="J189" s="669">
        <v>1.39</v>
      </c>
      <c r="K189" s="669">
        <v>0.22500000000000001</v>
      </c>
      <c r="L189" s="669">
        <v>1.615</v>
      </c>
    </row>
    <row r="190" spans="1:12">
      <c r="A190" s="423" t="s">
        <v>4751</v>
      </c>
      <c r="B190" s="423" t="s">
        <v>4752</v>
      </c>
      <c r="C190" s="246">
        <v>492802846</v>
      </c>
      <c r="D190" s="246">
        <v>476831915</v>
      </c>
      <c r="E190" s="246">
        <v>492802846</v>
      </c>
      <c r="F190" s="246">
        <v>476831915</v>
      </c>
      <c r="G190" s="246">
        <v>15970931</v>
      </c>
      <c r="H190" s="246">
        <v>0</v>
      </c>
      <c r="J190" s="669">
        <v>1.4213800000000001</v>
      </c>
      <c r="K190" s="669">
        <v>7.6480000000000006E-2</v>
      </c>
      <c r="L190" s="669">
        <v>1.49786</v>
      </c>
    </row>
    <row r="191" spans="1:12">
      <c r="A191" s="423" t="s">
        <v>4753</v>
      </c>
      <c r="B191" s="423" t="s">
        <v>2868</v>
      </c>
      <c r="C191" s="246">
        <v>213732231</v>
      </c>
      <c r="D191" s="246">
        <v>200775373</v>
      </c>
      <c r="E191" s="246">
        <v>213732231</v>
      </c>
      <c r="F191" s="246">
        <v>200775373</v>
      </c>
      <c r="G191" s="246">
        <v>12956858</v>
      </c>
      <c r="H191" s="246">
        <v>0</v>
      </c>
      <c r="J191" s="669">
        <v>1.3470500000000001</v>
      </c>
      <c r="K191" s="669">
        <v>0.22295000000000001</v>
      </c>
      <c r="L191" s="669">
        <v>1.57</v>
      </c>
    </row>
    <row r="192" spans="1:12">
      <c r="A192" s="423" t="s">
        <v>4754</v>
      </c>
      <c r="B192" s="423" t="s">
        <v>2869</v>
      </c>
      <c r="C192" s="246">
        <v>2004331875</v>
      </c>
      <c r="D192" s="246">
        <v>1913574765</v>
      </c>
      <c r="E192" s="246">
        <v>2004331875</v>
      </c>
      <c r="F192" s="246">
        <v>1913574765</v>
      </c>
      <c r="G192" s="246">
        <v>90757110</v>
      </c>
      <c r="H192" s="246">
        <v>0</v>
      </c>
      <c r="J192" s="669">
        <v>1.4690000000000001</v>
      </c>
      <c r="K192" s="669">
        <v>0.35099999999999998</v>
      </c>
      <c r="L192" s="669">
        <v>1.82</v>
      </c>
    </row>
    <row r="193" spans="1:12">
      <c r="A193" s="423" t="s">
        <v>4755</v>
      </c>
      <c r="B193" s="423" t="s">
        <v>2870</v>
      </c>
      <c r="C193" s="246">
        <v>5893050264</v>
      </c>
      <c r="D193" s="246">
        <v>5694147710</v>
      </c>
      <c r="E193" s="246">
        <v>5555939390</v>
      </c>
      <c r="F193" s="246">
        <v>5357036836</v>
      </c>
      <c r="G193" s="246">
        <v>198902554</v>
      </c>
      <c r="H193" s="246">
        <v>337110874</v>
      </c>
      <c r="J193" s="669">
        <v>1.5</v>
      </c>
      <c r="K193" s="669">
        <v>0.3</v>
      </c>
      <c r="L193" s="669">
        <v>1.8</v>
      </c>
    </row>
    <row r="194" spans="1:12">
      <c r="A194" s="423" t="s">
        <v>4756</v>
      </c>
      <c r="B194" s="423" t="s">
        <v>2871</v>
      </c>
      <c r="C194" s="246">
        <v>229901577</v>
      </c>
      <c r="D194" s="246">
        <v>212402991</v>
      </c>
      <c r="E194" s="246">
        <v>229901577</v>
      </c>
      <c r="F194" s="246">
        <v>212402991</v>
      </c>
      <c r="G194" s="246">
        <v>17498586</v>
      </c>
      <c r="H194" s="246">
        <v>0</v>
      </c>
      <c r="J194" s="669">
        <v>1.23</v>
      </c>
      <c r="K194" s="669">
        <v>0</v>
      </c>
      <c r="L194" s="669">
        <v>1.23</v>
      </c>
    </row>
    <row r="195" spans="1:12">
      <c r="A195" s="423" t="s">
        <v>4757</v>
      </c>
      <c r="B195" s="423" t="s">
        <v>995</v>
      </c>
      <c r="C195" s="246">
        <v>135808213</v>
      </c>
      <c r="D195" s="246">
        <v>124866255</v>
      </c>
      <c r="E195" s="246">
        <v>135808213</v>
      </c>
      <c r="F195" s="246">
        <v>124866255</v>
      </c>
      <c r="G195" s="246">
        <v>10941958</v>
      </c>
      <c r="H195" s="246">
        <v>0</v>
      </c>
      <c r="J195" s="669">
        <v>1.3308</v>
      </c>
      <c r="K195" s="669">
        <v>2.92E-2</v>
      </c>
      <c r="L195" s="669">
        <v>1.36</v>
      </c>
    </row>
    <row r="196" spans="1:12">
      <c r="A196" s="423" t="s">
        <v>4758</v>
      </c>
      <c r="B196" s="423" t="s">
        <v>3915</v>
      </c>
      <c r="C196" s="246">
        <v>34985265</v>
      </c>
      <c r="D196" s="246">
        <v>32133221</v>
      </c>
      <c r="E196" s="246">
        <v>34985265</v>
      </c>
      <c r="F196" s="246">
        <v>32133221</v>
      </c>
      <c r="G196" s="246">
        <v>2852044</v>
      </c>
      <c r="H196" s="246">
        <v>0</v>
      </c>
      <c r="J196" s="669">
        <v>1.4592000000000001</v>
      </c>
      <c r="K196" s="669">
        <v>8.1600000000000006E-2</v>
      </c>
      <c r="L196" s="669">
        <v>1.5407999999999999</v>
      </c>
    </row>
    <row r="197" spans="1:12">
      <c r="A197" s="423" t="s">
        <v>4759</v>
      </c>
      <c r="B197" s="423" t="s">
        <v>2872</v>
      </c>
      <c r="C197" s="246">
        <v>17123508</v>
      </c>
      <c r="D197" s="246">
        <v>15376745</v>
      </c>
      <c r="E197" s="246">
        <v>17123508</v>
      </c>
      <c r="F197" s="246">
        <v>15376745</v>
      </c>
      <c r="G197" s="246">
        <v>1746763</v>
      </c>
      <c r="H197" s="246">
        <v>0</v>
      </c>
      <c r="J197" s="669">
        <v>1.32</v>
      </c>
      <c r="K197" s="669">
        <v>0</v>
      </c>
      <c r="L197" s="669">
        <v>1.32</v>
      </c>
    </row>
    <row r="198" spans="1:12">
      <c r="A198" s="423" t="s">
        <v>4760</v>
      </c>
      <c r="B198" s="423" t="s">
        <v>4761</v>
      </c>
      <c r="C198" s="246">
        <v>115457684</v>
      </c>
      <c r="D198" s="246">
        <v>111027274</v>
      </c>
      <c r="E198" s="246">
        <v>115457684</v>
      </c>
      <c r="F198" s="246">
        <v>111027274</v>
      </c>
      <c r="G198" s="246">
        <v>4430410</v>
      </c>
      <c r="H198" s="246">
        <v>0</v>
      </c>
      <c r="J198" s="669">
        <v>1.4918400000000001</v>
      </c>
      <c r="K198" s="669">
        <v>0</v>
      </c>
      <c r="L198" s="669">
        <v>1.4918400000000001</v>
      </c>
    </row>
    <row r="199" spans="1:12">
      <c r="A199" s="423" t="s">
        <v>4762</v>
      </c>
      <c r="B199" s="423" t="s">
        <v>2874</v>
      </c>
      <c r="C199" s="246">
        <v>59734505</v>
      </c>
      <c r="D199" s="246">
        <v>57946925</v>
      </c>
      <c r="E199" s="246">
        <v>59734505</v>
      </c>
      <c r="F199" s="246">
        <v>57946925</v>
      </c>
      <c r="G199" s="246">
        <v>1787580</v>
      </c>
      <c r="H199" s="246">
        <v>0</v>
      </c>
      <c r="J199" s="669">
        <v>1.5</v>
      </c>
      <c r="K199" s="669">
        <v>0</v>
      </c>
      <c r="L199" s="669">
        <v>1.5</v>
      </c>
    </row>
    <row r="200" spans="1:12">
      <c r="A200" s="423" t="s">
        <v>4763</v>
      </c>
      <c r="B200" s="423" t="s">
        <v>119</v>
      </c>
      <c r="C200" s="246">
        <v>697474327</v>
      </c>
      <c r="D200" s="246">
        <v>659570182</v>
      </c>
      <c r="E200" s="246">
        <v>697474327</v>
      </c>
      <c r="F200" s="246">
        <v>659570182</v>
      </c>
      <c r="G200" s="246">
        <v>37904145</v>
      </c>
      <c r="H200" s="246">
        <v>0</v>
      </c>
      <c r="J200" s="669">
        <v>1.5</v>
      </c>
      <c r="K200" s="669">
        <v>5.5E-2</v>
      </c>
      <c r="L200" s="669">
        <v>1.5549999999999999</v>
      </c>
    </row>
    <row r="201" spans="1:12">
      <c r="A201" s="423" t="s">
        <v>4764</v>
      </c>
      <c r="B201" s="423" t="s">
        <v>2875</v>
      </c>
      <c r="C201" s="246">
        <v>160277404</v>
      </c>
      <c r="D201" s="246">
        <v>152426257</v>
      </c>
      <c r="E201" s="246">
        <v>160277404</v>
      </c>
      <c r="F201" s="246">
        <v>152426257</v>
      </c>
      <c r="G201" s="246">
        <v>7851147</v>
      </c>
      <c r="H201" s="246">
        <v>0</v>
      </c>
      <c r="J201" s="669">
        <v>1.41</v>
      </c>
      <c r="K201" s="669">
        <v>0.13420000000000001</v>
      </c>
      <c r="L201" s="669">
        <v>1.5442</v>
      </c>
    </row>
    <row r="202" spans="1:12">
      <c r="A202" s="423" t="s">
        <v>4765</v>
      </c>
      <c r="B202" s="423" t="s">
        <v>5372</v>
      </c>
      <c r="C202" s="246">
        <v>143704752</v>
      </c>
      <c r="D202" s="246">
        <v>135738057</v>
      </c>
      <c r="E202" s="246">
        <v>143704752</v>
      </c>
      <c r="F202" s="246">
        <v>135738057</v>
      </c>
      <c r="G202" s="246">
        <v>7966695</v>
      </c>
      <c r="H202" s="246">
        <v>0</v>
      </c>
      <c r="J202" s="669">
        <v>1.5</v>
      </c>
      <c r="K202" s="669">
        <v>8.2000000000000003E-2</v>
      </c>
      <c r="L202" s="669">
        <v>1.5820000000000001</v>
      </c>
    </row>
    <row r="203" spans="1:12">
      <c r="A203" s="423" t="s">
        <v>4766</v>
      </c>
      <c r="B203" s="423" t="s">
        <v>2876</v>
      </c>
      <c r="C203" s="246">
        <v>422498320</v>
      </c>
      <c r="D203" s="246">
        <v>401265209</v>
      </c>
      <c r="E203" s="246">
        <v>422498320</v>
      </c>
      <c r="F203" s="246">
        <v>401265209</v>
      </c>
      <c r="G203" s="246">
        <v>21233111</v>
      </c>
      <c r="H203" s="246">
        <v>0</v>
      </c>
      <c r="J203" s="669">
        <v>1.46</v>
      </c>
      <c r="K203" s="669">
        <v>7.0000000000000007E-2</v>
      </c>
      <c r="L203" s="669">
        <v>1.53</v>
      </c>
    </row>
    <row r="204" spans="1:12">
      <c r="A204" s="423" t="s">
        <v>4767</v>
      </c>
      <c r="B204" s="423" t="s">
        <v>2877</v>
      </c>
      <c r="C204" s="246">
        <v>74902705</v>
      </c>
      <c r="D204" s="246">
        <v>70092026</v>
      </c>
      <c r="E204" s="246">
        <v>74902705</v>
      </c>
      <c r="F204" s="246">
        <v>70092026</v>
      </c>
      <c r="G204" s="246">
        <v>4810679</v>
      </c>
      <c r="H204" s="246">
        <v>0</v>
      </c>
      <c r="J204" s="669">
        <v>1.47</v>
      </c>
      <c r="K204" s="669">
        <v>7.7499999999999999E-2</v>
      </c>
      <c r="L204" s="669">
        <v>1.5475000000000001</v>
      </c>
    </row>
    <row r="205" spans="1:12">
      <c r="A205" s="423" t="s">
        <v>4768</v>
      </c>
      <c r="B205" s="423" t="s">
        <v>2878</v>
      </c>
      <c r="C205" s="246">
        <v>135202396</v>
      </c>
      <c r="D205" s="246">
        <v>130409315</v>
      </c>
      <c r="E205" s="246">
        <v>135202396</v>
      </c>
      <c r="F205" s="246">
        <v>130409315</v>
      </c>
      <c r="G205" s="246">
        <v>4793081</v>
      </c>
      <c r="H205" s="246">
        <v>0</v>
      </c>
      <c r="J205" s="669">
        <v>1.375</v>
      </c>
      <c r="K205" s="669">
        <v>7.1099999999999997E-2</v>
      </c>
      <c r="L205" s="669">
        <v>1.4460999999999999</v>
      </c>
    </row>
    <row r="206" spans="1:12">
      <c r="A206" s="423" t="s">
        <v>4769</v>
      </c>
      <c r="B206" s="423" t="s">
        <v>2879</v>
      </c>
      <c r="C206" s="246">
        <v>12791663</v>
      </c>
      <c r="D206" s="246">
        <v>12459253</v>
      </c>
      <c r="E206" s="246">
        <v>12791663</v>
      </c>
      <c r="F206" s="246">
        <v>12459253</v>
      </c>
      <c r="G206" s="246">
        <v>332410</v>
      </c>
      <c r="H206" s="246">
        <v>0</v>
      </c>
      <c r="J206" s="669">
        <v>1.5</v>
      </c>
      <c r="K206" s="669">
        <v>0</v>
      </c>
      <c r="L206" s="669">
        <v>1.5</v>
      </c>
    </row>
    <row r="207" spans="1:12">
      <c r="A207" s="423" t="s">
        <v>4770</v>
      </c>
      <c r="B207" s="423" t="s">
        <v>2880</v>
      </c>
      <c r="C207" s="246">
        <v>83660006</v>
      </c>
      <c r="D207" s="246">
        <v>82118796</v>
      </c>
      <c r="E207" s="246">
        <v>83660006</v>
      </c>
      <c r="F207" s="246">
        <v>82118796</v>
      </c>
      <c r="G207" s="246">
        <v>1541210</v>
      </c>
      <c r="H207" s="246">
        <v>0</v>
      </c>
      <c r="J207" s="669">
        <v>1.27</v>
      </c>
      <c r="K207" s="669">
        <v>0</v>
      </c>
      <c r="L207" s="669">
        <v>1.27</v>
      </c>
    </row>
    <row r="208" spans="1:12">
      <c r="A208" s="423" t="s">
        <v>4771</v>
      </c>
      <c r="B208" s="423" t="s">
        <v>2881</v>
      </c>
      <c r="C208" s="246">
        <v>59045827</v>
      </c>
      <c r="D208" s="246">
        <v>54621655</v>
      </c>
      <c r="E208" s="246">
        <v>59045827</v>
      </c>
      <c r="F208" s="246">
        <v>54621655</v>
      </c>
      <c r="G208" s="246">
        <v>4424172</v>
      </c>
      <c r="H208" s="246">
        <v>0</v>
      </c>
      <c r="J208" s="669">
        <v>1.4</v>
      </c>
      <c r="K208" s="669">
        <v>0</v>
      </c>
      <c r="L208" s="669">
        <v>1.4</v>
      </c>
    </row>
    <row r="209" spans="1:12">
      <c r="A209" s="423" t="s">
        <v>4772</v>
      </c>
      <c r="B209" s="423" t="s">
        <v>2882</v>
      </c>
      <c r="C209" s="246">
        <v>407080193</v>
      </c>
      <c r="D209" s="246">
        <v>372340750</v>
      </c>
      <c r="E209" s="246">
        <v>407080193</v>
      </c>
      <c r="F209" s="246">
        <v>372340750</v>
      </c>
      <c r="G209" s="246">
        <v>34739443</v>
      </c>
      <c r="H209" s="246">
        <v>0</v>
      </c>
      <c r="J209" s="669">
        <v>1.419</v>
      </c>
      <c r="K209" s="669">
        <v>8.1000000000000003E-2</v>
      </c>
      <c r="L209" s="669">
        <v>1.5</v>
      </c>
    </row>
    <row r="210" spans="1:12">
      <c r="A210" s="423" t="s">
        <v>4773</v>
      </c>
      <c r="B210" s="423" t="s">
        <v>3833</v>
      </c>
      <c r="C210" s="246">
        <v>28554893</v>
      </c>
      <c r="D210" s="246">
        <v>25692393</v>
      </c>
      <c r="E210" s="246">
        <v>28554893</v>
      </c>
      <c r="F210" s="246">
        <v>25692393</v>
      </c>
      <c r="G210" s="246">
        <v>2862500</v>
      </c>
      <c r="H210" s="246">
        <v>0</v>
      </c>
      <c r="J210" s="669">
        <v>1.35</v>
      </c>
      <c r="K210" s="669">
        <v>0.15492</v>
      </c>
      <c r="L210" s="669">
        <v>1.50492</v>
      </c>
    </row>
    <row r="211" spans="1:12">
      <c r="A211" s="423" t="s">
        <v>4774</v>
      </c>
      <c r="B211" s="423" t="s">
        <v>2883</v>
      </c>
      <c r="C211" s="246">
        <v>45067883</v>
      </c>
      <c r="D211" s="246">
        <v>42064323</v>
      </c>
      <c r="E211" s="246">
        <v>45067883</v>
      </c>
      <c r="F211" s="246">
        <v>42064323</v>
      </c>
      <c r="G211" s="246">
        <v>3003560</v>
      </c>
      <c r="H211" s="246">
        <v>0</v>
      </c>
      <c r="J211" s="669">
        <v>1.39</v>
      </c>
      <c r="K211" s="669">
        <v>0</v>
      </c>
      <c r="L211" s="669">
        <v>1.39</v>
      </c>
    </row>
    <row r="212" spans="1:12">
      <c r="A212" s="423" t="s">
        <v>4775</v>
      </c>
      <c r="B212" s="423" t="s">
        <v>2647</v>
      </c>
      <c r="C212" s="246">
        <v>859380378</v>
      </c>
      <c r="D212" s="246">
        <v>795157103</v>
      </c>
      <c r="E212" s="246">
        <v>859380378</v>
      </c>
      <c r="F212" s="246">
        <v>795157103</v>
      </c>
      <c r="G212" s="246">
        <v>64223275</v>
      </c>
      <c r="H212" s="246">
        <v>0</v>
      </c>
      <c r="J212" s="669">
        <v>1.4630000000000001</v>
      </c>
      <c r="K212" s="669">
        <v>0.14099999999999999</v>
      </c>
      <c r="L212" s="669">
        <v>1.6040000000000001</v>
      </c>
    </row>
    <row r="213" spans="1:12">
      <c r="A213" s="423" t="s">
        <v>4776</v>
      </c>
      <c r="B213" s="423" t="s">
        <v>2884</v>
      </c>
      <c r="C213" s="246">
        <v>108380823</v>
      </c>
      <c r="D213" s="246">
        <v>103695023</v>
      </c>
      <c r="E213" s="246">
        <v>107150143</v>
      </c>
      <c r="F213" s="246">
        <v>102464343</v>
      </c>
      <c r="G213" s="246">
        <v>4685800</v>
      </c>
      <c r="H213" s="246">
        <v>1230680</v>
      </c>
      <c r="J213" s="669">
        <v>1.43</v>
      </c>
      <c r="K213" s="669">
        <v>0</v>
      </c>
      <c r="L213" s="669">
        <v>1.43</v>
      </c>
    </row>
    <row r="214" spans="1:12">
      <c r="A214" s="423" t="s">
        <v>4777</v>
      </c>
      <c r="B214" s="423" t="s">
        <v>2885</v>
      </c>
      <c r="C214" s="246">
        <v>1339693927</v>
      </c>
      <c r="D214" s="246">
        <v>1330654047</v>
      </c>
      <c r="E214" s="246">
        <v>1339693927</v>
      </c>
      <c r="F214" s="246">
        <v>1330654047</v>
      </c>
      <c r="G214" s="246">
        <v>9039880</v>
      </c>
      <c r="H214" s="246">
        <v>0</v>
      </c>
      <c r="J214" s="669">
        <v>1.5</v>
      </c>
      <c r="K214" s="669">
        <v>0</v>
      </c>
      <c r="L214" s="669">
        <v>1.5</v>
      </c>
    </row>
    <row r="215" spans="1:12">
      <c r="A215" s="423" t="s">
        <v>4778</v>
      </c>
      <c r="B215" s="423" t="s">
        <v>4779</v>
      </c>
      <c r="C215" s="246">
        <v>1625407810</v>
      </c>
      <c r="D215" s="246">
        <v>1616765230</v>
      </c>
      <c r="E215" s="246">
        <v>1622500525</v>
      </c>
      <c r="F215" s="246">
        <v>1613857945</v>
      </c>
      <c r="G215" s="246">
        <v>8642580</v>
      </c>
      <c r="H215" s="246">
        <v>2907285</v>
      </c>
      <c r="J215" s="669">
        <v>1.5</v>
      </c>
      <c r="K215" s="669">
        <v>0</v>
      </c>
      <c r="L215" s="669">
        <v>1.5</v>
      </c>
    </row>
    <row r="216" spans="1:12">
      <c r="A216" s="423" t="s">
        <v>4780</v>
      </c>
      <c r="B216" s="423" t="s">
        <v>4781</v>
      </c>
      <c r="C216" s="246">
        <v>67795053</v>
      </c>
      <c r="D216" s="246">
        <v>62748543</v>
      </c>
      <c r="E216" s="246">
        <v>67795053</v>
      </c>
      <c r="F216" s="246">
        <v>62748543</v>
      </c>
      <c r="G216" s="246">
        <v>5046510</v>
      </c>
      <c r="H216" s="246">
        <v>0</v>
      </c>
      <c r="J216" s="669">
        <v>1.5</v>
      </c>
      <c r="K216" s="669">
        <v>0</v>
      </c>
      <c r="L216" s="669">
        <v>1.5</v>
      </c>
    </row>
    <row r="217" spans="1:12">
      <c r="A217" s="423" t="s">
        <v>4782</v>
      </c>
      <c r="B217" s="423" t="s">
        <v>2888</v>
      </c>
      <c r="C217" s="246">
        <v>63396158</v>
      </c>
      <c r="D217" s="246">
        <v>60173088</v>
      </c>
      <c r="E217" s="246">
        <v>63396158</v>
      </c>
      <c r="F217" s="246">
        <v>60173088</v>
      </c>
      <c r="G217" s="246">
        <v>3223070</v>
      </c>
      <c r="H217" s="246">
        <v>0</v>
      </c>
      <c r="J217" s="669">
        <v>1.4505999999999999</v>
      </c>
      <c r="K217" s="669">
        <v>0</v>
      </c>
      <c r="L217" s="669">
        <v>1.4505999999999999</v>
      </c>
    </row>
    <row r="218" spans="1:12">
      <c r="A218" s="423" t="s">
        <v>4783</v>
      </c>
      <c r="B218" s="423" t="s">
        <v>2889</v>
      </c>
      <c r="C218" s="246">
        <v>77575984</v>
      </c>
      <c r="D218" s="246">
        <v>72500034</v>
      </c>
      <c r="E218" s="246">
        <v>77575984</v>
      </c>
      <c r="F218" s="246">
        <v>72500034</v>
      </c>
      <c r="G218" s="246">
        <v>5075950</v>
      </c>
      <c r="H218" s="246">
        <v>0</v>
      </c>
      <c r="J218" s="669">
        <v>1.39</v>
      </c>
      <c r="K218" s="669">
        <v>0</v>
      </c>
      <c r="L218" s="669">
        <v>1.39</v>
      </c>
    </row>
    <row r="219" spans="1:12">
      <c r="A219" s="423" t="s">
        <v>4784</v>
      </c>
      <c r="B219" s="423" t="s">
        <v>2890</v>
      </c>
      <c r="C219" s="246">
        <v>229339210</v>
      </c>
      <c r="D219" s="246">
        <v>224846400</v>
      </c>
      <c r="E219" s="246">
        <v>229339210</v>
      </c>
      <c r="F219" s="246">
        <v>224846400</v>
      </c>
      <c r="G219" s="246">
        <v>4492810</v>
      </c>
      <c r="H219" s="246">
        <v>0</v>
      </c>
      <c r="J219" s="669">
        <v>1.5</v>
      </c>
      <c r="K219" s="669">
        <v>5.7799999999999997E-2</v>
      </c>
      <c r="L219" s="669">
        <v>1.5578000000000001</v>
      </c>
    </row>
    <row r="220" spans="1:12">
      <c r="A220" s="423" t="s">
        <v>4785</v>
      </c>
      <c r="B220" s="423" t="s">
        <v>2891</v>
      </c>
      <c r="C220" s="246">
        <v>408532650</v>
      </c>
      <c r="D220" s="246">
        <v>390588211</v>
      </c>
      <c r="E220" s="246">
        <v>408532650</v>
      </c>
      <c r="F220" s="246">
        <v>390588211</v>
      </c>
      <c r="G220" s="246">
        <v>17944439</v>
      </c>
      <c r="H220" s="246">
        <v>0</v>
      </c>
      <c r="J220" s="669">
        <v>1.42</v>
      </c>
      <c r="K220" s="669">
        <v>0</v>
      </c>
      <c r="L220" s="669">
        <v>1.42</v>
      </c>
    </row>
    <row r="221" spans="1:12">
      <c r="A221" s="423" t="s">
        <v>4786</v>
      </c>
      <c r="B221" s="423" t="s">
        <v>2892</v>
      </c>
      <c r="C221" s="246">
        <v>74805591</v>
      </c>
      <c r="D221" s="246">
        <v>73292941</v>
      </c>
      <c r="E221" s="246">
        <v>74805591</v>
      </c>
      <c r="F221" s="246">
        <v>73292941</v>
      </c>
      <c r="G221" s="246">
        <v>1512650</v>
      </c>
      <c r="H221" s="246">
        <v>0</v>
      </c>
      <c r="J221" s="669">
        <v>1.48</v>
      </c>
      <c r="K221" s="669">
        <v>0</v>
      </c>
      <c r="L221" s="669">
        <v>1.48</v>
      </c>
    </row>
    <row r="222" spans="1:12">
      <c r="A222" s="423" t="s">
        <v>4787</v>
      </c>
      <c r="B222" s="423" t="s">
        <v>2893</v>
      </c>
      <c r="C222" s="246">
        <v>12673569222</v>
      </c>
      <c r="D222" s="246">
        <v>12415723977</v>
      </c>
      <c r="E222" s="246">
        <v>12673569222</v>
      </c>
      <c r="F222" s="246">
        <v>12415723977</v>
      </c>
      <c r="G222" s="246">
        <v>257845245</v>
      </c>
      <c r="H222" s="246">
        <v>0</v>
      </c>
      <c r="J222" s="669">
        <v>1.5</v>
      </c>
      <c r="K222" s="669">
        <v>0.32590000000000002</v>
      </c>
      <c r="L222" s="669">
        <v>1.8259000000000001</v>
      </c>
    </row>
    <row r="223" spans="1:12">
      <c r="A223" s="423" t="s">
        <v>4788</v>
      </c>
      <c r="B223" s="423" t="s">
        <v>2894</v>
      </c>
      <c r="C223" s="246">
        <v>2458900119</v>
      </c>
      <c r="D223" s="246">
        <v>2362162669</v>
      </c>
      <c r="E223" s="246">
        <v>2458900119</v>
      </c>
      <c r="F223" s="246">
        <v>2362162669</v>
      </c>
      <c r="G223" s="246">
        <v>96737450</v>
      </c>
      <c r="H223" s="246">
        <v>0</v>
      </c>
      <c r="J223" s="669">
        <v>1.5</v>
      </c>
      <c r="K223" s="669">
        <v>0.34843000000000002</v>
      </c>
      <c r="L223" s="669">
        <v>1.84843</v>
      </c>
    </row>
    <row r="224" spans="1:12">
      <c r="A224" s="423" t="s">
        <v>4789</v>
      </c>
      <c r="B224" s="423" t="s">
        <v>2895</v>
      </c>
      <c r="C224" s="246">
        <v>64692575945</v>
      </c>
      <c r="D224" s="246">
        <v>63100423380</v>
      </c>
      <c r="E224" s="246">
        <v>63376689050</v>
      </c>
      <c r="F224" s="246">
        <v>61784536485</v>
      </c>
      <c r="G224" s="246">
        <v>1592152565</v>
      </c>
      <c r="H224" s="246">
        <v>1315886895</v>
      </c>
      <c r="J224" s="669">
        <v>1.5</v>
      </c>
      <c r="K224" s="669">
        <v>0.18836</v>
      </c>
      <c r="L224" s="669">
        <v>1.6883600000000001</v>
      </c>
    </row>
    <row r="225" spans="1:12">
      <c r="A225" s="423" t="s">
        <v>4790</v>
      </c>
      <c r="B225" s="423" t="s">
        <v>2896</v>
      </c>
      <c r="C225" s="246">
        <v>2140433653</v>
      </c>
      <c r="D225" s="246">
        <v>2036096366</v>
      </c>
      <c r="E225" s="246">
        <v>2140433653</v>
      </c>
      <c r="F225" s="246">
        <v>2036096366</v>
      </c>
      <c r="G225" s="246">
        <v>104337287</v>
      </c>
      <c r="H225" s="246">
        <v>0</v>
      </c>
      <c r="J225" s="669">
        <v>1.5</v>
      </c>
      <c r="K225" s="669">
        <v>0.28999999999999998</v>
      </c>
      <c r="L225" s="669">
        <v>1.79</v>
      </c>
    </row>
    <row r="226" spans="1:12">
      <c r="A226" s="423" t="s">
        <v>4791</v>
      </c>
      <c r="B226" s="423" t="s">
        <v>2897</v>
      </c>
      <c r="C226" s="246">
        <v>3131237724</v>
      </c>
      <c r="D226" s="246">
        <v>2999912114</v>
      </c>
      <c r="E226" s="246">
        <v>3131237724</v>
      </c>
      <c r="F226" s="246">
        <v>2999912114</v>
      </c>
      <c r="G226" s="246">
        <v>131325610</v>
      </c>
      <c r="H226" s="246">
        <v>0</v>
      </c>
      <c r="J226" s="669">
        <v>1.5</v>
      </c>
      <c r="K226" s="669">
        <v>0.36599999999999999</v>
      </c>
      <c r="L226" s="669">
        <v>1.8660000000000001</v>
      </c>
    </row>
    <row r="227" spans="1:12">
      <c r="A227" s="423" t="s">
        <v>4792</v>
      </c>
      <c r="B227" s="423" t="s">
        <v>122</v>
      </c>
      <c r="C227" s="246">
        <v>12720404570</v>
      </c>
      <c r="D227" s="246">
        <v>12144066542</v>
      </c>
      <c r="E227" s="246">
        <v>12720404570</v>
      </c>
      <c r="F227" s="246">
        <v>12144066542</v>
      </c>
      <c r="G227" s="246">
        <v>576338028</v>
      </c>
      <c r="H227" s="246">
        <v>0</v>
      </c>
      <c r="J227" s="669">
        <v>1.4568000000000001</v>
      </c>
      <c r="K227" s="669">
        <v>0.21329999999999999</v>
      </c>
      <c r="L227" s="669">
        <v>1.6700999999999999</v>
      </c>
    </row>
    <row r="228" spans="1:12">
      <c r="A228" s="423" t="s">
        <v>4793</v>
      </c>
      <c r="B228" s="423" t="s">
        <v>4966</v>
      </c>
      <c r="C228" s="246">
        <v>4151881833</v>
      </c>
      <c r="D228" s="246">
        <v>3958049225</v>
      </c>
      <c r="E228" s="246">
        <v>4151881833</v>
      </c>
      <c r="F228" s="246">
        <v>3958049225</v>
      </c>
      <c r="G228" s="246">
        <v>193832608</v>
      </c>
      <c r="H228" s="246">
        <v>0</v>
      </c>
      <c r="J228" s="669">
        <v>1.49</v>
      </c>
      <c r="K228" s="669">
        <v>0.26860000000000001</v>
      </c>
      <c r="L228" s="669">
        <v>1.7585999999999999</v>
      </c>
    </row>
    <row r="229" spans="1:12">
      <c r="A229" s="423" t="s">
        <v>4794</v>
      </c>
      <c r="B229" s="423" t="s">
        <v>2898</v>
      </c>
      <c r="C229" s="246">
        <v>8766469033</v>
      </c>
      <c r="D229" s="246">
        <v>8682599033</v>
      </c>
      <c r="E229" s="246">
        <v>8017429864</v>
      </c>
      <c r="F229" s="246">
        <v>7933559864</v>
      </c>
      <c r="G229" s="246">
        <v>83870000</v>
      </c>
      <c r="H229" s="246">
        <v>749039169</v>
      </c>
      <c r="J229" s="669">
        <v>1.45</v>
      </c>
      <c r="K229" s="669">
        <v>0.08</v>
      </c>
      <c r="L229" s="669">
        <v>1.53</v>
      </c>
    </row>
    <row r="230" spans="1:12">
      <c r="A230" s="423" t="s">
        <v>4795</v>
      </c>
      <c r="B230" s="423" t="s">
        <v>3860</v>
      </c>
      <c r="C230" s="246">
        <v>8087208684</v>
      </c>
      <c r="D230" s="246">
        <v>7853650035</v>
      </c>
      <c r="E230" s="246">
        <v>8087208684</v>
      </c>
      <c r="F230" s="246">
        <v>7853650035</v>
      </c>
      <c r="G230" s="246">
        <v>233558649</v>
      </c>
      <c r="H230" s="246">
        <v>0</v>
      </c>
      <c r="J230" s="669">
        <v>1.5</v>
      </c>
      <c r="K230" s="669">
        <v>0.314</v>
      </c>
      <c r="L230" s="669">
        <v>1.8140000000000001</v>
      </c>
    </row>
    <row r="231" spans="1:12">
      <c r="A231" s="423" t="s">
        <v>4796</v>
      </c>
      <c r="B231" s="423" t="s">
        <v>2899</v>
      </c>
      <c r="C231" s="246">
        <v>1359182396</v>
      </c>
      <c r="D231" s="246">
        <v>1294906558</v>
      </c>
      <c r="E231" s="246">
        <v>1359182396</v>
      </c>
      <c r="F231" s="246">
        <v>1294906558</v>
      </c>
      <c r="G231" s="246">
        <v>64275838</v>
      </c>
      <c r="H231" s="246">
        <v>0</v>
      </c>
      <c r="J231" s="669">
        <v>1.4615800000000001</v>
      </c>
      <c r="K231" s="669">
        <v>0.39287699999999998</v>
      </c>
      <c r="L231" s="669">
        <v>1.85446</v>
      </c>
    </row>
    <row r="232" spans="1:12">
      <c r="A232" s="423" t="s">
        <v>4797</v>
      </c>
      <c r="B232" s="423" t="s">
        <v>496</v>
      </c>
      <c r="C232" s="246">
        <v>6372070332</v>
      </c>
      <c r="D232" s="246">
        <v>6062493288</v>
      </c>
      <c r="E232" s="246">
        <v>6372070332</v>
      </c>
      <c r="F232" s="246">
        <v>6062493288</v>
      </c>
      <c r="G232" s="246">
        <v>309577044</v>
      </c>
      <c r="H232" s="246">
        <v>0</v>
      </c>
      <c r="J232" s="669">
        <v>1.45</v>
      </c>
      <c r="K232" s="669">
        <v>0.31240000000000001</v>
      </c>
      <c r="L232" s="669">
        <v>1.7624</v>
      </c>
    </row>
    <row r="233" spans="1:12">
      <c r="A233" s="423" t="s">
        <v>4798</v>
      </c>
      <c r="B233" s="423" t="s">
        <v>2900</v>
      </c>
      <c r="C233" s="246">
        <v>16496710107</v>
      </c>
      <c r="D233" s="246">
        <v>16061000107</v>
      </c>
      <c r="E233" s="246">
        <v>16095878306</v>
      </c>
      <c r="F233" s="246">
        <v>15660168306</v>
      </c>
      <c r="G233" s="246">
        <v>435710000</v>
      </c>
      <c r="H233" s="246">
        <v>400831801</v>
      </c>
      <c r="J233" s="669">
        <v>1.5</v>
      </c>
      <c r="K233" s="669">
        <v>0.32</v>
      </c>
      <c r="L233" s="669">
        <v>1.82</v>
      </c>
    </row>
    <row r="234" spans="1:12">
      <c r="A234" s="423" t="s">
        <v>4799</v>
      </c>
      <c r="B234" s="423" t="s">
        <v>2901</v>
      </c>
      <c r="C234" s="246">
        <v>461756249</v>
      </c>
      <c r="D234" s="246">
        <v>450661149</v>
      </c>
      <c r="E234" s="246">
        <v>461756249</v>
      </c>
      <c r="F234" s="246">
        <v>450661149</v>
      </c>
      <c r="G234" s="246">
        <v>11095100</v>
      </c>
      <c r="H234" s="246">
        <v>0</v>
      </c>
      <c r="J234" s="669">
        <v>1.446</v>
      </c>
      <c r="K234" s="669">
        <v>0.21990000000000001</v>
      </c>
      <c r="L234" s="669">
        <v>1.6658999999999999</v>
      </c>
    </row>
    <row r="235" spans="1:12">
      <c r="A235" s="423" t="s">
        <v>4801</v>
      </c>
      <c r="B235" s="423" t="s">
        <v>2676</v>
      </c>
      <c r="C235" s="246">
        <v>6201574202</v>
      </c>
      <c r="D235" s="246">
        <v>6095168081</v>
      </c>
      <c r="E235" s="246">
        <v>6201574202</v>
      </c>
      <c r="F235" s="246">
        <v>6095168081</v>
      </c>
      <c r="G235" s="246">
        <v>106406121</v>
      </c>
      <c r="H235" s="246">
        <v>0</v>
      </c>
      <c r="J235" s="669">
        <v>1.5</v>
      </c>
      <c r="K235" s="669">
        <v>0.22900000000000001</v>
      </c>
      <c r="L235" s="669">
        <v>1.7290000000000001</v>
      </c>
    </row>
    <row r="236" spans="1:12">
      <c r="A236" s="423" t="s">
        <v>4802</v>
      </c>
      <c r="B236" s="423" t="s">
        <v>993</v>
      </c>
      <c r="C236" s="246">
        <v>177301607</v>
      </c>
      <c r="D236" s="246">
        <v>176555337</v>
      </c>
      <c r="E236" s="246">
        <v>177301607</v>
      </c>
      <c r="F236" s="246">
        <v>176555337</v>
      </c>
      <c r="G236" s="246">
        <v>746270</v>
      </c>
      <c r="H236" s="246">
        <v>0</v>
      </c>
      <c r="J236" s="669">
        <v>1.5</v>
      </c>
      <c r="K236" s="669">
        <v>0</v>
      </c>
      <c r="L236" s="669">
        <v>1.5</v>
      </c>
    </row>
    <row r="237" spans="1:12">
      <c r="A237" s="423" t="s">
        <v>4803</v>
      </c>
      <c r="B237" s="423" t="s">
        <v>2677</v>
      </c>
      <c r="C237" s="246">
        <v>244447767</v>
      </c>
      <c r="D237" s="246">
        <v>243015227</v>
      </c>
      <c r="E237" s="246">
        <v>243636707</v>
      </c>
      <c r="F237" s="246">
        <v>242204167</v>
      </c>
      <c r="G237" s="246">
        <v>1432540</v>
      </c>
      <c r="H237" s="246">
        <v>811060</v>
      </c>
      <c r="J237" s="669">
        <v>1.5</v>
      </c>
      <c r="K237" s="669">
        <v>0</v>
      </c>
      <c r="L237" s="669">
        <v>1.5</v>
      </c>
    </row>
    <row r="238" spans="1:12">
      <c r="A238" s="423" t="s">
        <v>4804</v>
      </c>
      <c r="B238" s="423" t="s">
        <v>2678</v>
      </c>
      <c r="C238" s="246">
        <v>328966567</v>
      </c>
      <c r="D238" s="246">
        <v>306853047</v>
      </c>
      <c r="E238" s="246">
        <v>323535902</v>
      </c>
      <c r="F238" s="246">
        <v>301422382</v>
      </c>
      <c r="G238" s="246">
        <v>22113520</v>
      </c>
      <c r="H238" s="246">
        <v>5430665</v>
      </c>
      <c r="J238" s="669">
        <v>1.5</v>
      </c>
      <c r="K238" s="669">
        <v>0</v>
      </c>
      <c r="L238" s="669">
        <v>1.5</v>
      </c>
    </row>
    <row r="239" spans="1:12">
      <c r="A239" s="423" t="s">
        <v>4805</v>
      </c>
      <c r="B239" s="423" t="s">
        <v>2679</v>
      </c>
      <c r="C239" s="246">
        <v>129530926</v>
      </c>
      <c r="D239" s="246">
        <v>127942626</v>
      </c>
      <c r="E239" s="246">
        <v>128806656</v>
      </c>
      <c r="F239" s="246">
        <v>127218356</v>
      </c>
      <c r="G239" s="246">
        <v>1588300</v>
      </c>
      <c r="H239" s="246">
        <v>724270</v>
      </c>
      <c r="J239" s="669">
        <v>1.5</v>
      </c>
      <c r="K239" s="669">
        <v>0</v>
      </c>
      <c r="L239" s="669">
        <v>1.5</v>
      </c>
    </row>
    <row r="240" spans="1:12">
      <c r="A240" s="423" t="s">
        <v>4806</v>
      </c>
      <c r="B240" s="423" t="s">
        <v>3843</v>
      </c>
      <c r="C240" s="246">
        <v>588316495</v>
      </c>
      <c r="D240" s="246">
        <v>555584954</v>
      </c>
      <c r="E240" s="246">
        <v>588316495</v>
      </c>
      <c r="F240" s="246">
        <v>555584954</v>
      </c>
      <c r="G240" s="246">
        <v>32731541</v>
      </c>
      <c r="H240" s="246">
        <v>0</v>
      </c>
      <c r="J240" s="669">
        <v>1.5</v>
      </c>
      <c r="K240" s="669">
        <v>0</v>
      </c>
      <c r="L240" s="669">
        <v>1.5</v>
      </c>
    </row>
    <row r="241" spans="1:12">
      <c r="A241" s="423" t="s">
        <v>4807</v>
      </c>
      <c r="B241" s="423" t="s">
        <v>2680</v>
      </c>
      <c r="C241" s="246">
        <v>26305157</v>
      </c>
      <c r="D241" s="246">
        <v>26036577</v>
      </c>
      <c r="E241" s="246">
        <v>26305157</v>
      </c>
      <c r="F241" s="246">
        <v>26036577</v>
      </c>
      <c r="G241" s="246">
        <v>268580</v>
      </c>
      <c r="H241" s="246">
        <v>0</v>
      </c>
      <c r="J241" s="669">
        <v>0.97570000000000001</v>
      </c>
      <c r="K241" s="669">
        <v>0</v>
      </c>
      <c r="L241" s="669">
        <v>0.97570000000000001</v>
      </c>
    </row>
    <row r="242" spans="1:12">
      <c r="A242" s="423" t="s">
        <v>4808</v>
      </c>
      <c r="B242" s="423" t="s">
        <v>2681</v>
      </c>
      <c r="C242" s="246">
        <v>124446310</v>
      </c>
      <c r="D242" s="246">
        <v>111974713</v>
      </c>
      <c r="E242" s="246">
        <v>124446310</v>
      </c>
      <c r="F242" s="246">
        <v>111974713</v>
      </c>
      <c r="G242" s="246">
        <v>12471597</v>
      </c>
      <c r="H242" s="246">
        <v>0</v>
      </c>
      <c r="J242" s="669">
        <v>1.49</v>
      </c>
      <c r="K242" s="669">
        <v>0.01</v>
      </c>
      <c r="L242" s="669">
        <v>1.5</v>
      </c>
    </row>
    <row r="243" spans="1:12">
      <c r="A243" s="423" t="s">
        <v>4809</v>
      </c>
      <c r="B243" s="423" t="s">
        <v>109</v>
      </c>
      <c r="C243" s="246">
        <v>36814814</v>
      </c>
      <c r="D243" s="246">
        <v>32690665</v>
      </c>
      <c r="E243" s="246">
        <v>36814814</v>
      </c>
      <c r="F243" s="246">
        <v>32690665</v>
      </c>
      <c r="G243" s="246">
        <v>4124149</v>
      </c>
      <c r="H243" s="246">
        <v>0</v>
      </c>
      <c r="J243" s="669">
        <v>1.5</v>
      </c>
      <c r="K243" s="669">
        <v>0.151</v>
      </c>
      <c r="L243" s="669">
        <v>1.651</v>
      </c>
    </row>
    <row r="244" spans="1:12">
      <c r="A244" s="423" t="s">
        <v>4810</v>
      </c>
      <c r="B244" s="423" t="s">
        <v>2682</v>
      </c>
      <c r="C244" s="246">
        <v>6759259702</v>
      </c>
      <c r="D244" s="246">
        <v>6543628645</v>
      </c>
      <c r="E244" s="246">
        <v>6759259702</v>
      </c>
      <c r="F244" s="246">
        <v>6543628645</v>
      </c>
      <c r="G244" s="246">
        <v>215631057</v>
      </c>
      <c r="H244" s="246">
        <v>0</v>
      </c>
      <c r="J244" s="669">
        <v>1.5</v>
      </c>
      <c r="K244" s="669">
        <v>0.36399999999999999</v>
      </c>
      <c r="L244" s="669">
        <v>1.8640000000000001</v>
      </c>
    </row>
    <row r="245" spans="1:12">
      <c r="A245" s="423" t="s">
        <v>4811</v>
      </c>
      <c r="B245" s="423" t="s">
        <v>190</v>
      </c>
      <c r="C245" s="246">
        <v>18404604921</v>
      </c>
      <c r="D245" s="246">
        <v>17884017406</v>
      </c>
      <c r="E245" s="246">
        <v>18404604921</v>
      </c>
      <c r="F245" s="246">
        <v>17884017406</v>
      </c>
      <c r="G245" s="246">
        <v>520587515</v>
      </c>
      <c r="H245" s="246">
        <v>0</v>
      </c>
      <c r="J245" s="669">
        <v>1.5</v>
      </c>
      <c r="K245" s="669">
        <v>0.27</v>
      </c>
      <c r="L245" s="669">
        <v>1.77</v>
      </c>
    </row>
    <row r="246" spans="1:12">
      <c r="A246" s="423" t="s">
        <v>4812</v>
      </c>
      <c r="B246" s="423" t="s">
        <v>341</v>
      </c>
      <c r="C246" s="246">
        <v>413981952</v>
      </c>
      <c r="D246" s="246">
        <v>398590342</v>
      </c>
      <c r="E246" s="246">
        <v>413981952</v>
      </c>
      <c r="F246" s="246">
        <v>398590342</v>
      </c>
      <c r="G246" s="246">
        <v>15391610</v>
      </c>
      <c r="H246" s="246">
        <v>0</v>
      </c>
      <c r="J246" s="669">
        <v>1.5</v>
      </c>
      <c r="K246" s="669">
        <v>0.2442</v>
      </c>
      <c r="L246" s="669">
        <v>1.7442</v>
      </c>
    </row>
    <row r="247" spans="1:12">
      <c r="A247" s="423" t="s">
        <v>4813</v>
      </c>
      <c r="B247" s="423" t="s">
        <v>5640</v>
      </c>
      <c r="C247" s="246">
        <v>556607486</v>
      </c>
      <c r="D247" s="246">
        <v>541584164</v>
      </c>
      <c r="E247" s="246">
        <v>556607486</v>
      </c>
      <c r="F247" s="246">
        <v>541584164</v>
      </c>
      <c r="G247" s="246">
        <v>15023322</v>
      </c>
      <c r="H247" s="246">
        <v>0</v>
      </c>
      <c r="J247" s="669">
        <v>1.5</v>
      </c>
      <c r="K247" s="669">
        <v>0.22500000000000001</v>
      </c>
      <c r="L247" s="669">
        <v>1.7250000000000001</v>
      </c>
    </row>
    <row r="248" spans="1:12">
      <c r="A248" s="423" t="s">
        <v>4814</v>
      </c>
      <c r="B248" s="423" t="s">
        <v>343</v>
      </c>
      <c r="C248" s="246">
        <v>637053750</v>
      </c>
      <c r="D248" s="246">
        <v>628414604</v>
      </c>
      <c r="E248" s="246">
        <v>637053750</v>
      </c>
      <c r="F248" s="246">
        <v>628414604</v>
      </c>
      <c r="G248" s="246">
        <v>8639146</v>
      </c>
      <c r="H248" s="246">
        <v>0</v>
      </c>
      <c r="J248" s="669">
        <v>1.5</v>
      </c>
      <c r="K248" s="669">
        <v>0.22464999999999999</v>
      </c>
      <c r="L248" s="669">
        <v>1.72465</v>
      </c>
    </row>
    <row r="249" spans="1:12">
      <c r="A249" s="423" t="s">
        <v>4815</v>
      </c>
      <c r="B249" s="423" t="s">
        <v>7690</v>
      </c>
      <c r="C249" s="246">
        <v>359381698</v>
      </c>
      <c r="D249" s="246">
        <v>344846768</v>
      </c>
      <c r="E249" s="246">
        <v>359381698</v>
      </c>
      <c r="F249" s="246">
        <v>344846768</v>
      </c>
      <c r="G249" s="246">
        <v>14534930</v>
      </c>
      <c r="H249" s="246">
        <v>0</v>
      </c>
      <c r="J249" s="669">
        <v>1.5</v>
      </c>
      <c r="K249" s="669">
        <v>0.33879999999999999</v>
      </c>
      <c r="L249" s="669">
        <v>1.8388</v>
      </c>
    </row>
    <row r="250" spans="1:12">
      <c r="A250" s="423" t="s">
        <v>4816</v>
      </c>
      <c r="B250" s="423" t="s">
        <v>1456</v>
      </c>
      <c r="C250" s="246">
        <v>594880653</v>
      </c>
      <c r="D250" s="246">
        <v>571433078</v>
      </c>
      <c r="E250" s="246">
        <v>594880653</v>
      </c>
      <c r="F250" s="246">
        <v>571433078</v>
      </c>
      <c r="G250" s="246">
        <v>23447575</v>
      </c>
      <c r="H250" s="246">
        <v>0</v>
      </c>
      <c r="J250" s="669">
        <v>1.5</v>
      </c>
      <c r="K250" s="669">
        <v>0.28000000000000003</v>
      </c>
      <c r="L250" s="669">
        <v>1.78</v>
      </c>
    </row>
    <row r="251" spans="1:12">
      <c r="A251" s="423" t="s">
        <v>4817</v>
      </c>
      <c r="B251" s="423" t="s">
        <v>2683</v>
      </c>
      <c r="C251" s="246">
        <v>684034519</v>
      </c>
      <c r="D251" s="246">
        <v>668085709</v>
      </c>
      <c r="E251" s="246">
        <v>684034519</v>
      </c>
      <c r="F251" s="246">
        <v>668085709</v>
      </c>
      <c r="G251" s="246">
        <v>15948810</v>
      </c>
      <c r="H251" s="246">
        <v>0</v>
      </c>
      <c r="J251" s="669">
        <v>1.5</v>
      </c>
      <c r="K251" s="669">
        <v>0.41949999999999998</v>
      </c>
      <c r="L251" s="669">
        <v>1.9195</v>
      </c>
    </row>
    <row r="252" spans="1:12">
      <c r="A252" s="423" t="s">
        <v>4818</v>
      </c>
      <c r="B252" s="423" t="s">
        <v>3831</v>
      </c>
      <c r="C252" s="246">
        <v>5996040926</v>
      </c>
      <c r="D252" s="246">
        <v>5905781086</v>
      </c>
      <c r="E252" s="246">
        <v>5996040926</v>
      </c>
      <c r="F252" s="246">
        <v>5905781086</v>
      </c>
      <c r="G252" s="246">
        <v>90259840</v>
      </c>
      <c r="H252" s="246">
        <v>0</v>
      </c>
      <c r="J252" s="669">
        <v>1.5</v>
      </c>
      <c r="K252" s="669">
        <v>0.31929999999999997</v>
      </c>
      <c r="L252" s="669">
        <v>1.8192999999999999</v>
      </c>
    </row>
    <row r="253" spans="1:12">
      <c r="A253" s="423" t="s">
        <v>4819</v>
      </c>
      <c r="B253" s="423" t="s">
        <v>185</v>
      </c>
      <c r="C253" s="246">
        <v>1078761506</v>
      </c>
      <c r="D253" s="246">
        <v>1032934802</v>
      </c>
      <c r="E253" s="246">
        <v>1078761506</v>
      </c>
      <c r="F253" s="246">
        <v>1032934802</v>
      </c>
      <c r="G253" s="246">
        <v>45826704</v>
      </c>
      <c r="H253" s="246">
        <v>0</v>
      </c>
      <c r="J253" s="669">
        <v>1.5</v>
      </c>
      <c r="K253" s="669">
        <v>0.29499999999999998</v>
      </c>
      <c r="L253" s="669">
        <v>1.7949999999999999</v>
      </c>
    </row>
    <row r="254" spans="1:12">
      <c r="A254" s="423" t="s">
        <v>4820</v>
      </c>
      <c r="B254" s="423" t="s">
        <v>194</v>
      </c>
      <c r="C254" s="246">
        <v>1103038516</v>
      </c>
      <c r="D254" s="246">
        <v>1059629036</v>
      </c>
      <c r="E254" s="246">
        <v>1103038516</v>
      </c>
      <c r="F254" s="246">
        <v>1059629036</v>
      </c>
      <c r="G254" s="246">
        <v>43409480</v>
      </c>
      <c r="H254" s="246">
        <v>0</v>
      </c>
      <c r="J254" s="669">
        <v>1.49</v>
      </c>
      <c r="K254" s="669">
        <v>0.35</v>
      </c>
      <c r="L254" s="669">
        <v>1.84</v>
      </c>
    </row>
    <row r="255" spans="1:12">
      <c r="A255" s="423" t="s">
        <v>4821</v>
      </c>
      <c r="B255" s="423" t="s">
        <v>990</v>
      </c>
      <c r="C255" s="246">
        <v>344473370</v>
      </c>
      <c r="D255" s="246">
        <v>323037620</v>
      </c>
      <c r="E255" s="246">
        <v>344473370</v>
      </c>
      <c r="F255" s="246">
        <v>323037620</v>
      </c>
      <c r="G255" s="246">
        <v>21435750</v>
      </c>
      <c r="H255" s="246">
        <v>0</v>
      </c>
      <c r="J255" s="669">
        <v>1.35</v>
      </c>
      <c r="K255" s="669">
        <v>0.1157</v>
      </c>
      <c r="L255" s="669">
        <v>1.4657</v>
      </c>
    </row>
    <row r="256" spans="1:12">
      <c r="A256" s="423" t="s">
        <v>4822</v>
      </c>
      <c r="B256" s="423" t="s">
        <v>2684</v>
      </c>
      <c r="C256" s="246">
        <v>56008309</v>
      </c>
      <c r="D256" s="246">
        <v>53933609</v>
      </c>
      <c r="E256" s="246">
        <v>56008309</v>
      </c>
      <c r="F256" s="246">
        <v>53933609</v>
      </c>
      <c r="G256" s="246">
        <v>2074700</v>
      </c>
      <c r="H256" s="246">
        <v>0</v>
      </c>
      <c r="J256" s="669">
        <v>1.28199</v>
      </c>
      <c r="K256" s="669">
        <v>0.15934000000000001</v>
      </c>
      <c r="L256" s="669">
        <v>1.44133</v>
      </c>
    </row>
    <row r="257" spans="1:12">
      <c r="A257" s="423" t="s">
        <v>4823</v>
      </c>
      <c r="B257" s="423" t="s">
        <v>2009</v>
      </c>
      <c r="C257" s="246">
        <v>289880103</v>
      </c>
      <c r="D257" s="246">
        <v>270416023</v>
      </c>
      <c r="E257" s="246">
        <v>289880103</v>
      </c>
      <c r="F257" s="246">
        <v>270416023</v>
      </c>
      <c r="G257" s="246">
        <v>19464080</v>
      </c>
      <c r="H257" s="246">
        <v>0</v>
      </c>
      <c r="J257" s="669">
        <v>1.5</v>
      </c>
      <c r="K257" s="669">
        <v>0.08</v>
      </c>
      <c r="L257" s="669">
        <v>1.58</v>
      </c>
    </row>
    <row r="258" spans="1:12">
      <c r="A258" s="423" t="s">
        <v>1379</v>
      </c>
      <c r="B258" s="423" t="s">
        <v>2685</v>
      </c>
      <c r="C258" s="246">
        <v>116333221</v>
      </c>
      <c r="D258" s="246">
        <v>106219641</v>
      </c>
      <c r="E258" s="246">
        <v>116333221</v>
      </c>
      <c r="F258" s="246">
        <v>106219641</v>
      </c>
      <c r="G258" s="246">
        <v>10113580</v>
      </c>
      <c r="H258" s="246">
        <v>0</v>
      </c>
      <c r="J258" s="669">
        <v>1.38</v>
      </c>
      <c r="K258" s="669">
        <v>0</v>
      </c>
      <c r="L258" s="669">
        <v>1.38</v>
      </c>
    </row>
    <row r="259" spans="1:12">
      <c r="A259" s="423" t="s">
        <v>1380</v>
      </c>
      <c r="B259" s="423" t="s">
        <v>2686</v>
      </c>
      <c r="C259" s="246">
        <v>17408303</v>
      </c>
      <c r="D259" s="246">
        <v>15877923</v>
      </c>
      <c r="E259" s="246">
        <v>17408303</v>
      </c>
      <c r="F259" s="246">
        <v>15877923</v>
      </c>
      <c r="G259" s="246">
        <v>1530380</v>
      </c>
      <c r="H259" s="246">
        <v>0</v>
      </c>
      <c r="J259" s="669">
        <v>1.3695999999999999</v>
      </c>
      <c r="K259" s="669">
        <v>0.11</v>
      </c>
      <c r="L259" s="669">
        <v>1.4796</v>
      </c>
    </row>
    <row r="260" spans="1:12">
      <c r="A260" s="423" t="s">
        <v>1381</v>
      </c>
      <c r="B260" s="423" t="s">
        <v>2687</v>
      </c>
      <c r="C260" s="246">
        <v>62922013</v>
      </c>
      <c r="D260" s="246">
        <v>59640583</v>
      </c>
      <c r="E260" s="246">
        <v>62922013</v>
      </c>
      <c r="F260" s="246">
        <v>59640583</v>
      </c>
      <c r="G260" s="246">
        <v>3281430</v>
      </c>
      <c r="H260" s="246">
        <v>0</v>
      </c>
      <c r="J260" s="669">
        <v>1.5</v>
      </c>
      <c r="K260" s="669">
        <v>0</v>
      </c>
      <c r="L260" s="669">
        <v>1.5</v>
      </c>
    </row>
    <row r="261" spans="1:12">
      <c r="A261" s="423" t="s">
        <v>1382</v>
      </c>
      <c r="B261" s="423" t="s">
        <v>2688</v>
      </c>
      <c r="C261" s="246">
        <v>162371747</v>
      </c>
      <c r="D261" s="246">
        <v>157772437</v>
      </c>
      <c r="E261" s="246">
        <v>162371747</v>
      </c>
      <c r="F261" s="246">
        <v>157772437</v>
      </c>
      <c r="G261" s="246">
        <v>4599310</v>
      </c>
      <c r="H261" s="246">
        <v>0</v>
      </c>
      <c r="J261" s="669">
        <v>1.5</v>
      </c>
      <c r="K261" s="669">
        <v>0</v>
      </c>
      <c r="L261" s="669">
        <v>1.5</v>
      </c>
    </row>
    <row r="262" spans="1:12">
      <c r="A262" s="423" t="s">
        <v>1383</v>
      </c>
      <c r="B262" s="423" t="s">
        <v>2689</v>
      </c>
      <c r="C262" s="246">
        <v>21824027</v>
      </c>
      <c r="D262" s="246">
        <v>21063437</v>
      </c>
      <c r="E262" s="246">
        <v>21824027</v>
      </c>
      <c r="F262" s="246">
        <v>21063437</v>
      </c>
      <c r="G262" s="246">
        <v>760590</v>
      </c>
      <c r="H262" s="246">
        <v>0</v>
      </c>
      <c r="J262" s="669">
        <v>1.5</v>
      </c>
      <c r="K262" s="669">
        <v>0</v>
      </c>
      <c r="L262" s="669">
        <v>1.5</v>
      </c>
    </row>
    <row r="263" spans="1:12">
      <c r="A263" s="423" t="s">
        <v>1384</v>
      </c>
      <c r="B263" s="423" t="s">
        <v>1385</v>
      </c>
      <c r="C263" s="246">
        <v>347085909</v>
      </c>
      <c r="D263" s="246">
        <v>330064144</v>
      </c>
      <c r="E263" s="246">
        <v>341543995</v>
      </c>
      <c r="F263" s="246">
        <v>324522230</v>
      </c>
      <c r="G263" s="246">
        <v>17021765</v>
      </c>
      <c r="H263" s="246">
        <v>5541914</v>
      </c>
      <c r="J263" s="669">
        <v>1.5</v>
      </c>
      <c r="K263" s="669">
        <v>6.9000000000000006E-2</v>
      </c>
      <c r="L263" s="669">
        <v>1.569</v>
      </c>
    </row>
    <row r="264" spans="1:12">
      <c r="A264" s="423" t="s">
        <v>1386</v>
      </c>
      <c r="B264" s="423" t="s">
        <v>2690</v>
      </c>
      <c r="C264" s="246">
        <v>118342325</v>
      </c>
      <c r="D264" s="246">
        <v>110691699</v>
      </c>
      <c r="E264" s="246">
        <v>118342325</v>
      </c>
      <c r="F264" s="246">
        <v>110691699</v>
      </c>
      <c r="G264" s="246">
        <v>7650626</v>
      </c>
      <c r="H264" s="246">
        <v>0</v>
      </c>
      <c r="J264" s="669">
        <v>1.3740000000000001</v>
      </c>
      <c r="K264" s="669">
        <v>0</v>
      </c>
      <c r="L264" s="669">
        <v>1.3740000000000001</v>
      </c>
    </row>
    <row r="265" spans="1:12">
      <c r="A265" s="423" t="s">
        <v>1387</v>
      </c>
      <c r="B265" s="423" t="s">
        <v>3841</v>
      </c>
      <c r="C265" s="246">
        <v>32969631</v>
      </c>
      <c r="D265" s="246">
        <v>31537379</v>
      </c>
      <c r="E265" s="246">
        <v>32969631</v>
      </c>
      <c r="F265" s="246">
        <v>31537379</v>
      </c>
      <c r="G265" s="246">
        <v>1432252</v>
      </c>
      <c r="H265" s="246">
        <v>0</v>
      </c>
      <c r="J265" s="669">
        <v>1.36</v>
      </c>
      <c r="K265" s="669">
        <v>5.5E-2</v>
      </c>
      <c r="L265" s="669">
        <v>1.415</v>
      </c>
    </row>
    <row r="266" spans="1:12">
      <c r="A266" s="423" t="s">
        <v>1388</v>
      </c>
      <c r="B266" s="423" t="s">
        <v>2691</v>
      </c>
      <c r="C266" s="246">
        <v>26756324</v>
      </c>
      <c r="D266" s="246">
        <v>26385834</v>
      </c>
      <c r="E266" s="246">
        <v>26496723</v>
      </c>
      <c r="F266" s="246">
        <v>26126233</v>
      </c>
      <c r="G266" s="246">
        <v>370490</v>
      </c>
      <c r="H266" s="246">
        <v>259601</v>
      </c>
      <c r="J266" s="669">
        <v>1.5</v>
      </c>
      <c r="K266" s="669">
        <v>0</v>
      </c>
      <c r="L266" s="669">
        <v>1.5</v>
      </c>
    </row>
    <row r="267" spans="1:12">
      <c r="A267" s="423" t="s">
        <v>1389</v>
      </c>
      <c r="B267" s="423" t="s">
        <v>2692</v>
      </c>
      <c r="C267" s="246">
        <v>233022208</v>
      </c>
      <c r="D267" s="246">
        <v>226666909</v>
      </c>
      <c r="E267" s="246">
        <v>233022208</v>
      </c>
      <c r="F267" s="246">
        <v>226666909</v>
      </c>
      <c r="G267" s="246">
        <v>6355299</v>
      </c>
      <c r="H267" s="246">
        <v>0</v>
      </c>
      <c r="J267" s="669">
        <v>1.5</v>
      </c>
      <c r="K267" s="669">
        <v>0</v>
      </c>
      <c r="L267" s="669">
        <v>1.5</v>
      </c>
    </row>
    <row r="268" spans="1:12">
      <c r="A268" s="423" t="s">
        <v>1390</v>
      </c>
      <c r="B268" s="423" t="s">
        <v>381</v>
      </c>
      <c r="C268" s="246">
        <v>160125597</v>
      </c>
      <c r="D268" s="246">
        <v>148011067</v>
      </c>
      <c r="E268" s="246">
        <v>160125597</v>
      </c>
      <c r="F268" s="246">
        <v>148011067</v>
      </c>
      <c r="G268" s="246">
        <v>12114530</v>
      </c>
      <c r="H268" s="246">
        <v>0</v>
      </c>
      <c r="J268" s="669">
        <v>1.5</v>
      </c>
      <c r="K268" s="669">
        <v>0.1115</v>
      </c>
      <c r="L268" s="669">
        <v>1.6114999999999999</v>
      </c>
    </row>
    <row r="269" spans="1:12">
      <c r="A269" s="423" t="s">
        <v>1391</v>
      </c>
      <c r="B269" s="423" t="s">
        <v>2693</v>
      </c>
      <c r="C269" s="246">
        <v>277418465</v>
      </c>
      <c r="D269" s="246">
        <v>270631555</v>
      </c>
      <c r="E269" s="246">
        <v>274213150</v>
      </c>
      <c r="F269" s="246">
        <v>267426240</v>
      </c>
      <c r="G269" s="246">
        <v>6786910</v>
      </c>
      <c r="H269" s="246">
        <v>3205315</v>
      </c>
      <c r="J269" s="669">
        <v>1.5</v>
      </c>
      <c r="K269" s="669">
        <v>0</v>
      </c>
      <c r="L269" s="669">
        <v>1.5</v>
      </c>
    </row>
    <row r="270" spans="1:12">
      <c r="A270" s="423" t="s">
        <v>1392</v>
      </c>
      <c r="B270" s="423" t="s">
        <v>325</v>
      </c>
      <c r="C270" s="246">
        <v>181280488</v>
      </c>
      <c r="D270" s="246">
        <v>169741048</v>
      </c>
      <c r="E270" s="246">
        <v>181280488</v>
      </c>
      <c r="F270" s="246">
        <v>169741048</v>
      </c>
      <c r="G270" s="246">
        <v>11539440</v>
      </c>
      <c r="H270" s="246">
        <v>0</v>
      </c>
      <c r="J270" s="669">
        <v>1.44</v>
      </c>
      <c r="K270" s="669">
        <v>0</v>
      </c>
      <c r="L270" s="669">
        <v>1.44</v>
      </c>
    </row>
    <row r="271" spans="1:12">
      <c r="A271" s="423" t="s">
        <v>1393</v>
      </c>
      <c r="B271" s="423" t="s">
        <v>7652</v>
      </c>
      <c r="C271" s="246">
        <v>265857622</v>
      </c>
      <c r="D271" s="246">
        <v>249732062</v>
      </c>
      <c r="E271" s="246">
        <v>265857622</v>
      </c>
      <c r="F271" s="246">
        <v>249732062</v>
      </c>
      <c r="G271" s="246">
        <v>16125560</v>
      </c>
      <c r="H271" s="246">
        <v>0</v>
      </c>
      <c r="J271" s="669">
        <v>1.4650000000000001</v>
      </c>
      <c r="K271" s="669">
        <v>0</v>
      </c>
      <c r="L271" s="669">
        <v>1.4650000000000001</v>
      </c>
    </row>
    <row r="272" spans="1:12">
      <c r="A272" s="423" t="s">
        <v>1394</v>
      </c>
      <c r="B272" s="423" t="s">
        <v>1259</v>
      </c>
      <c r="C272" s="246">
        <v>50323550</v>
      </c>
      <c r="D272" s="246">
        <v>45704840</v>
      </c>
      <c r="E272" s="246">
        <v>50323550</v>
      </c>
      <c r="F272" s="246">
        <v>45704840</v>
      </c>
      <c r="G272" s="246">
        <v>4618710</v>
      </c>
      <c r="H272" s="246">
        <v>0</v>
      </c>
      <c r="J272" s="669">
        <v>1.45</v>
      </c>
      <c r="K272" s="669">
        <v>0</v>
      </c>
      <c r="L272" s="669">
        <v>1.45</v>
      </c>
    </row>
    <row r="273" spans="1:12">
      <c r="A273" s="423" t="s">
        <v>1395</v>
      </c>
      <c r="B273" s="423" t="s">
        <v>1260</v>
      </c>
      <c r="C273" s="246">
        <v>73418397</v>
      </c>
      <c r="D273" s="246">
        <v>67099747</v>
      </c>
      <c r="E273" s="246">
        <v>73418397</v>
      </c>
      <c r="F273" s="246">
        <v>67099747</v>
      </c>
      <c r="G273" s="246">
        <v>6318650</v>
      </c>
      <c r="H273" s="246">
        <v>0</v>
      </c>
      <c r="J273" s="669">
        <v>1.5</v>
      </c>
      <c r="K273" s="669">
        <v>0</v>
      </c>
      <c r="L273" s="669">
        <v>1.5</v>
      </c>
    </row>
    <row r="274" spans="1:12">
      <c r="A274" s="423" t="s">
        <v>1396</v>
      </c>
      <c r="B274" s="423" t="s">
        <v>1261</v>
      </c>
      <c r="C274" s="246">
        <v>34759400</v>
      </c>
      <c r="D274" s="246">
        <v>31371550</v>
      </c>
      <c r="E274" s="246">
        <v>34759400</v>
      </c>
      <c r="F274" s="246">
        <v>31371550</v>
      </c>
      <c r="G274" s="246">
        <v>3387850</v>
      </c>
      <c r="H274" s="246">
        <v>0</v>
      </c>
      <c r="J274" s="669">
        <v>1.4390000000000001</v>
      </c>
      <c r="K274" s="669">
        <v>0</v>
      </c>
      <c r="L274" s="669">
        <v>1.4390000000000001</v>
      </c>
    </row>
    <row r="275" spans="1:12">
      <c r="A275" s="423" t="s">
        <v>1397</v>
      </c>
      <c r="B275" s="423" t="s">
        <v>1262</v>
      </c>
      <c r="C275" s="246">
        <v>5988763124</v>
      </c>
      <c r="D275" s="246">
        <v>5730559948</v>
      </c>
      <c r="E275" s="246">
        <v>5832603988</v>
      </c>
      <c r="F275" s="246">
        <v>5574400812</v>
      </c>
      <c r="G275" s="246">
        <v>258203176</v>
      </c>
      <c r="H275" s="246">
        <v>156159136</v>
      </c>
      <c r="J275" s="669">
        <v>1.4</v>
      </c>
      <c r="K275" s="669">
        <v>7.2499999999999995E-2</v>
      </c>
      <c r="L275" s="669">
        <v>1.4724999999999999</v>
      </c>
    </row>
    <row r="276" spans="1:12">
      <c r="A276" s="423" t="s">
        <v>1398</v>
      </c>
      <c r="B276" s="423" t="s">
        <v>1263</v>
      </c>
      <c r="C276" s="246">
        <v>226751242</v>
      </c>
      <c r="D276" s="246">
        <v>223218608</v>
      </c>
      <c r="E276" s="246">
        <v>226751242</v>
      </c>
      <c r="F276" s="246">
        <v>223218608</v>
      </c>
      <c r="G276" s="246">
        <v>3532634</v>
      </c>
      <c r="H276" s="246">
        <v>0</v>
      </c>
      <c r="J276" s="669">
        <v>1.5</v>
      </c>
      <c r="K276" s="669">
        <v>0</v>
      </c>
      <c r="L276" s="669">
        <v>1.5</v>
      </c>
    </row>
    <row r="277" spans="1:12">
      <c r="A277" s="423" t="s">
        <v>1399</v>
      </c>
      <c r="B277" s="423" t="s">
        <v>1264</v>
      </c>
      <c r="C277" s="246">
        <v>132608042</v>
      </c>
      <c r="D277" s="246">
        <v>127284206</v>
      </c>
      <c r="E277" s="246">
        <v>132608042</v>
      </c>
      <c r="F277" s="246">
        <v>127284206</v>
      </c>
      <c r="G277" s="246">
        <v>5323836</v>
      </c>
      <c r="H277" s="246">
        <v>0</v>
      </c>
      <c r="J277" s="669">
        <v>1.5</v>
      </c>
      <c r="K277" s="669">
        <v>0.06</v>
      </c>
      <c r="L277" s="669">
        <v>1.56</v>
      </c>
    </row>
    <row r="278" spans="1:12">
      <c r="A278" s="423" t="s">
        <v>1400</v>
      </c>
      <c r="B278" s="423" t="s">
        <v>7691</v>
      </c>
      <c r="C278" s="246">
        <v>29706723</v>
      </c>
      <c r="D278" s="246">
        <v>28119048</v>
      </c>
      <c r="E278" s="246">
        <v>29706723</v>
      </c>
      <c r="F278" s="246">
        <v>28119048</v>
      </c>
      <c r="G278" s="246">
        <v>1587675</v>
      </c>
      <c r="H278" s="246">
        <v>0</v>
      </c>
      <c r="J278" s="669">
        <v>1.43</v>
      </c>
      <c r="K278" s="669">
        <v>6.3799999999999996E-2</v>
      </c>
      <c r="L278" s="669">
        <v>1.4938</v>
      </c>
    </row>
    <row r="279" spans="1:12">
      <c r="A279" s="423" t="s">
        <v>1401</v>
      </c>
      <c r="B279" s="423" t="s">
        <v>1265</v>
      </c>
      <c r="C279" s="246">
        <v>1419461400</v>
      </c>
      <c r="D279" s="246">
        <v>1371329914</v>
      </c>
      <c r="E279" s="246">
        <v>1419461400</v>
      </c>
      <c r="F279" s="246">
        <v>1371329914</v>
      </c>
      <c r="G279" s="246">
        <v>48131486</v>
      </c>
      <c r="H279" s="246">
        <v>0</v>
      </c>
      <c r="J279" s="669">
        <v>1.4709000000000001</v>
      </c>
      <c r="K279" s="669">
        <v>0.18099999999999999</v>
      </c>
      <c r="L279" s="669">
        <v>1.6518999999999999</v>
      </c>
    </row>
    <row r="280" spans="1:12">
      <c r="A280" s="423" t="s">
        <v>1402</v>
      </c>
      <c r="B280" s="423" t="s">
        <v>1266</v>
      </c>
      <c r="C280" s="246">
        <v>277157712</v>
      </c>
      <c r="D280" s="246">
        <v>260131138</v>
      </c>
      <c r="E280" s="246">
        <v>277157712</v>
      </c>
      <c r="F280" s="246">
        <v>260131138</v>
      </c>
      <c r="G280" s="246">
        <v>17026574</v>
      </c>
      <c r="H280" s="246">
        <v>0</v>
      </c>
      <c r="J280" s="669">
        <v>1.4750000000000001</v>
      </c>
      <c r="K280" s="669">
        <v>0.2969</v>
      </c>
      <c r="L280" s="669">
        <v>1.7719</v>
      </c>
    </row>
    <row r="281" spans="1:12">
      <c r="A281" s="423" t="s">
        <v>1403</v>
      </c>
      <c r="B281" s="423" t="s">
        <v>1906</v>
      </c>
      <c r="C281" s="246">
        <v>89124812</v>
      </c>
      <c r="D281" s="246">
        <v>83090188</v>
      </c>
      <c r="E281" s="246">
        <v>89124812</v>
      </c>
      <c r="F281" s="246">
        <v>83090188</v>
      </c>
      <c r="G281" s="246">
        <v>6034624</v>
      </c>
      <c r="H281" s="246">
        <v>0</v>
      </c>
      <c r="J281" s="669">
        <v>1.5</v>
      </c>
      <c r="K281" s="669">
        <v>0.06</v>
      </c>
      <c r="L281" s="669">
        <v>1.56</v>
      </c>
    </row>
    <row r="282" spans="1:12">
      <c r="A282" s="423" t="s">
        <v>1404</v>
      </c>
      <c r="B282" s="423" t="s">
        <v>1267</v>
      </c>
      <c r="C282" s="246">
        <v>2111781836</v>
      </c>
      <c r="D282" s="246">
        <v>2048224086</v>
      </c>
      <c r="E282" s="246">
        <v>2062357754</v>
      </c>
      <c r="F282" s="246">
        <v>1998800004</v>
      </c>
      <c r="G282" s="246">
        <v>63557750</v>
      </c>
      <c r="H282" s="246">
        <v>49424082</v>
      </c>
      <c r="J282" s="669">
        <v>1.5</v>
      </c>
      <c r="K282" s="669">
        <v>0.28749999999999998</v>
      </c>
      <c r="L282" s="669">
        <v>1.7875000000000001</v>
      </c>
    </row>
    <row r="283" spans="1:12">
      <c r="A283" s="423" t="s">
        <v>1405</v>
      </c>
      <c r="B283" s="423" t="s">
        <v>1268</v>
      </c>
      <c r="C283" s="246">
        <v>38938653</v>
      </c>
      <c r="D283" s="246">
        <v>36578085</v>
      </c>
      <c r="E283" s="246">
        <v>38938653</v>
      </c>
      <c r="F283" s="246">
        <v>36578085</v>
      </c>
      <c r="G283" s="246">
        <v>2360568</v>
      </c>
      <c r="H283" s="246">
        <v>0</v>
      </c>
      <c r="J283" s="669">
        <v>1.5</v>
      </c>
      <c r="K283" s="669">
        <v>0.124</v>
      </c>
      <c r="L283" s="669">
        <v>1.6240000000000001</v>
      </c>
    </row>
    <row r="284" spans="1:12">
      <c r="A284" s="423" t="s">
        <v>1406</v>
      </c>
      <c r="B284" s="423" t="s">
        <v>3628</v>
      </c>
      <c r="C284" s="246">
        <v>195013387</v>
      </c>
      <c r="D284" s="246">
        <v>183671732</v>
      </c>
      <c r="E284" s="246">
        <v>195013387</v>
      </c>
      <c r="F284" s="246">
        <v>183671732</v>
      </c>
      <c r="G284" s="246">
        <v>11341655</v>
      </c>
      <c r="H284" s="246">
        <v>0</v>
      </c>
      <c r="J284" s="669">
        <v>1.5</v>
      </c>
      <c r="K284" s="669">
        <v>0.11</v>
      </c>
      <c r="L284" s="669">
        <v>1.61</v>
      </c>
    </row>
    <row r="285" spans="1:12">
      <c r="A285" s="423" t="s">
        <v>1407</v>
      </c>
      <c r="B285" s="423" t="s">
        <v>357</v>
      </c>
      <c r="C285" s="246">
        <v>953767158</v>
      </c>
      <c r="D285" s="246">
        <v>901988672</v>
      </c>
      <c r="E285" s="246">
        <v>953767158</v>
      </c>
      <c r="F285" s="246">
        <v>901988672</v>
      </c>
      <c r="G285" s="246">
        <v>51778486</v>
      </c>
      <c r="H285" s="246">
        <v>0</v>
      </c>
      <c r="J285" s="669">
        <v>1.5</v>
      </c>
      <c r="K285" s="669">
        <v>0.14000000000000001</v>
      </c>
      <c r="L285" s="669">
        <v>1.64</v>
      </c>
    </row>
    <row r="286" spans="1:12">
      <c r="A286" s="423" t="s">
        <v>1408</v>
      </c>
      <c r="B286" s="423" t="s">
        <v>4063</v>
      </c>
      <c r="C286" s="246">
        <v>2194196816</v>
      </c>
      <c r="D286" s="246">
        <v>2124316906</v>
      </c>
      <c r="E286" s="246">
        <v>2194196816</v>
      </c>
      <c r="F286" s="246">
        <v>2124316906</v>
      </c>
      <c r="G286" s="246">
        <v>69879910</v>
      </c>
      <c r="H286" s="246">
        <v>0</v>
      </c>
      <c r="J286" s="669">
        <v>1.4858</v>
      </c>
      <c r="K286" s="669">
        <v>0.23499999999999999</v>
      </c>
      <c r="L286" s="669">
        <v>1.7208000000000001</v>
      </c>
    </row>
    <row r="287" spans="1:12">
      <c r="A287" s="423" t="s">
        <v>1409</v>
      </c>
      <c r="B287" s="423" t="s">
        <v>6072</v>
      </c>
      <c r="C287" s="246">
        <v>159912854</v>
      </c>
      <c r="D287" s="246">
        <v>150463221</v>
      </c>
      <c r="E287" s="246">
        <v>159912854</v>
      </c>
      <c r="F287" s="246">
        <v>150463221</v>
      </c>
      <c r="G287" s="246">
        <v>9449633</v>
      </c>
      <c r="H287" s="246">
        <v>0</v>
      </c>
      <c r="J287" s="669">
        <v>1.4750000000000001</v>
      </c>
      <c r="K287" s="669">
        <v>0.29399999999999998</v>
      </c>
      <c r="L287" s="669">
        <v>1.7689999999999999</v>
      </c>
    </row>
    <row r="288" spans="1:12">
      <c r="A288" s="423" t="s">
        <v>1410</v>
      </c>
      <c r="B288" s="423" t="s">
        <v>6116</v>
      </c>
      <c r="C288" s="246">
        <v>574932962</v>
      </c>
      <c r="D288" s="246">
        <v>529219143</v>
      </c>
      <c r="E288" s="246">
        <v>574932962</v>
      </c>
      <c r="F288" s="246">
        <v>529219143</v>
      </c>
      <c r="G288" s="246">
        <v>45713819</v>
      </c>
      <c r="H288" s="246">
        <v>0</v>
      </c>
      <c r="J288" s="669">
        <v>1.5</v>
      </c>
      <c r="K288" s="669">
        <v>0.21</v>
      </c>
      <c r="L288" s="669">
        <v>1.71</v>
      </c>
    </row>
    <row r="289" spans="1:12">
      <c r="A289" s="423" t="s">
        <v>1411</v>
      </c>
      <c r="B289" s="423" t="s">
        <v>1269</v>
      </c>
      <c r="C289" s="246">
        <v>10718989854</v>
      </c>
      <c r="D289" s="246">
        <v>10163332814</v>
      </c>
      <c r="E289" s="246">
        <v>10718989854</v>
      </c>
      <c r="F289" s="246">
        <v>10163332814</v>
      </c>
      <c r="G289" s="246">
        <v>555657040</v>
      </c>
      <c r="H289" s="246">
        <v>0</v>
      </c>
      <c r="J289" s="669">
        <v>1.5</v>
      </c>
      <c r="K289" s="669">
        <v>0.17349999999999999</v>
      </c>
      <c r="L289" s="669">
        <v>1.6735</v>
      </c>
    </row>
    <row r="290" spans="1:12">
      <c r="A290" s="423" t="s">
        <v>1412</v>
      </c>
      <c r="B290" s="423" t="s">
        <v>1930</v>
      </c>
      <c r="C290" s="246">
        <v>121012493</v>
      </c>
      <c r="D290" s="246">
        <v>110257392</v>
      </c>
      <c r="E290" s="246">
        <v>121012493</v>
      </c>
      <c r="F290" s="246">
        <v>110257392</v>
      </c>
      <c r="G290" s="246">
        <v>10755101</v>
      </c>
      <c r="H290" s="246">
        <v>0</v>
      </c>
      <c r="J290" s="669">
        <v>1.5</v>
      </c>
      <c r="K290" s="669">
        <v>7.6781000000000002E-2</v>
      </c>
      <c r="L290" s="669">
        <v>1.5767800000000001</v>
      </c>
    </row>
    <row r="291" spans="1:12">
      <c r="A291" s="423" t="s">
        <v>1413</v>
      </c>
      <c r="B291" s="423" t="s">
        <v>382</v>
      </c>
      <c r="C291" s="246">
        <v>120511385</v>
      </c>
      <c r="D291" s="246">
        <v>107576388</v>
      </c>
      <c r="E291" s="246">
        <v>120511385</v>
      </c>
      <c r="F291" s="246">
        <v>107576388</v>
      </c>
      <c r="G291" s="246">
        <v>12934997</v>
      </c>
      <c r="H291" s="246">
        <v>0</v>
      </c>
      <c r="J291" s="669">
        <v>1.5</v>
      </c>
      <c r="K291" s="669">
        <v>7.2599999999999998E-2</v>
      </c>
      <c r="L291" s="669">
        <v>1.5726</v>
      </c>
    </row>
    <row r="292" spans="1:12">
      <c r="A292" s="423" t="s">
        <v>7347</v>
      </c>
      <c r="B292" s="423" t="s">
        <v>2010</v>
      </c>
      <c r="C292" s="246">
        <v>5124841219</v>
      </c>
      <c r="D292" s="246">
        <v>4750212888</v>
      </c>
      <c r="E292" s="246">
        <v>4848462747</v>
      </c>
      <c r="F292" s="246">
        <v>4473834416</v>
      </c>
      <c r="G292" s="246">
        <v>374628331</v>
      </c>
      <c r="H292" s="246">
        <v>276378472</v>
      </c>
      <c r="J292" s="669">
        <v>1.5</v>
      </c>
      <c r="K292" s="669">
        <v>0.235903</v>
      </c>
      <c r="L292" s="669">
        <v>1.7359</v>
      </c>
    </row>
    <row r="293" spans="1:12">
      <c r="A293" s="423" t="s">
        <v>7348</v>
      </c>
      <c r="B293" s="423" t="s">
        <v>7349</v>
      </c>
      <c r="C293" s="246">
        <v>91436400</v>
      </c>
      <c r="D293" s="246">
        <v>86476497</v>
      </c>
      <c r="E293" s="246">
        <v>91436400</v>
      </c>
      <c r="F293" s="246">
        <v>86476497</v>
      </c>
      <c r="G293" s="246">
        <v>4959903</v>
      </c>
      <c r="H293" s="246">
        <v>0</v>
      </c>
      <c r="J293" s="669">
        <v>1.5</v>
      </c>
      <c r="K293" s="669">
        <v>0.2</v>
      </c>
      <c r="L293" s="669">
        <v>1.7</v>
      </c>
    </row>
    <row r="294" spans="1:12">
      <c r="A294" s="423" t="s">
        <v>7350</v>
      </c>
      <c r="B294" s="423" t="s">
        <v>6099</v>
      </c>
      <c r="C294" s="246">
        <v>760202561</v>
      </c>
      <c r="D294" s="246">
        <v>728420511</v>
      </c>
      <c r="E294" s="246">
        <v>760202561</v>
      </c>
      <c r="F294" s="246">
        <v>728420511</v>
      </c>
      <c r="G294" s="246">
        <v>31782050</v>
      </c>
      <c r="H294" s="246">
        <v>0</v>
      </c>
      <c r="J294" s="669">
        <v>1.5</v>
      </c>
      <c r="K294" s="669">
        <v>0.23494599999999999</v>
      </c>
      <c r="L294" s="669">
        <v>1.73495</v>
      </c>
    </row>
    <row r="295" spans="1:12">
      <c r="A295" s="423" t="s">
        <v>7351</v>
      </c>
      <c r="B295" s="423" t="s">
        <v>5367</v>
      </c>
      <c r="C295" s="246">
        <v>44177142</v>
      </c>
      <c r="D295" s="246">
        <v>41755552</v>
      </c>
      <c r="E295" s="246">
        <v>44177142</v>
      </c>
      <c r="F295" s="246">
        <v>41755552</v>
      </c>
      <c r="G295" s="246">
        <v>2421590</v>
      </c>
      <c r="H295" s="246">
        <v>0</v>
      </c>
      <c r="J295" s="669">
        <v>1.5</v>
      </c>
      <c r="K295" s="669">
        <v>0.19900000000000001</v>
      </c>
      <c r="L295" s="669">
        <v>1.6990000000000001</v>
      </c>
    </row>
    <row r="296" spans="1:12">
      <c r="A296" s="423" t="s">
        <v>7352</v>
      </c>
      <c r="B296" s="423" t="s">
        <v>2345</v>
      </c>
      <c r="C296" s="246">
        <v>4446805378</v>
      </c>
      <c r="D296" s="246">
        <v>4168573950</v>
      </c>
      <c r="E296" s="246">
        <v>4446805378</v>
      </c>
      <c r="F296" s="246">
        <v>4168573950</v>
      </c>
      <c r="G296" s="246">
        <v>278231428</v>
      </c>
      <c r="H296" s="246">
        <v>0</v>
      </c>
      <c r="J296" s="669">
        <v>1.3582799999999999</v>
      </c>
      <c r="K296" s="669">
        <v>0.26929999999999998</v>
      </c>
      <c r="L296" s="669">
        <v>1.62758</v>
      </c>
    </row>
    <row r="297" spans="1:12">
      <c r="A297" s="423" t="s">
        <v>7353</v>
      </c>
      <c r="B297" s="423" t="s">
        <v>1270</v>
      </c>
      <c r="C297" s="246">
        <v>32324875</v>
      </c>
      <c r="D297" s="246">
        <v>31161435</v>
      </c>
      <c r="E297" s="246">
        <v>32324875</v>
      </c>
      <c r="F297" s="246">
        <v>31161435</v>
      </c>
      <c r="G297" s="246">
        <v>1163440</v>
      </c>
      <c r="H297" s="246">
        <v>0</v>
      </c>
      <c r="J297" s="669">
        <v>1.26</v>
      </c>
      <c r="K297" s="669">
        <v>0</v>
      </c>
      <c r="L297" s="669">
        <v>1.26</v>
      </c>
    </row>
    <row r="298" spans="1:12">
      <c r="A298" s="423" t="s">
        <v>7354</v>
      </c>
      <c r="B298" s="423" t="s">
        <v>1271</v>
      </c>
      <c r="C298" s="246">
        <v>216388064</v>
      </c>
      <c r="D298" s="246">
        <v>202879064</v>
      </c>
      <c r="E298" s="246">
        <v>216388064</v>
      </c>
      <c r="F298" s="246">
        <v>202879064</v>
      </c>
      <c r="G298" s="246">
        <v>13509000</v>
      </c>
      <c r="H298" s="246">
        <v>0</v>
      </c>
      <c r="J298" s="669">
        <v>1.3420000000000001</v>
      </c>
      <c r="K298" s="669">
        <v>9.5600000000000004E-2</v>
      </c>
      <c r="L298" s="669">
        <v>1.4376</v>
      </c>
    </row>
    <row r="299" spans="1:12">
      <c r="A299" s="423" t="s">
        <v>7355</v>
      </c>
      <c r="B299" s="423" t="s">
        <v>2355</v>
      </c>
      <c r="C299" s="246">
        <v>925497458</v>
      </c>
      <c r="D299" s="246">
        <v>882867168</v>
      </c>
      <c r="E299" s="246">
        <v>925497458</v>
      </c>
      <c r="F299" s="246">
        <v>882867168</v>
      </c>
      <c r="G299" s="246">
        <v>42630290</v>
      </c>
      <c r="H299" s="246">
        <v>0</v>
      </c>
      <c r="J299" s="669">
        <v>1.5</v>
      </c>
      <c r="K299" s="669">
        <v>0.16</v>
      </c>
      <c r="L299" s="669">
        <v>1.66</v>
      </c>
    </row>
    <row r="300" spans="1:12">
      <c r="A300" s="423" t="s">
        <v>7356</v>
      </c>
      <c r="B300" s="423" t="s">
        <v>1272</v>
      </c>
      <c r="C300" s="246">
        <v>91737889</v>
      </c>
      <c r="D300" s="246">
        <v>89424369</v>
      </c>
      <c r="E300" s="246">
        <v>91737889</v>
      </c>
      <c r="F300" s="246">
        <v>89424369</v>
      </c>
      <c r="G300" s="246">
        <v>2313520</v>
      </c>
      <c r="H300" s="246">
        <v>0</v>
      </c>
      <c r="J300" s="669">
        <v>1.4307000000000001</v>
      </c>
      <c r="K300" s="669">
        <v>7.2099999999999997E-2</v>
      </c>
      <c r="L300" s="669">
        <v>1.5027999999999999</v>
      </c>
    </row>
    <row r="301" spans="1:12">
      <c r="A301" s="423" t="s">
        <v>7357</v>
      </c>
      <c r="B301" s="423" t="s">
        <v>1273</v>
      </c>
      <c r="C301" s="246">
        <v>73374987</v>
      </c>
      <c r="D301" s="246">
        <v>70329667</v>
      </c>
      <c r="E301" s="246">
        <v>73374987</v>
      </c>
      <c r="F301" s="246">
        <v>70329667</v>
      </c>
      <c r="G301" s="246">
        <v>3045320</v>
      </c>
      <c r="H301" s="246">
        <v>0</v>
      </c>
      <c r="J301" s="669">
        <v>1.5</v>
      </c>
      <c r="K301" s="669">
        <v>0</v>
      </c>
      <c r="L301" s="669">
        <v>1.5</v>
      </c>
    </row>
    <row r="302" spans="1:12">
      <c r="A302" s="423" t="s">
        <v>7358</v>
      </c>
      <c r="B302" s="423" t="s">
        <v>192</v>
      </c>
      <c r="C302" s="246">
        <v>52748635</v>
      </c>
      <c r="D302" s="246">
        <v>50477795</v>
      </c>
      <c r="E302" s="246">
        <v>52748635</v>
      </c>
      <c r="F302" s="246">
        <v>50477795</v>
      </c>
      <c r="G302" s="246">
        <v>2270840</v>
      </c>
      <c r="H302" s="246">
        <v>0</v>
      </c>
      <c r="J302" s="669">
        <v>1.43</v>
      </c>
      <c r="K302" s="669">
        <v>6.7000000000000004E-2</v>
      </c>
      <c r="L302" s="669">
        <v>1.4970000000000001</v>
      </c>
    </row>
    <row r="303" spans="1:12">
      <c r="A303" s="423" t="s">
        <v>7359</v>
      </c>
      <c r="B303" s="423" t="s">
        <v>1274</v>
      </c>
      <c r="C303" s="246">
        <v>45363933</v>
      </c>
      <c r="D303" s="246">
        <v>43171483</v>
      </c>
      <c r="E303" s="246">
        <v>45363933</v>
      </c>
      <c r="F303" s="246">
        <v>43171483</v>
      </c>
      <c r="G303" s="246">
        <v>2192450</v>
      </c>
      <c r="H303" s="246">
        <v>0</v>
      </c>
      <c r="J303" s="669">
        <v>1.37</v>
      </c>
      <c r="K303" s="669">
        <v>0</v>
      </c>
      <c r="L303" s="669">
        <v>1.37</v>
      </c>
    </row>
    <row r="304" spans="1:12">
      <c r="A304" s="423" t="s">
        <v>7360</v>
      </c>
      <c r="B304" s="423" t="s">
        <v>7361</v>
      </c>
      <c r="C304" s="246">
        <v>39870625</v>
      </c>
      <c r="D304" s="246">
        <v>36213875</v>
      </c>
      <c r="E304" s="246">
        <v>39870625</v>
      </c>
      <c r="F304" s="246">
        <v>36213875</v>
      </c>
      <c r="G304" s="246">
        <v>3656750</v>
      </c>
      <c r="H304" s="246">
        <v>0</v>
      </c>
      <c r="J304" s="669">
        <v>1.49</v>
      </c>
      <c r="K304" s="669">
        <v>7.0000000000000007E-2</v>
      </c>
      <c r="L304" s="669">
        <v>1.56</v>
      </c>
    </row>
    <row r="305" spans="1:12">
      <c r="A305" s="423" t="s">
        <v>7362</v>
      </c>
      <c r="B305" s="423" t="s">
        <v>6066</v>
      </c>
      <c r="C305" s="246">
        <v>183963661</v>
      </c>
      <c r="D305" s="246">
        <v>169391541</v>
      </c>
      <c r="E305" s="246">
        <v>183963661</v>
      </c>
      <c r="F305" s="246">
        <v>169391541</v>
      </c>
      <c r="G305" s="246">
        <v>14572120</v>
      </c>
      <c r="H305" s="246">
        <v>0</v>
      </c>
      <c r="J305" s="669">
        <v>1.4076</v>
      </c>
      <c r="K305" s="669">
        <v>7.0800000000000002E-2</v>
      </c>
      <c r="L305" s="669">
        <v>1.4783999999999999</v>
      </c>
    </row>
    <row r="306" spans="1:12">
      <c r="A306" s="423" t="s">
        <v>7363</v>
      </c>
      <c r="B306" s="423" t="s">
        <v>4068</v>
      </c>
      <c r="C306" s="246">
        <v>11667690</v>
      </c>
      <c r="D306" s="246">
        <v>10599240</v>
      </c>
      <c r="E306" s="246">
        <v>11667690</v>
      </c>
      <c r="F306" s="246">
        <v>10599240</v>
      </c>
      <c r="G306" s="246">
        <v>1068450</v>
      </c>
      <c r="H306" s="246">
        <v>0</v>
      </c>
      <c r="J306" s="669">
        <v>1.23</v>
      </c>
      <c r="K306" s="669">
        <v>0</v>
      </c>
      <c r="L306" s="669">
        <v>1.23</v>
      </c>
    </row>
    <row r="307" spans="1:12">
      <c r="A307" s="423" t="s">
        <v>7364</v>
      </c>
      <c r="B307" s="423" t="s">
        <v>1276</v>
      </c>
      <c r="C307" s="246">
        <v>111953219</v>
      </c>
      <c r="D307" s="246">
        <v>102286729</v>
      </c>
      <c r="E307" s="246">
        <v>111953219</v>
      </c>
      <c r="F307" s="246">
        <v>102286729</v>
      </c>
      <c r="G307" s="246">
        <v>9666490</v>
      </c>
      <c r="H307" s="246">
        <v>0</v>
      </c>
      <c r="J307" s="669">
        <v>1.0053799999999999</v>
      </c>
      <c r="K307" s="669">
        <v>0</v>
      </c>
      <c r="L307" s="669">
        <v>1.0053799999999999</v>
      </c>
    </row>
    <row r="308" spans="1:12">
      <c r="A308" s="423" t="s">
        <v>7365</v>
      </c>
      <c r="B308" s="423" t="s">
        <v>1277</v>
      </c>
      <c r="C308" s="246">
        <v>450433666</v>
      </c>
      <c r="D308" s="246">
        <v>416781844</v>
      </c>
      <c r="E308" s="246">
        <v>450433666</v>
      </c>
      <c r="F308" s="246">
        <v>416781844</v>
      </c>
      <c r="G308" s="246">
        <v>33651822</v>
      </c>
      <c r="H308" s="246">
        <v>0</v>
      </c>
      <c r="J308" s="669">
        <v>1.5</v>
      </c>
      <c r="K308" s="669">
        <v>0.08</v>
      </c>
      <c r="L308" s="669">
        <v>1.58</v>
      </c>
    </row>
    <row r="309" spans="1:12">
      <c r="A309" s="423" t="s">
        <v>7366</v>
      </c>
      <c r="B309" s="423" t="s">
        <v>2282</v>
      </c>
      <c r="C309" s="246">
        <v>29023838</v>
      </c>
      <c r="D309" s="246">
        <v>26021834</v>
      </c>
      <c r="E309" s="246">
        <v>29023838</v>
      </c>
      <c r="F309" s="246">
        <v>26021834</v>
      </c>
      <c r="G309" s="246">
        <v>3002004</v>
      </c>
      <c r="H309" s="246">
        <v>0</v>
      </c>
      <c r="J309" s="669">
        <v>1.5</v>
      </c>
      <c r="K309" s="669">
        <v>0</v>
      </c>
      <c r="L309" s="669">
        <v>1.5</v>
      </c>
    </row>
    <row r="310" spans="1:12">
      <c r="A310" s="423" t="s">
        <v>7367</v>
      </c>
      <c r="B310" s="423" t="s">
        <v>3014</v>
      </c>
      <c r="C310" s="246">
        <v>26787450</v>
      </c>
      <c r="D310" s="246">
        <v>24089647</v>
      </c>
      <c r="E310" s="246">
        <v>26787450</v>
      </c>
      <c r="F310" s="246">
        <v>24089647</v>
      </c>
      <c r="G310" s="246">
        <v>2697803</v>
      </c>
      <c r="H310" s="246">
        <v>0</v>
      </c>
      <c r="J310" s="669">
        <v>1.5</v>
      </c>
      <c r="K310" s="669">
        <v>0</v>
      </c>
      <c r="L310" s="669">
        <v>1.5</v>
      </c>
    </row>
    <row r="311" spans="1:12">
      <c r="A311" s="423" t="s">
        <v>7368</v>
      </c>
      <c r="B311" s="423" t="s">
        <v>1278</v>
      </c>
      <c r="C311" s="246">
        <v>101675048</v>
      </c>
      <c r="D311" s="246">
        <v>93034135</v>
      </c>
      <c r="E311" s="246">
        <v>101675048</v>
      </c>
      <c r="F311" s="246">
        <v>93034135</v>
      </c>
      <c r="G311" s="246">
        <v>8640913</v>
      </c>
      <c r="H311" s="246">
        <v>0</v>
      </c>
      <c r="J311" s="669">
        <v>1.421</v>
      </c>
      <c r="K311" s="669">
        <v>6.3E-2</v>
      </c>
      <c r="L311" s="669">
        <v>1.484</v>
      </c>
    </row>
    <row r="312" spans="1:12">
      <c r="A312" s="423" t="s">
        <v>7369</v>
      </c>
      <c r="B312" s="423" t="s">
        <v>1279</v>
      </c>
      <c r="C312" s="246">
        <v>101684844</v>
      </c>
      <c r="D312" s="246">
        <v>93327048</v>
      </c>
      <c r="E312" s="246">
        <v>101684844</v>
      </c>
      <c r="F312" s="246">
        <v>93327048</v>
      </c>
      <c r="G312" s="246">
        <v>8357796</v>
      </c>
      <c r="H312" s="246">
        <v>0</v>
      </c>
      <c r="J312" s="669">
        <v>1.4141999999999999</v>
      </c>
      <c r="K312" s="669">
        <v>0.10535</v>
      </c>
      <c r="L312" s="669">
        <v>1.51955</v>
      </c>
    </row>
    <row r="313" spans="1:12">
      <c r="A313" s="423" t="s">
        <v>7370</v>
      </c>
      <c r="B313" s="423" t="s">
        <v>1280</v>
      </c>
      <c r="C313" s="246">
        <v>67819686</v>
      </c>
      <c r="D313" s="246">
        <v>62727963</v>
      </c>
      <c r="E313" s="246">
        <v>66221486</v>
      </c>
      <c r="F313" s="246">
        <v>61129763</v>
      </c>
      <c r="G313" s="246">
        <v>5091723</v>
      </c>
      <c r="H313" s="246">
        <v>1598200</v>
      </c>
      <c r="J313" s="669">
        <v>1.5</v>
      </c>
      <c r="K313" s="669">
        <v>0.24440000000000001</v>
      </c>
      <c r="L313" s="669">
        <v>1.7444</v>
      </c>
    </row>
    <row r="314" spans="1:12">
      <c r="A314" s="423" t="s">
        <v>7371</v>
      </c>
      <c r="B314" s="423" t="s">
        <v>1281</v>
      </c>
      <c r="C314" s="246">
        <v>91885815</v>
      </c>
      <c r="D314" s="246">
        <v>85024693</v>
      </c>
      <c r="E314" s="246">
        <v>91885815</v>
      </c>
      <c r="F314" s="246">
        <v>85024693</v>
      </c>
      <c r="G314" s="246">
        <v>6861122</v>
      </c>
      <c r="H314" s="246">
        <v>0</v>
      </c>
      <c r="J314" s="669">
        <v>1.39</v>
      </c>
      <c r="K314" s="669">
        <v>0.17499999999999999</v>
      </c>
      <c r="L314" s="669">
        <v>1.5649999999999999</v>
      </c>
    </row>
    <row r="315" spans="1:12">
      <c r="A315" s="423" t="s">
        <v>7372</v>
      </c>
      <c r="B315" s="423" t="s">
        <v>377</v>
      </c>
      <c r="C315" s="246">
        <v>64734925</v>
      </c>
      <c r="D315" s="246">
        <v>57905263</v>
      </c>
      <c r="E315" s="246">
        <v>64734925</v>
      </c>
      <c r="F315" s="246">
        <v>57905263</v>
      </c>
      <c r="G315" s="246">
        <v>6829662</v>
      </c>
      <c r="H315" s="246">
        <v>0</v>
      </c>
      <c r="J315" s="669">
        <v>1.4179999999999999</v>
      </c>
      <c r="K315" s="669">
        <v>0</v>
      </c>
      <c r="L315" s="669">
        <v>1.4179999999999999</v>
      </c>
    </row>
    <row r="316" spans="1:12">
      <c r="A316" s="423" t="s">
        <v>7373</v>
      </c>
      <c r="B316" s="423" t="s">
        <v>1282</v>
      </c>
      <c r="C316" s="246">
        <v>179225747</v>
      </c>
      <c r="D316" s="246">
        <v>170650364</v>
      </c>
      <c r="E316" s="246">
        <v>179225747</v>
      </c>
      <c r="F316" s="246">
        <v>170650364</v>
      </c>
      <c r="G316" s="246">
        <v>8575383</v>
      </c>
      <c r="H316" s="246">
        <v>0</v>
      </c>
      <c r="J316" s="669">
        <v>1.4224000000000001</v>
      </c>
      <c r="K316" s="669">
        <v>0.1101</v>
      </c>
      <c r="L316" s="669">
        <v>1.5325</v>
      </c>
    </row>
    <row r="317" spans="1:12">
      <c r="A317" s="423" t="s">
        <v>7374</v>
      </c>
      <c r="B317" s="423" t="s">
        <v>1283</v>
      </c>
      <c r="C317" s="246">
        <v>758790297</v>
      </c>
      <c r="D317" s="246">
        <v>727650022</v>
      </c>
      <c r="E317" s="246">
        <v>758790297</v>
      </c>
      <c r="F317" s="246">
        <v>727650022</v>
      </c>
      <c r="G317" s="246">
        <v>31140275</v>
      </c>
      <c r="H317" s="246">
        <v>0</v>
      </c>
      <c r="J317" s="669">
        <v>1.5</v>
      </c>
      <c r="K317" s="669">
        <v>2.7699999999999999E-2</v>
      </c>
      <c r="L317" s="669">
        <v>1.5277000000000001</v>
      </c>
    </row>
    <row r="318" spans="1:12">
      <c r="A318" s="423" t="s">
        <v>7375</v>
      </c>
      <c r="B318" s="423" t="s">
        <v>1284</v>
      </c>
      <c r="C318" s="246">
        <v>264557906</v>
      </c>
      <c r="D318" s="246">
        <v>251357606</v>
      </c>
      <c r="E318" s="246">
        <v>264557906</v>
      </c>
      <c r="F318" s="246">
        <v>251357606</v>
      </c>
      <c r="G318" s="246">
        <v>13200300</v>
      </c>
      <c r="H318" s="246">
        <v>0</v>
      </c>
      <c r="J318" s="669">
        <v>1.415</v>
      </c>
      <c r="K318" s="669">
        <v>0.19500000000000001</v>
      </c>
      <c r="L318" s="669">
        <v>1.61</v>
      </c>
    </row>
    <row r="319" spans="1:12">
      <c r="A319" s="423" t="s">
        <v>7376</v>
      </c>
      <c r="B319" s="423" t="s">
        <v>1285</v>
      </c>
      <c r="C319" s="246">
        <v>141948581</v>
      </c>
      <c r="D319" s="246">
        <v>137248541</v>
      </c>
      <c r="E319" s="246">
        <v>141948581</v>
      </c>
      <c r="F319" s="246">
        <v>137248541</v>
      </c>
      <c r="G319" s="246">
        <v>4700040</v>
      </c>
      <c r="H319" s="246">
        <v>0</v>
      </c>
      <c r="J319" s="669">
        <v>1.5</v>
      </c>
      <c r="K319" s="669">
        <v>0</v>
      </c>
      <c r="L319" s="669">
        <v>1.5</v>
      </c>
    </row>
    <row r="320" spans="1:12">
      <c r="A320" s="423" t="s">
        <v>7377</v>
      </c>
      <c r="B320" s="423" t="s">
        <v>1286</v>
      </c>
      <c r="C320" s="246">
        <v>266172086</v>
      </c>
      <c r="D320" s="246">
        <v>260361064</v>
      </c>
      <c r="E320" s="246">
        <v>260734043</v>
      </c>
      <c r="F320" s="246">
        <v>254923021</v>
      </c>
      <c r="G320" s="246">
        <v>5811022</v>
      </c>
      <c r="H320" s="246">
        <v>5438043</v>
      </c>
      <c r="J320" s="669">
        <v>1.5</v>
      </c>
      <c r="K320" s="669">
        <v>6.9000000000000006E-2</v>
      </c>
      <c r="L320" s="669">
        <v>1.569</v>
      </c>
    </row>
    <row r="321" spans="1:12">
      <c r="A321" s="423" t="s">
        <v>7378</v>
      </c>
      <c r="B321" s="423" t="s">
        <v>7379</v>
      </c>
      <c r="C321" s="246">
        <v>56298070</v>
      </c>
      <c r="D321" s="246">
        <v>52500781</v>
      </c>
      <c r="E321" s="246">
        <v>56298070</v>
      </c>
      <c r="F321" s="246">
        <v>52500781</v>
      </c>
      <c r="G321" s="246">
        <v>3797289</v>
      </c>
      <c r="H321" s="246">
        <v>0</v>
      </c>
      <c r="J321" s="669">
        <v>1.5</v>
      </c>
      <c r="K321" s="669">
        <v>7.3999999999999996E-2</v>
      </c>
      <c r="L321" s="669">
        <v>1.5740000000000001</v>
      </c>
    </row>
    <row r="322" spans="1:12">
      <c r="A322" s="423" t="s">
        <v>7380</v>
      </c>
      <c r="B322" s="423" t="s">
        <v>370</v>
      </c>
      <c r="C322" s="246">
        <v>56118401</v>
      </c>
      <c r="D322" s="246">
        <v>51278751</v>
      </c>
      <c r="E322" s="246">
        <v>56118401</v>
      </c>
      <c r="F322" s="246">
        <v>51278751</v>
      </c>
      <c r="G322" s="246">
        <v>4839650</v>
      </c>
      <c r="H322" s="246">
        <v>0</v>
      </c>
      <c r="J322" s="669">
        <v>1.5</v>
      </c>
      <c r="K322" s="669">
        <v>6.2E-2</v>
      </c>
      <c r="L322" s="669">
        <v>1.5620000000000001</v>
      </c>
    </row>
    <row r="323" spans="1:12">
      <c r="A323" s="423" t="s">
        <v>7381</v>
      </c>
      <c r="B323" s="423" t="s">
        <v>1288</v>
      </c>
      <c r="C323" s="246">
        <v>141070646</v>
      </c>
      <c r="D323" s="246">
        <v>130657576</v>
      </c>
      <c r="E323" s="246">
        <v>141070646</v>
      </c>
      <c r="F323" s="246">
        <v>130657576</v>
      </c>
      <c r="G323" s="246">
        <v>10413070</v>
      </c>
      <c r="H323" s="246">
        <v>0</v>
      </c>
      <c r="J323" s="669">
        <v>1.5</v>
      </c>
      <c r="K323" s="669">
        <v>0</v>
      </c>
      <c r="L323" s="669">
        <v>1.5</v>
      </c>
    </row>
    <row r="324" spans="1:12">
      <c r="A324" s="423" t="s">
        <v>7382</v>
      </c>
      <c r="B324" s="423" t="s">
        <v>2909</v>
      </c>
      <c r="C324" s="246">
        <v>89058767</v>
      </c>
      <c r="D324" s="246">
        <v>83571177</v>
      </c>
      <c r="E324" s="246">
        <v>89058767</v>
      </c>
      <c r="F324" s="246">
        <v>83571177</v>
      </c>
      <c r="G324" s="246">
        <v>5487590</v>
      </c>
      <c r="H324" s="246">
        <v>0</v>
      </c>
      <c r="J324" s="669">
        <v>1.5</v>
      </c>
      <c r="K324" s="669">
        <v>0</v>
      </c>
      <c r="L324" s="669">
        <v>1.5</v>
      </c>
    </row>
    <row r="325" spans="1:12">
      <c r="A325" s="423" t="s">
        <v>7383</v>
      </c>
      <c r="B325" s="423" t="s">
        <v>2910</v>
      </c>
      <c r="C325" s="246">
        <v>71760542</v>
      </c>
      <c r="D325" s="246">
        <v>68233307</v>
      </c>
      <c r="E325" s="246">
        <v>71760542</v>
      </c>
      <c r="F325" s="246">
        <v>68233307</v>
      </c>
      <c r="G325" s="246">
        <v>3527235</v>
      </c>
      <c r="H325" s="246">
        <v>0</v>
      </c>
      <c r="J325" s="669">
        <v>1.36</v>
      </c>
      <c r="K325" s="669">
        <v>0</v>
      </c>
      <c r="L325" s="669">
        <v>1.36</v>
      </c>
    </row>
    <row r="326" spans="1:12">
      <c r="A326" s="423" t="s">
        <v>7384</v>
      </c>
      <c r="B326" s="423" t="s">
        <v>7385</v>
      </c>
      <c r="C326" s="246">
        <v>5912747139</v>
      </c>
      <c r="D326" s="246">
        <v>5717176439</v>
      </c>
      <c r="E326" s="246">
        <v>5912747139</v>
      </c>
      <c r="F326" s="246">
        <v>5717176439</v>
      </c>
      <c r="G326" s="246">
        <v>195570700</v>
      </c>
      <c r="H326" s="246">
        <v>0</v>
      </c>
      <c r="J326" s="669">
        <v>1.5</v>
      </c>
      <c r="K326" s="669">
        <v>0.1976</v>
      </c>
      <c r="L326" s="669">
        <v>1.6976</v>
      </c>
    </row>
    <row r="327" spans="1:12">
      <c r="A327" s="423" t="s">
        <v>7386</v>
      </c>
      <c r="B327" s="423" t="s">
        <v>1932</v>
      </c>
      <c r="C327" s="246">
        <v>453377736</v>
      </c>
      <c r="D327" s="246">
        <v>423987804</v>
      </c>
      <c r="E327" s="246">
        <v>453377736</v>
      </c>
      <c r="F327" s="246">
        <v>423987804</v>
      </c>
      <c r="G327" s="246">
        <v>29389932</v>
      </c>
      <c r="H327" s="246">
        <v>0</v>
      </c>
      <c r="J327" s="669">
        <v>1.5</v>
      </c>
      <c r="K327" s="669">
        <v>0.16400000000000001</v>
      </c>
      <c r="L327" s="669">
        <v>1.6639999999999999</v>
      </c>
    </row>
    <row r="328" spans="1:12">
      <c r="A328" s="423" t="s">
        <v>7387</v>
      </c>
      <c r="B328" s="423" t="s">
        <v>114</v>
      </c>
      <c r="C328" s="246">
        <v>17445318407</v>
      </c>
      <c r="D328" s="246">
        <v>16762100165</v>
      </c>
      <c r="E328" s="246">
        <v>17445318407</v>
      </c>
      <c r="F328" s="246">
        <v>16762100165</v>
      </c>
      <c r="G328" s="246">
        <v>683218242</v>
      </c>
      <c r="H328" s="246">
        <v>0</v>
      </c>
      <c r="J328" s="669">
        <v>1.5</v>
      </c>
      <c r="K328" s="669">
        <v>0.19</v>
      </c>
      <c r="L328" s="669">
        <v>1.69</v>
      </c>
    </row>
    <row r="329" spans="1:12">
      <c r="A329" s="423" t="s">
        <v>7388</v>
      </c>
      <c r="B329" s="423" t="s">
        <v>2912</v>
      </c>
      <c r="C329" s="246">
        <v>32526112</v>
      </c>
      <c r="D329" s="246">
        <v>30037132</v>
      </c>
      <c r="E329" s="246">
        <v>32526112</v>
      </c>
      <c r="F329" s="246">
        <v>30037132</v>
      </c>
      <c r="G329" s="246">
        <v>2488980</v>
      </c>
      <c r="H329" s="246">
        <v>0</v>
      </c>
      <c r="J329" s="669">
        <v>1.5</v>
      </c>
      <c r="K329" s="669">
        <v>0.28000000000000003</v>
      </c>
      <c r="L329" s="669">
        <v>1.78</v>
      </c>
    </row>
    <row r="330" spans="1:12">
      <c r="A330" s="423" t="s">
        <v>7389</v>
      </c>
      <c r="B330" s="423" t="s">
        <v>7390</v>
      </c>
      <c r="C330" s="246">
        <v>1618871441</v>
      </c>
      <c r="D330" s="246">
        <v>1592273351</v>
      </c>
      <c r="E330" s="246">
        <v>1582873052</v>
      </c>
      <c r="F330" s="246">
        <v>1556274962</v>
      </c>
      <c r="G330" s="246">
        <v>26598090</v>
      </c>
      <c r="H330" s="246">
        <v>35998389</v>
      </c>
      <c r="J330" s="669">
        <v>1.49</v>
      </c>
      <c r="K330" s="669">
        <v>0.1966</v>
      </c>
      <c r="L330" s="669">
        <v>1.6866000000000001</v>
      </c>
    </row>
    <row r="331" spans="1:12">
      <c r="A331" s="423" t="s">
        <v>7391</v>
      </c>
      <c r="B331" s="423" t="s">
        <v>2914</v>
      </c>
      <c r="C331" s="246">
        <v>657141432</v>
      </c>
      <c r="D331" s="246">
        <v>634969142</v>
      </c>
      <c r="E331" s="246">
        <v>657141432</v>
      </c>
      <c r="F331" s="246">
        <v>634969142</v>
      </c>
      <c r="G331" s="246">
        <v>22172290</v>
      </c>
      <c r="H331" s="246">
        <v>0</v>
      </c>
      <c r="J331" s="669">
        <v>1.36</v>
      </c>
      <c r="K331" s="669">
        <v>0</v>
      </c>
      <c r="L331" s="669">
        <v>1.36</v>
      </c>
    </row>
    <row r="332" spans="1:12">
      <c r="A332" s="423" t="s">
        <v>7392</v>
      </c>
      <c r="B332" s="423" t="s">
        <v>2915</v>
      </c>
      <c r="C332" s="246">
        <v>1915609633</v>
      </c>
      <c r="D332" s="246">
        <v>1894323103</v>
      </c>
      <c r="E332" s="246">
        <v>1915609633</v>
      </c>
      <c r="F332" s="246">
        <v>1894323103</v>
      </c>
      <c r="G332" s="246">
        <v>21286530</v>
      </c>
      <c r="H332" s="246">
        <v>0</v>
      </c>
      <c r="J332" s="669">
        <v>1.45</v>
      </c>
      <c r="K332" s="669">
        <v>0.125</v>
      </c>
      <c r="L332" s="669">
        <v>1.575</v>
      </c>
    </row>
    <row r="333" spans="1:12">
      <c r="A333" s="423" t="s">
        <v>7393</v>
      </c>
      <c r="B333" s="423" t="s">
        <v>2916</v>
      </c>
      <c r="C333" s="246">
        <v>1444071707</v>
      </c>
      <c r="D333" s="246">
        <v>1431495637</v>
      </c>
      <c r="E333" s="246">
        <v>1444071707</v>
      </c>
      <c r="F333" s="246">
        <v>1431495637</v>
      </c>
      <c r="G333" s="246">
        <v>12576070</v>
      </c>
      <c r="H333" s="246">
        <v>0</v>
      </c>
      <c r="J333" s="669">
        <v>1.5</v>
      </c>
      <c r="K333" s="669">
        <v>0.04</v>
      </c>
      <c r="L333" s="669">
        <v>1.54</v>
      </c>
    </row>
    <row r="334" spans="1:12">
      <c r="A334" s="423" t="s">
        <v>7394</v>
      </c>
      <c r="B334" s="423" t="s">
        <v>2917</v>
      </c>
      <c r="C334" s="246">
        <v>85439141</v>
      </c>
      <c r="D334" s="246">
        <v>81246031</v>
      </c>
      <c r="E334" s="246">
        <v>85439141</v>
      </c>
      <c r="F334" s="246">
        <v>81246031</v>
      </c>
      <c r="G334" s="246">
        <v>4193110</v>
      </c>
      <c r="H334" s="246">
        <v>0</v>
      </c>
      <c r="J334" s="669">
        <v>1.5</v>
      </c>
      <c r="K334" s="669">
        <v>7.7299999999999994E-2</v>
      </c>
      <c r="L334" s="669">
        <v>1.5772999999999999</v>
      </c>
    </row>
    <row r="335" spans="1:12">
      <c r="A335" s="423" t="s">
        <v>7395</v>
      </c>
      <c r="B335" s="423" t="s">
        <v>2918</v>
      </c>
      <c r="C335" s="246">
        <v>433568098</v>
      </c>
      <c r="D335" s="246">
        <v>431609048</v>
      </c>
      <c r="E335" s="246">
        <v>433568098</v>
      </c>
      <c r="F335" s="246">
        <v>431609048</v>
      </c>
      <c r="G335" s="246">
        <v>1959050</v>
      </c>
      <c r="H335" s="246">
        <v>0</v>
      </c>
      <c r="J335" s="669">
        <v>1.3</v>
      </c>
      <c r="K335" s="669">
        <v>0</v>
      </c>
      <c r="L335" s="669">
        <v>1.3</v>
      </c>
    </row>
    <row r="336" spans="1:12">
      <c r="A336" s="423" t="s">
        <v>7396</v>
      </c>
      <c r="B336" s="423" t="s">
        <v>1002</v>
      </c>
      <c r="C336" s="246">
        <v>105599079</v>
      </c>
      <c r="D336" s="246">
        <v>100427709</v>
      </c>
      <c r="E336" s="246">
        <v>105599079</v>
      </c>
      <c r="F336" s="246">
        <v>100427709</v>
      </c>
      <c r="G336" s="246">
        <v>5171370</v>
      </c>
      <c r="H336" s="246">
        <v>0</v>
      </c>
      <c r="J336" s="669">
        <v>1.5</v>
      </c>
      <c r="K336" s="669">
        <v>7.6999999999999999E-2</v>
      </c>
      <c r="L336" s="669">
        <v>1.577</v>
      </c>
    </row>
    <row r="337" spans="1:12">
      <c r="A337" s="423" t="s">
        <v>7397</v>
      </c>
      <c r="B337" s="423" t="s">
        <v>5294</v>
      </c>
      <c r="C337" s="246">
        <v>287610739</v>
      </c>
      <c r="D337" s="246">
        <v>272048989</v>
      </c>
      <c r="E337" s="246">
        <v>287610739</v>
      </c>
      <c r="F337" s="246">
        <v>272048989</v>
      </c>
      <c r="G337" s="246">
        <v>15561750</v>
      </c>
      <c r="H337" s="246">
        <v>0</v>
      </c>
      <c r="J337" s="669">
        <v>1.425</v>
      </c>
      <c r="K337" s="669">
        <v>0.14499999999999999</v>
      </c>
      <c r="L337" s="669">
        <v>1.57</v>
      </c>
    </row>
    <row r="338" spans="1:12">
      <c r="A338" s="423" t="s">
        <v>7398</v>
      </c>
      <c r="B338" s="423" t="s">
        <v>2919</v>
      </c>
      <c r="C338" s="246">
        <v>158367592</v>
      </c>
      <c r="D338" s="246">
        <v>153545657</v>
      </c>
      <c r="E338" s="246">
        <v>158367592</v>
      </c>
      <c r="F338" s="246">
        <v>153545657</v>
      </c>
      <c r="G338" s="246">
        <v>4821935</v>
      </c>
      <c r="H338" s="246">
        <v>0</v>
      </c>
      <c r="J338" s="669">
        <v>1.28</v>
      </c>
      <c r="K338" s="669">
        <v>0</v>
      </c>
      <c r="L338" s="669">
        <v>1.28</v>
      </c>
    </row>
    <row r="339" spans="1:12">
      <c r="A339" s="423" t="s">
        <v>7399</v>
      </c>
      <c r="B339" s="423" t="s">
        <v>2920</v>
      </c>
      <c r="C339" s="246">
        <v>342578950</v>
      </c>
      <c r="D339" s="246">
        <v>341636028</v>
      </c>
      <c r="E339" s="246">
        <v>342163441</v>
      </c>
      <c r="F339" s="246">
        <v>341220519</v>
      </c>
      <c r="G339" s="246">
        <v>942922</v>
      </c>
      <c r="H339" s="246">
        <v>415509</v>
      </c>
      <c r="J339" s="669">
        <v>1.18</v>
      </c>
      <c r="K339" s="669">
        <v>0.12</v>
      </c>
      <c r="L339" s="669">
        <v>1.3</v>
      </c>
    </row>
    <row r="340" spans="1:12">
      <c r="A340" s="423" t="s">
        <v>7400</v>
      </c>
      <c r="B340" s="423" t="s">
        <v>2921</v>
      </c>
      <c r="C340" s="246">
        <v>2622974908</v>
      </c>
      <c r="D340" s="246">
        <v>2600296986</v>
      </c>
      <c r="E340" s="246">
        <v>2622974908</v>
      </c>
      <c r="F340" s="246">
        <v>2600296986</v>
      </c>
      <c r="G340" s="246">
        <v>22677922</v>
      </c>
      <c r="H340" s="246">
        <v>0</v>
      </c>
      <c r="J340" s="669">
        <v>1.01</v>
      </c>
      <c r="K340" s="669">
        <v>4.6100000000000002E-2</v>
      </c>
      <c r="L340" s="669">
        <v>1.0561</v>
      </c>
    </row>
    <row r="341" spans="1:12">
      <c r="A341" s="423" t="s">
        <v>7401</v>
      </c>
      <c r="B341" s="423" t="s">
        <v>2922</v>
      </c>
      <c r="C341" s="246">
        <v>1825236832</v>
      </c>
      <c r="D341" s="246">
        <v>1733703735</v>
      </c>
      <c r="E341" s="246">
        <v>1825236832</v>
      </c>
      <c r="F341" s="246">
        <v>1733703735</v>
      </c>
      <c r="G341" s="246">
        <v>91533097</v>
      </c>
      <c r="H341" s="246">
        <v>0</v>
      </c>
      <c r="J341" s="669">
        <v>1.5</v>
      </c>
      <c r="K341" s="669">
        <v>0.251</v>
      </c>
      <c r="L341" s="669">
        <v>1.7509999999999999</v>
      </c>
    </row>
    <row r="342" spans="1:12">
      <c r="A342" s="423" t="s">
        <v>7402</v>
      </c>
      <c r="B342" s="423" t="s">
        <v>2923</v>
      </c>
      <c r="C342" s="246">
        <v>3704539511</v>
      </c>
      <c r="D342" s="246">
        <v>3590576480</v>
      </c>
      <c r="E342" s="246">
        <v>3581859184</v>
      </c>
      <c r="F342" s="246">
        <v>3467896153</v>
      </c>
      <c r="G342" s="246">
        <v>113963031</v>
      </c>
      <c r="H342" s="246">
        <v>122680327</v>
      </c>
      <c r="J342" s="669">
        <v>1.5</v>
      </c>
      <c r="K342" s="669">
        <v>0.185</v>
      </c>
      <c r="L342" s="669">
        <v>1.6850000000000001</v>
      </c>
    </row>
    <row r="343" spans="1:12">
      <c r="A343" s="423" t="s">
        <v>7403</v>
      </c>
      <c r="B343" s="423" t="s">
        <v>3846</v>
      </c>
      <c r="C343" s="246">
        <v>96553478</v>
      </c>
      <c r="D343" s="246">
        <v>93732827</v>
      </c>
      <c r="E343" s="246">
        <v>95050668</v>
      </c>
      <c r="F343" s="246">
        <v>92230017</v>
      </c>
      <c r="G343" s="246">
        <v>2820651</v>
      </c>
      <c r="H343" s="246">
        <v>1502810</v>
      </c>
      <c r="J343" s="669">
        <v>1.5</v>
      </c>
      <c r="K343" s="669">
        <v>0.2</v>
      </c>
      <c r="L343" s="669">
        <v>1.7</v>
      </c>
    </row>
    <row r="344" spans="1:12">
      <c r="A344" s="423" t="s">
        <v>7404</v>
      </c>
      <c r="B344" s="423" t="s">
        <v>2924</v>
      </c>
      <c r="C344" s="246">
        <v>1351648813</v>
      </c>
      <c r="D344" s="246">
        <v>1284697772</v>
      </c>
      <c r="E344" s="246">
        <v>1351648813</v>
      </c>
      <c r="F344" s="246">
        <v>1284697772</v>
      </c>
      <c r="G344" s="246">
        <v>66951041</v>
      </c>
      <c r="H344" s="246">
        <v>0</v>
      </c>
      <c r="J344" s="669">
        <v>1.5</v>
      </c>
      <c r="K344" s="669">
        <v>0.24</v>
      </c>
      <c r="L344" s="669">
        <v>1.74</v>
      </c>
    </row>
    <row r="345" spans="1:12">
      <c r="A345" s="423" t="s">
        <v>7405</v>
      </c>
      <c r="B345" s="423" t="s">
        <v>2925</v>
      </c>
      <c r="C345" s="246">
        <v>3304932973</v>
      </c>
      <c r="D345" s="246">
        <v>3241262083</v>
      </c>
      <c r="E345" s="246">
        <v>3255182119</v>
      </c>
      <c r="F345" s="246">
        <v>3191511229</v>
      </c>
      <c r="G345" s="246">
        <v>63670890</v>
      </c>
      <c r="H345" s="246">
        <v>49750854</v>
      </c>
      <c r="J345" s="669">
        <v>1.5</v>
      </c>
      <c r="K345" s="669">
        <v>8.7099999999999997E-2</v>
      </c>
      <c r="L345" s="669">
        <v>1.5871</v>
      </c>
    </row>
    <row r="346" spans="1:12">
      <c r="A346" s="423" t="s">
        <v>7406</v>
      </c>
      <c r="B346" s="423" t="s">
        <v>2926</v>
      </c>
      <c r="C346" s="246">
        <v>365827601</v>
      </c>
      <c r="D346" s="246">
        <v>346570621</v>
      </c>
      <c r="E346" s="246">
        <v>365827601</v>
      </c>
      <c r="F346" s="246">
        <v>346570621</v>
      </c>
      <c r="G346" s="246">
        <v>19256980</v>
      </c>
      <c r="H346" s="246">
        <v>0</v>
      </c>
      <c r="J346" s="669">
        <v>1.5</v>
      </c>
      <c r="K346" s="669">
        <v>0.19500000000000001</v>
      </c>
      <c r="L346" s="669">
        <v>1.6950000000000001</v>
      </c>
    </row>
    <row r="347" spans="1:12">
      <c r="A347" s="423" t="s">
        <v>7407</v>
      </c>
      <c r="B347" s="423" t="s">
        <v>1458</v>
      </c>
      <c r="C347" s="246">
        <v>866799539</v>
      </c>
      <c r="D347" s="246">
        <v>805229934</v>
      </c>
      <c r="E347" s="246">
        <v>866799539</v>
      </c>
      <c r="F347" s="246">
        <v>805229934</v>
      </c>
      <c r="G347" s="246">
        <v>61569605</v>
      </c>
      <c r="H347" s="246">
        <v>0</v>
      </c>
      <c r="J347" s="669">
        <v>1.45</v>
      </c>
      <c r="K347" s="669">
        <v>0.12</v>
      </c>
      <c r="L347" s="669">
        <v>1.57</v>
      </c>
    </row>
    <row r="348" spans="1:12">
      <c r="A348" s="423" t="s">
        <v>7408</v>
      </c>
      <c r="B348" s="423" t="s">
        <v>2927</v>
      </c>
      <c r="C348" s="246">
        <v>12344014008</v>
      </c>
      <c r="D348" s="246">
        <v>11889323993</v>
      </c>
      <c r="E348" s="246">
        <v>12154553863</v>
      </c>
      <c r="F348" s="246">
        <v>11699863848</v>
      </c>
      <c r="G348" s="246">
        <v>454690015</v>
      </c>
      <c r="H348" s="246">
        <v>189460145</v>
      </c>
      <c r="J348" s="669">
        <v>1.5</v>
      </c>
      <c r="K348" s="669">
        <v>0.27500000000000002</v>
      </c>
      <c r="L348" s="669">
        <v>1.7749999999999999</v>
      </c>
    </row>
    <row r="349" spans="1:12">
      <c r="A349" s="423" t="s">
        <v>7409</v>
      </c>
      <c r="B349" s="423" t="s">
        <v>116</v>
      </c>
      <c r="C349" s="246">
        <v>1694494691</v>
      </c>
      <c r="D349" s="246">
        <v>1624439060</v>
      </c>
      <c r="E349" s="246">
        <v>1694494691</v>
      </c>
      <c r="F349" s="246">
        <v>1624439060</v>
      </c>
      <c r="G349" s="246">
        <v>70055631</v>
      </c>
      <c r="H349" s="246">
        <v>0</v>
      </c>
      <c r="J349" s="669">
        <v>1.5</v>
      </c>
      <c r="K349" s="669">
        <v>0.13700000000000001</v>
      </c>
      <c r="L349" s="669">
        <v>1.637</v>
      </c>
    </row>
    <row r="350" spans="1:12">
      <c r="A350" s="423" t="s">
        <v>7410</v>
      </c>
      <c r="B350" s="423" t="s">
        <v>2928</v>
      </c>
      <c r="C350" s="246">
        <v>431685025</v>
      </c>
      <c r="D350" s="246">
        <v>422032385</v>
      </c>
      <c r="E350" s="246">
        <v>431685025</v>
      </c>
      <c r="F350" s="246">
        <v>422032385</v>
      </c>
      <c r="G350" s="246">
        <v>9652640</v>
      </c>
      <c r="H350" s="246">
        <v>0</v>
      </c>
      <c r="J350" s="669">
        <v>1.3615999999999999</v>
      </c>
      <c r="K350" s="669">
        <v>0</v>
      </c>
      <c r="L350" s="669">
        <v>1.3615999999999999</v>
      </c>
    </row>
    <row r="351" spans="1:12">
      <c r="A351" s="423" t="s">
        <v>7411</v>
      </c>
      <c r="B351" s="423" t="s">
        <v>2929</v>
      </c>
      <c r="C351" s="246">
        <v>46115566</v>
      </c>
      <c r="D351" s="246">
        <v>45560116</v>
      </c>
      <c r="E351" s="246">
        <v>46115566</v>
      </c>
      <c r="F351" s="246">
        <v>45560116</v>
      </c>
      <c r="G351" s="246">
        <v>555450</v>
      </c>
      <c r="H351" s="246">
        <v>0</v>
      </c>
      <c r="J351" s="669">
        <v>1.5</v>
      </c>
      <c r="K351" s="669">
        <v>0</v>
      </c>
      <c r="L351" s="669">
        <v>1.5</v>
      </c>
    </row>
    <row r="352" spans="1:12">
      <c r="A352" s="423" t="s">
        <v>7412</v>
      </c>
      <c r="B352" s="423" t="s">
        <v>7413</v>
      </c>
      <c r="C352" s="246">
        <v>21579179</v>
      </c>
      <c r="D352" s="246">
        <v>20806969</v>
      </c>
      <c r="E352" s="246">
        <v>21579179</v>
      </c>
      <c r="F352" s="246">
        <v>20806969</v>
      </c>
      <c r="G352" s="246">
        <v>772210</v>
      </c>
      <c r="H352" s="246">
        <v>0</v>
      </c>
      <c r="J352" s="669">
        <v>1.39</v>
      </c>
      <c r="K352" s="669">
        <v>0</v>
      </c>
      <c r="L352" s="669">
        <v>1.39</v>
      </c>
    </row>
    <row r="353" spans="1:12">
      <c r="A353" s="423" t="s">
        <v>7414</v>
      </c>
      <c r="B353" s="423" t="s">
        <v>2931</v>
      </c>
      <c r="C353" s="246">
        <v>1548125761</v>
      </c>
      <c r="D353" s="246">
        <v>1491794666</v>
      </c>
      <c r="E353" s="246">
        <v>1548125761</v>
      </c>
      <c r="F353" s="246">
        <v>1491794666</v>
      </c>
      <c r="G353" s="246">
        <v>56331095</v>
      </c>
      <c r="H353" s="246">
        <v>0</v>
      </c>
      <c r="J353" s="669">
        <v>1.4517</v>
      </c>
      <c r="K353" s="669">
        <v>0.13830000000000001</v>
      </c>
      <c r="L353" s="669">
        <v>1.59</v>
      </c>
    </row>
    <row r="354" spans="1:12">
      <c r="A354" s="423" t="s">
        <v>7415</v>
      </c>
      <c r="B354" s="423" t="s">
        <v>2932</v>
      </c>
      <c r="C354" s="246">
        <v>219795295</v>
      </c>
      <c r="D354" s="246">
        <v>209716494</v>
      </c>
      <c r="E354" s="246">
        <v>219795295</v>
      </c>
      <c r="F354" s="246">
        <v>209716494</v>
      </c>
      <c r="G354" s="246">
        <v>10078801</v>
      </c>
      <c r="H354" s="246">
        <v>0</v>
      </c>
      <c r="J354" s="669">
        <v>1.3756999999999999</v>
      </c>
      <c r="K354" s="669">
        <v>0</v>
      </c>
      <c r="L354" s="669">
        <v>1.3756999999999999</v>
      </c>
    </row>
    <row r="355" spans="1:12">
      <c r="A355" s="423" t="s">
        <v>7416</v>
      </c>
      <c r="B355" s="423" t="s">
        <v>3788</v>
      </c>
      <c r="C355" s="246">
        <v>551581123</v>
      </c>
      <c r="D355" s="246">
        <v>549055653</v>
      </c>
      <c r="E355" s="246">
        <v>550328283</v>
      </c>
      <c r="F355" s="246">
        <v>547802813</v>
      </c>
      <c r="G355" s="246">
        <v>2525470</v>
      </c>
      <c r="H355" s="246">
        <v>1252840</v>
      </c>
      <c r="J355" s="669">
        <v>1.4657</v>
      </c>
      <c r="K355" s="669">
        <v>0</v>
      </c>
      <c r="L355" s="669">
        <v>1.4657</v>
      </c>
    </row>
    <row r="356" spans="1:12">
      <c r="A356" s="423" t="s">
        <v>7417</v>
      </c>
      <c r="B356" s="423" t="s">
        <v>3789</v>
      </c>
      <c r="C356" s="246">
        <v>722225631</v>
      </c>
      <c r="D356" s="246">
        <v>703327101</v>
      </c>
      <c r="E356" s="246">
        <v>711064994</v>
      </c>
      <c r="F356" s="246">
        <v>692166464</v>
      </c>
      <c r="G356" s="246">
        <v>18898530</v>
      </c>
      <c r="H356" s="246">
        <v>11160637</v>
      </c>
      <c r="J356" s="669">
        <v>1.39</v>
      </c>
      <c r="K356" s="669">
        <v>0.15401999999999999</v>
      </c>
      <c r="L356" s="669">
        <v>1.5440199999999999</v>
      </c>
    </row>
    <row r="357" spans="1:12">
      <c r="A357" s="423" t="s">
        <v>7418</v>
      </c>
      <c r="B357" s="423" t="s">
        <v>4964</v>
      </c>
      <c r="C357" s="246">
        <v>444833309</v>
      </c>
      <c r="D357" s="246">
        <v>419802119</v>
      </c>
      <c r="E357" s="246">
        <v>444833309</v>
      </c>
      <c r="F357" s="246">
        <v>419802119</v>
      </c>
      <c r="G357" s="246">
        <v>25031190</v>
      </c>
      <c r="H357" s="246">
        <v>0</v>
      </c>
      <c r="J357" s="669">
        <v>1.3434999999999999</v>
      </c>
      <c r="K357" s="669">
        <v>6.6500000000000004E-2</v>
      </c>
      <c r="L357" s="669">
        <v>1.41</v>
      </c>
    </row>
    <row r="358" spans="1:12">
      <c r="A358" s="423" t="s">
        <v>7419</v>
      </c>
      <c r="B358" s="423" t="s">
        <v>7420</v>
      </c>
      <c r="C358" s="246">
        <v>139524432</v>
      </c>
      <c r="D358" s="246">
        <v>130727122</v>
      </c>
      <c r="E358" s="246">
        <v>135364362</v>
      </c>
      <c r="F358" s="246">
        <v>126567052</v>
      </c>
      <c r="G358" s="246">
        <v>8797310</v>
      </c>
      <c r="H358" s="246">
        <v>4160070</v>
      </c>
      <c r="J358" s="669">
        <v>1.3331999999999999</v>
      </c>
      <c r="K358" s="669">
        <v>0</v>
      </c>
      <c r="L358" s="669">
        <v>1.3331999999999999</v>
      </c>
    </row>
    <row r="359" spans="1:12">
      <c r="A359" s="423" t="s">
        <v>7421</v>
      </c>
      <c r="B359" s="423" t="s">
        <v>3791</v>
      </c>
      <c r="C359" s="246">
        <v>98418082</v>
      </c>
      <c r="D359" s="246">
        <v>95133212</v>
      </c>
      <c r="E359" s="246">
        <v>98418082</v>
      </c>
      <c r="F359" s="246">
        <v>95133212</v>
      </c>
      <c r="G359" s="246">
        <v>3284870</v>
      </c>
      <c r="H359" s="246">
        <v>0</v>
      </c>
      <c r="J359" s="669">
        <v>1.46</v>
      </c>
      <c r="K359" s="669">
        <v>0</v>
      </c>
      <c r="L359" s="669">
        <v>1.46</v>
      </c>
    </row>
    <row r="360" spans="1:12">
      <c r="A360" s="423" t="s">
        <v>7422</v>
      </c>
      <c r="B360" s="423" t="s">
        <v>5666</v>
      </c>
      <c r="C360" s="246">
        <v>79284187</v>
      </c>
      <c r="D360" s="246">
        <v>77748347</v>
      </c>
      <c r="E360" s="246">
        <v>79284187</v>
      </c>
      <c r="F360" s="246">
        <v>77748347</v>
      </c>
      <c r="G360" s="246">
        <v>1535840</v>
      </c>
      <c r="H360" s="246">
        <v>0</v>
      </c>
      <c r="J360" s="669">
        <v>1.5</v>
      </c>
      <c r="K360" s="669">
        <v>0.02</v>
      </c>
      <c r="L360" s="669">
        <v>1.52</v>
      </c>
    </row>
    <row r="361" spans="1:12">
      <c r="A361" s="423" t="s">
        <v>7423</v>
      </c>
      <c r="B361" s="423" t="s">
        <v>5667</v>
      </c>
      <c r="C361" s="246">
        <v>126061525</v>
      </c>
      <c r="D361" s="246">
        <v>123529775</v>
      </c>
      <c r="E361" s="246">
        <v>126061525</v>
      </c>
      <c r="F361" s="246">
        <v>123529775</v>
      </c>
      <c r="G361" s="246">
        <v>2531750</v>
      </c>
      <c r="H361" s="246">
        <v>0</v>
      </c>
      <c r="J361" s="669">
        <v>1.5</v>
      </c>
      <c r="K361" s="669">
        <v>0</v>
      </c>
      <c r="L361" s="669">
        <v>1.5</v>
      </c>
    </row>
    <row r="362" spans="1:12">
      <c r="A362" s="423" t="s">
        <v>7424</v>
      </c>
      <c r="B362" s="423" t="s">
        <v>3629</v>
      </c>
      <c r="C362" s="246">
        <v>866600413</v>
      </c>
      <c r="D362" s="246">
        <v>822424635</v>
      </c>
      <c r="E362" s="246">
        <v>866600413</v>
      </c>
      <c r="F362" s="246">
        <v>822424635</v>
      </c>
      <c r="G362" s="246">
        <v>44175778</v>
      </c>
      <c r="H362" s="246">
        <v>0</v>
      </c>
      <c r="J362" s="669">
        <v>1.5</v>
      </c>
      <c r="K362" s="669">
        <v>1.6899999999999998E-2</v>
      </c>
      <c r="L362" s="669">
        <v>1.5168999999999999</v>
      </c>
    </row>
    <row r="363" spans="1:12">
      <c r="A363" s="423" t="s">
        <v>7425</v>
      </c>
      <c r="B363" s="423" t="s">
        <v>5668</v>
      </c>
      <c r="C363" s="246">
        <v>88380374</v>
      </c>
      <c r="D363" s="246">
        <v>88140224</v>
      </c>
      <c r="E363" s="246">
        <v>88380374</v>
      </c>
      <c r="F363" s="246">
        <v>88140224</v>
      </c>
      <c r="G363" s="246">
        <v>240150</v>
      </c>
      <c r="H363" s="246">
        <v>0</v>
      </c>
      <c r="J363" s="669">
        <v>1.32</v>
      </c>
      <c r="K363" s="669">
        <v>0</v>
      </c>
      <c r="L363" s="669">
        <v>1.32</v>
      </c>
    </row>
    <row r="364" spans="1:12">
      <c r="A364" s="423" t="s">
        <v>7426</v>
      </c>
      <c r="B364" s="423" t="s">
        <v>7653</v>
      </c>
      <c r="C364" s="246">
        <v>109418552</v>
      </c>
      <c r="D364" s="246">
        <v>100030719</v>
      </c>
      <c r="E364" s="246">
        <v>109418552</v>
      </c>
      <c r="F364" s="246">
        <v>100030719</v>
      </c>
      <c r="G364" s="246">
        <v>9387833</v>
      </c>
      <c r="H364" s="246">
        <v>0</v>
      </c>
      <c r="J364" s="669">
        <v>1.43</v>
      </c>
      <c r="K364" s="669">
        <v>0.13</v>
      </c>
      <c r="L364" s="669">
        <v>1.56</v>
      </c>
    </row>
    <row r="365" spans="1:12">
      <c r="A365" s="423" t="s">
        <v>7427</v>
      </c>
      <c r="B365" s="423" t="s">
        <v>5669</v>
      </c>
      <c r="C365" s="246">
        <v>101338165</v>
      </c>
      <c r="D365" s="246">
        <v>94679741</v>
      </c>
      <c r="E365" s="246">
        <v>101338165</v>
      </c>
      <c r="F365" s="246">
        <v>94679741</v>
      </c>
      <c r="G365" s="246">
        <v>6658424</v>
      </c>
      <c r="H365" s="246">
        <v>0</v>
      </c>
      <c r="J365" s="669">
        <v>1.4523999999999999</v>
      </c>
      <c r="K365" s="669">
        <v>8.4599999999999995E-2</v>
      </c>
      <c r="L365" s="669">
        <v>1.5369999999999999</v>
      </c>
    </row>
    <row r="366" spans="1:12">
      <c r="A366" s="423" t="s">
        <v>7428</v>
      </c>
      <c r="B366" s="423" t="s">
        <v>5670</v>
      </c>
      <c r="C366" s="246">
        <v>995363655</v>
      </c>
      <c r="D366" s="246">
        <v>927619417</v>
      </c>
      <c r="E366" s="246">
        <v>995363655</v>
      </c>
      <c r="F366" s="246">
        <v>927619417</v>
      </c>
      <c r="G366" s="246">
        <v>67744238</v>
      </c>
      <c r="H366" s="246">
        <v>0</v>
      </c>
      <c r="J366" s="669">
        <v>1.49</v>
      </c>
      <c r="K366" s="669">
        <v>0.1071</v>
      </c>
      <c r="L366" s="669">
        <v>1.5971</v>
      </c>
    </row>
    <row r="367" spans="1:12">
      <c r="A367" s="423" t="s">
        <v>7429</v>
      </c>
      <c r="B367" s="423" t="s">
        <v>3851</v>
      </c>
      <c r="C367" s="246">
        <v>159195028</v>
      </c>
      <c r="D367" s="246">
        <v>147894356</v>
      </c>
      <c r="E367" s="246">
        <v>159195028</v>
      </c>
      <c r="F367" s="246">
        <v>147894356</v>
      </c>
      <c r="G367" s="246">
        <v>11300672</v>
      </c>
      <c r="H367" s="246">
        <v>0</v>
      </c>
      <c r="J367" s="669">
        <v>1.5</v>
      </c>
      <c r="K367" s="669">
        <v>0.2732</v>
      </c>
      <c r="L367" s="669">
        <v>1.7732000000000001</v>
      </c>
    </row>
    <row r="368" spans="1:12">
      <c r="A368" s="423" t="s">
        <v>7430</v>
      </c>
      <c r="B368" s="423" t="s">
        <v>5242</v>
      </c>
      <c r="C368" s="246">
        <v>1779364118</v>
      </c>
      <c r="D368" s="246">
        <v>1703699187</v>
      </c>
      <c r="E368" s="246">
        <v>1779364118</v>
      </c>
      <c r="F368" s="246">
        <v>1703699187</v>
      </c>
      <c r="G368" s="246">
        <v>75664931</v>
      </c>
      <c r="H368" s="246">
        <v>0</v>
      </c>
      <c r="J368" s="669">
        <v>1.5</v>
      </c>
      <c r="K368" s="669">
        <v>0.18</v>
      </c>
      <c r="L368" s="669">
        <v>1.68</v>
      </c>
    </row>
    <row r="369" spans="1:12">
      <c r="A369" s="423" t="s">
        <v>7431</v>
      </c>
      <c r="B369" s="423" t="s">
        <v>5243</v>
      </c>
      <c r="C369" s="246">
        <v>52810425</v>
      </c>
      <c r="D369" s="246">
        <v>49602309</v>
      </c>
      <c r="E369" s="246">
        <v>52810425</v>
      </c>
      <c r="F369" s="246">
        <v>49602309</v>
      </c>
      <c r="G369" s="246">
        <v>3208116</v>
      </c>
      <c r="H369" s="246">
        <v>0</v>
      </c>
      <c r="J369" s="669">
        <v>1.45</v>
      </c>
      <c r="K369" s="669">
        <v>0.41449999999999998</v>
      </c>
      <c r="L369" s="669">
        <v>1.8645</v>
      </c>
    </row>
    <row r="370" spans="1:12">
      <c r="A370" s="423" t="s">
        <v>7432</v>
      </c>
      <c r="B370" s="423" t="s">
        <v>5373</v>
      </c>
      <c r="C370" s="246">
        <v>313671587</v>
      </c>
      <c r="D370" s="246">
        <v>297428296</v>
      </c>
      <c r="E370" s="246">
        <v>313671587</v>
      </c>
      <c r="F370" s="246">
        <v>297428296</v>
      </c>
      <c r="G370" s="246">
        <v>16243291</v>
      </c>
      <c r="H370" s="246">
        <v>0</v>
      </c>
      <c r="J370" s="669">
        <v>1.5</v>
      </c>
      <c r="K370" s="669">
        <v>0.28999999999999998</v>
      </c>
      <c r="L370" s="669">
        <v>1.79</v>
      </c>
    </row>
    <row r="371" spans="1:12">
      <c r="A371" s="423" t="s">
        <v>7433</v>
      </c>
      <c r="B371" s="423" t="s">
        <v>4071</v>
      </c>
      <c r="C371" s="246">
        <v>318505695</v>
      </c>
      <c r="D371" s="246">
        <v>294607061</v>
      </c>
      <c r="E371" s="246">
        <v>318505695</v>
      </c>
      <c r="F371" s="246">
        <v>294607061</v>
      </c>
      <c r="G371" s="246">
        <v>23898634</v>
      </c>
      <c r="H371" s="246">
        <v>0</v>
      </c>
      <c r="J371" s="669">
        <v>1.5</v>
      </c>
      <c r="K371" s="669">
        <v>0.19600000000000001</v>
      </c>
      <c r="L371" s="669">
        <v>1.696</v>
      </c>
    </row>
    <row r="372" spans="1:12">
      <c r="A372" s="423" t="s">
        <v>7434</v>
      </c>
      <c r="B372" s="423" t="s">
        <v>5244</v>
      </c>
      <c r="C372" s="246">
        <v>123238493</v>
      </c>
      <c r="D372" s="246">
        <v>114842284</v>
      </c>
      <c r="E372" s="246">
        <v>123238493</v>
      </c>
      <c r="F372" s="246">
        <v>114842284</v>
      </c>
      <c r="G372" s="246">
        <v>8396209</v>
      </c>
      <c r="H372" s="246">
        <v>0</v>
      </c>
      <c r="J372" s="669">
        <v>1.46</v>
      </c>
      <c r="K372" s="669">
        <v>0.24</v>
      </c>
      <c r="L372" s="669">
        <v>1.7</v>
      </c>
    </row>
    <row r="373" spans="1:12">
      <c r="A373" s="423" t="s">
        <v>7435</v>
      </c>
      <c r="B373" s="423" t="s">
        <v>347</v>
      </c>
      <c r="C373" s="246">
        <v>509372325</v>
      </c>
      <c r="D373" s="246">
        <v>485286613</v>
      </c>
      <c r="E373" s="246">
        <v>509372325</v>
      </c>
      <c r="F373" s="246">
        <v>485286613</v>
      </c>
      <c r="G373" s="246">
        <v>24085712</v>
      </c>
      <c r="H373" s="246">
        <v>0</v>
      </c>
      <c r="J373" s="669">
        <v>1.44</v>
      </c>
      <c r="K373" s="669">
        <v>0.23</v>
      </c>
      <c r="L373" s="669">
        <v>1.67</v>
      </c>
    </row>
    <row r="374" spans="1:12">
      <c r="A374" s="423" t="s">
        <v>7436</v>
      </c>
      <c r="B374" s="423" t="s">
        <v>7437</v>
      </c>
      <c r="C374" s="246">
        <v>258818578</v>
      </c>
      <c r="D374" s="246">
        <v>246806597</v>
      </c>
      <c r="E374" s="246">
        <v>258818578</v>
      </c>
      <c r="F374" s="246">
        <v>246806597</v>
      </c>
      <c r="G374" s="246">
        <v>12011981</v>
      </c>
      <c r="H374" s="246">
        <v>0</v>
      </c>
      <c r="J374" s="669">
        <v>1.4954000000000001</v>
      </c>
      <c r="K374" s="669">
        <v>0.16</v>
      </c>
      <c r="L374" s="669">
        <v>1.6554</v>
      </c>
    </row>
    <row r="375" spans="1:12">
      <c r="A375" s="423" t="s">
        <v>7438</v>
      </c>
      <c r="B375" s="423" t="s">
        <v>3914</v>
      </c>
      <c r="C375" s="246">
        <v>139795641</v>
      </c>
      <c r="D375" s="246">
        <v>134369613</v>
      </c>
      <c r="E375" s="246">
        <v>139795641</v>
      </c>
      <c r="F375" s="246">
        <v>134369613</v>
      </c>
      <c r="G375" s="246">
        <v>5426028</v>
      </c>
      <c r="H375" s="246">
        <v>0</v>
      </c>
      <c r="J375" s="669">
        <v>1.44</v>
      </c>
      <c r="K375" s="669">
        <v>0.35</v>
      </c>
      <c r="L375" s="669">
        <v>1.79</v>
      </c>
    </row>
    <row r="376" spans="1:12">
      <c r="A376" s="423" t="s">
        <v>7439</v>
      </c>
      <c r="B376" s="423" t="s">
        <v>7160</v>
      </c>
      <c r="C376" s="246">
        <v>125276563</v>
      </c>
      <c r="D376" s="246">
        <v>114801942</v>
      </c>
      <c r="E376" s="246">
        <v>125276563</v>
      </c>
      <c r="F376" s="246">
        <v>114801942</v>
      </c>
      <c r="G376" s="246">
        <v>10474621</v>
      </c>
      <c r="H376" s="246">
        <v>0</v>
      </c>
      <c r="J376" s="669">
        <v>1.4095</v>
      </c>
      <c r="K376" s="669">
        <v>0.1137</v>
      </c>
      <c r="L376" s="669">
        <v>1.5232000000000001</v>
      </c>
    </row>
    <row r="377" spans="1:12">
      <c r="A377" s="423" t="s">
        <v>7440</v>
      </c>
      <c r="B377" s="423" t="s">
        <v>7161</v>
      </c>
      <c r="C377" s="246">
        <v>471976669</v>
      </c>
      <c r="D377" s="246">
        <v>446971824</v>
      </c>
      <c r="E377" s="246">
        <v>456108694</v>
      </c>
      <c r="F377" s="246">
        <v>431103849</v>
      </c>
      <c r="G377" s="246">
        <v>25004845</v>
      </c>
      <c r="H377" s="246">
        <v>15867975</v>
      </c>
      <c r="J377" s="669">
        <v>1.42584</v>
      </c>
      <c r="K377" s="669">
        <v>5.5010000000000003E-2</v>
      </c>
      <c r="L377" s="669">
        <v>1.48085</v>
      </c>
    </row>
    <row r="378" spans="1:12">
      <c r="A378" s="423" t="s">
        <v>7441</v>
      </c>
      <c r="B378" s="423" t="s">
        <v>7162</v>
      </c>
      <c r="C378" s="246">
        <v>1004271936</v>
      </c>
      <c r="D378" s="246">
        <v>959704385</v>
      </c>
      <c r="E378" s="246">
        <v>970993045</v>
      </c>
      <c r="F378" s="246">
        <v>926425494</v>
      </c>
      <c r="G378" s="246">
        <v>44567551</v>
      </c>
      <c r="H378" s="246">
        <v>33278891</v>
      </c>
      <c r="J378" s="669">
        <v>1.5</v>
      </c>
      <c r="K378" s="669">
        <v>0.112</v>
      </c>
      <c r="L378" s="669">
        <v>1.6120000000000001</v>
      </c>
    </row>
    <row r="379" spans="1:12">
      <c r="A379" s="423" t="s">
        <v>7442</v>
      </c>
      <c r="B379" s="423" t="s">
        <v>199</v>
      </c>
      <c r="C379" s="246">
        <v>2859930026</v>
      </c>
      <c r="D379" s="246">
        <v>2754479214</v>
      </c>
      <c r="E379" s="246">
        <v>2859930026</v>
      </c>
      <c r="F379" s="246">
        <v>2754479214</v>
      </c>
      <c r="G379" s="246">
        <v>105450812</v>
      </c>
      <c r="H379" s="246">
        <v>0</v>
      </c>
      <c r="J379" s="669">
        <v>1.5</v>
      </c>
      <c r="K379" s="669">
        <v>0.11</v>
      </c>
      <c r="L379" s="669">
        <v>1.61</v>
      </c>
    </row>
    <row r="380" spans="1:12">
      <c r="A380" s="423" t="s">
        <v>7443</v>
      </c>
      <c r="B380" s="423" t="s">
        <v>7163</v>
      </c>
      <c r="C380" s="246">
        <v>1355104437</v>
      </c>
      <c r="D380" s="246">
        <v>1300097666</v>
      </c>
      <c r="E380" s="246">
        <v>1294982191</v>
      </c>
      <c r="F380" s="246">
        <v>1239975420</v>
      </c>
      <c r="G380" s="246">
        <v>55006771</v>
      </c>
      <c r="H380" s="246">
        <v>60122246</v>
      </c>
      <c r="J380" s="669">
        <v>1.5</v>
      </c>
      <c r="K380" s="669">
        <v>0.1983</v>
      </c>
      <c r="L380" s="669">
        <v>1.6982999999999999</v>
      </c>
    </row>
    <row r="381" spans="1:12">
      <c r="A381" s="423" t="s">
        <v>7444</v>
      </c>
      <c r="B381" s="423" t="s">
        <v>7164</v>
      </c>
      <c r="C381" s="246">
        <v>248041079</v>
      </c>
      <c r="D381" s="246">
        <v>232721079</v>
      </c>
      <c r="E381" s="246">
        <v>236436505</v>
      </c>
      <c r="F381" s="246">
        <v>221116505</v>
      </c>
      <c r="G381" s="246">
        <v>15320000</v>
      </c>
      <c r="H381" s="246">
        <v>11604574</v>
      </c>
      <c r="J381" s="669">
        <v>1.5</v>
      </c>
      <c r="K381" s="669">
        <v>0</v>
      </c>
      <c r="L381" s="669">
        <v>1.5</v>
      </c>
    </row>
    <row r="382" spans="1:12">
      <c r="A382" s="423" t="s">
        <v>7445</v>
      </c>
      <c r="B382" s="423" t="s">
        <v>2351</v>
      </c>
      <c r="C382" s="246">
        <v>328340915</v>
      </c>
      <c r="D382" s="246">
        <v>311741175</v>
      </c>
      <c r="E382" s="246">
        <v>311452423</v>
      </c>
      <c r="F382" s="246">
        <v>294852683</v>
      </c>
      <c r="G382" s="246">
        <v>16599740</v>
      </c>
      <c r="H382" s="246">
        <v>16888492</v>
      </c>
      <c r="J382" s="669">
        <v>1.5</v>
      </c>
      <c r="K382" s="669">
        <v>0.14499999999999999</v>
      </c>
      <c r="L382" s="669">
        <v>1.645</v>
      </c>
    </row>
    <row r="383" spans="1:12">
      <c r="A383" s="423" t="s">
        <v>7446</v>
      </c>
      <c r="B383" s="423" t="s">
        <v>7165</v>
      </c>
      <c r="C383" s="246">
        <v>283975317</v>
      </c>
      <c r="D383" s="246">
        <v>269565027</v>
      </c>
      <c r="E383" s="246">
        <v>269563703</v>
      </c>
      <c r="F383" s="246">
        <v>255153413</v>
      </c>
      <c r="G383" s="246">
        <v>14410290</v>
      </c>
      <c r="H383" s="246">
        <v>14411614</v>
      </c>
      <c r="J383" s="669">
        <v>1.5</v>
      </c>
      <c r="K383" s="669">
        <v>0.1032</v>
      </c>
      <c r="L383" s="669">
        <v>1.6032</v>
      </c>
    </row>
    <row r="384" spans="1:12">
      <c r="A384" s="423" t="s">
        <v>7447</v>
      </c>
      <c r="B384" s="423" t="s">
        <v>7448</v>
      </c>
      <c r="C384" s="246">
        <v>375027193</v>
      </c>
      <c r="D384" s="246">
        <v>367162583</v>
      </c>
      <c r="E384" s="246">
        <v>375027193</v>
      </c>
      <c r="F384" s="246">
        <v>367162583</v>
      </c>
      <c r="G384" s="246">
        <v>7864610</v>
      </c>
      <c r="H384" s="246">
        <v>0</v>
      </c>
      <c r="J384" s="669">
        <v>1.5</v>
      </c>
      <c r="K384" s="669">
        <v>7.5999999999999998E-2</v>
      </c>
      <c r="L384" s="669">
        <v>1.5760000000000001</v>
      </c>
    </row>
    <row r="385" spans="1:12">
      <c r="A385" s="423" t="s">
        <v>7449</v>
      </c>
      <c r="B385" s="423" t="s">
        <v>7167</v>
      </c>
      <c r="C385" s="246">
        <v>90440272</v>
      </c>
      <c r="D385" s="246">
        <v>84657222</v>
      </c>
      <c r="E385" s="246">
        <v>90440272</v>
      </c>
      <c r="F385" s="246">
        <v>84657222</v>
      </c>
      <c r="G385" s="246">
        <v>5783050</v>
      </c>
      <c r="H385" s="246">
        <v>0</v>
      </c>
      <c r="J385" s="669">
        <v>1.42</v>
      </c>
      <c r="K385" s="669">
        <v>0</v>
      </c>
      <c r="L385" s="669">
        <v>1.42</v>
      </c>
    </row>
    <row r="386" spans="1:12">
      <c r="A386" s="423" t="s">
        <v>7450</v>
      </c>
      <c r="B386" s="423" t="s">
        <v>7168</v>
      </c>
      <c r="C386" s="246">
        <v>783523703</v>
      </c>
      <c r="D386" s="246">
        <v>751374183</v>
      </c>
      <c r="E386" s="246">
        <v>759375480</v>
      </c>
      <c r="F386" s="246">
        <v>727225960</v>
      </c>
      <c r="G386" s="246">
        <v>32149520</v>
      </c>
      <c r="H386" s="246">
        <v>24148223</v>
      </c>
      <c r="J386" s="669">
        <v>1.5</v>
      </c>
      <c r="K386" s="669">
        <v>0.2</v>
      </c>
      <c r="L386" s="669">
        <v>1.7</v>
      </c>
    </row>
    <row r="387" spans="1:12">
      <c r="A387" s="423" t="s">
        <v>7451</v>
      </c>
      <c r="B387" s="423" t="s">
        <v>7169</v>
      </c>
      <c r="C387" s="246">
        <v>77698298</v>
      </c>
      <c r="D387" s="246">
        <v>73726457</v>
      </c>
      <c r="E387" s="246">
        <v>77698298</v>
      </c>
      <c r="F387" s="246">
        <v>73726457</v>
      </c>
      <c r="G387" s="246">
        <v>3971841</v>
      </c>
      <c r="H387" s="246">
        <v>0</v>
      </c>
      <c r="J387" s="669">
        <v>1.5</v>
      </c>
      <c r="K387" s="669">
        <v>0</v>
      </c>
      <c r="L387" s="669">
        <v>1.5</v>
      </c>
    </row>
    <row r="388" spans="1:12">
      <c r="A388" s="423" t="s">
        <v>7452</v>
      </c>
      <c r="B388" s="423" t="s">
        <v>1463</v>
      </c>
      <c r="C388" s="246">
        <v>1824396263</v>
      </c>
      <c r="D388" s="246">
        <v>1735971256</v>
      </c>
      <c r="E388" s="246">
        <v>1824396263</v>
      </c>
      <c r="F388" s="246">
        <v>1735971256</v>
      </c>
      <c r="G388" s="246">
        <v>88425007</v>
      </c>
      <c r="H388" s="246">
        <v>0</v>
      </c>
      <c r="J388" s="669">
        <v>1.5</v>
      </c>
      <c r="K388" s="669">
        <v>0.189</v>
      </c>
      <c r="L388" s="669">
        <v>1.6890000000000001</v>
      </c>
    </row>
    <row r="389" spans="1:12">
      <c r="A389" s="423" t="s">
        <v>7453</v>
      </c>
      <c r="B389" s="423" t="s">
        <v>1461</v>
      </c>
      <c r="C389" s="246">
        <v>2048001540</v>
      </c>
      <c r="D389" s="246">
        <v>1946344027</v>
      </c>
      <c r="E389" s="246">
        <v>2048001540</v>
      </c>
      <c r="F389" s="246">
        <v>1946344027</v>
      </c>
      <c r="G389" s="246">
        <v>101657513</v>
      </c>
      <c r="H389" s="246">
        <v>0</v>
      </c>
      <c r="J389" s="669">
        <v>1.5</v>
      </c>
      <c r="K389" s="669">
        <v>0.22</v>
      </c>
      <c r="L389" s="669">
        <v>1.72</v>
      </c>
    </row>
    <row r="390" spans="1:12">
      <c r="A390" s="423" t="s">
        <v>7454</v>
      </c>
      <c r="B390" s="423" t="s">
        <v>7170</v>
      </c>
      <c r="C390" s="246">
        <v>443770288</v>
      </c>
      <c r="D390" s="246">
        <v>428625438</v>
      </c>
      <c r="E390" s="246">
        <v>424268565</v>
      </c>
      <c r="F390" s="246">
        <v>409123715</v>
      </c>
      <c r="G390" s="246">
        <v>15144850</v>
      </c>
      <c r="H390" s="246">
        <v>19501723</v>
      </c>
      <c r="J390" s="669">
        <v>1.5</v>
      </c>
      <c r="K390" s="669">
        <v>0.38</v>
      </c>
      <c r="L390" s="669">
        <v>1.88</v>
      </c>
    </row>
    <row r="391" spans="1:12">
      <c r="A391" s="423" t="s">
        <v>7455</v>
      </c>
      <c r="B391" s="423" t="s">
        <v>6065</v>
      </c>
      <c r="C391" s="246">
        <v>379161356</v>
      </c>
      <c r="D391" s="246">
        <v>362111182</v>
      </c>
      <c r="E391" s="246">
        <v>379161356</v>
      </c>
      <c r="F391" s="246">
        <v>362111182</v>
      </c>
      <c r="G391" s="246">
        <v>17050174</v>
      </c>
      <c r="H391" s="246">
        <v>0</v>
      </c>
      <c r="J391" s="669">
        <v>1.5</v>
      </c>
      <c r="K391" s="669">
        <v>0.1905</v>
      </c>
      <c r="L391" s="669">
        <v>1.6904999999999999</v>
      </c>
    </row>
    <row r="392" spans="1:12">
      <c r="A392" s="423" t="s">
        <v>7456</v>
      </c>
      <c r="B392" s="423" t="s">
        <v>5272</v>
      </c>
      <c r="C392" s="246">
        <v>262022501</v>
      </c>
      <c r="D392" s="246">
        <v>255435543</v>
      </c>
      <c r="E392" s="246">
        <v>262022501</v>
      </c>
      <c r="F392" s="246">
        <v>255435543</v>
      </c>
      <c r="G392" s="246">
        <v>6586958</v>
      </c>
      <c r="H392" s="246">
        <v>0</v>
      </c>
      <c r="J392" s="669">
        <v>1.5</v>
      </c>
      <c r="K392" s="669">
        <v>0</v>
      </c>
      <c r="L392" s="669">
        <v>1.5</v>
      </c>
    </row>
    <row r="393" spans="1:12">
      <c r="A393" s="423" t="s">
        <v>7457</v>
      </c>
      <c r="B393" s="423" t="s">
        <v>5273</v>
      </c>
      <c r="C393" s="246">
        <v>27983587</v>
      </c>
      <c r="D393" s="246">
        <v>27364917</v>
      </c>
      <c r="E393" s="246">
        <v>27983587</v>
      </c>
      <c r="F393" s="246">
        <v>27364917</v>
      </c>
      <c r="G393" s="246">
        <v>618670</v>
      </c>
      <c r="H393" s="246">
        <v>0</v>
      </c>
      <c r="J393" s="669">
        <v>1.5</v>
      </c>
      <c r="K393" s="669">
        <v>0</v>
      </c>
      <c r="L393" s="669">
        <v>1.5</v>
      </c>
    </row>
    <row r="394" spans="1:12">
      <c r="A394" s="423" t="s">
        <v>7458</v>
      </c>
      <c r="B394" s="423" t="s">
        <v>5274</v>
      </c>
      <c r="C394" s="246">
        <v>68332581</v>
      </c>
      <c r="D394" s="246">
        <v>63387321</v>
      </c>
      <c r="E394" s="246">
        <v>68332581</v>
      </c>
      <c r="F394" s="246">
        <v>63387321</v>
      </c>
      <c r="G394" s="246">
        <v>4945260</v>
      </c>
      <c r="H394" s="246">
        <v>0</v>
      </c>
      <c r="J394" s="669">
        <v>1.5</v>
      </c>
      <c r="K394" s="669">
        <v>0</v>
      </c>
      <c r="L394" s="669">
        <v>1.5</v>
      </c>
    </row>
    <row r="395" spans="1:12">
      <c r="A395" s="423" t="s">
        <v>7459</v>
      </c>
      <c r="B395" s="423" t="s">
        <v>5275</v>
      </c>
      <c r="C395" s="246">
        <v>46764168</v>
      </c>
      <c r="D395" s="246">
        <v>43701652</v>
      </c>
      <c r="E395" s="246">
        <v>46764168</v>
      </c>
      <c r="F395" s="246">
        <v>43701652</v>
      </c>
      <c r="G395" s="246">
        <v>3062516</v>
      </c>
      <c r="H395" s="246">
        <v>0</v>
      </c>
      <c r="J395" s="669">
        <v>1.5</v>
      </c>
      <c r="K395" s="669">
        <v>6.5000000000000002E-2</v>
      </c>
      <c r="L395" s="669">
        <v>1.5649999999999999</v>
      </c>
    </row>
    <row r="396" spans="1:12">
      <c r="A396" s="423" t="s">
        <v>7460</v>
      </c>
      <c r="B396" s="423" t="s">
        <v>5276</v>
      </c>
      <c r="C396" s="246">
        <v>965257613</v>
      </c>
      <c r="D396" s="246">
        <v>919135582</v>
      </c>
      <c r="E396" s="246">
        <v>965257613</v>
      </c>
      <c r="F396" s="246">
        <v>919135582</v>
      </c>
      <c r="G396" s="246">
        <v>46122031</v>
      </c>
      <c r="H396" s="246">
        <v>0</v>
      </c>
      <c r="J396" s="669">
        <v>1.5</v>
      </c>
      <c r="K396" s="669">
        <v>0</v>
      </c>
      <c r="L396" s="669">
        <v>1.5</v>
      </c>
    </row>
    <row r="397" spans="1:12">
      <c r="A397" s="423" t="s">
        <v>7461</v>
      </c>
      <c r="B397" s="423" t="s">
        <v>5277</v>
      </c>
      <c r="C397" s="246">
        <v>105772760</v>
      </c>
      <c r="D397" s="246">
        <v>99034450</v>
      </c>
      <c r="E397" s="246">
        <v>105772760</v>
      </c>
      <c r="F397" s="246">
        <v>99034450</v>
      </c>
      <c r="G397" s="246">
        <v>6738310</v>
      </c>
      <c r="H397" s="246">
        <v>0</v>
      </c>
      <c r="J397" s="669">
        <v>1.5</v>
      </c>
      <c r="K397" s="669">
        <v>0</v>
      </c>
      <c r="L397" s="669">
        <v>1.5</v>
      </c>
    </row>
    <row r="398" spans="1:12">
      <c r="A398" s="423" t="s">
        <v>7462</v>
      </c>
      <c r="B398" s="423" t="s">
        <v>5278</v>
      </c>
      <c r="C398" s="246">
        <v>38060410</v>
      </c>
      <c r="D398" s="246">
        <v>35349720</v>
      </c>
      <c r="E398" s="246">
        <v>38060410</v>
      </c>
      <c r="F398" s="246">
        <v>35349720</v>
      </c>
      <c r="G398" s="246">
        <v>2710690</v>
      </c>
      <c r="H398" s="246">
        <v>0</v>
      </c>
      <c r="J398" s="669">
        <v>1.38</v>
      </c>
      <c r="K398" s="669">
        <v>0</v>
      </c>
      <c r="L398" s="669">
        <v>1.38</v>
      </c>
    </row>
    <row r="399" spans="1:12">
      <c r="A399" s="423" t="s">
        <v>7463</v>
      </c>
      <c r="B399" s="423" t="s">
        <v>7464</v>
      </c>
      <c r="C399" s="246">
        <v>209400162</v>
      </c>
      <c r="D399" s="246">
        <v>194710984</v>
      </c>
      <c r="E399" s="246">
        <v>209400162</v>
      </c>
      <c r="F399" s="246">
        <v>194710984</v>
      </c>
      <c r="G399" s="246">
        <v>14689178</v>
      </c>
      <c r="H399" s="246">
        <v>0</v>
      </c>
      <c r="J399" s="669">
        <v>1.43</v>
      </c>
      <c r="K399" s="669">
        <v>0.14779999999999999</v>
      </c>
      <c r="L399" s="669">
        <v>1.5778000000000001</v>
      </c>
    </row>
    <row r="400" spans="1:12">
      <c r="A400" s="423" t="s">
        <v>7465</v>
      </c>
      <c r="B400" s="423" t="s">
        <v>3844</v>
      </c>
      <c r="C400" s="246">
        <v>107319365</v>
      </c>
      <c r="D400" s="246">
        <v>99954935</v>
      </c>
      <c r="E400" s="246">
        <v>107319365</v>
      </c>
      <c r="F400" s="246">
        <v>99954935</v>
      </c>
      <c r="G400" s="246">
        <v>7364430</v>
      </c>
      <c r="H400" s="246">
        <v>0</v>
      </c>
      <c r="J400" s="669">
        <v>1.41</v>
      </c>
      <c r="K400" s="669">
        <v>0.13</v>
      </c>
      <c r="L400" s="669">
        <v>1.54</v>
      </c>
    </row>
    <row r="401" spans="1:12">
      <c r="A401" s="423" t="s">
        <v>7466</v>
      </c>
      <c r="B401" s="423" t="s">
        <v>5280</v>
      </c>
      <c r="C401" s="246">
        <v>251432023</v>
      </c>
      <c r="D401" s="246">
        <v>247452806</v>
      </c>
      <c r="E401" s="246">
        <v>251432023</v>
      </c>
      <c r="F401" s="246">
        <v>247452806</v>
      </c>
      <c r="G401" s="246">
        <v>3979217</v>
      </c>
      <c r="H401" s="246">
        <v>0</v>
      </c>
      <c r="J401" s="669">
        <v>1.5</v>
      </c>
      <c r="K401" s="669">
        <v>0</v>
      </c>
      <c r="L401" s="669">
        <v>1.5</v>
      </c>
    </row>
    <row r="402" spans="1:12">
      <c r="A402" s="423" t="s">
        <v>7467</v>
      </c>
      <c r="B402" s="423" t="s">
        <v>7468</v>
      </c>
      <c r="C402" s="246">
        <v>149976792</v>
      </c>
      <c r="D402" s="246">
        <v>149372518</v>
      </c>
      <c r="E402" s="246">
        <v>149625922</v>
      </c>
      <c r="F402" s="246">
        <v>149021648</v>
      </c>
      <c r="G402" s="246">
        <v>604274</v>
      </c>
      <c r="H402" s="246">
        <v>350870</v>
      </c>
      <c r="J402" s="669">
        <v>1.425</v>
      </c>
      <c r="K402" s="669">
        <v>0</v>
      </c>
      <c r="L402" s="669">
        <v>1.425</v>
      </c>
    </row>
    <row r="403" spans="1:12">
      <c r="A403" s="423" t="s">
        <v>7469</v>
      </c>
      <c r="B403" s="423" t="s">
        <v>5282</v>
      </c>
      <c r="C403" s="246">
        <v>296367749</v>
      </c>
      <c r="D403" s="246">
        <v>287060607</v>
      </c>
      <c r="E403" s="246">
        <v>296367749</v>
      </c>
      <c r="F403" s="246">
        <v>287060607</v>
      </c>
      <c r="G403" s="246">
        <v>9307142</v>
      </c>
      <c r="H403" s="246">
        <v>0</v>
      </c>
      <c r="J403" s="669">
        <v>1.5</v>
      </c>
      <c r="K403" s="669">
        <v>0.27729999999999999</v>
      </c>
      <c r="L403" s="669">
        <v>1.7773000000000001</v>
      </c>
    </row>
    <row r="404" spans="1:12">
      <c r="A404" s="423" t="s">
        <v>7470</v>
      </c>
      <c r="B404" s="423" t="s">
        <v>5283</v>
      </c>
      <c r="C404" s="246">
        <v>89628850</v>
      </c>
      <c r="D404" s="246">
        <v>87030150</v>
      </c>
      <c r="E404" s="246">
        <v>89628850</v>
      </c>
      <c r="F404" s="246">
        <v>87030150</v>
      </c>
      <c r="G404" s="246">
        <v>2598700</v>
      </c>
      <c r="H404" s="246">
        <v>0</v>
      </c>
      <c r="J404" s="669">
        <v>1.45</v>
      </c>
      <c r="K404" s="669">
        <v>0</v>
      </c>
      <c r="L404" s="669">
        <v>1.45</v>
      </c>
    </row>
    <row r="405" spans="1:12">
      <c r="A405" s="423" t="s">
        <v>7471</v>
      </c>
      <c r="B405" s="423" t="s">
        <v>5284</v>
      </c>
      <c r="C405" s="246">
        <v>205555560</v>
      </c>
      <c r="D405" s="246">
        <v>197509050</v>
      </c>
      <c r="E405" s="246">
        <v>205555560</v>
      </c>
      <c r="F405" s="246">
        <v>197509050</v>
      </c>
      <c r="G405" s="246">
        <v>8046510</v>
      </c>
      <c r="H405" s="246">
        <v>0</v>
      </c>
      <c r="J405" s="669">
        <v>1.44</v>
      </c>
      <c r="K405" s="669">
        <v>4.3999999999999997E-2</v>
      </c>
      <c r="L405" s="669">
        <v>1.484</v>
      </c>
    </row>
    <row r="406" spans="1:12">
      <c r="A406" s="423" t="s">
        <v>7472</v>
      </c>
      <c r="B406" s="423" t="s">
        <v>5285</v>
      </c>
      <c r="C406" s="246">
        <v>211092972</v>
      </c>
      <c r="D406" s="246">
        <v>193470042</v>
      </c>
      <c r="E406" s="246">
        <v>205800477</v>
      </c>
      <c r="F406" s="246">
        <v>188177547</v>
      </c>
      <c r="G406" s="246">
        <v>17622930</v>
      </c>
      <c r="H406" s="246">
        <v>5292495</v>
      </c>
      <c r="J406" s="669">
        <v>1.4650000000000001</v>
      </c>
      <c r="K406" s="669">
        <v>8.5000000000000006E-2</v>
      </c>
      <c r="L406" s="669">
        <v>1.55</v>
      </c>
    </row>
    <row r="407" spans="1:12">
      <c r="A407" s="423" t="s">
        <v>7473</v>
      </c>
      <c r="B407" s="423" t="s">
        <v>1466</v>
      </c>
      <c r="C407" s="246">
        <v>535742065</v>
      </c>
      <c r="D407" s="246">
        <v>494980765</v>
      </c>
      <c r="E407" s="246">
        <v>535742065</v>
      </c>
      <c r="F407" s="246">
        <v>494980765</v>
      </c>
      <c r="G407" s="246">
        <v>40761300</v>
      </c>
      <c r="H407" s="246">
        <v>0</v>
      </c>
      <c r="J407" s="669">
        <v>1.5</v>
      </c>
      <c r="K407" s="669">
        <v>0.1671</v>
      </c>
      <c r="L407" s="669">
        <v>1.6671</v>
      </c>
    </row>
    <row r="408" spans="1:12">
      <c r="A408" s="423" t="s">
        <v>7474</v>
      </c>
      <c r="B408" s="423" t="s">
        <v>5286</v>
      </c>
      <c r="C408" s="246">
        <v>590630474</v>
      </c>
      <c r="D408" s="246">
        <v>562686504</v>
      </c>
      <c r="E408" s="246">
        <v>573219159</v>
      </c>
      <c r="F408" s="246">
        <v>545275189</v>
      </c>
      <c r="G408" s="246">
        <v>27943970</v>
      </c>
      <c r="H408" s="246">
        <v>17411315</v>
      </c>
      <c r="J408" s="669">
        <v>1.5</v>
      </c>
      <c r="K408" s="669">
        <v>0.08</v>
      </c>
      <c r="L408" s="669">
        <v>1.58</v>
      </c>
    </row>
    <row r="409" spans="1:12">
      <c r="A409" s="423" t="s">
        <v>7475</v>
      </c>
      <c r="B409" s="423" t="s">
        <v>6057</v>
      </c>
      <c r="C409" s="246">
        <v>586236515</v>
      </c>
      <c r="D409" s="246">
        <v>542505095</v>
      </c>
      <c r="E409" s="246">
        <v>586236515</v>
      </c>
      <c r="F409" s="246">
        <v>542505095</v>
      </c>
      <c r="G409" s="246">
        <v>43731420</v>
      </c>
      <c r="H409" s="246">
        <v>0</v>
      </c>
      <c r="J409" s="669">
        <v>1.43</v>
      </c>
      <c r="K409" s="669">
        <v>0.11</v>
      </c>
      <c r="L409" s="669">
        <v>1.54</v>
      </c>
    </row>
    <row r="410" spans="1:12">
      <c r="A410" s="423" t="s">
        <v>7476</v>
      </c>
      <c r="B410" s="423" t="s">
        <v>7477</v>
      </c>
      <c r="C410" s="246">
        <v>124214316</v>
      </c>
      <c r="D410" s="246">
        <v>115584756</v>
      </c>
      <c r="E410" s="246">
        <v>124214316</v>
      </c>
      <c r="F410" s="246">
        <v>115584756</v>
      </c>
      <c r="G410" s="246">
        <v>8629560</v>
      </c>
      <c r="H410" s="246">
        <v>0</v>
      </c>
      <c r="J410" s="669">
        <v>1.5</v>
      </c>
      <c r="K410" s="669">
        <v>0.16</v>
      </c>
      <c r="L410" s="669">
        <v>1.66</v>
      </c>
    </row>
    <row r="411" spans="1:12">
      <c r="A411" s="423" t="s">
        <v>7478</v>
      </c>
      <c r="B411" s="423" t="s">
        <v>3901</v>
      </c>
      <c r="C411" s="246">
        <v>9774849101</v>
      </c>
      <c r="D411" s="246">
        <v>9456598111</v>
      </c>
      <c r="E411" s="246">
        <v>9774849101</v>
      </c>
      <c r="F411" s="246">
        <v>9456598111</v>
      </c>
      <c r="G411" s="246">
        <v>318250990</v>
      </c>
      <c r="H411" s="246">
        <v>0</v>
      </c>
      <c r="J411" s="669">
        <v>1.64</v>
      </c>
      <c r="K411" s="669">
        <v>6.9000000000000006E-2</v>
      </c>
      <c r="L411" s="669">
        <v>1.7090000000000001</v>
      </c>
    </row>
    <row r="412" spans="1:12">
      <c r="A412" s="423" t="s">
        <v>7479</v>
      </c>
      <c r="B412" s="423" t="s">
        <v>1844</v>
      </c>
      <c r="C412" s="246">
        <v>9479801934</v>
      </c>
      <c r="D412" s="246">
        <v>9210680454</v>
      </c>
      <c r="E412" s="246">
        <v>9479801934</v>
      </c>
      <c r="F412" s="246">
        <v>9210680454</v>
      </c>
      <c r="G412" s="246">
        <v>269121480</v>
      </c>
      <c r="H412" s="246">
        <v>0</v>
      </c>
      <c r="J412" s="669">
        <v>1.5</v>
      </c>
      <c r="K412" s="669">
        <v>0.22</v>
      </c>
      <c r="L412" s="669">
        <v>1.72</v>
      </c>
    </row>
    <row r="413" spans="1:12">
      <c r="A413" s="423" t="s">
        <v>7480</v>
      </c>
      <c r="B413" s="423" t="s">
        <v>303</v>
      </c>
      <c r="C413" s="246">
        <v>1837888840</v>
      </c>
      <c r="D413" s="246">
        <v>1783250852</v>
      </c>
      <c r="E413" s="246">
        <v>1837888840</v>
      </c>
      <c r="F413" s="246">
        <v>1783250852</v>
      </c>
      <c r="G413" s="246">
        <v>54637988</v>
      </c>
      <c r="H413" s="246">
        <v>0</v>
      </c>
      <c r="J413" s="669">
        <v>1.4729000000000001</v>
      </c>
      <c r="K413" s="669">
        <v>0.30330000000000001</v>
      </c>
      <c r="L413" s="669">
        <v>1.7762</v>
      </c>
    </row>
    <row r="414" spans="1:12">
      <c r="A414" s="423" t="s">
        <v>7481</v>
      </c>
      <c r="B414" s="423" t="s">
        <v>1667</v>
      </c>
      <c r="C414" s="246">
        <v>919946783</v>
      </c>
      <c r="D414" s="246">
        <v>867879516</v>
      </c>
      <c r="E414" s="246">
        <v>919946783</v>
      </c>
      <c r="F414" s="246">
        <v>867879516</v>
      </c>
      <c r="G414" s="246">
        <v>52067267</v>
      </c>
      <c r="H414" s="246">
        <v>0</v>
      </c>
      <c r="J414" s="669">
        <v>1.5</v>
      </c>
      <c r="K414" s="669">
        <v>0.36</v>
      </c>
      <c r="L414" s="669">
        <v>1.86</v>
      </c>
    </row>
    <row r="415" spans="1:12">
      <c r="A415" s="423" t="s">
        <v>7482</v>
      </c>
      <c r="B415" s="423" t="s">
        <v>304</v>
      </c>
      <c r="C415" s="246">
        <v>25763569719</v>
      </c>
      <c r="D415" s="246">
        <v>24859769719</v>
      </c>
      <c r="E415" s="246">
        <v>24398042520</v>
      </c>
      <c r="F415" s="246">
        <v>23494242520</v>
      </c>
      <c r="G415" s="246">
        <v>903800000</v>
      </c>
      <c r="H415" s="246">
        <v>1365527199</v>
      </c>
      <c r="J415" s="669">
        <v>1.5</v>
      </c>
      <c r="K415" s="669">
        <v>0.3</v>
      </c>
      <c r="L415" s="669">
        <v>1.8</v>
      </c>
    </row>
    <row r="416" spans="1:12">
      <c r="A416" s="423" t="s">
        <v>7483</v>
      </c>
      <c r="B416" s="423" t="s">
        <v>305</v>
      </c>
      <c r="C416" s="246">
        <v>6819220998</v>
      </c>
      <c r="D416" s="246">
        <v>6702980998</v>
      </c>
      <c r="E416" s="246">
        <v>6676960323</v>
      </c>
      <c r="F416" s="246">
        <v>6560720323</v>
      </c>
      <c r="G416" s="246">
        <v>116240000</v>
      </c>
      <c r="H416" s="246">
        <v>142260675</v>
      </c>
      <c r="J416" s="669">
        <v>1.6</v>
      </c>
      <c r="K416" s="669">
        <v>0.20549999999999999</v>
      </c>
      <c r="L416" s="669">
        <v>1.8055000000000001</v>
      </c>
    </row>
    <row r="417" spans="1:12">
      <c r="A417" s="423" t="s">
        <v>7484</v>
      </c>
      <c r="B417" s="423" t="s">
        <v>1938</v>
      </c>
      <c r="C417" s="246">
        <v>1290952192</v>
      </c>
      <c r="D417" s="246">
        <v>1193766227</v>
      </c>
      <c r="E417" s="246">
        <v>1290952192</v>
      </c>
      <c r="F417" s="246">
        <v>1193766227</v>
      </c>
      <c r="G417" s="246">
        <v>97185965</v>
      </c>
      <c r="H417" s="246">
        <v>0</v>
      </c>
      <c r="J417" s="669">
        <v>1.4843999999999999</v>
      </c>
      <c r="K417" s="669">
        <v>0.2281</v>
      </c>
      <c r="L417" s="669">
        <v>1.7124999999999999</v>
      </c>
    </row>
    <row r="418" spans="1:12">
      <c r="A418" s="423" t="s">
        <v>7485</v>
      </c>
      <c r="B418" s="423" t="s">
        <v>120</v>
      </c>
      <c r="C418" s="246">
        <v>4155872603</v>
      </c>
      <c r="D418" s="246">
        <v>4018029713</v>
      </c>
      <c r="E418" s="246">
        <v>4037968553</v>
      </c>
      <c r="F418" s="246">
        <v>3900125663</v>
      </c>
      <c r="G418" s="246">
        <v>137842890</v>
      </c>
      <c r="H418" s="246">
        <v>117904050</v>
      </c>
      <c r="J418" s="669">
        <v>1.61</v>
      </c>
      <c r="K418" s="669">
        <v>0.20499999999999999</v>
      </c>
      <c r="L418" s="669">
        <v>1.8149999999999999</v>
      </c>
    </row>
    <row r="419" spans="1:12">
      <c r="A419" s="423" t="s">
        <v>7486</v>
      </c>
      <c r="B419" s="423" t="s">
        <v>306</v>
      </c>
      <c r="C419" s="246">
        <v>7961239147</v>
      </c>
      <c r="D419" s="246">
        <v>7776284172</v>
      </c>
      <c r="E419" s="246">
        <v>7875050575</v>
      </c>
      <c r="F419" s="246">
        <v>7690095600</v>
      </c>
      <c r="G419" s="246">
        <v>184954975</v>
      </c>
      <c r="H419" s="246">
        <v>86188572</v>
      </c>
      <c r="J419" s="669">
        <v>1.5</v>
      </c>
      <c r="K419" s="669">
        <v>0.22750000000000001</v>
      </c>
      <c r="L419" s="669">
        <v>1.7275</v>
      </c>
    </row>
    <row r="420" spans="1:12">
      <c r="A420" s="423" t="s">
        <v>7487</v>
      </c>
      <c r="B420" s="423" t="s">
        <v>95</v>
      </c>
      <c r="C420" s="246">
        <v>79778404190</v>
      </c>
      <c r="D420" s="246">
        <v>77752164190</v>
      </c>
      <c r="E420" s="246">
        <v>76297238136</v>
      </c>
      <c r="F420" s="246">
        <v>74270998136</v>
      </c>
      <c r="G420" s="246">
        <v>2026240000</v>
      </c>
      <c r="H420" s="246">
        <v>3481166054</v>
      </c>
      <c r="J420" s="669">
        <v>1.45</v>
      </c>
      <c r="K420" s="669">
        <v>0.17</v>
      </c>
      <c r="L420" s="669">
        <v>1.62</v>
      </c>
    </row>
    <row r="421" spans="1:12">
      <c r="A421" s="423" t="s">
        <v>7488</v>
      </c>
      <c r="B421" s="423" t="s">
        <v>3856</v>
      </c>
      <c r="C421" s="246">
        <v>7708941905</v>
      </c>
      <c r="D421" s="246">
        <v>7371508663</v>
      </c>
      <c r="E421" s="246">
        <v>7708941905</v>
      </c>
      <c r="F421" s="246">
        <v>7371508663</v>
      </c>
      <c r="G421" s="246">
        <v>337433242</v>
      </c>
      <c r="H421" s="246">
        <v>0</v>
      </c>
      <c r="J421" s="669">
        <v>1.5</v>
      </c>
      <c r="K421" s="669">
        <v>0.27</v>
      </c>
      <c r="L421" s="669">
        <v>1.77</v>
      </c>
    </row>
    <row r="422" spans="1:12">
      <c r="A422" s="423" t="s">
        <v>7489</v>
      </c>
      <c r="B422" s="423" t="s">
        <v>1913</v>
      </c>
      <c r="C422" s="246">
        <v>12775963907</v>
      </c>
      <c r="D422" s="246">
        <v>12310775470</v>
      </c>
      <c r="E422" s="246">
        <v>12775963907</v>
      </c>
      <c r="F422" s="246">
        <v>12310775470</v>
      </c>
      <c r="G422" s="246">
        <v>465188437</v>
      </c>
      <c r="H422" s="246">
        <v>0</v>
      </c>
      <c r="J422" s="669">
        <v>1.63</v>
      </c>
      <c r="K422" s="669">
        <v>0.37</v>
      </c>
      <c r="L422" s="669">
        <v>2</v>
      </c>
    </row>
    <row r="423" spans="1:12">
      <c r="A423" s="423" t="s">
        <v>7490</v>
      </c>
      <c r="B423" s="423" t="s">
        <v>1923</v>
      </c>
      <c r="C423" s="246">
        <v>9670635563</v>
      </c>
      <c r="D423" s="246">
        <v>9244209855</v>
      </c>
      <c r="E423" s="246">
        <v>9670635563</v>
      </c>
      <c r="F423" s="246">
        <v>9244209855</v>
      </c>
      <c r="G423" s="246">
        <v>426425708</v>
      </c>
      <c r="H423" s="246">
        <v>0</v>
      </c>
      <c r="J423" s="669">
        <v>1.5</v>
      </c>
      <c r="K423" s="669">
        <v>0.2</v>
      </c>
      <c r="L423" s="669">
        <v>1.7</v>
      </c>
    </row>
    <row r="424" spans="1:12">
      <c r="A424" s="423" t="s">
        <v>7491</v>
      </c>
      <c r="B424" s="423" t="s">
        <v>96</v>
      </c>
      <c r="C424" s="246">
        <v>4808314897</v>
      </c>
      <c r="D424" s="246">
        <v>4712397407</v>
      </c>
      <c r="E424" s="246">
        <v>4704515404</v>
      </c>
      <c r="F424" s="246">
        <v>4608597914</v>
      </c>
      <c r="G424" s="246">
        <v>95917490</v>
      </c>
      <c r="H424" s="246">
        <v>103799493</v>
      </c>
      <c r="J424" s="669">
        <v>1.5</v>
      </c>
      <c r="K424" s="669">
        <v>0.23350000000000001</v>
      </c>
      <c r="L424" s="669">
        <v>1.7335</v>
      </c>
    </row>
    <row r="425" spans="1:12">
      <c r="A425" s="423" t="s">
        <v>7492</v>
      </c>
      <c r="B425" s="423" t="s">
        <v>5292</v>
      </c>
      <c r="C425" s="246">
        <v>8303253582</v>
      </c>
      <c r="D425" s="246">
        <v>7947061592</v>
      </c>
      <c r="E425" s="246">
        <v>8132125048</v>
      </c>
      <c r="F425" s="246">
        <v>7775933058</v>
      </c>
      <c r="G425" s="246">
        <v>356191990</v>
      </c>
      <c r="H425" s="246">
        <v>171128534</v>
      </c>
      <c r="J425" s="669">
        <v>1.5449999999999999</v>
      </c>
      <c r="K425" s="669">
        <v>0.26</v>
      </c>
      <c r="L425" s="669">
        <v>1.8049999999999999</v>
      </c>
    </row>
    <row r="426" spans="1:12">
      <c r="A426" s="423" t="s">
        <v>7493</v>
      </c>
      <c r="B426" s="423" t="s">
        <v>97</v>
      </c>
      <c r="C426" s="246">
        <v>6799950893</v>
      </c>
      <c r="D426" s="246">
        <v>6557491168</v>
      </c>
      <c r="E426" s="246">
        <v>6799950893</v>
      </c>
      <c r="F426" s="246">
        <v>6557491168</v>
      </c>
      <c r="G426" s="246">
        <v>242459725</v>
      </c>
      <c r="H426" s="246">
        <v>0</v>
      </c>
      <c r="J426" s="669">
        <v>1.5</v>
      </c>
      <c r="K426" s="669">
        <v>0.45</v>
      </c>
      <c r="L426" s="669">
        <v>1.95</v>
      </c>
    </row>
    <row r="427" spans="1:12">
      <c r="A427" s="423" t="s">
        <v>7494</v>
      </c>
      <c r="B427" s="423" t="s">
        <v>98</v>
      </c>
      <c r="C427" s="246">
        <v>14517828859</v>
      </c>
      <c r="D427" s="246">
        <v>14175644050</v>
      </c>
      <c r="E427" s="246">
        <v>13515406847</v>
      </c>
      <c r="F427" s="246">
        <v>13173222038</v>
      </c>
      <c r="G427" s="246">
        <v>342184809</v>
      </c>
      <c r="H427" s="246">
        <v>1002422012</v>
      </c>
      <c r="J427" s="669">
        <v>1.575</v>
      </c>
      <c r="K427" s="669">
        <v>0.23499999999999999</v>
      </c>
      <c r="L427" s="669">
        <v>1.81</v>
      </c>
    </row>
    <row r="428" spans="1:12">
      <c r="A428" s="423" t="s">
        <v>7495</v>
      </c>
      <c r="B428" s="423" t="s">
        <v>99</v>
      </c>
      <c r="C428" s="246">
        <v>3392769372</v>
      </c>
      <c r="D428" s="246">
        <v>3287342635</v>
      </c>
      <c r="E428" s="246">
        <v>3392769372</v>
      </c>
      <c r="F428" s="246">
        <v>3287342635</v>
      </c>
      <c r="G428" s="246">
        <v>105426737</v>
      </c>
      <c r="H428" s="246">
        <v>0</v>
      </c>
      <c r="J428" s="669">
        <v>1.44</v>
      </c>
      <c r="K428" s="669">
        <v>0.27</v>
      </c>
      <c r="L428" s="669">
        <v>1.71</v>
      </c>
    </row>
    <row r="429" spans="1:12">
      <c r="A429" s="423" t="s">
        <v>7496</v>
      </c>
      <c r="B429" s="423" t="s">
        <v>100</v>
      </c>
      <c r="C429" s="246">
        <v>2091436999</v>
      </c>
      <c r="D429" s="246">
        <v>2052281292</v>
      </c>
      <c r="E429" s="246">
        <v>2063549391</v>
      </c>
      <c r="F429" s="246">
        <v>2024393684</v>
      </c>
      <c r="G429" s="246">
        <v>39155707</v>
      </c>
      <c r="H429" s="246">
        <v>27887608</v>
      </c>
      <c r="J429" s="669">
        <v>1.5</v>
      </c>
      <c r="K429" s="669">
        <v>0.25</v>
      </c>
      <c r="L429" s="669">
        <v>1.75</v>
      </c>
    </row>
    <row r="430" spans="1:12">
      <c r="A430" s="423" t="s">
        <v>7497</v>
      </c>
      <c r="B430" s="423" t="s">
        <v>3854</v>
      </c>
      <c r="C430" s="246">
        <v>599066866</v>
      </c>
      <c r="D430" s="246">
        <v>566775298</v>
      </c>
      <c r="E430" s="246">
        <v>599066866</v>
      </c>
      <c r="F430" s="246">
        <v>566775298</v>
      </c>
      <c r="G430" s="246">
        <v>32291568</v>
      </c>
      <c r="H430" s="246">
        <v>0</v>
      </c>
      <c r="J430" s="669">
        <v>1.5</v>
      </c>
      <c r="K430" s="669">
        <v>0.255</v>
      </c>
      <c r="L430" s="669">
        <v>1.7549999999999999</v>
      </c>
    </row>
    <row r="431" spans="1:12">
      <c r="A431" s="423" t="s">
        <v>7498</v>
      </c>
      <c r="B431" s="423" t="s">
        <v>101</v>
      </c>
      <c r="C431" s="246">
        <v>120485455</v>
      </c>
      <c r="D431" s="246">
        <v>114320955</v>
      </c>
      <c r="E431" s="246">
        <v>115806915</v>
      </c>
      <c r="F431" s="246">
        <v>109642415</v>
      </c>
      <c r="G431" s="246">
        <v>6164500</v>
      </c>
      <c r="H431" s="246">
        <v>4678540</v>
      </c>
      <c r="J431" s="669">
        <v>1.5</v>
      </c>
      <c r="K431" s="669">
        <v>0</v>
      </c>
      <c r="L431" s="669">
        <v>1.5</v>
      </c>
    </row>
    <row r="432" spans="1:12">
      <c r="A432" s="423" t="s">
        <v>7499</v>
      </c>
      <c r="B432" s="423" t="s">
        <v>877</v>
      </c>
      <c r="C432" s="246">
        <v>1807048892</v>
      </c>
      <c r="D432" s="246">
        <v>1735901739</v>
      </c>
      <c r="E432" s="246">
        <v>1749270658</v>
      </c>
      <c r="F432" s="246">
        <v>1678123505</v>
      </c>
      <c r="G432" s="246">
        <v>71147153</v>
      </c>
      <c r="H432" s="246">
        <v>57778234</v>
      </c>
      <c r="J432" s="669">
        <v>1.44459</v>
      </c>
      <c r="K432" s="669">
        <v>5.5410000000000001E-2</v>
      </c>
      <c r="L432" s="669">
        <v>1.5</v>
      </c>
    </row>
    <row r="433" spans="1:12">
      <c r="A433" s="423" t="s">
        <v>7500</v>
      </c>
      <c r="B433" s="423" t="s">
        <v>878</v>
      </c>
      <c r="C433" s="246">
        <v>278067753</v>
      </c>
      <c r="D433" s="246">
        <v>269216153</v>
      </c>
      <c r="E433" s="246">
        <v>271413543</v>
      </c>
      <c r="F433" s="246">
        <v>262561943</v>
      </c>
      <c r="G433" s="246">
        <v>8851600</v>
      </c>
      <c r="H433" s="246">
        <v>6654210</v>
      </c>
      <c r="J433" s="669">
        <v>1.5</v>
      </c>
      <c r="K433" s="669">
        <v>0.22489999999999999</v>
      </c>
      <c r="L433" s="669">
        <v>1.7249000000000001</v>
      </c>
    </row>
    <row r="434" spans="1:12">
      <c r="A434" s="423" t="s">
        <v>7501</v>
      </c>
      <c r="B434" s="423" t="s">
        <v>879</v>
      </c>
      <c r="C434" s="246">
        <v>1987366026</v>
      </c>
      <c r="D434" s="246">
        <v>1945985766</v>
      </c>
      <c r="E434" s="246">
        <v>1943418843</v>
      </c>
      <c r="F434" s="246">
        <v>1902038583</v>
      </c>
      <c r="G434" s="246">
        <v>41380260</v>
      </c>
      <c r="H434" s="246">
        <v>43947183</v>
      </c>
      <c r="J434" s="669">
        <v>1.4730000000000001</v>
      </c>
      <c r="K434" s="669">
        <v>0.114</v>
      </c>
      <c r="L434" s="669">
        <v>1.587</v>
      </c>
    </row>
    <row r="435" spans="1:12">
      <c r="A435" s="423" t="s">
        <v>7502</v>
      </c>
      <c r="B435" s="423" t="s">
        <v>880</v>
      </c>
      <c r="C435" s="246">
        <v>131326654</v>
      </c>
      <c r="D435" s="246">
        <v>124886414</v>
      </c>
      <c r="E435" s="246">
        <v>126217404</v>
      </c>
      <c r="F435" s="246">
        <v>119777164</v>
      </c>
      <c r="G435" s="246">
        <v>6440240</v>
      </c>
      <c r="H435" s="246">
        <v>5109250</v>
      </c>
      <c r="J435" s="669">
        <v>1.44</v>
      </c>
      <c r="K435" s="669">
        <v>7.0000000000000007E-2</v>
      </c>
      <c r="L435" s="669">
        <v>1.51</v>
      </c>
    </row>
    <row r="436" spans="1:12">
      <c r="A436" s="423" t="s">
        <v>7503</v>
      </c>
      <c r="B436" s="423" t="s">
        <v>881</v>
      </c>
      <c r="C436" s="246">
        <v>386754949</v>
      </c>
      <c r="D436" s="246">
        <v>374615079</v>
      </c>
      <c r="E436" s="246">
        <v>378259624</v>
      </c>
      <c r="F436" s="246">
        <v>366119754</v>
      </c>
      <c r="G436" s="246">
        <v>12139870</v>
      </c>
      <c r="H436" s="246">
        <v>8495325</v>
      </c>
      <c r="J436" s="669">
        <v>1.4359999999999999</v>
      </c>
      <c r="K436" s="669">
        <v>0.1</v>
      </c>
      <c r="L436" s="669">
        <v>1.536</v>
      </c>
    </row>
    <row r="437" spans="1:12">
      <c r="A437" s="423" t="s">
        <v>7504</v>
      </c>
      <c r="B437" s="423" t="s">
        <v>834</v>
      </c>
      <c r="C437" s="246">
        <v>111905211</v>
      </c>
      <c r="D437" s="246">
        <v>110974887</v>
      </c>
      <c r="E437" s="246">
        <v>111905211</v>
      </c>
      <c r="F437" s="246">
        <v>110974887</v>
      </c>
      <c r="G437" s="246">
        <v>930324</v>
      </c>
      <c r="H437" s="246">
        <v>0</v>
      </c>
      <c r="J437" s="669">
        <v>1.4814799999999999</v>
      </c>
      <c r="K437" s="669">
        <v>0</v>
      </c>
      <c r="L437" s="669">
        <v>1.4814799999999999</v>
      </c>
    </row>
    <row r="438" spans="1:12">
      <c r="A438" s="423" t="s">
        <v>7505</v>
      </c>
      <c r="B438" s="423" t="s">
        <v>835</v>
      </c>
      <c r="C438" s="246">
        <v>78798371</v>
      </c>
      <c r="D438" s="246">
        <v>77532490</v>
      </c>
      <c r="E438" s="246">
        <v>78798371</v>
      </c>
      <c r="F438" s="246">
        <v>77532490</v>
      </c>
      <c r="G438" s="246">
        <v>1265881</v>
      </c>
      <c r="H438" s="246">
        <v>0</v>
      </c>
      <c r="J438" s="669">
        <v>1.4810000000000001</v>
      </c>
      <c r="K438" s="669">
        <v>8.6599999999999996E-2</v>
      </c>
      <c r="L438" s="669">
        <v>1.5676000000000001</v>
      </c>
    </row>
    <row r="439" spans="1:12">
      <c r="A439" s="423" t="s">
        <v>7506</v>
      </c>
      <c r="B439" s="423" t="s">
        <v>6847</v>
      </c>
      <c r="C439" s="246">
        <v>114216501</v>
      </c>
      <c r="D439" s="246">
        <v>104892985</v>
      </c>
      <c r="E439" s="246">
        <v>114216501</v>
      </c>
      <c r="F439" s="246">
        <v>104892985</v>
      </c>
      <c r="G439" s="246">
        <v>9323516</v>
      </c>
      <c r="H439" s="246">
        <v>0</v>
      </c>
      <c r="J439" s="669">
        <v>1.5</v>
      </c>
      <c r="K439" s="669">
        <v>0</v>
      </c>
      <c r="L439" s="669">
        <v>1.5</v>
      </c>
    </row>
    <row r="440" spans="1:12">
      <c r="A440" s="423" t="s">
        <v>7507</v>
      </c>
      <c r="B440" s="423" t="s">
        <v>837</v>
      </c>
      <c r="C440" s="246">
        <v>29090544</v>
      </c>
      <c r="D440" s="246">
        <v>26894714</v>
      </c>
      <c r="E440" s="246">
        <v>28574528</v>
      </c>
      <c r="F440" s="246">
        <v>26378698</v>
      </c>
      <c r="G440" s="246">
        <v>2195830</v>
      </c>
      <c r="H440" s="246">
        <v>516016</v>
      </c>
      <c r="J440" s="669">
        <v>1.5</v>
      </c>
      <c r="K440" s="669">
        <v>0</v>
      </c>
      <c r="L440" s="669">
        <v>1.5</v>
      </c>
    </row>
    <row r="441" spans="1:12">
      <c r="A441" s="423" t="s">
        <v>7508</v>
      </c>
      <c r="B441" s="423" t="s">
        <v>838</v>
      </c>
      <c r="C441" s="246">
        <v>35490251</v>
      </c>
      <c r="D441" s="246">
        <v>34509101</v>
      </c>
      <c r="E441" s="246">
        <v>35490251</v>
      </c>
      <c r="F441" s="246">
        <v>34509101</v>
      </c>
      <c r="G441" s="246">
        <v>981150</v>
      </c>
      <c r="H441" s="246">
        <v>0</v>
      </c>
      <c r="J441" s="669">
        <v>1.5</v>
      </c>
      <c r="K441" s="669">
        <v>0</v>
      </c>
      <c r="L441" s="669">
        <v>1.5</v>
      </c>
    </row>
    <row r="442" spans="1:12">
      <c r="A442" s="423" t="s">
        <v>7509</v>
      </c>
      <c r="B442" s="423" t="s">
        <v>7510</v>
      </c>
      <c r="C442" s="246">
        <v>2589006441</v>
      </c>
      <c r="D442" s="246">
        <v>2523519493</v>
      </c>
      <c r="E442" s="246">
        <v>2589006441</v>
      </c>
      <c r="F442" s="246">
        <v>2523519493</v>
      </c>
      <c r="G442" s="246">
        <v>65486948</v>
      </c>
      <c r="H442" s="246">
        <v>0</v>
      </c>
      <c r="J442" s="669">
        <v>1.5</v>
      </c>
      <c r="K442" s="669">
        <v>0.33</v>
      </c>
      <c r="L442" s="669">
        <v>1.83</v>
      </c>
    </row>
    <row r="443" spans="1:12">
      <c r="A443" s="423" t="s">
        <v>7511</v>
      </c>
      <c r="B443" s="423" t="s">
        <v>3010</v>
      </c>
      <c r="C443" s="246">
        <v>1580116745</v>
      </c>
      <c r="D443" s="246">
        <v>1533647241</v>
      </c>
      <c r="E443" s="246">
        <v>1580116745</v>
      </c>
      <c r="F443" s="246">
        <v>1533647241</v>
      </c>
      <c r="G443" s="246">
        <v>46469504</v>
      </c>
      <c r="H443" s="246">
        <v>0</v>
      </c>
      <c r="J443" s="669">
        <v>1.5</v>
      </c>
      <c r="K443" s="669">
        <v>0.32600000000000001</v>
      </c>
      <c r="L443" s="669">
        <v>1.8260000000000001</v>
      </c>
    </row>
    <row r="444" spans="1:12">
      <c r="A444" s="423" t="s">
        <v>7512</v>
      </c>
      <c r="B444" s="423" t="s">
        <v>840</v>
      </c>
      <c r="C444" s="246">
        <v>1029094940</v>
      </c>
      <c r="D444" s="246">
        <v>992669028</v>
      </c>
      <c r="E444" s="246">
        <v>1029094940</v>
      </c>
      <c r="F444" s="246">
        <v>992669028</v>
      </c>
      <c r="G444" s="246">
        <v>36425912</v>
      </c>
      <c r="H444" s="246">
        <v>0</v>
      </c>
      <c r="J444" s="669">
        <v>1.5</v>
      </c>
      <c r="K444" s="669">
        <v>0.17269999999999999</v>
      </c>
      <c r="L444" s="669">
        <v>1.6727000000000001</v>
      </c>
    </row>
    <row r="445" spans="1:12">
      <c r="A445" s="423" t="s">
        <v>7513</v>
      </c>
      <c r="B445" s="423" t="s">
        <v>7514</v>
      </c>
      <c r="C445" s="246">
        <v>2339348794</v>
      </c>
      <c r="D445" s="246">
        <v>2241419808</v>
      </c>
      <c r="E445" s="246">
        <v>2339348794</v>
      </c>
      <c r="F445" s="246">
        <v>2241419808</v>
      </c>
      <c r="G445" s="246">
        <v>97928986</v>
      </c>
      <c r="H445" s="246">
        <v>0</v>
      </c>
      <c r="J445" s="669">
        <v>1.4850000000000001</v>
      </c>
      <c r="K445" s="669">
        <v>0.39129999999999998</v>
      </c>
      <c r="L445" s="669">
        <v>1.8763000000000001</v>
      </c>
    </row>
    <row r="446" spans="1:12">
      <c r="A446" s="423" t="s">
        <v>7515</v>
      </c>
      <c r="B446" s="423" t="s">
        <v>841</v>
      </c>
      <c r="C446" s="246">
        <v>1003689176</v>
      </c>
      <c r="D446" s="246">
        <v>995624606</v>
      </c>
      <c r="E446" s="246">
        <v>998601176</v>
      </c>
      <c r="F446" s="246">
        <v>990536606</v>
      </c>
      <c r="G446" s="246">
        <v>8064570</v>
      </c>
      <c r="H446" s="246">
        <v>5088000</v>
      </c>
      <c r="J446" s="669">
        <v>1.3197000000000001</v>
      </c>
      <c r="K446" s="669">
        <v>0.13400000000000001</v>
      </c>
      <c r="L446" s="669">
        <v>1.4537</v>
      </c>
    </row>
    <row r="447" spans="1:12">
      <c r="A447" s="423" t="s">
        <v>7516</v>
      </c>
      <c r="B447" s="423" t="s">
        <v>842</v>
      </c>
      <c r="C447" s="246">
        <v>898915161</v>
      </c>
      <c r="D447" s="246">
        <v>851041341</v>
      </c>
      <c r="E447" s="246">
        <v>898915161</v>
      </c>
      <c r="F447" s="246">
        <v>851041341</v>
      </c>
      <c r="G447" s="246">
        <v>47873820</v>
      </c>
      <c r="H447" s="246">
        <v>0</v>
      </c>
      <c r="J447" s="669">
        <v>1.454</v>
      </c>
      <c r="K447" s="669">
        <v>0.11600000000000001</v>
      </c>
      <c r="L447" s="669">
        <v>1.57</v>
      </c>
    </row>
    <row r="448" spans="1:12">
      <c r="A448" s="423" t="s">
        <v>7517</v>
      </c>
      <c r="B448" s="423" t="s">
        <v>843</v>
      </c>
      <c r="C448" s="246">
        <v>530085046</v>
      </c>
      <c r="D448" s="246">
        <v>487170796</v>
      </c>
      <c r="E448" s="246">
        <v>499809581</v>
      </c>
      <c r="F448" s="246">
        <v>456895331</v>
      </c>
      <c r="G448" s="246">
        <v>42914250</v>
      </c>
      <c r="H448" s="246">
        <v>30275465</v>
      </c>
      <c r="J448" s="669">
        <v>1.5</v>
      </c>
      <c r="K448" s="669">
        <v>9.5000000000000001E-2</v>
      </c>
      <c r="L448" s="669">
        <v>1.595</v>
      </c>
    </row>
    <row r="449" spans="1:12">
      <c r="A449" s="423" t="s">
        <v>7518</v>
      </c>
      <c r="B449" s="423" t="s">
        <v>844</v>
      </c>
      <c r="C449" s="246">
        <v>219897480</v>
      </c>
      <c r="D449" s="246">
        <v>212669370</v>
      </c>
      <c r="E449" s="246">
        <v>219897480</v>
      </c>
      <c r="F449" s="246">
        <v>212669370</v>
      </c>
      <c r="G449" s="246">
        <v>7228110</v>
      </c>
      <c r="H449" s="246">
        <v>0</v>
      </c>
      <c r="J449" s="669">
        <v>1.409</v>
      </c>
      <c r="K449" s="669">
        <v>0.19</v>
      </c>
      <c r="L449" s="669">
        <v>1.599</v>
      </c>
    </row>
    <row r="450" spans="1:12">
      <c r="A450" s="423" t="s">
        <v>7519</v>
      </c>
      <c r="B450" s="423" t="s">
        <v>845</v>
      </c>
      <c r="C450" s="246">
        <v>388514257</v>
      </c>
      <c r="D450" s="246">
        <v>365796247</v>
      </c>
      <c r="E450" s="246">
        <v>371236754</v>
      </c>
      <c r="F450" s="246">
        <v>348518744</v>
      </c>
      <c r="G450" s="246">
        <v>22718010</v>
      </c>
      <c r="H450" s="246">
        <v>17277503</v>
      </c>
      <c r="J450" s="669">
        <v>1.4</v>
      </c>
      <c r="K450" s="669">
        <v>0.05</v>
      </c>
      <c r="L450" s="669">
        <v>1.45</v>
      </c>
    </row>
    <row r="451" spans="1:12">
      <c r="A451" s="423" t="s">
        <v>7520</v>
      </c>
      <c r="B451" s="423" t="s">
        <v>846</v>
      </c>
      <c r="C451" s="246">
        <v>693346249</v>
      </c>
      <c r="D451" s="246">
        <v>665688339</v>
      </c>
      <c r="E451" s="246">
        <v>693346249</v>
      </c>
      <c r="F451" s="246">
        <v>665688339</v>
      </c>
      <c r="G451" s="246">
        <v>27657910</v>
      </c>
      <c r="H451" s="246">
        <v>0</v>
      </c>
      <c r="J451" s="669">
        <v>1.35</v>
      </c>
      <c r="K451" s="669">
        <v>0.14899999999999999</v>
      </c>
      <c r="L451" s="669">
        <v>1.4990000000000001</v>
      </c>
    </row>
    <row r="452" spans="1:12">
      <c r="A452" s="423" t="s">
        <v>7521</v>
      </c>
      <c r="B452" s="423" t="s">
        <v>5368</v>
      </c>
      <c r="C452" s="246">
        <v>49614403</v>
      </c>
      <c r="D452" s="246">
        <v>47318813</v>
      </c>
      <c r="E452" s="246">
        <v>48826363</v>
      </c>
      <c r="F452" s="246">
        <v>46530773</v>
      </c>
      <c r="G452" s="246">
        <v>2295590</v>
      </c>
      <c r="H452" s="246">
        <v>788040</v>
      </c>
      <c r="J452" s="669">
        <v>1.5</v>
      </c>
      <c r="K452" s="669">
        <v>0.33</v>
      </c>
      <c r="L452" s="669">
        <v>1.83</v>
      </c>
    </row>
    <row r="453" spans="1:12">
      <c r="A453" s="423" t="s">
        <v>7522</v>
      </c>
      <c r="B453" s="423" t="s">
        <v>328</v>
      </c>
      <c r="C453" s="246">
        <v>35335687</v>
      </c>
      <c r="D453" s="246">
        <v>33082387</v>
      </c>
      <c r="E453" s="246">
        <v>35335687</v>
      </c>
      <c r="F453" s="246">
        <v>33082387</v>
      </c>
      <c r="G453" s="246">
        <v>2253300</v>
      </c>
      <c r="H453" s="246">
        <v>0</v>
      </c>
      <c r="J453" s="669">
        <v>1.456</v>
      </c>
      <c r="K453" s="669">
        <v>0</v>
      </c>
      <c r="L453" s="669">
        <v>1.456</v>
      </c>
    </row>
    <row r="454" spans="1:12">
      <c r="A454" s="423" t="s">
        <v>7523</v>
      </c>
      <c r="B454" s="423" t="s">
        <v>847</v>
      </c>
      <c r="C454" s="246">
        <v>358526365</v>
      </c>
      <c r="D454" s="246">
        <v>351636425</v>
      </c>
      <c r="E454" s="246">
        <v>354154521</v>
      </c>
      <c r="F454" s="246">
        <v>347264581</v>
      </c>
      <c r="G454" s="246">
        <v>6889940</v>
      </c>
      <c r="H454" s="246">
        <v>4371844</v>
      </c>
      <c r="J454" s="669">
        <v>1.36</v>
      </c>
      <c r="K454" s="669">
        <v>7.0000000000000007E-2</v>
      </c>
      <c r="L454" s="669">
        <v>1.43</v>
      </c>
    </row>
    <row r="455" spans="1:12">
      <c r="A455" s="423" t="s">
        <v>7524</v>
      </c>
      <c r="B455" s="423" t="s">
        <v>7525</v>
      </c>
      <c r="C455" s="246">
        <v>741785857</v>
      </c>
      <c r="D455" s="246">
        <v>668377811</v>
      </c>
      <c r="E455" s="246">
        <v>741785857</v>
      </c>
      <c r="F455" s="246">
        <v>668377811</v>
      </c>
      <c r="G455" s="246">
        <v>73408046</v>
      </c>
      <c r="H455" s="246">
        <v>0</v>
      </c>
      <c r="J455" s="669">
        <v>1.5</v>
      </c>
      <c r="K455" s="669">
        <v>0.16</v>
      </c>
      <c r="L455" s="669">
        <v>1.66</v>
      </c>
    </row>
    <row r="456" spans="1:12">
      <c r="A456" s="423" t="s">
        <v>7526</v>
      </c>
      <c r="B456" s="423" t="s">
        <v>3015</v>
      </c>
      <c r="C456" s="246">
        <v>206830484</v>
      </c>
      <c r="D456" s="246">
        <v>181094357</v>
      </c>
      <c r="E456" s="246">
        <v>206830484</v>
      </c>
      <c r="F456" s="246">
        <v>181094357</v>
      </c>
      <c r="G456" s="246">
        <v>25736127</v>
      </c>
      <c r="H456" s="246">
        <v>0</v>
      </c>
      <c r="J456" s="669">
        <v>1.5</v>
      </c>
      <c r="K456" s="669">
        <v>0.1</v>
      </c>
      <c r="L456" s="669">
        <v>1.6</v>
      </c>
    </row>
    <row r="457" spans="1:12">
      <c r="A457" s="423" t="s">
        <v>7527</v>
      </c>
      <c r="B457" s="423" t="s">
        <v>7528</v>
      </c>
      <c r="C457" s="246">
        <v>3749738599</v>
      </c>
      <c r="D457" s="246">
        <v>3595383229</v>
      </c>
      <c r="E457" s="246">
        <v>3749738599</v>
      </c>
      <c r="F457" s="246">
        <v>3595383229</v>
      </c>
      <c r="G457" s="246">
        <v>154355370</v>
      </c>
      <c r="H457" s="246">
        <v>0</v>
      </c>
      <c r="J457" s="669">
        <v>1.5</v>
      </c>
      <c r="K457" s="669">
        <v>7.51E-2</v>
      </c>
      <c r="L457" s="669">
        <v>1.5750999999999999</v>
      </c>
    </row>
    <row r="458" spans="1:12">
      <c r="A458" s="423" t="s">
        <v>7529</v>
      </c>
      <c r="B458" s="423" t="s">
        <v>3845</v>
      </c>
      <c r="C458" s="246">
        <v>260206594</v>
      </c>
      <c r="D458" s="246">
        <v>248536569</v>
      </c>
      <c r="E458" s="246">
        <v>260206594</v>
      </c>
      <c r="F458" s="246">
        <v>248536569</v>
      </c>
      <c r="G458" s="246">
        <v>11670025</v>
      </c>
      <c r="H458" s="246">
        <v>0</v>
      </c>
      <c r="J458" s="669">
        <v>1.5</v>
      </c>
      <c r="K458" s="669">
        <v>0.11</v>
      </c>
      <c r="L458" s="669">
        <v>1.61</v>
      </c>
    </row>
    <row r="459" spans="1:12">
      <c r="A459" s="423" t="s">
        <v>7530</v>
      </c>
      <c r="B459" s="423" t="s">
        <v>6073</v>
      </c>
      <c r="C459" s="246">
        <v>4803782029</v>
      </c>
      <c r="D459" s="246">
        <v>4623458972</v>
      </c>
      <c r="E459" s="246">
        <v>4803782029</v>
      </c>
      <c r="F459" s="246">
        <v>4623458972</v>
      </c>
      <c r="G459" s="246">
        <v>180323057</v>
      </c>
      <c r="H459" s="246">
        <v>0</v>
      </c>
      <c r="J459" s="669">
        <v>1.5</v>
      </c>
      <c r="K459" s="669">
        <v>0.11550000000000001</v>
      </c>
      <c r="L459" s="669">
        <v>1.6154999999999999</v>
      </c>
    </row>
    <row r="460" spans="1:12">
      <c r="A460" s="423" t="s">
        <v>7531</v>
      </c>
      <c r="B460" s="423" t="s">
        <v>495</v>
      </c>
      <c r="C460" s="246">
        <v>251582777</v>
      </c>
      <c r="D460" s="246">
        <v>222259692</v>
      </c>
      <c r="E460" s="246">
        <v>251582777</v>
      </c>
      <c r="F460" s="246">
        <v>222259692</v>
      </c>
      <c r="G460" s="246">
        <v>29323085</v>
      </c>
      <c r="H460" s="246">
        <v>0</v>
      </c>
      <c r="J460" s="669">
        <v>1.5</v>
      </c>
      <c r="K460" s="669">
        <v>0.16</v>
      </c>
      <c r="L460" s="669">
        <v>1.66</v>
      </c>
    </row>
    <row r="461" spans="1:12">
      <c r="A461" s="423" t="s">
        <v>7532</v>
      </c>
      <c r="B461" s="423" t="s">
        <v>7533</v>
      </c>
      <c r="C461" s="246">
        <v>1221029341</v>
      </c>
      <c r="D461" s="246">
        <v>1127212874</v>
      </c>
      <c r="E461" s="246">
        <v>1221029341</v>
      </c>
      <c r="F461" s="246">
        <v>1127212874</v>
      </c>
      <c r="G461" s="246">
        <v>93816467</v>
      </c>
      <c r="H461" s="246">
        <v>0</v>
      </c>
      <c r="J461" s="669">
        <v>1.5</v>
      </c>
      <c r="K461" s="669">
        <v>6.3200000000000006E-2</v>
      </c>
      <c r="L461" s="669">
        <v>1.5631999999999999</v>
      </c>
    </row>
    <row r="462" spans="1:12">
      <c r="A462" s="423" t="s">
        <v>7534</v>
      </c>
      <c r="B462" s="423" t="s">
        <v>340</v>
      </c>
      <c r="C462" s="246">
        <v>2492842587</v>
      </c>
      <c r="D462" s="246">
        <v>2323907427</v>
      </c>
      <c r="E462" s="246">
        <v>2492842587</v>
      </c>
      <c r="F462" s="246">
        <v>2323907427</v>
      </c>
      <c r="G462" s="246">
        <v>168935160</v>
      </c>
      <c r="H462" s="246">
        <v>0</v>
      </c>
      <c r="J462" s="669">
        <v>1.5</v>
      </c>
      <c r="K462" s="669">
        <v>0.113534</v>
      </c>
      <c r="L462" s="669">
        <v>1.6135299999999999</v>
      </c>
    </row>
    <row r="463" spans="1:12">
      <c r="A463" s="423" t="s">
        <v>7535</v>
      </c>
      <c r="B463" s="423" t="s">
        <v>353</v>
      </c>
      <c r="C463" s="246">
        <v>88571325</v>
      </c>
      <c r="D463" s="246">
        <v>79354995</v>
      </c>
      <c r="E463" s="246">
        <v>88571325</v>
      </c>
      <c r="F463" s="246">
        <v>79354995</v>
      </c>
      <c r="G463" s="246">
        <v>9216330</v>
      </c>
      <c r="H463" s="246">
        <v>0</v>
      </c>
      <c r="J463" s="669">
        <v>1.5</v>
      </c>
      <c r="K463" s="669">
        <v>0.154</v>
      </c>
      <c r="L463" s="669">
        <v>1.6539999999999999</v>
      </c>
    </row>
    <row r="464" spans="1:12">
      <c r="A464" s="423" t="s">
        <v>7536</v>
      </c>
      <c r="B464" s="423" t="s">
        <v>848</v>
      </c>
      <c r="C464" s="246">
        <v>1478732776</v>
      </c>
      <c r="D464" s="246">
        <v>1424246720</v>
      </c>
      <c r="E464" s="246">
        <v>1478732776</v>
      </c>
      <c r="F464" s="246">
        <v>1424246720</v>
      </c>
      <c r="G464" s="246">
        <v>54486056</v>
      </c>
      <c r="H464" s="246">
        <v>0</v>
      </c>
      <c r="J464" s="669">
        <v>1.5</v>
      </c>
      <c r="K464" s="669">
        <v>6.5000000000000002E-2</v>
      </c>
      <c r="L464" s="669">
        <v>1.5649999999999999</v>
      </c>
    </row>
    <row r="465" spans="1:12">
      <c r="A465" s="423" t="s">
        <v>7537</v>
      </c>
      <c r="B465" s="423" t="s">
        <v>2153</v>
      </c>
      <c r="C465" s="246">
        <v>1659789191</v>
      </c>
      <c r="D465" s="246">
        <v>1542640063</v>
      </c>
      <c r="E465" s="246">
        <v>1659789191</v>
      </c>
      <c r="F465" s="246">
        <v>1542640063</v>
      </c>
      <c r="G465" s="246">
        <v>117149128</v>
      </c>
      <c r="H465" s="246">
        <v>0</v>
      </c>
      <c r="J465" s="669">
        <v>1.5</v>
      </c>
      <c r="K465" s="669">
        <v>0.14199999999999999</v>
      </c>
      <c r="L465" s="669">
        <v>1.6419999999999999</v>
      </c>
    </row>
    <row r="466" spans="1:12">
      <c r="A466" s="423" t="s">
        <v>7538</v>
      </c>
      <c r="B466" s="423" t="s">
        <v>4065</v>
      </c>
      <c r="C466" s="246">
        <v>1286032884</v>
      </c>
      <c r="D466" s="246">
        <v>1189024623</v>
      </c>
      <c r="E466" s="246">
        <v>1286032884</v>
      </c>
      <c r="F466" s="246">
        <v>1189024623</v>
      </c>
      <c r="G466" s="246">
        <v>97008261</v>
      </c>
      <c r="H466" s="246">
        <v>0</v>
      </c>
      <c r="J466" s="669">
        <v>1.3859999999999999</v>
      </c>
      <c r="K466" s="669">
        <v>4.3999999999999997E-2</v>
      </c>
      <c r="L466" s="669">
        <v>1.43</v>
      </c>
    </row>
    <row r="467" spans="1:12">
      <c r="A467" s="423" t="s">
        <v>7539</v>
      </c>
      <c r="B467" s="423" t="s">
        <v>184</v>
      </c>
      <c r="C467" s="246">
        <v>54865941</v>
      </c>
      <c r="D467" s="246">
        <v>50861379</v>
      </c>
      <c r="E467" s="246">
        <v>54865941</v>
      </c>
      <c r="F467" s="246">
        <v>50861379</v>
      </c>
      <c r="G467" s="246">
        <v>4004562</v>
      </c>
      <c r="H467" s="246">
        <v>0</v>
      </c>
      <c r="J467" s="669">
        <v>1.5</v>
      </c>
      <c r="K467" s="669">
        <v>0.12670000000000001</v>
      </c>
      <c r="L467" s="669">
        <v>1.6267</v>
      </c>
    </row>
    <row r="468" spans="1:12">
      <c r="A468" s="423" t="s">
        <v>7540</v>
      </c>
      <c r="B468" s="423" t="s">
        <v>503</v>
      </c>
      <c r="C468" s="246">
        <v>52049353</v>
      </c>
      <c r="D468" s="246">
        <v>47768193</v>
      </c>
      <c r="E468" s="246">
        <v>52049353</v>
      </c>
      <c r="F468" s="246">
        <v>47768193</v>
      </c>
      <c r="G468" s="246">
        <v>4281160</v>
      </c>
      <c r="H468" s="246">
        <v>0</v>
      </c>
      <c r="J468" s="669">
        <v>1.5</v>
      </c>
      <c r="K468" s="669">
        <v>4.5999999999999999E-2</v>
      </c>
      <c r="L468" s="669">
        <v>1.546</v>
      </c>
    </row>
    <row r="469" spans="1:12">
      <c r="A469" s="423" t="s">
        <v>7541</v>
      </c>
      <c r="B469" s="423" t="s">
        <v>5372</v>
      </c>
      <c r="C469" s="246">
        <v>248365156</v>
      </c>
      <c r="D469" s="246">
        <v>233003395</v>
      </c>
      <c r="E469" s="246">
        <v>248365156</v>
      </c>
      <c r="F469" s="246">
        <v>233003395</v>
      </c>
      <c r="G469" s="246">
        <v>15361761</v>
      </c>
      <c r="H469" s="246">
        <v>0</v>
      </c>
      <c r="J469" s="669">
        <v>1.5</v>
      </c>
      <c r="K469" s="669">
        <v>4.8899999999999999E-2</v>
      </c>
      <c r="L469" s="669">
        <v>1.5488999999999999</v>
      </c>
    </row>
    <row r="470" spans="1:12">
      <c r="A470" s="423" t="s">
        <v>7542</v>
      </c>
      <c r="B470" s="423" t="s">
        <v>324</v>
      </c>
      <c r="C470" s="246">
        <v>43285782</v>
      </c>
      <c r="D470" s="246">
        <v>40228773</v>
      </c>
      <c r="E470" s="246">
        <v>43285782</v>
      </c>
      <c r="F470" s="246">
        <v>40228773</v>
      </c>
      <c r="G470" s="246">
        <v>3057009</v>
      </c>
      <c r="H470" s="246">
        <v>0</v>
      </c>
      <c r="J470" s="669">
        <v>1.5</v>
      </c>
      <c r="K470" s="669">
        <v>0</v>
      </c>
      <c r="L470" s="669">
        <v>1.5</v>
      </c>
    </row>
    <row r="471" spans="1:12">
      <c r="A471" s="423" t="s">
        <v>7543</v>
      </c>
      <c r="B471" s="423" t="s">
        <v>6096</v>
      </c>
      <c r="C471" s="246">
        <v>33963990</v>
      </c>
      <c r="D471" s="246">
        <v>31528619</v>
      </c>
      <c r="E471" s="246">
        <v>33963990</v>
      </c>
      <c r="F471" s="246">
        <v>31528619</v>
      </c>
      <c r="G471" s="246">
        <v>2435371</v>
      </c>
      <c r="H471" s="246">
        <v>0</v>
      </c>
      <c r="J471" s="669">
        <v>1.5</v>
      </c>
      <c r="K471" s="669">
        <v>6.7000000000000004E-2</v>
      </c>
      <c r="L471" s="669">
        <v>1.5669999999999999</v>
      </c>
    </row>
    <row r="472" spans="1:12">
      <c r="A472" s="423" t="s">
        <v>7544</v>
      </c>
      <c r="B472" s="423" t="s">
        <v>5246</v>
      </c>
      <c r="C472" s="246">
        <v>45184523</v>
      </c>
      <c r="D472" s="246">
        <v>41155666</v>
      </c>
      <c r="E472" s="246">
        <v>45184523</v>
      </c>
      <c r="F472" s="246">
        <v>41155666</v>
      </c>
      <c r="G472" s="246">
        <v>4028857</v>
      </c>
      <c r="H472" s="246">
        <v>0</v>
      </c>
      <c r="J472" s="669">
        <v>1.46</v>
      </c>
      <c r="K472" s="669">
        <v>0.1</v>
      </c>
      <c r="L472" s="669">
        <v>1.56</v>
      </c>
    </row>
    <row r="473" spans="1:12">
      <c r="A473" s="423" t="s">
        <v>7545</v>
      </c>
      <c r="B473" s="423" t="s">
        <v>3847</v>
      </c>
      <c r="C473" s="246">
        <v>404698492</v>
      </c>
      <c r="D473" s="246">
        <v>383326589</v>
      </c>
      <c r="E473" s="246">
        <v>404698492</v>
      </c>
      <c r="F473" s="246">
        <v>383326589</v>
      </c>
      <c r="G473" s="246">
        <v>21371903</v>
      </c>
      <c r="H473" s="246">
        <v>0</v>
      </c>
      <c r="J473" s="669">
        <v>1.5</v>
      </c>
      <c r="K473" s="669">
        <v>0.26269999999999999</v>
      </c>
      <c r="L473" s="669">
        <v>1.7626999999999999</v>
      </c>
    </row>
    <row r="474" spans="1:12">
      <c r="A474" s="423" t="s">
        <v>7546</v>
      </c>
      <c r="B474" s="423" t="s">
        <v>3852</v>
      </c>
      <c r="C474" s="246">
        <v>54392528</v>
      </c>
      <c r="D474" s="246">
        <v>49008214</v>
      </c>
      <c r="E474" s="246">
        <v>54392528</v>
      </c>
      <c r="F474" s="246">
        <v>49008214</v>
      </c>
      <c r="G474" s="246">
        <v>5384314</v>
      </c>
      <c r="H474" s="246">
        <v>0</v>
      </c>
      <c r="J474" s="669">
        <v>1.5</v>
      </c>
      <c r="K474" s="669">
        <v>0.18679999999999999</v>
      </c>
      <c r="L474" s="669">
        <v>1.6868000000000001</v>
      </c>
    </row>
    <row r="475" spans="1:12">
      <c r="A475" s="423" t="s">
        <v>7547</v>
      </c>
      <c r="B475" s="423" t="s">
        <v>1907</v>
      </c>
      <c r="C475" s="246">
        <v>107021846</v>
      </c>
      <c r="D475" s="246">
        <v>99154386</v>
      </c>
      <c r="E475" s="246">
        <v>107021846</v>
      </c>
      <c r="F475" s="246">
        <v>99154386</v>
      </c>
      <c r="G475" s="246">
        <v>7867460</v>
      </c>
      <c r="H475" s="246">
        <v>0</v>
      </c>
      <c r="J475" s="669">
        <v>1.5</v>
      </c>
      <c r="K475" s="669">
        <v>8.9399999999999993E-2</v>
      </c>
      <c r="L475" s="669">
        <v>1.5893999999999999</v>
      </c>
    </row>
    <row r="476" spans="1:12">
      <c r="A476" s="423" t="s">
        <v>7548</v>
      </c>
      <c r="B476" s="423" t="s">
        <v>326</v>
      </c>
      <c r="C476" s="246">
        <v>20537566</v>
      </c>
      <c r="D476" s="246">
        <v>19084955</v>
      </c>
      <c r="E476" s="246">
        <v>20537566</v>
      </c>
      <c r="F476" s="246">
        <v>19084955</v>
      </c>
      <c r="G476" s="246">
        <v>1452611</v>
      </c>
      <c r="H476" s="246">
        <v>0</v>
      </c>
      <c r="J476" s="669">
        <v>1.45</v>
      </c>
      <c r="K476" s="669">
        <v>0</v>
      </c>
      <c r="L476" s="669">
        <v>1.45</v>
      </c>
    </row>
    <row r="477" spans="1:12">
      <c r="A477" s="423" t="s">
        <v>7549</v>
      </c>
      <c r="B477" s="423" t="s">
        <v>504</v>
      </c>
      <c r="C477" s="246">
        <v>21630389</v>
      </c>
      <c r="D477" s="246">
        <v>19463455</v>
      </c>
      <c r="E477" s="246">
        <v>21630389</v>
      </c>
      <c r="F477" s="246">
        <v>19463455</v>
      </c>
      <c r="G477" s="246">
        <v>2166934</v>
      </c>
      <c r="H477" s="246">
        <v>0</v>
      </c>
      <c r="J477" s="669">
        <v>1.5</v>
      </c>
      <c r="K477" s="669">
        <v>0</v>
      </c>
      <c r="L477" s="669">
        <v>1.5</v>
      </c>
    </row>
    <row r="478" spans="1:12">
      <c r="A478" s="423" t="s">
        <v>7550</v>
      </c>
      <c r="B478" s="423" t="s">
        <v>849</v>
      </c>
      <c r="C478" s="246">
        <v>431555646</v>
      </c>
      <c r="D478" s="246">
        <v>406655434</v>
      </c>
      <c r="E478" s="246">
        <v>431555646</v>
      </c>
      <c r="F478" s="246">
        <v>406655434</v>
      </c>
      <c r="G478" s="246">
        <v>24900212</v>
      </c>
      <c r="H478" s="246">
        <v>0</v>
      </c>
      <c r="J478" s="669">
        <v>1.5</v>
      </c>
      <c r="K478" s="669">
        <v>0.13109999999999999</v>
      </c>
      <c r="L478" s="669">
        <v>1.6311</v>
      </c>
    </row>
    <row r="479" spans="1:12">
      <c r="A479" s="423" t="s">
        <v>7551</v>
      </c>
      <c r="B479" s="423" t="s">
        <v>7686</v>
      </c>
      <c r="C479" s="246">
        <v>39789547</v>
      </c>
      <c r="D479" s="246">
        <v>36575099</v>
      </c>
      <c r="E479" s="246">
        <v>39789547</v>
      </c>
      <c r="F479" s="246">
        <v>36575099</v>
      </c>
      <c r="G479" s="246">
        <v>3214448</v>
      </c>
      <c r="H479" s="246">
        <v>0</v>
      </c>
      <c r="J479" s="669">
        <v>1.5</v>
      </c>
      <c r="K479" s="669">
        <v>7.4999999999999997E-2</v>
      </c>
      <c r="L479" s="669">
        <v>1.575</v>
      </c>
    </row>
    <row r="480" spans="1:12">
      <c r="A480" s="423" t="s">
        <v>7552</v>
      </c>
      <c r="B480" s="423" t="s">
        <v>7662</v>
      </c>
      <c r="C480" s="246">
        <v>57476816</v>
      </c>
      <c r="D480" s="246">
        <v>53358474</v>
      </c>
      <c r="E480" s="246">
        <v>57476816</v>
      </c>
      <c r="F480" s="246">
        <v>53358474</v>
      </c>
      <c r="G480" s="246">
        <v>4118342</v>
      </c>
      <c r="H480" s="246">
        <v>0</v>
      </c>
      <c r="J480" s="669">
        <v>1.5</v>
      </c>
      <c r="K480" s="669">
        <v>0.1381</v>
      </c>
      <c r="L480" s="669">
        <v>1.6380999999999999</v>
      </c>
    </row>
    <row r="481" spans="1:12">
      <c r="A481" s="423" t="s">
        <v>7553</v>
      </c>
      <c r="B481" s="423" t="s">
        <v>336</v>
      </c>
      <c r="C481" s="246">
        <v>20763593</v>
      </c>
      <c r="D481" s="246">
        <v>19142675</v>
      </c>
      <c r="E481" s="246">
        <v>20763593</v>
      </c>
      <c r="F481" s="246">
        <v>19142675</v>
      </c>
      <c r="G481" s="246">
        <v>1620918</v>
      </c>
      <c r="H481" s="246">
        <v>0</v>
      </c>
      <c r="J481" s="669">
        <v>1.5</v>
      </c>
      <c r="K481" s="669">
        <v>0</v>
      </c>
      <c r="L481" s="669">
        <v>1.5</v>
      </c>
    </row>
    <row r="482" spans="1:12">
      <c r="A482" s="423" t="s">
        <v>7554</v>
      </c>
      <c r="B482" s="423" t="s">
        <v>850</v>
      </c>
      <c r="C482" s="246">
        <v>87525824</v>
      </c>
      <c r="D482" s="246">
        <v>84434395</v>
      </c>
      <c r="E482" s="246">
        <v>86904057</v>
      </c>
      <c r="F482" s="246">
        <v>83812628</v>
      </c>
      <c r="G482" s="246">
        <v>3091429</v>
      </c>
      <c r="H482" s="246">
        <v>621767</v>
      </c>
      <c r="J482" s="669">
        <v>1.42</v>
      </c>
      <c r="K482" s="669">
        <v>0</v>
      </c>
      <c r="L482" s="669">
        <v>1.42</v>
      </c>
    </row>
    <row r="483" spans="1:12">
      <c r="A483" s="423" t="s">
        <v>7555</v>
      </c>
      <c r="B483" s="423" t="s">
        <v>7109</v>
      </c>
      <c r="C483" s="246">
        <v>1010399957</v>
      </c>
      <c r="D483" s="246">
        <v>975622314</v>
      </c>
      <c r="E483" s="246">
        <v>1010399957</v>
      </c>
      <c r="F483" s="246">
        <v>975622314</v>
      </c>
      <c r="G483" s="246">
        <v>34777643</v>
      </c>
      <c r="H483" s="246">
        <v>0</v>
      </c>
      <c r="J483" s="669">
        <v>1.48</v>
      </c>
      <c r="K483" s="669">
        <v>0.12770000000000001</v>
      </c>
      <c r="L483" s="669">
        <v>1.6076999999999999</v>
      </c>
    </row>
    <row r="484" spans="1:12">
      <c r="A484" s="423" t="s">
        <v>7556</v>
      </c>
      <c r="B484" s="423" t="s">
        <v>7110</v>
      </c>
      <c r="C484" s="246">
        <v>48062906</v>
      </c>
      <c r="D484" s="246">
        <v>45123643</v>
      </c>
      <c r="E484" s="246">
        <v>48062906</v>
      </c>
      <c r="F484" s="246">
        <v>45123643</v>
      </c>
      <c r="G484" s="246">
        <v>2939263</v>
      </c>
      <c r="H484" s="246">
        <v>0</v>
      </c>
      <c r="J484" s="669">
        <v>1.5</v>
      </c>
      <c r="K484" s="669">
        <v>0</v>
      </c>
      <c r="L484" s="669">
        <v>1.5</v>
      </c>
    </row>
    <row r="485" spans="1:12">
      <c r="A485" s="423" t="s">
        <v>7557</v>
      </c>
      <c r="B485" s="423" t="s">
        <v>2344</v>
      </c>
      <c r="C485" s="246">
        <v>65088658</v>
      </c>
      <c r="D485" s="246">
        <v>61076982</v>
      </c>
      <c r="E485" s="246">
        <v>65088658</v>
      </c>
      <c r="F485" s="246">
        <v>61076982</v>
      </c>
      <c r="G485" s="246">
        <v>4011676</v>
      </c>
      <c r="H485" s="246">
        <v>0</v>
      </c>
      <c r="J485" s="669">
        <v>1.5</v>
      </c>
      <c r="K485" s="669">
        <v>0</v>
      </c>
      <c r="L485" s="669">
        <v>1.5</v>
      </c>
    </row>
    <row r="486" spans="1:12">
      <c r="A486" s="423" t="s">
        <v>7558</v>
      </c>
      <c r="B486" s="423" t="s">
        <v>7111</v>
      </c>
      <c r="C486" s="246">
        <v>964752560</v>
      </c>
      <c r="D486" s="246">
        <v>960920547</v>
      </c>
      <c r="E486" s="246">
        <v>963420702</v>
      </c>
      <c r="F486" s="246">
        <v>959588689</v>
      </c>
      <c r="G486" s="246">
        <v>3832013</v>
      </c>
      <c r="H486" s="246">
        <v>1331858</v>
      </c>
      <c r="J486" s="669">
        <v>1.5</v>
      </c>
      <c r="K486" s="669">
        <v>0</v>
      </c>
      <c r="L486" s="669">
        <v>1.5</v>
      </c>
    </row>
    <row r="487" spans="1:12">
      <c r="A487" s="423" t="s">
        <v>7559</v>
      </c>
      <c r="B487" s="423" t="s">
        <v>7112</v>
      </c>
      <c r="C487" s="246">
        <v>42432979</v>
      </c>
      <c r="D487" s="246">
        <v>41259913</v>
      </c>
      <c r="E487" s="246">
        <v>42432979</v>
      </c>
      <c r="F487" s="246">
        <v>41259913</v>
      </c>
      <c r="G487" s="246">
        <v>1173066</v>
      </c>
      <c r="H487" s="246">
        <v>0</v>
      </c>
      <c r="J487" s="669">
        <v>1.5</v>
      </c>
      <c r="K487" s="669">
        <v>0</v>
      </c>
      <c r="L487" s="669">
        <v>1.5</v>
      </c>
    </row>
    <row r="488" spans="1:12">
      <c r="A488" s="423" t="s">
        <v>7560</v>
      </c>
      <c r="B488" s="423" t="s">
        <v>7113</v>
      </c>
      <c r="C488" s="246">
        <v>2696420162</v>
      </c>
      <c r="D488" s="246">
        <v>2580551795</v>
      </c>
      <c r="E488" s="246">
        <v>2696420162</v>
      </c>
      <c r="F488" s="246">
        <v>2580551795</v>
      </c>
      <c r="G488" s="246">
        <v>115868367</v>
      </c>
      <c r="H488" s="246">
        <v>0</v>
      </c>
      <c r="J488" s="669">
        <v>1.45</v>
      </c>
      <c r="K488" s="669">
        <v>0.22</v>
      </c>
      <c r="L488" s="669">
        <v>1.67</v>
      </c>
    </row>
    <row r="489" spans="1:12">
      <c r="A489" s="423" t="s">
        <v>7561</v>
      </c>
      <c r="B489" s="423" t="s">
        <v>193</v>
      </c>
      <c r="C489" s="246">
        <v>71721510</v>
      </c>
      <c r="D489" s="246">
        <v>67139410</v>
      </c>
      <c r="E489" s="246">
        <v>71721510</v>
      </c>
      <c r="F489" s="246">
        <v>67139410</v>
      </c>
      <c r="G489" s="246">
        <v>4582100</v>
      </c>
      <c r="H489" s="246">
        <v>0</v>
      </c>
      <c r="J489" s="669">
        <v>1.5</v>
      </c>
      <c r="K489" s="669">
        <v>0.18890000000000001</v>
      </c>
      <c r="L489" s="669">
        <v>1.6889000000000001</v>
      </c>
    </row>
    <row r="490" spans="1:12">
      <c r="A490" s="423" t="s">
        <v>3652</v>
      </c>
      <c r="B490" s="423" t="s">
        <v>5366</v>
      </c>
      <c r="C490" s="246">
        <v>91149132</v>
      </c>
      <c r="D490" s="246">
        <v>85085542</v>
      </c>
      <c r="E490" s="246">
        <v>91149132</v>
      </c>
      <c r="F490" s="246">
        <v>85085542</v>
      </c>
      <c r="G490" s="246">
        <v>6063590</v>
      </c>
      <c r="H490" s="246">
        <v>0</v>
      </c>
      <c r="J490" s="669">
        <v>1.5</v>
      </c>
      <c r="K490" s="669">
        <v>0.23452000000000001</v>
      </c>
      <c r="L490" s="669">
        <v>1.7345200000000001</v>
      </c>
    </row>
    <row r="491" spans="1:12">
      <c r="A491" s="423" t="s">
        <v>3653</v>
      </c>
      <c r="B491" s="423" t="s">
        <v>7114</v>
      </c>
      <c r="C491" s="246">
        <v>938449494</v>
      </c>
      <c r="D491" s="246">
        <v>887450069</v>
      </c>
      <c r="E491" s="246">
        <v>938449494</v>
      </c>
      <c r="F491" s="246">
        <v>887450069</v>
      </c>
      <c r="G491" s="246">
        <v>50999425</v>
      </c>
      <c r="H491" s="246">
        <v>0</v>
      </c>
      <c r="J491" s="669">
        <v>1.4255500000000001</v>
      </c>
      <c r="K491" s="669">
        <v>7.9100000000000004E-2</v>
      </c>
      <c r="L491" s="669">
        <v>1.50465</v>
      </c>
    </row>
    <row r="492" spans="1:12">
      <c r="A492" s="423" t="s">
        <v>3654</v>
      </c>
      <c r="B492" s="423" t="s">
        <v>991</v>
      </c>
      <c r="C492" s="246">
        <v>53469620</v>
      </c>
      <c r="D492" s="246">
        <v>48233600</v>
      </c>
      <c r="E492" s="246">
        <v>53469620</v>
      </c>
      <c r="F492" s="246">
        <v>48233600</v>
      </c>
      <c r="G492" s="246">
        <v>5236020</v>
      </c>
      <c r="H492" s="246">
        <v>0</v>
      </c>
      <c r="J492" s="669">
        <v>1.4112</v>
      </c>
      <c r="K492" s="669">
        <v>0.14000000000000001</v>
      </c>
      <c r="L492" s="669">
        <v>1.5511999999999999</v>
      </c>
    </row>
    <row r="493" spans="1:12">
      <c r="A493" s="423" t="s">
        <v>3655</v>
      </c>
      <c r="B493" s="423" t="s">
        <v>7115</v>
      </c>
      <c r="C493" s="246">
        <v>68204366</v>
      </c>
      <c r="D493" s="246">
        <v>63300456</v>
      </c>
      <c r="E493" s="246">
        <v>68204366</v>
      </c>
      <c r="F493" s="246">
        <v>63300456</v>
      </c>
      <c r="G493" s="246">
        <v>4903910</v>
      </c>
      <c r="H493" s="246">
        <v>0</v>
      </c>
      <c r="J493" s="669">
        <v>1.4011</v>
      </c>
      <c r="K493" s="669">
        <v>6.8900000000000003E-2</v>
      </c>
      <c r="L493" s="669">
        <v>1.47</v>
      </c>
    </row>
    <row r="494" spans="1:12">
      <c r="A494" s="423" t="s">
        <v>3656</v>
      </c>
      <c r="B494" s="423" t="s">
        <v>499</v>
      </c>
      <c r="C494" s="246">
        <v>41329167</v>
      </c>
      <c r="D494" s="246">
        <v>37765569</v>
      </c>
      <c r="E494" s="246">
        <v>41329167</v>
      </c>
      <c r="F494" s="246">
        <v>37765569</v>
      </c>
      <c r="G494" s="246">
        <v>3563598</v>
      </c>
      <c r="H494" s="246">
        <v>0</v>
      </c>
      <c r="J494" s="669">
        <v>1.41</v>
      </c>
      <c r="K494" s="669">
        <v>0.15</v>
      </c>
      <c r="L494" s="669">
        <v>1.56</v>
      </c>
    </row>
    <row r="495" spans="1:12">
      <c r="A495" s="423" t="s">
        <v>3657</v>
      </c>
      <c r="B495" s="423" t="s">
        <v>7116</v>
      </c>
      <c r="C495" s="246">
        <v>115009073</v>
      </c>
      <c r="D495" s="246">
        <v>107203313</v>
      </c>
      <c r="E495" s="246">
        <v>115009073</v>
      </c>
      <c r="F495" s="246">
        <v>107203313</v>
      </c>
      <c r="G495" s="246">
        <v>7805760</v>
      </c>
      <c r="H495" s="246">
        <v>0</v>
      </c>
      <c r="J495" s="669">
        <v>1.2150000000000001</v>
      </c>
      <c r="K495" s="669">
        <v>0</v>
      </c>
      <c r="L495" s="669">
        <v>1.2150000000000001</v>
      </c>
    </row>
    <row r="496" spans="1:12">
      <c r="A496" s="423" t="s">
        <v>3658</v>
      </c>
      <c r="B496" s="423" t="s">
        <v>7117</v>
      </c>
      <c r="C496" s="246">
        <v>34993271</v>
      </c>
      <c r="D496" s="246">
        <v>32406271</v>
      </c>
      <c r="E496" s="246">
        <v>34993271</v>
      </c>
      <c r="F496" s="246">
        <v>32406271</v>
      </c>
      <c r="G496" s="246">
        <v>2587000</v>
      </c>
      <c r="H496" s="246">
        <v>0</v>
      </c>
      <c r="J496" s="669">
        <v>1.29</v>
      </c>
      <c r="K496" s="669">
        <v>0</v>
      </c>
      <c r="L496" s="669">
        <v>1.29</v>
      </c>
    </row>
    <row r="497" spans="1:12">
      <c r="A497" s="423" t="s">
        <v>3659</v>
      </c>
      <c r="B497" s="423" t="s">
        <v>2357</v>
      </c>
      <c r="C497" s="246">
        <v>44347170</v>
      </c>
      <c r="D497" s="246">
        <v>41275060</v>
      </c>
      <c r="E497" s="246">
        <v>44347170</v>
      </c>
      <c r="F497" s="246">
        <v>41275060</v>
      </c>
      <c r="G497" s="246">
        <v>3072110</v>
      </c>
      <c r="H497" s="246">
        <v>0</v>
      </c>
      <c r="J497" s="669">
        <v>1.3562000000000001</v>
      </c>
      <c r="K497" s="669">
        <v>0.16120000000000001</v>
      </c>
      <c r="L497" s="669">
        <v>1.5174000000000001</v>
      </c>
    </row>
    <row r="498" spans="1:12">
      <c r="A498" s="423" t="s">
        <v>3660</v>
      </c>
      <c r="B498" s="423" t="s">
        <v>7118</v>
      </c>
      <c r="C498" s="246">
        <v>292979988</v>
      </c>
      <c r="D498" s="246">
        <v>270906663</v>
      </c>
      <c r="E498" s="246">
        <v>292979988</v>
      </c>
      <c r="F498" s="246">
        <v>270906663</v>
      </c>
      <c r="G498" s="246">
        <v>22073325</v>
      </c>
      <c r="H498" s="246">
        <v>0</v>
      </c>
      <c r="J498" s="669">
        <v>1.47</v>
      </c>
      <c r="K498" s="669">
        <v>0.18</v>
      </c>
      <c r="L498" s="669">
        <v>1.65</v>
      </c>
    </row>
    <row r="499" spans="1:12">
      <c r="A499" s="423" t="s">
        <v>3661</v>
      </c>
      <c r="B499" s="423" t="s">
        <v>7119</v>
      </c>
      <c r="C499" s="246">
        <v>203734790</v>
      </c>
      <c r="D499" s="246">
        <v>192732122</v>
      </c>
      <c r="E499" s="246">
        <v>203734790</v>
      </c>
      <c r="F499" s="246">
        <v>192732122</v>
      </c>
      <c r="G499" s="246">
        <v>11002668</v>
      </c>
      <c r="H499" s="246">
        <v>0</v>
      </c>
      <c r="J499" s="669">
        <v>1.4</v>
      </c>
      <c r="K499" s="669">
        <v>0</v>
      </c>
      <c r="L499" s="669">
        <v>1.4</v>
      </c>
    </row>
    <row r="500" spans="1:12">
      <c r="A500" s="423" t="s">
        <v>3662</v>
      </c>
      <c r="B500" s="423" t="s">
        <v>7120</v>
      </c>
      <c r="C500" s="246">
        <v>154908471</v>
      </c>
      <c r="D500" s="246">
        <v>147476794</v>
      </c>
      <c r="E500" s="246">
        <v>154908471</v>
      </c>
      <c r="F500" s="246">
        <v>147476794</v>
      </c>
      <c r="G500" s="246">
        <v>7431677</v>
      </c>
      <c r="H500" s="246">
        <v>0</v>
      </c>
      <c r="J500" s="669">
        <v>1.415</v>
      </c>
      <c r="K500" s="669">
        <v>0</v>
      </c>
      <c r="L500" s="669">
        <v>1.415</v>
      </c>
    </row>
    <row r="501" spans="1:12">
      <c r="A501" s="423" t="s">
        <v>3663</v>
      </c>
      <c r="B501" s="423" t="s">
        <v>7121</v>
      </c>
      <c r="C501" s="246">
        <v>101627140</v>
      </c>
      <c r="D501" s="246">
        <v>95082380</v>
      </c>
      <c r="E501" s="246">
        <v>101627140</v>
      </c>
      <c r="F501" s="246">
        <v>95082380</v>
      </c>
      <c r="G501" s="246">
        <v>6544760</v>
      </c>
      <c r="H501" s="246">
        <v>0</v>
      </c>
      <c r="J501" s="669">
        <v>1.4703999999999999</v>
      </c>
      <c r="K501" s="669">
        <v>0.16900000000000001</v>
      </c>
      <c r="L501" s="669">
        <v>1.6394</v>
      </c>
    </row>
    <row r="502" spans="1:12">
      <c r="A502" s="423" t="s">
        <v>3664</v>
      </c>
      <c r="B502" s="423" t="s">
        <v>7122</v>
      </c>
      <c r="C502" s="246">
        <v>91857930</v>
      </c>
      <c r="D502" s="246">
        <v>85694911</v>
      </c>
      <c r="E502" s="246">
        <v>91857930</v>
      </c>
      <c r="F502" s="246">
        <v>85694911</v>
      </c>
      <c r="G502" s="246">
        <v>6163019</v>
      </c>
      <c r="H502" s="246">
        <v>0</v>
      </c>
      <c r="J502" s="669">
        <v>1.35</v>
      </c>
      <c r="K502" s="669">
        <v>5.1999999999999998E-2</v>
      </c>
      <c r="L502" s="669">
        <v>1.4019999999999999</v>
      </c>
    </row>
    <row r="503" spans="1:12">
      <c r="A503" s="423" t="s">
        <v>3665</v>
      </c>
      <c r="B503" s="423" t="s">
        <v>3864</v>
      </c>
      <c r="C503" s="246">
        <v>706152673</v>
      </c>
      <c r="D503" s="246">
        <v>661775844</v>
      </c>
      <c r="E503" s="246">
        <v>686358090</v>
      </c>
      <c r="F503" s="246">
        <v>641981261</v>
      </c>
      <c r="G503" s="246">
        <v>44376829</v>
      </c>
      <c r="H503" s="246">
        <v>19794583</v>
      </c>
      <c r="J503" s="669">
        <v>1.5</v>
      </c>
      <c r="K503" s="669">
        <v>7.6300000000000007E-2</v>
      </c>
      <c r="L503" s="669">
        <v>1.5763</v>
      </c>
    </row>
    <row r="504" spans="1:12">
      <c r="A504" s="423" t="s">
        <v>3666</v>
      </c>
      <c r="B504" s="423" t="s">
        <v>3865</v>
      </c>
      <c r="C504" s="246">
        <v>232282808</v>
      </c>
      <c r="D504" s="246">
        <v>222611210</v>
      </c>
      <c r="E504" s="246">
        <v>227912445</v>
      </c>
      <c r="F504" s="246">
        <v>218240847</v>
      </c>
      <c r="G504" s="246">
        <v>9671598</v>
      </c>
      <c r="H504" s="246">
        <v>4370363</v>
      </c>
      <c r="J504" s="669">
        <v>1.5</v>
      </c>
      <c r="K504" s="669">
        <v>0</v>
      </c>
      <c r="L504" s="669">
        <v>1.5</v>
      </c>
    </row>
    <row r="505" spans="1:12">
      <c r="A505" s="423" t="s">
        <v>3667</v>
      </c>
      <c r="B505" s="423" t="s">
        <v>3866</v>
      </c>
      <c r="C505" s="246">
        <v>290313948</v>
      </c>
      <c r="D505" s="246">
        <v>283835356</v>
      </c>
      <c r="E505" s="246">
        <v>287207094</v>
      </c>
      <c r="F505" s="246">
        <v>280728502</v>
      </c>
      <c r="G505" s="246">
        <v>6478592</v>
      </c>
      <c r="H505" s="246">
        <v>3106854</v>
      </c>
      <c r="J505" s="669">
        <v>1.5</v>
      </c>
      <c r="K505" s="669">
        <v>0.16875000000000001</v>
      </c>
      <c r="L505" s="669">
        <v>1.66875</v>
      </c>
    </row>
    <row r="506" spans="1:12">
      <c r="A506" s="423" t="s">
        <v>3668</v>
      </c>
      <c r="B506" s="423" t="s">
        <v>3867</v>
      </c>
      <c r="C506" s="246">
        <v>119506357</v>
      </c>
      <c r="D506" s="246">
        <v>116223804</v>
      </c>
      <c r="E506" s="246">
        <v>119506357</v>
      </c>
      <c r="F506" s="246">
        <v>116223804</v>
      </c>
      <c r="G506" s="246">
        <v>3282553</v>
      </c>
      <c r="H506" s="246">
        <v>0</v>
      </c>
      <c r="J506" s="669">
        <v>1.2</v>
      </c>
      <c r="K506" s="669">
        <v>5.7000000000000002E-2</v>
      </c>
      <c r="L506" s="669">
        <v>1.2569999999999999</v>
      </c>
    </row>
    <row r="507" spans="1:12">
      <c r="A507" s="423" t="s">
        <v>3669</v>
      </c>
      <c r="B507" s="423" t="s">
        <v>3868</v>
      </c>
      <c r="C507" s="246">
        <v>50796435</v>
      </c>
      <c r="D507" s="246">
        <v>49613493</v>
      </c>
      <c r="E507" s="246">
        <v>50796435</v>
      </c>
      <c r="F507" s="246">
        <v>49613493</v>
      </c>
      <c r="G507" s="246">
        <v>1182942</v>
      </c>
      <c r="H507" s="246">
        <v>0</v>
      </c>
      <c r="J507" s="669">
        <v>1.5</v>
      </c>
      <c r="K507" s="669">
        <v>0</v>
      </c>
      <c r="L507" s="669">
        <v>1.5</v>
      </c>
    </row>
    <row r="508" spans="1:12">
      <c r="A508" s="423" t="s">
        <v>3670</v>
      </c>
      <c r="B508" s="423" t="s">
        <v>3869</v>
      </c>
      <c r="C508" s="246">
        <v>46102003</v>
      </c>
      <c r="D508" s="246">
        <v>45493296</v>
      </c>
      <c r="E508" s="246">
        <v>45525424</v>
      </c>
      <c r="F508" s="246">
        <v>44916717</v>
      </c>
      <c r="G508" s="246">
        <v>608707</v>
      </c>
      <c r="H508" s="246">
        <v>576579</v>
      </c>
      <c r="J508" s="669">
        <v>1.48</v>
      </c>
      <c r="K508" s="669">
        <v>0</v>
      </c>
      <c r="L508" s="669">
        <v>1.48</v>
      </c>
    </row>
    <row r="509" spans="1:12">
      <c r="A509" s="423" t="s">
        <v>3671</v>
      </c>
      <c r="B509" s="423" t="s">
        <v>6097</v>
      </c>
      <c r="C509" s="246">
        <v>224466005</v>
      </c>
      <c r="D509" s="246">
        <v>209687772</v>
      </c>
      <c r="E509" s="246">
        <v>224466005</v>
      </c>
      <c r="F509" s="246">
        <v>209687772</v>
      </c>
      <c r="G509" s="246">
        <v>14778233</v>
      </c>
      <c r="H509" s="246">
        <v>0</v>
      </c>
      <c r="J509" s="669">
        <v>1.4710000000000001</v>
      </c>
      <c r="K509" s="669">
        <v>0.23</v>
      </c>
      <c r="L509" s="669">
        <v>1.7010000000000001</v>
      </c>
    </row>
    <row r="510" spans="1:12">
      <c r="A510" s="423" t="s">
        <v>3672</v>
      </c>
      <c r="B510" s="423" t="s">
        <v>3870</v>
      </c>
      <c r="C510" s="246">
        <v>63285481</v>
      </c>
      <c r="D510" s="246">
        <v>57193162</v>
      </c>
      <c r="E510" s="246">
        <v>63285481</v>
      </c>
      <c r="F510" s="246">
        <v>57193162</v>
      </c>
      <c r="G510" s="246">
        <v>6092319</v>
      </c>
      <c r="H510" s="246">
        <v>0</v>
      </c>
      <c r="J510" s="669">
        <v>1.5</v>
      </c>
      <c r="K510" s="669">
        <v>0.01</v>
      </c>
      <c r="L510" s="669">
        <v>1.51</v>
      </c>
    </row>
    <row r="511" spans="1:12">
      <c r="A511" s="423" t="s">
        <v>3673</v>
      </c>
      <c r="B511" s="423" t="s">
        <v>2642</v>
      </c>
      <c r="C511" s="246">
        <v>386943327</v>
      </c>
      <c r="D511" s="246">
        <v>371232586</v>
      </c>
      <c r="E511" s="246">
        <v>386943327</v>
      </c>
      <c r="F511" s="246">
        <v>371232586</v>
      </c>
      <c r="G511" s="246">
        <v>15710741</v>
      </c>
      <c r="H511" s="246">
        <v>0</v>
      </c>
      <c r="J511" s="669">
        <v>1.5</v>
      </c>
      <c r="K511" s="669">
        <v>0.19450000000000001</v>
      </c>
      <c r="L511" s="669">
        <v>1.6944999999999999</v>
      </c>
    </row>
    <row r="512" spans="1:12">
      <c r="A512" s="423" t="s">
        <v>3674</v>
      </c>
      <c r="B512" s="423" t="s">
        <v>3871</v>
      </c>
      <c r="C512" s="246">
        <v>1157786732</v>
      </c>
      <c r="D512" s="246">
        <v>1103600516</v>
      </c>
      <c r="E512" s="246">
        <v>1157786732</v>
      </c>
      <c r="F512" s="246">
        <v>1103600516</v>
      </c>
      <c r="G512" s="246">
        <v>54186216</v>
      </c>
      <c r="H512" s="246">
        <v>0</v>
      </c>
      <c r="J512" s="669">
        <v>1.5</v>
      </c>
      <c r="K512" s="669">
        <v>0.14099999999999999</v>
      </c>
      <c r="L512" s="669">
        <v>1.641</v>
      </c>
    </row>
    <row r="513" spans="1:12">
      <c r="A513" s="423" t="s">
        <v>3675</v>
      </c>
      <c r="B513" s="423" t="s">
        <v>198</v>
      </c>
      <c r="C513" s="246">
        <v>152408292</v>
      </c>
      <c r="D513" s="246">
        <v>141116641</v>
      </c>
      <c r="E513" s="246">
        <v>152408292</v>
      </c>
      <c r="F513" s="246">
        <v>141116641</v>
      </c>
      <c r="G513" s="246">
        <v>11291651</v>
      </c>
      <c r="H513" s="246">
        <v>0</v>
      </c>
      <c r="J513" s="669">
        <v>1.43</v>
      </c>
      <c r="K513" s="669">
        <v>7.4999999999999997E-2</v>
      </c>
      <c r="L513" s="669">
        <v>1.5049999999999999</v>
      </c>
    </row>
    <row r="514" spans="1:12">
      <c r="A514" s="423" t="s">
        <v>3676</v>
      </c>
      <c r="B514" s="423" t="s">
        <v>355</v>
      </c>
      <c r="C514" s="246">
        <v>526904111</v>
      </c>
      <c r="D514" s="246">
        <v>490400202</v>
      </c>
      <c r="E514" s="246">
        <v>526904111</v>
      </c>
      <c r="F514" s="246">
        <v>490400202</v>
      </c>
      <c r="G514" s="246">
        <v>36503909</v>
      </c>
      <c r="H514" s="246">
        <v>0</v>
      </c>
      <c r="J514" s="669">
        <v>1.4219599999999999</v>
      </c>
      <c r="K514" s="669">
        <v>0.20093800000000001</v>
      </c>
      <c r="L514" s="669">
        <v>1.6229</v>
      </c>
    </row>
    <row r="515" spans="1:12">
      <c r="A515" s="423" t="s">
        <v>3677</v>
      </c>
      <c r="B515" s="423" t="s">
        <v>2007</v>
      </c>
      <c r="C515" s="246">
        <v>75779544</v>
      </c>
      <c r="D515" s="246">
        <v>67899910</v>
      </c>
      <c r="E515" s="246">
        <v>75779544</v>
      </c>
      <c r="F515" s="246">
        <v>67899910</v>
      </c>
      <c r="G515" s="246">
        <v>7879634</v>
      </c>
      <c r="H515" s="246">
        <v>0</v>
      </c>
      <c r="J515" s="669">
        <v>1.4344300000000001</v>
      </c>
      <c r="K515" s="669">
        <v>0.20211000000000001</v>
      </c>
      <c r="L515" s="669">
        <v>1.6365400000000001</v>
      </c>
    </row>
    <row r="516" spans="1:12">
      <c r="A516" s="423" t="s">
        <v>3678</v>
      </c>
      <c r="B516" s="423" t="s">
        <v>3872</v>
      </c>
      <c r="C516" s="246">
        <v>58470553</v>
      </c>
      <c r="D516" s="246">
        <v>52781395</v>
      </c>
      <c r="E516" s="246">
        <v>58470553</v>
      </c>
      <c r="F516" s="246">
        <v>52781395</v>
      </c>
      <c r="G516" s="246">
        <v>5689158</v>
      </c>
      <c r="H516" s="246">
        <v>0</v>
      </c>
      <c r="J516" s="669">
        <v>1.4256500000000001</v>
      </c>
      <c r="K516" s="669">
        <v>9.4006999999999993E-2</v>
      </c>
      <c r="L516" s="669">
        <v>1.51966</v>
      </c>
    </row>
    <row r="517" spans="1:12">
      <c r="A517" s="423" t="s">
        <v>3679</v>
      </c>
      <c r="B517" s="423" t="s">
        <v>7658</v>
      </c>
      <c r="C517" s="246">
        <v>85356446</v>
      </c>
      <c r="D517" s="246">
        <v>78552638</v>
      </c>
      <c r="E517" s="246">
        <v>85356446</v>
      </c>
      <c r="F517" s="246">
        <v>78552638</v>
      </c>
      <c r="G517" s="246">
        <v>6803808</v>
      </c>
      <c r="H517" s="246">
        <v>0</v>
      </c>
      <c r="J517" s="669">
        <v>1.4607000000000001</v>
      </c>
      <c r="K517" s="669">
        <v>0.05</v>
      </c>
      <c r="L517" s="669">
        <v>1.5106999999999999</v>
      </c>
    </row>
    <row r="518" spans="1:12">
      <c r="A518" s="423" t="s">
        <v>3680</v>
      </c>
      <c r="B518" s="423" t="s">
        <v>7663</v>
      </c>
      <c r="C518" s="246">
        <v>15176950</v>
      </c>
      <c r="D518" s="246">
        <v>14095045</v>
      </c>
      <c r="E518" s="246">
        <v>15176950</v>
      </c>
      <c r="F518" s="246">
        <v>14095045</v>
      </c>
      <c r="G518" s="246">
        <v>1081905</v>
      </c>
      <c r="H518" s="246">
        <v>0</v>
      </c>
      <c r="J518" s="669">
        <v>1.5</v>
      </c>
      <c r="K518" s="669">
        <v>8.0204999999999999E-2</v>
      </c>
      <c r="L518" s="669">
        <v>1.5802</v>
      </c>
    </row>
    <row r="519" spans="1:12">
      <c r="A519" s="423" t="s">
        <v>3681</v>
      </c>
      <c r="B519" s="423" t="s">
        <v>3873</v>
      </c>
      <c r="C519" s="246">
        <v>476907383</v>
      </c>
      <c r="D519" s="246">
        <v>437409173</v>
      </c>
      <c r="E519" s="246">
        <v>465120323</v>
      </c>
      <c r="F519" s="246">
        <v>425622113</v>
      </c>
      <c r="G519" s="246">
        <v>39498210</v>
      </c>
      <c r="H519" s="246">
        <v>11787060</v>
      </c>
      <c r="J519" s="669">
        <v>1.5</v>
      </c>
      <c r="K519" s="669">
        <v>0</v>
      </c>
      <c r="L519" s="669">
        <v>1.5</v>
      </c>
    </row>
    <row r="520" spans="1:12">
      <c r="A520" s="423" t="s">
        <v>3682</v>
      </c>
      <c r="B520" s="423" t="s">
        <v>3683</v>
      </c>
      <c r="C520" s="246">
        <v>154971879</v>
      </c>
      <c r="D520" s="246">
        <v>138868989</v>
      </c>
      <c r="E520" s="246">
        <v>150782024</v>
      </c>
      <c r="F520" s="246">
        <v>134679134</v>
      </c>
      <c r="G520" s="246">
        <v>16102890</v>
      </c>
      <c r="H520" s="246">
        <v>4189855</v>
      </c>
      <c r="J520" s="669">
        <v>1.39</v>
      </c>
      <c r="K520" s="669">
        <v>0.14480000000000001</v>
      </c>
      <c r="L520" s="669">
        <v>1.5347999999999999</v>
      </c>
    </row>
    <row r="521" spans="1:12">
      <c r="A521" s="423" t="s">
        <v>3684</v>
      </c>
      <c r="B521" s="423" t="s">
        <v>3685</v>
      </c>
      <c r="C521" s="246">
        <v>901860177</v>
      </c>
      <c r="D521" s="246">
        <v>894443577</v>
      </c>
      <c r="E521" s="246">
        <v>899020557</v>
      </c>
      <c r="F521" s="246">
        <v>891603957</v>
      </c>
      <c r="G521" s="246">
        <v>7416600</v>
      </c>
      <c r="H521" s="246">
        <v>2839620</v>
      </c>
      <c r="J521" s="669">
        <v>1.4036</v>
      </c>
      <c r="K521" s="669">
        <v>0.10254000000000001</v>
      </c>
      <c r="L521" s="669">
        <v>1.50614</v>
      </c>
    </row>
    <row r="522" spans="1:12">
      <c r="A522" s="423" t="s">
        <v>3686</v>
      </c>
      <c r="B522" s="423" t="s">
        <v>3057</v>
      </c>
      <c r="C522" s="246">
        <v>27320263</v>
      </c>
      <c r="D522" s="246">
        <v>27042243</v>
      </c>
      <c r="E522" s="246">
        <v>27230363</v>
      </c>
      <c r="F522" s="246">
        <v>26952343</v>
      </c>
      <c r="G522" s="246">
        <v>278020</v>
      </c>
      <c r="H522" s="246">
        <v>89900</v>
      </c>
      <c r="J522" s="669">
        <v>1.1859999999999999</v>
      </c>
      <c r="K522" s="669">
        <v>0</v>
      </c>
      <c r="L522" s="669">
        <v>1.1859999999999999</v>
      </c>
    </row>
    <row r="523" spans="1:12">
      <c r="A523" s="423" t="s">
        <v>3687</v>
      </c>
      <c r="B523" s="423" t="s">
        <v>3688</v>
      </c>
      <c r="C523" s="246">
        <v>300395340</v>
      </c>
      <c r="D523" s="246">
        <v>296110640</v>
      </c>
      <c r="E523" s="246">
        <v>300395340</v>
      </c>
      <c r="F523" s="246">
        <v>296110640</v>
      </c>
      <c r="G523" s="246">
        <v>4284700</v>
      </c>
      <c r="H523" s="246">
        <v>0</v>
      </c>
      <c r="J523" s="669">
        <v>1.5</v>
      </c>
      <c r="K523" s="669">
        <v>0</v>
      </c>
      <c r="L523" s="669">
        <v>1.5</v>
      </c>
    </row>
    <row r="524" spans="1:12">
      <c r="A524" s="423" t="s">
        <v>3689</v>
      </c>
      <c r="B524" s="423" t="s">
        <v>3059</v>
      </c>
      <c r="C524" s="246">
        <v>93274404</v>
      </c>
      <c r="D524" s="246">
        <v>90013984</v>
      </c>
      <c r="E524" s="246">
        <v>93274404</v>
      </c>
      <c r="F524" s="246">
        <v>90013984</v>
      </c>
      <c r="G524" s="246">
        <v>3260420</v>
      </c>
      <c r="H524" s="246">
        <v>0</v>
      </c>
      <c r="J524" s="669">
        <v>1.5</v>
      </c>
      <c r="K524" s="669">
        <v>6.5000000000000002E-2</v>
      </c>
      <c r="L524" s="669">
        <v>1.5649999999999999</v>
      </c>
    </row>
    <row r="525" spans="1:12">
      <c r="A525" s="423" t="s">
        <v>3690</v>
      </c>
      <c r="B525" s="423" t="s">
        <v>3060</v>
      </c>
      <c r="C525" s="246">
        <v>423596110</v>
      </c>
      <c r="D525" s="246">
        <v>408691020</v>
      </c>
      <c r="E525" s="246">
        <v>423596110</v>
      </c>
      <c r="F525" s="246">
        <v>408691020</v>
      </c>
      <c r="G525" s="246">
        <v>14905090</v>
      </c>
      <c r="H525" s="246">
        <v>0</v>
      </c>
      <c r="J525" s="669">
        <v>1.5</v>
      </c>
      <c r="K525" s="669">
        <v>0</v>
      </c>
      <c r="L525" s="669">
        <v>1.5</v>
      </c>
    </row>
    <row r="526" spans="1:12">
      <c r="A526" s="423" t="s">
        <v>3691</v>
      </c>
      <c r="B526" s="423" t="s">
        <v>3692</v>
      </c>
      <c r="C526" s="246">
        <v>96829897</v>
      </c>
      <c r="D526" s="246">
        <v>91273747</v>
      </c>
      <c r="E526" s="246">
        <v>96829897</v>
      </c>
      <c r="F526" s="246">
        <v>91273747</v>
      </c>
      <c r="G526" s="246">
        <v>5556150</v>
      </c>
      <c r="H526" s="246">
        <v>0</v>
      </c>
      <c r="J526" s="669">
        <v>1.5</v>
      </c>
      <c r="K526" s="669">
        <v>0.06</v>
      </c>
      <c r="L526" s="669">
        <v>1.56</v>
      </c>
    </row>
    <row r="527" spans="1:12">
      <c r="A527" s="423" t="s">
        <v>3693</v>
      </c>
      <c r="B527" s="423" t="s">
        <v>3062</v>
      </c>
      <c r="C527" s="246">
        <v>320692977</v>
      </c>
      <c r="D527" s="246">
        <v>302163152</v>
      </c>
      <c r="E527" s="246">
        <v>320692977</v>
      </c>
      <c r="F527" s="246">
        <v>302163152</v>
      </c>
      <c r="G527" s="246">
        <v>18529825</v>
      </c>
      <c r="H527" s="246">
        <v>0</v>
      </c>
      <c r="J527" s="669">
        <v>1.5</v>
      </c>
      <c r="K527" s="669">
        <v>0.05</v>
      </c>
      <c r="L527" s="669">
        <v>1.55</v>
      </c>
    </row>
    <row r="528" spans="1:12">
      <c r="A528" s="423" t="s">
        <v>3694</v>
      </c>
      <c r="B528" s="423" t="s">
        <v>121</v>
      </c>
      <c r="C528" s="246">
        <v>130074005</v>
      </c>
      <c r="D528" s="246">
        <v>122205633</v>
      </c>
      <c r="E528" s="246">
        <v>130074005</v>
      </c>
      <c r="F528" s="246">
        <v>122205633</v>
      </c>
      <c r="G528" s="246">
        <v>7868372</v>
      </c>
      <c r="H528" s="246">
        <v>0</v>
      </c>
      <c r="J528" s="669">
        <v>1.5</v>
      </c>
      <c r="K528" s="669">
        <v>5.6399999999999999E-2</v>
      </c>
      <c r="L528" s="669">
        <v>1.5564</v>
      </c>
    </row>
    <row r="529" spans="1:12">
      <c r="A529" s="423" t="s">
        <v>3695</v>
      </c>
      <c r="B529" s="423" t="s">
        <v>3063</v>
      </c>
      <c r="C529" s="246">
        <v>497232980</v>
      </c>
      <c r="D529" s="246">
        <v>487258404</v>
      </c>
      <c r="E529" s="246">
        <v>490568821</v>
      </c>
      <c r="F529" s="246">
        <v>480594245</v>
      </c>
      <c r="G529" s="246">
        <v>9974576</v>
      </c>
      <c r="H529" s="246">
        <v>6664159</v>
      </c>
      <c r="J529" s="669">
        <v>1.4961</v>
      </c>
      <c r="K529" s="669">
        <v>0.24</v>
      </c>
      <c r="L529" s="669">
        <v>1.7361</v>
      </c>
    </row>
    <row r="530" spans="1:12">
      <c r="A530" s="423" t="s">
        <v>3696</v>
      </c>
      <c r="B530" s="423" t="s">
        <v>3064</v>
      </c>
      <c r="C530" s="246">
        <v>124494902</v>
      </c>
      <c r="D530" s="246">
        <v>117879205</v>
      </c>
      <c r="E530" s="246">
        <v>120978018</v>
      </c>
      <c r="F530" s="246">
        <v>114362321</v>
      </c>
      <c r="G530" s="246">
        <v>6615697</v>
      </c>
      <c r="H530" s="246">
        <v>3516884</v>
      </c>
      <c r="J530" s="669">
        <v>1.5</v>
      </c>
      <c r="K530" s="669">
        <v>0</v>
      </c>
      <c r="L530" s="669">
        <v>1.5</v>
      </c>
    </row>
    <row r="531" spans="1:12">
      <c r="A531" s="423" t="s">
        <v>3697</v>
      </c>
      <c r="B531" s="423" t="s">
        <v>2145</v>
      </c>
      <c r="C531" s="246">
        <v>216469145</v>
      </c>
      <c r="D531" s="246">
        <v>196347093</v>
      </c>
      <c r="E531" s="246">
        <v>216469145</v>
      </c>
      <c r="F531" s="246">
        <v>196347093</v>
      </c>
      <c r="G531" s="246">
        <v>20122052</v>
      </c>
      <c r="H531" s="246">
        <v>0</v>
      </c>
      <c r="J531" s="669">
        <v>1.5</v>
      </c>
      <c r="K531" s="669">
        <v>0.2</v>
      </c>
      <c r="L531" s="669">
        <v>1.7</v>
      </c>
    </row>
    <row r="532" spans="1:12">
      <c r="A532" s="423" t="s">
        <v>3698</v>
      </c>
      <c r="B532" s="423" t="s">
        <v>1909</v>
      </c>
      <c r="C532" s="246">
        <v>512573888</v>
      </c>
      <c r="D532" s="246">
        <v>474104267</v>
      </c>
      <c r="E532" s="246">
        <v>512573888</v>
      </c>
      <c r="F532" s="246">
        <v>474104267</v>
      </c>
      <c r="G532" s="246">
        <v>38469621</v>
      </c>
      <c r="H532" s="246">
        <v>0</v>
      </c>
      <c r="J532" s="669">
        <v>1.5</v>
      </c>
      <c r="K532" s="669">
        <v>0.15</v>
      </c>
      <c r="L532" s="669">
        <v>1.65</v>
      </c>
    </row>
    <row r="533" spans="1:12">
      <c r="A533" s="423" t="s">
        <v>3699</v>
      </c>
      <c r="B533" s="423" t="s">
        <v>1922</v>
      </c>
      <c r="C533" s="246">
        <v>158583001</v>
      </c>
      <c r="D533" s="246">
        <v>138983190</v>
      </c>
      <c r="E533" s="246">
        <v>158583001</v>
      </c>
      <c r="F533" s="246">
        <v>138983190</v>
      </c>
      <c r="G533" s="246">
        <v>19599811</v>
      </c>
      <c r="H533" s="246">
        <v>0</v>
      </c>
      <c r="J533" s="669">
        <v>1.5</v>
      </c>
      <c r="K533" s="669">
        <v>0.09</v>
      </c>
      <c r="L533" s="669">
        <v>1.59</v>
      </c>
    </row>
    <row r="534" spans="1:12">
      <c r="A534" s="423" t="s">
        <v>3700</v>
      </c>
      <c r="B534" s="423" t="s">
        <v>3065</v>
      </c>
      <c r="C534" s="246">
        <v>431588176</v>
      </c>
      <c r="D534" s="246">
        <v>427254701</v>
      </c>
      <c r="E534" s="246">
        <v>429680375</v>
      </c>
      <c r="F534" s="246">
        <v>425346900</v>
      </c>
      <c r="G534" s="246">
        <v>4333475</v>
      </c>
      <c r="H534" s="246">
        <v>1907801</v>
      </c>
      <c r="J534" s="669">
        <v>1.5</v>
      </c>
      <c r="K534" s="669">
        <v>0.1368</v>
      </c>
      <c r="L534" s="669">
        <v>1.6368</v>
      </c>
    </row>
    <row r="535" spans="1:12">
      <c r="A535" s="423" t="s">
        <v>3701</v>
      </c>
      <c r="B535" s="423" t="s">
        <v>3066</v>
      </c>
      <c r="C535" s="246">
        <v>120795839</v>
      </c>
      <c r="D535" s="246">
        <v>115450599</v>
      </c>
      <c r="E535" s="246">
        <v>120795839</v>
      </c>
      <c r="F535" s="246">
        <v>115450599</v>
      </c>
      <c r="G535" s="246">
        <v>5345240</v>
      </c>
      <c r="H535" s="246">
        <v>0</v>
      </c>
      <c r="J535" s="669">
        <v>1.47</v>
      </c>
      <c r="K535" s="669">
        <v>0</v>
      </c>
      <c r="L535" s="669">
        <v>1.47</v>
      </c>
    </row>
    <row r="536" spans="1:12">
      <c r="A536" s="423" t="s">
        <v>3702</v>
      </c>
      <c r="B536" s="423" t="s">
        <v>3067</v>
      </c>
      <c r="C536" s="246">
        <v>30966876</v>
      </c>
      <c r="D536" s="246">
        <v>30390196</v>
      </c>
      <c r="E536" s="246">
        <v>30966876</v>
      </c>
      <c r="F536" s="246">
        <v>30390196</v>
      </c>
      <c r="G536" s="246">
        <v>576680</v>
      </c>
      <c r="H536" s="246">
        <v>0</v>
      </c>
      <c r="J536" s="669">
        <v>1.31</v>
      </c>
      <c r="K536" s="669">
        <v>0</v>
      </c>
      <c r="L536" s="669">
        <v>1.31</v>
      </c>
    </row>
    <row r="537" spans="1:12">
      <c r="A537" s="423" t="s">
        <v>3703</v>
      </c>
      <c r="B537" s="423" t="s">
        <v>3519</v>
      </c>
      <c r="C537" s="246">
        <v>1325556690</v>
      </c>
      <c r="D537" s="246">
        <v>1254831090</v>
      </c>
      <c r="E537" s="246">
        <v>1325556690</v>
      </c>
      <c r="F537" s="246">
        <v>1254831090</v>
      </c>
      <c r="G537" s="246">
        <v>70725600</v>
      </c>
      <c r="H537" s="246">
        <v>0</v>
      </c>
      <c r="J537" s="669">
        <v>1.47</v>
      </c>
      <c r="K537" s="669">
        <v>0.08</v>
      </c>
      <c r="L537" s="669">
        <v>1.55</v>
      </c>
    </row>
    <row r="538" spans="1:12">
      <c r="A538" s="423" t="s">
        <v>3704</v>
      </c>
      <c r="B538" s="423" t="s">
        <v>3068</v>
      </c>
      <c r="C538" s="246">
        <v>2998180752</v>
      </c>
      <c r="D538" s="246">
        <v>2880282682</v>
      </c>
      <c r="E538" s="246">
        <v>2998180752</v>
      </c>
      <c r="F538" s="246">
        <v>2880282682</v>
      </c>
      <c r="G538" s="246">
        <v>117898070</v>
      </c>
      <c r="H538" s="246">
        <v>0</v>
      </c>
      <c r="J538" s="669">
        <v>1.5</v>
      </c>
      <c r="K538" s="669">
        <v>0.18099999999999999</v>
      </c>
      <c r="L538" s="669">
        <v>1.681</v>
      </c>
    </row>
    <row r="539" spans="1:12">
      <c r="A539" s="423" t="s">
        <v>3705</v>
      </c>
      <c r="B539" s="423" t="s">
        <v>3069</v>
      </c>
      <c r="C539" s="246">
        <v>2670932732</v>
      </c>
      <c r="D539" s="246">
        <v>2595491742</v>
      </c>
      <c r="E539" s="246">
        <v>2602496745</v>
      </c>
      <c r="F539" s="246">
        <v>2527055755</v>
      </c>
      <c r="G539" s="246">
        <v>75440990</v>
      </c>
      <c r="H539" s="246">
        <v>68435987</v>
      </c>
      <c r="J539" s="669">
        <v>1.5</v>
      </c>
      <c r="K539" s="669">
        <v>0.11899999999999999</v>
      </c>
      <c r="L539" s="669">
        <v>1.619</v>
      </c>
    </row>
    <row r="540" spans="1:12">
      <c r="A540" s="423" t="s">
        <v>3706</v>
      </c>
      <c r="B540" s="423" t="s">
        <v>3054</v>
      </c>
      <c r="C540" s="246">
        <v>7456421982</v>
      </c>
      <c r="D540" s="246">
        <v>7203172192</v>
      </c>
      <c r="E540" s="246">
        <v>7456421982</v>
      </c>
      <c r="F540" s="246">
        <v>7203172192</v>
      </c>
      <c r="G540" s="246">
        <v>253249790</v>
      </c>
      <c r="H540" s="246">
        <v>0</v>
      </c>
      <c r="J540" s="669">
        <v>1.4750000000000001</v>
      </c>
      <c r="K540" s="669">
        <v>6.5000000000000002E-2</v>
      </c>
      <c r="L540" s="669">
        <v>1.54</v>
      </c>
    </row>
    <row r="541" spans="1:12">
      <c r="A541" s="423" t="s">
        <v>3707</v>
      </c>
      <c r="B541" s="423" t="s">
        <v>6648</v>
      </c>
      <c r="C541" s="246">
        <v>437006002</v>
      </c>
      <c r="D541" s="246">
        <v>435642242</v>
      </c>
      <c r="E541" s="246">
        <v>436385773</v>
      </c>
      <c r="F541" s="246">
        <v>435022013</v>
      </c>
      <c r="G541" s="246">
        <v>1363760</v>
      </c>
      <c r="H541" s="246">
        <v>620229</v>
      </c>
      <c r="J541" s="669">
        <v>1.5</v>
      </c>
      <c r="K541" s="669">
        <v>0.17499999999999999</v>
      </c>
      <c r="L541" s="669">
        <v>1.675</v>
      </c>
    </row>
    <row r="542" spans="1:12">
      <c r="A542" s="423" t="s">
        <v>3708</v>
      </c>
      <c r="B542" s="423" t="s">
        <v>3916</v>
      </c>
      <c r="C542" s="246">
        <v>487764137</v>
      </c>
      <c r="D542" s="246">
        <v>463836377</v>
      </c>
      <c r="E542" s="246">
        <v>487764137</v>
      </c>
      <c r="F542" s="246">
        <v>463836377</v>
      </c>
      <c r="G542" s="246">
        <v>23927760</v>
      </c>
      <c r="H542" s="246">
        <v>0</v>
      </c>
      <c r="J542" s="669">
        <v>1.5</v>
      </c>
      <c r="K542" s="669">
        <v>0.19500000000000001</v>
      </c>
      <c r="L542" s="669">
        <v>1.6950000000000001</v>
      </c>
    </row>
    <row r="543" spans="1:12">
      <c r="A543" s="423" t="s">
        <v>3709</v>
      </c>
      <c r="B543" s="423" t="s">
        <v>6649</v>
      </c>
      <c r="C543" s="246">
        <v>431629234</v>
      </c>
      <c r="D543" s="246">
        <v>420028574</v>
      </c>
      <c r="E543" s="246">
        <v>428837244</v>
      </c>
      <c r="F543" s="246">
        <v>417236584</v>
      </c>
      <c r="G543" s="246">
        <v>11600660</v>
      </c>
      <c r="H543" s="246">
        <v>2791990</v>
      </c>
      <c r="J543" s="669">
        <v>1.5</v>
      </c>
      <c r="K543" s="669">
        <v>0.10329000000000001</v>
      </c>
      <c r="L543" s="669">
        <v>1.6032900000000001</v>
      </c>
    </row>
    <row r="544" spans="1:12">
      <c r="A544" s="423" t="s">
        <v>3710</v>
      </c>
      <c r="B544" s="423" t="s">
        <v>1843</v>
      </c>
      <c r="C544" s="246">
        <v>805255408</v>
      </c>
      <c r="D544" s="246">
        <v>763435275</v>
      </c>
      <c r="E544" s="246">
        <v>805255408</v>
      </c>
      <c r="F544" s="246">
        <v>763435275</v>
      </c>
      <c r="G544" s="246">
        <v>41820133</v>
      </c>
      <c r="H544" s="246">
        <v>0</v>
      </c>
      <c r="J544" s="669">
        <v>1.4733700000000001</v>
      </c>
      <c r="K544" s="669">
        <v>0.16663</v>
      </c>
      <c r="L544" s="669">
        <v>1.64</v>
      </c>
    </row>
    <row r="545" spans="1:12">
      <c r="A545" s="423" t="s">
        <v>3711</v>
      </c>
      <c r="B545" s="423" t="s">
        <v>7655</v>
      </c>
      <c r="C545" s="246">
        <v>53714724</v>
      </c>
      <c r="D545" s="246">
        <v>49912558</v>
      </c>
      <c r="E545" s="246">
        <v>53714724</v>
      </c>
      <c r="F545" s="246">
        <v>49912558</v>
      </c>
      <c r="G545" s="246">
        <v>3802166</v>
      </c>
      <c r="H545" s="246">
        <v>0</v>
      </c>
      <c r="J545" s="669">
        <v>1.3774999999999999</v>
      </c>
      <c r="K545" s="669">
        <v>0.1186</v>
      </c>
      <c r="L545" s="669">
        <v>1.4961</v>
      </c>
    </row>
    <row r="546" spans="1:12">
      <c r="A546" s="423" t="s">
        <v>3712</v>
      </c>
      <c r="B546" s="423" t="s">
        <v>3625</v>
      </c>
      <c r="C546" s="246">
        <v>131803559</v>
      </c>
      <c r="D546" s="246">
        <v>121450477</v>
      </c>
      <c r="E546" s="246">
        <v>131803559</v>
      </c>
      <c r="F546" s="246">
        <v>121450477</v>
      </c>
      <c r="G546" s="246">
        <v>10353082</v>
      </c>
      <c r="H546" s="246">
        <v>0</v>
      </c>
      <c r="J546" s="669">
        <v>1.44285</v>
      </c>
      <c r="K546" s="669">
        <v>0.15811700000000001</v>
      </c>
      <c r="L546" s="669">
        <v>1.60097</v>
      </c>
    </row>
    <row r="547" spans="1:12">
      <c r="A547" s="423" t="s">
        <v>3713</v>
      </c>
      <c r="B547" s="423" t="s">
        <v>349</v>
      </c>
      <c r="C547" s="246">
        <v>125054978</v>
      </c>
      <c r="D547" s="246">
        <v>118536868</v>
      </c>
      <c r="E547" s="246">
        <v>125054978</v>
      </c>
      <c r="F547" s="246">
        <v>118536868</v>
      </c>
      <c r="G547" s="246">
        <v>6518110</v>
      </c>
      <c r="H547" s="246">
        <v>0</v>
      </c>
      <c r="J547" s="669">
        <v>1.5</v>
      </c>
      <c r="K547" s="669">
        <v>7.8079999999999997E-2</v>
      </c>
      <c r="L547" s="669">
        <v>1.5780799999999999</v>
      </c>
    </row>
    <row r="548" spans="1:12">
      <c r="A548" s="423" t="s">
        <v>3714</v>
      </c>
      <c r="B548" s="423" t="s">
        <v>6650</v>
      </c>
      <c r="C548" s="246">
        <v>26446068</v>
      </c>
      <c r="D548" s="246">
        <v>25861887</v>
      </c>
      <c r="E548" s="246">
        <v>26327748</v>
      </c>
      <c r="F548" s="246">
        <v>25743567</v>
      </c>
      <c r="G548" s="246">
        <v>584181</v>
      </c>
      <c r="H548" s="246">
        <v>118320</v>
      </c>
      <c r="J548" s="669">
        <v>1.5</v>
      </c>
      <c r="K548" s="669">
        <v>0</v>
      </c>
      <c r="L548" s="669">
        <v>1.5</v>
      </c>
    </row>
    <row r="549" spans="1:12">
      <c r="A549" s="423" t="s">
        <v>3715</v>
      </c>
      <c r="B549" s="423" t="s">
        <v>7678</v>
      </c>
      <c r="C549" s="246">
        <v>616206253</v>
      </c>
      <c r="D549" s="246">
        <v>575915496</v>
      </c>
      <c r="E549" s="246">
        <v>616206253</v>
      </c>
      <c r="F549" s="246">
        <v>575915496</v>
      </c>
      <c r="G549" s="246">
        <v>40290757</v>
      </c>
      <c r="H549" s="246">
        <v>0</v>
      </c>
      <c r="J549" s="669">
        <v>1.4750000000000001</v>
      </c>
      <c r="K549" s="669">
        <v>0.255</v>
      </c>
      <c r="L549" s="669">
        <v>1.73</v>
      </c>
    </row>
    <row r="550" spans="1:12">
      <c r="A550" s="423" t="s">
        <v>3716</v>
      </c>
      <c r="B550" s="423" t="s">
        <v>2147</v>
      </c>
      <c r="C550" s="246">
        <v>2031053182</v>
      </c>
      <c r="D550" s="246">
        <v>1932450503</v>
      </c>
      <c r="E550" s="246">
        <v>2031053182</v>
      </c>
      <c r="F550" s="246">
        <v>1932450503</v>
      </c>
      <c r="G550" s="246">
        <v>98602679</v>
      </c>
      <c r="H550" s="246">
        <v>0</v>
      </c>
      <c r="J550" s="669">
        <v>1.5</v>
      </c>
      <c r="K550" s="669">
        <v>0.23522000000000001</v>
      </c>
      <c r="L550" s="669">
        <v>1.73522</v>
      </c>
    </row>
    <row r="551" spans="1:12">
      <c r="A551" s="423" t="s">
        <v>3717</v>
      </c>
      <c r="B551" s="423" t="s">
        <v>6113</v>
      </c>
      <c r="C551" s="246">
        <v>1700759526</v>
      </c>
      <c r="D551" s="246">
        <v>1621917358</v>
      </c>
      <c r="E551" s="246">
        <v>1700759526</v>
      </c>
      <c r="F551" s="246">
        <v>1621917358</v>
      </c>
      <c r="G551" s="246">
        <v>78842168</v>
      </c>
      <c r="H551" s="246">
        <v>0</v>
      </c>
      <c r="J551" s="669">
        <v>1.5</v>
      </c>
      <c r="K551" s="669">
        <v>0.19350000000000001</v>
      </c>
      <c r="L551" s="669">
        <v>1.6935</v>
      </c>
    </row>
    <row r="552" spans="1:12">
      <c r="A552" s="423" t="s">
        <v>3718</v>
      </c>
      <c r="B552" s="423" t="s">
        <v>4968</v>
      </c>
      <c r="C552" s="246">
        <v>172749448</v>
      </c>
      <c r="D552" s="246">
        <v>161811084</v>
      </c>
      <c r="E552" s="246">
        <v>172749448</v>
      </c>
      <c r="F552" s="246">
        <v>161811084</v>
      </c>
      <c r="G552" s="246">
        <v>10938364</v>
      </c>
      <c r="H552" s="246">
        <v>0</v>
      </c>
      <c r="J552" s="669">
        <v>1.5</v>
      </c>
      <c r="K552" s="669">
        <v>7.4999999999999997E-2</v>
      </c>
      <c r="L552" s="669">
        <v>1.575</v>
      </c>
    </row>
    <row r="553" spans="1:12">
      <c r="A553" s="423" t="s">
        <v>3719</v>
      </c>
      <c r="B553" s="423" t="s">
        <v>1910</v>
      </c>
      <c r="C553" s="246">
        <v>804957266</v>
      </c>
      <c r="D553" s="246">
        <v>752709901</v>
      </c>
      <c r="E553" s="246">
        <v>804957266</v>
      </c>
      <c r="F553" s="246">
        <v>752709901</v>
      </c>
      <c r="G553" s="246">
        <v>52247365</v>
      </c>
      <c r="H553" s="246">
        <v>0</v>
      </c>
      <c r="J553" s="669">
        <v>1.5</v>
      </c>
      <c r="K553" s="669">
        <v>0.23808000000000001</v>
      </c>
      <c r="L553" s="669">
        <v>1.7380800000000001</v>
      </c>
    </row>
    <row r="554" spans="1:12">
      <c r="A554" s="423" t="s">
        <v>3720</v>
      </c>
      <c r="B554" s="423" t="s">
        <v>6651</v>
      </c>
      <c r="C554" s="246">
        <v>121558247</v>
      </c>
      <c r="D554" s="246">
        <v>114765325</v>
      </c>
      <c r="E554" s="246">
        <v>121558247</v>
      </c>
      <c r="F554" s="246">
        <v>114765325</v>
      </c>
      <c r="G554" s="246">
        <v>6792922</v>
      </c>
      <c r="H554" s="246">
        <v>0</v>
      </c>
      <c r="J554" s="669">
        <v>1.5</v>
      </c>
      <c r="K554" s="669">
        <v>0</v>
      </c>
      <c r="L554" s="669">
        <v>1.5</v>
      </c>
    </row>
    <row r="555" spans="1:12">
      <c r="A555" s="423" t="s">
        <v>3721</v>
      </c>
      <c r="B555" s="423" t="s">
        <v>362</v>
      </c>
      <c r="C555" s="246">
        <v>138337830</v>
      </c>
      <c r="D555" s="246">
        <v>129022660</v>
      </c>
      <c r="E555" s="246">
        <v>138337830</v>
      </c>
      <c r="F555" s="246">
        <v>129022660</v>
      </c>
      <c r="G555" s="246">
        <v>9315170</v>
      </c>
      <c r="H555" s="246">
        <v>0</v>
      </c>
      <c r="J555" s="669">
        <v>1.5</v>
      </c>
      <c r="K555" s="669">
        <v>0.13</v>
      </c>
      <c r="L555" s="669">
        <v>1.63</v>
      </c>
    </row>
    <row r="556" spans="1:12">
      <c r="A556" s="423" t="s">
        <v>3722</v>
      </c>
      <c r="B556" s="423" t="s">
        <v>7131</v>
      </c>
      <c r="C556" s="246">
        <v>186937221</v>
      </c>
      <c r="D556" s="246">
        <v>172941246</v>
      </c>
      <c r="E556" s="246">
        <v>186937221</v>
      </c>
      <c r="F556" s="246">
        <v>172941246</v>
      </c>
      <c r="G556" s="246">
        <v>13995975</v>
      </c>
      <c r="H556" s="246">
        <v>0</v>
      </c>
      <c r="J556" s="669">
        <v>1.5</v>
      </c>
      <c r="K556" s="669">
        <v>0.1</v>
      </c>
      <c r="L556" s="669">
        <v>1.6</v>
      </c>
    </row>
    <row r="557" spans="1:12">
      <c r="A557" s="423" t="s">
        <v>3723</v>
      </c>
      <c r="B557" s="423" t="s">
        <v>126</v>
      </c>
      <c r="C557" s="246">
        <v>287990193</v>
      </c>
      <c r="D557" s="246">
        <v>275651282</v>
      </c>
      <c r="E557" s="246">
        <v>287990193</v>
      </c>
      <c r="F557" s="246">
        <v>275651282</v>
      </c>
      <c r="G557" s="246">
        <v>12338911</v>
      </c>
      <c r="H557" s="246">
        <v>0</v>
      </c>
      <c r="J557" s="669">
        <v>1.3222499999999999</v>
      </c>
      <c r="K557" s="669">
        <v>0.116546</v>
      </c>
      <c r="L557" s="669">
        <v>1.43879</v>
      </c>
    </row>
    <row r="558" spans="1:12">
      <c r="A558" s="423" t="s">
        <v>3724</v>
      </c>
      <c r="B558" s="423" t="s">
        <v>7684</v>
      </c>
      <c r="C558" s="246">
        <v>98365502</v>
      </c>
      <c r="D558" s="246">
        <v>89412871</v>
      </c>
      <c r="E558" s="246">
        <v>98365502</v>
      </c>
      <c r="F558" s="246">
        <v>89412871</v>
      </c>
      <c r="G558" s="246">
        <v>8952631</v>
      </c>
      <c r="H558" s="246">
        <v>0</v>
      </c>
      <c r="J558" s="669">
        <v>1.5</v>
      </c>
      <c r="K558" s="669">
        <v>0</v>
      </c>
      <c r="L558" s="669">
        <v>1.5</v>
      </c>
    </row>
    <row r="559" spans="1:12">
      <c r="A559" s="423" t="s">
        <v>3725</v>
      </c>
      <c r="B559" s="423" t="s">
        <v>6652</v>
      </c>
      <c r="C559" s="246">
        <v>78014614</v>
      </c>
      <c r="D559" s="246">
        <v>72307150</v>
      </c>
      <c r="E559" s="246">
        <v>78014614</v>
      </c>
      <c r="F559" s="246">
        <v>72307150</v>
      </c>
      <c r="G559" s="246">
        <v>5707464</v>
      </c>
      <c r="H559" s="246">
        <v>0</v>
      </c>
      <c r="J559" s="669">
        <v>1.5</v>
      </c>
      <c r="K559" s="669">
        <v>0.1076</v>
      </c>
      <c r="L559" s="669">
        <v>1.6075999999999999</v>
      </c>
    </row>
    <row r="560" spans="1:12">
      <c r="A560" s="423" t="s">
        <v>3726</v>
      </c>
      <c r="B560" s="423" t="s">
        <v>3839</v>
      </c>
      <c r="C560" s="246">
        <v>67064236</v>
      </c>
      <c r="D560" s="246">
        <v>59762513</v>
      </c>
      <c r="E560" s="246">
        <v>67064236</v>
      </c>
      <c r="F560" s="246">
        <v>59762513</v>
      </c>
      <c r="G560" s="246">
        <v>7301723</v>
      </c>
      <c r="H560" s="246">
        <v>0</v>
      </c>
      <c r="J560" s="669">
        <v>1.5</v>
      </c>
      <c r="K560" s="669">
        <v>0</v>
      </c>
      <c r="L560" s="669">
        <v>1.5</v>
      </c>
    </row>
    <row r="561" spans="1:12">
      <c r="A561" s="423" t="s">
        <v>3727</v>
      </c>
      <c r="B561" s="423" t="s">
        <v>6155</v>
      </c>
      <c r="C561" s="246">
        <v>37181923</v>
      </c>
      <c r="D561" s="246">
        <v>35410724</v>
      </c>
      <c r="E561" s="246">
        <v>37181923</v>
      </c>
      <c r="F561" s="246">
        <v>35410724</v>
      </c>
      <c r="G561" s="246">
        <v>1771199</v>
      </c>
      <c r="H561" s="246">
        <v>0</v>
      </c>
      <c r="J561" s="669">
        <v>1.5</v>
      </c>
      <c r="K561" s="669">
        <v>6.5000000000000002E-2</v>
      </c>
      <c r="L561" s="669">
        <v>1.5649999999999999</v>
      </c>
    </row>
    <row r="562" spans="1:12">
      <c r="A562" s="423" t="s">
        <v>3728</v>
      </c>
      <c r="B562" s="423" t="s">
        <v>2354</v>
      </c>
      <c r="C562" s="246">
        <v>68702023</v>
      </c>
      <c r="D562" s="246">
        <v>61202695</v>
      </c>
      <c r="E562" s="246">
        <v>68702023</v>
      </c>
      <c r="F562" s="246">
        <v>61202695</v>
      </c>
      <c r="G562" s="246">
        <v>7499328</v>
      </c>
      <c r="H562" s="246">
        <v>0</v>
      </c>
      <c r="J562" s="669">
        <v>1.5</v>
      </c>
      <c r="K562" s="669">
        <v>7.6300000000000007E-2</v>
      </c>
      <c r="L562" s="669">
        <v>1.5763</v>
      </c>
    </row>
    <row r="563" spans="1:12">
      <c r="A563" s="423" t="s">
        <v>3729</v>
      </c>
      <c r="B563" s="423" t="s">
        <v>1912</v>
      </c>
      <c r="C563" s="246">
        <v>184442361</v>
      </c>
      <c r="D563" s="246">
        <v>173809221</v>
      </c>
      <c r="E563" s="246">
        <v>184442361</v>
      </c>
      <c r="F563" s="246">
        <v>173809221</v>
      </c>
      <c r="G563" s="246">
        <v>10633140</v>
      </c>
      <c r="H563" s="246">
        <v>0</v>
      </c>
      <c r="J563" s="669">
        <v>1.4094</v>
      </c>
      <c r="K563" s="669">
        <v>3.0599999999999999E-2</v>
      </c>
      <c r="L563" s="669">
        <v>1.44</v>
      </c>
    </row>
    <row r="564" spans="1:12">
      <c r="A564" s="423" t="s">
        <v>3730</v>
      </c>
      <c r="B564" s="423" t="s">
        <v>1917</v>
      </c>
      <c r="C564" s="246">
        <v>107559437</v>
      </c>
      <c r="D564" s="246">
        <v>98916836</v>
      </c>
      <c r="E564" s="246">
        <v>107559437</v>
      </c>
      <c r="F564" s="246">
        <v>98916836</v>
      </c>
      <c r="G564" s="246">
        <v>8642601</v>
      </c>
      <c r="H564" s="246">
        <v>0</v>
      </c>
      <c r="J564" s="669">
        <v>1.5</v>
      </c>
      <c r="K564" s="669">
        <v>0.08</v>
      </c>
      <c r="L564" s="669">
        <v>1.58</v>
      </c>
    </row>
    <row r="565" spans="1:12">
      <c r="A565" s="423" t="s">
        <v>3731</v>
      </c>
      <c r="B565" s="423" t="s">
        <v>6653</v>
      </c>
      <c r="C565" s="246">
        <v>63790916</v>
      </c>
      <c r="D565" s="246">
        <v>61091489</v>
      </c>
      <c r="E565" s="246">
        <v>63790916</v>
      </c>
      <c r="F565" s="246">
        <v>61091489</v>
      </c>
      <c r="G565" s="246">
        <v>2699427</v>
      </c>
      <c r="H565" s="246">
        <v>0</v>
      </c>
      <c r="J565" s="669">
        <v>1.5</v>
      </c>
      <c r="K565" s="669">
        <v>0</v>
      </c>
      <c r="L565" s="669">
        <v>1.5</v>
      </c>
    </row>
    <row r="566" spans="1:12">
      <c r="A566" s="423" t="s">
        <v>3732</v>
      </c>
      <c r="B566" s="423" t="s">
        <v>1931</v>
      </c>
      <c r="C566" s="246">
        <v>49970256</v>
      </c>
      <c r="D566" s="246">
        <v>45238750</v>
      </c>
      <c r="E566" s="246">
        <v>49970256</v>
      </c>
      <c r="F566" s="246">
        <v>45238750</v>
      </c>
      <c r="G566" s="246">
        <v>4731506</v>
      </c>
      <c r="H566" s="246">
        <v>0</v>
      </c>
      <c r="J566" s="669">
        <v>1.5</v>
      </c>
      <c r="K566" s="669">
        <v>0.1893</v>
      </c>
      <c r="L566" s="669">
        <v>1.6893</v>
      </c>
    </row>
    <row r="567" spans="1:12">
      <c r="A567" s="423" t="s">
        <v>3733</v>
      </c>
      <c r="B567" s="423" t="s">
        <v>1665</v>
      </c>
      <c r="C567" s="246">
        <v>386828317</v>
      </c>
      <c r="D567" s="246">
        <v>365076351</v>
      </c>
      <c r="E567" s="246">
        <v>386828317</v>
      </c>
      <c r="F567" s="246">
        <v>365076351</v>
      </c>
      <c r="G567" s="246">
        <v>21751966</v>
      </c>
      <c r="H567" s="246">
        <v>0</v>
      </c>
      <c r="J567" s="669">
        <v>1.5</v>
      </c>
      <c r="K567" s="669">
        <v>0.26650000000000001</v>
      </c>
      <c r="L567" s="669">
        <v>1.7665</v>
      </c>
    </row>
    <row r="568" spans="1:12">
      <c r="A568" s="423" t="s">
        <v>3734</v>
      </c>
      <c r="B568" s="423" t="s">
        <v>113</v>
      </c>
      <c r="C568" s="246">
        <v>1616821169</v>
      </c>
      <c r="D568" s="246">
        <v>1567974220</v>
      </c>
      <c r="E568" s="246">
        <v>1616821169</v>
      </c>
      <c r="F568" s="246">
        <v>1567974220</v>
      </c>
      <c r="G568" s="246">
        <v>48846949</v>
      </c>
      <c r="H568" s="246">
        <v>0</v>
      </c>
      <c r="J568" s="669">
        <v>1.46</v>
      </c>
      <c r="K568" s="669">
        <v>0.26</v>
      </c>
      <c r="L568" s="669">
        <v>1.72</v>
      </c>
    </row>
    <row r="569" spans="1:12">
      <c r="A569" s="423" t="s">
        <v>3735</v>
      </c>
      <c r="B569" s="423" t="s">
        <v>1914</v>
      </c>
      <c r="C569" s="246">
        <v>565649996</v>
      </c>
      <c r="D569" s="246">
        <v>529079118</v>
      </c>
      <c r="E569" s="246">
        <v>565649996</v>
      </c>
      <c r="F569" s="246">
        <v>529079118</v>
      </c>
      <c r="G569" s="246">
        <v>36570878</v>
      </c>
      <c r="H569" s="246">
        <v>0</v>
      </c>
      <c r="J569" s="669">
        <v>1.5</v>
      </c>
      <c r="K569" s="669">
        <v>0.22</v>
      </c>
      <c r="L569" s="669">
        <v>1.72</v>
      </c>
    </row>
    <row r="570" spans="1:12">
      <c r="A570" s="423" t="s">
        <v>3736</v>
      </c>
      <c r="B570" s="423" t="s">
        <v>1916</v>
      </c>
      <c r="C570" s="246">
        <v>284450165</v>
      </c>
      <c r="D570" s="246">
        <v>262689324</v>
      </c>
      <c r="E570" s="246">
        <v>284450165</v>
      </c>
      <c r="F570" s="246">
        <v>262689324</v>
      </c>
      <c r="G570" s="246">
        <v>21760841</v>
      </c>
      <c r="H570" s="246">
        <v>0</v>
      </c>
      <c r="J570" s="669">
        <v>1.5</v>
      </c>
      <c r="K570" s="669">
        <v>0.08</v>
      </c>
      <c r="L570" s="669">
        <v>1.58</v>
      </c>
    </row>
    <row r="571" spans="1:12">
      <c r="A571" s="423" t="s">
        <v>3737</v>
      </c>
      <c r="B571" s="423" t="s">
        <v>6654</v>
      </c>
      <c r="C571" s="246">
        <v>785636293</v>
      </c>
      <c r="D571" s="246">
        <v>738832553</v>
      </c>
      <c r="E571" s="246">
        <v>785636293</v>
      </c>
      <c r="F571" s="246">
        <v>738832553</v>
      </c>
      <c r="G571" s="246">
        <v>46803740</v>
      </c>
      <c r="H571" s="246">
        <v>0</v>
      </c>
      <c r="J571" s="669">
        <v>1.46</v>
      </c>
      <c r="K571" s="669">
        <v>0.3</v>
      </c>
      <c r="L571" s="669">
        <v>1.76</v>
      </c>
    </row>
    <row r="572" spans="1:12">
      <c r="A572" s="423" t="s">
        <v>3738</v>
      </c>
      <c r="B572" s="423" t="s">
        <v>6655</v>
      </c>
      <c r="C572" s="246">
        <v>1222650288</v>
      </c>
      <c r="D572" s="246">
        <v>1175624451</v>
      </c>
      <c r="E572" s="246">
        <v>1222650288</v>
      </c>
      <c r="F572" s="246">
        <v>1175624451</v>
      </c>
      <c r="G572" s="246">
        <v>47025837</v>
      </c>
      <c r="H572" s="246">
        <v>0</v>
      </c>
      <c r="J572" s="669">
        <v>1.5</v>
      </c>
      <c r="K572" s="669">
        <v>0.27</v>
      </c>
      <c r="L572" s="669">
        <v>1.77</v>
      </c>
    </row>
    <row r="573" spans="1:12">
      <c r="A573" s="423" t="s">
        <v>3739</v>
      </c>
      <c r="B573" s="423" t="s">
        <v>1462</v>
      </c>
      <c r="C573" s="246">
        <v>145524571</v>
      </c>
      <c r="D573" s="246">
        <v>135180829</v>
      </c>
      <c r="E573" s="246">
        <v>145524571</v>
      </c>
      <c r="F573" s="246">
        <v>135180829</v>
      </c>
      <c r="G573" s="246">
        <v>10343742</v>
      </c>
      <c r="H573" s="246">
        <v>0</v>
      </c>
      <c r="J573" s="669">
        <v>1.5</v>
      </c>
      <c r="K573" s="669">
        <v>0.25</v>
      </c>
      <c r="L573" s="669">
        <v>1.75</v>
      </c>
    </row>
    <row r="574" spans="1:12">
      <c r="A574" s="423" t="s">
        <v>3740</v>
      </c>
      <c r="B574" s="423" t="s">
        <v>6656</v>
      </c>
      <c r="C574" s="246">
        <v>2726159565</v>
      </c>
      <c r="D574" s="246">
        <v>2649604801</v>
      </c>
      <c r="E574" s="246">
        <v>2726159565</v>
      </c>
      <c r="F574" s="246">
        <v>2649604801</v>
      </c>
      <c r="G574" s="246">
        <v>76554764</v>
      </c>
      <c r="H574" s="246">
        <v>0</v>
      </c>
      <c r="J574" s="669">
        <v>1.4550000000000001</v>
      </c>
      <c r="K574" s="669">
        <v>0.28499999999999998</v>
      </c>
      <c r="L574" s="669">
        <v>1.74</v>
      </c>
    </row>
    <row r="575" spans="1:12">
      <c r="A575" s="423" t="s">
        <v>3741</v>
      </c>
      <c r="B575" s="423" t="s">
        <v>6657</v>
      </c>
      <c r="C575" s="246">
        <v>436627626</v>
      </c>
      <c r="D575" s="246">
        <v>419498877</v>
      </c>
      <c r="E575" s="246">
        <v>436627626</v>
      </c>
      <c r="F575" s="246">
        <v>419498877</v>
      </c>
      <c r="G575" s="246">
        <v>17128749</v>
      </c>
      <c r="H575" s="246">
        <v>0</v>
      </c>
      <c r="J575" s="669">
        <v>1.36</v>
      </c>
      <c r="K575" s="669">
        <v>0.14000000000000001</v>
      </c>
      <c r="L575" s="669">
        <v>1.5</v>
      </c>
    </row>
    <row r="576" spans="1:12">
      <c r="A576" s="423" t="s">
        <v>3742</v>
      </c>
      <c r="B576" s="423" t="s">
        <v>6658</v>
      </c>
      <c r="C576" s="246">
        <v>419777158</v>
      </c>
      <c r="D576" s="246">
        <v>419614588</v>
      </c>
      <c r="E576" s="246">
        <v>419591148</v>
      </c>
      <c r="F576" s="246">
        <v>419428578</v>
      </c>
      <c r="G576" s="246">
        <v>162570</v>
      </c>
      <c r="H576" s="246">
        <v>186010</v>
      </c>
      <c r="J576" s="669">
        <v>1.5</v>
      </c>
      <c r="K576" s="669">
        <v>7.9000000000000001E-2</v>
      </c>
      <c r="L576" s="669">
        <v>1.579</v>
      </c>
    </row>
    <row r="577" spans="1:12">
      <c r="A577" s="423" t="s">
        <v>3743</v>
      </c>
      <c r="B577" s="423" t="s">
        <v>6659</v>
      </c>
      <c r="C577" s="246">
        <v>453041928</v>
      </c>
      <c r="D577" s="246">
        <v>451157853</v>
      </c>
      <c r="E577" s="246">
        <v>452569820</v>
      </c>
      <c r="F577" s="246">
        <v>450685745</v>
      </c>
      <c r="G577" s="246">
        <v>1884075</v>
      </c>
      <c r="H577" s="246">
        <v>472108</v>
      </c>
      <c r="J577" s="669">
        <v>1.45</v>
      </c>
      <c r="K577" s="669">
        <v>8.6999999999999994E-2</v>
      </c>
      <c r="L577" s="669">
        <v>1.5369999999999999</v>
      </c>
    </row>
    <row r="578" spans="1:12">
      <c r="A578" s="423" t="s">
        <v>3744</v>
      </c>
      <c r="B578" s="423" t="s">
        <v>6105</v>
      </c>
      <c r="C578" s="246">
        <v>147283657</v>
      </c>
      <c r="D578" s="246">
        <v>138837052</v>
      </c>
      <c r="E578" s="246">
        <v>147283657</v>
      </c>
      <c r="F578" s="246">
        <v>138837052</v>
      </c>
      <c r="G578" s="246">
        <v>8446605</v>
      </c>
      <c r="H578" s="246">
        <v>0</v>
      </c>
      <c r="J578" s="669">
        <v>1.45</v>
      </c>
      <c r="K578" s="669">
        <v>0.08</v>
      </c>
      <c r="L578" s="669">
        <v>1.53</v>
      </c>
    </row>
    <row r="579" spans="1:12">
      <c r="A579" s="423" t="s">
        <v>3745</v>
      </c>
      <c r="B579" s="423" t="s">
        <v>6660</v>
      </c>
      <c r="C579" s="246">
        <v>197035842</v>
      </c>
      <c r="D579" s="246">
        <v>192716398</v>
      </c>
      <c r="E579" s="246">
        <v>197035842</v>
      </c>
      <c r="F579" s="246">
        <v>192716398</v>
      </c>
      <c r="G579" s="246">
        <v>4319444</v>
      </c>
      <c r="H579" s="246">
        <v>0</v>
      </c>
      <c r="J579" s="669">
        <v>1.48</v>
      </c>
      <c r="K579" s="669">
        <v>0</v>
      </c>
      <c r="L579" s="669">
        <v>1.48</v>
      </c>
    </row>
    <row r="580" spans="1:12">
      <c r="A580" s="423" t="s">
        <v>3746</v>
      </c>
      <c r="B580" s="423" t="s">
        <v>6661</v>
      </c>
      <c r="C580" s="246">
        <v>1715878004</v>
      </c>
      <c r="D580" s="246">
        <v>1634035569</v>
      </c>
      <c r="E580" s="246">
        <v>1715878004</v>
      </c>
      <c r="F580" s="246">
        <v>1634035569</v>
      </c>
      <c r="G580" s="246">
        <v>81842435</v>
      </c>
      <c r="H580" s="246">
        <v>0</v>
      </c>
      <c r="J580" s="669">
        <v>1.49</v>
      </c>
      <c r="K580" s="669">
        <v>0.18</v>
      </c>
      <c r="L580" s="669">
        <v>1.67</v>
      </c>
    </row>
    <row r="581" spans="1:12">
      <c r="A581" s="423" t="s">
        <v>3747</v>
      </c>
      <c r="B581" s="423" t="s">
        <v>6662</v>
      </c>
      <c r="C581" s="246">
        <v>311984439</v>
      </c>
      <c r="D581" s="246">
        <v>291445914</v>
      </c>
      <c r="E581" s="246">
        <v>311984439</v>
      </c>
      <c r="F581" s="246">
        <v>291445914</v>
      </c>
      <c r="G581" s="246">
        <v>20538525</v>
      </c>
      <c r="H581" s="246">
        <v>0</v>
      </c>
      <c r="J581" s="669">
        <v>1.5</v>
      </c>
      <c r="K581" s="669">
        <v>7.8600000000000003E-2</v>
      </c>
      <c r="L581" s="669">
        <v>1.5786</v>
      </c>
    </row>
    <row r="582" spans="1:12">
      <c r="A582" s="423" t="s">
        <v>3748</v>
      </c>
      <c r="B582" s="423" t="s">
        <v>6663</v>
      </c>
      <c r="C582" s="246">
        <v>36154832</v>
      </c>
      <c r="D582" s="246">
        <v>35864832</v>
      </c>
      <c r="E582" s="246">
        <v>36154832</v>
      </c>
      <c r="F582" s="246">
        <v>35864832</v>
      </c>
      <c r="G582" s="246">
        <v>290000</v>
      </c>
      <c r="H582" s="246">
        <v>0</v>
      </c>
      <c r="J582" s="669">
        <v>0.98</v>
      </c>
      <c r="K582" s="669">
        <v>0</v>
      </c>
      <c r="L582" s="669">
        <v>0.98</v>
      </c>
    </row>
    <row r="583" spans="1:12">
      <c r="A583" s="423" t="s">
        <v>3749</v>
      </c>
      <c r="B583" s="423" t="s">
        <v>6664</v>
      </c>
      <c r="C583" s="246">
        <v>222620925</v>
      </c>
      <c r="D583" s="246">
        <v>211856245</v>
      </c>
      <c r="E583" s="246">
        <v>222620925</v>
      </c>
      <c r="F583" s="246">
        <v>211856245</v>
      </c>
      <c r="G583" s="246">
        <v>10764680</v>
      </c>
      <c r="H583" s="246">
        <v>0</v>
      </c>
      <c r="J583" s="669">
        <v>1.43</v>
      </c>
      <c r="K583" s="669">
        <v>0</v>
      </c>
      <c r="L583" s="669">
        <v>1.43</v>
      </c>
    </row>
    <row r="584" spans="1:12">
      <c r="A584" s="423" t="s">
        <v>3750</v>
      </c>
      <c r="B584" s="423" t="s">
        <v>6665</v>
      </c>
      <c r="C584" s="246">
        <v>212575628</v>
      </c>
      <c r="D584" s="246">
        <v>212272018</v>
      </c>
      <c r="E584" s="246">
        <v>212521218</v>
      </c>
      <c r="F584" s="246">
        <v>212217608</v>
      </c>
      <c r="G584" s="246">
        <v>303610</v>
      </c>
      <c r="H584" s="246">
        <v>54410</v>
      </c>
      <c r="J584" s="669">
        <v>1.41</v>
      </c>
      <c r="K584" s="669">
        <v>0</v>
      </c>
      <c r="L584" s="669">
        <v>1.41</v>
      </c>
    </row>
    <row r="585" spans="1:12">
      <c r="A585" s="423" t="s">
        <v>3751</v>
      </c>
      <c r="B585" s="423" t="s">
        <v>6666</v>
      </c>
      <c r="C585" s="246">
        <v>143653419</v>
      </c>
      <c r="D585" s="246">
        <v>134323393</v>
      </c>
      <c r="E585" s="246">
        <v>143653419</v>
      </c>
      <c r="F585" s="246">
        <v>134323393</v>
      </c>
      <c r="G585" s="246">
        <v>9330026</v>
      </c>
      <c r="H585" s="246">
        <v>0</v>
      </c>
      <c r="J585" s="669">
        <v>1.2975000000000001</v>
      </c>
      <c r="K585" s="669">
        <v>0</v>
      </c>
      <c r="L585" s="669">
        <v>1.2975000000000001</v>
      </c>
    </row>
    <row r="586" spans="1:12">
      <c r="A586" s="423" t="s">
        <v>3752</v>
      </c>
      <c r="B586" s="423" t="s">
        <v>1921</v>
      </c>
      <c r="C586" s="246">
        <v>617982635</v>
      </c>
      <c r="D586" s="246">
        <v>576933621</v>
      </c>
      <c r="E586" s="246">
        <v>617982635</v>
      </c>
      <c r="F586" s="246">
        <v>576933621</v>
      </c>
      <c r="G586" s="246">
        <v>41049014</v>
      </c>
      <c r="H586" s="246">
        <v>0</v>
      </c>
      <c r="J586" s="669">
        <v>1.5</v>
      </c>
      <c r="K586" s="669">
        <v>0.10032000000000001</v>
      </c>
      <c r="L586" s="669">
        <v>1.60032</v>
      </c>
    </row>
    <row r="587" spans="1:12">
      <c r="A587" s="423" t="s">
        <v>3753</v>
      </c>
      <c r="B587" s="423" t="s">
        <v>6667</v>
      </c>
      <c r="C587" s="246">
        <v>138100242</v>
      </c>
      <c r="D587" s="246">
        <v>130543866</v>
      </c>
      <c r="E587" s="246">
        <v>134950009</v>
      </c>
      <c r="F587" s="246">
        <v>127393633</v>
      </c>
      <c r="G587" s="246">
        <v>7556376</v>
      </c>
      <c r="H587" s="246">
        <v>3150233</v>
      </c>
      <c r="J587" s="669">
        <v>1.4</v>
      </c>
      <c r="K587" s="669">
        <v>0</v>
      </c>
      <c r="L587" s="669">
        <v>1.4</v>
      </c>
    </row>
    <row r="588" spans="1:12">
      <c r="A588" s="423" t="s">
        <v>3754</v>
      </c>
      <c r="B588" s="423" t="s">
        <v>6668</v>
      </c>
      <c r="C588" s="246">
        <v>150732179</v>
      </c>
      <c r="D588" s="246">
        <v>147021400</v>
      </c>
      <c r="E588" s="246">
        <v>148271058</v>
      </c>
      <c r="F588" s="246">
        <v>144560279</v>
      </c>
      <c r="G588" s="246">
        <v>3710779</v>
      </c>
      <c r="H588" s="246">
        <v>2461121</v>
      </c>
      <c r="J588" s="669">
        <v>1.5</v>
      </c>
      <c r="K588" s="669">
        <v>0</v>
      </c>
      <c r="L588" s="669">
        <v>1.5</v>
      </c>
    </row>
    <row r="589" spans="1:12">
      <c r="A589" s="423" t="s">
        <v>3755</v>
      </c>
      <c r="B589" s="423" t="s">
        <v>6669</v>
      </c>
      <c r="C589" s="246">
        <v>230640341</v>
      </c>
      <c r="D589" s="246">
        <v>230630341</v>
      </c>
      <c r="E589" s="246">
        <v>230640341</v>
      </c>
      <c r="F589" s="246">
        <v>230630341</v>
      </c>
      <c r="G589" s="246">
        <v>10000</v>
      </c>
      <c r="H589" s="246">
        <v>0</v>
      </c>
      <c r="J589" s="669">
        <v>1.5</v>
      </c>
      <c r="K589" s="669">
        <v>0</v>
      </c>
      <c r="L589" s="669">
        <v>1.5</v>
      </c>
    </row>
    <row r="590" spans="1:12">
      <c r="A590" s="423" t="s">
        <v>3756</v>
      </c>
      <c r="B590" s="423" t="s">
        <v>5639</v>
      </c>
      <c r="C590" s="246">
        <v>58482378</v>
      </c>
      <c r="D590" s="246">
        <v>54351563</v>
      </c>
      <c r="E590" s="246">
        <v>58482378</v>
      </c>
      <c r="F590" s="246">
        <v>54351563</v>
      </c>
      <c r="G590" s="246">
        <v>4130815</v>
      </c>
      <c r="H590" s="246">
        <v>0</v>
      </c>
      <c r="J590" s="669">
        <v>1.5</v>
      </c>
      <c r="K590" s="669">
        <v>6.5000000000000002E-2</v>
      </c>
      <c r="L590" s="669">
        <v>1.5649999999999999</v>
      </c>
    </row>
    <row r="591" spans="1:12">
      <c r="A591" s="423" t="s">
        <v>3757</v>
      </c>
      <c r="B591" s="423" t="s">
        <v>6670</v>
      </c>
      <c r="C591" s="246">
        <v>47037523</v>
      </c>
      <c r="D591" s="246">
        <v>42327053</v>
      </c>
      <c r="E591" s="246">
        <v>47037523</v>
      </c>
      <c r="F591" s="246">
        <v>42327053</v>
      </c>
      <c r="G591" s="246">
        <v>4710470</v>
      </c>
      <c r="H591" s="246">
        <v>0</v>
      </c>
      <c r="J591" s="669">
        <v>1.5</v>
      </c>
      <c r="K591" s="669">
        <v>0</v>
      </c>
      <c r="L591" s="669">
        <v>1.5</v>
      </c>
    </row>
    <row r="592" spans="1:12">
      <c r="A592" s="423" t="s">
        <v>3758</v>
      </c>
      <c r="B592" s="423" t="s">
        <v>6671</v>
      </c>
      <c r="C592" s="246">
        <v>24661060</v>
      </c>
      <c r="D592" s="246">
        <v>23936800</v>
      </c>
      <c r="E592" s="246">
        <v>24661060</v>
      </c>
      <c r="F592" s="246">
        <v>23936800</v>
      </c>
      <c r="G592" s="246">
        <v>724260</v>
      </c>
      <c r="H592" s="246">
        <v>0</v>
      </c>
      <c r="J592" s="669">
        <v>1.5</v>
      </c>
      <c r="K592" s="669">
        <v>0</v>
      </c>
      <c r="L592" s="669">
        <v>1.5</v>
      </c>
    </row>
    <row r="593" spans="1:12">
      <c r="A593" s="423" t="s">
        <v>3759</v>
      </c>
      <c r="B593" s="423" t="s">
        <v>278</v>
      </c>
      <c r="C593" s="246">
        <v>504012199</v>
      </c>
      <c r="D593" s="246">
        <v>495655053</v>
      </c>
      <c r="E593" s="246">
        <v>504012199</v>
      </c>
      <c r="F593" s="246">
        <v>495655053</v>
      </c>
      <c r="G593" s="246">
        <v>8357146</v>
      </c>
      <c r="H593" s="246">
        <v>0</v>
      </c>
      <c r="J593" s="669">
        <v>1.5</v>
      </c>
      <c r="K593" s="669">
        <v>0.16800000000000001</v>
      </c>
      <c r="L593" s="669">
        <v>1.6679999999999999</v>
      </c>
    </row>
    <row r="594" spans="1:12">
      <c r="A594" s="423" t="s">
        <v>3760</v>
      </c>
      <c r="B594" s="423" t="s">
        <v>372</v>
      </c>
      <c r="C594" s="246">
        <v>30958547</v>
      </c>
      <c r="D594" s="246">
        <v>27906198</v>
      </c>
      <c r="E594" s="246">
        <v>30958547</v>
      </c>
      <c r="F594" s="246">
        <v>27906198</v>
      </c>
      <c r="G594" s="246">
        <v>3052349</v>
      </c>
      <c r="H594" s="246">
        <v>0</v>
      </c>
      <c r="J594" s="669">
        <v>1.5</v>
      </c>
      <c r="K594" s="669">
        <v>0.1242</v>
      </c>
      <c r="L594" s="669">
        <v>1.6242000000000001</v>
      </c>
    </row>
    <row r="595" spans="1:12">
      <c r="A595" s="423" t="s">
        <v>3761</v>
      </c>
      <c r="B595" s="423" t="s">
        <v>3891</v>
      </c>
      <c r="C595" s="246">
        <v>633271944</v>
      </c>
      <c r="D595" s="246">
        <v>588421613</v>
      </c>
      <c r="E595" s="246">
        <v>633271944</v>
      </c>
      <c r="F595" s="246">
        <v>588421613</v>
      </c>
      <c r="G595" s="246">
        <v>44850331</v>
      </c>
      <c r="H595" s="246">
        <v>0</v>
      </c>
      <c r="J595" s="669">
        <v>1.5</v>
      </c>
      <c r="K595" s="669">
        <v>8.2000000000000003E-2</v>
      </c>
      <c r="L595" s="669">
        <v>1.5820000000000001</v>
      </c>
    </row>
    <row r="596" spans="1:12">
      <c r="A596" s="423" t="s">
        <v>3762</v>
      </c>
      <c r="B596" s="423" t="s">
        <v>279</v>
      </c>
      <c r="C596" s="246">
        <v>703543709</v>
      </c>
      <c r="D596" s="246">
        <v>660394487</v>
      </c>
      <c r="E596" s="246">
        <v>703543709</v>
      </c>
      <c r="F596" s="246">
        <v>660394487</v>
      </c>
      <c r="G596" s="246">
        <v>43149222</v>
      </c>
      <c r="H596" s="246">
        <v>0</v>
      </c>
      <c r="J596" s="669">
        <v>1.4591000000000001</v>
      </c>
      <c r="K596" s="669">
        <v>8.6199999999999999E-2</v>
      </c>
      <c r="L596" s="669">
        <v>1.5452999999999999</v>
      </c>
    </row>
    <row r="597" spans="1:12">
      <c r="A597" s="423" t="s">
        <v>3763</v>
      </c>
      <c r="B597" s="423" t="s">
        <v>348</v>
      </c>
      <c r="C597" s="246">
        <v>126883897</v>
      </c>
      <c r="D597" s="246">
        <v>112217260</v>
      </c>
      <c r="E597" s="246">
        <v>126883897</v>
      </c>
      <c r="F597" s="246">
        <v>112217260</v>
      </c>
      <c r="G597" s="246">
        <v>14666637</v>
      </c>
      <c r="H597" s="246">
        <v>0</v>
      </c>
      <c r="J597" s="669">
        <v>1.47</v>
      </c>
      <c r="K597" s="669">
        <v>0.1676</v>
      </c>
      <c r="L597" s="669">
        <v>1.6375999999999999</v>
      </c>
    </row>
    <row r="598" spans="1:12">
      <c r="A598" s="423" t="s">
        <v>3764</v>
      </c>
      <c r="B598" s="423" t="s">
        <v>280</v>
      </c>
      <c r="C598" s="246">
        <v>31681636</v>
      </c>
      <c r="D598" s="246">
        <v>30034163</v>
      </c>
      <c r="E598" s="246">
        <v>31681636</v>
      </c>
      <c r="F598" s="246">
        <v>30034163</v>
      </c>
      <c r="G598" s="246">
        <v>1647473</v>
      </c>
      <c r="H598" s="246">
        <v>0</v>
      </c>
      <c r="J598" s="669">
        <v>1.5</v>
      </c>
      <c r="K598" s="669">
        <v>0</v>
      </c>
      <c r="L598" s="669">
        <v>1.5</v>
      </c>
    </row>
    <row r="599" spans="1:12">
      <c r="A599" s="423" t="s">
        <v>5959</v>
      </c>
      <c r="B599" s="423" t="s">
        <v>281</v>
      </c>
      <c r="C599" s="246">
        <v>184303268</v>
      </c>
      <c r="D599" s="246">
        <v>170284452</v>
      </c>
      <c r="E599" s="246">
        <v>184303268</v>
      </c>
      <c r="F599" s="246">
        <v>170284452</v>
      </c>
      <c r="G599" s="246">
        <v>14018816</v>
      </c>
      <c r="H599" s="246">
        <v>0</v>
      </c>
      <c r="J599" s="669">
        <v>1.375</v>
      </c>
      <c r="K599" s="669">
        <v>0</v>
      </c>
      <c r="L599" s="669">
        <v>1.375</v>
      </c>
    </row>
    <row r="600" spans="1:12">
      <c r="A600" s="423" t="s">
        <v>5960</v>
      </c>
      <c r="B600" s="423" t="s">
        <v>3836</v>
      </c>
      <c r="C600" s="246">
        <v>86212188</v>
      </c>
      <c r="D600" s="246">
        <v>80724937</v>
      </c>
      <c r="E600" s="246">
        <v>86212188</v>
      </c>
      <c r="F600" s="246">
        <v>80724937</v>
      </c>
      <c r="G600" s="246">
        <v>5487251</v>
      </c>
      <c r="H600" s="246">
        <v>0</v>
      </c>
      <c r="J600" s="669">
        <v>1.5</v>
      </c>
      <c r="K600" s="669">
        <v>6.5000000000000002E-2</v>
      </c>
      <c r="L600" s="669">
        <v>1.5649999999999999</v>
      </c>
    </row>
    <row r="601" spans="1:12">
      <c r="A601" s="423" t="s">
        <v>5962</v>
      </c>
      <c r="B601" s="423" t="s">
        <v>283</v>
      </c>
      <c r="C601" s="246">
        <v>49584974</v>
      </c>
      <c r="D601" s="246">
        <v>46219656</v>
      </c>
      <c r="E601" s="246">
        <v>49584974</v>
      </c>
      <c r="F601" s="246">
        <v>46219656</v>
      </c>
      <c r="G601" s="246">
        <v>3365318</v>
      </c>
      <c r="H601" s="246">
        <v>0</v>
      </c>
      <c r="J601" s="669">
        <v>1.48</v>
      </c>
      <c r="K601" s="669">
        <v>0</v>
      </c>
      <c r="L601" s="669">
        <v>1.48</v>
      </c>
    </row>
    <row r="602" spans="1:12">
      <c r="A602" s="423" t="s">
        <v>5963</v>
      </c>
      <c r="B602" s="423" t="s">
        <v>284</v>
      </c>
      <c r="C602" s="246">
        <v>403899545</v>
      </c>
      <c r="D602" s="246">
        <v>400189405</v>
      </c>
      <c r="E602" s="246">
        <v>403899545</v>
      </c>
      <c r="F602" s="246">
        <v>400189405</v>
      </c>
      <c r="G602" s="246">
        <v>3710140</v>
      </c>
      <c r="H602" s="246">
        <v>0</v>
      </c>
      <c r="J602" s="669">
        <v>1.2669999999999999</v>
      </c>
      <c r="K602" s="669">
        <v>8.3000000000000004E-2</v>
      </c>
      <c r="L602" s="669">
        <v>1.35</v>
      </c>
    </row>
    <row r="603" spans="1:12">
      <c r="A603" s="423" t="s">
        <v>5964</v>
      </c>
      <c r="B603" s="423" t="s">
        <v>285</v>
      </c>
      <c r="C603" s="246">
        <v>696971687</v>
      </c>
      <c r="D603" s="246">
        <v>654722997</v>
      </c>
      <c r="E603" s="246">
        <v>696971687</v>
      </c>
      <c r="F603" s="246">
        <v>654722997</v>
      </c>
      <c r="G603" s="246">
        <v>42248690</v>
      </c>
      <c r="H603" s="246">
        <v>0</v>
      </c>
      <c r="J603" s="669">
        <v>1.45</v>
      </c>
      <c r="K603" s="669">
        <v>0.05</v>
      </c>
      <c r="L603" s="669">
        <v>1.5</v>
      </c>
    </row>
    <row r="604" spans="1:12">
      <c r="A604" s="423" t="s">
        <v>5965</v>
      </c>
      <c r="B604" s="423" t="s">
        <v>286</v>
      </c>
      <c r="C604" s="246">
        <v>64340148</v>
      </c>
      <c r="D604" s="246">
        <v>61068828</v>
      </c>
      <c r="E604" s="246">
        <v>64340148</v>
      </c>
      <c r="F604" s="246">
        <v>61068828</v>
      </c>
      <c r="G604" s="246">
        <v>3271320</v>
      </c>
      <c r="H604" s="246">
        <v>0</v>
      </c>
      <c r="J604" s="669">
        <v>1.45</v>
      </c>
      <c r="K604" s="669">
        <v>0</v>
      </c>
      <c r="L604" s="669">
        <v>1.45</v>
      </c>
    </row>
    <row r="605" spans="1:12">
      <c r="A605" s="423" t="s">
        <v>5966</v>
      </c>
      <c r="B605" s="423" t="s">
        <v>2650</v>
      </c>
      <c r="C605" s="246">
        <v>355010062</v>
      </c>
      <c r="D605" s="246">
        <v>345861526</v>
      </c>
      <c r="E605" s="246">
        <v>355010062</v>
      </c>
      <c r="F605" s="246">
        <v>345861526</v>
      </c>
      <c r="G605" s="246">
        <v>9148536</v>
      </c>
      <c r="H605" s="246">
        <v>0</v>
      </c>
      <c r="J605" s="669">
        <v>1.5</v>
      </c>
      <c r="K605" s="669">
        <v>5.5E-2</v>
      </c>
      <c r="L605" s="669">
        <v>1.5549999999999999</v>
      </c>
    </row>
    <row r="606" spans="1:12">
      <c r="A606" s="423" t="s">
        <v>5967</v>
      </c>
      <c r="B606" s="423" t="s">
        <v>287</v>
      </c>
      <c r="C606" s="246">
        <v>682117959</v>
      </c>
      <c r="D606" s="246">
        <v>662561185</v>
      </c>
      <c r="E606" s="246">
        <v>682117959</v>
      </c>
      <c r="F606" s="246">
        <v>662561185</v>
      </c>
      <c r="G606" s="246">
        <v>19556774</v>
      </c>
      <c r="H606" s="246">
        <v>0</v>
      </c>
      <c r="J606" s="669">
        <v>1.35</v>
      </c>
      <c r="K606" s="669">
        <v>0</v>
      </c>
      <c r="L606" s="669">
        <v>1.35</v>
      </c>
    </row>
    <row r="607" spans="1:12">
      <c r="A607" s="423" t="s">
        <v>5968</v>
      </c>
      <c r="B607" s="423" t="s">
        <v>288</v>
      </c>
      <c r="C607" s="246">
        <v>68454518</v>
      </c>
      <c r="D607" s="246">
        <v>61944436</v>
      </c>
      <c r="E607" s="246">
        <v>64688895</v>
      </c>
      <c r="F607" s="246">
        <v>58178813</v>
      </c>
      <c r="G607" s="246">
        <v>6510082</v>
      </c>
      <c r="H607" s="246">
        <v>3765623</v>
      </c>
      <c r="J607" s="669">
        <v>1.42</v>
      </c>
      <c r="K607" s="669">
        <v>0.03</v>
      </c>
      <c r="L607" s="669">
        <v>1.45</v>
      </c>
    </row>
    <row r="608" spans="1:12">
      <c r="A608" s="423" t="s">
        <v>5969</v>
      </c>
      <c r="B608" s="423" t="s">
        <v>289</v>
      </c>
      <c r="C608" s="246">
        <v>166785850</v>
      </c>
      <c r="D608" s="246">
        <v>154310003</v>
      </c>
      <c r="E608" s="246">
        <v>166785850</v>
      </c>
      <c r="F608" s="246">
        <v>154310003</v>
      </c>
      <c r="G608" s="246">
        <v>12475847</v>
      </c>
      <c r="H608" s="246">
        <v>0</v>
      </c>
      <c r="J608" s="669">
        <v>1.5</v>
      </c>
      <c r="K608" s="669">
        <v>0</v>
      </c>
      <c r="L608" s="669">
        <v>1.5</v>
      </c>
    </row>
    <row r="609" spans="1:12">
      <c r="A609" s="423" t="s">
        <v>5970</v>
      </c>
      <c r="B609" s="423" t="s">
        <v>290</v>
      </c>
      <c r="C609" s="246">
        <v>54791616</v>
      </c>
      <c r="D609" s="246">
        <v>52266076</v>
      </c>
      <c r="E609" s="246">
        <v>53047104</v>
      </c>
      <c r="F609" s="246">
        <v>50521564</v>
      </c>
      <c r="G609" s="246">
        <v>2525540</v>
      </c>
      <c r="H609" s="246">
        <v>1744512</v>
      </c>
      <c r="J609" s="669">
        <v>1.28</v>
      </c>
      <c r="K609" s="669">
        <v>0</v>
      </c>
      <c r="L609" s="669">
        <v>1.28</v>
      </c>
    </row>
    <row r="610" spans="1:12">
      <c r="A610" s="423" t="s">
        <v>5971</v>
      </c>
      <c r="B610" s="423" t="s">
        <v>291</v>
      </c>
      <c r="C610" s="246">
        <v>35972437</v>
      </c>
      <c r="D610" s="246">
        <v>33487067</v>
      </c>
      <c r="E610" s="246">
        <v>35972437</v>
      </c>
      <c r="F610" s="246">
        <v>33487067</v>
      </c>
      <c r="G610" s="246">
        <v>2485370</v>
      </c>
      <c r="H610" s="246">
        <v>0</v>
      </c>
      <c r="J610" s="669">
        <v>1.48</v>
      </c>
      <c r="K610" s="669">
        <v>0</v>
      </c>
      <c r="L610" s="669">
        <v>1.48</v>
      </c>
    </row>
    <row r="611" spans="1:12">
      <c r="A611" s="423" t="s">
        <v>5972</v>
      </c>
      <c r="B611" s="423" t="s">
        <v>292</v>
      </c>
      <c r="C611" s="246">
        <v>125963070</v>
      </c>
      <c r="D611" s="246">
        <v>123732550</v>
      </c>
      <c r="E611" s="246">
        <v>124562845</v>
      </c>
      <c r="F611" s="246">
        <v>122332325</v>
      </c>
      <c r="G611" s="246">
        <v>2230520</v>
      </c>
      <c r="H611" s="246">
        <v>1400225</v>
      </c>
      <c r="J611" s="669">
        <v>1.35</v>
      </c>
      <c r="K611" s="669">
        <v>0</v>
      </c>
      <c r="L611" s="669">
        <v>1.35</v>
      </c>
    </row>
    <row r="612" spans="1:12">
      <c r="A612" s="423" t="s">
        <v>5973</v>
      </c>
      <c r="B612" s="423" t="s">
        <v>293</v>
      </c>
      <c r="C612" s="246">
        <v>553406973</v>
      </c>
      <c r="D612" s="246">
        <v>531813574</v>
      </c>
      <c r="E612" s="246">
        <v>543825900</v>
      </c>
      <c r="F612" s="246">
        <v>522232501</v>
      </c>
      <c r="G612" s="246">
        <v>21593399</v>
      </c>
      <c r="H612" s="246">
        <v>9581073</v>
      </c>
      <c r="J612" s="669">
        <v>1.5</v>
      </c>
      <c r="K612" s="669">
        <v>0.1162</v>
      </c>
      <c r="L612" s="669">
        <v>1.6162000000000001</v>
      </c>
    </row>
    <row r="613" spans="1:12">
      <c r="A613" s="423" t="s">
        <v>5974</v>
      </c>
      <c r="B613" s="423" t="s">
        <v>294</v>
      </c>
      <c r="C613" s="246">
        <v>253009334</v>
      </c>
      <c r="D613" s="246">
        <v>238348852</v>
      </c>
      <c r="E613" s="246">
        <v>249746796</v>
      </c>
      <c r="F613" s="246">
        <v>235086314</v>
      </c>
      <c r="G613" s="246">
        <v>14660482</v>
      </c>
      <c r="H613" s="246">
        <v>3262538</v>
      </c>
      <c r="J613" s="669">
        <v>1.4691000000000001</v>
      </c>
      <c r="K613" s="669">
        <v>6.2600000000000003E-2</v>
      </c>
      <c r="L613" s="669">
        <v>1.5317000000000001</v>
      </c>
    </row>
    <row r="614" spans="1:12">
      <c r="A614" s="423" t="s">
        <v>5975</v>
      </c>
      <c r="B614" s="423" t="s">
        <v>295</v>
      </c>
      <c r="C614" s="246">
        <v>107704360</v>
      </c>
      <c r="D614" s="246">
        <v>104482858</v>
      </c>
      <c r="E614" s="246">
        <v>107007261</v>
      </c>
      <c r="F614" s="246">
        <v>103785759</v>
      </c>
      <c r="G614" s="246">
        <v>3221502</v>
      </c>
      <c r="H614" s="246">
        <v>697099</v>
      </c>
      <c r="J614" s="669">
        <v>1.4842</v>
      </c>
      <c r="K614" s="669">
        <v>0</v>
      </c>
      <c r="L614" s="669">
        <v>1.4842</v>
      </c>
    </row>
    <row r="615" spans="1:12">
      <c r="A615" s="423" t="s">
        <v>5976</v>
      </c>
      <c r="B615" s="423" t="s">
        <v>296</v>
      </c>
      <c r="C615" s="246">
        <v>238079719</v>
      </c>
      <c r="D615" s="246">
        <v>229598239</v>
      </c>
      <c r="E615" s="246">
        <v>235602852</v>
      </c>
      <c r="F615" s="246">
        <v>227121372</v>
      </c>
      <c r="G615" s="246">
        <v>8481480</v>
      </c>
      <c r="H615" s="246">
        <v>2476867</v>
      </c>
      <c r="J615" s="669">
        <v>1.4750000000000001</v>
      </c>
      <c r="K615" s="669">
        <v>8.1900000000000001E-2</v>
      </c>
      <c r="L615" s="669">
        <v>1.5569</v>
      </c>
    </row>
    <row r="616" spans="1:12">
      <c r="A616" s="423" t="s">
        <v>5977</v>
      </c>
      <c r="B616" s="423" t="s">
        <v>297</v>
      </c>
      <c r="C616" s="246">
        <v>216699701</v>
      </c>
      <c r="D616" s="246">
        <v>205891541</v>
      </c>
      <c r="E616" s="246">
        <v>210399163</v>
      </c>
      <c r="F616" s="246">
        <v>199591003</v>
      </c>
      <c r="G616" s="246">
        <v>10808160</v>
      </c>
      <c r="H616" s="246">
        <v>6300538</v>
      </c>
      <c r="J616" s="669">
        <v>1.5</v>
      </c>
      <c r="K616" s="669">
        <v>0.06</v>
      </c>
      <c r="L616" s="669">
        <v>1.56</v>
      </c>
    </row>
    <row r="617" spans="1:12">
      <c r="A617" s="423" t="s">
        <v>5978</v>
      </c>
      <c r="B617" s="423" t="s">
        <v>298</v>
      </c>
      <c r="C617" s="246">
        <v>173726307</v>
      </c>
      <c r="D617" s="246">
        <v>164073006</v>
      </c>
      <c r="E617" s="246">
        <v>166948882</v>
      </c>
      <c r="F617" s="246">
        <v>157295581</v>
      </c>
      <c r="G617" s="246">
        <v>9653301</v>
      </c>
      <c r="H617" s="246">
        <v>6777425</v>
      </c>
      <c r="J617" s="669">
        <v>1.5</v>
      </c>
      <c r="K617" s="669">
        <v>0.15</v>
      </c>
      <c r="L617" s="669">
        <v>1.65</v>
      </c>
    </row>
    <row r="618" spans="1:12">
      <c r="A618" s="423" t="s">
        <v>5979</v>
      </c>
      <c r="B618" s="423" t="s">
        <v>299</v>
      </c>
      <c r="C618" s="246">
        <v>114756443</v>
      </c>
      <c r="D618" s="246">
        <v>109240694</v>
      </c>
      <c r="E618" s="246">
        <v>114756443</v>
      </c>
      <c r="F618" s="246">
        <v>109240694</v>
      </c>
      <c r="G618" s="246">
        <v>5515749</v>
      </c>
      <c r="H618" s="246">
        <v>0</v>
      </c>
      <c r="J618" s="669">
        <v>1.5</v>
      </c>
      <c r="K618" s="669">
        <v>0</v>
      </c>
      <c r="L618" s="669">
        <v>1.5</v>
      </c>
    </row>
    <row r="619" spans="1:12">
      <c r="A619" s="423" t="s">
        <v>5980</v>
      </c>
      <c r="B619" s="423" t="s">
        <v>300</v>
      </c>
      <c r="C619" s="246">
        <v>641959303</v>
      </c>
      <c r="D619" s="246">
        <v>632528172</v>
      </c>
      <c r="E619" s="246">
        <v>641959303</v>
      </c>
      <c r="F619" s="246">
        <v>632528172</v>
      </c>
      <c r="G619" s="246">
        <v>9431131</v>
      </c>
      <c r="H619" s="246">
        <v>0</v>
      </c>
      <c r="J619" s="669">
        <v>1.28</v>
      </c>
      <c r="K619" s="669">
        <v>0</v>
      </c>
      <c r="L619" s="669">
        <v>1.28</v>
      </c>
    </row>
    <row r="620" spans="1:12">
      <c r="A620" s="423" t="s">
        <v>5981</v>
      </c>
      <c r="B620" s="423" t="s">
        <v>6114</v>
      </c>
      <c r="C620" s="246">
        <v>561383653</v>
      </c>
      <c r="D620" s="246">
        <v>527644046</v>
      </c>
      <c r="E620" s="246">
        <v>561383653</v>
      </c>
      <c r="F620" s="246">
        <v>527644046</v>
      </c>
      <c r="G620" s="246">
        <v>33739607</v>
      </c>
      <c r="H620" s="246">
        <v>0</v>
      </c>
      <c r="J620" s="669">
        <v>1.44</v>
      </c>
      <c r="K620" s="669">
        <v>0.3</v>
      </c>
      <c r="L620" s="669">
        <v>1.74</v>
      </c>
    </row>
    <row r="621" spans="1:12">
      <c r="A621" s="423" t="s">
        <v>5982</v>
      </c>
      <c r="B621" s="423" t="s">
        <v>994</v>
      </c>
      <c r="C621" s="246">
        <v>1083710159</v>
      </c>
      <c r="D621" s="246">
        <v>1031790682</v>
      </c>
      <c r="E621" s="246">
        <v>1083710159</v>
      </c>
      <c r="F621" s="246">
        <v>1031790682</v>
      </c>
      <c r="G621" s="246">
        <v>51919477</v>
      </c>
      <c r="H621" s="246">
        <v>0</v>
      </c>
      <c r="J621" s="669">
        <v>1.5</v>
      </c>
      <c r="K621" s="669">
        <v>0.1593</v>
      </c>
      <c r="L621" s="669">
        <v>1.6593</v>
      </c>
    </row>
    <row r="622" spans="1:12">
      <c r="A622" s="423" t="s">
        <v>5983</v>
      </c>
      <c r="B622" s="423" t="s">
        <v>301</v>
      </c>
      <c r="C622" s="246">
        <v>493791024</v>
      </c>
      <c r="D622" s="246">
        <v>491496482</v>
      </c>
      <c r="E622" s="246">
        <v>493791024</v>
      </c>
      <c r="F622" s="246">
        <v>491496482</v>
      </c>
      <c r="G622" s="246">
        <v>2294542</v>
      </c>
      <c r="H622" s="246">
        <v>0</v>
      </c>
      <c r="J622" s="669">
        <v>1.38</v>
      </c>
      <c r="K622" s="669">
        <v>3.1800000000000002E-2</v>
      </c>
      <c r="L622" s="669">
        <v>1.4117999999999999</v>
      </c>
    </row>
    <row r="623" spans="1:12">
      <c r="A623" s="423" t="s">
        <v>5984</v>
      </c>
      <c r="B623" s="423" t="s">
        <v>3917</v>
      </c>
      <c r="C623" s="246">
        <v>250722562</v>
      </c>
      <c r="D623" s="246">
        <v>233847190</v>
      </c>
      <c r="E623" s="246">
        <v>250722562</v>
      </c>
      <c r="F623" s="246">
        <v>233847190</v>
      </c>
      <c r="G623" s="246">
        <v>16875372</v>
      </c>
      <c r="H623" s="246">
        <v>0</v>
      </c>
      <c r="J623" s="669">
        <v>1.4579</v>
      </c>
      <c r="K623" s="669">
        <v>0</v>
      </c>
      <c r="L623" s="669">
        <v>1.4579</v>
      </c>
    </row>
    <row r="624" spans="1:12">
      <c r="A624" s="423" t="s">
        <v>5985</v>
      </c>
      <c r="B624" s="423" t="s">
        <v>3855</v>
      </c>
      <c r="C624" s="246">
        <v>252419462</v>
      </c>
      <c r="D624" s="246">
        <v>244851115</v>
      </c>
      <c r="E624" s="246">
        <v>252419462</v>
      </c>
      <c r="F624" s="246">
        <v>244851115</v>
      </c>
      <c r="G624" s="246">
        <v>7568347</v>
      </c>
      <c r="H624" s="246">
        <v>0</v>
      </c>
      <c r="J624" s="669">
        <v>1.5</v>
      </c>
      <c r="K624" s="669">
        <v>6.5699999999999995E-2</v>
      </c>
      <c r="L624" s="669">
        <v>1.5657000000000001</v>
      </c>
    </row>
    <row r="625" spans="1:12">
      <c r="A625" s="423" t="s">
        <v>5986</v>
      </c>
      <c r="B625" s="423" t="s">
        <v>302</v>
      </c>
      <c r="C625" s="246">
        <v>646639400</v>
      </c>
      <c r="D625" s="246">
        <v>622157186</v>
      </c>
      <c r="E625" s="246">
        <v>646639400</v>
      </c>
      <c r="F625" s="246">
        <v>622157186</v>
      </c>
      <c r="G625" s="246">
        <v>24482214</v>
      </c>
      <c r="H625" s="246">
        <v>0</v>
      </c>
      <c r="J625" s="669">
        <v>1.5</v>
      </c>
      <c r="K625" s="669">
        <v>0.17130000000000001</v>
      </c>
      <c r="L625" s="669">
        <v>1.6713</v>
      </c>
    </row>
    <row r="626" spans="1:12">
      <c r="A626" s="423" t="s">
        <v>5987</v>
      </c>
      <c r="B626" s="423" t="s">
        <v>2163</v>
      </c>
      <c r="C626" s="246">
        <v>306505559</v>
      </c>
      <c r="D626" s="246">
        <v>285444671</v>
      </c>
      <c r="E626" s="246">
        <v>306505559</v>
      </c>
      <c r="F626" s="246">
        <v>285444671</v>
      </c>
      <c r="G626" s="246">
        <v>21060888</v>
      </c>
      <c r="H626" s="246">
        <v>0</v>
      </c>
      <c r="J626" s="669">
        <v>1.5</v>
      </c>
      <c r="K626" s="669">
        <v>0.23</v>
      </c>
      <c r="L626" s="669">
        <v>1.73</v>
      </c>
    </row>
    <row r="627" spans="1:12">
      <c r="A627" s="423" t="s">
        <v>5988</v>
      </c>
      <c r="B627" s="423" t="s">
        <v>2646</v>
      </c>
      <c r="C627" s="246">
        <v>27401475</v>
      </c>
      <c r="D627" s="246">
        <v>24807495</v>
      </c>
      <c r="E627" s="246">
        <v>27401475</v>
      </c>
      <c r="F627" s="246">
        <v>24807495</v>
      </c>
      <c r="G627" s="246">
        <v>2593980</v>
      </c>
      <c r="H627" s="246">
        <v>0</v>
      </c>
      <c r="J627" s="669">
        <v>1.5</v>
      </c>
      <c r="K627" s="669">
        <v>0.15409999999999999</v>
      </c>
      <c r="L627" s="669">
        <v>1.6540999999999999</v>
      </c>
    </row>
    <row r="628" spans="1:12">
      <c r="A628" s="423" t="s">
        <v>5989</v>
      </c>
      <c r="B628" s="423" t="s">
        <v>2164</v>
      </c>
      <c r="C628" s="246">
        <v>1243367352</v>
      </c>
      <c r="D628" s="246">
        <v>1220738987</v>
      </c>
      <c r="E628" s="246">
        <v>1230216039</v>
      </c>
      <c r="F628" s="246">
        <v>1207587674</v>
      </c>
      <c r="G628" s="246">
        <v>22628365</v>
      </c>
      <c r="H628" s="246">
        <v>13151313</v>
      </c>
      <c r="J628" s="669">
        <v>1.375</v>
      </c>
      <c r="K628" s="669">
        <v>0</v>
      </c>
      <c r="L628" s="669">
        <v>1.375</v>
      </c>
    </row>
    <row r="629" spans="1:12">
      <c r="A629" s="423" t="s">
        <v>5990</v>
      </c>
      <c r="B629" s="423" t="s">
        <v>2165</v>
      </c>
      <c r="C629" s="246">
        <v>321443745</v>
      </c>
      <c r="D629" s="246">
        <v>296318490</v>
      </c>
      <c r="E629" s="246">
        <v>321443745</v>
      </c>
      <c r="F629" s="246">
        <v>296318490</v>
      </c>
      <c r="G629" s="246">
        <v>25125255</v>
      </c>
      <c r="H629" s="246">
        <v>0</v>
      </c>
      <c r="J629" s="669">
        <v>1.5</v>
      </c>
      <c r="K629" s="669">
        <v>5.6099999999999997E-2</v>
      </c>
      <c r="L629" s="669">
        <v>1.5561</v>
      </c>
    </row>
    <row r="630" spans="1:12">
      <c r="A630" s="423" t="s">
        <v>5991</v>
      </c>
      <c r="B630" s="423" t="s">
        <v>2166</v>
      </c>
      <c r="C630" s="246">
        <v>143789458</v>
      </c>
      <c r="D630" s="246">
        <v>140722381</v>
      </c>
      <c r="E630" s="246">
        <v>143789458</v>
      </c>
      <c r="F630" s="246">
        <v>140722381</v>
      </c>
      <c r="G630" s="246">
        <v>3067077</v>
      </c>
      <c r="H630" s="246">
        <v>0</v>
      </c>
      <c r="J630" s="669">
        <v>1.45</v>
      </c>
      <c r="K630" s="669">
        <v>4.4999999999999998E-2</v>
      </c>
      <c r="L630" s="669">
        <v>1.4950000000000001</v>
      </c>
    </row>
    <row r="631" spans="1:12">
      <c r="A631" s="423" t="s">
        <v>5992</v>
      </c>
      <c r="B631" s="423" t="s">
        <v>2167</v>
      </c>
      <c r="C631" s="246">
        <v>160321756</v>
      </c>
      <c r="D631" s="246">
        <v>158839456</v>
      </c>
      <c r="E631" s="246">
        <v>160321756</v>
      </c>
      <c r="F631" s="246">
        <v>158839456</v>
      </c>
      <c r="G631" s="246">
        <v>1482300</v>
      </c>
      <c r="H631" s="246">
        <v>0</v>
      </c>
      <c r="J631" s="669">
        <v>1.5</v>
      </c>
      <c r="K631" s="669">
        <v>0</v>
      </c>
      <c r="L631" s="669">
        <v>1.5</v>
      </c>
    </row>
    <row r="632" spans="1:12">
      <c r="A632" s="423" t="s">
        <v>5993</v>
      </c>
      <c r="B632" s="423" t="s">
        <v>2168</v>
      </c>
      <c r="C632" s="246">
        <v>120172419</v>
      </c>
      <c r="D632" s="246">
        <v>118866839</v>
      </c>
      <c r="E632" s="246">
        <v>120172419</v>
      </c>
      <c r="F632" s="246">
        <v>118866839</v>
      </c>
      <c r="G632" s="246">
        <v>1305580</v>
      </c>
      <c r="H632" s="246">
        <v>0</v>
      </c>
      <c r="J632" s="669">
        <v>1.5</v>
      </c>
      <c r="K632" s="669">
        <v>0</v>
      </c>
      <c r="L632" s="669">
        <v>1.5</v>
      </c>
    </row>
    <row r="633" spans="1:12">
      <c r="A633" s="423" t="s">
        <v>5994</v>
      </c>
      <c r="B633" s="423" t="s">
        <v>2169</v>
      </c>
      <c r="C633" s="246">
        <v>180616092</v>
      </c>
      <c r="D633" s="246">
        <v>179496037</v>
      </c>
      <c r="E633" s="246">
        <v>180616092</v>
      </c>
      <c r="F633" s="246">
        <v>179496037</v>
      </c>
      <c r="G633" s="246">
        <v>1120055</v>
      </c>
      <c r="H633" s="246">
        <v>0</v>
      </c>
      <c r="J633" s="669">
        <v>1.4024000000000001</v>
      </c>
      <c r="K633" s="669">
        <v>9.7600000000000006E-2</v>
      </c>
      <c r="L633" s="669">
        <v>1.5</v>
      </c>
    </row>
    <row r="634" spans="1:12">
      <c r="A634" s="423" t="s">
        <v>5995</v>
      </c>
      <c r="B634" s="423" t="s">
        <v>2170</v>
      </c>
      <c r="C634" s="246">
        <v>426885184</v>
      </c>
      <c r="D634" s="246">
        <v>408421094</v>
      </c>
      <c r="E634" s="246">
        <v>417919094</v>
      </c>
      <c r="F634" s="246">
        <v>399455004</v>
      </c>
      <c r="G634" s="246">
        <v>18464090</v>
      </c>
      <c r="H634" s="246">
        <v>8966090</v>
      </c>
      <c r="J634" s="669">
        <v>1.48</v>
      </c>
      <c r="K634" s="669">
        <v>0</v>
      </c>
      <c r="L634" s="669">
        <v>1.48</v>
      </c>
    </row>
    <row r="635" spans="1:12">
      <c r="A635" s="423" t="s">
        <v>5996</v>
      </c>
      <c r="B635" s="423" t="s">
        <v>5648</v>
      </c>
      <c r="C635" s="246">
        <v>312975893</v>
      </c>
      <c r="D635" s="246">
        <v>303796453</v>
      </c>
      <c r="E635" s="246">
        <v>308965053</v>
      </c>
      <c r="F635" s="246">
        <v>299785613</v>
      </c>
      <c r="G635" s="246">
        <v>9179440</v>
      </c>
      <c r="H635" s="246">
        <v>4010840</v>
      </c>
      <c r="J635" s="669">
        <v>1.4449000000000001</v>
      </c>
      <c r="K635" s="669">
        <v>8.4269999999999998E-2</v>
      </c>
      <c r="L635" s="669">
        <v>1.5291699999999999</v>
      </c>
    </row>
    <row r="636" spans="1:12">
      <c r="A636" s="423" t="s">
        <v>5997</v>
      </c>
      <c r="B636" s="423" t="s">
        <v>5649</v>
      </c>
      <c r="C636" s="246">
        <v>1752153020</v>
      </c>
      <c r="D636" s="246">
        <v>1701842321</v>
      </c>
      <c r="E636" s="246">
        <v>1713314264</v>
      </c>
      <c r="F636" s="246">
        <v>1663003565</v>
      </c>
      <c r="G636" s="246">
        <v>50310699</v>
      </c>
      <c r="H636" s="246">
        <v>38838756</v>
      </c>
      <c r="J636" s="669">
        <v>1.4219999999999999</v>
      </c>
      <c r="K636" s="669">
        <v>0.107</v>
      </c>
      <c r="L636" s="669">
        <v>1.5289999999999999</v>
      </c>
    </row>
    <row r="637" spans="1:12">
      <c r="A637" s="423" t="s">
        <v>6000</v>
      </c>
      <c r="B637" s="423" t="s">
        <v>202</v>
      </c>
      <c r="C637" s="246">
        <v>7389174733</v>
      </c>
      <c r="D637" s="246">
        <v>7049197159</v>
      </c>
      <c r="E637" s="246">
        <v>7389174733</v>
      </c>
      <c r="F637" s="246">
        <v>7049197159</v>
      </c>
      <c r="G637" s="246">
        <v>339977574</v>
      </c>
      <c r="H637" s="246">
        <v>0</v>
      </c>
      <c r="J637" s="669">
        <v>1.5</v>
      </c>
      <c r="K637" s="669">
        <v>0.15890000000000001</v>
      </c>
      <c r="L637" s="669">
        <v>1.6589</v>
      </c>
    </row>
    <row r="638" spans="1:12">
      <c r="A638" s="423" t="s">
        <v>6001</v>
      </c>
      <c r="B638" s="423" t="s">
        <v>5650</v>
      </c>
      <c r="C638" s="246">
        <v>136190506</v>
      </c>
      <c r="D638" s="246">
        <v>129241025</v>
      </c>
      <c r="E638" s="246">
        <v>136190506</v>
      </c>
      <c r="F638" s="246">
        <v>129241025</v>
      </c>
      <c r="G638" s="246">
        <v>6949481</v>
      </c>
      <c r="H638" s="246">
        <v>0</v>
      </c>
      <c r="J638" s="669">
        <v>1.5</v>
      </c>
      <c r="K638" s="669">
        <v>0</v>
      </c>
      <c r="L638" s="669">
        <v>1.5</v>
      </c>
    </row>
    <row r="639" spans="1:12">
      <c r="A639" s="423" t="s">
        <v>6536</v>
      </c>
      <c r="B639" s="423" t="s">
        <v>5651</v>
      </c>
      <c r="C639" s="246">
        <v>238558875</v>
      </c>
      <c r="D639" s="246">
        <v>220590020</v>
      </c>
      <c r="E639" s="246">
        <v>238558875</v>
      </c>
      <c r="F639" s="246">
        <v>220590020</v>
      </c>
      <c r="G639" s="246">
        <v>17968855</v>
      </c>
      <c r="H639" s="246">
        <v>0</v>
      </c>
      <c r="J639" s="669">
        <v>1.5</v>
      </c>
      <c r="K639" s="669">
        <v>0.1002</v>
      </c>
      <c r="L639" s="669">
        <v>1.6002000000000001</v>
      </c>
    </row>
    <row r="640" spans="1:12">
      <c r="A640" s="423" t="s">
        <v>6537</v>
      </c>
      <c r="B640" s="423" t="s">
        <v>203</v>
      </c>
      <c r="C640" s="246">
        <v>761992809</v>
      </c>
      <c r="D640" s="246">
        <v>731616870</v>
      </c>
      <c r="E640" s="246">
        <v>761992809</v>
      </c>
      <c r="F640" s="246">
        <v>731616870</v>
      </c>
      <c r="G640" s="246">
        <v>30375939</v>
      </c>
      <c r="H640" s="246">
        <v>0</v>
      </c>
      <c r="J640" s="669">
        <v>1.397</v>
      </c>
      <c r="K640" s="669">
        <v>0.12</v>
      </c>
      <c r="L640" s="669">
        <v>1.5169999999999999</v>
      </c>
    </row>
    <row r="641" spans="1:12">
      <c r="A641" s="423" t="s">
        <v>6538</v>
      </c>
      <c r="B641" s="423" t="s">
        <v>115</v>
      </c>
      <c r="C641" s="246">
        <v>1586453466</v>
      </c>
      <c r="D641" s="246">
        <v>1521230235</v>
      </c>
      <c r="E641" s="246">
        <v>1586453466</v>
      </c>
      <c r="F641" s="246">
        <v>1521230235</v>
      </c>
      <c r="G641" s="246">
        <v>65223231</v>
      </c>
      <c r="H641" s="246">
        <v>0</v>
      </c>
      <c r="J641" s="669">
        <v>1.4111</v>
      </c>
      <c r="K641" s="669">
        <v>0.29949999999999999</v>
      </c>
      <c r="L641" s="669">
        <v>1.7105999999999999</v>
      </c>
    </row>
    <row r="642" spans="1:12">
      <c r="A642" s="423" t="s">
        <v>6539</v>
      </c>
      <c r="B642" s="423" t="s">
        <v>5652</v>
      </c>
      <c r="C642" s="246">
        <v>160441256</v>
      </c>
      <c r="D642" s="246">
        <v>150111667</v>
      </c>
      <c r="E642" s="246">
        <v>160441256</v>
      </c>
      <c r="F642" s="246">
        <v>150111667</v>
      </c>
      <c r="G642" s="246">
        <v>10329589</v>
      </c>
      <c r="H642" s="246">
        <v>0</v>
      </c>
      <c r="J642" s="669">
        <v>1.5</v>
      </c>
      <c r="K642" s="669">
        <v>0</v>
      </c>
      <c r="L642" s="669">
        <v>1.5</v>
      </c>
    </row>
    <row r="643" spans="1:12">
      <c r="A643" s="423" t="s">
        <v>6540</v>
      </c>
      <c r="B643" s="423" t="s">
        <v>1464</v>
      </c>
      <c r="C643" s="246">
        <v>140708177</v>
      </c>
      <c r="D643" s="246">
        <v>130526146</v>
      </c>
      <c r="E643" s="246">
        <v>140708177</v>
      </c>
      <c r="F643" s="246">
        <v>130526146</v>
      </c>
      <c r="G643" s="246">
        <v>10182031</v>
      </c>
      <c r="H643" s="246">
        <v>0</v>
      </c>
      <c r="J643" s="669">
        <v>1.5</v>
      </c>
      <c r="K643" s="669">
        <v>0.3</v>
      </c>
      <c r="L643" s="669">
        <v>1.8</v>
      </c>
    </row>
    <row r="644" spans="1:12">
      <c r="A644" s="423" t="s">
        <v>6541</v>
      </c>
      <c r="B644" s="423" t="s">
        <v>5653</v>
      </c>
      <c r="C644" s="246">
        <v>136266652</v>
      </c>
      <c r="D644" s="246">
        <v>128716315</v>
      </c>
      <c r="E644" s="246">
        <v>136266652</v>
      </c>
      <c r="F644" s="246">
        <v>128716315</v>
      </c>
      <c r="G644" s="246">
        <v>7550337</v>
      </c>
      <c r="H644" s="246">
        <v>0</v>
      </c>
      <c r="J644" s="669">
        <v>1.44</v>
      </c>
      <c r="K644" s="669">
        <v>0.11</v>
      </c>
      <c r="L644" s="669">
        <v>1.55</v>
      </c>
    </row>
    <row r="645" spans="1:12">
      <c r="A645" s="423" t="s">
        <v>6542</v>
      </c>
      <c r="B645" s="423" t="s">
        <v>5654</v>
      </c>
      <c r="C645" s="246">
        <v>69366387</v>
      </c>
      <c r="D645" s="246">
        <v>66341917</v>
      </c>
      <c r="E645" s="246">
        <v>69366387</v>
      </c>
      <c r="F645" s="246">
        <v>66341917</v>
      </c>
      <c r="G645" s="246">
        <v>3024470</v>
      </c>
      <c r="H645" s="246">
        <v>0</v>
      </c>
      <c r="J645" s="669">
        <v>1.4</v>
      </c>
      <c r="K645" s="669">
        <v>0.1</v>
      </c>
      <c r="L645" s="669">
        <v>1.5</v>
      </c>
    </row>
    <row r="646" spans="1:12">
      <c r="A646" s="423" t="s">
        <v>6543</v>
      </c>
      <c r="B646" s="423" t="s">
        <v>3100</v>
      </c>
      <c r="C646" s="246">
        <v>84868555</v>
      </c>
      <c r="D646" s="246">
        <v>77522405</v>
      </c>
      <c r="E646" s="246">
        <v>84868555</v>
      </c>
      <c r="F646" s="246">
        <v>77522405</v>
      </c>
      <c r="G646" s="246">
        <v>7346150</v>
      </c>
      <c r="H646" s="246">
        <v>0</v>
      </c>
      <c r="J646" s="669">
        <v>1.5</v>
      </c>
      <c r="K646" s="669">
        <v>0</v>
      </c>
      <c r="L646" s="669">
        <v>1.5</v>
      </c>
    </row>
    <row r="647" spans="1:12">
      <c r="A647" s="423" t="s">
        <v>6544</v>
      </c>
      <c r="B647" s="423" t="s">
        <v>3101</v>
      </c>
      <c r="C647" s="246">
        <v>34261082</v>
      </c>
      <c r="D647" s="246">
        <v>32449892</v>
      </c>
      <c r="E647" s="246">
        <v>34261082</v>
      </c>
      <c r="F647" s="246">
        <v>32449892</v>
      </c>
      <c r="G647" s="246">
        <v>1811190</v>
      </c>
      <c r="H647" s="246">
        <v>0</v>
      </c>
      <c r="J647" s="669">
        <v>1.5</v>
      </c>
      <c r="K647" s="669">
        <v>8.6679999999999993E-2</v>
      </c>
      <c r="L647" s="669">
        <v>1.5866800000000001</v>
      </c>
    </row>
    <row r="648" spans="1:12">
      <c r="A648" s="423" t="s">
        <v>6545</v>
      </c>
      <c r="B648" s="423" t="s">
        <v>3102</v>
      </c>
      <c r="C648" s="246">
        <v>33654620</v>
      </c>
      <c r="D648" s="246">
        <v>31585630</v>
      </c>
      <c r="E648" s="246">
        <v>33654620</v>
      </c>
      <c r="F648" s="246">
        <v>31585630</v>
      </c>
      <c r="G648" s="246">
        <v>2068990</v>
      </c>
      <c r="H648" s="246">
        <v>0</v>
      </c>
      <c r="J648" s="669">
        <v>1.5</v>
      </c>
      <c r="K648" s="669">
        <v>9.1869999999999993E-2</v>
      </c>
      <c r="L648" s="669">
        <v>1.5918699999999999</v>
      </c>
    </row>
    <row r="649" spans="1:12">
      <c r="A649" s="423" t="s">
        <v>6546</v>
      </c>
      <c r="B649" s="423" t="s">
        <v>6547</v>
      </c>
      <c r="C649" s="246">
        <v>355766080</v>
      </c>
      <c r="D649" s="246">
        <v>332794287</v>
      </c>
      <c r="E649" s="246">
        <v>355766080</v>
      </c>
      <c r="F649" s="246">
        <v>332794287</v>
      </c>
      <c r="G649" s="246">
        <v>22971793</v>
      </c>
      <c r="H649" s="246">
        <v>0</v>
      </c>
      <c r="J649" s="669">
        <v>1.5</v>
      </c>
      <c r="K649" s="669">
        <v>0.15</v>
      </c>
      <c r="L649" s="669">
        <v>1.65</v>
      </c>
    </row>
    <row r="650" spans="1:12">
      <c r="A650" s="423" t="s">
        <v>6548</v>
      </c>
      <c r="B650" s="423" t="s">
        <v>3103</v>
      </c>
      <c r="C650" s="246">
        <v>101382341</v>
      </c>
      <c r="D650" s="246">
        <v>97011891</v>
      </c>
      <c r="E650" s="246">
        <v>101382341</v>
      </c>
      <c r="F650" s="246">
        <v>97011891</v>
      </c>
      <c r="G650" s="246">
        <v>4370450</v>
      </c>
      <c r="H650" s="246">
        <v>0</v>
      </c>
      <c r="J650" s="669">
        <v>1.45</v>
      </c>
      <c r="K650" s="669">
        <v>0</v>
      </c>
      <c r="L650" s="669">
        <v>1.45</v>
      </c>
    </row>
    <row r="651" spans="1:12">
      <c r="A651" s="423" t="s">
        <v>6549</v>
      </c>
      <c r="B651" s="423" t="s">
        <v>3104</v>
      </c>
      <c r="C651" s="246">
        <v>489077699</v>
      </c>
      <c r="D651" s="246">
        <v>463583384</v>
      </c>
      <c r="E651" s="246">
        <v>481932534</v>
      </c>
      <c r="F651" s="246">
        <v>456438219</v>
      </c>
      <c r="G651" s="246">
        <v>25494315</v>
      </c>
      <c r="H651" s="246">
        <v>7145165</v>
      </c>
      <c r="J651" s="669">
        <v>1.3412299999999999</v>
      </c>
      <c r="K651" s="669">
        <v>0.10877000000000001</v>
      </c>
      <c r="L651" s="669">
        <v>1.45</v>
      </c>
    </row>
    <row r="652" spans="1:12">
      <c r="A652" s="423" t="s">
        <v>6550</v>
      </c>
      <c r="B652" s="423" t="s">
        <v>3105</v>
      </c>
      <c r="C652" s="246">
        <v>267282768</v>
      </c>
      <c r="D652" s="246">
        <v>258728008</v>
      </c>
      <c r="E652" s="246">
        <v>264521933</v>
      </c>
      <c r="F652" s="246">
        <v>255967173</v>
      </c>
      <c r="G652" s="246">
        <v>8554760</v>
      </c>
      <c r="H652" s="246">
        <v>2760835</v>
      </c>
      <c r="J652" s="669">
        <v>1.37</v>
      </c>
      <c r="K652" s="669">
        <v>0</v>
      </c>
      <c r="L652" s="669">
        <v>1.37</v>
      </c>
    </row>
    <row r="653" spans="1:12">
      <c r="A653" s="423" t="s">
        <v>6551</v>
      </c>
      <c r="B653" s="423" t="s">
        <v>3106</v>
      </c>
      <c r="C653" s="246">
        <v>245535597</v>
      </c>
      <c r="D653" s="246">
        <v>244415257</v>
      </c>
      <c r="E653" s="246">
        <v>244921317</v>
      </c>
      <c r="F653" s="246">
        <v>243800977</v>
      </c>
      <c r="G653" s="246">
        <v>1120340</v>
      </c>
      <c r="H653" s="246">
        <v>614280</v>
      </c>
      <c r="J653" s="669">
        <v>1.26</v>
      </c>
      <c r="K653" s="669">
        <v>0</v>
      </c>
      <c r="L653" s="669">
        <v>1.26</v>
      </c>
    </row>
    <row r="654" spans="1:12">
      <c r="A654" s="423" t="s">
        <v>6552</v>
      </c>
      <c r="B654" s="423" t="s">
        <v>3107</v>
      </c>
      <c r="C654" s="246">
        <v>189001939</v>
      </c>
      <c r="D654" s="246">
        <v>177915780</v>
      </c>
      <c r="E654" s="246">
        <v>189001939</v>
      </c>
      <c r="F654" s="246">
        <v>177915780</v>
      </c>
      <c r="G654" s="246">
        <v>11086159</v>
      </c>
      <c r="H654" s="246">
        <v>0</v>
      </c>
      <c r="J654" s="669">
        <v>1.5</v>
      </c>
      <c r="K654" s="669">
        <v>0.1</v>
      </c>
      <c r="L654" s="669">
        <v>1.6</v>
      </c>
    </row>
    <row r="655" spans="1:12">
      <c r="A655" s="423" t="s">
        <v>6553</v>
      </c>
      <c r="B655" s="423" t="s">
        <v>3108</v>
      </c>
      <c r="C655" s="246">
        <v>881884260</v>
      </c>
      <c r="D655" s="246">
        <v>844863578</v>
      </c>
      <c r="E655" s="246">
        <v>881884260</v>
      </c>
      <c r="F655" s="246">
        <v>844863578</v>
      </c>
      <c r="G655" s="246">
        <v>37020682</v>
      </c>
      <c r="H655" s="246">
        <v>0</v>
      </c>
      <c r="J655" s="669">
        <v>1.5</v>
      </c>
      <c r="K655" s="669">
        <v>0.15</v>
      </c>
      <c r="L655" s="669">
        <v>1.65</v>
      </c>
    </row>
    <row r="656" spans="1:12">
      <c r="A656" s="423" t="s">
        <v>6554</v>
      </c>
      <c r="B656" s="423" t="s">
        <v>713</v>
      </c>
      <c r="C656" s="246">
        <v>438734394</v>
      </c>
      <c r="D656" s="246">
        <v>430086482</v>
      </c>
      <c r="E656" s="246">
        <v>434003810</v>
      </c>
      <c r="F656" s="246">
        <v>425355898</v>
      </c>
      <c r="G656" s="246">
        <v>8647912</v>
      </c>
      <c r="H656" s="246">
        <v>4730584</v>
      </c>
      <c r="J656" s="669">
        <v>1.3293999999999999</v>
      </c>
      <c r="K656" s="669">
        <v>0</v>
      </c>
      <c r="L656" s="669">
        <v>1.3293999999999999</v>
      </c>
    </row>
    <row r="657" spans="1:12">
      <c r="A657" s="423" t="s">
        <v>6555</v>
      </c>
      <c r="B657" s="423" t="s">
        <v>714</v>
      </c>
      <c r="C657" s="246">
        <v>150421660</v>
      </c>
      <c r="D657" s="246">
        <v>147249508</v>
      </c>
      <c r="E657" s="246">
        <v>150421660</v>
      </c>
      <c r="F657" s="246">
        <v>147249508</v>
      </c>
      <c r="G657" s="246">
        <v>3172152</v>
      </c>
      <c r="H657" s="246">
        <v>0</v>
      </c>
      <c r="J657" s="669">
        <v>1.4</v>
      </c>
      <c r="K657" s="669">
        <v>0</v>
      </c>
      <c r="L657" s="669">
        <v>1.4</v>
      </c>
    </row>
    <row r="658" spans="1:12">
      <c r="A658" s="423" t="s">
        <v>6556</v>
      </c>
      <c r="B658" s="423" t="s">
        <v>715</v>
      </c>
      <c r="C658" s="246">
        <v>950040020</v>
      </c>
      <c r="D658" s="246">
        <v>935738232</v>
      </c>
      <c r="E658" s="246">
        <v>940810189</v>
      </c>
      <c r="F658" s="246">
        <v>926508401</v>
      </c>
      <c r="G658" s="246">
        <v>14301788</v>
      </c>
      <c r="H658" s="246">
        <v>9229831</v>
      </c>
      <c r="J658" s="669">
        <v>1.41</v>
      </c>
      <c r="K658" s="669">
        <v>0.04</v>
      </c>
      <c r="L658" s="669">
        <v>1.45</v>
      </c>
    </row>
    <row r="659" spans="1:12">
      <c r="A659" s="423" t="s">
        <v>6557</v>
      </c>
      <c r="B659" s="423" t="s">
        <v>716</v>
      </c>
      <c r="C659" s="246">
        <v>339157645</v>
      </c>
      <c r="D659" s="246">
        <v>325459943</v>
      </c>
      <c r="E659" s="246">
        <v>330070018</v>
      </c>
      <c r="F659" s="246">
        <v>316372316</v>
      </c>
      <c r="G659" s="246">
        <v>13697702</v>
      </c>
      <c r="H659" s="246">
        <v>9087627</v>
      </c>
      <c r="J659" s="669">
        <v>1.4076299999999999</v>
      </c>
      <c r="K659" s="669">
        <v>0</v>
      </c>
      <c r="L659" s="669">
        <v>1.4076299999999999</v>
      </c>
    </row>
    <row r="660" spans="1:12">
      <c r="A660" s="423" t="s">
        <v>6558</v>
      </c>
      <c r="B660" s="423" t="s">
        <v>3011</v>
      </c>
      <c r="C660" s="246">
        <v>1256244183</v>
      </c>
      <c r="D660" s="246">
        <v>1178081644</v>
      </c>
      <c r="E660" s="246">
        <v>1256244183</v>
      </c>
      <c r="F660" s="246">
        <v>1178081644</v>
      </c>
      <c r="G660" s="246">
        <v>78162539</v>
      </c>
      <c r="H660" s="246">
        <v>0</v>
      </c>
      <c r="J660" s="669">
        <v>1.3518600000000001</v>
      </c>
      <c r="K660" s="669">
        <v>0</v>
      </c>
      <c r="L660" s="669">
        <v>1.3518600000000001</v>
      </c>
    </row>
    <row r="661" spans="1:12">
      <c r="A661" s="423" t="s">
        <v>6559</v>
      </c>
      <c r="B661" s="423" t="s">
        <v>7665</v>
      </c>
      <c r="C661" s="246">
        <v>235611525</v>
      </c>
      <c r="D661" s="246">
        <v>218644785</v>
      </c>
      <c r="E661" s="246">
        <v>235611525</v>
      </c>
      <c r="F661" s="246">
        <v>218644785</v>
      </c>
      <c r="G661" s="246">
        <v>16966740</v>
      </c>
      <c r="H661" s="246">
        <v>0</v>
      </c>
      <c r="J661" s="669">
        <v>1.5</v>
      </c>
      <c r="K661" s="669">
        <v>0.157</v>
      </c>
      <c r="L661" s="669">
        <v>1.657</v>
      </c>
    </row>
    <row r="662" spans="1:12">
      <c r="A662" s="423" t="s">
        <v>6560</v>
      </c>
      <c r="B662" s="423" t="s">
        <v>717</v>
      </c>
      <c r="C662" s="246">
        <v>34957236</v>
      </c>
      <c r="D662" s="246">
        <v>32570026</v>
      </c>
      <c r="E662" s="246">
        <v>34957236</v>
      </c>
      <c r="F662" s="246">
        <v>32570026</v>
      </c>
      <c r="G662" s="246">
        <v>2387210</v>
      </c>
      <c r="H662" s="246">
        <v>0</v>
      </c>
      <c r="J662" s="669">
        <v>1.5</v>
      </c>
      <c r="K662" s="669">
        <v>0</v>
      </c>
      <c r="L662" s="669">
        <v>1.5</v>
      </c>
    </row>
    <row r="663" spans="1:12">
      <c r="A663" s="423" t="s">
        <v>6561</v>
      </c>
      <c r="B663" s="423" t="s">
        <v>197</v>
      </c>
      <c r="C663" s="246">
        <v>16571445</v>
      </c>
      <c r="D663" s="246">
        <v>15874685</v>
      </c>
      <c r="E663" s="246">
        <v>16571445</v>
      </c>
      <c r="F663" s="246">
        <v>15874685</v>
      </c>
      <c r="G663" s="246">
        <v>696760</v>
      </c>
      <c r="H663" s="246">
        <v>0</v>
      </c>
      <c r="J663" s="669">
        <v>1.49</v>
      </c>
      <c r="K663" s="669">
        <v>7.3999999999999996E-2</v>
      </c>
      <c r="L663" s="669">
        <v>1.5640000000000001</v>
      </c>
    </row>
    <row r="664" spans="1:12">
      <c r="A664" s="423" t="s">
        <v>6562</v>
      </c>
      <c r="B664" s="423" t="s">
        <v>1666</v>
      </c>
      <c r="C664" s="246">
        <v>115209640</v>
      </c>
      <c r="D664" s="246">
        <v>108929205</v>
      </c>
      <c r="E664" s="246">
        <v>115209640</v>
      </c>
      <c r="F664" s="246">
        <v>108929205</v>
      </c>
      <c r="G664" s="246">
        <v>6280435</v>
      </c>
      <c r="H664" s="246">
        <v>0</v>
      </c>
      <c r="J664" s="669">
        <v>1.5</v>
      </c>
      <c r="K664" s="669">
        <v>0.11990000000000001</v>
      </c>
      <c r="L664" s="669">
        <v>1.6198999999999999</v>
      </c>
    </row>
    <row r="665" spans="1:12">
      <c r="A665" s="423" t="s">
        <v>6563</v>
      </c>
      <c r="B665" s="423" t="s">
        <v>2855</v>
      </c>
      <c r="C665" s="246">
        <v>2559147084</v>
      </c>
      <c r="D665" s="246">
        <v>2472773053</v>
      </c>
      <c r="E665" s="246">
        <v>2559147084</v>
      </c>
      <c r="F665" s="246">
        <v>2472773053</v>
      </c>
      <c r="G665" s="246">
        <v>86374031</v>
      </c>
      <c r="H665" s="246">
        <v>0</v>
      </c>
      <c r="J665" s="669">
        <v>1.3720000000000001</v>
      </c>
      <c r="K665" s="669">
        <v>0.25</v>
      </c>
      <c r="L665" s="669">
        <v>1.6220000000000001</v>
      </c>
    </row>
    <row r="666" spans="1:12">
      <c r="A666" s="423" t="s">
        <v>6564</v>
      </c>
      <c r="B666" s="423" t="s">
        <v>2155</v>
      </c>
      <c r="C666" s="246">
        <v>418491288</v>
      </c>
      <c r="D666" s="246">
        <v>394791664</v>
      </c>
      <c r="E666" s="246">
        <v>418491288</v>
      </c>
      <c r="F666" s="246">
        <v>394791664</v>
      </c>
      <c r="G666" s="246">
        <v>23699624</v>
      </c>
      <c r="H666" s="246">
        <v>0</v>
      </c>
      <c r="J666" s="669">
        <v>1.5</v>
      </c>
      <c r="K666" s="669">
        <v>0.1925</v>
      </c>
      <c r="L666" s="669">
        <v>1.6924999999999999</v>
      </c>
    </row>
    <row r="667" spans="1:12">
      <c r="A667" s="423" t="s">
        <v>6565</v>
      </c>
      <c r="B667" s="423" t="s">
        <v>200</v>
      </c>
      <c r="C667" s="246">
        <v>278597885</v>
      </c>
      <c r="D667" s="246">
        <v>259931531</v>
      </c>
      <c r="E667" s="246">
        <v>278597885</v>
      </c>
      <c r="F667" s="246">
        <v>259931531</v>
      </c>
      <c r="G667" s="246">
        <v>18666354</v>
      </c>
      <c r="H667" s="246">
        <v>0</v>
      </c>
      <c r="J667" s="669">
        <v>1.5</v>
      </c>
      <c r="K667" s="669">
        <v>0.2</v>
      </c>
      <c r="L667" s="669">
        <v>1.7</v>
      </c>
    </row>
    <row r="668" spans="1:12">
      <c r="A668" s="423" t="s">
        <v>6566</v>
      </c>
      <c r="B668" s="423" t="s">
        <v>6067</v>
      </c>
      <c r="C668" s="246">
        <v>75888770</v>
      </c>
      <c r="D668" s="246">
        <v>68671986</v>
      </c>
      <c r="E668" s="246">
        <v>75888770</v>
      </c>
      <c r="F668" s="246">
        <v>68671986</v>
      </c>
      <c r="G668" s="246">
        <v>7216784</v>
      </c>
      <c r="H668" s="246">
        <v>0</v>
      </c>
      <c r="J668" s="669">
        <v>1.3882300000000001</v>
      </c>
      <c r="K668" s="669">
        <v>0.14980199999999999</v>
      </c>
      <c r="L668" s="669">
        <v>1.5380400000000001</v>
      </c>
    </row>
    <row r="669" spans="1:12">
      <c r="A669" s="423" t="s">
        <v>6567</v>
      </c>
      <c r="B669" s="423" t="s">
        <v>6075</v>
      </c>
      <c r="C669" s="246">
        <v>221573571</v>
      </c>
      <c r="D669" s="246">
        <v>208554423</v>
      </c>
      <c r="E669" s="246">
        <v>221573571</v>
      </c>
      <c r="F669" s="246">
        <v>208554423</v>
      </c>
      <c r="G669" s="246">
        <v>13019148</v>
      </c>
      <c r="H669" s="246">
        <v>0</v>
      </c>
      <c r="J669" s="669">
        <v>1.49</v>
      </c>
      <c r="K669" s="669">
        <v>0.16</v>
      </c>
      <c r="L669" s="669">
        <v>1.65</v>
      </c>
    </row>
    <row r="670" spans="1:12">
      <c r="A670" s="423" t="s">
        <v>6568</v>
      </c>
      <c r="B670" s="423" t="s">
        <v>718</v>
      </c>
      <c r="C670" s="246">
        <v>103391787</v>
      </c>
      <c r="D670" s="246">
        <v>94088864</v>
      </c>
      <c r="E670" s="246">
        <v>103391787</v>
      </c>
      <c r="F670" s="246">
        <v>94088864</v>
      </c>
      <c r="G670" s="246">
        <v>9302923</v>
      </c>
      <c r="H670" s="246">
        <v>0</v>
      </c>
      <c r="J670" s="669">
        <v>1.42</v>
      </c>
      <c r="K670" s="669">
        <v>0</v>
      </c>
      <c r="L670" s="669">
        <v>1.42</v>
      </c>
    </row>
    <row r="671" spans="1:12">
      <c r="A671" s="423" t="s">
        <v>6569</v>
      </c>
      <c r="B671" s="423" t="s">
        <v>359</v>
      </c>
      <c r="C671" s="246">
        <v>68290972</v>
      </c>
      <c r="D671" s="246">
        <v>63624032</v>
      </c>
      <c r="E671" s="246">
        <v>65404997</v>
      </c>
      <c r="F671" s="246">
        <v>60738057</v>
      </c>
      <c r="G671" s="246">
        <v>4666940</v>
      </c>
      <c r="H671" s="246">
        <v>2885975</v>
      </c>
      <c r="J671" s="669">
        <v>1.5</v>
      </c>
      <c r="K671" s="669">
        <v>0.14546000000000001</v>
      </c>
      <c r="L671" s="669">
        <v>1.6454599999999999</v>
      </c>
    </row>
    <row r="672" spans="1:12">
      <c r="A672" s="423" t="s">
        <v>6570</v>
      </c>
      <c r="B672" s="423" t="s">
        <v>4060</v>
      </c>
      <c r="C672" s="246">
        <v>3239240013</v>
      </c>
      <c r="D672" s="246">
        <v>3078463406</v>
      </c>
      <c r="E672" s="246">
        <v>3239240013</v>
      </c>
      <c r="F672" s="246">
        <v>3078463406</v>
      </c>
      <c r="G672" s="246">
        <v>160776607</v>
      </c>
      <c r="H672" s="246">
        <v>0</v>
      </c>
      <c r="J672" s="669">
        <v>1.4455899999999999</v>
      </c>
      <c r="K672" s="669">
        <v>0.11849999999999999</v>
      </c>
      <c r="L672" s="669">
        <v>1.56409</v>
      </c>
    </row>
    <row r="673" spans="1:12">
      <c r="A673" s="423" t="s">
        <v>6571</v>
      </c>
      <c r="B673" s="423" t="s">
        <v>4067</v>
      </c>
      <c r="C673" s="246">
        <v>251631135</v>
      </c>
      <c r="D673" s="246">
        <v>230456841</v>
      </c>
      <c r="E673" s="246">
        <v>251631135</v>
      </c>
      <c r="F673" s="246">
        <v>230456841</v>
      </c>
      <c r="G673" s="246">
        <v>21174294</v>
      </c>
      <c r="H673" s="246">
        <v>0</v>
      </c>
      <c r="J673" s="669">
        <v>1.5</v>
      </c>
      <c r="K673" s="669">
        <v>0.2364</v>
      </c>
      <c r="L673" s="669">
        <v>1.7363999999999999</v>
      </c>
    </row>
    <row r="674" spans="1:12">
      <c r="A674" s="423" t="s">
        <v>6572</v>
      </c>
      <c r="B674" s="423" t="s">
        <v>719</v>
      </c>
      <c r="C674" s="246">
        <v>80533483</v>
      </c>
      <c r="D674" s="246">
        <v>72997102</v>
      </c>
      <c r="E674" s="246">
        <v>80533483</v>
      </c>
      <c r="F674" s="246">
        <v>72997102</v>
      </c>
      <c r="G674" s="246">
        <v>7536381</v>
      </c>
      <c r="H674" s="246">
        <v>0</v>
      </c>
      <c r="J674" s="669">
        <v>1.5</v>
      </c>
      <c r="K674" s="669">
        <v>0</v>
      </c>
      <c r="L674" s="669">
        <v>1.5</v>
      </c>
    </row>
    <row r="675" spans="1:12">
      <c r="A675" s="423" t="s">
        <v>6573</v>
      </c>
      <c r="B675" s="423" t="s">
        <v>720</v>
      </c>
      <c r="C675" s="246">
        <v>118808732</v>
      </c>
      <c r="D675" s="246">
        <v>110365532</v>
      </c>
      <c r="E675" s="246">
        <v>118808732</v>
      </c>
      <c r="F675" s="246">
        <v>110365532</v>
      </c>
      <c r="G675" s="246">
        <v>8443200</v>
      </c>
      <c r="H675" s="246">
        <v>0</v>
      </c>
      <c r="J675" s="669">
        <v>1.45</v>
      </c>
      <c r="K675" s="669">
        <v>0</v>
      </c>
      <c r="L675" s="669">
        <v>1.45</v>
      </c>
    </row>
    <row r="676" spans="1:12">
      <c r="A676" s="423" t="s">
        <v>6574</v>
      </c>
      <c r="B676" s="423" t="s">
        <v>6110</v>
      </c>
      <c r="C676" s="246">
        <v>383828843</v>
      </c>
      <c r="D676" s="246">
        <v>361509914</v>
      </c>
      <c r="E676" s="246">
        <v>383828843</v>
      </c>
      <c r="F676" s="246">
        <v>361509914</v>
      </c>
      <c r="G676" s="246">
        <v>22318929</v>
      </c>
      <c r="H676" s="246">
        <v>0</v>
      </c>
      <c r="J676" s="669">
        <v>1.40839</v>
      </c>
      <c r="K676" s="669">
        <v>0.18161099999999999</v>
      </c>
      <c r="L676" s="669">
        <v>1.59</v>
      </c>
    </row>
    <row r="677" spans="1:12">
      <c r="A677" s="423" t="s">
        <v>6575</v>
      </c>
      <c r="B677" s="423" t="s">
        <v>2644</v>
      </c>
      <c r="C677" s="246">
        <v>440005102</v>
      </c>
      <c r="D677" s="246">
        <v>415058963</v>
      </c>
      <c r="E677" s="246">
        <v>440005102</v>
      </c>
      <c r="F677" s="246">
        <v>415058963</v>
      </c>
      <c r="G677" s="246">
        <v>24946139</v>
      </c>
      <c r="H677" s="246">
        <v>0</v>
      </c>
      <c r="J677" s="669">
        <v>1.5</v>
      </c>
      <c r="K677" s="669">
        <v>0.15246999999999999</v>
      </c>
      <c r="L677" s="669">
        <v>1.6524700000000001</v>
      </c>
    </row>
    <row r="678" spans="1:12">
      <c r="A678" s="423" t="s">
        <v>6576</v>
      </c>
      <c r="B678" s="423" t="s">
        <v>365</v>
      </c>
      <c r="C678" s="246">
        <v>343183945</v>
      </c>
      <c r="D678" s="246">
        <v>316763359</v>
      </c>
      <c r="E678" s="246">
        <v>343183945</v>
      </c>
      <c r="F678" s="246">
        <v>316763359</v>
      </c>
      <c r="G678" s="246">
        <v>26420586</v>
      </c>
      <c r="H678" s="246">
        <v>0</v>
      </c>
      <c r="J678" s="669">
        <v>1.5</v>
      </c>
      <c r="K678" s="669">
        <v>0.127499</v>
      </c>
      <c r="L678" s="669">
        <v>1.6274999999999999</v>
      </c>
    </row>
    <row r="679" spans="1:12">
      <c r="A679" s="423" t="s">
        <v>6577</v>
      </c>
      <c r="B679" s="423" t="s">
        <v>7664</v>
      </c>
      <c r="C679" s="246">
        <v>96103606</v>
      </c>
      <c r="D679" s="246">
        <v>91884658</v>
      </c>
      <c r="E679" s="246">
        <v>96103606</v>
      </c>
      <c r="F679" s="246">
        <v>91884658</v>
      </c>
      <c r="G679" s="246">
        <v>4218948</v>
      </c>
      <c r="H679" s="246">
        <v>0</v>
      </c>
      <c r="J679" s="669">
        <v>1.46</v>
      </c>
      <c r="K679" s="669">
        <v>7.0087999999999998E-2</v>
      </c>
      <c r="L679" s="669">
        <v>1.53009</v>
      </c>
    </row>
    <row r="680" spans="1:12">
      <c r="A680" s="423" t="s">
        <v>6578</v>
      </c>
      <c r="B680" s="423" t="s">
        <v>721</v>
      </c>
      <c r="C680" s="246">
        <v>68256848</v>
      </c>
      <c r="D680" s="246">
        <v>65187736</v>
      </c>
      <c r="E680" s="246">
        <v>68256848</v>
      </c>
      <c r="F680" s="246">
        <v>65187736</v>
      </c>
      <c r="G680" s="246">
        <v>3069112</v>
      </c>
      <c r="H680" s="246">
        <v>0</v>
      </c>
      <c r="J680" s="669">
        <v>1.5</v>
      </c>
      <c r="K680" s="669">
        <v>0</v>
      </c>
      <c r="L680" s="669">
        <v>1.5</v>
      </c>
    </row>
    <row r="681" spans="1:12">
      <c r="A681" s="423" t="s">
        <v>6579</v>
      </c>
      <c r="B681" s="423" t="s">
        <v>722</v>
      </c>
      <c r="C681" s="246">
        <v>30481716</v>
      </c>
      <c r="D681" s="246">
        <v>27548069</v>
      </c>
      <c r="E681" s="246">
        <v>30481716</v>
      </c>
      <c r="F681" s="246">
        <v>27548069</v>
      </c>
      <c r="G681" s="246">
        <v>2933647</v>
      </c>
      <c r="H681" s="246">
        <v>0</v>
      </c>
      <c r="J681" s="669">
        <v>1.4523999999999999</v>
      </c>
      <c r="K681" s="669">
        <v>0</v>
      </c>
      <c r="L681" s="669">
        <v>1.4523999999999999</v>
      </c>
    </row>
    <row r="682" spans="1:12">
      <c r="A682" s="423" t="s">
        <v>6580</v>
      </c>
      <c r="B682" s="423" t="s">
        <v>723</v>
      </c>
      <c r="C682" s="246">
        <v>376792049</v>
      </c>
      <c r="D682" s="246">
        <v>374647423</v>
      </c>
      <c r="E682" s="246">
        <v>375957229</v>
      </c>
      <c r="F682" s="246">
        <v>373812603</v>
      </c>
      <c r="G682" s="246">
        <v>2144626</v>
      </c>
      <c r="H682" s="246">
        <v>834820</v>
      </c>
      <c r="J682" s="669">
        <v>1.4</v>
      </c>
      <c r="K682" s="669">
        <v>0.1</v>
      </c>
      <c r="L682" s="669">
        <v>1.5</v>
      </c>
    </row>
    <row r="683" spans="1:12">
      <c r="A683" s="423" t="s">
        <v>6581</v>
      </c>
      <c r="B683" s="423" t="s">
        <v>999</v>
      </c>
      <c r="C683" s="246">
        <v>233552451</v>
      </c>
      <c r="D683" s="246">
        <v>214393631</v>
      </c>
      <c r="E683" s="246">
        <v>233552451</v>
      </c>
      <c r="F683" s="246">
        <v>214393631</v>
      </c>
      <c r="G683" s="246">
        <v>19158820</v>
      </c>
      <c r="H683" s="246">
        <v>0</v>
      </c>
      <c r="J683" s="669">
        <v>1.48</v>
      </c>
      <c r="K683" s="669">
        <v>6.5000000000000002E-2</v>
      </c>
      <c r="L683" s="669">
        <v>1.5449999999999999</v>
      </c>
    </row>
    <row r="684" spans="1:12">
      <c r="A684" s="423" t="s">
        <v>6582</v>
      </c>
      <c r="B684" s="423" t="s">
        <v>1001</v>
      </c>
      <c r="C684" s="246">
        <v>67326179</v>
      </c>
      <c r="D684" s="246">
        <v>64131839</v>
      </c>
      <c r="E684" s="246">
        <v>67326179</v>
      </c>
      <c r="F684" s="246">
        <v>64131839</v>
      </c>
      <c r="G684" s="246">
        <v>3194340</v>
      </c>
      <c r="H684" s="246">
        <v>0</v>
      </c>
      <c r="J684" s="669">
        <v>1.42</v>
      </c>
      <c r="K684" s="669">
        <v>6.4899999999999999E-2</v>
      </c>
      <c r="L684" s="669">
        <v>1.4849000000000001</v>
      </c>
    </row>
    <row r="685" spans="1:12">
      <c r="A685" s="423" t="s">
        <v>6583</v>
      </c>
      <c r="B685" s="423" t="s">
        <v>505</v>
      </c>
      <c r="C685" s="246">
        <v>107610384</v>
      </c>
      <c r="D685" s="246">
        <v>96477074</v>
      </c>
      <c r="E685" s="246">
        <v>107610384</v>
      </c>
      <c r="F685" s="246">
        <v>96477074</v>
      </c>
      <c r="G685" s="246">
        <v>11133310</v>
      </c>
      <c r="H685" s="246">
        <v>0</v>
      </c>
      <c r="J685" s="669">
        <v>1.4693000000000001</v>
      </c>
      <c r="K685" s="669">
        <v>0.19500000000000001</v>
      </c>
      <c r="L685" s="669">
        <v>1.6642999999999999</v>
      </c>
    </row>
    <row r="686" spans="1:12">
      <c r="A686" s="423" t="s">
        <v>6584</v>
      </c>
      <c r="B686" s="423" t="s">
        <v>3849</v>
      </c>
      <c r="C686" s="246">
        <v>319017824</v>
      </c>
      <c r="D686" s="246">
        <v>296002653</v>
      </c>
      <c r="E686" s="246">
        <v>319017824</v>
      </c>
      <c r="F686" s="246">
        <v>296002653</v>
      </c>
      <c r="G686" s="246">
        <v>23015171</v>
      </c>
      <c r="H686" s="246">
        <v>0</v>
      </c>
      <c r="J686" s="669">
        <v>1.5</v>
      </c>
      <c r="K686" s="669">
        <v>0.09</v>
      </c>
      <c r="L686" s="669">
        <v>1.59</v>
      </c>
    </row>
    <row r="687" spans="1:12">
      <c r="A687" s="423" t="s">
        <v>6585</v>
      </c>
      <c r="B687" s="423" t="s">
        <v>6079</v>
      </c>
      <c r="C687" s="246">
        <v>626567675</v>
      </c>
      <c r="D687" s="246">
        <v>588113413</v>
      </c>
      <c r="E687" s="246">
        <v>626567675</v>
      </c>
      <c r="F687" s="246">
        <v>588113413</v>
      </c>
      <c r="G687" s="246">
        <v>38454262</v>
      </c>
      <c r="H687" s="246">
        <v>0</v>
      </c>
      <c r="J687" s="669">
        <v>1.4775</v>
      </c>
      <c r="K687" s="669">
        <v>9.7500000000000003E-2</v>
      </c>
      <c r="L687" s="669">
        <v>1.575</v>
      </c>
    </row>
    <row r="688" spans="1:12">
      <c r="A688" s="423" t="s">
        <v>6586</v>
      </c>
      <c r="B688" s="423" t="s">
        <v>724</v>
      </c>
      <c r="C688" s="246">
        <v>98782179</v>
      </c>
      <c r="D688" s="246">
        <v>92737409</v>
      </c>
      <c r="E688" s="246">
        <v>98782179</v>
      </c>
      <c r="F688" s="246">
        <v>92737409</v>
      </c>
      <c r="G688" s="246">
        <v>6044770</v>
      </c>
      <c r="H688" s="246">
        <v>0</v>
      </c>
      <c r="J688" s="669">
        <v>1.5</v>
      </c>
      <c r="K688" s="669">
        <v>0</v>
      </c>
      <c r="L688" s="669">
        <v>1.5</v>
      </c>
    </row>
    <row r="689" spans="1:12">
      <c r="A689" s="423" t="s">
        <v>6587</v>
      </c>
      <c r="B689" s="423" t="s">
        <v>497</v>
      </c>
      <c r="C689" s="246">
        <v>5998258523</v>
      </c>
      <c r="D689" s="246">
        <v>5760812863</v>
      </c>
      <c r="E689" s="246">
        <v>5873169144</v>
      </c>
      <c r="F689" s="246">
        <v>5635723484</v>
      </c>
      <c r="G689" s="246">
        <v>237445660</v>
      </c>
      <c r="H689" s="246">
        <v>125089379</v>
      </c>
      <c r="J689" s="669">
        <v>1.5</v>
      </c>
      <c r="K689" s="669">
        <v>0.1275</v>
      </c>
      <c r="L689" s="669">
        <v>1.6274999999999999</v>
      </c>
    </row>
    <row r="690" spans="1:12">
      <c r="A690" s="423" t="s">
        <v>6588</v>
      </c>
      <c r="B690" s="423" t="s">
        <v>725</v>
      </c>
      <c r="C690" s="246">
        <v>377302467</v>
      </c>
      <c r="D690" s="246">
        <v>365692667</v>
      </c>
      <c r="E690" s="246">
        <v>366745472</v>
      </c>
      <c r="F690" s="246">
        <v>355135672</v>
      </c>
      <c r="G690" s="246">
        <v>11609800</v>
      </c>
      <c r="H690" s="246">
        <v>10556995</v>
      </c>
      <c r="J690" s="669">
        <v>1.4996499999999999</v>
      </c>
      <c r="K690" s="669">
        <v>0.1178</v>
      </c>
      <c r="L690" s="669">
        <v>1.6174500000000001</v>
      </c>
    </row>
    <row r="691" spans="1:12">
      <c r="A691" s="423" t="s">
        <v>6589</v>
      </c>
      <c r="B691" s="423" t="s">
        <v>6098</v>
      </c>
      <c r="C691" s="246">
        <v>257338862</v>
      </c>
      <c r="D691" s="246">
        <v>237330252</v>
      </c>
      <c r="E691" s="246">
        <v>257338862</v>
      </c>
      <c r="F691" s="246">
        <v>237330252</v>
      </c>
      <c r="G691" s="246">
        <v>20008610</v>
      </c>
      <c r="H691" s="246">
        <v>0</v>
      </c>
      <c r="J691" s="669">
        <v>1.41</v>
      </c>
      <c r="K691" s="669">
        <v>0.28999999999999998</v>
      </c>
      <c r="L691" s="669">
        <v>1.7</v>
      </c>
    </row>
    <row r="692" spans="1:12">
      <c r="A692" s="423" t="s">
        <v>6590</v>
      </c>
      <c r="B692" s="423" t="s">
        <v>726</v>
      </c>
      <c r="C692" s="246">
        <v>56790810</v>
      </c>
      <c r="D692" s="246">
        <v>54270520</v>
      </c>
      <c r="E692" s="246">
        <v>56790810</v>
      </c>
      <c r="F692" s="246">
        <v>54270520</v>
      </c>
      <c r="G692" s="246">
        <v>2520290</v>
      </c>
      <c r="H692" s="246">
        <v>0</v>
      </c>
      <c r="J692" s="669">
        <v>1.48</v>
      </c>
      <c r="K692" s="669">
        <v>0</v>
      </c>
      <c r="L692" s="669">
        <v>1.48</v>
      </c>
    </row>
    <row r="693" spans="1:12">
      <c r="A693" s="423" t="s">
        <v>6591</v>
      </c>
      <c r="B693" s="423" t="s">
        <v>727</v>
      </c>
      <c r="C693" s="246">
        <v>63553245</v>
      </c>
      <c r="D693" s="246">
        <v>58893019</v>
      </c>
      <c r="E693" s="246">
        <v>63553245</v>
      </c>
      <c r="F693" s="246">
        <v>58893019</v>
      </c>
      <c r="G693" s="246">
        <v>4660226</v>
      </c>
      <c r="H693" s="246">
        <v>0</v>
      </c>
      <c r="J693" s="669">
        <v>1.5</v>
      </c>
      <c r="K693" s="669">
        <v>0</v>
      </c>
      <c r="L693" s="669">
        <v>1.5</v>
      </c>
    </row>
    <row r="694" spans="1:12">
      <c r="A694" s="423" t="s">
        <v>6592</v>
      </c>
      <c r="B694" s="423" t="s">
        <v>728</v>
      </c>
      <c r="C694" s="246">
        <v>616336203</v>
      </c>
      <c r="D694" s="246">
        <v>595017285</v>
      </c>
      <c r="E694" s="246">
        <v>616336203</v>
      </c>
      <c r="F694" s="246">
        <v>595017285</v>
      </c>
      <c r="G694" s="246">
        <v>21318918</v>
      </c>
      <c r="H694" s="246">
        <v>0</v>
      </c>
      <c r="J694" s="669">
        <v>1.5</v>
      </c>
      <c r="K694" s="669">
        <v>0</v>
      </c>
      <c r="L694" s="669">
        <v>1.5</v>
      </c>
    </row>
    <row r="695" spans="1:12">
      <c r="A695" s="423" t="s">
        <v>6593</v>
      </c>
      <c r="B695" s="423" t="s">
        <v>729</v>
      </c>
      <c r="C695" s="246">
        <v>92676977</v>
      </c>
      <c r="D695" s="246">
        <v>85579867</v>
      </c>
      <c r="E695" s="246">
        <v>92676977</v>
      </c>
      <c r="F695" s="246">
        <v>85579867</v>
      </c>
      <c r="G695" s="246">
        <v>7097110</v>
      </c>
      <c r="H695" s="246">
        <v>0</v>
      </c>
      <c r="J695" s="669">
        <v>1.44</v>
      </c>
      <c r="K695" s="669">
        <v>0.14000000000000001</v>
      </c>
      <c r="L695" s="669">
        <v>1.58</v>
      </c>
    </row>
    <row r="696" spans="1:12">
      <c r="A696" s="423" t="s">
        <v>6594</v>
      </c>
      <c r="B696" s="423" t="s">
        <v>2144</v>
      </c>
      <c r="C696" s="246">
        <v>24230427</v>
      </c>
      <c r="D696" s="246">
        <v>22454652</v>
      </c>
      <c r="E696" s="246">
        <v>24230427</v>
      </c>
      <c r="F696" s="246">
        <v>22454652</v>
      </c>
      <c r="G696" s="246">
        <v>1775775</v>
      </c>
      <c r="H696" s="246">
        <v>0</v>
      </c>
      <c r="J696" s="669">
        <v>1.4850000000000001</v>
      </c>
      <c r="K696" s="669">
        <v>6.2600000000000003E-2</v>
      </c>
      <c r="L696" s="669">
        <v>1.5476000000000001</v>
      </c>
    </row>
    <row r="697" spans="1:12">
      <c r="A697" s="423" t="s">
        <v>6595</v>
      </c>
      <c r="B697" s="423" t="s">
        <v>4963</v>
      </c>
      <c r="C697" s="246">
        <v>120115830</v>
      </c>
      <c r="D697" s="246">
        <v>111409370</v>
      </c>
      <c r="E697" s="246">
        <v>120115830</v>
      </c>
      <c r="F697" s="246">
        <v>111409370</v>
      </c>
      <c r="G697" s="246">
        <v>8706460</v>
      </c>
      <c r="H697" s="246">
        <v>0</v>
      </c>
      <c r="J697" s="669">
        <v>1.3032999999999999</v>
      </c>
      <c r="K697" s="669">
        <v>6.6699999999999995E-2</v>
      </c>
      <c r="L697" s="669">
        <v>1.37</v>
      </c>
    </row>
    <row r="698" spans="1:12">
      <c r="A698" s="423" t="s">
        <v>6596</v>
      </c>
      <c r="B698" s="423" t="s">
        <v>730</v>
      </c>
      <c r="C698" s="246">
        <v>43112198</v>
      </c>
      <c r="D698" s="246">
        <v>40657438</v>
      </c>
      <c r="E698" s="246">
        <v>43112198</v>
      </c>
      <c r="F698" s="246">
        <v>40657438</v>
      </c>
      <c r="G698" s="246">
        <v>2454760</v>
      </c>
      <c r="H698" s="246">
        <v>0</v>
      </c>
      <c r="J698" s="669">
        <v>1.39</v>
      </c>
      <c r="K698" s="669">
        <v>0</v>
      </c>
      <c r="L698" s="669">
        <v>1.39</v>
      </c>
    </row>
    <row r="699" spans="1:12">
      <c r="A699" s="423" t="s">
        <v>6597</v>
      </c>
      <c r="B699" s="423" t="s">
        <v>524</v>
      </c>
      <c r="C699" s="246">
        <v>20039273</v>
      </c>
      <c r="D699" s="246">
        <v>19074140</v>
      </c>
      <c r="E699" s="246">
        <v>20039273</v>
      </c>
      <c r="F699" s="246">
        <v>19074140</v>
      </c>
      <c r="G699" s="246">
        <v>965133</v>
      </c>
      <c r="H699" s="246">
        <v>0</v>
      </c>
      <c r="J699" s="669">
        <v>1.165</v>
      </c>
      <c r="K699" s="669">
        <v>0</v>
      </c>
      <c r="L699" s="669">
        <v>1.165</v>
      </c>
    </row>
    <row r="700" spans="1:12">
      <c r="A700" s="423" t="s">
        <v>6598</v>
      </c>
      <c r="B700" s="423" t="s">
        <v>351</v>
      </c>
      <c r="C700" s="246">
        <v>15549159</v>
      </c>
      <c r="D700" s="246">
        <v>14355366</v>
      </c>
      <c r="E700" s="246">
        <v>15549159</v>
      </c>
      <c r="F700" s="246">
        <v>14355366</v>
      </c>
      <c r="G700" s="246">
        <v>1193793</v>
      </c>
      <c r="H700" s="246">
        <v>0</v>
      </c>
      <c r="J700" s="669">
        <v>1.2749999999999999</v>
      </c>
      <c r="K700" s="669">
        <v>5.5E-2</v>
      </c>
      <c r="L700" s="669">
        <v>1.33</v>
      </c>
    </row>
    <row r="701" spans="1:12">
      <c r="A701" s="423" t="s">
        <v>6599</v>
      </c>
      <c r="B701" s="423" t="s">
        <v>525</v>
      </c>
      <c r="C701" s="246">
        <v>220079950</v>
      </c>
      <c r="D701" s="246">
        <v>209109325</v>
      </c>
      <c r="E701" s="246">
        <v>220079950</v>
      </c>
      <c r="F701" s="246">
        <v>209109325</v>
      </c>
      <c r="G701" s="246">
        <v>10970625</v>
      </c>
      <c r="H701" s="246">
        <v>0</v>
      </c>
      <c r="J701" s="669">
        <v>1.5</v>
      </c>
      <c r="K701" s="669">
        <v>0</v>
      </c>
      <c r="L701" s="669">
        <v>1.5</v>
      </c>
    </row>
    <row r="702" spans="1:12">
      <c r="A702" s="423" t="s">
        <v>6600</v>
      </c>
      <c r="B702" s="423" t="s">
        <v>526</v>
      </c>
      <c r="C702" s="246">
        <v>27998680</v>
      </c>
      <c r="D702" s="246">
        <v>25694090</v>
      </c>
      <c r="E702" s="246">
        <v>27998680</v>
      </c>
      <c r="F702" s="246">
        <v>25694090</v>
      </c>
      <c r="G702" s="246">
        <v>2304590</v>
      </c>
      <c r="H702" s="246">
        <v>0</v>
      </c>
      <c r="J702" s="669">
        <v>1.5</v>
      </c>
      <c r="K702" s="669">
        <v>0</v>
      </c>
      <c r="L702" s="669">
        <v>1.5</v>
      </c>
    </row>
    <row r="703" spans="1:12">
      <c r="A703" s="423" t="s">
        <v>6601</v>
      </c>
      <c r="B703" s="423" t="s">
        <v>527</v>
      </c>
      <c r="C703" s="246">
        <v>217347350</v>
      </c>
      <c r="D703" s="246">
        <v>215325840</v>
      </c>
      <c r="E703" s="246">
        <v>217347350</v>
      </c>
      <c r="F703" s="246">
        <v>215325840</v>
      </c>
      <c r="G703" s="246">
        <v>2021510</v>
      </c>
      <c r="H703" s="246">
        <v>0</v>
      </c>
      <c r="J703" s="669">
        <v>1.45</v>
      </c>
      <c r="K703" s="669">
        <v>0</v>
      </c>
      <c r="L703" s="669">
        <v>1.45</v>
      </c>
    </row>
    <row r="704" spans="1:12">
      <c r="A704" s="423" t="s">
        <v>6602</v>
      </c>
      <c r="B704" s="423" t="s">
        <v>528</v>
      </c>
      <c r="C704" s="246">
        <v>427327674</v>
      </c>
      <c r="D704" s="246">
        <v>399308934</v>
      </c>
      <c r="E704" s="246">
        <v>427327674</v>
      </c>
      <c r="F704" s="246">
        <v>399308934</v>
      </c>
      <c r="G704" s="246">
        <v>28018740</v>
      </c>
      <c r="H704" s="246">
        <v>0</v>
      </c>
      <c r="J704" s="669">
        <v>1.48</v>
      </c>
      <c r="K704" s="669">
        <v>0</v>
      </c>
      <c r="L704" s="669">
        <v>1.48</v>
      </c>
    </row>
    <row r="705" spans="1:12">
      <c r="A705" s="423" t="s">
        <v>6603</v>
      </c>
      <c r="B705" s="423" t="s">
        <v>529</v>
      </c>
      <c r="C705" s="246">
        <v>146189843</v>
      </c>
      <c r="D705" s="246">
        <v>134380093</v>
      </c>
      <c r="E705" s="246">
        <v>146189843</v>
      </c>
      <c r="F705" s="246">
        <v>134380093</v>
      </c>
      <c r="G705" s="246">
        <v>11809750</v>
      </c>
      <c r="H705" s="246">
        <v>0</v>
      </c>
      <c r="J705" s="669">
        <v>1.5</v>
      </c>
      <c r="K705" s="669">
        <v>0</v>
      </c>
      <c r="L705" s="669">
        <v>1.5</v>
      </c>
    </row>
    <row r="706" spans="1:12">
      <c r="A706" s="423" t="s">
        <v>6604</v>
      </c>
      <c r="B706" s="423" t="s">
        <v>530</v>
      </c>
      <c r="C706" s="246">
        <v>50688917</v>
      </c>
      <c r="D706" s="246">
        <v>48684257</v>
      </c>
      <c r="E706" s="246">
        <v>50688917</v>
      </c>
      <c r="F706" s="246">
        <v>48684257</v>
      </c>
      <c r="G706" s="246">
        <v>2004660</v>
      </c>
      <c r="H706" s="246">
        <v>0</v>
      </c>
      <c r="J706" s="669">
        <v>1.5</v>
      </c>
      <c r="K706" s="669">
        <v>0.21</v>
      </c>
      <c r="L706" s="669">
        <v>1.71</v>
      </c>
    </row>
    <row r="707" spans="1:12">
      <c r="A707" s="423" t="s">
        <v>6605</v>
      </c>
      <c r="B707" s="423" t="s">
        <v>531</v>
      </c>
      <c r="C707" s="246">
        <v>21114714</v>
      </c>
      <c r="D707" s="246">
        <v>19437164</v>
      </c>
      <c r="E707" s="246">
        <v>21114714</v>
      </c>
      <c r="F707" s="246">
        <v>19437164</v>
      </c>
      <c r="G707" s="246">
        <v>1677550</v>
      </c>
      <c r="H707" s="246">
        <v>0</v>
      </c>
      <c r="J707" s="669">
        <v>1.3</v>
      </c>
      <c r="K707" s="669">
        <v>0</v>
      </c>
      <c r="L707" s="669">
        <v>1.3</v>
      </c>
    </row>
    <row r="708" spans="1:12">
      <c r="A708" s="423" t="s">
        <v>6606</v>
      </c>
      <c r="B708" s="423" t="s">
        <v>532</v>
      </c>
      <c r="C708" s="246">
        <v>71391623</v>
      </c>
      <c r="D708" s="246">
        <v>69192403</v>
      </c>
      <c r="E708" s="246">
        <v>71391623</v>
      </c>
      <c r="F708" s="246">
        <v>69192403</v>
      </c>
      <c r="G708" s="246">
        <v>2199220</v>
      </c>
      <c r="H708" s="246">
        <v>0</v>
      </c>
      <c r="J708" s="669">
        <v>1.5</v>
      </c>
      <c r="K708" s="669">
        <v>0</v>
      </c>
      <c r="L708" s="669">
        <v>1.5</v>
      </c>
    </row>
    <row r="709" spans="1:12">
      <c r="A709" s="423" t="s">
        <v>6607</v>
      </c>
      <c r="B709" s="423" t="s">
        <v>533</v>
      </c>
      <c r="C709" s="246">
        <v>39690685</v>
      </c>
      <c r="D709" s="246">
        <v>36924425</v>
      </c>
      <c r="E709" s="246">
        <v>39690685</v>
      </c>
      <c r="F709" s="246">
        <v>36924425</v>
      </c>
      <c r="G709" s="246">
        <v>2766260</v>
      </c>
      <c r="H709" s="246">
        <v>0</v>
      </c>
      <c r="J709" s="669">
        <v>1.5</v>
      </c>
      <c r="K709" s="669">
        <v>0.1</v>
      </c>
      <c r="L709" s="669">
        <v>1.6</v>
      </c>
    </row>
    <row r="710" spans="1:12">
      <c r="A710" s="423" t="s">
        <v>6608</v>
      </c>
      <c r="B710" s="423" t="s">
        <v>534</v>
      </c>
      <c r="C710" s="246">
        <v>87869651</v>
      </c>
      <c r="D710" s="246">
        <v>83379996</v>
      </c>
      <c r="E710" s="246">
        <v>87869651</v>
      </c>
      <c r="F710" s="246">
        <v>83379996</v>
      </c>
      <c r="G710" s="246">
        <v>4489655</v>
      </c>
      <c r="H710" s="246">
        <v>0</v>
      </c>
      <c r="J710" s="669">
        <v>1.5</v>
      </c>
      <c r="K710" s="669">
        <v>0.14000000000000001</v>
      </c>
      <c r="L710" s="669">
        <v>1.64</v>
      </c>
    </row>
    <row r="711" spans="1:12">
      <c r="A711" s="423" t="s">
        <v>6609</v>
      </c>
      <c r="B711" s="423" t="s">
        <v>2645</v>
      </c>
      <c r="C711" s="246">
        <v>13389179460</v>
      </c>
      <c r="D711" s="246">
        <v>12928652637</v>
      </c>
      <c r="E711" s="246">
        <v>13389179460</v>
      </c>
      <c r="F711" s="246">
        <v>12928652637</v>
      </c>
      <c r="G711" s="246">
        <v>460526823</v>
      </c>
      <c r="H711" s="246">
        <v>0</v>
      </c>
      <c r="J711" s="669">
        <v>1.49</v>
      </c>
      <c r="K711" s="669">
        <v>0.27</v>
      </c>
      <c r="L711" s="669">
        <v>1.76</v>
      </c>
    </row>
    <row r="712" spans="1:12">
      <c r="A712" s="423" t="s">
        <v>6610</v>
      </c>
      <c r="B712" s="423" t="s">
        <v>535</v>
      </c>
      <c r="C712" s="246">
        <v>2307022888</v>
      </c>
      <c r="D712" s="246">
        <v>2224487179</v>
      </c>
      <c r="E712" s="246">
        <v>2307022888</v>
      </c>
      <c r="F712" s="246">
        <v>2224487179</v>
      </c>
      <c r="G712" s="246">
        <v>82535709</v>
      </c>
      <c r="H712" s="246">
        <v>0</v>
      </c>
      <c r="J712" s="669">
        <v>1.4570000000000001</v>
      </c>
      <c r="K712" s="669">
        <v>0.20300000000000001</v>
      </c>
      <c r="L712" s="669">
        <v>1.66</v>
      </c>
    </row>
    <row r="713" spans="1:12">
      <c r="A713" s="423" t="s">
        <v>6611</v>
      </c>
      <c r="B713" s="423" t="s">
        <v>2003</v>
      </c>
      <c r="C713" s="246">
        <v>1347817825</v>
      </c>
      <c r="D713" s="246">
        <v>1276928784</v>
      </c>
      <c r="E713" s="246">
        <v>1347817825</v>
      </c>
      <c r="F713" s="246">
        <v>1276928784</v>
      </c>
      <c r="G713" s="246">
        <v>70889041</v>
      </c>
      <c r="H713" s="246">
        <v>0</v>
      </c>
      <c r="J713" s="669">
        <v>1.48</v>
      </c>
      <c r="K713" s="669">
        <v>0.255</v>
      </c>
      <c r="L713" s="669">
        <v>1.7350000000000001</v>
      </c>
    </row>
    <row r="714" spans="1:12">
      <c r="A714" s="423" t="s">
        <v>6612</v>
      </c>
      <c r="B714" s="423" t="s">
        <v>6060</v>
      </c>
      <c r="C714" s="246">
        <v>2077151806</v>
      </c>
      <c r="D714" s="246">
        <v>1976993797</v>
      </c>
      <c r="E714" s="246">
        <v>2077151806</v>
      </c>
      <c r="F714" s="246">
        <v>1976993797</v>
      </c>
      <c r="G714" s="246">
        <v>100158009</v>
      </c>
      <c r="H714" s="246">
        <v>0</v>
      </c>
      <c r="J714" s="669">
        <v>1.46</v>
      </c>
      <c r="K714" s="669">
        <v>0.33</v>
      </c>
      <c r="L714" s="669">
        <v>1.79</v>
      </c>
    </row>
    <row r="715" spans="1:12">
      <c r="A715" s="423" t="s">
        <v>6613</v>
      </c>
      <c r="B715" s="423" t="s">
        <v>2350</v>
      </c>
      <c r="C715" s="246">
        <v>266873859</v>
      </c>
      <c r="D715" s="246">
        <v>241349279</v>
      </c>
      <c r="E715" s="246">
        <v>266873859</v>
      </c>
      <c r="F715" s="246">
        <v>241349279</v>
      </c>
      <c r="G715" s="246">
        <v>25524580</v>
      </c>
      <c r="H715" s="246">
        <v>0</v>
      </c>
      <c r="J715" s="669">
        <v>1.5</v>
      </c>
      <c r="K715" s="669">
        <v>0.19</v>
      </c>
      <c r="L715" s="669">
        <v>1.69</v>
      </c>
    </row>
    <row r="716" spans="1:12">
      <c r="A716" s="423" t="s">
        <v>6614</v>
      </c>
      <c r="B716" s="423" t="s">
        <v>1933</v>
      </c>
      <c r="C716" s="246">
        <v>1288498717</v>
      </c>
      <c r="D716" s="246">
        <v>1216612212</v>
      </c>
      <c r="E716" s="246">
        <v>1288498717</v>
      </c>
      <c r="F716" s="246">
        <v>1216612212</v>
      </c>
      <c r="G716" s="246">
        <v>71886505</v>
      </c>
      <c r="H716" s="246">
        <v>0</v>
      </c>
      <c r="J716" s="669">
        <v>1.5</v>
      </c>
      <c r="K716" s="669">
        <v>0.28999999999999998</v>
      </c>
      <c r="L716" s="669">
        <v>1.79</v>
      </c>
    </row>
    <row r="717" spans="1:12">
      <c r="A717" s="423" t="s">
        <v>6615</v>
      </c>
      <c r="B717" s="423" t="s">
        <v>536</v>
      </c>
      <c r="C717" s="246">
        <v>1747103360</v>
      </c>
      <c r="D717" s="246">
        <v>1713505840</v>
      </c>
      <c r="E717" s="246">
        <v>1721429277</v>
      </c>
      <c r="F717" s="246">
        <v>1687831757</v>
      </c>
      <c r="G717" s="246">
        <v>33597520</v>
      </c>
      <c r="H717" s="246">
        <v>25674083</v>
      </c>
      <c r="J717" s="669">
        <v>1.4841</v>
      </c>
      <c r="K717" s="669">
        <v>4.7600000000000003E-2</v>
      </c>
      <c r="L717" s="669">
        <v>1.5317000000000001</v>
      </c>
    </row>
    <row r="718" spans="1:12">
      <c r="A718" s="423" t="s">
        <v>6616</v>
      </c>
      <c r="B718" s="423" t="s">
        <v>537</v>
      </c>
      <c r="C718" s="246">
        <v>298357560</v>
      </c>
      <c r="D718" s="246">
        <v>293986110</v>
      </c>
      <c r="E718" s="246">
        <v>298357560</v>
      </c>
      <c r="F718" s="246">
        <v>293986110</v>
      </c>
      <c r="G718" s="246">
        <v>4371450</v>
      </c>
      <c r="H718" s="246">
        <v>0</v>
      </c>
      <c r="J718" s="669">
        <v>1.4659</v>
      </c>
      <c r="K718" s="669">
        <v>0.1226</v>
      </c>
      <c r="L718" s="669">
        <v>1.5885</v>
      </c>
    </row>
    <row r="719" spans="1:12">
      <c r="A719" s="423" t="s">
        <v>6617</v>
      </c>
      <c r="B719" s="423" t="s">
        <v>538</v>
      </c>
      <c r="C719" s="246">
        <v>667874990</v>
      </c>
      <c r="D719" s="246">
        <v>643752523</v>
      </c>
      <c r="E719" s="246">
        <v>655556225</v>
      </c>
      <c r="F719" s="246">
        <v>631433758</v>
      </c>
      <c r="G719" s="246">
        <v>24122467</v>
      </c>
      <c r="H719" s="246">
        <v>12318765</v>
      </c>
      <c r="J719" s="669">
        <v>1.5</v>
      </c>
      <c r="K719" s="669">
        <v>0.1318</v>
      </c>
      <c r="L719" s="669">
        <v>1.6317999999999999</v>
      </c>
    </row>
    <row r="720" spans="1:12">
      <c r="A720" s="423" t="s">
        <v>6618</v>
      </c>
      <c r="B720" s="423" t="s">
        <v>6619</v>
      </c>
      <c r="C720" s="246">
        <v>151846141</v>
      </c>
      <c r="D720" s="246">
        <v>137945901</v>
      </c>
      <c r="E720" s="246">
        <v>151846141</v>
      </c>
      <c r="F720" s="246">
        <v>137945901</v>
      </c>
      <c r="G720" s="246">
        <v>13900240</v>
      </c>
      <c r="H720" s="246">
        <v>0</v>
      </c>
      <c r="J720" s="669">
        <v>1.4</v>
      </c>
      <c r="K720" s="669">
        <v>0.15</v>
      </c>
      <c r="L720" s="669">
        <v>1.55</v>
      </c>
    </row>
    <row r="721" spans="1:12">
      <c r="A721" s="423" t="s">
        <v>6620</v>
      </c>
      <c r="B721" s="423" t="s">
        <v>540</v>
      </c>
      <c r="C721" s="246">
        <v>64727033</v>
      </c>
      <c r="D721" s="246">
        <v>61298097</v>
      </c>
      <c r="E721" s="246">
        <v>64727033</v>
      </c>
      <c r="F721" s="246">
        <v>61298097</v>
      </c>
      <c r="G721" s="246">
        <v>3428936</v>
      </c>
      <c r="H721" s="246">
        <v>0</v>
      </c>
      <c r="J721" s="669">
        <v>1.5</v>
      </c>
      <c r="K721" s="669">
        <v>0</v>
      </c>
      <c r="L721" s="669">
        <v>1.5</v>
      </c>
    </row>
    <row r="722" spans="1:12">
      <c r="A722" s="423" t="s">
        <v>6621</v>
      </c>
      <c r="B722" s="423" t="s">
        <v>6111</v>
      </c>
      <c r="C722" s="246">
        <v>48555661</v>
      </c>
      <c r="D722" s="246">
        <v>44494421</v>
      </c>
      <c r="E722" s="246">
        <v>46659171</v>
      </c>
      <c r="F722" s="246">
        <v>42597931</v>
      </c>
      <c r="G722" s="246">
        <v>4061240</v>
      </c>
      <c r="H722" s="246">
        <v>1896490</v>
      </c>
      <c r="J722" s="669">
        <v>1.5</v>
      </c>
      <c r="K722" s="669">
        <v>5.5800000000000002E-2</v>
      </c>
      <c r="L722" s="669">
        <v>1.5558000000000001</v>
      </c>
    </row>
    <row r="723" spans="1:12">
      <c r="A723" s="423" t="s">
        <v>6622</v>
      </c>
      <c r="B723" s="423" t="s">
        <v>541</v>
      </c>
      <c r="C723" s="246">
        <v>266733400</v>
      </c>
      <c r="D723" s="246">
        <v>258382590</v>
      </c>
      <c r="E723" s="246">
        <v>262633210</v>
      </c>
      <c r="F723" s="246">
        <v>254282400</v>
      </c>
      <c r="G723" s="246">
        <v>8350810</v>
      </c>
      <c r="H723" s="246">
        <v>4100190</v>
      </c>
      <c r="J723" s="669">
        <v>1.5</v>
      </c>
      <c r="K723" s="669">
        <v>0</v>
      </c>
      <c r="L723" s="669">
        <v>1.5</v>
      </c>
    </row>
    <row r="724" spans="1:12">
      <c r="A724" s="423" t="s">
        <v>6623</v>
      </c>
      <c r="B724" s="423" t="s">
        <v>123</v>
      </c>
      <c r="C724" s="246">
        <v>186658662</v>
      </c>
      <c r="D724" s="246">
        <v>178951412</v>
      </c>
      <c r="E724" s="246">
        <v>182485262</v>
      </c>
      <c r="F724" s="246">
        <v>174778012</v>
      </c>
      <c r="G724" s="246">
        <v>7707250</v>
      </c>
      <c r="H724" s="246">
        <v>4173400</v>
      </c>
      <c r="J724" s="669">
        <v>1.37</v>
      </c>
      <c r="K724" s="669">
        <v>5.1799999999999999E-2</v>
      </c>
      <c r="L724" s="669">
        <v>1.4218</v>
      </c>
    </row>
    <row r="725" spans="1:12">
      <c r="A725" s="423" t="s">
        <v>6624</v>
      </c>
      <c r="B725" s="423" t="s">
        <v>542</v>
      </c>
      <c r="C725" s="246">
        <v>1558139651</v>
      </c>
      <c r="D725" s="246">
        <v>1479424391</v>
      </c>
      <c r="E725" s="246">
        <v>1487220971</v>
      </c>
      <c r="F725" s="246">
        <v>1408505711</v>
      </c>
      <c r="G725" s="246">
        <v>78715260</v>
      </c>
      <c r="H725" s="246">
        <v>70918680</v>
      </c>
      <c r="J725" s="669">
        <v>1.5</v>
      </c>
      <c r="K725" s="669">
        <v>0.2</v>
      </c>
      <c r="L725" s="669">
        <v>1.7</v>
      </c>
    </row>
    <row r="726" spans="1:12">
      <c r="A726" s="423" t="s">
        <v>6625</v>
      </c>
      <c r="B726" s="423" t="s">
        <v>2006</v>
      </c>
      <c r="C726" s="246">
        <v>96242968</v>
      </c>
      <c r="D726" s="246">
        <v>89119218</v>
      </c>
      <c r="E726" s="246">
        <v>91931608</v>
      </c>
      <c r="F726" s="246">
        <v>84807858</v>
      </c>
      <c r="G726" s="246">
        <v>7123750</v>
      </c>
      <c r="H726" s="246">
        <v>4311360</v>
      </c>
      <c r="J726" s="669">
        <v>1.4870000000000001</v>
      </c>
      <c r="K726" s="669">
        <v>3.0000000000000001E-3</v>
      </c>
      <c r="L726" s="669">
        <v>1.49</v>
      </c>
    </row>
    <row r="727" spans="1:12">
      <c r="A727" s="423" t="s">
        <v>6626</v>
      </c>
      <c r="B727" s="423" t="s">
        <v>543</v>
      </c>
      <c r="C727" s="246">
        <v>89721792</v>
      </c>
      <c r="D727" s="246">
        <v>82196142</v>
      </c>
      <c r="E727" s="246">
        <v>84860187</v>
      </c>
      <c r="F727" s="246">
        <v>77334537</v>
      </c>
      <c r="G727" s="246">
        <v>7525650</v>
      </c>
      <c r="H727" s="246">
        <v>4861605</v>
      </c>
      <c r="J727" s="669">
        <v>1.5</v>
      </c>
      <c r="K727" s="669">
        <v>0</v>
      </c>
      <c r="L727" s="669">
        <v>1.5</v>
      </c>
    </row>
    <row r="728" spans="1:12">
      <c r="A728" s="423" t="s">
        <v>6627</v>
      </c>
      <c r="B728" s="423" t="s">
        <v>544</v>
      </c>
      <c r="C728" s="246">
        <v>34801031</v>
      </c>
      <c r="D728" s="246">
        <v>31294311</v>
      </c>
      <c r="E728" s="246">
        <v>32502581</v>
      </c>
      <c r="F728" s="246">
        <v>28995861</v>
      </c>
      <c r="G728" s="246">
        <v>3506720</v>
      </c>
      <c r="H728" s="246">
        <v>2298450</v>
      </c>
      <c r="J728" s="669">
        <v>1.5</v>
      </c>
      <c r="K728" s="669">
        <v>9.7799999999999998E-2</v>
      </c>
      <c r="L728" s="669">
        <v>1.5978000000000001</v>
      </c>
    </row>
    <row r="729" spans="1:12">
      <c r="A729" s="423" t="s">
        <v>6628</v>
      </c>
      <c r="B729" s="423" t="s">
        <v>1929</v>
      </c>
      <c r="C729" s="246">
        <v>41733582</v>
      </c>
      <c r="D729" s="246">
        <v>37490772</v>
      </c>
      <c r="E729" s="246">
        <v>39529987</v>
      </c>
      <c r="F729" s="246">
        <v>35287177</v>
      </c>
      <c r="G729" s="246">
        <v>4242810</v>
      </c>
      <c r="H729" s="246">
        <v>2203595</v>
      </c>
      <c r="J729" s="669">
        <v>1.45</v>
      </c>
      <c r="K729" s="669">
        <v>0</v>
      </c>
      <c r="L729" s="669">
        <v>1.45</v>
      </c>
    </row>
    <row r="730" spans="1:12">
      <c r="A730" s="423" t="s">
        <v>6629</v>
      </c>
      <c r="B730" s="423" t="s">
        <v>545</v>
      </c>
      <c r="C730" s="246">
        <v>117785317</v>
      </c>
      <c r="D730" s="246">
        <v>112913467</v>
      </c>
      <c r="E730" s="246">
        <v>113551092</v>
      </c>
      <c r="F730" s="246">
        <v>108679242</v>
      </c>
      <c r="G730" s="246">
        <v>4871850</v>
      </c>
      <c r="H730" s="246">
        <v>4234225</v>
      </c>
      <c r="J730" s="669">
        <v>1.5</v>
      </c>
      <c r="K730" s="669">
        <v>0</v>
      </c>
      <c r="L730" s="669">
        <v>1.5</v>
      </c>
    </row>
    <row r="731" spans="1:12">
      <c r="A731" s="423" t="s">
        <v>6630</v>
      </c>
      <c r="B731" s="423" t="s">
        <v>546</v>
      </c>
      <c r="C731" s="246">
        <v>102675391</v>
      </c>
      <c r="D731" s="246">
        <v>92146121</v>
      </c>
      <c r="E731" s="246">
        <v>102675391</v>
      </c>
      <c r="F731" s="246">
        <v>92146121</v>
      </c>
      <c r="G731" s="246">
        <v>10529270</v>
      </c>
      <c r="H731" s="246">
        <v>0</v>
      </c>
      <c r="J731" s="669">
        <v>1.5</v>
      </c>
      <c r="K731" s="669">
        <v>8.3000000000000004E-2</v>
      </c>
      <c r="L731" s="669">
        <v>1.583</v>
      </c>
    </row>
    <row r="732" spans="1:12">
      <c r="A732" s="423" t="s">
        <v>6631</v>
      </c>
      <c r="B732" s="423" t="s">
        <v>2649</v>
      </c>
      <c r="C732" s="246">
        <v>1039911886</v>
      </c>
      <c r="D732" s="246">
        <v>985534150</v>
      </c>
      <c r="E732" s="246">
        <v>1039911886</v>
      </c>
      <c r="F732" s="246">
        <v>985534150</v>
      </c>
      <c r="G732" s="246">
        <v>54377736</v>
      </c>
      <c r="H732" s="246">
        <v>0</v>
      </c>
      <c r="J732" s="669">
        <v>1.4108000000000001</v>
      </c>
      <c r="K732" s="669">
        <v>0.26379999999999998</v>
      </c>
      <c r="L732" s="669">
        <v>1.6746000000000001</v>
      </c>
    </row>
    <row r="733" spans="1:12">
      <c r="A733" s="423" t="s">
        <v>6632</v>
      </c>
      <c r="B733" s="423" t="s">
        <v>993</v>
      </c>
      <c r="C733" s="246">
        <v>61106830</v>
      </c>
      <c r="D733" s="246">
        <v>54559930</v>
      </c>
      <c r="E733" s="246">
        <v>61106830</v>
      </c>
      <c r="F733" s="246">
        <v>54559930</v>
      </c>
      <c r="G733" s="246">
        <v>6546900</v>
      </c>
      <c r="H733" s="246">
        <v>0</v>
      </c>
      <c r="J733" s="669">
        <v>1.5</v>
      </c>
      <c r="K733" s="669">
        <v>0</v>
      </c>
      <c r="L733" s="669">
        <v>1.5</v>
      </c>
    </row>
    <row r="734" spans="1:12">
      <c r="A734" s="423" t="s">
        <v>4197</v>
      </c>
      <c r="B734" s="423" t="s">
        <v>547</v>
      </c>
      <c r="C734" s="246">
        <v>47157653</v>
      </c>
      <c r="D734" s="246">
        <v>42872843</v>
      </c>
      <c r="E734" s="246">
        <v>47157653</v>
      </c>
      <c r="F734" s="246">
        <v>42872843</v>
      </c>
      <c r="G734" s="246">
        <v>4284810</v>
      </c>
      <c r="H734" s="246">
        <v>0</v>
      </c>
      <c r="J734" s="669">
        <v>1.5</v>
      </c>
      <c r="K734" s="669">
        <v>6.5000000000000002E-2</v>
      </c>
      <c r="L734" s="669">
        <v>1.5649999999999999</v>
      </c>
    </row>
    <row r="735" spans="1:12">
      <c r="A735" s="423" t="s">
        <v>4198</v>
      </c>
      <c r="B735" s="423" t="s">
        <v>1919</v>
      </c>
      <c r="C735" s="246">
        <v>141264089</v>
      </c>
      <c r="D735" s="246">
        <v>133345229</v>
      </c>
      <c r="E735" s="246">
        <v>141264089</v>
      </c>
      <c r="F735" s="246">
        <v>133345229</v>
      </c>
      <c r="G735" s="246">
        <v>7918860</v>
      </c>
      <c r="H735" s="246">
        <v>0</v>
      </c>
      <c r="J735" s="669">
        <v>1.36</v>
      </c>
      <c r="K735" s="669">
        <v>0.04</v>
      </c>
      <c r="L735" s="669">
        <v>1.4</v>
      </c>
    </row>
    <row r="736" spans="1:12">
      <c r="A736" s="423" t="s">
        <v>4199</v>
      </c>
      <c r="B736" s="423" t="s">
        <v>548</v>
      </c>
      <c r="C736" s="246">
        <v>208015540</v>
      </c>
      <c r="D736" s="246">
        <v>201206100</v>
      </c>
      <c r="E736" s="246">
        <v>208015540</v>
      </c>
      <c r="F736" s="246">
        <v>201206100</v>
      </c>
      <c r="G736" s="246">
        <v>6809440</v>
      </c>
      <c r="H736" s="246">
        <v>0</v>
      </c>
      <c r="J736" s="669">
        <v>1.327</v>
      </c>
      <c r="K736" s="669">
        <v>9.5000000000000001E-2</v>
      </c>
      <c r="L736" s="669">
        <v>1.4219999999999999</v>
      </c>
    </row>
    <row r="737" spans="1:12">
      <c r="A737" s="423" t="s">
        <v>4200</v>
      </c>
      <c r="B737" s="423" t="s">
        <v>358</v>
      </c>
      <c r="C737" s="246">
        <v>64708323</v>
      </c>
      <c r="D737" s="246">
        <v>59993133</v>
      </c>
      <c r="E737" s="246">
        <v>64708323</v>
      </c>
      <c r="F737" s="246">
        <v>59993133</v>
      </c>
      <c r="G737" s="246">
        <v>4715190</v>
      </c>
      <c r="H737" s="246">
        <v>0</v>
      </c>
      <c r="J737" s="669">
        <v>1.4418</v>
      </c>
      <c r="K737" s="669">
        <v>0.14779999999999999</v>
      </c>
      <c r="L737" s="669">
        <v>1.5895999999999999</v>
      </c>
    </row>
    <row r="738" spans="1:12">
      <c r="A738" s="423" t="s">
        <v>4201</v>
      </c>
      <c r="B738" s="423" t="s">
        <v>549</v>
      </c>
      <c r="C738" s="246">
        <v>140986144</v>
      </c>
      <c r="D738" s="246">
        <v>134455754</v>
      </c>
      <c r="E738" s="246">
        <v>138038909</v>
      </c>
      <c r="F738" s="246">
        <v>131508519</v>
      </c>
      <c r="G738" s="246">
        <v>6530390</v>
      </c>
      <c r="H738" s="246">
        <v>2947235</v>
      </c>
      <c r="J738" s="669">
        <v>1.41</v>
      </c>
      <c r="K738" s="669">
        <v>0.1797</v>
      </c>
      <c r="L738" s="669">
        <v>1.5896999999999999</v>
      </c>
    </row>
    <row r="739" spans="1:12">
      <c r="A739" s="423" t="s">
        <v>4202</v>
      </c>
      <c r="B739" s="423" t="s">
        <v>1936</v>
      </c>
      <c r="C739" s="246">
        <v>180948240</v>
      </c>
      <c r="D739" s="246">
        <v>165808497</v>
      </c>
      <c r="E739" s="246">
        <v>176376932</v>
      </c>
      <c r="F739" s="246">
        <v>161237189</v>
      </c>
      <c r="G739" s="246">
        <v>15139743</v>
      </c>
      <c r="H739" s="246">
        <v>4571308</v>
      </c>
      <c r="J739" s="669">
        <v>1.4265000000000001</v>
      </c>
      <c r="K739" s="669">
        <v>0.20349999999999999</v>
      </c>
      <c r="L739" s="669">
        <v>1.63</v>
      </c>
    </row>
    <row r="740" spans="1:12">
      <c r="A740" s="423" t="s">
        <v>4203</v>
      </c>
      <c r="B740" s="423" t="s">
        <v>1000</v>
      </c>
      <c r="C740" s="246">
        <v>392071933</v>
      </c>
      <c r="D740" s="246">
        <v>383421813</v>
      </c>
      <c r="E740" s="246">
        <v>388893689</v>
      </c>
      <c r="F740" s="246">
        <v>380243569</v>
      </c>
      <c r="G740" s="246">
        <v>8650120</v>
      </c>
      <c r="H740" s="246">
        <v>3178244</v>
      </c>
      <c r="J740" s="669">
        <v>1.48</v>
      </c>
      <c r="K740" s="669">
        <v>0.28000000000000003</v>
      </c>
      <c r="L740" s="669">
        <v>1.76</v>
      </c>
    </row>
    <row r="741" spans="1:12">
      <c r="A741" s="423" t="s">
        <v>4204</v>
      </c>
      <c r="B741" s="423" t="s">
        <v>369</v>
      </c>
      <c r="C741" s="246">
        <v>62590296</v>
      </c>
      <c r="D741" s="246">
        <v>58436246</v>
      </c>
      <c r="E741" s="246">
        <v>62590296</v>
      </c>
      <c r="F741" s="246">
        <v>58436246</v>
      </c>
      <c r="G741" s="246">
        <v>4154050</v>
      </c>
      <c r="H741" s="246">
        <v>0</v>
      </c>
      <c r="J741" s="669">
        <v>1.5</v>
      </c>
      <c r="K741" s="669">
        <v>0.09</v>
      </c>
      <c r="L741" s="669">
        <v>1.59</v>
      </c>
    </row>
    <row r="742" spans="1:12">
      <c r="A742" s="423" t="s">
        <v>4205</v>
      </c>
      <c r="B742" s="423" t="s">
        <v>550</v>
      </c>
      <c r="C742" s="246">
        <v>443405244</v>
      </c>
      <c r="D742" s="246">
        <v>416023367</v>
      </c>
      <c r="E742" s="246">
        <v>443405244</v>
      </c>
      <c r="F742" s="246">
        <v>416023367</v>
      </c>
      <c r="G742" s="246">
        <v>27381877</v>
      </c>
      <c r="H742" s="246">
        <v>0</v>
      </c>
      <c r="J742" s="669">
        <v>1.5</v>
      </c>
      <c r="K742" s="669">
        <v>8.3400000000000002E-2</v>
      </c>
      <c r="L742" s="669">
        <v>1.5833999999999999</v>
      </c>
    </row>
    <row r="743" spans="1:12">
      <c r="A743" s="423" t="s">
        <v>4206</v>
      </c>
      <c r="B743" s="423" t="s">
        <v>4207</v>
      </c>
      <c r="C743" s="246">
        <v>161616961</v>
      </c>
      <c r="D743" s="246">
        <v>159020089</v>
      </c>
      <c r="E743" s="246">
        <v>161616961</v>
      </c>
      <c r="F743" s="246">
        <v>159020089</v>
      </c>
      <c r="G743" s="246">
        <v>2596872</v>
      </c>
      <c r="H743" s="246">
        <v>0</v>
      </c>
      <c r="J743" s="669">
        <v>1.5</v>
      </c>
      <c r="K743" s="669">
        <v>0</v>
      </c>
      <c r="L743" s="669">
        <v>1.5</v>
      </c>
    </row>
    <row r="744" spans="1:12">
      <c r="A744" s="423" t="s">
        <v>4208</v>
      </c>
      <c r="B744" s="423" t="s">
        <v>552</v>
      </c>
      <c r="C744" s="246">
        <v>86287858</v>
      </c>
      <c r="D744" s="246">
        <v>85338199</v>
      </c>
      <c r="E744" s="246">
        <v>86287858</v>
      </c>
      <c r="F744" s="246">
        <v>85338199</v>
      </c>
      <c r="G744" s="246">
        <v>949659</v>
      </c>
      <c r="H744" s="246">
        <v>0</v>
      </c>
      <c r="J744" s="669">
        <v>1.4313</v>
      </c>
      <c r="K744" s="669">
        <v>0.1106</v>
      </c>
      <c r="L744" s="669">
        <v>1.5419</v>
      </c>
    </row>
    <row r="745" spans="1:12">
      <c r="A745" s="423" t="s">
        <v>4209</v>
      </c>
      <c r="B745" s="423" t="s">
        <v>553</v>
      </c>
      <c r="C745" s="246">
        <v>87207200</v>
      </c>
      <c r="D745" s="246">
        <v>84125982</v>
      </c>
      <c r="E745" s="246">
        <v>87207200</v>
      </c>
      <c r="F745" s="246">
        <v>84125982</v>
      </c>
      <c r="G745" s="246">
        <v>3081218</v>
      </c>
      <c r="H745" s="246">
        <v>0</v>
      </c>
      <c r="J745" s="669">
        <v>1.5</v>
      </c>
      <c r="K745" s="669">
        <v>0.24395</v>
      </c>
      <c r="L745" s="669">
        <v>1.7439499999999999</v>
      </c>
    </row>
    <row r="746" spans="1:12">
      <c r="A746" s="423" t="s">
        <v>4210</v>
      </c>
      <c r="B746" s="423" t="s">
        <v>4211</v>
      </c>
      <c r="C746" s="246">
        <v>482251716</v>
      </c>
      <c r="D746" s="246">
        <v>469945436</v>
      </c>
      <c r="E746" s="246">
        <v>475986167</v>
      </c>
      <c r="F746" s="246">
        <v>463679887</v>
      </c>
      <c r="G746" s="246">
        <v>12306280</v>
      </c>
      <c r="H746" s="246">
        <v>6265549</v>
      </c>
      <c r="J746" s="669">
        <v>1.48</v>
      </c>
      <c r="K746" s="669">
        <v>0.158806</v>
      </c>
      <c r="L746" s="669">
        <v>1.6388100000000001</v>
      </c>
    </row>
    <row r="747" spans="1:12">
      <c r="A747" s="423" t="s">
        <v>4212</v>
      </c>
      <c r="B747" s="423" t="s">
        <v>555</v>
      </c>
      <c r="C747" s="246">
        <v>1036123521</v>
      </c>
      <c r="D747" s="246">
        <v>991787820</v>
      </c>
      <c r="E747" s="246">
        <v>1036123521</v>
      </c>
      <c r="F747" s="246">
        <v>991787820</v>
      </c>
      <c r="G747" s="246">
        <v>44335701</v>
      </c>
      <c r="H747" s="246">
        <v>0</v>
      </c>
      <c r="J747" s="669">
        <v>1.5</v>
      </c>
      <c r="K747" s="669">
        <v>9.9000000000000005E-2</v>
      </c>
      <c r="L747" s="669">
        <v>1.599</v>
      </c>
    </row>
    <row r="748" spans="1:12">
      <c r="A748" s="423" t="s">
        <v>4213</v>
      </c>
      <c r="B748" s="423" t="s">
        <v>2648</v>
      </c>
      <c r="C748" s="246">
        <v>8397009938</v>
      </c>
      <c r="D748" s="246">
        <v>7970821195</v>
      </c>
      <c r="E748" s="246">
        <v>8397009938</v>
      </c>
      <c r="F748" s="246">
        <v>7970821195</v>
      </c>
      <c r="G748" s="246">
        <v>426188743</v>
      </c>
      <c r="H748" s="246">
        <v>0</v>
      </c>
      <c r="J748" s="669">
        <v>1.5</v>
      </c>
      <c r="K748" s="669">
        <v>0.11600000000000001</v>
      </c>
      <c r="L748" s="669">
        <v>1.6160000000000001</v>
      </c>
    </row>
    <row r="749" spans="1:12">
      <c r="A749" s="423" t="s">
        <v>4214</v>
      </c>
      <c r="B749" s="423" t="s">
        <v>556</v>
      </c>
      <c r="C749" s="246">
        <v>103395510</v>
      </c>
      <c r="D749" s="246">
        <v>100861375</v>
      </c>
      <c r="E749" s="246">
        <v>103395510</v>
      </c>
      <c r="F749" s="246">
        <v>100861375</v>
      </c>
      <c r="G749" s="246">
        <v>2534135</v>
      </c>
      <c r="H749" s="246">
        <v>0</v>
      </c>
      <c r="J749" s="669">
        <v>1.5</v>
      </c>
      <c r="K749" s="669">
        <v>0.29449999999999998</v>
      </c>
      <c r="L749" s="669">
        <v>1.7945</v>
      </c>
    </row>
    <row r="750" spans="1:12">
      <c r="A750" s="423" t="s">
        <v>4215</v>
      </c>
      <c r="B750" s="423" t="s">
        <v>557</v>
      </c>
      <c r="C750" s="246">
        <v>141897313</v>
      </c>
      <c r="D750" s="246">
        <v>139809313</v>
      </c>
      <c r="E750" s="246">
        <v>141897313</v>
      </c>
      <c r="F750" s="246">
        <v>139809313</v>
      </c>
      <c r="G750" s="246">
        <v>2088000</v>
      </c>
      <c r="H750" s="246">
        <v>0</v>
      </c>
      <c r="J750" s="669">
        <v>1.24</v>
      </c>
      <c r="K750" s="669">
        <v>0.15060000000000001</v>
      </c>
      <c r="L750" s="669">
        <v>1.3906000000000001</v>
      </c>
    </row>
    <row r="751" spans="1:12">
      <c r="A751" s="423" t="s">
        <v>4216</v>
      </c>
      <c r="B751" s="423" t="s">
        <v>558</v>
      </c>
      <c r="C751" s="246">
        <v>955910570</v>
      </c>
      <c r="D751" s="246">
        <v>945876411</v>
      </c>
      <c r="E751" s="246">
        <v>955910570</v>
      </c>
      <c r="F751" s="246">
        <v>945876411</v>
      </c>
      <c r="G751" s="246">
        <v>10034159</v>
      </c>
      <c r="H751" s="246">
        <v>0</v>
      </c>
      <c r="J751" s="669">
        <v>1.46</v>
      </c>
      <c r="K751" s="669">
        <v>0.09</v>
      </c>
      <c r="L751" s="669">
        <v>1.55</v>
      </c>
    </row>
    <row r="752" spans="1:12">
      <c r="A752" s="423" t="s">
        <v>4217</v>
      </c>
      <c r="B752" s="423" t="s">
        <v>366</v>
      </c>
      <c r="C752" s="246">
        <v>263414633</v>
      </c>
      <c r="D752" s="246">
        <v>235663227</v>
      </c>
      <c r="E752" s="246">
        <v>263414633</v>
      </c>
      <c r="F752" s="246">
        <v>235663227</v>
      </c>
      <c r="G752" s="246">
        <v>27751406</v>
      </c>
      <c r="H752" s="246">
        <v>0</v>
      </c>
      <c r="J752" s="669">
        <v>1.5</v>
      </c>
      <c r="K752" s="669">
        <v>0.214</v>
      </c>
      <c r="L752" s="669">
        <v>1.714</v>
      </c>
    </row>
    <row r="753" spans="1:12">
      <c r="A753" s="423" t="s">
        <v>4218</v>
      </c>
      <c r="B753" s="423" t="s">
        <v>559</v>
      </c>
      <c r="C753" s="246">
        <v>1135128533</v>
      </c>
      <c r="D753" s="246">
        <v>1114179745</v>
      </c>
      <c r="E753" s="246">
        <v>1118473597</v>
      </c>
      <c r="F753" s="246">
        <v>1097524809</v>
      </c>
      <c r="G753" s="246">
        <v>20948788</v>
      </c>
      <c r="H753" s="246">
        <v>16654936</v>
      </c>
      <c r="J753" s="669">
        <v>1.5</v>
      </c>
      <c r="K753" s="669">
        <v>0.2422</v>
      </c>
      <c r="L753" s="669">
        <v>1.7422</v>
      </c>
    </row>
    <row r="754" spans="1:12">
      <c r="A754" s="423" t="s">
        <v>4219</v>
      </c>
      <c r="B754" s="423" t="s">
        <v>560</v>
      </c>
      <c r="C754" s="246">
        <v>170023482</v>
      </c>
      <c r="D754" s="246">
        <v>162008772</v>
      </c>
      <c r="E754" s="246">
        <v>170023482</v>
      </c>
      <c r="F754" s="246">
        <v>162008772</v>
      </c>
      <c r="G754" s="246">
        <v>8014710</v>
      </c>
      <c r="H754" s="246">
        <v>0</v>
      </c>
      <c r="J754" s="669">
        <v>1.5</v>
      </c>
      <c r="K754" s="669">
        <v>0.32900000000000001</v>
      </c>
      <c r="L754" s="669">
        <v>1.829</v>
      </c>
    </row>
    <row r="755" spans="1:12">
      <c r="A755" s="423" t="s">
        <v>4220</v>
      </c>
      <c r="B755" s="423" t="s">
        <v>561</v>
      </c>
      <c r="C755" s="246">
        <v>1475999025</v>
      </c>
      <c r="D755" s="246">
        <v>1414853714</v>
      </c>
      <c r="E755" s="246">
        <v>1475999025</v>
      </c>
      <c r="F755" s="246">
        <v>1414853714</v>
      </c>
      <c r="G755" s="246">
        <v>61145311</v>
      </c>
      <c r="H755" s="246">
        <v>0</v>
      </c>
      <c r="J755" s="669">
        <v>1.4841</v>
      </c>
      <c r="K755" s="669">
        <v>4.2097000000000002E-2</v>
      </c>
      <c r="L755" s="669">
        <v>1.5262</v>
      </c>
    </row>
    <row r="756" spans="1:12">
      <c r="A756" s="423" t="s">
        <v>4221</v>
      </c>
      <c r="B756" s="423" t="s">
        <v>562</v>
      </c>
      <c r="C756" s="246">
        <v>361164749</v>
      </c>
      <c r="D756" s="246">
        <v>345865302</v>
      </c>
      <c r="E756" s="246">
        <v>361164749</v>
      </c>
      <c r="F756" s="246">
        <v>345865302</v>
      </c>
      <c r="G756" s="246">
        <v>15299447</v>
      </c>
      <c r="H756" s="246">
        <v>0</v>
      </c>
      <c r="J756" s="669">
        <v>1.5</v>
      </c>
      <c r="K756" s="669">
        <v>0.28000000000000003</v>
      </c>
      <c r="L756" s="669">
        <v>1.78</v>
      </c>
    </row>
    <row r="757" spans="1:12">
      <c r="A757" s="423" t="s">
        <v>4222</v>
      </c>
      <c r="B757" s="423" t="s">
        <v>337</v>
      </c>
      <c r="C757" s="246">
        <v>627552774</v>
      </c>
      <c r="D757" s="246">
        <v>606677604</v>
      </c>
      <c r="E757" s="246">
        <v>627552774</v>
      </c>
      <c r="F757" s="246">
        <v>606677604</v>
      </c>
      <c r="G757" s="246">
        <v>20875170</v>
      </c>
      <c r="H757" s="246">
        <v>0</v>
      </c>
      <c r="J757" s="669">
        <v>1.5</v>
      </c>
      <c r="K757" s="669">
        <v>7.4999999999999997E-2</v>
      </c>
      <c r="L757" s="669">
        <v>1.575</v>
      </c>
    </row>
    <row r="758" spans="1:12">
      <c r="A758" s="423" t="s">
        <v>4223</v>
      </c>
      <c r="B758" s="423" t="s">
        <v>563</v>
      </c>
      <c r="C758" s="246">
        <v>68474287</v>
      </c>
      <c r="D758" s="246">
        <v>65155484</v>
      </c>
      <c r="E758" s="246">
        <v>68474287</v>
      </c>
      <c r="F758" s="246">
        <v>65155484</v>
      </c>
      <c r="G758" s="246">
        <v>3318803</v>
      </c>
      <c r="H758" s="246">
        <v>0</v>
      </c>
      <c r="J758" s="669">
        <v>1.4</v>
      </c>
      <c r="K758" s="669">
        <v>0</v>
      </c>
      <c r="L758" s="669">
        <v>1.4</v>
      </c>
    </row>
    <row r="759" spans="1:12">
      <c r="A759" s="423" t="s">
        <v>4224</v>
      </c>
      <c r="B759" s="423" t="s">
        <v>564</v>
      </c>
      <c r="C759" s="246">
        <v>33680350</v>
      </c>
      <c r="D759" s="246">
        <v>32909692</v>
      </c>
      <c r="E759" s="246">
        <v>33680350</v>
      </c>
      <c r="F759" s="246">
        <v>32909692</v>
      </c>
      <c r="G759" s="246">
        <v>770658</v>
      </c>
      <c r="H759" s="246">
        <v>0</v>
      </c>
      <c r="J759" s="669">
        <v>1.45</v>
      </c>
      <c r="K759" s="669">
        <v>0</v>
      </c>
      <c r="L759" s="669">
        <v>1.45</v>
      </c>
    </row>
    <row r="760" spans="1:12">
      <c r="A760" s="423" t="s">
        <v>4225</v>
      </c>
      <c r="B760" s="423" t="s">
        <v>565</v>
      </c>
      <c r="C760" s="246">
        <v>20883885</v>
      </c>
      <c r="D760" s="246">
        <v>19969695</v>
      </c>
      <c r="E760" s="246">
        <v>20883885</v>
      </c>
      <c r="F760" s="246">
        <v>19969695</v>
      </c>
      <c r="G760" s="246">
        <v>914190</v>
      </c>
      <c r="H760" s="246">
        <v>0</v>
      </c>
      <c r="J760" s="669">
        <v>1.5</v>
      </c>
      <c r="K760" s="669">
        <v>0</v>
      </c>
      <c r="L760" s="669">
        <v>1.5</v>
      </c>
    </row>
    <row r="761" spans="1:12">
      <c r="A761" s="423" t="s">
        <v>4226</v>
      </c>
      <c r="B761" s="423" t="s">
        <v>7666</v>
      </c>
      <c r="C761" s="246">
        <v>632202260</v>
      </c>
      <c r="D761" s="246">
        <v>593966631</v>
      </c>
      <c r="E761" s="246">
        <v>615971558</v>
      </c>
      <c r="F761" s="246">
        <v>577735929</v>
      </c>
      <c r="G761" s="246">
        <v>38235629</v>
      </c>
      <c r="H761" s="246">
        <v>16230702</v>
      </c>
      <c r="J761" s="669">
        <v>1.4986200000000001</v>
      </c>
      <c r="K761" s="669">
        <v>0.17008000000000001</v>
      </c>
      <c r="L761" s="669">
        <v>1.6687000000000001</v>
      </c>
    </row>
    <row r="762" spans="1:12">
      <c r="A762" s="423" t="s">
        <v>4227</v>
      </c>
      <c r="B762" s="423" t="s">
        <v>566</v>
      </c>
      <c r="C762" s="246">
        <v>302688071</v>
      </c>
      <c r="D762" s="246">
        <v>281539072</v>
      </c>
      <c r="E762" s="246">
        <v>285945333</v>
      </c>
      <c r="F762" s="246">
        <v>264796334</v>
      </c>
      <c r="G762" s="246">
        <v>21148999</v>
      </c>
      <c r="H762" s="246">
        <v>16742738</v>
      </c>
      <c r="J762" s="669">
        <v>1.5</v>
      </c>
      <c r="K762" s="669">
        <v>0.15</v>
      </c>
      <c r="L762" s="669">
        <v>1.65</v>
      </c>
    </row>
    <row r="763" spans="1:12">
      <c r="A763" s="423" t="s">
        <v>4228</v>
      </c>
      <c r="B763" s="423" t="s">
        <v>4229</v>
      </c>
      <c r="C763" s="246">
        <v>1528388906</v>
      </c>
      <c r="D763" s="246">
        <v>1482086563</v>
      </c>
      <c r="E763" s="246">
        <v>1501965143</v>
      </c>
      <c r="F763" s="246">
        <v>1455662800</v>
      </c>
      <c r="G763" s="246">
        <v>46302343</v>
      </c>
      <c r="H763" s="246">
        <v>26423763</v>
      </c>
      <c r="J763" s="669">
        <v>1.4957199999999999</v>
      </c>
      <c r="K763" s="669">
        <v>8.6929999999999993E-2</v>
      </c>
      <c r="L763" s="669">
        <v>1.5826499999999999</v>
      </c>
    </row>
    <row r="764" spans="1:12">
      <c r="A764" s="423" t="s">
        <v>4230</v>
      </c>
      <c r="B764" s="423" t="s">
        <v>4059</v>
      </c>
      <c r="C764" s="246">
        <v>653578443</v>
      </c>
      <c r="D764" s="246">
        <v>584534151</v>
      </c>
      <c r="E764" s="246">
        <v>624062613</v>
      </c>
      <c r="F764" s="246">
        <v>555018321</v>
      </c>
      <c r="G764" s="246">
        <v>69044292</v>
      </c>
      <c r="H764" s="246">
        <v>29515830</v>
      </c>
      <c r="J764" s="669">
        <v>1.5</v>
      </c>
      <c r="K764" s="669">
        <v>0.10249999999999999</v>
      </c>
      <c r="L764" s="669">
        <v>1.6025</v>
      </c>
    </row>
    <row r="765" spans="1:12">
      <c r="A765" s="423" t="s">
        <v>4231</v>
      </c>
      <c r="B765" s="423" t="s">
        <v>4232</v>
      </c>
      <c r="C765" s="246">
        <v>813300143</v>
      </c>
      <c r="D765" s="246">
        <v>761292206</v>
      </c>
      <c r="E765" s="246">
        <v>779868876</v>
      </c>
      <c r="F765" s="246">
        <v>727860939</v>
      </c>
      <c r="G765" s="246">
        <v>52007937</v>
      </c>
      <c r="H765" s="246">
        <v>33431267</v>
      </c>
      <c r="J765" s="669">
        <v>1.5</v>
      </c>
      <c r="K765" s="669">
        <v>0.1</v>
      </c>
      <c r="L765" s="669">
        <v>1.6</v>
      </c>
    </row>
    <row r="766" spans="1:12">
      <c r="A766" s="423" t="s">
        <v>4233</v>
      </c>
      <c r="B766" s="423" t="s">
        <v>1622</v>
      </c>
      <c r="C766" s="246">
        <v>64048100</v>
      </c>
      <c r="D766" s="246">
        <v>61273940</v>
      </c>
      <c r="E766" s="246">
        <v>64048100</v>
      </c>
      <c r="F766" s="246">
        <v>61273940</v>
      </c>
      <c r="G766" s="246">
        <v>2774160</v>
      </c>
      <c r="H766" s="246">
        <v>0</v>
      </c>
      <c r="J766" s="669">
        <v>1.4870000000000001</v>
      </c>
      <c r="K766" s="669">
        <v>9.7000000000000003E-2</v>
      </c>
      <c r="L766" s="669">
        <v>1.5840000000000001</v>
      </c>
    </row>
    <row r="767" spans="1:12">
      <c r="A767" s="423" t="s">
        <v>4234</v>
      </c>
      <c r="B767" s="423" t="s">
        <v>1623</v>
      </c>
      <c r="C767" s="246">
        <v>398169899</v>
      </c>
      <c r="D767" s="246">
        <v>391737090</v>
      </c>
      <c r="E767" s="246">
        <v>398169899</v>
      </c>
      <c r="F767" s="246">
        <v>391737090</v>
      </c>
      <c r="G767" s="246">
        <v>6432809</v>
      </c>
      <c r="H767" s="246">
        <v>0</v>
      </c>
      <c r="J767" s="669">
        <v>1.431</v>
      </c>
      <c r="K767" s="669">
        <v>6.5442E-2</v>
      </c>
      <c r="L767" s="669">
        <v>1.49644</v>
      </c>
    </row>
    <row r="768" spans="1:12">
      <c r="A768" s="423" t="s">
        <v>4235</v>
      </c>
      <c r="B768" s="423" t="s">
        <v>501</v>
      </c>
      <c r="C768" s="246">
        <v>521039006</v>
      </c>
      <c r="D768" s="246">
        <v>480183146</v>
      </c>
      <c r="E768" s="246">
        <v>517664759</v>
      </c>
      <c r="F768" s="246">
        <v>476808899</v>
      </c>
      <c r="G768" s="246">
        <v>40855860</v>
      </c>
      <c r="H768" s="246">
        <v>3374247</v>
      </c>
      <c r="J768" s="669">
        <v>1.5</v>
      </c>
      <c r="K768" s="669">
        <v>0.174012</v>
      </c>
      <c r="L768" s="669">
        <v>1.67401</v>
      </c>
    </row>
    <row r="769" spans="1:12">
      <c r="A769" s="423" t="s">
        <v>4236</v>
      </c>
      <c r="B769" s="423" t="s">
        <v>1624</v>
      </c>
      <c r="C769" s="246">
        <v>183405420</v>
      </c>
      <c r="D769" s="246">
        <v>175054110</v>
      </c>
      <c r="E769" s="246">
        <v>183405420</v>
      </c>
      <c r="F769" s="246">
        <v>175054110</v>
      </c>
      <c r="G769" s="246">
        <v>8351310</v>
      </c>
      <c r="H769" s="246">
        <v>0</v>
      </c>
      <c r="J769" s="669">
        <v>1.5</v>
      </c>
      <c r="K769" s="669">
        <v>0.19250600000000001</v>
      </c>
      <c r="L769" s="669">
        <v>1.69251</v>
      </c>
    </row>
    <row r="770" spans="1:12">
      <c r="A770" s="423" t="s">
        <v>4237</v>
      </c>
      <c r="B770" s="423" t="s">
        <v>1625</v>
      </c>
      <c r="C770" s="246">
        <v>66758237</v>
      </c>
      <c r="D770" s="246">
        <v>64683347</v>
      </c>
      <c r="E770" s="246">
        <v>66758237</v>
      </c>
      <c r="F770" s="246">
        <v>64683347</v>
      </c>
      <c r="G770" s="246">
        <v>2074890</v>
      </c>
      <c r="H770" s="246">
        <v>0</v>
      </c>
      <c r="J770" s="669">
        <v>1.43858</v>
      </c>
      <c r="K770" s="669">
        <v>0</v>
      </c>
      <c r="L770" s="669">
        <v>1.43858</v>
      </c>
    </row>
    <row r="771" spans="1:12">
      <c r="A771" s="423" t="s">
        <v>4238</v>
      </c>
      <c r="B771" s="423" t="s">
        <v>1626</v>
      </c>
      <c r="C771" s="246">
        <v>274006646</v>
      </c>
      <c r="D771" s="246">
        <v>271295636</v>
      </c>
      <c r="E771" s="246">
        <v>270364651</v>
      </c>
      <c r="F771" s="246">
        <v>267653641</v>
      </c>
      <c r="G771" s="246">
        <v>2711010</v>
      </c>
      <c r="H771" s="246">
        <v>3641995</v>
      </c>
      <c r="J771" s="669">
        <v>1.5</v>
      </c>
      <c r="K771" s="669">
        <v>3.2009999999999997E-2</v>
      </c>
      <c r="L771" s="669">
        <v>1.5320100000000001</v>
      </c>
    </row>
    <row r="772" spans="1:12">
      <c r="A772" s="423" t="s">
        <v>4239</v>
      </c>
      <c r="B772" s="423" t="s">
        <v>1627</v>
      </c>
      <c r="C772" s="246">
        <v>524097345</v>
      </c>
      <c r="D772" s="246">
        <v>517683515</v>
      </c>
      <c r="E772" s="246">
        <v>520611380</v>
      </c>
      <c r="F772" s="246">
        <v>514197550</v>
      </c>
      <c r="G772" s="246">
        <v>6413830</v>
      </c>
      <c r="H772" s="246">
        <v>3485965</v>
      </c>
      <c r="J772" s="669">
        <v>1.40967</v>
      </c>
      <c r="K772" s="669">
        <v>0.10347000000000001</v>
      </c>
      <c r="L772" s="669">
        <v>1.5131399999999999</v>
      </c>
    </row>
    <row r="773" spans="1:12">
      <c r="A773" s="423" t="s">
        <v>4240</v>
      </c>
      <c r="B773" s="423" t="s">
        <v>1628</v>
      </c>
      <c r="C773" s="246">
        <v>2401206069</v>
      </c>
      <c r="D773" s="246">
        <v>2357350700</v>
      </c>
      <c r="E773" s="246">
        <v>2373105404</v>
      </c>
      <c r="F773" s="246">
        <v>2329250035</v>
      </c>
      <c r="G773" s="246">
        <v>43855369</v>
      </c>
      <c r="H773" s="246">
        <v>28100665</v>
      </c>
      <c r="J773" s="669">
        <v>1.53</v>
      </c>
      <c r="K773" s="669">
        <v>0</v>
      </c>
      <c r="L773" s="669">
        <v>1.53</v>
      </c>
    </row>
    <row r="774" spans="1:12">
      <c r="A774" s="423" t="s">
        <v>4241</v>
      </c>
      <c r="B774" s="423" t="s">
        <v>124</v>
      </c>
      <c r="C774" s="246">
        <v>147912790</v>
      </c>
      <c r="D774" s="246">
        <v>142720430</v>
      </c>
      <c r="E774" s="246">
        <v>145304220</v>
      </c>
      <c r="F774" s="246">
        <v>140111860</v>
      </c>
      <c r="G774" s="246">
        <v>5192360</v>
      </c>
      <c r="H774" s="246">
        <v>2608570</v>
      </c>
      <c r="J774" s="669">
        <v>1.2725</v>
      </c>
      <c r="K774" s="669">
        <v>9.6799999999999997E-2</v>
      </c>
      <c r="L774" s="669">
        <v>1.3693</v>
      </c>
    </row>
    <row r="775" spans="1:12">
      <c r="A775" s="423" t="s">
        <v>4242</v>
      </c>
      <c r="B775" s="423" t="s">
        <v>344</v>
      </c>
      <c r="C775" s="246">
        <v>112724433</v>
      </c>
      <c r="D775" s="246">
        <v>106626583</v>
      </c>
      <c r="E775" s="246">
        <v>112724433</v>
      </c>
      <c r="F775" s="246">
        <v>106626583</v>
      </c>
      <c r="G775" s="246">
        <v>6097850</v>
      </c>
      <c r="H775" s="246">
        <v>0</v>
      </c>
      <c r="J775" s="669">
        <v>1.4330000000000001</v>
      </c>
      <c r="K775" s="669">
        <v>0.20499999999999999</v>
      </c>
      <c r="L775" s="669">
        <v>1.6379999999999999</v>
      </c>
    </row>
    <row r="776" spans="1:12">
      <c r="A776" s="423" t="s">
        <v>4243</v>
      </c>
      <c r="B776" s="423" t="s">
        <v>2352</v>
      </c>
      <c r="C776" s="246">
        <v>587128504</v>
      </c>
      <c r="D776" s="246">
        <v>545847574</v>
      </c>
      <c r="E776" s="246">
        <v>587128504</v>
      </c>
      <c r="F776" s="246">
        <v>545847574</v>
      </c>
      <c r="G776" s="246">
        <v>41280930</v>
      </c>
      <c r="H776" s="246">
        <v>0</v>
      </c>
      <c r="J776" s="669">
        <v>1.5</v>
      </c>
      <c r="K776" s="669">
        <v>0.1736</v>
      </c>
      <c r="L776" s="669">
        <v>1.6736</v>
      </c>
    </row>
    <row r="777" spans="1:12">
      <c r="A777" s="423" t="s">
        <v>4244</v>
      </c>
      <c r="B777" s="423" t="s">
        <v>4064</v>
      </c>
      <c r="C777" s="246">
        <v>2179663916</v>
      </c>
      <c r="D777" s="246">
        <v>2079981296</v>
      </c>
      <c r="E777" s="246">
        <v>2179663916</v>
      </c>
      <c r="F777" s="246">
        <v>2079981296</v>
      </c>
      <c r="G777" s="246">
        <v>99682620</v>
      </c>
      <c r="H777" s="246">
        <v>0</v>
      </c>
      <c r="J777" s="669">
        <v>1.5</v>
      </c>
      <c r="K777" s="669">
        <v>0.28000000000000003</v>
      </c>
      <c r="L777" s="669">
        <v>1.78</v>
      </c>
    </row>
    <row r="778" spans="1:12">
      <c r="A778" s="423" t="s">
        <v>4245</v>
      </c>
      <c r="B778" s="423" t="s">
        <v>500</v>
      </c>
      <c r="C778" s="246">
        <v>194586089</v>
      </c>
      <c r="D778" s="246">
        <v>184570109</v>
      </c>
      <c r="E778" s="246">
        <v>194586089</v>
      </c>
      <c r="F778" s="246">
        <v>184570109</v>
      </c>
      <c r="G778" s="246">
        <v>10015980</v>
      </c>
      <c r="H778" s="246">
        <v>0</v>
      </c>
      <c r="J778" s="669">
        <v>1.5</v>
      </c>
      <c r="K778" s="669">
        <v>0.23749999999999999</v>
      </c>
      <c r="L778" s="669">
        <v>1.7375</v>
      </c>
    </row>
    <row r="779" spans="1:12">
      <c r="A779" s="423" t="s">
        <v>4246</v>
      </c>
      <c r="B779" s="423" t="s">
        <v>1629</v>
      </c>
      <c r="C779" s="246">
        <v>1298023966</v>
      </c>
      <c r="D779" s="246">
        <v>1256526916</v>
      </c>
      <c r="E779" s="246">
        <v>1298023966</v>
      </c>
      <c r="F779" s="246">
        <v>1256526916</v>
      </c>
      <c r="G779" s="246">
        <v>41497050</v>
      </c>
      <c r="H779" s="246">
        <v>0</v>
      </c>
      <c r="J779" s="669">
        <v>1.5</v>
      </c>
      <c r="K779" s="669">
        <v>0.25990000000000002</v>
      </c>
      <c r="L779" s="669">
        <v>1.7599</v>
      </c>
    </row>
    <row r="780" spans="1:12">
      <c r="A780" s="423" t="s">
        <v>4247</v>
      </c>
      <c r="B780" s="423" t="s">
        <v>5295</v>
      </c>
      <c r="C780" s="246">
        <v>165853768</v>
      </c>
      <c r="D780" s="246">
        <v>157020528</v>
      </c>
      <c r="E780" s="246">
        <v>165853768</v>
      </c>
      <c r="F780" s="246">
        <v>157020528</v>
      </c>
      <c r="G780" s="246">
        <v>8833240</v>
      </c>
      <c r="H780" s="246">
        <v>0</v>
      </c>
      <c r="J780" s="669">
        <v>1.5</v>
      </c>
      <c r="K780" s="669">
        <v>0.19800000000000001</v>
      </c>
      <c r="L780" s="669">
        <v>1.698</v>
      </c>
    </row>
    <row r="781" spans="1:12">
      <c r="A781" s="423" t="s">
        <v>4248</v>
      </c>
      <c r="B781" s="423" t="s">
        <v>7667</v>
      </c>
      <c r="C781" s="246">
        <v>206548167</v>
      </c>
      <c r="D781" s="246">
        <v>197706277</v>
      </c>
      <c r="E781" s="246">
        <v>206548167</v>
      </c>
      <c r="F781" s="246">
        <v>197706277</v>
      </c>
      <c r="G781" s="246">
        <v>8841890</v>
      </c>
      <c r="H781" s="246">
        <v>0</v>
      </c>
      <c r="J781" s="669">
        <v>1.5</v>
      </c>
      <c r="K781" s="669">
        <v>0.1661</v>
      </c>
      <c r="L781" s="669">
        <v>1.6660999999999999</v>
      </c>
    </row>
    <row r="782" spans="1:12">
      <c r="A782" s="423" t="s">
        <v>4249</v>
      </c>
      <c r="B782" s="423" t="s">
        <v>1630</v>
      </c>
      <c r="C782" s="246">
        <v>112939305</v>
      </c>
      <c r="D782" s="246">
        <v>108900045</v>
      </c>
      <c r="E782" s="246">
        <v>112939305</v>
      </c>
      <c r="F782" s="246">
        <v>108900045</v>
      </c>
      <c r="G782" s="246">
        <v>4039260</v>
      </c>
      <c r="H782" s="246">
        <v>0</v>
      </c>
      <c r="J782" s="669">
        <v>1.5</v>
      </c>
      <c r="K782" s="669">
        <v>0.09</v>
      </c>
      <c r="L782" s="669">
        <v>1.59</v>
      </c>
    </row>
    <row r="783" spans="1:12">
      <c r="A783" s="423" t="s">
        <v>4250</v>
      </c>
      <c r="B783" s="423" t="s">
        <v>1631</v>
      </c>
      <c r="C783" s="246">
        <v>63643355</v>
      </c>
      <c r="D783" s="246">
        <v>59860779</v>
      </c>
      <c r="E783" s="246">
        <v>63643355</v>
      </c>
      <c r="F783" s="246">
        <v>59860779</v>
      </c>
      <c r="G783" s="246">
        <v>3782576</v>
      </c>
      <c r="H783" s="246">
        <v>0</v>
      </c>
      <c r="J783" s="669">
        <v>1.3</v>
      </c>
      <c r="K783" s="669">
        <v>0</v>
      </c>
      <c r="L783" s="669">
        <v>1.3</v>
      </c>
    </row>
    <row r="784" spans="1:12">
      <c r="A784" s="423" t="s">
        <v>4251</v>
      </c>
      <c r="B784" s="423" t="s">
        <v>1632</v>
      </c>
      <c r="C784" s="246">
        <v>90550016</v>
      </c>
      <c r="D784" s="246">
        <v>85603732</v>
      </c>
      <c r="E784" s="246">
        <v>90550016</v>
      </c>
      <c r="F784" s="246">
        <v>85603732</v>
      </c>
      <c r="G784" s="246">
        <v>4946284</v>
      </c>
      <c r="H784" s="246">
        <v>0</v>
      </c>
      <c r="J784" s="669">
        <v>1.3373999999999999</v>
      </c>
      <c r="K784" s="669">
        <v>8.2600000000000007E-2</v>
      </c>
      <c r="L784" s="669">
        <v>1.42</v>
      </c>
    </row>
    <row r="785" spans="1:12">
      <c r="A785" s="423" t="s">
        <v>4252</v>
      </c>
      <c r="B785" s="423" t="s">
        <v>1633</v>
      </c>
      <c r="C785" s="246">
        <v>242713893</v>
      </c>
      <c r="D785" s="246">
        <v>233581584</v>
      </c>
      <c r="E785" s="246">
        <v>242713893</v>
      </c>
      <c r="F785" s="246">
        <v>233581584</v>
      </c>
      <c r="G785" s="246">
        <v>9132309</v>
      </c>
      <c r="H785" s="246">
        <v>0</v>
      </c>
      <c r="J785" s="669">
        <v>1.17</v>
      </c>
      <c r="K785" s="669">
        <v>0</v>
      </c>
      <c r="L785" s="669">
        <v>1.17</v>
      </c>
    </row>
    <row r="786" spans="1:12">
      <c r="A786" s="423" t="s">
        <v>4253</v>
      </c>
      <c r="B786" s="423" t="s">
        <v>1634</v>
      </c>
      <c r="C786" s="246">
        <v>50062996</v>
      </c>
      <c r="D786" s="246">
        <v>48848565</v>
      </c>
      <c r="E786" s="246">
        <v>50062996</v>
      </c>
      <c r="F786" s="246">
        <v>48848565</v>
      </c>
      <c r="G786" s="246">
        <v>1214431</v>
      </c>
      <c r="H786" s="246">
        <v>0</v>
      </c>
      <c r="J786" s="669">
        <v>1.5</v>
      </c>
      <c r="K786" s="669">
        <v>0</v>
      </c>
      <c r="L786" s="669">
        <v>1.5</v>
      </c>
    </row>
    <row r="787" spans="1:12">
      <c r="A787" s="423" t="s">
        <v>4254</v>
      </c>
      <c r="B787" s="423" t="s">
        <v>397</v>
      </c>
      <c r="C787" s="246">
        <v>218186337</v>
      </c>
      <c r="D787" s="246">
        <v>217513527</v>
      </c>
      <c r="E787" s="246">
        <v>218037277</v>
      </c>
      <c r="F787" s="246">
        <v>217364467</v>
      </c>
      <c r="G787" s="246">
        <v>672810</v>
      </c>
      <c r="H787" s="246">
        <v>149060</v>
      </c>
      <c r="J787" s="669">
        <v>1.5</v>
      </c>
      <c r="K787" s="669">
        <v>0</v>
      </c>
      <c r="L787" s="669">
        <v>1.5</v>
      </c>
    </row>
    <row r="788" spans="1:12">
      <c r="A788" s="423" t="s">
        <v>4255</v>
      </c>
      <c r="B788" s="423" t="s">
        <v>6848</v>
      </c>
      <c r="C788" s="246">
        <v>1542921283</v>
      </c>
      <c r="D788" s="246">
        <v>1518424933</v>
      </c>
      <c r="E788" s="246">
        <v>1533928763</v>
      </c>
      <c r="F788" s="246">
        <v>1509432413</v>
      </c>
      <c r="G788" s="246">
        <v>24496350</v>
      </c>
      <c r="H788" s="246">
        <v>8992520</v>
      </c>
      <c r="J788" s="669">
        <v>1.5</v>
      </c>
      <c r="K788" s="669">
        <v>8.8099999999999998E-2</v>
      </c>
      <c r="L788" s="669">
        <v>1.5881000000000001</v>
      </c>
    </row>
    <row r="789" spans="1:12">
      <c r="A789" s="423" t="s">
        <v>4256</v>
      </c>
      <c r="B789" s="423" t="s">
        <v>399</v>
      </c>
      <c r="C789" s="246">
        <v>987342423</v>
      </c>
      <c r="D789" s="246">
        <v>984003383</v>
      </c>
      <c r="E789" s="246">
        <v>986158113</v>
      </c>
      <c r="F789" s="246">
        <v>982819073</v>
      </c>
      <c r="G789" s="246">
        <v>3339040</v>
      </c>
      <c r="H789" s="246">
        <v>1184310</v>
      </c>
      <c r="J789" s="669">
        <v>1.5</v>
      </c>
      <c r="K789" s="669">
        <v>0</v>
      </c>
      <c r="L789" s="669">
        <v>1.5</v>
      </c>
    </row>
    <row r="790" spans="1:12">
      <c r="A790" s="423" t="s">
        <v>4257</v>
      </c>
      <c r="B790" s="423" t="s">
        <v>400</v>
      </c>
      <c r="C790" s="246">
        <v>284298283</v>
      </c>
      <c r="D790" s="246">
        <v>280077938</v>
      </c>
      <c r="E790" s="246">
        <v>281996503</v>
      </c>
      <c r="F790" s="246">
        <v>277776158</v>
      </c>
      <c r="G790" s="246">
        <v>4220345</v>
      </c>
      <c r="H790" s="246">
        <v>2301780</v>
      </c>
      <c r="J790" s="669">
        <v>1.5</v>
      </c>
      <c r="K790" s="669">
        <v>8.8999999999999996E-2</v>
      </c>
      <c r="L790" s="669">
        <v>1.589</v>
      </c>
    </row>
    <row r="791" spans="1:12">
      <c r="A791" s="423" t="s">
        <v>4258</v>
      </c>
      <c r="B791" s="423" t="s">
        <v>401</v>
      </c>
      <c r="C791" s="246">
        <v>76868819</v>
      </c>
      <c r="D791" s="246">
        <v>71878560</v>
      </c>
      <c r="E791" s="246">
        <v>76868819</v>
      </c>
      <c r="F791" s="246">
        <v>71878560</v>
      </c>
      <c r="G791" s="246">
        <v>4990259</v>
      </c>
      <c r="H791" s="246">
        <v>0</v>
      </c>
      <c r="J791" s="669">
        <v>1.5</v>
      </c>
      <c r="K791" s="669">
        <v>0</v>
      </c>
      <c r="L791" s="669">
        <v>1.5</v>
      </c>
    </row>
    <row r="792" spans="1:12">
      <c r="A792" s="423" t="s">
        <v>4259</v>
      </c>
      <c r="B792" s="423" t="s">
        <v>402</v>
      </c>
      <c r="C792" s="246">
        <v>207161512</v>
      </c>
      <c r="D792" s="246">
        <v>198278688</v>
      </c>
      <c r="E792" s="246">
        <v>202430818</v>
      </c>
      <c r="F792" s="246">
        <v>193547994</v>
      </c>
      <c r="G792" s="246">
        <v>8882824</v>
      </c>
      <c r="H792" s="246">
        <v>4730694</v>
      </c>
      <c r="J792" s="669">
        <v>1.4750000000000001</v>
      </c>
      <c r="K792" s="669">
        <v>0.13500000000000001</v>
      </c>
      <c r="L792" s="669">
        <v>1.61</v>
      </c>
    </row>
    <row r="793" spans="1:12">
      <c r="A793" s="423" t="s">
        <v>4260</v>
      </c>
      <c r="B793" s="423" t="s">
        <v>403</v>
      </c>
      <c r="C793" s="246">
        <v>80785274</v>
      </c>
      <c r="D793" s="246">
        <v>78343374</v>
      </c>
      <c r="E793" s="246">
        <v>80785274</v>
      </c>
      <c r="F793" s="246">
        <v>78343374</v>
      </c>
      <c r="G793" s="246">
        <v>2441900</v>
      </c>
      <c r="H793" s="246">
        <v>0</v>
      </c>
      <c r="J793" s="669">
        <v>1.5</v>
      </c>
      <c r="K793" s="669">
        <v>0</v>
      </c>
      <c r="L793" s="669">
        <v>1.5</v>
      </c>
    </row>
    <row r="794" spans="1:12">
      <c r="A794" s="423" t="s">
        <v>4261</v>
      </c>
      <c r="B794" s="423" t="s">
        <v>195</v>
      </c>
      <c r="C794" s="246">
        <v>858243808</v>
      </c>
      <c r="D794" s="246">
        <v>805631538</v>
      </c>
      <c r="E794" s="246">
        <v>858243808</v>
      </c>
      <c r="F794" s="246">
        <v>805631538</v>
      </c>
      <c r="G794" s="246">
        <v>52612270</v>
      </c>
      <c r="H794" s="246">
        <v>0</v>
      </c>
      <c r="J794" s="669">
        <v>1.4824999999999999</v>
      </c>
      <c r="K794" s="669">
        <v>7.0000000000000007E-2</v>
      </c>
      <c r="L794" s="669">
        <v>1.5525</v>
      </c>
    </row>
    <row r="795" spans="1:12">
      <c r="A795" s="423" t="s">
        <v>4262</v>
      </c>
      <c r="B795" s="423" t="s">
        <v>404</v>
      </c>
      <c r="C795" s="246">
        <v>249471221</v>
      </c>
      <c r="D795" s="246">
        <v>230913113</v>
      </c>
      <c r="E795" s="246">
        <v>249471221</v>
      </c>
      <c r="F795" s="246">
        <v>230913113</v>
      </c>
      <c r="G795" s="246">
        <v>18558108</v>
      </c>
      <c r="H795" s="246">
        <v>0</v>
      </c>
      <c r="J795" s="669">
        <v>1.4833000000000001</v>
      </c>
      <c r="K795" s="669">
        <v>0.18770000000000001</v>
      </c>
      <c r="L795" s="669">
        <v>1.671</v>
      </c>
    </row>
    <row r="796" spans="1:12">
      <c r="A796" s="423" t="s">
        <v>4263</v>
      </c>
      <c r="B796" s="423" t="s">
        <v>7681</v>
      </c>
      <c r="C796" s="246">
        <v>6175567168</v>
      </c>
      <c r="D796" s="246">
        <v>5827064653</v>
      </c>
      <c r="E796" s="246">
        <v>6175567168</v>
      </c>
      <c r="F796" s="246">
        <v>5827064653</v>
      </c>
      <c r="G796" s="246">
        <v>348502515</v>
      </c>
      <c r="H796" s="246">
        <v>0</v>
      </c>
      <c r="J796" s="669">
        <v>1.5</v>
      </c>
      <c r="K796" s="669">
        <v>0.14499999999999999</v>
      </c>
      <c r="L796" s="669">
        <v>1.645</v>
      </c>
    </row>
    <row r="797" spans="1:12">
      <c r="A797" s="423" t="s">
        <v>4264</v>
      </c>
      <c r="B797" s="423" t="s">
        <v>363</v>
      </c>
      <c r="C797" s="246">
        <v>207217151</v>
      </c>
      <c r="D797" s="246">
        <v>189434325</v>
      </c>
      <c r="E797" s="246">
        <v>207217151</v>
      </c>
      <c r="F797" s="246">
        <v>189434325</v>
      </c>
      <c r="G797" s="246">
        <v>17782826</v>
      </c>
      <c r="H797" s="246">
        <v>0</v>
      </c>
      <c r="J797" s="669">
        <v>1.5</v>
      </c>
      <c r="K797" s="669">
        <v>0.27979999999999999</v>
      </c>
      <c r="L797" s="669">
        <v>1.7798</v>
      </c>
    </row>
    <row r="798" spans="1:12">
      <c r="A798" s="423" t="s">
        <v>4265</v>
      </c>
      <c r="B798" s="423" t="s">
        <v>2898</v>
      </c>
      <c r="C798" s="246">
        <v>717153647</v>
      </c>
      <c r="D798" s="246">
        <v>714991991</v>
      </c>
      <c r="E798" s="246">
        <v>717153647</v>
      </c>
      <c r="F798" s="246">
        <v>714991991</v>
      </c>
      <c r="G798" s="246">
        <v>2161656</v>
      </c>
      <c r="H798" s="246">
        <v>0</v>
      </c>
      <c r="J798" s="669">
        <v>1.45</v>
      </c>
      <c r="K798" s="669">
        <v>0.1976</v>
      </c>
      <c r="L798" s="669">
        <v>1.6476</v>
      </c>
    </row>
    <row r="799" spans="1:12">
      <c r="A799" s="423" t="s">
        <v>4266</v>
      </c>
      <c r="B799" s="423" t="s">
        <v>405</v>
      </c>
      <c r="C799" s="246">
        <v>666033359</v>
      </c>
      <c r="D799" s="246">
        <v>654705558</v>
      </c>
      <c r="E799" s="246">
        <v>666033359</v>
      </c>
      <c r="F799" s="246">
        <v>654705558</v>
      </c>
      <c r="G799" s="246">
        <v>11327801</v>
      </c>
      <c r="H799" s="246">
        <v>0</v>
      </c>
      <c r="J799" s="669">
        <v>1.4717</v>
      </c>
      <c r="K799" s="669">
        <v>0.14823</v>
      </c>
      <c r="L799" s="669">
        <v>1.6199300000000001</v>
      </c>
    </row>
    <row r="800" spans="1:12">
      <c r="A800" s="423" t="s">
        <v>4267</v>
      </c>
      <c r="B800" s="423" t="s">
        <v>6064</v>
      </c>
      <c r="C800" s="246">
        <v>104658610</v>
      </c>
      <c r="D800" s="246">
        <v>98333260</v>
      </c>
      <c r="E800" s="246">
        <v>104658610</v>
      </c>
      <c r="F800" s="246">
        <v>98333260</v>
      </c>
      <c r="G800" s="246">
        <v>6325350</v>
      </c>
      <c r="H800" s="246">
        <v>0</v>
      </c>
      <c r="J800" s="669">
        <v>1.5</v>
      </c>
      <c r="K800" s="669">
        <v>0.28689999999999999</v>
      </c>
      <c r="L800" s="669">
        <v>1.7868999999999999</v>
      </c>
    </row>
    <row r="801" spans="1:12">
      <c r="A801" s="423" t="s">
        <v>4268</v>
      </c>
      <c r="B801" s="423" t="s">
        <v>350</v>
      </c>
      <c r="C801" s="246">
        <v>82757344</v>
      </c>
      <c r="D801" s="246">
        <v>73781809</v>
      </c>
      <c r="E801" s="246">
        <v>82757344</v>
      </c>
      <c r="F801" s="246">
        <v>73781809</v>
      </c>
      <c r="G801" s="246">
        <v>8975535</v>
      </c>
      <c r="H801" s="246">
        <v>0</v>
      </c>
      <c r="J801" s="669">
        <v>1.5</v>
      </c>
      <c r="K801" s="669">
        <v>0.20280000000000001</v>
      </c>
      <c r="L801" s="669">
        <v>1.7028000000000001</v>
      </c>
    </row>
    <row r="802" spans="1:12">
      <c r="A802" s="423" t="s">
        <v>4269</v>
      </c>
      <c r="B802" s="423" t="s">
        <v>406</v>
      </c>
      <c r="C802" s="246">
        <v>397861088</v>
      </c>
      <c r="D802" s="246">
        <v>372259708</v>
      </c>
      <c r="E802" s="246">
        <v>397861088</v>
      </c>
      <c r="F802" s="246">
        <v>372259708</v>
      </c>
      <c r="G802" s="246">
        <v>25601380</v>
      </c>
      <c r="H802" s="246">
        <v>0</v>
      </c>
      <c r="J802" s="669">
        <v>1.43</v>
      </c>
      <c r="K802" s="669">
        <v>5.2999999999999999E-2</v>
      </c>
      <c r="L802" s="669">
        <v>1.4830000000000001</v>
      </c>
    </row>
    <row r="803" spans="1:12">
      <c r="A803" s="423" t="s">
        <v>4270</v>
      </c>
      <c r="B803" s="423" t="s">
        <v>4271</v>
      </c>
      <c r="C803" s="246">
        <v>2138383249</v>
      </c>
      <c r="D803" s="246">
        <v>2032745001</v>
      </c>
      <c r="E803" s="246">
        <v>2138383249</v>
      </c>
      <c r="F803" s="246">
        <v>2032745001</v>
      </c>
      <c r="G803" s="246">
        <v>105638248</v>
      </c>
      <c r="H803" s="246">
        <v>0</v>
      </c>
      <c r="J803" s="669">
        <v>1.4975000000000001</v>
      </c>
      <c r="K803" s="669">
        <v>0.19391</v>
      </c>
      <c r="L803" s="669">
        <v>1.6914100000000001</v>
      </c>
    </row>
    <row r="804" spans="1:12">
      <c r="A804" s="423" t="s">
        <v>4272</v>
      </c>
      <c r="B804" s="423" t="s">
        <v>3193</v>
      </c>
      <c r="C804" s="246">
        <v>801779708</v>
      </c>
      <c r="D804" s="246">
        <v>794845288</v>
      </c>
      <c r="E804" s="246">
        <v>799402498</v>
      </c>
      <c r="F804" s="246">
        <v>792468078</v>
      </c>
      <c r="G804" s="246">
        <v>6934420</v>
      </c>
      <c r="H804" s="246">
        <v>2377210</v>
      </c>
      <c r="J804" s="669">
        <v>1.33</v>
      </c>
      <c r="K804" s="669">
        <v>0.17</v>
      </c>
      <c r="L804" s="669">
        <v>1.5</v>
      </c>
    </row>
    <row r="805" spans="1:12">
      <c r="A805" s="423" t="s">
        <v>4273</v>
      </c>
      <c r="B805" s="423" t="s">
        <v>3194</v>
      </c>
      <c r="C805" s="246">
        <v>157165925</v>
      </c>
      <c r="D805" s="246">
        <v>152039205</v>
      </c>
      <c r="E805" s="246">
        <v>157165925</v>
      </c>
      <c r="F805" s="246">
        <v>152039205</v>
      </c>
      <c r="G805" s="246">
        <v>5126720</v>
      </c>
      <c r="H805" s="246">
        <v>0</v>
      </c>
      <c r="J805" s="669">
        <v>1.39</v>
      </c>
      <c r="K805" s="669">
        <v>0</v>
      </c>
      <c r="L805" s="669">
        <v>1.39</v>
      </c>
    </row>
    <row r="806" spans="1:12">
      <c r="A806" s="423" t="s">
        <v>4274</v>
      </c>
      <c r="B806" s="423" t="s">
        <v>7692</v>
      </c>
      <c r="C806" s="246">
        <v>46485552</v>
      </c>
      <c r="D806" s="246">
        <v>41863302</v>
      </c>
      <c r="E806" s="246">
        <v>46485552</v>
      </c>
      <c r="F806" s="246">
        <v>41863302</v>
      </c>
      <c r="G806" s="246">
        <v>4622250</v>
      </c>
      <c r="H806" s="246">
        <v>0</v>
      </c>
      <c r="J806" s="669">
        <v>1.44</v>
      </c>
      <c r="K806" s="669">
        <v>0</v>
      </c>
      <c r="L806" s="669">
        <v>1.44</v>
      </c>
    </row>
    <row r="807" spans="1:12">
      <c r="A807" s="423" t="s">
        <v>4275</v>
      </c>
      <c r="B807" s="423" t="s">
        <v>364</v>
      </c>
      <c r="C807" s="246">
        <v>120910970</v>
      </c>
      <c r="D807" s="246">
        <v>110034760</v>
      </c>
      <c r="E807" s="246">
        <v>120910970</v>
      </c>
      <c r="F807" s="246">
        <v>110034760</v>
      </c>
      <c r="G807" s="246">
        <v>10876210</v>
      </c>
      <c r="H807" s="246">
        <v>0</v>
      </c>
      <c r="J807" s="669">
        <v>1.2778</v>
      </c>
      <c r="K807" s="669">
        <v>0.23569999999999999</v>
      </c>
      <c r="L807" s="669">
        <v>1.5135000000000001</v>
      </c>
    </row>
    <row r="808" spans="1:12">
      <c r="A808" s="423" t="s">
        <v>4276</v>
      </c>
      <c r="B808" s="423" t="s">
        <v>3195</v>
      </c>
      <c r="C808" s="246">
        <v>205303453</v>
      </c>
      <c r="D808" s="246">
        <v>187900243</v>
      </c>
      <c r="E808" s="246">
        <v>205303453</v>
      </c>
      <c r="F808" s="246">
        <v>187900243</v>
      </c>
      <c r="G808" s="246">
        <v>17403210</v>
      </c>
      <c r="H808" s="246">
        <v>0</v>
      </c>
      <c r="J808" s="669">
        <v>1.3</v>
      </c>
      <c r="K808" s="669">
        <v>0</v>
      </c>
      <c r="L808" s="669">
        <v>1.3</v>
      </c>
    </row>
    <row r="809" spans="1:12">
      <c r="A809" s="423" t="s">
        <v>4277</v>
      </c>
      <c r="B809" s="423" t="s">
        <v>998</v>
      </c>
      <c r="C809" s="246">
        <v>55077713</v>
      </c>
      <c r="D809" s="246">
        <v>49348263</v>
      </c>
      <c r="E809" s="246">
        <v>55077713</v>
      </c>
      <c r="F809" s="246">
        <v>49348263</v>
      </c>
      <c r="G809" s="246">
        <v>5729450</v>
      </c>
      <c r="H809" s="246">
        <v>0</v>
      </c>
      <c r="J809" s="669">
        <v>1.42</v>
      </c>
      <c r="K809" s="669">
        <v>5.04E-2</v>
      </c>
      <c r="L809" s="669">
        <v>1.4703999999999999</v>
      </c>
    </row>
    <row r="810" spans="1:12">
      <c r="A810" s="423" t="s">
        <v>4278</v>
      </c>
      <c r="B810" s="423" t="s">
        <v>3196</v>
      </c>
      <c r="C810" s="246">
        <v>580503360</v>
      </c>
      <c r="D810" s="246">
        <v>560637810</v>
      </c>
      <c r="E810" s="246">
        <v>580503360</v>
      </c>
      <c r="F810" s="246">
        <v>560637810</v>
      </c>
      <c r="G810" s="246">
        <v>19865550</v>
      </c>
      <c r="H810" s="246">
        <v>0</v>
      </c>
      <c r="J810" s="669">
        <v>1.5</v>
      </c>
      <c r="K810" s="669">
        <v>0</v>
      </c>
      <c r="L810" s="669">
        <v>1.5</v>
      </c>
    </row>
    <row r="811" spans="1:12">
      <c r="A811" s="423" t="s">
        <v>4279</v>
      </c>
      <c r="B811" s="423" t="s">
        <v>7694</v>
      </c>
      <c r="C811" s="246">
        <v>26247732</v>
      </c>
      <c r="D811" s="246">
        <v>25253802</v>
      </c>
      <c r="E811" s="246">
        <v>26247732</v>
      </c>
      <c r="F811" s="246">
        <v>25253802</v>
      </c>
      <c r="G811" s="246">
        <v>993930</v>
      </c>
      <c r="H811" s="246">
        <v>0</v>
      </c>
      <c r="J811" s="669">
        <v>1.5</v>
      </c>
      <c r="K811" s="669">
        <v>7.9500000000000001E-2</v>
      </c>
      <c r="L811" s="669">
        <v>1.5794999999999999</v>
      </c>
    </row>
    <row r="812" spans="1:12">
      <c r="A812" s="423" t="s">
        <v>4280</v>
      </c>
      <c r="B812" s="423" t="s">
        <v>3197</v>
      </c>
      <c r="C812" s="246">
        <v>477351707</v>
      </c>
      <c r="D812" s="246">
        <v>475231017</v>
      </c>
      <c r="E812" s="246">
        <v>476743977</v>
      </c>
      <c r="F812" s="246">
        <v>474623287</v>
      </c>
      <c r="G812" s="246">
        <v>2120690</v>
      </c>
      <c r="H812" s="246">
        <v>607730</v>
      </c>
      <c r="J812" s="669">
        <v>1.3583000000000001</v>
      </c>
      <c r="K812" s="669">
        <v>2.3E-2</v>
      </c>
      <c r="L812" s="669">
        <v>1.3813</v>
      </c>
    </row>
    <row r="813" spans="1:12">
      <c r="A813" s="423" t="s">
        <v>4281</v>
      </c>
      <c r="B813" s="423" t="s">
        <v>3198</v>
      </c>
      <c r="C813" s="246">
        <v>108831323</v>
      </c>
      <c r="D813" s="246">
        <v>102201943</v>
      </c>
      <c r="E813" s="246">
        <v>108831323</v>
      </c>
      <c r="F813" s="246">
        <v>102201943</v>
      </c>
      <c r="G813" s="246">
        <v>6629380</v>
      </c>
      <c r="H813" s="246">
        <v>0</v>
      </c>
      <c r="J813" s="669">
        <v>1.5</v>
      </c>
      <c r="K813" s="669">
        <v>0</v>
      </c>
      <c r="L813" s="669">
        <v>1.5</v>
      </c>
    </row>
    <row r="814" spans="1:12">
      <c r="A814" s="423" t="s">
        <v>4282</v>
      </c>
      <c r="B814" s="423" t="s">
        <v>3199</v>
      </c>
      <c r="C814" s="246">
        <v>418880146</v>
      </c>
      <c r="D814" s="246">
        <v>410048411</v>
      </c>
      <c r="E814" s="246">
        <v>418877565</v>
      </c>
      <c r="F814" s="246">
        <v>410045830</v>
      </c>
      <c r="G814" s="246">
        <v>8831735</v>
      </c>
      <c r="H814" s="246">
        <v>2581</v>
      </c>
      <c r="J814" s="669">
        <v>1.46</v>
      </c>
      <c r="K814" s="669">
        <v>0</v>
      </c>
      <c r="L814" s="669">
        <v>1.46</v>
      </c>
    </row>
    <row r="815" spans="1:12">
      <c r="A815" s="423" t="s">
        <v>4283</v>
      </c>
      <c r="B815" s="423" t="s">
        <v>3200</v>
      </c>
      <c r="C815" s="246">
        <v>412178270</v>
      </c>
      <c r="D815" s="246">
        <v>410373639</v>
      </c>
      <c r="E815" s="246">
        <v>411126988</v>
      </c>
      <c r="F815" s="246">
        <v>409322357</v>
      </c>
      <c r="G815" s="246">
        <v>1804631</v>
      </c>
      <c r="H815" s="246">
        <v>1051282</v>
      </c>
      <c r="J815" s="669">
        <v>1.5</v>
      </c>
      <c r="K815" s="669">
        <v>0.03</v>
      </c>
      <c r="L815" s="669">
        <v>1.53</v>
      </c>
    </row>
    <row r="816" spans="1:12">
      <c r="A816" s="423" t="s">
        <v>4284</v>
      </c>
      <c r="B816" s="423" t="s">
        <v>3201</v>
      </c>
      <c r="C816" s="246">
        <v>254037424</v>
      </c>
      <c r="D816" s="246">
        <v>248394104</v>
      </c>
      <c r="E816" s="246">
        <v>254037424</v>
      </c>
      <c r="F816" s="246">
        <v>248394104</v>
      </c>
      <c r="G816" s="246">
        <v>5643320</v>
      </c>
      <c r="H816" s="246">
        <v>0</v>
      </c>
      <c r="J816" s="669">
        <v>1.5</v>
      </c>
      <c r="K816" s="669">
        <v>0.26</v>
      </c>
      <c r="L816" s="669">
        <v>1.76</v>
      </c>
    </row>
    <row r="817" spans="1:12">
      <c r="A817" s="423" t="s">
        <v>4285</v>
      </c>
      <c r="B817" s="423" t="s">
        <v>3202</v>
      </c>
      <c r="C817" s="246">
        <v>50673966</v>
      </c>
      <c r="D817" s="246">
        <v>47168166</v>
      </c>
      <c r="E817" s="246">
        <v>50673966</v>
      </c>
      <c r="F817" s="246">
        <v>47168166</v>
      </c>
      <c r="G817" s="246">
        <v>3505800</v>
      </c>
      <c r="H817" s="246">
        <v>0</v>
      </c>
      <c r="J817" s="669">
        <v>1.4893000000000001</v>
      </c>
      <c r="K817" s="669">
        <v>0</v>
      </c>
      <c r="L817" s="669">
        <v>1.4893000000000001</v>
      </c>
    </row>
    <row r="818" spans="1:12">
      <c r="A818" s="423" t="s">
        <v>4286</v>
      </c>
      <c r="B818" s="423" t="s">
        <v>3203</v>
      </c>
      <c r="C818" s="246">
        <v>695006598</v>
      </c>
      <c r="D818" s="246">
        <v>682117688</v>
      </c>
      <c r="E818" s="246">
        <v>695006598</v>
      </c>
      <c r="F818" s="246">
        <v>682117688</v>
      </c>
      <c r="G818" s="246">
        <v>12888910</v>
      </c>
      <c r="H818" s="246">
        <v>0</v>
      </c>
      <c r="J818" s="669">
        <v>1.3080000000000001</v>
      </c>
      <c r="K818" s="669">
        <v>0.192</v>
      </c>
      <c r="L818" s="669">
        <v>1.5</v>
      </c>
    </row>
    <row r="819" spans="1:12">
      <c r="A819" s="423" t="s">
        <v>4287</v>
      </c>
      <c r="B819" s="423" t="s">
        <v>3204</v>
      </c>
      <c r="C819" s="246">
        <v>280857760</v>
      </c>
      <c r="D819" s="246">
        <v>267269250</v>
      </c>
      <c r="E819" s="246">
        <v>280857760</v>
      </c>
      <c r="F819" s="246">
        <v>267269250</v>
      </c>
      <c r="G819" s="246">
        <v>13588510</v>
      </c>
      <c r="H819" s="246">
        <v>0</v>
      </c>
      <c r="J819" s="669">
        <v>1.5</v>
      </c>
      <c r="K819" s="669">
        <v>0.28000000000000003</v>
      </c>
      <c r="L819" s="669">
        <v>1.78</v>
      </c>
    </row>
    <row r="820" spans="1:12">
      <c r="A820" s="423" t="s">
        <v>4288</v>
      </c>
      <c r="B820" s="423" t="s">
        <v>3205</v>
      </c>
      <c r="C820" s="246">
        <v>44984067</v>
      </c>
      <c r="D820" s="246">
        <v>44700597</v>
      </c>
      <c r="E820" s="246">
        <v>44984067</v>
      </c>
      <c r="F820" s="246">
        <v>44700597</v>
      </c>
      <c r="G820" s="246">
        <v>283470</v>
      </c>
      <c r="H820" s="246">
        <v>0</v>
      </c>
      <c r="J820" s="669">
        <v>1.38</v>
      </c>
      <c r="K820" s="669">
        <v>0</v>
      </c>
      <c r="L820" s="669">
        <v>1.38</v>
      </c>
    </row>
    <row r="821" spans="1:12">
      <c r="A821" s="423" t="s">
        <v>4289</v>
      </c>
      <c r="B821" s="423" t="s">
        <v>3206</v>
      </c>
      <c r="C821" s="246">
        <v>4241910720</v>
      </c>
      <c r="D821" s="246">
        <v>4111339806</v>
      </c>
      <c r="E821" s="246">
        <v>4241910720</v>
      </c>
      <c r="F821" s="246">
        <v>4111339806</v>
      </c>
      <c r="G821" s="246">
        <v>130570914</v>
      </c>
      <c r="H821" s="246">
        <v>0</v>
      </c>
      <c r="J821" s="669">
        <v>1.5</v>
      </c>
      <c r="K821" s="669">
        <v>0.38</v>
      </c>
      <c r="L821" s="669">
        <v>1.88</v>
      </c>
    </row>
    <row r="822" spans="1:12">
      <c r="A822" s="423" t="s">
        <v>4290</v>
      </c>
      <c r="B822" s="423" t="s">
        <v>373</v>
      </c>
      <c r="C822" s="246">
        <v>626909144</v>
      </c>
      <c r="D822" s="246">
        <v>598906094</v>
      </c>
      <c r="E822" s="246">
        <v>626909144</v>
      </c>
      <c r="F822" s="246">
        <v>598906094</v>
      </c>
      <c r="G822" s="246">
        <v>28003050</v>
      </c>
      <c r="H822" s="246">
        <v>0</v>
      </c>
      <c r="J822" s="669">
        <v>1.395</v>
      </c>
      <c r="K822" s="669">
        <v>0.35199999999999998</v>
      </c>
      <c r="L822" s="669">
        <v>1.7470000000000001</v>
      </c>
    </row>
    <row r="823" spans="1:12">
      <c r="A823" s="423" t="s">
        <v>4291</v>
      </c>
      <c r="B823" s="423" t="s">
        <v>3207</v>
      </c>
      <c r="C823" s="246">
        <v>177411962</v>
      </c>
      <c r="D823" s="246">
        <v>163144326</v>
      </c>
      <c r="E823" s="246">
        <v>177411962</v>
      </c>
      <c r="F823" s="246">
        <v>163144326</v>
      </c>
      <c r="G823" s="246">
        <v>14267636</v>
      </c>
      <c r="H823" s="246">
        <v>0</v>
      </c>
      <c r="J823" s="669">
        <v>1.5</v>
      </c>
      <c r="K823" s="669">
        <v>7.0000000000000007E-2</v>
      </c>
      <c r="L823" s="669">
        <v>1.57</v>
      </c>
    </row>
    <row r="824" spans="1:12">
      <c r="A824" s="423" t="s">
        <v>4292</v>
      </c>
      <c r="B824" s="423" t="s">
        <v>498</v>
      </c>
      <c r="C824" s="246">
        <v>43484790</v>
      </c>
      <c r="D824" s="246">
        <v>39377882</v>
      </c>
      <c r="E824" s="246">
        <v>43484790</v>
      </c>
      <c r="F824" s="246">
        <v>39377882</v>
      </c>
      <c r="G824" s="246">
        <v>4106908</v>
      </c>
      <c r="H824" s="246">
        <v>0</v>
      </c>
      <c r="J824" s="669">
        <v>1.5</v>
      </c>
      <c r="K824" s="669">
        <v>6.3100000000000003E-2</v>
      </c>
      <c r="L824" s="669">
        <v>1.5630999999999999</v>
      </c>
    </row>
    <row r="825" spans="1:12">
      <c r="A825" s="423" t="s">
        <v>4293</v>
      </c>
      <c r="B825" s="423" t="s">
        <v>4294</v>
      </c>
      <c r="C825" s="246">
        <v>114900239</v>
      </c>
      <c r="D825" s="246">
        <v>105910702</v>
      </c>
      <c r="E825" s="246">
        <v>114900239</v>
      </c>
      <c r="F825" s="246">
        <v>105910702</v>
      </c>
      <c r="G825" s="246">
        <v>8989537</v>
      </c>
      <c r="H825" s="246">
        <v>0</v>
      </c>
      <c r="J825" s="669">
        <v>1.45</v>
      </c>
      <c r="K825" s="669">
        <v>7.0000000000000007E-2</v>
      </c>
      <c r="L825" s="669">
        <v>1.52</v>
      </c>
    </row>
    <row r="826" spans="1:12">
      <c r="A826" s="423" t="s">
        <v>4295</v>
      </c>
      <c r="B826" s="423" t="s">
        <v>3834</v>
      </c>
      <c r="C826" s="246">
        <v>3254642</v>
      </c>
      <c r="D826" s="246">
        <v>2930105</v>
      </c>
      <c r="E826" s="246">
        <v>3254642</v>
      </c>
      <c r="F826" s="246">
        <v>2930105</v>
      </c>
      <c r="G826" s="246">
        <v>324537</v>
      </c>
      <c r="H826" s="246">
        <v>0</v>
      </c>
      <c r="J826" s="669">
        <v>1.5</v>
      </c>
      <c r="K826" s="669">
        <v>7.9899999999999999E-2</v>
      </c>
      <c r="L826" s="669">
        <v>1.5799000000000001</v>
      </c>
    </row>
    <row r="827" spans="1:12">
      <c r="A827" s="423" t="s">
        <v>4296</v>
      </c>
      <c r="B827" s="423" t="s">
        <v>3208</v>
      </c>
      <c r="C827" s="246">
        <v>1142641857</v>
      </c>
      <c r="D827" s="246">
        <v>1093561707</v>
      </c>
      <c r="E827" s="246">
        <v>1108529427</v>
      </c>
      <c r="F827" s="246">
        <v>1059449277</v>
      </c>
      <c r="G827" s="246">
        <v>49080150</v>
      </c>
      <c r="H827" s="246">
        <v>34112430</v>
      </c>
      <c r="J827" s="669">
        <v>1.5</v>
      </c>
      <c r="K827" s="669">
        <v>0.1</v>
      </c>
      <c r="L827" s="669">
        <v>1.6</v>
      </c>
    </row>
    <row r="828" spans="1:12">
      <c r="A828" s="423" t="s">
        <v>4297</v>
      </c>
      <c r="B828" s="423" t="s">
        <v>3209</v>
      </c>
      <c r="C828" s="246">
        <v>53187563</v>
      </c>
      <c r="D828" s="246">
        <v>48610173</v>
      </c>
      <c r="E828" s="246">
        <v>50935483</v>
      </c>
      <c r="F828" s="246">
        <v>46358093</v>
      </c>
      <c r="G828" s="246">
        <v>4577390</v>
      </c>
      <c r="H828" s="246">
        <v>2252080</v>
      </c>
      <c r="J828" s="669">
        <v>1.5</v>
      </c>
      <c r="K828" s="669">
        <v>0</v>
      </c>
      <c r="L828" s="669">
        <v>1.5</v>
      </c>
    </row>
    <row r="829" spans="1:12">
      <c r="A829" s="423" t="s">
        <v>4298</v>
      </c>
      <c r="B829" s="423" t="s">
        <v>3210</v>
      </c>
      <c r="C829" s="246">
        <v>27616701</v>
      </c>
      <c r="D829" s="246">
        <v>25748471</v>
      </c>
      <c r="E829" s="246">
        <v>26880211</v>
      </c>
      <c r="F829" s="246">
        <v>25011981</v>
      </c>
      <c r="G829" s="246">
        <v>1868230</v>
      </c>
      <c r="H829" s="246">
        <v>736490</v>
      </c>
      <c r="J829" s="669">
        <v>1.5</v>
      </c>
      <c r="K829" s="669">
        <v>0.1227</v>
      </c>
      <c r="L829" s="669">
        <v>1.6227</v>
      </c>
    </row>
    <row r="830" spans="1:12">
      <c r="A830" s="423" t="s">
        <v>4299</v>
      </c>
      <c r="B830" s="423" t="s">
        <v>327</v>
      </c>
      <c r="C830" s="246">
        <v>45372867</v>
      </c>
      <c r="D830" s="246">
        <v>40895857</v>
      </c>
      <c r="E830" s="246">
        <v>43247792</v>
      </c>
      <c r="F830" s="246">
        <v>38770782</v>
      </c>
      <c r="G830" s="246">
        <v>4477010</v>
      </c>
      <c r="H830" s="246">
        <v>2125075</v>
      </c>
      <c r="J830" s="669">
        <v>1.5</v>
      </c>
      <c r="K830" s="669">
        <v>0</v>
      </c>
      <c r="L830" s="669">
        <v>1.5</v>
      </c>
    </row>
    <row r="831" spans="1:12">
      <c r="A831" s="423" t="s">
        <v>4300</v>
      </c>
      <c r="B831" s="423" t="s">
        <v>3627</v>
      </c>
      <c r="C831" s="246">
        <v>60302882</v>
      </c>
      <c r="D831" s="246">
        <v>54283302</v>
      </c>
      <c r="E831" s="246">
        <v>57270707</v>
      </c>
      <c r="F831" s="246">
        <v>51251127</v>
      </c>
      <c r="G831" s="246">
        <v>6019580</v>
      </c>
      <c r="H831" s="246">
        <v>3032175</v>
      </c>
      <c r="J831" s="669">
        <v>1.5</v>
      </c>
      <c r="K831" s="669">
        <v>0.08</v>
      </c>
      <c r="L831" s="669">
        <v>1.58</v>
      </c>
    </row>
    <row r="832" spans="1:12">
      <c r="A832" s="423" t="s">
        <v>4301</v>
      </c>
      <c r="B832" s="423" t="s">
        <v>3211</v>
      </c>
      <c r="C832" s="246">
        <v>1489836442</v>
      </c>
      <c r="D832" s="246">
        <v>1475685832</v>
      </c>
      <c r="E832" s="246">
        <v>1480884687</v>
      </c>
      <c r="F832" s="246">
        <v>1466734077</v>
      </c>
      <c r="G832" s="246">
        <v>14150610</v>
      </c>
      <c r="H832" s="246">
        <v>8951755</v>
      </c>
      <c r="J832" s="669">
        <v>1.33</v>
      </c>
      <c r="K832" s="669">
        <v>0.2384</v>
      </c>
      <c r="L832" s="669">
        <v>1.5684</v>
      </c>
    </row>
    <row r="833" spans="1:12">
      <c r="A833" s="423" t="s">
        <v>4302</v>
      </c>
      <c r="B833" s="423" t="s">
        <v>6100</v>
      </c>
      <c r="C833" s="246">
        <v>63375561</v>
      </c>
      <c r="D833" s="246">
        <v>58701551</v>
      </c>
      <c r="E833" s="246">
        <v>60996221</v>
      </c>
      <c r="F833" s="246">
        <v>56322211</v>
      </c>
      <c r="G833" s="246">
        <v>4674010</v>
      </c>
      <c r="H833" s="246">
        <v>2379340</v>
      </c>
      <c r="J833" s="669">
        <v>1.5</v>
      </c>
      <c r="K833" s="669">
        <v>4.9200000000000001E-2</v>
      </c>
      <c r="L833" s="669">
        <v>1.5491999999999999</v>
      </c>
    </row>
    <row r="834" spans="1:12">
      <c r="A834" s="423" t="s">
        <v>4303</v>
      </c>
      <c r="B834" s="423" t="s">
        <v>3212</v>
      </c>
      <c r="C834" s="246">
        <v>290113933</v>
      </c>
      <c r="D834" s="246">
        <v>277291973</v>
      </c>
      <c r="E834" s="246">
        <v>283527388</v>
      </c>
      <c r="F834" s="246">
        <v>270705428</v>
      </c>
      <c r="G834" s="246">
        <v>12821960</v>
      </c>
      <c r="H834" s="246">
        <v>6586545</v>
      </c>
      <c r="J834" s="669">
        <v>1.5</v>
      </c>
      <c r="K834" s="669">
        <v>0.219</v>
      </c>
      <c r="L834" s="669">
        <v>1.7190000000000001</v>
      </c>
    </row>
    <row r="835" spans="1:12">
      <c r="A835" s="423" t="s">
        <v>4304</v>
      </c>
      <c r="B835" s="423" t="s">
        <v>3213</v>
      </c>
      <c r="C835" s="246">
        <v>272084852</v>
      </c>
      <c r="D835" s="246">
        <v>248537056</v>
      </c>
      <c r="E835" s="246">
        <v>272084852</v>
      </c>
      <c r="F835" s="246">
        <v>248537056</v>
      </c>
      <c r="G835" s="246">
        <v>23547796</v>
      </c>
      <c r="H835" s="246">
        <v>0</v>
      </c>
      <c r="J835" s="669">
        <v>1.38266</v>
      </c>
      <c r="K835" s="669">
        <v>0</v>
      </c>
      <c r="L835" s="669">
        <v>1.38266</v>
      </c>
    </row>
    <row r="836" spans="1:12">
      <c r="A836" s="423" t="s">
        <v>4305</v>
      </c>
      <c r="B836" s="423" t="s">
        <v>3214</v>
      </c>
      <c r="C836" s="246">
        <v>97754874</v>
      </c>
      <c r="D836" s="246">
        <v>90894202</v>
      </c>
      <c r="E836" s="246">
        <v>95607311</v>
      </c>
      <c r="F836" s="246">
        <v>88746639</v>
      </c>
      <c r="G836" s="246">
        <v>6860672</v>
      </c>
      <c r="H836" s="246">
        <v>2147563</v>
      </c>
      <c r="J836" s="669">
        <v>1.35</v>
      </c>
      <c r="K836" s="669">
        <v>0</v>
      </c>
      <c r="L836" s="669">
        <v>1.35</v>
      </c>
    </row>
    <row r="837" spans="1:12">
      <c r="A837" s="423" t="s">
        <v>4306</v>
      </c>
      <c r="B837" s="423" t="s">
        <v>3215</v>
      </c>
      <c r="C837" s="246">
        <v>136598080</v>
      </c>
      <c r="D837" s="246">
        <v>123828280</v>
      </c>
      <c r="E837" s="246">
        <v>136598080</v>
      </c>
      <c r="F837" s="246">
        <v>123828280</v>
      </c>
      <c r="G837" s="246">
        <v>12769800</v>
      </c>
      <c r="H837" s="246">
        <v>0</v>
      </c>
      <c r="J837" s="669">
        <v>1.5</v>
      </c>
      <c r="K837" s="669">
        <v>0</v>
      </c>
      <c r="L837" s="669">
        <v>1.5</v>
      </c>
    </row>
    <row r="838" spans="1:12">
      <c r="A838" s="423" t="s">
        <v>4307</v>
      </c>
      <c r="B838" s="423" t="s">
        <v>3216</v>
      </c>
      <c r="C838" s="246">
        <v>67140002</v>
      </c>
      <c r="D838" s="246">
        <v>59779602</v>
      </c>
      <c r="E838" s="246">
        <v>65190402</v>
      </c>
      <c r="F838" s="246">
        <v>57830002</v>
      </c>
      <c r="G838" s="246">
        <v>7360400</v>
      </c>
      <c r="H838" s="246">
        <v>1949600</v>
      </c>
      <c r="J838" s="669">
        <v>1.5</v>
      </c>
      <c r="K838" s="669">
        <v>0</v>
      </c>
      <c r="L838" s="669">
        <v>1.5</v>
      </c>
    </row>
    <row r="839" spans="1:12">
      <c r="A839" s="423" t="s">
        <v>4308</v>
      </c>
      <c r="B839" s="423" t="s">
        <v>4309</v>
      </c>
      <c r="C839" s="246">
        <v>633057038</v>
      </c>
      <c r="D839" s="246">
        <v>595226822</v>
      </c>
      <c r="E839" s="246">
        <v>633057038</v>
      </c>
      <c r="F839" s="246">
        <v>595226822</v>
      </c>
      <c r="G839" s="246">
        <v>37830216</v>
      </c>
      <c r="H839" s="246">
        <v>0</v>
      </c>
      <c r="J839" s="669">
        <v>1.47</v>
      </c>
      <c r="K839" s="669">
        <v>8.5800000000000001E-2</v>
      </c>
      <c r="L839" s="669">
        <v>1.5558000000000001</v>
      </c>
    </row>
    <row r="840" spans="1:12">
      <c r="A840" s="423" t="s">
        <v>4310</v>
      </c>
      <c r="B840" s="423" t="s">
        <v>3596</v>
      </c>
      <c r="C840" s="246">
        <v>219168941</v>
      </c>
      <c r="D840" s="246">
        <v>200596268</v>
      </c>
      <c r="E840" s="246">
        <v>210339530</v>
      </c>
      <c r="F840" s="246">
        <v>191766857</v>
      </c>
      <c r="G840" s="246">
        <v>18572673</v>
      </c>
      <c r="H840" s="246">
        <v>8829411</v>
      </c>
      <c r="J840" s="669">
        <v>1.42</v>
      </c>
      <c r="K840" s="669">
        <v>0.08</v>
      </c>
      <c r="L840" s="669">
        <v>1.5</v>
      </c>
    </row>
    <row r="841" spans="1:12">
      <c r="A841" s="423" t="s">
        <v>4311</v>
      </c>
      <c r="B841" s="423" t="s">
        <v>7687</v>
      </c>
      <c r="C841" s="246">
        <v>485269454</v>
      </c>
      <c r="D841" s="246">
        <v>465517833</v>
      </c>
      <c r="E841" s="246">
        <v>485269454</v>
      </c>
      <c r="F841" s="246">
        <v>465517833</v>
      </c>
      <c r="G841" s="246">
        <v>19751621</v>
      </c>
      <c r="H841" s="246">
        <v>0</v>
      </c>
      <c r="J841" s="669">
        <v>1.4864999999999999</v>
      </c>
      <c r="K841" s="669">
        <v>9.0249999999999997E-2</v>
      </c>
      <c r="L841" s="669">
        <v>1.5767500000000001</v>
      </c>
    </row>
    <row r="842" spans="1:12">
      <c r="A842" s="423" t="s">
        <v>4312</v>
      </c>
      <c r="B842" s="423" t="s">
        <v>3597</v>
      </c>
      <c r="C842" s="246">
        <v>839595502</v>
      </c>
      <c r="D842" s="246">
        <v>802839223</v>
      </c>
      <c r="E842" s="246">
        <v>839595502</v>
      </c>
      <c r="F842" s="246">
        <v>802839223</v>
      </c>
      <c r="G842" s="246">
        <v>36756279</v>
      </c>
      <c r="H842" s="246">
        <v>0</v>
      </c>
      <c r="J842" s="669">
        <v>1.5</v>
      </c>
      <c r="K842" s="669">
        <v>0.24</v>
      </c>
      <c r="L842" s="669">
        <v>1.74</v>
      </c>
    </row>
    <row r="843" spans="1:12">
      <c r="A843" s="423" t="s">
        <v>4313</v>
      </c>
      <c r="B843" s="423" t="s">
        <v>3598</v>
      </c>
      <c r="C843" s="246">
        <v>982923932</v>
      </c>
      <c r="D843" s="246">
        <v>963471196</v>
      </c>
      <c r="E843" s="246">
        <v>966050019</v>
      </c>
      <c r="F843" s="246">
        <v>946597283</v>
      </c>
      <c r="G843" s="246">
        <v>19452736</v>
      </c>
      <c r="H843" s="246">
        <v>16873913</v>
      </c>
      <c r="J843" s="669">
        <v>1.5</v>
      </c>
      <c r="K843" s="669">
        <v>0.12877</v>
      </c>
      <c r="L843" s="669">
        <v>1.6287700000000001</v>
      </c>
    </row>
    <row r="844" spans="1:12">
      <c r="A844" s="423" t="s">
        <v>4314</v>
      </c>
      <c r="B844" s="423" t="s">
        <v>6069</v>
      </c>
      <c r="C844" s="246">
        <v>206821949</v>
      </c>
      <c r="D844" s="246">
        <v>187946780</v>
      </c>
      <c r="E844" s="246">
        <v>206821949</v>
      </c>
      <c r="F844" s="246">
        <v>187946780</v>
      </c>
      <c r="G844" s="246">
        <v>18875169</v>
      </c>
      <c r="H844" s="246">
        <v>0</v>
      </c>
      <c r="J844" s="669">
        <v>1.5</v>
      </c>
      <c r="K844" s="669">
        <v>8.43E-2</v>
      </c>
      <c r="L844" s="669">
        <v>1.5843</v>
      </c>
    </row>
    <row r="845" spans="1:12">
      <c r="A845" s="423" t="s">
        <v>4315</v>
      </c>
      <c r="B845" s="423" t="s">
        <v>3832</v>
      </c>
      <c r="C845" s="246">
        <v>170533590</v>
      </c>
      <c r="D845" s="246">
        <v>160744329</v>
      </c>
      <c r="E845" s="246">
        <v>170533590</v>
      </c>
      <c r="F845" s="246">
        <v>160744329</v>
      </c>
      <c r="G845" s="246">
        <v>9789261</v>
      </c>
      <c r="H845" s="246">
        <v>0</v>
      </c>
      <c r="J845" s="669">
        <v>1.5</v>
      </c>
      <c r="K845" s="669">
        <v>0.1103</v>
      </c>
      <c r="L845" s="669">
        <v>1.6103000000000001</v>
      </c>
    </row>
    <row r="846" spans="1:12">
      <c r="A846" s="423" t="s">
        <v>4316</v>
      </c>
      <c r="B846" s="423" t="s">
        <v>1468</v>
      </c>
      <c r="C846" s="246">
        <v>267962611</v>
      </c>
      <c r="D846" s="246">
        <v>250517768</v>
      </c>
      <c r="E846" s="246">
        <v>267962611</v>
      </c>
      <c r="F846" s="246">
        <v>250517768</v>
      </c>
      <c r="G846" s="246">
        <v>17444843</v>
      </c>
      <c r="H846" s="246">
        <v>0</v>
      </c>
      <c r="J846" s="669">
        <v>1.5</v>
      </c>
      <c r="K846" s="669">
        <v>7.0000000000000007E-2</v>
      </c>
      <c r="L846" s="669">
        <v>1.57</v>
      </c>
    </row>
    <row r="847" spans="1:12">
      <c r="A847" s="423" t="s">
        <v>4317</v>
      </c>
      <c r="B847" s="423" t="s">
        <v>5362</v>
      </c>
      <c r="C847" s="246">
        <v>269538787</v>
      </c>
      <c r="D847" s="246">
        <v>259436608</v>
      </c>
      <c r="E847" s="246">
        <v>269538787</v>
      </c>
      <c r="F847" s="246">
        <v>259436608</v>
      </c>
      <c r="G847" s="246">
        <v>10102179</v>
      </c>
      <c r="H847" s="246">
        <v>0</v>
      </c>
      <c r="J847" s="669">
        <v>1.5</v>
      </c>
      <c r="K847" s="669">
        <v>7.6100000000000001E-2</v>
      </c>
      <c r="L847" s="669">
        <v>1.5761000000000001</v>
      </c>
    </row>
    <row r="848" spans="1:12">
      <c r="A848" s="423" t="s">
        <v>4318</v>
      </c>
      <c r="B848" s="423" t="s">
        <v>1455</v>
      </c>
      <c r="C848" s="246">
        <v>140147350</v>
      </c>
      <c r="D848" s="246">
        <v>130125630</v>
      </c>
      <c r="E848" s="246">
        <v>140147350</v>
      </c>
      <c r="F848" s="246">
        <v>130125630</v>
      </c>
      <c r="G848" s="246">
        <v>10021720</v>
      </c>
      <c r="H848" s="246">
        <v>0</v>
      </c>
      <c r="J848" s="669">
        <v>1.46</v>
      </c>
      <c r="K848" s="669">
        <v>0.09</v>
      </c>
      <c r="L848" s="669">
        <v>1.55</v>
      </c>
    </row>
    <row r="849" spans="1:12">
      <c r="A849" s="423" t="s">
        <v>4319</v>
      </c>
      <c r="B849" s="423" t="s">
        <v>3599</v>
      </c>
      <c r="C849" s="246">
        <v>42586990</v>
      </c>
      <c r="D849" s="246">
        <v>40133170</v>
      </c>
      <c r="E849" s="246">
        <v>42586990</v>
      </c>
      <c r="F849" s="246">
        <v>40133170</v>
      </c>
      <c r="G849" s="246">
        <v>2453820</v>
      </c>
      <c r="H849" s="246">
        <v>0</v>
      </c>
      <c r="J849" s="669">
        <v>1.5</v>
      </c>
      <c r="K849" s="669">
        <v>0</v>
      </c>
      <c r="L849" s="669">
        <v>1.5</v>
      </c>
    </row>
    <row r="850" spans="1:12">
      <c r="A850" s="423" t="s">
        <v>4320</v>
      </c>
      <c r="B850" s="423" t="s">
        <v>1840</v>
      </c>
      <c r="C850" s="246">
        <v>33090715</v>
      </c>
      <c r="D850" s="246">
        <v>31701892</v>
      </c>
      <c r="E850" s="246">
        <v>33090715</v>
      </c>
      <c r="F850" s="246">
        <v>31701892</v>
      </c>
      <c r="G850" s="246">
        <v>1388823</v>
      </c>
      <c r="H850" s="246">
        <v>0</v>
      </c>
      <c r="J850" s="669">
        <v>1.5</v>
      </c>
      <c r="K850" s="669">
        <v>0</v>
      </c>
      <c r="L850" s="669">
        <v>1.5</v>
      </c>
    </row>
    <row r="851" spans="1:12">
      <c r="A851" s="423" t="s">
        <v>4321</v>
      </c>
      <c r="B851" s="423" t="s">
        <v>1841</v>
      </c>
      <c r="C851" s="246">
        <v>265449885</v>
      </c>
      <c r="D851" s="246">
        <v>259570835</v>
      </c>
      <c r="E851" s="246">
        <v>263643222</v>
      </c>
      <c r="F851" s="246">
        <v>257764172</v>
      </c>
      <c r="G851" s="246">
        <v>5879050</v>
      </c>
      <c r="H851" s="246">
        <v>1806663</v>
      </c>
      <c r="J851" s="669">
        <v>1.5</v>
      </c>
      <c r="K851" s="669">
        <v>0</v>
      </c>
      <c r="L851" s="669">
        <v>1.5</v>
      </c>
    </row>
    <row r="852" spans="1:12">
      <c r="A852" s="423" t="s">
        <v>4322</v>
      </c>
      <c r="B852" s="423" t="s">
        <v>1842</v>
      </c>
      <c r="C852" s="246">
        <v>34778641</v>
      </c>
      <c r="D852" s="246">
        <v>32673909</v>
      </c>
      <c r="E852" s="246">
        <v>34778641</v>
      </c>
      <c r="F852" s="246">
        <v>32673909</v>
      </c>
      <c r="G852" s="246">
        <v>2104732</v>
      </c>
      <c r="H852" s="246">
        <v>0</v>
      </c>
      <c r="J852" s="669">
        <v>1.5</v>
      </c>
      <c r="K852" s="669">
        <v>0</v>
      </c>
      <c r="L852" s="669">
        <v>1.5</v>
      </c>
    </row>
    <row r="853" spans="1:12">
      <c r="A853" s="423" t="s">
        <v>4323</v>
      </c>
      <c r="B853" s="423" t="s">
        <v>0</v>
      </c>
      <c r="C853" s="246">
        <v>1661174423</v>
      </c>
      <c r="D853" s="246">
        <v>1628450179</v>
      </c>
      <c r="E853" s="246">
        <v>1661174423</v>
      </c>
      <c r="F853" s="246">
        <v>1628450179</v>
      </c>
      <c r="G853" s="246">
        <v>32724244</v>
      </c>
      <c r="H853" s="246">
        <v>0</v>
      </c>
      <c r="J853" s="669">
        <v>1.5</v>
      </c>
      <c r="K853" s="669">
        <v>0.11070000000000001</v>
      </c>
      <c r="L853" s="669">
        <v>1.6107</v>
      </c>
    </row>
    <row r="854" spans="1:12">
      <c r="A854" s="423" t="s">
        <v>4324</v>
      </c>
      <c r="B854" s="423" t="s">
        <v>1</v>
      </c>
      <c r="C854" s="246">
        <v>113886955</v>
      </c>
      <c r="D854" s="246">
        <v>112218400</v>
      </c>
      <c r="E854" s="246">
        <v>113886955</v>
      </c>
      <c r="F854" s="246">
        <v>112218400</v>
      </c>
      <c r="G854" s="246">
        <v>1668555</v>
      </c>
      <c r="H854" s="246">
        <v>0</v>
      </c>
      <c r="J854" s="669">
        <v>1.5</v>
      </c>
      <c r="K854" s="669">
        <v>0</v>
      </c>
      <c r="L854" s="669">
        <v>1.5</v>
      </c>
    </row>
    <row r="855" spans="1:12">
      <c r="A855" s="423" t="s">
        <v>4325</v>
      </c>
      <c r="B855" s="423" t="s">
        <v>2</v>
      </c>
      <c r="C855" s="246">
        <v>157712462</v>
      </c>
      <c r="D855" s="246">
        <v>150884026</v>
      </c>
      <c r="E855" s="246">
        <v>157712462</v>
      </c>
      <c r="F855" s="246">
        <v>150884026</v>
      </c>
      <c r="G855" s="246">
        <v>6828436</v>
      </c>
      <c r="H855" s="246">
        <v>0</v>
      </c>
      <c r="J855" s="669">
        <v>1.2817000000000001</v>
      </c>
      <c r="K855" s="669">
        <v>0.12470000000000001</v>
      </c>
      <c r="L855" s="669">
        <v>1.4064000000000001</v>
      </c>
    </row>
    <row r="856" spans="1:12">
      <c r="A856" s="423" t="s">
        <v>4326</v>
      </c>
      <c r="B856" s="423" t="s">
        <v>3</v>
      </c>
      <c r="C856" s="246">
        <v>34794851</v>
      </c>
      <c r="D856" s="246">
        <v>33722541</v>
      </c>
      <c r="E856" s="246">
        <v>34794851</v>
      </c>
      <c r="F856" s="246">
        <v>33722541</v>
      </c>
      <c r="G856" s="246">
        <v>1072310</v>
      </c>
      <c r="H856" s="246">
        <v>0</v>
      </c>
      <c r="J856" s="669">
        <v>1.4291</v>
      </c>
      <c r="K856" s="669">
        <v>0</v>
      </c>
      <c r="L856" s="669">
        <v>1.4291</v>
      </c>
    </row>
    <row r="857" spans="1:12">
      <c r="A857" s="423" t="s">
        <v>4327</v>
      </c>
      <c r="B857" s="423" t="s">
        <v>4</v>
      </c>
      <c r="C857" s="246">
        <v>352510079</v>
      </c>
      <c r="D857" s="246">
        <v>327652606</v>
      </c>
      <c r="E857" s="246">
        <v>339754973</v>
      </c>
      <c r="F857" s="246">
        <v>314897500</v>
      </c>
      <c r="G857" s="246">
        <v>24857473</v>
      </c>
      <c r="H857" s="246">
        <v>12755106</v>
      </c>
      <c r="J857" s="669">
        <v>1.5</v>
      </c>
      <c r="K857" s="669">
        <v>0.13730000000000001</v>
      </c>
      <c r="L857" s="669">
        <v>1.6373</v>
      </c>
    </row>
    <row r="858" spans="1:12">
      <c r="A858" s="423" t="s">
        <v>4328</v>
      </c>
      <c r="B858" s="423" t="s">
        <v>5</v>
      </c>
      <c r="C858" s="246">
        <v>227678375</v>
      </c>
      <c r="D858" s="246">
        <v>218369375</v>
      </c>
      <c r="E858" s="246">
        <v>223777564</v>
      </c>
      <c r="F858" s="246">
        <v>214468564</v>
      </c>
      <c r="G858" s="246">
        <v>9309000</v>
      </c>
      <c r="H858" s="246">
        <v>3900811</v>
      </c>
      <c r="J858" s="669">
        <v>1.4</v>
      </c>
      <c r="K858" s="669">
        <v>7.6200000000000004E-2</v>
      </c>
      <c r="L858" s="669">
        <v>1.4762</v>
      </c>
    </row>
    <row r="859" spans="1:12">
      <c r="A859" s="423" t="s">
        <v>4329</v>
      </c>
      <c r="B859" s="423" t="s">
        <v>1465</v>
      </c>
      <c r="C859" s="246">
        <v>193255440</v>
      </c>
      <c r="D859" s="246">
        <v>184241900</v>
      </c>
      <c r="E859" s="246">
        <v>193255440</v>
      </c>
      <c r="F859" s="246">
        <v>184241900</v>
      </c>
      <c r="G859" s="246">
        <v>9013540</v>
      </c>
      <c r="H859" s="246">
        <v>0</v>
      </c>
      <c r="J859" s="669">
        <v>1.3277000000000001</v>
      </c>
      <c r="K859" s="669">
        <v>8.4199999999999997E-2</v>
      </c>
      <c r="L859" s="669">
        <v>1.4118999999999999</v>
      </c>
    </row>
    <row r="860" spans="1:12">
      <c r="A860" s="423" t="s">
        <v>4330</v>
      </c>
      <c r="B860" s="423" t="s">
        <v>6</v>
      </c>
      <c r="C860" s="246">
        <v>61743727</v>
      </c>
      <c r="D860" s="246">
        <v>56779363</v>
      </c>
      <c r="E860" s="246">
        <v>61743727</v>
      </c>
      <c r="F860" s="246">
        <v>56779363</v>
      </c>
      <c r="G860" s="246">
        <v>4964364</v>
      </c>
      <c r="H860" s="246">
        <v>0</v>
      </c>
      <c r="J860" s="669">
        <v>1.5</v>
      </c>
      <c r="K860" s="669">
        <v>0</v>
      </c>
      <c r="L860" s="669">
        <v>1.5</v>
      </c>
    </row>
    <row r="861" spans="1:12">
      <c r="A861" s="423" t="s">
        <v>4331</v>
      </c>
      <c r="B861" s="423" t="s">
        <v>7</v>
      </c>
      <c r="C861" s="246">
        <v>130863821</v>
      </c>
      <c r="D861" s="246">
        <v>121746867</v>
      </c>
      <c r="E861" s="246">
        <v>127046973</v>
      </c>
      <c r="F861" s="246">
        <v>117930019</v>
      </c>
      <c r="G861" s="246">
        <v>9116954</v>
      </c>
      <c r="H861" s="246">
        <v>3816848</v>
      </c>
      <c r="J861" s="669">
        <v>1.5</v>
      </c>
      <c r="K861" s="669">
        <v>0.09</v>
      </c>
      <c r="L861" s="669">
        <v>1.59</v>
      </c>
    </row>
    <row r="862" spans="1:12">
      <c r="A862" s="423" t="s">
        <v>4332</v>
      </c>
      <c r="B862" s="423" t="s">
        <v>8</v>
      </c>
      <c r="C862" s="246">
        <v>12451065</v>
      </c>
      <c r="D862" s="246">
        <v>11142765</v>
      </c>
      <c r="E862" s="246">
        <v>11919523</v>
      </c>
      <c r="F862" s="246">
        <v>10611223</v>
      </c>
      <c r="G862" s="246">
        <v>1308300</v>
      </c>
      <c r="H862" s="246">
        <v>531542</v>
      </c>
      <c r="J862" s="669">
        <v>1.5</v>
      </c>
      <c r="K862" s="669">
        <v>0</v>
      </c>
      <c r="L862" s="669">
        <v>1.5</v>
      </c>
    </row>
    <row r="863" spans="1:12">
      <c r="A863" s="423" t="s">
        <v>4333</v>
      </c>
      <c r="B863" s="423" t="s">
        <v>9</v>
      </c>
      <c r="C863" s="246">
        <v>108432635</v>
      </c>
      <c r="D863" s="246">
        <v>107258115</v>
      </c>
      <c r="E863" s="246">
        <v>108432635</v>
      </c>
      <c r="F863" s="246">
        <v>107258115</v>
      </c>
      <c r="G863" s="246">
        <v>1174520</v>
      </c>
      <c r="H863" s="246">
        <v>0</v>
      </c>
      <c r="J863" s="669">
        <v>1.41137</v>
      </c>
      <c r="K863" s="669">
        <v>0</v>
      </c>
      <c r="L863" s="669">
        <v>1.41137</v>
      </c>
    </row>
    <row r="864" spans="1:12">
      <c r="A864" s="423" t="s">
        <v>4334</v>
      </c>
      <c r="B864" s="423" t="s">
        <v>10</v>
      </c>
      <c r="C864" s="246">
        <v>357678931</v>
      </c>
      <c r="D864" s="246">
        <v>352148383</v>
      </c>
      <c r="E864" s="246">
        <v>357678931</v>
      </c>
      <c r="F864" s="246">
        <v>352148383</v>
      </c>
      <c r="G864" s="246">
        <v>5530548</v>
      </c>
      <c r="H864" s="246">
        <v>0</v>
      </c>
      <c r="J864" s="669">
        <v>1.42</v>
      </c>
      <c r="K864" s="669">
        <v>6.5030000000000004E-2</v>
      </c>
      <c r="L864" s="669">
        <v>1.4850300000000001</v>
      </c>
    </row>
    <row r="865" spans="1:12">
      <c r="A865" s="423" t="s">
        <v>4335</v>
      </c>
      <c r="B865" s="423" t="s">
        <v>7689</v>
      </c>
      <c r="C865" s="246">
        <v>327749234</v>
      </c>
      <c r="D865" s="246">
        <v>313729765</v>
      </c>
      <c r="E865" s="246">
        <v>313662057</v>
      </c>
      <c r="F865" s="246">
        <v>299642588</v>
      </c>
      <c r="G865" s="246">
        <v>14019469</v>
      </c>
      <c r="H865" s="246">
        <v>14087177</v>
      </c>
      <c r="J865" s="669">
        <v>1.5</v>
      </c>
      <c r="K865" s="669">
        <v>0.2545</v>
      </c>
      <c r="L865" s="669">
        <v>1.7544999999999999</v>
      </c>
    </row>
    <row r="866" spans="1:12">
      <c r="A866" s="423" t="s">
        <v>4336</v>
      </c>
      <c r="B866" s="423" t="s">
        <v>11</v>
      </c>
      <c r="C866" s="246">
        <v>509022732</v>
      </c>
      <c r="D866" s="246">
        <v>482255044</v>
      </c>
      <c r="E866" s="246">
        <v>509022732</v>
      </c>
      <c r="F866" s="246">
        <v>482255044</v>
      </c>
      <c r="G866" s="246">
        <v>26767688</v>
      </c>
      <c r="H866" s="246">
        <v>0</v>
      </c>
      <c r="J866" s="669">
        <v>1.43</v>
      </c>
      <c r="K866" s="669">
        <v>0.16</v>
      </c>
      <c r="L866" s="669">
        <v>1.59</v>
      </c>
    </row>
    <row r="867" spans="1:12">
      <c r="A867" s="423" t="s">
        <v>4337</v>
      </c>
      <c r="B867" s="423" t="s">
        <v>12</v>
      </c>
      <c r="C867" s="246">
        <v>795738902</v>
      </c>
      <c r="D867" s="246">
        <v>748775190</v>
      </c>
      <c r="E867" s="246">
        <v>795738902</v>
      </c>
      <c r="F867" s="246">
        <v>748775190</v>
      </c>
      <c r="G867" s="246">
        <v>46963712</v>
      </c>
      <c r="H867" s="246">
        <v>0</v>
      </c>
      <c r="J867" s="669">
        <v>1.5</v>
      </c>
      <c r="K867" s="669">
        <v>0.249</v>
      </c>
      <c r="L867" s="669">
        <v>1.7490000000000001</v>
      </c>
    </row>
    <row r="868" spans="1:12">
      <c r="A868" s="423" t="s">
        <v>4338</v>
      </c>
      <c r="B868" s="423" t="s">
        <v>13</v>
      </c>
      <c r="C868" s="246">
        <v>266605510</v>
      </c>
      <c r="D868" s="246">
        <v>255794426</v>
      </c>
      <c r="E868" s="246">
        <v>266605510</v>
      </c>
      <c r="F868" s="246">
        <v>255794426</v>
      </c>
      <c r="G868" s="246">
        <v>10811084</v>
      </c>
      <c r="H868" s="246">
        <v>0</v>
      </c>
      <c r="J868" s="669">
        <v>1.2949999999999999</v>
      </c>
      <c r="K868" s="669">
        <v>4.4999999999999998E-2</v>
      </c>
      <c r="L868" s="669">
        <v>1.34</v>
      </c>
    </row>
    <row r="869" spans="1:12">
      <c r="A869" s="423" t="s">
        <v>4339</v>
      </c>
      <c r="B869" s="423" t="s">
        <v>14</v>
      </c>
      <c r="C869" s="246">
        <v>5674531356</v>
      </c>
      <c r="D869" s="246">
        <v>5452982861</v>
      </c>
      <c r="E869" s="246">
        <v>5674531356</v>
      </c>
      <c r="F869" s="246">
        <v>5452982861</v>
      </c>
      <c r="G869" s="246">
        <v>221548495</v>
      </c>
      <c r="H869" s="246">
        <v>0</v>
      </c>
      <c r="J869" s="669">
        <v>1.4245000000000001</v>
      </c>
      <c r="K869" s="669">
        <v>0.1157</v>
      </c>
      <c r="L869" s="669">
        <v>1.5402</v>
      </c>
    </row>
    <row r="870" spans="1:12">
      <c r="A870" s="423" t="s">
        <v>4340</v>
      </c>
      <c r="B870" s="423" t="s">
        <v>4070</v>
      </c>
      <c r="C870" s="246">
        <v>1204069712</v>
      </c>
      <c r="D870" s="246">
        <v>1150237691</v>
      </c>
      <c r="E870" s="246">
        <v>1204069712</v>
      </c>
      <c r="F870" s="246">
        <v>1150237691</v>
      </c>
      <c r="G870" s="246">
        <v>53832021</v>
      </c>
      <c r="H870" s="246">
        <v>0</v>
      </c>
      <c r="J870" s="669">
        <v>1.5</v>
      </c>
      <c r="K870" s="669">
        <v>2.8000000000000001E-2</v>
      </c>
      <c r="L870" s="669">
        <v>1.528</v>
      </c>
    </row>
    <row r="871" spans="1:12">
      <c r="A871" s="423" t="s">
        <v>4341</v>
      </c>
      <c r="B871" s="423" t="s">
        <v>6106</v>
      </c>
      <c r="C871" s="246">
        <v>808100694</v>
      </c>
      <c r="D871" s="246">
        <v>766454176</v>
      </c>
      <c r="E871" s="246">
        <v>808100694</v>
      </c>
      <c r="F871" s="246">
        <v>766454176</v>
      </c>
      <c r="G871" s="246">
        <v>41646518</v>
      </c>
      <c r="H871" s="246">
        <v>0</v>
      </c>
      <c r="J871" s="669">
        <v>1.5</v>
      </c>
      <c r="K871" s="669">
        <v>0.09</v>
      </c>
      <c r="L871" s="669">
        <v>1.59</v>
      </c>
    </row>
    <row r="872" spans="1:12">
      <c r="A872" s="423" t="s">
        <v>4342</v>
      </c>
      <c r="B872" s="423" t="s">
        <v>15</v>
      </c>
      <c r="C872" s="246">
        <v>262148274</v>
      </c>
      <c r="D872" s="246">
        <v>247673234</v>
      </c>
      <c r="E872" s="246">
        <v>262148274</v>
      </c>
      <c r="F872" s="246">
        <v>247673234</v>
      </c>
      <c r="G872" s="246">
        <v>14475040</v>
      </c>
      <c r="H872" s="246">
        <v>0</v>
      </c>
      <c r="J872" s="669">
        <v>1.5</v>
      </c>
      <c r="K872" s="669">
        <v>7.8950000000000006E-2</v>
      </c>
      <c r="L872" s="669">
        <v>1.5789500000000001</v>
      </c>
    </row>
    <row r="873" spans="1:12">
      <c r="A873" s="423" t="s">
        <v>4343</v>
      </c>
      <c r="B873" s="423" t="s">
        <v>16</v>
      </c>
      <c r="C873" s="246">
        <v>1790721727</v>
      </c>
      <c r="D873" s="246">
        <v>1774974955</v>
      </c>
      <c r="E873" s="246">
        <v>1774509498</v>
      </c>
      <c r="F873" s="246">
        <v>1758762726</v>
      </c>
      <c r="G873" s="246">
        <v>15746772</v>
      </c>
      <c r="H873" s="246">
        <v>16212229</v>
      </c>
      <c r="J873" s="669">
        <v>1.1477999999999999</v>
      </c>
      <c r="K873" s="669">
        <v>7.0000000000000007E-2</v>
      </c>
      <c r="L873" s="669">
        <v>1.2178</v>
      </c>
    </row>
    <row r="874" spans="1:12">
      <c r="A874" s="423" t="s">
        <v>4344</v>
      </c>
      <c r="B874" s="423" t="s">
        <v>360</v>
      </c>
      <c r="C874" s="246">
        <v>951239558</v>
      </c>
      <c r="D874" s="246">
        <v>893117498</v>
      </c>
      <c r="E874" s="246">
        <v>951239558</v>
      </c>
      <c r="F874" s="246">
        <v>893117498</v>
      </c>
      <c r="G874" s="246">
        <v>58122060</v>
      </c>
      <c r="H874" s="246">
        <v>0</v>
      </c>
      <c r="J874" s="669">
        <v>1.5</v>
      </c>
      <c r="K874" s="669">
        <v>9.4600000000000004E-2</v>
      </c>
      <c r="L874" s="669">
        <v>1.5946</v>
      </c>
    </row>
    <row r="875" spans="1:12">
      <c r="A875" s="423" t="s">
        <v>4345</v>
      </c>
      <c r="B875" s="423" t="s">
        <v>1718</v>
      </c>
      <c r="C875" s="246">
        <v>323889306</v>
      </c>
      <c r="D875" s="246">
        <v>321620586</v>
      </c>
      <c r="E875" s="246">
        <v>323889306</v>
      </c>
      <c r="F875" s="246">
        <v>321620586</v>
      </c>
      <c r="G875" s="246">
        <v>2268720</v>
      </c>
      <c r="H875" s="246">
        <v>0</v>
      </c>
      <c r="J875" s="669">
        <v>1.5</v>
      </c>
      <c r="K875" s="669">
        <v>0</v>
      </c>
      <c r="L875" s="669">
        <v>1.5</v>
      </c>
    </row>
    <row r="876" spans="1:12">
      <c r="A876" s="423" t="s">
        <v>4346</v>
      </c>
      <c r="B876" s="423" t="s">
        <v>368</v>
      </c>
      <c r="C876" s="246">
        <v>425907649</v>
      </c>
      <c r="D876" s="246">
        <v>387842349</v>
      </c>
      <c r="E876" s="246">
        <v>425907649</v>
      </c>
      <c r="F876" s="246">
        <v>387842349</v>
      </c>
      <c r="G876" s="246">
        <v>38065300</v>
      </c>
      <c r="H876" s="246">
        <v>0</v>
      </c>
      <c r="J876" s="669">
        <v>1.5</v>
      </c>
      <c r="K876" s="669">
        <v>9.4899999999999998E-2</v>
      </c>
      <c r="L876" s="669">
        <v>1.5949</v>
      </c>
    </row>
    <row r="877" spans="1:12">
      <c r="A877" s="423" t="s">
        <v>4347</v>
      </c>
      <c r="B877" s="423" t="s">
        <v>1719</v>
      </c>
      <c r="C877" s="246">
        <v>484971424</v>
      </c>
      <c r="D877" s="246">
        <v>464545514</v>
      </c>
      <c r="E877" s="246">
        <v>484971424</v>
      </c>
      <c r="F877" s="246">
        <v>464545514</v>
      </c>
      <c r="G877" s="246">
        <v>20425910</v>
      </c>
      <c r="H877" s="246">
        <v>0</v>
      </c>
      <c r="J877" s="669">
        <v>1.5</v>
      </c>
      <c r="K877" s="669">
        <v>0</v>
      </c>
      <c r="L877" s="669">
        <v>1.5</v>
      </c>
    </row>
    <row r="878" spans="1:12">
      <c r="A878" s="423" t="s">
        <v>4348</v>
      </c>
      <c r="B878" s="423" t="s">
        <v>1720</v>
      </c>
      <c r="C878" s="246">
        <v>432913951</v>
      </c>
      <c r="D878" s="246">
        <v>430081401</v>
      </c>
      <c r="E878" s="246">
        <v>432913951</v>
      </c>
      <c r="F878" s="246">
        <v>430081401</v>
      </c>
      <c r="G878" s="246">
        <v>2832550</v>
      </c>
      <c r="H878" s="246">
        <v>0</v>
      </c>
      <c r="J878" s="669">
        <v>1.5</v>
      </c>
      <c r="K878" s="669">
        <v>0</v>
      </c>
      <c r="L878" s="669">
        <v>1.5</v>
      </c>
    </row>
    <row r="879" spans="1:12">
      <c r="A879" s="423" t="s">
        <v>4349</v>
      </c>
      <c r="B879" s="423" t="s">
        <v>1721</v>
      </c>
      <c r="C879" s="246">
        <v>127016137</v>
      </c>
      <c r="D879" s="246">
        <v>123033681</v>
      </c>
      <c r="E879" s="246">
        <v>127016137</v>
      </c>
      <c r="F879" s="246">
        <v>123033681</v>
      </c>
      <c r="G879" s="246">
        <v>3982456</v>
      </c>
      <c r="H879" s="246">
        <v>0</v>
      </c>
      <c r="J879" s="669">
        <v>1.4398</v>
      </c>
      <c r="K879" s="669">
        <v>0</v>
      </c>
      <c r="L879" s="669">
        <v>1.4398</v>
      </c>
    </row>
    <row r="880" spans="1:12">
      <c r="A880" s="423" t="s">
        <v>4350</v>
      </c>
      <c r="B880" s="423" t="s">
        <v>1722</v>
      </c>
      <c r="C880" s="246">
        <v>1017442005</v>
      </c>
      <c r="D880" s="246">
        <v>1007805625</v>
      </c>
      <c r="E880" s="246">
        <v>1012165788</v>
      </c>
      <c r="F880" s="246">
        <v>1002529408</v>
      </c>
      <c r="G880" s="246">
        <v>9636380</v>
      </c>
      <c r="H880" s="246">
        <v>5276217</v>
      </c>
      <c r="J880" s="669">
        <v>1.5</v>
      </c>
      <c r="K880" s="669">
        <v>0.08</v>
      </c>
      <c r="L880" s="669">
        <v>1.58</v>
      </c>
    </row>
    <row r="881" spans="1:12">
      <c r="A881" s="423" t="s">
        <v>4351</v>
      </c>
      <c r="B881" s="423" t="s">
        <v>1723</v>
      </c>
      <c r="C881" s="246">
        <v>58597386</v>
      </c>
      <c r="D881" s="246">
        <v>55986414</v>
      </c>
      <c r="E881" s="246">
        <v>58597386</v>
      </c>
      <c r="F881" s="246">
        <v>55986414</v>
      </c>
      <c r="G881" s="246">
        <v>2610972</v>
      </c>
      <c r="H881" s="246">
        <v>0</v>
      </c>
      <c r="J881" s="669">
        <v>1.3754999999999999</v>
      </c>
      <c r="K881" s="669">
        <v>0</v>
      </c>
      <c r="L881" s="669">
        <v>1.3754999999999999</v>
      </c>
    </row>
    <row r="882" spans="1:12">
      <c r="A882" s="423" t="s">
        <v>4352</v>
      </c>
      <c r="B882" s="423" t="s">
        <v>1724</v>
      </c>
      <c r="C882" s="246">
        <v>134328007</v>
      </c>
      <c r="D882" s="246">
        <v>123115471</v>
      </c>
      <c r="E882" s="246">
        <v>134328007</v>
      </c>
      <c r="F882" s="246">
        <v>123115471</v>
      </c>
      <c r="G882" s="246">
        <v>11212536</v>
      </c>
      <c r="H882" s="246">
        <v>0</v>
      </c>
      <c r="J882" s="669">
        <v>1.45</v>
      </c>
      <c r="K882" s="669">
        <v>0</v>
      </c>
      <c r="L882" s="669">
        <v>1.45</v>
      </c>
    </row>
    <row r="883" spans="1:12">
      <c r="A883" s="423" t="s">
        <v>4353</v>
      </c>
      <c r="B883" s="423" t="s">
        <v>1725</v>
      </c>
      <c r="C883" s="246">
        <v>50462497</v>
      </c>
      <c r="D883" s="246">
        <v>47818447</v>
      </c>
      <c r="E883" s="246">
        <v>50462497</v>
      </c>
      <c r="F883" s="246">
        <v>47818447</v>
      </c>
      <c r="G883" s="246">
        <v>2644050</v>
      </c>
      <c r="H883" s="246">
        <v>0</v>
      </c>
      <c r="J883" s="669">
        <v>1.5</v>
      </c>
      <c r="K883" s="669">
        <v>0</v>
      </c>
      <c r="L883" s="669">
        <v>1.5</v>
      </c>
    </row>
    <row r="884" spans="1:12">
      <c r="A884" s="423" t="s">
        <v>4354</v>
      </c>
      <c r="B884" s="423" t="s">
        <v>7688</v>
      </c>
      <c r="C884" s="246">
        <v>18788771420</v>
      </c>
      <c r="D884" s="246">
        <v>18180076404</v>
      </c>
      <c r="E884" s="246">
        <v>18788771420</v>
      </c>
      <c r="F884" s="246">
        <v>18180076404</v>
      </c>
      <c r="G884" s="246">
        <v>608695016</v>
      </c>
      <c r="H884" s="246">
        <v>0</v>
      </c>
      <c r="J884" s="669">
        <v>1.5</v>
      </c>
      <c r="K884" s="669">
        <v>0.24546000000000001</v>
      </c>
      <c r="L884" s="669">
        <v>1.74546</v>
      </c>
    </row>
    <row r="885" spans="1:12">
      <c r="A885" s="423" t="s">
        <v>4355</v>
      </c>
      <c r="B885" s="423" t="s">
        <v>7656</v>
      </c>
      <c r="C885" s="246">
        <v>6560963629</v>
      </c>
      <c r="D885" s="246">
        <v>6284425100</v>
      </c>
      <c r="E885" s="246">
        <v>6560963629</v>
      </c>
      <c r="F885" s="246">
        <v>6284425100</v>
      </c>
      <c r="G885" s="246">
        <v>276538529</v>
      </c>
      <c r="H885" s="246">
        <v>0</v>
      </c>
      <c r="J885" s="669">
        <v>1.4650000000000001</v>
      </c>
      <c r="K885" s="669">
        <v>0.152</v>
      </c>
      <c r="L885" s="669">
        <v>1.617</v>
      </c>
    </row>
    <row r="886" spans="1:12">
      <c r="A886" s="423" t="s">
        <v>4356</v>
      </c>
      <c r="B886" s="423" t="s">
        <v>1726</v>
      </c>
      <c r="C886" s="246">
        <v>807190076</v>
      </c>
      <c r="D886" s="246">
        <v>767673890</v>
      </c>
      <c r="E886" s="246">
        <v>786789211</v>
      </c>
      <c r="F886" s="246">
        <v>747273025</v>
      </c>
      <c r="G886" s="246">
        <v>39516186</v>
      </c>
      <c r="H886" s="246">
        <v>20400865</v>
      </c>
      <c r="J886" s="669">
        <v>1.5</v>
      </c>
      <c r="K886" s="669">
        <v>9.6000000000000002E-2</v>
      </c>
      <c r="L886" s="669">
        <v>1.5960000000000001</v>
      </c>
    </row>
    <row r="887" spans="1:12">
      <c r="A887" s="423" t="s">
        <v>4357</v>
      </c>
      <c r="B887" s="423" t="s">
        <v>1727</v>
      </c>
      <c r="C887" s="246">
        <v>20127625428</v>
      </c>
      <c r="D887" s="246">
        <v>19319447419</v>
      </c>
      <c r="E887" s="246">
        <v>20127625428</v>
      </c>
      <c r="F887" s="246">
        <v>19319447419</v>
      </c>
      <c r="G887" s="246">
        <v>808178009</v>
      </c>
      <c r="H887" s="246">
        <v>0</v>
      </c>
      <c r="J887" s="669">
        <v>1.5</v>
      </c>
      <c r="K887" s="669">
        <v>0.154</v>
      </c>
      <c r="L887" s="669">
        <v>1.6539999999999999</v>
      </c>
    </row>
    <row r="888" spans="1:12">
      <c r="A888" s="423" t="s">
        <v>4358</v>
      </c>
      <c r="B888" s="423" t="s">
        <v>1728</v>
      </c>
      <c r="C888" s="246">
        <v>8623049550</v>
      </c>
      <c r="D888" s="246">
        <v>8455080525</v>
      </c>
      <c r="E888" s="246">
        <v>8623049550</v>
      </c>
      <c r="F888" s="246">
        <v>8455080525</v>
      </c>
      <c r="G888" s="246">
        <v>167969025</v>
      </c>
      <c r="H888" s="246">
        <v>0</v>
      </c>
      <c r="J888" s="669">
        <v>1.4710000000000001</v>
      </c>
      <c r="K888" s="669">
        <v>0.22900000000000001</v>
      </c>
      <c r="L888" s="669">
        <v>1.7</v>
      </c>
    </row>
    <row r="889" spans="1:12">
      <c r="A889" s="423" t="s">
        <v>4359</v>
      </c>
      <c r="B889" s="423" t="s">
        <v>1915</v>
      </c>
      <c r="C889" s="246">
        <v>7701437258</v>
      </c>
      <c r="D889" s="246">
        <v>7407839947</v>
      </c>
      <c r="E889" s="246">
        <v>7701437258</v>
      </c>
      <c r="F889" s="246">
        <v>7407839947</v>
      </c>
      <c r="G889" s="246">
        <v>293597311</v>
      </c>
      <c r="H889" s="246">
        <v>0</v>
      </c>
      <c r="J889" s="669">
        <v>1.4336</v>
      </c>
      <c r="K889" s="669">
        <v>0.28220000000000001</v>
      </c>
      <c r="L889" s="669">
        <v>1.7158</v>
      </c>
    </row>
    <row r="890" spans="1:12">
      <c r="A890" s="423" t="s">
        <v>4360</v>
      </c>
      <c r="B890" s="423" t="s">
        <v>6062</v>
      </c>
      <c r="C890" s="246">
        <v>6329497060</v>
      </c>
      <c r="D890" s="246">
        <v>6075371321</v>
      </c>
      <c r="E890" s="246">
        <v>6329497060</v>
      </c>
      <c r="F890" s="246">
        <v>6075371321</v>
      </c>
      <c r="G890" s="246">
        <v>254125739</v>
      </c>
      <c r="H890" s="246">
        <v>0</v>
      </c>
      <c r="J890" s="669">
        <v>1.407</v>
      </c>
      <c r="K890" s="669">
        <v>0.36499999999999999</v>
      </c>
      <c r="L890" s="669">
        <v>1.772</v>
      </c>
    </row>
    <row r="891" spans="1:12">
      <c r="A891" s="423" t="s">
        <v>4361</v>
      </c>
      <c r="B891" s="423" t="s">
        <v>186</v>
      </c>
      <c r="C891" s="246">
        <v>545031153</v>
      </c>
      <c r="D891" s="246">
        <v>523882284</v>
      </c>
      <c r="E891" s="246">
        <v>545031153</v>
      </c>
      <c r="F891" s="246">
        <v>523882284</v>
      </c>
      <c r="G891" s="246">
        <v>21148869</v>
      </c>
      <c r="H891" s="246">
        <v>0</v>
      </c>
      <c r="J891" s="669">
        <v>1.5</v>
      </c>
      <c r="K891" s="669">
        <v>0.34360000000000002</v>
      </c>
      <c r="L891" s="669">
        <v>1.8435999999999999</v>
      </c>
    </row>
    <row r="892" spans="1:12">
      <c r="A892" s="423" t="s">
        <v>4362</v>
      </c>
      <c r="B892" s="423" t="s">
        <v>1668</v>
      </c>
      <c r="C892" s="246">
        <v>3835891745</v>
      </c>
      <c r="D892" s="246">
        <v>3692375239</v>
      </c>
      <c r="E892" s="246">
        <v>3733502020</v>
      </c>
      <c r="F892" s="246">
        <v>3589985514</v>
      </c>
      <c r="G892" s="246">
        <v>143516506</v>
      </c>
      <c r="H892" s="246">
        <v>102389725</v>
      </c>
      <c r="J892" s="669">
        <v>1.5</v>
      </c>
      <c r="K892" s="669">
        <v>0.28899999999999998</v>
      </c>
      <c r="L892" s="669">
        <v>1.7889999999999999</v>
      </c>
    </row>
    <row r="893" spans="1:12">
      <c r="A893" s="423" t="s">
        <v>4363</v>
      </c>
      <c r="B893" s="423" t="s">
        <v>1918</v>
      </c>
      <c r="C893" s="246">
        <v>846874114</v>
      </c>
      <c r="D893" s="246">
        <v>805608550</v>
      </c>
      <c r="E893" s="246">
        <v>846874114</v>
      </c>
      <c r="F893" s="246">
        <v>805608550</v>
      </c>
      <c r="G893" s="246">
        <v>41265564</v>
      </c>
      <c r="H893" s="246">
        <v>0</v>
      </c>
      <c r="J893" s="669">
        <v>1.5</v>
      </c>
      <c r="K893" s="669">
        <v>0.30425200000000002</v>
      </c>
      <c r="L893" s="669">
        <v>1.8042499999999999</v>
      </c>
    </row>
    <row r="894" spans="1:12">
      <c r="A894" s="423" t="s">
        <v>4364</v>
      </c>
      <c r="B894" s="423" t="s">
        <v>7693</v>
      </c>
      <c r="C894" s="246">
        <v>1462917751</v>
      </c>
      <c r="D894" s="246">
        <v>1386322696</v>
      </c>
      <c r="E894" s="246">
        <v>1462917751</v>
      </c>
      <c r="F894" s="246">
        <v>1386322696</v>
      </c>
      <c r="G894" s="246">
        <v>76595055</v>
      </c>
      <c r="H894" s="246">
        <v>0</v>
      </c>
      <c r="J894" s="669">
        <v>1.5</v>
      </c>
      <c r="K894" s="669">
        <v>0.1</v>
      </c>
      <c r="L894" s="669">
        <v>1.6</v>
      </c>
    </row>
    <row r="895" spans="1:12">
      <c r="A895" s="423" t="s">
        <v>4365</v>
      </c>
      <c r="B895" s="423" t="s">
        <v>3858</v>
      </c>
      <c r="C895" s="246">
        <v>7827107478</v>
      </c>
      <c r="D895" s="246">
        <v>7551779672</v>
      </c>
      <c r="E895" s="246">
        <v>7758129888</v>
      </c>
      <c r="F895" s="246">
        <v>7482802082</v>
      </c>
      <c r="G895" s="246">
        <v>275327806</v>
      </c>
      <c r="H895" s="246">
        <v>68977590</v>
      </c>
      <c r="J895" s="669">
        <v>1.4706999999999999</v>
      </c>
      <c r="K895" s="669">
        <v>0.25230000000000002</v>
      </c>
      <c r="L895" s="669">
        <v>1.7230000000000001</v>
      </c>
    </row>
    <row r="896" spans="1:12">
      <c r="A896" s="423" t="s">
        <v>4366</v>
      </c>
      <c r="B896" s="423" t="s">
        <v>6103</v>
      </c>
      <c r="C896" s="246">
        <v>425323989</v>
      </c>
      <c r="D896" s="246">
        <v>386494306</v>
      </c>
      <c r="E896" s="246">
        <v>425323989</v>
      </c>
      <c r="F896" s="246">
        <v>386494306</v>
      </c>
      <c r="G896" s="246">
        <v>38829683</v>
      </c>
      <c r="H896" s="246">
        <v>0</v>
      </c>
      <c r="J896" s="669">
        <v>1.5</v>
      </c>
      <c r="K896" s="669">
        <v>0.1694</v>
      </c>
      <c r="L896" s="669">
        <v>1.6694</v>
      </c>
    </row>
    <row r="897" spans="1:12">
      <c r="A897" s="423" t="s">
        <v>4367</v>
      </c>
      <c r="B897" s="423" t="s">
        <v>1729</v>
      </c>
      <c r="C897" s="246">
        <v>4119985396</v>
      </c>
      <c r="D897" s="246">
        <v>3995101210</v>
      </c>
      <c r="E897" s="246">
        <v>4119985396</v>
      </c>
      <c r="F897" s="246">
        <v>3995101210</v>
      </c>
      <c r="G897" s="246">
        <v>124884186</v>
      </c>
      <c r="H897" s="246">
        <v>0</v>
      </c>
      <c r="J897" s="669">
        <v>1.292</v>
      </c>
      <c r="K897" s="669">
        <v>0.34250000000000003</v>
      </c>
      <c r="L897" s="669">
        <v>1.6345000000000001</v>
      </c>
    </row>
    <row r="898" spans="1:12">
      <c r="A898" s="423" t="s">
        <v>4368</v>
      </c>
      <c r="B898" s="423" t="s">
        <v>6102</v>
      </c>
      <c r="C898" s="246">
        <v>3953844317</v>
      </c>
      <c r="D898" s="246">
        <v>3881201037</v>
      </c>
      <c r="E898" s="246">
        <v>3953844317</v>
      </c>
      <c r="F898" s="246">
        <v>3881201037</v>
      </c>
      <c r="G898" s="246">
        <v>72643280</v>
      </c>
      <c r="H898" s="246">
        <v>0</v>
      </c>
      <c r="J898" s="669">
        <v>1.5</v>
      </c>
      <c r="K898" s="669">
        <v>0.435</v>
      </c>
      <c r="L898" s="669">
        <v>1.9350000000000001</v>
      </c>
    </row>
    <row r="899" spans="1:12">
      <c r="A899" s="423" t="s">
        <v>4369</v>
      </c>
      <c r="B899" s="423" t="s">
        <v>4069</v>
      </c>
      <c r="C899" s="246">
        <v>1036214650</v>
      </c>
      <c r="D899" s="246">
        <v>977831991</v>
      </c>
      <c r="E899" s="246">
        <v>1036214650</v>
      </c>
      <c r="F899" s="246">
        <v>977831991</v>
      </c>
      <c r="G899" s="246">
        <v>58382659</v>
      </c>
      <c r="H899" s="246">
        <v>0</v>
      </c>
      <c r="J899" s="669">
        <v>1.5</v>
      </c>
      <c r="K899" s="669">
        <v>0.28999999999999998</v>
      </c>
      <c r="L899" s="669">
        <v>1.79</v>
      </c>
    </row>
    <row r="900" spans="1:12">
      <c r="A900" s="423" t="s">
        <v>4370</v>
      </c>
      <c r="B900" s="423" t="s">
        <v>1730</v>
      </c>
      <c r="C900" s="246">
        <v>3182665934</v>
      </c>
      <c r="D900" s="246">
        <v>2982879316</v>
      </c>
      <c r="E900" s="246">
        <v>3133274955</v>
      </c>
      <c r="F900" s="246">
        <v>2933488337</v>
      </c>
      <c r="G900" s="246">
        <v>199786618</v>
      </c>
      <c r="H900" s="246">
        <v>49390979</v>
      </c>
      <c r="J900" s="669">
        <v>1.5</v>
      </c>
      <c r="K900" s="669">
        <v>0.1183</v>
      </c>
      <c r="L900" s="669">
        <v>1.6183000000000001</v>
      </c>
    </row>
    <row r="901" spans="1:12">
      <c r="A901" s="423" t="s">
        <v>4371</v>
      </c>
      <c r="B901" s="423" t="s">
        <v>1731</v>
      </c>
      <c r="C901" s="246">
        <v>214371545</v>
      </c>
      <c r="D901" s="246">
        <v>200120756</v>
      </c>
      <c r="E901" s="246">
        <v>214371545</v>
      </c>
      <c r="F901" s="246">
        <v>200120756</v>
      </c>
      <c r="G901" s="246">
        <v>14250789</v>
      </c>
      <c r="H901" s="246">
        <v>0</v>
      </c>
      <c r="J901" s="669">
        <v>1.444</v>
      </c>
      <c r="K901" s="669">
        <v>2.5999999999999999E-2</v>
      </c>
      <c r="L901" s="669">
        <v>1.47</v>
      </c>
    </row>
    <row r="902" spans="1:12">
      <c r="A902" s="423" t="s">
        <v>4372</v>
      </c>
      <c r="B902" s="423" t="s">
        <v>1732</v>
      </c>
      <c r="C902" s="246">
        <v>114885581</v>
      </c>
      <c r="D902" s="246">
        <v>113118309</v>
      </c>
      <c r="E902" s="246">
        <v>114885581</v>
      </c>
      <c r="F902" s="246">
        <v>113118309</v>
      </c>
      <c r="G902" s="246">
        <v>1767272</v>
      </c>
      <c r="H902" s="246">
        <v>0</v>
      </c>
      <c r="J902" s="669">
        <v>1.5</v>
      </c>
      <c r="K902" s="669">
        <v>0.37269999999999998</v>
      </c>
      <c r="L902" s="669">
        <v>1.8727</v>
      </c>
    </row>
    <row r="903" spans="1:12">
      <c r="A903" s="423" t="s">
        <v>4373</v>
      </c>
      <c r="B903" s="423" t="s">
        <v>4374</v>
      </c>
      <c r="C903" s="246">
        <v>204302323</v>
      </c>
      <c r="D903" s="246">
        <v>190088707</v>
      </c>
      <c r="E903" s="246">
        <v>193383067</v>
      </c>
      <c r="F903" s="246">
        <v>179169451</v>
      </c>
      <c r="G903" s="246">
        <v>14213616</v>
      </c>
      <c r="H903" s="246">
        <v>10919256</v>
      </c>
      <c r="J903" s="669">
        <v>1.4331</v>
      </c>
      <c r="K903" s="669">
        <v>0.1069</v>
      </c>
      <c r="L903" s="669">
        <v>1.54</v>
      </c>
    </row>
    <row r="904" spans="1:12">
      <c r="A904" s="423" t="s">
        <v>4375</v>
      </c>
      <c r="B904" s="423" t="s">
        <v>2008</v>
      </c>
      <c r="C904" s="246">
        <v>806373881</v>
      </c>
      <c r="D904" s="246">
        <v>765699370</v>
      </c>
      <c r="E904" s="246">
        <v>806373881</v>
      </c>
      <c r="F904" s="246">
        <v>765699370</v>
      </c>
      <c r="G904" s="246">
        <v>40674511</v>
      </c>
      <c r="H904" s="246">
        <v>0</v>
      </c>
      <c r="J904" s="669">
        <v>1.2149000000000001</v>
      </c>
      <c r="K904" s="669">
        <v>0.155</v>
      </c>
      <c r="L904" s="669">
        <v>1.3698999999999999</v>
      </c>
    </row>
    <row r="905" spans="1:12">
      <c r="A905" s="423" t="s">
        <v>4376</v>
      </c>
      <c r="B905" s="423" t="s">
        <v>1734</v>
      </c>
      <c r="C905" s="246">
        <v>518568763</v>
      </c>
      <c r="D905" s="246">
        <v>515921906</v>
      </c>
      <c r="E905" s="246">
        <v>517995323</v>
      </c>
      <c r="F905" s="246">
        <v>515348466</v>
      </c>
      <c r="G905" s="246">
        <v>2646857</v>
      </c>
      <c r="H905" s="246">
        <v>573440</v>
      </c>
      <c r="J905" s="669">
        <v>1.42</v>
      </c>
      <c r="K905" s="669">
        <v>6.6000000000000003E-2</v>
      </c>
      <c r="L905" s="669">
        <v>1.486</v>
      </c>
    </row>
    <row r="906" spans="1:12">
      <c r="A906" s="423" t="s">
        <v>4377</v>
      </c>
      <c r="B906" s="423" t="s">
        <v>1735</v>
      </c>
      <c r="C906" s="246">
        <v>485205344</v>
      </c>
      <c r="D906" s="246">
        <v>466546289</v>
      </c>
      <c r="E906" s="246">
        <v>485205344</v>
      </c>
      <c r="F906" s="246">
        <v>466546289</v>
      </c>
      <c r="G906" s="246">
        <v>18659055</v>
      </c>
      <c r="H906" s="246">
        <v>0</v>
      </c>
      <c r="J906" s="669">
        <v>1.5</v>
      </c>
      <c r="K906" s="669">
        <v>0.1</v>
      </c>
      <c r="L906" s="669">
        <v>1.6</v>
      </c>
    </row>
    <row r="907" spans="1:12">
      <c r="A907" s="423" t="s">
        <v>4378</v>
      </c>
      <c r="B907" s="423" t="s">
        <v>6078</v>
      </c>
      <c r="C907" s="246">
        <v>52233438</v>
      </c>
      <c r="D907" s="246">
        <v>50759931</v>
      </c>
      <c r="E907" s="246">
        <v>52233438</v>
      </c>
      <c r="F907" s="246">
        <v>50759931</v>
      </c>
      <c r="G907" s="246">
        <v>1473507</v>
      </c>
      <c r="H907" s="246">
        <v>0</v>
      </c>
      <c r="J907" s="669">
        <v>1.5</v>
      </c>
      <c r="K907" s="669">
        <v>6.25E-2</v>
      </c>
      <c r="L907" s="669">
        <v>1.5625</v>
      </c>
    </row>
    <row r="908" spans="1:12">
      <c r="A908" s="423" t="s">
        <v>4379</v>
      </c>
      <c r="B908" s="423" t="s">
        <v>4380</v>
      </c>
      <c r="C908" s="246">
        <v>102815649</v>
      </c>
      <c r="D908" s="246">
        <v>101950231</v>
      </c>
      <c r="E908" s="246">
        <v>102815649</v>
      </c>
      <c r="F908" s="246">
        <v>101950231</v>
      </c>
      <c r="G908" s="246">
        <v>865418</v>
      </c>
      <c r="H908" s="246">
        <v>0</v>
      </c>
      <c r="J908" s="669">
        <v>1.5</v>
      </c>
      <c r="K908" s="669">
        <v>0</v>
      </c>
      <c r="L908" s="669">
        <v>1.5</v>
      </c>
    </row>
    <row r="909" spans="1:12">
      <c r="A909" s="423" t="s">
        <v>4381</v>
      </c>
      <c r="B909" s="423" t="s">
        <v>1737</v>
      </c>
      <c r="C909" s="246">
        <v>93031221</v>
      </c>
      <c r="D909" s="246">
        <v>89583551</v>
      </c>
      <c r="E909" s="246">
        <v>93031221</v>
      </c>
      <c r="F909" s="246">
        <v>89583551</v>
      </c>
      <c r="G909" s="246">
        <v>3447670</v>
      </c>
      <c r="H909" s="246">
        <v>0</v>
      </c>
      <c r="J909" s="669">
        <v>1.5</v>
      </c>
      <c r="K909" s="669">
        <v>0</v>
      </c>
      <c r="L909" s="669">
        <v>1.5</v>
      </c>
    </row>
    <row r="910" spans="1:12">
      <c r="A910" s="423" t="s">
        <v>4382</v>
      </c>
      <c r="B910" s="423" t="s">
        <v>1738</v>
      </c>
      <c r="C910" s="246">
        <v>28445365</v>
      </c>
      <c r="D910" s="246">
        <v>27073865</v>
      </c>
      <c r="E910" s="246">
        <v>28445365</v>
      </c>
      <c r="F910" s="246">
        <v>27073865</v>
      </c>
      <c r="G910" s="246">
        <v>1371500</v>
      </c>
      <c r="H910" s="246">
        <v>0</v>
      </c>
      <c r="J910" s="669">
        <v>1.5</v>
      </c>
      <c r="K910" s="669">
        <v>0</v>
      </c>
      <c r="L910" s="669">
        <v>1.5</v>
      </c>
    </row>
    <row r="911" spans="1:12">
      <c r="A911" s="423" t="s">
        <v>4383</v>
      </c>
      <c r="B911" s="423" t="s">
        <v>1739</v>
      </c>
      <c r="C911" s="246">
        <v>1664757523</v>
      </c>
      <c r="D911" s="246">
        <v>1622063494</v>
      </c>
      <c r="E911" s="246">
        <v>1631432195</v>
      </c>
      <c r="F911" s="246">
        <v>1588738166</v>
      </c>
      <c r="G911" s="246">
        <v>42694029</v>
      </c>
      <c r="H911" s="246">
        <v>33325328</v>
      </c>
      <c r="J911" s="669">
        <v>1.5</v>
      </c>
      <c r="K911" s="669">
        <v>8.1000000000000003E-2</v>
      </c>
      <c r="L911" s="669">
        <v>1.581</v>
      </c>
    </row>
    <row r="912" spans="1:12">
      <c r="A912" s="423" t="s">
        <v>4384</v>
      </c>
      <c r="B912" s="423" t="s">
        <v>1740</v>
      </c>
      <c r="C912" s="246">
        <v>55947844</v>
      </c>
      <c r="D912" s="246">
        <v>54429937</v>
      </c>
      <c r="E912" s="246">
        <v>54915310</v>
      </c>
      <c r="F912" s="246">
        <v>53397403</v>
      </c>
      <c r="G912" s="246">
        <v>1517907</v>
      </c>
      <c r="H912" s="246">
        <v>1032534</v>
      </c>
      <c r="J912" s="669">
        <v>1.5</v>
      </c>
      <c r="K912" s="669">
        <v>0</v>
      </c>
      <c r="L912" s="669">
        <v>1.5</v>
      </c>
    </row>
    <row r="913" spans="1:12">
      <c r="A913" s="423" t="s">
        <v>4385</v>
      </c>
      <c r="B913" s="423" t="s">
        <v>6106</v>
      </c>
      <c r="C913" s="246">
        <v>81526073</v>
      </c>
      <c r="D913" s="246">
        <v>75500985</v>
      </c>
      <c r="E913" s="246">
        <v>81526073</v>
      </c>
      <c r="F913" s="246">
        <v>75500985</v>
      </c>
      <c r="G913" s="246">
        <v>6025088</v>
      </c>
      <c r="H913" s="246">
        <v>0</v>
      </c>
      <c r="J913" s="669">
        <v>1.427</v>
      </c>
      <c r="K913" s="669">
        <v>7.4999999999999997E-2</v>
      </c>
      <c r="L913" s="669">
        <v>1.502</v>
      </c>
    </row>
    <row r="914" spans="1:12">
      <c r="A914" s="423" t="s">
        <v>4386</v>
      </c>
      <c r="B914" s="423" t="s">
        <v>1741</v>
      </c>
      <c r="C914" s="246">
        <v>98311116</v>
      </c>
      <c r="D914" s="246">
        <v>92207953</v>
      </c>
      <c r="E914" s="246">
        <v>98311116</v>
      </c>
      <c r="F914" s="246">
        <v>92207953</v>
      </c>
      <c r="G914" s="246">
        <v>6103163</v>
      </c>
      <c r="H914" s="246">
        <v>0</v>
      </c>
      <c r="J914" s="669">
        <v>1.4</v>
      </c>
      <c r="K914" s="669">
        <v>0</v>
      </c>
      <c r="L914" s="669">
        <v>1.4</v>
      </c>
    </row>
    <row r="915" spans="1:12">
      <c r="A915" s="423" t="s">
        <v>4387</v>
      </c>
      <c r="B915" s="423" t="s">
        <v>1742</v>
      </c>
      <c r="C915" s="246">
        <v>108172559</v>
      </c>
      <c r="D915" s="246">
        <v>101429759</v>
      </c>
      <c r="E915" s="246">
        <v>102455619</v>
      </c>
      <c r="F915" s="246">
        <v>95712819</v>
      </c>
      <c r="G915" s="246">
        <v>6742800</v>
      </c>
      <c r="H915" s="246">
        <v>5716940</v>
      </c>
      <c r="J915" s="669">
        <v>1.5</v>
      </c>
      <c r="K915" s="669">
        <v>0.1115</v>
      </c>
      <c r="L915" s="669">
        <v>1.6114999999999999</v>
      </c>
    </row>
    <row r="916" spans="1:12">
      <c r="A916" s="423" t="s">
        <v>4388</v>
      </c>
      <c r="B916" s="423" t="s">
        <v>378</v>
      </c>
      <c r="C916" s="246">
        <v>2743551302</v>
      </c>
      <c r="D916" s="246">
        <v>2531683952</v>
      </c>
      <c r="E916" s="246">
        <v>2591851241</v>
      </c>
      <c r="F916" s="246">
        <v>2379983891</v>
      </c>
      <c r="G916" s="246">
        <v>211867350</v>
      </c>
      <c r="H916" s="246">
        <v>151700061</v>
      </c>
      <c r="J916" s="669">
        <v>1.5</v>
      </c>
      <c r="K916" s="669">
        <v>7.1999999999999995E-2</v>
      </c>
      <c r="L916" s="669">
        <v>1.5720000000000001</v>
      </c>
    </row>
    <row r="917" spans="1:12">
      <c r="A917" s="423" t="s">
        <v>4389</v>
      </c>
      <c r="B917" s="423" t="s">
        <v>1743</v>
      </c>
      <c r="C917" s="246">
        <v>93768797</v>
      </c>
      <c r="D917" s="246">
        <v>89453897</v>
      </c>
      <c r="E917" s="246">
        <v>91562013</v>
      </c>
      <c r="F917" s="246">
        <v>87247113</v>
      </c>
      <c r="G917" s="246">
        <v>4314900</v>
      </c>
      <c r="H917" s="246">
        <v>2206784</v>
      </c>
      <c r="J917" s="669">
        <v>1.5</v>
      </c>
      <c r="K917" s="669">
        <v>0.21997</v>
      </c>
      <c r="L917" s="669">
        <v>1.71997</v>
      </c>
    </row>
    <row r="918" spans="1:12">
      <c r="A918" s="423" t="s">
        <v>4390</v>
      </c>
      <c r="B918" s="423" t="s">
        <v>4061</v>
      </c>
      <c r="C918" s="246">
        <v>157025424</v>
      </c>
      <c r="D918" s="246">
        <v>147286074</v>
      </c>
      <c r="E918" s="246">
        <v>157025424</v>
      </c>
      <c r="F918" s="246">
        <v>147286074</v>
      </c>
      <c r="G918" s="246">
        <v>9739350</v>
      </c>
      <c r="H918" s="246">
        <v>0</v>
      </c>
      <c r="J918" s="669">
        <v>1.5</v>
      </c>
      <c r="K918" s="669">
        <v>6.8699999999999997E-2</v>
      </c>
      <c r="L918" s="669">
        <v>1.5687</v>
      </c>
    </row>
    <row r="919" spans="1:12">
      <c r="A919" s="423" t="s">
        <v>4391</v>
      </c>
      <c r="B919" s="423" t="s">
        <v>3913</v>
      </c>
      <c r="C919" s="246">
        <v>117580540</v>
      </c>
      <c r="D919" s="246">
        <v>102704940</v>
      </c>
      <c r="E919" s="246">
        <v>117580540</v>
      </c>
      <c r="F919" s="246">
        <v>102704940</v>
      </c>
      <c r="G919" s="246">
        <v>14875600</v>
      </c>
      <c r="H919" s="246">
        <v>0</v>
      </c>
      <c r="J919" s="669">
        <v>1.5</v>
      </c>
      <c r="K919" s="669">
        <v>0.20499999999999999</v>
      </c>
      <c r="L919" s="669">
        <v>1.7050000000000001</v>
      </c>
    </row>
    <row r="920" spans="1:12">
      <c r="A920" s="423" t="s">
        <v>4392</v>
      </c>
      <c r="B920" s="423" t="s">
        <v>7132</v>
      </c>
      <c r="C920" s="246">
        <v>67188854</v>
      </c>
      <c r="D920" s="246">
        <v>64133354</v>
      </c>
      <c r="E920" s="246">
        <v>65188001</v>
      </c>
      <c r="F920" s="246">
        <v>62132501</v>
      </c>
      <c r="G920" s="246">
        <v>3055500</v>
      </c>
      <c r="H920" s="246">
        <v>2000853</v>
      </c>
      <c r="J920" s="669">
        <v>1.5</v>
      </c>
      <c r="K920" s="669">
        <v>0.12</v>
      </c>
      <c r="L920" s="669">
        <v>1.62</v>
      </c>
    </row>
    <row r="921" spans="1:12">
      <c r="A921" s="423" t="s">
        <v>4393</v>
      </c>
      <c r="B921" s="423" t="s">
        <v>1744</v>
      </c>
      <c r="C921" s="246">
        <v>41712992460</v>
      </c>
      <c r="D921" s="246">
        <v>40673736142</v>
      </c>
      <c r="E921" s="246">
        <v>41712992460</v>
      </c>
      <c r="F921" s="246">
        <v>40673736142</v>
      </c>
      <c r="G921" s="246">
        <v>1039256318</v>
      </c>
      <c r="H921" s="246">
        <v>0</v>
      </c>
      <c r="J921" s="669">
        <v>1.5</v>
      </c>
      <c r="K921" s="669">
        <v>0.123</v>
      </c>
      <c r="L921" s="669">
        <v>1.623</v>
      </c>
    </row>
    <row r="922" spans="1:12">
      <c r="A922" s="423" t="s">
        <v>4394</v>
      </c>
      <c r="B922" s="423" t="s">
        <v>339</v>
      </c>
      <c r="C922" s="246">
        <v>5463358207</v>
      </c>
      <c r="D922" s="246">
        <v>5248037564</v>
      </c>
      <c r="E922" s="246">
        <v>5463358207</v>
      </c>
      <c r="F922" s="246">
        <v>5248037564</v>
      </c>
      <c r="G922" s="246">
        <v>215320643</v>
      </c>
      <c r="H922" s="246">
        <v>0</v>
      </c>
      <c r="J922" s="669">
        <v>1.5</v>
      </c>
      <c r="K922" s="669">
        <v>0.35</v>
      </c>
      <c r="L922" s="669">
        <v>1.85</v>
      </c>
    </row>
    <row r="923" spans="1:12">
      <c r="A923" s="423" t="s">
        <v>4395</v>
      </c>
      <c r="B923" s="423" t="s">
        <v>1745</v>
      </c>
      <c r="C923" s="246">
        <v>1617903508</v>
      </c>
      <c r="D923" s="246">
        <v>1580577539</v>
      </c>
      <c r="E923" s="246">
        <v>1617903508</v>
      </c>
      <c r="F923" s="246">
        <v>1580577539</v>
      </c>
      <c r="G923" s="246">
        <v>37325969</v>
      </c>
      <c r="H923" s="246">
        <v>0</v>
      </c>
      <c r="J923" s="669">
        <v>1.47</v>
      </c>
      <c r="K923" s="669">
        <v>0.33</v>
      </c>
      <c r="L923" s="669">
        <v>1.8</v>
      </c>
    </row>
    <row r="924" spans="1:12">
      <c r="A924" s="423" t="s">
        <v>4396</v>
      </c>
      <c r="B924" s="423" t="s">
        <v>1746</v>
      </c>
      <c r="C924" s="246">
        <v>6563830645</v>
      </c>
      <c r="D924" s="246">
        <v>6470542341</v>
      </c>
      <c r="E924" s="246">
        <v>6563830645</v>
      </c>
      <c r="F924" s="246">
        <v>6470542341</v>
      </c>
      <c r="G924" s="246">
        <v>93288304</v>
      </c>
      <c r="H924" s="246">
        <v>0</v>
      </c>
      <c r="J924" s="669">
        <v>1.5</v>
      </c>
      <c r="K924" s="669">
        <v>0.161</v>
      </c>
      <c r="L924" s="669">
        <v>1.661</v>
      </c>
    </row>
    <row r="925" spans="1:12">
      <c r="A925" s="423" t="s">
        <v>4397</v>
      </c>
      <c r="B925" s="423" t="s">
        <v>997</v>
      </c>
      <c r="C925" s="246">
        <v>2166843876</v>
      </c>
      <c r="D925" s="246">
        <v>2111921484</v>
      </c>
      <c r="E925" s="246">
        <v>2166843876</v>
      </c>
      <c r="F925" s="246">
        <v>2111921484</v>
      </c>
      <c r="G925" s="246">
        <v>54922392</v>
      </c>
      <c r="H925" s="246">
        <v>0</v>
      </c>
      <c r="J925" s="669">
        <v>1.5</v>
      </c>
      <c r="K925" s="669">
        <v>0.37</v>
      </c>
      <c r="L925" s="669">
        <v>1.87</v>
      </c>
    </row>
    <row r="926" spans="1:12">
      <c r="A926" s="423" t="s">
        <v>4398</v>
      </c>
      <c r="B926" s="423" t="s">
        <v>1747</v>
      </c>
      <c r="C926" s="246">
        <v>811370258</v>
      </c>
      <c r="D926" s="246">
        <v>784992546</v>
      </c>
      <c r="E926" s="246">
        <v>762035722</v>
      </c>
      <c r="F926" s="246">
        <v>735658010</v>
      </c>
      <c r="G926" s="246">
        <v>26377712</v>
      </c>
      <c r="H926" s="246">
        <v>49334536</v>
      </c>
      <c r="J926" s="669">
        <v>1.5</v>
      </c>
      <c r="K926" s="669">
        <v>0.215</v>
      </c>
      <c r="L926" s="669">
        <v>1.7150000000000001</v>
      </c>
    </row>
    <row r="927" spans="1:12">
      <c r="A927" s="423" t="s">
        <v>4399</v>
      </c>
      <c r="B927" s="423" t="s">
        <v>1748</v>
      </c>
      <c r="C927" s="246">
        <v>3939619790</v>
      </c>
      <c r="D927" s="246">
        <v>3850559710</v>
      </c>
      <c r="E927" s="246">
        <v>3667016179</v>
      </c>
      <c r="F927" s="246">
        <v>3577956099</v>
      </c>
      <c r="G927" s="246">
        <v>89060080</v>
      </c>
      <c r="H927" s="246">
        <v>272603611</v>
      </c>
      <c r="J927" s="669">
        <v>1.5</v>
      </c>
      <c r="K927" s="669">
        <v>0.30049999999999999</v>
      </c>
      <c r="L927" s="669">
        <v>1.8005</v>
      </c>
    </row>
    <row r="928" spans="1:12">
      <c r="A928" s="423" t="s">
        <v>4400</v>
      </c>
      <c r="B928" s="423" t="s">
        <v>1749</v>
      </c>
      <c r="C928" s="246">
        <v>143104003</v>
      </c>
      <c r="D928" s="246">
        <v>130420768</v>
      </c>
      <c r="E928" s="246">
        <v>143104003</v>
      </c>
      <c r="F928" s="246">
        <v>130420768</v>
      </c>
      <c r="G928" s="246">
        <v>12683235</v>
      </c>
      <c r="H928" s="246">
        <v>0</v>
      </c>
      <c r="J928" s="669">
        <v>1.46</v>
      </c>
      <c r="K928" s="669">
        <v>0</v>
      </c>
      <c r="L928" s="669">
        <v>1.46</v>
      </c>
    </row>
    <row r="929" spans="1:12">
      <c r="A929" s="423" t="s">
        <v>4401</v>
      </c>
      <c r="B929" s="423" t="s">
        <v>1750</v>
      </c>
      <c r="C929" s="246">
        <v>220216334</v>
      </c>
      <c r="D929" s="246">
        <v>200344924</v>
      </c>
      <c r="E929" s="246">
        <v>220216334</v>
      </c>
      <c r="F929" s="246">
        <v>200344924</v>
      </c>
      <c r="G929" s="246">
        <v>19871410</v>
      </c>
      <c r="H929" s="246">
        <v>0</v>
      </c>
      <c r="J929" s="669">
        <v>1.5</v>
      </c>
      <c r="K929" s="669">
        <v>0.17</v>
      </c>
      <c r="L929" s="669">
        <v>1.67</v>
      </c>
    </row>
    <row r="930" spans="1:12">
      <c r="A930" s="423" t="s">
        <v>4402</v>
      </c>
      <c r="B930" s="423" t="s">
        <v>297</v>
      </c>
      <c r="C930" s="246">
        <v>24101556</v>
      </c>
      <c r="D930" s="246">
        <v>22043853</v>
      </c>
      <c r="E930" s="246">
        <v>24101556</v>
      </c>
      <c r="F930" s="246">
        <v>22043853</v>
      </c>
      <c r="G930" s="246">
        <v>2057703</v>
      </c>
      <c r="H930" s="246">
        <v>0</v>
      </c>
      <c r="J930" s="669">
        <v>1.48</v>
      </c>
      <c r="K930" s="669">
        <v>0</v>
      </c>
      <c r="L930" s="669">
        <v>1.48</v>
      </c>
    </row>
    <row r="931" spans="1:12">
      <c r="A931" s="423" t="s">
        <v>4403</v>
      </c>
      <c r="B931" s="423" t="s">
        <v>1751</v>
      </c>
      <c r="C931" s="246">
        <v>30727209</v>
      </c>
      <c r="D931" s="246">
        <v>27563192</v>
      </c>
      <c r="E931" s="246">
        <v>30727209</v>
      </c>
      <c r="F931" s="246">
        <v>27563192</v>
      </c>
      <c r="G931" s="246">
        <v>3164017</v>
      </c>
      <c r="H931" s="246">
        <v>0</v>
      </c>
      <c r="J931" s="669">
        <v>1.46</v>
      </c>
      <c r="K931" s="669">
        <v>0</v>
      </c>
      <c r="L931" s="669">
        <v>1.46</v>
      </c>
    </row>
    <row r="932" spans="1:12">
      <c r="A932" s="423" t="s">
        <v>4404</v>
      </c>
      <c r="B932" s="423" t="s">
        <v>2639</v>
      </c>
      <c r="C932" s="246">
        <v>91169922</v>
      </c>
      <c r="D932" s="246">
        <v>84211177</v>
      </c>
      <c r="E932" s="246">
        <v>91169922</v>
      </c>
      <c r="F932" s="246">
        <v>84211177</v>
      </c>
      <c r="G932" s="246">
        <v>6958745</v>
      </c>
      <c r="H932" s="246">
        <v>0</v>
      </c>
      <c r="J932" s="669">
        <v>1.5</v>
      </c>
      <c r="K932" s="669">
        <v>0</v>
      </c>
      <c r="L932" s="669">
        <v>1.5</v>
      </c>
    </row>
    <row r="933" spans="1:12">
      <c r="A933" s="423" t="s">
        <v>4405</v>
      </c>
      <c r="B933" s="423" t="s">
        <v>1752</v>
      </c>
      <c r="C933" s="246">
        <v>331301038</v>
      </c>
      <c r="D933" s="246">
        <v>308800240</v>
      </c>
      <c r="E933" s="246">
        <v>331301038</v>
      </c>
      <c r="F933" s="246">
        <v>308800240</v>
      </c>
      <c r="G933" s="246">
        <v>22500798</v>
      </c>
      <c r="H933" s="246">
        <v>0</v>
      </c>
      <c r="J933" s="669">
        <v>1.45</v>
      </c>
      <c r="K933" s="669">
        <v>0.14000000000000001</v>
      </c>
      <c r="L933" s="669">
        <v>1.59</v>
      </c>
    </row>
    <row r="934" spans="1:12">
      <c r="A934" s="423" t="s">
        <v>4406</v>
      </c>
      <c r="B934" s="423" t="s">
        <v>7623</v>
      </c>
      <c r="C934" s="246">
        <v>204983031</v>
      </c>
      <c r="D934" s="246">
        <v>187477349</v>
      </c>
      <c r="E934" s="246">
        <v>204983031</v>
      </c>
      <c r="F934" s="246">
        <v>187477349</v>
      </c>
      <c r="G934" s="246">
        <v>17505682</v>
      </c>
      <c r="H934" s="246">
        <v>0</v>
      </c>
      <c r="J934" s="669">
        <v>1.5</v>
      </c>
      <c r="K934" s="669">
        <v>0</v>
      </c>
      <c r="L934" s="669">
        <v>1.5</v>
      </c>
    </row>
    <row r="935" spans="1:12">
      <c r="A935" s="423" t="s">
        <v>4407</v>
      </c>
      <c r="B935" s="423" t="s">
        <v>2353</v>
      </c>
      <c r="C935" s="246">
        <v>47505034</v>
      </c>
      <c r="D935" s="246">
        <v>42172966</v>
      </c>
      <c r="E935" s="246">
        <v>46258487</v>
      </c>
      <c r="F935" s="246">
        <v>40926419</v>
      </c>
      <c r="G935" s="246">
        <v>5332068</v>
      </c>
      <c r="H935" s="246">
        <v>1246547</v>
      </c>
      <c r="J935" s="669">
        <v>1.5</v>
      </c>
      <c r="K935" s="669">
        <v>0.12</v>
      </c>
      <c r="L935" s="669">
        <v>1.62</v>
      </c>
    </row>
    <row r="936" spans="1:12">
      <c r="A936" s="423" t="s">
        <v>4408</v>
      </c>
      <c r="B936" s="423" t="s">
        <v>6108</v>
      </c>
      <c r="C936" s="246">
        <v>53889023</v>
      </c>
      <c r="D936" s="246">
        <v>50501698</v>
      </c>
      <c r="E936" s="246">
        <v>53889023</v>
      </c>
      <c r="F936" s="246">
        <v>50501698</v>
      </c>
      <c r="G936" s="246">
        <v>3387325</v>
      </c>
      <c r="H936" s="246">
        <v>0</v>
      </c>
      <c r="J936" s="669">
        <v>1.5</v>
      </c>
      <c r="K936" s="669">
        <v>5.0999999999999997E-2</v>
      </c>
      <c r="L936" s="669">
        <v>1.5509999999999999</v>
      </c>
    </row>
    <row r="937" spans="1:12">
      <c r="A937" s="423" t="s">
        <v>4409</v>
      </c>
      <c r="B937" s="423" t="s">
        <v>400</v>
      </c>
      <c r="C937" s="246">
        <v>128990499</v>
      </c>
      <c r="D937" s="246">
        <v>119807985</v>
      </c>
      <c r="E937" s="246">
        <v>128990499</v>
      </c>
      <c r="F937" s="246">
        <v>119807985</v>
      </c>
      <c r="G937" s="246">
        <v>9182514</v>
      </c>
      <c r="H937" s="246">
        <v>0</v>
      </c>
      <c r="J937" s="669">
        <v>1.5</v>
      </c>
      <c r="K937" s="669">
        <v>7.0000000000000007E-2</v>
      </c>
      <c r="L937" s="669">
        <v>1.57</v>
      </c>
    </row>
    <row r="938" spans="1:12">
      <c r="A938" s="423" t="s">
        <v>4410</v>
      </c>
      <c r="B938" s="423" t="s">
        <v>7624</v>
      </c>
      <c r="C938" s="246">
        <v>697965290</v>
      </c>
      <c r="D938" s="246">
        <v>657929636</v>
      </c>
      <c r="E938" s="246">
        <v>697965290</v>
      </c>
      <c r="F938" s="246">
        <v>657929636</v>
      </c>
      <c r="G938" s="246">
        <v>40035654</v>
      </c>
      <c r="H938" s="246">
        <v>0</v>
      </c>
      <c r="J938" s="669">
        <v>1.4444999999999999</v>
      </c>
      <c r="K938" s="669">
        <v>0.16500000000000001</v>
      </c>
      <c r="L938" s="669">
        <v>1.6094999999999999</v>
      </c>
    </row>
    <row r="939" spans="1:12">
      <c r="A939" s="423" t="s">
        <v>4411</v>
      </c>
      <c r="B939" s="423" t="s">
        <v>3626</v>
      </c>
      <c r="C939" s="246">
        <v>109665268</v>
      </c>
      <c r="D939" s="246">
        <v>98618124</v>
      </c>
      <c r="E939" s="246">
        <v>109665268</v>
      </c>
      <c r="F939" s="246">
        <v>98618124</v>
      </c>
      <c r="G939" s="246">
        <v>11047144</v>
      </c>
      <c r="H939" s="246">
        <v>0</v>
      </c>
      <c r="J939" s="669">
        <v>1.5</v>
      </c>
      <c r="K939" s="669">
        <v>8.1000000000000003E-2</v>
      </c>
      <c r="L939" s="669">
        <v>1.581</v>
      </c>
    </row>
    <row r="940" spans="1:12">
      <c r="A940" s="423" t="s">
        <v>4412</v>
      </c>
      <c r="B940" s="423" t="s">
        <v>7625</v>
      </c>
      <c r="C940" s="246">
        <v>76724196</v>
      </c>
      <c r="D940" s="246">
        <v>71241414</v>
      </c>
      <c r="E940" s="246">
        <v>76724196</v>
      </c>
      <c r="F940" s="246">
        <v>71241414</v>
      </c>
      <c r="G940" s="246">
        <v>5482782</v>
      </c>
      <c r="H940" s="246">
        <v>0</v>
      </c>
      <c r="J940" s="669">
        <v>1.5</v>
      </c>
      <c r="K940" s="669">
        <v>0</v>
      </c>
      <c r="L940" s="669">
        <v>1.5</v>
      </c>
    </row>
    <row r="941" spans="1:12">
      <c r="A941" s="423" t="s">
        <v>4413</v>
      </c>
      <c r="B941" s="423" t="s">
        <v>3837</v>
      </c>
      <c r="C941" s="246">
        <v>296546721</v>
      </c>
      <c r="D941" s="246">
        <v>278171031</v>
      </c>
      <c r="E941" s="246">
        <v>296546721</v>
      </c>
      <c r="F941" s="246">
        <v>278171031</v>
      </c>
      <c r="G941" s="246">
        <v>18375690</v>
      </c>
      <c r="H941" s="246">
        <v>0</v>
      </c>
      <c r="J941" s="669">
        <v>1.47</v>
      </c>
      <c r="K941" s="669">
        <v>0.05</v>
      </c>
      <c r="L941" s="669">
        <v>1.52</v>
      </c>
    </row>
    <row r="942" spans="1:12">
      <c r="A942" s="423" t="s">
        <v>4414</v>
      </c>
      <c r="B942" s="423" t="s">
        <v>7626</v>
      </c>
      <c r="C942" s="246">
        <v>97816620</v>
      </c>
      <c r="D942" s="246">
        <v>87819507</v>
      </c>
      <c r="E942" s="246">
        <v>97816620</v>
      </c>
      <c r="F942" s="246">
        <v>87819507</v>
      </c>
      <c r="G942" s="246">
        <v>9997113</v>
      </c>
      <c r="H942" s="246">
        <v>0</v>
      </c>
      <c r="J942" s="669">
        <v>1.46</v>
      </c>
      <c r="K942" s="669">
        <v>0</v>
      </c>
      <c r="L942" s="669">
        <v>1.46</v>
      </c>
    </row>
    <row r="943" spans="1:12">
      <c r="A943" s="423" t="s">
        <v>4415</v>
      </c>
      <c r="B943" s="423" t="s">
        <v>7627</v>
      </c>
      <c r="C943" s="246">
        <v>162341254</v>
      </c>
      <c r="D943" s="246">
        <v>154618930</v>
      </c>
      <c r="E943" s="246">
        <v>162341254</v>
      </c>
      <c r="F943" s="246">
        <v>154618930</v>
      </c>
      <c r="G943" s="246">
        <v>7722324</v>
      </c>
      <c r="H943" s="246">
        <v>0</v>
      </c>
      <c r="J943" s="669">
        <v>1.4450000000000001</v>
      </c>
      <c r="K943" s="669">
        <v>9.5000000000000001E-2</v>
      </c>
      <c r="L943" s="669">
        <v>1.54</v>
      </c>
    </row>
    <row r="944" spans="1:12">
      <c r="A944" s="423" t="s">
        <v>6735</v>
      </c>
      <c r="B944" s="423" t="s">
        <v>7628</v>
      </c>
      <c r="C944" s="246">
        <v>989789202</v>
      </c>
      <c r="D944" s="246">
        <v>985023692</v>
      </c>
      <c r="E944" s="246">
        <v>988797274</v>
      </c>
      <c r="F944" s="246">
        <v>984031764</v>
      </c>
      <c r="G944" s="246">
        <v>4765510</v>
      </c>
      <c r="H944" s="246">
        <v>991928</v>
      </c>
      <c r="J944" s="669">
        <v>1.5</v>
      </c>
      <c r="K944" s="669">
        <v>4.3200000000000002E-2</v>
      </c>
      <c r="L944" s="669">
        <v>1.5431999999999999</v>
      </c>
    </row>
    <row r="945" spans="1:12">
      <c r="A945" s="423" t="s">
        <v>6736</v>
      </c>
      <c r="B945" s="423" t="s">
        <v>7629</v>
      </c>
      <c r="C945" s="246">
        <v>672400714</v>
      </c>
      <c r="D945" s="246">
        <v>670189129</v>
      </c>
      <c r="E945" s="246">
        <v>672400714</v>
      </c>
      <c r="F945" s="246">
        <v>670189129</v>
      </c>
      <c r="G945" s="246">
        <v>2211585</v>
      </c>
      <c r="H945" s="246">
        <v>0</v>
      </c>
      <c r="J945" s="669">
        <v>1.4643999999999999</v>
      </c>
      <c r="K945" s="669">
        <v>8.5599999999999996E-2</v>
      </c>
      <c r="L945" s="669">
        <v>1.55</v>
      </c>
    </row>
    <row r="946" spans="1:12">
      <c r="A946" s="423" t="s">
        <v>6737</v>
      </c>
      <c r="B946" s="423" t="s">
        <v>5638</v>
      </c>
      <c r="C946" s="246">
        <v>40442417</v>
      </c>
      <c r="D946" s="246">
        <v>38499941</v>
      </c>
      <c r="E946" s="246">
        <v>40442417</v>
      </c>
      <c r="F946" s="246">
        <v>38499941</v>
      </c>
      <c r="G946" s="246">
        <v>1942476</v>
      </c>
      <c r="H946" s="246">
        <v>0</v>
      </c>
      <c r="J946" s="669">
        <v>1.32</v>
      </c>
      <c r="K946" s="669">
        <v>0.06</v>
      </c>
      <c r="L946" s="669">
        <v>1.38</v>
      </c>
    </row>
    <row r="947" spans="1:12">
      <c r="A947" s="423" t="s">
        <v>6738</v>
      </c>
      <c r="B947" s="423" t="s">
        <v>375</v>
      </c>
      <c r="C947" s="246">
        <v>129569557</v>
      </c>
      <c r="D947" s="246">
        <v>123529459</v>
      </c>
      <c r="E947" s="246">
        <v>129569557</v>
      </c>
      <c r="F947" s="246">
        <v>123529459</v>
      </c>
      <c r="G947" s="246">
        <v>6040098</v>
      </c>
      <c r="H947" s="246">
        <v>0</v>
      </c>
      <c r="J947" s="669">
        <v>1.1218999999999999</v>
      </c>
      <c r="K947" s="669">
        <v>6.9500000000000006E-2</v>
      </c>
      <c r="L947" s="669">
        <v>1.1914</v>
      </c>
    </row>
    <row r="948" spans="1:12">
      <c r="A948" s="423" t="s">
        <v>6739</v>
      </c>
      <c r="B948" s="423" t="s">
        <v>6740</v>
      </c>
      <c r="C948" s="246">
        <v>673344123</v>
      </c>
      <c r="D948" s="246">
        <v>628905371</v>
      </c>
      <c r="E948" s="246">
        <v>673344123</v>
      </c>
      <c r="F948" s="246">
        <v>628905371</v>
      </c>
      <c r="G948" s="246">
        <v>44438752</v>
      </c>
      <c r="H948" s="246">
        <v>0</v>
      </c>
      <c r="J948" s="669">
        <v>1.3872</v>
      </c>
      <c r="K948" s="669">
        <v>0.1613</v>
      </c>
      <c r="L948" s="669">
        <v>1.5485</v>
      </c>
    </row>
    <row r="949" spans="1:12">
      <c r="A949" s="423" t="s">
        <v>6741</v>
      </c>
      <c r="B949" s="423" t="s">
        <v>7630</v>
      </c>
      <c r="C949" s="246">
        <v>110739632</v>
      </c>
      <c r="D949" s="246">
        <v>106588765</v>
      </c>
      <c r="E949" s="246">
        <v>110739632</v>
      </c>
      <c r="F949" s="246">
        <v>106588765</v>
      </c>
      <c r="G949" s="246">
        <v>4150867</v>
      </c>
      <c r="H949" s="246">
        <v>0</v>
      </c>
      <c r="J949" s="669">
        <v>1.4</v>
      </c>
      <c r="K949" s="669">
        <v>0</v>
      </c>
      <c r="L949" s="669">
        <v>1.4</v>
      </c>
    </row>
    <row r="950" spans="1:12">
      <c r="A950" s="423" t="s">
        <v>6742</v>
      </c>
      <c r="B950" s="423" t="s">
        <v>2014</v>
      </c>
      <c r="C950" s="246">
        <v>1088255177</v>
      </c>
      <c r="D950" s="246">
        <v>1010378845</v>
      </c>
      <c r="E950" s="246">
        <v>1039499155</v>
      </c>
      <c r="F950" s="246">
        <v>961622823</v>
      </c>
      <c r="G950" s="246">
        <v>77876332</v>
      </c>
      <c r="H950" s="246">
        <v>48756022</v>
      </c>
      <c r="J950" s="669">
        <v>1.44</v>
      </c>
      <c r="K950" s="669">
        <v>7.2679999999999995E-2</v>
      </c>
      <c r="L950" s="669">
        <v>1.51268</v>
      </c>
    </row>
    <row r="951" spans="1:12">
      <c r="A951" s="423" t="s">
        <v>6743</v>
      </c>
      <c r="B951" s="423" t="s">
        <v>7631</v>
      </c>
      <c r="C951" s="246">
        <v>151923373</v>
      </c>
      <c r="D951" s="246">
        <v>150485069</v>
      </c>
      <c r="E951" s="246">
        <v>151667360</v>
      </c>
      <c r="F951" s="246">
        <v>150229056</v>
      </c>
      <c r="G951" s="246">
        <v>1438304</v>
      </c>
      <c r="H951" s="246">
        <v>256013</v>
      </c>
      <c r="J951" s="669">
        <v>1.5</v>
      </c>
      <c r="K951" s="669">
        <v>0.22</v>
      </c>
      <c r="L951" s="669">
        <v>1.72</v>
      </c>
    </row>
    <row r="952" spans="1:12">
      <c r="A952" s="423" t="s">
        <v>6744</v>
      </c>
      <c r="B952" s="423" t="s">
        <v>7632</v>
      </c>
      <c r="C952" s="246">
        <v>499077676</v>
      </c>
      <c r="D952" s="246">
        <v>470171786</v>
      </c>
      <c r="E952" s="246">
        <v>499077676</v>
      </c>
      <c r="F952" s="246">
        <v>470171786</v>
      </c>
      <c r="G952" s="246">
        <v>28905890</v>
      </c>
      <c r="H952" s="246">
        <v>0</v>
      </c>
      <c r="J952" s="669">
        <v>1.46</v>
      </c>
      <c r="K952" s="669">
        <v>0.23050000000000001</v>
      </c>
      <c r="L952" s="669">
        <v>1.6904999999999999</v>
      </c>
    </row>
    <row r="953" spans="1:12">
      <c r="A953" s="423" t="s">
        <v>6745</v>
      </c>
      <c r="B953" s="423" t="s">
        <v>1926</v>
      </c>
      <c r="C953" s="246">
        <v>180074168</v>
      </c>
      <c r="D953" s="246">
        <v>167546368</v>
      </c>
      <c r="E953" s="246">
        <v>180074168</v>
      </c>
      <c r="F953" s="246">
        <v>167546368</v>
      </c>
      <c r="G953" s="246">
        <v>12527800</v>
      </c>
      <c r="H953" s="246">
        <v>0</v>
      </c>
      <c r="J953" s="669">
        <v>1.3399000000000001</v>
      </c>
      <c r="K953" s="669">
        <v>0.16</v>
      </c>
      <c r="L953" s="669">
        <v>1.4999</v>
      </c>
    </row>
    <row r="954" spans="1:12">
      <c r="A954" s="423" t="s">
        <v>6746</v>
      </c>
      <c r="B954" s="423" t="s">
        <v>4967</v>
      </c>
      <c r="C954" s="246">
        <v>199272563</v>
      </c>
      <c r="D954" s="246">
        <v>183183493</v>
      </c>
      <c r="E954" s="246">
        <v>188579922</v>
      </c>
      <c r="F954" s="246">
        <v>172490852</v>
      </c>
      <c r="G954" s="246">
        <v>16089070</v>
      </c>
      <c r="H954" s="246">
        <v>10692641</v>
      </c>
      <c r="J954" s="669">
        <v>1.31</v>
      </c>
      <c r="K954" s="669">
        <v>0.18</v>
      </c>
      <c r="L954" s="669">
        <v>1.49</v>
      </c>
    </row>
    <row r="955" spans="1:12">
      <c r="A955" s="423" t="s">
        <v>6747</v>
      </c>
      <c r="B955" s="423" t="s">
        <v>6068</v>
      </c>
      <c r="C955" s="246">
        <v>72272105</v>
      </c>
      <c r="D955" s="246">
        <v>67318315</v>
      </c>
      <c r="E955" s="246">
        <v>72272105</v>
      </c>
      <c r="F955" s="246">
        <v>67318315</v>
      </c>
      <c r="G955" s="246">
        <v>4953790</v>
      </c>
      <c r="H955" s="246">
        <v>0</v>
      </c>
      <c r="J955" s="669">
        <v>1.45</v>
      </c>
      <c r="K955" s="669">
        <v>0.11</v>
      </c>
      <c r="L955" s="669">
        <v>1.56</v>
      </c>
    </row>
    <row r="956" spans="1:12">
      <c r="A956" s="423" t="s">
        <v>6748</v>
      </c>
      <c r="B956" s="423" t="s">
        <v>7633</v>
      </c>
      <c r="C956" s="246">
        <v>443899064</v>
      </c>
      <c r="D956" s="246">
        <v>411344414</v>
      </c>
      <c r="E956" s="246">
        <v>419610075</v>
      </c>
      <c r="F956" s="246">
        <v>387055425</v>
      </c>
      <c r="G956" s="246">
        <v>32554650</v>
      </c>
      <c r="H956" s="246">
        <v>24288989</v>
      </c>
      <c r="J956" s="669">
        <v>1.5</v>
      </c>
      <c r="K956" s="669">
        <v>5.799E-2</v>
      </c>
      <c r="L956" s="669">
        <v>1.55799</v>
      </c>
    </row>
    <row r="957" spans="1:12">
      <c r="A957" s="423" t="s">
        <v>6749</v>
      </c>
      <c r="B957" s="423" t="s">
        <v>7634</v>
      </c>
      <c r="C957" s="246">
        <v>421318721</v>
      </c>
      <c r="D957" s="246">
        <v>388710761</v>
      </c>
      <c r="E957" s="246">
        <v>421318721</v>
      </c>
      <c r="F957" s="246">
        <v>388710761</v>
      </c>
      <c r="G957" s="246">
        <v>32607960</v>
      </c>
      <c r="H957" s="246">
        <v>0</v>
      </c>
      <c r="J957" s="669">
        <v>1.5</v>
      </c>
      <c r="K957" s="669">
        <v>0.09</v>
      </c>
      <c r="L957" s="669">
        <v>1.59</v>
      </c>
    </row>
    <row r="958" spans="1:12">
      <c r="A958" s="423" t="s">
        <v>6750</v>
      </c>
      <c r="B958" s="423" t="s">
        <v>118</v>
      </c>
      <c r="C958" s="246">
        <v>54006282</v>
      </c>
      <c r="D958" s="246">
        <v>49999732</v>
      </c>
      <c r="E958" s="246">
        <v>51535027</v>
      </c>
      <c r="F958" s="246">
        <v>47528477</v>
      </c>
      <c r="G958" s="246">
        <v>4006550</v>
      </c>
      <c r="H958" s="246">
        <v>2471255</v>
      </c>
      <c r="J958" s="669">
        <v>1.5</v>
      </c>
      <c r="K958" s="669">
        <v>7.0699999999999999E-2</v>
      </c>
      <c r="L958" s="669">
        <v>1.5707</v>
      </c>
    </row>
    <row r="959" spans="1:12">
      <c r="A959" s="423" t="s">
        <v>6751</v>
      </c>
      <c r="B959" s="423" t="s">
        <v>7660</v>
      </c>
      <c r="C959" s="246">
        <v>125127088</v>
      </c>
      <c r="D959" s="246">
        <v>118084358</v>
      </c>
      <c r="E959" s="246">
        <v>125127088</v>
      </c>
      <c r="F959" s="246">
        <v>118084358</v>
      </c>
      <c r="G959" s="246">
        <v>7042730</v>
      </c>
      <c r="H959" s="246">
        <v>0</v>
      </c>
      <c r="J959" s="669">
        <v>1.5</v>
      </c>
      <c r="K959" s="669">
        <v>0.14330000000000001</v>
      </c>
      <c r="L959" s="669">
        <v>1.6433</v>
      </c>
    </row>
    <row r="960" spans="1:12">
      <c r="A960" s="423" t="s">
        <v>6752</v>
      </c>
      <c r="B960" s="423" t="s">
        <v>4058</v>
      </c>
      <c r="C960" s="246">
        <v>3478152816</v>
      </c>
      <c r="D960" s="246">
        <v>3322877713</v>
      </c>
      <c r="E960" s="246">
        <v>3478152816</v>
      </c>
      <c r="F960" s="246">
        <v>3322877713</v>
      </c>
      <c r="G960" s="246">
        <v>155275103</v>
      </c>
      <c r="H960" s="246">
        <v>0</v>
      </c>
      <c r="J960" s="669">
        <v>1.456</v>
      </c>
      <c r="K960" s="669">
        <v>9.7500000000000003E-2</v>
      </c>
      <c r="L960" s="669">
        <v>1.5535000000000001</v>
      </c>
    </row>
    <row r="961" spans="1:12">
      <c r="A961" s="423" t="s">
        <v>6753</v>
      </c>
      <c r="B961" s="423" t="s">
        <v>7635</v>
      </c>
      <c r="C961" s="246">
        <v>156252936</v>
      </c>
      <c r="D961" s="246">
        <v>152366501</v>
      </c>
      <c r="E961" s="246">
        <v>156252936</v>
      </c>
      <c r="F961" s="246">
        <v>152366501</v>
      </c>
      <c r="G961" s="246">
        <v>3886435</v>
      </c>
      <c r="H961" s="246">
        <v>0</v>
      </c>
      <c r="J961" s="669">
        <v>1.37</v>
      </c>
      <c r="K961" s="669">
        <v>0</v>
      </c>
      <c r="L961" s="669">
        <v>1.37</v>
      </c>
    </row>
    <row r="962" spans="1:12">
      <c r="A962" s="423" t="s">
        <v>6754</v>
      </c>
      <c r="B962" s="423" t="s">
        <v>1935</v>
      </c>
      <c r="C962" s="246">
        <v>145762782</v>
      </c>
      <c r="D962" s="246">
        <v>134908211</v>
      </c>
      <c r="E962" s="246">
        <v>145762782</v>
      </c>
      <c r="F962" s="246">
        <v>134908211</v>
      </c>
      <c r="G962" s="246">
        <v>10854571</v>
      </c>
      <c r="H962" s="246">
        <v>0</v>
      </c>
      <c r="J962" s="669">
        <v>1.4</v>
      </c>
      <c r="K962" s="669">
        <v>0.20080000000000001</v>
      </c>
      <c r="L962" s="669">
        <v>1.6008</v>
      </c>
    </row>
    <row r="963" spans="1:12">
      <c r="A963" s="423" t="s">
        <v>6755</v>
      </c>
      <c r="B963" s="423" t="s">
        <v>7636</v>
      </c>
      <c r="C963" s="246">
        <v>1356873348</v>
      </c>
      <c r="D963" s="246">
        <v>1276336659</v>
      </c>
      <c r="E963" s="246">
        <v>1356873348</v>
      </c>
      <c r="F963" s="246">
        <v>1276336659</v>
      </c>
      <c r="G963" s="246">
        <v>80536689</v>
      </c>
      <c r="H963" s="246">
        <v>0</v>
      </c>
      <c r="J963" s="669">
        <v>1.4850000000000001</v>
      </c>
      <c r="K963" s="669">
        <v>0.17499999999999999</v>
      </c>
      <c r="L963" s="669">
        <v>1.66</v>
      </c>
    </row>
    <row r="964" spans="1:12">
      <c r="A964" s="423" t="s">
        <v>6756</v>
      </c>
      <c r="B964" s="423" t="s">
        <v>3842</v>
      </c>
      <c r="C964" s="246">
        <v>329353148</v>
      </c>
      <c r="D964" s="246">
        <v>313379348</v>
      </c>
      <c r="E964" s="246">
        <v>329353148</v>
      </c>
      <c r="F964" s="246">
        <v>313379348</v>
      </c>
      <c r="G964" s="246">
        <v>15973800</v>
      </c>
      <c r="H964" s="246">
        <v>0</v>
      </c>
      <c r="J964" s="669">
        <v>1.5</v>
      </c>
      <c r="K964" s="669">
        <v>0.22</v>
      </c>
      <c r="L964" s="669">
        <v>1.72</v>
      </c>
    </row>
    <row r="965" spans="1:12">
      <c r="A965" s="423" t="s">
        <v>6757</v>
      </c>
      <c r="B965" s="423" t="s">
        <v>4062</v>
      </c>
      <c r="C965" s="246">
        <v>1143025738</v>
      </c>
      <c r="D965" s="246">
        <v>1087135638</v>
      </c>
      <c r="E965" s="246">
        <v>1143025738</v>
      </c>
      <c r="F965" s="246">
        <v>1087135638</v>
      </c>
      <c r="G965" s="246">
        <v>55890100</v>
      </c>
      <c r="H965" s="246">
        <v>0</v>
      </c>
      <c r="J965" s="669">
        <v>1.5</v>
      </c>
      <c r="K965" s="669">
        <v>0.38</v>
      </c>
      <c r="L965" s="669">
        <v>1.88</v>
      </c>
    </row>
    <row r="966" spans="1:12">
      <c r="A966" s="423" t="s">
        <v>6758</v>
      </c>
      <c r="B966" s="423" t="s">
        <v>7637</v>
      </c>
      <c r="C966" s="246">
        <v>500520287</v>
      </c>
      <c r="D966" s="246">
        <v>484673802</v>
      </c>
      <c r="E966" s="246">
        <v>496906779</v>
      </c>
      <c r="F966" s="246">
        <v>481060294</v>
      </c>
      <c r="G966" s="246">
        <v>15846485</v>
      </c>
      <c r="H966" s="246">
        <v>3613508</v>
      </c>
      <c r="J966" s="669">
        <v>1.5</v>
      </c>
      <c r="K966" s="669">
        <v>0.15</v>
      </c>
      <c r="L966" s="669">
        <v>1.65</v>
      </c>
    </row>
    <row r="967" spans="1:12">
      <c r="A967" s="423" t="s">
        <v>6759</v>
      </c>
      <c r="B967" s="423" t="s">
        <v>7638</v>
      </c>
      <c r="C967" s="246">
        <v>998687716</v>
      </c>
      <c r="D967" s="246">
        <v>977564596</v>
      </c>
      <c r="E967" s="246">
        <v>992161321</v>
      </c>
      <c r="F967" s="246">
        <v>971038201</v>
      </c>
      <c r="G967" s="246">
        <v>21123120</v>
      </c>
      <c r="H967" s="246">
        <v>6526395</v>
      </c>
      <c r="J967" s="669">
        <v>1.4</v>
      </c>
      <c r="K967" s="669">
        <v>0</v>
      </c>
      <c r="L967" s="669">
        <v>1.4</v>
      </c>
    </row>
    <row r="968" spans="1:12">
      <c r="A968" s="423" t="s">
        <v>6760</v>
      </c>
      <c r="B968" s="423" t="s">
        <v>2936</v>
      </c>
      <c r="C968" s="246">
        <v>125346444</v>
      </c>
      <c r="D968" s="246">
        <v>124466484</v>
      </c>
      <c r="E968" s="246">
        <v>125197854</v>
      </c>
      <c r="F968" s="246">
        <v>124317894</v>
      </c>
      <c r="G968" s="246">
        <v>879960</v>
      </c>
      <c r="H968" s="246">
        <v>148590</v>
      </c>
      <c r="J968" s="669">
        <v>1.5</v>
      </c>
      <c r="K968" s="669">
        <v>6.6799999999999998E-2</v>
      </c>
      <c r="L968" s="669">
        <v>1.5668</v>
      </c>
    </row>
    <row r="969" spans="1:12">
      <c r="A969" s="423" t="s">
        <v>6761</v>
      </c>
      <c r="B969" s="423" t="s">
        <v>2937</v>
      </c>
      <c r="C969" s="246">
        <v>1605915224</v>
      </c>
      <c r="D969" s="246">
        <v>1537813415</v>
      </c>
      <c r="E969" s="246">
        <v>1605915224</v>
      </c>
      <c r="F969" s="246">
        <v>1537813415</v>
      </c>
      <c r="G969" s="246">
        <v>68101809</v>
      </c>
      <c r="H969" s="246">
        <v>0</v>
      </c>
      <c r="J969" s="669">
        <v>1.46</v>
      </c>
      <c r="K969" s="669">
        <v>0.15</v>
      </c>
      <c r="L969" s="669">
        <v>1.61</v>
      </c>
    </row>
    <row r="970" spans="1:12">
      <c r="A970" s="423" t="s">
        <v>6762</v>
      </c>
      <c r="B970" s="423" t="s">
        <v>2938</v>
      </c>
      <c r="C970" s="246">
        <v>264087417</v>
      </c>
      <c r="D970" s="246">
        <v>255569568</v>
      </c>
      <c r="E970" s="246">
        <v>264087417</v>
      </c>
      <c r="F970" s="246">
        <v>255569568</v>
      </c>
      <c r="G970" s="246">
        <v>8517849</v>
      </c>
      <c r="H970" s="246">
        <v>0</v>
      </c>
      <c r="J970" s="669">
        <v>1.5</v>
      </c>
      <c r="K970" s="669">
        <v>0.03</v>
      </c>
      <c r="L970" s="669">
        <v>1.53</v>
      </c>
    </row>
    <row r="971" spans="1:12">
      <c r="A971" s="423" t="s">
        <v>6763</v>
      </c>
      <c r="B971" s="423" t="s">
        <v>187</v>
      </c>
      <c r="C971" s="246">
        <v>1834548525</v>
      </c>
      <c r="D971" s="246">
        <v>1723802592</v>
      </c>
      <c r="E971" s="246">
        <v>1834548525</v>
      </c>
      <c r="F971" s="246">
        <v>1723802592</v>
      </c>
      <c r="G971" s="246">
        <v>110745933</v>
      </c>
      <c r="H971" s="246">
        <v>0</v>
      </c>
      <c r="J971" s="669">
        <v>1.3829100000000001</v>
      </c>
      <c r="K971" s="669">
        <v>0.17119999999999999</v>
      </c>
      <c r="L971" s="669">
        <v>1.5541100000000001</v>
      </c>
    </row>
    <row r="972" spans="1:12">
      <c r="A972" s="423" t="s">
        <v>6764</v>
      </c>
      <c r="B972" s="423" t="s">
        <v>5370</v>
      </c>
      <c r="C972" s="246">
        <v>6743437413</v>
      </c>
      <c r="D972" s="246">
        <v>6541623400</v>
      </c>
      <c r="E972" s="246">
        <v>6585961882</v>
      </c>
      <c r="F972" s="246">
        <v>6384147869</v>
      </c>
      <c r="G972" s="246">
        <v>201814013</v>
      </c>
      <c r="H972" s="246">
        <v>157475531</v>
      </c>
      <c r="J972" s="669">
        <v>1.37995</v>
      </c>
      <c r="K972" s="669">
        <v>0.22692599999999999</v>
      </c>
      <c r="L972" s="669">
        <v>1.60687</v>
      </c>
    </row>
    <row r="973" spans="1:12">
      <c r="A973" s="423" t="s">
        <v>6765</v>
      </c>
      <c r="B973" s="423" t="s">
        <v>6766</v>
      </c>
      <c r="C973" s="246">
        <v>1159103572</v>
      </c>
      <c r="D973" s="246">
        <v>1156928245</v>
      </c>
      <c r="E973" s="246">
        <v>1158465289</v>
      </c>
      <c r="F973" s="246">
        <v>1156289962</v>
      </c>
      <c r="G973" s="246">
        <v>2175327</v>
      </c>
      <c r="H973" s="246">
        <v>638283</v>
      </c>
      <c r="J973" s="669">
        <v>1.1499999999999999</v>
      </c>
      <c r="K973" s="669">
        <v>5.7382000000000002E-2</v>
      </c>
      <c r="L973" s="669">
        <v>1.2073799999999999</v>
      </c>
    </row>
    <row r="974" spans="1:12">
      <c r="A974" s="423" t="s">
        <v>6767</v>
      </c>
      <c r="B974" s="423" t="s">
        <v>2941</v>
      </c>
      <c r="C974" s="246">
        <v>157404499</v>
      </c>
      <c r="D974" s="246">
        <v>146827817</v>
      </c>
      <c r="E974" s="246">
        <v>157404499</v>
      </c>
      <c r="F974" s="246">
        <v>146827817</v>
      </c>
      <c r="G974" s="246">
        <v>10576682</v>
      </c>
      <c r="H974" s="246">
        <v>0</v>
      </c>
      <c r="J974" s="669">
        <v>1.5</v>
      </c>
      <c r="K974" s="669">
        <v>0</v>
      </c>
      <c r="L974" s="669">
        <v>1.5</v>
      </c>
    </row>
    <row r="975" spans="1:12">
      <c r="A975" s="423" t="s">
        <v>6768</v>
      </c>
      <c r="B975" s="423" t="s">
        <v>6720</v>
      </c>
      <c r="C975" s="246">
        <v>227989200</v>
      </c>
      <c r="D975" s="246">
        <v>217794484</v>
      </c>
      <c r="E975" s="246">
        <v>227989200</v>
      </c>
      <c r="F975" s="246">
        <v>217794484</v>
      </c>
      <c r="G975" s="246">
        <v>10194716</v>
      </c>
      <c r="H975" s="246">
        <v>0</v>
      </c>
      <c r="J975" s="669">
        <v>1.4886999999999999</v>
      </c>
      <c r="K975" s="669">
        <v>0.14119999999999999</v>
      </c>
      <c r="L975" s="669">
        <v>1.6298999999999999</v>
      </c>
    </row>
    <row r="976" spans="1:12">
      <c r="A976" s="423" t="s">
        <v>6769</v>
      </c>
      <c r="B976" s="423" t="s">
        <v>6721</v>
      </c>
      <c r="C976" s="246">
        <v>863759540</v>
      </c>
      <c r="D976" s="246">
        <v>825667530</v>
      </c>
      <c r="E976" s="246">
        <v>863759540</v>
      </c>
      <c r="F976" s="246">
        <v>825667530</v>
      </c>
      <c r="G976" s="246">
        <v>38092010</v>
      </c>
      <c r="H976" s="246">
        <v>0</v>
      </c>
      <c r="J976" s="669">
        <v>1.3956</v>
      </c>
      <c r="K976" s="669">
        <v>4.1000000000000002E-2</v>
      </c>
      <c r="L976" s="669">
        <v>1.4366000000000001</v>
      </c>
    </row>
    <row r="977" spans="1:12">
      <c r="A977" s="423" t="s">
        <v>6770</v>
      </c>
      <c r="B977" s="423" t="s">
        <v>6722</v>
      </c>
      <c r="C977" s="246">
        <v>552290545</v>
      </c>
      <c r="D977" s="246">
        <v>525390915</v>
      </c>
      <c r="E977" s="246">
        <v>552290545</v>
      </c>
      <c r="F977" s="246">
        <v>525390915</v>
      </c>
      <c r="G977" s="246">
        <v>26899630</v>
      </c>
      <c r="H977" s="246">
        <v>0</v>
      </c>
      <c r="J977" s="669">
        <v>1.4850000000000001</v>
      </c>
      <c r="K977" s="669">
        <v>0</v>
      </c>
      <c r="L977" s="669">
        <v>1.4850000000000001</v>
      </c>
    </row>
    <row r="978" spans="1:12">
      <c r="A978" s="423" t="s">
        <v>6771</v>
      </c>
      <c r="B978" s="423" t="s">
        <v>6723</v>
      </c>
      <c r="C978" s="246">
        <v>149210089</v>
      </c>
      <c r="D978" s="246">
        <v>143704129</v>
      </c>
      <c r="E978" s="246">
        <v>149210089</v>
      </c>
      <c r="F978" s="246">
        <v>143704129</v>
      </c>
      <c r="G978" s="246">
        <v>5505960</v>
      </c>
      <c r="H978" s="246">
        <v>0</v>
      </c>
      <c r="J978" s="669">
        <v>1.4450000000000001</v>
      </c>
      <c r="K978" s="669">
        <v>0.155</v>
      </c>
      <c r="L978" s="669">
        <v>1.6</v>
      </c>
    </row>
    <row r="979" spans="1:12">
      <c r="A979" s="423" t="s">
        <v>6772</v>
      </c>
      <c r="B979" s="423" t="s">
        <v>6724</v>
      </c>
      <c r="C979" s="246">
        <v>134370072</v>
      </c>
      <c r="D979" s="246">
        <v>128558147</v>
      </c>
      <c r="E979" s="246">
        <v>134370072</v>
      </c>
      <c r="F979" s="246">
        <v>128558147</v>
      </c>
      <c r="G979" s="246">
        <v>5811925</v>
      </c>
      <c r="H979" s="246">
        <v>0</v>
      </c>
      <c r="J979" s="669">
        <v>1.48</v>
      </c>
      <c r="K979" s="669">
        <v>0</v>
      </c>
      <c r="L979" s="669">
        <v>1.48</v>
      </c>
    </row>
    <row r="980" spans="1:12">
      <c r="A980" s="423" t="s">
        <v>6773</v>
      </c>
      <c r="B980" s="423" t="s">
        <v>1546</v>
      </c>
      <c r="C980" s="246">
        <v>140036106</v>
      </c>
      <c r="D980" s="246">
        <v>135605684</v>
      </c>
      <c r="E980" s="246">
        <v>140036106</v>
      </c>
      <c r="F980" s="246">
        <v>135605684</v>
      </c>
      <c r="G980" s="246">
        <v>4430422</v>
      </c>
      <c r="H980" s="246">
        <v>0</v>
      </c>
      <c r="J980" s="669">
        <v>1.5</v>
      </c>
      <c r="K980" s="669">
        <v>0</v>
      </c>
      <c r="L980" s="669">
        <v>1.5</v>
      </c>
    </row>
    <row r="981" spans="1:12">
      <c r="A981" s="423" t="s">
        <v>6774</v>
      </c>
      <c r="B981" s="423" t="s">
        <v>1547</v>
      </c>
      <c r="C981" s="246">
        <v>168224474</v>
      </c>
      <c r="D981" s="246">
        <v>167973134</v>
      </c>
      <c r="E981" s="246">
        <v>168224474</v>
      </c>
      <c r="F981" s="246">
        <v>167973134</v>
      </c>
      <c r="G981" s="246">
        <v>251340</v>
      </c>
      <c r="H981" s="246">
        <v>0</v>
      </c>
      <c r="J981" s="669">
        <v>0.97</v>
      </c>
      <c r="K981" s="669">
        <v>0</v>
      </c>
      <c r="L981" s="669">
        <v>0.97</v>
      </c>
    </row>
    <row r="982" spans="1:12">
      <c r="A982" s="423" t="s">
        <v>6775</v>
      </c>
      <c r="B982" s="423" t="s">
        <v>1548</v>
      </c>
      <c r="C982" s="246">
        <v>739744610</v>
      </c>
      <c r="D982" s="246">
        <v>737771993</v>
      </c>
      <c r="E982" s="246">
        <v>739744610</v>
      </c>
      <c r="F982" s="246">
        <v>737771993</v>
      </c>
      <c r="G982" s="246">
        <v>1972617</v>
      </c>
      <c r="H982" s="246">
        <v>0</v>
      </c>
      <c r="J982" s="669">
        <v>1.1200000000000001</v>
      </c>
      <c r="K982" s="669">
        <v>5.2999999999999999E-2</v>
      </c>
      <c r="L982" s="669">
        <v>1.173</v>
      </c>
    </row>
    <row r="983" spans="1:12">
      <c r="A983" s="423" t="s">
        <v>6776</v>
      </c>
      <c r="B983" s="423" t="s">
        <v>2146</v>
      </c>
      <c r="C983" s="246">
        <v>617640518</v>
      </c>
      <c r="D983" s="246">
        <v>579260712</v>
      </c>
      <c r="E983" s="246">
        <v>617640518</v>
      </c>
      <c r="F983" s="246">
        <v>579260712</v>
      </c>
      <c r="G983" s="246">
        <v>38379806</v>
      </c>
      <c r="H983" s="246">
        <v>0</v>
      </c>
      <c r="J983" s="669">
        <v>1.5</v>
      </c>
      <c r="K983" s="669">
        <v>0.1288</v>
      </c>
      <c r="L983" s="669">
        <v>1.6288</v>
      </c>
    </row>
    <row r="984" spans="1:12">
      <c r="A984" s="423" t="s">
        <v>6777</v>
      </c>
      <c r="B984" s="423" t="s">
        <v>1549</v>
      </c>
      <c r="C984" s="246">
        <v>166060689</v>
      </c>
      <c r="D984" s="246">
        <v>157986014</v>
      </c>
      <c r="E984" s="246">
        <v>166060689</v>
      </c>
      <c r="F984" s="246">
        <v>157986014</v>
      </c>
      <c r="G984" s="246">
        <v>8074675</v>
      </c>
      <c r="H984" s="246">
        <v>0</v>
      </c>
      <c r="J984" s="669">
        <v>1.5</v>
      </c>
      <c r="K984" s="669">
        <v>7.0000000000000007E-2</v>
      </c>
      <c r="L984" s="669">
        <v>1.57</v>
      </c>
    </row>
    <row r="985" spans="1:12">
      <c r="A985" s="423" t="s">
        <v>6778</v>
      </c>
      <c r="B985" s="423" t="s">
        <v>6779</v>
      </c>
      <c r="C985" s="246">
        <v>434811501</v>
      </c>
      <c r="D985" s="246">
        <v>407584719</v>
      </c>
      <c r="E985" s="246">
        <v>434811501</v>
      </c>
      <c r="F985" s="246">
        <v>407584719</v>
      </c>
      <c r="G985" s="246">
        <v>27226782</v>
      </c>
      <c r="H985" s="246">
        <v>0</v>
      </c>
      <c r="J985" s="669">
        <v>1.49</v>
      </c>
      <c r="K985" s="669">
        <v>0.09</v>
      </c>
      <c r="L985" s="669">
        <v>1.58</v>
      </c>
    </row>
    <row r="986" spans="1:12">
      <c r="A986" s="423" t="s">
        <v>6780</v>
      </c>
      <c r="B986" s="423" t="s">
        <v>1551</v>
      </c>
      <c r="C986" s="246">
        <v>3511954180</v>
      </c>
      <c r="D986" s="246">
        <v>3337918957</v>
      </c>
      <c r="E986" s="246">
        <v>3511954180</v>
      </c>
      <c r="F986" s="246">
        <v>3337918957</v>
      </c>
      <c r="G986" s="246">
        <v>174035223</v>
      </c>
      <c r="H986" s="246">
        <v>0</v>
      </c>
      <c r="J986" s="669">
        <v>1.5</v>
      </c>
      <c r="K986" s="669">
        <v>6.3600000000000004E-2</v>
      </c>
      <c r="L986" s="669">
        <v>1.5636000000000001</v>
      </c>
    </row>
    <row r="987" spans="1:12">
      <c r="A987" s="423" t="s">
        <v>6781</v>
      </c>
      <c r="B987" s="423" t="s">
        <v>6112</v>
      </c>
      <c r="C987" s="246">
        <v>164194997</v>
      </c>
      <c r="D987" s="246">
        <v>153445961</v>
      </c>
      <c r="E987" s="246">
        <v>164194997</v>
      </c>
      <c r="F987" s="246">
        <v>153445961</v>
      </c>
      <c r="G987" s="246">
        <v>10749036</v>
      </c>
      <c r="H987" s="246">
        <v>0</v>
      </c>
      <c r="J987" s="669">
        <v>1.5</v>
      </c>
      <c r="K987" s="669">
        <v>0.22600000000000001</v>
      </c>
      <c r="L987" s="669">
        <v>1.726</v>
      </c>
    </row>
    <row r="988" spans="1:12">
      <c r="A988" s="423" t="s">
        <v>6782</v>
      </c>
      <c r="B988" s="423" t="s">
        <v>1485</v>
      </c>
      <c r="C988" s="246">
        <v>30207011</v>
      </c>
      <c r="D988" s="246">
        <v>29796301</v>
      </c>
      <c r="E988" s="246">
        <v>30207011</v>
      </c>
      <c r="F988" s="246">
        <v>29796301</v>
      </c>
      <c r="G988" s="246">
        <v>410710</v>
      </c>
      <c r="H988" s="246">
        <v>0</v>
      </c>
      <c r="J988" s="669">
        <v>1.5</v>
      </c>
      <c r="K988" s="669">
        <v>0</v>
      </c>
      <c r="L988" s="669">
        <v>1.5</v>
      </c>
    </row>
    <row r="989" spans="1:12">
      <c r="A989" s="423" t="s">
        <v>6783</v>
      </c>
      <c r="B989" s="423" t="s">
        <v>1486</v>
      </c>
      <c r="C989" s="246">
        <v>711267543</v>
      </c>
      <c r="D989" s="246">
        <v>685273823</v>
      </c>
      <c r="E989" s="246">
        <v>711267543</v>
      </c>
      <c r="F989" s="246">
        <v>685273823</v>
      </c>
      <c r="G989" s="246">
        <v>25993720</v>
      </c>
      <c r="H989" s="246">
        <v>0</v>
      </c>
      <c r="J989" s="669">
        <v>1.5</v>
      </c>
      <c r="K989" s="669">
        <v>0.1075</v>
      </c>
      <c r="L989" s="669">
        <v>1.6074999999999999</v>
      </c>
    </row>
    <row r="990" spans="1:12">
      <c r="A990" s="423" t="s">
        <v>6784</v>
      </c>
      <c r="B990" s="423" t="s">
        <v>1939</v>
      </c>
      <c r="C990" s="246">
        <v>16212591</v>
      </c>
      <c r="D990" s="246">
        <v>15630981</v>
      </c>
      <c r="E990" s="246">
        <v>16212591</v>
      </c>
      <c r="F990" s="246">
        <v>15630981</v>
      </c>
      <c r="G990" s="246">
        <v>581610</v>
      </c>
      <c r="H990" s="246">
        <v>0</v>
      </c>
      <c r="J990" s="669">
        <v>1.5</v>
      </c>
      <c r="K990" s="669">
        <v>0</v>
      </c>
      <c r="L990" s="669">
        <v>1.5</v>
      </c>
    </row>
    <row r="991" spans="1:12">
      <c r="A991" s="423" t="s">
        <v>6785</v>
      </c>
      <c r="B991" s="423" t="s">
        <v>188</v>
      </c>
      <c r="C991" s="246">
        <v>33369207</v>
      </c>
      <c r="D991" s="246">
        <v>30770973</v>
      </c>
      <c r="E991" s="246">
        <v>33369207</v>
      </c>
      <c r="F991" s="246">
        <v>30770973</v>
      </c>
      <c r="G991" s="246">
        <v>2598234</v>
      </c>
      <c r="H991" s="246">
        <v>0</v>
      </c>
      <c r="J991" s="669">
        <v>1.5</v>
      </c>
      <c r="K991" s="669">
        <v>0.13</v>
      </c>
      <c r="L991" s="669">
        <v>1.63</v>
      </c>
    </row>
    <row r="992" spans="1:12">
      <c r="A992" s="423" t="s">
        <v>6786</v>
      </c>
      <c r="B992" s="423" t="s">
        <v>6058</v>
      </c>
      <c r="C992" s="246">
        <v>163194756</v>
      </c>
      <c r="D992" s="246">
        <v>151172123</v>
      </c>
      <c r="E992" s="246">
        <v>163194756</v>
      </c>
      <c r="F992" s="246">
        <v>151172123</v>
      </c>
      <c r="G992" s="246">
        <v>12022633</v>
      </c>
      <c r="H992" s="246">
        <v>0</v>
      </c>
      <c r="J992" s="669">
        <v>1.5</v>
      </c>
      <c r="K992" s="669">
        <v>0.08</v>
      </c>
      <c r="L992" s="669">
        <v>1.58</v>
      </c>
    </row>
    <row r="993" spans="1:12">
      <c r="A993" s="423" t="s">
        <v>6787</v>
      </c>
      <c r="B993" s="423" t="s">
        <v>356</v>
      </c>
      <c r="C993" s="246">
        <v>324044920</v>
      </c>
      <c r="D993" s="246">
        <v>305135820</v>
      </c>
      <c r="E993" s="246">
        <v>324044920</v>
      </c>
      <c r="F993" s="246">
        <v>305135820</v>
      </c>
      <c r="G993" s="246">
        <v>18909100</v>
      </c>
      <c r="H993" s="246">
        <v>0</v>
      </c>
      <c r="J993" s="669">
        <v>1.38</v>
      </c>
      <c r="K993" s="669">
        <v>0.16</v>
      </c>
      <c r="L993" s="669">
        <v>1.54</v>
      </c>
    </row>
    <row r="994" spans="1:12">
      <c r="A994" s="423" t="s">
        <v>6788</v>
      </c>
      <c r="B994" s="423" t="s">
        <v>384</v>
      </c>
      <c r="C994" s="246">
        <v>61726112</v>
      </c>
      <c r="D994" s="246">
        <v>58924510</v>
      </c>
      <c r="E994" s="246">
        <v>61726112</v>
      </c>
      <c r="F994" s="246">
        <v>58924510</v>
      </c>
      <c r="G994" s="246">
        <v>2801602</v>
      </c>
      <c r="H994" s="246">
        <v>0</v>
      </c>
      <c r="J994" s="669">
        <v>1.5</v>
      </c>
      <c r="K994" s="669">
        <v>7.1429999999999993E-2</v>
      </c>
      <c r="L994" s="669">
        <v>1.5714300000000001</v>
      </c>
    </row>
    <row r="995" spans="1:12">
      <c r="A995" s="423" t="s">
        <v>6789</v>
      </c>
      <c r="B995" s="423" t="s">
        <v>111</v>
      </c>
      <c r="C995" s="246">
        <v>200906168</v>
      </c>
      <c r="D995" s="246">
        <v>189879181</v>
      </c>
      <c r="E995" s="246">
        <v>200906168</v>
      </c>
      <c r="F995" s="246">
        <v>189879181</v>
      </c>
      <c r="G995" s="246">
        <v>11026987</v>
      </c>
      <c r="H995" s="246">
        <v>0</v>
      </c>
      <c r="J995" s="669">
        <v>1.5</v>
      </c>
      <c r="K995" s="669">
        <v>0.23</v>
      </c>
      <c r="L995" s="669">
        <v>1.73</v>
      </c>
    </row>
    <row r="996" spans="1:12">
      <c r="A996" s="423" t="s">
        <v>6790</v>
      </c>
      <c r="B996" s="423" t="s">
        <v>125</v>
      </c>
      <c r="C996" s="246">
        <v>3548793236</v>
      </c>
      <c r="D996" s="246">
        <v>3418117555</v>
      </c>
      <c r="E996" s="246">
        <v>3548793236</v>
      </c>
      <c r="F996" s="246">
        <v>3418117555</v>
      </c>
      <c r="G996" s="246">
        <v>130675681</v>
      </c>
      <c r="H996" s="246">
        <v>0</v>
      </c>
      <c r="J996" s="669">
        <v>1.5</v>
      </c>
      <c r="K996" s="669">
        <v>0.255</v>
      </c>
      <c r="L996" s="669">
        <v>1.7549999999999999</v>
      </c>
    </row>
    <row r="997" spans="1:12">
      <c r="A997" s="423" t="s">
        <v>6791</v>
      </c>
      <c r="B997" s="423" t="s">
        <v>3912</v>
      </c>
      <c r="C997" s="246">
        <v>85403682</v>
      </c>
      <c r="D997" s="246">
        <v>79333899</v>
      </c>
      <c r="E997" s="246">
        <v>85403682</v>
      </c>
      <c r="F997" s="246">
        <v>79333899</v>
      </c>
      <c r="G997" s="246">
        <v>6069783</v>
      </c>
      <c r="H997" s="246">
        <v>0</v>
      </c>
      <c r="J997" s="669">
        <v>1.48</v>
      </c>
      <c r="K997" s="669">
        <v>6.7500000000000004E-2</v>
      </c>
      <c r="L997" s="669">
        <v>1.5475000000000001</v>
      </c>
    </row>
    <row r="998" spans="1:12">
      <c r="A998" s="423" t="s">
        <v>6792</v>
      </c>
      <c r="B998" s="423" t="s">
        <v>3859</v>
      </c>
      <c r="C998" s="246">
        <v>817100876</v>
      </c>
      <c r="D998" s="246">
        <v>789375814</v>
      </c>
      <c r="E998" s="246">
        <v>817100876</v>
      </c>
      <c r="F998" s="246">
        <v>789375814</v>
      </c>
      <c r="G998" s="246">
        <v>27725062</v>
      </c>
      <c r="H998" s="246">
        <v>0</v>
      </c>
      <c r="J998" s="669">
        <v>1.49</v>
      </c>
      <c r="K998" s="669">
        <v>0.34329999999999999</v>
      </c>
      <c r="L998" s="669">
        <v>1.8332999999999999</v>
      </c>
    </row>
    <row r="999" spans="1:12">
      <c r="A999" s="423" t="s">
        <v>6793</v>
      </c>
      <c r="B999" s="423" t="s">
        <v>1487</v>
      </c>
      <c r="C999" s="246">
        <v>382969888</v>
      </c>
      <c r="D999" s="246">
        <v>363838243</v>
      </c>
      <c r="E999" s="246">
        <v>382969888</v>
      </c>
      <c r="F999" s="246">
        <v>363838243</v>
      </c>
      <c r="G999" s="246">
        <v>19131645</v>
      </c>
      <c r="H999" s="246">
        <v>0</v>
      </c>
      <c r="J999" s="669">
        <v>1.5</v>
      </c>
      <c r="K999" s="669">
        <v>0.19</v>
      </c>
      <c r="L999" s="669">
        <v>1.69</v>
      </c>
    </row>
    <row r="1000" spans="1:12">
      <c r="A1000" s="423" t="s">
        <v>6794</v>
      </c>
      <c r="B1000" s="423" t="s">
        <v>191</v>
      </c>
      <c r="C1000" s="246">
        <v>619393268</v>
      </c>
      <c r="D1000" s="246">
        <v>597318604</v>
      </c>
      <c r="E1000" s="246">
        <v>619393268</v>
      </c>
      <c r="F1000" s="246">
        <v>597318604</v>
      </c>
      <c r="G1000" s="246">
        <v>22074664</v>
      </c>
      <c r="H1000" s="246">
        <v>0</v>
      </c>
      <c r="J1000" s="669">
        <v>1.5</v>
      </c>
      <c r="K1000" s="669">
        <v>0.16500000000000001</v>
      </c>
      <c r="L1000" s="669">
        <v>1.665</v>
      </c>
    </row>
    <row r="1001" spans="1:12">
      <c r="A1001" s="423" t="s">
        <v>6795</v>
      </c>
      <c r="B1001" s="423" t="s">
        <v>371</v>
      </c>
      <c r="C1001" s="246">
        <v>14984399306</v>
      </c>
      <c r="D1001" s="246">
        <v>14572982698</v>
      </c>
      <c r="E1001" s="246">
        <v>14984399306</v>
      </c>
      <c r="F1001" s="246">
        <v>14572982698</v>
      </c>
      <c r="G1001" s="246">
        <v>411416608</v>
      </c>
      <c r="H1001" s="246">
        <v>0</v>
      </c>
      <c r="J1001" s="669">
        <v>1.4967600000000001</v>
      </c>
      <c r="K1001" s="669">
        <v>0.33665400000000001</v>
      </c>
      <c r="L1001" s="669">
        <v>1.83341</v>
      </c>
    </row>
    <row r="1002" spans="1:12">
      <c r="A1002" s="423" t="s">
        <v>6796</v>
      </c>
      <c r="B1002" s="423" t="s">
        <v>5363</v>
      </c>
      <c r="C1002" s="246">
        <v>689772509</v>
      </c>
      <c r="D1002" s="246">
        <v>656587724</v>
      </c>
      <c r="E1002" s="246">
        <v>689772509</v>
      </c>
      <c r="F1002" s="246">
        <v>656587724</v>
      </c>
      <c r="G1002" s="246">
        <v>33184785</v>
      </c>
      <c r="H1002" s="246">
        <v>0</v>
      </c>
      <c r="J1002" s="669">
        <v>1.5</v>
      </c>
      <c r="K1002" s="669">
        <v>0.17</v>
      </c>
      <c r="L1002" s="669">
        <v>1.67</v>
      </c>
    </row>
    <row r="1003" spans="1:12">
      <c r="A1003" s="423" t="s">
        <v>6797</v>
      </c>
      <c r="B1003" s="423" t="s">
        <v>5365</v>
      </c>
      <c r="C1003" s="246">
        <v>129250914</v>
      </c>
      <c r="D1003" s="246">
        <v>122172455</v>
      </c>
      <c r="E1003" s="246">
        <v>129250914</v>
      </c>
      <c r="F1003" s="246">
        <v>122172455</v>
      </c>
      <c r="G1003" s="246">
        <v>7078459</v>
      </c>
      <c r="H1003" s="246">
        <v>0</v>
      </c>
      <c r="J1003" s="669">
        <v>1.5</v>
      </c>
      <c r="K1003" s="669">
        <v>0.12</v>
      </c>
      <c r="L1003" s="669">
        <v>1.62</v>
      </c>
    </row>
    <row r="1004" spans="1:12">
      <c r="A1004" s="423" t="s">
        <v>6798</v>
      </c>
      <c r="B1004" s="423" t="s">
        <v>189</v>
      </c>
      <c r="C1004" s="246">
        <v>8039150907</v>
      </c>
      <c r="D1004" s="246">
        <v>7785818265</v>
      </c>
      <c r="E1004" s="246">
        <v>8039150907</v>
      </c>
      <c r="F1004" s="246">
        <v>7785818265</v>
      </c>
      <c r="G1004" s="246">
        <v>253332642</v>
      </c>
      <c r="H1004" s="246">
        <v>0</v>
      </c>
      <c r="J1004" s="669">
        <v>1.4490000000000001</v>
      </c>
      <c r="K1004" s="669">
        <v>0.3</v>
      </c>
      <c r="L1004" s="669">
        <v>1.7490000000000001</v>
      </c>
    </row>
    <row r="1005" spans="1:12">
      <c r="A1005" s="423" t="s">
        <v>6799</v>
      </c>
      <c r="B1005" s="423" t="s">
        <v>1003</v>
      </c>
      <c r="C1005" s="246">
        <v>46696080</v>
      </c>
      <c r="D1005" s="246">
        <v>44206080</v>
      </c>
      <c r="E1005" s="246">
        <v>46696080</v>
      </c>
      <c r="F1005" s="246">
        <v>44206080</v>
      </c>
      <c r="G1005" s="246">
        <v>2490000</v>
      </c>
      <c r="H1005" s="246">
        <v>0</v>
      </c>
      <c r="J1005" s="669">
        <v>1.5</v>
      </c>
      <c r="K1005" s="669">
        <v>0</v>
      </c>
      <c r="L1005" s="669">
        <v>1.5</v>
      </c>
    </row>
    <row r="1006" spans="1:12">
      <c r="A1006" s="423" t="s">
        <v>6800</v>
      </c>
      <c r="B1006" s="423" t="s">
        <v>112</v>
      </c>
      <c r="C1006" s="246">
        <v>744289370</v>
      </c>
      <c r="D1006" s="246">
        <v>699807468</v>
      </c>
      <c r="E1006" s="246">
        <v>744289370</v>
      </c>
      <c r="F1006" s="246">
        <v>699807468</v>
      </c>
      <c r="G1006" s="246">
        <v>44481902</v>
      </c>
      <c r="H1006" s="246">
        <v>0</v>
      </c>
      <c r="J1006" s="669">
        <v>1.5</v>
      </c>
      <c r="K1006" s="669">
        <v>0.12989999999999999</v>
      </c>
      <c r="L1006" s="669">
        <v>1.6298999999999999</v>
      </c>
    </row>
    <row r="1007" spans="1:12">
      <c r="A1007" s="423" t="s">
        <v>6801</v>
      </c>
      <c r="B1007" s="423" t="s">
        <v>183</v>
      </c>
      <c r="C1007" s="246">
        <v>432413401</v>
      </c>
      <c r="D1007" s="246">
        <v>404479819</v>
      </c>
      <c r="E1007" s="246">
        <v>432413401</v>
      </c>
      <c r="F1007" s="246">
        <v>404479819</v>
      </c>
      <c r="G1007" s="246">
        <v>27933582</v>
      </c>
      <c r="H1007" s="246">
        <v>0</v>
      </c>
      <c r="J1007" s="669">
        <v>1.5</v>
      </c>
      <c r="K1007" s="669">
        <v>0.19</v>
      </c>
      <c r="L1007" s="669">
        <v>1.69</v>
      </c>
    </row>
    <row r="1008" spans="1:12">
      <c r="A1008" s="423" t="s">
        <v>6802</v>
      </c>
      <c r="B1008" s="423" t="s">
        <v>346</v>
      </c>
      <c r="C1008" s="246">
        <v>125311303</v>
      </c>
      <c r="D1008" s="246">
        <v>116906040</v>
      </c>
      <c r="E1008" s="246">
        <v>125311303</v>
      </c>
      <c r="F1008" s="246">
        <v>116906040</v>
      </c>
      <c r="G1008" s="246">
        <v>8405263</v>
      </c>
      <c r="H1008" s="246">
        <v>0</v>
      </c>
      <c r="J1008" s="669">
        <v>1.49</v>
      </c>
      <c r="K1008" s="669">
        <v>0</v>
      </c>
      <c r="L1008" s="669">
        <v>1.49</v>
      </c>
    </row>
    <row r="1009" spans="1:12">
      <c r="A1009" s="423" t="s">
        <v>6803</v>
      </c>
      <c r="B1009" s="423" t="s">
        <v>2356</v>
      </c>
      <c r="C1009" s="246">
        <v>125650115</v>
      </c>
      <c r="D1009" s="246">
        <v>117757869</v>
      </c>
      <c r="E1009" s="246">
        <v>125650115</v>
      </c>
      <c r="F1009" s="246">
        <v>117757869</v>
      </c>
      <c r="G1009" s="246">
        <v>7892246</v>
      </c>
      <c r="H1009" s="246">
        <v>0</v>
      </c>
      <c r="J1009" s="669">
        <v>1.48</v>
      </c>
      <c r="K1009" s="669">
        <v>0.02</v>
      </c>
      <c r="L1009" s="669">
        <v>1.5</v>
      </c>
    </row>
    <row r="1010" spans="1:12">
      <c r="A1010" s="423" t="s">
        <v>6804</v>
      </c>
      <c r="B1010" s="423" t="s">
        <v>1004</v>
      </c>
      <c r="C1010" s="246">
        <v>577134904</v>
      </c>
      <c r="D1010" s="246">
        <v>564305465</v>
      </c>
      <c r="E1010" s="246">
        <v>573844567</v>
      </c>
      <c r="F1010" s="246">
        <v>561015128</v>
      </c>
      <c r="G1010" s="246">
        <v>12829439</v>
      </c>
      <c r="H1010" s="246">
        <v>3290337</v>
      </c>
      <c r="J1010" s="669">
        <v>1.5</v>
      </c>
      <c r="K1010" s="669">
        <v>0</v>
      </c>
      <c r="L1010" s="669">
        <v>1.5</v>
      </c>
    </row>
    <row r="1011" spans="1:12">
      <c r="A1011" s="423" t="s">
        <v>6805</v>
      </c>
      <c r="B1011" s="423" t="s">
        <v>1005</v>
      </c>
      <c r="C1011" s="246">
        <v>666530778</v>
      </c>
      <c r="D1011" s="246">
        <v>664443319</v>
      </c>
      <c r="E1011" s="246">
        <v>666065308</v>
      </c>
      <c r="F1011" s="246">
        <v>663977849</v>
      </c>
      <c r="G1011" s="246">
        <v>2087459</v>
      </c>
      <c r="H1011" s="246">
        <v>465470</v>
      </c>
      <c r="J1011" s="669">
        <v>1.5</v>
      </c>
      <c r="K1011" s="669">
        <v>0</v>
      </c>
      <c r="L1011" s="669">
        <v>1.5</v>
      </c>
    </row>
    <row r="1012" spans="1:12">
      <c r="A1012" s="423" t="s">
        <v>6806</v>
      </c>
      <c r="B1012" s="423" t="s">
        <v>7680</v>
      </c>
      <c r="C1012" s="246">
        <v>155899305</v>
      </c>
      <c r="D1012" s="246">
        <v>146952365</v>
      </c>
      <c r="E1012" s="246">
        <v>155899305</v>
      </c>
      <c r="F1012" s="246">
        <v>146952365</v>
      </c>
      <c r="G1012" s="246">
        <v>8946940</v>
      </c>
      <c r="H1012" s="246">
        <v>0</v>
      </c>
      <c r="J1012" s="669">
        <v>1.4359999999999999</v>
      </c>
      <c r="K1012" s="669">
        <v>0.1376</v>
      </c>
      <c r="L1012" s="669">
        <v>1.5736000000000001</v>
      </c>
    </row>
    <row r="1013" spans="1:12">
      <c r="A1013" s="423" t="s">
        <v>6807</v>
      </c>
      <c r="B1013" s="423" t="s">
        <v>1006</v>
      </c>
      <c r="C1013" s="246">
        <v>484093678</v>
      </c>
      <c r="D1013" s="246">
        <v>470220863</v>
      </c>
      <c r="E1013" s="246">
        <v>484093678</v>
      </c>
      <c r="F1013" s="246">
        <v>470220863</v>
      </c>
      <c r="G1013" s="246">
        <v>13872815</v>
      </c>
      <c r="H1013" s="246">
        <v>0</v>
      </c>
      <c r="J1013" s="669">
        <v>1.4625999999999999</v>
      </c>
      <c r="K1013" s="669">
        <v>0.1225</v>
      </c>
      <c r="L1013" s="669">
        <v>1.5851</v>
      </c>
    </row>
    <row r="1014" spans="1:12">
      <c r="A1014" s="423" t="s">
        <v>6808</v>
      </c>
      <c r="B1014" s="423" t="s">
        <v>1007</v>
      </c>
      <c r="C1014" s="246">
        <v>905667377</v>
      </c>
      <c r="D1014" s="246">
        <v>879891007</v>
      </c>
      <c r="E1014" s="246">
        <v>899547730</v>
      </c>
      <c r="F1014" s="246">
        <v>873771360</v>
      </c>
      <c r="G1014" s="246">
        <v>25776370</v>
      </c>
      <c r="H1014" s="246">
        <v>6119647</v>
      </c>
      <c r="J1014" s="669">
        <v>1.3757999999999999</v>
      </c>
      <c r="K1014" s="669">
        <v>0.29859999999999998</v>
      </c>
      <c r="L1014" s="669">
        <v>1.6744000000000001</v>
      </c>
    </row>
    <row r="1015" spans="1:12">
      <c r="A1015" s="423" t="s">
        <v>6809</v>
      </c>
      <c r="B1015" s="423" t="s">
        <v>1008</v>
      </c>
      <c r="C1015" s="246">
        <v>329245651</v>
      </c>
      <c r="D1015" s="246">
        <v>320677991</v>
      </c>
      <c r="E1015" s="246">
        <v>329245651</v>
      </c>
      <c r="F1015" s="246">
        <v>320677991</v>
      </c>
      <c r="G1015" s="246">
        <v>8567660</v>
      </c>
      <c r="H1015" s="246">
        <v>0</v>
      </c>
      <c r="J1015" s="669">
        <v>1.46</v>
      </c>
      <c r="K1015" s="669">
        <v>0.09</v>
      </c>
      <c r="L1015" s="669">
        <v>1.55</v>
      </c>
    </row>
    <row r="1016" spans="1:12">
      <c r="A1016" s="423" t="s">
        <v>6810</v>
      </c>
      <c r="B1016" s="423" t="s">
        <v>1009</v>
      </c>
      <c r="C1016" s="246">
        <v>1272159330</v>
      </c>
      <c r="D1016" s="246">
        <v>1240337535</v>
      </c>
      <c r="E1016" s="246">
        <v>1272159330</v>
      </c>
      <c r="F1016" s="246">
        <v>1240337535</v>
      </c>
      <c r="G1016" s="246">
        <v>31821795</v>
      </c>
      <c r="H1016" s="246">
        <v>0</v>
      </c>
      <c r="J1016" s="669">
        <v>1.45</v>
      </c>
      <c r="K1016" s="669">
        <v>0.28799999999999998</v>
      </c>
      <c r="L1016" s="669">
        <v>1.738</v>
      </c>
    </row>
    <row r="1017" spans="1:12">
      <c r="A1017" s="423" t="s">
        <v>6811</v>
      </c>
      <c r="B1017" s="423" t="s">
        <v>3630</v>
      </c>
      <c r="C1017" s="246">
        <v>198041140</v>
      </c>
      <c r="D1017" s="246">
        <v>186787890</v>
      </c>
      <c r="E1017" s="246">
        <v>198041140</v>
      </c>
      <c r="F1017" s="246">
        <v>186787890</v>
      </c>
      <c r="G1017" s="246">
        <v>11253250</v>
      </c>
      <c r="H1017" s="246">
        <v>0</v>
      </c>
      <c r="J1017" s="669">
        <v>1.5</v>
      </c>
      <c r="K1017" s="669">
        <v>0.22</v>
      </c>
      <c r="L1017" s="669">
        <v>1.72</v>
      </c>
    </row>
    <row r="1018" spans="1:12">
      <c r="A1018" s="423" t="s">
        <v>6812</v>
      </c>
      <c r="B1018" s="423" t="s">
        <v>2342</v>
      </c>
      <c r="C1018" s="246">
        <v>114642192</v>
      </c>
      <c r="D1018" s="246">
        <v>110128212</v>
      </c>
      <c r="E1018" s="246">
        <v>110727989</v>
      </c>
      <c r="F1018" s="246">
        <v>106214009</v>
      </c>
      <c r="G1018" s="246">
        <v>4513980</v>
      </c>
      <c r="H1018" s="246">
        <v>3914203</v>
      </c>
      <c r="J1018" s="669">
        <v>1.3314999999999999</v>
      </c>
      <c r="K1018" s="669">
        <v>0.1978</v>
      </c>
      <c r="L1018" s="669">
        <v>1.5293000000000001</v>
      </c>
    </row>
    <row r="1019" spans="1:12">
      <c r="A1019" s="423" t="s">
        <v>6813</v>
      </c>
      <c r="B1019" s="423" t="s">
        <v>1010</v>
      </c>
      <c r="C1019" s="246">
        <v>455909172</v>
      </c>
      <c r="D1019" s="246">
        <v>442696247</v>
      </c>
      <c r="E1019" s="246">
        <v>455909172</v>
      </c>
      <c r="F1019" s="246">
        <v>442696247</v>
      </c>
      <c r="G1019" s="246">
        <v>13212925</v>
      </c>
      <c r="H1019" s="246">
        <v>0</v>
      </c>
      <c r="J1019" s="669">
        <v>1.29613</v>
      </c>
      <c r="K1019" s="669">
        <v>0</v>
      </c>
      <c r="L1019" s="669">
        <v>1.29613</v>
      </c>
    </row>
    <row r="1020" spans="1:12">
      <c r="A1020" s="423" t="s">
        <v>6814</v>
      </c>
      <c r="B1020" s="423" t="s">
        <v>1011</v>
      </c>
      <c r="C1020" s="246">
        <v>346830432</v>
      </c>
      <c r="D1020" s="246">
        <v>323015982</v>
      </c>
      <c r="E1020" s="246">
        <v>346830432</v>
      </c>
      <c r="F1020" s="246">
        <v>323015982</v>
      </c>
      <c r="G1020" s="246">
        <v>23814450</v>
      </c>
      <c r="H1020" s="246">
        <v>0</v>
      </c>
      <c r="J1020" s="669">
        <v>1.5</v>
      </c>
      <c r="K1020" s="669">
        <v>0</v>
      </c>
      <c r="L1020" s="669">
        <v>1.5</v>
      </c>
    </row>
    <row r="1021" spans="1:12">
      <c r="A1021" s="423" t="s">
        <v>6815</v>
      </c>
      <c r="B1021" s="423" t="s">
        <v>1012</v>
      </c>
      <c r="C1021" s="246">
        <v>344828704</v>
      </c>
      <c r="D1021" s="246">
        <v>321614925</v>
      </c>
      <c r="E1021" s="246">
        <v>344828704</v>
      </c>
      <c r="F1021" s="246">
        <v>321614925</v>
      </c>
      <c r="G1021" s="246">
        <v>23213779</v>
      </c>
      <c r="H1021" s="246">
        <v>0</v>
      </c>
      <c r="J1021" s="669">
        <v>1.5</v>
      </c>
      <c r="K1021" s="669">
        <v>8.9499999999999996E-2</v>
      </c>
      <c r="L1021" s="669">
        <v>1.5894999999999999</v>
      </c>
    </row>
    <row r="1022" spans="1:12">
      <c r="A1022" s="423" t="s">
        <v>6816</v>
      </c>
      <c r="B1022" s="423" t="s">
        <v>1013</v>
      </c>
      <c r="C1022" s="246">
        <v>186196707</v>
      </c>
      <c r="D1022" s="246">
        <v>177251957</v>
      </c>
      <c r="E1022" s="246">
        <v>186196707</v>
      </c>
      <c r="F1022" s="246">
        <v>177251957</v>
      </c>
      <c r="G1022" s="246">
        <v>8944750</v>
      </c>
      <c r="H1022" s="246">
        <v>0</v>
      </c>
      <c r="J1022" s="669">
        <v>1.431</v>
      </c>
      <c r="K1022" s="669">
        <v>0.12920000000000001</v>
      </c>
      <c r="L1022" s="669">
        <v>1.5602</v>
      </c>
    </row>
    <row r="1023" spans="1:12">
      <c r="A1023" s="423" t="s">
        <v>6817</v>
      </c>
      <c r="B1023" s="423" t="s">
        <v>1014</v>
      </c>
      <c r="C1023" s="246">
        <v>179866056</v>
      </c>
      <c r="D1023" s="246">
        <v>165338310</v>
      </c>
      <c r="E1023" s="246">
        <v>179866056</v>
      </c>
      <c r="F1023" s="246">
        <v>165338310</v>
      </c>
      <c r="G1023" s="246">
        <v>14527746</v>
      </c>
      <c r="H1023" s="246">
        <v>0</v>
      </c>
      <c r="J1023" s="669">
        <v>1.5</v>
      </c>
      <c r="K1023" s="669">
        <v>9.3600000000000003E-2</v>
      </c>
      <c r="L1023" s="669">
        <v>1.5935999999999999</v>
      </c>
    </row>
    <row r="1024" spans="1:12">
      <c r="A1024" s="423" t="s">
        <v>6818</v>
      </c>
      <c r="B1024" s="423" t="s">
        <v>1015</v>
      </c>
      <c r="C1024" s="246">
        <v>340209447</v>
      </c>
      <c r="D1024" s="246">
        <v>317201910</v>
      </c>
      <c r="E1024" s="246">
        <v>340209447</v>
      </c>
      <c r="F1024" s="246">
        <v>317201910</v>
      </c>
      <c r="G1024" s="246">
        <v>23007537</v>
      </c>
      <c r="H1024" s="246">
        <v>0</v>
      </c>
      <c r="J1024" s="669">
        <v>1.5</v>
      </c>
      <c r="K1024" s="669">
        <v>0</v>
      </c>
      <c r="L1024" s="669">
        <v>1.5</v>
      </c>
    </row>
    <row r="1025" spans="1:12">
      <c r="A1025" s="423" t="s">
        <v>6819</v>
      </c>
      <c r="B1025" s="423" t="s">
        <v>1016</v>
      </c>
      <c r="C1025" s="246">
        <v>1854932218</v>
      </c>
      <c r="D1025" s="246">
        <v>1844089128</v>
      </c>
      <c r="E1025" s="246">
        <v>1854932218</v>
      </c>
      <c r="F1025" s="246">
        <v>1844089128</v>
      </c>
      <c r="G1025" s="246">
        <v>10843090</v>
      </c>
      <c r="H1025" s="246">
        <v>0</v>
      </c>
      <c r="J1025" s="669">
        <v>1.5</v>
      </c>
      <c r="K1025" s="669">
        <v>9.4600000000000004E-2</v>
      </c>
      <c r="L1025" s="669">
        <v>1.5946</v>
      </c>
    </row>
    <row r="1026" spans="1:12">
      <c r="A1026" s="423" t="s">
        <v>6820</v>
      </c>
      <c r="B1026" s="423" t="s">
        <v>1017</v>
      </c>
      <c r="C1026" s="246">
        <v>619507701</v>
      </c>
      <c r="D1026" s="246">
        <v>615403662</v>
      </c>
      <c r="E1026" s="246">
        <v>617784831</v>
      </c>
      <c r="F1026" s="246">
        <v>613680792</v>
      </c>
      <c r="G1026" s="246">
        <v>4104039</v>
      </c>
      <c r="H1026" s="246">
        <v>1722870</v>
      </c>
      <c r="J1026" s="669">
        <v>1.3785000000000001</v>
      </c>
      <c r="K1026" s="669">
        <v>0.1215</v>
      </c>
      <c r="L1026" s="669">
        <v>1.5</v>
      </c>
    </row>
    <row r="1027" spans="1:12">
      <c r="A1027" s="423" t="s">
        <v>6821</v>
      </c>
      <c r="B1027" s="423" t="s">
        <v>4965</v>
      </c>
      <c r="C1027" s="246">
        <v>525019590</v>
      </c>
      <c r="D1027" s="246">
        <v>491324120</v>
      </c>
      <c r="E1027" s="246">
        <v>525019590</v>
      </c>
      <c r="F1027" s="246">
        <v>491324120</v>
      </c>
      <c r="G1027" s="246">
        <v>33695470</v>
      </c>
      <c r="H1027" s="246">
        <v>0</v>
      </c>
      <c r="J1027" s="669">
        <v>1.43</v>
      </c>
      <c r="K1027" s="669">
        <v>7.0000000000000007E-2</v>
      </c>
      <c r="L1027" s="669">
        <v>1.5</v>
      </c>
    </row>
    <row r="1028" spans="1:12">
      <c r="A1028" s="423" t="s">
        <v>6822</v>
      </c>
      <c r="B1028" s="423" t="s">
        <v>1018</v>
      </c>
      <c r="C1028" s="246">
        <v>41577087</v>
      </c>
      <c r="D1028" s="246">
        <v>39630037</v>
      </c>
      <c r="E1028" s="246">
        <v>41577087</v>
      </c>
      <c r="F1028" s="246">
        <v>39630037</v>
      </c>
      <c r="G1028" s="246">
        <v>1947050</v>
      </c>
      <c r="H1028" s="246">
        <v>0</v>
      </c>
      <c r="J1028" s="669">
        <v>1.5</v>
      </c>
      <c r="K1028" s="669">
        <v>0</v>
      </c>
      <c r="L1028" s="669">
        <v>1.5</v>
      </c>
    </row>
    <row r="1029" spans="1:12">
      <c r="A1029" s="423" t="s">
        <v>6823</v>
      </c>
      <c r="B1029" s="423" t="s">
        <v>3835</v>
      </c>
      <c r="C1029" s="246">
        <v>140811125</v>
      </c>
      <c r="D1029" s="246">
        <v>130613885</v>
      </c>
      <c r="E1029" s="246">
        <v>140811125</v>
      </c>
      <c r="F1029" s="246">
        <v>130613885</v>
      </c>
      <c r="G1029" s="246">
        <v>10197240</v>
      </c>
      <c r="H1029" s="246">
        <v>0</v>
      </c>
      <c r="J1029" s="669">
        <v>1.5</v>
      </c>
      <c r="K1029" s="669">
        <v>0.20499999999999999</v>
      </c>
      <c r="L1029" s="669">
        <v>1.7050000000000001</v>
      </c>
    </row>
    <row r="1030" spans="1:12">
      <c r="A1030" s="423" t="s">
        <v>6824</v>
      </c>
      <c r="B1030" s="423" t="s">
        <v>1019</v>
      </c>
      <c r="C1030" s="246">
        <v>2387181427</v>
      </c>
      <c r="D1030" s="246">
        <v>2358257422</v>
      </c>
      <c r="E1030" s="246">
        <v>2376462055</v>
      </c>
      <c r="F1030" s="246">
        <v>2347538050</v>
      </c>
      <c r="G1030" s="246">
        <v>28924005</v>
      </c>
      <c r="H1030" s="246">
        <v>10719372</v>
      </c>
      <c r="J1030" s="669">
        <v>1.5</v>
      </c>
      <c r="K1030" s="669">
        <v>0.16</v>
      </c>
      <c r="L1030" s="669">
        <v>1.66</v>
      </c>
    </row>
    <row r="1031" spans="1:12">
      <c r="A1031" s="423" t="s">
        <v>6825</v>
      </c>
      <c r="B1031" s="423" t="s">
        <v>989</v>
      </c>
      <c r="C1031" s="246">
        <v>185494392</v>
      </c>
      <c r="D1031" s="246">
        <v>172857924</v>
      </c>
      <c r="E1031" s="246">
        <v>185494392</v>
      </c>
      <c r="F1031" s="246">
        <v>172857924</v>
      </c>
      <c r="G1031" s="246">
        <v>12636468</v>
      </c>
      <c r="H1031" s="246">
        <v>0</v>
      </c>
      <c r="J1031" s="669">
        <v>1.48</v>
      </c>
      <c r="K1031" s="669">
        <v>0.17</v>
      </c>
      <c r="L1031" s="669">
        <v>1.65</v>
      </c>
    </row>
    <row r="1032" spans="1:12">
      <c r="A1032" s="423" t="s">
        <v>6826</v>
      </c>
      <c r="B1032" s="423" t="s">
        <v>2154</v>
      </c>
      <c r="C1032" s="246">
        <v>36742981</v>
      </c>
      <c r="D1032" s="246">
        <v>36436261</v>
      </c>
      <c r="E1032" s="246">
        <v>36742981</v>
      </c>
      <c r="F1032" s="246">
        <v>36436261</v>
      </c>
      <c r="G1032" s="246">
        <v>306720</v>
      </c>
      <c r="H1032" s="246">
        <v>0</v>
      </c>
      <c r="J1032" s="669">
        <v>1.44</v>
      </c>
      <c r="K1032" s="669">
        <v>0.14000000000000001</v>
      </c>
      <c r="L1032" s="669">
        <v>1.58</v>
      </c>
    </row>
    <row r="1034" spans="1:12">
      <c r="C1034" s="246">
        <f t="shared" ref="C1034:H1034" si="0">SUM(C7:C1033)</f>
        <v>1262505340404</v>
      </c>
      <c r="D1034" s="246">
        <f t="shared" si="0"/>
        <v>1217164215099</v>
      </c>
      <c r="E1034" s="246">
        <f t="shared" si="0"/>
        <v>1249576648262</v>
      </c>
      <c r="F1034" s="246">
        <f t="shared" si="0"/>
        <v>1204235522957</v>
      </c>
      <c r="G1034" s="246">
        <f t="shared" si="0"/>
        <v>45341125305</v>
      </c>
      <c r="H1034" s="246">
        <f t="shared" si="0"/>
        <v>12928692142</v>
      </c>
    </row>
  </sheetData>
  <phoneticPr fontId="33" type="noConversion"/>
  <pageMargins left="0.75" right="0.75" top="1" bottom="1" header="0.5" footer="0.5"/>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44"/>
  <dimension ref="A1:D1095"/>
  <sheetViews>
    <sheetView workbookViewId="0"/>
  </sheetViews>
  <sheetFormatPr defaultRowHeight="13.2"/>
  <cols>
    <col min="2" max="2" width="25.77734375" customWidth="1"/>
    <col min="3" max="3" width="13.44140625" customWidth="1"/>
    <col min="4" max="4" width="13.77734375" customWidth="1"/>
  </cols>
  <sheetData>
    <row r="1" spans="1:4">
      <c r="A1" s="187" t="s">
        <v>3890</v>
      </c>
      <c r="B1" s="187" t="s">
        <v>693</v>
      </c>
      <c r="C1" s="187">
        <v>63535</v>
      </c>
      <c r="D1" s="187">
        <v>116</v>
      </c>
    </row>
    <row r="2" spans="1:4">
      <c r="A2" s="187" t="s">
        <v>694</v>
      </c>
      <c r="B2" s="187" t="s">
        <v>695</v>
      </c>
      <c r="C2" s="187">
        <v>124375</v>
      </c>
      <c r="D2" s="187">
        <v>177</v>
      </c>
    </row>
    <row r="3" spans="1:4">
      <c r="A3" s="187" t="s">
        <v>696</v>
      </c>
      <c r="B3" s="187" t="s">
        <v>697</v>
      </c>
      <c r="C3" s="187">
        <v>91881</v>
      </c>
      <c r="D3" s="187">
        <v>119</v>
      </c>
    </row>
    <row r="4" spans="1:4">
      <c r="A4" s="187" t="s">
        <v>698</v>
      </c>
      <c r="B4" s="187" t="s">
        <v>699</v>
      </c>
      <c r="C4" s="187">
        <v>92075</v>
      </c>
      <c r="D4" s="187">
        <v>50</v>
      </c>
    </row>
    <row r="5" spans="1:4">
      <c r="A5" s="187" t="s">
        <v>700</v>
      </c>
      <c r="B5" s="187" t="s">
        <v>1490</v>
      </c>
      <c r="C5" s="187">
        <v>587950</v>
      </c>
      <c r="D5" s="187">
        <v>547</v>
      </c>
    </row>
    <row r="6" spans="1:4">
      <c r="A6" s="187" t="s">
        <v>1491</v>
      </c>
      <c r="B6" s="187" t="s">
        <v>1492</v>
      </c>
      <c r="C6" s="187">
        <v>139483</v>
      </c>
      <c r="D6" s="187">
        <v>249</v>
      </c>
    </row>
    <row r="7" spans="1:4">
      <c r="A7" s="187" t="s">
        <v>6212</v>
      </c>
      <c r="B7" s="187" t="s">
        <v>2752</v>
      </c>
      <c r="C7" s="187">
        <v>34719</v>
      </c>
      <c r="D7" s="187">
        <v>53</v>
      </c>
    </row>
    <row r="8" spans="1:4">
      <c r="A8" s="187" t="s">
        <v>2753</v>
      </c>
      <c r="B8" s="187" t="s">
        <v>2839</v>
      </c>
      <c r="C8" s="187">
        <v>1087890</v>
      </c>
      <c r="D8" s="187">
        <v>492</v>
      </c>
    </row>
    <row r="9" spans="1:4">
      <c r="A9" s="187" t="s">
        <v>2840</v>
      </c>
      <c r="B9" s="187" t="s">
        <v>2841</v>
      </c>
      <c r="C9" s="187">
        <v>20839</v>
      </c>
      <c r="D9" s="187">
        <v>34</v>
      </c>
    </row>
    <row r="10" spans="1:4">
      <c r="A10" s="187" t="s">
        <v>3080</v>
      </c>
      <c r="B10" s="187" t="s">
        <v>5389</v>
      </c>
      <c r="C10" s="187">
        <v>325879</v>
      </c>
      <c r="D10" s="187">
        <v>289</v>
      </c>
    </row>
    <row r="11" spans="1:4">
      <c r="A11" s="187" t="s">
        <v>2842</v>
      </c>
      <c r="B11" s="187" t="s">
        <v>2843</v>
      </c>
      <c r="C11" s="187">
        <v>1475162</v>
      </c>
      <c r="D11" s="187">
        <v>1226</v>
      </c>
    </row>
    <row r="12" spans="1:4">
      <c r="A12" s="187" t="s">
        <v>1874</v>
      </c>
      <c r="B12" s="187" t="s">
        <v>2439</v>
      </c>
      <c r="C12" s="187">
        <v>316574</v>
      </c>
      <c r="D12" s="187">
        <v>233</v>
      </c>
    </row>
    <row r="13" spans="1:4">
      <c r="A13" s="187" t="s">
        <v>2844</v>
      </c>
      <c r="B13" s="187" t="s">
        <v>2845</v>
      </c>
      <c r="C13" s="187">
        <v>435795</v>
      </c>
      <c r="D13" s="187">
        <v>309</v>
      </c>
    </row>
    <row r="14" spans="1:4">
      <c r="A14" s="187" t="s">
        <v>2846</v>
      </c>
      <c r="B14" s="187" t="s">
        <v>2847</v>
      </c>
      <c r="C14" s="187">
        <v>150389</v>
      </c>
      <c r="D14" s="187">
        <v>72</v>
      </c>
    </row>
    <row r="15" spans="1:4">
      <c r="A15" s="187" t="s">
        <v>2848</v>
      </c>
      <c r="B15" s="187" t="s">
        <v>2849</v>
      </c>
      <c r="C15" s="187">
        <v>365901</v>
      </c>
      <c r="D15" s="187">
        <v>213</v>
      </c>
    </row>
    <row r="16" spans="1:4">
      <c r="A16" s="187" t="s">
        <v>1225</v>
      </c>
      <c r="B16" s="187" t="s">
        <v>1226</v>
      </c>
      <c r="C16" s="187">
        <v>1560592</v>
      </c>
      <c r="D16" s="187">
        <v>552</v>
      </c>
    </row>
    <row r="17" spans="1:4">
      <c r="A17" s="187" t="s">
        <v>1227</v>
      </c>
      <c r="B17" s="187" t="s">
        <v>1228</v>
      </c>
      <c r="C17" s="187">
        <v>134445</v>
      </c>
      <c r="D17" s="187">
        <v>88</v>
      </c>
    </row>
    <row r="18" spans="1:4">
      <c r="A18" s="187" t="s">
        <v>1229</v>
      </c>
      <c r="B18" s="187" t="s">
        <v>1230</v>
      </c>
      <c r="C18" s="187">
        <v>193573</v>
      </c>
      <c r="D18" s="187">
        <v>129</v>
      </c>
    </row>
    <row r="19" spans="1:4">
      <c r="A19" s="187" t="s">
        <v>1231</v>
      </c>
      <c r="B19" s="187" t="s">
        <v>1232</v>
      </c>
      <c r="C19" s="187">
        <v>9290</v>
      </c>
      <c r="D19" s="187">
        <v>16</v>
      </c>
    </row>
    <row r="20" spans="1:4">
      <c r="A20" s="187" t="s">
        <v>2360</v>
      </c>
      <c r="B20" s="187" t="s">
        <v>1442</v>
      </c>
      <c r="C20" s="187">
        <v>35190</v>
      </c>
      <c r="D20" s="187">
        <v>55</v>
      </c>
    </row>
    <row r="21" spans="1:4">
      <c r="A21" s="187" t="s">
        <v>1233</v>
      </c>
      <c r="B21" s="187" t="s">
        <v>1234</v>
      </c>
      <c r="C21" s="187">
        <v>49837</v>
      </c>
      <c r="D21" s="187">
        <v>72</v>
      </c>
    </row>
    <row r="22" spans="1:4">
      <c r="A22" s="187" t="s">
        <v>3081</v>
      </c>
      <c r="B22" s="187" t="s">
        <v>5390</v>
      </c>
      <c r="C22" s="187">
        <v>269529</v>
      </c>
      <c r="D22" s="187">
        <v>82</v>
      </c>
    </row>
    <row r="23" spans="1:4">
      <c r="A23" s="188" t="s">
        <v>1235</v>
      </c>
      <c r="B23" s="187" t="s">
        <v>1236</v>
      </c>
      <c r="C23" s="187">
        <v>187839</v>
      </c>
      <c r="D23" s="187">
        <v>205</v>
      </c>
    </row>
    <row r="24" spans="1:4">
      <c r="A24" s="188" t="s">
        <v>2999</v>
      </c>
      <c r="B24" s="187" t="s">
        <v>1320</v>
      </c>
      <c r="C24" s="187">
        <v>458980</v>
      </c>
      <c r="D24" s="187">
        <v>231</v>
      </c>
    </row>
    <row r="25" spans="1:4">
      <c r="A25" s="188" t="s">
        <v>5127</v>
      </c>
      <c r="B25" s="187" t="s">
        <v>1303</v>
      </c>
      <c r="C25" s="187">
        <v>214857</v>
      </c>
      <c r="D25" s="187">
        <v>572</v>
      </c>
    </row>
    <row r="26" spans="1:4">
      <c r="A26" s="188" t="s">
        <v>2563</v>
      </c>
      <c r="B26" s="187" t="s">
        <v>2564</v>
      </c>
      <c r="C26" s="187">
        <v>203052</v>
      </c>
      <c r="D26" s="187">
        <v>273</v>
      </c>
    </row>
    <row r="27" spans="1:4">
      <c r="A27" s="188" t="s">
        <v>1237</v>
      </c>
      <c r="B27" s="187" t="s">
        <v>1238</v>
      </c>
      <c r="C27" s="187">
        <v>370716</v>
      </c>
      <c r="D27" s="187">
        <v>294</v>
      </c>
    </row>
    <row r="28" spans="1:4">
      <c r="A28" s="188" t="s">
        <v>1239</v>
      </c>
      <c r="B28" s="187" t="s">
        <v>1240</v>
      </c>
      <c r="C28" s="187">
        <v>297145</v>
      </c>
      <c r="D28" s="187">
        <v>312</v>
      </c>
    </row>
    <row r="29" spans="1:4">
      <c r="A29" s="188" t="s">
        <v>1241</v>
      </c>
      <c r="B29" s="187" t="s">
        <v>1242</v>
      </c>
      <c r="C29" s="187">
        <v>237600</v>
      </c>
      <c r="D29" s="187">
        <v>132</v>
      </c>
    </row>
    <row r="30" spans="1:4">
      <c r="A30" s="187" t="s">
        <v>1243</v>
      </c>
      <c r="B30" s="187" t="s">
        <v>1244</v>
      </c>
      <c r="C30" s="187">
        <v>212100</v>
      </c>
      <c r="D30" s="187">
        <v>224</v>
      </c>
    </row>
    <row r="31" spans="1:4">
      <c r="A31" s="187" t="s">
        <v>1245</v>
      </c>
      <c r="B31" s="187" t="s">
        <v>1246</v>
      </c>
      <c r="C31" s="187">
        <v>117739</v>
      </c>
      <c r="D31" s="187">
        <v>67</v>
      </c>
    </row>
    <row r="32" spans="1:4">
      <c r="A32" s="187" t="s">
        <v>2361</v>
      </c>
      <c r="B32" s="187" t="s">
        <v>1443</v>
      </c>
      <c r="C32" s="187">
        <v>202142</v>
      </c>
      <c r="D32" s="187">
        <v>418</v>
      </c>
    </row>
    <row r="33" spans="1:4">
      <c r="A33" s="187" t="s">
        <v>948</v>
      </c>
      <c r="B33" s="187" t="s">
        <v>2133</v>
      </c>
      <c r="C33" s="187">
        <v>1740473</v>
      </c>
      <c r="D33" s="187">
        <v>1021</v>
      </c>
    </row>
    <row r="34" spans="1:4">
      <c r="A34" s="187" t="s">
        <v>1522</v>
      </c>
      <c r="B34" s="187" t="s">
        <v>5895</v>
      </c>
      <c r="C34" s="187">
        <v>971637</v>
      </c>
      <c r="D34" s="187">
        <v>426</v>
      </c>
    </row>
    <row r="35" spans="1:4">
      <c r="A35" s="187" t="s">
        <v>438</v>
      </c>
      <c r="B35" s="187" t="s">
        <v>1444</v>
      </c>
      <c r="C35" s="187">
        <v>279014</v>
      </c>
      <c r="D35" s="187">
        <v>280</v>
      </c>
    </row>
    <row r="36" spans="1:4">
      <c r="A36" s="187" t="s">
        <v>2565</v>
      </c>
      <c r="B36" s="187" t="s">
        <v>1247</v>
      </c>
      <c r="C36" s="187">
        <v>79087</v>
      </c>
      <c r="D36" s="187">
        <v>37</v>
      </c>
    </row>
    <row r="37" spans="1:4">
      <c r="A37" s="187" t="s">
        <v>1248</v>
      </c>
      <c r="B37" s="187" t="s">
        <v>1249</v>
      </c>
      <c r="C37" s="187">
        <v>190000</v>
      </c>
      <c r="D37" s="187">
        <v>109</v>
      </c>
    </row>
    <row r="38" spans="1:4">
      <c r="A38" s="187" t="s">
        <v>439</v>
      </c>
      <c r="B38" s="187" t="s">
        <v>1445</v>
      </c>
      <c r="C38" s="187">
        <v>1603349</v>
      </c>
      <c r="D38" s="187">
        <v>642</v>
      </c>
    </row>
    <row r="39" spans="1:4">
      <c r="A39" s="187" t="s">
        <v>1250</v>
      </c>
      <c r="B39" s="187" t="s">
        <v>1251</v>
      </c>
      <c r="C39" s="187">
        <v>11386</v>
      </c>
      <c r="D39" s="187">
        <v>26</v>
      </c>
    </row>
    <row r="40" spans="1:4">
      <c r="A40" s="187" t="s">
        <v>1252</v>
      </c>
      <c r="B40" s="187" t="s">
        <v>1253</v>
      </c>
      <c r="C40" s="187">
        <v>124208</v>
      </c>
      <c r="D40" s="187">
        <v>75</v>
      </c>
    </row>
    <row r="41" spans="1:4">
      <c r="A41" s="187" t="s">
        <v>2399</v>
      </c>
      <c r="B41" s="187" t="s">
        <v>1821</v>
      </c>
      <c r="C41" s="187">
        <v>202475</v>
      </c>
      <c r="D41" s="187">
        <v>110</v>
      </c>
    </row>
    <row r="42" spans="1:4">
      <c r="A42" s="187" t="s">
        <v>2566</v>
      </c>
      <c r="B42" s="187" t="s">
        <v>2567</v>
      </c>
      <c r="C42" s="187">
        <v>140400</v>
      </c>
      <c r="D42" s="187">
        <v>133</v>
      </c>
    </row>
    <row r="43" spans="1:4">
      <c r="A43" s="187" t="s">
        <v>947</v>
      </c>
      <c r="B43" s="187" t="s">
        <v>2132</v>
      </c>
      <c r="C43" s="187">
        <v>130284</v>
      </c>
      <c r="D43" s="187">
        <v>82</v>
      </c>
    </row>
    <row r="44" spans="1:4">
      <c r="A44" s="187" t="s">
        <v>950</v>
      </c>
      <c r="B44" s="187" t="s">
        <v>2135</v>
      </c>
      <c r="C44" s="187">
        <v>1741963</v>
      </c>
      <c r="D44" s="187">
        <v>1026</v>
      </c>
    </row>
    <row r="45" spans="1:4">
      <c r="A45" s="187" t="s">
        <v>1869</v>
      </c>
      <c r="B45" s="187" t="s">
        <v>1947</v>
      </c>
      <c r="C45" s="187">
        <v>41966</v>
      </c>
      <c r="D45" s="187">
        <v>85</v>
      </c>
    </row>
    <row r="46" spans="1:4">
      <c r="A46" s="187" t="s">
        <v>6033</v>
      </c>
      <c r="B46" s="187" t="s">
        <v>462</v>
      </c>
      <c r="C46" s="187">
        <v>5380780</v>
      </c>
      <c r="D46" s="187">
        <v>4477</v>
      </c>
    </row>
    <row r="47" spans="1:4">
      <c r="A47" s="187" t="s">
        <v>2309</v>
      </c>
      <c r="B47" s="187" t="s">
        <v>657</v>
      </c>
      <c r="C47" s="187">
        <v>133450</v>
      </c>
      <c r="D47" s="187">
        <v>125</v>
      </c>
    </row>
    <row r="48" spans="1:4">
      <c r="A48" s="187" t="s">
        <v>2384</v>
      </c>
      <c r="B48" s="187" t="s">
        <v>660</v>
      </c>
      <c r="C48" s="187">
        <v>86289</v>
      </c>
      <c r="D48" s="187">
        <v>130</v>
      </c>
    </row>
    <row r="49" spans="1:4">
      <c r="A49" s="187" t="s">
        <v>2411</v>
      </c>
      <c r="B49" s="187" t="s">
        <v>7283</v>
      </c>
      <c r="C49" s="187">
        <v>2939290</v>
      </c>
      <c r="D49" s="187">
        <v>1347</v>
      </c>
    </row>
    <row r="50" spans="1:4">
      <c r="A50" s="187" t="s">
        <v>2416</v>
      </c>
      <c r="B50" s="187" t="s">
        <v>331</v>
      </c>
      <c r="C50" s="187">
        <v>76650</v>
      </c>
      <c r="D50" s="187">
        <v>161</v>
      </c>
    </row>
    <row r="51" spans="1:4">
      <c r="A51" s="187" t="s">
        <v>1254</v>
      </c>
      <c r="B51" s="187" t="s">
        <v>1255</v>
      </c>
      <c r="C51" s="187">
        <v>18855</v>
      </c>
      <c r="D51" s="187">
        <v>24</v>
      </c>
    </row>
    <row r="52" spans="1:4">
      <c r="A52" s="187" t="s">
        <v>1256</v>
      </c>
      <c r="B52" s="187" t="s">
        <v>1257</v>
      </c>
      <c r="C52" s="187">
        <v>106634</v>
      </c>
      <c r="D52" s="187">
        <v>95</v>
      </c>
    </row>
    <row r="53" spans="1:4">
      <c r="A53" s="187" t="s">
        <v>1258</v>
      </c>
      <c r="B53" s="187" t="s">
        <v>7699</v>
      </c>
      <c r="C53" s="187">
        <v>14298</v>
      </c>
      <c r="D53" s="187">
        <v>11</v>
      </c>
    </row>
    <row r="54" spans="1:4">
      <c r="A54" s="187" t="s">
        <v>37</v>
      </c>
      <c r="B54" s="187" t="s">
        <v>38</v>
      </c>
      <c r="C54" s="187">
        <v>448289</v>
      </c>
      <c r="D54" s="187">
        <v>634</v>
      </c>
    </row>
    <row r="55" spans="1:4">
      <c r="A55" s="187" t="s">
        <v>1860</v>
      </c>
      <c r="B55" s="187" t="s">
        <v>4989</v>
      </c>
      <c r="C55" s="187">
        <v>4255818</v>
      </c>
      <c r="D55" s="187">
        <v>2226</v>
      </c>
    </row>
    <row r="56" spans="1:4">
      <c r="A56" s="187" t="s">
        <v>1520</v>
      </c>
      <c r="B56" s="187" t="s">
        <v>3135</v>
      </c>
      <c r="C56" s="187">
        <v>1530865</v>
      </c>
      <c r="D56" s="187">
        <v>2078</v>
      </c>
    </row>
    <row r="57" spans="1:4">
      <c r="A57" s="187" t="s">
        <v>39</v>
      </c>
      <c r="B57" s="187" t="s">
        <v>40</v>
      </c>
      <c r="C57" s="187">
        <v>596428</v>
      </c>
      <c r="D57" s="187">
        <v>169</v>
      </c>
    </row>
    <row r="58" spans="1:4">
      <c r="A58" s="187" t="s">
        <v>2386</v>
      </c>
      <c r="B58" s="187" t="s">
        <v>662</v>
      </c>
      <c r="C58" s="187">
        <v>15348560</v>
      </c>
      <c r="D58" s="187">
        <v>7582</v>
      </c>
    </row>
    <row r="59" spans="1:4">
      <c r="A59" s="187" t="s">
        <v>2403</v>
      </c>
      <c r="B59" s="187" t="s">
        <v>2961</v>
      </c>
      <c r="C59" s="187">
        <v>1501667</v>
      </c>
      <c r="D59" s="187">
        <v>1454</v>
      </c>
    </row>
    <row r="60" spans="1:4">
      <c r="A60" s="187" t="s">
        <v>2402</v>
      </c>
      <c r="B60" s="187" t="s">
        <v>2552</v>
      </c>
      <c r="C60" s="187">
        <v>404941</v>
      </c>
      <c r="D60" s="187">
        <v>449</v>
      </c>
    </row>
    <row r="61" spans="1:4">
      <c r="A61" s="187" t="s">
        <v>6183</v>
      </c>
      <c r="B61" s="187" t="s">
        <v>671</v>
      </c>
      <c r="C61" s="187">
        <v>13513063</v>
      </c>
      <c r="D61" s="187">
        <v>7096</v>
      </c>
    </row>
    <row r="62" spans="1:4">
      <c r="A62" s="187" t="s">
        <v>1517</v>
      </c>
      <c r="B62" s="187" t="s">
        <v>5618</v>
      </c>
      <c r="C62" s="187">
        <v>1279163</v>
      </c>
      <c r="D62" s="187">
        <v>1167</v>
      </c>
    </row>
    <row r="63" spans="1:4">
      <c r="A63" s="187" t="s">
        <v>3082</v>
      </c>
      <c r="B63" s="187" t="s">
        <v>5391</v>
      </c>
      <c r="C63" s="187">
        <v>1163575</v>
      </c>
      <c r="D63" s="187">
        <v>1321</v>
      </c>
    </row>
    <row r="64" spans="1:4">
      <c r="A64" s="187" t="s">
        <v>41</v>
      </c>
      <c r="B64" s="187" t="s">
        <v>42</v>
      </c>
      <c r="C64" s="187">
        <v>370064</v>
      </c>
      <c r="D64" s="187">
        <v>174</v>
      </c>
    </row>
    <row r="65" spans="1:4">
      <c r="A65" s="187" t="s">
        <v>43</v>
      </c>
      <c r="B65" s="187" t="s">
        <v>44</v>
      </c>
      <c r="C65" s="187">
        <v>326836</v>
      </c>
      <c r="D65" s="187">
        <v>237</v>
      </c>
    </row>
    <row r="66" spans="1:4">
      <c r="A66" s="187" t="s">
        <v>6185</v>
      </c>
      <c r="B66" s="187" t="s">
        <v>7641</v>
      </c>
      <c r="C66" s="187">
        <v>14211881</v>
      </c>
      <c r="D66" s="187">
        <v>8998</v>
      </c>
    </row>
    <row r="67" spans="1:4">
      <c r="A67" s="187" t="s">
        <v>6026</v>
      </c>
      <c r="B67" s="187" t="s">
        <v>455</v>
      </c>
      <c r="C67" s="187">
        <v>3104373</v>
      </c>
      <c r="D67" s="187">
        <v>2347</v>
      </c>
    </row>
    <row r="68" spans="1:4">
      <c r="A68" s="187" t="s">
        <v>2404</v>
      </c>
      <c r="B68" s="187" t="s">
        <v>2962</v>
      </c>
      <c r="C68" s="187">
        <v>788337</v>
      </c>
      <c r="D68" s="187">
        <v>617</v>
      </c>
    </row>
    <row r="69" spans="1:4">
      <c r="A69" s="187" t="s">
        <v>45</v>
      </c>
      <c r="B69" s="187" t="s">
        <v>46</v>
      </c>
      <c r="C69" s="187">
        <v>143494</v>
      </c>
      <c r="D69" s="187">
        <v>96</v>
      </c>
    </row>
    <row r="70" spans="1:4">
      <c r="A70" s="187" t="s">
        <v>952</v>
      </c>
      <c r="B70" s="187" t="s">
        <v>1198</v>
      </c>
      <c r="C70" s="187">
        <v>265077</v>
      </c>
      <c r="D70" s="187">
        <v>155</v>
      </c>
    </row>
    <row r="71" spans="1:4">
      <c r="A71" s="187" t="s">
        <v>47</v>
      </c>
      <c r="B71" s="187" t="s">
        <v>48</v>
      </c>
      <c r="C71" s="187">
        <v>222714</v>
      </c>
      <c r="D71" s="187">
        <v>47</v>
      </c>
    </row>
    <row r="72" spans="1:4">
      <c r="A72" s="187" t="s">
        <v>740</v>
      </c>
      <c r="B72" s="187" t="s">
        <v>2662</v>
      </c>
      <c r="C72" s="187">
        <v>173633</v>
      </c>
      <c r="D72" s="187">
        <v>182</v>
      </c>
    </row>
    <row r="73" spans="1:4">
      <c r="A73" s="187" t="s">
        <v>49</v>
      </c>
      <c r="B73" s="187" t="s">
        <v>1336</v>
      </c>
      <c r="C73" s="187">
        <v>49200</v>
      </c>
      <c r="D73" s="187">
        <v>80</v>
      </c>
    </row>
    <row r="74" spans="1:4">
      <c r="A74" s="187" t="s">
        <v>1337</v>
      </c>
      <c r="B74" s="187" t="s">
        <v>1338</v>
      </c>
      <c r="C74" s="187">
        <v>15300</v>
      </c>
      <c r="D74" s="187">
        <v>25</v>
      </c>
    </row>
    <row r="75" spans="1:4">
      <c r="A75" s="187" t="s">
        <v>1339</v>
      </c>
      <c r="B75" s="187" t="s">
        <v>1340</v>
      </c>
      <c r="C75" s="187">
        <v>27897</v>
      </c>
      <c r="D75" s="187">
        <v>110</v>
      </c>
    </row>
    <row r="76" spans="1:4">
      <c r="A76" s="187" t="s">
        <v>2474</v>
      </c>
      <c r="B76" s="187" t="s">
        <v>2467</v>
      </c>
      <c r="C76" s="187">
        <v>0</v>
      </c>
      <c r="D76" s="187">
        <v>30</v>
      </c>
    </row>
    <row r="77" spans="1:4">
      <c r="A77" s="187" t="s">
        <v>1341</v>
      </c>
      <c r="B77" s="187" t="s">
        <v>1342</v>
      </c>
      <c r="C77" s="187">
        <v>58117</v>
      </c>
      <c r="D77" s="187">
        <v>29</v>
      </c>
    </row>
    <row r="78" spans="1:4">
      <c r="A78" s="187" t="s">
        <v>1343</v>
      </c>
      <c r="B78" s="187" t="s">
        <v>1344</v>
      </c>
      <c r="C78" s="187">
        <v>37341</v>
      </c>
      <c r="D78" s="187">
        <v>55</v>
      </c>
    </row>
    <row r="79" spans="1:4">
      <c r="A79" s="187" t="s">
        <v>1345</v>
      </c>
      <c r="B79" s="187" t="s">
        <v>1346</v>
      </c>
      <c r="C79" s="187">
        <v>19703</v>
      </c>
      <c r="D79" s="187">
        <v>30</v>
      </c>
    </row>
    <row r="80" spans="1:4">
      <c r="A80" s="187" t="s">
        <v>1347</v>
      </c>
      <c r="B80" s="187" t="s">
        <v>1348</v>
      </c>
      <c r="C80" s="187">
        <v>8326</v>
      </c>
      <c r="D80" s="187">
        <v>8</v>
      </c>
    </row>
    <row r="81" spans="1:4">
      <c r="A81" s="187" t="s">
        <v>963</v>
      </c>
      <c r="B81" s="187" t="s">
        <v>964</v>
      </c>
      <c r="C81" s="187">
        <v>125092</v>
      </c>
      <c r="D81" s="187">
        <v>143</v>
      </c>
    </row>
    <row r="82" spans="1:4">
      <c r="A82" s="187" t="s">
        <v>3083</v>
      </c>
      <c r="B82" s="187" t="s">
        <v>5392</v>
      </c>
      <c r="C82" s="187">
        <v>136157</v>
      </c>
      <c r="D82" s="187">
        <v>154</v>
      </c>
    </row>
    <row r="83" spans="1:4">
      <c r="A83" s="187" t="s">
        <v>2568</v>
      </c>
      <c r="B83" s="187" t="s">
        <v>2569</v>
      </c>
      <c r="C83" s="187">
        <v>14545</v>
      </c>
      <c r="D83" s="187">
        <v>60</v>
      </c>
    </row>
    <row r="84" spans="1:4">
      <c r="A84" s="187" t="s">
        <v>1349</v>
      </c>
      <c r="B84" s="187" t="s">
        <v>6082</v>
      </c>
      <c r="C84" s="187">
        <v>195652</v>
      </c>
      <c r="D84" s="187">
        <v>224</v>
      </c>
    </row>
    <row r="85" spans="1:4">
      <c r="A85" s="187" t="s">
        <v>6083</v>
      </c>
      <c r="B85" s="187" t="s">
        <v>6084</v>
      </c>
      <c r="C85" s="187">
        <v>133286</v>
      </c>
      <c r="D85" s="187">
        <v>153</v>
      </c>
    </row>
    <row r="86" spans="1:4">
      <c r="A86" s="187" t="s">
        <v>6085</v>
      </c>
      <c r="B86" s="187" t="s">
        <v>6086</v>
      </c>
      <c r="C86" s="187">
        <v>1417819</v>
      </c>
      <c r="D86" s="187">
        <v>708</v>
      </c>
    </row>
    <row r="87" spans="1:4">
      <c r="A87" s="187" t="s">
        <v>1998</v>
      </c>
      <c r="B87" s="187" t="s">
        <v>1962</v>
      </c>
      <c r="C87" s="187">
        <v>597555</v>
      </c>
      <c r="D87" s="187">
        <v>367</v>
      </c>
    </row>
    <row r="88" spans="1:4">
      <c r="A88" s="187" t="s">
        <v>2570</v>
      </c>
      <c r="B88" s="187" t="s">
        <v>2571</v>
      </c>
      <c r="C88" s="187">
        <v>68710</v>
      </c>
      <c r="D88" s="187">
        <v>78</v>
      </c>
    </row>
    <row r="89" spans="1:4">
      <c r="A89" s="187" t="s">
        <v>4076</v>
      </c>
      <c r="B89" s="187" t="s">
        <v>4077</v>
      </c>
      <c r="C89" s="187">
        <v>18033</v>
      </c>
      <c r="D89" s="187">
        <v>21</v>
      </c>
    </row>
    <row r="90" spans="1:4">
      <c r="A90" s="187" t="s">
        <v>1963</v>
      </c>
      <c r="B90" s="187" t="s">
        <v>1999</v>
      </c>
      <c r="C90" s="187">
        <v>15535</v>
      </c>
      <c r="D90" s="187">
        <v>36</v>
      </c>
    </row>
    <row r="91" spans="1:4">
      <c r="A91" s="187" t="s">
        <v>2000</v>
      </c>
      <c r="B91" s="187" t="s">
        <v>2001</v>
      </c>
      <c r="C91" s="187">
        <v>192575</v>
      </c>
      <c r="D91" s="187">
        <v>236</v>
      </c>
    </row>
    <row r="92" spans="1:4">
      <c r="A92" s="187" t="s">
        <v>2002</v>
      </c>
      <c r="B92" s="187" t="s">
        <v>3617</v>
      </c>
      <c r="C92" s="187">
        <v>10862</v>
      </c>
      <c r="D92" s="187">
        <v>16</v>
      </c>
    </row>
    <row r="93" spans="1:4">
      <c r="A93" s="187" t="s">
        <v>1964</v>
      </c>
      <c r="B93" s="187" t="s">
        <v>2965</v>
      </c>
      <c r="C93" s="187">
        <v>16282</v>
      </c>
      <c r="D93" s="187">
        <v>18</v>
      </c>
    </row>
    <row r="94" spans="1:4">
      <c r="A94" s="187" t="s">
        <v>2136</v>
      </c>
      <c r="B94" s="187" t="s">
        <v>2137</v>
      </c>
      <c r="C94" s="187">
        <v>2426298</v>
      </c>
      <c r="D94" s="187">
        <v>1768</v>
      </c>
    </row>
    <row r="95" spans="1:4">
      <c r="A95" s="187" t="s">
        <v>2966</v>
      </c>
      <c r="B95" s="187" t="s">
        <v>2967</v>
      </c>
      <c r="C95" s="187">
        <v>1627650</v>
      </c>
      <c r="D95" s="187">
        <v>833</v>
      </c>
    </row>
    <row r="96" spans="1:4">
      <c r="A96" s="187" t="s">
        <v>3084</v>
      </c>
      <c r="B96" s="187" t="s">
        <v>451</v>
      </c>
      <c r="C96" s="187">
        <v>166109</v>
      </c>
      <c r="D96" s="187">
        <v>103</v>
      </c>
    </row>
    <row r="97" spans="1:4">
      <c r="A97" s="187" t="s">
        <v>6252</v>
      </c>
      <c r="B97" s="187" t="s">
        <v>6253</v>
      </c>
      <c r="C97" s="187">
        <v>3099959</v>
      </c>
      <c r="D97" s="187">
        <v>1610</v>
      </c>
    </row>
    <row r="98" spans="1:4">
      <c r="A98" s="187" t="s">
        <v>6254</v>
      </c>
      <c r="B98" s="187" t="s">
        <v>6255</v>
      </c>
      <c r="C98" s="187">
        <v>874596</v>
      </c>
      <c r="D98" s="187">
        <v>299</v>
      </c>
    </row>
    <row r="99" spans="1:4">
      <c r="A99" s="187" t="s">
        <v>233</v>
      </c>
      <c r="B99" s="187" t="s">
        <v>3906</v>
      </c>
      <c r="C99" s="187">
        <v>645492</v>
      </c>
      <c r="D99" s="187">
        <v>439</v>
      </c>
    </row>
    <row r="100" spans="1:4">
      <c r="A100" s="187" t="s">
        <v>6195</v>
      </c>
      <c r="B100" s="187" t="s">
        <v>5385</v>
      </c>
      <c r="C100" s="187">
        <v>1501956</v>
      </c>
      <c r="D100" s="187">
        <v>1339</v>
      </c>
    </row>
    <row r="101" spans="1:4">
      <c r="A101" s="187" t="s">
        <v>6256</v>
      </c>
      <c r="B101" s="187" t="s">
        <v>6257</v>
      </c>
      <c r="C101" s="187">
        <v>54818</v>
      </c>
      <c r="D101" s="187">
        <v>26</v>
      </c>
    </row>
    <row r="102" spans="1:4">
      <c r="A102" s="187" t="s">
        <v>6258</v>
      </c>
      <c r="B102" s="187" t="s">
        <v>6259</v>
      </c>
      <c r="C102" s="187">
        <v>13031</v>
      </c>
      <c r="D102" s="187">
        <v>10</v>
      </c>
    </row>
    <row r="103" spans="1:4">
      <c r="A103" s="187" t="s">
        <v>743</v>
      </c>
      <c r="B103" s="187" t="s">
        <v>1816</v>
      </c>
      <c r="C103" s="187">
        <v>2913237</v>
      </c>
      <c r="D103" s="187">
        <v>1095</v>
      </c>
    </row>
    <row r="104" spans="1:4">
      <c r="A104" s="187" t="s">
        <v>960</v>
      </c>
      <c r="B104" s="187" t="s">
        <v>1206</v>
      </c>
      <c r="C104" s="187">
        <v>5254757</v>
      </c>
      <c r="D104" s="187">
        <v>2044</v>
      </c>
    </row>
    <row r="105" spans="1:4">
      <c r="A105" s="187" t="s">
        <v>6260</v>
      </c>
      <c r="B105" s="187" t="s">
        <v>6261</v>
      </c>
      <c r="C105" s="187">
        <v>58872</v>
      </c>
      <c r="D105" s="187">
        <v>32</v>
      </c>
    </row>
    <row r="106" spans="1:4">
      <c r="A106" s="187" t="s">
        <v>6262</v>
      </c>
      <c r="B106" s="187" t="s">
        <v>6263</v>
      </c>
      <c r="C106" s="187">
        <v>234467</v>
      </c>
      <c r="D106" s="187">
        <v>192</v>
      </c>
    </row>
    <row r="107" spans="1:4">
      <c r="A107" s="187" t="s">
        <v>6264</v>
      </c>
      <c r="B107" s="187" t="s">
        <v>6265</v>
      </c>
      <c r="C107" s="187">
        <v>47333</v>
      </c>
      <c r="D107" s="187">
        <v>19</v>
      </c>
    </row>
    <row r="108" spans="1:4">
      <c r="A108" s="187" t="s">
        <v>6266</v>
      </c>
      <c r="B108" s="187" t="s">
        <v>6267</v>
      </c>
      <c r="C108" s="187">
        <v>18754</v>
      </c>
      <c r="D108" s="187">
        <v>8</v>
      </c>
    </row>
    <row r="109" spans="1:4">
      <c r="A109" s="187" t="s">
        <v>6268</v>
      </c>
      <c r="B109" s="187" t="s">
        <v>6269</v>
      </c>
      <c r="C109" s="187">
        <v>7756</v>
      </c>
      <c r="D109" s="187">
        <v>49</v>
      </c>
    </row>
    <row r="110" spans="1:4">
      <c r="A110" s="187" t="s">
        <v>6270</v>
      </c>
      <c r="B110" s="187" t="s">
        <v>6271</v>
      </c>
      <c r="C110" s="187">
        <v>625411</v>
      </c>
      <c r="D110" s="187">
        <v>267</v>
      </c>
    </row>
    <row r="111" spans="1:4">
      <c r="A111" s="187" t="s">
        <v>6272</v>
      </c>
      <c r="B111" s="187" t="s">
        <v>2290</v>
      </c>
      <c r="C111" s="187">
        <v>320157</v>
      </c>
      <c r="D111" s="187">
        <v>155</v>
      </c>
    </row>
    <row r="112" spans="1:4">
      <c r="A112" s="187" t="s">
        <v>2291</v>
      </c>
      <c r="B112" s="187" t="s">
        <v>2292</v>
      </c>
      <c r="C112" s="187">
        <v>778560</v>
      </c>
      <c r="D112" s="187">
        <v>605</v>
      </c>
    </row>
    <row r="113" spans="1:4">
      <c r="A113" s="187" t="s">
        <v>954</v>
      </c>
      <c r="B113" s="187" t="s">
        <v>1200</v>
      </c>
      <c r="C113" s="187">
        <v>41838</v>
      </c>
      <c r="D113" s="187">
        <v>50</v>
      </c>
    </row>
    <row r="114" spans="1:4">
      <c r="A114" s="187" t="s">
        <v>6166</v>
      </c>
      <c r="B114" s="187" t="s">
        <v>137</v>
      </c>
      <c r="C114" s="187">
        <v>123295</v>
      </c>
      <c r="D114" s="187">
        <v>52</v>
      </c>
    </row>
    <row r="115" spans="1:4">
      <c r="A115" s="187" t="s">
        <v>864</v>
      </c>
      <c r="B115" s="187" t="s">
        <v>1476</v>
      </c>
      <c r="C115" s="187">
        <v>35870</v>
      </c>
      <c r="D115" s="187">
        <v>29</v>
      </c>
    </row>
    <row r="116" spans="1:4">
      <c r="A116" s="187" t="s">
        <v>3085</v>
      </c>
      <c r="B116" s="187" t="s">
        <v>452</v>
      </c>
      <c r="C116" s="187">
        <v>84407</v>
      </c>
      <c r="D116" s="187">
        <v>39</v>
      </c>
    </row>
    <row r="117" spans="1:4">
      <c r="A117" s="187" t="s">
        <v>1518</v>
      </c>
      <c r="B117" s="187" t="s">
        <v>5619</v>
      </c>
      <c r="C117" s="187">
        <v>368684</v>
      </c>
      <c r="D117" s="187">
        <v>178</v>
      </c>
    </row>
    <row r="118" spans="1:4">
      <c r="A118" s="187" t="s">
        <v>2293</v>
      </c>
      <c r="B118" s="187" t="s">
        <v>2294</v>
      </c>
      <c r="C118" s="187">
        <v>173616</v>
      </c>
      <c r="D118" s="187">
        <v>300</v>
      </c>
    </row>
    <row r="119" spans="1:4">
      <c r="A119" s="187" t="s">
        <v>2295</v>
      </c>
      <c r="B119" s="187" t="s">
        <v>2296</v>
      </c>
      <c r="C119" s="187">
        <v>157735</v>
      </c>
      <c r="D119" s="187">
        <v>133</v>
      </c>
    </row>
    <row r="120" spans="1:4">
      <c r="A120" s="187" t="s">
        <v>2297</v>
      </c>
      <c r="B120" s="187" t="s">
        <v>2298</v>
      </c>
      <c r="C120" s="187">
        <v>67949</v>
      </c>
      <c r="D120" s="187">
        <v>87</v>
      </c>
    </row>
    <row r="121" spans="1:4">
      <c r="A121" s="187" t="s">
        <v>978</v>
      </c>
      <c r="B121" s="187" t="s">
        <v>1210</v>
      </c>
      <c r="C121" s="187">
        <v>842957</v>
      </c>
      <c r="D121" s="187">
        <v>424</v>
      </c>
    </row>
    <row r="122" spans="1:4">
      <c r="A122" s="187" t="s">
        <v>3003</v>
      </c>
      <c r="B122" s="187" t="s">
        <v>5002</v>
      </c>
      <c r="C122" s="187">
        <v>909320</v>
      </c>
      <c r="D122" s="187">
        <v>492</v>
      </c>
    </row>
    <row r="123" spans="1:4">
      <c r="A123" s="187" t="s">
        <v>2993</v>
      </c>
      <c r="B123" s="187" t="s">
        <v>4997</v>
      </c>
      <c r="C123" s="187">
        <v>1016720</v>
      </c>
      <c r="D123" s="187">
        <v>618</v>
      </c>
    </row>
    <row r="124" spans="1:4">
      <c r="A124" s="187" t="s">
        <v>518</v>
      </c>
      <c r="B124" s="187" t="s">
        <v>519</v>
      </c>
      <c r="C124" s="187">
        <v>398072</v>
      </c>
      <c r="D124" s="187">
        <v>207</v>
      </c>
    </row>
    <row r="125" spans="1:4">
      <c r="A125" s="187" t="s">
        <v>2299</v>
      </c>
      <c r="B125" s="187" t="s">
        <v>3970</v>
      </c>
      <c r="C125" s="187">
        <v>69227</v>
      </c>
      <c r="D125" s="187">
        <v>39</v>
      </c>
    </row>
    <row r="126" spans="1:4">
      <c r="A126" s="187" t="s">
        <v>3971</v>
      </c>
      <c r="B126" s="187" t="s">
        <v>2160</v>
      </c>
      <c r="C126" s="187">
        <v>1959162</v>
      </c>
      <c r="D126" s="187">
        <v>589</v>
      </c>
    </row>
    <row r="127" spans="1:4">
      <c r="A127" s="187" t="s">
        <v>2161</v>
      </c>
      <c r="B127" s="187" t="s">
        <v>2603</v>
      </c>
      <c r="C127" s="187">
        <v>75290</v>
      </c>
      <c r="D127" s="187">
        <v>69</v>
      </c>
    </row>
    <row r="128" spans="1:4">
      <c r="A128" s="187" t="s">
        <v>3086</v>
      </c>
      <c r="B128" s="187" t="s">
        <v>2604</v>
      </c>
      <c r="C128" s="187">
        <v>207750</v>
      </c>
      <c r="D128" s="187">
        <v>233</v>
      </c>
    </row>
    <row r="129" spans="1:4">
      <c r="A129" s="187" t="s">
        <v>2605</v>
      </c>
      <c r="B129" s="187" t="s">
        <v>2606</v>
      </c>
      <c r="C129" s="187">
        <v>136623</v>
      </c>
      <c r="D129" s="187">
        <v>69</v>
      </c>
    </row>
    <row r="130" spans="1:4">
      <c r="A130" s="187" t="s">
        <v>4181</v>
      </c>
      <c r="B130" s="187" t="s">
        <v>4182</v>
      </c>
      <c r="C130" s="187">
        <v>188171</v>
      </c>
      <c r="D130" s="187">
        <v>93</v>
      </c>
    </row>
    <row r="131" spans="1:4">
      <c r="A131" s="187" t="s">
        <v>4183</v>
      </c>
      <c r="B131" s="187" t="s">
        <v>4184</v>
      </c>
      <c r="C131" s="187">
        <v>12307</v>
      </c>
      <c r="D131" s="187">
        <v>8</v>
      </c>
    </row>
    <row r="132" spans="1:4">
      <c r="A132" s="187" t="s">
        <v>959</v>
      </c>
      <c r="B132" s="187" t="s">
        <v>1205</v>
      </c>
      <c r="C132" s="187">
        <v>15515310</v>
      </c>
      <c r="D132" s="187">
        <v>6231</v>
      </c>
    </row>
    <row r="133" spans="1:4">
      <c r="A133" s="187" t="s">
        <v>1861</v>
      </c>
      <c r="B133" s="187" t="s">
        <v>520</v>
      </c>
      <c r="C133" s="187">
        <v>5436021</v>
      </c>
      <c r="D133" s="187">
        <v>2241</v>
      </c>
    </row>
    <row r="134" spans="1:4">
      <c r="A134" s="187" t="s">
        <v>6037</v>
      </c>
      <c r="B134" s="187" t="s">
        <v>468</v>
      </c>
      <c r="C134" s="187">
        <v>896866</v>
      </c>
      <c r="D134" s="187">
        <v>415</v>
      </c>
    </row>
    <row r="135" spans="1:4">
      <c r="A135" s="187" t="s">
        <v>2995</v>
      </c>
      <c r="B135" s="187" t="s">
        <v>4999</v>
      </c>
      <c r="C135" s="187">
        <v>2427791</v>
      </c>
      <c r="D135" s="187">
        <v>1150</v>
      </c>
    </row>
    <row r="136" spans="1:4">
      <c r="A136" s="187" t="s">
        <v>7643</v>
      </c>
      <c r="B136" s="187" t="s">
        <v>7644</v>
      </c>
      <c r="C136" s="187">
        <v>787920</v>
      </c>
      <c r="D136" s="187">
        <v>319</v>
      </c>
    </row>
    <row r="137" spans="1:4">
      <c r="A137" s="187" t="s">
        <v>3087</v>
      </c>
      <c r="B137" s="187" t="s">
        <v>453</v>
      </c>
      <c r="C137" s="187">
        <v>738717</v>
      </c>
      <c r="D137" s="187">
        <v>362</v>
      </c>
    </row>
    <row r="138" spans="1:4">
      <c r="A138" s="187" t="s">
        <v>2387</v>
      </c>
      <c r="B138" s="187" t="s">
        <v>663</v>
      </c>
      <c r="C138" s="187">
        <v>4180070</v>
      </c>
      <c r="D138" s="187">
        <v>1380</v>
      </c>
    </row>
    <row r="139" spans="1:4">
      <c r="A139" s="187" t="s">
        <v>3088</v>
      </c>
      <c r="B139" s="187" t="s">
        <v>454</v>
      </c>
      <c r="C139" s="187">
        <v>278763</v>
      </c>
      <c r="D139" s="187">
        <v>101</v>
      </c>
    </row>
    <row r="140" spans="1:4">
      <c r="A140" s="187" t="s">
        <v>2393</v>
      </c>
      <c r="B140" s="187" t="s">
        <v>4075</v>
      </c>
      <c r="C140" s="187">
        <v>364560</v>
      </c>
      <c r="D140" s="187">
        <v>207</v>
      </c>
    </row>
    <row r="141" spans="1:4">
      <c r="A141" s="187" t="s">
        <v>7645</v>
      </c>
      <c r="B141" s="187" t="s">
        <v>7646</v>
      </c>
      <c r="C141" s="187">
        <v>924840</v>
      </c>
      <c r="D141" s="187">
        <v>419</v>
      </c>
    </row>
    <row r="142" spans="1:4">
      <c r="A142" s="187" t="s">
        <v>7647</v>
      </c>
      <c r="B142" s="187" t="s">
        <v>7648</v>
      </c>
      <c r="C142" s="187">
        <v>276357</v>
      </c>
      <c r="D142" s="187">
        <v>327</v>
      </c>
    </row>
    <row r="143" spans="1:4">
      <c r="A143" s="187" t="s">
        <v>7649</v>
      </c>
      <c r="B143" s="187" t="s">
        <v>3769</v>
      </c>
      <c r="C143" s="187">
        <v>42917</v>
      </c>
      <c r="D143" s="187">
        <v>31</v>
      </c>
    </row>
    <row r="144" spans="1:4">
      <c r="A144" s="187" t="s">
        <v>1786</v>
      </c>
      <c r="B144" s="187" t="s">
        <v>1787</v>
      </c>
      <c r="C144" s="187">
        <v>134496</v>
      </c>
      <c r="D144" s="187">
        <v>117</v>
      </c>
    </row>
    <row r="145" spans="1:4">
      <c r="A145" s="187" t="s">
        <v>1788</v>
      </c>
      <c r="B145" s="187" t="s">
        <v>1789</v>
      </c>
      <c r="C145" s="187">
        <v>125008</v>
      </c>
      <c r="D145" s="187">
        <v>82</v>
      </c>
    </row>
    <row r="146" spans="1:4">
      <c r="A146" s="187" t="s">
        <v>1790</v>
      </c>
      <c r="B146" s="187" t="s">
        <v>1791</v>
      </c>
      <c r="C146" s="187">
        <v>170375</v>
      </c>
      <c r="D146" s="187">
        <v>299</v>
      </c>
    </row>
    <row r="147" spans="1:4">
      <c r="A147" s="187" t="s">
        <v>1792</v>
      </c>
      <c r="B147" s="187" t="s">
        <v>2981</v>
      </c>
      <c r="C147" s="187">
        <v>65304</v>
      </c>
      <c r="D147" s="187">
        <v>39</v>
      </c>
    </row>
    <row r="148" spans="1:4">
      <c r="A148" s="187" t="s">
        <v>2982</v>
      </c>
      <c r="B148" s="187" t="s">
        <v>2983</v>
      </c>
      <c r="C148" s="187">
        <v>59122</v>
      </c>
      <c r="D148" s="187">
        <v>165</v>
      </c>
    </row>
    <row r="149" spans="1:4">
      <c r="A149" s="187" t="s">
        <v>2984</v>
      </c>
      <c r="B149" s="187" t="s">
        <v>2985</v>
      </c>
      <c r="C149" s="187">
        <v>105453</v>
      </c>
      <c r="D149" s="187">
        <v>167</v>
      </c>
    </row>
    <row r="150" spans="1:4">
      <c r="A150" s="187" t="s">
        <v>965</v>
      </c>
      <c r="B150" s="187" t="s">
        <v>966</v>
      </c>
      <c r="C150" s="187">
        <v>50639</v>
      </c>
      <c r="D150" s="187">
        <v>61</v>
      </c>
    </row>
    <row r="151" spans="1:4">
      <c r="A151" s="187" t="s">
        <v>6704</v>
      </c>
      <c r="B151" s="187" t="s">
        <v>6705</v>
      </c>
      <c r="C151" s="187">
        <v>77100</v>
      </c>
      <c r="D151" s="187">
        <v>228</v>
      </c>
    </row>
    <row r="152" spans="1:4">
      <c r="A152" s="187" t="s">
        <v>6706</v>
      </c>
      <c r="B152" s="187" t="s">
        <v>689</v>
      </c>
      <c r="C152" s="187">
        <v>8981</v>
      </c>
      <c r="D152" s="187">
        <v>16</v>
      </c>
    </row>
    <row r="153" spans="1:4">
      <c r="A153" s="187" t="s">
        <v>690</v>
      </c>
      <c r="B153" s="187" t="s">
        <v>691</v>
      </c>
      <c r="C153" s="187">
        <v>61150</v>
      </c>
      <c r="D153" s="187">
        <v>42</v>
      </c>
    </row>
    <row r="154" spans="1:4">
      <c r="A154" s="187" t="s">
        <v>692</v>
      </c>
      <c r="B154" s="187" t="s">
        <v>894</v>
      </c>
      <c r="C154" s="187">
        <v>412384</v>
      </c>
      <c r="D154" s="187">
        <v>226</v>
      </c>
    </row>
    <row r="155" spans="1:4">
      <c r="A155" s="187" t="s">
        <v>895</v>
      </c>
      <c r="B155" s="187" t="s">
        <v>896</v>
      </c>
      <c r="C155" s="187">
        <v>14600</v>
      </c>
      <c r="D155" s="187">
        <v>78</v>
      </c>
    </row>
    <row r="156" spans="1:4">
      <c r="A156" s="187" t="s">
        <v>6177</v>
      </c>
      <c r="B156" s="187" t="s">
        <v>2664</v>
      </c>
      <c r="C156" s="187">
        <v>15750</v>
      </c>
      <c r="D156" s="187">
        <v>38</v>
      </c>
    </row>
    <row r="157" spans="1:4">
      <c r="A157" s="187" t="s">
        <v>265</v>
      </c>
      <c r="B157" s="187" t="s">
        <v>5268</v>
      </c>
      <c r="C157" s="187">
        <v>392464</v>
      </c>
      <c r="D157" s="187">
        <v>198</v>
      </c>
    </row>
    <row r="158" spans="1:4">
      <c r="A158" s="187" t="s">
        <v>897</v>
      </c>
      <c r="B158" s="187" t="s">
        <v>898</v>
      </c>
      <c r="C158" s="187">
        <v>993280</v>
      </c>
      <c r="D158" s="187">
        <v>377</v>
      </c>
    </row>
    <row r="159" spans="1:4">
      <c r="A159" s="187" t="s">
        <v>899</v>
      </c>
      <c r="B159" s="187" t="s">
        <v>900</v>
      </c>
      <c r="C159" s="187">
        <v>356741</v>
      </c>
      <c r="D159" s="187">
        <v>140</v>
      </c>
    </row>
    <row r="160" spans="1:4">
      <c r="A160" s="187" t="s">
        <v>901</v>
      </c>
      <c r="B160" s="187" t="s">
        <v>902</v>
      </c>
      <c r="C160" s="187">
        <v>279456</v>
      </c>
      <c r="D160" s="187">
        <v>109</v>
      </c>
    </row>
    <row r="161" spans="1:4">
      <c r="A161" s="187" t="s">
        <v>6023</v>
      </c>
      <c r="B161" s="187" t="s">
        <v>4564</v>
      </c>
      <c r="C161" s="187">
        <v>1187100</v>
      </c>
      <c r="D161" s="187">
        <v>693</v>
      </c>
    </row>
    <row r="162" spans="1:4">
      <c r="A162" s="187" t="s">
        <v>2383</v>
      </c>
      <c r="B162" s="187" t="s">
        <v>659</v>
      </c>
      <c r="C162" s="187">
        <v>286869</v>
      </c>
      <c r="D162" s="187">
        <v>279</v>
      </c>
    </row>
    <row r="163" spans="1:4">
      <c r="A163" s="187" t="s">
        <v>6180</v>
      </c>
      <c r="B163" s="187" t="s">
        <v>4991</v>
      </c>
      <c r="C163" s="187">
        <v>36900</v>
      </c>
      <c r="D163" s="187">
        <v>59</v>
      </c>
    </row>
    <row r="164" spans="1:4">
      <c r="A164" s="187" t="s">
        <v>903</v>
      </c>
      <c r="B164" s="187" t="s">
        <v>904</v>
      </c>
      <c r="C164" s="187">
        <v>44880</v>
      </c>
      <c r="D164" s="187">
        <v>49</v>
      </c>
    </row>
    <row r="165" spans="1:4">
      <c r="A165" s="187" t="s">
        <v>736</v>
      </c>
      <c r="B165" s="187" t="s">
        <v>1577</v>
      </c>
      <c r="C165" s="187">
        <v>345797</v>
      </c>
      <c r="D165" s="187">
        <v>217</v>
      </c>
    </row>
    <row r="166" spans="1:4">
      <c r="A166" s="187" t="s">
        <v>5336</v>
      </c>
      <c r="B166" s="187" t="s">
        <v>2116</v>
      </c>
      <c r="C166" s="187">
        <v>26852</v>
      </c>
      <c r="D166" s="187">
        <v>25</v>
      </c>
    </row>
    <row r="167" spans="1:4">
      <c r="A167" s="187" t="s">
        <v>2117</v>
      </c>
      <c r="B167" s="187" t="s">
        <v>2118</v>
      </c>
      <c r="C167" s="187">
        <v>209795</v>
      </c>
      <c r="D167" s="187">
        <v>154</v>
      </c>
    </row>
    <row r="168" spans="1:4">
      <c r="A168" s="187" t="s">
        <v>3089</v>
      </c>
      <c r="B168" s="187" t="s">
        <v>3609</v>
      </c>
      <c r="C168" s="187">
        <v>63001</v>
      </c>
      <c r="D168" s="187">
        <v>83</v>
      </c>
    </row>
    <row r="169" spans="1:4">
      <c r="A169" s="187" t="s">
        <v>2119</v>
      </c>
      <c r="B169" s="187" t="s">
        <v>2120</v>
      </c>
      <c r="C169" s="187">
        <v>27346</v>
      </c>
      <c r="D169" s="187">
        <v>32</v>
      </c>
    </row>
    <row r="170" spans="1:4">
      <c r="A170" s="187" t="s">
        <v>2121</v>
      </c>
      <c r="B170" s="187" t="s">
        <v>2122</v>
      </c>
      <c r="C170" s="187">
        <v>23520</v>
      </c>
      <c r="D170" s="187">
        <v>32</v>
      </c>
    </row>
    <row r="171" spans="1:4">
      <c r="A171" s="187" t="s">
        <v>2123</v>
      </c>
      <c r="B171" s="187" t="s">
        <v>3129</v>
      </c>
      <c r="C171" s="187">
        <v>288766</v>
      </c>
      <c r="D171" s="187">
        <v>124</v>
      </c>
    </row>
    <row r="172" spans="1:4">
      <c r="A172" s="187" t="s">
        <v>3130</v>
      </c>
      <c r="B172" s="187" t="s">
        <v>3131</v>
      </c>
      <c r="C172" s="187">
        <v>14333</v>
      </c>
      <c r="D172" s="187">
        <v>76</v>
      </c>
    </row>
    <row r="173" spans="1:4">
      <c r="A173" s="187" t="s">
        <v>3132</v>
      </c>
      <c r="B173" s="187" t="s">
        <v>3133</v>
      </c>
      <c r="C173" s="187">
        <v>141840</v>
      </c>
      <c r="D173" s="187">
        <v>86</v>
      </c>
    </row>
    <row r="174" spans="1:4">
      <c r="A174" s="187" t="s">
        <v>1322</v>
      </c>
      <c r="B174" s="187" t="s">
        <v>1323</v>
      </c>
      <c r="C174" s="187">
        <v>141978</v>
      </c>
      <c r="D174" s="187">
        <v>57</v>
      </c>
    </row>
    <row r="175" spans="1:4">
      <c r="A175" s="187" t="s">
        <v>742</v>
      </c>
      <c r="B175" s="187" t="s">
        <v>1785</v>
      </c>
      <c r="C175" s="187">
        <v>213374</v>
      </c>
      <c r="D175" s="187">
        <v>222</v>
      </c>
    </row>
    <row r="176" spans="1:4">
      <c r="A176" s="187" t="s">
        <v>440</v>
      </c>
      <c r="B176" s="187" t="s">
        <v>1446</v>
      </c>
      <c r="C176" s="187">
        <v>54534</v>
      </c>
      <c r="D176" s="187">
        <v>49</v>
      </c>
    </row>
    <row r="177" spans="1:4">
      <c r="A177" s="187" t="s">
        <v>1324</v>
      </c>
      <c r="B177" s="187" t="s">
        <v>1325</v>
      </c>
      <c r="C177" s="187">
        <v>98275</v>
      </c>
      <c r="D177" s="187">
        <v>43</v>
      </c>
    </row>
    <row r="178" spans="1:4">
      <c r="A178" s="187" t="s">
        <v>1326</v>
      </c>
      <c r="B178" s="187" t="s">
        <v>5912</v>
      </c>
      <c r="C178" s="187">
        <v>33327</v>
      </c>
      <c r="D178" s="187">
        <v>28</v>
      </c>
    </row>
    <row r="179" spans="1:4">
      <c r="A179" s="187" t="s">
        <v>818</v>
      </c>
      <c r="B179" s="187" t="s">
        <v>913</v>
      </c>
      <c r="C179" s="187">
        <v>2084998</v>
      </c>
      <c r="D179" s="187">
        <v>1319</v>
      </c>
    </row>
    <row r="180" spans="1:4">
      <c r="A180" s="187" t="s">
        <v>266</v>
      </c>
      <c r="B180" s="187" t="s">
        <v>5269</v>
      </c>
      <c r="C180" s="187">
        <v>283793</v>
      </c>
      <c r="D180" s="187">
        <v>121</v>
      </c>
    </row>
    <row r="181" spans="1:4">
      <c r="A181" s="187" t="s">
        <v>441</v>
      </c>
      <c r="B181" s="187" t="s">
        <v>1447</v>
      </c>
      <c r="C181" s="187">
        <v>254386</v>
      </c>
      <c r="D181" s="187">
        <v>154</v>
      </c>
    </row>
    <row r="182" spans="1:4">
      <c r="A182" s="187" t="s">
        <v>1526</v>
      </c>
      <c r="B182" s="187" t="s">
        <v>251</v>
      </c>
      <c r="C182" s="187">
        <v>150670</v>
      </c>
      <c r="D182" s="187">
        <v>176</v>
      </c>
    </row>
    <row r="183" spans="1:4">
      <c r="A183" s="187" t="s">
        <v>1312</v>
      </c>
      <c r="B183" s="187" t="s">
        <v>2667</v>
      </c>
      <c r="C183" s="187">
        <v>2168954</v>
      </c>
      <c r="D183" s="187">
        <v>945</v>
      </c>
    </row>
    <row r="184" spans="1:4">
      <c r="A184" s="187" t="s">
        <v>6168</v>
      </c>
      <c r="B184" s="187" t="s">
        <v>2370</v>
      </c>
      <c r="C184" s="187">
        <v>4420515</v>
      </c>
      <c r="D184" s="187">
        <v>1277</v>
      </c>
    </row>
    <row r="185" spans="1:4">
      <c r="A185" s="187" t="s">
        <v>5913</v>
      </c>
      <c r="B185" s="187" t="s">
        <v>3545</v>
      </c>
      <c r="C185" s="187">
        <v>145393</v>
      </c>
      <c r="D185" s="187">
        <v>62</v>
      </c>
    </row>
    <row r="186" spans="1:4">
      <c r="A186" s="187" t="s">
        <v>3546</v>
      </c>
      <c r="B186" s="187" t="s">
        <v>3547</v>
      </c>
      <c r="C186" s="187">
        <v>12782394</v>
      </c>
      <c r="D186" s="187">
        <v>5789</v>
      </c>
    </row>
    <row r="187" spans="1:4">
      <c r="A187" s="187" t="s">
        <v>5132</v>
      </c>
      <c r="B187" s="187" t="s">
        <v>4180</v>
      </c>
      <c r="C187" s="187">
        <v>171735</v>
      </c>
      <c r="D187" s="187">
        <v>285</v>
      </c>
    </row>
    <row r="188" spans="1:4">
      <c r="A188" s="187" t="s">
        <v>649</v>
      </c>
      <c r="B188" s="187" t="s">
        <v>63</v>
      </c>
      <c r="C188" s="187">
        <v>249383</v>
      </c>
      <c r="D188" s="187">
        <v>144</v>
      </c>
    </row>
    <row r="189" spans="1:4">
      <c r="A189" s="187" t="s">
        <v>861</v>
      </c>
      <c r="B189" s="187" t="s">
        <v>1473</v>
      </c>
      <c r="C189" s="187">
        <v>772650</v>
      </c>
      <c r="D189" s="187">
        <v>695</v>
      </c>
    </row>
    <row r="190" spans="1:4">
      <c r="A190" s="187" t="s">
        <v>956</v>
      </c>
      <c r="B190" s="187" t="s">
        <v>1202</v>
      </c>
      <c r="C190" s="187">
        <v>124870</v>
      </c>
      <c r="D190" s="187">
        <v>99</v>
      </c>
    </row>
    <row r="191" spans="1:4">
      <c r="A191" s="187" t="s">
        <v>236</v>
      </c>
      <c r="B191" s="187" t="s">
        <v>775</v>
      </c>
      <c r="C191" s="187">
        <v>368923</v>
      </c>
      <c r="D191" s="187">
        <v>196</v>
      </c>
    </row>
    <row r="192" spans="1:4">
      <c r="A192" s="187" t="s">
        <v>3548</v>
      </c>
      <c r="B192" s="187" t="s">
        <v>3549</v>
      </c>
      <c r="C192" s="187">
        <v>200438</v>
      </c>
      <c r="D192" s="187">
        <v>111</v>
      </c>
    </row>
    <row r="193" spans="1:4">
      <c r="A193" s="187" t="s">
        <v>3550</v>
      </c>
      <c r="B193" s="187" t="s">
        <v>205</v>
      </c>
      <c r="C193" s="187">
        <v>362000</v>
      </c>
      <c r="D193" s="187">
        <v>109</v>
      </c>
    </row>
    <row r="194" spans="1:4">
      <c r="A194" s="187" t="s">
        <v>206</v>
      </c>
      <c r="B194" s="187" t="s">
        <v>207</v>
      </c>
      <c r="C194" s="187">
        <v>22800</v>
      </c>
      <c r="D194" s="187">
        <v>23</v>
      </c>
    </row>
    <row r="195" spans="1:4">
      <c r="A195" s="187" t="s">
        <v>234</v>
      </c>
      <c r="B195" s="187" t="s">
        <v>3907</v>
      </c>
      <c r="C195" s="187">
        <v>354565</v>
      </c>
      <c r="D195" s="187">
        <v>237</v>
      </c>
    </row>
    <row r="196" spans="1:4">
      <c r="A196" s="187" t="s">
        <v>208</v>
      </c>
      <c r="B196" s="187" t="s">
        <v>209</v>
      </c>
      <c r="C196" s="187">
        <v>637104</v>
      </c>
      <c r="D196" s="187">
        <v>226</v>
      </c>
    </row>
    <row r="197" spans="1:4">
      <c r="A197" s="187" t="s">
        <v>210</v>
      </c>
      <c r="B197" s="187" t="s">
        <v>211</v>
      </c>
      <c r="C197" s="187">
        <v>77624</v>
      </c>
      <c r="D197" s="187">
        <v>106</v>
      </c>
    </row>
    <row r="198" spans="1:4">
      <c r="A198" s="187" t="s">
        <v>212</v>
      </c>
      <c r="B198" s="187" t="s">
        <v>213</v>
      </c>
      <c r="C198" s="187">
        <v>1759588</v>
      </c>
      <c r="D198" s="187">
        <v>818</v>
      </c>
    </row>
    <row r="199" spans="1:4">
      <c r="A199" s="187" t="s">
        <v>214</v>
      </c>
      <c r="B199" s="187" t="s">
        <v>215</v>
      </c>
      <c r="C199" s="187">
        <v>2890084</v>
      </c>
      <c r="D199" s="187">
        <v>1598</v>
      </c>
    </row>
    <row r="200" spans="1:4">
      <c r="A200" s="187" t="s">
        <v>2714</v>
      </c>
      <c r="B200" s="187" t="s">
        <v>2715</v>
      </c>
      <c r="C200" s="187">
        <v>92246</v>
      </c>
      <c r="D200" s="187">
        <v>171</v>
      </c>
    </row>
    <row r="201" spans="1:4">
      <c r="A201" s="187" t="s">
        <v>250</v>
      </c>
      <c r="B201" s="187" t="s">
        <v>6139</v>
      </c>
      <c r="C201" s="187">
        <v>168367</v>
      </c>
      <c r="D201" s="187">
        <v>125</v>
      </c>
    </row>
    <row r="202" spans="1:4">
      <c r="A202" s="187" t="s">
        <v>2162</v>
      </c>
      <c r="B202" s="187" t="s">
        <v>3828</v>
      </c>
      <c r="C202" s="187">
        <v>75583</v>
      </c>
      <c r="D202" s="187">
        <v>41</v>
      </c>
    </row>
    <row r="203" spans="1:4">
      <c r="A203" s="187" t="s">
        <v>2716</v>
      </c>
      <c r="B203" s="187" t="s">
        <v>2717</v>
      </c>
      <c r="C203" s="187">
        <v>29000</v>
      </c>
      <c r="D203" s="187">
        <v>27</v>
      </c>
    </row>
    <row r="204" spans="1:4">
      <c r="A204" s="187" t="s">
        <v>2718</v>
      </c>
      <c r="B204" s="187" t="s">
        <v>2719</v>
      </c>
      <c r="C204" s="187">
        <v>143760</v>
      </c>
      <c r="D204" s="187">
        <v>65</v>
      </c>
    </row>
    <row r="205" spans="1:4">
      <c r="A205" s="187" t="s">
        <v>2720</v>
      </c>
      <c r="B205" s="187" t="s">
        <v>2721</v>
      </c>
      <c r="C205" s="187">
        <v>29622</v>
      </c>
      <c r="D205" s="187">
        <v>29</v>
      </c>
    </row>
    <row r="206" spans="1:4">
      <c r="A206" s="187" t="s">
        <v>1314</v>
      </c>
      <c r="B206" s="187" t="s">
        <v>2669</v>
      </c>
      <c r="C206" s="187">
        <v>495771</v>
      </c>
      <c r="D206" s="187">
        <v>389</v>
      </c>
    </row>
    <row r="207" spans="1:4">
      <c r="A207" s="187" t="s">
        <v>2722</v>
      </c>
      <c r="B207" s="187" t="s">
        <v>2723</v>
      </c>
      <c r="C207" s="187">
        <v>59585</v>
      </c>
      <c r="D207" s="187">
        <v>66</v>
      </c>
    </row>
    <row r="208" spans="1:4">
      <c r="A208" s="187" t="s">
        <v>442</v>
      </c>
      <c r="B208" s="187" t="s">
        <v>3141</v>
      </c>
      <c r="C208" s="187">
        <v>80583</v>
      </c>
      <c r="D208" s="187">
        <v>93</v>
      </c>
    </row>
    <row r="209" spans="1:4">
      <c r="A209" s="187" t="s">
        <v>2724</v>
      </c>
      <c r="B209" s="187" t="s">
        <v>5320</v>
      </c>
      <c r="C209" s="187">
        <v>140100</v>
      </c>
      <c r="D209" s="187">
        <v>173</v>
      </c>
    </row>
    <row r="210" spans="1:4">
      <c r="A210" s="187" t="s">
        <v>5321</v>
      </c>
      <c r="B210" s="187" t="s">
        <v>5322</v>
      </c>
      <c r="C210" s="187">
        <v>30506</v>
      </c>
      <c r="D210" s="187">
        <v>61</v>
      </c>
    </row>
    <row r="211" spans="1:4">
      <c r="A211" s="187" t="s">
        <v>5323</v>
      </c>
      <c r="B211" s="187" t="s">
        <v>5324</v>
      </c>
      <c r="C211" s="187">
        <v>45612</v>
      </c>
      <c r="D211" s="187">
        <v>58</v>
      </c>
    </row>
    <row r="212" spans="1:4">
      <c r="A212" s="187" t="s">
        <v>5325</v>
      </c>
      <c r="B212" s="187" t="s">
        <v>5326</v>
      </c>
      <c r="C212" s="187">
        <v>18032</v>
      </c>
      <c r="D212" s="187">
        <v>12</v>
      </c>
    </row>
    <row r="213" spans="1:4">
      <c r="A213" s="187" t="s">
        <v>5327</v>
      </c>
      <c r="B213" s="187" t="s">
        <v>5328</v>
      </c>
      <c r="C213" s="187">
        <v>4666</v>
      </c>
      <c r="D213" s="187">
        <v>14</v>
      </c>
    </row>
    <row r="214" spans="1:4">
      <c r="A214" s="187" t="s">
        <v>5329</v>
      </c>
      <c r="B214" s="187" t="s">
        <v>5330</v>
      </c>
      <c r="C214" s="187">
        <v>60714</v>
      </c>
      <c r="D214" s="187">
        <v>50</v>
      </c>
    </row>
    <row r="215" spans="1:4">
      <c r="A215" s="187" t="s">
        <v>5331</v>
      </c>
      <c r="B215" s="187" t="s">
        <v>5332</v>
      </c>
      <c r="C215" s="187">
        <v>510359</v>
      </c>
      <c r="D215" s="187">
        <v>343</v>
      </c>
    </row>
    <row r="216" spans="1:4">
      <c r="A216" s="187" t="s">
        <v>585</v>
      </c>
      <c r="B216" s="187" t="s">
        <v>586</v>
      </c>
      <c r="C216" s="187">
        <v>12935</v>
      </c>
      <c r="D216" s="187">
        <v>27</v>
      </c>
    </row>
    <row r="217" spans="1:4">
      <c r="A217" s="187" t="s">
        <v>5333</v>
      </c>
      <c r="B217" s="187" t="s">
        <v>5334</v>
      </c>
      <c r="C217" s="187">
        <v>79233</v>
      </c>
      <c r="D217" s="187">
        <v>38</v>
      </c>
    </row>
    <row r="218" spans="1:4">
      <c r="A218" s="187" t="s">
        <v>239</v>
      </c>
      <c r="B218" s="187" t="s">
        <v>469</v>
      </c>
      <c r="C218" s="187">
        <v>1511691</v>
      </c>
      <c r="D218" s="187">
        <v>1202</v>
      </c>
    </row>
    <row r="219" spans="1:4">
      <c r="A219" s="187" t="s">
        <v>5335</v>
      </c>
      <c r="B219" s="187" t="s">
        <v>2449</v>
      </c>
      <c r="C219" s="187">
        <v>42300</v>
      </c>
      <c r="D219" s="187">
        <v>62</v>
      </c>
    </row>
    <row r="220" spans="1:4">
      <c r="A220" s="187" t="s">
        <v>2450</v>
      </c>
      <c r="B220" s="187" t="s">
        <v>2451</v>
      </c>
      <c r="C220" s="187">
        <v>561464</v>
      </c>
      <c r="D220" s="187">
        <v>161</v>
      </c>
    </row>
    <row r="221" spans="1:4">
      <c r="A221" s="187" t="s">
        <v>2452</v>
      </c>
      <c r="B221" s="187" t="s">
        <v>2453</v>
      </c>
      <c r="C221" s="187">
        <v>378198</v>
      </c>
      <c r="D221" s="187">
        <v>158</v>
      </c>
    </row>
    <row r="222" spans="1:4">
      <c r="A222" s="187" t="s">
        <v>2454</v>
      </c>
      <c r="B222" s="187" t="s">
        <v>2455</v>
      </c>
      <c r="C222" s="187">
        <v>108140</v>
      </c>
      <c r="D222" s="187">
        <v>91</v>
      </c>
    </row>
    <row r="223" spans="1:4">
      <c r="A223" s="187" t="s">
        <v>2456</v>
      </c>
      <c r="B223" s="187" t="s">
        <v>2457</v>
      </c>
      <c r="C223" s="187">
        <v>75194</v>
      </c>
      <c r="D223" s="187">
        <v>116</v>
      </c>
    </row>
    <row r="224" spans="1:4">
      <c r="A224" s="187" t="s">
        <v>2458</v>
      </c>
      <c r="B224" s="187" t="s">
        <v>2459</v>
      </c>
      <c r="C224" s="187">
        <v>94176</v>
      </c>
      <c r="D224" s="187">
        <v>115</v>
      </c>
    </row>
    <row r="225" spans="1:4">
      <c r="A225" s="187" t="s">
        <v>2460</v>
      </c>
      <c r="B225" s="187" t="s">
        <v>2461</v>
      </c>
      <c r="C225" s="187">
        <v>320255</v>
      </c>
      <c r="D225" s="187">
        <v>116</v>
      </c>
    </row>
    <row r="226" spans="1:4">
      <c r="A226" s="187" t="s">
        <v>2462</v>
      </c>
      <c r="B226" s="187" t="s">
        <v>2463</v>
      </c>
      <c r="C226" s="187">
        <v>144615</v>
      </c>
      <c r="D226" s="187">
        <v>255</v>
      </c>
    </row>
    <row r="227" spans="1:4">
      <c r="A227" s="187" t="s">
        <v>2464</v>
      </c>
      <c r="B227" s="187" t="s">
        <v>2465</v>
      </c>
      <c r="C227" s="187">
        <v>47843</v>
      </c>
      <c r="D227" s="187">
        <v>35</v>
      </c>
    </row>
    <row r="228" spans="1:4">
      <c r="A228" s="187" t="s">
        <v>2466</v>
      </c>
      <c r="B228" s="187" t="s">
        <v>5302</v>
      </c>
      <c r="C228" s="187">
        <v>16999</v>
      </c>
      <c r="D228" s="187">
        <v>19</v>
      </c>
    </row>
    <row r="229" spans="1:4">
      <c r="A229" s="187" t="s">
        <v>5303</v>
      </c>
      <c r="B229" s="187" t="s">
        <v>5304</v>
      </c>
      <c r="C229" s="187">
        <v>105258</v>
      </c>
      <c r="D229" s="187">
        <v>68</v>
      </c>
    </row>
    <row r="230" spans="1:4">
      <c r="A230" s="187" t="s">
        <v>5305</v>
      </c>
      <c r="B230" s="187" t="s">
        <v>5306</v>
      </c>
      <c r="C230" s="187">
        <v>22383</v>
      </c>
      <c r="D230" s="187">
        <v>37</v>
      </c>
    </row>
    <row r="231" spans="1:4">
      <c r="A231" s="187" t="s">
        <v>5307</v>
      </c>
      <c r="B231" s="187" t="s">
        <v>5308</v>
      </c>
      <c r="C231" s="187">
        <v>36208</v>
      </c>
      <c r="D231" s="187">
        <v>31</v>
      </c>
    </row>
    <row r="232" spans="1:4">
      <c r="A232" s="187" t="s">
        <v>5309</v>
      </c>
      <c r="B232" s="187" t="s">
        <v>5310</v>
      </c>
      <c r="C232" s="187">
        <v>2619</v>
      </c>
      <c r="D232" s="187">
        <v>25</v>
      </c>
    </row>
    <row r="233" spans="1:4">
      <c r="A233" s="187" t="s">
        <v>5311</v>
      </c>
      <c r="B233" s="187" t="s">
        <v>5312</v>
      </c>
      <c r="C233" s="187">
        <v>14365</v>
      </c>
      <c r="D233" s="187">
        <v>28</v>
      </c>
    </row>
    <row r="234" spans="1:4">
      <c r="A234" s="187" t="s">
        <v>5313</v>
      </c>
      <c r="B234" s="187" t="s">
        <v>5314</v>
      </c>
      <c r="C234" s="187">
        <v>12752</v>
      </c>
      <c r="D234" s="187">
        <v>13</v>
      </c>
    </row>
    <row r="235" spans="1:4">
      <c r="A235" s="187" t="s">
        <v>5315</v>
      </c>
      <c r="B235" s="187" t="s">
        <v>5316</v>
      </c>
      <c r="C235" s="187">
        <v>20616</v>
      </c>
      <c r="D235" s="187">
        <v>42</v>
      </c>
    </row>
    <row r="236" spans="1:4">
      <c r="A236" s="187" t="s">
        <v>5317</v>
      </c>
      <c r="B236" s="187" t="s">
        <v>5318</v>
      </c>
      <c r="C236" s="187">
        <v>3104</v>
      </c>
      <c r="D236" s="187">
        <v>11</v>
      </c>
    </row>
    <row r="237" spans="1:4">
      <c r="A237" s="187" t="s">
        <v>2096</v>
      </c>
      <c r="B237" s="187" t="s">
        <v>2097</v>
      </c>
      <c r="C237" s="187">
        <v>9050</v>
      </c>
      <c r="D237" s="187">
        <v>6</v>
      </c>
    </row>
    <row r="238" spans="1:4">
      <c r="A238" s="187" t="s">
        <v>2098</v>
      </c>
      <c r="B238" s="187" t="s">
        <v>2099</v>
      </c>
      <c r="C238" s="187">
        <v>29547</v>
      </c>
      <c r="D238" s="187">
        <v>142</v>
      </c>
    </row>
    <row r="239" spans="1:4">
      <c r="A239" s="187" t="s">
        <v>2100</v>
      </c>
      <c r="B239" s="187" t="s">
        <v>2101</v>
      </c>
      <c r="C239" s="187">
        <v>7640</v>
      </c>
      <c r="D239" s="187">
        <v>16</v>
      </c>
    </row>
    <row r="240" spans="1:4">
      <c r="A240" s="187" t="s">
        <v>2102</v>
      </c>
      <c r="B240" s="187" t="s">
        <v>2103</v>
      </c>
      <c r="C240" s="187">
        <v>8127</v>
      </c>
      <c r="D240" s="187">
        <v>7</v>
      </c>
    </row>
    <row r="241" spans="1:4">
      <c r="A241" s="187" t="s">
        <v>2104</v>
      </c>
      <c r="B241" s="187" t="s">
        <v>2105</v>
      </c>
      <c r="C241" s="187">
        <v>8601423</v>
      </c>
      <c r="D241" s="187">
        <v>3089</v>
      </c>
    </row>
    <row r="242" spans="1:4">
      <c r="A242" s="187" t="s">
        <v>2106</v>
      </c>
      <c r="B242" s="187" t="s">
        <v>2107</v>
      </c>
      <c r="C242" s="187">
        <v>1071243</v>
      </c>
      <c r="D242" s="187">
        <v>822</v>
      </c>
    </row>
    <row r="243" spans="1:4">
      <c r="A243" s="187" t="s">
        <v>2108</v>
      </c>
      <c r="B243" s="187" t="s">
        <v>2109</v>
      </c>
      <c r="C243" s="187">
        <v>24863543</v>
      </c>
      <c r="D243" s="187">
        <v>19123</v>
      </c>
    </row>
    <row r="244" spans="1:4">
      <c r="A244" s="187" t="s">
        <v>2110</v>
      </c>
      <c r="B244" s="187" t="s">
        <v>2111</v>
      </c>
      <c r="C244" s="187">
        <v>1172018</v>
      </c>
      <c r="D244" s="187">
        <v>823</v>
      </c>
    </row>
    <row r="245" spans="1:4">
      <c r="A245" s="187" t="s">
        <v>2112</v>
      </c>
      <c r="B245" s="187" t="s">
        <v>2113</v>
      </c>
      <c r="C245" s="187">
        <v>1445150</v>
      </c>
      <c r="D245" s="187">
        <v>1448</v>
      </c>
    </row>
    <row r="246" spans="1:4">
      <c r="A246" s="187" t="s">
        <v>1317</v>
      </c>
      <c r="B246" s="187" t="s">
        <v>1439</v>
      </c>
      <c r="C246" s="187">
        <v>7524852</v>
      </c>
      <c r="D246" s="187">
        <v>5758</v>
      </c>
    </row>
    <row r="247" spans="1:4">
      <c r="A247" s="187" t="s">
        <v>587</v>
      </c>
      <c r="B247" s="187" t="s">
        <v>588</v>
      </c>
      <c r="C247" s="187">
        <v>6870475</v>
      </c>
      <c r="D247" s="187">
        <v>2448</v>
      </c>
    </row>
    <row r="248" spans="1:4">
      <c r="A248" s="187" t="s">
        <v>4569</v>
      </c>
      <c r="B248" s="187" t="s">
        <v>4570</v>
      </c>
      <c r="C248" s="187">
        <v>1750955</v>
      </c>
      <c r="D248" s="187">
        <v>689</v>
      </c>
    </row>
    <row r="249" spans="1:4">
      <c r="A249" s="187" t="s">
        <v>6021</v>
      </c>
      <c r="B249" s="187" t="s">
        <v>4562</v>
      </c>
      <c r="C249" s="187">
        <v>8779308</v>
      </c>
      <c r="D249" s="187">
        <v>3782</v>
      </c>
    </row>
    <row r="250" spans="1:4">
      <c r="A250" s="187" t="s">
        <v>4571</v>
      </c>
      <c r="B250" s="187" t="s">
        <v>4572</v>
      </c>
      <c r="C250" s="187">
        <v>970151</v>
      </c>
      <c r="D250" s="187">
        <v>588</v>
      </c>
    </row>
    <row r="251" spans="1:4">
      <c r="A251" s="187" t="s">
        <v>6171</v>
      </c>
      <c r="B251" s="187" t="s">
        <v>2373</v>
      </c>
      <c r="C251" s="187">
        <v>5269709</v>
      </c>
      <c r="D251" s="187">
        <v>3680</v>
      </c>
    </row>
    <row r="252" spans="1:4">
      <c r="A252" s="187" t="s">
        <v>4573</v>
      </c>
      <c r="B252" s="187" t="s">
        <v>4574</v>
      </c>
      <c r="C252" s="187">
        <v>6675000</v>
      </c>
      <c r="D252" s="187">
        <v>4508</v>
      </c>
    </row>
    <row r="253" spans="1:4">
      <c r="A253" s="187" t="s">
        <v>4575</v>
      </c>
      <c r="B253" s="187" t="s">
        <v>4576</v>
      </c>
      <c r="C253" s="187">
        <v>116988</v>
      </c>
      <c r="D253" s="187">
        <v>54</v>
      </c>
    </row>
    <row r="254" spans="1:4">
      <c r="A254" s="187" t="s">
        <v>4577</v>
      </c>
      <c r="B254" s="187" t="s">
        <v>4578</v>
      </c>
      <c r="C254" s="187">
        <v>407388</v>
      </c>
      <c r="D254" s="187">
        <v>430</v>
      </c>
    </row>
    <row r="255" spans="1:4">
      <c r="A255" s="187" t="s">
        <v>4579</v>
      </c>
      <c r="B255" s="187" t="s">
        <v>4580</v>
      </c>
      <c r="C255" s="187">
        <v>2600117</v>
      </c>
      <c r="D255" s="187">
        <v>1152</v>
      </c>
    </row>
    <row r="256" spans="1:4">
      <c r="A256" s="187" t="s">
        <v>4581</v>
      </c>
      <c r="B256" s="187" t="s">
        <v>6137</v>
      </c>
      <c r="C256" s="187">
        <v>29060</v>
      </c>
      <c r="D256" s="187">
        <v>35</v>
      </c>
    </row>
    <row r="257" spans="1:4">
      <c r="A257" s="187" t="s">
        <v>4582</v>
      </c>
      <c r="B257" s="187" t="s">
        <v>4583</v>
      </c>
      <c r="C257" s="187">
        <v>56690</v>
      </c>
      <c r="D257" s="187">
        <v>50</v>
      </c>
    </row>
    <row r="258" spans="1:4">
      <c r="A258" s="187" t="s">
        <v>4584</v>
      </c>
      <c r="B258" s="187" t="s">
        <v>4585</v>
      </c>
      <c r="C258" s="187">
        <v>751748</v>
      </c>
      <c r="D258" s="187">
        <v>353</v>
      </c>
    </row>
    <row r="259" spans="1:4">
      <c r="A259" s="187" t="s">
        <v>4586</v>
      </c>
      <c r="B259" s="187" t="s">
        <v>5017</v>
      </c>
      <c r="C259" s="187">
        <v>33163</v>
      </c>
      <c r="D259" s="187">
        <v>39</v>
      </c>
    </row>
    <row r="260" spans="1:4">
      <c r="A260" s="187" t="s">
        <v>1865</v>
      </c>
      <c r="B260" s="187" t="s">
        <v>1996</v>
      </c>
      <c r="C260" s="187">
        <v>748697</v>
      </c>
      <c r="D260" s="187">
        <v>621</v>
      </c>
    </row>
    <row r="261" spans="1:4">
      <c r="A261" s="187" t="s">
        <v>5018</v>
      </c>
      <c r="B261" s="187" t="s">
        <v>5019</v>
      </c>
      <c r="C261" s="187">
        <v>42044</v>
      </c>
      <c r="D261" s="187">
        <v>19</v>
      </c>
    </row>
    <row r="262" spans="1:4">
      <c r="A262" s="187" t="s">
        <v>5020</v>
      </c>
      <c r="B262" s="187" t="s">
        <v>5021</v>
      </c>
      <c r="C262" s="187">
        <v>187056</v>
      </c>
      <c r="D262" s="187">
        <v>141</v>
      </c>
    </row>
    <row r="263" spans="1:4">
      <c r="A263" s="187" t="s">
        <v>589</v>
      </c>
      <c r="B263" s="187" t="s">
        <v>590</v>
      </c>
      <c r="C263" s="187">
        <v>19355</v>
      </c>
      <c r="D263" s="187">
        <v>54</v>
      </c>
    </row>
    <row r="264" spans="1:4">
      <c r="A264" s="187" t="s">
        <v>5022</v>
      </c>
      <c r="B264" s="187" t="s">
        <v>2745</v>
      </c>
      <c r="C264" s="187">
        <v>3815713</v>
      </c>
      <c r="D264" s="187">
        <v>2006</v>
      </c>
    </row>
    <row r="265" spans="1:4">
      <c r="A265" s="187" t="s">
        <v>2989</v>
      </c>
      <c r="B265" s="187" t="s">
        <v>1693</v>
      </c>
      <c r="C265" s="187">
        <v>11091245</v>
      </c>
      <c r="D265" s="187">
        <v>4654</v>
      </c>
    </row>
    <row r="266" spans="1:4">
      <c r="A266" s="187" t="s">
        <v>5126</v>
      </c>
      <c r="B266" s="187" t="s">
        <v>1302</v>
      </c>
      <c r="C266" s="187">
        <v>250310</v>
      </c>
      <c r="D266" s="187">
        <v>211</v>
      </c>
    </row>
    <row r="267" spans="1:4">
      <c r="A267" s="187" t="s">
        <v>3090</v>
      </c>
      <c r="B267" s="187" t="s">
        <v>3610</v>
      </c>
      <c r="C267" s="187">
        <v>115685</v>
      </c>
      <c r="D267" s="187">
        <v>166</v>
      </c>
    </row>
    <row r="268" spans="1:4">
      <c r="A268" s="187" t="s">
        <v>5128</v>
      </c>
      <c r="B268" s="187" t="s">
        <v>1304</v>
      </c>
      <c r="C268" s="187">
        <v>163753</v>
      </c>
      <c r="D268" s="187">
        <v>121</v>
      </c>
    </row>
    <row r="269" spans="1:4">
      <c r="A269" s="187" t="s">
        <v>270</v>
      </c>
      <c r="B269" s="187" t="s">
        <v>2130</v>
      </c>
      <c r="C269" s="187">
        <v>0</v>
      </c>
      <c r="D269" s="187">
        <v>141</v>
      </c>
    </row>
    <row r="270" spans="1:4">
      <c r="A270" s="187" t="s">
        <v>2391</v>
      </c>
      <c r="B270" s="187" t="s">
        <v>4598</v>
      </c>
      <c r="C270" s="187">
        <v>256515</v>
      </c>
      <c r="D270" s="187">
        <v>332</v>
      </c>
    </row>
    <row r="271" spans="1:4">
      <c r="A271" s="187" t="s">
        <v>2746</v>
      </c>
      <c r="B271" s="187" t="s">
        <v>2747</v>
      </c>
      <c r="C271" s="187">
        <v>166800</v>
      </c>
      <c r="D271" s="187">
        <v>125</v>
      </c>
    </row>
    <row r="272" spans="1:4">
      <c r="A272" s="187" t="s">
        <v>6186</v>
      </c>
      <c r="B272" s="187" t="s">
        <v>7642</v>
      </c>
      <c r="C272" s="187">
        <v>1002042</v>
      </c>
      <c r="D272" s="187">
        <v>782</v>
      </c>
    </row>
    <row r="273" spans="1:4">
      <c r="A273" s="187" t="s">
        <v>6041</v>
      </c>
      <c r="B273" s="187" t="s">
        <v>1689</v>
      </c>
      <c r="C273" s="187">
        <v>606861</v>
      </c>
      <c r="D273" s="187">
        <v>489</v>
      </c>
    </row>
    <row r="274" spans="1:4">
      <c r="A274" s="187" t="s">
        <v>591</v>
      </c>
      <c r="B274" s="187" t="s">
        <v>592</v>
      </c>
      <c r="C274" s="187">
        <v>288566</v>
      </c>
      <c r="D274" s="187">
        <v>305</v>
      </c>
    </row>
    <row r="275" spans="1:4">
      <c r="A275" s="187" t="s">
        <v>443</v>
      </c>
      <c r="B275" s="187" t="s">
        <v>1448</v>
      </c>
      <c r="C275" s="187">
        <v>747742</v>
      </c>
      <c r="D275" s="187">
        <v>363</v>
      </c>
    </row>
    <row r="276" spans="1:4">
      <c r="A276" s="187" t="s">
        <v>2748</v>
      </c>
      <c r="B276" s="187" t="s">
        <v>2749</v>
      </c>
      <c r="C276" s="187">
        <v>60418</v>
      </c>
      <c r="D276" s="187">
        <v>27</v>
      </c>
    </row>
    <row r="277" spans="1:4">
      <c r="A277" s="187" t="s">
        <v>862</v>
      </c>
      <c r="B277" s="187" t="s">
        <v>1474</v>
      </c>
      <c r="C277" s="187">
        <v>147725</v>
      </c>
      <c r="D277" s="187">
        <v>254</v>
      </c>
    </row>
    <row r="278" spans="1:4">
      <c r="A278" s="187" t="s">
        <v>2750</v>
      </c>
      <c r="B278" s="187" t="s">
        <v>2751</v>
      </c>
      <c r="C278" s="187">
        <v>216674</v>
      </c>
      <c r="D278" s="187">
        <v>121</v>
      </c>
    </row>
    <row r="279" spans="1:4">
      <c r="A279" s="187" t="s">
        <v>3899</v>
      </c>
      <c r="B279" s="187" t="s">
        <v>3900</v>
      </c>
      <c r="C279" s="187">
        <v>8787</v>
      </c>
      <c r="D279" s="187">
        <v>14</v>
      </c>
    </row>
    <row r="280" spans="1:4">
      <c r="A280" s="187" t="s">
        <v>3604</v>
      </c>
      <c r="B280" s="187" t="s">
        <v>3165</v>
      </c>
      <c r="C280" s="187">
        <v>19436</v>
      </c>
      <c r="D280" s="187">
        <v>19</v>
      </c>
    </row>
    <row r="281" spans="1:4">
      <c r="A281" s="187" t="s">
        <v>3166</v>
      </c>
      <c r="B281" s="187" t="s">
        <v>3167</v>
      </c>
      <c r="C281" s="187">
        <v>31679</v>
      </c>
      <c r="D281" s="187">
        <v>61</v>
      </c>
    </row>
    <row r="282" spans="1:4">
      <c r="A282" s="187" t="s">
        <v>3168</v>
      </c>
      <c r="B282" s="187" t="s">
        <v>3169</v>
      </c>
      <c r="C282" s="187">
        <v>18579</v>
      </c>
      <c r="D282" s="187">
        <v>34</v>
      </c>
    </row>
    <row r="283" spans="1:4">
      <c r="A283" s="187" t="s">
        <v>3091</v>
      </c>
      <c r="B283" s="187" t="s">
        <v>3170</v>
      </c>
      <c r="C283" s="187">
        <v>886526</v>
      </c>
      <c r="D283" s="187">
        <v>407</v>
      </c>
    </row>
    <row r="284" spans="1:4">
      <c r="A284" s="187" t="s">
        <v>3171</v>
      </c>
      <c r="B284" s="187" t="s">
        <v>3172</v>
      </c>
      <c r="C284" s="187">
        <v>46715</v>
      </c>
      <c r="D284" s="187">
        <v>93</v>
      </c>
    </row>
    <row r="285" spans="1:4">
      <c r="A285" s="187" t="s">
        <v>593</v>
      </c>
      <c r="B285" s="187" t="s">
        <v>594</v>
      </c>
      <c r="C285" s="187">
        <v>63033</v>
      </c>
      <c r="D285" s="187">
        <v>35</v>
      </c>
    </row>
    <row r="286" spans="1:4">
      <c r="A286" s="187" t="s">
        <v>3173</v>
      </c>
      <c r="B286" s="187" t="s">
        <v>3174</v>
      </c>
      <c r="C286" s="187">
        <v>0</v>
      </c>
      <c r="D286" s="187">
        <v>12</v>
      </c>
    </row>
    <row r="287" spans="1:4">
      <c r="A287" s="187" t="s">
        <v>3175</v>
      </c>
      <c r="B287" s="187" t="s">
        <v>3176</v>
      </c>
      <c r="C287" s="187">
        <v>135940</v>
      </c>
      <c r="D287" s="187">
        <v>126</v>
      </c>
    </row>
    <row r="288" spans="1:4">
      <c r="A288" s="187" t="s">
        <v>3092</v>
      </c>
      <c r="B288" s="187" t="s">
        <v>3611</v>
      </c>
      <c r="C288" s="187">
        <v>355200</v>
      </c>
      <c r="D288" s="187">
        <v>246</v>
      </c>
    </row>
    <row r="289" spans="1:4">
      <c r="A289" s="187" t="s">
        <v>673</v>
      </c>
      <c r="B289" s="187" t="s">
        <v>674</v>
      </c>
      <c r="C289" s="187">
        <v>254720</v>
      </c>
      <c r="D289" s="187">
        <v>166</v>
      </c>
    </row>
    <row r="290" spans="1:4">
      <c r="A290" s="187" t="s">
        <v>322</v>
      </c>
      <c r="B290" s="187" t="s">
        <v>323</v>
      </c>
      <c r="C290" s="187">
        <v>273555</v>
      </c>
      <c r="D290" s="187">
        <v>138</v>
      </c>
    </row>
    <row r="291" spans="1:4">
      <c r="A291" s="187" t="s">
        <v>675</v>
      </c>
      <c r="B291" s="187" t="s">
        <v>676</v>
      </c>
      <c r="C291" s="187">
        <v>194901</v>
      </c>
      <c r="D291" s="187">
        <v>166</v>
      </c>
    </row>
    <row r="292" spans="1:4">
      <c r="A292" s="187" t="s">
        <v>677</v>
      </c>
      <c r="B292" s="187" t="s">
        <v>678</v>
      </c>
      <c r="C292" s="187">
        <v>139763</v>
      </c>
      <c r="D292" s="187">
        <v>110</v>
      </c>
    </row>
    <row r="293" spans="1:4">
      <c r="A293" s="187" t="s">
        <v>679</v>
      </c>
      <c r="B293" s="187" t="s">
        <v>2959</v>
      </c>
      <c r="C293" s="187">
        <v>162654</v>
      </c>
      <c r="D293" s="187">
        <v>81</v>
      </c>
    </row>
    <row r="294" spans="1:4">
      <c r="A294" s="187" t="s">
        <v>2960</v>
      </c>
      <c r="B294" s="187" t="s">
        <v>1993</v>
      </c>
      <c r="C294" s="187">
        <v>58144</v>
      </c>
      <c r="D294" s="187">
        <v>38</v>
      </c>
    </row>
    <row r="295" spans="1:4">
      <c r="A295" s="187" t="s">
        <v>1994</v>
      </c>
      <c r="B295" s="187" t="s">
        <v>5059</v>
      </c>
      <c r="C295" s="187">
        <v>6900550</v>
      </c>
      <c r="D295" s="187">
        <v>3512</v>
      </c>
    </row>
    <row r="296" spans="1:4">
      <c r="A296" s="187" t="s">
        <v>2735</v>
      </c>
      <c r="B296" s="187" t="s">
        <v>2736</v>
      </c>
      <c r="C296" s="187">
        <v>168216</v>
      </c>
      <c r="D296" s="187">
        <v>87</v>
      </c>
    </row>
    <row r="297" spans="1:4">
      <c r="A297" s="187" t="s">
        <v>2737</v>
      </c>
      <c r="B297" s="187" t="s">
        <v>3645</v>
      </c>
      <c r="C297" s="187">
        <v>77411</v>
      </c>
      <c r="D297" s="187">
        <v>75</v>
      </c>
    </row>
    <row r="298" spans="1:4">
      <c r="A298" s="187" t="s">
        <v>3646</v>
      </c>
      <c r="B298" s="187" t="s">
        <v>3647</v>
      </c>
      <c r="C298" s="187">
        <v>13494</v>
      </c>
      <c r="D298" s="187">
        <v>37</v>
      </c>
    </row>
    <row r="299" spans="1:4">
      <c r="A299" s="187" t="s">
        <v>1976</v>
      </c>
      <c r="B299" s="187" t="s">
        <v>1977</v>
      </c>
      <c r="C299" s="187">
        <v>51550</v>
      </c>
      <c r="D299" s="187">
        <v>39</v>
      </c>
    </row>
    <row r="300" spans="1:4">
      <c r="A300" s="187" t="s">
        <v>3648</v>
      </c>
      <c r="B300" s="187" t="s">
        <v>3649</v>
      </c>
      <c r="C300" s="187">
        <v>745930</v>
      </c>
      <c r="D300" s="187">
        <v>659</v>
      </c>
    </row>
    <row r="301" spans="1:4">
      <c r="A301" s="187" t="s">
        <v>3650</v>
      </c>
      <c r="B301" s="187" t="s">
        <v>7733</v>
      </c>
      <c r="C301" s="187">
        <v>159149</v>
      </c>
      <c r="D301" s="187">
        <v>289</v>
      </c>
    </row>
    <row r="302" spans="1:4">
      <c r="A302" s="187" t="s">
        <v>3093</v>
      </c>
      <c r="B302" s="187" t="s">
        <v>3612</v>
      </c>
      <c r="C302" s="187">
        <v>72960</v>
      </c>
      <c r="D302" s="187">
        <v>111</v>
      </c>
    </row>
    <row r="303" spans="1:4">
      <c r="A303" s="187" t="s">
        <v>7734</v>
      </c>
      <c r="B303" s="187" t="s">
        <v>5058</v>
      </c>
      <c r="C303" s="187">
        <v>315036</v>
      </c>
      <c r="D303" s="187">
        <v>589</v>
      </c>
    </row>
    <row r="304" spans="1:4">
      <c r="A304" s="187" t="s">
        <v>915</v>
      </c>
      <c r="B304" s="187" t="s">
        <v>1780</v>
      </c>
      <c r="C304" s="187">
        <v>16300</v>
      </c>
      <c r="D304" s="187">
        <v>38</v>
      </c>
    </row>
    <row r="305" spans="1:4">
      <c r="A305" s="187" t="s">
        <v>1978</v>
      </c>
      <c r="B305" s="187" t="s">
        <v>1979</v>
      </c>
      <c r="C305" s="187">
        <v>130750</v>
      </c>
      <c r="D305" s="187">
        <v>130</v>
      </c>
    </row>
    <row r="306" spans="1:4">
      <c r="A306" s="187" t="s">
        <v>2767</v>
      </c>
      <c r="B306" s="187" t="s">
        <v>66</v>
      </c>
      <c r="C306" s="187">
        <v>260000</v>
      </c>
      <c r="D306" s="187">
        <v>641</v>
      </c>
    </row>
    <row r="307" spans="1:4">
      <c r="A307" s="187" t="s">
        <v>3555</v>
      </c>
      <c r="B307" s="187" t="s">
        <v>5893</v>
      </c>
      <c r="C307" s="187">
        <v>542850</v>
      </c>
      <c r="D307" s="187">
        <v>802</v>
      </c>
    </row>
    <row r="308" spans="1:4">
      <c r="A308" s="187" t="s">
        <v>3094</v>
      </c>
      <c r="B308" s="187" t="s">
        <v>3613</v>
      </c>
      <c r="C308" s="187">
        <v>130025</v>
      </c>
      <c r="D308" s="187">
        <v>138</v>
      </c>
    </row>
    <row r="309" spans="1:4">
      <c r="A309" s="187" t="s">
        <v>1781</v>
      </c>
      <c r="B309" s="187" t="s">
        <v>4034</v>
      </c>
      <c r="C309" s="187">
        <v>14998</v>
      </c>
      <c r="D309" s="187">
        <v>18</v>
      </c>
    </row>
    <row r="310" spans="1:4">
      <c r="A310" s="187" t="s">
        <v>741</v>
      </c>
      <c r="B310" s="187" t="s">
        <v>1784</v>
      </c>
      <c r="C310" s="187">
        <v>2317075</v>
      </c>
      <c r="D310" s="187">
        <v>1093</v>
      </c>
    </row>
    <row r="311" spans="1:4">
      <c r="A311" s="187" t="s">
        <v>4035</v>
      </c>
      <c r="B311" s="187" t="s">
        <v>4036</v>
      </c>
      <c r="C311" s="187">
        <v>22741618</v>
      </c>
      <c r="D311" s="187">
        <v>8535</v>
      </c>
    </row>
    <row r="312" spans="1:4">
      <c r="A312" s="187" t="s">
        <v>1524</v>
      </c>
      <c r="B312" s="187" t="s">
        <v>1537</v>
      </c>
      <c r="C312" s="187">
        <v>802305</v>
      </c>
      <c r="D312" s="187">
        <v>372</v>
      </c>
    </row>
    <row r="313" spans="1:4">
      <c r="A313" s="187" t="s">
        <v>2388</v>
      </c>
      <c r="B313" s="187" t="s">
        <v>664</v>
      </c>
      <c r="C313" s="187">
        <v>1319428</v>
      </c>
      <c r="D313" s="187">
        <v>600</v>
      </c>
    </row>
    <row r="314" spans="1:4">
      <c r="A314" s="187" t="s">
        <v>863</v>
      </c>
      <c r="B314" s="187" t="s">
        <v>1475</v>
      </c>
      <c r="C314" s="187">
        <v>17094979</v>
      </c>
      <c r="D314" s="187">
        <v>5836</v>
      </c>
    </row>
    <row r="315" spans="1:4">
      <c r="A315" s="187" t="s">
        <v>268</v>
      </c>
      <c r="B315" s="187" t="s">
        <v>5271</v>
      </c>
      <c r="C315" s="187">
        <v>279867</v>
      </c>
      <c r="D315" s="187">
        <v>111</v>
      </c>
    </row>
    <row r="316" spans="1:4">
      <c r="A316" s="187" t="s">
        <v>981</v>
      </c>
      <c r="B316" s="187" t="s">
        <v>752</v>
      </c>
      <c r="C316" s="187">
        <v>1724477</v>
      </c>
      <c r="D316" s="187">
        <v>686</v>
      </c>
    </row>
    <row r="317" spans="1:4">
      <c r="A317" s="187" t="s">
        <v>2414</v>
      </c>
      <c r="B317" s="187" t="s">
        <v>3987</v>
      </c>
      <c r="C317" s="187">
        <v>348995</v>
      </c>
      <c r="D317" s="187">
        <v>155</v>
      </c>
    </row>
    <row r="318" spans="1:4">
      <c r="A318" s="187" t="s">
        <v>2401</v>
      </c>
      <c r="B318" s="187" t="s">
        <v>1823</v>
      </c>
      <c r="C318" s="187">
        <v>7766147</v>
      </c>
      <c r="D318" s="187">
        <v>3202</v>
      </c>
    </row>
    <row r="319" spans="1:4">
      <c r="A319" s="187" t="s">
        <v>4037</v>
      </c>
      <c r="B319" s="187" t="s">
        <v>2139</v>
      </c>
      <c r="C319" s="187">
        <v>10461</v>
      </c>
      <c r="D319" s="187">
        <v>11</v>
      </c>
    </row>
    <row r="320" spans="1:4">
      <c r="A320" s="187" t="s">
        <v>2140</v>
      </c>
      <c r="B320" s="187" t="s">
        <v>2699</v>
      </c>
      <c r="C320" s="187">
        <v>175125</v>
      </c>
      <c r="D320" s="187">
        <v>210</v>
      </c>
    </row>
    <row r="321" spans="1:4">
      <c r="A321" s="187" t="s">
        <v>2408</v>
      </c>
      <c r="B321" s="187" t="s">
        <v>7281</v>
      </c>
      <c r="C321" s="187">
        <v>287074</v>
      </c>
      <c r="D321" s="187">
        <v>427</v>
      </c>
    </row>
    <row r="322" spans="1:4">
      <c r="A322" s="187" t="s">
        <v>2700</v>
      </c>
      <c r="B322" s="187" t="s">
        <v>2701</v>
      </c>
      <c r="C322" s="187">
        <v>20552</v>
      </c>
      <c r="D322" s="187">
        <v>13</v>
      </c>
    </row>
    <row r="323" spans="1:4">
      <c r="A323" s="187" t="s">
        <v>2702</v>
      </c>
      <c r="B323" s="187" t="s">
        <v>2703</v>
      </c>
      <c r="C323" s="187">
        <v>30932</v>
      </c>
      <c r="D323" s="187">
        <v>41</v>
      </c>
    </row>
    <row r="324" spans="1:4">
      <c r="A324" s="187" t="s">
        <v>2828</v>
      </c>
      <c r="B324" s="187" t="s">
        <v>2829</v>
      </c>
      <c r="C324" s="187">
        <v>89238</v>
      </c>
      <c r="D324" s="187">
        <v>39</v>
      </c>
    </row>
    <row r="325" spans="1:4">
      <c r="A325" s="187" t="s">
        <v>2704</v>
      </c>
      <c r="B325" s="187" t="s">
        <v>2705</v>
      </c>
      <c r="C325" s="187">
        <v>0</v>
      </c>
      <c r="D325" s="187">
        <v>12</v>
      </c>
    </row>
    <row r="326" spans="1:4">
      <c r="A326" s="187" t="s">
        <v>2706</v>
      </c>
      <c r="B326" s="187" t="s">
        <v>2707</v>
      </c>
      <c r="C326" s="187">
        <v>102736</v>
      </c>
      <c r="D326" s="187">
        <v>70</v>
      </c>
    </row>
    <row r="327" spans="1:4">
      <c r="A327" s="187" t="s">
        <v>6162</v>
      </c>
      <c r="B327" s="187" t="s">
        <v>133</v>
      </c>
      <c r="C327" s="187">
        <v>296567</v>
      </c>
      <c r="D327" s="187">
        <v>289</v>
      </c>
    </row>
    <row r="328" spans="1:4">
      <c r="A328" s="187" t="s">
        <v>967</v>
      </c>
      <c r="B328" s="187" t="s">
        <v>968</v>
      </c>
      <c r="C328" s="187">
        <v>21349</v>
      </c>
      <c r="D328" s="187">
        <v>16</v>
      </c>
    </row>
    <row r="329" spans="1:4">
      <c r="A329" s="187" t="s">
        <v>2708</v>
      </c>
      <c r="B329" s="187" t="s">
        <v>2709</v>
      </c>
      <c r="C329" s="187">
        <v>213595</v>
      </c>
      <c r="D329" s="187">
        <v>165</v>
      </c>
    </row>
    <row r="330" spans="1:4">
      <c r="A330" s="187" t="s">
        <v>2710</v>
      </c>
      <c r="B330" s="187" t="s">
        <v>2711</v>
      </c>
      <c r="C330" s="187">
        <v>325303</v>
      </c>
      <c r="D330" s="187">
        <v>333</v>
      </c>
    </row>
    <row r="331" spans="1:4">
      <c r="A331" s="187" t="s">
        <v>2830</v>
      </c>
      <c r="B331" s="187" t="s">
        <v>2831</v>
      </c>
      <c r="C331" s="187">
        <v>24774</v>
      </c>
      <c r="D331" s="187">
        <v>40</v>
      </c>
    </row>
    <row r="332" spans="1:4">
      <c r="A332" s="187" t="s">
        <v>3095</v>
      </c>
      <c r="B332" s="187" t="s">
        <v>3614</v>
      </c>
      <c r="C332" s="187">
        <v>0</v>
      </c>
      <c r="D332" s="187">
        <v>41</v>
      </c>
    </row>
    <row r="333" spans="1:4">
      <c r="A333" s="187" t="s">
        <v>2712</v>
      </c>
      <c r="B333" s="187" t="s">
        <v>2713</v>
      </c>
      <c r="C333" s="187">
        <v>209950</v>
      </c>
      <c r="D333" s="187">
        <v>108</v>
      </c>
    </row>
    <row r="334" spans="1:4">
      <c r="A334" s="187" t="s">
        <v>2424</v>
      </c>
      <c r="B334" s="187" t="s">
        <v>2425</v>
      </c>
      <c r="C334" s="187">
        <v>132000</v>
      </c>
      <c r="D334" s="187">
        <v>114</v>
      </c>
    </row>
    <row r="335" spans="1:4">
      <c r="A335" s="187" t="s">
        <v>2426</v>
      </c>
      <c r="B335" s="187" t="s">
        <v>2427</v>
      </c>
      <c r="C335" s="187">
        <v>33796</v>
      </c>
      <c r="D335" s="187">
        <v>57</v>
      </c>
    </row>
    <row r="336" spans="1:4">
      <c r="A336" s="187" t="s">
        <v>2428</v>
      </c>
      <c r="B336" s="187" t="s">
        <v>4922</v>
      </c>
      <c r="C336" s="187">
        <v>102930</v>
      </c>
      <c r="D336" s="187">
        <v>67</v>
      </c>
    </row>
    <row r="337" spans="1:4">
      <c r="A337" s="187" t="s">
        <v>2832</v>
      </c>
      <c r="B337" s="187" t="s">
        <v>2833</v>
      </c>
      <c r="C337" s="187">
        <v>32609</v>
      </c>
      <c r="D337" s="187">
        <v>60</v>
      </c>
    </row>
    <row r="338" spans="1:4">
      <c r="A338" s="187" t="s">
        <v>4923</v>
      </c>
      <c r="B338" s="187" t="s">
        <v>4924</v>
      </c>
      <c r="C338" s="187">
        <v>145350</v>
      </c>
      <c r="D338" s="187">
        <v>92</v>
      </c>
    </row>
    <row r="339" spans="1:4">
      <c r="A339" s="187" t="s">
        <v>4925</v>
      </c>
      <c r="B339" s="187" t="s">
        <v>4926</v>
      </c>
      <c r="C339" s="187">
        <v>481283</v>
      </c>
      <c r="D339" s="187">
        <v>274</v>
      </c>
    </row>
    <row r="340" spans="1:4">
      <c r="A340" s="187" t="s">
        <v>4927</v>
      </c>
      <c r="B340" s="187" t="s">
        <v>4928</v>
      </c>
      <c r="C340" s="187">
        <v>169239</v>
      </c>
      <c r="D340" s="187">
        <v>106</v>
      </c>
    </row>
    <row r="341" spans="1:4">
      <c r="A341" s="187" t="s">
        <v>4929</v>
      </c>
      <c r="B341" s="187" t="s">
        <v>4930</v>
      </c>
      <c r="C341" s="187">
        <v>27392</v>
      </c>
      <c r="D341" s="187">
        <v>40</v>
      </c>
    </row>
    <row r="342" spans="1:4">
      <c r="A342" s="187" t="s">
        <v>4931</v>
      </c>
      <c r="B342" s="187" t="s">
        <v>4932</v>
      </c>
      <c r="C342" s="187">
        <v>87600</v>
      </c>
      <c r="D342" s="187">
        <v>46</v>
      </c>
    </row>
    <row r="343" spans="1:4">
      <c r="A343" s="187" t="s">
        <v>4933</v>
      </c>
      <c r="B343" s="187" t="s">
        <v>4934</v>
      </c>
      <c r="C343" s="187">
        <v>70395</v>
      </c>
      <c r="D343" s="187">
        <v>61</v>
      </c>
    </row>
    <row r="344" spans="1:4">
      <c r="A344" s="187" t="s">
        <v>444</v>
      </c>
      <c r="B344" s="187" t="s">
        <v>1449</v>
      </c>
      <c r="C344" s="187">
        <v>52620</v>
      </c>
      <c r="D344" s="187">
        <v>78</v>
      </c>
    </row>
    <row r="345" spans="1:4">
      <c r="A345" s="187" t="s">
        <v>3558</v>
      </c>
      <c r="B345" s="187" t="s">
        <v>3559</v>
      </c>
      <c r="C345" s="187">
        <v>83632</v>
      </c>
      <c r="D345" s="187">
        <v>202</v>
      </c>
    </row>
    <row r="346" spans="1:4">
      <c r="A346" s="187" t="s">
        <v>3560</v>
      </c>
      <c r="B346" s="187" t="s">
        <v>3561</v>
      </c>
      <c r="C346" s="187">
        <v>129927</v>
      </c>
      <c r="D346" s="187">
        <v>111</v>
      </c>
    </row>
    <row r="347" spans="1:4">
      <c r="A347" s="187" t="s">
        <v>3562</v>
      </c>
      <c r="B347" s="187" t="s">
        <v>3563</v>
      </c>
      <c r="C347" s="187">
        <v>41126</v>
      </c>
      <c r="D347" s="187">
        <v>67</v>
      </c>
    </row>
    <row r="348" spans="1:4">
      <c r="A348" s="187" t="s">
        <v>3564</v>
      </c>
      <c r="B348" s="187" t="s">
        <v>3565</v>
      </c>
      <c r="C348" s="187">
        <v>4913944</v>
      </c>
      <c r="D348" s="187">
        <v>2183</v>
      </c>
    </row>
    <row r="349" spans="1:4">
      <c r="A349" s="187" t="s">
        <v>6179</v>
      </c>
      <c r="B349" s="187" t="s">
        <v>4990</v>
      </c>
      <c r="C349" s="187">
        <v>626714</v>
      </c>
      <c r="D349" s="187">
        <v>317</v>
      </c>
    </row>
    <row r="350" spans="1:4">
      <c r="A350" s="187" t="s">
        <v>1309</v>
      </c>
      <c r="B350" s="187" t="s">
        <v>937</v>
      </c>
      <c r="C350" s="187">
        <v>11200154</v>
      </c>
      <c r="D350" s="187">
        <v>6368</v>
      </c>
    </row>
    <row r="351" spans="1:4">
      <c r="A351" s="187" t="s">
        <v>3566</v>
      </c>
      <c r="B351" s="187" t="s">
        <v>3567</v>
      </c>
      <c r="C351" s="187">
        <v>22666</v>
      </c>
      <c r="D351" s="187">
        <v>19</v>
      </c>
    </row>
    <row r="352" spans="1:4">
      <c r="A352" s="187" t="s">
        <v>3568</v>
      </c>
      <c r="B352" s="187" t="s">
        <v>1606</v>
      </c>
      <c r="C352" s="187">
        <v>1020878</v>
      </c>
      <c r="D352" s="187">
        <v>378</v>
      </c>
    </row>
    <row r="353" spans="1:4">
      <c r="A353" s="187" t="s">
        <v>1607</v>
      </c>
      <c r="B353" s="187" t="s">
        <v>2481</v>
      </c>
      <c r="C353" s="187">
        <v>280478</v>
      </c>
      <c r="D353" s="187">
        <v>211</v>
      </c>
    </row>
    <row r="354" spans="1:4">
      <c r="A354" s="187" t="s">
        <v>2482</v>
      </c>
      <c r="B354" s="187" t="s">
        <v>2483</v>
      </c>
      <c r="C354" s="187">
        <v>516789</v>
      </c>
      <c r="D354" s="187">
        <v>235</v>
      </c>
    </row>
    <row r="355" spans="1:4">
      <c r="A355" s="187" t="s">
        <v>2484</v>
      </c>
      <c r="B355" s="187" t="s">
        <v>2485</v>
      </c>
      <c r="C355" s="187">
        <v>223225</v>
      </c>
      <c r="D355" s="187">
        <v>165</v>
      </c>
    </row>
    <row r="356" spans="1:4">
      <c r="A356" s="187" t="s">
        <v>2486</v>
      </c>
      <c r="B356" s="187" t="s">
        <v>2487</v>
      </c>
      <c r="C356" s="187">
        <v>4290</v>
      </c>
      <c r="D356" s="187">
        <v>59</v>
      </c>
    </row>
    <row r="357" spans="1:4">
      <c r="A357" s="187" t="s">
        <v>2488</v>
      </c>
      <c r="B357" s="187" t="s">
        <v>2489</v>
      </c>
      <c r="C357" s="187">
        <v>34295</v>
      </c>
      <c r="D357" s="187">
        <v>18</v>
      </c>
    </row>
    <row r="358" spans="1:4">
      <c r="A358" s="187" t="s">
        <v>2834</v>
      </c>
      <c r="B358" s="187" t="s">
        <v>2835</v>
      </c>
      <c r="C358" s="187">
        <v>337812</v>
      </c>
      <c r="D358" s="187">
        <v>167</v>
      </c>
    </row>
    <row r="359" spans="1:4">
      <c r="A359" s="187" t="s">
        <v>445</v>
      </c>
      <c r="B359" s="187" t="s">
        <v>1450</v>
      </c>
      <c r="C359" s="187">
        <v>683029</v>
      </c>
      <c r="D359" s="187">
        <v>367</v>
      </c>
    </row>
    <row r="360" spans="1:4">
      <c r="A360" s="187" t="s">
        <v>2490</v>
      </c>
      <c r="B360" s="187" t="s">
        <v>2491</v>
      </c>
      <c r="C360" s="187">
        <v>442863</v>
      </c>
      <c r="D360" s="187">
        <v>129</v>
      </c>
    </row>
    <row r="361" spans="1:4">
      <c r="A361" s="187" t="s">
        <v>2492</v>
      </c>
      <c r="B361" s="187" t="s">
        <v>2493</v>
      </c>
      <c r="C361" s="187">
        <v>119118</v>
      </c>
      <c r="D361" s="187">
        <v>42</v>
      </c>
    </row>
    <row r="362" spans="1:4">
      <c r="A362" s="187" t="s">
        <v>2494</v>
      </c>
      <c r="B362" s="187" t="s">
        <v>2495</v>
      </c>
      <c r="C362" s="187">
        <v>905147</v>
      </c>
      <c r="D362" s="187">
        <v>366</v>
      </c>
    </row>
    <row r="363" spans="1:4">
      <c r="A363" s="187" t="s">
        <v>2496</v>
      </c>
      <c r="B363" s="187" t="s">
        <v>2497</v>
      </c>
      <c r="C363" s="187">
        <v>6402</v>
      </c>
      <c r="D363" s="187">
        <v>20</v>
      </c>
    </row>
    <row r="364" spans="1:4">
      <c r="A364" s="187" t="s">
        <v>2498</v>
      </c>
      <c r="B364" s="187" t="s">
        <v>1669</v>
      </c>
      <c r="C364" s="187">
        <v>1999711</v>
      </c>
      <c r="D364" s="187">
        <v>809</v>
      </c>
    </row>
    <row r="365" spans="1:4">
      <c r="A365" s="187" t="s">
        <v>1670</v>
      </c>
      <c r="B365" s="187" t="s">
        <v>1671</v>
      </c>
      <c r="C365" s="187">
        <v>2645256</v>
      </c>
      <c r="D365" s="187">
        <v>1376</v>
      </c>
    </row>
    <row r="366" spans="1:4">
      <c r="A366" s="187" t="s">
        <v>1867</v>
      </c>
      <c r="B366" s="187" t="s">
        <v>1945</v>
      </c>
      <c r="C366" s="187">
        <v>118504</v>
      </c>
      <c r="D366" s="187">
        <v>52</v>
      </c>
    </row>
    <row r="367" spans="1:4">
      <c r="A367" s="187" t="s">
        <v>1672</v>
      </c>
      <c r="B367" s="187" t="s">
        <v>1673</v>
      </c>
      <c r="C367" s="187">
        <v>624516</v>
      </c>
      <c r="D367" s="187">
        <v>503</v>
      </c>
    </row>
    <row r="368" spans="1:4">
      <c r="A368" s="187" t="s">
        <v>1674</v>
      </c>
      <c r="B368" s="187" t="s">
        <v>5047</v>
      </c>
      <c r="C368" s="187">
        <v>1801604</v>
      </c>
      <c r="D368" s="187">
        <v>875</v>
      </c>
    </row>
    <row r="369" spans="1:4">
      <c r="A369" s="187" t="s">
        <v>5048</v>
      </c>
      <c r="B369" s="187" t="s">
        <v>5049</v>
      </c>
      <c r="C369" s="187">
        <v>141877</v>
      </c>
      <c r="D369" s="187">
        <v>240</v>
      </c>
    </row>
    <row r="370" spans="1:4">
      <c r="A370" s="187" t="s">
        <v>2392</v>
      </c>
      <c r="B370" s="187" t="s">
        <v>4599</v>
      </c>
      <c r="C370" s="187">
        <v>837080</v>
      </c>
      <c r="D370" s="187">
        <v>566</v>
      </c>
    </row>
    <row r="371" spans="1:4">
      <c r="A371" s="187" t="s">
        <v>5050</v>
      </c>
      <c r="B371" s="187" t="s">
        <v>5051</v>
      </c>
      <c r="C371" s="187">
        <v>6421335</v>
      </c>
      <c r="D371" s="187">
        <v>3441</v>
      </c>
    </row>
    <row r="372" spans="1:4">
      <c r="A372" s="187" t="s">
        <v>1311</v>
      </c>
      <c r="B372" s="187" t="s">
        <v>1754</v>
      </c>
      <c r="C372" s="187">
        <v>302971</v>
      </c>
      <c r="D372" s="187">
        <v>624</v>
      </c>
    </row>
    <row r="373" spans="1:4">
      <c r="A373" s="187" t="s">
        <v>3222</v>
      </c>
      <c r="B373" s="187" t="s">
        <v>3223</v>
      </c>
      <c r="C373" s="187">
        <v>322194</v>
      </c>
      <c r="D373" s="187">
        <v>147</v>
      </c>
    </row>
    <row r="374" spans="1:4">
      <c r="A374" s="187" t="s">
        <v>3224</v>
      </c>
      <c r="B374" s="187" t="s">
        <v>3225</v>
      </c>
      <c r="C374" s="187">
        <v>39721</v>
      </c>
      <c r="D374" s="187">
        <v>31</v>
      </c>
    </row>
    <row r="375" spans="1:4">
      <c r="A375" s="187" t="s">
        <v>3226</v>
      </c>
      <c r="B375" s="187" t="s">
        <v>3227</v>
      </c>
      <c r="C375" s="187">
        <v>0</v>
      </c>
      <c r="D375" s="187">
        <v>7</v>
      </c>
    </row>
    <row r="376" spans="1:4">
      <c r="A376" s="187" t="s">
        <v>3228</v>
      </c>
      <c r="B376" s="187" t="s">
        <v>3229</v>
      </c>
      <c r="C376" s="187">
        <v>382951</v>
      </c>
      <c r="D376" s="187">
        <v>414</v>
      </c>
    </row>
    <row r="377" spans="1:4">
      <c r="A377" s="187" t="s">
        <v>3230</v>
      </c>
      <c r="B377" s="187" t="s">
        <v>3231</v>
      </c>
      <c r="C377" s="187">
        <v>40230</v>
      </c>
      <c r="D377" s="187">
        <v>72</v>
      </c>
    </row>
    <row r="378" spans="1:4">
      <c r="A378" s="187" t="s">
        <v>3232</v>
      </c>
      <c r="B378" s="187" t="s">
        <v>3233</v>
      </c>
      <c r="C378" s="187">
        <v>120576</v>
      </c>
      <c r="D378" s="187">
        <v>59</v>
      </c>
    </row>
    <row r="379" spans="1:4">
      <c r="A379" s="187" t="s">
        <v>1899</v>
      </c>
      <c r="B379" s="187" t="s">
        <v>1900</v>
      </c>
      <c r="C379" s="187">
        <v>226802</v>
      </c>
      <c r="D379" s="187">
        <v>237</v>
      </c>
    </row>
    <row r="380" spans="1:4">
      <c r="A380" s="187" t="s">
        <v>1853</v>
      </c>
      <c r="B380" s="187" t="s">
        <v>6124</v>
      </c>
      <c r="C380" s="187">
        <v>753150</v>
      </c>
      <c r="D380" s="187">
        <v>422</v>
      </c>
    </row>
    <row r="381" spans="1:4">
      <c r="A381" s="187" t="s">
        <v>1901</v>
      </c>
      <c r="B381" s="187" t="s">
        <v>1902</v>
      </c>
      <c r="C381" s="187">
        <v>250570</v>
      </c>
      <c r="D381" s="187">
        <v>156</v>
      </c>
    </row>
    <row r="382" spans="1:4">
      <c r="A382" s="187" t="s">
        <v>1903</v>
      </c>
      <c r="B382" s="187" t="s">
        <v>1904</v>
      </c>
      <c r="C382" s="187">
        <v>75421</v>
      </c>
      <c r="D382" s="187">
        <v>47</v>
      </c>
    </row>
    <row r="383" spans="1:4">
      <c r="A383" s="187" t="s">
        <v>52</v>
      </c>
      <c r="B383" s="187" t="s">
        <v>53</v>
      </c>
      <c r="C383" s="187">
        <v>27940</v>
      </c>
      <c r="D383" s="187">
        <v>33</v>
      </c>
    </row>
    <row r="384" spans="1:4">
      <c r="A384" s="187" t="s">
        <v>54</v>
      </c>
      <c r="B384" s="187" t="s">
        <v>55</v>
      </c>
      <c r="C384" s="187">
        <v>84525</v>
      </c>
      <c r="D384" s="187">
        <v>40</v>
      </c>
    </row>
    <row r="385" spans="1:4">
      <c r="A385" s="187" t="s">
        <v>6191</v>
      </c>
      <c r="B385" s="187" t="s">
        <v>1544</v>
      </c>
      <c r="C385" s="187">
        <v>346395</v>
      </c>
      <c r="D385" s="187">
        <v>498</v>
      </c>
    </row>
    <row r="386" spans="1:4">
      <c r="A386" s="187" t="s">
        <v>732</v>
      </c>
      <c r="B386" s="187" t="s">
        <v>3979</v>
      </c>
      <c r="C386" s="187">
        <v>25733</v>
      </c>
      <c r="D386" s="187">
        <v>9</v>
      </c>
    </row>
    <row r="387" spans="1:4">
      <c r="A387" s="187" t="s">
        <v>949</v>
      </c>
      <c r="B387" s="187" t="s">
        <v>2134</v>
      </c>
      <c r="C387" s="187">
        <v>181061</v>
      </c>
      <c r="D387" s="187">
        <v>123</v>
      </c>
    </row>
    <row r="388" spans="1:4">
      <c r="A388" s="187" t="s">
        <v>3980</v>
      </c>
      <c r="B388" s="187" t="s">
        <v>3981</v>
      </c>
      <c r="C388" s="187">
        <v>158539</v>
      </c>
      <c r="D388" s="187">
        <v>82</v>
      </c>
    </row>
    <row r="389" spans="1:4">
      <c r="A389" s="187" t="s">
        <v>3982</v>
      </c>
      <c r="B389" s="187" t="s">
        <v>3983</v>
      </c>
      <c r="C389" s="187">
        <v>1035994</v>
      </c>
      <c r="D389" s="187">
        <v>600</v>
      </c>
    </row>
    <row r="390" spans="1:4">
      <c r="A390" s="187" t="s">
        <v>1871</v>
      </c>
      <c r="B390" s="187" t="s">
        <v>2436</v>
      </c>
      <c r="C390" s="187">
        <v>251447</v>
      </c>
      <c r="D390" s="187">
        <v>134</v>
      </c>
    </row>
    <row r="391" spans="1:4">
      <c r="A391" s="187" t="s">
        <v>3116</v>
      </c>
      <c r="B391" s="187" t="s">
        <v>3117</v>
      </c>
      <c r="C391" s="187">
        <v>1637837</v>
      </c>
      <c r="D391" s="187">
        <v>807</v>
      </c>
    </row>
    <row r="392" spans="1:4">
      <c r="A392" s="187" t="s">
        <v>3118</v>
      </c>
      <c r="B392" s="187" t="s">
        <v>3119</v>
      </c>
      <c r="C392" s="187">
        <v>42227</v>
      </c>
      <c r="D392" s="187">
        <v>23</v>
      </c>
    </row>
    <row r="393" spans="1:4">
      <c r="A393" s="187" t="s">
        <v>2836</v>
      </c>
      <c r="B393" s="187" t="s">
        <v>2837</v>
      </c>
      <c r="C393" s="187">
        <v>193985</v>
      </c>
      <c r="D393" s="187">
        <v>137</v>
      </c>
    </row>
    <row r="394" spans="1:4">
      <c r="A394" s="187" t="s">
        <v>2838</v>
      </c>
      <c r="B394" s="187" t="s">
        <v>2305</v>
      </c>
      <c r="C394" s="187">
        <v>425139</v>
      </c>
      <c r="D394" s="187">
        <v>199</v>
      </c>
    </row>
    <row r="395" spans="1:4">
      <c r="A395" s="187" t="s">
        <v>5220</v>
      </c>
      <c r="B395" s="187" t="s">
        <v>5221</v>
      </c>
      <c r="C395" s="187">
        <v>135529</v>
      </c>
      <c r="D395" s="187">
        <v>92</v>
      </c>
    </row>
    <row r="396" spans="1:4">
      <c r="A396" s="187" t="s">
        <v>5129</v>
      </c>
      <c r="B396" s="187" t="s">
        <v>1305</v>
      </c>
      <c r="C396" s="187">
        <v>426852</v>
      </c>
      <c r="D396" s="187">
        <v>186</v>
      </c>
    </row>
    <row r="397" spans="1:4">
      <c r="A397" s="187" t="s">
        <v>5222</v>
      </c>
      <c r="B397" s="187" t="s">
        <v>5223</v>
      </c>
      <c r="C397" s="187">
        <v>255086</v>
      </c>
      <c r="D397" s="187">
        <v>116</v>
      </c>
    </row>
    <row r="398" spans="1:4">
      <c r="A398" s="187" t="s">
        <v>1858</v>
      </c>
      <c r="B398" s="187" t="s">
        <v>4987</v>
      </c>
      <c r="C398" s="187">
        <v>307438</v>
      </c>
      <c r="D398" s="187">
        <v>150</v>
      </c>
    </row>
    <row r="399" spans="1:4">
      <c r="A399" s="187" t="s">
        <v>5224</v>
      </c>
      <c r="B399" s="187" t="s">
        <v>5225</v>
      </c>
      <c r="C399" s="187">
        <v>139540</v>
      </c>
      <c r="D399" s="187">
        <v>118</v>
      </c>
    </row>
    <row r="400" spans="1:4">
      <c r="A400" s="187" t="s">
        <v>5226</v>
      </c>
      <c r="B400" s="187" t="s">
        <v>5227</v>
      </c>
      <c r="C400" s="187">
        <v>5279</v>
      </c>
      <c r="D400" s="187">
        <v>10</v>
      </c>
    </row>
    <row r="401" spans="1:4">
      <c r="A401" s="187" t="s">
        <v>5228</v>
      </c>
      <c r="B401" s="187" t="s">
        <v>5229</v>
      </c>
      <c r="C401" s="187">
        <v>540906</v>
      </c>
      <c r="D401" s="187">
        <v>333</v>
      </c>
    </row>
    <row r="402" spans="1:4">
      <c r="A402" s="187" t="s">
        <v>5230</v>
      </c>
      <c r="B402" s="187" t="s">
        <v>7722</v>
      </c>
      <c r="C402" s="187">
        <v>483085</v>
      </c>
      <c r="D402" s="187">
        <v>509</v>
      </c>
    </row>
    <row r="403" spans="1:4">
      <c r="A403" s="187" t="s">
        <v>2994</v>
      </c>
      <c r="B403" s="187" t="s">
        <v>4998</v>
      </c>
      <c r="C403" s="187">
        <v>1443283</v>
      </c>
      <c r="D403" s="187">
        <v>1267</v>
      </c>
    </row>
    <row r="404" spans="1:4">
      <c r="A404" s="187" t="s">
        <v>7723</v>
      </c>
      <c r="B404" s="187" t="s">
        <v>220</v>
      </c>
      <c r="C404" s="187">
        <v>413758</v>
      </c>
      <c r="D404" s="187">
        <v>619</v>
      </c>
    </row>
    <row r="405" spans="1:4">
      <c r="A405" s="187" t="s">
        <v>221</v>
      </c>
      <c r="B405" s="187" t="s">
        <v>222</v>
      </c>
      <c r="C405" s="187">
        <v>243857</v>
      </c>
      <c r="D405" s="187">
        <v>224</v>
      </c>
    </row>
    <row r="406" spans="1:4">
      <c r="A406" s="187" t="s">
        <v>2406</v>
      </c>
      <c r="B406" s="187" t="s">
        <v>2964</v>
      </c>
      <c r="C406" s="187">
        <v>417927</v>
      </c>
      <c r="D406" s="187">
        <v>218</v>
      </c>
    </row>
    <row r="407" spans="1:4">
      <c r="A407" s="187" t="s">
        <v>223</v>
      </c>
      <c r="B407" s="187" t="s">
        <v>224</v>
      </c>
      <c r="C407" s="187">
        <v>85356</v>
      </c>
      <c r="D407" s="187">
        <v>161</v>
      </c>
    </row>
    <row r="408" spans="1:4">
      <c r="A408" s="187" t="s">
        <v>225</v>
      </c>
      <c r="B408" s="187" t="s">
        <v>226</v>
      </c>
      <c r="C408" s="187">
        <v>272924</v>
      </c>
      <c r="D408" s="187">
        <v>97</v>
      </c>
    </row>
    <row r="409" spans="1:4">
      <c r="A409" s="187" t="s">
        <v>227</v>
      </c>
      <c r="B409" s="187" t="s">
        <v>228</v>
      </c>
      <c r="C409" s="187">
        <v>128986</v>
      </c>
      <c r="D409" s="187">
        <v>73</v>
      </c>
    </row>
    <row r="410" spans="1:4">
      <c r="A410" s="187" t="s">
        <v>229</v>
      </c>
      <c r="B410" s="187" t="s">
        <v>4038</v>
      </c>
      <c r="C410" s="187">
        <v>684652</v>
      </c>
      <c r="D410" s="187">
        <v>420</v>
      </c>
    </row>
    <row r="411" spans="1:4">
      <c r="A411" s="187" t="s">
        <v>4039</v>
      </c>
      <c r="B411" s="187" t="s">
        <v>4040</v>
      </c>
      <c r="C411" s="187">
        <v>42020</v>
      </c>
      <c r="D411" s="187">
        <v>31</v>
      </c>
    </row>
    <row r="412" spans="1:4">
      <c r="A412" s="187" t="s">
        <v>2396</v>
      </c>
      <c r="B412" s="187" t="s">
        <v>1818</v>
      </c>
      <c r="C412" s="187">
        <v>2037439</v>
      </c>
      <c r="D412" s="187">
        <v>1087</v>
      </c>
    </row>
    <row r="413" spans="1:4">
      <c r="A413" s="187" t="s">
        <v>2394</v>
      </c>
      <c r="B413" s="187" t="s">
        <v>4041</v>
      </c>
      <c r="C413" s="187">
        <v>780689</v>
      </c>
      <c r="D413" s="187">
        <v>904</v>
      </c>
    </row>
    <row r="414" spans="1:4">
      <c r="A414" s="187" t="s">
        <v>4042</v>
      </c>
      <c r="B414" s="187" t="s">
        <v>4043</v>
      </c>
      <c r="C414" s="187">
        <v>352847</v>
      </c>
      <c r="D414" s="187">
        <v>143</v>
      </c>
    </row>
    <row r="415" spans="1:4">
      <c r="A415" s="187" t="s">
        <v>3004</v>
      </c>
      <c r="B415" s="187" t="s">
        <v>132</v>
      </c>
      <c r="C415" s="187">
        <v>216707</v>
      </c>
      <c r="D415" s="187">
        <v>205</v>
      </c>
    </row>
    <row r="416" spans="1:4">
      <c r="A416" s="187" t="s">
        <v>4044</v>
      </c>
      <c r="B416" s="187" t="s">
        <v>4045</v>
      </c>
      <c r="C416" s="187">
        <v>178140</v>
      </c>
      <c r="D416" s="187">
        <v>162</v>
      </c>
    </row>
    <row r="417" spans="1:4">
      <c r="A417" s="187" t="s">
        <v>4046</v>
      </c>
      <c r="B417" s="187" t="s">
        <v>5401</v>
      </c>
      <c r="C417" s="187">
        <v>0</v>
      </c>
      <c r="D417" s="187">
        <v>33</v>
      </c>
    </row>
    <row r="418" spans="1:4">
      <c r="A418" s="187" t="s">
        <v>5402</v>
      </c>
      <c r="B418" s="187" t="s">
        <v>5403</v>
      </c>
      <c r="C418" s="187">
        <v>67200</v>
      </c>
      <c r="D418" s="187">
        <v>109</v>
      </c>
    </row>
    <row r="419" spans="1:4">
      <c r="A419" s="187" t="s">
        <v>5404</v>
      </c>
      <c r="B419" s="187" t="s">
        <v>422</v>
      </c>
      <c r="C419" s="187">
        <v>45160</v>
      </c>
      <c r="D419" s="187">
        <v>59</v>
      </c>
    </row>
    <row r="420" spans="1:4">
      <c r="A420" s="187" t="s">
        <v>423</v>
      </c>
      <c r="B420" s="187" t="s">
        <v>424</v>
      </c>
      <c r="C420" s="187">
        <v>2223874</v>
      </c>
      <c r="D420" s="187">
        <v>761</v>
      </c>
    </row>
    <row r="421" spans="1:4">
      <c r="A421" s="187" t="s">
        <v>425</v>
      </c>
      <c r="B421" s="187" t="s">
        <v>426</v>
      </c>
      <c r="C421" s="187">
        <v>223311</v>
      </c>
      <c r="D421" s="187">
        <v>118</v>
      </c>
    </row>
    <row r="422" spans="1:4">
      <c r="A422" s="187" t="s">
        <v>427</v>
      </c>
      <c r="B422" s="187" t="s">
        <v>428</v>
      </c>
      <c r="C422" s="187">
        <v>19500</v>
      </c>
      <c r="D422" s="187">
        <v>52</v>
      </c>
    </row>
    <row r="423" spans="1:4">
      <c r="A423" s="187" t="s">
        <v>429</v>
      </c>
      <c r="B423" s="187" t="s">
        <v>430</v>
      </c>
      <c r="C423" s="187">
        <v>62253</v>
      </c>
      <c r="D423" s="187">
        <v>171</v>
      </c>
    </row>
    <row r="424" spans="1:4">
      <c r="A424" s="187" t="s">
        <v>446</v>
      </c>
      <c r="B424" s="187" t="s">
        <v>1451</v>
      </c>
      <c r="C424" s="187">
        <v>128838</v>
      </c>
      <c r="D424" s="187">
        <v>106</v>
      </c>
    </row>
    <row r="425" spans="1:4">
      <c r="A425" s="187" t="s">
        <v>431</v>
      </c>
      <c r="B425" s="187" t="s">
        <v>432</v>
      </c>
      <c r="C425" s="187">
        <v>127374</v>
      </c>
      <c r="D425" s="187">
        <v>80</v>
      </c>
    </row>
    <row r="426" spans="1:4">
      <c r="A426" s="187" t="s">
        <v>4945</v>
      </c>
      <c r="B426" s="187" t="s">
        <v>4946</v>
      </c>
      <c r="C426" s="187">
        <v>59532</v>
      </c>
      <c r="D426" s="187">
        <v>27</v>
      </c>
    </row>
    <row r="427" spans="1:4">
      <c r="A427" s="187" t="s">
        <v>4947</v>
      </c>
      <c r="B427" s="187" t="s">
        <v>4948</v>
      </c>
      <c r="C427" s="187">
        <v>238059</v>
      </c>
      <c r="D427" s="187">
        <v>122</v>
      </c>
    </row>
    <row r="428" spans="1:4">
      <c r="A428" s="187" t="s">
        <v>4949</v>
      </c>
      <c r="B428" s="187" t="s">
        <v>4950</v>
      </c>
      <c r="C428" s="187">
        <v>33714</v>
      </c>
      <c r="D428" s="187">
        <v>45</v>
      </c>
    </row>
    <row r="429" spans="1:4">
      <c r="A429" s="187" t="s">
        <v>4951</v>
      </c>
      <c r="B429" s="187" t="s">
        <v>882</v>
      </c>
      <c r="C429" s="187">
        <v>49472</v>
      </c>
      <c r="D429" s="187">
        <v>125</v>
      </c>
    </row>
    <row r="430" spans="1:4">
      <c r="A430" s="187" t="s">
        <v>1560</v>
      </c>
      <c r="B430" s="187" t="s">
        <v>1561</v>
      </c>
      <c r="C430" s="187">
        <v>239751</v>
      </c>
      <c r="D430" s="187">
        <v>214</v>
      </c>
    </row>
    <row r="431" spans="1:4">
      <c r="A431" s="187" t="s">
        <v>2398</v>
      </c>
      <c r="B431" s="187" t="s">
        <v>1820</v>
      </c>
      <c r="C431" s="187">
        <v>974758</v>
      </c>
      <c r="D431" s="187">
        <v>558</v>
      </c>
    </row>
    <row r="432" spans="1:4">
      <c r="A432" s="187" t="s">
        <v>1562</v>
      </c>
      <c r="B432" s="187" t="s">
        <v>1563</v>
      </c>
      <c r="C432" s="187">
        <v>820799</v>
      </c>
      <c r="D432" s="187">
        <v>308</v>
      </c>
    </row>
    <row r="433" spans="1:4">
      <c r="A433" s="187" t="s">
        <v>2997</v>
      </c>
      <c r="B433" s="187" t="s">
        <v>2500</v>
      </c>
      <c r="C433" s="187">
        <v>510973</v>
      </c>
      <c r="D433" s="187">
        <v>451</v>
      </c>
    </row>
    <row r="434" spans="1:4">
      <c r="A434" s="187" t="s">
        <v>856</v>
      </c>
      <c r="B434" s="187" t="s">
        <v>77</v>
      </c>
      <c r="C434" s="187">
        <v>178568</v>
      </c>
      <c r="D434" s="187">
        <v>128</v>
      </c>
    </row>
    <row r="435" spans="1:4">
      <c r="A435" s="187" t="s">
        <v>1564</v>
      </c>
      <c r="B435" s="187" t="s">
        <v>1565</v>
      </c>
      <c r="C435" s="187">
        <v>39557</v>
      </c>
      <c r="D435" s="187">
        <v>36</v>
      </c>
    </row>
    <row r="436" spans="1:4">
      <c r="A436" s="187" t="s">
        <v>1566</v>
      </c>
      <c r="B436" s="187" t="s">
        <v>1567</v>
      </c>
      <c r="C436" s="187">
        <v>18725</v>
      </c>
      <c r="D436" s="187">
        <v>24</v>
      </c>
    </row>
    <row r="437" spans="1:4">
      <c r="A437" s="187" t="s">
        <v>1568</v>
      </c>
      <c r="B437" s="187" t="s">
        <v>1569</v>
      </c>
      <c r="C437" s="187">
        <v>92397</v>
      </c>
      <c r="D437" s="187">
        <v>67</v>
      </c>
    </row>
    <row r="438" spans="1:4">
      <c r="A438" s="187" t="s">
        <v>1570</v>
      </c>
      <c r="B438" s="187" t="s">
        <v>4920</v>
      </c>
      <c r="C438" s="187">
        <v>11473</v>
      </c>
      <c r="D438" s="187">
        <v>9</v>
      </c>
    </row>
    <row r="439" spans="1:4">
      <c r="A439" s="187" t="s">
        <v>4921</v>
      </c>
      <c r="B439" s="187" t="s">
        <v>5108</v>
      </c>
      <c r="C439" s="187">
        <v>39730</v>
      </c>
      <c r="D439" s="187">
        <v>19</v>
      </c>
    </row>
    <row r="440" spans="1:4">
      <c r="A440" s="187" t="s">
        <v>5109</v>
      </c>
      <c r="B440" s="187" t="s">
        <v>5110</v>
      </c>
      <c r="C440" s="187">
        <v>34507</v>
      </c>
      <c r="D440" s="187">
        <v>22</v>
      </c>
    </row>
    <row r="441" spans="1:4">
      <c r="A441" s="187" t="s">
        <v>5111</v>
      </c>
      <c r="B441" s="187" t="s">
        <v>5112</v>
      </c>
      <c r="C441" s="187">
        <v>29262</v>
      </c>
      <c r="D441" s="187">
        <v>14</v>
      </c>
    </row>
    <row r="442" spans="1:4">
      <c r="A442" s="187" t="s">
        <v>5113</v>
      </c>
      <c r="B442" s="187" t="s">
        <v>5114</v>
      </c>
      <c r="C442" s="187">
        <v>9240</v>
      </c>
      <c r="D442" s="187">
        <v>13</v>
      </c>
    </row>
    <row r="443" spans="1:4">
      <c r="A443" s="187" t="s">
        <v>1982</v>
      </c>
      <c r="B443" s="187" t="s">
        <v>1983</v>
      </c>
      <c r="C443" s="187">
        <v>3617</v>
      </c>
      <c r="D443" s="187">
        <v>27</v>
      </c>
    </row>
    <row r="444" spans="1:4">
      <c r="A444" s="187" t="s">
        <v>1984</v>
      </c>
      <c r="B444" s="187" t="s">
        <v>1985</v>
      </c>
      <c r="C444" s="187">
        <v>65</v>
      </c>
      <c r="D444" s="187">
        <v>7</v>
      </c>
    </row>
    <row r="445" spans="1:4">
      <c r="A445" s="187" t="s">
        <v>1986</v>
      </c>
      <c r="B445" s="187" t="s">
        <v>1987</v>
      </c>
      <c r="C445" s="187">
        <v>16678</v>
      </c>
      <c r="D445" s="187">
        <v>17</v>
      </c>
    </row>
    <row r="446" spans="1:4">
      <c r="A446" s="187" t="s">
        <v>819</v>
      </c>
      <c r="B446" s="187" t="s">
        <v>5057</v>
      </c>
      <c r="C446" s="187">
        <v>8953073</v>
      </c>
      <c r="D446" s="187">
        <v>7871</v>
      </c>
    </row>
    <row r="447" spans="1:4">
      <c r="A447" s="187" t="s">
        <v>3887</v>
      </c>
      <c r="B447" s="187" t="s">
        <v>912</v>
      </c>
      <c r="C447" s="187">
        <v>8102343</v>
      </c>
      <c r="D447" s="187">
        <v>5298</v>
      </c>
    </row>
    <row r="448" spans="1:4">
      <c r="A448" s="187" t="s">
        <v>1988</v>
      </c>
      <c r="B448" s="187" t="s">
        <v>1989</v>
      </c>
      <c r="C448" s="187">
        <v>1350520</v>
      </c>
      <c r="D448" s="187">
        <v>835</v>
      </c>
    </row>
    <row r="449" spans="1:4">
      <c r="A449" s="187" t="s">
        <v>245</v>
      </c>
      <c r="B449" s="187" t="s">
        <v>6701</v>
      </c>
      <c r="C449" s="187">
        <v>571315</v>
      </c>
      <c r="D449" s="187">
        <v>565</v>
      </c>
    </row>
    <row r="450" spans="1:4">
      <c r="A450" s="187" t="s">
        <v>1990</v>
      </c>
      <c r="B450" s="187" t="s">
        <v>2114</v>
      </c>
      <c r="C450" s="187">
        <v>16103926</v>
      </c>
      <c r="D450" s="187">
        <v>8537</v>
      </c>
    </row>
    <row r="451" spans="1:4">
      <c r="A451" s="187" t="s">
        <v>2115</v>
      </c>
      <c r="B451" s="187" t="s">
        <v>5621</v>
      </c>
      <c r="C451" s="187">
        <v>1550929</v>
      </c>
      <c r="D451" s="187">
        <v>1558</v>
      </c>
    </row>
    <row r="452" spans="1:4">
      <c r="A452" s="187" t="s">
        <v>6184</v>
      </c>
      <c r="B452" s="187" t="s">
        <v>672</v>
      </c>
      <c r="C452" s="187">
        <v>3208383</v>
      </c>
      <c r="D452" s="187">
        <v>1490</v>
      </c>
    </row>
    <row r="453" spans="1:4">
      <c r="A453" s="187" t="s">
        <v>1315</v>
      </c>
      <c r="B453" s="187" t="s">
        <v>2670</v>
      </c>
      <c r="C453" s="187">
        <v>3132468</v>
      </c>
      <c r="D453" s="187">
        <v>2387</v>
      </c>
    </row>
    <row r="454" spans="1:4">
      <c r="A454" s="187" t="s">
        <v>5622</v>
      </c>
      <c r="B454" s="187" t="s">
        <v>5623</v>
      </c>
      <c r="C454" s="187">
        <v>3309097</v>
      </c>
      <c r="D454" s="187">
        <v>2257</v>
      </c>
    </row>
    <row r="455" spans="1:4">
      <c r="A455" s="187" t="s">
        <v>5624</v>
      </c>
      <c r="B455" s="187" t="s">
        <v>5625</v>
      </c>
      <c r="C455" s="187">
        <v>53813978</v>
      </c>
      <c r="D455" s="187">
        <v>24722</v>
      </c>
    </row>
    <row r="456" spans="1:4">
      <c r="A456" s="187" t="s">
        <v>1873</v>
      </c>
      <c r="B456" s="187" t="s">
        <v>2438</v>
      </c>
      <c r="C456" s="187">
        <v>3214084</v>
      </c>
      <c r="D456" s="187">
        <v>3264</v>
      </c>
    </row>
    <row r="457" spans="1:4">
      <c r="A457" s="187" t="s">
        <v>6028</v>
      </c>
      <c r="B457" s="187" t="s">
        <v>457</v>
      </c>
      <c r="C457" s="187">
        <v>5590309</v>
      </c>
      <c r="D457" s="187">
        <v>4494</v>
      </c>
    </row>
    <row r="458" spans="1:4">
      <c r="A458" s="187" t="s">
        <v>6035</v>
      </c>
      <c r="B458" s="187" t="s">
        <v>464</v>
      </c>
      <c r="C458" s="187">
        <v>5279582</v>
      </c>
      <c r="D458" s="187">
        <v>4191</v>
      </c>
    </row>
    <row r="459" spans="1:4">
      <c r="A459" s="187" t="s">
        <v>5626</v>
      </c>
      <c r="B459" s="187" t="s">
        <v>5627</v>
      </c>
      <c r="C459" s="187">
        <v>1886974</v>
      </c>
      <c r="D459" s="187">
        <v>1013</v>
      </c>
    </row>
    <row r="460" spans="1:4">
      <c r="A460" s="187" t="s">
        <v>6194</v>
      </c>
      <c r="B460" s="187" t="s">
        <v>5384</v>
      </c>
      <c r="C460" s="187">
        <v>5247304</v>
      </c>
      <c r="D460" s="187">
        <v>5578</v>
      </c>
    </row>
    <row r="461" spans="1:4">
      <c r="A461" s="187" t="s">
        <v>1539</v>
      </c>
      <c r="B461" s="187" t="s">
        <v>1540</v>
      </c>
      <c r="C461" s="187">
        <v>1463825</v>
      </c>
      <c r="D461" s="187">
        <v>3008</v>
      </c>
    </row>
    <row r="462" spans="1:4">
      <c r="A462" s="187" t="s">
        <v>911</v>
      </c>
      <c r="B462" s="187" t="s">
        <v>1427</v>
      </c>
      <c r="C462" s="187">
        <v>6510282</v>
      </c>
      <c r="D462" s="187">
        <v>4310</v>
      </c>
    </row>
    <row r="463" spans="1:4">
      <c r="A463" s="187" t="s">
        <v>1428</v>
      </c>
      <c r="B463" s="187" t="s">
        <v>1429</v>
      </c>
      <c r="C463" s="187">
        <v>1799493</v>
      </c>
      <c r="D463" s="187">
        <v>979</v>
      </c>
    </row>
    <row r="464" spans="1:4">
      <c r="A464" s="187" t="s">
        <v>1430</v>
      </c>
      <c r="B464" s="187" t="s">
        <v>1431</v>
      </c>
      <c r="C464" s="187">
        <v>934324</v>
      </c>
      <c r="D464" s="187">
        <v>587</v>
      </c>
    </row>
    <row r="465" spans="1:4">
      <c r="A465" s="187" t="s">
        <v>4971</v>
      </c>
      <c r="B465" s="187" t="s">
        <v>4972</v>
      </c>
      <c r="C465" s="187">
        <v>279194</v>
      </c>
      <c r="D465" s="187">
        <v>336</v>
      </c>
    </row>
    <row r="466" spans="1:4">
      <c r="A466" s="187" t="s">
        <v>1432</v>
      </c>
      <c r="B466" s="187" t="s">
        <v>1433</v>
      </c>
      <c r="C466" s="187">
        <v>50435</v>
      </c>
      <c r="D466" s="187">
        <v>74</v>
      </c>
    </row>
    <row r="467" spans="1:4">
      <c r="A467" s="187" t="s">
        <v>1434</v>
      </c>
      <c r="B467" s="187" t="s">
        <v>1435</v>
      </c>
      <c r="C467" s="187">
        <v>609190</v>
      </c>
      <c r="D467" s="187">
        <v>887</v>
      </c>
    </row>
    <row r="468" spans="1:4">
      <c r="A468" s="187" t="s">
        <v>1436</v>
      </c>
      <c r="B468" s="187" t="s">
        <v>1437</v>
      </c>
      <c r="C468" s="187">
        <v>104797</v>
      </c>
      <c r="D468" s="187">
        <v>137</v>
      </c>
    </row>
    <row r="469" spans="1:4">
      <c r="A469" s="187" t="s">
        <v>1438</v>
      </c>
      <c r="B469" s="187" t="s">
        <v>2579</v>
      </c>
      <c r="C469" s="187">
        <v>830549</v>
      </c>
      <c r="D469" s="187">
        <v>542</v>
      </c>
    </row>
    <row r="470" spans="1:4">
      <c r="A470" s="187" t="s">
        <v>2580</v>
      </c>
      <c r="B470" s="187" t="s">
        <v>2581</v>
      </c>
      <c r="C470" s="187">
        <v>61750</v>
      </c>
      <c r="D470" s="187">
        <v>106</v>
      </c>
    </row>
    <row r="471" spans="1:4">
      <c r="A471" s="187" t="s">
        <v>2582</v>
      </c>
      <c r="B471" s="187" t="s">
        <v>2583</v>
      </c>
      <c r="C471" s="187">
        <v>146539</v>
      </c>
      <c r="D471" s="187">
        <v>146</v>
      </c>
    </row>
    <row r="472" spans="1:4">
      <c r="A472" s="187" t="s">
        <v>2584</v>
      </c>
      <c r="B472" s="187" t="s">
        <v>2585</v>
      </c>
      <c r="C472" s="187">
        <v>69806</v>
      </c>
      <c r="D472" s="187">
        <v>29</v>
      </c>
    </row>
    <row r="473" spans="1:4">
      <c r="A473" s="187" t="s">
        <v>1578</v>
      </c>
      <c r="B473" s="187" t="s">
        <v>1579</v>
      </c>
      <c r="C473" s="187">
        <v>73727</v>
      </c>
      <c r="D473" s="187">
        <v>35</v>
      </c>
    </row>
    <row r="474" spans="1:4">
      <c r="A474" s="187" t="s">
        <v>1580</v>
      </c>
      <c r="B474" s="187" t="s">
        <v>1581</v>
      </c>
      <c r="C474" s="187">
        <v>166813</v>
      </c>
      <c r="D474" s="187">
        <v>124</v>
      </c>
    </row>
    <row r="475" spans="1:4">
      <c r="A475" s="187" t="s">
        <v>447</v>
      </c>
      <c r="B475" s="187" t="s">
        <v>1452</v>
      </c>
      <c r="C475" s="187">
        <v>19710</v>
      </c>
      <c r="D475" s="187">
        <v>31</v>
      </c>
    </row>
    <row r="476" spans="1:4">
      <c r="A476" s="187" t="s">
        <v>1582</v>
      </c>
      <c r="B476" s="187" t="s">
        <v>1583</v>
      </c>
      <c r="C476" s="187">
        <v>57937</v>
      </c>
      <c r="D476" s="187">
        <v>35</v>
      </c>
    </row>
    <row r="477" spans="1:4">
      <c r="A477" s="187" t="s">
        <v>1584</v>
      </c>
      <c r="B477" s="187" t="s">
        <v>1585</v>
      </c>
      <c r="C477" s="187">
        <v>7950</v>
      </c>
      <c r="D477" s="187">
        <v>31</v>
      </c>
    </row>
    <row r="478" spans="1:4">
      <c r="A478" s="187" t="s">
        <v>1586</v>
      </c>
      <c r="B478" s="187" t="s">
        <v>1587</v>
      </c>
      <c r="C478" s="187">
        <v>10492</v>
      </c>
      <c r="D478" s="187">
        <v>11</v>
      </c>
    </row>
    <row r="479" spans="1:4">
      <c r="A479" s="187" t="s">
        <v>1588</v>
      </c>
      <c r="B479" s="187" t="s">
        <v>1589</v>
      </c>
      <c r="C479" s="187">
        <v>4135848</v>
      </c>
      <c r="D479" s="187">
        <v>1041</v>
      </c>
    </row>
    <row r="480" spans="1:4">
      <c r="A480" s="187" t="s">
        <v>1292</v>
      </c>
      <c r="B480" s="187" t="s">
        <v>6143</v>
      </c>
      <c r="C480" s="187">
        <v>491350</v>
      </c>
      <c r="D480" s="187">
        <v>464</v>
      </c>
    </row>
    <row r="481" spans="1:4">
      <c r="A481" s="187" t="s">
        <v>1590</v>
      </c>
      <c r="B481" s="187" t="s">
        <v>1591</v>
      </c>
      <c r="C481" s="187">
        <v>300898</v>
      </c>
      <c r="D481" s="187">
        <v>224</v>
      </c>
    </row>
    <row r="482" spans="1:4">
      <c r="A482" s="187" t="s">
        <v>1864</v>
      </c>
      <c r="B482" s="187" t="s">
        <v>1995</v>
      </c>
      <c r="C482" s="187">
        <v>1851121</v>
      </c>
      <c r="D482" s="187">
        <v>1046</v>
      </c>
    </row>
    <row r="483" spans="1:4">
      <c r="A483" s="187" t="s">
        <v>1592</v>
      </c>
      <c r="B483" s="187" t="s">
        <v>1593</v>
      </c>
      <c r="C483" s="187">
        <v>271685</v>
      </c>
      <c r="D483" s="187">
        <v>132</v>
      </c>
    </row>
    <row r="484" spans="1:4">
      <c r="A484" s="187" t="s">
        <v>1594</v>
      </c>
      <c r="B484" s="187" t="s">
        <v>1595</v>
      </c>
      <c r="C484" s="187">
        <v>921217</v>
      </c>
      <c r="D484" s="187">
        <v>469</v>
      </c>
    </row>
    <row r="485" spans="1:4">
      <c r="A485" s="187" t="s">
        <v>1596</v>
      </c>
      <c r="B485" s="187" t="s">
        <v>1597</v>
      </c>
      <c r="C485" s="187">
        <v>745075</v>
      </c>
      <c r="D485" s="187">
        <v>362</v>
      </c>
    </row>
    <row r="486" spans="1:4">
      <c r="A486" s="187" t="s">
        <v>1598</v>
      </c>
      <c r="B486" s="187" t="s">
        <v>1599</v>
      </c>
      <c r="C486" s="187">
        <v>249403</v>
      </c>
      <c r="D486" s="187">
        <v>87</v>
      </c>
    </row>
    <row r="487" spans="1:4">
      <c r="A487" s="187" t="s">
        <v>1600</v>
      </c>
      <c r="B487" s="187" t="s">
        <v>5259</v>
      </c>
      <c r="C487" s="187">
        <v>122900</v>
      </c>
      <c r="D487" s="187">
        <v>218</v>
      </c>
    </row>
    <row r="488" spans="1:4">
      <c r="A488" s="187" t="s">
        <v>5260</v>
      </c>
      <c r="B488" s="187" t="s">
        <v>5261</v>
      </c>
      <c r="C488" s="187">
        <v>466836</v>
      </c>
      <c r="D488" s="187">
        <v>199</v>
      </c>
    </row>
    <row r="489" spans="1:4">
      <c r="A489" s="187" t="s">
        <v>2415</v>
      </c>
      <c r="B489" s="187" t="s">
        <v>1416</v>
      </c>
      <c r="C489" s="187">
        <v>37370</v>
      </c>
      <c r="D489" s="187">
        <v>48</v>
      </c>
    </row>
    <row r="490" spans="1:4">
      <c r="A490" s="187" t="s">
        <v>4973</v>
      </c>
      <c r="B490" s="187" t="s">
        <v>2607</v>
      </c>
      <c r="C490" s="187">
        <v>3995</v>
      </c>
      <c r="D490" s="187">
        <v>27</v>
      </c>
    </row>
    <row r="491" spans="1:4">
      <c r="A491" s="187" t="s">
        <v>5262</v>
      </c>
      <c r="B491" s="187" t="s">
        <v>5263</v>
      </c>
      <c r="C491" s="187">
        <v>143600</v>
      </c>
      <c r="D491" s="187">
        <v>69</v>
      </c>
    </row>
    <row r="492" spans="1:4">
      <c r="A492" s="187" t="s">
        <v>5264</v>
      </c>
      <c r="B492" s="187" t="s">
        <v>5265</v>
      </c>
      <c r="C492" s="187">
        <v>19356</v>
      </c>
      <c r="D492" s="187">
        <v>16</v>
      </c>
    </row>
    <row r="493" spans="1:4">
      <c r="A493" s="187" t="s">
        <v>776</v>
      </c>
      <c r="B493" s="187" t="s">
        <v>777</v>
      </c>
      <c r="C493" s="187">
        <v>15384</v>
      </c>
      <c r="D493" s="187">
        <v>11</v>
      </c>
    </row>
    <row r="494" spans="1:4">
      <c r="A494" s="187" t="s">
        <v>778</v>
      </c>
      <c r="B494" s="187" t="s">
        <v>779</v>
      </c>
      <c r="C494" s="187">
        <v>38562</v>
      </c>
      <c r="D494" s="187">
        <v>19</v>
      </c>
    </row>
    <row r="495" spans="1:4">
      <c r="A495" s="187" t="s">
        <v>2054</v>
      </c>
      <c r="B495" s="187" t="s">
        <v>6142</v>
      </c>
      <c r="C495" s="187">
        <v>3968136</v>
      </c>
      <c r="D495" s="187">
        <v>1801</v>
      </c>
    </row>
    <row r="496" spans="1:4">
      <c r="A496" s="187" t="s">
        <v>1519</v>
      </c>
      <c r="B496" s="187" t="s">
        <v>3134</v>
      </c>
      <c r="C496" s="187">
        <v>2119452</v>
      </c>
      <c r="D496" s="187">
        <v>822</v>
      </c>
    </row>
    <row r="497" spans="1:4">
      <c r="A497" s="187" t="s">
        <v>1521</v>
      </c>
      <c r="B497" s="187" t="s">
        <v>3136</v>
      </c>
      <c r="C497" s="187">
        <v>9544347</v>
      </c>
      <c r="D497" s="187">
        <v>3247</v>
      </c>
    </row>
    <row r="498" spans="1:4">
      <c r="A498" s="187" t="s">
        <v>1866</v>
      </c>
      <c r="B498" s="187" t="s">
        <v>1997</v>
      </c>
      <c r="C498" s="187">
        <v>1033054</v>
      </c>
      <c r="D498" s="187">
        <v>471</v>
      </c>
    </row>
    <row r="499" spans="1:4">
      <c r="A499" s="187" t="s">
        <v>6167</v>
      </c>
      <c r="B499" s="187" t="s">
        <v>2369</v>
      </c>
      <c r="C499" s="187">
        <v>7203771</v>
      </c>
      <c r="D499" s="187">
        <v>3263</v>
      </c>
    </row>
    <row r="500" spans="1:4">
      <c r="A500" s="187" t="s">
        <v>6170</v>
      </c>
      <c r="B500" s="187" t="s">
        <v>2372</v>
      </c>
      <c r="C500" s="187">
        <v>2542485</v>
      </c>
      <c r="D500" s="187">
        <v>809</v>
      </c>
    </row>
    <row r="501" spans="1:4">
      <c r="A501" s="187" t="s">
        <v>6176</v>
      </c>
      <c r="B501" s="187" t="s">
        <v>2663</v>
      </c>
      <c r="C501" s="187">
        <v>3856346</v>
      </c>
      <c r="D501" s="187">
        <v>1851</v>
      </c>
    </row>
    <row r="502" spans="1:4">
      <c r="A502" s="187" t="s">
        <v>5125</v>
      </c>
      <c r="B502" s="187" t="s">
        <v>1301</v>
      </c>
      <c r="C502" s="187">
        <v>7583200</v>
      </c>
      <c r="D502" s="187">
        <v>3350</v>
      </c>
    </row>
    <row r="503" spans="1:4">
      <c r="A503" s="187" t="s">
        <v>648</v>
      </c>
      <c r="B503" s="187" t="s">
        <v>2586</v>
      </c>
      <c r="C503" s="187">
        <v>589200</v>
      </c>
      <c r="D503" s="187">
        <v>340</v>
      </c>
    </row>
    <row r="504" spans="1:4">
      <c r="A504" s="187" t="s">
        <v>780</v>
      </c>
      <c r="B504" s="187" t="s">
        <v>781</v>
      </c>
      <c r="C504" s="187">
        <v>1543757</v>
      </c>
      <c r="D504" s="187">
        <v>680</v>
      </c>
    </row>
    <row r="505" spans="1:4">
      <c r="A505" s="187" t="s">
        <v>6038</v>
      </c>
      <c r="B505" s="187" t="s">
        <v>1686</v>
      </c>
      <c r="C505" s="187">
        <v>8050124</v>
      </c>
      <c r="D505" s="187">
        <v>2446</v>
      </c>
    </row>
    <row r="506" spans="1:4">
      <c r="A506" s="187" t="s">
        <v>3096</v>
      </c>
      <c r="B506" s="187" t="s">
        <v>3615</v>
      </c>
      <c r="C506" s="187">
        <v>7091976</v>
      </c>
      <c r="D506" s="187">
        <v>2171</v>
      </c>
    </row>
    <row r="507" spans="1:4">
      <c r="A507" s="187" t="s">
        <v>6040</v>
      </c>
      <c r="B507" s="187" t="s">
        <v>1688</v>
      </c>
      <c r="C507" s="187">
        <v>408232</v>
      </c>
      <c r="D507" s="187">
        <v>130</v>
      </c>
    </row>
    <row r="508" spans="1:4">
      <c r="A508" s="187" t="s">
        <v>3097</v>
      </c>
      <c r="B508" s="187" t="s">
        <v>3616</v>
      </c>
      <c r="C508" s="187">
        <v>224334</v>
      </c>
      <c r="D508" s="187">
        <v>83</v>
      </c>
    </row>
    <row r="509" spans="1:4">
      <c r="A509" s="187" t="s">
        <v>2419</v>
      </c>
      <c r="B509" s="187" t="s">
        <v>3141</v>
      </c>
      <c r="C509" s="187">
        <v>715022</v>
      </c>
      <c r="D509" s="187">
        <v>352</v>
      </c>
    </row>
    <row r="510" spans="1:4">
      <c r="A510" s="187" t="s">
        <v>2608</v>
      </c>
      <c r="B510" s="187" t="s">
        <v>2609</v>
      </c>
      <c r="C510" s="187">
        <v>45455</v>
      </c>
      <c r="D510" s="187">
        <v>49</v>
      </c>
    </row>
    <row r="511" spans="1:4">
      <c r="A511" s="187" t="s">
        <v>448</v>
      </c>
      <c r="B511" s="187" t="s">
        <v>1453</v>
      </c>
      <c r="C511" s="187">
        <v>38041</v>
      </c>
      <c r="D511" s="187">
        <v>41</v>
      </c>
    </row>
    <row r="512" spans="1:4">
      <c r="A512" s="187" t="s">
        <v>243</v>
      </c>
      <c r="B512" s="187" t="s">
        <v>6699</v>
      </c>
      <c r="C512" s="187">
        <v>95951</v>
      </c>
      <c r="D512" s="187">
        <v>54</v>
      </c>
    </row>
    <row r="513" spans="1:4">
      <c r="A513" s="187" t="s">
        <v>1868</v>
      </c>
      <c r="B513" s="187" t="s">
        <v>1946</v>
      </c>
      <c r="C513" s="187">
        <v>199812</v>
      </c>
      <c r="D513" s="187">
        <v>346</v>
      </c>
    </row>
    <row r="514" spans="1:4">
      <c r="A514" s="187" t="s">
        <v>3098</v>
      </c>
      <c r="B514" s="187" t="s">
        <v>3617</v>
      </c>
      <c r="C514" s="187">
        <v>0</v>
      </c>
      <c r="D514" s="187">
        <v>85</v>
      </c>
    </row>
    <row r="515" spans="1:4">
      <c r="A515" s="187" t="s">
        <v>6022</v>
      </c>
      <c r="B515" s="187" t="s">
        <v>4563</v>
      </c>
      <c r="C515" s="187">
        <v>83898</v>
      </c>
      <c r="D515" s="187">
        <v>86</v>
      </c>
    </row>
    <row r="516" spans="1:4">
      <c r="A516" s="187" t="s">
        <v>2610</v>
      </c>
      <c r="B516" s="187" t="s">
        <v>2611</v>
      </c>
      <c r="C516" s="187">
        <v>0</v>
      </c>
      <c r="D516" s="187">
        <v>31</v>
      </c>
    </row>
    <row r="517" spans="1:4">
      <c r="A517" s="187" t="s">
        <v>2612</v>
      </c>
      <c r="B517" s="187" t="s">
        <v>2613</v>
      </c>
      <c r="C517" s="187">
        <v>28872</v>
      </c>
      <c r="D517" s="187">
        <v>38</v>
      </c>
    </row>
    <row r="518" spans="1:4">
      <c r="A518" s="187" t="s">
        <v>782</v>
      </c>
      <c r="B518" s="187" t="s">
        <v>783</v>
      </c>
      <c r="C518" s="187">
        <v>338939</v>
      </c>
      <c r="D518" s="187">
        <v>232</v>
      </c>
    </row>
    <row r="519" spans="1:4">
      <c r="A519" s="187" t="s">
        <v>2614</v>
      </c>
      <c r="B519" s="187" t="s">
        <v>2615</v>
      </c>
      <c r="C519" s="187">
        <v>33700</v>
      </c>
      <c r="D519" s="187">
        <v>30</v>
      </c>
    </row>
    <row r="520" spans="1:4">
      <c r="A520" s="187" t="s">
        <v>2468</v>
      </c>
      <c r="B520" s="187" t="s">
        <v>4147</v>
      </c>
      <c r="C520" s="187">
        <v>88224</v>
      </c>
      <c r="D520" s="187">
        <v>46</v>
      </c>
    </row>
    <row r="521" spans="1:4">
      <c r="A521" s="187" t="s">
        <v>2616</v>
      </c>
      <c r="B521" s="187" t="s">
        <v>2617</v>
      </c>
      <c r="C521" s="187">
        <v>23991</v>
      </c>
      <c r="D521" s="187">
        <v>33</v>
      </c>
    </row>
    <row r="522" spans="1:4">
      <c r="A522" s="187" t="s">
        <v>784</v>
      </c>
      <c r="B522" s="187" t="s">
        <v>785</v>
      </c>
      <c r="C522" s="187">
        <v>90300</v>
      </c>
      <c r="D522" s="187">
        <v>55</v>
      </c>
    </row>
    <row r="523" spans="1:4">
      <c r="A523" s="187" t="s">
        <v>786</v>
      </c>
      <c r="B523" s="187" t="s">
        <v>787</v>
      </c>
      <c r="C523" s="187">
        <v>1209600</v>
      </c>
      <c r="D523" s="187">
        <v>495</v>
      </c>
    </row>
    <row r="524" spans="1:4">
      <c r="A524" s="187" t="s">
        <v>788</v>
      </c>
      <c r="B524" s="187" t="s">
        <v>789</v>
      </c>
      <c r="C524" s="187">
        <v>18675</v>
      </c>
      <c r="D524" s="187">
        <v>62</v>
      </c>
    </row>
    <row r="525" spans="1:4">
      <c r="A525" s="187" t="s">
        <v>969</v>
      </c>
      <c r="B525" s="187" t="s">
        <v>970</v>
      </c>
      <c r="C525" s="187">
        <v>151107</v>
      </c>
      <c r="D525" s="187">
        <v>66</v>
      </c>
    </row>
    <row r="526" spans="1:4">
      <c r="A526" s="187" t="s">
        <v>790</v>
      </c>
      <c r="B526" s="187" t="s">
        <v>791</v>
      </c>
      <c r="C526" s="187">
        <v>872991</v>
      </c>
      <c r="D526" s="187">
        <v>108</v>
      </c>
    </row>
    <row r="527" spans="1:4">
      <c r="A527" s="187" t="s">
        <v>792</v>
      </c>
      <c r="B527" s="187" t="s">
        <v>793</v>
      </c>
      <c r="C527" s="187">
        <v>1650</v>
      </c>
      <c r="D527" s="187">
        <v>36</v>
      </c>
    </row>
    <row r="528" spans="1:4">
      <c r="A528" s="187" t="s">
        <v>794</v>
      </c>
      <c r="B528" s="187" t="s">
        <v>795</v>
      </c>
      <c r="C528" s="187">
        <v>1481164</v>
      </c>
      <c r="D528" s="187">
        <v>868</v>
      </c>
    </row>
    <row r="529" spans="1:4">
      <c r="A529" s="187" t="s">
        <v>2991</v>
      </c>
      <c r="B529" s="187" t="s">
        <v>1197</v>
      </c>
      <c r="C529" s="187">
        <v>51393</v>
      </c>
      <c r="D529" s="187">
        <v>54</v>
      </c>
    </row>
    <row r="530" spans="1:4">
      <c r="A530" s="187" t="s">
        <v>2413</v>
      </c>
      <c r="B530" s="187" t="s">
        <v>1972</v>
      </c>
      <c r="C530" s="187">
        <v>40016</v>
      </c>
      <c r="D530" s="187">
        <v>74</v>
      </c>
    </row>
    <row r="531" spans="1:4">
      <c r="A531" s="187" t="s">
        <v>796</v>
      </c>
      <c r="B531" s="187" t="s">
        <v>797</v>
      </c>
      <c r="C531" s="187">
        <v>1107112</v>
      </c>
      <c r="D531" s="187">
        <v>606</v>
      </c>
    </row>
    <row r="532" spans="1:4">
      <c r="A532" s="187" t="s">
        <v>2044</v>
      </c>
      <c r="B532" s="187" t="s">
        <v>2045</v>
      </c>
      <c r="C532" s="187">
        <v>30878</v>
      </c>
      <c r="D532" s="187">
        <v>52</v>
      </c>
    </row>
    <row r="533" spans="1:4">
      <c r="A533" s="187" t="s">
        <v>798</v>
      </c>
      <c r="B533" s="187" t="s">
        <v>799</v>
      </c>
      <c r="C533" s="187">
        <v>31854</v>
      </c>
      <c r="D533" s="187">
        <v>63</v>
      </c>
    </row>
    <row r="534" spans="1:4">
      <c r="A534" s="187" t="s">
        <v>2358</v>
      </c>
      <c r="B534" s="187" t="s">
        <v>3618</v>
      </c>
      <c r="C534" s="187">
        <v>0</v>
      </c>
      <c r="D534" s="187">
        <v>43</v>
      </c>
    </row>
    <row r="535" spans="1:4">
      <c r="A535" s="187" t="s">
        <v>800</v>
      </c>
      <c r="B535" s="187" t="s">
        <v>801</v>
      </c>
      <c r="C535" s="187">
        <v>11650</v>
      </c>
      <c r="D535" s="187">
        <v>91</v>
      </c>
    </row>
    <row r="536" spans="1:4">
      <c r="A536" s="187" t="s">
        <v>802</v>
      </c>
      <c r="B536" s="187" t="s">
        <v>803</v>
      </c>
      <c r="C536" s="187">
        <v>15600</v>
      </c>
      <c r="D536" s="187">
        <v>35</v>
      </c>
    </row>
    <row r="537" spans="1:4">
      <c r="A537" s="187" t="s">
        <v>2046</v>
      </c>
      <c r="B537" s="187" t="s">
        <v>2047</v>
      </c>
      <c r="C537" s="187">
        <v>0</v>
      </c>
      <c r="D537" s="187">
        <v>40</v>
      </c>
    </row>
    <row r="538" spans="1:4">
      <c r="A538" s="187" t="s">
        <v>804</v>
      </c>
      <c r="B538" s="187" t="s">
        <v>805</v>
      </c>
      <c r="C538" s="187">
        <v>274190</v>
      </c>
      <c r="D538" s="187">
        <v>309</v>
      </c>
    </row>
    <row r="539" spans="1:4">
      <c r="A539" s="187" t="s">
        <v>806</v>
      </c>
      <c r="B539" s="187" t="s">
        <v>807</v>
      </c>
      <c r="C539" s="187">
        <v>85760</v>
      </c>
      <c r="D539" s="187">
        <v>106</v>
      </c>
    </row>
    <row r="540" spans="1:4">
      <c r="A540" s="187" t="s">
        <v>808</v>
      </c>
      <c r="B540" s="187" t="s">
        <v>809</v>
      </c>
      <c r="C540" s="187">
        <v>49480</v>
      </c>
      <c r="D540" s="187">
        <v>86</v>
      </c>
    </row>
    <row r="541" spans="1:4">
      <c r="A541" s="187" t="s">
        <v>810</v>
      </c>
      <c r="B541" s="187" t="s">
        <v>666</v>
      </c>
      <c r="C541" s="187">
        <v>50750</v>
      </c>
      <c r="D541" s="187">
        <v>69</v>
      </c>
    </row>
    <row r="542" spans="1:4">
      <c r="A542" s="187" t="s">
        <v>667</v>
      </c>
      <c r="B542" s="187" t="s">
        <v>1706</v>
      </c>
      <c r="C542" s="187">
        <v>48239</v>
      </c>
      <c r="D542" s="187">
        <v>72</v>
      </c>
    </row>
    <row r="543" spans="1:4">
      <c r="A543" s="187" t="s">
        <v>1707</v>
      </c>
      <c r="B543" s="187" t="s">
        <v>1708</v>
      </c>
      <c r="C543" s="187">
        <v>785508</v>
      </c>
      <c r="D543" s="187">
        <v>604</v>
      </c>
    </row>
    <row r="544" spans="1:4">
      <c r="A544" s="187" t="s">
        <v>1709</v>
      </c>
      <c r="B544" s="187" t="s">
        <v>1710</v>
      </c>
      <c r="C544" s="187">
        <v>360785</v>
      </c>
      <c r="D544" s="187">
        <v>139</v>
      </c>
    </row>
    <row r="545" spans="1:4">
      <c r="A545" s="187" t="s">
        <v>1711</v>
      </c>
      <c r="B545" s="187" t="s">
        <v>1712</v>
      </c>
      <c r="C545" s="187">
        <v>311448</v>
      </c>
      <c r="D545" s="187">
        <v>87</v>
      </c>
    </row>
    <row r="546" spans="1:4">
      <c r="A546" s="187" t="s">
        <v>1713</v>
      </c>
      <c r="B546" s="187" t="s">
        <v>1714</v>
      </c>
      <c r="C546" s="187">
        <v>198352</v>
      </c>
      <c r="D546" s="187">
        <v>80</v>
      </c>
    </row>
    <row r="547" spans="1:4">
      <c r="A547" s="187" t="s">
        <v>1330</v>
      </c>
      <c r="B547" s="187" t="s">
        <v>1331</v>
      </c>
      <c r="C547" s="187">
        <v>9760</v>
      </c>
      <c r="D547" s="187">
        <v>24</v>
      </c>
    </row>
    <row r="548" spans="1:4">
      <c r="A548" s="187" t="s">
        <v>1332</v>
      </c>
      <c r="B548" s="187" t="s">
        <v>1333</v>
      </c>
      <c r="C548" s="187">
        <v>71847</v>
      </c>
      <c r="D548" s="187">
        <v>35</v>
      </c>
    </row>
    <row r="549" spans="1:4">
      <c r="A549" s="187" t="s">
        <v>979</v>
      </c>
      <c r="B549" s="187" t="s">
        <v>1211</v>
      </c>
      <c r="C549" s="187">
        <v>88350</v>
      </c>
      <c r="D549" s="187">
        <v>148</v>
      </c>
    </row>
    <row r="550" spans="1:4">
      <c r="A550" s="187" t="s">
        <v>1334</v>
      </c>
      <c r="B550" s="187" t="s">
        <v>1335</v>
      </c>
      <c r="C550" s="187">
        <v>108280</v>
      </c>
      <c r="D550" s="187">
        <v>73</v>
      </c>
    </row>
    <row r="551" spans="1:4">
      <c r="A551" s="187" t="s">
        <v>235</v>
      </c>
      <c r="B551" s="187" t="s">
        <v>3908</v>
      </c>
      <c r="C551" s="187">
        <v>319620</v>
      </c>
      <c r="D551" s="187">
        <v>268</v>
      </c>
    </row>
    <row r="552" spans="1:4">
      <c r="A552" s="187" t="s">
        <v>3961</v>
      </c>
      <c r="B552" s="187" t="s">
        <v>3962</v>
      </c>
      <c r="C552" s="187">
        <v>1494762</v>
      </c>
      <c r="D552" s="187">
        <v>735</v>
      </c>
    </row>
    <row r="553" spans="1:4">
      <c r="A553" s="187" t="s">
        <v>2359</v>
      </c>
      <c r="B553" s="187" t="s">
        <v>3619</v>
      </c>
      <c r="C553" s="187">
        <v>141421</v>
      </c>
      <c r="D553" s="187">
        <v>106</v>
      </c>
    </row>
    <row r="554" spans="1:4">
      <c r="A554" s="187" t="s">
        <v>650</v>
      </c>
      <c r="B554" s="187" t="s">
        <v>64</v>
      </c>
      <c r="C554" s="187">
        <v>827928</v>
      </c>
      <c r="D554" s="187">
        <v>403</v>
      </c>
    </row>
    <row r="555" spans="1:4">
      <c r="A555" s="187" t="s">
        <v>2127</v>
      </c>
      <c r="B555" s="187" t="s">
        <v>2128</v>
      </c>
      <c r="C555" s="187">
        <v>130140</v>
      </c>
      <c r="D555" s="187">
        <v>100</v>
      </c>
    </row>
    <row r="556" spans="1:4">
      <c r="A556" s="187" t="s">
        <v>3963</v>
      </c>
      <c r="B556" s="187" t="s">
        <v>3964</v>
      </c>
      <c r="C556" s="187">
        <v>73800</v>
      </c>
      <c r="D556" s="187">
        <v>57</v>
      </c>
    </row>
    <row r="557" spans="1:4">
      <c r="A557" s="187" t="s">
        <v>953</v>
      </c>
      <c r="B557" s="187" t="s">
        <v>1199</v>
      </c>
      <c r="C557" s="187">
        <v>0</v>
      </c>
      <c r="D557" s="187">
        <v>81</v>
      </c>
    </row>
    <row r="558" spans="1:4">
      <c r="A558" s="187" t="s">
        <v>971</v>
      </c>
      <c r="B558" s="187" t="s">
        <v>972</v>
      </c>
      <c r="C558" s="187">
        <v>178614</v>
      </c>
      <c r="D558" s="187">
        <v>102</v>
      </c>
    </row>
    <row r="559" spans="1:4">
      <c r="A559" s="187" t="s">
        <v>3965</v>
      </c>
      <c r="B559" s="187" t="s">
        <v>3966</v>
      </c>
      <c r="C559" s="187">
        <v>366892</v>
      </c>
      <c r="D559" s="187">
        <v>450</v>
      </c>
    </row>
    <row r="560" spans="1:4">
      <c r="A560" s="187" t="s">
        <v>3967</v>
      </c>
      <c r="B560" s="187" t="s">
        <v>3968</v>
      </c>
      <c r="C560" s="187">
        <v>225007</v>
      </c>
      <c r="D560" s="187">
        <v>165</v>
      </c>
    </row>
    <row r="561" spans="1:4">
      <c r="A561" s="187" t="s">
        <v>3969</v>
      </c>
      <c r="B561" s="187" t="s">
        <v>756</v>
      </c>
      <c r="C561" s="187">
        <v>272240</v>
      </c>
      <c r="D561" s="187">
        <v>126</v>
      </c>
    </row>
    <row r="562" spans="1:4">
      <c r="A562" s="187" t="s">
        <v>757</v>
      </c>
      <c r="B562" s="187" t="s">
        <v>758</v>
      </c>
      <c r="C562" s="187">
        <v>14618</v>
      </c>
      <c r="D562" s="187">
        <v>26</v>
      </c>
    </row>
    <row r="563" spans="1:4">
      <c r="A563" s="187" t="s">
        <v>759</v>
      </c>
      <c r="B563" s="187" t="s">
        <v>68</v>
      </c>
      <c r="C563" s="187">
        <v>187115</v>
      </c>
      <c r="D563" s="187">
        <v>67</v>
      </c>
    </row>
    <row r="564" spans="1:4">
      <c r="A564" s="187" t="s">
        <v>69</v>
      </c>
      <c r="B564" s="187" t="s">
        <v>70</v>
      </c>
      <c r="C564" s="187">
        <v>46866</v>
      </c>
      <c r="D564" s="187">
        <v>46</v>
      </c>
    </row>
    <row r="565" spans="1:4">
      <c r="A565" s="189" t="s">
        <v>71</v>
      </c>
      <c r="B565" s="187" t="s">
        <v>72</v>
      </c>
      <c r="C565" s="187">
        <v>152150</v>
      </c>
      <c r="D565" s="187">
        <v>154</v>
      </c>
    </row>
    <row r="566" spans="1:4">
      <c r="A566" s="189" t="s">
        <v>73</v>
      </c>
      <c r="B566" s="187" t="s">
        <v>74</v>
      </c>
      <c r="C566" s="187">
        <v>76281</v>
      </c>
      <c r="D566" s="187">
        <v>59</v>
      </c>
    </row>
    <row r="567" spans="1:4">
      <c r="A567" s="187" t="s">
        <v>75</v>
      </c>
      <c r="B567" s="187" t="s">
        <v>2599</v>
      </c>
      <c r="C567" s="187">
        <v>610576</v>
      </c>
      <c r="D567" s="187">
        <v>239</v>
      </c>
    </row>
    <row r="568" spans="1:4">
      <c r="A568" s="187" t="s">
        <v>1316</v>
      </c>
      <c r="B568" s="187" t="s">
        <v>156</v>
      </c>
      <c r="C568" s="187">
        <v>241459</v>
      </c>
      <c r="D568" s="187">
        <v>103</v>
      </c>
    </row>
    <row r="569" spans="1:4">
      <c r="A569" s="187" t="s">
        <v>2600</v>
      </c>
      <c r="B569" s="187" t="s">
        <v>2601</v>
      </c>
      <c r="C569" s="187">
        <v>557712</v>
      </c>
      <c r="D569" s="187">
        <v>184</v>
      </c>
    </row>
    <row r="570" spans="1:4">
      <c r="A570" s="187" t="s">
        <v>7133</v>
      </c>
      <c r="B570" s="187" t="s">
        <v>7134</v>
      </c>
      <c r="C570" s="187">
        <v>60240</v>
      </c>
      <c r="D570" s="187">
        <v>59</v>
      </c>
    </row>
    <row r="571" spans="1:4">
      <c r="A571" s="187" t="s">
        <v>961</v>
      </c>
      <c r="B571" s="187" t="s">
        <v>1207</v>
      </c>
      <c r="C571" s="187">
        <v>579219</v>
      </c>
      <c r="D571" s="187">
        <v>277</v>
      </c>
    </row>
    <row r="572" spans="1:4">
      <c r="A572" s="187" t="s">
        <v>6024</v>
      </c>
      <c r="B572" s="187" t="s">
        <v>4565</v>
      </c>
      <c r="C572" s="187">
        <v>934397</v>
      </c>
      <c r="D572" s="187">
        <v>506</v>
      </c>
    </row>
    <row r="573" spans="1:4">
      <c r="A573" s="187" t="s">
        <v>6034</v>
      </c>
      <c r="B573" s="187" t="s">
        <v>463</v>
      </c>
      <c r="C573" s="187">
        <v>289581</v>
      </c>
      <c r="D573" s="187">
        <v>220</v>
      </c>
    </row>
    <row r="574" spans="1:4">
      <c r="A574" s="187" t="s">
        <v>7135</v>
      </c>
      <c r="B574" s="187" t="s">
        <v>7136</v>
      </c>
      <c r="C574" s="187">
        <v>217477</v>
      </c>
      <c r="D574" s="187">
        <v>81</v>
      </c>
    </row>
    <row r="575" spans="1:4">
      <c r="A575" s="187" t="s">
        <v>7137</v>
      </c>
      <c r="B575" s="187" t="s">
        <v>7138</v>
      </c>
      <c r="C575" s="187">
        <v>155517</v>
      </c>
      <c r="D575" s="187">
        <v>73</v>
      </c>
    </row>
    <row r="576" spans="1:4">
      <c r="A576" s="187" t="s">
        <v>7139</v>
      </c>
      <c r="B576" s="187" t="s">
        <v>7140</v>
      </c>
      <c r="C576" s="187">
        <v>27137</v>
      </c>
      <c r="D576" s="187">
        <v>21</v>
      </c>
    </row>
    <row r="577" spans="1:4">
      <c r="A577" s="187" t="s">
        <v>7141</v>
      </c>
      <c r="B577" s="187" t="s">
        <v>7142</v>
      </c>
      <c r="C577" s="187">
        <v>14298</v>
      </c>
      <c r="D577" s="187">
        <v>10</v>
      </c>
    </row>
    <row r="578" spans="1:4">
      <c r="A578" s="187" t="s">
        <v>7143</v>
      </c>
      <c r="B578" s="187" t="s">
        <v>7144</v>
      </c>
      <c r="C578" s="187">
        <v>35344</v>
      </c>
      <c r="D578" s="187">
        <v>19</v>
      </c>
    </row>
    <row r="579" spans="1:4">
      <c r="A579" s="187" t="s">
        <v>6178</v>
      </c>
      <c r="B579" s="187" t="s">
        <v>321</v>
      </c>
      <c r="C579" s="187">
        <v>1463606</v>
      </c>
      <c r="D579" s="187">
        <v>662</v>
      </c>
    </row>
    <row r="580" spans="1:4">
      <c r="A580" s="187" t="s">
        <v>7145</v>
      </c>
      <c r="B580" s="187" t="s">
        <v>7146</v>
      </c>
      <c r="C580" s="187">
        <v>4406805</v>
      </c>
      <c r="D580" s="187">
        <v>1471</v>
      </c>
    </row>
    <row r="581" spans="1:4">
      <c r="A581" s="187" t="s">
        <v>7147</v>
      </c>
      <c r="B581" s="187" t="s">
        <v>2807</v>
      </c>
      <c r="C581" s="187">
        <v>1214636</v>
      </c>
      <c r="D581" s="187">
        <v>656</v>
      </c>
    </row>
    <row r="582" spans="1:4">
      <c r="A582" s="187" t="s">
        <v>2808</v>
      </c>
      <c r="B582" s="187" t="s">
        <v>2809</v>
      </c>
      <c r="C582" s="187">
        <v>7192122</v>
      </c>
      <c r="D582" s="187">
        <v>2901</v>
      </c>
    </row>
    <row r="583" spans="1:4">
      <c r="A583" s="187" t="s">
        <v>2810</v>
      </c>
      <c r="B583" s="187" t="s">
        <v>2811</v>
      </c>
      <c r="C583" s="187">
        <v>173696</v>
      </c>
      <c r="D583" s="187">
        <v>32</v>
      </c>
    </row>
    <row r="584" spans="1:4">
      <c r="A584" s="187" t="s">
        <v>1859</v>
      </c>
      <c r="B584" s="187" t="s">
        <v>4988</v>
      </c>
      <c r="C584" s="187">
        <v>867310</v>
      </c>
      <c r="D584" s="187">
        <v>271</v>
      </c>
    </row>
    <row r="585" spans="1:4">
      <c r="A585" s="187" t="s">
        <v>2812</v>
      </c>
      <c r="B585" s="187" t="s">
        <v>2813</v>
      </c>
      <c r="C585" s="187">
        <v>459535</v>
      </c>
      <c r="D585" s="187">
        <v>201</v>
      </c>
    </row>
    <row r="586" spans="1:4">
      <c r="A586" s="187" t="s">
        <v>820</v>
      </c>
      <c r="B586" s="187" t="s">
        <v>1981</v>
      </c>
      <c r="C586" s="187">
        <v>1391306</v>
      </c>
      <c r="D586" s="187">
        <v>869</v>
      </c>
    </row>
    <row r="587" spans="1:4">
      <c r="A587" s="187" t="s">
        <v>127</v>
      </c>
      <c r="B587" s="187" t="s">
        <v>3620</v>
      </c>
      <c r="C587" s="187">
        <v>236090</v>
      </c>
      <c r="D587" s="187">
        <v>110</v>
      </c>
    </row>
    <row r="588" spans="1:4">
      <c r="A588" s="187" t="s">
        <v>6189</v>
      </c>
      <c r="B588" s="187" t="s">
        <v>1543</v>
      </c>
      <c r="C588" s="187">
        <v>465506</v>
      </c>
      <c r="D588" s="187">
        <v>192</v>
      </c>
    </row>
    <row r="589" spans="1:4">
      <c r="A589" s="187" t="s">
        <v>5130</v>
      </c>
      <c r="B589" s="187" t="s">
        <v>2814</v>
      </c>
      <c r="C589" s="187">
        <v>339724</v>
      </c>
      <c r="D589" s="187">
        <v>136</v>
      </c>
    </row>
    <row r="590" spans="1:4">
      <c r="A590" s="187" t="s">
        <v>2815</v>
      </c>
      <c r="B590" s="187" t="s">
        <v>2816</v>
      </c>
      <c r="C590" s="187">
        <v>29508</v>
      </c>
      <c r="D590" s="187">
        <v>17</v>
      </c>
    </row>
    <row r="591" spans="1:4">
      <c r="A591" s="187" t="s">
        <v>3888</v>
      </c>
      <c r="B591" s="187" t="s">
        <v>914</v>
      </c>
      <c r="C591" s="187">
        <v>366720</v>
      </c>
      <c r="D591" s="187">
        <v>458</v>
      </c>
    </row>
    <row r="592" spans="1:4">
      <c r="A592" s="187" t="s">
        <v>977</v>
      </c>
      <c r="B592" s="187" t="s">
        <v>1209</v>
      </c>
      <c r="C592" s="187">
        <v>584600</v>
      </c>
      <c r="D592" s="187">
        <v>769</v>
      </c>
    </row>
    <row r="593" spans="1:4">
      <c r="A593" s="187" t="s">
        <v>739</v>
      </c>
      <c r="B593" s="187" t="s">
        <v>2661</v>
      </c>
      <c r="C593" s="187">
        <v>668791</v>
      </c>
      <c r="D593" s="187">
        <v>797</v>
      </c>
    </row>
    <row r="594" spans="1:4">
      <c r="A594" s="187" t="s">
        <v>1855</v>
      </c>
      <c r="B594" s="187" t="s">
        <v>2973</v>
      </c>
      <c r="C594" s="187">
        <v>246956</v>
      </c>
      <c r="D594" s="187">
        <v>206</v>
      </c>
    </row>
    <row r="595" spans="1:4">
      <c r="A595" s="187" t="s">
        <v>6025</v>
      </c>
      <c r="B595" s="187" t="s">
        <v>4566</v>
      </c>
      <c r="C595" s="187">
        <v>628625</v>
      </c>
      <c r="D595" s="187">
        <v>606</v>
      </c>
    </row>
    <row r="596" spans="1:4">
      <c r="A596" s="187" t="s">
        <v>2817</v>
      </c>
      <c r="B596" s="187" t="s">
        <v>2818</v>
      </c>
      <c r="C596" s="187">
        <v>277896</v>
      </c>
      <c r="D596" s="187">
        <v>131</v>
      </c>
    </row>
    <row r="597" spans="1:4">
      <c r="A597" s="187" t="s">
        <v>128</v>
      </c>
      <c r="B597" s="187" t="s">
        <v>3621</v>
      </c>
      <c r="C597" s="187">
        <v>122097</v>
      </c>
      <c r="D597" s="187">
        <v>147</v>
      </c>
    </row>
    <row r="598" spans="1:4">
      <c r="A598" s="187" t="s">
        <v>3551</v>
      </c>
      <c r="B598" s="187" t="s">
        <v>3142</v>
      </c>
      <c r="C598" s="187">
        <v>265685</v>
      </c>
      <c r="D598" s="187">
        <v>251</v>
      </c>
    </row>
    <row r="599" spans="1:4">
      <c r="A599" s="187" t="s">
        <v>1851</v>
      </c>
      <c r="B599" s="187" t="s">
        <v>4962</v>
      </c>
      <c r="C599" s="187">
        <v>80775</v>
      </c>
      <c r="D599" s="187">
        <v>204</v>
      </c>
    </row>
    <row r="600" spans="1:4">
      <c r="A600" s="187" t="s">
        <v>267</v>
      </c>
      <c r="B600" s="187" t="s">
        <v>5270</v>
      </c>
      <c r="C600" s="187">
        <v>132493</v>
      </c>
      <c r="D600" s="187">
        <v>148</v>
      </c>
    </row>
    <row r="601" spans="1:4">
      <c r="A601" s="187" t="s">
        <v>2819</v>
      </c>
      <c r="B601" s="187" t="s">
        <v>515</v>
      </c>
      <c r="C601" s="187">
        <v>89309</v>
      </c>
      <c r="D601" s="187">
        <v>103</v>
      </c>
    </row>
    <row r="602" spans="1:4">
      <c r="A602" s="187" t="s">
        <v>1863</v>
      </c>
      <c r="B602" s="187" t="s">
        <v>596</v>
      </c>
      <c r="C602" s="187">
        <v>64790</v>
      </c>
      <c r="D602" s="187">
        <v>120</v>
      </c>
    </row>
    <row r="603" spans="1:4">
      <c r="A603" s="187" t="s">
        <v>449</v>
      </c>
      <c r="B603" s="187" t="s">
        <v>1454</v>
      </c>
      <c r="C603" s="187">
        <v>0</v>
      </c>
      <c r="D603" s="187">
        <v>38</v>
      </c>
    </row>
    <row r="604" spans="1:4">
      <c r="A604" s="187" t="s">
        <v>5138</v>
      </c>
      <c r="B604" s="187" t="s">
        <v>5139</v>
      </c>
      <c r="C604" s="187">
        <v>193200</v>
      </c>
      <c r="D604" s="187">
        <v>164</v>
      </c>
    </row>
    <row r="605" spans="1:4">
      <c r="A605" s="187" t="s">
        <v>6027</v>
      </c>
      <c r="B605" s="187" t="s">
        <v>456</v>
      </c>
      <c r="C605" s="187">
        <v>239209</v>
      </c>
      <c r="D605" s="187">
        <v>186</v>
      </c>
    </row>
    <row r="606" spans="1:4">
      <c r="A606" s="187" t="s">
        <v>450</v>
      </c>
      <c r="B606" s="187" t="s">
        <v>2593</v>
      </c>
      <c r="C606" s="187">
        <v>331976</v>
      </c>
      <c r="D606" s="187">
        <v>176</v>
      </c>
    </row>
    <row r="607" spans="1:4">
      <c r="A607" s="187" t="s">
        <v>516</v>
      </c>
      <c r="B607" s="187" t="s">
        <v>517</v>
      </c>
      <c r="C607" s="187">
        <v>88872</v>
      </c>
      <c r="D607" s="187">
        <v>60</v>
      </c>
    </row>
    <row r="608" spans="1:4">
      <c r="A608" s="187" t="s">
        <v>1525</v>
      </c>
      <c r="B608" s="187" t="s">
        <v>1538</v>
      </c>
      <c r="C608" s="187">
        <v>43239</v>
      </c>
      <c r="D608" s="187">
        <v>61</v>
      </c>
    </row>
    <row r="609" spans="1:4">
      <c r="A609" s="187" t="s">
        <v>244</v>
      </c>
      <c r="B609" s="187" t="s">
        <v>6700</v>
      </c>
      <c r="C609" s="187">
        <v>162553</v>
      </c>
      <c r="D609" s="187">
        <v>233</v>
      </c>
    </row>
    <row r="610" spans="1:4">
      <c r="A610" s="187" t="s">
        <v>1308</v>
      </c>
      <c r="B610" s="187" t="s">
        <v>253</v>
      </c>
      <c r="C610" s="187">
        <v>528866</v>
      </c>
      <c r="D610" s="187">
        <v>317</v>
      </c>
    </row>
    <row r="611" spans="1:4">
      <c r="A611" s="187" t="s">
        <v>6029</v>
      </c>
      <c r="B611" s="187" t="s">
        <v>458</v>
      </c>
      <c r="C611" s="187">
        <v>834275</v>
      </c>
      <c r="D611" s="187">
        <v>388</v>
      </c>
    </row>
    <row r="612" spans="1:4">
      <c r="A612" s="187" t="s">
        <v>6031</v>
      </c>
      <c r="B612" s="187" t="s">
        <v>460</v>
      </c>
      <c r="C612" s="187">
        <v>652516</v>
      </c>
      <c r="D612" s="187">
        <v>263</v>
      </c>
    </row>
    <row r="613" spans="1:4">
      <c r="A613" s="187" t="s">
        <v>5628</v>
      </c>
      <c r="B613" s="187" t="s">
        <v>5629</v>
      </c>
      <c r="C613" s="187">
        <v>240850</v>
      </c>
      <c r="D613" s="187">
        <v>483</v>
      </c>
    </row>
    <row r="614" spans="1:4">
      <c r="A614" s="187" t="s">
        <v>5630</v>
      </c>
      <c r="B614" s="187" t="s">
        <v>5631</v>
      </c>
      <c r="C614" s="187">
        <v>1082439</v>
      </c>
      <c r="D614" s="187">
        <v>579</v>
      </c>
    </row>
    <row r="615" spans="1:4">
      <c r="A615" s="187" t="s">
        <v>2395</v>
      </c>
      <c r="B615" s="187" t="s">
        <v>1817</v>
      </c>
      <c r="C615" s="187">
        <v>90006</v>
      </c>
      <c r="D615" s="187">
        <v>121</v>
      </c>
    </row>
    <row r="616" spans="1:4">
      <c r="A616" s="187" t="s">
        <v>5632</v>
      </c>
      <c r="B616" s="187" t="s">
        <v>2595</v>
      </c>
      <c r="C616" s="187">
        <v>752460</v>
      </c>
      <c r="D616" s="187">
        <v>668</v>
      </c>
    </row>
    <row r="617" spans="1:4">
      <c r="A617" s="187" t="s">
        <v>6147</v>
      </c>
      <c r="B617" s="187" t="s">
        <v>1685</v>
      </c>
      <c r="C617" s="187">
        <v>133540</v>
      </c>
      <c r="D617" s="187">
        <v>181</v>
      </c>
    </row>
    <row r="618" spans="1:4">
      <c r="A618" s="187" t="s">
        <v>1417</v>
      </c>
      <c r="B618" s="187" t="s">
        <v>1418</v>
      </c>
      <c r="C618" s="187">
        <v>41138</v>
      </c>
      <c r="D618" s="187">
        <v>14</v>
      </c>
    </row>
    <row r="619" spans="1:4">
      <c r="A619" s="187" t="s">
        <v>1419</v>
      </c>
      <c r="B619" s="187" t="s">
        <v>1420</v>
      </c>
      <c r="C619" s="187">
        <v>173123</v>
      </c>
      <c r="D619" s="187">
        <v>43</v>
      </c>
    </row>
    <row r="620" spans="1:4">
      <c r="A620" s="187" t="s">
        <v>2469</v>
      </c>
      <c r="B620" s="187" t="s">
        <v>4148</v>
      </c>
      <c r="C620" s="187">
        <v>38491</v>
      </c>
      <c r="D620" s="187">
        <v>84</v>
      </c>
    </row>
    <row r="621" spans="1:4">
      <c r="A621" s="187" t="s">
        <v>1421</v>
      </c>
      <c r="B621" s="187" t="s">
        <v>1422</v>
      </c>
      <c r="C621" s="187">
        <v>79350</v>
      </c>
      <c r="D621" s="187">
        <v>27</v>
      </c>
    </row>
    <row r="622" spans="1:4">
      <c r="A622" s="187" t="s">
        <v>1423</v>
      </c>
      <c r="B622" s="187" t="s">
        <v>1424</v>
      </c>
      <c r="C622" s="187">
        <v>846650</v>
      </c>
      <c r="D622" s="187">
        <v>701</v>
      </c>
    </row>
    <row r="623" spans="1:4">
      <c r="A623" s="187" t="s">
        <v>1425</v>
      </c>
      <c r="B623" s="187" t="s">
        <v>1426</v>
      </c>
      <c r="C623" s="187">
        <v>139640</v>
      </c>
      <c r="D623" s="187">
        <v>274</v>
      </c>
    </row>
    <row r="624" spans="1:4">
      <c r="A624" s="187" t="s">
        <v>7151</v>
      </c>
      <c r="B624" s="187" t="s">
        <v>7152</v>
      </c>
      <c r="C624" s="187">
        <v>0</v>
      </c>
      <c r="D624" s="187">
        <v>4</v>
      </c>
    </row>
    <row r="625" spans="1:4">
      <c r="A625" s="187" t="s">
        <v>7153</v>
      </c>
      <c r="B625" s="187" t="s">
        <v>7154</v>
      </c>
      <c r="C625" s="187">
        <v>179545</v>
      </c>
      <c r="D625" s="187">
        <v>139</v>
      </c>
    </row>
    <row r="626" spans="1:4">
      <c r="A626" s="187" t="s">
        <v>1833</v>
      </c>
      <c r="B626" s="187" t="s">
        <v>1834</v>
      </c>
      <c r="C626" s="187">
        <v>46205</v>
      </c>
      <c r="D626" s="187">
        <v>32</v>
      </c>
    </row>
    <row r="627" spans="1:4">
      <c r="A627" s="187" t="s">
        <v>1835</v>
      </c>
      <c r="B627" s="187" t="s">
        <v>1836</v>
      </c>
      <c r="C627" s="187">
        <v>75714</v>
      </c>
      <c r="D627" s="187">
        <v>105</v>
      </c>
    </row>
    <row r="628" spans="1:4">
      <c r="A628" s="187" t="s">
        <v>510</v>
      </c>
      <c r="B628" s="187" t="s">
        <v>2594</v>
      </c>
      <c r="C628" s="187">
        <v>2041526</v>
      </c>
      <c r="D628" s="187">
        <v>744</v>
      </c>
    </row>
    <row r="629" spans="1:4">
      <c r="A629" s="187" t="s">
        <v>3530</v>
      </c>
      <c r="B629" s="187" t="s">
        <v>3531</v>
      </c>
      <c r="C629" s="187">
        <v>114843</v>
      </c>
      <c r="D629" s="187">
        <v>89</v>
      </c>
    </row>
    <row r="630" spans="1:4">
      <c r="A630" s="187" t="s">
        <v>3532</v>
      </c>
      <c r="B630" s="187" t="s">
        <v>3533</v>
      </c>
      <c r="C630" s="187">
        <v>192910</v>
      </c>
      <c r="D630" s="187">
        <v>89</v>
      </c>
    </row>
    <row r="631" spans="1:4">
      <c r="A631" s="187" t="s">
        <v>3534</v>
      </c>
      <c r="B631" s="187" t="s">
        <v>3535</v>
      </c>
      <c r="C631" s="187">
        <v>113711</v>
      </c>
      <c r="D631" s="187">
        <v>55</v>
      </c>
    </row>
    <row r="632" spans="1:4">
      <c r="A632" s="187" t="s">
        <v>3536</v>
      </c>
      <c r="B632" s="187" t="s">
        <v>3537</v>
      </c>
      <c r="C632" s="187">
        <v>0</v>
      </c>
      <c r="D632" s="187">
        <v>15</v>
      </c>
    </row>
    <row r="633" spans="1:4">
      <c r="A633" s="187" t="s">
        <v>511</v>
      </c>
      <c r="B633" s="187" t="s">
        <v>3538</v>
      </c>
      <c r="C633" s="187">
        <v>59528</v>
      </c>
      <c r="D633" s="187">
        <v>71</v>
      </c>
    </row>
    <row r="634" spans="1:4">
      <c r="A634" s="187" t="s">
        <v>3539</v>
      </c>
      <c r="B634" s="187" t="s">
        <v>3540</v>
      </c>
      <c r="C634" s="187">
        <v>83684</v>
      </c>
      <c r="D634" s="187">
        <v>69</v>
      </c>
    </row>
    <row r="635" spans="1:4">
      <c r="A635" s="187" t="s">
        <v>3541</v>
      </c>
      <c r="B635" s="187" t="s">
        <v>3542</v>
      </c>
      <c r="C635" s="187">
        <v>19796</v>
      </c>
      <c r="D635" s="187">
        <v>24</v>
      </c>
    </row>
    <row r="636" spans="1:4">
      <c r="A636" s="187" t="s">
        <v>3543</v>
      </c>
      <c r="B636" s="187" t="s">
        <v>2673</v>
      </c>
      <c r="C636" s="187">
        <v>273838</v>
      </c>
      <c r="D636" s="187">
        <v>114</v>
      </c>
    </row>
    <row r="637" spans="1:4">
      <c r="A637" s="187" t="s">
        <v>129</v>
      </c>
      <c r="B637" s="187" t="s">
        <v>3622</v>
      </c>
      <c r="C637" s="187">
        <v>54277</v>
      </c>
      <c r="D637" s="187">
        <v>41</v>
      </c>
    </row>
    <row r="638" spans="1:4">
      <c r="A638" s="187" t="s">
        <v>6193</v>
      </c>
      <c r="B638" s="187" t="s">
        <v>5383</v>
      </c>
      <c r="C638" s="187">
        <v>1135054</v>
      </c>
      <c r="D638" s="187">
        <v>661</v>
      </c>
    </row>
    <row r="639" spans="1:4">
      <c r="A639" s="187" t="s">
        <v>2674</v>
      </c>
      <c r="B639" s="187" t="s">
        <v>2675</v>
      </c>
      <c r="C639" s="187">
        <v>1130162</v>
      </c>
      <c r="D639" s="187">
        <v>433</v>
      </c>
    </row>
    <row r="640" spans="1:4">
      <c r="A640" s="187" t="s">
        <v>512</v>
      </c>
      <c r="B640" s="187" t="s">
        <v>2744</v>
      </c>
      <c r="C640" s="187">
        <v>219657</v>
      </c>
      <c r="D640" s="187">
        <v>144</v>
      </c>
    </row>
    <row r="641" spans="1:4">
      <c r="A641" s="187" t="s">
        <v>600</v>
      </c>
      <c r="B641" s="187" t="s">
        <v>601</v>
      </c>
      <c r="C641" s="187">
        <v>40640</v>
      </c>
      <c r="D641" s="187">
        <v>34</v>
      </c>
    </row>
    <row r="642" spans="1:4">
      <c r="A642" s="187" t="s">
        <v>602</v>
      </c>
      <c r="B642" s="187" t="s">
        <v>2015</v>
      </c>
      <c r="C642" s="187">
        <v>923966</v>
      </c>
      <c r="D642" s="187">
        <v>204</v>
      </c>
    </row>
    <row r="643" spans="1:4">
      <c r="A643" s="187" t="s">
        <v>6188</v>
      </c>
      <c r="B643" s="187" t="s">
        <v>1542</v>
      </c>
      <c r="C643" s="187">
        <v>127500</v>
      </c>
      <c r="D643" s="187">
        <v>136</v>
      </c>
    </row>
    <row r="644" spans="1:4">
      <c r="A644" s="187" t="s">
        <v>2016</v>
      </c>
      <c r="B644" s="187" t="s">
        <v>2017</v>
      </c>
      <c r="C644" s="187">
        <v>0</v>
      </c>
      <c r="D644" s="187">
        <v>36</v>
      </c>
    </row>
    <row r="645" spans="1:4">
      <c r="A645" s="187" t="s">
        <v>2018</v>
      </c>
      <c r="B645" s="187" t="s">
        <v>2019</v>
      </c>
      <c r="C645" s="187">
        <v>17950</v>
      </c>
      <c r="D645" s="187">
        <v>69</v>
      </c>
    </row>
    <row r="646" spans="1:4">
      <c r="A646" s="187" t="s">
        <v>2020</v>
      </c>
      <c r="B646" s="187" t="s">
        <v>2021</v>
      </c>
      <c r="C646" s="187">
        <v>244642</v>
      </c>
      <c r="D646" s="187">
        <v>100</v>
      </c>
    </row>
    <row r="647" spans="1:4">
      <c r="A647" s="187" t="s">
        <v>2022</v>
      </c>
      <c r="B647" s="187" t="s">
        <v>2023</v>
      </c>
      <c r="C647" s="187">
        <v>12900</v>
      </c>
      <c r="D647" s="187">
        <v>18</v>
      </c>
    </row>
    <row r="648" spans="1:4">
      <c r="A648" s="187" t="s">
        <v>2024</v>
      </c>
      <c r="B648" s="187" t="s">
        <v>2025</v>
      </c>
      <c r="C648" s="187">
        <v>749298</v>
      </c>
      <c r="D648" s="187">
        <v>471</v>
      </c>
    </row>
    <row r="649" spans="1:4">
      <c r="A649" s="187" t="s">
        <v>2026</v>
      </c>
      <c r="B649" s="187" t="s">
        <v>2027</v>
      </c>
      <c r="C649" s="187">
        <v>17075</v>
      </c>
      <c r="D649" s="187">
        <v>55</v>
      </c>
    </row>
    <row r="650" spans="1:4">
      <c r="A650" s="187" t="s">
        <v>242</v>
      </c>
      <c r="B650" s="187" t="s">
        <v>6698</v>
      </c>
      <c r="C650" s="187">
        <v>526045</v>
      </c>
      <c r="D650" s="187">
        <v>220</v>
      </c>
    </row>
    <row r="651" spans="1:4">
      <c r="A651" s="187" t="s">
        <v>2028</v>
      </c>
      <c r="B651" s="187" t="s">
        <v>2029</v>
      </c>
      <c r="C651" s="187">
        <v>104100</v>
      </c>
      <c r="D651" s="187">
        <v>153</v>
      </c>
    </row>
    <row r="652" spans="1:4">
      <c r="A652" s="187" t="s">
        <v>2030</v>
      </c>
      <c r="B652" s="187" t="s">
        <v>2031</v>
      </c>
      <c r="C652" s="187">
        <v>76088</v>
      </c>
      <c r="D652" s="187">
        <v>58</v>
      </c>
    </row>
    <row r="653" spans="1:4">
      <c r="A653" s="187" t="s">
        <v>2032</v>
      </c>
      <c r="B653" s="187" t="s">
        <v>2033</v>
      </c>
      <c r="C653" s="187">
        <v>91394</v>
      </c>
      <c r="D653" s="187">
        <v>89</v>
      </c>
    </row>
    <row r="654" spans="1:4">
      <c r="A654" s="187" t="s">
        <v>2034</v>
      </c>
      <c r="B654" s="187" t="s">
        <v>2035</v>
      </c>
      <c r="C654" s="187">
        <v>15506</v>
      </c>
      <c r="D654" s="187">
        <v>15</v>
      </c>
    </row>
    <row r="655" spans="1:4">
      <c r="A655" s="187" t="s">
        <v>2036</v>
      </c>
      <c r="B655" s="187" t="s">
        <v>307</v>
      </c>
      <c r="C655" s="187">
        <v>3850</v>
      </c>
      <c r="D655" s="187">
        <v>13</v>
      </c>
    </row>
    <row r="656" spans="1:4">
      <c r="A656" s="187" t="s">
        <v>308</v>
      </c>
      <c r="B656" s="187" t="s">
        <v>309</v>
      </c>
      <c r="C656" s="187">
        <v>6383</v>
      </c>
      <c r="D656" s="187">
        <v>15</v>
      </c>
    </row>
    <row r="657" spans="1:4">
      <c r="A657" s="187" t="s">
        <v>310</v>
      </c>
      <c r="B657" s="187" t="s">
        <v>311</v>
      </c>
      <c r="C657" s="187">
        <v>494224</v>
      </c>
      <c r="D657" s="187">
        <v>304</v>
      </c>
    </row>
    <row r="658" spans="1:4">
      <c r="A658" s="187" t="s">
        <v>312</v>
      </c>
      <c r="B658" s="187" t="s">
        <v>313</v>
      </c>
      <c r="C658" s="187">
        <v>92113</v>
      </c>
      <c r="D658" s="187">
        <v>154</v>
      </c>
    </row>
    <row r="659" spans="1:4">
      <c r="A659" s="187" t="s">
        <v>314</v>
      </c>
      <c r="B659" s="187" t="s">
        <v>315</v>
      </c>
      <c r="C659" s="187">
        <v>24172</v>
      </c>
      <c r="D659" s="187">
        <v>39</v>
      </c>
    </row>
    <row r="660" spans="1:4">
      <c r="A660" s="187" t="s">
        <v>316</v>
      </c>
      <c r="B660" s="187" t="s">
        <v>317</v>
      </c>
      <c r="C660" s="187">
        <v>107438</v>
      </c>
      <c r="D660" s="187">
        <v>117</v>
      </c>
    </row>
    <row r="661" spans="1:4">
      <c r="A661" s="187" t="s">
        <v>318</v>
      </c>
      <c r="B661" s="187" t="s">
        <v>319</v>
      </c>
      <c r="C661" s="187">
        <v>277043</v>
      </c>
      <c r="D661" s="187">
        <v>119</v>
      </c>
    </row>
    <row r="662" spans="1:4">
      <c r="A662" s="187" t="s">
        <v>320</v>
      </c>
      <c r="B662" s="187" t="s">
        <v>2318</v>
      </c>
      <c r="C662" s="187">
        <v>69904</v>
      </c>
      <c r="D662" s="187">
        <v>78</v>
      </c>
    </row>
    <row r="663" spans="1:4">
      <c r="A663" s="187" t="s">
        <v>2319</v>
      </c>
      <c r="B663" s="187" t="s">
        <v>2320</v>
      </c>
      <c r="C663" s="187">
        <v>0</v>
      </c>
      <c r="D663" s="187">
        <v>46</v>
      </c>
    </row>
    <row r="664" spans="1:4">
      <c r="A664" s="187" t="s">
        <v>2321</v>
      </c>
      <c r="B664" s="187" t="s">
        <v>2322</v>
      </c>
      <c r="C664" s="187">
        <v>77068</v>
      </c>
      <c r="D664" s="187">
        <v>107</v>
      </c>
    </row>
    <row r="665" spans="1:4">
      <c r="A665" s="187" t="s">
        <v>3178</v>
      </c>
      <c r="B665" s="187" t="s">
        <v>3179</v>
      </c>
      <c r="C665" s="187">
        <v>743326</v>
      </c>
      <c r="D665" s="187">
        <v>417</v>
      </c>
    </row>
    <row r="666" spans="1:4">
      <c r="A666" s="187" t="s">
        <v>249</v>
      </c>
      <c r="B666" s="187" t="s">
        <v>6138</v>
      </c>
      <c r="C666" s="187">
        <v>892810</v>
      </c>
      <c r="D666" s="187">
        <v>590</v>
      </c>
    </row>
    <row r="667" spans="1:4">
      <c r="A667" s="187" t="s">
        <v>2323</v>
      </c>
      <c r="B667" s="187" t="s">
        <v>2324</v>
      </c>
      <c r="C667" s="187">
        <v>76848</v>
      </c>
      <c r="D667" s="187">
        <v>29</v>
      </c>
    </row>
    <row r="668" spans="1:4">
      <c r="A668" s="187" t="s">
        <v>513</v>
      </c>
      <c r="B668" s="187" t="s">
        <v>5024</v>
      </c>
      <c r="C668" s="187">
        <v>378252</v>
      </c>
      <c r="D668" s="187">
        <v>193</v>
      </c>
    </row>
    <row r="669" spans="1:4">
      <c r="A669" s="187" t="s">
        <v>1872</v>
      </c>
      <c r="B669" s="187" t="s">
        <v>2437</v>
      </c>
      <c r="C669" s="187">
        <v>116270</v>
      </c>
      <c r="D669" s="187">
        <v>126</v>
      </c>
    </row>
    <row r="670" spans="1:4">
      <c r="A670" s="187" t="s">
        <v>2325</v>
      </c>
      <c r="B670" s="187" t="s">
        <v>2326</v>
      </c>
      <c r="C670" s="187">
        <v>788575</v>
      </c>
      <c r="D670" s="187">
        <v>413</v>
      </c>
    </row>
    <row r="671" spans="1:4">
      <c r="A671" s="187" t="s">
        <v>2327</v>
      </c>
      <c r="B671" s="187" t="s">
        <v>2328</v>
      </c>
      <c r="C671" s="187">
        <v>236699</v>
      </c>
      <c r="D671" s="187">
        <v>230</v>
      </c>
    </row>
    <row r="672" spans="1:4">
      <c r="A672" s="187" t="s">
        <v>5236</v>
      </c>
      <c r="B672" s="187" t="s">
        <v>3623</v>
      </c>
      <c r="C672" s="187">
        <v>71155</v>
      </c>
      <c r="D672" s="187">
        <v>47</v>
      </c>
    </row>
    <row r="673" spans="1:4">
      <c r="A673" s="187" t="s">
        <v>7700</v>
      </c>
      <c r="B673" s="187" t="s">
        <v>7701</v>
      </c>
      <c r="C673" s="187">
        <v>583626</v>
      </c>
      <c r="D673" s="187">
        <v>257</v>
      </c>
    </row>
    <row r="674" spans="1:4">
      <c r="A674" s="187" t="s">
        <v>7702</v>
      </c>
      <c r="B674" s="187" t="s">
        <v>7703</v>
      </c>
      <c r="C674" s="187">
        <v>535166</v>
      </c>
      <c r="D674" s="187">
        <v>376</v>
      </c>
    </row>
    <row r="675" spans="1:4">
      <c r="A675" s="187" t="s">
        <v>7704</v>
      </c>
      <c r="B675" s="187" t="s">
        <v>5633</v>
      </c>
      <c r="C675" s="187">
        <v>89758</v>
      </c>
      <c r="D675" s="187">
        <v>70</v>
      </c>
    </row>
    <row r="676" spans="1:4">
      <c r="A676" s="187" t="s">
        <v>5634</v>
      </c>
      <c r="B676" s="187" t="s">
        <v>5635</v>
      </c>
      <c r="C676" s="187">
        <v>41739</v>
      </c>
      <c r="D676" s="187">
        <v>32</v>
      </c>
    </row>
    <row r="677" spans="1:4">
      <c r="A677" s="187" t="s">
        <v>5636</v>
      </c>
      <c r="B677" s="187" t="s">
        <v>5637</v>
      </c>
      <c r="C677" s="187">
        <v>27781</v>
      </c>
      <c r="D677" s="187">
        <v>26</v>
      </c>
    </row>
    <row r="678" spans="1:4">
      <c r="A678" s="187" t="s">
        <v>4016</v>
      </c>
      <c r="B678" s="187" t="s">
        <v>4017</v>
      </c>
      <c r="C678" s="187">
        <v>34557</v>
      </c>
      <c r="D678" s="187">
        <v>21</v>
      </c>
    </row>
    <row r="679" spans="1:4">
      <c r="A679" s="187" t="s">
        <v>4018</v>
      </c>
      <c r="B679" s="187" t="s">
        <v>4019</v>
      </c>
      <c r="C679" s="187">
        <v>260291</v>
      </c>
      <c r="D679" s="187">
        <v>174</v>
      </c>
    </row>
    <row r="680" spans="1:4">
      <c r="A680" s="187" t="s">
        <v>4020</v>
      </c>
      <c r="B680" s="187" t="s">
        <v>4021</v>
      </c>
      <c r="C680" s="187">
        <v>231914</v>
      </c>
      <c r="D680" s="187">
        <v>135</v>
      </c>
    </row>
    <row r="681" spans="1:4">
      <c r="A681" s="187" t="s">
        <v>4022</v>
      </c>
      <c r="B681" s="187" t="s">
        <v>4023</v>
      </c>
      <c r="C681" s="187">
        <v>306618</v>
      </c>
      <c r="D681" s="187">
        <v>290</v>
      </c>
    </row>
    <row r="682" spans="1:4">
      <c r="A682" s="187" t="s">
        <v>4024</v>
      </c>
      <c r="B682" s="187" t="s">
        <v>4025</v>
      </c>
      <c r="C682" s="187">
        <v>11414</v>
      </c>
      <c r="D682" s="187">
        <v>11</v>
      </c>
    </row>
    <row r="683" spans="1:4">
      <c r="A683" s="187" t="s">
        <v>4026</v>
      </c>
      <c r="B683" s="187" t="s">
        <v>4027</v>
      </c>
      <c r="C683" s="187">
        <v>10135</v>
      </c>
      <c r="D683" s="187">
        <v>7</v>
      </c>
    </row>
    <row r="684" spans="1:4">
      <c r="A684" s="187" t="s">
        <v>2996</v>
      </c>
      <c r="B684" s="187" t="s">
        <v>2499</v>
      </c>
      <c r="C684" s="187">
        <v>4052996</v>
      </c>
      <c r="D684" s="187">
        <v>3515</v>
      </c>
    </row>
    <row r="685" spans="1:4">
      <c r="A685" s="187" t="s">
        <v>4028</v>
      </c>
      <c r="B685" s="187" t="s">
        <v>4029</v>
      </c>
      <c r="C685" s="187">
        <v>5842</v>
      </c>
      <c r="D685" s="187">
        <v>94</v>
      </c>
    </row>
    <row r="686" spans="1:4">
      <c r="A686" s="187" t="s">
        <v>4030</v>
      </c>
      <c r="B686" s="187" t="s">
        <v>4031</v>
      </c>
      <c r="C686" s="187">
        <v>435653</v>
      </c>
      <c r="D686" s="187">
        <v>241</v>
      </c>
    </row>
    <row r="687" spans="1:4">
      <c r="A687" s="187" t="s">
        <v>2903</v>
      </c>
      <c r="B687" s="187" t="s">
        <v>2904</v>
      </c>
      <c r="C687" s="187">
        <v>381105</v>
      </c>
      <c r="D687" s="187">
        <v>295</v>
      </c>
    </row>
    <row r="688" spans="1:4">
      <c r="A688" s="187" t="s">
        <v>1310</v>
      </c>
      <c r="B688" s="187" t="s">
        <v>1753</v>
      </c>
      <c r="C688" s="187">
        <v>616232</v>
      </c>
      <c r="D688" s="187">
        <v>576</v>
      </c>
    </row>
    <row r="689" spans="1:4">
      <c r="A689" s="187" t="s">
        <v>4032</v>
      </c>
      <c r="B689" s="187" t="s">
        <v>4033</v>
      </c>
      <c r="C689" s="187">
        <v>240305</v>
      </c>
      <c r="D689" s="187">
        <v>197</v>
      </c>
    </row>
    <row r="690" spans="1:4">
      <c r="A690" s="187" t="s">
        <v>2397</v>
      </c>
      <c r="B690" s="187" t="s">
        <v>1819</v>
      </c>
      <c r="C690" s="187">
        <v>201187</v>
      </c>
      <c r="D690" s="187">
        <v>156</v>
      </c>
    </row>
    <row r="691" spans="1:4">
      <c r="A691" s="187" t="s">
        <v>669</v>
      </c>
      <c r="B691" s="187" t="s">
        <v>670</v>
      </c>
      <c r="C691" s="187">
        <v>87815</v>
      </c>
      <c r="D691" s="187">
        <v>110</v>
      </c>
    </row>
    <row r="692" spans="1:4">
      <c r="A692" s="187" t="s">
        <v>4151</v>
      </c>
      <c r="B692" s="187" t="s">
        <v>4152</v>
      </c>
      <c r="C692" s="187">
        <v>293790</v>
      </c>
      <c r="D692" s="187">
        <v>56</v>
      </c>
    </row>
    <row r="693" spans="1:4">
      <c r="A693" s="187" t="s">
        <v>4153</v>
      </c>
      <c r="B693" s="187" t="s">
        <v>4154</v>
      </c>
      <c r="C693" s="187">
        <v>301035</v>
      </c>
      <c r="D693" s="187">
        <v>129</v>
      </c>
    </row>
    <row r="694" spans="1:4">
      <c r="A694" s="187" t="s">
        <v>4155</v>
      </c>
      <c r="B694" s="187" t="s">
        <v>4156</v>
      </c>
      <c r="C694" s="187">
        <v>23548</v>
      </c>
      <c r="D694" s="187">
        <v>34</v>
      </c>
    </row>
    <row r="695" spans="1:4">
      <c r="A695" s="187" t="s">
        <v>4157</v>
      </c>
      <c r="B695" s="187" t="s">
        <v>4158</v>
      </c>
      <c r="C695" s="187">
        <v>39743</v>
      </c>
      <c r="D695" s="187">
        <v>41</v>
      </c>
    </row>
    <row r="696" spans="1:4">
      <c r="A696" s="187" t="s">
        <v>3000</v>
      </c>
      <c r="B696" s="187" t="s">
        <v>1975</v>
      </c>
      <c r="C696" s="187">
        <v>633329</v>
      </c>
      <c r="D696" s="187">
        <v>266</v>
      </c>
    </row>
    <row r="697" spans="1:4">
      <c r="A697" s="187" t="s">
        <v>4159</v>
      </c>
      <c r="B697" s="187" t="s">
        <v>4160</v>
      </c>
      <c r="C697" s="187">
        <v>69464</v>
      </c>
      <c r="D697" s="187">
        <v>59</v>
      </c>
    </row>
    <row r="698" spans="1:4">
      <c r="A698" s="187" t="s">
        <v>4161</v>
      </c>
      <c r="B698" s="187" t="s">
        <v>4162</v>
      </c>
      <c r="C698" s="187">
        <v>90525</v>
      </c>
      <c r="D698" s="187">
        <v>249</v>
      </c>
    </row>
    <row r="699" spans="1:4">
      <c r="A699" s="187" t="s">
        <v>4163</v>
      </c>
      <c r="B699" s="187" t="s">
        <v>4164</v>
      </c>
      <c r="C699" s="187">
        <v>452875</v>
      </c>
      <c r="D699" s="187">
        <v>140</v>
      </c>
    </row>
    <row r="700" spans="1:4">
      <c r="A700" s="187" t="s">
        <v>4165</v>
      </c>
      <c r="B700" s="187" t="s">
        <v>4166</v>
      </c>
      <c r="C700" s="187">
        <v>106326</v>
      </c>
      <c r="D700" s="187">
        <v>38</v>
      </c>
    </row>
    <row r="701" spans="1:4">
      <c r="A701" s="187" t="s">
        <v>4167</v>
      </c>
      <c r="B701" s="187" t="s">
        <v>4168</v>
      </c>
      <c r="C701" s="187">
        <v>75765</v>
      </c>
      <c r="D701" s="187">
        <v>116</v>
      </c>
    </row>
    <row r="702" spans="1:4">
      <c r="A702" s="187" t="s">
        <v>4169</v>
      </c>
      <c r="B702" s="187" t="s">
        <v>4170</v>
      </c>
      <c r="C702" s="187">
        <v>1175956</v>
      </c>
      <c r="D702" s="187">
        <v>657</v>
      </c>
    </row>
    <row r="703" spans="1:4">
      <c r="A703" s="187" t="s">
        <v>4171</v>
      </c>
      <c r="B703" s="187" t="s">
        <v>4172</v>
      </c>
      <c r="C703" s="187">
        <v>147159</v>
      </c>
      <c r="D703" s="187">
        <v>148</v>
      </c>
    </row>
    <row r="704" spans="1:4">
      <c r="A704" s="187" t="s">
        <v>2055</v>
      </c>
      <c r="B704" s="187" t="s">
        <v>2056</v>
      </c>
      <c r="C704" s="187">
        <v>54104</v>
      </c>
      <c r="D704" s="187">
        <v>17</v>
      </c>
    </row>
    <row r="705" spans="1:4">
      <c r="A705" s="187" t="s">
        <v>2057</v>
      </c>
      <c r="B705" s="187" t="s">
        <v>2058</v>
      </c>
      <c r="C705" s="187">
        <v>553177</v>
      </c>
      <c r="D705" s="187">
        <v>261</v>
      </c>
    </row>
    <row r="706" spans="1:4">
      <c r="A706" s="187" t="s">
        <v>2059</v>
      </c>
      <c r="B706" s="187" t="s">
        <v>2060</v>
      </c>
      <c r="C706" s="187">
        <v>368480</v>
      </c>
      <c r="D706" s="187">
        <v>150</v>
      </c>
    </row>
    <row r="707" spans="1:4">
      <c r="A707" s="187" t="s">
        <v>1814</v>
      </c>
      <c r="B707" s="187" t="s">
        <v>6144</v>
      </c>
      <c r="C707" s="187">
        <v>4840664</v>
      </c>
      <c r="D707" s="187">
        <v>1727</v>
      </c>
    </row>
    <row r="708" spans="1:4">
      <c r="A708" s="187" t="s">
        <v>958</v>
      </c>
      <c r="B708" s="187" t="s">
        <v>1204</v>
      </c>
      <c r="C708" s="187">
        <v>460500</v>
      </c>
      <c r="D708" s="187">
        <v>259</v>
      </c>
    </row>
    <row r="709" spans="1:4">
      <c r="A709" s="187" t="s">
        <v>2061</v>
      </c>
      <c r="B709" s="187" t="s">
        <v>2062</v>
      </c>
      <c r="C709" s="187">
        <v>32590</v>
      </c>
      <c r="D709" s="187">
        <v>42</v>
      </c>
    </row>
    <row r="710" spans="1:4">
      <c r="A710" s="187" t="s">
        <v>1845</v>
      </c>
      <c r="B710" s="187" t="s">
        <v>5025</v>
      </c>
      <c r="C710" s="187">
        <v>30870</v>
      </c>
      <c r="D710" s="187">
        <v>26</v>
      </c>
    </row>
    <row r="711" spans="1:4">
      <c r="A711" s="187" t="s">
        <v>2063</v>
      </c>
      <c r="B711" s="187" t="s">
        <v>2064</v>
      </c>
      <c r="C711" s="187">
        <v>10678</v>
      </c>
      <c r="D711" s="187">
        <v>7</v>
      </c>
    </row>
    <row r="712" spans="1:4">
      <c r="A712" s="187" t="s">
        <v>5237</v>
      </c>
      <c r="B712" s="187" t="s">
        <v>3624</v>
      </c>
      <c r="C712" s="187">
        <v>25313</v>
      </c>
      <c r="D712" s="187">
        <v>78</v>
      </c>
    </row>
    <row r="713" spans="1:4">
      <c r="A713" s="187" t="s">
        <v>2065</v>
      </c>
      <c r="B713" s="187" t="s">
        <v>2122</v>
      </c>
      <c r="C713" s="187">
        <v>684328</v>
      </c>
      <c r="D713" s="187">
        <v>713</v>
      </c>
    </row>
    <row r="714" spans="1:4">
      <c r="A714" s="187" t="s">
        <v>2905</v>
      </c>
      <c r="B714" s="187" t="s">
        <v>2906</v>
      </c>
      <c r="C714" s="187">
        <v>826970</v>
      </c>
      <c r="D714" s="187">
        <v>392</v>
      </c>
    </row>
    <row r="715" spans="1:4">
      <c r="A715" s="187" t="s">
        <v>5238</v>
      </c>
      <c r="B715" s="187" t="s">
        <v>6672</v>
      </c>
      <c r="C715" s="187">
        <v>175862</v>
      </c>
      <c r="D715" s="187">
        <v>163</v>
      </c>
    </row>
    <row r="716" spans="1:4">
      <c r="A716" s="187" t="s">
        <v>6163</v>
      </c>
      <c r="B716" s="187" t="s">
        <v>134</v>
      </c>
      <c r="C716" s="187">
        <v>103451</v>
      </c>
      <c r="D716" s="187">
        <v>107</v>
      </c>
    </row>
    <row r="717" spans="1:4">
      <c r="A717" s="187" t="s">
        <v>2470</v>
      </c>
      <c r="B717" s="187" t="s">
        <v>4149</v>
      </c>
      <c r="C717" s="187">
        <v>120765</v>
      </c>
      <c r="D717" s="187">
        <v>202</v>
      </c>
    </row>
    <row r="718" spans="1:4">
      <c r="A718" s="187" t="s">
        <v>973</v>
      </c>
      <c r="B718" s="187" t="s">
        <v>974</v>
      </c>
      <c r="C718" s="187">
        <v>159927</v>
      </c>
      <c r="D718" s="187">
        <v>103</v>
      </c>
    </row>
    <row r="719" spans="1:4">
      <c r="A719" s="187" t="s">
        <v>2769</v>
      </c>
      <c r="B719" s="187" t="s">
        <v>652</v>
      </c>
      <c r="C719" s="187">
        <v>56100</v>
      </c>
      <c r="D719" s="187">
        <v>85</v>
      </c>
    </row>
    <row r="720" spans="1:4">
      <c r="A720" s="187" t="s">
        <v>3553</v>
      </c>
      <c r="B720" s="187" t="s">
        <v>3144</v>
      </c>
      <c r="C720" s="187">
        <v>3742746</v>
      </c>
      <c r="D720" s="187">
        <v>2086</v>
      </c>
    </row>
    <row r="721" spans="1:4">
      <c r="A721" s="187" t="s">
        <v>3556</v>
      </c>
      <c r="B721" s="187" t="s">
        <v>5894</v>
      </c>
      <c r="C721" s="187">
        <v>221072</v>
      </c>
      <c r="D721" s="187">
        <v>178</v>
      </c>
    </row>
    <row r="722" spans="1:4">
      <c r="A722" s="187" t="s">
        <v>5052</v>
      </c>
      <c r="B722" s="187" t="s">
        <v>5053</v>
      </c>
      <c r="C722" s="187">
        <v>139439</v>
      </c>
      <c r="D722" s="187">
        <v>78</v>
      </c>
    </row>
    <row r="723" spans="1:4">
      <c r="A723" s="187" t="s">
        <v>5054</v>
      </c>
      <c r="B723" s="187" t="s">
        <v>5055</v>
      </c>
      <c r="C723" s="187">
        <v>302790</v>
      </c>
      <c r="D723" s="187">
        <v>459</v>
      </c>
    </row>
    <row r="724" spans="1:4">
      <c r="A724" s="187" t="s">
        <v>737</v>
      </c>
      <c r="B724" s="187" t="s">
        <v>2659</v>
      </c>
      <c r="C724" s="187">
        <v>46506</v>
      </c>
      <c r="D724" s="187">
        <v>181</v>
      </c>
    </row>
    <row r="725" spans="1:4">
      <c r="A725" s="187" t="s">
        <v>237</v>
      </c>
      <c r="B725" s="187" t="s">
        <v>4957</v>
      </c>
      <c r="C725" s="187">
        <v>461482</v>
      </c>
      <c r="D725" s="187">
        <v>411</v>
      </c>
    </row>
    <row r="726" spans="1:4">
      <c r="A726" s="187" t="s">
        <v>2307</v>
      </c>
      <c r="B726" s="187" t="s">
        <v>655</v>
      </c>
      <c r="C726" s="187">
        <v>173483</v>
      </c>
      <c r="D726" s="187">
        <v>276</v>
      </c>
    </row>
    <row r="727" spans="1:4">
      <c r="A727" s="187" t="s">
        <v>957</v>
      </c>
      <c r="B727" s="187" t="s">
        <v>1203</v>
      </c>
      <c r="C727" s="187">
        <v>88887</v>
      </c>
      <c r="D727" s="187">
        <v>84</v>
      </c>
    </row>
    <row r="728" spans="1:4">
      <c r="A728" s="187" t="s">
        <v>5056</v>
      </c>
      <c r="B728" s="187" t="s">
        <v>5136</v>
      </c>
      <c r="C728" s="187">
        <v>17700</v>
      </c>
      <c r="D728" s="187">
        <v>17</v>
      </c>
    </row>
    <row r="729" spans="1:4">
      <c r="A729" s="187" t="s">
        <v>5137</v>
      </c>
      <c r="B729" s="187" t="s">
        <v>4567</v>
      </c>
      <c r="C729" s="187">
        <v>34680</v>
      </c>
      <c r="D729" s="187">
        <v>24</v>
      </c>
    </row>
    <row r="730" spans="1:4">
      <c r="A730" s="187" t="s">
        <v>4568</v>
      </c>
      <c r="B730" s="187" t="s">
        <v>572</v>
      </c>
      <c r="C730" s="187">
        <v>148683</v>
      </c>
      <c r="D730" s="187">
        <v>40</v>
      </c>
    </row>
    <row r="731" spans="1:4">
      <c r="A731" s="187" t="s">
        <v>2053</v>
      </c>
      <c r="B731" s="187" t="s">
        <v>6141</v>
      </c>
      <c r="C731" s="187">
        <v>269830</v>
      </c>
      <c r="D731" s="187">
        <v>270</v>
      </c>
    </row>
    <row r="732" spans="1:4">
      <c r="A732" s="187" t="s">
        <v>1846</v>
      </c>
      <c r="B732" s="187" t="s">
        <v>573</v>
      </c>
      <c r="C732" s="187">
        <v>32520</v>
      </c>
      <c r="D732" s="187">
        <v>46</v>
      </c>
    </row>
    <row r="733" spans="1:4">
      <c r="A733" s="187" t="s">
        <v>5239</v>
      </c>
      <c r="B733" s="187" t="s">
        <v>6673</v>
      </c>
      <c r="C733" s="187">
        <v>198902</v>
      </c>
      <c r="D733" s="187">
        <v>181</v>
      </c>
    </row>
    <row r="734" spans="1:4">
      <c r="A734" s="187" t="s">
        <v>1870</v>
      </c>
      <c r="B734" s="187" t="s">
        <v>2435</v>
      </c>
      <c r="C734" s="187">
        <v>372479</v>
      </c>
      <c r="D734" s="187">
        <v>342</v>
      </c>
    </row>
    <row r="735" spans="1:4">
      <c r="A735" s="187" t="s">
        <v>6169</v>
      </c>
      <c r="B735" s="187" t="s">
        <v>2371</v>
      </c>
      <c r="C735" s="187">
        <v>230786</v>
      </c>
      <c r="D735" s="187">
        <v>427</v>
      </c>
    </row>
    <row r="736" spans="1:4">
      <c r="A736" s="187" t="s">
        <v>574</v>
      </c>
      <c r="B736" s="187" t="s">
        <v>575</v>
      </c>
      <c r="C736" s="187">
        <v>202679</v>
      </c>
      <c r="D736" s="187">
        <v>88</v>
      </c>
    </row>
    <row r="737" spans="1:4">
      <c r="A737" s="187" t="s">
        <v>576</v>
      </c>
      <c r="B737" s="187" t="s">
        <v>577</v>
      </c>
      <c r="C737" s="187">
        <v>12126</v>
      </c>
      <c r="D737" s="187">
        <v>8</v>
      </c>
    </row>
    <row r="738" spans="1:4">
      <c r="A738" s="187" t="s">
        <v>6172</v>
      </c>
      <c r="B738" s="187" t="s">
        <v>2374</v>
      </c>
      <c r="C738" s="187">
        <v>5587174</v>
      </c>
      <c r="D738" s="187">
        <v>2762</v>
      </c>
    </row>
    <row r="739" spans="1:4">
      <c r="A739" s="187" t="s">
        <v>578</v>
      </c>
      <c r="B739" s="187" t="s">
        <v>579</v>
      </c>
      <c r="C739" s="187">
        <v>479800</v>
      </c>
      <c r="D739" s="187">
        <v>176</v>
      </c>
    </row>
    <row r="740" spans="1:4">
      <c r="A740" s="187" t="s">
        <v>980</v>
      </c>
      <c r="B740" s="187" t="s">
        <v>751</v>
      </c>
      <c r="C740" s="187">
        <v>295756</v>
      </c>
      <c r="D740" s="187">
        <v>253</v>
      </c>
    </row>
    <row r="741" spans="1:4">
      <c r="A741" s="187" t="s">
        <v>3972</v>
      </c>
      <c r="B741" s="187" t="s">
        <v>3973</v>
      </c>
      <c r="C741" s="187">
        <v>26254</v>
      </c>
      <c r="D741" s="187">
        <v>26</v>
      </c>
    </row>
    <row r="742" spans="1:4">
      <c r="A742" s="187" t="s">
        <v>6173</v>
      </c>
      <c r="B742" s="187" t="s">
        <v>2375</v>
      </c>
      <c r="C742" s="187">
        <v>15658</v>
      </c>
      <c r="D742" s="187">
        <v>65</v>
      </c>
    </row>
    <row r="743" spans="1:4">
      <c r="A743" s="187" t="s">
        <v>3974</v>
      </c>
      <c r="B743" s="187" t="s">
        <v>813</v>
      </c>
      <c r="C743" s="187">
        <v>408545</v>
      </c>
      <c r="D743" s="187">
        <v>240</v>
      </c>
    </row>
    <row r="744" spans="1:4">
      <c r="A744" s="187" t="s">
        <v>814</v>
      </c>
      <c r="B744" s="187" t="s">
        <v>140</v>
      </c>
      <c r="C744" s="187">
        <v>36900</v>
      </c>
      <c r="D744" s="187">
        <v>80</v>
      </c>
    </row>
    <row r="745" spans="1:4">
      <c r="A745" s="187" t="s">
        <v>4587</v>
      </c>
      <c r="B745" s="187" t="s">
        <v>6674</v>
      </c>
      <c r="C745" s="187">
        <v>40850</v>
      </c>
      <c r="D745" s="187">
        <v>40</v>
      </c>
    </row>
    <row r="746" spans="1:4">
      <c r="A746" s="187" t="s">
        <v>1852</v>
      </c>
      <c r="B746" s="187" t="s">
        <v>6123</v>
      </c>
      <c r="C746" s="187">
        <v>96556</v>
      </c>
      <c r="D746" s="187">
        <v>110</v>
      </c>
    </row>
    <row r="747" spans="1:4">
      <c r="A747" s="187" t="s">
        <v>141</v>
      </c>
      <c r="B747" s="187" t="s">
        <v>142</v>
      </c>
      <c r="C747" s="187">
        <v>36184</v>
      </c>
      <c r="D747" s="187">
        <v>43</v>
      </c>
    </row>
    <row r="748" spans="1:4">
      <c r="A748" s="187" t="s">
        <v>143</v>
      </c>
      <c r="B748" s="187" t="s">
        <v>144</v>
      </c>
      <c r="C748" s="187">
        <v>23820</v>
      </c>
      <c r="D748" s="187">
        <v>28</v>
      </c>
    </row>
    <row r="749" spans="1:4">
      <c r="A749" s="187" t="s">
        <v>1847</v>
      </c>
      <c r="B749" s="187" t="s">
        <v>5026</v>
      </c>
      <c r="C749" s="187">
        <v>11700</v>
      </c>
      <c r="D749" s="187">
        <v>22</v>
      </c>
    </row>
    <row r="750" spans="1:4">
      <c r="A750" s="187" t="s">
        <v>145</v>
      </c>
      <c r="B750" s="187" t="s">
        <v>146</v>
      </c>
      <c r="C750" s="187">
        <v>154831</v>
      </c>
      <c r="D750" s="187">
        <v>203</v>
      </c>
    </row>
    <row r="751" spans="1:4">
      <c r="A751" s="187" t="s">
        <v>147</v>
      </c>
      <c r="B751" s="187" t="s">
        <v>148</v>
      </c>
      <c r="C751" s="187">
        <v>38700</v>
      </c>
      <c r="D751" s="187">
        <v>28</v>
      </c>
    </row>
    <row r="752" spans="1:4">
      <c r="A752" s="187" t="s">
        <v>149</v>
      </c>
      <c r="B752" s="187" t="s">
        <v>150</v>
      </c>
      <c r="C752" s="187">
        <v>87661</v>
      </c>
      <c r="D752" s="187">
        <v>32</v>
      </c>
    </row>
    <row r="753" spans="1:4">
      <c r="A753" s="187" t="s">
        <v>1956</v>
      </c>
      <c r="B753" s="187" t="s">
        <v>1957</v>
      </c>
      <c r="C753" s="187">
        <v>310251</v>
      </c>
      <c r="D753" s="187">
        <v>225</v>
      </c>
    </row>
    <row r="754" spans="1:4">
      <c r="A754" s="187" t="s">
        <v>1958</v>
      </c>
      <c r="B754" s="187" t="s">
        <v>1959</v>
      </c>
      <c r="C754" s="187">
        <v>125144</v>
      </c>
      <c r="D754" s="187">
        <v>155</v>
      </c>
    </row>
    <row r="755" spans="1:4">
      <c r="A755" s="187" t="s">
        <v>1960</v>
      </c>
      <c r="B755" s="187" t="s">
        <v>1961</v>
      </c>
      <c r="C755" s="187">
        <v>13101</v>
      </c>
      <c r="D755" s="187">
        <v>31</v>
      </c>
    </row>
    <row r="756" spans="1:4">
      <c r="A756" s="187" t="s">
        <v>2039</v>
      </c>
      <c r="B756" s="187" t="s">
        <v>2040</v>
      </c>
      <c r="C756" s="187">
        <v>9996</v>
      </c>
      <c r="D756" s="187">
        <v>14</v>
      </c>
    </row>
    <row r="757" spans="1:4">
      <c r="A757" s="187" t="s">
        <v>2041</v>
      </c>
      <c r="B757" s="187" t="s">
        <v>1824</v>
      </c>
      <c r="C757" s="187">
        <v>22680</v>
      </c>
      <c r="D757" s="187">
        <v>27</v>
      </c>
    </row>
    <row r="758" spans="1:4">
      <c r="A758" s="187" t="s">
        <v>1825</v>
      </c>
      <c r="B758" s="187" t="s">
        <v>1826</v>
      </c>
      <c r="C758" s="187">
        <v>84311</v>
      </c>
      <c r="D758" s="187">
        <v>33</v>
      </c>
    </row>
    <row r="759" spans="1:4">
      <c r="A759" s="187" t="s">
        <v>1827</v>
      </c>
      <c r="B759" s="187" t="s">
        <v>1828</v>
      </c>
      <c r="C759" s="187">
        <v>60705</v>
      </c>
      <c r="D759" s="187">
        <v>66</v>
      </c>
    </row>
    <row r="760" spans="1:4">
      <c r="A760" s="187" t="s">
        <v>238</v>
      </c>
      <c r="B760" s="187" t="s">
        <v>4958</v>
      </c>
      <c r="C760" s="187">
        <v>6682326</v>
      </c>
      <c r="D760" s="187">
        <v>4538</v>
      </c>
    </row>
    <row r="761" spans="1:4">
      <c r="A761" s="187" t="s">
        <v>1829</v>
      </c>
      <c r="B761" s="187" t="s">
        <v>1830</v>
      </c>
      <c r="C761" s="187">
        <v>930957</v>
      </c>
      <c r="D761" s="187">
        <v>482</v>
      </c>
    </row>
    <row r="762" spans="1:4">
      <c r="A762" s="187" t="s">
        <v>859</v>
      </c>
      <c r="B762" s="187" t="s">
        <v>1471</v>
      </c>
      <c r="C762" s="187">
        <v>1056900</v>
      </c>
      <c r="D762" s="187">
        <v>573</v>
      </c>
    </row>
    <row r="763" spans="1:4">
      <c r="A763" s="187" t="s">
        <v>3001</v>
      </c>
      <c r="B763" s="187" t="s">
        <v>1321</v>
      </c>
      <c r="C763" s="187">
        <v>2793966</v>
      </c>
      <c r="D763" s="187">
        <v>934</v>
      </c>
    </row>
    <row r="764" spans="1:4">
      <c r="A764" s="187" t="s">
        <v>2405</v>
      </c>
      <c r="B764" s="187" t="s">
        <v>2963</v>
      </c>
      <c r="C764" s="187">
        <v>686511</v>
      </c>
      <c r="D764" s="187">
        <v>425</v>
      </c>
    </row>
    <row r="765" spans="1:4">
      <c r="A765" s="187" t="s">
        <v>2907</v>
      </c>
      <c r="B765" s="187" t="s">
        <v>2908</v>
      </c>
      <c r="C765" s="187">
        <v>833703</v>
      </c>
      <c r="D765" s="187">
        <v>873</v>
      </c>
    </row>
    <row r="766" spans="1:4">
      <c r="A766" s="187" t="s">
        <v>1222</v>
      </c>
      <c r="B766" s="187" t="s">
        <v>1223</v>
      </c>
      <c r="C766" s="187">
        <v>861316</v>
      </c>
      <c r="D766" s="187">
        <v>566</v>
      </c>
    </row>
    <row r="767" spans="1:4">
      <c r="A767" s="187" t="s">
        <v>1224</v>
      </c>
      <c r="B767" s="187" t="s">
        <v>5374</v>
      </c>
      <c r="C767" s="187">
        <v>33431</v>
      </c>
      <c r="D767" s="187">
        <v>99</v>
      </c>
    </row>
    <row r="768" spans="1:4">
      <c r="A768" s="187" t="s">
        <v>5375</v>
      </c>
      <c r="B768" s="187" t="s">
        <v>5376</v>
      </c>
      <c r="C768" s="187">
        <v>491847</v>
      </c>
      <c r="D768" s="187">
        <v>269</v>
      </c>
    </row>
    <row r="769" spans="1:4">
      <c r="A769" s="187" t="s">
        <v>5377</v>
      </c>
      <c r="B769" s="187" t="s">
        <v>5378</v>
      </c>
      <c r="C769" s="187">
        <v>124395</v>
      </c>
      <c r="D769" s="187">
        <v>154</v>
      </c>
    </row>
    <row r="770" spans="1:4">
      <c r="A770" s="187" t="s">
        <v>5379</v>
      </c>
      <c r="B770" s="187" t="s">
        <v>5380</v>
      </c>
      <c r="C770" s="187">
        <v>27108</v>
      </c>
      <c r="D770" s="187">
        <v>49</v>
      </c>
    </row>
    <row r="771" spans="1:4">
      <c r="A771" s="187" t="s">
        <v>642</v>
      </c>
      <c r="B771" s="187" t="s">
        <v>643</v>
      </c>
      <c r="C771" s="187">
        <v>17186</v>
      </c>
      <c r="D771" s="187">
        <v>52</v>
      </c>
    </row>
    <row r="772" spans="1:4">
      <c r="A772" s="187" t="s">
        <v>2618</v>
      </c>
      <c r="B772" s="187" t="s">
        <v>2619</v>
      </c>
      <c r="C772" s="187">
        <v>72180</v>
      </c>
      <c r="D772" s="187">
        <v>79</v>
      </c>
    </row>
    <row r="773" spans="1:4">
      <c r="A773" s="187" t="s">
        <v>644</v>
      </c>
      <c r="B773" s="187" t="s">
        <v>645</v>
      </c>
      <c r="C773" s="187">
        <v>218996</v>
      </c>
      <c r="D773" s="187">
        <v>103</v>
      </c>
    </row>
    <row r="774" spans="1:4">
      <c r="A774" s="187" t="s">
        <v>2620</v>
      </c>
      <c r="B774" s="187" t="s">
        <v>2621</v>
      </c>
      <c r="C774" s="187">
        <v>435471</v>
      </c>
      <c r="D774" s="187">
        <v>870</v>
      </c>
    </row>
    <row r="775" spans="1:4">
      <c r="A775" s="187" t="s">
        <v>4588</v>
      </c>
      <c r="B775" s="187" t="s">
        <v>6675</v>
      </c>
      <c r="C775" s="187">
        <v>268766</v>
      </c>
      <c r="D775" s="187">
        <v>129</v>
      </c>
    </row>
    <row r="776" spans="1:4">
      <c r="A776" s="187" t="s">
        <v>2622</v>
      </c>
      <c r="B776" s="187" t="s">
        <v>2623</v>
      </c>
      <c r="C776" s="187">
        <v>64800</v>
      </c>
      <c r="D776" s="187">
        <v>96</v>
      </c>
    </row>
    <row r="777" spans="1:4">
      <c r="A777" s="187" t="s">
        <v>2624</v>
      </c>
      <c r="B777" s="187" t="s">
        <v>2625</v>
      </c>
      <c r="C777" s="187">
        <v>62565</v>
      </c>
      <c r="D777" s="187">
        <v>52</v>
      </c>
    </row>
    <row r="778" spans="1:4">
      <c r="A778" s="187" t="s">
        <v>1523</v>
      </c>
      <c r="B778" s="187" t="s">
        <v>5896</v>
      </c>
      <c r="C778" s="187">
        <v>11844</v>
      </c>
      <c r="D778" s="187">
        <v>23</v>
      </c>
    </row>
    <row r="779" spans="1:4">
      <c r="A779" s="187" t="s">
        <v>2626</v>
      </c>
      <c r="B779" s="187" t="s">
        <v>2627</v>
      </c>
      <c r="C779" s="187">
        <v>0</v>
      </c>
      <c r="D779" s="187">
        <v>46</v>
      </c>
    </row>
    <row r="780" spans="1:4">
      <c r="A780" s="187" t="s">
        <v>2628</v>
      </c>
      <c r="B780" s="187" t="s">
        <v>5083</v>
      </c>
      <c r="C780" s="187">
        <v>391252</v>
      </c>
      <c r="D780" s="187">
        <v>120</v>
      </c>
    </row>
    <row r="781" spans="1:4">
      <c r="A781" s="187" t="s">
        <v>241</v>
      </c>
      <c r="B781" s="187" t="s">
        <v>6697</v>
      </c>
      <c r="C781" s="187">
        <v>2170145</v>
      </c>
      <c r="D781" s="187">
        <v>750</v>
      </c>
    </row>
    <row r="782" spans="1:4">
      <c r="A782" s="187" t="s">
        <v>248</v>
      </c>
      <c r="B782" s="187" t="s">
        <v>6137</v>
      </c>
      <c r="C782" s="187">
        <v>51667</v>
      </c>
      <c r="D782" s="187">
        <v>79</v>
      </c>
    </row>
    <row r="783" spans="1:4">
      <c r="A783" s="187" t="s">
        <v>5084</v>
      </c>
      <c r="B783" s="187" t="s">
        <v>5085</v>
      </c>
      <c r="C783" s="187">
        <v>164732</v>
      </c>
      <c r="D783" s="187">
        <v>63</v>
      </c>
    </row>
    <row r="784" spans="1:4">
      <c r="A784" s="187" t="s">
        <v>2534</v>
      </c>
      <c r="B784" s="187" t="s">
        <v>2535</v>
      </c>
      <c r="C784" s="187">
        <v>251593</v>
      </c>
      <c r="D784" s="187">
        <v>104</v>
      </c>
    </row>
    <row r="785" spans="1:4">
      <c r="A785" s="187" t="s">
        <v>5086</v>
      </c>
      <c r="B785" s="187" t="s">
        <v>5087</v>
      </c>
      <c r="C785" s="187">
        <v>232795</v>
      </c>
      <c r="D785" s="187">
        <v>89</v>
      </c>
    </row>
    <row r="786" spans="1:4">
      <c r="A786" s="187" t="s">
        <v>2768</v>
      </c>
      <c r="B786" s="187" t="s">
        <v>67</v>
      </c>
      <c r="C786" s="187">
        <v>195486</v>
      </c>
      <c r="D786" s="187">
        <v>81</v>
      </c>
    </row>
    <row r="787" spans="1:4">
      <c r="A787" s="187" t="s">
        <v>5088</v>
      </c>
      <c r="B787" s="187" t="s">
        <v>5089</v>
      </c>
      <c r="C787" s="187">
        <v>112884</v>
      </c>
      <c r="D787" s="187">
        <v>86</v>
      </c>
    </row>
    <row r="788" spans="1:4">
      <c r="A788" s="187" t="s">
        <v>6181</v>
      </c>
      <c r="B788" s="187" t="s">
        <v>4992</v>
      </c>
      <c r="C788" s="187">
        <v>221292</v>
      </c>
      <c r="D788" s="187">
        <v>228</v>
      </c>
    </row>
    <row r="789" spans="1:4">
      <c r="A789" s="187" t="s">
        <v>1848</v>
      </c>
      <c r="B789" s="187" t="s">
        <v>5027</v>
      </c>
      <c r="C789" s="187">
        <v>158577</v>
      </c>
      <c r="D789" s="187">
        <v>113</v>
      </c>
    </row>
    <row r="790" spans="1:4">
      <c r="A790" s="187" t="s">
        <v>2471</v>
      </c>
      <c r="B790" s="187" t="s">
        <v>4150</v>
      </c>
      <c r="C790" s="187">
        <v>94500</v>
      </c>
      <c r="D790" s="187">
        <v>61</v>
      </c>
    </row>
    <row r="791" spans="1:4">
      <c r="A791" s="187" t="s">
        <v>6044</v>
      </c>
      <c r="B791" s="187" t="s">
        <v>6045</v>
      </c>
      <c r="C791" s="187">
        <v>486435</v>
      </c>
      <c r="D791" s="187">
        <v>426</v>
      </c>
    </row>
    <row r="792" spans="1:4">
      <c r="A792" s="187" t="s">
        <v>6046</v>
      </c>
      <c r="B792" s="187" t="s">
        <v>6047</v>
      </c>
      <c r="C792" s="187">
        <v>77244</v>
      </c>
      <c r="D792" s="187">
        <v>39</v>
      </c>
    </row>
    <row r="793" spans="1:4">
      <c r="A793" s="187" t="s">
        <v>4185</v>
      </c>
      <c r="B793" s="187" t="s">
        <v>6688</v>
      </c>
      <c r="C793" s="187">
        <v>49565</v>
      </c>
      <c r="D793" s="187">
        <v>37</v>
      </c>
    </row>
    <row r="794" spans="1:4">
      <c r="A794" s="187" t="s">
        <v>6689</v>
      </c>
      <c r="B794" s="187" t="s">
        <v>6690</v>
      </c>
      <c r="C794" s="187">
        <v>44432</v>
      </c>
      <c r="D794" s="187">
        <v>51</v>
      </c>
    </row>
    <row r="795" spans="1:4">
      <c r="A795" s="187" t="s">
        <v>6691</v>
      </c>
      <c r="B795" s="187" t="s">
        <v>6692</v>
      </c>
      <c r="C795" s="187">
        <v>350277</v>
      </c>
      <c r="D795" s="187">
        <v>195</v>
      </c>
    </row>
    <row r="796" spans="1:4">
      <c r="A796" s="187" t="s">
        <v>6693</v>
      </c>
      <c r="B796" s="187" t="s">
        <v>6694</v>
      </c>
      <c r="C796" s="187">
        <v>483660</v>
      </c>
      <c r="D796" s="187">
        <v>585</v>
      </c>
    </row>
    <row r="797" spans="1:4">
      <c r="A797" s="187" t="s">
        <v>240</v>
      </c>
      <c r="B797" s="187" t="s">
        <v>6696</v>
      </c>
      <c r="C797" s="187">
        <v>5497787</v>
      </c>
      <c r="D797" s="187">
        <v>5276</v>
      </c>
    </row>
    <row r="798" spans="1:4">
      <c r="A798" s="187" t="s">
        <v>6695</v>
      </c>
      <c r="B798" s="187" t="s">
        <v>744</v>
      </c>
      <c r="C798" s="187">
        <v>33945</v>
      </c>
      <c r="D798" s="187">
        <v>52</v>
      </c>
    </row>
    <row r="799" spans="1:4">
      <c r="A799" s="187" t="s">
        <v>745</v>
      </c>
      <c r="B799" s="187" t="s">
        <v>746</v>
      </c>
      <c r="C799" s="187">
        <v>35148</v>
      </c>
      <c r="D799" s="187">
        <v>31</v>
      </c>
    </row>
    <row r="800" spans="1:4">
      <c r="A800" s="187" t="s">
        <v>747</v>
      </c>
      <c r="B800" s="187" t="s">
        <v>748</v>
      </c>
      <c r="C800" s="187">
        <v>207337</v>
      </c>
      <c r="D800" s="187">
        <v>92</v>
      </c>
    </row>
    <row r="801" spans="1:4">
      <c r="A801" s="187" t="s">
        <v>2308</v>
      </c>
      <c r="B801" s="187" t="s">
        <v>656</v>
      </c>
      <c r="C801" s="187">
        <v>816736</v>
      </c>
      <c r="D801" s="187">
        <v>702</v>
      </c>
    </row>
    <row r="802" spans="1:4">
      <c r="A802" s="187" t="s">
        <v>749</v>
      </c>
      <c r="B802" s="187" t="s">
        <v>750</v>
      </c>
      <c r="C802" s="187">
        <v>520728</v>
      </c>
      <c r="D802" s="187">
        <v>390</v>
      </c>
    </row>
    <row r="803" spans="1:4">
      <c r="A803" s="187" t="s">
        <v>2953</v>
      </c>
      <c r="B803" s="187" t="s">
        <v>2954</v>
      </c>
      <c r="C803" s="187">
        <v>260580</v>
      </c>
      <c r="D803" s="187">
        <v>114</v>
      </c>
    </row>
    <row r="804" spans="1:4">
      <c r="A804" s="187" t="s">
        <v>2955</v>
      </c>
      <c r="B804" s="187" t="s">
        <v>2956</v>
      </c>
      <c r="C804" s="187">
        <v>818994</v>
      </c>
      <c r="D804" s="187">
        <v>727</v>
      </c>
    </row>
    <row r="805" spans="1:4">
      <c r="A805" s="187" t="s">
        <v>2957</v>
      </c>
      <c r="B805" s="187" t="s">
        <v>7155</v>
      </c>
      <c r="C805" s="187">
        <v>302780</v>
      </c>
      <c r="D805" s="187">
        <v>314</v>
      </c>
    </row>
    <row r="806" spans="1:4">
      <c r="A806" s="187" t="s">
        <v>5123</v>
      </c>
      <c r="B806" s="187" t="s">
        <v>5387</v>
      </c>
      <c r="C806" s="187">
        <v>492012</v>
      </c>
      <c r="D806" s="187">
        <v>298</v>
      </c>
    </row>
    <row r="807" spans="1:4">
      <c r="A807" s="187" t="s">
        <v>7156</v>
      </c>
      <c r="B807" s="187" t="s">
        <v>7157</v>
      </c>
      <c r="C807" s="187">
        <v>520858</v>
      </c>
      <c r="D807" s="187">
        <v>107</v>
      </c>
    </row>
    <row r="808" spans="1:4">
      <c r="A808" s="187" t="s">
        <v>4119</v>
      </c>
      <c r="B808" s="187" t="s">
        <v>4120</v>
      </c>
      <c r="C808" s="187">
        <v>0</v>
      </c>
      <c r="D808" s="187">
        <v>59</v>
      </c>
    </row>
    <row r="809" spans="1:4">
      <c r="A809" s="187" t="s">
        <v>4121</v>
      </c>
      <c r="B809" s="187" t="s">
        <v>4122</v>
      </c>
      <c r="C809" s="187">
        <v>6460</v>
      </c>
      <c r="D809" s="187">
        <v>27</v>
      </c>
    </row>
    <row r="810" spans="1:4">
      <c r="A810" s="187" t="s">
        <v>4123</v>
      </c>
      <c r="B810" s="187" t="s">
        <v>4124</v>
      </c>
      <c r="C810" s="187">
        <v>0</v>
      </c>
      <c r="D810" s="187">
        <v>15</v>
      </c>
    </row>
    <row r="811" spans="1:4">
      <c r="A811" s="187" t="s">
        <v>5032</v>
      </c>
      <c r="B811" s="187" t="s">
        <v>5028</v>
      </c>
      <c r="C811" s="187">
        <v>387812</v>
      </c>
      <c r="D811" s="187">
        <v>366</v>
      </c>
    </row>
    <row r="812" spans="1:4">
      <c r="A812" s="187" t="s">
        <v>4125</v>
      </c>
      <c r="B812" s="187" t="s">
        <v>4126</v>
      </c>
      <c r="C812" s="187">
        <v>215167</v>
      </c>
      <c r="D812" s="187">
        <v>215</v>
      </c>
    </row>
    <row r="813" spans="1:4">
      <c r="A813" s="187" t="s">
        <v>4127</v>
      </c>
      <c r="B813" s="187" t="s">
        <v>4128</v>
      </c>
      <c r="C813" s="187">
        <v>691034</v>
      </c>
      <c r="D813" s="187">
        <v>594</v>
      </c>
    </row>
    <row r="814" spans="1:4">
      <c r="A814" s="187" t="s">
        <v>5033</v>
      </c>
      <c r="B814" s="187" t="s">
        <v>5029</v>
      </c>
      <c r="C814" s="187">
        <v>2225180</v>
      </c>
      <c r="D814" s="187">
        <v>756</v>
      </c>
    </row>
    <row r="815" spans="1:4">
      <c r="A815" s="187" t="s">
        <v>4129</v>
      </c>
      <c r="B815" s="187" t="s">
        <v>4130</v>
      </c>
      <c r="C815" s="187">
        <v>1329671</v>
      </c>
      <c r="D815" s="187">
        <v>518</v>
      </c>
    </row>
    <row r="816" spans="1:4">
      <c r="A816" s="187" t="s">
        <v>4131</v>
      </c>
      <c r="B816" s="187" t="s">
        <v>4132</v>
      </c>
      <c r="C816" s="187">
        <v>37475</v>
      </c>
      <c r="D816" s="187">
        <v>36</v>
      </c>
    </row>
    <row r="817" spans="1:4">
      <c r="A817" s="187" t="s">
        <v>4133</v>
      </c>
      <c r="B817" s="187" t="s">
        <v>4134</v>
      </c>
      <c r="C817" s="187">
        <v>74181</v>
      </c>
      <c r="D817" s="187">
        <v>55</v>
      </c>
    </row>
    <row r="818" spans="1:4">
      <c r="A818" s="187" t="s">
        <v>6175</v>
      </c>
      <c r="B818" s="187" t="s">
        <v>2377</v>
      </c>
      <c r="C818" s="187">
        <v>1171398</v>
      </c>
      <c r="D818" s="187">
        <v>523</v>
      </c>
    </row>
    <row r="819" spans="1:4">
      <c r="A819" s="187" t="s">
        <v>4135</v>
      </c>
      <c r="B819" s="187" t="s">
        <v>4136</v>
      </c>
      <c r="C819" s="187">
        <v>42360</v>
      </c>
      <c r="D819" s="187">
        <v>65</v>
      </c>
    </row>
    <row r="820" spans="1:4">
      <c r="A820" s="187" t="s">
        <v>4137</v>
      </c>
      <c r="B820" s="187" t="s">
        <v>4138</v>
      </c>
      <c r="C820" s="187">
        <v>85410</v>
      </c>
      <c r="D820" s="187">
        <v>38</v>
      </c>
    </row>
    <row r="821" spans="1:4">
      <c r="A821" s="187" t="s">
        <v>4139</v>
      </c>
      <c r="B821" s="187" t="s">
        <v>4140</v>
      </c>
      <c r="C821" s="187">
        <v>44845</v>
      </c>
      <c r="D821" s="187">
        <v>17</v>
      </c>
    </row>
    <row r="822" spans="1:4">
      <c r="A822" s="187" t="s">
        <v>4141</v>
      </c>
      <c r="B822" s="187" t="s">
        <v>4142</v>
      </c>
      <c r="C822" s="187">
        <v>180114</v>
      </c>
      <c r="D822" s="187">
        <v>88</v>
      </c>
    </row>
    <row r="823" spans="1:4">
      <c r="A823" s="187" t="s">
        <v>4143</v>
      </c>
      <c r="B823" s="187" t="s">
        <v>4144</v>
      </c>
      <c r="C823" s="187">
        <v>1302960</v>
      </c>
      <c r="D823" s="187">
        <v>510</v>
      </c>
    </row>
    <row r="824" spans="1:4">
      <c r="A824" s="187" t="s">
        <v>1318</v>
      </c>
      <c r="B824" s="187" t="s">
        <v>4960</v>
      </c>
      <c r="C824" s="187">
        <v>5000</v>
      </c>
      <c r="D824" s="187">
        <v>47</v>
      </c>
    </row>
    <row r="825" spans="1:4">
      <c r="A825" s="187" t="s">
        <v>2536</v>
      </c>
      <c r="B825" s="187" t="s">
        <v>6130</v>
      </c>
      <c r="C825" s="187">
        <v>65100</v>
      </c>
      <c r="D825" s="187">
        <v>69</v>
      </c>
    </row>
    <row r="826" spans="1:4">
      <c r="A826" s="187" t="s">
        <v>2407</v>
      </c>
      <c r="B826" s="187" t="s">
        <v>7280</v>
      </c>
      <c r="C826" s="187">
        <v>496725</v>
      </c>
      <c r="D826" s="187">
        <v>487</v>
      </c>
    </row>
    <row r="827" spans="1:4">
      <c r="A827" s="187" t="s">
        <v>5034</v>
      </c>
      <c r="B827" s="187" t="s">
        <v>1552</v>
      </c>
      <c r="C827" s="187">
        <v>863654</v>
      </c>
      <c r="D827" s="187">
        <v>839</v>
      </c>
    </row>
    <row r="828" spans="1:4">
      <c r="A828" s="187" t="s">
        <v>6174</v>
      </c>
      <c r="B828" s="187" t="s">
        <v>2376</v>
      </c>
      <c r="C828" s="187">
        <v>132636</v>
      </c>
      <c r="D828" s="187">
        <v>91</v>
      </c>
    </row>
    <row r="829" spans="1:4">
      <c r="A829" s="187" t="s">
        <v>4145</v>
      </c>
      <c r="B829" s="187" t="s">
        <v>4146</v>
      </c>
      <c r="C829" s="187">
        <v>247991</v>
      </c>
      <c r="D829" s="187">
        <v>401</v>
      </c>
    </row>
    <row r="830" spans="1:4">
      <c r="A830" s="187" t="s">
        <v>6196</v>
      </c>
      <c r="B830" s="187" t="s">
        <v>5386</v>
      </c>
      <c r="C830" s="187">
        <v>195377</v>
      </c>
      <c r="D830" s="187">
        <v>155</v>
      </c>
    </row>
    <row r="831" spans="1:4">
      <c r="A831" s="187" t="s">
        <v>6131</v>
      </c>
      <c r="B831" s="187" t="s">
        <v>6043</v>
      </c>
      <c r="C831" s="187">
        <v>199101</v>
      </c>
      <c r="D831" s="187">
        <v>98</v>
      </c>
    </row>
    <row r="832" spans="1:4">
      <c r="A832" s="187" t="s">
        <v>254</v>
      </c>
      <c r="B832" s="187" t="s">
        <v>255</v>
      </c>
      <c r="C832" s="187">
        <v>38880</v>
      </c>
      <c r="D832" s="187">
        <v>29</v>
      </c>
    </row>
    <row r="833" spans="1:4">
      <c r="A833" s="187" t="s">
        <v>256</v>
      </c>
      <c r="B833" s="187" t="s">
        <v>257</v>
      </c>
      <c r="C833" s="187">
        <v>75577</v>
      </c>
      <c r="D833" s="187">
        <v>98</v>
      </c>
    </row>
    <row r="834" spans="1:4">
      <c r="A834" s="187" t="s">
        <v>258</v>
      </c>
      <c r="B834" s="187" t="s">
        <v>259</v>
      </c>
      <c r="C834" s="187">
        <v>54906</v>
      </c>
      <c r="D834" s="187">
        <v>92</v>
      </c>
    </row>
    <row r="835" spans="1:4">
      <c r="A835" s="187" t="s">
        <v>260</v>
      </c>
      <c r="B835" s="187" t="s">
        <v>261</v>
      </c>
      <c r="C835" s="187">
        <v>362672</v>
      </c>
      <c r="D835" s="187">
        <v>206</v>
      </c>
    </row>
    <row r="836" spans="1:4">
      <c r="A836" s="187" t="s">
        <v>262</v>
      </c>
      <c r="B836" s="187" t="s">
        <v>263</v>
      </c>
      <c r="C836" s="187">
        <v>19175</v>
      </c>
      <c r="D836" s="187">
        <v>44</v>
      </c>
    </row>
    <row r="837" spans="1:4">
      <c r="A837" s="187" t="s">
        <v>872</v>
      </c>
      <c r="B837" s="187" t="s">
        <v>873</v>
      </c>
      <c r="C837" s="187">
        <v>49536</v>
      </c>
      <c r="D837" s="187">
        <v>37</v>
      </c>
    </row>
    <row r="838" spans="1:4">
      <c r="A838" s="187" t="s">
        <v>874</v>
      </c>
      <c r="B838" s="187" t="s">
        <v>875</v>
      </c>
      <c r="C838" s="187">
        <v>1162849</v>
      </c>
      <c r="D838" s="187">
        <v>407</v>
      </c>
    </row>
    <row r="839" spans="1:4">
      <c r="A839" s="187" t="s">
        <v>876</v>
      </c>
      <c r="B839" s="187" t="s">
        <v>3039</v>
      </c>
      <c r="C839" s="187">
        <v>277828</v>
      </c>
      <c r="D839" s="187">
        <v>101</v>
      </c>
    </row>
    <row r="840" spans="1:4">
      <c r="A840" s="187" t="s">
        <v>3040</v>
      </c>
      <c r="B840" s="187" t="s">
        <v>3041</v>
      </c>
      <c r="C840" s="187">
        <v>128948</v>
      </c>
      <c r="D840" s="187">
        <v>61</v>
      </c>
    </row>
    <row r="841" spans="1:4">
      <c r="A841" s="187" t="s">
        <v>3042</v>
      </c>
      <c r="B841" s="187" t="s">
        <v>708</v>
      </c>
      <c r="C841" s="187">
        <v>126240</v>
      </c>
      <c r="D841" s="187">
        <v>61</v>
      </c>
    </row>
    <row r="842" spans="1:4">
      <c r="A842" s="187" t="s">
        <v>709</v>
      </c>
      <c r="B842" s="187" t="s">
        <v>3043</v>
      </c>
      <c r="C842" s="187">
        <v>230375</v>
      </c>
      <c r="D842" s="187">
        <v>195</v>
      </c>
    </row>
    <row r="843" spans="1:4">
      <c r="A843" s="187" t="s">
        <v>3044</v>
      </c>
      <c r="B843" s="187" t="s">
        <v>3045</v>
      </c>
      <c r="C843" s="187">
        <v>124983</v>
      </c>
      <c r="D843" s="187">
        <v>40</v>
      </c>
    </row>
    <row r="844" spans="1:4">
      <c r="A844" s="187" t="s">
        <v>2992</v>
      </c>
      <c r="B844" s="187" t="s">
        <v>4996</v>
      </c>
      <c r="C844" s="187">
        <v>1116834</v>
      </c>
      <c r="D844" s="187">
        <v>602</v>
      </c>
    </row>
    <row r="845" spans="1:4">
      <c r="A845" s="187" t="s">
        <v>3046</v>
      </c>
      <c r="B845" s="187" t="s">
        <v>3047</v>
      </c>
      <c r="C845" s="187">
        <v>256008</v>
      </c>
      <c r="D845" s="187">
        <v>82</v>
      </c>
    </row>
    <row r="846" spans="1:4">
      <c r="A846" s="187" t="s">
        <v>264</v>
      </c>
      <c r="B846" s="187" t="s">
        <v>5267</v>
      </c>
      <c r="C846" s="187">
        <v>7198972</v>
      </c>
      <c r="D846" s="187">
        <v>3784</v>
      </c>
    </row>
    <row r="847" spans="1:4">
      <c r="A847" s="187" t="s">
        <v>2306</v>
      </c>
      <c r="B847" s="187" t="s">
        <v>654</v>
      </c>
      <c r="C847" s="187">
        <v>371415</v>
      </c>
      <c r="D847" s="187">
        <v>216</v>
      </c>
    </row>
    <row r="848" spans="1:4">
      <c r="A848" s="187" t="s">
        <v>3048</v>
      </c>
      <c r="B848" s="187" t="s">
        <v>4570</v>
      </c>
      <c r="C848" s="187">
        <v>262086</v>
      </c>
      <c r="D848" s="187">
        <v>121</v>
      </c>
    </row>
    <row r="849" spans="1:4">
      <c r="A849" s="187" t="s">
        <v>3049</v>
      </c>
      <c r="B849" s="187" t="s">
        <v>3050</v>
      </c>
      <c r="C849" s="187">
        <v>200543</v>
      </c>
      <c r="D849" s="187">
        <v>92</v>
      </c>
    </row>
    <row r="850" spans="1:4">
      <c r="A850" s="187" t="s">
        <v>5035</v>
      </c>
      <c r="B850" s="187" t="s">
        <v>1608</v>
      </c>
      <c r="C850" s="187">
        <v>98756</v>
      </c>
      <c r="D850" s="187">
        <v>92</v>
      </c>
    </row>
    <row r="851" spans="1:4">
      <c r="A851" s="187" t="s">
        <v>5131</v>
      </c>
      <c r="B851" s="187" t="s">
        <v>4179</v>
      </c>
      <c r="C851" s="187">
        <v>335625</v>
      </c>
      <c r="D851" s="187">
        <v>220</v>
      </c>
    </row>
    <row r="852" spans="1:4">
      <c r="A852" s="187" t="s">
        <v>5231</v>
      </c>
      <c r="B852" s="187" t="s">
        <v>5232</v>
      </c>
      <c r="C852" s="187">
        <v>213139</v>
      </c>
      <c r="D852" s="187">
        <v>233</v>
      </c>
    </row>
    <row r="853" spans="1:4">
      <c r="A853" s="187" t="s">
        <v>3109</v>
      </c>
      <c r="B853" s="187" t="s">
        <v>3110</v>
      </c>
      <c r="C853" s="187">
        <v>609183</v>
      </c>
      <c r="D853" s="187">
        <v>930</v>
      </c>
    </row>
    <row r="854" spans="1:4">
      <c r="A854" s="187" t="s">
        <v>3111</v>
      </c>
      <c r="B854" s="187" t="s">
        <v>3112</v>
      </c>
      <c r="C854" s="187">
        <v>397209</v>
      </c>
      <c r="D854" s="187">
        <v>154</v>
      </c>
    </row>
    <row r="855" spans="1:4">
      <c r="A855" s="187" t="s">
        <v>3113</v>
      </c>
      <c r="B855" s="187" t="s">
        <v>3114</v>
      </c>
      <c r="C855" s="187">
        <v>81195</v>
      </c>
      <c r="D855" s="187">
        <v>55</v>
      </c>
    </row>
    <row r="856" spans="1:4">
      <c r="A856" s="187" t="s">
        <v>975</v>
      </c>
      <c r="B856" s="187" t="s">
        <v>976</v>
      </c>
      <c r="C856" s="187">
        <v>34317</v>
      </c>
      <c r="D856" s="187">
        <v>59</v>
      </c>
    </row>
    <row r="857" spans="1:4">
      <c r="A857" s="187" t="s">
        <v>2771</v>
      </c>
      <c r="B857" s="187" t="s">
        <v>3115</v>
      </c>
      <c r="C857" s="187">
        <v>136561</v>
      </c>
      <c r="D857" s="187">
        <v>89</v>
      </c>
    </row>
    <row r="858" spans="1:4">
      <c r="A858" s="187" t="s">
        <v>2821</v>
      </c>
      <c r="B858" s="187" t="s">
        <v>2822</v>
      </c>
      <c r="C858" s="187">
        <v>442350</v>
      </c>
      <c r="D858" s="187">
        <v>217</v>
      </c>
    </row>
    <row r="859" spans="1:4">
      <c r="A859" s="187" t="s">
        <v>4589</v>
      </c>
      <c r="B859" s="187" t="s">
        <v>6676</v>
      </c>
      <c r="C859" s="187">
        <v>127242</v>
      </c>
      <c r="D859" s="187">
        <v>99</v>
      </c>
    </row>
    <row r="860" spans="1:4">
      <c r="A860" s="187" t="s">
        <v>2572</v>
      </c>
      <c r="B860" s="187" t="s">
        <v>2573</v>
      </c>
      <c r="C860" s="187">
        <v>1215793</v>
      </c>
      <c r="D860" s="187">
        <v>411</v>
      </c>
    </row>
    <row r="861" spans="1:4">
      <c r="A861" s="187" t="s">
        <v>1507</v>
      </c>
      <c r="B861" s="187" t="s">
        <v>1508</v>
      </c>
      <c r="C861" s="187">
        <v>99168</v>
      </c>
      <c r="D861" s="187">
        <v>48</v>
      </c>
    </row>
    <row r="862" spans="1:4">
      <c r="A862" s="187" t="s">
        <v>2574</v>
      </c>
      <c r="B862" s="187" t="s">
        <v>2575</v>
      </c>
      <c r="C862" s="187">
        <v>56386</v>
      </c>
      <c r="D862" s="187">
        <v>34</v>
      </c>
    </row>
    <row r="863" spans="1:4">
      <c r="A863" s="187" t="s">
        <v>2576</v>
      </c>
      <c r="B863" s="187" t="s">
        <v>2577</v>
      </c>
      <c r="C863" s="187">
        <v>215761</v>
      </c>
      <c r="D863" s="187">
        <v>104</v>
      </c>
    </row>
    <row r="864" spans="1:4">
      <c r="A864" s="187" t="s">
        <v>2578</v>
      </c>
      <c r="B864" s="187" t="s">
        <v>157</v>
      </c>
      <c r="C864" s="187">
        <v>320407</v>
      </c>
      <c r="D864" s="187">
        <v>131</v>
      </c>
    </row>
    <row r="865" spans="1:4">
      <c r="A865" s="187" t="s">
        <v>158</v>
      </c>
      <c r="B865" s="187" t="s">
        <v>159</v>
      </c>
      <c r="C865" s="187">
        <v>24243</v>
      </c>
      <c r="D865" s="187">
        <v>42</v>
      </c>
    </row>
    <row r="866" spans="1:4">
      <c r="A866" s="187" t="s">
        <v>5211</v>
      </c>
      <c r="B866" s="187" t="s">
        <v>5212</v>
      </c>
      <c r="C866" s="187">
        <v>253451</v>
      </c>
      <c r="D866" s="187">
        <v>78</v>
      </c>
    </row>
    <row r="867" spans="1:4">
      <c r="A867" s="187" t="s">
        <v>5213</v>
      </c>
      <c r="B867" s="187" t="s">
        <v>5214</v>
      </c>
      <c r="C867" s="187">
        <v>93300</v>
      </c>
      <c r="D867" s="187">
        <v>58</v>
      </c>
    </row>
    <row r="868" spans="1:4">
      <c r="A868" s="187" t="s">
        <v>5215</v>
      </c>
      <c r="B868" s="187" t="s">
        <v>5216</v>
      </c>
      <c r="C868" s="187">
        <v>207000</v>
      </c>
      <c r="D868" s="187">
        <v>138</v>
      </c>
    </row>
    <row r="869" spans="1:4">
      <c r="A869" s="187" t="s">
        <v>5217</v>
      </c>
      <c r="B869" s="187" t="s">
        <v>5218</v>
      </c>
      <c r="C869" s="187">
        <v>269192</v>
      </c>
      <c r="D869" s="187">
        <v>219</v>
      </c>
    </row>
    <row r="870" spans="1:4">
      <c r="A870" s="187" t="s">
        <v>5219</v>
      </c>
      <c r="B870" s="187" t="s">
        <v>2124</v>
      </c>
      <c r="C870" s="187">
        <v>40467</v>
      </c>
      <c r="D870" s="187">
        <v>44</v>
      </c>
    </row>
    <row r="871" spans="1:4">
      <c r="A871" s="187" t="s">
        <v>2125</v>
      </c>
      <c r="B871" s="187" t="s">
        <v>2126</v>
      </c>
      <c r="C871" s="187">
        <v>2238202</v>
      </c>
      <c r="D871" s="187">
        <v>1020</v>
      </c>
    </row>
    <row r="872" spans="1:4">
      <c r="A872" s="187" t="s">
        <v>870</v>
      </c>
      <c r="B872" s="187" t="s">
        <v>871</v>
      </c>
      <c r="C872" s="187">
        <v>459281</v>
      </c>
      <c r="D872" s="187">
        <v>265</v>
      </c>
    </row>
    <row r="873" spans="1:4">
      <c r="A873" s="187" t="s">
        <v>5615</v>
      </c>
      <c r="B873" s="187" t="s">
        <v>5616</v>
      </c>
      <c r="C873" s="187">
        <v>515468</v>
      </c>
      <c r="D873" s="187">
        <v>187</v>
      </c>
    </row>
    <row r="874" spans="1:4">
      <c r="A874" s="187" t="s">
        <v>4590</v>
      </c>
      <c r="B874" s="187" t="s">
        <v>3072</v>
      </c>
      <c r="C874" s="187">
        <v>225144</v>
      </c>
      <c r="D874" s="187">
        <v>84</v>
      </c>
    </row>
    <row r="875" spans="1:4">
      <c r="A875" s="187" t="s">
        <v>860</v>
      </c>
      <c r="B875" s="187" t="s">
        <v>1472</v>
      </c>
      <c r="C875" s="187">
        <v>324283</v>
      </c>
      <c r="D875" s="187">
        <v>126</v>
      </c>
    </row>
    <row r="876" spans="1:4">
      <c r="A876" s="187" t="s">
        <v>4591</v>
      </c>
      <c r="B876" s="187" t="s">
        <v>3073</v>
      </c>
      <c r="C876" s="187">
        <v>12512</v>
      </c>
      <c r="D876" s="187">
        <v>19</v>
      </c>
    </row>
    <row r="877" spans="1:4">
      <c r="A877" s="187" t="s">
        <v>5617</v>
      </c>
      <c r="B877" s="187" t="s">
        <v>3149</v>
      </c>
      <c r="C877" s="187">
        <v>592788</v>
      </c>
      <c r="D877" s="187">
        <v>596</v>
      </c>
    </row>
    <row r="878" spans="1:4">
      <c r="A878" s="187" t="s">
        <v>3150</v>
      </c>
      <c r="B878" s="187" t="s">
        <v>3151</v>
      </c>
      <c r="C878" s="187">
        <v>0</v>
      </c>
      <c r="D878" s="187">
        <v>48</v>
      </c>
    </row>
    <row r="879" spans="1:4">
      <c r="A879" s="187" t="s">
        <v>3152</v>
      </c>
      <c r="B879" s="187" t="s">
        <v>3153</v>
      </c>
      <c r="C879" s="187">
        <v>8388</v>
      </c>
      <c r="D879" s="187">
        <v>40</v>
      </c>
    </row>
    <row r="880" spans="1:4">
      <c r="A880" s="187" t="s">
        <v>1949</v>
      </c>
      <c r="B880" s="187" t="s">
        <v>1950</v>
      </c>
      <c r="C880" s="187">
        <v>16149</v>
      </c>
      <c r="D880" s="187">
        <v>61</v>
      </c>
    </row>
    <row r="881" spans="1:4">
      <c r="A881" s="187" t="s">
        <v>1951</v>
      </c>
      <c r="B881" s="187" t="s">
        <v>2070</v>
      </c>
      <c r="C881" s="187">
        <v>134567</v>
      </c>
      <c r="D881" s="187">
        <v>92</v>
      </c>
    </row>
    <row r="882" spans="1:4">
      <c r="A882" s="187" t="s">
        <v>3154</v>
      </c>
      <c r="B882" s="187" t="s">
        <v>3155</v>
      </c>
      <c r="C882" s="187">
        <v>425574</v>
      </c>
      <c r="D882" s="187">
        <v>171</v>
      </c>
    </row>
    <row r="883" spans="1:4">
      <c r="A883" s="187" t="s">
        <v>3883</v>
      </c>
      <c r="B883" s="187" t="s">
        <v>3074</v>
      </c>
      <c r="C883" s="187">
        <v>24364</v>
      </c>
      <c r="D883" s="187">
        <v>72</v>
      </c>
    </row>
    <row r="884" spans="1:4">
      <c r="A884" s="187" t="s">
        <v>3156</v>
      </c>
      <c r="B884" s="187" t="s">
        <v>3157</v>
      </c>
      <c r="C884" s="187">
        <v>77189</v>
      </c>
      <c r="D884" s="187">
        <v>141</v>
      </c>
    </row>
    <row r="885" spans="1:4">
      <c r="A885" s="187" t="s">
        <v>3158</v>
      </c>
      <c r="B885" s="187" t="s">
        <v>3159</v>
      </c>
      <c r="C885" s="187">
        <v>466120</v>
      </c>
      <c r="D885" s="187">
        <v>168</v>
      </c>
    </row>
    <row r="886" spans="1:4">
      <c r="A886" s="187" t="s">
        <v>3160</v>
      </c>
      <c r="B886" s="187" t="s">
        <v>3161</v>
      </c>
      <c r="C886" s="187">
        <v>307318</v>
      </c>
      <c r="D886" s="187">
        <v>103</v>
      </c>
    </row>
    <row r="887" spans="1:4">
      <c r="A887" s="187" t="s">
        <v>3162</v>
      </c>
      <c r="B887" s="187" t="s">
        <v>568</v>
      </c>
      <c r="C887" s="187">
        <v>289363</v>
      </c>
      <c r="D887" s="187">
        <v>203</v>
      </c>
    </row>
    <row r="888" spans="1:4">
      <c r="A888" s="187" t="s">
        <v>569</v>
      </c>
      <c r="B888" s="187" t="s">
        <v>570</v>
      </c>
      <c r="C888" s="187">
        <v>141144</v>
      </c>
      <c r="D888" s="187">
        <v>69</v>
      </c>
    </row>
    <row r="889" spans="1:4">
      <c r="A889" s="187" t="s">
        <v>571</v>
      </c>
      <c r="B889" s="187" t="s">
        <v>3180</v>
      </c>
      <c r="C889" s="187">
        <v>287712</v>
      </c>
      <c r="D889" s="187">
        <v>269</v>
      </c>
    </row>
    <row r="890" spans="1:4">
      <c r="A890" s="187" t="s">
        <v>3181</v>
      </c>
      <c r="B890" s="187" t="s">
        <v>3182</v>
      </c>
      <c r="C890" s="187">
        <v>438657</v>
      </c>
      <c r="D890" s="187">
        <v>257</v>
      </c>
    </row>
    <row r="891" spans="1:4">
      <c r="A891" s="187" t="s">
        <v>2071</v>
      </c>
      <c r="B891" s="187" t="s">
        <v>2072</v>
      </c>
      <c r="C891" s="187">
        <v>802463</v>
      </c>
      <c r="D891" s="187">
        <v>329</v>
      </c>
    </row>
    <row r="892" spans="1:4">
      <c r="A892" s="187" t="s">
        <v>3183</v>
      </c>
      <c r="B892" s="187" t="s">
        <v>923</v>
      </c>
      <c r="C892" s="187">
        <v>672000</v>
      </c>
      <c r="D892" s="187">
        <v>550</v>
      </c>
    </row>
    <row r="893" spans="1:4">
      <c r="A893" s="187" t="s">
        <v>924</v>
      </c>
      <c r="B893" s="187" t="s">
        <v>925</v>
      </c>
      <c r="C893" s="187">
        <v>499233</v>
      </c>
      <c r="D893" s="187">
        <v>297</v>
      </c>
    </row>
    <row r="894" spans="1:4">
      <c r="A894" s="187" t="s">
        <v>6165</v>
      </c>
      <c r="B894" s="187" t="s">
        <v>136</v>
      </c>
      <c r="C894" s="187">
        <v>597540</v>
      </c>
      <c r="D894" s="187">
        <v>333</v>
      </c>
    </row>
    <row r="895" spans="1:4">
      <c r="A895" s="187" t="s">
        <v>6187</v>
      </c>
      <c r="B895" s="187" t="s">
        <v>1541</v>
      </c>
      <c r="C895" s="187">
        <v>247905</v>
      </c>
      <c r="D895" s="187">
        <v>186</v>
      </c>
    </row>
    <row r="896" spans="1:4">
      <c r="A896" s="187" t="s">
        <v>1837</v>
      </c>
      <c r="B896" s="187" t="s">
        <v>1838</v>
      </c>
      <c r="C896" s="187">
        <v>465579</v>
      </c>
      <c r="D896" s="187">
        <v>341</v>
      </c>
    </row>
    <row r="897" spans="1:4">
      <c r="A897" s="187" t="s">
        <v>3884</v>
      </c>
      <c r="B897" s="187" t="s">
        <v>3075</v>
      </c>
      <c r="C897" s="187">
        <v>535020</v>
      </c>
      <c r="D897" s="187">
        <v>233</v>
      </c>
    </row>
    <row r="898" spans="1:4">
      <c r="A898" s="187" t="s">
        <v>2390</v>
      </c>
      <c r="B898" s="187" t="s">
        <v>2524</v>
      </c>
      <c r="C898" s="187">
        <v>160444</v>
      </c>
      <c r="D898" s="187">
        <v>136</v>
      </c>
    </row>
    <row r="899" spans="1:4">
      <c r="A899" s="187" t="s">
        <v>926</v>
      </c>
      <c r="B899" s="187" t="s">
        <v>927</v>
      </c>
      <c r="C899" s="187">
        <v>24386</v>
      </c>
      <c r="D899" s="187">
        <v>31</v>
      </c>
    </row>
    <row r="900" spans="1:4">
      <c r="A900" s="187" t="s">
        <v>928</v>
      </c>
      <c r="B900" s="187" t="s">
        <v>929</v>
      </c>
      <c r="C900" s="187">
        <v>35911</v>
      </c>
      <c r="D900" s="187">
        <v>36</v>
      </c>
    </row>
    <row r="901" spans="1:4">
      <c r="A901" s="187" t="s">
        <v>930</v>
      </c>
      <c r="B901" s="187" t="s">
        <v>931</v>
      </c>
      <c r="C901" s="187">
        <v>268082</v>
      </c>
      <c r="D901" s="187">
        <v>125</v>
      </c>
    </row>
    <row r="902" spans="1:4">
      <c r="A902" s="187" t="s">
        <v>932</v>
      </c>
      <c r="B902" s="187" t="s">
        <v>933</v>
      </c>
      <c r="C902" s="187">
        <v>36336</v>
      </c>
      <c r="D902" s="187">
        <v>29</v>
      </c>
    </row>
    <row r="903" spans="1:4">
      <c r="A903" s="187" t="s">
        <v>934</v>
      </c>
      <c r="B903" s="187" t="s">
        <v>935</v>
      </c>
      <c r="C903" s="187">
        <v>799862</v>
      </c>
      <c r="D903" s="187">
        <v>394</v>
      </c>
    </row>
    <row r="904" spans="1:4">
      <c r="A904" s="187" t="s">
        <v>936</v>
      </c>
      <c r="B904" s="187" t="s">
        <v>5144</v>
      </c>
      <c r="C904" s="187">
        <v>2506</v>
      </c>
      <c r="D904" s="187">
        <v>33</v>
      </c>
    </row>
    <row r="905" spans="1:4">
      <c r="A905" s="187" t="s">
        <v>5145</v>
      </c>
      <c r="B905" s="187" t="s">
        <v>2949</v>
      </c>
      <c r="C905" s="187">
        <v>138539</v>
      </c>
      <c r="D905" s="187">
        <v>86</v>
      </c>
    </row>
    <row r="906" spans="1:4">
      <c r="A906" s="187" t="s">
        <v>2950</v>
      </c>
      <c r="B906" s="187" t="s">
        <v>2951</v>
      </c>
      <c r="C906" s="187">
        <v>47730</v>
      </c>
      <c r="D906" s="187">
        <v>25</v>
      </c>
    </row>
    <row r="907" spans="1:4">
      <c r="A907" s="187" t="s">
        <v>2952</v>
      </c>
      <c r="B907" s="187" t="s">
        <v>2525</v>
      </c>
      <c r="C907" s="187">
        <v>224853</v>
      </c>
      <c r="D907" s="187">
        <v>344</v>
      </c>
    </row>
    <row r="908" spans="1:4">
      <c r="A908" s="187" t="s">
        <v>2526</v>
      </c>
      <c r="B908" s="187" t="s">
        <v>2527</v>
      </c>
      <c r="C908" s="187">
        <v>98782</v>
      </c>
      <c r="D908" s="187">
        <v>100</v>
      </c>
    </row>
    <row r="909" spans="1:4">
      <c r="A909" s="187" t="s">
        <v>3885</v>
      </c>
      <c r="B909" s="187" t="s">
        <v>3076</v>
      </c>
      <c r="C909" s="187">
        <v>117670</v>
      </c>
      <c r="D909" s="187">
        <v>115</v>
      </c>
    </row>
    <row r="910" spans="1:4">
      <c r="A910" s="187" t="s">
        <v>2528</v>
      </c>
      <c r="B910" s="187" t="s">
        <v>2529</v>
      </c>
      <c r="C910" s="187">
        <v>51915</v>
      </c>
      <c r="D910" s="187">
        <v>80</v>
      </c>
    </row>
    <row r="911" spans="1:4">
      <c r="A911" s="187" t="s">
        <v>2530</v>
      </c>
      <c r="B911" s="187" t="s">
        <v>2531</v>
      </c>
      <c r="C911" s="187">
        <v>36157</v>
      </c>
      <c r="D911" s="187">
        <v>111</v>
      </c>
    </row>
    <row r="912" spans="1:4">
      <c r="A912" s="187" t="s">
        <v>2532</v>
      </c>
      <c r="B912" s="187" t="s">
        <v>2533</v>
      </c>
      <c r="C912" s="187">
        <v>0</v>
      </c>
      <c r="D912" s="187">
        <v>18</v>
      </c>
    </row>
    <row r="913" spans="1:4">
      <c r="A913" s="187" t="s">
        <v>2316</v>
      </c>
      <c r="B913" s="187" t="s">
        <v>2317</v>
      </c>
      <c r="C913" s="187">
        <v>7111</v>
      </c>
      <c r="D913" s="187">
        <v>32</v>
      </c>
    </row>
    <row r="914" spans="1:4">
      <c r="A914" s="187" t="s">
        <v>5105</v>
      </c>
      <c r="B914" s="187" t="s">
        <v>5106</v>
      </c>
      <c r="C914" s="187">
        <v>77638</v>
      </c>
      <c r="D914" s="187">
        <v>97</v>
      </c>
    </row>
    <row r="915" spans="1:4">
      <c r="A915" s="187" t="s">
        <v>5107</v>
      </c>
      <c r="B915" s="187" t="s">
        <v>2429</v>
      </c>
      <c r="C915" s="187">
        <v>12669</v>
      </c>
      <c r="D915" s="187">
        <v>9</v>
      </c>
    </row>
    <row r="916" spans="1:4">
      <c r="A916" s="187" t="s">
        <v>5036</v>
      </c>
      <c r="B916" s="187" t="s">
        <v>1609</v>
      </c>
      <c r="C916" s="187">
        <v>275064</v>
      </c>
      <c r="D916" s="187">
        <v>124</v>
      </c>
    </row>
    <row r="917" spans="1:4">
      <c r="A917" s="187" t="s">
        <v>2430</v>
      </c>
      <c r="B917" s="187" t="s">
        <v>2431</v>
      </c>
      <c r="C917" s="187">
        <v>67750</v>
      </c>
      <c r="D917" s="187">
        <v>165</v>
      </c>
    </row>
    <row r="918" spans="1:4">
      <c r="A918" s="187" t="s">
        <v>2432</v>
      </c>
      <c r="B918" s="187" t="s">
        <v>2433</v>
      </c>
      <c r="C918" s="187">
        <v>406180</v>
      </c>
      <c r="D918" s="187">
        <v>369</v>
      </c>
    </row>
    <row r="919" spans="1:4">
      <c r="A919" s="187" t="s">
        <v>5339</v>
      </c>
      <c r="B919" s="187" t="s">
        <v>5340</v>
      </c>
      <c r="C919" s="187">
        <v>137560</v>
      </c>
      <c r="D919" s="187">
        <v>141</v>
      </c>
    </row>
    <row r="920" spans="1:4">
      <c r="A920" s="187" t="s">
        <v>5341</v>
      </c>
      <c r="B920" s="187" t="s">
        <v>5342</v>
      </c>
      <c r="C920" s="187">
        <v>3701824</v>
      </c>
      <c r="D920" s="187">
        <v>2344</v>
      </c>
    </row>
    <row r="921" spans="1:4">
      <c r="A921" s="187" t="s">
        <v>858</v>
      </c>
      <c r="B921" s="187" t="s">
        <v>1470</v>
      </c>
      <c r="C921" s="187">
        <v>212885</v>
      </c>
      <c r="D921" s="187">
        <v>483</v>
      </c>
    </row>
    <row r="922" spans="1:4">
      <c r="A922" s="187" t="s">
        <v>5343</v>
      </c>
      <c r="B922" s="187" t="s">
        <v>1610</v>
      </c>
      <c r="C922" s="187">
        <v>425370</v>
      </c>
      <c r="D922" s="187">
        <v>454</v>
      </c>
    </row>
    <row r="923" spans="1:4">
      <c r="A923" s="187" t="s">
        <v>5344</v>
      </c>
      <c r="B923" s="187" t="s">
        <v>5345</v>
      </c>
      <c r="C923" s="187">
        <v>74740</v>
      </c>
      <c r="D923" s="187">
        <v>161</v>
      </c>
    </row>
    <row r="924" spans="1:4">
      <c r="A924" s="187" t="s">
        <v>5346</v>
      </c>
      <c r="B924" s="187" t="s">
        <v>5347</v>
      </c>
      <c r="C924" s="187">
        <v>709172</v>
      </c>
      <c r="D924" s="187">
        <v>332</v>
      </c>
    </row>
    <row r="925" spans="1:4">
      <c r="A925" s="187" t="s">
        <v>2770</v>
      </c>
      <c r="B925" s="187" t="s">
        <v>653</v>
      </c>
      <c r="C925" s="187">
        <v>1782330</v>
      </c>
      <c r="D925" s="187">
        <v>1524</v>
      </c>
    </row>
    <row r="926" spans="1:4">
      <c r="A926" s="187" t="s">
        <v>5348</v>
      </c>
      <c r="B926" s="187" t="s">
        <v>5349</v>
      </c>
      <c r="C926" s="187">
        <v>164566</v>
      </c>
      <c r="D926" s="187">
        <v>62</v>
      </c>
    </row>
    <row r="927" spans="1:4">
      <c r="A927" s="187" t="s">
        <v>3886</v>
      </c>
      <c r="B927" s="187" t="s">
        <v>3077</v>
      </c>
      <c r="C927" s="187">
        <v>1898248</v>
      </c>
      <c r="D927" s="187">
        <v>1125</v>
      </c>
    </row>
    <row r="928" spans="1:4">
      <c r="A928" s="187" t="s">
        <v>5350</v>
      </c>
      <c r="B928" s="187" t="s">
        <v>3138</v>
      </c>
      <c r="C928" s="187">
        <v>296396</v>
      </c>
      <c r="D928" s="187">
        <v>241</v>
      </c>
    </row>
    <row r="929" spans="1:4">
      <c r="A929" s="187" t="s">
        <v>3139</v>
      </c>
      <c r="B929" s="187" t="s">
        <v>1529</v>
      </c>
      <c r="C929" s="187">
        <v>63840</v>
      </c>
      <c r="D929" s="187">
        <v>63</v>
      </c>
    </row>
    <row r="930" spans="1:4">
      <c r="A930" s="187" t="s">
        <v>1530</v>
      </c>
      <c r="B930" s="187" t="s">
        <v>1531</v>
      </c>
      <c r="C930" s="187">
        <v>85919</v>
      </c>
      <c r="D930" s="187">
        <v>54</v>
      </c>
    </row>
    <row r="931" spans="1:4">
      <c r="A931" s="187" t="s">
        <v>1532</v>
      </c>
      <c r="B931" s="187" t="s">
        <v>7287</v>
      </c>
      <c r="C931" s="187">
        <v>312984</v>
      </c>
      <c r="D931" s="187">
        <v>159</v>
      </c>
    </row>
    <row r="932" spans="1:4">
      <c r="A932" s="187" t="s">
        <v>624</v>
      </c>
      <c r="B932" s="187" t="s">
        <v>625</v>
      </c>
      <c r="C932" s="187">
        <v>27940</v>
      </c>
      <c r="D932" s="187">
        <v>43</v>
      </c>
    </row>
    <row r="933" spans="1:4">
      <c r="A933" s="187" t="s">
        <v>626</v>
      </c>
      <c r="B933" s="187" t="s">
        <v>627</v>
      </c>
      <c r="C933" s="187">
        <v>217791</v>
      </c>
      <c r="D933" s="187">
        <v>227</v>
      </c>
    </row>
    <row r="934" spans="1:4">
      <c r="A934" s="187" t="s">
        <v>628</v>
      </c>
      <c r="B934" s="187" t="s">
        <v>629</v>
      </c>
      <c r="C934" s="187">
        <v>51409</v>
      </c>
      <c r="D934" s="187">
        <v>61</v>
      </c>
    </row>
    <row r="935" spans="1:4">
      <c r="A935" s="187" t="s">
        <v>630</v>
      </c>
      <c r="B935" s="187" t="s">
        <v>631</v>
      </c>
      <c r="C935" s="187">
        <v>53643</v>
      </c>
      <c r="D935" s="187">
        <v>26</v>
      </c>
    </row>
    <row r="936" spans="1:4">
      <c r="A936" s="187" t="s">
        <v>3184</v>
      </c>
      <c r="B936" s="187" t="s">
        <v>2789</v>
      </c>
      <c r="C936" s="187">
        <v>58566</v>
      </c>
      <c r="D936" s="187">
        <v>24</v>
      </c>
    </row>
    <row r="937" spans="1:4">
      <c r="A937" s="187" t="s">
        <v>2790</v>
      </c>
      <c r="B937" s="187" t="s">
        <v>7158</v>
      </c>
      <c r="C937" s="187">
        <v>18918</v>
      </c>
      <c r="D937" s="187">
        <v>7</v>
      </c>
    </row>
    <row r="938" spans="1:4">
      <c r="A938" s="187" t="s">
        <v>7159</v>
      </c>
      <c r="B938" s="187" t="s">
        <v>408</v>
      </c>
      <c r="C938" s="187">
        <v>11211</v>
      </c>
      <c r="D938" s="187">
        <v>8</v>
      </c>
    </row>
    <row r="939" spans="1:4">
      <c r="A939" s="187" t="s">
        <v>269</v>
      </c>
      <c r="B939" s="187" t="s">
        <v>2129</v>
      </c>
      <c r="C939" s="187">
        <v>8537102</v>
      </c>
      <c r="D939" s="187">
        <v>7256</v>
      </c>
    </row>
    <row r="940" spans="1:4">
      <c r="A940" s="187" t="s">
        <v>951</v>
      </c>
      <c r="B940" s="187" t="s">
        <v>2440</v>
      </c>
      <c r="C940" s="187">
        <v>2447610</v>
      </c>
      <c r="D940" s="187">
        <v>2618</v>
      </c>
    </row>
    <row r="941" spans="1:4">
      <c r="A941" s="187" t="s">
        <v>409</v>
      </c>
      <c r="B941" s="187" t="s">
        <v>3995</v>
      </c>
      <c r="C941" s="187">
        <v>841866</v>
      </c>
      <c r="D941" s="187">
        <v>490</v>
      </c>
    </row>
    <row r="942" spans="1:4">
      <c r="A942" s="187" t="s">
        <v>3996</v>
      </c>
      <c r="B942" s="187" t="s">
        <v>3997</v>
      </c>
      <c r="C942" s="187">
        <v>14315673</v>
      </c>
      <c r="D942" s="187">
        <v>9783</v>
      </c>
    </row>
    <row r="943" spans="1:4">
      <c r="A943" s="187" t="s">
        <v>3998</v>
      </c>
      <c r="B943" s="187" t="s">
        <v>3999</v>
      </c>
      <c r="C943" s="187">
        <v>3156907</v>
      </c>
      <c r="D943" s="187">
        <v>1714</v>
      </c>
    </row>
    <row r="944" spans="1:4">
      <c r="A944" s="187" t="s">
        <v>6030</v>
      </c>
      <c r="B944" s="187" t="s">
        <v>459</v>
      </c>
      <c r="C944" s="187">
        <v>2040363</v>
      </c>
      <c r="D944" s="187">
        <v>1694</v>
      </c>
    </row>
    <row r="945" spans="1:4">
      <c r="A945" s="187" t="s">
        <v>3002</v>
      </c>
      <c r="B945" s="187" t="s">
        <v>5001</v>
      </c>
      <c r="C945" s="187">
        <v>3606456</v>
      </c>
      <c r="D945" s="187">
        <v>1810</v>
      </c>
    </row>
    <row r="946" spans="1:4">
      <c r="A946" s="187" t="s">
        <v>4000</v>
      </c>
      <c r="B946" s="187" t="s">
        <v>4001</v>
      </c>
      <c r="C946" s="187">
        <v>53913</v>
      </c>
      <c r="D946" s="187">
        <v>32</v>
      </c>
    </row>
    <row r="947" spans="1:4">
      <c r="A947" s="187" t="s">
        <v>2986</v>
      </c>
      <c r="B947" s="187" t="s">
        <v>1690</v>
      </c>
      <c r="C947" s="187">
        <v>381235</v>
      </c>
      <c r="D947" s="187">
        <v>333</v>
      </c>
    </row>
    <row r="948" spans="1:4">
      <c r="A948" s="187" t="s">
        <v>246</v>
      </c>
      <c r="B948" s="187" t="s">
        <v>6135</v>
      </c>
      <c r="C948" s="187">
        <v>502523</v>
      </c>
      <c r="D948" s="187">
        <v>1260</v>
      </c>
    </row>
    <row r="949" spans="1:4">
      <c r="A949" s="187" t="s">
        <v>6032</v>
      </c>
      <c r="B949" s="187" t="s">
        <v>461</v>
      </c>
      <c r="C949" s="187">
        <v>501515</v>
      </c>
      <c r="D949" s="187">
        <v>344</v>
      </c>
    </row>
    <row r="950" spans="1:4">
      <c r="A950" s="187" t="s">
        <v>946</v>
      </c>
      <c r="B950" s="187" t="s">
        <v>2131</v>
      </c>
      <c r="C950" s="187">
        <v>537390</v>
      </c>
      <c r="D950" s="187">
        <v>809</v>
      </c>
    </row>
    <row r="951" spans="1:4">
      <c r="A951" s="187" t="s">
        <v>1875</v>
      </c>
      <c r="B951" s="187" t="s">
        <v>4560</v>
      </c>
      <c r="C951" s="187">
        <v>3396053</v>
      </c>
      <c r="D951" s="187">
        <v>2406</v>
      </c>
    </row>
    <row r="952" spans="1:4">
      <c r="A952" s="187" t="s">
        <v>6682</v>
      </c>
      <c r="B952" s="187" t="s">
        <v>754</v>
      </c>
      <c r="C952" s="187">
        <v>385926</v>
      </c>
      <c r="D952" s="187">
        <v>448</v>
      </c>
    </row>
    <row r="953" spans="1:4">
      <c r="A953" s="187" t="s">
        <v>4002</v>
      </c>
      <c r="B953" s="187" t="s">
        <v>4003</v>
      </c>
      <c r="C953" s="187">
        <v>972175</v>
      </c>
      <c r="D953" s="187">
        <v>712</v>
      </c>
    </row>
    <row r="954" spans="1:4">
      <c r="A954" s="187" t="s">
        <v>6681</v>
      </c>
      <c r="B954" s="187" t="s">
        <v>753</v>
      </c>
      <c r="C954" s="187">
        <v>1468997</v>
      </c>
      <c r="D954" s="187">
        <v>938</v>
      </c>
    </row>
    <row r="955" spans="1:4">
      <c r="A955" s="187" t="s">
        <v>857</v>
      </c>
      <c r="B955" s="187" t="s">
        <v>1469</v>
      </c>
      <c r="C955" s="187">
        <v>482773</v>
      </c>
      <c r="D955" s="187">
        <v>618</v>
      </c>
    </row>
    <row r="956" spans="1:4">
      <c r="A956" s="187" t="s">
        <v>4004</v>
      </c>
      <c r="B956" s="187" t="s">
        <v>4005</v>
      </c>
      <c r="C956" s="187">
        <v>12669</v>
      </c>
      <c r="D956" s="187">
        <v>10</v>
      </c>
    </row>
    <row r="957" spans="1:4">
      <c r="A957" s="187" t="s">
        <v>4006</v>
      </c>
      <c r="B957" s="187" t="s">
        <v>4007</v>
      </c>
      <c r="C957" s="187">
        <v>6846734</v>
      </c>
      <c r="D957" s="187">
        <v>2872</v>
      </c>
    </row>
    <row r="958" spans="1:4">
      <c r="A958" s="187" t="s">
        <v>4008</v>
      </c>
      <c r="B958" s="187" t="s">
        <v>4009</v>
      </c>
      <c r="C958" s="187">
        <v>166382</v>
      </c>
      <c r="D958" s="187">
        <v>231</v>
      </c>
    </row>
    <row r="959" spans="1:4">
      <c r="A959" s="187" t="s">
        <v>4010</v>
      </c>
      <c r="B959" s="187" t="s">
        <v>4011</v>
      </c>
      <c r="C959" s="187">
        <v>28350</v>
      </c>
      <c r="D959" s="187">
        <v>34</v>
      </c>
    </row>
    <row r="960" spans="1:4">
      <c r="A960" s="187" t="s">
        <v>4012</v>
      </c>
      <c r="B960" s="187" t="s">
        <v>4013</v>
      </c>
      <c r="C960" s="187">
        <v>160044</v>
      </c>
      <c r="D960" s="187">
        <v>166</v>
      </c>
    </row>
    <row r="961" spans="1:4">
      <c r="A961" s="187" t="s">
        <v>4014</v>
      </c>
      <c r="B961" s="187" t="s">
        <v>1473</v>
      </c>
      <c r="C961" s="187">
        <v>295338</v>
      </c>
      <c r="D961" s="187">
        <v>286</v>
      </c>
    </row>
    <row r="962" spans="1:4">
      <c r="A962" s="187" t="s">
        <v>4015</v>
      </c>
      <c r="B962" s="187" t="s">
        <v>1924</v>
      </c>
      <c r="C962" s="187">
        <v>175810</v>
      </c>
      <c r="D962" s="187">
        <v>50</v>
      </c>
    </row>
    <row r="963" spans="1:4">
      <c r="A963" s="187" t="s">
        <v>6120</v>
      </c>
      <c r="B963" s="187" t="s">
        <v>6121</v>
      </c>
      <c r="C963" s="187">
        <v>1044175</v>
      </c>
      <c r="D963" s="187">
        <v>319</v>
      </c>
    </row>
    <row r="964" spans="1:4">
      <c r="A964" s="187" t="s">
        <v>6679</v>
      </c>
      <c r="B964" s="187" t="s">
        <v>6680</v>
      </c>
      <c r="C964" s="187">
        <v>61747</v>
      </c>
      <c r="D964" s="187">
        <v>51</v>
      </c>
    </row>
    <row r="965" spans="1:4">
      <c r="A965" s="187" t="s">
        <v>6122</v>
      </c>
      <c r="B965" s="187" t="s">
        <v>1800</v>
      </c>
      <c r="C965" s="187">
        <v>59892</v>
      </c>
      <c r="D965" s="187">
        <v>37</v>
      </c>
    </row>
    <row r="966" spans="1:4">
      <c r="A966" s="187" t="s">
        <v>1801</v>
      </c>
      <c r="B966" s="187" t="s">
        <v>1802</v>
      </c>
      <c r="C966" s="187">
        <v>61174</v>
      </c>
      <c r="D966" s="187">
        <v>48</v>
      </c>
    </row>
    <row r="967" spans="1:4">
      <c r="A967" s="187" t="s">
        <v>1803</v>
      </c>
      <c r="B967" s="187" t="s">
        <v>1804</v>
      </c>
      <c r="C967" s="187">
        <v>46200</v>
      </c>
      <c r="D967" s="187">
        <v>26</v>
      </c>
    </row>
    <row r="968" spans="1:4">
      <c r="A968" s="187" t="s">
        <v>1805</v>
      </c>
      <c r="B968" s="187" t="s">
        <v>1806</v>
      </c>
      <c r="C968" s="187">
        <v>318790</v>
      </c>
      <c r="D968" s="187">
        <v>763</v>
      </c>
    </row>
    <row r="969" spans="1:4">
      <c r="A969" s="187" t="s">
        <v>1807</v>
      </c>
      <c r="B969" s="187" t="s">
        <v>1808</v>
      </c>
      <c r="C969" s="187">
        <v>29665</v>
      </c>
      <c r="D969" s="187">
        <v>27</v>
      </c>
    </row>
    <row r="970" spans="1:4">
      <c r="A970" s="187" t="s">
        <v>5037</v>
      </c>
      <c r="B970" s="187" t="s">
        <v>1610</v>
      </c>
      <c r="C970" s="187">
        <v>56529</v>
      </c>
      <c r="D970" s="187">
        <v>100</v>
      </c>
    </row>
    <row r="971" spans="1:4">
      <c r="A971" s="187" t="s">
        <v>1809</v>
      </c>
      <c r="B971" s="187" t="s">
        <v>1696</v>
      </c>
      <c r="C971" s="187">
        <v>27919</v>
      </c>
      <c r="D971" s="187">
        <v>48</v>
      </c>
    </row>
    <row r="972" spans="1:4">
      <c r="A972" s="187" t="s">
        <v>1697</v>
      </c>
      <c r="B972" s="187" t="s">
        <v>1698</v>
      </c>
      <c r="C972" s="187">
        <v>87865</v>
      </c>
      <c r="D972" s="187">
        <v>66</v>
      </c>
    </row>
    <row r="973" spans="1:4">
      <c r="A973" s="187" t="s">
        <v>2385</v>
      </c>
      <c r="B973" s="187" t="s">
        <v>661</v>
      </c>
      <c r="C973" s="187">
        <v>4864951</v>
      </c>
      <c r="D973" s="187">
        <v>2147</v>
      </c>
    </row>
    <row r="974" spans="1:4">
      <c r="A974" s="187" t="s">
        <v>1699</v>
      </c>
      <c r="B974" s="187" t="s">
        <v>7126</v>
      </c>
      <c r="C974" s="187">
        <v>95126</v>
      </c>
      <c r="D974" s="187">
        <v>58</v>
      </c>
    </row>
    <row r="975" spans="1:4">
      <c r="A975" s="187" t="s">
        <v>3554</v>
      </c>
      <c r="B975" s="187" t="s">
        <v>2159</v>
      </c>
      <c r="C975" s="187">
        <v>529080</v>
      </c>
      <c r="D975" s="187">
        <v>278</v>
      </c>
    </row>
    <row r="976" spans="1:4">
      <c r="A976" s="187" t="s">
        <v>1857</v>
      </c>
      <c r="B976" s="187" t="s">
        <v>4986</v>
      </c>
      <c r="C976" s="187">
        <v>323117</v>
      </c>
      <c r="D976" s="187">
        <v>154</v>
      </c>
    </row>
    <row r="977" spans="1:4">
      <c r="A977" s="187" t="s">
        <v>7288</v>
      </c>
      <c r="B977" s="187" t="s">
        <v>7289</v>
      </c>
      <c r="C977" s="187">
        <v>73630</v>
      </c>
      <c r="D977" s="187">
        <v>51</v>
      </c>
    </row>
    <row r="978" spans="1:4">
      <c r="A978" s="187" t="s">
        <v>7127</v>
      </c>
      <c r="B978" s="187" t="s">
        <v>2763</v>
      </c>
      <c r="C978" s="187">
        <v>20293</v>
      </c>
      <c r="D978" s="187">
        <v>13</v>
      </c>
    </row>
    <row r="979" spans="1:4">
      <c r="A979" s="187" t="s">
        <v>2791</v>
      </c>
      <c r="B979" s="187" t="s">
        <v>2792</v>
      </c>
      <c r="C979" s="187">
        <v>18994587</v>
      </c>
      <c r="D979" s="187">
        <v>10361</v>
      </c>
    </row>
    <row r="980" spans="1:4">
      <c r="A980" s="187" t="s">
        <v>5124</v>
      </c>
      <c r="B980" s="187" t="s">
        <v>5388</v>
      </c>
      <c r="C980" s="187">
        <v>2246541</v>
      </c>
      <c r="D980" s="187">
        <v>1547</v>
      </c>
    </row>
    <row r="981" spans="1:4">
      <c r="A981" s="187" t="s">
        <v>2793</v>
      </c>
      <c r="B981" s="187" t="s">
        <v>2794</v>
      </c>
      <c r="C981" s="187">
        <v>1119886</v>
      </c>
      <c r="D981" s="187">
        <v>429</v>
      </c>
    </row>
    <row r="982" spans="1:4">
      <c r="A982" s="187" t="s">
        <v>2795</v>
      </c>
      <c r="B982" s="187" t="s">
        <v>2796</v>
      </c>
      <c r="C982" s="187">
        <v>1723463</v>
      </c>
      <c r="D982" s="187">
        <v>1054</v>
      </c>
    </row>
    <row r="983" spans="1:4">
      <c r="A983" s="187" t="s">
        <v>2052</v>
      </c>
      <c r="B983" s="187" t="s">
        <v>6140</v>
      </c>
      <c r="C983" s="187">
        <v>1941941</v>
      </c>
      <c r="D983" s="187">
        <v>993</v>
      </c>
    </row>
    <row r="984" spans="1:4">
      <c r="A984" s="187" t="s">
        <v>2797</v>
      </c>
      <c r="B984" s="187" t="s">
        <v>2798</v>
      </c>
      <c r="C984" s="187">
        <v>148855</v>
      </c>
      <c r="D984" s="187">
        <v>151</v>
      </c>
    </row>
    <row r="985" spans="1:4">
      <c r="A985" s="187" t="s">
        <v>2799</v>
      </c>
      <c r="B985" s="187" t="s">
        <v>2800</v>
      </c>
      <c r="C985" s="187">
        <v>1272156</v>
      </c>
      <c r="D985" s="187">
        <v>584</v>
      </c>
    </row>
    <row r="986" spans="1:4">
      <c r="A986" s="187" t="s">
        <v>2801</v>
      </c>
      <c r="B986" s="187" t="s">
        <v>2802</v>
      </c>
      <c r="C986" s="187">
        <v>143539</v>
      </c>
      <c r="D986" s="187">
        <v>134</v>
      </c>
    </row>
    <row r="987" spans="1:4">
      <c r="A987" s="187" t="s">
        <v>2803</v>
      </c>
      <c r="B987" s="187" t="s">
        <v>2804</v>
      </c>
      <c r="C987" s="187">
        <v>241309</v>
      </c>
      <c r="D987" s="187">
        <v>183</v>
      </c>
    </row>
    <row r="988" spans="1:4">
      <c r="A988" s="187" t="s">
        <v>2805</v>
      </c>
      <c r="B988" s="187" t="s">
        <v>319</v>
      </c>
      <c r="C988" s="187">
        <v>39050</v>
      </c>
      <c r="D988" s="187">
        <v>30</v>
      </c>
    </row>
    <row r="989" spans="1:4">
      <c r="A989" s="187" t="s">
        <v>2806</v>
      </c>
      <c r="B989" s="187" t="s">
        <v>3571</v>
      </c>
      <c r="C989" s="187">
        <v>35789</v>
      </c>
      <c r="D989" s="187">
        <v>48</v>
      </c>
    </row>
    <row r="990" spans="1:4">
      <c r="A990" s="187" t="s">
        <v>232</v>
      </c>
      <c r="B990" s="187" t="s">
        <v>3905</v>
      </c>
      <c r="C990" s="187">
        <v>121470</v>
      </c>
      <c r="D990" s="187">
        <v>98</v>
      </c>
    </row>
    <row r="991" spans="1:4">
      <c r="A991" s="187" t="s">
        <v>3572</v>
      </c>
      <c r="B991" s="187" t="s">
        <v>3573</v>
      </c>
      <c r="C991" s="187">
        <v>413443</v>
      </c>
      <c r="D991" s="187">
        <v>251</v>
      </c>
    </row>
    <row r="992" spans="1:4">
      <c r="A992" s="187" t="s">
        <v>3574</v>
      </c>
      <c r="B992" s="187" t="s">
        <v>3575</v>
      </c>
      <c r="C992" s="187">
        <v>84700</v>
      </c>
      <c r="D992" s="187">
        <v>159</v>
      </c>
    </row>
    <row r="993" spans="1:4">
      <c r="A993" s="187" t="s">
        <v>4072</v>
      </c>
      <c r="B993" s="187" t="s">
        <v>4073</v>
      </c>
      <c r="C993" s="187">
        <v>86435</v>
      </c>
      <c r="D993" s="187">
        <v>78</v>
      </c>
    </row>
    <row r="994" spans="1:4">
      <c r="A994" s="187" t="s">
        <v>735</v>
      </c>
      <c r="B994" s="187" t="s">
        <v>755</v>
      </c>
      <c r="C994" s="187">
        <v>20764</v>
      </c>
      <c r="D994" s="187">
        <v>44</v>
      </c>
    </row>
    <row r="995" spans="1:4">
      <c r="A995" s="187" t="s">
        <v>3576</v>
      </c>
      <c r="B995" s="187" t="s">
        <v>3041</v>
      </c>
      <c r="C995" s="187">
        <v>71875</v>
      </c>
      <c r="D995" s="187">
        <v>108</v>
      </c>
    </row>
    <row r="996" spans="1:4">
      <c r="A996" s="187" t="s">
        <v>3577</v>
      </c>
      <c r="B996" s="187" t="s">
        <v>3578</v>
      </c>
      <c r="C996" s="187">
        <v>518400</v>
      </c>
      <c r="D996" s="187">
        <v>369</v>
      </c>
    </row>
    <row r="997" spans="1:4">
      <c r="A997" s="187" t="s">
        <v>6190</v>
      </c>
      <c r="B997" s="187" t="s">
        <v>3579</v>
      </c>
      <c r="C997" s="187">
        <v>114418</v>
      </c>
      <c r="D997" s="187">
        <v>134</v>
      </c>
    </row>
    <row r="998" spans="1:4">
      <c r="A998" s="187" t="s">
        <v>3580</v>
      </c>
      <c r="B998" s="187" t="s">
        <v>3581</v>
      </c>
      <c r="C998" s="187">
        <v>27361</v>
      </c>
      <c r="D998" s="187">
        <v>48</v>
      </c>
    </row>
    <row r="999" spans="1:4">
      <c r="A999" s="187" t="s">
        <v>1862</v>
      </c>
      <c r="B999" s="187" t="s">
        <v>595</v>
      </c>
      <c r="C999" s="187">
        <v>322173</v>
      </c>
      <c r="D999" s="187">
        <v>164</v>
      </c>
    </row>
    <row r="1000" spans="1:4">
      <c r="A1000" s="187" t="s">
        <v>3582</v>
      </c>
      <c r="B1000" s="187" t="s">
        <v>3583</v>
      </c>
      <c r="C1000" s="187">
        <v>103818</v>
      </c>
      <c r="D1000" s="187">
        <v>119</v>
      </c>
    </row>
    <row r="1001" spans="1:4">
      <c r="A1001" s="187" t="s">
        <v>3584</v>
      </c>
      <c r="B1001" s="187" t="s">
        <v>3585</v>
      </c>
      <c r="C1001" s="187">
        <v>127409</v>
      </c>
      <c r="D1001" s="187">
        <v>109</v>
      </c>
    </row>
    <row r="1002" spans="1:4">
      <c r="A1002" s="187" t="s">
        <v>3586</v>
      </c>
      <c r="B1002" s="187" t="s">
        <v>3587</v>
      </c>
      <c r="C1002" s="187">
        <v>377100</v>
      </c>
      <c r="D1002" s="187">
        <v>106</v>
      </c>
    </row>
    <row r="1003" spans="1:4">
      <c r="A1003" s="187" t="s">
        <v>3588</v>
      </c>
      <c r="B1003" s="187" t="s">
        <v>3589</v>
      </c>
      <c r="C1003" s="187">
        <v>232274</v>
      </c>
      <c r="D1003" s="187">
        <v>66</v>
      </c>
    </row>
    <row r="1004" spans="1:4">
      <c r="A1004" s="187" t="s">
        <v>6036</v>
      </c>
      <c r="B1004" s="187" t="s">
        <v>467</v>
      </c>
      <c r="C1004" s="187">
        <v>17550</v>
      </c>
      <c r="D1004" s="187">
        <v>38</v>
      </c>
    </row>
    <row r="1005" spans="1:4">
      <c r="A1005" s="187" t="s">
        <v>2472</v>
      </c>
      <c r="B1005" s="187" t="s">
        <v>4994</v>
      </c>
      <c r="C1005" s="187">
        <v>160600</v>
      </c>
      <c r="D1005" s="187">
        <v>93</v>
      </c>
    </row>
    <row r="1006" spans="1:4">
      <c r="A1006" s="187" t="s">
        <v>2418</v>
      </c>
      <c r="B1006" s="187" t="s">
        <v>3140</v>
      </c>
      <c r="C1006" s="187">
        <v>1434639</v>
      </c>
      <c r="D1006" s="187">
        <v>865</v>
      </c>
    </row>
    <row r="1007" spans="1:4">
      <c r="A1007" s="187" t="s">
        <v>3590</v>
      </c>
      <c r="B1007" s="187" t="s">
        <v>3591</v>
      </c>
      <c r="C1007" s="187">
        <v>39411</v>
      </c>
      <c r="D1007" s="187">
        <v>37</v>
      </c>
    </row>
    <row r="1008" spans="1:4">
      <c r="A1008" s="187" t="s">
        <v>3592</v>
      </c>
      <c r="B1008" s="187" t="s">
        <v>3593</v>
      </c>
      <c r="C1008" s="187">
        <v>12488</v>
      </c>
      <c r="D1008" s="187">
        <v>10</v>
      </c>
    </row>
    <row r="1009" spans="1:4">
      <c r="A1009" s="187" t="s">
        <v>2389</v>
      </c>
      <c r="B1009" s="187" t="s">
        <v>2550</v>
      </c>
      <c r="C1009" s="187">
        <v>3688456</v>
      </c>
      <c r="D1009" s="187">
        <v>1329</v>
      </c>
    </row>
    <row r="1010" spans="1:4">
      <c r="A1010" s="187" t="s">
        <v>3594</v>
      </c>
      <c r="B1010" s="187" t="s">
        <v>3595</v>
      </c>
      <c r="C1010" s="187">
        <v>69672</v>
      </c>
      <c r="D1010" s="187">
        <v>31</v>
      </c>
    </row>
    <row r="1011" spans="1:4">
      <c r="A1011" s="187" t="s">
        <v>5319</v>
      </c>
      <c r="B1011" s="187" t="s">
        <v>6240</v>
      </c>
      <c r="C1011" s="187">
        <v>9312</v>
      </c>
      <c r="D1011" s="187">
        <v>8</v>
      </c>
    </row>
    <row r="1012" spans="1:4">
      <c r="A1012" s="187" t="s">
        <v>6241</v>
      </c>
      <c r="B1012" s="187" t="s">
        <v>6242</v>
      </c>
      <c r="C1012" s="187">
        <v>320736</v>
      </c>
      <c r="D1012" s="187">
        <v>237</v>
      </c>
    </row>
    <row r="1013" spans="1:4">
      <c r="A1013" s="187" t="s">
        <v>6243</v>
      </c>
      <c r="B1013" s="187" t="s">
        <v>3135</v>
      </c>
      <c r="C1013" s="187">
        <v>189743</v>
      </c>
      <c r="D1013" s="187">
        <v>116</v>
      </c>
    </row>
    <row r="1014" spans="1:4">
      <c r="A1014" s="187" t="s">
        <v>1832</v>
      </c>
      <c r="B1014" s="187" t="s">
        <v>2958</v>
      </c>
      <c r="C1014" s="187">
        <v>150210</v>
      </c>
      <c r="D1014" s="187">
        <v>176</v>
      </c>
    </row>
    <row r="1015" spans="1:4">
      <c r="A1015" s="187" t="s">
        <v>6164</v>
      </c>
      <c r="B1015" s="187" t="s">
        <v>135</v>
      </c>
      <c r="C1015" s="187">
        <v>89920</v>
      </c>
      <c r="D1015" s="187">
        <v>72</v>
      </c>
    </row>
    <row r="1016" spans="1:4">
      <c r="A1016" s="187" t="s">
        <v>6244</v>
      </c>
      <c r="B1016" s="187" t="s">
        <v>6245</v>
      </c>
      <c r="C1016" s="187">
        <v>391357</v>
      </c>
      <c r="D1016" s="187">
        <v>290</v>
      </c>
    </row>
    <row r="1017" spans="1:4">
      <c r="A1017" s="187" t="s">
        <v>6246</v>
      </c>
      <c r="B1017" s="187" t="s">
        <v>6247</v>
      </c>
      <c r="C1017" s="187">
        <v>423734</v>
      </c>
      <c r="D1017" s="187">
        <v>352</v>
      </c>
    </row>
    <row r="1018" spans="1:4">
      <c r="A1018" s="187" t="s">
        <v>1313</v>
      </c>
      <c r="B1018" s="187" t="s">
        <v>2668</v>
      </c>
      <c r="C1018" s="187">
        <v>22093</v>
      </c>
      <c r="D1018" s="187">
        <v>64</v>
      </c>
    </row>
    <row r="1019" spans="1:4">
      <c r="A1019" s="187" t="s">
        <v>955</v>
      </c>
      <c r="B1019" s="187" t="s">
        <v>1201</v>
      </c>
      <c r="C1019" s="187">
        <v>349774</v>
      </c>
      <c r="D1019" s="187">
        <v>158</v>
      </c>
    </row>
    <row r="1020" spans="1:4">
      <c r="A1020" s="187" t="s">
        <v>3552</v>
      </c>
      <c r="B1020" s="187" t="s">
        <v>3143</v>
      </c>
      <c r="C1020" s="187">
        <v>3029772</v>
      </c>
      <c r="D1020" s="187">
        <v>2221</v>
      </c>
    </row>
    <row r="1021" spans="1:4">
      <c r="A1021" s="187" t="s">
        <v>6248</v>
      </c>
      <c r="B1021" s="187" t="s">
        <v>6249</v>
      </c>
      <c r="C1021" s="187">
        <v>25960</v>
      </c>
      <c r="D1021" s="187">
        <v>12</v>
      </c>
    </row>
    <row r="1022" spans="1:4">
      <c r="A1022" s="187" t="s">
        <v>6182</v>
      </c>
      <c r="B1022" s="187" t="s">
        <v>4993</v>
      </c>
      <c r="C1022" s="187">
        <v>116208</v>
      </c>
      <c r="D1022" s="187">
        <v>124</v>
      </c>
    </row>
    <row r="1023" spans="1:4">
      <c r="A1023" s="187" t="s">
        <v>6250</v>
      </c>
      <c r="B1023" s="187" t="s">
        <v>6251</v>
      </c>
      <c r="C1023" s="187">
        <v>616187</v>
      </c>
      <c r="D1023" s="187">
        <v>962</v>
      </c>
    </row>
    <row r="1024" spans="1:4">
      <c r="A1024" s="187" t="s">
        <v>5038</v>
      </c>
      <c r="B1024" s="187" t="s">
        <v>1611</v>
      </c>
      <c r="C1024" s="187">
        <v>324995</v>
      </c>
      <c r="D1024" s="187">
        <v>223</v>
      </c>
    </row>
    <row r="1025" spans="1:4">
      <c r="A1025" s="187" t="s">
        <v>5039</v>
      </c>
      <c r="B1025" s="187" t="s">
        <v>3989</v>
      </c>
      <c r="C1025" s="187">
        <v>1574739</v>
      </c>
      <c r="D1025" s="187">
        <v>619</v>
      </c>
    </row>
    <row r="1026" spans="1:4">
      <c r="A1026" s="187" t="s">
        <v>2082</v>
      </c>
      <c r="B1026" s="187" t="s">
        <v>2083</v>
      </c>
      <c r="C1026" s="187">
        <v>233330</v>
      </c>
      <c r="D1026" s="187">
        <v>208</v>
      </c>
    </row>
    <row r="1027" spans="1:4">
      <c r="A1027" s="187" t="s">
        <v>2084</v>
      </c>
      <c r="B1027" s="187" t="s">
        <v>2085</v>
      </c>
      <c r="C1027" s="187">
        <v>1279106</v>
      </c>
      <c r="D1027" s="187">
        <v>333</v>
      </c>
    </row>
    <row r="1028" spans="1:4">
      <c r="A1028" s="187" t="s">
        <v>2086</v>
      </c>
      <c r="B1028" s="187" t="s">
        <v>2087</v>
      </c>
      <c r="C1028" s="187">
        <v>57491</v>
      </c>
      <c r="D1028" s="187">
        <v>35</v>
      </c>
    </row>
    <row r="1029" spans="1:4">
      <c r="A1029" s="187" t="s">
        <v>2088</v>
      </c>
      <c r="B1029" s="187" t="s">
        <v>2089</v>
      </c>
      <c r="C1029" s="187">
        <v>1023792</v>
      </c>
      <c r="D1029" s="187">
        <v>653</v>
      </c>
    </row>
    <row r="1030" spans="1:4">
      <c r="A1030" s="187" t="s">
        <v>2090</v>
      </c>
      <c r="B1030" s="187" t="s">
        <v>2091</v>
      </c>
      <c r="C1030" s="187">
        <v>88369</v>
      </c>
      <c r="D1030" s="187">
        <v>74</v>
      </c>
    </row>
    <row r="1031" spans="1:4">
      <c r="A1031" s="187" t="s">
        <v>2092</v>
      </c>
      <c r="B1031" s="187" t="s">
        <v>2093</v>
      </c>
      <c r="C1031" s="187">
        <v>10859</v>
      </c>
      <c r="D1031" s="187">
        <v>12</v>
      </c>
    </row>
    <row r="1032" spans="1:4">
      <c r="A1032" s="187" t="s">
        <v>2987</v>
      </c>
      <c r="B1032" s="187" t="s">
        <v>1691</v>
      </c>
      <c r="C1032" s="187">
        <v>7153299</v>
      </c>
      <c r="D1032" s="187">
        <v>3286</v>
      </c>
    </row>
    <row r="1033" spans="1:4">
      <c r="A1033" s="187" t="s">
        <v>2094</v>
      </c>
      <c r="B1033" s="187" t="s">
        <v>2095</v>
      </c>
      <c r="C1033" s="187">
        <v>34247</v>
      </c>
      <c r="D1033" s="187">
        <v>14</v>
      </c>
    </row>
    <row r="1034" spans="1:4">
      <c r="A1034" s="187" t="s">
        <v>2417</v>
      </c>
      <c r="B1034" s="187" t="s">
        <v>332</v>
      </c>
      <c r="C1034" s="187">
        <v>5657796</v>
      </c>
      <c r="D1034" s="187">
        <v>3689</v>
      </c>
    </row>
    <row r="1035" spans="1:4">
      <c r="A1035" s="187" t="s">
        <v>78</v>
      </c>
      <c r="B1035" s="187" t="s">
        <v>79</v>
      </c>
      <c r="C1035" s="187">
        <v>260320</v>
      </c>
      <c r="D1035" s="187">
        <v>91</v>
      </c>
    </row>
    <row r="1036" spans="1:4">
      <c r="A1036" s="187" t="s">
        <v>80</v>
      </c>
      <c r="B1036" s="187" t="s">
        <v>81</v>
      </c>
      <c r="C1036" s="187">
        <v>265528</v>
      </c>
      <c r="D1036" s="187">
        <v>155</v>
      </c>
    </row>
    <row r="1037" spans="1:4">
      <c r="A1037" s="187" t="s">
        <v>82</v>
      </c>
      <c r="B1037" s="187" t="s">
        <v>83</v>
      </c>
      <c r="C1037" s="187">
        <v>180056</v>
      </c>
      <c r="D1037" s="187">
        <v>124</v>
      </c>
    </row>
    <row r="1038" spans="1:4">
      <c r="A1038" s="187" t="s">
        <v>84</v>
      </c>
      <c r="B1038" s="187" t="s">
        <v>85</v>
      </c>
      <c r="C1038" s="187">
        <v>1496538</v>
      </c>
      <c r="D1038" s="187">
        <v>521</v>
      </c>
    </row>
    <row r="1039" spans="1:4">
      <c r="A1039" s="187" t="s">
        <v>86</v>
      </c>
      <c r="B1039" s="187" t="s">
        <v>87</v>
      </c>
      <c r="C1039" s="187">
        <v>400680</v>
      </c>
      <c r="D1039" s="187">
        <v>402</v>
      </c>
    </row>
    <row r="1040" spans="1:4">
      <c r="A1040" s="187" t="s">
        <v>88</v>
      </c>
      <c r="B1040" s="187" t="s">
        <v>89</v>
      </c>
      <c r="C1040" s="187">
        <v>158203</v>
      </c>
      <c r="D1040" s="187">
        <v>82</v>
      </c>
    </row>
    <row r="1041" spans="1:4">
      <c r="A1041" s="187" t="s">
        <v>90</v>
      </c>
      <c r="B1041" s="187" t="s">
        <v>91</v>
      </c>
      <c r="C1041" s="187">
        <v>152943</v>
      </c>
      <c r="D1041" s="187">
        <v>101</v>
      </c>
    </row>
    <row r="1042" spans="1:4">
      <c r="A1042" s="187" t="s">
        <v>92</v>
      </c>
      <c r="B1042" s="187" t="s">
        <v>93</v>
      </c>
      <c r="C1042" s="187">
        <v>69645</v>
      </c>
      <c r="D1042" s="187">
        <v>62</v>
      </c>
    </row>
    <row r="1043" spans="1:4">
      <c r="A1043" s="187" t="s">
        <v>94</v>
      </c>
      <c r="B1043" s="187" t="s">
        <v>7128</v>
      </c>
      <c r="C1043" s="187">
        <v>31438</v>
      </c>
      <c r="D1043" s="187">
        <v>24</v>
      </c>
    </row>
    <row r="1044" spans="1:4">
      <c r="A1044" s="187" t="s">
        <v>2332</v>
      </c>
      <c r="B1044" s="187" t="s">
        <v>2333</v>
      </c>
      <c r="C1044" s="187">
        <v>31983</v>
      </c>
      <c r="D1044" s="187">
        <v>10</v>
      </c>
    </row>
    <row r="1045" spans="1:4">
      <c r="A1045" s="187" t="s">
        <v>2334</v>
      </c>
      <c r="B1045" s="187" t="s">
        <v>2335</v>
      </c>
      <c r="C1045" s="187">
        <v>100959</v>
      </c>
      <c r="D1045" s="187">
        <v>34</v>
      </c>
    </row>
    <row r="1046" spans="1:4">
      <c r="A1046" s="187" t="s">
        <v>962</v>
      </c>
      <c r="B1046" s="187" t="s">
        <v>1208</v>
      </c>
      <c r="C1046" s="187">
        <v>509962</v>
      </c>
      <c r="D1046" s="187">
        <v>517</v>
      </c>
    </row>
    <row r="1047" spans="1:4">
      <c r="A1047" s="187" t="s">
        <v>2336</v>
      </c>
      <c r="B1047" s="187" t="s">
        <v>2337</v>
      </c>
      <c r="C1047" s="187">
        <v>181944</v>
      </c>
      <c r="D1047" s="187">
        <v>114</v>
      </c>
    </row>
    <row r="1048" spans="1:4">
      <c r="A1048" s="187" t="s">
        <v>2338</v>
      </c>
      <c r="B1048" s="187" t="s">
        <v>2339</v>
      </c>
      <c r="C1048" s="187">
        <v>333998</v>
      </c>
      <c r="D1048" s="187">
        <v>245</v>
      </c>
    </row>
    <row r="1049" spans="1:4">
      <c r="A1049" s="187" t="s">
        <v>2340</v>
      </c>
      <c r="B1049" s="187" t="s">
        <v>3218</v>
      </c>
      <c r="C1049" s="187">
        <v>2879760</v>
      </c>
      <c r="D1049" s="187">
        <v>2092</v>
      </c>
    </row>
    <row r="1050" spans="1:4">
      <c r="A1050" s="187" t="s">
        <v>738</v>
      </c>
      <c r="B1050" s="187" t="s">
        <v>2660</v>
      </c>
      <c r="C1050" s="187">
        <v>314639</v>
      </c>
      <c r="D1050" s="187">
        <v>118</v>
      </c>
    </row>
    <row r="1051" spans="1:4">
      <c r="A1051" s="187" t="s">
        <v>3219</v>
      </c>
      <c r="B1051" s="187" t="s">
        <v>607</v>
      </c>
      <c r="C1051" s="187">
        <v>0</v>
      </c>
      <c r="D1051" s="187">
        <v>24</v>
      </c>
    </row>
    <row r="1052" spans="1:4">
      <c r="A1052" s="187" t="s">
        <v>608</v>
      </c>
      <c r="B1052" s="187" t="s">
        <v>609</v>
      </c>
      <c r="C1052" s="187">
        <v>494180</v>
      </c>
      <c r="D1052" s="187">
        <v>335</v>
      </c>
    </row>
    <row r="1053" spans="1:4">
      <c r="A1053" s="187" t="s">
        <v>610</v>
      </c>
      <c r="B1053" s="187" t="s">
        <v>7641</v>
      </c>
      <c r="C1053" s="187">
        <v>29887</v>
      </c>
      <c r="D1053" s="187">
        <v>26</v>
      </c>
    </row>
    <row r="1054" spans="1:4">
      <c r="A1054" s="187" t="s">
        <v>6145</v>
      </c>
      <c r="B1054" s="187" t="s">
        <v>3078</v>
      </c>
      <c r="C1054" s="187">
        <v>39505</v>
      </c>
      <c r="D1054" s="187">
        <v>64</v>
      </c>
    </row>
    <row r="1055" spans="1:4">
      <c r="A1055" s="187" t="s">
        <v>2998</v>
      </c>
      <c r="B1055" s="187" t="s">
        <v>6132</v>
      </c>
      <c r="C1055" s="187">
        <v>280785</v>
      </c>
      <c r="D1055" s="187">
        <v>296</v>
      </c>
    </row>
    <row r="1056" spans="1:4">
      <c r="A1056" s="187" t="s">
        <v>2766</v>
      </c>
      <c r="B1056" s="187" t="s">
        <v>65</v>
      </c>
      <c r="C1056" s="187">
        <v>443190</v>
      </c>
      <c r="D1056" s="187">
        <v>433</v>
      </c>
    </row>
    <row r="1057" spans="1:4">
      <c r="A1057" s="187" t="s">
        <v>5040</v>
      </c>
      <c r="B1057" s="187" t="s">
        <v>3990</v>
      </c>
      <c r="C1057" s="187">
        <v>105120</v>
      </c>
      <c r="D1057" s="187">
        <v>55</v>
      </c>
    </row>
    <row r="1058" spans="1:4">
      <c r="A1058" s="187" t="s">
        <v>1307</v>
      </c>
      <c r="B1058" s="187" t="s">
        <v>252</v>
      </c>
      <c r="C1058" s="187">
        <v>269497</v>
      </c>
      <c r="D1058" s="187">
        <v>150</v>
      </c>
    </row>
    <row r="1059" spans="1:4">
      <c r="A1059" s="187" t="s">
        <v>1319</v>
      </c>
      <c r="B1059" s="187" t="s">
        <v>4961</v>
      </c>
      <c r="C1059" s="187">
        <v>1757960</v>
      </c>
      <c r="D1059" s="187">
        <v>1255</v>
      </c>
    </row>
    <row r="1060" spans="1:4">
      <c r="A1060" s="187" t="s">
        <v>1856</v>
      </c>
      <c r="B1060" s="187" t="s">
        <v>2974</v>
      </c>
      <c r="C1060" s="187">
        <v>0</v>
      </c>
      <c r="D1060" s="187">
        <v>60</v>
      </c>
    </row>
    <row r="1061" spans="1:4">
      <c r="A1061" s="187" t="s">
        <v>6020</v>
      </c>
      <c r="B1061" s="187" t="s">
        <v>4561</v>
      </c>
      <c r="C1061" s="187">
        <v>241559</v>
      </c>
      <c r="D1061" s="187">
        <v>174</v>
      </c>
    </row>
    <row r="1062" spans="1:4">
      <c r="A1062" s="187" t="s">
        <v>611</v>
      </c>
      <c r="B1062" s="187" t="s">
        <v>612</v>
      </c>
      <c r="C1062" s="187">
        <v>57130</v>
      </c>
      <c r="D1062" s="187">
        <v>106</v>
      </c>
    </row>
    <row r="1063" spans="1:4">
      <c r="A1063" s="187" t="s">
        <v>2990</v>
      </c>
      <c r="B1063" s="187" t="s">
        <v>1695</v>
      </c>
      <c r="C1063" s="187">
        <v>176530</v>
      </c>
      <c r="D1063" s="187">
        <v>265</v>
      </c>
    </row>
    <row r="1064" spans="1:4">
      <c r="A1064" s="187" t="s">
        <v>2382</v>
      </c>
      <c r="B1064" s="187" t="s">
        <v>658</v>
      </c>
      <c r="C1064" s="187">
        <v>9500401</v>
      </c>
      <c r="D1064" s="187">
        <v>4297</v>
      </c>
    </row>
    <row r="1065" spans="1:4">
      <c r="A1065" s="187" t="s">
        <v>2473</v>
      </c>
      <c r="B1065" s="187" t="s">
        <v>4995</v>
      </c>
      <c r="C1065" s="187">
        <v>549920</v>
      </c>
      <c r="D1065" s="187">
        <v>518</v>
      </c>
    </row>
    <row r="1066" spans="1:4">
      <c r="A1066" s="187" t="s">
        <v>2412</v>
      </c>
      <c r="B1066" s="187" t="s">
        <v>1971</v>
      </c>
      <c r="C1066" s="187">
        <v>49555</v>
      </c>
      <c r="D1066" s="187">
        <v>61</v>
      </c>
    </row>
    <row r="1067" spans="1:4">
      <c r="A1067" s="187" t="s">
        <v>2988</v>
      </c>
      <c r="B1067" s="187" t="s">
        <v>1692</v>
      </c>
      <c r="C1067" s="187">
        <v>2029459</v>
      </c>
      <c r="D1067" s="187">
        <v>1904</v>
      </c>
    </row>
    <row r="1068" spans="1:4">
      <c r="A1068" s="187" t="s">
        <v>613</v>
      </c>
      <c r="B1068" s="187" t="s">
        <v>614</v>
      </c>
      <c r="C1068" s="187">
        <v>42255</v>
      </c>
      <c r="D1068" s="187">
        <v>20</v>
      </c>
    </row>
    <row r="1069" spans="1:4">
      <c r="A1069" s="187" t="s">
        <v>5041</v>
      </c>
      <c r="B1069" s="187" t="s">
        <v>5042</v>
      </c>
      <c r="C1069" s="187">
        <v>519877</v>
      </c>
      <c r="D1069" s="187">
        <v>489</v>
      </c>
    </row>
    <row r="1070" spans="1:4">
      <c r="A1070" s="187" t="s">
        <v>6039</v>
      </c>
      <c r="B1070" s="187" t="s">
        <v>1687</v>
      </c>
      <c r="C1070" s="187">
        <v>349909</v>
      </c>
      <c r="D1070" s="187">
        <v>286</v>
      </c>
    </row>
    <row r="1071" spans="1:4">
      <c r="A1071" s="187" t="s">
        <v>5043</v>
      </c>
      <c r="B1071" s="187" t="s">
        <v>5044</v>
      </c>
      <c r="C1071" s="187">
        <v>112280</v>
      </c>
      <c r="D1071" s="187">
        <v>106</v>
      </c>
    </row>
    <row r="1072" spans="1:4">
      <c r="A1072" s="187" t="s">
        <v>2409</v>
      </c>
      <c r="B1072" s="187" t="s">
        <v>7282</v>
      </c>
      <c r="C1072" s="187">
        <v>100824</v>
      </c>
      <c r="D1072" s="187">
        <v>95</v>
      </c>
    </row>
    <row r="1073" spans="1:4">
      <c r="A1073" s="187" t="s">
        <v>615</v>
      </c>
      <c r="B1073" s="187" t="s">
        <v>616</v>
      </c>
      <c r="C1073" s="187">
        <v>800513</v>
      </c>
      <c r="D1073" s="187">
        <v>242</v>
      </c>
    </row>
    <row r="1074" spans="1:4">
      <c r="A1074" s="187" t="s">
        <v>617</v>
      </c>
      <c r="B1074" s="187" t="s">
        <v>618</v>
      </c>
      <c r="C1074" s="187">
        <v>266425</v>
      </c>
      <c r="D1074" s="187">
        <v>76</v>
      </c>
    </row>
    <row r="1075" spans="1:4">
      <c r="A1075" s="187" t="s">
        <v>3889</v>
      </c>
      <c r="B1075" s="187" t="s">
        <v>5266</v>
      </c>
      <c r="C1075" s="187">
        <v>145058</v>
      </c>
      <c r="D1075" s="187">
        <v>81</v>
      </c>
    </row>
    <row r="1076" spans="1:4">
      <c r="A1076" s="187" t="s">
        <v>619</v>
      </c>
      <c r="B1076" s="187" t="s">
        <v>620</v>
      </c>
      <c r="C1076" s="187">
        <v>152256</v>
      </c>
      <c r="D1076" s="187">
        <v>140</v>
      </c>
    </row>
    <row r="1077" spans="1:4">
      <c r="A1077" s="187" t="s">
        <v>1328</v>
      </c>
      <c r="B1077" s="187" t="s">
        <v>1329</v>
      </c>
      <c r="C1077" s="187">
        <v>207600</v>
      </c>
      <c r="D1077" s="187">
        <v>344</v>
      </c>
    </row>
    <row r="1078" spans="1:4">
      <c r="A1078" s="187" t="s">
        <v>6708</v>
      </c>
      <c r="B1078" s="187" t="s">
        <v>6709</v>
      </c>
      <c r="C1078" s="187">
        <v>63101</v>
      </c>
      <c r="D1078" s="187">
        <v>87</v>
      </c>
    </row>
    <row r="1079" spans="1:4">
      <c r="A1079" s="187" t="s">
        <v>6710</v>
      </c>
      <c r="B1079" s="187" t="s">
        <v>6711</v>
      </c>
      <c r="C1079" s="187">
        <v>659297</v>
      </c>
      <c r="D1079" s="187">
        <v>330</v>
      </c>
    </row>
    <row r="1080" spans="1:4">
      <c r="A1080" s="187" t="s">
        <v>6192</v>
      </c>
      <c r="B1080" s="187" t="s">
        <v>1545</v>
      </c>
      <c r="C1080" s="187">
        <v>124283</v>
      </c>
      <c r="D1080" s="187">
        <v>135</v>
      </c>
    </row>
    <row r="1081" spans="1:4">
      <c r="A1081" s="187" t="s">
        <v>2400</v>
      </c>
      <c r="B1081" s="187" t="s">
        <v>1822</v>
      </c>
      <c r="C1081" s="187">
        <v>51528</v>
      </c>
      <c r="D1081" s="187">
        <v>64</v>
      </c>
    </row>
    <row r="1082" spans="1:4">
      <c r="A1082" s="187" t="s">
        <v>6712</v>
      </c>
      <c r="B1082" s="187" t="s">
        <v>6713</v>
      </c>
      <c r="C1082" s="187">
        <v>213624</v>
      </c>
      <c r="D1082" s="187">
        <v>104</v>
      </c>
    </row>
    <row r="1083" spans="1:4">
      <c r="A1083" s="187" t="s">
        <v>6714</v>
      </c>
      <c r="B1083" s="187" t="s">
        <v>6715</v>
      </c>
      <c r="C1083" s="187">
        <v>309624</v>
      </c>
      <c r="D1083" s="187">
        <v>187</v>
      </c>
    </row>
    <row r="1084" spans="1:4">
      <c r="A1084" s="187" t="s">
        <v>6716</v>
      </c>
      <c r="B1084" s="187" t="s">
        <v>6717</v>
      </c>
      <c r="C1084" s="187">
        <v>120960</v>
      </c>
      <c r="D1084" s="187">
        <v>201</v>
      </c>
    </row>
    <row r="1085" spans="1:4">
      <c r="A1085" s="187" t="s">
        <v>6718</v>
      </c>
      <c r="B1085" s="187" t="s">
        <v>6719</v>
      </c>
      <c r="C1085" s="187">
        <v>24502</v>
      </c>
      <c r="D1085" s="187">
        <v>45</v>
      </c>
    </row>
    <row r="1086" spans="1:4">
      <c r="A1086" s="187" t="s">
        <v>2443</v>
      </c>
      <c r="B1086" s="187" t="s">
        <v>2444</v>
      </c>
      <c r="C1086" s="187">
        <v>55200</v>
      </c>
      <c r="D1086" s="187">
        <v>115</v>
      </c>
    </row>
    <row r="1087" spans="1:4">
      <c r="A1087" s="187" t="s">
        <v>2445</v>
      </c>
      <c r="B1087" s="187" t="s">
        <v>2446</v>
      </c>
      <c r="C1087" s="187">
        <v>173666</v>
      </c>
      <c r="D1087" s="187">
        <v>204</v>
      </c>
    </row>
    <row r="1088" spans="1:4">
      <c r="A1088" s="187" t="s">
        <v>2447</v>
      </c>
      <c r="B1088" s="187" t="s">
        <v>2448</v>
      </c>
      <c r="C1088" s="187">
        <v>711360</v>
      </c>
      <c r="D1088" s="187">
        <v>213</v>
      </c>
    </row>
    <row r="1089" spans="1:4">
      <c r="A1089" s="187" t="s">
        <v>905</v>
      </c>
      <c r="B1089" s="187" t="s">
        <v>906</v>
      </c>
      <c r="C1089" s="187">
        <v>437826</v>
      </c>
      <c r="D1089" s="187">
        <v>95</v>
      </c>
    </row>
    <row r="1090" spans="1:4">
      <c r="A1090" s="187" t="s">
        <v>1854</v>
      </c>
      <c r="B1090" s="187" t="s">
        <v>2972</v>
      </c>
      <c r="C1090" s="187">
        <v>474956</v>
      </c>
      <c r="D1090" s="187">
        <v>319</v>
      </c>
    </row>
    <row r="1091" spans="1:4">
      <c r="A1091" s="187" t="s">
        <v>907</v>
      </c>
      <c r="B1091" s="187" t="s">
        <v>908</v>
      </c>
      <c r="C1091" s="187">
        <v>47936</v>
      </c>
      <c r="D1091" s="187">
        <v>41</v>
      </c>
    </row>
    <row r="1092" spans="1:4">
      <c r="A1092" s="187" t="s">
        <v>6146</v>
      </c>
      <c r="B1092" s="187" t="s">
        <v>3079</v>
      </c>
      <c r="C1092" s="187">
        <v>255111</v>
      </c>
      <c r="D1092" s="187">
        <v>134</v>
      </c>
    </row>
    <row r="1093" spans="1:4">
      <c r="A1093" s="187" t="s">
        <v>909</v>
      </c>
      <c r="B1093" s="187" t="s">
        <v>910</v>
      </c>
      <c r="C1093" s="187">
        <v>713218</v>
      </c>
      <c r="D1093" s="187">
        <v>488</v>
      </c>
    </row>
    <row r="1094" spans="1:4">
      <c r="A1094" s="187" t="s">
        <v>247</v>
      </c>
      <c r="B1094" s="187" t="s">
        <v>6136</v>
      </c>
      <c r="C1094" s="187">
        <v>561933</v>
      </c>
      <c r="D1094" s="187">
        <v>369</v>
      </c>
    </row>
    <row r="1095" spans="1:4">
      <c r="A1095" s="187" t="s">
        <v>1527</v>
      </c>
      <c r="B1095" s="187" t="s">
        <v>1528</v>
      </c>
      <c r="C1095" s="187">
        <v>267698</v>
      </c>
      <c r="D1095" s="187">
        <v>89</v>
      </c>
    </row>
  </sheetData>
  <sheetProtection password="EB65" sheet="1" objects="1" scenarios="1"/>
  <phoneticPr fontId="0"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45"/>
  <dimension ref="A1:H89"/>
  <sheetViews>
    <sheetView workbookViewId="0">
      <selection activeCell="H9" sqref="H9"/>
    </sheetView>
  </sheetViews>
  <sheetFormatPr defaultRowHeight="13.2"/>
  <cols>
    <col min="1" max="1" width="4.21875" customWidth="1"/>
    <col min="2" max="2" width="9.44140625" customWidth="1"/>
    <col min="3" max="3" width="1.77734375" customWidth="1"/>
    <col min="4" max="4" width="12.77734375" customWidth="1"/>
    <col min="5" max="5" width="28.44140625" customWidth="1"/>
    <col min="6" max="6" width="14.77734375" customWidth="1"/>
    <col min="7" max="7" width="2.77734375" customWidth="1"/>
    <col min="8" max="8" width="14.77734375" customWidth="1"/>
  </cols>
  <sheetData>
    <row r="1" spans="1:8">
      <c r="A1" s="27" t="s">
        <v>6151</v>
      </c>
      <c r="D1" s="108">
        <f>'Data Entry - SOF'!C1</f>
        <v>0</v>
      </c>
      <c r="H1" s="107" t="s">
        <v>1618</v>
      </c>
    </row>
    <row r="2" spans="1:8">
      <c r="A2" s="27" t="s">
        <v>6134</v>
      </c>
      <c r="D2" s="109" t="str">
        <f>'Data Entry - SOF'!B2</f>
        <v>000-000</v>
      </c>
      <c r="H2" s="107" t="str">
        <f>IFA!H2</f>
        <v>Release 09-10; Revised 10/18/11</v>
      </c>
    </row>
    <row r="3" spans="1:8">
      <c r="A3" s="27" t="s">
        <v>6154</v>
      </c>
      <c r="D3" s="95">
        <f ca="1">'Data Entry - SOF'!B3</f>
        <v>45352.58606238426</v>
      </c>
      <c r="H3" s="106">
        <f>'Data Entry - SOF'!H3</f>
        <v>0</v>
      </c>
    </row>
    <row r="5" spans="1:8" ht="12.75" customHeight="1">
      <c r="C5" s="48" t="s">
        <v>733</v>
      </c>
    </row>
    <row r="6" spans="1:8" ht="12.75" customHeight="1">
      <c r="C6" s="48" t="s">
        <v>5119</v>
      </c>
      <c r="E6" s="48" t="s">
        <v>51</v>
      </c>
    </row>
    <row r="7" spans="1:8" ht="12.75" customHeight="1">
      <c r="C7" s="48"/>
    </row>
    <row r="8" spans="1:8" ht="12.75" customHeight="1">
      <c r="A8" t="s">
        <v>2302</v>
      </c>
      <c r="C8" s="48"/>
    </row>
    <row r="9" spans="1:8" ht="12.75" customHeight="1">
      <c r="A9" t="s">
        <v>4955</v>
      </c>
      <c r="C9" s="48"/>
    </row>
    <row r="10" spans="1:8" ht="12.75" customHeight="1">
      <c r="A10" t="s">
        <v>6133</v>
      </c>
      <c r="C10" s="48"/>
    </row>
    <row r="11" spans="1:8" ht="12.75" customHeight="1">
      <c r="A11" t="s">
        <v>3185</v>
      </c>
      <c r="C11" s="48"/>
    </row>
    <row r="12" spans="1:8" ht="12.75" customHeight="1">
      <c r="C12" s="48"/>
    </row>
    <row r="13" spans="1:8" ht="12.75" customHeight="1">
      <c r="C13" s="48"/>
      <c r="D13" s="94" t="s">
        <v>103</v>
      </c>
    </row>
    <row r="14" spans="1:8" ht="12.75" customHeight="1">
      <c r="A14" s="48"/>
      <c r="D14" t="s">
        <v>28</v>
      </c>
    </row>
    <row r="15" spans="1:8" ht="12.75" customHeight="1">
      <c r="A15" s="48"/>
      <c r="D15" t="s">
        <v>104</v>
      </c>
      <c r="F15" s="97" t="s">
        <v>471</v>
      </c>
      <c r="H15" s="97" t="s">
        <v>472</v>
      </c>
    </row>
    <row r="16" spans="1:8" ht="12.75" customHeight="1">
      <c r="A16" s="98" t="s">
        <v>473</v>
      </c>
      <c r="B16" t="s">
        <v>1502</v>
      </c>
      <c r="D16" s="104" t="e">
        <f>VLOOKUP(D2,award1_05!A1:F405,4,FALSE)</f>
        <v>#N/A</v>
      </c>
      <c r="F16" s="96"/>
      <c r="H16" s="96"/>
    </row>
    <row r="17" spans="1:8" ht="12.75" customHeight="1">
      <c r="A17" s="48"/>
      <c r="B17" s="71"/>
      <c r="E17" t="s">
        <v>1500</v>
      </c>
      <c r="F17" s="101" t="e">
        <f>IF(VLOOKUP(D2,award1_05!A1:F405,3,FALSE)="L",0,VLOOKUP(D2,award1_05!A1:F405,5,FALSE))</f>
        <v>#N/A</v>
      </c>
      <c r="H17" s="101" t="e">
        <f>IF(VLOOKUP(D2,award1_05!A1:F405,3,FALSE)="B",0,VLOOKUP(D2,award1_05!A1:F405,5,FALSE))</f>
        <v>#N/A</v>
      </c>
    </row>
    <row r="18" spans="1:8" ht="12.75" customHeight="1">
      <c r="A18" s="48"/>
      <c r="E18" s="71" t="s">
        <v>2303</v>
      </c>
      <c r="F18" s="101" t="e">
        <f>IF(VLOOKUP(D2,award1_05!A1:F405,3,FALSE)="L",0,VLOOKUP(D2,award1_05!A1:F405,6,FALSE))</f>
        <v>#N/A</v>
      </c>
      <c r="H18" s="101" t="e">
        <f>IF(VLOOKUP(D2,award1_05!A1:F405,3,FALSE)="B",0,VLOOKUP(D2,award1_05!A1:F405,6,FALSE))</f>
        <v>#N/A</v>
      </c>
    </row>
    <row r="19" spans="1:8" ht="12.75" customHeight="1">
      <c r="A19" s="48"/>
      <c r="E19" t="s">
        <v>4594</v>
      </c>
      <c r="F19" s="102" t="e">
        <f>IF(F17&lt;F18,F17,F18)</f>
        <v>#N/A</v>
      </c>
      <c r="H19" s="102" t="e">
        <f>IF(H17&lt;H18,H17,H18)</f>
        <v>#N/A</v>
      </c>
    </row>
    <row r="20" spans="1:8" ht="12.75" customHeight="1">
      <c r="A20" s="98" t="s">
        <v>474</v>
      </c>
      <c r="B20" t="s">
        <v>1503</v>
      </c>
      <c r="D20" s="104" t="e">
        <f>VLOOKUP(D2,award2_05!A1:F164,4,FALSE)</f>
        <v>#N/A</v>
      </c>
      <c r="F20" s="96"/>
      <c r="H20" s="96"/>
    </row>
    <row r="21" spans="1:8" ht="12.75" customHeight="1">
      <c r="A21" s="48"/>
      <c r="B21" s="71"/>
      <c r="E21" t="s">
        <v>1500</v>
      </c>
      <c r="F21" s="101" t="e">
        <f>IF(VLOOKUP(D2,award2_05!A1:F164,3,FALSE)="L",0,VLOOKUP(D2,award2_05!A1:F164,5,FALSE))</f>
        <v>#N/A</v>
      </c>
      <c r="H21" s="101" t="e">
        <f>IF(VLOOKUP(D2,award2_05!A1:F164,3,FALSE)="B",0,VLOOKUP(D2,award2_05!A1:F164,5,FALSE))</f>
        <v>#N/A</v>
      </c>
    </row>
    <row r="22" spans="1:8" ht="12.75" customHeight="1">
      <c r="A22" s="48"/>
      <c r="E22" s="71" t="s">
        <v>2303</v>
      </c>
      <c r="F22" s="101" t="e">
        <f>IF(VLOOKUP(D2,award2_05!A1:F164,3,FALSE)="L",0,VLOOKUP(D2,award2_05!A1:F164,6,FALSE))</f>
        <v>#N/A</v>
      </c>
      <c r="H22" s="101" t="e">
        <f>IF(VLOOKUP(D2,award2_05!A1:F164,3,FALSE)="B",0,VLOOKUP(D2,award2_05!A1:F164,6,FALSE))</f>
        <v>#N/A</v>
      </c>
    </row>
    <row r="23" spans="1:8" ht="12.75" customHeight="1">
      <c r="A23" s="48"/>
      <c r="E23" t="s">
        <v>4594</v>
      </c>
      <c r="F23" s="102" t="e">
        <f>IF(F21&lt;F22,F21,F22)</f>
        <v>#N/A</v>
      </c>
      <c r="H23" s="102" t="e">
        <f>IF(H21&lt;H22,H21,H22)</f>
        <v>#N/A</v>
      </c>
    </row>
    <row r="24" spans="1:8" ht="12.75" customHeight="1">
      <c r="A24" s="98" t="s">
        <v>475</v>
      </c>
      <c r="B24" t="s">
        <v>7150</v>
      </c>
      <c r="D24" s="104" t="e">
        <f>VLOOKUP(D2,award3_05!A1:F47,4,FALSE)</f>
        <v>#N/A</v>
      </c>
      <c r="F24" s="96"/>
      <c r="H24" s="96"/>
    </row>
    <row r="25" spans="1:8" ht="12.75" customHeight="1">
      <c r="A25" s="48"/>
      <c r="B25" s="71"/>
      <c r="E25" t="s">
        <v>1500</v>
      </c>
      <c r="F25" s="101" t="e">
        <f>IF(VLOOKUP(D2,award3_05!A1:F47,3,FALSE)="L",0,VLOOKUP(D2,award3_05!A1:F47,5,FALSE))</f>
        <v>#N/A</v>
      </c>
      <c r="H25" s="101" t="e">
        <f>IF(VLOOKUP(D2,award3_05!A1:F47,3,FALSE)="B",0,VLOOKUP(D2,award3_05!A1:F47,5,FALSE))</f>
        <v>#N/A</v>
      </c>
    </row>
    <row r="26" spans="1:8" ht="12.75" customHeight="1">
      <c r="A26" s="48"/>
      <c r="E26" s="71" t="s">
        <v>2303</v>
      </c>
      <c r="F26" s="101" t="e">
        <f>IF(VLOOKUP(D2,award3_05!A1:F47,3,FALSE)="L",0,VLOOKUP(D2,award3_05!A1:F47,6,FALSE))</f>
        <v>#N/A</v>
      </c>
      <c r="H26" s="101" t="e">
        <f>IF(VLOOKUP(D2,award3_05!A1:F47,3,FALSE)="B",0,VLOOKUP(D2,award3_05!A1:F47,6,FALSE))</f>
        <v>#N/A</v>
      </c>
    </row>
    <row r="27" spans="1:8" ht="12.75" customHeight="1">
      <c r="A27" s="48"/>
      <c r="E27" t="s">
        <v>4594</v>
      </c>
      <c r="F27" s="102" t="e">
        <f>IF(F25&lt;F26,F25,F26)</f>
        <v>#N/A</v>
      </c>
      <c r="H27" s="102" t="e">
        <f>IF(H25&lt;H26,H25,H26)</f>
        <v>#N/A</v>
      </c>
    </row>
    <row r="28" spans="1:8" ht="12.75" customHeight="1">
      <c r="A28" s="98" t="s">
        <v>476</v>
      </c>
      <c r="B28" t="s">
        <v>1533</v>
      </c>
      <c r="D28" s="104" t="e">
        <f>VLOOKUP(D2,award4_05!A1:F19,4,FALSE)</f>
        <v>#N/A</v>
      </c>
      <c r="F28" s="96"/>
      <c r="H28" s="96"/>
    </row>
    <row r="29" spans="1:8" ht="12.75" customHeight="1">
      <c r="A29" s="48"/>
      <c r="B29" s="71"/>
      <c r="E29" t="s">
        <v>1500</v>
      </c>
      <c r="F29" s="101" t="e">
        <f>IF(VLOOKUP(D2,award4_05!A1:F19,3,FALSE)="L",0,VLOOKUP(D2,award4_05!A1:F19,5,FALSE))</f>
        <v>#N/A</v>
      </c>
      <c r="H29" s="101" t="e">
        <f>IF(VLOOKUP(D2,award4_05!A1:F19,3,FALSE)="B",0,VLOOKUP(D2,award4_05!A1:F19,5,FALSE))</f>
        <v>#N/A</v>
      </c>
    </row>
    <row r="30" spans="1:8" ht="12.75" customHeight="1">
      <c r="A30" s="48"/>
      <c r="E30" s="71" t="s">
        <v>2303</v>
      </c>
      <c r="F30" s="101" t="e">
        <f>IF(VLOOKUP(D2,award4_05!A1:F19,3,FALSE)="L",0,VLOOKUP(D2,award4_05!A1:F19,6,FALSE))</f>
        <v>#N/A</v>
      </c>
      <c r="H30" s="101" t="e">
        <f>IF(VLOOKUP(D2,award4_05!A1:F19,3,FALSE)="B",0,VLOOKUP(D2,award4_05!A1:F19,6,FALSE))</f>
        <v>#N/A</v>
      </c>
    </row>
    <row r="31" spans="1:8" ht="12.75" customHeight="1">
      <c r="A31" s="48"/>
      <c r="E31" t="s">
        <v>4594</v>
      </c>
      <c r="F31" s="102" t="e">
        <f>IF(F29&lt;F30,F29,F30)</f>
        <v>#N/A</v>
      </c>
      <c r="H31" s="102" t="e">
        <f>IF(H29&lt;H30,H29,H30)</f>
        <v>#N/A</v>
      </c>
    </row>
    <row r="32" spans="1:8" ht="12.75" customHeight="1">
      <c r="A32" s="98" t="s">
        <v>1477</v>
      </c>
      <c r="B32" t="s">
        <v>1478</v>
      </c>
      <c r="D32" s="104" t="e">
        <f>VLOOKUP(D2,award5_05!A1:F10,4,FALSE)</f>
        <v>#N/A</v>
      </c>
      <c r="F32" s="96"/>
      <c r="H32" s="96"/>
    </row>
    <row r="33" spans="1:8" ht="12.75" customHeight="1">
      <c r="A33" s="48"/>
      <c r="B33" s="71"/>
      <c r="E33" t="s">
        <v>1500</v>
      </c>
      <c r="F33" s="101" t="e">
        <f>IF(VLOOKUP(D2,award5_05!A1:F10,3,FALSE)="L",0,VLOOKUP(D2,award5_05!A1:F10,5,FALSE))</f>
        <v>#N/A</v>
      </c>
      <c r="H33" s="101" t="e">
        <f>IF(VLOOKUP(D2,award5_05!A1:F10,3,FALSE)="B",0,VLOOKUP(D2,award5_05!A1:F10,5,FALSE))</f>
        <v>#N/A</v>
      </c>
    </row>
    <row r="34" spans="1:8" ht="12.75" customHeight="1">
      <c r="A34" s="48"/>
      <c r="E34" s="71" t="s">
        <v>2303</v>
      </c>
      <c r="F34" s="101" t="e">
        <f>IF(VLOOKUP(D2,award5_05!A1:F10,3,FALSE)="L",0,VLOOKUP(D2,award5_05!A1:F10,6,FALSE))</f>
        <v>#N/A</v>
      </c>
      <c r="H34" s="101" t="e">
        <f>IF(VLOOKUP(D2,award5_05!A1:F10,3,FALSE)="B",0,VLOOKUP(D2,award5_05!A1:F10,6,FALSE))</f>
        <v>#N/A</v>
      </c>
    </row>
    <row r="35" spans="1:8" ht="12.75" customHeight="1">
      <c r="A35" s="48"/>
      <c r="E35" t="s">
        <v>4594</v>
      </c>
      <c r="F35" s="102" t="e">
        <f>IF(F33&lt;F34,F33,F34)</f>
        <v>#N/A</v>
      </c>
      <c r="H35" s="102" t="e">
        <f>IF(H33&lt;H34,H33,H34)</f>
        <v>#N/A</v>
      </c>
    </row>
    <row r="36" spans="1:8" ht="12.75" customHeight="1">
      <c r="A36" s="98" t="s">
        <v>2559</v>
      </c>
      <c r="B36" t="s">
        <v>2561</v>
      </c>
      <c r="D36" s="104" t="e">
        <f>VLOOKUP(D2,award6_05!A1:F4,4,FALSE)</f>
        <v>#N/A</v>
      </c>
      <c r="F36" s="96"/>
      <c r="H36" s="96"/>
    </row>
    <row r="37" spans="1:8" ht="12.75" customHeight="1">
      <c r="A37" s="48"/>
      <c r="B37" s="71"/>
      <c r="E37" t="s">
        <v>1500</v>
      </c>
      <c r="F37" s="101" t="e">
        <f>IF(VLOOKUP(D2,award6_05!A1:F4,3,FALSE)="L",0,VLOOKUP(D2,award6_05!A1:F4,5,FALSE))</f>
        <v>#N/A</v>
      </c>
      <c r="H37" s="101" t="e">
        <f>IF(VLOOKUP(D2,award6_05!A1:F4,3,FALSE)="B",0,VLOOKUP(D2,award6_05!A1:F4,5,FALSE))</f>
        <v>#N/A</v>
      </c>
    </row>
    <row r="38" spans="1:8" ht="12.75" customHeight="1">
      <c r="A38" s="48"/>
      <c r="E38" s="71" t="s">
        <v>2303</v>
      </c>
      <c r="F38" s="101" t="e">
        <f>IF(VLOOKUP(D2,award6_05!A1:F4,3,FALSE)="L",0,VLOOKUP(D2,award6_05!A1:F4,6,FALSE))</f>
        <v>#N/A</v>
      </c>
      <c r="H38" s="101" t="e">
        <f>IF(VLOOKUP(D2,award6_05!A1:F4,3,FALSE)="B",0,VLOOKUP(D2,award6_05!A1:F4,6,FALSE))</f>
        <v>#N/A</v>
      </c>
    </row>
    <row r="39" spans="1:8" ht="12.75" customHeight="1">
      <c r="A39" s="48"/>
      <c r="E39" t="s">
        <v>4594</v>
      </c>
      <c r="F39" s="102" t="e">
        <f>IF(F37&lt;F38,F37,F38)</f>
        <v>#N/A</v>
      </c>
      <c r="H39" s="102" t="e">
        <f>IF(H37&lt;H38,H37,H38)</f>
        <v>#N/A</v>
      </c>
    </row>
    <row r="40" spans="1:8" ht="12.75" customHeight="1">
      <c r="A40" s="98" t="s">
        <v>2560</v>
      </c>
      <c r="B40" t="s">
        <v>2562</v>
      </c>
      <c r="D40" s="104" t="e">
        <f>VLOOKUP(D2,award7_05!A1:F3,4,FALSE)</f>
        <v>#N/A</v>
      </c>
      <c r="F40" s="96"/>
      <c r="H40" s="96"/>
    </row>
    <row r="41" spans="1:8" ht="12.75" customHeight="1">
      <c r="A41" s="48"/>
      <c r="B41" s="71"/>
      <c r="E41" t="s">
        <v>1500</v>
      </c>
      <c r="F41" s="101" t="e">
        <f>IF(VLOOKUP(D2,award7_05!A1:F3,3,FALSE)="L",0,VLOOKUP(D2,award7_05!A1:F3,5,FALSE))</f>
        <v>#N/A</v>
      </c>
      <c r="H41" s="101" t="e">
        <f>IF(VLOOKUP(D2,award7_05!A1:F3,3,FALSE)="B",0,VLOOKUP(D2,award7_05!A1:F3,5,FALSE))</f>
        <v>#N/A</v>
      </c>
    </row>
    <row r="42" spans="1:8" ht="12.75" customHeight="1">
      <c r="A42" s="48"/>
      <c r="E42" s="71" t="s">
        <v>2303</v>
      </c>
      <c r="F42" s="101" t="e">
        <f>IF(VLOOKUP(D2,award7_05!A1:F3,3,FALSE)="L",0,VLOOKUP(D2,award7_05!A1:F3,6,FALSE))</f>
        <v>#N/A</v>
      </c>
      <c r="H42" s="101" t="e">
        <f>IF(VLOOKUP(D2,award7_05!A1:F3,3,FALSE)="B",0,VLOOKUP(D2,award7_05!A1:F3,6,FALSE))</f>
        <v>#N/A</v>
      </c>
    </row>
    <row r="43" spans="1:8" ht="12.75" customHeight="1">
      <c r="A43" s="48"/>
      <c r="E43" t="s">
        <v>4594</v>
      </c>
      <c r="F43" s="102" t="e">
        <f>IF(F41&lt;F42,F41,F42)</f>
        <v>#N/A</v>
      </c>
      <c r="H43" s="102" t="e">
        <f>IF(H41&lt;H42,H41,H42)</f>
        <v>#N/A</v>
      </c>
    </row>
    <row r="44" spans="1:8" ht="12.75" customHeight="1">
      <c r="A44" s="98" t="s">
        <v>2300</v>
      </c>
      <c r="B44" t="s">
        <v>2301</v>
      </c>
      <c r="D44" s="104" t="e">
        <f>VLOOKUP(D2,award8_05!A1:F2,4,FALSE)</f>
        <v>#N/A</v>
      </c>
      <c r="F44" s="96"/>
      <c r="H44" s="96"/>
    </row>
    <row r="45" spans="1:8" ht="12.75" customHeight="1">
      <c r="A45" s="48"/>
      <c r="B45" s="71"/>
      <c r="E45" t="s">
        <v>1500</v>
      </c>
      <c r="F45" s="101" t="e">
        <f>IF(VLOOKUP(D2,award8_05!A1:F2,3,FALSE)="L",0,VLOOKUP(D2,award8_05!A1:F2,5,FALSE))</f>
        <v>#N/A</v>
      </c>
      <c r="H45" s="101" t="e">
        <f>IF(VLOOKUP(D2,award8_05!A1:F2,3,FALSE)="B",0,VLOOKUP(D2,award8_05!A1:F2,5,FALSE))</f>
        <v>#N/A</v>
      </c>
    </row>
    <row r="46" spans="1:8" ht="12.75" customHeight="1">
      <c r="A46" s="48"/>
      <c r="E46" s="71" t="s">
        <v>2303</v>
      </c>
      <c r="F46" s="101" t="e">
        <f>IF(VLOOKUP(D2,award8_05!A1:F2,3,FALSE)="L",0,VLOOKUP(D2,award8_05!A1:F2,6,FALSE))</f>
        <v>#N/A</v>
      </c>
      <c r="H46" s="101" t="e">
        <f>IF(VLOOKUP(D2,award8_05!A1:F2,3,FALSE)="B",0,VLOOKUP(D2,award8_05!A1:F2,6,FALSE))</f>
        <v>#N/A</v>
      </c>
    </row>
    <row r="47" spans="1:8" ht="12.75" customHeight="1">
      <c r="A47" s="48"/>
      <c r="E47" t="s">
        <v>4594</v>
      </c>
      <c r="F47" s="102" t="e">
        <f>IF(F45&lt;F46,F45,F46)</f>
        <v>#N/A</v>
      </c>
      <c r="H47" s="102" t="e">
        <f>IF(H45&lt;H46,H45,H46)</f>
        <v>#N/A</v>
      </c>
    </row>
    <row r="48" spans="1:8" ht="12.75" customHeight="1">
      <c r="A48" s="48"/>
      <c r="F48" s="105"/>
      <c r="H48" s="105"/>
    </row>
    <row r="49" spans="1:8" ht="12.75" customHeight="1">
      <c r="A49" s="50" t="s">
        <v>7720</v>
      </c>
      <c r="B49" t="s">
        <v>1799</v>
      </c>
      <c r="F49" s="103">
        <f>IF('Data Entry - SOF'!D28&lt;400,400,'Data Entry - SOF'!D28)</f>
        <v>400</v>
      </c>
      <c r="H49" s="103">
        <f>IF('Data Entry - SOF'!D28&lt;400,400,'Data Entry - SOF'!D28)</f>
        <v>400</v>
      </c>
    </row>
    <row r="50" spans="1:8" ht="12.75" customHeight="1">
      <c r="A50" s="50"/>
    </row>
    <row r="51" spans="1:8" ht="12.75" customHeight="1">
      <c r="A51" s="50" t="s">
        <v>7721</v>
      </c>
      <c r="B51" t="s">
        <v>3186</v>
      </c>
      <c r="F51" s="9">
        <f>'Data Entry - SOF'!G30</f>
        <v>0</v>
      </c>
      <c r="H51" s="9">
        <f>'Data Entry - SOF'!G30</f>
        <v>0</v>
      </c>
    </row>
    <row r="52" spans="1:8" ht="12.75" customHeight="1">
      <c r="A52" s="48"/>
    </row>
    <row r="53" spans="1:8" ht="12.75" customHeight="1">
      <c r="A53" s="99" t="s">
        <v>6287</v>
      </c>
      <c r="B53" s="67"/>
      <c r="C53" s="67"/>
      <c r="D53" s="68"/>
    </row>
    <row r="54" spans="1:8" ht="12.75" customHeight="1">
      <c r="A54" s="48"/>
    </row>
    <row r="55" spans="1:8">
      <c r="A55" s="63" t="s">
        <v>6285</v>
      </c>
      <c r="B55" t="s">
        <v>3600</v>
      </c>
      <c r="F55" s="11" t="e">
        <f>F19+F23+F27+F31+F35+F39+F43+F47</f>
        <v>#N/A</v>
      </c>
      <c r="H55" s="11" t="e">
        <f>H19+H23+H27+H31+H35+H39+H43+H47</f>
        <v>#N/A</v>
      </c>
    </row>
    <row r="56" spans="1:8">
      <c r="A56" s="50"/>
      <c r="F56" s="5"/>
    </row>
    <row r="57" spans="1:8">
      <c r="A57" s="63" t="s">
        <v>6286</v>
      </c>
      <c r="B57" t="s">
        <v>866</v>
      </c>
      <c r="F57" s="11">
        <f>F51/10000</f>
        <v>0</v>
      </c>
      <c r="H57" s="11">
        <f>H51/10000</f>
        <v>0</v>
      </c>
    </row>
    <row r="58" spans="1:8">
      <c r="A58" s="50"/>
      <c r="F58" s="5"/>
    </row>
    <row r="59" spans="1:8">
      <c r="A59" s="63" t="s">
        <v>6288</v>
      </c>
      <c r="B59" t="s">
        <v>477</v>
      </c>
      <c r="F59" s="54">
        <f>F57/F49</f>
        <v>0</v>
      </c>
      <c r="H59" s="54">
        <f>H57/H49</f>
        <v>0</v>
      </c>
    </row>
    <row r="60" spans="1:8">
      <c r="A60" s="50"/>
      <c r="F60" s="5"/>
    </row>
    <row r="61" spans="1:8">
      <c r="A61" s="63" t="s">
        <v>6289</v>
      </c>
      <c r="B61" t="s">
        <v>478</v>
      </c>
      <c r="F61" s="54">
        <f>IF(F59&gt;35,0,35-F59)</f>
        <v>35</v>
      </c>
      <c r="H61" s="54">
        <f>IF(H59&gt;35,0,35-H59)</f>
        <v>35</v>
      </c>
    </row>
    <row r="62" spans="1:8">
      <c r="A62" s="50"/>
      <c r="F62" s="55"/>
    </row>
    <row r="63" spans="1:8">
      <c r="A63" s="63" t="s">
        <v>6290</v>
      </c>
      <c r="B63" t="s">
        <v>479</v>
      </c>
      <c r="F63" s="54">
        <f>IF(F61=0,0,F61/35)</f>
        <v>1</v>
      </c>
      <c r="H63" s="54">
        <f>IF(H61=0,0,H61/35)</f>
        <v>1</v>
      </c>
    </row>
    <row r="64" spans="1:8">
      <c r="A64" s="50"/>
    </row>
    <row r="65" spans="1:8">
      <c r="A65" s="63" t="s">
        <v>5115</v>
      </c>
      <c r="B65" t="s">
        <v>1501</v>
      </c>
      <c r="F65" s="11" t="e">
        <f>F63*F55</f>
        <v>#N/A</v>
      </c>
      <c r="H65" s="11" t="e">
        <f>H63*H55</f>
        <v>#N/A</v>
      </c>
    </row>
    <row r="66" spans="1:8">
      <c r="A66" s="50"/>
      <c r="F66" s="53"/>
      <c r="H66" s="53"/>
    </row>
    <row r="67" spans="1:8">
      <c r="A67" s="63" t="s">
        <v>5116</v>
      </c>
      <c r="B67" s="50" t="s">
        <v>480</v>
      </c>
      <c r="C67" s="50"/>
      <c r="D67" s="50"/>
      <c r="E67" s="50"/>
      <c r="F67" s="64" t="e">
        <f>F55-F65</f>
        <v>#N/A</v>
      </c>
      <c r="G67" s="50"/>
      <c r="H67" s="64" t="e">
        <f>H55-H65</f>
        <v>#N/A</v>
      </c>
    </row>
    <row r="68" spans="1:8">
      <c r="A68" s="63"/>
      <c r="B68" s="50"/>
      <c r="C68" s="50"/>
      <c r="D68" s="50"/>
      <c r="E68" s="50"/>
      <c r="F68" s="53"/>
      <c r="G68" s="50"/>
      <c r="H68" s="53"/>
    </row>
    <row r="69" spans="1:8">
      <c r="A69" s="63" t="s">
        <v>5117</v>
      </c>
      <c r="B69" t="s">
        <v>1289</v>
      </c>
      <c r="F69" s="65" t="e">
        <f>(F55/35/F49/100)</f>
        <v>#N/A</v>
      </c>
      <c r="H69" s="65" t="e">
        <f>(H55/35/H49/100)</f>
        <v>#N/A</v>
      </c>
    </row>
    <row r="84" spans="4:6">
      <c r="D84" s="78" t="s">
        <v>4595</v>
      </c>
      <c r="F84" s="92" t="e">
        <v>#N/A</v>
      </c>
    </row>
    <row r="85" spans="4:6">
      <c r="D85" s="78" t="s">
        <v>4596</v>
      </c>
      <c r="F85" s="92" t="e">
        <v>#N/A</v>
      </c>
    </row>
    <row r="86" spans="4:6">
      <c r="D86" s="78" t="s">
        <v>4597</v>
      </c>
      <c r="F86" s="92" t="e">
        <v>#N/A</v>
      </c>
    </row>
    <row r="87" spans="4:6">
      <c r="D87" s="78" t="s">
        <v>1557</v>
      </c>
      <c r="F87" s="92" t="e">
        <v>#N/A</v>
      </c>
    </row>
    <row r="88" spans="4:6">
      <c r="D88" s="78" t="s">
        <v>1479</v>
      </c>
      <c r="F88" s="92" t="e">
        <v>#N/A</v>
      </c>
    </row>
    <row r="89" spans="4:6">
      <c r="D89" s="78" t="s">
        <v>4593</v>
      </c>
      <c r="F89" s="92" t="e">
        <v>#N/A</v>
      </c>
    </row>
  </sheetData>
  <phoneticPr fontId="0" type="noConversion"/>
  <pageMargins left="0.25" right="0.25" top="0.5" bottom="0.5" header="0.5" footer="0.5"/>
  <pageSetup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C1305"/>
  <sheetViews>
    <sheetView workbookViewId="0">
      <selection activeCell="C2" sqref="C2"/>
    </sheetView>
  </sheetViews>
  <sheetFormatPr defaultRowHeight="13.2"/>
  <cols>
    <col min="1" max="1" width="9.77734375" style="963" customWidth="1"/>
    <col min="2" max="2" width="40.5546875" style="963" bestFit="1" customWidth="1"/>
    <col min="3" max="3" width="21.44140625" style="964" customWidth="1"/>
    <col min="4" max="256" width="9.21875" style="187"/>
    <col min="257" max="257" width="9.77734375" style="187" customWidth="1"/>
    <col min="258" max="258" width="40.5546875" style="187" bestFit="1" customWidth="1"/>
    <col min="259" max="259" width="21.44140625" style="187" customWidth="1"/>
    <col min="260" max="512" width="9.21875" style="187"/>
    <col min="513" max="513" width="9.77734375" style="187" customWidth="1"/>
    <col min="514" max="514" width="40.5546875" style="187" bestFit="1" customWidth="1"/>
    <col min="515" max="515" width="21.44140625" style="187" customWidth="1"/>
    <col min="516" max="768" width="9.21875" style="187"/>
    <col min="769" max="769" width="9.77734375" style="187" customWidth="1"/>
    <col min="770" max="770" width="40.5546875" style="187" bestFit="1" customWidth="1"/>
    <col min="771" max="771" width="21.44140625" style="187" customWidth="1"/>
    <col min="772" max="1024" width="9.21875" style="187"/>
    <col min="1025" max="1025" width="9.77734375" style="187" customWidth="1"/>
    <col min="1026" max="1026" width="40.5546875" style="187" bestFit="1" customWidth="1"/>
    <col min="1027" max="1027" width="21.44140625" style="187" customWidth="1"/>
    <col min="1028" max="1280" width="9.21875" style="187"/>
    <col min="1281" max="1281" width="9.77734375" style="187" customWidth="1"/>
    <col min="1282" max="1282" width="40.5546875" style="187" bestFit="1" customWidth="1"/>
    <col min="1283" max="1283" width="21.44140625" style="187" customWidth="1"/>
    <col min="1284" max="1536" width="9.21875" style="187"/>
    <col min="1537" max="1537" width="9.77734375" style="187" customWidth="1"/>
    <col min="1538" max="1538" width="40.5546875" style="187" bestFit="1" customWidth="1"/>
    <col min="1539" max="1539" width="21.44140625" style="187" customWidth="1"/>
    <col min="1540" max="1792" width="9.21875" style="187"/>
    <col min="1793" max="1793" width="9.77734375" style="187" customWidth="1"/>
    <col min="1794" max="1794" width="40.5546875" style="187" bestFit="1" customWidth="1"/>
    <col min="1795" max="1795" width="21.44140625" style="187" customWidth="1"/>
    <col min="1796" max="2048" width="9.21875" style="187"/>
    <col min="2049" max="2049" width="9.77734375" style="187" customWidth="1"/>
    <col min="2050" max="2050" width="40.5546875" style="187" bestFit="1" customWidth="1"/>
    <col min="2051" max="2051" width="21.44140625" style="187" customWidth="1"/>
    <col min="2052" max="2304" width="9.21875" style="187"/>
    <col min="2305" max="2305" width="9.77734375" style="187" customWidth="1"/>
    <col min="2306" max="2306" width="40.5546875" style="187" bestFit="1" customWidth="1"/>
    <col min="2307" max="2307" width="21.44140625" style="187" customWidth="1"/>
    <col min="2308" max="2560" width="9.21875" style="187"/>
    <col min="2561" max="2561" width="9.77734375" style="187" customWidth="1"/>
    <col min="2562" max="2562" width="40.5546875" style="187" bestFit="1" customWidth="1"/>
    <col min="2563" max="2563" width="21.44140625" style="187" customWidth="1"/>
    <col min="2564" max="2816" width="9.21875" style="187"/>
    <col min="2817" max="2817" width="9.77734375" style="187" customWidth="1"/>
    <col min="2818" max="2818" width="40.5546875" style="187" bestFit="1" customWidth="1"/>
    <col min="2819" max="2819" width="21.44140625" style="187" customWidth="1"/>
    <col min="2820" max="3072" width="9.21875" style="187"/>
    <col min="3073" max="3073" width="9.77734375" style="187" customWidth="1"/>
    <col min="3074" max="3074" width="40.5546875" style="187" bestFit="1" customWidth="1"/>
    <col min="3075" max="3075" width="21.44140625" style="187" customWidth="1"/>
    <col min="3076" max="3328" width="9.21875" style="187"/>
    <col min="3329" max="3329" width="9.77734375" style="187" customWidth="1"/>
    <col min="3330" max="3330" width="40.5546875" style="187" bestFit="1" customWidth="1"/>
    <col min="3331" max="3331" width="21.44140625" style="187" customWidth="1"/>
    <col min="3332" max="3584" width="9.21875" style="187"/>
    <col min="3585" max="3585" width="9.77734375" style="187" customWidth="1"/>
    <col min="3586" max="3586" width="40.5546875" style="187" bestFit="1" customWidth="1"/>
    <col min="3587" max="3587" width="21.44140625" style="187" customWidth="1"/>
    <col min="3588" max="3840" width="9.21875" style="187"/>
    <col min="3841" max="3841" width="9.77734375" style="187" customWidth="1"/>
    <col min="3842" max="3842" width="40.5546875" style="187" bestFit="1" customWidth="1"/>
    <col min="3843" max="3843" width="21.44140625" style="187" customWidth="1"/>
    <col min="3844" max="4096" width="9.21875" style="187"/>
    <col min="4097" max="4097" width="9.77734375" style="187" customWidth="1"/>
    <col min="4098" max="4098" width="40.5546875" style="187" bestFit="1" customWidth="1"/>
    <col min="4099" max="4099" width="21.44140625" style="187" customWidth="1"/>
    <col min="4100" max="4352" width="9.21875" style="187"/>
    <col min="4353" max="4353" width="9.77734375" style="187" customWidth="1"/>
    <col min="4354" max="4354" width="40.5546875" style="187" bestFit="1" customWidth="1"/>
    <col min="4355" max="4355" width="21.44140625" style="187" customWidth="1"/>
    <col min="4356" max="4608" width="9.21875" style="187"/>
    <col min="4609" max="4609" width="9.77734375" style="187" customWidth="1"/>
    <col min="4610" max="4610" width="40.5546875" style="187" bestFit="1" customWidth="1"/>
    <col min="4611" max="4611" width="21.44140625" style="187" customWidth="1"/>
    <col min="4612" max="4864" width="9.21875" style="187"/>
    <col min="4865" max="4865" width="9.77734375" style="187" customWidth="1"/>
    <col min="4866" max="4866" width="40.5546875" style="187" bestFit="1" customWidth="1"/>
    <col min="4867" max="4867" width="21.44140625" style="187" customWidth="1"/>
    <col min="4868" max="5120" width="9.21875" style="187"/>
    <col min="5121" max="5121" width="9.77734375" style="187" customWidth="1"/>
    <col min="5122" max="5122" width="40.5546875" style="187" bestFit="1" customWidth="1"/>
    <col min="5123" max="5123" width="21.44140625" style="187" customWidth="1"/>
    <col min="5124" max="5376" width="9.21875" style="187"/>
    <col min="5377" max="5377" width="9.77734375" style="187" customWidth="1"/>
    <col min="5378" max="5378" width="40.5546875" style="187" bestFit="1" customWidth="1"/>
    <col min="5379" max="5379" width="21.44140625" style="187" customWidth="1"/>
    <col min="5380" max="5632" width="9.21875" style="187"/>
    <col min="5633" max="5633" width="9.77734375" style="187" customWidth="1"/>
    <col min="5634" max="5634" width="40.5546875" style="187" bestFit="1" customWidth="1"/>
    <col min="5635" max="5635" width="21.44140625" style="187" customWidth="1"/>
    <col min="5636" max="5888" width="9.21875" style="187"/>
    <col min="5889" max="5889" width="9.77734375" style="187" customWidth="1"/>
    <col min="5890" max="5890" width="40.5546875" style="187" bestFit="1" customWidth="1"/>
    <col min="5891" max="5891" width="21.44140625" style="187" customWidth="1"/>
    <col min="5892" max="6144" width="9.21875" style="187"/>
    <col min="6145" max="6145" width="9.77734375" style="187" customWidth="1"/>
    <col min="6146" max="6146" width="40.5546875" style="187" bestFit="1" customWidth="1"/>
    <col min="6147" max="6147" width="21.44140625" style="187" customWidth="1"/>
    <col min="6148" max="6400" width="9.21875" style="187"/>
    <col min="6401" max="6401" width="9.77734375" style="187" customWidth="1"/>
    <col min="6402" max="6402" width="40.5546875" style="187" bestFit="1" customWidth="1"/>
    <col min="6403" max="6403" width="21.44140625" style="187" customWidth="1"/>
    <col min="6404" max="6656" width="9.21875" style="187"/>
    <col min="6657" max="6657" width="9.77734375" style="187" customWidth="1"/>
    <col min="6658" max="6658" width="40.5546875" style="187" bestFit="1" customWidth="1"/>
    <col min="6659" max="6659" width="21.44140625" style="187" customWidth="1"/>
    <col min="6660" max="6912" width="9.21875" style="187"/>
    <col min="6913" max="6913" width="9.77734375" style="187" customWidth="1"/>
    <col min="6914" max="6914" width="40.5546875" style="187" bestFit="1" customWidth="1"/>
    <col min="6915" max="6915" width="21.44140625" style="187" customWidth="1"/>
    <col min="6916" max="7168" width="9.21875" style="187"/>
    <col min="7169" max="7169" width="9.77734375" style="187" customWidth="1"/>
    <col min="7170" max="7170" width="40.5546875" style="187" bestFit="1" customWidth="1"/>
    <col min="7171" max="7171" width="21.44140625" style="187" customWidth="1"/>
    <col min="7172" max="7424" width="9.21875" style="187"/>
    <col min="7425" max="7425" width="9.77734375" style="187" customWidth="1"/>
    <col min="7426" max="7426" width="40.5546875" style="187" bestFit="1" customWidth="1"/>
    <col min="7427" max="7427" width="21.44140625" style="187" customWidth="1"/>
    <col min="7428" max="7680" width="9.21875" style="187"/>
    <col min="7681" max="7681" width="9.77734375" style="187" customWidth="1"/>
    <col min="7682" max="7682" width="40.5546875" style="187" bestFit="1" customWidth="1"/>
    <col min="7683" max="7683" width="21.44140625" style="187" customWidth="1"/>
    <col min="7684" max="7936" width="9.21875" style="187"/>
    <col min="7937" max="7937" width="9.77734375" style="187" customWidth="1"/>
    <col min="7938" max="7938" width="40.5546875" style="187" bestFit="1" customWidth="1"/>
    <col min="7939" max="7939" width="21.44140625" style="187" customWidth="1"/>
    <col min="7940" max="8192" width="9.21875" style="187"/>
    <col min="8193" max="8193" width="9.77734375" style="187" customWidth="1"/>
    <col min="8194" max="8194" width="40.5546875" style="187" bestFit="1" customWidth="1"/>
    <col min="8195" max="8195" width="21.44140625" style="187" customWidth="1"/>
    <col min="8196" max="8448" width="9.21875" style="187"/>
    <col min="8449" max="8449" width="9.77734375" style="187" customWidth="1"/>
    <col min="8450" max="8450" width="40.5546875" style="187" bestFit="1" customWidth="1"/>
    <col min="8451" max="8451" width="21.44140625" style="187" customWidth="1"/>
    <col min="8452" max="8704" width="9.21875" style="187"/>
    <col min="8705" max="8705" width="9.77734375" style="187" customWidth="1"/>
    <col min="8706" max="8706" width="40.5546875" style="187" bestFit="1" customWidth="1"/>
    <col min="8707" max="8707" width="21.44140625" style="187" customWidth="1"/>
    <col min="8708" max="8960" width="9.21875" style="187"/>
    <col min="8961" max="8961" width="9.77734375" style="187" customWidth="1"/>
    <col min="8962" max="8962" width="40.5546875" style="187" bestFit="1" customWidth="1"/>
    <col min="8963" max="8963" width="21.44140625" style="187" customWidth="1"/>
    <col min="8964" max="9216" width="9.21875" style="187"/>
    <col min="9217" max="9217" width="9.77734375" style="187" customWidth="1"/>
    <col min="9218" max="9218" width="40.5546875" style="187" bestFit="1" customWidth="1"/>
    <col min="9219" max="9219" width="21.44140625" style="187" customWidth="1"/>
    <col min="9220" max="9472" width="9.21875" style="187"/>
    <col min="9473" max="9473" width="9.77734375" style="187" customWidth="1"/>
    <col min="9474" max="9474" width="40.5546875" style="187" bestFit="1" customWidth="1"/>
    <col min="9475" max="9475" width="21.44140625" style="187" customWidth="1"/>
    <col min="9476" max="9728" width="9.21875" style="187"/>
    <col min="9729" max="9729" width="9.77734375" style="187" customWidth="1"/>
    <col min="9730" max="9730" width="40.5546875" style="187" bestFit="1" customWidth="1"/>
    <col min="9731" max="9731" width="21.44140625" style="187" customWidth="1"/>
    <col min="9732" max="9984" width="9.21875" style="187"/>
    <col min="9985" max="9985" width="9.77734375" style="187" customWidth="1"/>
    <col min="9986" max="9986" width="40.5546875" style="187" bestFit="1" customWidth="1"/>
    <col min="9987" max="9987" width="21.44140625" style="187" customWidth="1"/>
    <col min="9988" max="10240" width="9.21875" style="187"/>
    <col min="10241" max="10241" width="9.77734375" style="187" customWidth="1"/>
    <col min="10242" max="10242" width="40.5546875" style="187" bestFit="1" customWidth="1"/>
    <col min="10243" max="10243" width="21.44140625" style="187" customWidth="1"/>
    <col min="10244" max="10496" width="9.21875" style="187"/>
    <col min="10497" max="10497" width="9.77734375" style="187" customWidth="1"/>
    <col min="10498" max="10498" width="40.5546875" style="187" bestFit="1" customWidth="1"/>
    <col min="10499" max="10499" width="21.44140625" style="187" customWidth="1"/>
    <col min="10500" max="10752" width="9.21875" style="187"/>
    <col min="10753" max="10753" width="9.77734375" style="187" customWidth="1"/>
    <col min="10754" max="10754" width="40.5546875" style="187" bestFit="1" customWidth="1"/>
    <col min="10755" max="10755" width="21.44140625" style="187" customWidth="1"/>
    <col min="10756" max="11008" width="9.21875" style="187"/>
    <col min="11009" max="11009" width="9.77734375" style="187" customWidth="1"/>
    <col min="11010" max="11010" width="40.5546875" style="187" bestFit="1" customWidth="1"/>
    <col min="11011" max="11011" width="21.44140625" style="187" customWidth="1"/>
    <col min="11012" max="11264" width="9.21875" style="187"/>
    <col min="11265" max="11265" width="9.77734375" style="187" customWidth="1"/>
    <col min="11266" max="11266" width="40.5546875" style="187" bestFit="1" customWidth="1"/>
    <col min="11267" max="11267" width="21.44140625" style="187" customWidth="1"/>
    <col min="11268" max="11520" width="9.21875" style="187"/>
    <col min="11521" max="11521" width="9.77734375" style="187" customWidth="1"/>
    <col min="11522" max="11522" width="40.5546875" style="187" bestFit="1" customWidth="1"/>
    <col min="11523" max="11523" width="21.44140625" style="187" customWidth="1"/>
    <col min="11524" max="11776" width="9.21875" style="187"/>
    <col min="11777" max="11777" width="9.77734375" style="187" customWidth="1"/>
    <col min="11778" max="11778" width="40.5546875" style="187" bestFit="1" customWidth="1"/>
    <col min="11779" max="11779" width="21.44140625" style="187" customWidth="1"/>
    <col min="11780" max="12032" width="9.21875" style="187"/>
    <col min="12033" max="12033" width="9.77734375" style="187" customWidth="1"/>
    <col min="12034" max="12034" width="40.5546875" style="187" bestFit="1" customWidth="1"/>
    <col min="12035" max="12035" width="21.44140625" style="187" customWidth="1"/>
    <col min="12036" max="12288" width="9.21875" style="187"/>
    <col min="12289" max="12289" width="9.77734375" style="187" customWidth="1"/>
    <col min="12290" max="12290" width="40.5546875" style="187" bestFit="1" customWidth="1"/>
    <col min="12291" max="12291" width="21.44140625" style="187" customWidth="1"/>
    <col min="12292" max="12544" width="9.21875" style="187"/>
    <col min="12545" max="12545" width="9.77734375" style="187" customWidth="1"/>
    <col min="12546" max="12546" width="40.5546875" style="187" bestFit="1" customWidth="1"/>
    <col min="12547" max="12547" width="21.44140625" style="187" customWidth="1"/>
    <col min="12548" max="12800" width="9.21875" style="187"/>
    <col min="12801" max="12801" width="9.77734375" style="187" customWidth="1"/>
    <col min="12802" max="12802" width="40.5546875" style="187" bestFit="1" customWidth="1"/>
    <col min="12803" max="12803" width="21.44140625" style="187" customWidth="1"/>
    <col min="12804" max="13056" width="9.21875" style="187"/>
    <col min="13057" max="13057" width="9.77734375" style="187" customWidth="1"/>
    <col min="13058" max="13058" width="40.5546875" style="187" bestFit="1" customWidth="1"/>
    <col min="13059" max="13059" width="21.44140625" style="187" customWidth="1"/>
    <col min="13060" max="13312" width="9.21875" style="187"/>
    <col min="13313" max="13313" width="9.77734375" style="187" customWidth="1"/>
    <col min="13314" max="13314" width="40.5546875" style="187" bestFit="1" customWidth="1"/>
    <col min="13315" max="13315" width="21.44140625" style="187" customWidth="1"/>
    <col min="13316" max="13568" width="9.21875" style="187"/>
    <col min="13569" max="13569" width="9.77734375" style="187" customWidth="1"/>
    <col min="13570" max="13570" width="40.5546875" style="187" bestFit="1" customWidth="1"/>
    <col min="13571" max="13571" width="21.44140625" style="187" customWidth="1"/>
    <col min="13572" max="13824" width="9.21875" style="187"/>
    <col min="13825" max="13825" width="9.77734375" style="187" customWidth="1"/>
    <col min="13826" max="13826" width="40.5546875" style="187" bestFit="1" customWidth="1"/>
    <col min="13827" max="13827" width="21.44140625" style="187" customWidth="1"/>
    <col min="13828" max="14080" width="9.21875" style="187"/>
    <col min="14081" max="14081" width="9.77734375" style="187" customWidth="1"/>
    <col min="14082" max="14082" width="40.5546875" style="187" bestFit="1" customWidth="1"/>
    <col min="14083" max="14083" width="21.44140625" style="187" customWidth="1"/>
    <col min="14084" max="14336" width="9.21875" style="187"/>
    <col min="14337" max="14337" width="9.77734375" style="187" customWidth="1"/>
    <col min="14338" max="14338" width="40.5546875" style="187" bestFit="1" customWidth="1"/>
    <col min="14339" max="14339" width="21.44140625" style="187" customWidth="1"/>
    <col min="14340" max="14592" width="9.21875" style="187"/>
    <col min="14593" max="14593" width="9.77734375" style="187" customWidth="1"/>
    <col min="14594" max="14594" width="40.5546875" style="187" bestFit="1" customWidth="1"/>
    <col min="14595" max="14595" width="21.44140625" style="187" customWidth="1"/>
    <col min="14596" max="14848" width="9.21875" style="187"/>
    <col min="14849" max="14849" width="9.77734375" style="187" customWidth="1"/>
    <col min="14850" max="14850" width="40.5546875" style="187" bestFit="1" customWidth="1"/>
    <col min="14851" max="14851" width="21.44140625" style="187" customWidth="1"/>
    <col min="14852" max="15104" width="9.21875" style="187"/>
    <col min="15105" max="15105" width="9.77734375" style="187" customWidth="1"/>
    <col min="15106" max="15106" width="40.5546875" style="187" bestFit="1" customWidth="1"/>
    <col min="15107" max="15107" width="21.44140625" style="187" customWidth="1"/>
    <col min="15108" max="15360" width="9.21875" style="187"/>
    <col min="15361" max="15361" width="9.77734375" style="187" customWidth="1"/>
    <col min="15362" max="15362" width="40.5546875" style="187" bestFit="1" customWidth="1"/>
    <col min="15363" max="15363" width="21.44140625" style="187" customWidth="1"/>
    <col min="15364" max="15616" width="9.21875" style="187"/>
    <col min="15617" max="15617" width="9.77734375" style="187" customWidth="1"/>
    <col min="15618" max="15618" width="40.5546875" style="187" bestFit="1" customWidth="1"/>
    <col min="15619" max="15619" width="21.44140625" style="187" customWidth="1"/>
    <col min="15620" max="15872" width="9.21875" style="187"/>
    <col min="15873" max="15873" width="9.77734375" style="187" customWidth="1"/>
    <col min="15874" max="15874" width="40.5546875" style="187" bestFit="1" customWidth="1"/>
    <col min="15875" max="15875" width="21.44140625" style="187" customWidth="1"/>
    <col min="15876" max="16128" width="9.21875" style="187"/>
    <col min="16129" max="16129" width="9.77734375" style="187" customWidth="1"/>
    <col min="16130" max="16130" width="40.5546875" style="187" bestFit="1" customWidth="1"/>
    <col min="16131" max="16131" width="21.44140625" style="187" customWidth="1"/>
    <col min="16132" max="16384" width="9.21875" style="187"/>
  </cols>
  <sheetData>
    <row r="1" spans="1:3">
      <c r="B1" s="963" t="s">
        <v>4505</v>
      </c>
      <c r="C1" s="964" t="s">
        <v>8033</v>
      </c>
    </row>
    <row r="2" spans="1:3">
      <c r="A2" s="965" t="str">
        <f>'Data Entry - SOF'!B2</f>
        <v>000-000</v>
      </c>
      <c r="B2" s="965" t="e">
        <f>VLOOKUP($A$2,$A$3:B1305,2,FALSE)</f>
        <v>#N/A</v>
      </c>
      <c r="C2" s="966" t="e">
        <f>VLOOKUP($A$2,$A$3:C1305,3,FALSE)</f>
        <v>#N/A</v>
      </c>
    </row>
    <row r="3" spans="1:3">
      <c r="A3" s="963" t="s">
        <v>3890</v>
      </c>
      <c r="B3" s="963" t="s">
        <v>1763</v>
      </c>
      <c r="C3" s="964">
        <v>309505721</v>
      </c>
    </row>
    <row r="4" spans="1:3">
      <c r="A4" s="963" t="s">
        <v>694</v>
      </c>
      <c r="B4" s="963" t="s">
        <v>1764</v>
      </c>
      <c r="C4" s="964">
        <v>235225082</v>
      </c>
    </row>
    <row r="5" spans="1:3">
      <c r="A5" s="963" t="s">
        <v>696</v>
      </c>
      <c r="B5" s="963" t="s">
        <v>1765</v>
      </c>
      <c r="C5" s="964">
        <v>293656441</v>
      </c>
    </row>
    <row r="6" spans="1:3">
      <c r="A6" s="963" t="s">
        <v>698</v>
      </c>
      <c r="B6" s="963" t="s">
        <v>1766</v>
      </c>
      <c r="C6" s="964">
        <v>93519085</v>
      </c>
    </row>
    <row r="7" spans="1:3">
      <c r="A7" s="963" t="s">
        <v>700</v>
      </c>
      <c r="B7" s="963" t="s">
        <v>1767</v>
      </c>
      <c r="C7" s="964">
        <v>972647617</v>
      </c>
    </row>
    <row r="8" spans="1:3">
      <c r="A8" s="963" t="s">
        <v>1491</v>
      </c>
      <c r="B8" s="963" t="s">
        <v>1768</v>
      </c>
      <c r="C8" s="964">
        <v>425423048</v>
      </c>
    </row>
    <row r="9" spans="1:3">
      <c r="A9" s="963" t="s">
        <v>6212</v>
      </c>
      <c r="B9" s="963" t="s">
        <v>1769</v>
      </c>
      <c r="C9" s="964">
        <v>96841232</v>
      </c>
    </row>
    <row r="10" spans="1:3">
      <c r="A10" s="963" t="s">
        <v>2753</v>
      </c>
      <c r="B10" s="963" t="s">
        <v>5003</v>
      </c>
      <c r="C10" s="964">
        <v>3189236744</v>
      </c>
    </row>
    <row r="11" spans="1:3">
      <c r="A11" s="963" t="s">
        <v>2840</v>
      </c>
      <c r="B11" s="963" t="s">
        <v>7181</v>
      </c>
      <c r="C11" s="964">
        <v>0</v>
      </c>
    </row>
    <row r="12" spans="1:3">
      <c r="A12" s="963" t="s">
        <v>3080</v>
      </c>
      <c r="B12" s="963" t="s">
        <v>3853</v>
      </c>
      <c r="C12" s="964">
        <v>320906977</v>
      </c>
    </row>
    <row r="13" spans="1:3">
      <c r="A13" s="963" t="s">
        <v>2842</v>
      </c>
      <c r="B13" s="963" t="s">
        <v>5004</v>
      </c>
      <c r="C13" s="964">
        <v>2059345923</v>
      </c>
    </row>
    <row r="14" spans="1:3">
      <c r="A14" s="963" t="s">
        <v>1874</v>
      </c>
      <c r="B14" s="963" t="s">
        <v>3857</v>
      </c>
      <c r="C14" s="964">
        <v>192856873</v>
      </c>
    </row>
    <row r="15" spans="1:3">
      <c r="A15" s="963" t="s">
        <v>2844</v>
      </c>
      <c r="B15" s="963" t="s">
        <v>5005</v>
      </c>
      <c r="C15" s="964">
        <v>270598237</v>
      </c>
    </row>
    <row r="16" spans="1:3">
      <c r="A16" s="963" t="s">
        <v>2846</v>
      </c>
      <c r="B16" s="963" t="s">
        <v>5006</v>
      </c>
      <c r="C16" s="964">
        <v>83606404</v>
      </c>
    </row>
    <row r="17" spans="1:3">
      <c r="A17" s="963" t="s">
        <v>2848</v>
      </c>
      <c r="B17" s="963" t="s">
        <v>5007</v>
      </c>
      <c r="C17" s="964">
        <v>255437382</v>
      </c>
    </row>
    <row r="18" spans="1:3">
      <c r="A18" s="963" t="s">
        <v>1225</v>
      </c>
      <c r="B18" s="963" t="s">
        <v>5008</v>
      </c>
      <c r="C18" s="964">
        <v>2530194854</v>
      </c>
    </row>
    <row r="19" spans="1:3">
      <c r="A19" s="963" t="s">
        <v>1227</v>
      </c>
      <c r="B19" s="963" t="s">
        <v>4094</v>
      </c>
      <c r="C19" s="964">
        <v>176449195</v>
      </c>
    </row>
    <row r="20" spans="1:3">
      <c r="A20" s="963" t="s">
        <v>1229</v>
      </c>
      <c r="B20" s="963" t="s">
        <v>4095</v>
      </c>
      <c r="C20" s="964">
        <v>237785632</v>
      </c>
    </row>
    <row r="21" spans="1:3">
      <c r="A21" s="963" t="s">
        <v>2360</v>
      </c>
      <c r="B21" s="963" t="s">
        <v>2004</v>
      </c>
      <c r="C21" s="964">
        <v>60074227</v>
      </c>
    </row>
    <row r="22" spans="1:3">
      <c r="A22" s="963" t="s">
        <v>1233</v>
      </c>
      <c r="B22" s="963" t="s">
        <v>4097</v>
      </c>
      <c r="C22" s="964">
        <v>119199686</v>
      </c>
    </row>
    <row r="23" spans="1:3">
      <c r="A23" s="963" t="s">
        <v>3081</v>
      </c>
      <c r="B23" s="963" t="s">
        <v>6107</v>
      </c>
      <c r="C23" s="964">
        <v>97299455</v>
      </c>
    </row>
    <row r="24" spans="1:3">
      <c r="A24" s="963" t="s">
        <v>1235</v>
      </c>
      <c r="B24" s="963" t="s">
        <v>4098</v>
      </c>
      <c r="C24" s="964">
        <v>431564742</v>
      </c>
    </row>
    <row r="25" spans="1:3">
      <c r="A25" s="963" t="s">
        <v>2999</v>
      </c>
      <c r="B25" s="963" t="s">
        <v>4099</v>
      </c>
      <c r="C25" s="964">
        <v>213316020</v>
      </c>
    </row>
    <row r="26" spans="1:3">
      <c r="A26" s="963" t="s">
        <v>5127</v>
      </c>
      <c r="B26" s="963" t="s">
        <v>342</v>
      </c>
      <c r="C26" s="964">
        <v>653347336</v>
      </c>
    </row>
    <row r="27" spans="1:3">
      <c r="A27" s="963" t="s">
        <v>2563</v>
      </c>
      <c r="B27" s="963" t="s">
        <v>345</v>
      </c>
      <c r="C27" s="964">
        <v>179640715</v>
      </c>
    </row>
    <row r="28" spans="1:3">
      <c r="A28" s="963" t="s">
        <v>1237</v>
      </c>
      <c r="B28" s="963" t="s">
        <v>4100</v>
      </c>
      <c r="C28" s="964">
        <v>917559689</v>
      </c>
    </row>
    <row r="29" spans="1:3">
      <c r="A29" s="963" t="s">
        <v>1239</v>
      </c>
      <c r="B29" s="963" t="s">
        <v>4101</v>
      </c>
      <c r="C29" s="964">
        <v>1094723565</v>
      </c>
    </row>
    <row r="30" spans="1:3">
      <c r="A30" s="963" t="s">
        <v>1241</v>
      </c>
      <c r="B30" s="963" t="s">
        <v>4102</v>
      </c>
      <c r="C30" s="964">
        <v>328360826</v>
      </c>
    </row>
    <row r="31" spans="1:3">
      <c r="A31" s="963" t="s">
        <v>1243</v>
      </c>
      <c r="B31" s="963" t="s">
        <v>4103</v>
      </c>
      <c r="C31" s="964">
        <v>246813608</v>
      </c>
    </row>
    <row r="32" spans="1:3">
      <c r="A32" s="963" t="s">
        <v>1245</v>
      </c>
      <c r="B32" s="963" t="s">
        <v>4104</v>
      </c>
      <c r="C32" s="964">
        <v>181533451</v>
      </c>
    </row>
    <row r="33" spans="1:3">
      <c r="A33" s="963" t="s">
        <v>2361</v>
      </c>
      <c r="B33" s="963" t="s">
        <v>7695</v>
      </c>
      <c r="C33" s="964">
        <v>1208979190</v>
      </c>
    </row>
    <row r="34" spans="1:3">
      <c r="A34" s="963" t="s">
        <v>948</v>
      </c>
      <c r="B34" s="963" t="s">
        <v>7697</v>
      </c>
      <c r="C34" s="964">
        <v>2596723090</v>
      </c>
    </row>
    <row r="35" spans="1:3">
      <c r="A35" s="963" t="s">
        <v>1522</v>
      </c>
      <c r="B35" s="963" t="s">
        <v>1928</v>
      </c>
      <c r="C35" s="964">
        <v>876895446</v>
      </c>
    </row>
    <row r="36" spans="1:3">
      <c r="A36" s="963" t="s">
        <v>438</v>
      </c>
      <c r="B36" s="963" t="s">
        <v>2343</v>
      </c>
      <c r="C36" s="964">
        <v>555965048</v>
      </c>
    </row>
    <row r="37" spans="1:3">
      <c r="A37" s="963" t="s">
        <v>2565</v>
      </c>
      <c r="B37" s="963" t="s">
        <v>6074</v>
      </c>
      <c r="C37" s="964">
        <v>68349974</v>
      </c>
    </row>
    <row r="38" spans="1:3">
      <c r="A38" s="963" t="s">
        <v>1248</v>
      </c>
      <c r="B38" s="963" t="s">
        <v>4105</v>
      </c>
      <c r="C38" s="964">
        <v>143177745</v>
      </c>
    </row>
    <row r="39" spans="1:3">
      <c r="A39" s="963" t="s">
        <v>7182</v>
      </c>
      <c r="B39" s="963" t="s">
        <v>7902</v>
      </c>
      <c r="C39" s="964">
        <v>0</v>
      </c>
    </row>
    <row r="40" spans="1:3">
      <c r="A40" s="963" t="s">
        <v>439</v>
      </c>
      <c r="B40" s="963" t="s">
        <v>7698</v>
      </c>
      <c r="C40" s="964">
        <v>567364681</v>
      </c>
    </row>
    <row r="41" spans="1:3">
      <c r="A41" s="963" t="s">
        <v>1250</v>
      </c>
      <c r="B41" s="963" t="s">
        <v>4106</v>
      </c>
      <c r="C41" s="964">
        <v>213737916</v>
      </c>
    </row>
    <row r="42" spans="1:3">
      <c r="A42" s="963" t="s">
        <v>1252</v>
      </c>
      <c r="B42" s="963" t="s">
        <v>4107</v>
      </c>
      <c r="C42" s="964">
        <v>154389484</v>
      </c>
    </row>
    <row r="43" spans="1:3">
      <c r="A43" s="963" t="s">
        <v>2399</v>
      </c>
      <c r="B43" s="963" t="s">
        <v>2341</v>
      </c>
      <c r="C43" s="964">
        <v>137874219</v>
      </c>
    </row>
    <row r="44" spans="1:3">
      <c r="A44" s="963" t="s">
        <v>7184</v>
      </c>
      <c r="B44" s="963" t="s">
        <v>7903</v>
      </c>
      <c r="C44" s="964">
        <v>0</v>
      </c>
    </row>
    <row r="45" spans="1:3">
      <c r="A45" s="963" t="s">
        <v>7186</v>
      </c>
      <c r="B45" s="963" t="s">
        <v>7187</v>
      </c>
      <c r="C45" s="964">
        <v>0</v>
      </c>
    </row>
    <row r="46" spans="1:3">
      <c r="A46" s="963" t="s">
        <v>7188</v>
      </c>
      <c r="B46" s="963" t="s">
        <v>7189</v>
      </c>
      <c r="C46" s="964">
        <v>0</v>
      </c>
    </row>
    <row r="47" spans="1:3">
      <c r="A47" s="963" t="s">
        <v>7190</v>
      </c>
      <c r="B47" s="963" t="s">
        <v>7904</v>
      </c>
      <c r="C47" s="964">
        <v>0</v>
      </c>
    </row>
    <row r="48" spans="1:3">
      <c r="A48" s="963" t="s">
        <v>2566</v>
      </c>
      <c r="B48" s="963" t="s">
        <v>4108</v>
      </c>
      <c r="C48" s="964">
        <v>213597161</v>
      </c>
    </row>
    <row r="49" spans="1:3">
      <c r="A49" s="963" t="s">
        <v>947</v>
      </c>
      <c r="B49" s="963" t="s">
        <v>7696</v>
      </c>
      <c r="C49" s="964">
        <v>84992058</v>
      </c>
    </row>
    <row r="50" spans="1:3">
      <c r="A50" s="963" t="s">
        <v>950</v>
      </c>
      <c r="B50" s="963" t="s">
        <v>7654</v>
      </c>
      <c r="C50" s="964">
        <v>1908488224</v>
      </c>
    </row>
    <row r="51" spans="1:3">
      <c r="A51" s="963" t="s">
        <v>1869</v>
      </c>
      <c r="B51" s="963" t="s">
        <v>3848</v>
      </c>
      <c r="C51" s="964">
        <v>84186080</v>
      </c>
    </row>
    <row r="52" spans="1:3">
      <c r="A52" s="963" t="s">
        <v>6033</v>
      </c>
      <c r="B52" s="963" t="s">
        <v>1920</v>
      </c>
      <c r="C52" s="964">
        <v>6000724856</v>
      </c>
    </row>
    <row r="53" spans="1:3">
      <c r="A53" s="963" t="s">
        <v>2309</v>
      </c>
      <c r="B53" s="963" t="s">
        <v>367</v>
      </c>
      <c r="C53" s="964">
        <v>139621954</v>
      </c>
    </row>
    <row r="54" spans="1:3">
      <c r="A54" s="963" t="s">
        <v>2384</v>
      </c>
      <c r="B54" s="963" t="s">
        <v>376</v>
      </c>
      <c r="C54" s="964">
        <v>583423695</v>
      </c>
    </row>
    <row r="55" spans="1:3">
      <c r="A55" s="963" t="s">
        <v>2411</v>
      </c>
      <c r="B55" s="963" t="s">
        <v>5364</v>
      </c>
      <c r="C55" s="964">
        <v>2671957884</v>
      </c>
    </row>
    <row r="56" spans="1:3">
      <c r="A56" s="963" t="s">
        <v>2416</v>
      </c>
      <c r="B56" s="963" t="s">
        <v>5369</v>
      </c>
      <c r="C56" s="964">
        <v>232409068</v>
      </c>
    </row>
    <row r="57" spans="1:3">
      <c r="A57" s="963" t="s">
        <v>1254</v>
      </c>
      <c r="B57" s="963" t="s">
        <v>1255</v>
      </c>
      <c r="C57" s="964">
        <v>0</v>
      </c>
    </row>
    <row r="58" spans="1:3">
      <c r="A58" s="963" t="s">
        <v>7193</v>
      </c>
      <c r="B58" s="963" t="s">
        <v>7194</v>
      </c>
      <c r="C58" s="964">
        <v>0</v>
      </c>
    </row>
    <row r="59" spans="1:3">
      <c r="A59" s="963" t="s">
        <v>7195</v>
      </c>
      <c r="B59" s="963" t="s">
        <v>7905</v>
      </c>
      <c r="C59" s="964">
        <v>0</v>
      </c>
    </row>
    <row r="60" spans="1:3">
      <c r="A60" s="963" t="s">
        <v>7197</v>
      </c>
      <c r="B60" s="963" t="s">
        <v>7198</v>
      </c>
      <c r="C60" s="964">
        <v>0</v>
      </c>
    </row>
    <row r="61" spans="1:3">
      <c r="A61" s="963" t="s">
        <v>1256</v>
      </c>
      <c r="B61" s="963" t="s">
        <v>7906</v>
      </c>
      <c r="C61" s="964">
        <v>0</v>
      </c>
    </row>
    <row r="62" spans="1:3">
      <c r="A62" s="963" t="s">
        <v>7200</v>
      </c>
      <c r="B62" s="963" t="s">
        <v>7201</v>
      </c>
      <c r="C62" s="964">
        <v>0</v>
      </c>
    </row>
    <row r="63" spans="1:3">
      <c r="A63" s="963" t="s">
        <v>7202</v>
      </c>
      <c r="B63" s="963" t="s">
        <v>7907</v>
      </c>
      <c r="C63" s="964">
        <v>0</v>
      </c>
    </row>
    <row r="64" spans="1:3">
      <c r="A64" s="963" t="s">
        <v>7204</v>
      </c>
      <c r="B64" s="963" t="s">
        <v>7205</v>
      </c>
      <c r="C64" s="964">
        <v>0</v>
      </c>
    </row>
    <row r="65" spans="1:3">
      <c r="A65" s="963" t="s">
        <v>7206</v>
      </c>
      <c r="C65" s="964">
        <v>0</v>
      </c>
    </row>
    <row r="66" spans="1:3">
      <c r="A66" s="963" t="s">
        <v>7208</v>
      </c>
      <c r="B66" s="963" t="s">
        <v>7209</v>
      </c>
      <c r="C66" s="964">
        <v>0</v>
      </c>
    </row>
    <row r="67" spans="1:3">
      <c r="A67" s="963" t="s">
        <v>7210</v>
      </c>
      <c r="B67" s="963" t="s">
        <v>7908</v>
      </c>
      <c r="C67" s="964">
        <v>0</v>
      </c>
    </row>
    <row r="68" spans="1:3">
      <c r="A68" s="963" t="s">
        <v>7212</v>
      </c>
      <c r="B68" s="963" t="s">
        <v>7909</v>
      </c>
      <c r="C68" s="964">
        <v>0</v>
      </c>
    </row>
    <row r="69" spans="1:3">
      <c r="A69" s="963" t="s">
        <v>7214</v>
      </c>
      <c r="B69" s="963" t="s">
        <v>7910</v>
      </c>
      <c r="C69" s="964">
        <v>0</v>
      </c>
    </row>
    <row r="70" spans="1:3">
      <c r="A70" s="963" t="s">
        <v>7216</v>
      </c>
      <c r="B70" s="963" t="s">
        <v>7217</v>
      </c>
      <c r="C70" s="964">
        <v>0</v>
      </c>
    </row>
    <row r="71" spans="1:3">
      <c r="A71" s="963" t="s">
        <v>7218</v>
      </c>
      <c r="B71" s="963" t="s">
        <v>7911</v>
      </c>
      <c r="C71" s="964">
        <v>0</v>
      </c>
    </row>
    <row r="72" spans="1:3">
      <c r="A72" s="963" t="s">
        <v>7220</v>
      </c>
      <c r="B72" s="963" t="s">
        <v>7912</v>
      </c>
      <c r="C72" s="964">
        <v>0</v>
      </c>
    </row>
    <row r="73" spans="1:3">
      <c r="A73" s="963" t="s">
        <v>7223</v>
      </c>
      <c r="B73" s="963" t="s">
        <v>7224</v>
      </c>
      <c r="C73" s="964">
        <v>0</v>
      </c>
    </row>
    <row r="74" spans="1:3">
      <c r="A74" s="963" t="s">
        <v>7225</v>
      </c>
      <c r="B74" s="963" t="s">
        <v>7913</v>
      </c>
      <c r="C74" s="964">
        <v>0</v>
      </c>
    </row>
    <row r="75" spans="1:3">
      <c r="A75" s="963" t="s">
        <v>7227</v>
      </c>
      <c r="B75" s="963" t="s">
        <v>7228</v>
      </c>
      <c r="C75" s="964">
        <v>0</v>
      </c>
    </row>
    <row r="76" spans="1:3">
      <c r="A76" s="963" t="s">
        <v>7229</v>
      </c>
      <c r="B76" s="963" t="s">
        <v>7914</v>
      </c>
      <c r="C76" s="964">
        <v>0</v>
      </c>
    </row>
    <row r="77" spans="1:3">
      <c r="A77" s="963" t="s">
        <v>7231</v>
      </c>
      <c r="B77" s="963" t="s">
        <v>7915</v>
      </c>
      <c r="C77" s="964">
        <v>0</v>
      </c>
    </row>
    <row r="78" spans="1:3">
      <c r="A78" s="963" t="s">
        <v>7233</v>
      </c>
      <c r="B78" s="963" t="s">
        <v>7234</v>
      </c>
      <c r="C78" s="964">
        <v>0</v>
      </c>
    </row>
    <row r="79" spans="1:3">
      <c r="A79" s="963" t="s">
        <v>7235</v>
      </c>
      <c r="B79" s="963" t="s">
        <v>7236</v>
      </c>
      <c r="C79" s="964">
        <v>0</v>
      </c>
    </row>
    <row r="80" spans="1:3">
      <c r="A80" s="963" t="s">
        <v>7237</v>
      </c>
      <c r="B80" s="963" t="s">
        <v>7916</v>
      </c>
      <c r="C80" s="964">
        <v>0</v>
      </c>
    </row>
    <row r="81" spans="1:3">
      <c r="A81" s="963" t="s">
        <v>161</v>
      </c>
      <c r="B81" s="963" t="s">
        <v>7917</v>
      </c>
      <c r="C81" s="964">
        <v>0</v>
      </c>
    </row>
    <row r="82" spans="1:3">
      <c r="A82" s="963" t="s">
        <v>8034</v>
      </c>
      <c r="C82" s="964">
        <v>0</v>
      </c>
    </row>
    <row r="83" spans="1:3">
      <c r="A83" s="963" t="s">
        <v>162</v>
      </c>
      <c r="B83" s="963" t="s">
        <v>7918</v>
      </c>
      <c r="C83" s="964">
        <v>0</v>
      </c>
    </row>
    <row r="84" spans="1:3">
      <c r="A84" s="963" t="s">
        <v>7794</v>
      </c>
      <c r="B84" s="963" t="s">
        <v>7916</v>
      </c>
      <c r="C84" s="964">
        <v>0</v>
      </c>
    </row>
    <row r="85" spans="1:3">
      <c r="A85" s="963" t="s">
        <v>7919</v>
      </c>
      <c r="B85" s="963" t="s">
        <v>7920</v>
      </c>
      <c r="C85" s="964">
        <v>0</v>
      </c>
    </row>
    <row r="86" spans="1:3">
      <c r="A86" s="963" t="s">
        <v>7921</v>
      </c>
      <c r="B86" s="963" t="s">
        <v>7922</v>
      </c>
      <c r="C86" s="964">
        <v>0</v>
      </c>
    </row>
    <row r="87" spans="1:3">
      <c r="A87" s="963" t="s">
        <v>37</v>
      </c>
      <c r="B87" s="963" t="s">
        <v>4109</v>
      </c>
      <c r="C87" s="964">
        <v>4969218681</v>
      </c>
    </row>
    <row r="88" spans="1:3">
      <c r="A88" s="963" t="s">
        <v>1860</v>
      </c>
      <c r="B88" s="963" t="s">
        <v>3918</v>
      </c>
      <c r="C88" s="964">
        <v>1227701564</v>
      </c>
    </row>
    <row r="89" spans="1:3">
      <c r="A89" s="963" t="s">
        <v>1520</v>
      </c>
      <c r="B89" s="963" t="s">
        <v>1926</v>
      </c>
      <c r="C89" s="964">
        <v>884506414</v>
      </c>
    </row>
    <row r="90" spans="1:3">
      <c r="A90" s="963" t="s">
        <v>39</v>
      </c>
      <c r="B90" s="963" t="s">
        <v>4110</v>
      </c>
      <c r="C90" s="964">
        <v>0</v>
      </c>
    </row>
    <row r="91" spans="1:3">
      <c r="A91" s="963" t="s">
        <v>2386</v>
      </c>
      <c r="B91" s="963" t="s">
        <v>379</v>
      </c>
      <c r="C91" s="964">
        <v>12136259986</v>
      </c>
    </row>
    <row r="92" spans="1:3">
      <c r="A92" s="963" t="s">
        <v>2403</v>
      </c>
      <c r="B92" s="963" t="s">
        <v>2347</v>
      </c>
      <c r="C92" s="964">
        <v>1240113458</v>
      </c>
    </row>
    <row r="93" spans="1:3">
      <c r="A93" s="963" t="s">
        <v>2402</v>
      </c>
      <c r="B93" s="963" t="s">
        <v>2346</v>
      </c>
      <c r="C93" s="964">
        <v>330495325</v>
      </c>
    </row>
    <row r="94" spans="1:3">
      <c r="A94" s="963" t="s">
        <v>6183</v>
      </c>
      <c r="B94" s="963" t="s">
        <v>1937</v>
      </c>
      <c r="C94" s="964">
        <v>27665599458</v>
      </c>
    </row>
    <row r="95" spans="1:3">
      <c r="A95" s="963" t="s">
        <v>1517</v>
      </c>
      <c r="B95" s="963" t="s">
        <v>3013</v>
      </c>
      <c r="C95" s="964">
        <v>1818652677</v>
      </c>
    </row>
    <row r="96" spans="1:3">
      <c r="A96" s="963" t="s">
        <v>3082</v>
      </c>
      <c r="B96" s="963" t="s">
        <v>2349</v>
      </c>
      <c r="C96" s="964">
        <v>1555117063</v>
      </c>
    </row>
    <row r="97" spans="1:3">
      <c r="A97" s="963" t="s">
        <v>41</v>
      </c>
      <c r="B97" s="963" t="s">
        <v>4111</v>
      </c>
      <c r="C97" s="964">
        <v>0</v>
      </c>
    </row>
    <row r="98" spans="1:3">
      <c r="A98" s="963" t="s">
        <v>43</v>
      </c>
      <c r="B98" s="963" t="s">
        <v>4112</v>
      </c>
      <c r="C98" s="964">
        <v>0</v>
      </c>
    </row>
    <row r="99" spans="1:3">
      <c r="A99" s="963" t="s">
        <v>6185</v>
      </c>
      <c r="B99" s="963" t="s">
        <v>1939</v>
      </c>
      <c r="C99" s="964">
        <v>31980533495</v>
      </c>
    </row>
    <row r="100" spans="1:3">
      <c r="A100" s="963" t="s">
        <v>6026</v>
      </c>
      <c r="B100" s="963" t="s">
        <v>1911</v>
      </c>
      <c r="C100" s="964">
        <v>5963154985</v>
      </c>
    </row>
    <row r="101" spans="1:3">
      <c r="A101" s="963" t="s">
        <v>2404</v>
      </c>
      <c r="B101" s="963" t="s">
        <v>2348</v>
      </c>
      <c r="C101" s="964">
        <v>475236640</v>
      </c>
    </row>
    <row r="102" spans="1:3">
      <c r="A102" s="963" t="s">
        <v>7238</v>
      </c>
      <c r="C102" s="964">
        <v>0</v>
      </c>
    </row>
    <row r="103" spans="1:3">
      <c r="A103" s="963" t="s">
        <v>45</v>
      </c>
      <c r="B103" s="963" t="s">
        <v>4113</v>
      </c>
      <c r="C103" s="964">
        <v>544371889</v>
      </c>
    </row>
    <row r="104" spans="1:3">
      <c r="A104" s="963" t="s">
        <v>952</v>
      </c>
      <c r="B104" s="963" t="s">
        <v>7657</v>
      </c>
      <c r="C104" s="964">
        <v>640397632</v>
      </c>
    </row>
    <row r="105" spans="1:3">
      <c r="A105" s="963" t="s">
        <v>47</v>
      </c>
      <c r="B105" s="963" t="s">
        <v>4114</v>
      </c>
      <c r="C105" s="964">
        <v>951368252</v>
      </c>
    </row>
    <row r="106" spans="1:3">
      <c r="A106" s="963" t="s">
        <v>740</v>
      </c>
      <c r="B106" s="963" t="s">
        <v>6115</v>
      </c>
      <c r="C106" s="964">
        <v>451846745</v>
      </c>
    </row>
    <row r="107" spans="1:3">
      <c r="A107" s="963" t="s">
        <v>49</v>
      </c>
      <c r="B107" s="963" t="s">
        <v>4115</v>
      </c>
      <c r="C107" s="964">
        <v>137661071</v>
      </c>
    </row>
    <row r="108" spans="1:3">
      <c r="A108" s="963" t="s">
        <v>1337</v>
      </c>
      <c r="B108" s="963" t="s">
        <v>4116</v>
      </c>
      <c r="C108" s="964">
        <v>57169239</v>
      </c>
    </row>
    <row r="109" spans="1:3">
      <c r="A109" s="963" t="s">
        <v>1339</v>
      </c>
      <c r="B109" s="963" t="s">
        <v>4117</v>
      </c>
      <c r="C109" s="964">
        <v>189407820</v>
      </c>
    </row>
    <row r="110" spans="1:3">
      <c r="A110" s="963" t="s">
        <v>2474</v>
      </c>
      <c r="B110" s="963" t="s">
        <v>329</v>
      </c>
      <c r="C110" s="964">
        <v>72541701</v>
      </c>
    </row>
    <row r="111" spans="1:3">
      <c r="A111" s="963" t="s">
        <v>1341</v>
      </c>
      <c r="B111" s="963" t="s">
        <v>1663</v>
      </c>
      <c r="C111" s="964">
        <v>71257619</v>
      </c>
    </row>
    <row r="112" spans="1:3">
      <c r="A112" s="963" t="s">
        <v>1343</v>
      </c>
      <c r="B112" s="963" t="s">
        <v>1664</v>
      </c>
      <c r="C112" s="964">
        <v>102448475</v>
      </c>
    </row>
    <row r="113" spans="1:3">
      <c r="A113" s="963" t="s">
        <v>1345</v>
      </c>
      <c r="B113" s="963" t="s">
        <v>885</v>
      </c>
      <c r="C113" s="964">
        <v>66799273</v>
      </c>
    </row>
    <row r="114" spans="1:3">
      <c r="A114" s="963" t="s">
        <v>6961</v>
      </c>
      <c r="B114" s="963" t="s">
        <v>7241</v>
      </c>
      <c r="C114" s="964">
        <v>0</v>
      </c>
    </row>
    <row r="115" spans="1:3">
      <c r="A115" s="963" t="s">
        <v>963</v>
      </c>
      <c r="B115" s="963" t="s">
        <v>996</v>
      </c>
      <c r="C115" s="964">
        <v>161552433</v>
      </c>
    </row>
    <row r="116" spans="1:3">
      <c r="A116" s="963" t="s">
        <v>3083</v>
      </c>
      <c r="B116" s="963" t="s">
        <v>3850</v>
      </c>
      <c r="C116" s="964">
        <v>141751576</v>
      </c>
    </row>
    <row r="117" spans="1:3">
      <c r="A117" s="963" t="s">
        <v>2568</v>
      </c>
      <c r="B117" s="963" t="s">
        <v>6070</v>
      </c>
      <c r="C117" s="964">
        <v>54534135</v>
      </c>
    </row>
    <row r="118" spans="1:3">
      <c r="A118" s="963" t="s">
        <v>1349</v>
      </c>
      <c r="B118" s="963" t="s">
        <v>886</v>
      </c>
      <c r="C118" s="964">
        <v>326791929</v>
      </c>
    </row>
    <row r="119" spans="1:3">
      <c r="A119" s="963" t="s">
        <v>6083</v>
      </c>
      <c r="B119" s="963" t="s">
        <v>887</v>
      </c>
      <c r="C119" s="964">
        <v>187909967</v>
      </c>
    </row>
    <row r="120" spans="1:3">
      <c r="A120" s="963" t="s">
        <v>6085</v>
      </c>
      <c r="B120" s="963" t="s">
        <v>888</v>
      </c>
      <c r="C120" s="964">
        <v>1839920364</v>
      </c>
    </row>
    <row r="121" spans="1:3">
      <c r="A121" s="963" t="s">
        <v>1998</v>
      </c>
      <c r="B121" s="963" t="s">
        <v>889</v>
      </c>
      <c r="C121" s="964">
        <v>495178769</v>
      </c>
    </row>
    <row r="122" spans="1:3">
      <c r="A122" s="963" t="s">
        <v>2570</v>
      </c>
      <c r="B122" s="963" t="s">
        <v>1467</v>
      </c>
      <c r="C122" s="964">
        <v>94393065</v>
      </c>
    </row>
    <row r="123" spans="1:3">
      <c r="A123" s="963" t="s">
        <v>4076</v>
      </c>
      <c r="B123" s="963" t="s">
        <v>6061</v>
      </c>
      <c r="C123" s="964">
        <v>16840126</v>
      </c>
    </row>
    <row r="124" spans="1:3">
      <c r="A124" s="963" t="s">
        <v>1963</v>
      </c>
      <c r="B124" s="963" t="s">
        <v>890</v>
      </c>
      <c r="C124" s="964">
        <v>155453360</v>
      </c>
    </row>
    <row r="125" spans="1:3">
      <c r="A125" s="963" t="s">
        <v>2000</v>
      </c>
      <c r="B125" s="963" t="s">
        <v>891</v>
      </c>
      <c r="C125" s="964">
        <v>783615989</v>
      </c>
    </row>
    <row r="126" spans="1:3">
      <c r="A126" s="963" t="s">
        <v>2002</v>
      </c>
      <c r="B126" s="963" t="s">
        <v>3852</v>
      </c>
      <c r="C126" s="964">
        <v>18133261</v>
      </c>
    </row>
    <row r="127" spans="1:3">
      <c r="A127" s="963" t="s">
        <v>1964</v>
      </c>
      <c r="B127" s="963" t="s">
        <v>892</v>
      </c>
      <c r="C127" s="964">
        <v>29111490</v>
      </c>
    </row>
    <row r="128" spans="1:3">
      <c r="A128" s="963" t="s">
        <v>2136</v>
      </c>
      <c r="B128" s="963" t="s">
        <v>7679</v>
      </c>
      <c r="C128" s="964">
        <v>3487906446</v>
      </c>
    </row>
    <row r="129" spans="1:3">
      <c r="A129" s="963" t="s">
        <v>2966</v>
      </c>
      <c r="B129" s="963" t="s">
        <v>893</v>
      </c>
      <c r="C129" s="964">
        <v>2416594677</v>
      </c>
    </row>
    <row r="130" spans="1:3">
      <c r="A130" s="963" t="s">
        <v>3084</v>
      </c>
      <c r="B130" s="963" t="s">
        <v>992</v>
      </c>
      <c r="C130" s="964">
        <v>174135472</v>
      </c>
    </row>
    <row r="131" spans="1:3">
      <c r="A131" s="963" t="s">
        <v>6252</v>
      </c>
      <c r="B131" s="963" t="s">
        <v>1571</v>
      </c>
      <c r="C131" s="964">
        <v>6893674257</v>
      </c>
    </row>
    <row r="132" spans="1:3">
      <c r="A132" s="963" t="s">
        <v>6254</v>
      </c>
      <c r="B132" s="963" t="s">
        <v>1572</v>
      </c>
      <c r="C132" s="964">
        <v>1458856594</v>
      </c>
    </row>
    <row r="133" spans="1:3">
      <c r="A133" s="963" t="s">
        <v>233</v>
      </c>
      <c r="B133" s="963" t="s">
        <v>2640</v>
      </c>
      <c r="C133" s="964">
        <v>768479500</v>
      </c>
    </row>
    <row r="134" spans="1:3">
      <c r="A134" s="963" t="s">
        <v>6195</v>
      </c>
      <c r="B134" s="963" t="s">
        <v>5293</v>
      </c>
      <c r="C134" s="964">
        <v>5607200113</v>
      </c>
    </row>
    <row r="135" spans="1:3">
      <c r="A135" s="963" t="s">
        <v>6256</v>
      </c>
      <c r="B135" s="963" t="s">
        <v>1573</v>
      </c>
      <c r="C135" s="964">
        <v>42474138</v>
      </c>
    </row>
    <row r="136" spans="1:3">
      <c r="A136" s="963" t="s">
        <v>7243</v>
      </c>
      <c r="B136" s="963" t="s">
        <v>7923</v>
      </c>
      <c r="C136" s="964">
        <v>0</v>
      </c>
    </row>
    <row r="137" spans="1:3">
      <c r="A137" s="963" t="s">
        <v>163</v>
      </c>
      <c r="B137" s="963" t="s">
        <v>7924</v>
      </c>
      <c r="C137" s="964">
        <v>0</v>
      </c>
    </row>
    <row r="138" spans="1:3">
      <c r="A138" s="963" t="s">
        <v>743</v>
      </c>
      <c r="B138" s="963" t="s">
        <v>6119</v>
      </c>
      <c r="C138" s="964">
        <v>5753251755</v>
      </c>
    </row>
    <row r="139" spans="1:3">
      <c r="A139" s="963" t="s">
        <v>960</v>
      </c>
      <c r="B139" s="963" t="s">
        <v>2143</v>
      </c>
      <c r="C139" s="964">
        <v>4564296237</v>
      </c>
    </row>
    <row r="140" spans="1:3">
      <c r="A140" s="963" t="s">
        <v>7245</v>
      </c>
      <c r="B140" s="963" t="s">
        <v>7246</v>
      </c>
      <c r="C140" s="964">
        <v>0</v>
      </c>
    </row>
    <row r="141" spans="1:3">
      <c r="A141" s="963" t="s">
        <v>6991</v>
      </c>
      <c r="B141" s="963" t="s">
        <v>107</v>
      </c>
      <c r="C141" s="964">
        <v>59080645</v>
      </c>
    </row>
    <row r="142" spans="1:3">
      <c r="A142" s="963" t="s">
        <v>6262</v>
      </c>
      <c r="B142" s="963" t="s">
        <v>108</v>
      </c>
      <c r="C142" s="964">
        <v>367139046</v>
      </c>
    </row>
    <row r="143" spans="1:3">
      <c r="A143" s="963" t="s">
        <v>6264</v>
      </c>
      <c r="B143" s="963" t="s">
        <v>3792</v>
      </c>
      <c r="C143" s="964">
        <v>60943503</v>
      </c>
    </row>
    <row r="144" spans="1:3">
      <c r="A144" s="963" t="s">
        <v>6266</v>
      </c>
      <c r="B144" s="963" t="s">
        <v>3793</v>
      </c>
      <c r="C144" s="964">
        <v>7232700</v>
      </c>
    </row>
    <row r="145" spans="1:3">
      <c r="A145" s="963" t="s">
        <v>6268</v>
      </c>
      <c r="B145" s="963" t="s">
        <v>3794</v>
      </c>
      <c r="C145" s="964">
        <v>54241197</v>
      </c>
    </row>
    <row r="146" spans="1:3">
      <c r="A146" s="963" t="s">
        <v>7247</v>
      </c>
      <c r="B146" s="963" t="s">
        <v>7248</v>
      </c>
      <c r="C146" s="964">
        <v>0</v>
      </c>
    </row>
    <row r="147" spans="1:3">
      <c r="A147" s="963" t="s">
        <v>6270</v>
      </c>
      <c r="B147" s="963" t="s">
        <v>3795</v>
      </c>
      <c r="C147" s="964">
        <v>864929896</v>
      </c>
    </row>
    <row r="148" spans="1:3">
      <c r="A148" s="963" t="s">
        <v>6272</v>
      </c>
      <c r="B148" s="963" t="s">
        <v>3796</v>
      </c>
      <c r="C148" s="964">
        <v>251880157</v>
      </c>
    </row>
    <row r="149" spans="1:3">
      <c r="A149" s="963" t="s">
        <v>2291</v>
      </c>
      <c r="B149" s="963" t="s">
        <v>3797</v>
      </c>
      <c r="C149" s="964">
        <v>1065380829</v>
      </c>
    </row>
    <row r="150" spans="1:3">
      <c r="A150" s="963" t="s">
        <v>954</v>
      </c>
      <c r="B150" s="963" t="s">
        <v>7659</v>
      </c>
      <c r="C150" s="964">
        <v>36893516</v>
      </c>
    </row>
    <row r="151" spans="1:3">
      <c r="A151" s="963" t="s">
        <v>6166</v>
      </c>
      <c r="B151" s="963" t="s">
        <v>6071</v>
      </c>
      <c r="C151" s="964">
        <v>121854577</v>
      </c>
    </row>
    <row r="152" spans="1:3">
      <c r="A152" s="963" t="s">
        <v>864</v>
      </c>
      <c r="B152" s="963" t="s">
        <v>2011</v>
      </c>
      <c r="C152" s="964">
        <v>33440806</v>
      </c>
    </row>
    <row r="153" spans="1:3">
      <c r="A153" s="963" t="s">
        <v>3085</v>
      </c>
      <c r="B153" s="963" t="s">
        <v>2141</v>
      </c>
      <c r="C153" s="964">
        <v>45350458</v>
      </c>
    </row>
    <row r="154" spans="1:3">
      <c r="A154" s="963" t="s">
        <v>1518</v>
      </c>
      <c r="B154" s="963" t="s">
        <v>3012</v>
      </c>
      <c r="C154" s="964">
        <v>220686367</v>
      </c>
    </row>
    <row r="155" spans="1:3">
      <c r="A155" s="963" t="s">
        <v>7249</v>
      </c>
      <c r="B155" s="963" t="s">
        <v>3781</v>
      </c>
      <c r="C155" s="964">
        <v>0</v>
      </c>
    </row>
    <row r="156" spans="1:3">
      <c r="A156" s="963" t="s">
        <v>7251</v>
      </c>
      <c r="B156" s="963" t="s">
        <v>3781</v>
      </c>
      <c r="C156" s="964">
        <v>0</v>
      </c>
    </row>
    <row r="157" spans="1:3">
      <c r="A157" s="963" t="s">
        <v>2293</v>
      </c>
      <c r="B157" s="963" t="s">
        <v>3798</v>
      </c>
      <c r="C157" s="964">
        <v>690553314</v>
      </c>
    </row>
    <row r="158" spans="1:3">
      <c r="A158" s="963" t="s">
        <v>2295</v>
      </c>
      <c r="B158" s="963" t="s">
        <v>3799</v>
      </c>
      <c r="C158" s="964">
        <v>194053843</v>
      </c>
    </row>
    <row r="159" spans="1:3">
      <c r="A159" s="963" t="s">
        <v>2297</v>
      </c>
      <c r="B159" s="963" t="s">
        <v>3800</v>
      </c>
      <c r="C159" s="964">
        <v>142208802</v>
      </c>
    </row>
    <row r="160" spans="1:3">
      <c r="A160" s="963" t="s">
        <v>978</v>
      </c>
      <c r="B160" s="963" t="s">
        <v>4670</v>
      </c>
      <c r="C160" s="964">
        <v>1652105860</v>
      </c>
    </row>
    <row r="161" spans="1:3">
      <c r="A161" s="963" t="s">
        <v>3003</v>
      </c>
      <c r="B161" s="963" t="s">
        <v>6063</v>
      </c>
      <c r="C161" s="964">
        <v>2817563871</v>
      </c>
    </row>
    <row r="162" spans="1:3">
      <c r="A162" s="963" t="s">
        <v>2993</v>
      </c>
      <c r="B162" s="963" t="s">
        <v>196</v>
      </c>
      <c r="C162" s="964">
        <v>839319800</v>
      </c>
    </row>
    <row r="163" spans="1:3">
      <c r="A163" s="963" t="s">
        <v>518</v>
      </c>
      <c r="B163" s="963" t="s">
        <v>6056</v>
      </c>
      <c r="C163" s="964">
        <v>326463095</v>
      </c>
    </row>
    <row r="164" spans="1:3">
      <c r="A164" s="963" t="s">
        <v>2299</v>
      </c>
      <c r="B164" s="963" t="s">
        <v>3801</v>
      </c>
      <c r="C164" s="964">
        <v>99517654</v>
      </c>
    </row>
    <row r="165" spans="1:3">
      <c r="A165" s="963" t="s">
        <v>3971</v>
      </c>
      <c r="B165" s="963" t="s">
        <v>4676</v>
      </c>
      <c r="C165" s="964">
        <v>3593486034</v>
      </c>
    </row>
    <row r="166" spans="1:3">
      <c r="A166" s="963" t="s">
        <v>2161</v>
      </c>
      <c r="B166" s="963" t="s">
        <v>3803</v>
      </c>
      <c r="C166" s="964">
        <v>96317358</v>
      </c>
    </row>
    <row r="167" spans="1:3">
      <c r="A167" s="963" t="s">
        <v>3086</v>
      </c>
      <c r="B167" s="963" t="s">
        <v>4679</v>
      </c>
      <c r="C167" s="964">
        <v>324765928</v>
      </c>
    </row>
    <row r="168" spans="1:3">
      <c r="A168" s="963" t="s">
        <v>2605</v>
      </c>
      <c r="B168" s="963" t="s">
        <v>3804</v>
      </c>
      <c r="C168" s="964">
        <v>102633214</v>
      </c>
    </row>
    <row r="169" spans="1:3">
      <c r="A169" s="963" t="s">
        <v>4181</v>
      </c>
      <c r="B169" s="963" t="s">
        <v>3805</v>
      </c>
      <c r="C169" s="964">
        <v>207441958</v>
      </c>
    </row>
    <row r="170" spans="1:3">
      <c r="A170" s="963" t="s">
        <v>8035</v>
      </c>
      <c r="B170" s="963" t="s">
        <v>8036</v>
      </c>
      <c r="C170" s="964">
        <v>0</v>
      </c>
    </row>
    <row r="171" spans="1:3">
      <c r="A171" s="963" t="s">
        <v>7795</v>
      </c>
      <c r="B171" s="963" t="s">
        <v>7925</v>
      </c>
      <c r="C171" s="964">
        <v>0</v>
      </c>
    </row>
    <row r="172" spans="1:3">
      <c r="A172" s="963" t="s">
        <v>959</v>
      </c>
      <c r="B172" s="963" t="s">
        <v>2142</v>
      </c>
      <c r="C172" s="964">
        <v>4926842237</v>
      </c>
    </row>
    <row r="173" spans="1:3">
      <c r="A173" s="963" t="s">
        <v>1861</v>
      </c>
      <c r="B173" s="963" t="s">
        <v>4684</v>
      </c>
      <c r="C173" s="964">
        <v>3015800690</v>
      </c>
    </row>
    <row r="174" spans="1:3">
      <c r="A174" s="963" t="s">
        <v>6037</v>
      </c>
      <c r="B174" s="963" t="s">
        <v>2152</v>
      </c>
      <c r="C174" s="964">
        <v>342389292</v>
      </c>
    </row>
    <row r="175" spans="1:3">
      <c r="A175" s="963" t="s">
        <v>2995</v>
      </c>
      <c r="B175" s="963" t="s">
        <v>4687</v>
      </c>
      <c r="C175" s="964">
        <v>1171166305</v>
      </c>
    </row>
    <row r="176" spans="1:3">
      <c r="A176" s="963" t="s">
        <v>7643</v>
      </c>
      <c r="B176" s="963" t="s">
        <v>3806</v>
      </c>
      <c r="C176" s="964">
        <v>3543836454</v>
      </c>
    </row>
    <row r="177" spans="1:3">
      <c r="A177" s="963" t="s">
        <v>3087</v>
      </c>
      <c r="B177" s="963" t="s">
        <v>361</v>
      </c>
      <c r="C177" s="964">
        <v>210126030</v>
      </c>
    </row>
    <row r="178" spans="1:3">
      <c r="A178" s="963" t="s">
        <v>2387</v>
      </c>
      <c r="B178" s="963" t="s">
        <v>4691</v>
      </c>
      <c r="C178" s="964">
        <v>792165445</v>
      </c>
    </row>
    <row r="179" spans="1:3">
      <c r="A179" s="963" t="s">
        <v>3088</v>
      </c>
      <c r="B179" s="963" t="s">
        <v>1459</v>
      </c>
      <c r="C179" s="964">
        <v>37305640</v>
      </c>
    </row>
    <row r="180" spans="1:3">
      <c r="A180" s="963" t="s">
        <v>2393</v>
      </c>
      <c r="B180" s="963" t="s">
        <v>1460</v>
      </c>
      <c r="C180" s="964">
        <v>68141083</v>
      </c>
    </row>
    <row r="181" spans="1:3">
      <c r="A181" s="963" t="s">
        <v>7645</v>
      </c>
      <c r="B181" s="963" t="s">
        <v>7253</v>
      </c>
      <c r="C181" s="964">
        <v>0</v>
      </c>
    </row>
    <row r="182" spans="1:3">
      <c r="A182" s="963" t="s">
        <v>7647</v>
      </c>
      <c r="B182" s="963" t="s">
        <v>3807</v>
      </c>
      <c r="C182" s="964">
        <v>668472306</v>
      </c>
    </row>
    <row r="183" spans="1:3">
      <c r="A183" s="963" t="s">
        <v>7649</v>
      </c>
      <c r="B183" s="963" t="s">
        <v>3808</v>
      </c>
      <c r="C183" s="964">
        <v>70959083</v>
      </c>
    </row>
    <row r="184" spans="1:3">
      <c r="A184" s="963" t="s">
        <v>1786</v>
      </c>
      <c r="B184" s="963" t="s">
        <v>3809</v>
      </c>
      <c r="C184" s="964">
        <v>556837732</v>
      </c>
    </row>
    <row r="185" spans="1:3">
      <c r="A185" s="963" t="s">
        <v>1788</v>
      </c>
      <c r="B185" s="963" t="s">
        <v>6208</v>
      </c>
      <c r="C185" s="964">
        <v>383480524</v>
      </c>
    </row>
    <row r="186" spans="1:3">
      <c r="A186" s="963" t="s">
        <v>1790</v>
      </c>
      <c r="B186" s="963" t="s">
        <v>6209</v>
      </c>
      <c r="C186" s="964">
        <v>466138984</v>
      </c>
    </row>
    <row r="187" spans="1:3">
      <c r="A187" s="963" t="s">
        <v>1792</v>
      </c>
      <c r="B187" s="963" t="s">
        <v>6210</v>
      </c>
      <c r="C187" s="964">
        <v>52388820</v>
      </c>
    </row>
    <row r="188" spans="1:3">
      <c r="A188" s="963" t="s">
        <v>2982</v>
      </c>
      <c r="B188" s="963" t="s">
        <v>6211</v>
      </c>
      <c r="C188" s="964">
        <v>438573682</v>
      </c>
    </row>
    <row r="189" spans="1:3">
      <c r="A189" s="963" t="s">
        <v>2984</v>
      </c>
      <c r="B189" s="963" t="s">
        <v>4702</v>
      </c>
      <c r="C189" s="964">
        <v>208267848</v>
      </c>
    </row>
    <row r="190" spans="1:3">
      <c r="A190" s="963" t="s">
        <v>965</v>
      </c>
      <c r="B190" s="963" t="s">
        <v>6077</v>
      </c>
      <c r="C190" s="964">
        <v>32138800</v>
      </c>
    </row>
    <row r="191" spans="1:3">
      <c r="A191" s="963" t="s">
        <v>6704</v>
      </c>
      <c r="B191" s="963" t="s">
        <v>3814</v>
      </c>
      <c r="C191" s="964">
        <v>382336348</v>
      </c>
    </row>
    <row r="192" spans="1:3">
      <c r="A192" s="963" t="s">
        <v>690</v>
      </c>
      <c r="B192" s="963" t="s">
        <v>3816</v>
      </c>
      <c r="C192" s="964">
        <v>34507356</v>
      </c>
    </row>
    <row r="193" spans="1:3">
      <c r="A193" s="963" t="s">
        <v>692</v>
      </c>
      <c r="B193" s="963" t="s">
        <v>3817</v>
      </c>
      <c r="C193" s="964">
        <v>207716490</v>
      </c>
    </row>
    <row r="194" spans="1:3">
      <c r="A194" s="963" t="s">
        <v>895</v>
      </c>
      <c r="B194" s="963" t="s">
        <v>3818</v>
      </c>
      <c r="C194" s="964">
        <v>61766870</v>
      </c>
    </row>
    <row r="195" spans="1:3">
      <c r="A195" s="963" t="s">
        <v>6177</v>
      </c>
      <c r="B195" s="963" t="s">
        <v>506</v>
      </c>
      <c r="C195" s="964">
        <v>31160157</v>
      </c>
    </row>
    <row r="196" spans="1:3">
      <c r="A196" s="963" t="s">
        <v>265</v>
      </c>
      <c r="B196" s="963" t="s">
        <v>7682</v>
      </c>
      <c r="C196" s="964">
        <v>291501778</v>
      </c>
    </row>
    <row r="197" spans="1:3">
      <c r="A197" s="963" t="s">
        <v>897</v>
      </c>
      <c r="B197" s="963" t="s">
        <v>3819</v>
      </c>
      <c r="C197" s="964">
        <v>2995592970</v>
      </c>
    </row>
    <row r="198" spans="1:3">
      <c r="A198" s="963" t="s">
        <v>899</v>
      </c>
      <c r="B198" s="963" t="s">
        <v>3820</v>
      </c>
      <c r="C198" s="964">
        <v>236107559</v>
      </c>
    </row>
    <row r="199" spans="1:3">
      <c r="A199" s="963" t="s">
        <v>901</v>
      </c>
      <c r="B199" s="963" t="s">
        <v>3821</v>
      </c>
      <c r="C199" s="964">
        <v>157947037</v>
      </c>
    </row>
    <row r="200" spans="1:3">
      <c r="A200" s="963" t="s">
        <v>6023</v>
      </c>
      <c r="B200" s="963" t="s">
        <v>1908</v>
      </c>
      <c r="C200" s="964">
        <v>886139884</v>
      </c>
    </row>
    <row r="201" spans="1:3">
      <c r="A201" s="963" t="s">
        <v>2383</v>
      </c>
      <c r="B201" s="963" t="s">
        <v>374</v>
      </c>
      <c r="C201" s="964">
        <v>370366311</v>
      </c>
    </row>
    <row r="202" spans="1:3">
      <c r="A202" s="963" t="s">
        <v>6180</v>
      </c>
      <c r="B202" s="963" t="s">
        <v>1934</v>
      </c>
      <c r="C202" s="964">
        <v>38856165</v>
      </c>
    </row>
    <row r="203" spans="1:3">
      <c r="A203" s="963" t="s">
        <v>903</v>
      </c>
      <c r="B203" s="963" t="s">
        <v>3822</v>
      </c>
      <c r="C203" s="964">
        <v>107619488</v>
      </c>
    </row>
    <row r="204" spans="1:3">
      <c r="A204" s="963" t="s">
        <v>736</v>
      </c>
      <c r="B204" s="963" t="s">
        <v>6109</v>
      </c>
      <c r="C204" s="964">
        <v>206544430</v>
      </c>
    </row>
    <row r="205" spans="1:3">
      <c r="A205" s="963" t="s">
        <v>5336</v>
      </c>
      <c r="B205" s="963" t="s">
        <v>3823</v>
      </c>
      <c r="C205" s="964">
        <v>21821130</v>
      </c>
    </row>
    <row r="206" spans="1:3">
      <c r="A206" s="963" t="s">
        <v>2117</v>
      </c>
      <c r="B206" s="963" t="s">
        <v>3824</v>
      </c>
      <c r="C206" s="964">
        <v>314310825</v>
      </c>
    </row>
    <row r="207" spans="1:3">
      <c r="A207" s="963" t="s">
        <v>3089</v>
      </c>
      <c r="B207" s="963" t="s">
        <v>338</v>
      </c>
      <c r="C207" s="964">
        <v>87865365</v>
      </c>
    </row>
    <row r="208" spans="1:3">
      <c r="A208" s="963" t="s">
        <v>2119</v>
      </c>
      <c r="B208" s="963" t="s">
        <v>3825</v>
      </c>
      <c r="C208" s="964">
        <v>41980575</v>
      </c>
    </row>
    <row r="209" spans="1:3">
      <c r="A209" s="963" t="s">
        <v>2121</v>
      </c>
      <c r="B209" s="963" t="s">
        <v>2855</v>
      </c>
      <c r="C209" s="964">
        <v>79320780</v>
      </c>
    </row>
    <row r="210" spans="1:3">
      <c r="A210" s="963" t="s">
        <v>2123</v>
      </c>
      <c r="B210" s="963" t="s">
        <v>2856</v>
      </c>
      <c r="C210" s="964">
        <v>65451038</v>
      </c>
    </row>
    <row r="211" spans="1:3">
      <c r="A211" s="963" t="s">
        <v>3130</v>
      </c>
      <c r="B211" s="963" t="s">
        <v>4726</v>
      </c>
      <c r="C211" s="964">
        <v>706014888</v>
      </c>
    </row>
    <row r="212" spans="1:3">
      <c r="A212" s="963" t="s">
        <v>3132</v>
      </c>
      <c r="B212" s="963" t="s">
        <v>2858</v>
      </c>
      <c r="C212" s="964">
        <v>88848079</v>
      </c>
    </row>
    <row r="213" spans="1:3">
      <c r="A213" s="963" t="s">
        <v>1322</v>
      </c>
      <c r="B213" s="963" t="s">
        <v>2859</v>
      </c>
      <c r="C213" s="964">
        <v>354431225</v>
      </c>
    </row>
    <row r="214" spans="1:3">
      <c r="A214" s="963" t="s">
        <v>742</v>
      </c>
      <c r="B214" s="963" t="s">
        <v>6118</v>
      </c>
      <c r="C214" s="964">
        <v>113038670</v>
      </c>
    </row>
    <row r="215" spans="1:3">
      <c r="A215" s="963" t="s">
        <v>440</v>
      </c>
      <c r="B215" s="963" t="s">
        <v>1457</v>
      </c>
      <c r="C215" s="964">
        <v>54305788</v>
      </c>
    </row>
    <row r="216" spans="1:3">
      <c r="A216" s="963" t="s">
        <v>1324</v>
      </c>
      <c r="B216" s="963" t="s">
        <v>4732</v>
      </c>
      <c r="C216" s="964">
        <v>80548814</v>
      </c>
    </row>
    <row r="217" spans="1:3">
      <c r="A217" s="963" t="s">
        <v>1326</v>
      </c>
      <c r="B217" s="963" t="s">
        <v>2861</v>
      </c>
      <c r="C217" s="964">
        <v>42747476</v>
      </c>
    </row>
    <row r="218" spans="1:3">
      <c r="A218" s="963" t="s">
        <v>818</v>
      </c>
      <c r="B218" s="963" t="s">
        <v>7677</v>
      </c>
      <c r="C218" s="964">
        <v>7132837054</v>
      </c>
    </row>
    <row r="219" spans="1:3">
      <c r="A219" s="963" t="s">
        <v>266</v>
      </c>
      <c r="B219" s="963" t="s">
        <v>7683</v>
      </c>
      <c r="C219" s="964">
        <v>517384319</v>
      </c>
    </row>
    <row r="220" spans="1:3">
      <c r="A220" s="963" t="s">
        <v>441</v>
      </c>
      <c r="B220" s="963" t="s">
        <v>6104</v>
      </c>
      <c r="C220" s="964">
        <v>653063801</v>
      </c>
    </row>
    <row r="221" spans="1:3">
      <c r="A221" s="963" t="s">
        <v>1526</v>
      </c>
      <c r="B221" s="963" t="s">
        <v>110</v>
      </c>
      <c r="C221" s="964">
        <v>333914517</v>
      </c>
    </row>
    <row r="222" spans="1:3">
      <c r="A222" s="963" t="s">
        <v>1312</v>
      </c>
      <c r="B222" s="963" t="s">
        <v>117</v>
      </c>
      <c r="C222" s="964">
        <v>16079962794</v>
      </c>
    </row>
    <row r="223" spans="1:3">
      <c r="A223" s="963" t="s">
        <v>6168</v>
      </c>
      <c r="B223" s="963" t="s">
        <v>6076</v>
      </c>
      <c r="C223" s="964">
        <v>8925923714</v>
      </c>
    </row>
    <row r="224" spans="1:3">
      <c r="A224" s="963" t="s">
        <v>5913</v>
      </c>
      <c r="B224" s="963" t="s">
        <v>2862</v>
      </c>
      <c r="C224" s="964">
        <v>424851524</v>
      </c>
    </row>
    <row r="225" spans="1:3">
      <c r="A225" s="963" t="s">
        <v>3546</v>
      </c>
      <c r="B225" s="963" t="s">
        <v>2863</v>
      </c>
      <c r="C225" s="964">
        <v>33724794997</v>
      </c>
    </row>
    <row r="226" spans="1:3">
      <c r="A226" s="963" t="s">
        <v>5132</v>
      </c>
      <c r="B226" s="963" t="s">
        <v>352</v>
      </c>
      <c r="C226" s="964">
        <v>506084099</v>
      </c>
    </row>
    <row r="227" spans="1:3">
      <c r="A227" s="963" t="s">
        <v>649</v>
      </c>
      <c r="B227" s="963" t="s">
        <v>354</v>
      </c>
      <c r="C227" s="964">
        <v>1698439352</v>
      </c>
    </row>
    <row r="228" spans="1:3">
      <c r="A228" s="963" t="s">
        <v>861</v>
      </c>
      <c r="B228" s="963" t="s">
        <v>2008</v>
      </c>
      <c r="C228" s="964">
        <v>3129753162</v>
      </c>
    </row>
    <row r="229" spans="1:3">
      <c r="A229" s="963" t="s">
        <v>956</v>
      </c>
      <c r="B229" s="963" t="s">
        <v>7661</v>
      </c>
      <c r="C229" s="964">
        <v>121598900</v>
      </c>
    </row>
    <row r="230" spans="1:3">
      <c r="A230" s="963" t="s">
        <v>236</v>
      </c>
      <c r="B230" s="963" t="s">
        <v>2643</v>
      </c>
      <c r="C230" s="964">
        <v>459904509</v>
      </c>
    </row>
    <row r="231" spans="1:3">
      <c r="A231" s="963" t="s">
        <v>3548</v>
      </c>
      <c r="B231" s="963" t="s">
        <v>2864</v>
      </c>
      <c r="C231" s="964">
        <v>1473904129</v>
      </c>
    </row>
    <row r="232" spans="1:3">
      <c r="A232" s="963" t="s">
        <v>3550</v>
      </c>
      <c r="B232" s="963" t="s">
        <v>2865</v>
      </c>
      <c r="C232" s="964">
        <v>94474445</v>
      </c>
    </row>
    <row r="233" spans="1:3">
      <c r="A233" s="963" t="s">
        <v>206</v>
      </c>
      <c r="B233" s="963" t="s">
        <v>2866</v>
      </c>
      <c r="C233" s="964">
        <v>39200485</v>
      </c>
    </row>
    <row r="234" spans="1:3">
      <c r="A234" s="963" t="s">
        <v>234</v>
      </c>
      <c r="B234" s="963" t="s">
        <v>2641</v>
      </c>
      <c r="C234" s="964">
        <v>726607163</v>
      </c>
    </row>
    <row r="235" spans="1:3">
      <c r="A235" s="963" t="s">
        <v>208</v>
      </c>
      <c r="B235" s="963" t="s">
        <v>4752</v>
      </c>
      <c r="C235" s="964">
        <v>620924888</v>
      </c>
    </row>
    <row r="236" spans="1:3">
      <c r="A236" s="963" t="s">
        <v>210</v>
      </c>
      <c r="B236" s="963" t="s">
        <v>2868</v>
      </c>
      <c r="C236" s="964">
        <v>255050974</v>
      </c>
    </row>
    <row r="237" spans="1:3">
      <c r="A237" s="963" t="s">
        <v>7254</v>
      </c>
      <c r="C237" s="964">
        <v>0</v>
      </c>
    </row>
    <row r="238" spans="1:3">
      <c r="A238" s="963" t="s">
        <v>7256</v>
      </c>
      <c r="B238" s="963" t="s">
        <v>7257</v>
      </c>
      <c r="C238" s="964">
        <v>0</v>
      </c>
    </row>
    <row r="239" spans="1:3">
      <c r="A239" s="963" t="s">
        <v>212</v>
      </c>
      <c r="B239" s="963" t="s">
        <v>2869</v>
      </c>
      <c r="C239" s="964">
        <v>2942890395</v>
      </c>
    </row>
    <row r="240" spans="1:3">
      <c r="A240" s="963" t="s">
        <v>214</v>
      </c>
      <c r="B240" s="963" t="s">
        <v>2870</v>
      </c>
      <c r="C240" s="964">
        <v>10392659928</v>
      </c>
    </row>
    <row r="241" spans="1:3">
      <c r="A241" s="963" t="s">
        <v>2714</v>
      </c>
      <c r="B241" s="963" t="s">
        <v>2871</v>
      </c>
      <c r="C241" s="964">
        <v>270740880</v>
      </c>
    </row>
    <row r="242" spans="1:3">
      <c r="A242" s="963" t="s">
        <v>250</v>
      </c>
      <c r="B242" s="963" t="s">
        <v>995</v>
      </c>
      <c r="C242" s="964">
        <v>153447104</v>
      </c>
    </row>
    <row r="243" spans="1:3">
      <c r="A243" s="963" t="s">
        <v>2162</v>
      </c>
      <c r="B243" s="963" t="s">
        <v>3915</v>
      </c>
      <c r="C243" s="964">
        <v>42317390</v>
      </c>
    </row>
    <row r="244" spans="1:3">
      <c r="A244" s="963" t="s">
        <v>2716</v>
      </c>
      <c r="B244" s="963" t="s">
        <v>2872</v>
      </c>
      <c r="C244" s="964">
        <v>21155338</v>
      </c>
    </row>
    <row r="245" spans="1:3">
      <c r="A245" s="963" t="s">
        <v>2718</v>
      </c>
      <c r="B245" s="963" t="s">
        <v>4761</v>
      </c>
      <c r="C245" s="964">
        <v>141621686</v>
      </c>
    </row>
    <row r="246" spans="1:3">
      <c r="A246" s="963" t="s">
        <v>2720</v>
      </c>
      <c r="B246" s="963" t="s">
        <v>2874</v>
      </c>
      <c r="C246" s="964">
        <v>64743203</v>
      </c>
    </row>
    <row r="247" spans="1:3">
      <c r="A247" s="963" t="s">
        <v>1314</v>
      </c>
      <c r="B247" s="963" t="s">
        <v>119</v>
      </c>
      <c r="C247" s="964">
        <v>929182277</v>
      </c>
    </row>
    <row r="248" spans="1:3">
      <c r="A248" s="963" t="s">
        <v>2722</v>
      </c>
      <c r="B248" s="963" t="s">
        <v>2875</v>
      </c>
      <c r="C248" s="964">
        <v>456800992</v>
      </c>
    </row>
    <row r="249" spans="1:3">
      <c r="A249" s="963" t="s">
        <v>442</v>
      </c>
      <c r="B249" s="963" t="s">
        <v>5372</v>
      </c>
      <c r="C249" s="964">
        <v>177816903</v>
      </c>
    </row>
    <row r="250" spans="1:3">
      <c r="A250" s="963" t="s">
        <v>7258</v>
      </c>
      <c r="B250" s="963" t="s">
        <v>7259</v>
      </c>
      <c r="C250" s="964">
        <v>0</v>
      </c>
    </row>
    <row r="251" spans="1:3">
      <c r="A251" s="963" t="s">
        <v>2724</v>
      </c>
      <c r="B251" s="963" t="s">
        <v>2876</v>
      </c>
      <c r="C251" s="964">
        <v>539795313</v>
      </c>
    </row>
    <row r="252" spans="1:3">
      <c r="A252" s="963" t="s">
        <v>5321</v>
      </c>
      <c r="B252" s="963" t="s">
        <v>2877</v>
      </c>
      <c r="C252" s="964">
        <v>120234409</v>
      </c>
    </row>
    <row r="253" spans="1:3">
      <c r="A253" s="963" t="s">
        <v>5323</v>
      </c>
      <c r="B253" s="963" t="s">
        <v>2878</v>
      </c>
      <c r="C253" s="964">
        <v>196694325</v>
      </c>
    </row>
    <row r="254" spans="1:3">
      <c r="A254" s="963" t="s">
        <v>5325</v>
      </c>
      <c r="B254" s="963" t="s">
        <v>2879</v>
      </c>
      <c r="C254" s="964">
        <v>27710511</v>
      </c>
    </row>
    <row r="255" spans="1:3">
      <c r="A255" s="963" t="s">
        <v>5327</v>
      </c>
      <c r="B255" s="963" t="s">
        <v>2880</v>
      </c>
      <c r="C255" s="964">
        <v>104775067</v>
      </c>
    </row>
    <row r="256" spans="1:3">
      <c r="A256" s="963" t="s">
        <v>5329</v>
      </c>
      <c r="B256" s="963" t="s">
        <v>2881</v>
      </c>
      <c r="C256" s="964">
        <v>76850930</v>
      </c>
    </row>
    <row r="257" spans="1:3">
      <c r="A257" s="963" t="s">
        <v>5331</v>
      </c>
      <c r="B257" s="963" t="s">
        <v>2882</v>
      </c>
      <c r="C257" s="964">
        <v>559408670</v>
      </c>
    </row>
    <row r="258" spans="1:3">
      <c r="A258" s="963" t="s">
        <v>585</v>
      </c>
      <c r="B258" s="963" t="s">
        <v>3833</v>
      </c>
      <c r="C258" s="964">
        <v>33801992</v>
      </c>
    </row>
    <row r="259" spans="1:3">
      <c r="A259" s="963" t="s">
        <v>5333</v>
      </c>
      <c r="B259" s="963" t="s">
        <v>2883</v>
      </c>
      <c r="C259" s="964">
        <v>57334479</v>
      </c>
    </row>
    <row r="260" spans="1:3">
      <c r="A260" s="963" t="s">
        <v>239</v>
      </c>
      <c r="B260" s="963" t="s">
        <v>2647</v>
      </c>
      <c r="C260" s="964">
        <v>1193975281</v>
      </c>
    </row>
    <row r="261" spans="1:3">
      <c r="A261" s="963" t="s">
        <v>5335</v>
      </c>
      <c r="B261" s="963" t="s">
        <v>2884</v>
      </c>
      <c r="C261" s="964">
        <v>155137850</v>
      </c>
    </row>
    <row r="262" spans="1:3">
      <c r="A262" s="963" t="s">
        <v>2450</v>
      </c>
      <c r="B262" s="963" t="s">
        <v>2885</v>
      </c>
      <c r="C262" s="964">
        <v>2019035120</v>
      </c>
    </row>
    <row r="263" spans="1:3">
      <c r="A263" s="963" t="s">
        <v>5685</v>
      </c>
      <c r="B263" s="963" t="s">
        <v>4779</v>
      </c>
      <c r="C263" s="964">
        <v>2196080780</v>
      </c>
    </row>
    <row r="264" spans="1:3">
      <c r="A264" s="963" t="s">
        <v>2454</v>
      </c>
      <c r="B264" s="963" t="s">
        <v>4781</v>
      </c>
      <c r="C264" s="964">
        <v>80171638</v>
      </c>
    </row>
    <row r="265" spans="1:3">
      <c r="A265" s="963" t="s">
        <v>2456</v>
      </c>
      <c r="B265" s="963" t="s">
        <v>2888</v>
      </c>
      <c r="C265" s="964">
        <v>122602548</v>
      </c>
    </row>
    <row r="266" spans="1:3">
      <c r="A266" s="963" t="s">
        <v>2458</v>
      </c>
      <c r="B266" s="963" t="s">
        <v>2889</v>
      </c>
      <c r="C266" s="964">
        <v>100804273</v>
      </c>
    </row>
    <row r="267" spans="1:3">
      <c r="A267" s="963" t="s">
        <v>2460</v>
      </c>
      <c r="B267" s="963" t="s">
        <v>2890</v>
      </c>
      <c r="C267" s="964">
        <v>306115965</v>
      </c>
    </row>
    <row r="268" spans="1:3">
      <c r="A268" s="963" t="s">
        <v>2462</v>
      </c>
      <c r="B268" s="963" t="s">
        <v>2891</v>
      </c>
      <c r="C268" s="964">
        <v>448949402</v>
      </c>
    </row>
    <row r="269" spans="1:3">
      <c r="A269" s="963" t="s">
        <v>2464</v>
      </c>
      <c r="B269" s="963" t="s">
        <v>2892</v>
      </c>
      <c r="C269" s="964">
        <v>91470782</v>
      </c>
    </row>
    <row r="270" spans="1:3">
      <c r="A270" s="963" t="s">
        <v>5693</v>
      </c>
      <c r="B270" s="963" t="s">
        <v>7261</v>
      </c>
      <c r="C270" s="964">
        <v>0</v>
      </c>
    </row>
    <row r="271" spans="1:3">
      <c r="A271" s="963" t="s">
        <v>2466</v>
      </c>
      <c r="B271" s="963" t="s">
        <v>7926</v>
      </c>
      <c r="C271" s="964">
        <v>0</v>
      </c>
    </row>
    <row r="272" spans="1:3">
      <c r="A272" s="963" t="s">
        <v>5303</v>
      </c>
      <c r="B272" s="963" t="s">
        <v>7927</v>
      </c>
      <c r="C272" s="964">
        <v>0</v>
      </c>
    </row>
    <row r="273" spans="1:3">
      <c r="A273" s="963" t="s">
        <v>7262</v>
      </c>
      <c r="B273" s="963" t="s">
        <v>7263</v>
      </c>
      <c r="C273" s="964">
        <v>0</v>
      </c>
    </row>
    <row r="274" spans="1:3">
      <c r="A274" s="963" t="s">
        <v>7264</v>
      </c>
      <c r="B274" s="963" t="s">
        <v>7928</v>
      </c>
      <c r="C274" s="964">
        <v>0</v>
      </c>
    </row>
    <row r="275" spans="1:3">
      <c r="A275" s="963" t="s">
        <v>5305</v>
      </c>
      <c r="B275" s="963" t="s">
        <v>7929</v>
      </c>
      <c r="C275" s="964">
        <v>0</v>
      </c>
    </row>
    <row r="276" spans="1:3">
      <c r="A276" s="963" t="s">
        <v>7266</v>
      </c>
      <c r="B276" s="963" t="s">
        <v>7267</v>
      </c>
      <c r="C276" s="964">
        <v>0</v>
      </c>
    </row>
    <row r="277" spans="1:3">
      <c r="A277" s="963" t="s">
        <v>7268</v>
      </c>
      <c r="B277" s="963" t="s">
        <v>7269</v>
      </c>
      <c r="C277" s="964">
        <v>0</v>
      </c>
    </row>
    <row r="278" spans="1:3">
      <c r="A278" s="963" t="s">
        <v>7270</v>
      </c>
      <c r="B278" s="963" t="s">
        <v>7930</v>
      </c>
      <c r="C278" s="964">
        <v>0</v>
      </c>
    </row>
    <row r="279" spans="1:3">
      <c r="A279" s="963" t="s">
        <v>7272</v>
      </c>
      <c r="B279" s="963" t="s">
        <v>7273</v>
      </c>
      <c r="C279" s="964">
        <v>0</v>
      </c>
    </row>
    <row r="280" spans="1:3">
      <c r="A280" s="963" t="s">
        <v>5307</v>
      </c>
      <c r="B280" s="963" t="s">
        <v>7931</v>
      </c>
      <c r="C280" s="964">
        <v>0</v>
      </c>
    </row>
    <row r="281" spans="1:3">
      <c r="A281" s="963" t="s">
        <v>7275</v>
      </c>
      <c r="B281" s="963" t="s">
        <v>7276</v>
      </c>
      <c r="C281" s="964">
        <v>0</v>
      </c>
    </row>
    <row r="282" spans="1:3">
      <c r="A282" s="963" t="s">
        <v>7277</v>
      </c>
      <c r="B282" s="963" t="s">
        <v>3253</v>
      </c>
      <c r="C282" s="964">
        <v>0</v>
      </c>
    </row>
    <row r="283" spans="1:3">
      <c r="A283" s="963" t="s">
        <v>3254</v>
      </c>
      <c r="B283" s="963" t="s">
        <v>7932</v>
      </c>
      <c r="C283" s="964">
        <v>0</v>
      </c>
    </row>
    <row r="284" spans="1:3">
      <c r="A284" s="963" t="s">
        <v>5309</v>
      </c>
      <c r="B284" s="963" t="s">
        <v>7933</v>
      </c>
      <c r="C284" s="964">
        <v>0</v>
      </c>
    </row>
    <row r="285" spans="1:3">
      <c r="A285" s="963" t="s">
        <v>5311</v>
      </c>
      <c r="B285" s="963" t="s">
        <v>5312</v>
      </c>
      <c r="C285" s="964">
        <v>0</v>
      </c>
    </row>
    <row r="286" spans="1:3">
      <c r="A286" s="963" t="s">
        <v>5313</v>
      </c>
      <c r="C286" s="964">
        <v>0</v>
      </c>
    </row>
    <row r="287" spans="1:3">
      <c r="A287" s="963" t="s">
        <v>5315</v>
      </c>
      <c r="B287" s="963" t="s">
        <v>5316</v>
      </c>
      <c r="C287" s="964">
        <v>0</v>
      </c>
    </row>
    <row r="288" spans="1:3">
      <c r="A288" s="963" t="s">
        <v>5317</v>
      </c>
      <c r="B288" s="963" t="s">
        <v>7934</v>
      </c>
      <c r="C288" s="964">
        <v>0</v>
      </c>
    </row>
    <row r="289" spans="1:3">
      <c r="A289" s="963" t="s">
        <v>2098</v>
      </c>
      <c r="B289" s="963" t="s">
        <v>2099</v>
      </c>
      <c r="C289" s="964">
        <v>0</v>
      </c>
    </row>
    <row r="290" spans="1:3">
      <c r="A290" s="963" t="s">
        <v>2100</v>
      </c>
      <c r="B290" s="963" t="s">
        <v>7935</v>
      </c>
      <c r="C290" s="964">
        <v>0</v>
      </c>
    </row>
    <row r="291" spans="1:3">
      <c r="A291" s="963" t="s">
        <v>3260</v>
      </c>
      <c r="B291" s="963" t="s">
        <v>7936</v>
      </c>
      <c r="C291" s="964">
        <v>0</v>
      </c>
    </row>
    <row r="292" spans="1:3">
      <c r="A292" s="963" t="s">
        <v>3262</v>
      </c>
      <c r="B292" s="963" t="s">
        <v>3263</v>
      </c>
      <c r="C292" s="964">
        <v>0</v>
      </c>
    </row>
    <row r="293" spans="1:3">
      <c r="A293" s="963" t="s">
        <v>3264</v>
      </c>
      <c r="B293" s="963" t="s">
        <v>3265</v>
      </c>
      <c r="C293" s="964">
        <v>0</v>
      </c>
    </row>
    <row r="294" spans="1:3">
      <c r="A294" s="963" t="s">
        <v>3266</v>
      </c>
      <c r="B294" s="963" t="s">
        <v>3267</v>
      </c>
      <c r="C294" s="964">
        <v>0</v>
      </c>
    </row>
    <row r="295" spans="1:3">
      <c r="A295" s="963" t="s">
        <v>2102</v>
      </c>
      <c r="B295" s="963" t="s">
        <v>2103</v>
      </c>
      <c r="C295" s="964">
        <v>0</v>
      </c>
    </row>
    <row r="296" spans="1:3">
      <c r="A296" s="963" t="s">
        <v>3268</v>
      </c>
      <c r="B296" s="963" t="s">
        <v>7937</v>
      </c>
      <c r="C296" s="964">
        <v>0</v>
      </c>
    </row>
    <row r="297" spans="1:3">
      <c r="A297" s="963" t="s">
        <v>3270</v>
      </c>
      <c r="B297" s="963" t="s">
        <v>7938</v>
      </c>
      <c r="C297" s="964">
        <v>0</v>
      </c>
    </row>
    <row r="298" spans="1:3">
      <c r="A298" s="963" t="s">
        <v>3272</v>
      </c>
      <c r="B298" s="963" t="s">
        <v>3273</v>
      </c>
      <c r="C298" s="964">
        <v>0</v>
      </c>
    </row>
    <row r="299" spans="1:3">
      <c r="A299" s="963" t="s">
        <v>3274</v>
      </c>
      <c r="B299" s="963" t="s">
        <v>3275</v>
      </c>
      <c r="C299" s="964">
        <v>0</v>
      </c>
    </row>
    <row r="300" spans="1:3">
      <c r="A300" s="963" t="s">
        <v>3276</v>
      </c>
      <c r="B300" s="963" t="s">
        <v>3277</v>
      </c>
      <c r="C300" s="964">
        <v>0</v>
      </c>
    </row>
    <row r="301" spans="1:3">
      <c r="A301" s="963" t="s">
        <v>3278</v>
      </c>
      <c r="B301" s="963" t="s">
        <v>7939</v>
      </c>
      <c r="C301" s="964">
        <v>0</v>
      </c>
    </row>
    <row r="302" spans="1:3">
      <c r="A302" s="963" t="s">
        <v>164</v>
      </c>
      <c r="B302" s="963" t="s">
        <v>7940</v>
      </c>
      <c r="C302" s="964">
        <v>0</v>
      </c>
    </row>
    <row r="303" spans="1:3">
      <c r="A303" s="963" t="s">
        <v>165</v>
      </c>
      <c r="B303" s="963" t="s">
        <v>7941</v>
      </c>
      <c r="C303" s="964">
        <v>0</v>
      </c>
    </row>
    <row r="304" spans="1:3">
      <c r="A304" s="963" t="s">
        <v>166</v>
      </c>
      <c r="B304" s="963" t="s">
        <v>7942</v>
      </c>
      <c r="C304" s="964">
        <v>0</v>
      </c>
    </row>
    <row r="305" spans="1:3">
      <c r="A305" s="963" t="s">
        <v>7796</v>
      </c>
      <c r="B305" s="963" t="s">
        <v>7943</v>
      </c>
      <c r="C305" s="964">
        <v>0</v>
      </c>
    </row>
    <row r="306" spans="1:3">
      <c r="A306" s="963" t="s">
        <v>7797</v>
      </c>
      <c r="B306" s="963" t="s">
        <v>7944</v>
      </c>
      <c r="C306" s="964">
        <v>0</v>
      </c>
    </row>
    <row r="307" spans="1:3">
      <c r="A307" s="963" t="s">
        <v>7945</v>
      </c>
      <c r="B307" s="963" t="s">
        <v>7946</v>
      </c>
      <c r="C307" s="964">
        <v>0</v>
      </c>
    </row>
    <row r="308" spans="1:3">
      <c r="A308" s="963" t="s">
        <v>2104</v>
      </c>
      <c r="B308" s="963" t="s">
        <v>2893</v>
      </c>
      <c r="C308" s="964">
        <v>13731300913</v>
      </c>
    </row>
    <row r="309" spans="1:3">
      <c r="A309" s="963" t="s">
        <v>2106</v>
      </c>
      <c r="B309" s="963" t="s">
        <v>2894</v>
      </c>
      <c r="C309" s="964">
        <v>2720144965</v>
      </c>
    </row>
    <row r="310" spans="1:3">
      <c r="A310" s="963" t="s">
        <v>2108</v>
      </c>
      <c r="B310" s="963" t="s">
        <v>2895</v>
      </c>
      <c r="C310" s="964">
        <v>78626228844</v>
      </c>
    </row>
    <row r="311" spans="1:3">
      <c r="A311" s="963" t="s">
        <v>2110</v>
      </c>
      <c r="B311" s="963" t="s">
        <v>2896</v>
      </c>
      <c r="C311" s="964">
        <v>2190772803</v>
      </c>
    </row>
    <row r="312" spans="1:3">
      <c r="A312" s="963" t="s">
        <v>2112</v>
      </c>
      <c r="B312" s="963" t="s">
        <v>2897</v>
      </c>
      <c r="C312" s="964">
        <v>3284410191</v>
      </c>
    </row>
    <row r="313" spans="1:3">
      <c r="A313" s="963" t="s">
        <v>1317</v>
      </c>
      <c r="B313" s="963" t="s">
        <v>122</v>
      </c>
      <c r="C313" s="964">
        <v>13688726454</v>
      </c>
    </row>
    <row r="314" spans="1:3">
      <c r="A314" s="963" t="s">
        <v>587</v>
      </c>
      <c r="B314" s="963" t="s">
        <v>4966</v>
      </c>
      <c r="C314" s="964">
        <v>4636012728</v>
      </c>
    </row>
    <row r="315" spans="1:3">
      <c r="A315" s="963" t="s">
        <v>4569</v>
      </c>
      <c r="B315" s="963" t="s">
        <v>2898</v>
      </c>
      <c r="C315" s="964">
        <v>12394671372</v>
      </c>
    </row>
    <row r="316" spans="1:3">
      <c r="A316" s="963" t="s">
        <v>6021</v>
      </c>
      <c r="B316" s="963" t="s">
        <v>3860</v>
      </c>
      <c r="C316" s="964">
        <v>9163123740</v>
      </c>
    </row>
    <row r="317" spans="1:3">
      <c r="A317" s="963" t="s">
        <v>4571</v>
      </c>
      <c r="B317" s="963" t="s">
        <v>2899</v>
      </c>
      <c r="C317" s="964">
        <v>1522280577</v>
      </c>
    </row>
    <row r="318" spans="1:3">
      <c r="A318" s="963" t="s">
        <v>6171</v>
      </c>
      <c r="B318" s="963" t="s">
        <v>496</v>
      </c>
      <c r="C318" s="964">
        <v>6289531059</v>
      </c>
    </row>
    <row r="319" spans="1:3">
      <c r="A319" s="963" t="s">
        <v>4573</v>
      </c>
      <c r="B319" s="963" t="s">
        <v>2900</v>
      </c>
      <c r="C319" s="964">
        <v>16817288516</v>
      </c>
    </row>
    <row r="320" spans="1:3">
      <c r="A320" s="963" t="s">
        <v>4575</v>
      </c>
      <c r="B320" s="963" t="s">
        <v>2901</v>
      </c>
      <c r="C320" s="964">
        <v>715378169</v>
      </c>
    </row>
    <row r="321" spans="1:3">
      <c r="A321" s="963" t="s">
        <v>4579</v>
      </c>
      <c r="B321" s="963" t="s">
        <v>2676</v>
      </c>
      <c r="C321" s="964">
        <v>7486564726</v>
      </c>
    </row>
    <row r="322" spans="1:3">
      <c r="A322" s="963" t="s">
        <v>3279</v>
      </c>
      <c r="C322" s="964">
        <v>0</v>
      </c>
    </row>
    <row r="323" spans="1:3">
      <c r="A323" s="963" t="s">
        <v>4581</v>
      </c>
      <c r="B323" s="963" t="s">
        <v>993</v>
      </c>
      <c r="C323" s="964">
        <v>236196721</v>
      </c>
    </row>
    <row r="324" spans="1:3">
      <c r="A324" s="963" t="s">
        <v>4582</v>
      </c>
      <c r="B324" s="963" t="s">
        <v>2677</v>
      </c>
      <c r="C324" s="964">
        <v>471075306</v>
      </c>
    </row>
    <row r="325" spans="1:3">
      <c r="A325" s="963" t="s">
        <v>4584</v>
      </c>
      <c r="B325" s="963" t="s">
        <v>2678</v>
      </c>
      <c r="C325" s="964">
        <v>405167195</v>
      </c>
    </row>
    <row r="326" spans="1:3">
      <c r="A326" s="963" t="s">
        <v>4586</v>
      </c>
      <c r="B326" s="963" t="s">
        <v>2679</v>
      </c>
      <c r="C326" s="964">
        <v>254480178</v>
      </c>
    </row>
    <row r="327" spans="1:3">
      <c r="A327" s="963" t="s">
        <v>1865</v>
      </c>
      <c r="B327" s="963" t="s">
        <v>3843</v>
      </c>
      <c r="C327" s="964">
        <v>971325783</v>
      </c>
    </row>
    <row r="328" spans="1:3">
      <c r="A328" s="963" t="s">
        <v>5018</v>
      </c>
      <c r="B328" s="963" t="s">
        <v>2680</v>
      </c>
      <c r="C328" s="964">
        <v>44387438</v>
      </c>
    </row>
    <row r="329" spans="1:3">
      <c r="A329" s="963" t="s">
        <v>5020</v>
      </c>
      <c r="B329" s="963" t="s">
        <v>2681</v>
      </c>
      <c r="C329" s="964">
        <v>150674073</v>
      </c>
    </row>
    <row r="330" spans="1:3">
      <c r="A330" s="963" t="s">
        <v>589</v>
      </c>
      <c r="B330" s="963" t="s">
        <v>109</v>
      </c>
      <c r="C330" s="964">
        <v>56033753</v>
      </c>
    </row>
    <row r="331" spans="1:3">
      <c r="A331" s="963" t="s">
        <v>3281</v>
      </c>
      <c r="B331" s="963" t="s">
        <v>3282</v>
      </c>
      <c r="C331" s="964">
        <v>0</v>
      </c>
    </row>
    <row r="332" spans="1:3">
      <c r="A332" s="963" t="s">
        <v>3283</v>
      </c>
      <c r="B332" s="963" t="s">
        <v>3284</v>
      </c>
      <c r="C332" s="964">
        <v>0</v>
      </c>
    </row>
    <row r="333" spans="1:3">
      <c r="A333" s="963" t="s">
        <v>7947</v>
      </c>
      <c r="B333" s="963" t="s">
        <v>7948</v>
      </c>
      <c r="C333" s="964">
        <v>0</v>
      </c>
    </row>
    <row r="334" spans="1:3">
      <c r="A334" s="963" t="s">
        <v>5022</v>
      </c>
      <c r="B334" s="963" t="s">
        <v>2682</v>
      </c>
      <c r="C334" s="964">
        <v>9411663491</v>
      </c>
    </row>
    <row r="335" spans="1:3">
      <c r="A335" s="963" t="s">
        <v>2989</v>
      </c>
      <c r="B335" s="963" t="s">
        <v>190</v>
      </c>
      <c r="C335" s="964">
        <v>23053767986</v>
      </c>
    </row>
    <row r="336" spans="1:3">
      <c r="A336" s="963" t="s">
        <v>5126</v>
      </c>
      <c r="B336" s="963" t="s">
        <v>341</v>
      </c>
      <c r="C336" s="964">
        <v>517689759</v>
      </c>
    </row>
    <row r="337" spans="1:3">
      <c r="A337" s="963" t="s">
        <v>3090</v>
      </c>
      <c r="B337" s="963" t="s">
        <v>5640</v>
      </c>
      <c r="C337" s="964">
        <v>717274448</v>
      </c>
    </row>
    <row r="338" spans="1:3">
      <c r="A338" s="963" t="s">
        <v>5128</v>
      </c>
      <c r="B338" s="963" t="s">
        <v>343</v>
      </c>
      <c r="C338" s="964">
        <v>977441458</v>
      </c>
    </row>
    <row r="339" spans="1:3">
      <c r="A339" s="963" t="s">
        <v>270</v>
      </c>
      <c r="B339" s="963" t="s">
        <v>7690</v>
      </c>
      <c r="C339" s="964">
        <v>559030992</v>
      </c>
    </row>
    <row r="340" spans="1:3">
      <c r="A340" s="963" t="s">
        <v>2391</v>
      </c>
      <c r="B340" s="963" t="s">
        <v>1456</v>
      </c>
      <c r="C340" s="964">
        <v>708293324</v>
      </c>
    </row>
    <row r="341" spans="1:3">
      <c r="A341" s="963" t="s">
        <v>2746</v>
      </c>
      <c r="B341" s="963" t="s">
        <v>2683</v>
      </c>
      <c r="C341" s="964">
        <v>1039260329</v>
      </c>
    </row>
    <row r="342" spans="1:3">
      <c r="A342" s="963" t="s">
        <v>6186</v>
      </c>
      <c r="B342" s="963" t="s">
        <v>3831</v>
      </c>
      <c r="C342" s="964">
        <v>10633412154</v>
      </c>
    </row>
    <row r="343" spans="1:3">
      <c r="A343" s="963" t="s">
        <v>6041</v>
      </c>
      <c r="B343" s="963" t="s">
        <v>185</v>
      </c>
      <c r="C343" s="964">
        <v>1257977511</v>
      </c>
    </row>
    <row r="344" spans="1:3">
      <c r="A344" s="963" t="s">
        <v>591</v>
      </c>
      <c r="B344" s="963" t="s">
        <v>194</v>
      </c>
      <c r="C344" s="964">
        <v>1667143157</v>
      </c>
    </row>
    <row r="345" spans="1:3">
      <c r="A345" s="963" t="s">
        <v>443</v>
      </c>
      <c r="B345" s="963" t="s">
        <v>990</v>
      </c>
      <c r="C345" s="964">
        <v>448256625</v>
      </c>
    </row>
    <row r="346" spans="1:3">
      <c r="A346" s="963" t="s">
        <v>2748</v>
      </c>
      <c r="B346" s="963" t="s">
        <v>2684</v>
      </c>
      <c r="C346" s="964">
        <v>113144515</v>
      </c>
    </row>
    <row r="347" spans="1:3">
      <c r="A347" s="963" t="s">
        <v>862</v>
      </c>
      <c r="B347" s="963" t="s">
        <v>2009</v>
      </c>
      <c r="C347" s="964">
        <v>386467892</v>
      </c>
    </row>
    <row r="348" spans="1:3">
      <c r="A348" s="963" t="s">
        <v>2750</v>
      </c>
      <c r="B348" s="963" t="s">
        <v>2685</v>
      </c>
      <c r="C348" s="964">
        <v>143243359</v>
      </c>
    </row>
    <row r="349" spans="1:3">
      <c r="A349" s="963" t="s">
        <v>3899</v>
      </c>
      <c r="B349" s="963" t="s">
        <v>2686</v>
      </c>
      <c r="C349" s="964">
        <v>29334693</v>
      </c>
    </row>
    <row r="350" spans="1:3">
      <c r="A350" s="963" t="s">
        <v>3604</v>
      </c>
      <c r="B350" s="963" t="s">
        <v>2687</v>
      </c>
      <c r="C350" s="964">
        <v>81487194</v>
      </c>
    </row>
    <row r="351" spans="1:3">
      <c r="A351" s="963" t="s">
        <v>3166</v>
      </c>
      <c r="B351" s="963" t="s">
        <v>2688</v>
      </c>
      <c r="C351" s="964">
        <v>405902591</v>
      </c>
    </row>
    <row r="352" spans="1:3">
      <c r="A352" s="963" t="s">
        <v>3168</v>
      </c>
      <c r="B352" s="963" t="s">
        <v>2689</v>
      </c>
      <c r="C352" s="964">
        <v>27812667</v>
      </c>
    </row>
    <row r="353" spans="1:3">
      <c r="A353" s="963" t="s">
        <v>3091</v>
      </c>
      <c r="B353" s="963" t="s">
        <v>1385</v>
      </c>
      <c r="C353" s="964">
        <v>422630501</v>
      </c>
    </row>
    <row r="354" spans="1:3">
      <c r="A354" s="963" t="s">
        <v>3171</v>
      </c>
      <c r="B354" s="963" t="s">
        <v>2690</v>
      </c>
      <c r="C354" s="964">
        <v>133123402</v>
      </c>
    </row>
    <row r="355" spans="1:3">
      <c r="A355" s="963" t="s">
        <v>593</v>
      </c>
      <c r="B355" s="963" t="s">
        <v>3841</v>
      </c>
      <c r="C355" s="964">
        <v>42822851</v>
      </c>
    </row>
    <row r="356" spans="1:3">
      <c r="A356" s="963" t="s">
        <v>5786</v>
      </c>
      <c r="B356" s="963" t="s">
        <v>2691</v>
      </c>
      <c r="C356" s="964">
        <v>26640510</v>
      </c>
    </row>
    <row r="357" spans="1:3">
      <c r="A357" s="963" t="s">
        <v>3175</v>
      </c>
      <c r="B357" s="963" t="s">
        <v>2692</v>
      </c>
      <c r="C357" s="964">
        <v>328999238</v>
      </c>
    </row>
    <row r="358" spans="1:3">
      <c r="A358" s="963" t="s">
        <v>3092</v>
      </c>
      <c r="B358" s="963" t="s">
        <v>381</v>
      </c>
      <c r="C358" s="964">
        <v>126820018</v>
      </c>
    </row>
    <row r="359" spans="1:3">
      <c r="A359" s="963" t="s">
        <v>673</v>
      </c>
      <c r="B359" s="963" t="s">
        <v>2693</v>
      </c>
      <c r="C359" s="964">
        <v>470829193</v>
      </c>
    </row>
    <row r="360" spans="1:3">
      <c r="A360" s="963" t="s">
        <v>322</v>
      </c>
      <c r="B360" s="963" t="s">
        <v>325</v>
      </c>
      <c r="C360" s="964">
        <v>419378935</v>
      </c>
    </row>
    <row r="361" spans="1:3">
      <c r="A361" s="963" t="s">
        <v>675</v>
      </c>
      <c r="B361" s="963" t="s">
        <v>7652</v>
      </c>
      <c r="C361" s="964">
        <v>355648213</v>
      </c>
    </row>
    <row r="362" spans="1:3">
      <c r="A362" s="963" t="s">
        <v>677</v>
      </c>
      <c r="B362" s="963" t="s">
        <v>1259</v>
      </c>
      <c r="C362" s="964">
        <v>51905828</v>
      </c>
    </row>
    <row r="363" spans="1:3">
      <c r="A363" s="963" t="s">
        <v>679</v>
      </c>
      <c r="B363" s="963" t="s">
        <v>1260</v>
      </c>
      <c r="C363" s="964">
        <v>90805961</v>
      </c>
    </row>
    <row r="364" spans="1:3">
      <c r="A364" s="963" t="s">
        <v>2960</v>
      </c>
      <c r="B364" s="963" t="s">
        <v>1261</v>
      </c>
      <c r="C364" s="964">
        <v>33804262</v>
      </c>
    </row>
    <row r="365" spans="1:3">
      <c r="A365" s="963" t="s">
        <v>3285</v>
      </c>
      <c r="B365" s="963" t="s">
        <v>7949</v>
      </c>
      <c r="C365" s="964">
        <v>0</v>
      </c>
    </row>
    <row r="366" spans="1:3">
      <c r="A366" s="963" t="s">
        <v>1994</v>
      </c>
      <c r="B366" s="963" t="s">
        <v>1262</v>
      </c>
      <c r="C366" s="964">
        <v>9384426273</v>
      </c>
    </row>
    <row r="367" spans="1:3">
      <c r="A367" s="963" t="s">
        <v>2735</v>
      </c>
      <c r="B367" s="963" t="s">
        <v>1263</v>
      </c>
      <c r="C367" s="964">
        <v>320510173</v>
      </c>
    </row>
    <row r="368" spans="1:3">
      <c r="A368" s="963" t="s">
        <v>2737</v>
      </c>
      <c r="B368" s="963" t="s">
        <v>1264</v>
      </c>
      <c r="C368" s="964">
        <v>179471277</v>
      </c>
    </row>
    <row r="369" spans="1:3">
      <c r="A369" s="963" t="s">
        <v>3646</v>
      </c>
      <c r="B369" s="963" t="s">
        <v>7950</v>
      </c>
      <c r="C369" s="964">
        <v>0</v>
      </c>
    </row>
    <row r="370" spans="1:3">
      <c r="A370" s="963" t="s">
        <v>1976</v>
      </c>
      <c r="B370" s="963" t="s">
        <v>7691</v>
      </c>
      <c r="C370" s="964">
        <v>32211601</v>
      </c>
    </row>
    <row r="371" spans="1:3">
      <c r="A371" s="963" t="s">
        <v>3648</v>
      </c>
      <c r="B371" s="963" t="s">
        <v>1265</v>
      </c>
      <c r="C371" s="964">
        <v>1698255999</v>
      </c>
    </row>
    <row r="372" spans="1:3">
      <c r="A372" s="963" t="s">
        <v>3650</v>
      </c>
      <c r="B372" s="963" t="s">
        <v>1266</v>
      </c>
      <c r="C372" s="964">
        <v>322280372</v>
      </c>
    </row>
    <row r="373" spans="1:3">
      <c r="A373" s="963" t="s">
        <v>3093</v>
      </c>
      <c r="B373" s="963" t="s">
        <v>1906</v>
      </c>
      <c r="C373" s="964">
        <v>97957956</v>
      </c>
    </row>
    <row r="374" spans="1:3">
      <c r="A374" s="963" t="s">
        <v>7734</v>
      </c>
      <c r="B374" s="963" t="s">
        <v>1267</v>
      </c>
      <c r="C374" s="964">
        <v>2773739708</v>
      </c>
    </row>
    <row r="375" spans="1:3">
      <c r="A375" s="963" t="s">
        <v>915</v>
      </c>
      <c r="B375" s="963" t="s">
        <v>1268</v>
      </c>
      <c r="C375" s="964">
        <v>69604372</v>
      </c>
    </row>
    <row r="376" spans="1:3">
      <c r="A376" s="963" t="s">
        <v>1978</v>
      </c>
      <c r="B376" s="963" t="s">
        <v>3628</v>
      </c>
      <c r="C376" s="964">
        <v>218142726</v>
      </c>
    </row>
    <row r="377" spans="1:3">
      <c r="A377" s="963" t="s">
        <v>2767</v>
      </c>
      <c r="B377" s="963" t="s">
        <v>357</v>
      </c>
      <c r="C377" s="964">
        <v>1169778488</v>
      </c>
    </row>
    <row r="378" spans="1:3">
      <c r="A378" s="963" t="s">
        <v>3555</v>
      </c>
      <c r="B378" s="963" t="s">
        <v>4063</v>
      </c>
      <c r="C378" s="964">
        <v>2755361573</v>
      </c>
    </row>
    <row r="379" spans="1:3">
      <c r="A379" s="963" t="s">
        <v>3094</v>
      </c>
      <c r="B379" s="963" t="s">
        <v>6072</v>
      </c>
      <c r="C379" s="964">
        <v>245375816</v>
      </c>
    </row>
    <row r="380" spans="1:3">
      <c r="A380" s="963" t="s">
        <v>1781</v>
      </c>
      <c r="B380" s="963" t="s">
        <v>7951</v>
      </c>
      <c r="C380" s="964">
        <v>0</v>
      </c>
    </row>
    <row r="381" spans="1:3">
      <c r="A381" s="963" t="s">
        <v>3289</v>
      </c>
      <c r="B381" s="963" t="s">
        <v>7952</v>
      </c>
      <c r="C381" s="964">
        <v>0</v>
      </c>
    </row>
    <row r="382" spans="1:3">
      <c r="A382" s="963" t="s">
        <v>3291</v>
      </c>
      <c r="B382" s="963" t="s">
        <v>3292</v>
      </c>
      <c r="C382" s="964">
        <v>0</v>
      </c>
    </row>
    <row r="383" spans="1:3">
      <c r="A383" s="963" t="s">
        <v>3293</v>
      </c>
      <c r="B383" s="963" t="s">
        <v>3294</v>
      </c>
      <c r="C383" s="964">
        <v>0</v>
      </c>
    </row>
    <row r="384" spans="1:3">
      <c r="A384" s="963" t="s">
        <v>167</v>
      </c>
      <c r="B384" s="963" t="s">
        <v>7953</v>
      </c>
      <c r="C384" s="964">
        <v>0</v>
      </c>
    </row>
    <row r="385" spans="1:3">
      <c r="A385" s="963" t="s">
        <v>168</v>
      </c>
      <c r="B385" s="963" t="s">
        <v>7954</v>
      </c>
      <c r="C385" s="964">
        <v>0</v>
      </c>
    </row>
    <row r="386" spans="1:3">
      <c r="A386" s="963" t="s">
        <v>8037</v>
      </c>
      <c r="B386" s="963" t="s">
        <v>8038</v>
      </c>
      <c r="C386" s="964">
        <v>0</v>
      </c>
    </row>
    <row r="387" spans="1:3">
      <c r="A387" s="963" t="s">
        <v>8039</v>
      </c>
      <c r="B387" s="963" t="s">
        <v>8040</v>
      </c>
      <c r="C387" s="964">
        <v>0</v>
      </c>
    </row>
    <row r="388" spans="1:3">
      <c r="A388" s="963" t="s">
        <v>741</v>
      </c>
      <c r="B388" s="963" t="s">
        <v>6116</v>
      </c>
      <c r="C388" s="964">
        <v>927053610</v>
      </c>
    </row>
    <row r="389" spans="1:3">
      <c r="A389" s="963" t="s">
        <v>4035</v>
      </c>
      <c r="B389" s="963" t="s">
        <v>1269</v>
      </c>
      <c r="C389" s="964">
        <v>14451251785</v>
      </c>
    </row>
    <row r="390" spans="1:3">
      <c r="A390" s="963" t="s">
        <v>1524</v>
      </c>
      <c r="B390" s="963" t="s">
        <v>1930</v>
      </c>
      <c r="C390" s="964">
        <v>134297689</v>
      </c>
    </row>
    <row r="391" spans="1:3">
      <c r="A391" s="963" t="s">
        <v>2388</v>
      </c>
      <c r="B391" s="963" t="s">
        <v>382</v>
      </c>
      <c r="C391" s="964">
        <v>141705076</v>
      </c>
    </row>
    <row r="392" spans="1:3">
      <c r="A392" s="963" t="s">
        <v>863</v>
      </c>
      <c r="B392" s="963" t="s">
        <v>2010</v>
      </c>
      <c r="C392" s="964">
        <v>6470522841</v>
      </c>
    </row>
    <row r="393" spans="1:3">
      <c r="A393" s="963" t="s">
        <v>268</v>
      </c>
      <c r="B393" s="963" t="s">
        <v>7349</v>
      </c>
      <c r="C393" s="964">
        <v>147456723</v>
      </c>
    </row>
    <row r="394" spans="1:3">
      <c r="A394" s="963" t="s">
        <v>981</v>
      </c>
      <c r="B394" s="963" t="s">
        <v>6099</v>
      </c>
      <c r="C394" s="964">
        <v>1341101913</v>
      </c>
    </row>
    <row r="395" spans="1:3">
      <c r="A395" s="963" t="s">
        <v>2414</v>
      </c>
      <c r="B395" s="963" t="s">
        <v>5367</v>
      </c>
      <c r="C395" s="964">
        <v>51575110</v>
      </c>
    </row>
    <row r="396" spans="1:3">
      <c r="A396" s="963" t="s">
        <v>2401</v>
      </c>
      <c r="B396" s="963" t="s">
        <v>2345</v>
      </c>
      <c r="C396" s="964">
        <v>6937903007</v>
      </c>
    </row>
    <row r="397" spans="1:3">
      <c r="A397" s="963" t="s">
        <v>3295</v>
      </c>
      <c r="C397" s="964">
        <v>0</v>
      </c>
    </row>
    <row r="398" spans="1:3">
      <c r="A398" s="963" t="s">
        <v>3297</v>
      </c>
      <c r="B398" s="963" t="s">
        <v>7955</v>
      </c>
      <c r="C398" s="964">
        <v>0</v>
      </c>
    </row>
    <row r="399" spans="1:3">
      <c r="A399" s="963" t="s">
        <v>169</v>
      </c>
      <c r="B399" s="963" t="s">
        <v>3386</v>
      </c>
      <c r="C399" s="964">
        <v>0</v>
      </c>
    </row>
    <row r="400" spans="1:3">
      <c r="A400" s="963" t="s">
        <v>4037</v>
      </c>
      <c r="B400" s="963" t="s">
        <v>1270</v>
      </c>
      <c r="C400" s="964">
        <v>44071826</v>
      </c>
    </row>
    <row r="401" spans="1:3">
      <c r="A401" s="963" t="s">
        <v>2140</v>
      </c>
      <c r="B401" s="963" t="s">
        <v>1271</v>
      </c>
      <c r="C401" s="964">
        <v>257073362</v>
      </c>
    </row>
    <row r="402" spans="1:3">
      <c r="A402" s="963" t="s">
        <v>2408</v>
      </c>
      <c r="B402" s="963" t="s">
        <v>2355</v>
      </c>
      <c r="C402" s="964">
        <v>1245814257</v>
      </c>
    </row>
    <row r="403" spans="1:3">
      <c r="A403" s="963" t="s">
        <v>2700</v>
      </c>
      <c r="B403" s="963" t="s">
        <v>1272</v>
      </c>
      <c r="C403" s="964">
        <v>131692155</v>
      </c>
    </row>
    <row r="404" spans="1:3">
      <c r="A404" s="963" t="s">
        <v>2702</v>
      </c>
      <c r="B404" s="963" t="s">
        <v>1273</v>
      </c>
      <c r="C404" s="964">
        <v>116452700</v>
      </c>
    </row>
    <row r="405" spans="1:3">
      <c r="A405" s="963" t="s">
        <v>2828</v>
      </c>
      <c r="B405" s="963" t="s">
        <v>192</v>
      </c>
      <c r="C405" s="964">
        <v>144255980</v>
      </c>
    </row>
    <row r="406" spans="1:3">
      <c r="A406" s="963" t="s">
        <v>2704</v>
      </c>
      <c r="B406" s="963" t="s">
        <v>1274</v>
      </c>
      <c r="C406" s="964">
        <v>79013406</v>
      </c>
    </row>
    <row r="407" spans="1:3">
      <c r="A407" s="963" t="s">
        <v>2706</v>
      </c>
      <c r="B407" s="963" t="s">
        <v>7361</v>
      </c>
      <c r="C407" s="964">
        <v>47743220</v>
      </c>
    </row>
    <row r="408" spans="1:3">
      <c r="A408" s="963" t="s">
        <v>6162</v>
      </c>
      <c r="B408" s="963" t="s">
        <v>6066</v>
      </c>
      <c r="C408" s="964">
        <v>187253179</v>
      </c>
    </row>
    <row r="409" spans="1:3">
      <c r="A409" s="963" t="s">
        <v>967</v>
      </c>
      <c r="B409" s="963" t="s">
        <v>4068</v>
      </c>
      <c r="C409" s="964">
        <v>13703188</v>
      </c>
    </row>
    <row r="410" spans="1:3">
      <c r="A410" s="963" t="s">
        <v>2708</v>
      </c>
      <c r="B410" s="963" t="s">
        <v>1276</v>
      </c>
      <c r="C410" s="964">
        <v>122650069</v>
      </c>
    </row>
    <row r="411" spans="1:3">
      <c r="A411" s="963" t="s">
        <v>2710</v>
      </c>
      <c r="B411" s="963" t="s">
        <v>1277</v>
      </c>
      <c r="C411" s="964">
        <v>533326545</v>
      </c>
    </row>
    <row r="412" spans="1:3">
      <c r="A412" s="963" t="s">
        <v>2830</v>
      </c>
      <c r="B412" s="963" t="s">
        <v>2282</v>
      </c>
      <c r="C412" s="964">
        <v>35550607</v>
      </c>
    </row>
    <row r="413" spans="1:3">
      <c r="A413" s="963" t="s">
        <v>3095</v>
      </c>
      <c r="B413" s="963" t="s">
        <v>3014</v>
      </c>
      <c r="C413" s="964">
        <v>33308511</v>
      </c>
    </row>
    <row r="414" spans="1:3">
      <c r="A414" s="963" t="s">
        <v>2712</v>
      </c>
      <c r="B414" s="963" t="s">
        <v>1278</v>
      </c>
      <c r="C414" s="964">
        <v>141321097</v>
      </c>
    </row>
    <row r="415" spans="1:3">
      <c r="A415" s="963" t="s">
        <v>2424</v>
      </c>
      <c r="B415" s="963" t="s">
        <v>1279</v>
      </c>
      <c r="C415" s="964">
        <v>133709348</v>
      </c>
    </row>
    <row r="416" spans="1:3">
      <c r="A416" s="963" t="s">
        <v>2426</v>
      </c>
      <c r="B416" s="963" t="s">
        <v>1280</v>
      </c>
      <c r="C416" s="964">
        <v>86151290</v>
      </c>
    </row>
    <row r="417" spans="1:3">
      <c r="A417" s="963" t="s">
        <v>2428</v>
      </c>
      <c r="B417" s="963" t="s">
        <v>1281</v>
      </c>
      <c r="C417" s="964">
        <v>146727313</v>
      </c>
    </row>
    <row r="418" spans="1:3">
      <c r="A418" s="963" t="s">
        <v>2832</v>
      </c>
      <c r="B418" s="963" t="s">
        <v>377</v>
      </c>
      <c r="C418" s="964">
        <v>78887436</v>
      </c>
    </row>
    <row r="419" spans="1:3">
      <c r="A419" s="963" t="s">
        <v>4923</v>
      </c>
      <c r="B419" s="963" t="s">
        <v>1282</v>
      </c>
      <c r="C419" s="964">
        <v>230055111</v>
      </c>
    </row>
    <row r="420" spans="1:3">
      <c r="A420" s="963" t="s">
        <v>4925</v>
      </c>
      <c r="B420" s="963" t="s">
        <v>1283</v>
      </c>
      <c r="C420" s="964">
        <v>921898306</v>
      </c>
    </row>
    <row r="421" spans="1:3">
      <c r="A421" s="963" t="s">
        <v>4927</v>
      </c>
      <c r="B421" s="963" t="s">
        <v>1284</v>
      </c>
      <c r="C421" s="964">
        <v>326991715</v>
      </c>
    </row>
    <row r="422" spans="1:3">
      <c r="A422" s="963" t="s">
        <v>4929</v>
      </c>
      <c r="B422" s="963" t="s">
        <v>1285</v>
      </c>
      <c r="C422" s="964">
        <v>160095279</v>
      </c>
    </row>
    <row r="423" spans="1:3">
      <c r="A423" s="963" t="s">
        <v>4931</v>
      </c>
      <c r="B423" s="963" t="s">
        <v>1286</v>
      </c>
      <c r="C423" s="964">
        <v>322485712</v>
      </c>
    </row>
    <row r="424" spans="1:3">
      <c r="A424" s="963" t="s">
        <v>4933</v>
      </c>
      <c r="B424" s="963" t="s">
        <v>7379</v>
      </c>
      <c r="C424" s="964">
        <v>81519410</v>
      </c>
    </row>
    <row r="425" spans="1:3">
      <c r="A425" s="963" t="s">
        <v>444</v>
      </c>
      <c r="B425" s="963" t="s">
        <v>370</v>
      </c>
      <c r="C425" s="964">
        <v>71044838</v>
      </c>
    </row>
    <row r="426" spans="1:3">
      <c r="A426" s="963" t="s">
        <v>3558</v>
      </c>
      <c r="B426" s="963" t="s">
        <v>1288</v>
      </c>
      <c r="C426" s="964">
        <v>212702457</v>
      </c>
    </row>
    <row r="427" spans="1:3">
      <c r="A427" s="963" t="s">
        <v>3560</v>
      </c>
      <c r="B427" s="963" t="s">
        <v>2909</v>
      </c>
      <c r="C427" s="964">
        <v>83324182</v>
      </c>
    </row>
    <row r="428" spans="1:3">
      <c r="A428" s="963" t="s">
        <v>3562</v>
      </c>
      <c r="B428" s="963" t="s">
        <v>2910</v>
      </c>
      <c r="C428" s="964">
        <v>70881177</v>
      </c>
    </row>
    <row r="429" spans="1:3">
      <c r="A429" s="963" t="s">
        <v>3564</v>
      </c>
      <c r="B429" s="963" t="s">
        <v>7385</v>
      </c>
      <c r="C429" s="964">
        <v>10085153421</v>
      </c>
    </row>
    <row r="430" spans="1:3">
      <c r="A430" s="963" t="s">
        <v>6179</v>
      </c>
      <c r="B430" s="963" t="s">
        <v>1932</v>
      </c>
      <c r="C430" s="964">
        <v>587557890</v>
      </c>
    </row>
    <row r="431" spans="1:3">
      <c r="A431" s="963" t="s">
        <v>1309</v>
      </c>
      <c r="B431" s="963" t="s">
        <v>114</v>
      </c>
      <c r="C431" s="964">
        <v>23355814802</v>
      </c>
    </row>
    <row r="432" spans="1:3">
      <c r="A432" s="963" t="s">
        <v>3566</v>
      </c>
      <c r="B432" s="963" t="s">
        <v>2912</v>
      </c>
      <c r="C432" s="964">
        <v>0</v>
      </c>
    </row>
    <row r="433" spans="1:3">
      <c r="A433" s="963" t="s">
        <v>3568</v>
      </c>
      <c r="B433" s="963" t="s">
        <v>7390</v>
      </c>
      <c r="C433" s="964">
        <v>2146122766</v>
      </c>
    </row>
    <row r="434" spans="1:3">
      <c r="A434" s="963" t="s">
        <v>1607</v>
      </c>
      <c r="B434" s="963" t="s">
        <v>2914</v>
      </c>
      <c r="C434" s="964">
        <v>937901495</v>
      </c>
    </row>
    <row r="435" spans="1:3">
      <c r="A435" s="963" t="s">
        <v>2482</v>
      </c>
      <c r="B435" s="963" t="s">
        <v>2915</v>
      </c>
      <c r="C435" s="964">
        <v>2484490676</v>
      </c>
    </row>
    <row r="436" spans="1:3">
      <c r="A436" s="963" t="s">
        <v>2484</v>
      </c>
      <c r="B436" s="963" t="s">
        <v>2916</v>
      </c>
      <c r="C436" s="964">
        <v>2094451579</v>
      </c>
    </row>
    <row r="437" spans="1:3">
      <c r="A437" s="963" t="s">
        <v>2486</v>
      </c>
      <c r="B437" s="963" t="s">
        <v>2917</v>
      </c>
      <c r="C437" s="964">
        <v>141876037</v>
      </c>
    </row>
    <row r="438" spans="1:3">
      <c r="A438" s="963" t="s">
        <v>2488</v>
      </c>
      <c r="B438" s="963" t="s">
        <v>2918</v>
      </c>
      <c r="C438" s="964">
        <v>501279918</v>
      </c>
    </row>
    <row r="439" spans="1:3">
      <c r="A439" s="963" t="s">
        <v>2834</v>
      </c>
      <c r="B439" s="963" t="s">
        <v>1002</v>
      </c>
      <c r="C439" s="964">
        <v>126351066</v>
      </c>
    </row>
    <row r="440" spans="1:3">
      <c r="A440" s="963" t="s">
        <v>445</v>
      </c>
      <c r="B440" s="963" t="s">
        <v>5294</v>
      </c>
      <c r="C440" s="964">
        <v>354878534</v>
      </c>
    </row>
    <row r="441" spans="1:3">
      <c r="A441" s="963" t="s">
        <v>2490</v>
      </c>
      <c r="B441" s="963" t="s">
        <v>2919</v>
      </c>
      <c r="C441" s="964">
        <v>242933633</v>
      </c>
    </row>
    <row r="442" spans="1:3">
      <c r="A442" s="963" t="s">
        <v>2492</v>
      </c>
      <c r="B442" s="963" t="s">
        <v>2920</v>
      </c>
      <c r="C442" s="964">
        <v>434031667</v>
      </c>
    </row>
    <row r="443" spans="1:3">
      <c r="A443" s="963" t="s">
        <v>2494</v>
      </c>
      <c r="B443" s="963" t="s">
        <v>2921</v>
      </c>
      <c r="C443" s="964">
        <v>4199997350</v>
      </c>
    </row>
    <row r="444" spans="1:3">
      <c r="A444" s="963" t="s">
        <v>3301</v>
      </c>
      <c r="B444" s="963" t="s">
        <v>8041</v>
      </c>
      <c r="C444" s="964">
        <v>0</v>
      </c>
    </row>
    <row r="445" spans="1:3">
      <c r="A445" s="963" t="s">
        <v>3303</v>
      </c>
      <c r="B445" s="963" t="s">
        <v>3304</v>
      </c>
      <c r="C445" s="964">
        <v>0</v>
      </c>
    </row>
    <row r="446" spans="1:3">
      <c r="A446" s="963" t="s">
        <v>2496</v>
      </c>
      <c r="B446" s="963" t="s">
        <v>3305</v>
      </c>
      <c r="C446" s="964">
        <v>0</v>
      </c>
    </row>
    <row r="447" spans="1:3">
      <c r="A447" s="963" t="s">
        <v>170</v>
      </c>
      <c r="B447" s="963" t="s">
        <v>7956</v>
      </c>
      <c r="C447" s="964">
        <v>0</v>
      </c>
    </row>
    <row r="448" spans="1:3">
      <c r="A448" s="963" t="s">
        <v>2498</v>
      </c>
      <c r="B448" s="963" t="s">
        <v>2922</v>
      </c>
      <c r="C448" s="964">
        <v>2346655361</v>
      </c>
    </row>
    <row r="449" spans="1:3">
      <c r="A449" s="963" t="s">
        <v>1670</v>
      </c>
      <c r="B449" s="963" t="s">
        <v>2923</v>
      </c>
      <c r="C449" s="964">
        <v>4136187632</v>
      </c>
    </row>
    <row r="450" spans="1:3">
      <c r="A450" s="963" t="s">
        <v>1867</v>
      </c>
      <c r="B450" s="963" t="s">
        <v>3846</v>
      </c>
      <c r="C450" s="964">
        <v>37529114</v>
      </c>
    </row>
    <row r="451" spans="1:3">
      <c r="A451" s="963" t="s">
        <v>1672</v>
      </c>
      <c r="B451" s="963" t="s">
        <v>2924</v>
      </c>
      <c r="C451" s="964">
        <v>1393416682</v>
      </c>
    </row>
    <row r="452" spans="1:3">
      <c r="A452" s="963" t="s">
        <v>1674</v>
      </c>
      <c r="B452" s="963" t="s">
        <v>2925</v>
      </c>
      <c r="C452" s="964">
        <v>4159438719</v>
      </c>
    </row>
    <row r="453" spans="1:3">
      <c r="A453" s="963" t="s">
        <v>5048</v>
      </c>
      <c r="B453" s="963" t="s">
        <v>2926</v>
      </c>
      <c r="C453" s="964">
        <v>494380293</v>
      </c>
    </row>
    <row r="454" spans="1:3">
      <c r="A454" s="963" t="s">
        <v>2392</v>
      </c>
      <c r="B454" s="963" t="s">
        <v>1458</v>
      </c>
      <c r="C454" s="964">
        <v>919993010</v>
      </c>
    </row>
    <row r="455" spans="1:3">
      <c r="A455" s="963" t="s">
        <v>5050</v>
      </c>
      <c r="B455" s="963" t="s">
        <v>2927</v>
      </c>
      <c r="C455" s="964">
        <v>15321418686</v>
      </c>
    </row>
    <row r="456" spans="1:3">
      <c r="A456" s="963" t="s">
        <v>1311</v>
      </c>
      <c r="B456" s="963" t="s">
        <v>116</v>
      </c>
      <c r="C456" s="964">
        <v>2025334977</v>
      </c>
    </row>
    <row r="457" spans="1:3">
      <c r="A457" s="963" t="s">
        <v>3222</v>
      </c>
      <c r="B457" s="963" t="s">
        <v>2928</v>
      </c>
      <c r="C457" s="964">
        <v>705814459</v>
      </c>
    </row>
    <row r="458" spans="1:3">
      <c r="A458" s="963" t="s">
        <v>3224</v>
      </c>
      <c r="B458" s="963" t="s">
        <v>2929</v>
      </c>
      <c r="C458" s="964">
        <v>73603803</v>
      </c>
    </row>
    <row r="459" spans="1:3">
      <c r="A459" s="963" t="s">
        <v>6218</v>
      </c>
      <c r="B459" s="963" t="s">
        <v>7413</v>
      </c>
      <c r="C459" s="964">
        <v>31170871</v>
      </c>
    </row>
    <row r="460" spans="1:3">
      <c r="A460" s="963" t="s">
        <v>3228</v>
      </c>
      <c r="B460" s="963" t="s">
        <v>2931</v>
      </c>
      <c r="C460" s="964">
        <v>2289131967</v>
      </c>
    </row>
    <row r="461" spans="1:3">
      <c r="A461" s="963" t="s">
        <v>3230</v>
      </c>
      <c r="B461" s="963" t="s">
        <v>2932</v>
      </c>
      <c r="C461" s="964">
        <v>307719717</v>
      </c>
    </row>
    <row r="462" spans="1:3">
      <c r="A462" s="963" t="s">
        <v>3232</v>
      </c>
      <c r="B462" s="963" t="s">
        <v>3788</v>
      </c>
      <c r="C462" s="964">
        <v>1083839568</v>
      </c>
    </row>
    <row r="463" spans="1:3">
      <c r="A463" s="963" t="s">
        <v>1899</v>
      </c>
      <c r="B463" s="963" t="s">
        <v>3789</v>
      </c>
      <c r="C463" s="964">
        <v>1013967440</v>
      </c>
    </row>
    <row r="464" spans="1:3">
      <c r="A464" s="963" t="s">
        <v>1853</v>
      </c>
      <c r="B464" s="963" t="s">
        <v>4964</v>
      </c>
      <c r="C464" s="964">
        <v>580031642</v>
      </c>
    </row>
    <row r="465" spans="1:3">
      <c r="A465" s="963" t="s">
        <v>1901</v>
      </c>
      <c r="B465" s="963" t="s">
        <v>7420</v>
      </c>
      <c r="C465" s="964">
        <v>170305398</v>
      </c>
    </row>
    <row r="466" spans="1:3">
      <c r="A466" s="963" t="s">
        <v>1903</v>
      </c>
      <c r="B466" s="963" t="s">
        <v>3791</v>
      </c>
      <c r="C466" s="964">
        <v>120747184</v>
      </c>
    </row>
    <row r="467" spans="1:3">
      <c r="A467" s="963" t="s">
        <v>52</v>
      </c>
      <c r="B467" s="963" t="s">
        <v>5666</v>
      </c>
      <c r="C467" s="964">
        <v>156269371</v>
      </c>
    </row>
    <row r="468" spans="1:3">
      <c r="A468" s="963" t="s">
        <v>54</v>
      </c>
      <c r="B468" s="963" t="s">
        <v>5667</v>
      </c>
      <c r="C468" s="964">
        <v>162454080</v>
      </c>
    </row>
    <row r="469" spans="1:3">
      <c r="A469" s="963" t="s">
        <v>6191</v>
      </c>
      <c r="B469" s="963" t="s">
        <v>3629</v>
      </c>
      <c r="C469" s="964">
        <v>1037851948</v>
      </c>
    </row>
    <row r="470" spans="1:3">
      <c r="A470" s="963" t="s">
        <v>732</v>
      </c>
      <c r="B470" s="963" t="s">
        <v>5668</v>
      </c>
      <c r="C470" s="964">
        <v>130526811</v>
      </c>
    </row>
    <row r="471" spans="1:3">
      <c r="A471" s="963" t="s">
        <v>949</v>
      </c>
      <c r="B471" s="963" t="s">
        <v>7653</v>
      </c>
      <c r="C471" s="964">
        <v>153055147</v>
      </c>
    </row>
    <row r="472" spans="1:3">
      <c r="A472" s="963" t="s">
        <v>3980</v>
      </c>
      <c r="B472" s="963" t="s">
        <v>5669</v>
      </c>
      <c r="C472" s="964">
        <v>120530049</v>
      </c>
    </row>
    <row r="473" spans="1:3">
      <c r="A473" s="963" t="s">
        <v>3982</v>
      </c>
      <c r="B473" s="963" t="s">
        <v>5670</v>
      </c>
      <c r="C473" s="964">
        <v>1275076382</v>
      </c>
    </row>
    <row r="474" spans="1:3">
      <c r="A474" s="963" t="s">
        <v>1871</v>
      </c>
      <c r="B474" s="963" t="s">
        <v>3851</v>
      </c>
      <c r="C474" s="964">
        <v>186225880</v>
      </c>
    </row>
    <row r="475" spans="1:3">
      <c r="A475" s="963" t="s">
        <v>3116</v>
      </c>
      <c r="B475" s="963" t="s">
        <v>5242</v>
      </c>
      <c r="C475" s="964">
        <v>2299689566</v>
      </c>
    </row>
    <row r="476" spans="1:3">
      <c r="A476" s="963" t="s">
        <v>3118</v>
      </c>
      <c r="B476" s="963" t="s">
        <v>5243</v>
      </c>
      <c r="C476" s="964">
        <v>71423920</v>
      </c>
    </row>
    <row r="477" spans="1:3">
      <c r="A477" s="963" t="s">
        <v>2836</v>
      </c>
      <c r="B477" s="963" t="s">
        <v>5373</v>
      </c>
      <c r="C477" s="964">
        <v>401045762</v>
      </c>
    </row>
    <row r="478" spans="1:3">
      <c r="A478" s="963" t="s">
        <v>2838</v>
      </c>
      <c r="B478" s="963" t="s">
        <v>4071</v>
      </c>
      <c r="C478" s="964">
        <v>464526063</v>
      </c>
    </row>
    <row r="479" spans="1:3">
      <c r="A479" s="963" t="s">
        <v>5220</v>
      </c>
      <c r="B479" s="963" t="s">
        <v>5244</v>
      </c>
      <c r="C479" s="964">
        <v>154968866</v>
      </c>
    </row>
    <row r="480" spans="1:3">
      <c r="A480" s="963" t="s">
        <v>5129</v>
      </c>
      <c r="B480" s="963" t="s">
        <v>347</v>
      </c>
      <c r="C480" s="964">
        <v>650261676</v>
      </c>
    </row>
    <row r="481" spans="1:3">
      <c r="A481" s="963" t="s">
        <v>5222</v>
      </c>
      <c r="B481" s="963" t="s">
        <v>7437</v>
      </c>
      <c r="C481" s="964">
        <v>326578103</v>
      </c>
    </row>
    <row r="482" spans="1:3">
      <c r="A482" s="963" t="s">
        <v>1858</v>
      </c>
      <c r="B482" s="963" t="s">
        <v>3914</v>
      </c>
      <c r="C482" s="964">
        <v>217152340</v>
      </c>
    </row>
    <row r="483" spans="1:3">
      <c r="A483" s="963" t="s">
        <v>5224</v>
      </c>
      <c r="B483" s="963" t="s">
        <v>7160</v>
      </c>
      <c r="C483" s="964">
        <v>145080152</v>
      </c>
    </row>
    <row r="484" spans="1:3">
      <c r="A484" s="963" t="s">
        <v>5226</v>
      </c>
      <c r="B484" s="963" t="s">
        <v>3306</v>
      </c>
      <c r="C484" s="964">
        <v>0</v>
      </c>
    </row>
    <row r="485" spans="1:3">
      <c r="A485" s="963" t="s">
        <v>5228</v>
      </c>
      <c r="B485" s="963" t="s">
        <v>7161</v>
      </c>
      <c r="C485" s="964">
        <v>559703715</v>
      </c>
    </row>
    <row r="486" spans="1:3">
      <c r="A486" s="963" t="s">
        <v>5230</v>
      </c>
      <c r="B486" s="963" t="s">
        <v>7162</v>
      </c>
      <c r="C486" s="964">
        <v>1745321349</v>
      </c>
    </row>
    <row r="487" spans="1:3">
      <c r="A487" s="963" t="s">
        <v>2994</v>
      </c>
      <c r="B487" s="963" t="s">
        <v>199</v>
      </c>
      <c r="C487" s="964">
        <v>3890445046</v>
      </c>
    </row>
    <row r="488" spans="1:3">
      <c r="A488" s="963" t="s">
        <v>7723</v>
      </c>
      <c r="B488" s="963" t="s">
        <v>7163</v>
      </c>
      <c r="C488" s="964">
        <v>1669502638</v>
      </c>
    </row>
    <row r="489" spans="1:3">
      <c r="A489" s="963" t="s">
        <v>221</v>
      </c>
      <c r="B489" s="963" t="s">
        <v>7164</v>
      </c>
      <c r="C489" s="964">
        <v>380456259</v>
      </c>
    </row>
    <row r="490" spans="1:3">
      <c r="A490" s="963" t="s">
        <v>2406</v>
      </c>
      <c r="B490" s="963" t="s">
        <v>2351</v>
      </c>
      <c r="C490" s="964">
        <v>439202963</v>
      </c>
    </row>
    <row r="491" spans="1:3">
      <c r="A491" s="963" t="s">
        <v>223</v>
      </c>
      <c r="B491" s="963" t="s">
        <v>7165</v>
      </c>
      <c r="C491" s="964">
        <v>335918475</v>
      </c>
    </row>
    <row r="492" spans="1:3">
      <c r="A492" s="963" t="s">
        <v>3307</v>
      </c>
      <c r="C492" s="964">
        <v>0</v>
      </c>
    </row>
    <row r="493" spans="1:3">
      <c r="A493" s="963" t="s">
        <v>225</v>
      </c>
      <c r="B493" s="963" t="s">
        <v>7448</v>
      </c>
      <c r="C493" s="964">
        <v>449427731</v>
      </c>
    </row>
    <row r="494" spans="1:3">
      <c r="A494" s="963" t="s">
        <v>227</v>
      </c>
      <c r="B494" s="963" t="s">
        <v>7167</v>
      </c>
      <c r="C494" s="964">
        <v>149055389</v>
      </c>
    </row>
    <row r="495" spans="1:3">
      <c r="A495" s="963" t="s">
        <v>229</v>
      </c>
      <c r="B495" s="963" t="s">
        <v>7168</v>
      </c>
      <c r="C495" s="964">
        <v>1229193608</v>
      </c>
    </row>
    <row r="496" spans="1:3">
      <c r="A496" s="963" t="s">
        <v>4039</v>
      </c>
      <c r="B496" s="963" t="s">
        <v>7169</v>
      </c>
      <c r="C496" s="964">
        <v>160221418</v>
      </c>
    </row>
    <row r="497" spans="1:3">
      <c r="A497" s="963" t="s">
        <v>2396</v>
      </c>
      <c r="B497" s="963" t="s">
        <v>1463</v>
      </c>
      <c r="C497" s="964">
        <v>2445155466</v>
      </c>
    </row>
    <row r="498" spans="1:3">
      <c r="A498" s="963" t="s">
        <v>2394</v>
      </c>
      <c r="B498" s="963" t="s">
        <v>1461</v>
      </c>
      <c r="C498" s="964">
        <v>3317255923</v>
      </c>
    </row>
    <row r="499" spans="1:3">
      <c r="A499" s="963" t="s">
        <v>4042</v>
      </c>
      <c r="B499" s="963" t="s">
        <v>7170</v>
      </c>
      <c r="C499" s="964">
        <v>516232397</v>
      </c>
    </row>
    <row r="500" spans="1:3">
      <c r="A500" s="963" t="s">
        <v>3004</v>
      </c>
      <c r="B500" s="963" t="s">
        <v>6065</v>
      </c>
      <c r="C500" s="964">
        <v>480279894</v>
      </c>
    </row>
    <row r="501" spans="1:3">
      <c r="A501" s="963" t="s">
        <v>4044</v>
      </c>
      <c r="B501" s="963" t="s">
        <v>5272</v>
      </c>
      <c r="C501" s="964">
        <v>412514517</v>
      </c>
    </row>
    <row r="502" spans="1:3">
      <c r="A502" s="963" t="s">
        <v>4046</v>
      </c>
      <c r="B502" s="963" t="s">
        <v>5273</v>
      </c>
      <c r="C502" s="964">
        <v>35573458</v>
      </c>
    </row>
    <row r="503" spans="1:3">
      <c r="A503" s="963" t="s">
        <v>5402</v>
      </c>
      <c r="B503" s="963" t="s">
        <v>5274</v>
      </c>
      <c r="C503" s="964">
        <v>74817438</v>
      </c>
    </row>
    <row r="504" spans="1:3">
      <c r="A504" s="963" t="s">
        <v>5404</v>
      </c>
      <c r="B504" s="963" t="s">
        <v>5275</v>
      </c>
      <c r="C504" s="964">
        <v>54872926</v>
      </c>
    </row>
    <row r="505" spans="1:3">
      <c r="A505" s="963" t="s">
        <v>423</v>
      </c>
      <c r="B505" s="963" t="s">
        <v>5276</v>
      </c>
      <c r="C505" s="964">
        <v>1077280290</v>
      </c>
    </row>
    <row r="506" spans="1:3">
      <c r="A506" s="963" t="s">
        <v>425</v>
      </c>
      <c r="B506" s="963" t="s">
        <v>5277</v>
      </c>
      <c r="C506" s="964">
        <v>120742257</v>
      </c>
    </row>
    <row r="507" spans="1:3">
      <c r="A507" s="963" t="s">
        <v>427</v>
      </c>
      <c r="B507" s="963" t="s">
        <v>5278</v>
      </c>
      <c r="C507" s="964">
        <v>40434711</v>
      </c>
    </row>
    <row r="508" spans="1:3">
      <c r="A508" s="963" t="s">
        <v>429</v>
      </c>
      <c r="B508" s="963" t="s">
        <v>7464</v>
      </c>
      <c r="C508" s="964">
        <v>268466372</v>
      </c>
    </row>
    <row r="509" spans="1:3">
      <c r="A509" s="963" t="s">
        <v>446</v>
      </c>
      <c r="B509" s="963" t="s">
        <v>3844</v>
      </c>
      <c r="C509" s="964">
        <v>151195031</v>
      </c>
    </row>
    <row r="510" spans="1:3">
      <c r="A510" s="963" t="s">
        <v>431</v>
      </c>
      <c r="B510" s="963" t="s">
        <v>5280</v>
      </c>
      <c r="C510" s="964">
        <v>711313658</v>
      </c>
    </row>
    <row r="511" spans="1:3">
      <c r="A511" s="963" t="s">
        <v>4945</v>
      </c>
      <c r="B511" s="963" t="s">
        <v>7468</v>
      </c>
      <c r="C511" s="964">
        <v>249765619</v>
      </c>
    </row>
    <row r="512" spans="1:3">
      <c r="A512" s="963" t="s">
        <v>4947</v>
      </c>
      <c r="B512" s="963" t="s">
        <v>5282</v>
      </c>
      <c r="C512" s="964">
        <v>405725404</v>
      </c>
    </row>
    <row r="513" spans="1:3">
      <c r="A513" s="963" t="s">
        <v>4949</v>
      </c>
      <c r="B513" s="963" t="s">
        <v>5283</v>
      </c>
      <c r="C513" s="964">
        <v>113120409</v>
      </c>
    </row>
    <row r="514" spans="1:3">
      <c r="A514" s="963" t="s">
        <v>4951</v>
      </c>
      <c r="B514" s="963" t="s">
        <v>5284</v>
      </c>
      <c r="C514" s="964">
        <v>216506834</v>
      </c>
    </row>
    <row r="515" spans="1:3">
      <c r="A515" s="963" t="s">
        <v>1560</v>
      </c>
      <c r="B515" s="963" t="s">
        <v>5285</v>
      </c>
      <c r="C515" s="964">
        <v>333949736</v>
      </c>
    </row>
    <row r="516" spans="1:3">
      <c r="A516" s="963" t="s">
        <v>2398</v>
      </c>
      <c r="B516" s="963" t="s">
        <v>1466</v>
      </c>
      <c r="C516" s="964">
        <v>657727302</v>
      </c>
    </row>
    <row r="517" spans="1:3">
      <c r="A517" s="963" t="s">
        <v>1562</v>
      </c>
      <c r="B517" s="963" t="s">
        <v>5286</v>
      </c>
      <c r="C517" s="964">
        <v>991121104</v>
      </c>
    </row>
    <row r="518" spans="1:3">
      <c r="A518" s="963" t="s">
        <v>2997</v>
      </c>
      <c r="B518" s="963" t="s">
        <v>6057</v>
      </c>
      <c r="C518" s="964">
        <v>821936439</v>
      </c>
    </row>
    <row r="519" spans="1:3">
      <c r="A519" s="963" t="s">
        <v>856</v>
      </c>
      <c r="B519" s="963" t="s">
        <v>7477</v>
      </c>
      <c r="C519" s="964">
        <v>169814337</v>
      </c>
    </row>
    <row r="520" spans="1:3">
      <c r="A520" s="963" t="s">
        <v>8042</v>
      </c>
      <c r="B520" s="963" t="s">
        <v>8043</v>
      </c>
      <c r="C520" s="964">
        <v>0</v>
      </c>
    </row>
    <row r="521" spans="1:3">
      <c r="A521" s="963" t="s">
        <v>1021</v>
      </c>
      <c r="B521" s="963" t="s">
        <v>1022</v>
      </c>
      <c r="C521" s="964">
        <v>0</v>
      </c>
    </row>
    <row r="522" spans="1:3">
      <c r="A522" s="963" t="s">
        <v>1023</v>
      </c>
      <c r="B522" s="963" t="s">
        <v>1024</v>
      </c>
      <c r="C522" s="964">
        <v>0</v>
      </c>
    </row>
    <row r="523" spans="1:3">
      <c r="A523" s="963" t="s">
        <v>1025</v>
      </c>
      <c r="B523" s="963" t="s">
        <v>1026</v>
      </c>
      <c r="C523" s="964">
        <v>0</v>
      </c>
    </row>
    <row r="524" spans="1:3">
      <c r="A524" s="963" t="s">
        <v>1027</v>
      </c>
      <c r="B524" s="963" t="s">
        <v>1028</v>
      </c>
      <c r="C524" s="964">
        <v>0</v>
      </c>
    </row>
    <row r="525" spans="1:3">
      <c r="A525" s="963" t="s">
        <v>1564</v>
      </c>
      <c r="B525" s="963" t="s">
        <v>1029</v>
      </c>
      <c r="C525" s="964">
        <v>0</v>
      </c>
    </row>
    <row r="526" spans="1:3">
      <c r="A526" s="963" t="s">
        <v>1030</v>
      </c>
      <c r="B526" s="963" t="s">
        <v>7957</v>
      </c>
      <c r="C526" s="964">
        <v>0</v>
      </c>
    </row>
    <row r="527" spans="1:3">
      <c r="A527" s="963" t="s">
        <v>1032</v>
      </c>
      <c r="B527" s="963" t="s">
        <v>7958</v>
      </c>
      <c r="C527" s="964">
        <v>0</v>
      </c>
    </row>
    <row r="528" spans="1:3">
      <c r="A528" s="963" t="s">
        <v>1566</v>
      </c>
      <c r="B528" s="963" t="s">
        <v>7959</v>
      </c>
      <c r="C528" s="964">
        <v>0</v>
      </c>
    </row>
    <row r="529" spans="1:3">
      <c r="A529" s="963" t="s">
        <v>1034</v>
      </c>
      <c r="B529" s="963" t="s">
        <v>7960</v>
      </c>
      <c r="C529" s="964">
        <v>0</v>
      </c>
    </row>
    <row r="530" spans="1:3">
      <c r="A530" s="963" t="s">
        <v>1036</v>
      </c>
      <c r="B530" s="963" t="s">
        <v>7961</v>
      </c>
      <c r="C530" s="964">
        <v>0</v>
      </c>
    </row>
    <row r="531" spans="1:3">
      <c r="A531" s="963" t="s">
        <v>1038</v>
      </c>
      <c r="B531" s="963" t="s">
        <v>7962</v>
      </c>
      <c r="C531" s="964">
        <v>0</v>
      </c>
    </row>
    <row r="532" spans="1:3">
      <c r="A532" s="963" t="s">
        <v>1040</v>
      </c>
      <c r="B532" s="963" t="s">
        <v>1041</v>
      </c>
      <c r="C532" s="964">
        <v>0</v>
      </c>
    </row>
    <row r="533" spans="1:3">
      <c r="A533" s="963" t="s">
        <v>1568</v>
      </c>
      <c r="B533" s="963" t="s">
        <v>7963</v>
      </c>
      <c r="C533" s="964">
        <v>0</v>
      </c>
    </row>
    <row r="534" spans="1:3">
      <c r="A534" s="963" t="s">
        <v>1570</v>
      </c>
      <c r="B534" s="963" t="s">
        <v>7964</v>
      </c>
      <c r="C534" s="964">
        <v>0</v>
      </c>
    </row>
    <row r="535" spans="1:3">
      <c r="A535" s="963" t="s">
        <v>1043</v>
      </c>
      <c r="B535" s="963" t="s">
        <v>8044</v>
      </c>
      <c r="C535" s="964">
        <v>0</v>
      </c>
    </row>
    <row r="536" spans="1:3">
      <c r="A536" s="963" t="s">
        <v>4921</v>
      </c>
      <c r="C536" s="964">
        <v>0</v>
      </c>
    </row>
    <row r="537" spans="1:3">
      <c r="A537" s="963" t="s">
        <v>1046</v>
      </c>
      <c r="B537" s="963" t="s">
        <v>7965</v>
      </c>
      <c r="C537" s="964">
        <v>0</v>
      </c>
    </row>
    <row r="538" spans="1:3">
      <c r="A538" s="963" t="s">
        <v>1048</v>
      </c>
      <c r="B538" s="963" t="s">
        <v>7966</v>
      </c>
      <c r="C538" s="964">
        <v>0</v>
      </c>
    </row>
    <row r="539" spans="1:3">
      <c r="A539" s="963" t="s">
        <v>1050</v>
      </c>
      <c r="B539" s="963" t="s">
        <v>7967</v>
      </c>
      <c r="C539" s="964">
        <v>0</v>
      </c>
    </row>
    <row r="540" spans="1:3">
      <c r="A540" s="963" t="s">
        <v>1052</v>
      </c>
      <c r="B540" s="963" t="s">
        <v>1053</v>
      </c>
      <c r="C540" s="964">
        <v>0</v>
      </c>
    </row>
    <row r="541" spans="1:3">
      <c r="A541" s="963" t="s">
        <v>5109</v>
      </c>
      <c r="B541" s="963" t="s">
        <v>7968</v>
      </c>
      <c r="C541" s="964">
        <v>0</v>
      </c>
    </row>
    <row r="542" spans="1:3">
      <c r="A542" s="963" t="s">
        <v>1055</v>
      </c>
      <c r="C542" s="964">
        <v>0</v>
      </c>
    </row>
    <row r="543" spans="1:3">
      <c r="A543" s="963" t="s">
        <v>1057</v>
      </c>
      <c r="B543" s="963" t="s">
        <v>7969</v>
      </c>
      <c r="C543" s="964">
        <v>0</v>
      </c>
    </row>
    <row r="544" spans="1:3">
      <c r="A544" s="963" t="s">
        <v>1059</v>
      </c>
      <c r="B544" s="963" t="s">
        <v>7970</v>
      </c>
      <c r="C544" s="964">
        <v>0</v>
      </c>
    </row>
    <row r="545" spans="1:3">
      <c r="A545" s="963" t="s">
        <v>1061</v>
      </c>
      <c r="C545" s="964">
        <v>0</v>
      </c>
    </row>
    <row r="546" spans="1:3">
      <c r="A546" s="963" t="s">
        <v>5111</v>
      </c>
      <c r="B546" s="963" t="s">
        <v>5112</v>
      </c>
      <c r="C546" s="964">
        <v>0</v>
      </c>
    </row>
    <row r="547" spans="1:3">
      <c r="A547" s="963" t="s">
        <v>1063</v>
      </c>
      <c r="B547" s="963" t="s">
        <v>7971</v>
      </c>
      <c r="C547" s="964">
        <v>0</v>
      </c>
    </row>
    <row r="548" spans="1:3">
      <c r="A548" s="963" t="s">
        <v>1065</v>
      </c>
      <c r="B548" s="963" t="s">
        <v>1066</v>
      </c>
      <c r="C548" s="964">
        <v>0</v>
      </c>
    </row>
    <row r="549" spans="1:3">
      <c r="A549" s="963" t="s">
        <v>5113</v>
      </c>
      <c r="B549" s="963" t="s">
        <v>1069</v>
      </c>
      <c r="C549" s="964">
        <v>0</v>
      </c>
    </row>
    <row r="550" spans="1:3">
      <c r="A550" s="963" t="s">
        <v>1070</v>
      </c>
      <c r="B550" s="963" t="s">
        <v>7972</v>
      </c>
      <c r="C550" s="964">
        <v>0</v>
      </c>
    </row>
    <row r="551" spans="1:3">
      <c r="A551" s="963" t="s">
        <v>1982</v>
      </c>
      <c r="B551" s="963" t="s">
        <v>7973</v>
      </c>
      <c r="C551" s="964">
        <v>0</v>
      </c>
    </row>
    <row r="552" spans="1:3">
      <c r="A552" s="963" t="s">
        <v>1984</v>
      </c>
      <c r="B552" s="963" t="s">
        <v>1073</v>
      </c>
      <c r="C552" s="964">
        <v>0</v>
      </c>
    </row>
    <row r="553" spans="1:3">
      <c r="A553" s="963" t="s">
        <v>1074</v>
      </c>
      <c r="B553" s="963" t="s">
        <v>1075</v>
      </c>
      <c r="C553" s="964">
        <v>0</v>
      </c>
    </row>
    <row r="554" spans="1:3">
      <c r="A554" s="963" t="s">
        <v>1076</v>
      </c>
      <c r="B554" s="963" t="s">
        <v>7974</v>
      </c>
      <c r="C554" s="964">
        <v>0</v>
      </c>
    </row>
    <row r="555" spans="1:3">
      <c r="A555" s="963" t="s">
        <v>1986</v>
      </c>
      <c r="B555" s="963" t="s">
        <v>1987</v>
      </c>
      <c r="C555" s="964">
        <v>0</v>
      </c>
    </row>
    <row r="556" spans="1:3">
      <c r="A556" s="963" t="s">
        <v>1078</v>
      </c>
      <c r="B556" s="963" t="s">
        <v>7975</v>
      </c>
      <c r="C556" s="964">
        <v>0</v>
      </c>
    </row>
    <row r="557" spans="1:3">
      <c r="A557" s="963" t="s">
        <v>1080</v>
      </c>
      <c r="B557" s="963" t="s">
        <v>1081</v>
      </c>
      <c r="C557" s="964">
        <v>0</v>
      </c>
    </row>
    <row r="558" spans="1:3">
      <c r="A558" s="963" t="s">
        <v>1082</v>
      </c>
      <c r="B558" s="963" t="s">
        <v>7976</v>
      </c>
      <c r="C558" s="964">
        <v>0</v>
      </c>
    </row>
    <row r="559" spans="1:3">
      <c r="A559" s="963" t="s">
        <v>1084</v>
      </c>
      <c r="B559" s="963" t="s">
        <v>7977</v>
      </c>
      <c r="C559" s="964">
        <v>0</v>
      </c>
    </row>
    <row r="560" spans="1:3">
      <c r="A560" s="963" t="s">
        <v>1086</v>
      </c>
      <c r="B560" s="963" t="s">
        <v>7978</v>
      </c>
      <c r="C560" s="964">
        <v>0</v>
      </c>
    </row>
    <row r="561" spans="1:3">
      <c r="A561" s="963" t="s">
        <v>1088</v>
      </c>
      <c r="B561" s="963" t="s">
        <v>1089</v>
      </c>
      <c r="C561" s="964">
        <v>0</v>
      </c>
    </row>
    <row r="562" spans="1:3">
      <c r="A562" s="963" t="s">
        <v>1090</v>
      </c>
      <c r="B562" s="963" t="s">
        <v>1091</v>
      </c>
      <c r="C562" s="964">
        <v>0</v>
      </c>
    </row>
    <row r="563" spans="1:3">
      <c r="A563" s="963" t="s">
        <v>1092</v>
      </c>
      <c r="B563" s="963" t="s">
        <v>7979</v>
      </c>
      <c r="C563" s="964">
        <v>0</v>
      </c>
    </row>
    <row r="564" spans="1:3">
      <c r="A564" s="963" t="s">
        <v>1094</v>
      </c>
      <c r="B564" s="963" t="s">
        <v>1095</v>
      </c>
      <c r="C564" s="964">
        <v>0</v>
      </c>
    </row>
    <row r="565" spans="1:3">
      <c r="A565" s="963" t="s">
        <v>1096</v>
      </c>
      <c r="B565" s="963" t="s">
        <v>1097</v>
      </c>
      <c r="C565" s="964">
        <v>0</v>
      </c>
    </row>
    <row r="566" spans="1:3">
      <c r="A566" s="963" t="s">
        <v>1098</v>
      </c>
      <c r="B566" s="963" t="s">
        <v>7980</v>
      </c>
      <c r="C566" s="964">
        <v>0</v>
      </c>
    </row>
    <row r="567" spans="1:3">
      <c r="A567" s="963" t="s">
        <v>171</v>
      </c>
      <c r="B567" s="963" t="s">
        <v>7981</v>
      </c>
      <c r="C567" s="964">
        <v>0</v>
      </c>
    </row>
    <row r="568" spans="1:3">
      <c r="A568" s="963" t="s">
        <v>172</v>
      </c>
      <c r="B568" s="963" t="s">
        <v>7982</v>
      </c>
      <c r="C568" s="964">
        <v>0</v>
      </c>
    </row>
    <row r="569" spans="1:3">
      <c r="A569" s="963" t="s">
        <v>173</v>
      </c>
      <c r="B569" s="963" t="s">
        <v>7983</v>
      </c>
      <c r="C569" s="964">
        <v>0</v>
      </c>
    </row>
    <row r="570" spans="1:3">
      <c r="A570" s="963" t="s">
        <v>174</v>
      </c>
      <c r="B570" s="963" t="s">
        <v>7984</v>
      </c>
      <c r="C570" s="964">
        <v>0</v>
      </c>
    </row>
    <row r="571" spans="1:3">
      <c r="A571" s="963" t="s">
        <v>7798</v>
      </c>
      <c r="B571" s="963" t="s">
        <v>7985</v>
      </c>
      <c r="C571" s="964">
        <v>0</v>
      </c>
    </row>
    <row r="572" spans="1:3">
      <c r="A572" s="963" t="s">
        <v>8045</v>
      </c>
      <c r="B572" s="963" t="s">
        <v>8046</v>
      </c>
      <c r="C572" s="964">
        <v>0</v>
      </c>
    </row>
    <row r="573" spans="1:3">
      <c r="A573" s="963" t="s">
        <v>819</v>
      </c>
      <c r="B573" s="963" t="s">
        <v>3901</v>
      </c>
      <c r="C573" s="964">
        <v>13249256609</v>
      </c>
    </row>
    <row r="574" spans="1:3">
      <c r="A574" s="963" t="s">
        <v>3887</v>
      </c>
      <c r="B574" s="963" t="s">
        <v>1844</v>
      </c>
      <c r="C574" s="964">
        <v>11260302537</v>
      </c>
    </row>
    <row r="575" spans="1:3">
      <c r="A575" s="963" t="s">
        <v>1988</v>
      </c>
      <c r="B575" s="963" t="s">
        <v>303</v>
      </c>
      <c r="C575" s="964">
        <v>2448601423</v>
      </c>
    </row>
    <row r="576" spans="1:3">
      <c r="A576" s="963" t="s">
        <v>245</v>
      </c>
      <c r="B576" s="963" t="s">
        <v>1667</v>
      </c>
      <c r="C576" s="964">
        <v>1252892192</v>
      </c>
    </row>
    <row r="577" spans="1:3">
      <c r="A577" s="963" t="s">
        <v>1990</v>
      </c>
      <c r="B577" s="963" t="s">
        <v>304</v>
      </c>
      <c r="C577" s="964">
        <v>34896020375</v>
      </c>
    </row>
    <row r="578" spans="1:3">
      <c r="A578" s="963" t="s">
        <v>2115</v>
      </c>
      <c r="B578" s="963" t="s">
        <v>305</v>
      </c>
      <c r="C578" s="964">
        <v>7502702055</v>
      </c>
    </row>
    <row r="579" spans="1:3">
      <c r="A579" s="963" t="s">
        <v>6184</v>
      </c>
      <c r="B579" s="963" t="s">
        <v>1938</v>
      </c>
      <c r="C579" s="964">
        <v>1624751684</v>
      </c>
    </row>
    <row r="580" spans="1:3">
      <c r="A580" s="963" t="s">
        <v>1315</v>
      </c>
      <c r="B580" s="963" t="s">
        <v>120</v>
      </c>
      <c r="C580" s="964">
        <v>5899473742</v>
      </c>
    </row>
    <row r="581" spans="1:3">
      <c r="A581" s="963" t="s">
        <v>5622</v>
      </c>
      <c r="B581" s="963" t="s">
        <v>306</v>
      </c>
      <c r="C581" s="964">
        <v>8831540883</v>
      </c>
    </row>
    <row r="582" spans="1:3">
      <c r="A582" s="963" t="s">
        <v>5624</v>
      </c>
      <c r="B582" s="963" t="s">
        <v>95</v>
      </c>
      <c r="C582" s="964">
        <v>109763599469</v>
      </c>
    </row>
    <row r="583" spans="1:3">
      <c r="A583" s="963" t="s">
        <v>1873</v>
      </c>
      <c r="B583" s="963" t="s">
        <v>3856</v>
      </c>
      <c r="C583" s="964">
        <v>9990590644</v>
      </c>
    </row>
    <row r="584" spans="1:3">
      <c r="A584" s="963" t="s">
        <v>6028</v>
      </c>
      <c r="B584" s="963" t="s">
        <v>1913</v>
      </c>
      <c r="C584" s="964">
        <v>19259273302</v>
      </c>
    </row>
    <row r="585" spans="1:3">
      <c r="A585" s="963" t="s">
        <v>6035</v>
      </c>
      <c r="B585" s="963" t="s">
        <v>1923</v>
      </c>
      <c r="C585" s="964">
        <v>12944961804</v>
      </c>
    </row>
    <row r="586" spans="1:3">
      <c r="A586" s="963" t="s">
        <v>5626</v>
      </c>
      <c r="B586" s="963" t="s">
        <v>96</v>
      </c>
      <c r="C586" s="964">
        <v>6149593891</v>
      </c>
    </row>
    <row r="587" spans="1:3">
      <c r="A587" s="963" t="s">
        <v>6194</v>
      </c>
      <c r="B587" s="963" t="s">
        <v>5292</v>
      </c>
      <c r="C587" s="964">
        <v>10527436633</v>
      </c>
    </row>
    <row r="588" spans="1:3">
      <c r="A588" s="963" t="s">
        <v>1539</v>
      </c>
      <c r="B588" s="963" t="s">
        <v>97</v>
      </c>
      <c r="C588" s="964">
        <v>7928354707</v>
      </c>
    </row>
    <row r="589" spans="1:3">
      <c r="A589" s="963" t="s">
        <v>911</v>
      </c>
      <c r="B589" s="963" t="s">
        <v>98</v>
      </c>
      <c r="C589" s="964">
        <v>19380891418</v>
      </c>
    </row>
    <row r="590" spans="1:3">
      <c r="A590" s="963" t="s">
        <v>1428</v>
      </c>
      <c r="B590" s="963" t="s">
        <v>99</v>
      </c>
      <c r="C590" s="964">
        <v>5038533650</v>
      </c>
    </row>
    <row r="591" spans="1:3">
      <c r="A591" s="963" t="s">
        <v>1430</v>
      </c>
      <c r="B591" s="963" t="s">
        <v>100</v>
      </c>
      <c r="C591" s="964">
        <v>4541244337</v>
      </c>
    </row>
    <row r="592" spans="1:3">
      <c r="A592" s="963" t="s">
        <v>4971</v>
      </c>
      <c r="B592" s="963" t="s">
        <v>3854</v>
      </c>
      <c r="C592" s="964">
        <v>766405183</v>
      </c>
    </row>
    <row r="593" spans="1:3">
      <c r="A593" s="963" t="s">
        <v>1099</v>
      </c>
      <c r="C593" s="964">
        <v>0</v>
      </c>
    </row>
    <row r="594" spans="1:3">
      <c r="A594" s="963" t="s">
        <v>1432</v>
      </c>
      <c r="B594" s="963" t="s">
        <v>101</v>
      </c>
      <c r="C594" s="964">
        <v>247189368</v>
      </c>
    </row>
    <row r="595" spans="1:3">
      <c r="A595" s="963" t="s">
        <v>1434</v>
      </c>
      <c r="B595" s="963" t="s">
        <v>877</v>
      </c>
      <c r="C595" s="964">
        <v>2708959082</v>
      </c>
    </row>
    <row r="596" spans="1:3">
      <c r="A596" s="963" t="s">
        <v>1436</v>
      </c>
      <c r="B596" s="963" t="s">
        <v>878</v>
      </c>
      <c r="C596" s="964">
        <v>458733193</v>
      </c>
    </row>
    <row r="597" spans="1:3">
      <c r="A597" s="963" t="s">
        <v>1438</v>
      </c>
      <c r="B597" s="963" t="s">
        <v>879</v>
      </c>
      <c r="C597" s="964">
        <v>2699561632</v>
      </c>
    </row>
    <row r="598" spans="1:3">
      <c r="A598" s="963" t="s">
        <v>2580</v>
      </c>
      <c r="B598" s="963" t="s">
        <v>880</v>
      </c>
      <c r="C598" s="964">
        <v>174225192</v>
      </c>
    </row>
    <row r="599" spans="1:3">
      <c r="A599" s="963" t="s">
        <v>2582</v>
      </c>
      <c r="B599" s="963" t="s">
        <v>881</v>
      </c>
      <c r="C599" s="964">
        <v>627557539</v>
      </c>
    </row>
    <row r="600" spans="1:3">
      <c r="A600" s="963" t="s">
        <v>2584</v>
      </c>
      <c r="B600" s="963" t="s">
        <v>834</v>
      </c>
      <c r="C600" s="964">
        <v>150097906</v>
      </c>
    </row>
    <row r="601" spans="1:3">
      <c r="A601" s="963" t="s">
        <v>1578</v>
      </c>
      <c r="B601" s="963" t="s">
        <v>835</v>
      </c>
      <c r="C601" s="964">
        <v>126648437</v>
      </c>
    </row>
    <row r="602" spans="1:3">
      <c r="A602" s="963" t="s">
        <v>1580</v>
      </c>
      <c r="B602" s="963" t="s">
        <v>3838</v>
      </c>
      <c r="C602" s="964">
        <v>156473745</v>
      </c>
    </row>
    <row r="603" spans="1:3">
      <c r="A603" s="963" t="s">
        <v>1582</v>
      </c>
      <c r="B603" s="963" t="s">
        <v>837</v>
      </c>
      <c r="C603" s="964">
        <v>33200931</v>
      </c>
    </row>
    <row r="604" spans="1:3">
      <c r="A604" s="963" t="s">
        <v>1584</v>
      </c>
      <c r="B604" s="963" t="s">
        <v>838</v>
      </c>
      <c r="C604" s="964">
        <v>38344868</v>
      </c>
    </row>
    <row r="605" spans="1:3">
      <c r="A605" s="963" t="s">
        <v>1586</v>
      </c>
      <c r="B605" s="963" t="s">
        <v>1101</v>
      </c>
      <c r="C605" s="964">
        <v>0</v>
      </c>
    </row>
    <row r="606" spans="1:3">
      <c r="A606" s="963" t="s">
        <v>1102</v>
      </c>
      <c r="B606" s="963" t="s">
        <v>1103</v>
      </c>
      <c r="C606" s="964">
        <v>0</v>
      </c>
    </row>
    <row r="607" spans="1:3">
      <c r="A607" s="963" t="s">
        <v>1588</v>
      </c>
      <c r="B607" s="963" t="s">
        <v>7510</v>
      </c>
      <c r="C607" s="964">
        <v>3286373708</v>
      </c>
    </row>
    <row r="608" spans="1:3">
      <c r="A608" s="963" t="s">
        <v>1292</v>
      </c>
      <c r="B608" s="963" t="s">
        <v>3010</v>
      </c>
      <c r="C608" s="964">
        <v>2541420344</v>
      </c>
    </row>
    <row r="609" spans="1:3">
      <c r="A609" s="963" t="s">
        <v>1590</v>
      </c>
      <c r="B609" s="963" t="s">
        <v>840</v>
      </c>
      <c r="C609" s="964">
        <v>1389345077</v>
      </c>
    </row>
    <row r="610" spans="1:3">
      <c r="A610" s="963" t="s">
        <v>1864</v>
      </c>
      <c r="B610" s="963" t="s">
        <v>7514</v>
      </c>
      <c r="C610" s="964">
        <v>3635460295</v>
      </c>
    </row>
    <row r="611" spans="1:3">
      <c r="A611" s="963" t="s">
        <v>1592</v>
      </c>
      <c r="B611" s="963" t="s">
        <v>841</v>
      </c>
      <c r="C611" s="964">
        <v>1539630546</v>
      </c>
    </row>
    <row r="612" spans="1:3">
      <c r="A612" s="963" t="s">
        <v>1594</v>
      </c>
      <c r="B612" s="963" t="s">
        <v>842</v>
      </c>
      <c r="C612" s="964">
        <v>1105044512</v>
      </c>
    </row>
    <row r="613" spans="1:3">
      <c r="A613" s="963" t="s">
        <v>1596</v>
      </c>
      <c r="B613" s="963" t="s">
        <v>843</v>
      </c>
      <c r="C613" s="964">
        <v>652174331</v>
      </c>
    </row>
    <row r="614" spans="1:3">
      <c r="A614" s="963" t="s">
        <v>1598</v>
      </c>
      <c r="B614" s="963" t="s">
        <v>844</v>
      </c>
      <c r="C614" s="964">
        <v>323401732</v>
      </c>
    </row>
    <row r="615" spans="1:3">
      <c r="A615" s="963" t="s">
        <v>1600</v>
      </c>
      <c r="B615" s="963" t="s">
        <v>845</v>
      </c>
      <c r="C615" s="964">
        <v>498328547</v>
      </c>
    </row>
    <row r="616" spans="1:3">
      <c r="A616" s="963" t="s">
        <v>5260</v>
      </c>
      <c r="B616" s="963" t="s">
        <v>846</v>
      </c>
      <c r="C616" s="964">
        <v>997640310</v>
      </c>
    </row>
    <row r="617" spans="1:3">
      <c r="A617" s="963" t="s">
        <v>2415</v>
      </c>
      <c r="B617" s="963" t="s">
        <v>5368</v>
      </c>
      <c r="C617" s="964">
        <v>38960646</v>
      </c>
    </row>
    <row r="618" spans="1:3">
      <c r="A618" s="963" t="s">
        <v>4973</v>
      </c>
      <c r="B618" s="963" t="s">
        <v>328</v>
      </c>
      <c r="C618" s="964">
        <v>40545445</v>
      </c>
    </row>
    <row r="619" spans="1:3">
      <c r="A619" s="963" t="s">
        <v>5262</v>
      </c>
      <c r="B619" s="963" t="s">
        <v>847</v>
      </c>
      <c r="C619" s="964">
        <v>343303426</v>
      </c>
    </row>
    <row r="620" spans="1:3">
      <c r="A620" s="963" t="s">
        <v>1104</v>
      </c>
      <c r="B620" s="963" t="s">
        <v>7986</v>
      </c>
      <c r="C620" s="964">
        <v>0</v>
      </c>
    </row>
    <row r="621" spans="1:3">
      <c r="A621" s="963" t="s">
        <v>5264</v>
      </c>
      <c r="B621" s="963" t="s">
        <v>7987</v>
      </c>
      <c r="C621" s="964">
        <v>0</v>
      </c>
    </row>
    <row r="622" spans="1:3">
      <c r="A622" s="963" t="s">
        <v>1107</v>
      </c>
      <c r="B622" s="963" t="s">
        <v>1108</v>
      </c>
      <c r="C622" s="964">
        <v>0</v>
      </c>
    </row>
    <row r="623" spans="1:3">
      <c r="A623" s="963" t="s">
        <v>778</v>
      </c>
      <c r="B623" s="963" t="s">
        <v>7988</v>
      </c>
      <c r="C623" s="964">
        <v>0</v>
      </c>
    </row>
    <row r="624" spans="1:3">
      <c r="A624" s="963" t="s">
        <v>1113</v>
      </c>
      <c r="B624" s="963" t="s">
        <v>1114</v>
      </c>
      <c r="C624" s="964">
        <v>0</v>
      </c>
    </row>
    <row r="625" spans="1:3">
      <c r="A625" s="963" t="s">
        <v>2054</v>
      </c>
      <c r="B625" s="963" t="s">
        <v>7525</v>
      </c>
      <c r="C625" s="964">
        <v>953958184</v>
      </c>
    </row>
    <row r="626" spans="1:3">
      <c r="A626" s="963" t="s">
        <v>1519</v>
      </c>
      <c r="B626" s="963" t="s">
        <v>3015</v>
      </c>
      <c r="C626" s="964">
        <v>250678764</v>
      </c>
    </row>
    <row r="627" spans="1:3">
      <c r="A627" s="963" t="s">
        <v>1521</v>
      </c>
      <c r="B627" s="963" t="s">
        <v>7528</v>
      </c>
      <c r="C627" s="964">
        <v>5653490255</v>
      </c>
    </row>
    <row r="628" spans="1:3">
      <c r="A628" s="963" t="s">
        <v>1866</v>
      </c>
      <c r="B628" s="963" t="s">
        <v>3845</v>
      </c>
      <c r="C628" s="964">
        <v>413626484</v>
      </c>
    </row>
    <row r="629" spans="1:3">
      <c r="A629" s="963" t="s">
        <v>6167</v>
      </c>
      <c r="B629" s="963" t="s">
        <v>6073</v>
      </c>
      <c r="C629" s="964">
        <v>6117906806</v>
      </c>
    </row>
    <row r="630" spans="1:3">
      <c r="A630" s="963" t="s">
        <v>6170</v>
      </c>
      <c r="B630" s="963" t="s">
        <v>495</v>
      </c>
      <c r="C630" s="964">
        <v>444742727</v>
      </c>
    </row>
    <row r="631" spans="1:3">
      <c r="A631" s="963" t="s">
        <v>6176</v>
      </c>
      <c r="B631" s="963" t="s">
        <v>7533</v>
      </c>
      <c r="C631" s="964">
        <v>1574391848</v>
      </c>
    </row>
    <row r="632" spans="1:3">
      <c r="A632" s="963" t="s">
        <v>5125</v>
      </c>
      <c r="B632" s="963" t="s">
        <v>340</v>
      </c>
      <c r="C632" s="964">
        <v>3444297171</v>
      </c>
    </row>
    <row r="633" spans="1:3">
      <c r="A633" s="963" t="s">
        <v>648</v>
      </c>
      <c r="B633" s="963" t="s">
        <v>353</v>
      </c>
      <c r="C633" s="964">
        <v>133991272</v>
      </c>
    </row>
    <row r="634" spans="1:3">
      <c r="A634" s="963" t="s">
        <v>780</v>
      </c>
      <c r="B634" s="963" t="s">
        <v>848</v>
      </c>
      <c r="C634" s="964">
        <v>2357796011</v>
      </c>
    </row>
    <row r="635" spans="1:3">
      <c r="A635" s="963" t="s">
        <v>6038</v>
      </c>
      <c r="B635" s="963" t="s">
        <v>2153</v>
      </c>
      <c r="C635" s="964">
        <v>2211278464</v>
      </c>
    </row>
    <row r="636" spans="1:3">
      <c r="A636" s="963" t="s">
        <v>3096</v>
      </c>
      <c r="B636" s="963" t="s">
        <v>4065</v>
      </c>
      <c r="C636" s="964">
        <v>1773592997</v>
      </c>
    </row>
    <row r="637" spans="1:3">
      <c r="A637" s="963" t="s">
        <v>6040</v>
      </c>
      <c r="B637" s="963" t="s">
        <v>184</v>
      </c>
      <c r="C637" s="964">
        <v>91046554</v>
      </c>
    </row>
    <row r="638" spans="1:3">
      <c r="A638" s="963" t="s">
        <v>3097</v>
      </c>
      <c r="B638" s="963" t="s">
        <v>503</v>
      </c>
      <c r="C638" s="964">
        <v>72156020</v>
      </c>
    </row>
    <row r="639" spans="1:3">
      <c r="A639" s="963" t="s">
        <v>2419</v>
      </c>
      <c r="B639" s="963" t="s">
        <v>5372</v>
      </c>
      <c r="C639" s="964">
        <v>414450445</v>
      </c>
    </row>
    <row r="640" spans="1:3">
      <c r="A640" s="963" t="s">
        <v>1115</v>
      </c>
      <c r="B640" s="963" t="s">
        <v>1116</v>
      </c>
      <c r="C640" s="964">
        <v>0</v>
      </c>
    </row>
    <row r="641" spans="1:3">
      <c r="A641" s="963" t="s">
        <v>1117</v>
      </c>
      <c r="C641" s="964">
        <v>0</v>
      </c>
    </row>
    <row r="642" spans="1:3">
      <c r="A642" s="963" t="s">
        <v>2608</v>
      </c>
      <c r="B642" s="963" t="s">
        <v>324</v>
      </c>
      <c r="C642" s="964">
        <v>47294219</v>
      </c>
    </row>
    <row r="643" spans="1:3">
      <c r="A643" s="963" t="s">
        <v>448</v>
      </c>
      <c r="B643" s="963" t="s">
        <v>6096</v>
      </c>
      <c r="C643" s="964">
        <v>53768061</v>
      </c>
    </row>
    <row r="644" spans="1:3">
      <c r="A644" s="963" t="s">
        <v>243</v>
      </c>
      <c r="B644" s="963" t="s">
        <v>5246</v>
      </c>
      <c r="C644" s="964">
        <v>103891567</v>
      </c>
    </row>
    <row r="645" spans="1:3">
      <c r="A645" s="963" t="s">
        <v>1868</v>
      </c>
      <c r="B645" s="963" t="s">
        <v>3847</v>
      </c>
      <c r="C645" s="964">
        <v>525570449</v>
      </c>
    </row>
    <row r="646" spans="1:3">
      <c r="A646" s="963" t="s">
        <v>3098</v>
      </c>
      <c r="B646" s="963" t="s">
        <v>3852</v>
      </c>
      <c r="C646" s="964">
        <v>69764794</v>
      </c>
    </row>
    <row r="647" spans="1:3">
      <c r="A647" s="963" t="s">
        <v>6022</v>
      </c>
      <c r="B647" s="963" t="s">
        <v>1907</v>
      </c>
      <c r="C647" s="964">
        <v>207293969</v>
      </c>
    </row>
    <row r="648" spans="1:3">
      <c r="A648" s="963" t="s">
        <v>2610</v>
      </c>
      <c r="B648" s="963" t="s">
        <v>326</v>
      </c>
      <c r="C648" s="964">
        <v>35266264</v>
      </c>
    </row>
    <row r="649" spans="1:3">
      <c r="A649" s="963" t="s">
        <v>2612</v>
      </c>
      <c r="B649" s="963" t="s">
        <v>504</v>
      </c>
      <c r="C649" s="964">
        <v>21981308</v>
      </c>
    </row>
    <row r="650" spans="1:3">
      <c r="A650" s="963" t="s">
        <v>782</v>
      </c>
      <c r="B650" s="963" t="s">
        <v>849</v>
      </c>
      <c r="C650" s="964">
        <v>525392667</v>
      </c>
    </row>
    <row r="651" spans="1:3">
      <c r="A651" s="963" t="s">
        <v>2614</v>
      </c>
      <c r="B651" s="963" t="s">
        <v>7686</v>
      </c>
      <c r="C651" s="964">
        <v>53085097</v>
      </c>
    </row>
    <row r="652" spans="1:3">
      <c r="A652" s="963" t="s">
        <v>2468</v>
      </c>
      <c r="B652" s="963" t="s">
        <v>7662</v>
      </c>
      <c r="C652" s="964">
        <v>152752670</v>
      </c>
    </row>
    <row r="653" spans="1:3">
      <c r="A653" s="963" t="s">
        <v>2616</v>
      </c>
      <c r="B653" s="963" t="s">
        <v>336</v>
      </c>
      <c r="C653" s="964">
        <v>20434854</v>
      </c>
    </row>
    <row r="654" spans="1:3">
      <c r="A654" s="963" t="s">
        <v>784</v>
      </c>
      <c r="B654" s="963" t="s">
        <v>850</v>
      </c>
      <c r="C654" s="964">
        <v>108775031</v>
      </c>
    </row>
    <row r="655" spans="1:3">
      <c r="A655" s="963" t="s">
        <v>786</v>
      </c>
      <c r="B655" s="963" t="s">
        <v>7109</v>
      </c>
      <c r="C655" s="964">
        <v>1502168943</v>
      </c>
    </row>
    <row r="656" spans="1:3">
      <c r="A656" s="963" t="s">
        <v>788</v>
      </c>
      <c r="B656" s="963" t="s">
        <v>7110</v>
      </c>
      <c r="C656" s="964">
        <v>88010829</v>
      </c>
    </row>
    <row r="657" spans="1:3">
      <c r="A657" s="963" t="s">
        <v>969</v>
      </c>
      <c r="B657" s="963" t="s">
        <v>2344</v>
      </c>
      <c r="C657" s="964">
        <v>95865488</v>
      </c>
    </row>
    <row r="658" spans="1:3">
      <c r="A658" s="963" t="s">
        <v>790</v>
      </c>
      <c r="B658" s="963" t="s">
        <v>7111</v>
      </c>
      <c r="C658" s="964">
        <v>1440208982</v>
      </c>
    </row>
    <row r="659" spans="1:3">
      <c r="A659" s="963" t="s">
        <v>792</v>
      </c>
      <c r="B659" s="963" t="s">
        <v>7112</v>
      </c>
      <c r="C659" s="964">
        <v>72414575</v>
      </c>
    </row>
    <row r="660" spans="1:3">
      <c r="A660" s="963" t="s">
        <v>794</v>
      </c>
      <c r="B660" s="963" t="s">
        <v>7113</v>
      </c>
      <c r="C660" s="964">
        <v>4704414834</v>
      </c>
    </row>
    <row r="661" spans="1:3">
      <c r="A661" s="963" t="s">
        <v>2991</v>
      </c>
      <c r="B661" s="963" t="s">
        <v>193</v>
      </c>
      <c r="C661" s="964">
        <v>181263644</v>
      </c>
    </row>
    <row r="662" spans="1:3">
      <c r="A662" s="963" t="s">
        <v>2413</v>
      </c>
      <c r="B662" s="963" t="s">
        <v>5366</v>
      </c>
      <c r="C662" s="964">
        <v>253214660</v>
      </c>
    </row>
    <row r="663" spans="1:3">
      <c r="A663" s="963" t="s">
        <v>796</v>
      </c>
      <c r="B663" s="963" t="s">
        <v>7114</v>
      </c>
      <c r="C663" s="964">
        <v>1112396575</v>
      </c>
    </row>
    <row r="664" spans="1:3">
      <c r="A664" s="963" t="s">
        <v>2044</v>
      </c>
      <c r="B664" s="963" t="s">
        <v>991</v>
      </c>
      <c r="C664" s="964">
        <v>63860477</v>
      </c>
    </row>
    <row r="665" spans="1:3">
      <c r="A665" s="963" t="s">
        <v>798</v>
      </c>
      <c r="B665" s="963" t="s">
        <v>7115</v>
      </c>
      <c r="C665" s="964">
        <v>77497357</v>
      </c>
    </row>
    <row r="666" spans="1:3">
      <c r="A666" s="963" t="s">
        <v>2358</v>
      </c>
      <c r="B666" s="963" t="s">
        <v>499</v>
      </c>
      <c r="C666" s="964">
        <v>46522121</v>
      </c>
    </row>
    <row r="667" spans="1:3">
      <c r="A667" s="963" t="s">
        <v>800</v>
      </c>
      <c r="B667" s="963" t="s">
        <v>7116</v>
      </c>
      <c r="C667" s="964">
        <v>155136743</v>
      </c>
    </row>
    <row r="668" spans="1:3">
      <c r="A668" s="963" t="s">
        <v>802</v>
      </c>
      <c r="B668" s="963" t="s">
        <v>7117</v>
      </c>
      <c r="C668" s="964">
        <v>40181490</v>
      </c>
    </row>
    <row r="669" spans="1:3">
      <c r="A669" s="963" t="s">
        <v>2046</v>
      </c>
      <c r="B669" s="963" t="s">
        <v>2357</v>
      </c>
      <c r="C669" s="964">
        <v>57929741</v>
      </c>
    </row>
    <row r="670" spans="1:3">
      <c r="A670" s="963" t="s">
        <v>804</v>
      </c>
      <c r="B670" s="963" t="s">
        <v>7118</v>
      </c>
      <c r="C670" s="964">
        <v>406381477</v>
      </c>
    </row>
    <row r="671" spans="1:3">
      <c r="A671" s="963" t="s">
        <v>806</v>
      </c>
      <c r="B671" s="963" t="s">
        <v>7119</v>
      </c>
      <c r="C671" s="964">
        <v>263148958</v>
      </c>
    </row>
    <row r="672" spans="1:3">
      <c r="A672" s="963" t="s">
        <v>808</v>
      </c>
      <c r="B672" s="963" t="s">
        <v>7120</v>
      </c>
      <c r="C672" s="964">
        <v>226762453</v>
      </c>
    </row>
    <row r="673" spans="1:3">
      <c r="A673" s="963" t="s">
        <v>1119</v>
      </c>
      <c r="B673" s="963" t="s">
        <v>1120</v>
      </c>
      <c r="C673" s="964">
        <v>0</v>
      </c>
    </row>
    <row r="674" spans="1:3">
      <c r="A674" s="963" t="s">
        <v>810</v>
      </c>
      <c r="B674" s="963" t="s">
        <v>7121</v>
      </c>
      <c r="C674" s="964">
        <v>142282734</v>
      </c>
    </row>
    <row r="675" spans="1:3">
      <c r="A675" s="963" t="s">
        <v>667</v>
      </c>
      <c r="B675" s="963" t="s">
        <v>7122</v>
      </c>
      <c r="C675" s="964">
        <v>180256924</v>
      </c>
    </row>
    <row r="676" spans="1:3">
      <c r="A676" s="963" t="s">
        <v>1707</v>
      </c>
      <c r="B676" s="963" t="s">
        <v>3864</v>
      </c>
      <c r="C676" s="964">
        <v>1066898338</v>
      </c>
    </row>
    <row r="677" spans="1:3">
      <c r="A677" s="963" t="s">
        <v>1709</v>
      </c>
      <c r="B677" s="963" t="s">
        <v>3865</v>
      </c>
      <c r="C677" s="964">
        <v>350760674</v>
      </c>
    </row>
    <row r="678" spans="1:3">
      <c r="A678" s="963" t="s">
        <v>1711</v>
      </c>
      <c r="B678" s="963" t="s">
        <v>3866</v>
      </c>
      <c r="C678" s="964">
        <v>751173320</v>
      </c>
    </row>
    <row r="679" spans="1:3">
      <c r="A679" s="963" t="s">
        <v>1713</v>
      </c>
      <c r="B679" s="963" t="s">
        <v>3867</v>
      </c>
      <c r="C679" s="964">
        <v>151695940</v>
      </c>
    </row>
    <row r="680" spans="1:3">
      <c r="A680" s="963" t="s">
        <v>1330</v>
      </c>
      <c r="B680" s="963" t="s">
        <v>3868</v>
      </c>
      <c r="C680" s="964">
        <v>74100444</v>
      </c>
    </row>
    <row r="681" spans="1:3">
      <c r="A681" s="963" t="s">
        <v>1332</v>
      </c>
      <c r="B681" s="963" t="s">
        <v>3869</v>
      </c>
      <c r="C681" s="964">
        <v>56431535</v>
      </c>
    </row>
    <row r="682" spans="1:3">
      <c r="A682" s="963" t="s">
        <v>1121</v>
      </c>
      <c r="B682" s="963" t="s">
        <v>1122</v>
      </c>
      <c r="C682" s="964">
        <v>0</v>
      </c>
    </row>
    <row r="683" spans="1:3">
      <c r="A683" s="963" t="s">
        <v>979</v>
      </c>
      <c r="B683" s="963" t="s">
        <v>6097</v>
      </c>
      <c r="C683" s="964">
        <v>344179081</v>
      </c>
    </row>
    <row r="684" spans="1:3">
      <c r="A684" s="963" t="s">
        <v>1334</v>
      </c>
      <c r="B684" s="963" t="s">
        <v>3870</v>
      </c>
      <c r="C684" s="964">
        <v>74092426</v>
      </c>
    </row>
    <row r="685" spans="1:3">
      <c r="A685" s="963" t="s">
        <v>235</v>
      </c>
      <c r="B685" s="963" t="s">
        <v>2642</v>
      </c>
      <c r="C685" s="964">
        <v>459361741</v>
      </c>
    </row>
    <row r="686" spans="1:3">
      <c r="A686" s="963" t="s">
        <v>3961</v>
      </c>
      <c r="B686" s="963" t="s">
        <v>3871</v>
      </c>
      <c r="C686" s="964">
        <v>1477147797</v>
      </c>
    </row>
    <row r="687" spans="1:3">
      <c r="A687" s="963" t="s">
        <v>2359</v>
      </c>
      <c r="B687" s="963" t="s">
        <v>198</v>
      </c>
      <c r="C687" s="964">
        <v>238838784</v>
      </c>
    </row>
    <row r="688" spans="1:3">
      <c r="A688" s="963" t="s">
        <v>650</v>
      </c>
      <c r="B688" s="963" t="s">
        <v>355</v>
      </c>
      <c r="C688" s="964">
        <v>675234503</v>
      </c>
    </row>
    <row r="689" spans="1:3">
      <c r="A689" s="963" t="s">
        <v>2127</v>
      </c>
      <c r="B689" s="963" t="s">
        <v>2007</v>
      </c>
      <c r="C689" s="964">
        <v>92750722</v>
      </c>
    </row>
    <row r="690" spans="1:3">
      <c r="A690" s="963" t="s">
        <v>3963</v>
      </c>
      <c r="B690" s="963" t="s">
        <v>3872</v>
      </c>
      <c r="C690" s="964">
        <v>72662792</v>
      </c>
    </row>
    <row r="691" spans="1:3">
      <c r="A691" s="963" t="s">
        <v>953</v>
      </c>
      <c r="B691" s="963" t="s">
        <v>7658</v>
      </c>
      <c r="C691" s="964">
        <v>117757465</v>
      </c>
    </row>
    <row r="692" spans="1:3">
      <c r="A692" s="963" t="s">
        <v>971</v>
      </c>
      <c r="B692" s="963" t="s">
        <v>7663</v>
      </c>
      <c r="C692" s="964">
        <v>16299237</v>
      </c>
    </row>
    <row r="693" spans="1:3">
      <c r="A693" s="963" t="s">
        <v>3965</v>
      </c>
      <c r="B693" s="963" t="s">
        <v>3873</v>
      </c>
      <c r="C693" s="964">
        <v>540979885</v>
      </c>
    </row>
    <row r="694" spans="1:3">
      <c r="A694" s="963" t="s">
        <v>3967</v>
      </c>
      <c r="B694" s="963" t="s">
        <v>3683</v>
      </c>
      <c r="C694" s="964">
        <v>150594113</v>
      </c>
    </row>
    <row r="695" spans="1:3">
      <c r="A695" s="963" t="s">
        <v>3969</v>
      </c>
      <c r="B695" s="963" t="s">
        <v>3685</v>
      </c>
      <c r="C695" s="964">
        <v>1103939988</v>
      </c>
    </row>
    <row r="696" spans="1:3">
      <c r="A696" s="963" t="s">
        <v>757</v>
      </c>
      <c r="B696" s="963" t="s">
        <v>3057</v>
      </c>
      <c r="C696" s="964">
        <v>52817224</v>
      </c>
    </row>
    <row r="697" spans="1:3">
      <c r="A697" s="963" t="s">
        <v>759</v>
      </c>
      <c r="B697" s="963" t="s">
        <v>3688</v>
      </c>
      <c r="C697" s="964">
        <v>586341569</v>
      </c>
    </row>
    <row r="698" spans="1:3">
      <c r="A698" s="963" t="s">
        <v>69</v>
      </c>
      <c r="B698" s="963" t="s">
        <v>3059</v>
      </c>
      <c r="C698" s="964">
        <v>222253235</v>
      </c>
    </row>
    <row r="699" spans="1:3">
      <c r="A699" s="963" t="s">
        <v>71</v>
      </c>
      <c r="B699" s="963" t="s">
        <v>3060</v>
      </c>
      <c r="C699" s="964">
        <v>672734320</v>
      </c>
    </row>
    <row r="700" spans="1:3">
      <c r="A700" s="963" t="s">
        <v>73</v>
      </c>
      <c r="B700" s="963" t="s">
        <v>3692</v>
      </c>
      <c r="C700" s="964">
        <v>392487289</v>
      </c>
    </row>
    <row r="701" spans="1:3">
      <c r="A701" s="963" t="s">
        <v>75</v>
      </c>
      <c r="B701" s="963" t="s">
        <v>3062</v>
      </c>
      <c r="C701" s="964">
        <v>426533356</v>
      </c>
    </row>
    <row r="702" spans="1:3">
      <c r="A702" s="963" t="s">
        <v>1316</v>
      </c>
      <c r="B702" s="963" t="s">
        <v>121</v>
      </c>
      <c r="C702" s="964">
        <v>148935927</v>
      </c>
    </row>
    <row r="703" spans="1:3">
      <c r="A703" s="963" t="s">
        <v>2600</v>
      </c>
      <c r="B703" s="963" t="s">
        <v>3063</v>
      </c>
      <c r="C703" s="964">
        <v>535297689</v>
      </c>
    </row>
    <row r="704" spans="1:3">
      <c r="A704" s="963" t="s">
        <v>7133</v>
      </c>
      <c r="B704" s="963" t="s">
        <v>3064</v>
      </c>
      <c r="C704" s="964">
        <v>175674624</v>
      </c>
    </row>
    <row r="705" spans="1:3">
      <c r="A705" s="963" t="s">
        <v>961</v>
      </c>
      <c r="B705" s="963" t="s">
        <v>2145</v>
      </c>
      <c r="C705" s="964">
        <v>240686236</v>
      </c>
    </row>
    <row r="706" spans="1:3">
      <c r="A706" s="963" t="s">
        <v>6024</v>
      </c>
      <c r="B706" s="963" t="s">
        <v>1909</v>
      </c>
      <c r="C706" s="964">
        <v>634125895</v>
      </c>
    </row>
    <row r="707" spans="1:3">
      <c r="A707" s="963" t="s">
        <v>6034</v>
      </c>
      <c r="B707" s="963" t="s">
        <v>1922</v>
      </c>
      <c r="C707" s="964">
        <v>174436236</v>
      </c>
    </row>
    <row r="708" spans="1:3">
      <c r="A708" s="963" t="s">
        <v>7135</v>
      </c>
      <c r="B708" s="963" t="s">
        <v>3065</v>
      </c>
      <c r="C708" s="964">
        <v>405927244</v>
      </c>
    </row>
    <row r="709" spans="1:3">
      <c r="A709" s="963" t="s">
        <v>7137</v>
      </c>
      <c r="B709" s="963" t="s">
        <v>3066</v>
      </c>
      <c r="C709" s="964">
        <v>165819340</v>
      </c>
    </row>
    <row r="710" spans="1:3">
      <c r="A710" s="963" t="s">
        <v>7139</v>
      </c>
      <c r="B710" s="963" t="s">
        <v>3067</v>
      </c>
      <c r="C710" s="964">
        <v>35833415</v>
      </c>
    </row>
    <row r="711" spans="1:3">
      <c r="A711" s="963" t="s">
        <v>1123</v>
      </c>
      <c r="B711" s="963" t="s">
        <v>8047</v>
      </c>
      <c r="C711" s="964">
        <v>0</v>
      </c>
    </row>
    <row r="712" spans="1:3">
      <c r="A712" s="963" t="s">
        <v>1125</v>
      </c>
      <c r="C712" s="964">
        <v>0</v>
      </c>
    </row>
    <row r="713" spans="1:3">
      <c r="A713" s="963" t="s">
        <v>7143</v>
      </c>
      <c r="B713" s="963" t="s">
        <v>7989</v>
      </c>
      <c r="C713" s="964">
        <v>0</v>
      </c>
    </row>
    <row r="714" spans="1:3">
      <c r="A714" s="963" t="s">
        <v>1129</v>
      </c>
      <c r="B714" s="963" t="s">
        <v>7990</v>
      </c>
      <c r="C714" s="964">
        <v>0</v>
      </c>
    </row>
    <row r="715" spans="1:3">
      <c r="A715" s="963" t="s">
        <v>1131</v>
      </c>
      <c r="B715" s="963" t="s">
        <v>1132</v>
      </c>
      <c r="C715" s="964">
        <v>0</v>
      </c>
    </row>
    <row r="716" spans="1:3">
      <c r="A716" s="963" t="s">
        <v>175</v>
      </c>
      <c r="B716" s="963" t="s">
        <v>7991</v>
      </c>
      <c r="C716" s="964">
        <v>0</v>
      </c>
    </row>
    <row r="717" spans="1:3">
      <c r="A717" s="963" t="s">
        <v>8048</v>
      </c>
      <c r="B717" s="963" t="s">
        <v>8049</v>
      </c>
      <c r="C717" s="964">
        <v>0</v>
      </c>
    </row>
    <row r="718" spans="1:3">
      <c r="A718" s="963" t="s">
        <v>6178</v>
      </c>
      <c r="B718" s="963" t="s">
        <v>3519</v>
      </c>
      <c r="C718" s="964">
        <v>1810024435</v>
      </c>
    </row>
    <row r="719" spans="1:3">
      <c r="A719" s="963" t="s">
        <v>7145</v>
      </c>
      <c r="B719" s="963" t="s">
        <v>3068</v>
      </c>
      <c r="C719" s="964">
        <v>4934612485</v>
      </c>
    </row>
    <row r="720" spans="1:3">
      <c r="A720" s="963" t="s">
        <v>7147</v>
      </c>
      <c r="B720" s="963" t="s">
        <v>3069</v>
      </c>
      <c r="C720" s="964">
        <v>2837066942</v>
      </c>
    </row>
    <row r="721" spans="1:3">
      <c r="A721" s="963" t="s">
        <v>2808</v>
      </c>
      <c r="B721" s="963" t="s">
        <v>3054</v>
      </c>
      <c r="C721" s="964">
        <v>8701093692</v>
      </c>
    </row>
    <row r="722" spans="1:3">
      <c r="A722" s="963" t="s">
        <v>2810</v>
      </c>
      <c r="B722" s="963" t="s">
        <v>6648</v>
      </c>
      <c r="C722" s="964">
        <v>647493215</v>
      </c>
    </row>
    <row r="723" spans="1:3">
      <c r="A723" s="963" t="s">
        <v>1859</v>
      </c>
      <c r="B723" s="963" t="s">
        <v>3916</v>
      </c>
      <c r="C723" s="964">
        <v>650587215</v>
      </c>
    </row>
    <row r="724" spans="1:3">
      <c r="A724" s="963" t="s">
        <v>1133</v>
      </c>
      <c r="B724" s="963" t="s">
        <v>3782</v>
      </c>
      <c r="C724" s="964">
        <v>0</v>
      </c>
    </row>
    <row r="725" spans="1:3">
      <c r="A725" s="963" t="s">
        <v>2812</v>
      </c>
      <c r="B725" s="963" t="s">
        <v>6649</v>
      </c>
      <c r="C725" s="964">
        <v>426019972</v>
      </c>
    </row>
    <row r="726" spans="1:3">
      <c r="A726" s="963" t="s">
        <v>820</v>
      </c>
      <c r="B726" s="963" t="s">
        <v>1843</v>
      </c>
      <c r="C726" s="964">
        <v>1059477560</v>
      </c>
    </row>
    <row r="727" spans="1:3">
      <c r="A727" s="963" t="s">
        <v>127</v>
      </c>
      <c r="B727" s="963" t="s">
        <v>7655</v>
      </c>
      <c r="C727" s="964">
        <v>66644834</v>
      </c>
    </row>
    <row r="728" spans="1:3">
      <c r="A728" s="963" t="s">
        <v>6189</v>
      </c>
      <c r="B728" s="963" t="s">
        <v>3625</v>
      </c>
      <c r="C728" s="964">
        <v>193759145</v>
      </c>
    </row>
    <row r="729" spans="1:3">
      <c r="A729" s="963" t="s">
        <v>5130</v>
      </c>
      <c r="B729" s="963" t="s">
        <v>349</v>
      </c>
      <c r="C729" s="964">
        <v>136844343</v>
      </c>
    </row>
    <row r="730" spans="1:3">
      <c r="A730" s="963" t="s">
        <v>2815</v>
      </c>
      <c r="B730" s="963" t="s">
        <v>6650</v>
      </c>
      <c r="C730" s="964">
        <v>43882570</v>
      </c>
    </row>
    <row r="731" spans="1:3">
      <c r="A731" s="963" t="s">
        <v>3888</v>
      </c>
      <c r="B731" s="963" t="s">
        <v>7678</v>
      </c>
      <c r="C731" s="964">
        <v>1724056864</v>
      </c>
    </row>
    <row r="732" spans="1:3">
      <c r="A732" s="963" t="s">
        <v>977</v>
      </c>
      <c r="B732" s="963" t="s">
        <v>2147</v>
      </c>
      <c r="C732" s="964">
        <v>3563296698</v>
      </c>
    </row>
    <row r="733" spans="1:3">
      <c r="A733" s="963" t="s">
        <v>739</v>
      </c>
      <c r="B733" s="963" t="s">
        <v>6113</v>
      </c>
      <c r="C733" s="964">
        <v>3377626272</v>
      </c>
    </row>
    <row r="734" spans="1:3">
      <c r="A734" s="963" t="s">
        <v>1855</v>
      </c>
      <c r="B734" s="963" t="s">
        <v>4968</v>
      </c>
      <c r="C734" s="964">
        <v>373139619</v>
      </c>
    </row>
    <row r="735" spans="1:3">
      <c r="A735" s="963" t="s">
        <v>6025</v>
      </c>
      <c r="B735" s="963" t="s">
        <v>1910</v>
      </c>
      <c r="C735" s="964">
        <v>1622122671</v>
      </c>
    </row>
    <row r="736" spans="1:3">
      <c r="A736" s="963" t="s">
        <v>2817</v>
      </c>
      <c r="B736" s="963" t="s">
        <v>6651</v>
      </c>
      <c r="C736" s="964">
        <v>201736957</v>
      </c>
    </row>
    <row r="737" spans="1:3">
      <c r="A737" s="963" t="s">
        <v>128</v>
      </c>
      <c r="B737" s="963" t="s">
        <v>362</v>
      </c>
      <c r="C737" s="964">
        <v>305414041</v>
      </c>
    </row>
    <row r="738" spans="1:3">
      <c r="A738" s="963" t="s">
        <v>3551</v>
      </c>
      <c r="B738" s="963" t="s">
        <v>7131</v>
      </c>
      <c r="C738" s="964">
        <v>434270947</v>
      </c>
    </row>
    <row r="739" spans="1:3">
      <c r="A739" s="963" t="s">
        <v>1851</v>
      </c>
      <c r="B739" s="963" t="s">
        <v>126</v>
      </c>
      <c r="C739" s="964">
        <v>1449642378</v>
      </c>
    </row>
    <row r="740" spans="1:3">
      <c r="A740" s="963" t="s">
        <v>267</v>
      </c>
      <c r="B740" s="963" t="s">
        <v>7684</v>
      </c>
      <c r="C740" s="964">
        <v>98197344</v>
      </c>
    </row>
    <row r="741" spans="1:3">
      <c r="A741" s="963" t="s">
        <v>2819</v>
      </c>
      <c r="B741" s="963" t="s">
        <v>6652</v>
      </c>
      <c r="C741" s="964">
        <v>137384601</v>
      </c>
    </row>
    <row r="742" spans="1:3">
      <c r="A742" s="963" t="s">
        <v>1863</v>
      </c>
      <c r="B742" s="963" t="s">
        <v>3839</v>
      </c>
      <c r="C742" s="964">
        <v>91649536</v>
      </c>
    </row>
    <row r="743" spans="1:3">
      <c r="A743" s="963" t="s">
        <v>449</v>
      </c>
      <c r="B743" s="963" t="s">
        <v>6155</v>
      </c>
      <c r="C743" s="964">
        <v>59510497</v>
      </c>
    </row>
    <row r="744" spans="1:3">
      <c r="A744" s="963" t="s">
        <v>5138</v>
      </c>
      <c r="B744" s="963" t="s">
        <v>2354</v>
      </c>
      <c r="C744" s="964">
        <v>79344420</v>
      </c>
    </row>
    <row r="745" spans="1:3">
      <c r="A745" s="963" t="s">
        <v>6027</v>
      </c>
      <c r="B745" s="963" t="s">
        <v>1912</v>
      </c>
      <c r="C745" s="964">
        <v>212982087</v>
      </c>
    </row>
    <row r="746" spans="1:3">
      <c r="A746" s="963" t="s">
        <v>450</v>
      </c>
      <c r="B746" s="963" t="s">
        <v>1917</v>
      </c>
      <c r="C746" s="964">
        <v>159116283</v>
      </c>
    </row>
    <row r="747" spans="1:3">
      <c r="A747" s="963" t="s">
        <v>516</v>
      </c>
      <c r="B747" s="963" t="s">
        <v>6653</v>
      </c>
      <c r="C747" s="964">
        <v>76343878</v>
      </c>
    </row>
    <row r="748" spans="1:3">
      <c r="A748" s="963" t="s">
        <v>1525</v>
      </c>
      <c r="B748" s="963" t="s">
        <v>1931</v>
      </c>
      <c r="C748" s="964">
        <v>66570485</v>
      </c>
    </row>
    <row r="749" spans="1:3">
      <c r="A749" s="963" t="s">
        <v>244</v>
      </c>
      <c r="B749" s="963" t="s">
        <v>1665</v>
      </c>
      <c r="C749" s="964">
        <v>518978058</v>
      </c>
    </row>
    <row r="750" spans="1:3">
      <c r="A750" s="963" t="s">
        <v>1308</v>
      </c>
      <c r="B750" s="963" t="s">
        <v>113</v>
      </c>
      <c r="C750" s="964">
        <v>2288973866</v>
      </c>
    </row>
    <row r="751" spans="1:3">
      <c r="A751" s="963" t="s">
        <v>6029</v>
      </c>
      <c r="B751" s="963" t="s">
        <v>1914</v>
      </c>
      <c r="C751" s="964">
        <v>625976854</v>
      </c>
    </row>
    <row r="752" spans="1:3">
      <c r="A752" s="963" t="s">
        <v>6031</v>
      </c>
      <c r="B752" s="963" t="s">
        <v>1916</v>
      </c>
      <c r="C752" s="964">
        <v>326783944</v>
      </c>
    </row>
    <row r="753" spans="1:3">
      <c r="A753" s="963" t="s">
        <v>5628</v>
      </c>
      <c r="B753" s="963" t="s">
        <v>6654</v>
      </c>
      <c r="C753" s="964">
        <v>1021967599</v>
      </c>
    </row>
    <row r="754" spans="1:3">
      <c r="A754" s="963" t="s">
        <v>5630</v>
      </c>
      <c r="B754" s="963" t="s">
        <v>6655</v>
      </c>
      <c r="C754" s="964">
        <v>1406130504</v>
      </c>
    </row>
    <row r="755" spans="1:3">
      <c r="A755" s="963" t="s">
        <v>2395</v>
      </c>
      <c r="B755" s="963" t="s">
        <v>1462</v>
      </c>
      <c r="C755" s="964">
        <v>159216797</v>
      </c>
    </row>
    <row r="756" spans="1:3">
      <c r="A756" s="963" t="s">
        <v>7799</v>
      </c>
      <c r="B756" s="963" t="s">
        <v>7992</v>
      </c>
      <c r="C756" s="964">
        <v>0</v>
      </c>
    </row>
    <row r="757" spans="1:3">
      <c r="A757" s="963" t="s">
        <v>5632</v>
      </c>
      <c r="B757" s="963" t="s">
        <v>6656</v>
      </c>
      <c r="C757" s="964">
        <v>4397385703</v>
      </c>
    </row>
    <row r="758" spans="1:3">
      <c r="A758" s="963" t="s">
        <v>6147</v>
      </c>
      <c r="B758" s="963" t="s">
        <v>6657</v>
      </c>
      <c r="C758" s="964">
        <v>606873572</v>
      </c>
    </row>
    <row r="759" spans="1:3">
      <c r="A759" s="963" t="s">
        <v>5612</v>
      </c>
      <c r="B759" s="963" t="s">
        <v>6658</v>
      </c>
      <c r="C759" s="964">
        <v>1025970206</v>
      </c>
    </row>
    <row r="760" spans="1:3">
      <c r="A760" s="963" t="s">
        <v>1419</v>
      </c>
      <c r="B760" s="963" t="s">
        <v>6659</v>
      </c>
      <c r="C760" s="964">
        <v>551319258</v>
      </c>
    </row>
    <row r="761" spans="1:3">
      <c r="A761" s="963" t="s">
        <v>2469</v>
      </c>
      <c r="B761" s="963" t="s">
        <v>6105</v>
      </c>
      <c r="C761" s="964">
        <v>211203188</v>
      </c>
    </row>
    <row r="762" spans="1:3">
      <c r="A762" s="963" t="s">
        <v>1421</v>
      </c>
      <c r="B762" s="963" t="s">
        <v>6660</v>
      </c>
      <c r="C762" s="964">
        <v>287960024</v>
      </c>
    </row>
    <row r="763" spans="1:3">
      <c r="A763" s="963" t="s">
        <v>1423</v>
      </c>
      <c r="B763" s="963" t="s">
        <v>6661</v>
      </c>
      <c r="C763" s="964">
        <v>2145872129</v>
      </c>
    </row>
    <row r="764" spans="1:3">
      <c r="A764" s="963" t="s">
        <v>1425</v>
      </c>
      <c r="B764" s="963" t="s">
        <v>6662</v>
      </c>
      <c r="C764" s="964">
        <v>420998669</v>
      </c>
    </row>
    <row r="765" spans="1:3">
      <c r="A765" s="963" t="s">
        <v>7151</v>
      </c>
      <c r="B765" s="963" t="s">
        <v>6663</v>
      </c>
      <c r="C765" s="964">
        <v>52452265</v>
      </c>
    </row>
    <row r="766" spans="1:3">
      <c r="A766" s="963" t="s">
        <v>7153</v>
      </c>
      <c r="B766" s="963" t="s">
        <v>6664</v>
      </c>
      <c r="C766" s="964">
        <v>296238017</v>
      </c>
    </row>
    <row r="767" spans="1:3">
      <c r="A767" s="963" t="s">
        <v>6426</v>
      </c>
      <c r="B767" s="963" t="s">
        <v>6665</v>
      </c>
      <c r="C767" s="964">
        <v>245240599</v>
      </c>
    </row>
    <row r="768" spans="1:3">
      <c r="A768" s="963" t="s">
        <v>1835</v>
      </c>
      <c r="B768" s="963" t="s">
        <v>6666</v>
      </c>
      <c r="C768" s="964">
        <v>161071489</v>
      </c>
    </row>
    <row r="769" spans="1:3">
      <c r="A769" s="963" t="s">
        <v>510</v>
      </c>
      <c r="B769" s="963" t="s">
        <v>1921</v>
      </c>
      <c r="C769" s="964">
        <v>703452250</v>
      </c>
    </row>
    <row r="770" spans="1:3">
      <c r="A770" s="963" t="s">
        <v>3530</v>
      </c>
      <c r="B770" s="963" t="s">
        <v>6667</v>
      </c>
      <c r="C770" s="964">
        <v>131374405</v>
      </c>
    </row>
    <row r="771" spans="1:3">
      <c r="A771" s="963" t="s">
        <v>3532</v>
      </c>
      <c r="B771" s="963" t="s">
        <v>6668</v>
      </c>
      <c r="C771" s="964">
        <v>340083513</v>
      </c>
    </row>
    <row r="772" spans="1:3">
      <c r="A772" s="963" t="s">
        <v>3534</v>
      </c>
      <c r="B772" s="963" t="s">
        <v>6669</v>
      </c>
      <c r="C772" s="964">
        <v>180898885</v>
      </c>
    </row>
    <row r="773" spans="1:3">
      <c r="A773" s="963" t="s">
        <v>511</v>
      </c>
      <c r="B773" s="963" t="s">
        <v>5639</v>
      </c>
      <c r="C773" s="964">
        <v>72493585</v>
      </c>
    </row>
    <row r="774" spans="1:3">
      <c r="A774" s="963" t="s">
        <v>3539</v>
      </c>
      <c r="B774" s="963" t="s">
        <v>6670</v>
      </c>
      <c r="C774" s="964">
        <v>46654971</v>
      </c>
    </row>
    <row r="775" spans="1:3">
      <c r="A775" s="963" t="s">
        <v>3541</v>
      </c>
      <c r="B775" s="963" t="s">
        <v>6671</v>
      </c>
      <c r="C775" s="964">
        <v>27667301</v>
      </c>
    </row>
    <row r="776" spans="1:3">
      <c r="A776" s="963" t="s">
        <v>3543</v>
      </c>
      <c r="B776" s="963" t="s">
        <v>278</v>
      </c>
      <c r="C776" s="964">
        <v>678166007</v>
      </c>
    </row>
    <row r="777" spans="1:3">
      <c r="A777" s="963" t="s">
        <v>129</v>
      </c>
      <c r="B777" s="963" t="s">
        <v>372</v>
      </c>
      <c r="C777" s="964">
        <v>59174115</v>
      </c>
    </row>
    <row r="778" spans="1:3">
      <c r="A778" s="963" t="s">
        <v>6193</v>
      </c>
      <c r="B778" s="963" t="s">
        <v>3891</v>
      </c>
      <c r="C778" s="964">
        <v>686668179</v>
      </c>
    </row>
    <row r="779" spans="1:3">
      <c r="A779" s="963" t="s">
        <v>2674</v>
      </c>
      <c r="B779" s="963" t="s">
        <v>279</v>
      </c>
      <c r="C779" s="964">
        <v>832490569</v>
      </c>
    </row>
    <row r="780" spans="1:3">
      <c r="A780" s="963" t="s">
        <v>512</v>
      </c>
      <c r="B780" s="963" t="s">
        <v>348</v>
      </c>
      <c r="C780" s="964">
        <v>155852580</v>
      </c>
    </row>
    <row r="781" spans="1:3">
      <c r="A781" s="963" t="s">
        <v>600</v>
      </c>
      <c r="B781" s="963" t="s">
        <v>280</v>
      </c>
      <c r="C781" s="964">
        <v>47850574</v>
      </c>
    </row>
    <row r="782" spans="1:3">
      <c r="A782" s="963" t="s">
        <v>602</v>
      </c>
      <c r="B782" s="963" t="s">
        <v>281</v>
      </c>
      <c r="C782" s="964">
        <v>224257998</v>
      </c>
    </row>
    <row r="783" spans="1:3">
      <c r="A783" s="963" t="s">
        <v>6188</v>
      </c>
      <c r="B783" s="963" t="s">
        <v>3836</v>
      </c>
      <c r="C783" s="964">
        <v>130314729</v>
      </c>
    </row>
    <row r="784" spans="1:3">
      <c r="A784" s="963" t="s">
        <v>2018</v>
      </c>
      <c r="B784" s="963" t="s">
        <v>283</v>
      </c>
      <c r="C784" s="964">
        <v>78490872</v>
      </c>
    </row>
    <row r="785" spans="1:3">
      <c r="A785" s="963" t="s">
        <v>2020</v>
      </c>
      <c r="B785" s="963" t="s">
        <v>284</v>
      </c>
      <c r="C785" s="964">
        <v>349648210</v>
      </c>
    </row>
    <row r="786" spans="1:3">
      <c r="A786" s="963" t="s">
        <v>2022</v>
      </c>
      <c r="C786" s="964">
        <v>0</v>
      </c>
    </row>
    <row r="787" spans="1:3">
      <c r="A787" s="963" t="s">
        <v>2024</v>
      </c>
      <c r="B787" s="963" t="s">
        <v>285</v>
      </c>
      <c r="C787" s="964">
        <v>934525514</v>
      </c>
    </row>
    <row r="788" spans="1:3">
      <c r="A788" s="963" t="s">
        <v>2026</v>
      </c>
      <c r="B788" s="963" t="s">
        <v>286</v>
      </c>
      <c r="C788" s="964">
        <v>79261774</v>
      </c>
    </row>
    <row r="789" spans="1:3">
      <c r="A789" s="963" t="s">
        <v>242</v>
      </c>
      <c r="B789" s="963" t="s">
        <v>2650</v>
      </c>
      <c r="C789" s="964">
        <v>400461060</v>
      </c>
    </row>
    <row r="790" spans="1:3">
      <c r="A790" s="963" t="s">
        <v>2028</v>
      </c>
      <c r="B790" s="963" t="s">
        <v>287</v>
      </c>
      <c r="C790" s="964">
        <v>741256981</v>
      </c>
    </row>
    <row r="791" spans="1:3">
      <c r="A791" s="963" t="s">
        <v>2030</v>
      </c>
      <c r="B791" s="963" t="s">
        <v>288</v>
      </c>
      <c r="C791" s="964">
        <v>79836289</v>
      </c>
    </row>
    <row r="792" spans="1:3">
      <c r="A792" s="963" t="s">
        <v>2032</v>
      </c>
      <c r="B792" s="963" t="s">
        <v>289</v>
      </c>
      <c r="C792" s="964">
        <v>194276477</v>
      </c>
    </row>
    <row r="793" spans="1:3">
      <c r="A793" s="963" t="s">
        <v>2034</v>
      </c>
      <c r="B793" s="963" t="s">
        <v>290</v>
      </c>
      <c r="C793" s="964">
        <v>60714221</v>
      </c>
    </row>
    <row r="794" spans="1:3">
      <c r="A794" s="963" t="s">
        <v>2036</v>
      </c>
      <c r="B794" s="963" t="s">
        <v>291</v>
      </c>
      <c r="C794" s="964">
        <v>72597127</v>
      </c>
    </row>
    <row r="795" spans="1:3">
      <c r="A795" s="963" t="s">
        <v>308</v>
      </c>
      <c r="B795" s="963" t="s">
        <v>292</v>
      </c>
      <c r="C795" s="964">
        <v>126499183</v>
      </c>
    </row>
    <row r="796" spans="1:3">
      <c r="A796" s="963" t="s">
        <v>310</v>
      </c>
      <c r="B796" s="963" t="s">
        <v>293</v>
      </c>
      <c r="C796" s="964">
        <v>719315480</v>
      </c>
    </row>
    <row r="797" spans="1:3">
      <c r="A797" s="963" t="s">
        <v>312</v>
      </c>
      <c r="B797" s="963" t="s">
        <v>294</v>
      </c>
      <c r="C797" s="964">
        <v>319702749</v>
      </c>
    </row>
    <row r="798" spans="1:3">
      <c r="A798" s="963" t="s">
        <v>314</v>
      </c>
      <c r="B798" s="963" t="s">
        <v>295</v>
      </c>
      <c r="C798" s="964">
        <v>148224539</v>
      </c>
    </row>
    <row r="799" spans="1:3">
      <c r="A799" s="963" t="s">
        <v>1136</v>
      </c>
      <c r="B799" s="963" t="s">
        <v>1137</v>
      </c>
      <c r="C799" s="964">
        <v>0</v>
      </c>
    </row>
    <row r="800" spans="1:3">
      <c r="A800" s="963" t="s">
        <v>316</v>
      </c>
      <c r="B800" s="963" t="s">
        <v>296</v>
      </c>
      <c r="C800" s="964">
        <v>479422178</v>
      </c>
    </row>
    <row r="801" spans="1:3">
      <c r="A801" s="963" t="s">
        <v>318</v>
      </c>
      <c r="B801" s="963" t="s">
        <v>297</v>
      </c>
      <c r="C801" s="964">
        <v>272708412</v>
      </c>
    </row>
    <row r="802" spans="1:3">
      <c r="A802" s="963" t="s">
        <v>320</v>
      </c>
      <c r="B802" s="963" t="s">
        <v>298</v>
      </c>
      <c r="C802" s="964">
        <v>197084939</v>
      </c>
    </row>
    <row r="803" spans="1:3">
      <c r="A803" s="963" t="s">
        <v>2319</v>
      </c>
      <c r="B803" s="963" t="s">
        <v>299</v>
      </c>
      <c r="C803" s="964">
        <v>187386213</v>
      </c>
    </row>
    <row r="804" spans="1:3">
      <c r="A804" s="963" t="s">
        <v>2321</v>
      </c>
      <c r="B804" s="963" t="s">
        <v>300</v>
      </c>
      <c r="C804" s="964">
        <v>1156869721</v>
      </c>
    </row>
    <row r="805" spans="1:3">
      <c r="A805" s="963" t="s">
        <v>3178</v>
      </c>
      <c r="B805" s="963" t="s">
        <v>6114</v>
      </c>
      <c r="C805" s="964">
        <v>686154911</v>
      </c>
    </row>
    <row r="806" spans="1:3">
      <c r="A806" s="963" t="s">
        <v>249</v>
      </c>
      <c r="B806" s="963" t="s">
        <v>994</v>
      </c>
      <c r="C806" s="964">
        <v>1324664520</v>
      </c>
    </row>
    <row r="807" spans="1:3">
      <c r="A807" s="963" t="s">
        <v>2323</v>
      </c>
      <c r="B807" s="963" t="s">
        <v>301</v>
      </c>
      <c r="C807" s="964">
        <v>316498673</v>
      </c>
    </row>
    <row r="808" spans="1:3">
      <c r="A808" s="963" t="s">
        <v>513</v>
      </c>
      <c r="B808" s="963" t="s">
        <v>3917</v>
      </c>
      <c r="C808" s="964">
        <v>234499576</v>
      </c>
    </row>
    <row r="809" spans="1:3">
      <c r="A809" s="963" t="s">
        <v>1872</v>
      </c>
      <c r="B809" s="963" t="s">
        <v>3855</v>
      </c>
      <c r="C809" s="964">
        <v>223676758</v>
      </c>
    </row>
    <row r="810" spans="1:3">
      <c r="A810" s="963" t="s">
        <v>2325</v>
      </c>
      <c r="B810" s="963" t="s">
        <v>302</v>
      </c>
      <c r="C810" s="964">
        <v>752633275</v>
      </c>
    </row>
    <row r="811" spans="1:3">
      <c r="A811" s="963" t="s">
        <v>2327</v>
      </c>
      <c r="B811" s="963" t="s">
        <v>2163</v>
      </c>
      <c r="C811" s="964">
        <v>364553894</v>
      </c>
    </row>
    <row r="812" spans="1:3">
      <c r="A812" s="963" t="s">
        <v>5236</v>
      </c>
      <c r="B812" s="963" t="s">
        <v>2646</v>
      </c>
      <c r="C812" s="964">
        <v>32867873</v>
      </c>
    </row>
    <row r="813" spans="1:3">
      <c r="A813" s="963" t="s">
        <v>7700</v>
      </c>
      <c r="B813" s="963" t="s">
        <v>2164</v>
      </c>
      <c r="C813" s="964">
        <v>2344253951</v>
      </c>
    </row>
    <row r="814" spans="1:3">
      <c r="A814" s="963" t="s">
        <v>7702</v>
      </c>
      <c r="B814" s="963" t="s">
        <v>2165</v>
      </c>
      <c r="C814" s="964">
        <v>403272059</v>
      </c>
    </row>
    <row r="815" spans="1:3">
      <c r="A815" s="963" t="s">
        <v>7704</v>
      </c>
      <c r="B815" s="963" t="s">
        <v>2166</v>
      </c>
      <c r="C815" s="964">
        <v>271142178</v>
      </c>
    </row>
    <row r="816" spans="1:3">
      <c r="A816" s="963" t="s">
        <v>5634</v>
      </c>
      <c r="B816" s="963" t="s">
        <v>2167</v>
      </c>
      <c r="C816" s="964">
        <v>294620160</v>
      </c>
    </row>
    <row r="817" spans="1:3">
      <c r="A817" s="963" t="s">
        <v>5636</v>
      </c>
      <c r="B817" s="963" t="s">
        <v>2168</v>
      </c>
      <c r="C817" s="964">
        <v>332835969</v>
      </c>
    </row>
    <row r="818" spans="1:3">
      <c r="A818" s="963" t="s">
        <v>4016</v>
      </c>
      <c r="B818" s="963" t="s">
        <v>2169</v>
      </c>
      <c r="C818" s="964">
        <v>206243657</v>
      </c>
    </row>
    <row r="819" spans="1:3">
      <c r="A819" s="963" t="s">
        <v>4018</v>
      </c>
      <c r="B819" s="963" t="s">
        <v>2170</v>
      </c>
      <c r="C819" s="964">
        <v>511231124</v>
      </c>
    </row>
    <row r="820" spans="1:3">
      <c r="A820" s="963" t="s">
        <v>4020</v>
      </c>
      <c r="B820" s="963" t="s">
        <v>5648</v>
      </c>
      <c r="C820" s="964">
        <v>591097651</v>
      </c>
    </row>
    <row r="821" spans="1:3">
      <c r="A821" s="963" t="s">
        <v>4022</v>
      </c>
      <c r="B821" s="963" t="s">
        <v>5649</v>
      </c>
      <c r="C821" s="964">
        <v>2888222044</v>
      </c>
    </row>
    <row r="822" spans="1:3">
      <c r="A822" s="963" t="s">
        <v>1138</v>
      </c>
      <c r="C822" s="964">
        <v>0</v>
      </c>
    </row>
    <row r="823" spans="1:3">
      <c r="A823" s="963" t="s">
        <v>1139</v>
      </c>
      <c r="C823" s="964">
        <v>0</v>
      </c>
    </row>
    <row r="824" spans="1:3">
      <c r="A824" s="963" t="s">
        <v>4024</v>
      </c>
      <c r="B824" s="963" t="s">
        <v>4025</v>
      </c>
      <c r="C824" s="964">
        <v>0</v>
      </c>
    </row>
    <row r="825" spans="1:3">
      <c r="A825" s="963" t="s">
        <v>1141</v>
      </c>
      <c r="B825" s="963" t="s">
        <v>7993</v>
      </c>
      <c r="C825" s="964">
        <v>0</v>
      </c>
    </row>
    <row r="826" spans="1:3">
      <c r="A826" s="963" t="s">
        <v>176</v>
      </c>
      <c r="B826" s="963" t="s">
        <v>7994</v>
      </c>
      <c r="C826" s="964">
        <v>0</v>
      </c>
    </row>
    <row r="827" spans="1:3">
      <c r="A827" s="963" t="s">
        <v>2996</v>
      </c>
      <c r="B827" s="963" t="s">
        <v>202</v>
      </c>
      <c r="C827" s="964">
        <v>8580167347</v>
      </c>
    </row>
    <row r="828" spans="1:3">
      <c r="A828" s="963" t="s">
        <v>4028</v>
      </c>
      <c r="B828" s="963" t="s">
        <v>5650</v>
      </c>
      <c r="C828" s="964">
        <v>179261024</v>
      </c>
    </row>
    <row r="829" spans="1:3">
      <c r="A829" s="963" t="s">
        <v>4030</v>
      </c>
      <c r="B829" s="963" t="s">
        <v>5651</v>
      </c>
      <c r="C829" s="964">
        <v>254119135</v>
      </c>
    </row>
    <row r="830" spans="1:3">
      <c r="A830" s="963" t="s">
        <v>2903</v>
      </c>
      <c r="B830" s="963" t="s">
        <v>203</v>
      </c>
      <c r="C830" s="964">
        <v>1373732537</v>
      </c>
    </row>
    <row r="831" spans="1:3">
      <c r="A831" s="963" t="s">
        <v>1310</v>
      </c>
      <c r="B831" s="963" t="s">
        <v>115</v>
      </c>
      <c r="C831" s="964">
        <v>2300304522</v>
      </c>
    </row>
    <row r="832" spans="1:3">
      <c r="A832" s="963" t="s">
        <v>4032</v>
      </c>
      <c r="B832" s="963" t="s">
        <v>5652</v>
      </c>
      <c r="C832" s="964">
        <v>200617667</v>
      </c>
    </row>
    <row r="833" spans="1:3">
      <c r="A833" s="963" t="s">
        <v>2397</v>
      </c>
      <c r="B833" s="963" t="s">
        <v>1464</v>
      </c>
      <c r="C833" s="964">
        <v>213478359</v>
      </c>
    </row>
    <row r="834" spans="1:3">
      <c r="A834" s="963" t="s">
        <v>669</v>
      </c>
      <c r="B834" s="963" t="s">
        <v>5653</v>
      </c>
      <c r="C834" s="964">
        <v>200262478</v>
      </c>
    </row>
    <row r="835" spans="1:3">
      <c r="A835" s="963" t="s">
        <v>1144</v>
      </c>
      <c r="C835" s="964">
        <v>0</v>
      </c>
    </row>
    <row r="836" spans="1:3">
      <c r="A836" s="963" t="s">
        <v>4151</v>
      </c>
      <c r="B836" s="963" t="s">
        <v>5654</v>
      </c>
      <c r="C836" s="964">
        <v>101261929</v>
      </c>
    </row>
    <row r="837" spans="1:3">
      <c r="A837" s="963" t="s">
        <v>4153</v>
      </c>
      <c r="B837" s="963" t="s">
        <v>3100</v>
      </c>
      <c r="C837" s="964">
        <v>109170796</v>
      </c>
    </row>
    <row r="838" spans="1:3">
      <c r="A838" s="963" t="s">
        <v>4155</v>
      </c>
      <c r="B838" s="963" t="s">
        <v>3101</v>
      </c>
      <c r="C838" s="964">
        <v>49130928</v>
      </c>
    </row>
    <row r="839" spans="1:3">
      <c r="A839" s="963" t="s">
        <v>4157</v>
      </c>
      <c r="B839" s="963" t="s">
        <v>3102</v>
      </c>
      <c r="C839" s="964">
        <v>48956144</v>
      </c>
    </row>
    <row r="840" spans="1:3">
      <c r="A840" s="963" t="s">
        <v>3000</v>
      </c>
      <c r="B840" s="963" t="s">
        <v>6547</v>
      </c>
      <c r="C840" s="964">
        <v>436324582</v>
      </c>
    </row>
    <row r="841" spans="1:3">
      <c r="A841" s="963" t="s">
        <v>4159</v>
      </c>
      <c r="B841" s="963" t="s">
        <v>3103</v>
      </c>
      <c r="C841" s="964">
        <v>104869496</v>
      </c>
    </row>
    <row r="842" spans="1:3">
      <c r="A842" s="963" t="s">
        <v>4161</v>
      </c>
      <c r="B842" s="963" t="s">
        <v>3104</v>
      </c>
      <c r="C842" s="964">
        <v>569544461</v>
      </c>
    </row>
    <row r="843" spans="1:3">
      <c r="A843" s="963" t="s">
        <v>4163</v>
      </c>
      <c r="B843" s="963" t="s">
        <v>3105</v>
      </c>
      <c r="C843" s="964">
        <v>726359291</v>
      </c>
    </row>
    <row r="844" spans="1:3">
      <c r="A844" s="963" t="s">
        <v>4165</v>
      </c>
      <c r="B844" s="963" t="s">
        <v>3106</v>
      </c>
      <c r="C844" s="964">
        <v>678539046</v>
      </c>
    </row>
    <row r="845" spans="1:3">
      <c r="A845" s="963" t="s">
        <v>4167</v>
      </c>
      <c r="B845" s="963" t="s">
        <v>3107</v>
      </c>
      <c r="C845" s="964">
        <v>258279251</v>
      </c>
    </row>
    <row r="846" spans="1:3">
      <c r="A846" s="963" t="s">
        <v>4169</v>
      </c>
      <c r="B846" s="963" t="s">
        <v>3108</v>
      </c>
      <c r="C846" s="964">
        <v>1027082567</v>
      </c>
    </row>
    <row r="847" spans="1:3">
      <c r="A847" s="963" t="s">
        <v>4171</v>
      </c>
      <c r="B847" s="963" t="s">
        <v>713</v>
      </c>
      <c r="C847" s="964">
        <v>819265948</v>
      </c>
    </row>
    <row r="848" spans="1:3">
      <c r="A848" s="963" t="s">
        <v>2055</v>
      </c>
      <c r="B848" s="963" t="s">
        <v>714</v>
      </c>
      <c r="C848" s="964">
        <v>231862247</v>
      </c>
    </row>
    <row r="849" spans="1:3">
      <c r="A849" s="963" t="s">
        <v>2057</v>
      </c>
      <c r="B849" s="963" t="s">
        <v>715</v>
      </c>
      <c r="C849" s="964">
        <v>1575572886</v>
      </c>
    </row>
    <row r="850" spans="1:3">
      <c r="A850" s="963" t="s">
        <v>2059</v>
      </c>
      <c r="B850" s="963" t="s">
        <v>716</v>
      </c>
      <c r="C850" s="964">
        <v>580456267</v>
      </c>
    </row>
    <row r="851" spans="1:3">
      <c r="A851" s="963" t="s">
        <v>1814</v>
      </c>
      <c r="B851" s="963" t="s">
        <v>3011</v>
      </c>
      <c r="C851" s="964">
        <v>1679391481</v>
      </c>
    </row>
    <row r="852" spans="1:3">
      <c r="A852" s="963" t="s">
        <v>958</v>
      </c>
      <c r="B852" s="963" t="s">
        <v>7665</v>
      </c>
      <c r="C852" s="964">
        <v>313883883</v>
      </c>
    </row>
    <row r="853" spans="1:3">
      <c r="A853" s="963" t="s">
        <v>2061</v>
      </c>
      <c r="B853" s="963" t="s">
        <v>717</v>
      </c>
      <c r="C853" s="964">
        <v>43933024</v>
      </c>
    </row>
    <row r="854" spans="1:3">
      <c r="A854" s="963" t="s">
        <v>1845</v>
      </c>
      <c r="B854" s="963" t="s">
        <v>197</v>
      </c>
      <c r="C854" s="964">
        <v>18244159</v>
      </c>
    </row>
    <row r="855" spans="1:3">
      <c r="A855" s="963" t="s">
        <v>1146</v>
      </c>
      <c r="B855" s="963" t="s">
        <v>7995</v>
      </c>
      <c r="C855" s="964">
        <v>0</v>
      </c>
    </row>
    <row r="856" spans="1:3">
      <c r="A856" s="963" t="s">
        <v>1148</v>
      </c>
      <c r="B856" s="963" t="s">
        <v>7996</v>
      </c>
      <c r="C856" s="964">
        <v>0</v>
      </c>
    </row>
    <row r="857" spans="1:3">
      <c r="A857" s="963" t="s">
        <v>8050</v>
      </c>
      <c r="C857" s="964">
        <v>0</v>
      </c>
    </row>
    <row r="858" spans="1:3">
      <c r="A858" s="963" t="s">
        <v>177</v>
      </c>
      <c r="B858" s="963" t="s">
        <v>7997</v>
      </c>
      <c r="C858" s="964">
        <v>0</v>
      </c>
    </row>
    <row r="859" spans="1:3">
      <c r="A859" s="963" t="s">
        <v>5237</v>
      </c>
      <c r="B859" s="963" t="s">
        <v>1666</v>
      </c>
      <c r="C859" s="964">
        <v>134332934</v>
      </c>
    </row>
    <row r="860" spans="1:3">
      <c r="A860" s="963" t="s">
        <v>2065</v>
      </c>
      <c r="B860" s="963" t="s">
        <v>2855</v>
      </c>
      <c r="C860" s="964">
        <v>3336290448</v>
      </c>
    </row>
    <row r="861" spans="1:3">
      <c r="A861" s="963" t="s">
        <v>2905</v>
      </c>
      <c r="B861" s="963" t="s">
        <v>2155</v>
      </c>
      <c r="C861" s="964">
        <v>599705406</v>
      </c>
    </row>
    <row r="862" spans="1:3">
      <c r="A862" s="963" t="s">
        <v>5238</v>
      </c>
      <c r="B862" s="963" t="s">
        <v>200</v>
      </c>
      <c r="C862" s="964">
        <v>359712933</v>
      </c>
    </row>
    <row r="863" spans="1:3">
      <c r="A863" s="963" t="s">
        <v>6163</v>
      </c>
      <c r="B863" s="963" t="s">
        <v>6067</v>
      </c>
      <c r="C863" s="964">
        <v>83445174</v>
      </c>
    </row>
    <row r="864" spans="1:3">
      <c r="A864" s="963" t="s">
        <v>2470</v>
      </c>
      <c r="B864" s="963" t="s">
        <v>6075</v>
      </c>
      <c r="C864" s="964">
        <v>260787737</v>
      </c>
    </row>
    <row r="865" spans="1:3">
      <c r="A865" s="963" t="s">
        <v>973</v>
      </c>
      <c r="B865" s="963" t="s">
        <v>718</v>
      </c>
      <c r="C865" s="964">
        <v>136121416</v>
      </c>
    </row>
    <row r="866" spans="1:3">
      <c r="A866" s="963" t="s">
        <v>2769</v>
      </c>
      <c r="B866" s="963" t="s">
        <v>359</v>
      </c>
      <c r="C866" s="964">
        <v>122875791</v>
      </c>
    </row>
    <row r="867" spans="1:3">
      <c r="A867" s="963" t="s">
        <v>3553</v>
      </c>
      <c r="B867" s="963" t="s">
        <v>4060</v>
      </c>
      <c r="C867" s="964">
        <v>3675152054</v>
      </c>
    </row>
    <row r="868" spans="1:3">
      <c r="A868" s="963" t="s">
        <v>3556</v>
      </c>
      <c r="B868" s="963" t="s">
        <v>4067</v>
      </c>
      <c r="C868" s="964">
        <v>303825927</v>
      </c>
    </row>
    <row r="869" spans="1:3">
      <c r="A869" s="963" t="s">
        <v>5052</v>
      </c>
      <c r="B869" s="963" t="s">
        <v>719</v>
      </c>
      <c r="C869" s="964">
        <v>92819417</v>
      </c>
    </row>
    <row r="870" spans="1:3">
      <c r="A870" s="963" t="s">
        <v>5054</v>
      </c>
      <c r="B870" s="963" t="s">
        <v>720</v>
      </c>
      <c r="C870" s="964">
        <v>136123321</v>
      </c>
    </row>
    <row r="871" spans="1:3">
      <c r="A871" s="963" t="s">
        <v>737</v>
      </c>
      <c r="B871" s="963" t="s">
        <v>6110</v>
      </c>
      <c r="C871" s="964">
        <v>520254675</v>
      </c>
    </row>
    <row r="872" spans="1:3">
      <c r="A872" s="963" t="s">
        <v>237</v>
      </c>
      <c r="B872" s="963" t="s">
        <v>2644</v>
      </c>
      <c r="C872" s="964">
        <v>525732391</v>
      </c>
    </row>
    <row r="873" spans="1:3">
      <c r="A873" s="963" t="s">
        <v>2307</v>
      </c>
      <c r="B873" s="963" t="s">
        <v>365</v>
      </c>
      <c r="C873" s="964">
        <v>440977097</v>
      </c>
    </row>
    <row r="874" spans="1:3">
      <c r="A874" s="963" t="s">
        <v>957</v>
      </c>
      <c r="B874" s="963" t="s">
        <v>7664</v>
      </c>
      <c r="C874" s="964">
        <v>125271655</v>
      </c>
    </row>
    <row r="875" spans="1:3">
      <c r="A875" s="963" t="s">
        <v>5056</v>
      </c>
      <c r="B875" s="963" t="s">
        <v>721</v>
      </c>
      <c r="C875" s="964">
        <v>67482069</v>
      </c>
    </row>
    <row r="876" spans="1:3">
      <c r="A876" s="963" t="s">
        <v>5137</v>
      </c>
      <c r="B876" s="963" t="s">
        <v>722</v>
      </c>
      <c r="C876" s="964">
        <v>33863746</v>
      </c>
    </row>
    <row r="877" spans="1:3">
      <c r="A877" s="963" t="s">
        <v>1151</v>
      </c>
      <c r="B877" s="963" t="s">
        <v>3778</v>
      </c>
      <c r="C877" s="964">
        <v>0</v>
      </c>
    </row>
    <row r="878" spans="1:3">
      <c r="A878" s="963" t="s">
        <v>1153</v>
      </c>
      <c r="B878" s="963" t="s">
        <v>3778</v>
      </c>
      <c r="C878" s="964">
        <v>0</v>
      </c>
    </row>
    <row r="879" spans="1:3">
      <c r="A879" s="963" t="s">
        <v>1154</v>
      </c>
      <c r="C879" s="964">
        <v>0</v>
      </c>
    </row>
    <row r="880" spans="1:3">
      <c r="A880" s="963" t="s">
        <v>4568</v>
      </c>
      <c r="B880" s="963" t="s">
        <v>723</v>
      </c>
      <c r="C880" s="964">
        <v>433907260</v>
      </c>
    </row>
    <row r="881" spans="1:3">
      <c r="A881" s="963" t="s">
        <v>2053</v>
      </c>
      <c r="B881" s="963" t="s">
        <v>999</v>
      </c>
      <c r="C881" s="964">
        <v>298726007</v>
      </c>
    </row>
    <row r="882" spans="1:3">
      <c r="A882" s="963" t="s">
        <v>1846</v>
      </c>
      <c r="B882" s="963" t="s">
        <v>1001</v>
      </c>
      <c r="C882" s="964">
        <v>87761134</v>
      </c>
    </row>
    <row r="883" spans="1:3">
      <c r="A883" s="963" t="s">
        <v>5239</v>
      </c>
      <c r="B883" s="963" t="s">
        <v>505</v>
      </c>
      <c r="C883" s="964">
        <v>138400189</v>
      </c>
    </row>
    <row r="884" spans="1:3">
      <c r="A884" s="963" t="s">
        <v>1870</v>
      </c>
      <c r="B884" s="963" t="s">
        <v>3849</v>
      </c>
      <c r="C884" s="964">
        <v>421197511</v>
      </c>
    </row>
    <row r="885" spans="1:3">
      <c r="A885" s="963" t="s">
        <v>6169</v>
      </c>
      <c r="B885" s="963" t="s">
        <v>6079</v>
      </c>
      <c r="C885" s="964">
        <v>935389939</v>
      </c>
    </row>
    <row r="886" spans="1:3">
      <c r="A886" s="963" t="s">
        <v>574</v>
      </c>
      <c r="B886" s="963" t="s">
        <v>724</v>
      </c>
      <c r="C886" s="964">
        <v>128904427</v>
      </c>
    </row>
    <row r="887" spans="1:3">
      <c r="A887" s="963" t="s">
        <v>1156</v>
      </c>
      <c r="C887" s="964">
        <v>0</v>
      </c>
    </row>
    <row r="888" spans="1:3">
      <c r="A888" s="963" t="s">
        <v>1158</v>
      </c>
      <c r="B888" s="963" t="s">
        <v>1159</v>
      </c>
      <c r="C888" s="964">
        <v>0</v>
      </c>
    </row>
    <row r="889" spans="1:3">
      <c r="A889" s="963" t="s">
        <v>6172</v>
      </c>
      <c r="B889" s="963" t="s">
        <v>497</v>
      </c>
      <c r="C889" s="964">
        <v>10227067256</v>
      </c>
    </row>
    <row r="890" spans="1:3">
      <c r="A890" s="963" t="s">
        <v>578</v>
      </c>
      <c r="B890" s="963" t="s">
        <v>725</v>
      </c>
      <c r="C890" s="964">
        <v>670804139</v>
      </c>
    </row>
    <row r="891" spans="1:3">
      <c r="A891" s="963" t="s">
        <v>1161</v>
      </c>
      <c r="C891" s="964">
        <v>0</v>
      </c>
    </row>
    <row r="892" spans="1:3">
      <c r="A892" s="963" t="s">
        <v>980</v>
      </c>
      <c r="B892" s="963" t="s">
        <v>6098</v>
      </c>
      <c r="C892" s="964">
        <v>275787229</v>
      </c>
    </row>
    <row r="893" spans="1:3">
      <c r="A893" s="963" t="s">
        <v>3972</v>
      </c>
      <c r="B893" s="963" t="s">
        <v>726</v>
      </c>
      <c r="C893" s="964">
        <v>75673245</v>
      </c>
    </row>
    <row r="894" spans="1:3">
      <c r="A894" s="963" t="s">
        <v>6173</v>
      </c>
      <c r="B894" s="963" t="s">
        <v>727</v>
      </c>
      <c r="C894" s="964">
        <v>75481101</v>
      </c>
    </row>
    <row r="895" spans="1:3">
      <c r="A895" s="963" t="s">
        <v>3974</v>
      </c>
      <c r="B895" s="963" t="s">
        <v>728</v>
      </c>
      <c r="C895" s="964">
        <v>991925078</v>
      </c>
    </row>
    <row r="896" spans="1:3">
      <c r="A896" s="963" t="s">
        <v>814</v>
      </c>
      <c r="B896" s="963" t="s">
        <v>729</v>
      </c>
      <c r="C896" s="964">
        <v>109490563</v>
      </c>
    </row>
    <row r="897" spans="1:3">
      <c r="A897" s="963" t="s">
        <v>4587</v>
      </c>
      <c r="B897" s="963" t="s">
        <v>2144</v>
      </c>
      <c r="C897" s="964">
        <v>26563279</v>
      </c>
    </row>
    <row r="898" spans="1:3">
      <c r="A898" s="963" t="s">
        <v>1852</v>
      </c>
      <c r="B898" s="963" t="s">
        <v>4963</v>
      </c>
      <c r="C898" s="964">
        <v>139325609</v>
      </c>
    </row>
    <row r="899" spans="1:3">
      <c r="A899" s="963" t="s">
        <v>141</v>
      </c>
      <c r="B899" s="963" t="s">
        <v>730</v>
      </c>
      <c r="C899" s="964">
        <v>50502302</v>
      </c>
    </row>
    <row r="900" spans="1:3">
      <c r="A900" s="963" t="s">
        <v>143</v>
      </c>
      <c r="B900" s="963" t="s">
        <v>524</v>
      </c>
      <c r="C900" s="964">
        <v>23169723</v>
      </c>
    </row>
    <row r="901" spans="1:3">
      <c r="A901" s="963" t="s">
        <v>1847</v>
      </c>
      <c r="B901" s="963" t="s">
        <v>351</v>
      </c>
      <c r="C901" s="964">
        <v>17697544</v>
      </c>
    </row>
    <row r="902" spans="1:3">
      <c r="A902" s="963" t="s">
        <v>145</v>
      </c>
      <c r="B902" s="963" t="s">
        <v>525</v>
      </c>
      <c r="C902" s="964">
        <v>301629479</v>
      </c>
    </row>
    <row r="903" spans="1:3">
      <c r="A903" s="963" t="s">
        <v>147</v>
      </c>
      <c r="B903" s="963" t="s">
        <v>526</v>
      </c>
      <c r="C903" s="964">
        <v>143851768</v>
      </c>
    </row>
    <row r="904" spans="1:3">
      <c r="A904" s="963" t="s">
        <v>149</v>
      </c>
      <c r="B904" s="963" t="s">
        <v>527</v>
      </c>
      <c r="C904" s="964">
        <v>403613960</v>
      </c>
    </row>
    <row r="905" spans="1:3">
      <c r="A905" s="963" t="s">
        <v>1956</v>
      </c>
      <c r="B905" s="963" t="s">
        <v>528</v>
      </c>
      <c r="C905" s="964">
        <v>567104585</v>
      </c>
    </row>
    <row r="906" spans="1:3">
      <c r="A906" s="963" t="s">
        <v>1958</v>
      </c>
      <c r="B906" s="963" t="s">
        <v>529</v>
      </c>
      <c r="C906" s="964">
        <v>174065762</v>
      </c>
    </row>
    <row r="907" spans="1:3">
      <c r="A907" s="963" t="s">
        <v>1960</v>
      </c>
      <c r="B907" s="963" t="s">
        <v>530</v>
      </c>
      <c r="C907" s="964">
        <v>62528535</v>
      </c>
    </row>
    <row r="908" spans="1:3">
      <c r="A908" s="963" t="s">
        <v>2039</v>
      </c>
      <c r="B908" s="963" t="s">
        <v>531</v>
      </c>
      <c r="C908" s="964">
        <v>29086171</v>
      </c>
    </row>
    <row r="909" spans="1:3">
      <c r="A909" s="963" t="s">
        <v>2041</v>
      </c>
      <c r="B909" s="963" t="s">
        <v>532</v>
      </c>
      <c r="C909" s="964">
        <v>133600568</v>
      </c>
    </row>
    <row r="910" spans="1:3">
      <c r="A910" s="963" t="s">
        <v>1825</v>
      </c>
      <c r="B910" s="963" t="s">
        <v>533</v>
      </c>
      <c r="C910" s="964">
        <v>98057981</v>
      </c>
    </row>
    <row r="911" spans="1:3">
      <c r="A911" s="963" t="s">
        <v>1827</v>
      </c>
      <c r="B911" s="963" t="s">
        <v>534</v>
      </c>
      <c r="C911" s="964">
        <v>175247516</v>
      </c>
    </row>
    <row r="912" spans="1:3">
      <c r="A912" s="963" t="s">
        <v>1163</v>
      </c>
      <c r="B912" s="963" t="s">
        <v>1164</v>
      </c>
      <c r="C912" s="964">
        <v>0</v>
      </c>
    </row>
    <row r="913" spans="1:3">
      <c r="A913" s="963" t="s">
        <v>238</v>
      </c>
      <c r="B913" s="963" t="s">
        <v>2645</v>
      </c>
      <c r="C913" s="964">
        <v>19686233651</v>
      </c>
    </row>
    <row r="914" spans="1:3">
      <c r="A914" s="963" t="s">
        <v>1829</v>
      </c>
      <c r="B914" s="963" t="s">
        <v>535</v>
      </c>
      <c r="C914" s="964">
        <v>3470309968</v>
      </c>
    </row>
    <row r="915" spans="1:3">
      <c r="A915" s="963" t="s">
        <v>859</v>
      </c>
      <c r="B915" s="963" t="s">
        <v>2003</v>
      </c>
      <c r="C915" s="964">
        <v>2005141677</v>
      </c>
    </row>
    <row r="916" spans="1:3">
      <c r="A916" s="963" t="s">
        <v>3001</v>
      </c>
      <c r="B916" s="963" t="s">
        <v>6060</v>
      </c>
      <c r="C916" s="964">
        <v>3401477476</v>
      </c>
    </row>
    <row r="917" spans="1:3">
      <c r="A917" s="963" t="s">
        <v>2405</v>
      </c>
      <c r="B917" s="963" t="s">
        <v>2350</v>
      </c>
      <c r="C917" s="964">
        <v>352124237</v>
      </c>
    </row>
    <row r="918" spans="1:3">
      <c r="A918" s="963" t="s">
        <v>2907</v>
      </c>
      <c r="B918" s="963" t="s">
        <v>1933</v>
      </c>
      <c r="C918" s="964">
        <v>1993560958</v>
      </c>
    </row>
    <row r="919" spans="1:3">
      <c r="A919" s="963" t="s">
        <v>1222</v>
      </c>
      <c r="B919" s="963" t="s">
        <v>536</v>
      </c>
      <c r="C919" s="964">
        <v>2183607500</v>
      </c>
    </row>
    <row r="920" spans="1:3">
      <c r="A920" s="963" t="s">
        <v>1224</v>
      </c>
      <c r="B920" s="963" t="s">
        <v>537</v>
      </c>
      <c r="C920" s="964">
        <v>422322412</v>
      </c>
    </row>
    <row r="921" spans="1:3">
      <c r="A921" s="963" t="s">
        <v>5375</v>
      </c>
      <c r="B921" s="963" t="s">
        <v>538</v>
      </c>
      <c r="C921" s="964">
        <v>795978698</v>
      </c>
    </row>
    <row r="922" spans="1:3">
      <c r="A922" s="963" t="s">
        <v>5377</v>
      </c>
      <c r="B922" s="963" t="s">
        <v>6619</v>
      </c>
      <c r="C922" s="964">
        <v>241489429</v>
      </c>
    </row>
    <row r="923" spans="1:3">
      <c r="A923" s="963" t="s">
        <v>5379</v>
      </c>
      <c r="B923" s="963" t="s">
        <v>540</v>
      </c>
      <c r="C923" s="964">
        <v>73498346</v>
      </c>
    </row>
    <row r="924" spans="1:3">
      <c r="A924" s="963" t="s">
        <v>7800</v>
      </c>
      <c r="B924" s="963" t="s">
        <v>7998</v>
      </c>
      <c r="C924" s="964">
        <v>0</v>
      </c>
    </row>
    <row r="925" spans="1:3">
      <c r="A925" s="963" t="s">
        <v>642</v>
      </c>
      <c r="B925" s="963" t="s">
        <v>6111</v>
      </c>
      <c r="C925" s="964">
        <v>56731573</v>
      </c>
    </row>
    <row r="926" spans="1:3">
      <c r="A926" s="963" t="s">
        <v>2618</v>
      </c>
      <c r="B926" s="963" t="s">
        <v>541</v>
      </c>
      <c r="C926" s="964">
        <v>476431022</v>
      </c>
    </row>
    <row r="927" spans="1:3">
      <c r="A927" s="963" t="s">
        <v>644</v>
      </c>
      <c r="B927" s="963" t="s">
        <v>123</v>
      </c>
      <c r="C927" s="964">
        <v>302989083</v>
      </c>
    </row>
    <row r="928" spans="1:3">
      <c r="A928" s="963" t="s">
        <v>2620</v>
      </c>
      <c r="B928" s="963" t="s">
        <v>542</v>
      </c>
      <c r="C928" s="964">
        <v>1837749465</v>
      </c>
    </row>
    <row r="929" spans="1:3">
      <c r="A929" s="963" t="s">
        <v>4588</v>
      </c>
      <c r="B929" s="963" t="s">
        <v>2006</v>
      </c>
      <c r="C929" s="964">
        <v>149437149</v>
      </c>
    </row>
    <row r="930" spans="1:3">
      <c r="A930" s="963" t="s">
        <v>2622</v>
      </c>
      <c r="B930" s="963" t="s">
        <v>543</v>
      </c>
      <c r="C930" s="964">
        <v>116621655</v>
      </c>
    </row>
    <row r="931" spans="1:3">
      <c r="A931" s="963" t="s">
        <v>2624</v>
      </c>
      <c r="B931" s="963" t="s">
        <v>544</v>
      </c>
      <c r="C931" s="964">
        <v>101837467</v>
      </c>
    </row>
    <row r="932" spans="1:3">
      <c r="A932" s="963" t="s">
        <v>1523</v>
      </c>
      <c r="B932" s="963" t="s">
        <v>1929</v>
      </c>
      <c r="C932" s="964">
        <v>44070564</v>
      </c>
    </row>
    <row r="933" spans="1:3">
      <c r="A933" s="963" t="s">
        <v>2626</v>
      </c>
      <c r="B933" s="963" t="s">
        <v>545</v>
      </c>
      <c r="C933" s="964">
        <v>206876762</v>
      </c>
    </row>
    <row r="934" spans="1:3">
      <c r="A934" s="963" t="s">
        <v>2628</v>
      </c>
      <c r="B934" s="963" t="s">
        <v>546</v>
      </c>
      <c r="C934" s="964">
        <v>123326465</v>
      </c>
    </row>
    <row r="935" spans="1:3">
      <c r="A935" s="963" t="s">
        <v>241</v>
      </c>
      <c r="B935" s="963" t="s">
        <v>2649</v>
      </c>
      <c r="C935" s="964">
        <v>1330828640</v>
      </c>
    </row>
    <row r="936" spans="1:3">
      <c r="A936" s="963" t="s">
        <v>248</v>
      </c>
      <c r="B936" s="963" t="s">
        <v>993</v>
      </c>
      <c r="C936" s="964">
        <v>93772545</v>
      </c>
    </row>
    <row r="937" spans="1:3">
      <c r="A937" s="963" t="s">
        <v>5084</v>
      </c>
      <c r="B937" s="963" t="s">
        <v>547</v>
      </c>
      <c r="C937" s="964">
        <v>65221785</v>
      </c>
    </row>
    <row r="938" spans="1:3">
      <c r="A938" s="963" t="s">
        <v>2534</v>
      </c>
      <c r="B938" s="963" t="s">
        <v>1919</v>
      </c>
      <c r="C938" s="964">
        <v>194747732</v>
      </c>
    </row>
    <row r="939" spans="1:3">
      <c r="A939" s="963" t="s">
        <v>1165</v>
      </c>
      <c r="B939" s="963" t="s">
        <v>3779</v>
      </c>
      <c r="C939" s="964">
        <v>0</v>
      </c>
    </row>
    <row r="940" spans="1:3">
      <c r="A940" s="963" t="s">
        <v>5086</v>
      </c>
      <c r="B940" s="963" t="s">
        <v>548</v>
      </c>
      <c r="C940" s="964">
        <v>395602057</v>
      </c>
    </row>
    <row r="941" spans="1:3">
      <c r="A941" s="963" t="s">
        <v>2768</v>
      </c>
      <c r="B941" s="963" t="s">
        <v>358</v>
      </c>
      <c r="C941" s="964">
        <v>80915662</v>
      </c>
    </row>
    <row r="942" spans="1:3">
      <c r="A942" s="963" t="s">
        <v>5088</v>
      </c>
      <c r="B942" s="963" t="s">
        <v>549</v>
      </c>
      <c r="C942" s="964">
        <v>159648929</v>
      </c>
    </row>
    <row r="943" spans="1:3">
      <c r="A943" s="963" t="s">
        <v>6181</v>
      </c>
      <c r="B943" s="963" t="s">
        <v>1936</v>
      </c>
      <c r="C943" s="964">
        <v>326381456</v>
      </c>
    </row>
    <row r="944" spans="1:3">
      <c r="A944" s="963" t="s">
        <v>1848</v>
      </c>
      <c r="B944" s="963" t="s">
        <v>1000</v>
      </c>
      <c r="C944" s="964">
        <v>407721020</v>
      </c>
    </row>
    <row r="945" spans="1:3">
      <c r="A945" s="963" t="s">
        <v>2471</v>
      </c>
      <c r="B945" s="963" t="s">
        <v>369</v>
      </c>
      <c r="C945" s="964">
        <v>317785874</v>
      </c>
    </row>
    <row r="946" spans="1:3">
      <c r="A946" s="963" t="s">
        <v>6044</v>
      </c>
      <c r="B946" s="963" t="s">
        <v>550</v>
      </c>
      <c r="C946" s="964">
        <v>549309430</v>
      </c>
    </row>
    <row r="947" spans="1:3">
      <c r="A947" s="963" t="s">
        <v>6046</v>
      </c>
      <c r="B947" s="963" t="s">
        <v>4207</v>
      </c>
      <c r="C947" s="964">
        <v>677225019</v>
      </c>
    </row>
    <row r="948" spans="1:3">
      <c r="A948" s="963" t="s">
        <v>4185</v>
      </c>
      <c r="B948" s="963" t="s">
        <v>552</v>
      </c>
      <c r="C948" s="964">
        <v>270871652</v>
      </c>
    </row>
    <row r="949" spans="1:3">
      <c r="A949" s="963" t="s">
        <v>1167</v>
      </c>
      <c r="B949" s="963" t="s">
        <v>7999</v>
      </c>
      <c r="C949" s="964">
        <v>0</v>
      </c>
    </row>
    <row r="950" spans="1:3">
      <c r="A950" s="963" t="s">
        <v>1169</v>
      </c>
      <c r="B950" s="963" t="s">
        <v>1170</v>
      </c>
      <c r="C950" s="964">
        <v>0</v>
      </c>
    </row>
    <row r="951" spans="1:3">
      <c r="A951" s="963" t="s">
        <v>1173</v>
      </c>
      <c r="B951" s="963" t="s">
        <v>7903</v>
      </c>
      <c r="C951" s="964">
        <v>0</v>
      </c>
    </row>
    <row r="952" spans="1:3">
      <c r="A952" s="963" t="s">
        <v>1175</v>
      </c>
      <c r="B952" s="963" t="s">
        <v>8000</v>
      </c>
      <c r="C952" s="964">
        <v>0</v>
      </c>
    </row>
    <row r="953" spans="1:3">
      <c r="A953" s="963" t="s">
        <v>178</v>
      </c>
      <c r="B953" s="963" t="s">
        <v>8001</v>
      </c>
      <c r="C953" s="964">
        <v>0</v>
      </c>
    </row>
    <row r="954" spans="1:3">
      <c r="A954" s="963" t="s">
        <v>8002</v>
      </c>
      <c r="B954" s="963" t="s">
        <v>7916</v>
      </c>
      <c r="C954" s="964">
        <v>0</v>
      </c>
    </row>
    <row r="955" spans="1:3">
      <c r="A955" s="963" t="s">
        <v>6689</v>
      </c>
      <c r="B955" s="963" t="s">
        <v>553</v>
      </c>
      <c r="C955" s="964">
        <v>123795007</v>
      </c>
    </row>
    <row r="956" spans="1:3">
      <c r="A956" s="963" t="s">
        <v>6691</v>
      </c>
      <c r="B956" s="963" t="s">
        <v>4211</v>
      </c>
      <c r="C956" s="964">
        <v>497462413</v>
      </c>
    </row>
    <row r="957" spans="1:3">
      <c r="A957" s="963" t="s">
        <v>6693</v>
      </c>
      <c r="B957" s="963" t="s">
        <v>555</v>
      </c>
      <c r="C957" s="964">
        <v>1135376411</v>
      </c>
    </row>
    <row r="958" spans="1:3">
      <c r="A958" s="963" t="s">
        <v>240</v>
      </c>
      <c r="B958" s="963" t="s">
        <v>2648</v>
      </c>
      <c r="C958" s="964">
        <v>11142281734</v>
      </c>
    </row>
    <row r="959" spans="1:3">
      <c r="A959" s="963" t="s">
        <v>6695</v>
      </c>
      <c r="B959" s="963" t="s">
        <v>556</v>
      </c>
      <c r="C959" s="964">
        <v>134858643</v>
      </c>
    </row>
    <row r="960" spans="1:3">
      <c r="A960" s="963" t="s">
        <v>745</v>
      </c>
      <c r="B960" s="963" t="s">
        <v>557</v>
      </c>
      <c r="C960" s="964">
        <v>227962080</v>
      </c>
    </row>
    <row r="961" spans="1:3">
      <c r="A961" s="963" t="s">
        <v>747</v>
      </c>
      <c r="B961" s="963" t="s">
        <v>558</v>
      </c>
      <c r="C961" s="964">
        <v>1750433077</v>
      </c>
    </row>
    <row r="962" spans="1:3">
      <c r="A962" s="963" t="s">
        <v>2308</v>
      </c>
      <c r="B962" s="963" t="s">
        <v>366</v>
      </c>
      <c r="C962" s="964">
        <v>331505523</v>
      </c>
    </row>
    <row r="963" spans="1:3">
      <c r="A963" s="963" t="s">
        <v>749</v>
      </c>
      <c r="B963" s="963" t="s">
        <v>559</v>
      </c>
      <c r="C963" s="964">
        <v>1486928282</v>
      </c>
    </row>
    <row r="964" spans="1:3">
      <c r="A964" s="963" t="s">
        <v>2953</v>
      </c>
      <c r="B964" s="963" t="s">
        <v>560</v>
      </c>
      <c r="C964" s="964">
        <v>257572963</v>
      </c>
    </row>
    <row r="965" spans="1:3">
      <c r="A965" s="963" t="s">
        <v>2955</v>
      </c>
      <c r="B965" s="963" t="s">
        <v>561</v>
      </c>
      <c r="C965" s="964">
        <v>2301487518</v>
      </c>
    </row>
    <row r="966" spans="1:3">
      <c r="A966" s="963" t="s">
        <v>2957</v>
      </c>
      <c r="B966" s="963" t="s">
        <v>562</v>
      </c>
      <c r="C966" s="964">
        <v>517582837</v>
      </c>
    </row>
    <row r="967" spans="1:3">
      <c r="A967" s="963" t="s">
        <v>1176</v>
      </c>
      <c r="C967" s="964">
        <v>0</v>
      </c>
    </row>
    <row r="968" spans="1:3">
      <c r="A968" s="963" t="s">
        <v>5123</v>
      </c>
      <c r="B968" s="963" t="s">
        <v>337</v>
      </c>
      <c r="C968" s="964">
        <v>904962419</v>
      </c>
    </row>
    <row r="969" spans="1:3">
      <c r="A969" s="963" t="s">
        <v>7156</v>
      </c>
      <c r="B969" s="963" t="s">
        <v>1178</v>
      </c>
      <c r="C969" s="964">
        <v>0</v>
      </c>
    </row>
    <row r="970" spans="1:3">
      <c r="A970" s="963" t="s">
        <v>4119</v>
      </c>
      <c r="B970" s="963" t="s">
        <v>563</v>
      </c>
      <c r="C970" s="964">
        <v>108155053</v>
      </c>
    </row>
    <row r="971" spans="1:3">
      <c r="A971" s="963" t="s">
        <v>4121</v>
      </c>
      <c r="B971" s="963" t="s">
        <v>564</v>
      </c>
      <c r="C971" s="964">
        <v>44634577</v>
      </c>
    </row>
    <row r="972" spans="1:3">
      <c r="A972" s="963" t="s">
        <v>4123</v>
      </c>
      <c r="B972" s="963" t="s">
        <v>565</v>
      </c>
      <c r="C972" s="964">
        <v>38092876</v>
      </c>
    </row>
    <row r="973" spans="1:3">
      <c r="A973" s="963" t="s">
        <v>5032</v>
      </c>
      <c r="B973" s="963" t="s">
        <v>7666</v>
      </c>
      <c r="C973" s="964">
        <v>598484199</v>
      </c>
    </row>
    <row r="974" spans="1:3">
      <c r="A974" s="963" t="s">
        <v>4125</v>
      </c>
      <c r="B974" s="963" t="s">
        <v>566</v>
      </c>
      <c r="C974" s="964">
        <v>386494696</v>
      </c>
    </row>
    <row r="975" spans="1:3">
      <c r="A975" s="963" t="s">
        <v>4127</v>
      </c>
      <c r="B975" s="963" t="s">
        <v>4229</v>
      </c>
      <c r="C975" s="964">
        <v>1438122739</v>
      </c>
    </row>
    <row r="976" spans="1:3">
      <c r="A976" s="963" t="s">
        <v>5033</v>
      </c>
      <c r="B976" s="963" t="s">
        <v>4059</v>
      </c>
      <c r="C976" s="964">
        <v>800671918</v>
      </c>
    </row>
    <row r="977" spans="1:3">
      <c r="A977" s="963" t="s">
        <v>4129</v>
      </c>
      <c r="B977" s="963" t="s">
        <v>4232</v>
      </c>
      <c r="C977" s="964">
        <v>935523259</v>
      </c>
    </row>
    <row r="978" spans="1:3">
      <c r="A978" s="963" t="s">
        <v>1179</v>
      </c>
      <c r="C978" s="964">
        <v>0</v>
      </c>
    </row>
    <row r="979" spans="1:3">
      <c r="A979" s="963" t="s">
        <v>4131</v>
      </c>
      <c r="B979" s="963" t="s">
        <v>1622</v>
      </c>
      <c r="C979" s="964">
        <v>131110050</v>
      </c>
    </row>
    <row r="980" spans="1:3">
      <c r="A980" s="963" t="s">
        <v>4133</v>
      </c>
      <c r="B980" s="963" t="s">
        <v>1623</v>
      </c>
      <c r="C980" s="964">
        <v>629772121</v>
      </c>
    </row>
    <row r="981" spans="1:3">
      <c r="A981" s="963" t="s">
        <v>6175</v>
      </c>
      <c r="B981" s="963" t="s">
        <v>501</v>
      </c>
      <c r="C981" s="964">
        <v>765689799</v>
      </c>
    </row>
    <row r="982" spans="1:3">
      <c r="A982" s="963" t="s">
        <v>4135</v>
      </c>
      <c r="B982" s="963" t="s">
        <v>1624</v>
      </c>
      <c r="C982" s="964">
        <v>251939788</v>
      </c>
    </row>
    <row r="983" spans="1:3">
      <c r="A983" s="963" t="s">
        <v>4137</v>
      </c>
      <c r="B983" s="963" t="s">
        <v>1625</v>
      </c>
      <c r="C983" s="964">
        <v>77868027</v>
      </c>
    </row>
    <row r="984" spans="1:3">
      <c r="A984" s="963" t="s">
        <v>4139</v>
      </c>
      <c r="B984" s="963" t="s">
        <v>1626</v>
      </c>
      <c r="C984" s="964">
        <v>429976476</v>
      </c>
    </row>
    <row r="985" spans="1:3">
      <c r="A985" s="963" t="s">
        <v>1181</v>
      </c>
      <c r="B985" s="963" t="s">
        <v>1182</v>
      </c>
      <c r="C985" s="964">
        <v>0</v>
      </c>
    </row>
    <row r="986" spans="1:3">
      <c r="A986" s="963" t="s">
        <v>4141</v>
      </c>
      <c r="B986" s="963" t="s">
        <v>1627</v>
      </c>
      <c r="C986" s="964">
        <v>771025205</v>
      </c>
    </row>
    <row r="987" spans="1:3">
      <c r="A987" s="963" t="s">
        <v>4143</v>
      </c>
      <c r="B987" s="963" t="s">
        <v>1628</v>
      </c>
      <c r="C987" s="964">
        <v>3576666139</v>
      </c>
    </row>
    <row r="988" spans="1:3">
      <c r="A988" s="963" t="s">
        <v>1318</v>
      </c>
      <c r="B988" s="963" t="s">
        <v>124</v>
      </c>
      <c r="C988" s="964">
        <v>307891203</v>
      </c>
    </row>
    <row r="989" spans="1:3">
      <c r="A989" s="963" t="s">
        <v>179</v>
      </c>
      <c r="B989" s="963" t="s">
        <v>8003</v>
      </c>
      <c r="C989" s="964">
        <v>0</v>
      </c>
    </row>
    <row r="990" spans="1:3">
      <c r="A990" s="963" t="s">
        <v>2536</v>
      </c>
      <c r="B990" s="963" t="s">
        <v>344</v>
      </c>
      <c r="C990" s="964">
        <v>173975535</v>
      </c>
    </row>
    <row r="991" spans="1:3">
      <c r="A991" s="963" t="s">
        <v>2407</v>
      </c>
      <c r="B991" s="963" t="s">
        <v>2352</v>
      </c>
      <c r="C991" s="964">
        <v>842572905</v>
      </c>
    </row>
    <row r="992" spans="1:3">
      <c r="A992" s="963" t="s">
        <v>5034</v>
      </c>
      <c r="B992" s="963" t="s">
        <v>4064</v>
      </c>
      <c r="C992" s="964">
        <v>3403043003</v>
      </c>
    </row>
    <row r="993" spans="1:3">
      <c r="A993" s="963" t="s">
        <v>6174</v>
      </c>
      <c r="B993" s="963" t="s">
        <v>500</v>
      </c>
      <c r="C993" s="964">
        <v>286563258</v>
      </c>
    </row>
    <row r="994" spans="1:3">
      <c r="A994" s="963" t="s">
        <v>4145</v>
      </c>
      <c r="B994" s="963" t="s">
        <v>1629</v>
      </c>
      <c r="C994" s="964">
        <v>2516790588</v>
      </c>
    </row>
    <row r="995" spans="1:3">
      <c r="A995" s="963" t="s">
        <v>6196</v>
      </c>
      <c r="B995" s="963" t="s">
        <v>5295</v>
      </c>
      <c r="C995" s="964">
        <v>264768116</v>
      </c>
    </row>
    <row r="996" spans="1:3">
      <c r="A996" s="963" t="s">
        <v>6131</v>
      </c>
      <c r="B996" s="963" t="s">
        <v>7667</v>
      </c>
      <c r="C996" s="964">
        <v>381469178</v>
      </c>
    </row>
    <row r="997" spans="1:3">
      <c r="A997" s="963" t="s">
        <v>254</v>
      </c>
      <c r="B997" s="963" t="s">
        <v>1630</v>
      </c>
      <c r="C997" s="964">
        <v>160307311</v>
      </c>
    </row>
    <row r="998" spans="1:3">
      <c r="A998" s="963" t="s">
        <v>256</v>
      </c>
      <c r="B998" s="963" t="s">
        <v>1631</v>
      </c>
      <c r="C998" s="964">
        <v>78142802</v>
      </c>
    </row>
    <row r="999" spans="1:3">
      <c r="A999" s="963" t="s">
        <v>258</v>
      </c>
      <c r="B999" s="963" t="s">
        <v>1632</v>
      </c>
      <c r="C999" s="964">
        <v>132692310</v>
      </c>
    </row>
    <row r="1000" spans="1:3">
      <c r="A1000" s="963" t="s">
        <v>260</v>
      </c>
      <c r="B1000" s="963" t="s">
        <v>1633</v>
      </c>
      <c r="C1000" s="964">
        <v>305076195</v>
      </c>
    </row>
    <row r="1001" spans="1:3">
      <c r="A1001" s="963" t="s">
        <v>262</v>
      </c>
      <c r="B1001" s="963" t="s">
        <v>1634</v>
      </c>
      <c r="C1001" s="964">
        <v>62655932</v>
      </c>
    </row>
    <row r="1002" spans="1:3">
      <c r="A1002" s="963" t="s">
        <v>872</v>
      </c>
      <c r="B1002" s="963" t="s">
        <v>397</v>
      </c>
      <c r="C1002" s="964">
        <v>236583924</v>
      </c>
    </row>
    <row r="1003" spans="1:3">
      <c r="A1003" s="963" t="s">
        <v>874</v>
      </c>
      <c r="B1003" s="963" t="s">
        <v>6848</v>
      </c>
      <c r="C1003" s="964">
        <v>2079577375</v>
      </c>
    </row>
    <row r="1004" spans="1:3">
      <c r="A1004" s="963" t="s">
        <v>876</v>
      </c>
      <c r="B1004" s="963" t="s">
        <v>399</v>
      </c>
      <c r="C1004" s="964">
        <v>1617261946</v>
      </c>
    </row>
    <row r="1005" spans="1:3">
      <c r="A1005" s="963" t="s">
        <v>3040</v>
      </c>
      <c r="B1005" s="963" t="s">
        <v>400</v>
      </c>
      <c r="C1005" s="964">
        <v>295412697</v>
      </c>
    </row>
    <row r="1006" spans="1:3">
      <c r="A1006" s="963" t="s">
        <v>3042</v>
      </c>
      <c r="B1006" s="963" t="s">
        <v>401</v>
      </c>
      <c r="C1006" s="964">
        <v>94828777</v>
      </c>
    </row>
    <row r="1007" spans="1:3">
      <c r="A1007" s="963" t="s">
        <v>709</v>
      </c>
      <c r="B1007" s="963" t="s">
        <v>402</v>
      </c>
      <c r="C1007" s="964">
        <v>262450772</v>
      </c>
    </row>
    <row r="1008" spans="1:3">
      <c r="A1008" s="963" t="s">
        <v>3044</v>
      </c>
      <c r="B1008" s="963" t="s">
        <v>403</v>
      </c>
      <c r="C1008" s="964">
        <v>123259124</v>
      </c>
    </row>
    <row r="1009" spans="1:3">
      <c r="A1009" s="963" t="s">
        <v>2992</v>
      </c>
      <c r="B1009" s="963" t="s">
        <v>195</v>
      </c>
      <c r="C1009" s="964">
        <v>1298810807</v>
      </c>
    </row>
    <row r="1010" spans="1:3">
      <c r="A1010" s="963" t="s">
        <v>3046</v>
      </c>
      <c r="B1010" s="963" t="s">
        <v>404</v>
      </c>
      <c r="C1010" s="964">
        <v>399434152</v>
      </c>
    </row>
    <row r="1011" spans="1:3">
      <c r="A1011" s="963" t="s">
        <v>1183</v>
      </c>
      <c r="B1011" s="963" t="s">
        <v>8004</v>
      </c>
      <c r="C1011" s="964">
        <v>0</v>
      </c>
    </row>
    <row r="1012" spans="1:3">
      <c r="A1012" s="963" t="s">
        <v>264</v>
      </c>
      <c r="B1012" s="963" t="s">
        <v>7681</v>
      </c>
      <c r="C1012" s="964">
        <v>7215805166</v>
      </c>
    </row>
    <row r="1013" spans="1:3">
      <c r="A1013" s="963" t="s">
        <v>2306</v>
      </c>
      <c r="B1013" s="963" t="s">
        <v>363</v>
      </c>
      <c r="C1013" s="964">
        <v>237550730</v>
      </c>
    </row>
    <row r="1014" spans="1:3">
      <c r="A1014" s="963" t="s">
        <v>3048</v>
      </c>
      <c r="B1014" s="963" t="s">
        <v>2898</v>
      </c>
      <c r="C1014" s="964">
        <v>836371686</v>
      </c>
    </row>
    <row r="1015" spans="1:3">
      <c r="A1015" s="963" t="s">
        <v>3049</v>
      </c>
      <c r="B1015" s="963" t="s">
        <v>405</v>
      </c>
      <c r="C1015" s="964">
        <v>821149682</v>
      </c>
    </row>
    <row r="1016" spans="1:3">
      <c r="A1016" s="963" t="s">
        <v>1185</v>
      </c>
      <c r="C1016" s="964">
        <v>0</v>
      </c>
    </row>
    <row r="1017" spans="1:3">
      <c r="A1017" s="963" t="s">
        <v>5035</v>
      </c>
      <c r="B1017" s="963" t="s">
        <v>6064</v>
      </c>
      <c r="C1017" s="964">
        <v>131994405</v>
      </c>
    </row>
    <row r="1018" spans="1:3">
      <c r="A1018" s="963" t="s">
        <v>5131</v>
      </c>
      <c r="B1018" s="963" t="s">
        <v>350</v>
      </c>
      <c r="C1018" s="964">
        <v>81658585</v>
      </c>
    </row>
    <row r="1019" spans="1:3">
      <c r="A1019" s="963" t="s">
        <v>5231</v>
      </c>
      <c r="B1019" s="963" t="s">
        <v>406</v>
      </c>
      <c r="C1019" s="964">
        <v>488956398</v>
      </c>
    </row>
    <row r="1020" spans="1:3">
      <c r="A1020" s="963" t="s">
        <v>3109</v>
      </c>
      <c r="B1020" s="963" t="s">
        <v>4271</v>
      </c>
      <c r="C1020" s="964">
        <v>2936228537</v>
      </c>
    </row>
    <row r="1021" spans="1:3">
      <c r="A1021" s="963" t="s">
        <v>3111</v>
      </c>
      <c r="B1021" s="963" t="s">
        <v>3193</v>
      </c>
      <c r="C1021" s="964">
        <v>1496600562</v>
      </c>
    </row>
    <row r="1022" spans="1:3">
      <c r="A1022" s="963" t="s">
        <v>1187</v>
      </c>
      <c r="B1022" s="963" t="s">
        <v>1188</v>
      </c>
      <c r="C1022" s="964">
        <v>0</v>
      </c>
    </row>
    <row r="1023" spans="1:3">
      <c r="A1023" s="963" t="s">
        <v>3113</v>
      </c>
      <c r="B1023" s="963" t="s">
        <v>3194</v>
      </c>
      <c r="C1023" s="964">
        <v>276889812</v>
      </c>
    </row>
    <row r="1024" spans="1:3">
      <c r="A1024" s="963" t="s">
        <v>975</v>
      </c>
      <c r="B1024" s="963" t="s">
        <v>7692</v>
      </c>
      <c r="C1024" s="964">
        <v>45127882</v>
      </c>
    </row>
    <row r="1025" spans="1:3">
      <c r="A1025" s="963" t="s">
        <v>2771</v>
      </c>
      <c r="B1025" s="963" t="s">
        <v>364</v>
      </c>
      <c r="C1025" s="964">
        <v>175197147</v>
      </c>
    </row>
    <row r="1026" spans="1:3">
      <c r="A1026" s="963" t="s">
        <v>2821</v>
      </c>
      <c r="B1026" s="963" t="s">
        <v>3195</v>
      </c>
      <c r="C1026" s="964">
        <v>185183849</v>
      </c>
    </row>
    <row r="1027" spans="1:3">
      <c r="A1027" s="963" t="s">
        <v>4589</v>
      </c>
      <c r="B1027" s="963" t="s">
        <v>998</v>
      </c>
      <c r="C1027" s="964">
        <v>57373906</v>
      </c>
    </row>
    <row r="1028" spans="1:3">
      <c r="A1028" s="963" t="s">
        <v>2572</v>
      </c>
      <c r="B1028" s="963" t="s">
        <v>3196</v>
      </c>
      <c r="C1028" s="964">
        <v>907394078</v>
      </c>
    </row>
    <row r="1029" spans="1:3">
      <c r="A1029" s="963" t="s">
        <v>1507</v>
      </c>
      <c r="B1029" s="963" t="s">
        <v>7694</v>
      </c>
      <c r="C1029" s="964">
        <v>30014812</v>
      </c>
    </row>
    <row r="1030" spans="1:3">
      <c r="A1030" s="963" t="s">
        <v>2574</v>
      </c>
      <c r="B1030" s="963" t="s">
        <v>3197</v>
      </c>
      <c r="C1030" s="964">
        <v>400594467</v>
      </c>
    </row>
    <row r="1031" spans="1:3">
      <c r="A1031" s="963" t="s">
        <v>2576</v>
      </c>
      <c r="B1031" s="963" t="s">
        <v>3198</v>
      </c>
      <c r="C1031" s="964">
        <v>134750834</v>
      </c>
    </row>
    <row r="1032" spans="1:3">
      <c r="A1032" s="963" t="s">
        <v>2578</v>
      </c>
      <c r="B1032" s="963" t="s">
        <v>3199</v>
      </c>
      <c r="C1032" s="964">
        <v>533525972</v>
      </c>
    </row>
    <row r="1033" spans="1:3">
      <c r="A1033" s="963" t="s">
        <v>158</v>
      </c>
      <c r="B1033" s="963" t="s">
        <v>3200</v>
      </c>
      <c r="C1033" s="964">
        <v>802175553</v>
      </c>
    </row>
    <row r="1034" spans="1:3">
      <c r="A1034" s="963" t="s">
        <v>5211</v>
      </c>
      <c r="B1034" s="963" t="s">
        <v>3201</v>
      </c>
      <c r="C1034" s="964">
        <v>546714424</v>
      </c>
    </row>
    <row r="1035" spans="1:3">
      <c r="A1035" s="963" t="s">
        <v>5213</v>
      </c>
      <c r="B1035" s="963" t="s">
        <v>3202</v>
      </c>
      <c r="C1035" s="964">
        <v>81721599</v>
      </c>
    </row>
    <row r="1036" spans="1:3">
      <c r="A1036" s="963" t="s">
        <v>5215</v>
      </c>
      <c r="B1036" s="963" t="s">
        <v>3203</v>
      </c>
      <c r="C1036" s="964">
        <v>3491437359</v>
      </c>
    </row>
    <row r="1037" spans="1:3">
      <c r="A1037" s="963" t="s">
        <v>5217</v>
      </c>
      <c r="B1037" s="963" t="s">
        <v>3204</v>
      </c>
      <c r="C1037" s="964">
        <v>309621074</v>
      </c>
    </row>
    <row r="1038" spans="1:3">
      <c r="A1038" s="963" t="s">
        <v>5219</v>
      </c>
      <c r="B1038" s="963" t="s">
        <v>3205</v>
      </c>
      <c r="C1038" s="964">
        <v>84327651</v>
      </c>
    </row>
    <row r="1039" spans="1:3">
      <c r="A1039" s="963" t="s">
        <v>2125</v>
      </c>
      <c r="B1039" s="963" t="s">
        <v>3206</v>
      </c>
      <c r="C1039" s="964">
        <v>5743578542</v>
      </c>
    </row>
    <row r="1040" spans="1:3">
      <c r="A1040" s="963" t="s">
        <v>870</v>
      </c>
      <c r="B1040" s="963" t="s">
        <v>373</v>
      </c>
      <c r="C1040" s="964">
        <v>1064924748</v>
      </c>
    </row>
    <row r="1041" spans="1:3">
      <c r="A1041" s="963" t="s">
        <v>5615</v>
      </c>
      <c r="B1041" s="963" t="s">
        <v>3207</v>
      </c>
      <c r="C1041" s="964">
        <v>229418419</v>
      </c>
    </row>
    <row r="1042" spans="1:3">
      <c r="A1042" s="963" t="s">
        <v>4590</v>
      </c>
      <c r="B1042" s="963" t="s">
        <v>498</v>
      </c>
      <c r="C1042" s="964">
        <v>61122187</v>
      </c>
    </row>
    <row r="1043" spans="1:3">
      <c r="A1043" s="963" t="s">
        <v>860</v>
      </c>
      <c r="B1043" s="963" t="s">
        <v>4294</v>
      </c>
      <c r="C1043" s="964">
        <v>176551026</v>
      </c>
    </row>
    <row r="1044" spans="1:3">
      <c r="A1044" s="963" t="s">
        <v>4591</v>
      </c>
      <c r="B1044" s="963" t="s">
        <v>3834</v>
      </c>
      <c r="C1044" s="964">
        <v>4668411</v>
      </c>
    </row>
    <row r="1045" spans="1:3">
      <c r="A1045" s="963" t="s">
        <v>5617</v>
      </c>
      <c r="B1045" s="963" t="s">
        <v>3208</v>
      </c>
      <c r="C1045" s="964">
        <v>1969012867</v>
      </c>
    </row>
    <row r="1046" spans="1:3">
      <c r="A1046" s="963" t="s">
        <v>3150</v>
      </c>
      <c r="B1046" s="963" t="s">
        <v>3209</v>
      </c>
      <c r="C1046" s="964">
        <v>78593635</v>
      </c>
    </row>
    <row r="1047" spans="1:3">
      <c r="A1047" s="963" t="s">
        <v>3152</v>
      </c>
      <c r="B1047" s="963" t="s">
        <v>3210</v>
      </c>
      <c r="C1047" s="964">
        <v>32723033</v>
      </c>
    </row>
    <row r="1048" spans="1:3">
      <c r="A1048" s="963" t="s">
        <v>1949</v>
      </c>
      <c r="B1048" s="963" t="s">
        <v>327</v>
      </c>
      <c r="C1048" s="964">
        <v>63903033</v>
      </c>
    </row>
    <row r="1049" spans="1:3">
      <c r="A1049" s="963" t="s">
        <v>1951</v>
      </c>
      <c r="B1049" s="963" t="s">
        <v>3627</v>
      </c>
      <c r="C1049" s="964">
        <v>70021453</v>
      </c>
    </row>
    <row r="1050" spans="1:3">
      <c r="A1050" s="963" t="s">
        <v>3154</v>
      </c>
      <c r="B1050" s="963" t="s">
        <v>3211</v>
      </c>
      <c r="C1050" s="964">
        <v>2082789459</v>
      </c>
    </row>
    <row r="1051" spans="1:3">
      <c r="A1051" s="963" t="s">
        <v>3883</v>
      </c>
      <c r="B1051" s="963" t="s">
        <v>6100</v>
      </c>
      <c r="C1051" s="964">
        <v>98314998</v>
      </c>
    </row>
    <row r="1052" spans="1:3">
      <c r="A1052" s="963" t="s">
        <v>3156</v>
      </c>
      <c r="B1052" s="963" t="s">
        <v>3212</v>
      </c>
      <c r="C1052" s="964">
        <v>463872417</v>
      </c>
    </row>
    <row r="1053" spans="1:3">
      <c r="A1053" s="963" t="s">
        <v>3158</v>
      </c>
      <c r="B1053" s="963" t="s">
        <v>3213</v>
      </c>
      <c r="C1053" s="964">
        <v>356020009</v>
      </c>
    </row>
    <row r="1054" spans="1:3">
      <c r="A1054" s="963" t="s">
        <v>3160</v>
      </c>
      <c r="B1054" s="963" t="s">
        <v>3214</v>
      </c>
      <c r="C1054" s="964">
        <v>86015941</v>
      </c>
    </row>
    <row r="1055" spans="1:3">
      <c r="A1055" s="963" t="s">
        <v>3162</v>
      </c>
      <c r="B1055" s="963" t="s">
        <v>3215</v>
      </c>
      <c r="C1055" s="964">
        <v>274179860</v>
      </c>
    </row>
    <row r="1056" spans="1:3">
      <c r="A1056" s="963" t="s">
        <v>569</v>
      </c>
      <c r="B1056" s="963" t="s">
        <v>3216</v>
      </c>
      <c r="C1056" s="964">
        <v>93000264</v>
      </c>
    </row>
    <row r="1057" spans="1:3">
      <c r="A1057" s="963" t="s">
        <v>571</v>
      </c>
      <c r="B1057" s="963" t="s">
        <v>4309</v>
      </c>
      <c r="C1057" s="964">
        <v>850692743</v>
      </c>
    </row>
    <row r="1058" spans="1:3">
      <c r="A1058" s="963" t="s">
        <v>3181</v>
      </c>
      <c r="B1058" s="963" t="s">
        <v>3596</v>
      </c>
      <c r="C1058" s="964">
        <v>278452821</v>
      </c>
    </row>
    <row r="1059" spans="1:3">
      <c r="A1059" s="963" t="s">
        <v>2071</v>
      </c>
      <c r="B1059" s="963" t="s">
        <v>7687</v>
      </c>
      <c r="C1059" s="964">
        <v>681491072</v>
      </c>
    </row>
    <row r="1060" spans="1:3">
      <c r="A1060" s="963" t="s">
        <v>3183</v>
      </c>
      <c r="B1060" s="963" t="s">
        <v>3597</v>
      </c>
      <c r="C1060" s="964">
        <v>1112566203</v>
      </c>
    </row>
    <row r="1061" spans="1:3">
      <c r="A1061" s="963" t="s">
        <v>924</v>
      </c>
      <c r="B1061" s="963" t="s">
        <v>3598</v>
      </c>
      <c r="C1061" s="964">
        <v>1201631236</v>
      </c>
    </row>
    <row r="1062" spans="1:3">
      <c r="A1062" s="963" t="s">
        <v>6165</v>
      </c>
      <c r="B1062" s="963" t="s">
        <v>6069</v>
      </c>
      <c r="C1062" s="964">
        <v>237555352</v>
      </c>
    </row>
    <row r="1063" spans="1:3">
      <c r="A1063" s="963" t="s">
        <v>6187</v>
      </c>
      <c r="B1063" s="963" t="s">
        <v>3832</v>
      </c>
      <c r="C1063" s="964">
        <v>210327477</v>
      </c>
    </row>
    <row r="1064" spans="1:3">
      <c r="A1064" s="963" t="s">
        <v>1837</v>
      </c>
      <c r="B1064" s="963" t="s">
        <v>1468</v>
      </c>
      <c r="C1064" s="964">
        <v>304182668</v>
      </c>
    </row>
    <row r="1065" spans="1:3">
      <c r="A1065" s="963" t="s">
        <v>3884</v>
      </c>
      <c r="B1065" s="963" t="s">
        <v>5362</v>
      </c>
      <c r="C1065" s="964">
        <v>221958120</v>
      </c>
    </row>
    <row r="1066" spans="1:3">
      <c r="A1066" s="963" t="s">
        <v>2390</v>
      </c>
      <c r="B1066" s="963" t="s">
        <v>1455</v>
      </c>
      <c r="C1066" s="964">
        <v>164661386</v>
      </c>
    </row>
    <row r="1067" spans="1:3">
      <c r="A1067" s="963" t="s">
        <v>926</v>
      </c>
      <c r="B1067" s="963" t="s">
        <v>3599</v>
      </c>
      <c r="C1067" s="964">
        <v>51978079</v>
      </c>
    </row>
    <row r="1068" spans="1:3">
      <c r="A1068" s="963" t="s">
        <v>928</v>
      </c>
      <c r="B1068" s="963" t="s">
        <v>1840</v>
      </c>
      <c r="C1068" s="964">
        <v>37705642</v>
      </c>
    </row>
    <row r="1069" spans="1:3">
      <c r="A1069" s="963" t="s">
        <v>930</v>
      </c>
      <c r="B1069" s="963" t="s">
        <v>1841</v>
      </c>
      <c r="C1069" s="964">
        <v>335213006</v>
      </c>
    </row>
    <row r="1070" spans="1:3">
      <c r="A1070" s="963" t="s">
        <v>932</v>
      </c>
      <c r="B1070" s="963" t="s">
        <v>1842</v>
      </c>
      <c r="C1070" s="964">
        <v>443504226</v>
      </c>
    </row>
    <row r="1071" spans="1:3">
      <c r="A1071" s="963" t="s">
        <v>934</v>
      </c>
      <c r="B1071" s="963" t="s">
        <v>0</v>
      </c>
      <c r="C1071" s="964">
        <v>2348576339</v>
      </c>
    </row>
    <row r="1072" spans="1:3">
      <c r="A1072" s="963" t="s">
        <v>936</v>
      </c>
      <c r="B1072" s="963" t="s">
        <v>1</v>
      </c>
      <c r="C1072" s="964">
        <v>208654264</v>
      </c>
    </row>
    <row r="1073" spans="1:3">
      <c r="A1073" s="963" t="s">
        <v>5145</v>
      </c>
      <c r="B1073" s="963" t="s">
        <v>2</v>
      </c>
      <c r="C1073" s="964">
        <v>273737515</v>
      </c>
    </row>
    <row r="1074" spans="1:3">
      <c r="A1074" s="963" t="s">
        <v>2950</v>
      </c>
      <c r="B1074" s="963" t="s">
        <v>3</v>
      </c>
      <c r="C1074" s="964">
        <v>52054483</v>
      </c>
    </row>
    <row r="1075" spans="1:3">
      <c r="A1075" s="963" t="s">
        <v>2952</v>
      </c>
      <c r="B1075" s="963" t="s">
        <v>4</v>
      </c>
      <c r="C1075" s="964">
        <v>554487480</v>
      </c>
    </row>
    <row r="1076" spans="1:3">
      <c r="A1076" s="963" t="s">
        <v>2526</v>
      </c>
      <c r="B1076" s="963" t="s">
        <v>5</v>
      </c>
      <c r="C1076" s="964">
        <v>273734487</v>
      </c>
    </row>
    <row r="1077" spans="1:3">
      <c r="A1077" s="963" t="s">
        <v>3885</v>
      </c>
      <c r="B1077" s="963" t="s">
        <v>1465</v>
      </c>
      <c r="C1077" s="964">
        <v>229183869</v>
      </c>
    </row>
    <row r="1078" spans="1:3">
      <c r="A1078" s="963" t="s">
        <v>2528</v>
      </c>
      <c r="B1078" s="963" t="s">
        <v>6</v>
      </c>
      <c r="C1078" s="964">
        <v>81231456</v>
      </c>
    </row>
    <row r="1079" spans="1:3">
      <c r="A1079" s="963" t="s">
        <v>2530</v>
      </c>
      <c r="B1079" s="963" t="s">
        <v>7</v>
      </c>
      <c r="C1079" s="964">
        <v>193633098</v>
      </c>
    </row>
    <row r="1080" spans="1:3">
      <c r="A1080" s="963" t="s">
        <v>2532</v>
      </c>
      <c r="B1080" s="963" t="s">
        <v>8</v>
      </c>
      <c r="C1080" s="964">
        <v>73358829</v>
      </c>
    </row>
    <row r="1081" spans="1:3">
      <c r="A1081" s="963" t="s">
        <v>2316</v>
      </c>
      <c r="B1081" s="963" t="s">
        <v>9</v>
      </c>
      <c r="C1081" s="964">
        <v>168866945</v>
      </c>
    </row>
    <row r="1082" spans="1:3">
      <c r="A1082" s="963" t="s">
        <v>5105</v>
      </c>
      <c r="B1082" s="963" t="s">
        <v>10</v>
      </c>
      <c r="C1082" s="964">
        <v>471260217</v>
      </c>
    </row>
    <row r="1083" spans="1:3">
      <c r="A1083" s="963" t="s">
        <v>1191</v>
      </c>
      <c r="B1083" s="963" t="s">
        <v>1192</v>
      </c>
      <c r="C1083" s="964">
        <v>0</v>
      </c>
    </row>
    <row r="1084" spans="1:3">
      <c r="A1084" s="963" t="s">
        <v>3380</v>
      </c>
      <c r="B1084" s="963" t="s">
        <v>3381</v>
      </c>
      <c r="C1084" s="964">
        <v>0</v>
      </c>
    </row>
    <row r="1085" spans="1:3">
      <c r="A1085" s="963" t="s">
        <v>5036</v>
      </c>
      <c r="B1085" s="963" t="s">
        <v>7689</v>
      </c>
      <c r="C1085" s="964">
        <v>421396802</v>
      </c>
    </row>
    <row r="1086" spans="1:3">
      <c r="A1086" s="963" t="s">
        <v>2430</v>
      </c>
      <c r="B1086" s="963" t="s">
        <v>11</v>
      </c>
      <c r="C1086" s="964">
        <v>706344539</v>
      </c>
    </row>
    <row r="1087" spans="1:3">
      <c r="A1087" s="963" t="s">
        <v>2432</v>
      </c>
      <c r="B1087" s="963" t="s">
        <v>12</v>
      </c>
      <c r="C1087" s="964">
        <v>1028398288</v>
      </c>
    </row>
    <row r="1088" spans="1:3">
      <c r="A1088" s="963" t="s">
        <v>5339</v>
      </c>
      <c r="B1088" s="963" t="s">
        <v>13</v>
      </c>
      <c r="C1088" s="964">
        <v>421929777</v>
      </c>
    </row>
    <row r="1089" spans="1:3">
      <c r="A1089" s="963" t="s">
        <v>5341</v>
      </c>
      <c r="B1089" s="963" t="s">
        <v>14</v>
      </c>
      <c r="C1089" s="964">
        <v>6995025898</v>
      </c>
    </row>
    <row r="1090" spans="1:3">
      <c r="A1090" s="963" t="s">
        <v>858</v>
      </c>
      <c r="B1090" s="963" t="s">
        <v>4070</v>
      </c>
      <c r="C1090" s="964">
        <v>1595701517</v>
      </c>
    </row>
    <row r="1091" spans="1:3">
      <c r="A1091" s="963" t="s">
        <v>5343</v>
      </c>
      <c r="B1091" s="963" t="s">
        <v>6106</v>
      </c>
      <c r="C1091" s="964">
        <v>1060813638</v>
      </c>
    </row>
    <row r="1092" spans="1:3">
      <c r="A1092" s="963" t="s">
        <v>5344</v>
      </c>
      <c r="B1092" s="963" t="s">
        <v>15</v>
      </c>
      <c r="C1092" s="964">
        <v>327986821</v>
      </c>
    </row>
    <row r="1093" spans="1:3">
      <c r="A1093" s="963" t="s">
        <v>3382</v>
      </c>
      <c r="B1093" s="963" t="s">
        <v>3383</v>
      </c>
      <c r="C1093" s="964">
        <v>0</v>
      </c>
    </row>
    <row r="1094" spans="1:3">
      <c r="A1094" s="963" t="s">
        <v>5346</v>
      </c>
      <c r="B1094" s="963" t="s">
        <v>16</v>
      </c>
      <c r="C1094" s="964">
        <v>3501347297</v>
      </c>
    </row>
    <row r="1095" spans="1:3">
      <c r="A1095" s="963" t="s">
        <v>2770</v>
      </c>
      <c r="B1095" s="963" t="s">
        <v>360</v>
      </c>
      <c r="C1095" s="964">
        <v>1327619842</v>
      </c>
    </row>
    <row r="1096" spans="1:3">
      <c r="A1096" s="963" t="s">
        <v>5348</v>
      </c>
      <c r="B1096" s="963" t="s">
        <v>1718</v>
      </c>
      <c r="C1096" s="964">
        <v>274615852</v>
      </c>
    </row>
    <row r="1097" spans="1:3">
      <c r="A1097" s="963" t="s">
        <v>3886</v>
      </c>
      <c r="B1097" s="963" t="s">
        <v>368</v>
      </c>
      <c r="C1097" s="964">
        <v>473522919</v>
      </c>
    </row>
    <row r="1098" spans="1:3">
      <c r="A1098" s="963" t="s">
        <v>5350</v>
      </c>
      <c r="B1098" s="963" t="s">
        <v>1719</v>
      </c>
      <c r="C1098" s="964">
        <v>701303302</v>
      </c>
    </row>
    <row r="1099" spans="1:3">
      <c r="A1099" s="963" t="s">
        <v>3139</v>
      </c>
      <c r="B1099" s="963" t="s">
        <v>1720</v>
      </c>
      <c r="C1099" s="964">
        <v>1379836901</v>
      </c>
    </row>
    <row r="1100" spans="1:3">
      <c r="A1100" s="963" t="s">
        <v>1530</v>
      </c>
      <c r="B1100" s="963" t="s">
        <v>1721</v>
      </c>
      <c r="C1100" s="964">
        <v>170401007</v>
      </c>
    </row>
    <row r="1101" spans="1:3">
      <c r="A1101" s="963" t="s">
        <v>1532</v>
      </c>
      <c r="B1101" s="963" t="s">
        <v>1722</v>
      </c>
      <c r="C1101" s="964">
        <v>1346864898</v>
      </c>
    </row>
    <row r="1102" spans="1:3">
      <c r="A1102" s="963" t="s">
        <v>624</v>
      </c>
      <c r="B1102" s="963" t="s">
        <v>1723</v>
      </c>
      <c r="C1102" s="964">
        <v>75971453</v>
      </c>
    </row>
    <row r="1103" spans="1:3">
      <c r="A1103" s="963" t="s">
        <v>626</v>
      </c>
      <c r="B1103" s="963" t="s">
        <v>1724</v>
      </c>
      <c r="C1103" s="964">
        <v>138700595</v>
      </c>
    </row>
    <row r="1104" spans="1:3">
      <c r="A1104" s="963" t="s">
        <v>628</v>
      </c>
      <c r="B1104" s="963" t="s">
        <v>1725</v>
      </c>
      <c r="C1104" s="964">
        <v>55998785</v>
      </c>
    </row>
    <row r="1105" spans="1:3">
      <c r="A1105" s="963" t="s">
        <v>630</v>
      </c>
      <c r="B1105" s="963" t="s">
        <v>3384</v>
      </c>
      <c r="C1105" s="964">
        <v>0</v>
      </c>
    </row>
    <row r="1106" spans="1:3">
      <c r="A1106" s="963" t="s">
        <v>3184</v>
      </c>
      <c r="B1106" s="963" t="s">
        <v>3385</v>
      </c>
      <c r="C1106" s="964">
        <v>0</v>
      </c>
    </row>
    <row r="1107" spans="1:3">
      <c r="A1107" s="963" t="s">
        <v>3387</v>
      </c>
      <c r="B1107" s="963" t="s">
        <v>3388</v>
      </c>
      <c r="C1107" s="964">
        <v>0</v>
      </c>
    </row>
    <row r="1108" spans="1:3">
      <c r="A1108" s="963" t="s">
        <v>3389</v>
      </c>
      <c r="B1108" s="963" t="s">
        <v>3390</v>
      </c>
      <c r="C1108" s="964">
        <v>0</v>
      </c>
    </row>
    <row r="1109" spans="1:3">
      <c r="A1109" s="963" t="s">
        <v>3392</v>
      </c>
      <c r="B1109" s="963" t="s">
        <v>8005</v>
      </c>
      <c r="C1109" s="964">
        <v>0</v>
      </c>
    </row>
    <row r="1110" spans="1:3">
      <c r="A1110" s="963" t="s">
        <v>3394</v>
      </c>
      <c r="B1110" s="963" t="s">
        <v>8006</v>
      </c>
      <c r="C1110" s="964">
        <v>0</v>
      </c>
    </row>
    <row r="1111" spans="1:3">
      <c r="A1111" s="963" t="s">
        <v>3396</v>
      </c>
      <c r="B1111" s="963" t="s">
        <v>8007</v>
      </c>
      <c r="C1111" s="964">
        <v>0</v>
      </c>
    </row>
    <row r="1112" spans="1:3">
      <c r="A1112" s="963" t="s">
        <v>3398</v>
      </c>
      <c r="B1112" s="963" t="s">
        <v>8008</v>
      </c>
      <c r="C1112" s="964">
        <v>0</v>
      </c>
    </row>
    <row r="1113" spans="1:3">
      <c r="A1113" s="963" t="s">
        <v>3400</v>
      </c>
      <c r="B1113" s="963" t="s">
        <v>8009</v>
      </c>
      <c r="C1113" s="964">
        <v>0</v>
      </c>
    </row>
    <row r="1114" spans="1:3">
      <c r="A1114" s="963" t="s">
        <v>180</v>
      </c>
      <c r="B1114" s="963" t="s">
        <v>8010</v>
      </c>
      <c r="C1114" s="964">
        <v>0</v>
      </c>
    </row>
    <row r="1115" spans="1:3">
      <c r="A1115" s="963" t="s">
        <v>181</v>
      </c>
      <c r="B1115" s="963" t="s">
        <v>8011</v>
      </c>
      <c r="C1115" s="964">
        <v>0</v>
      </c>
    </row>
    <row r="1116" spans="1:3">
      <c r="A1116" s="963" t="s">
        <v>7801</v>
      </c>
      <c r="B1116" s="963" t="s">
        <v>8012</v>
      </c>
      <c r="C1116" s="964">
        <v>0</v>
      </c>
    </row>
    <row r="1117" spans="1:3">
      <c r="A1117" s="963" t="s">
        <v>7802</v>
      </c>
      <c r="B1117" s="963" t="s">
        <v>8013</v>
      </c>
      <c r="C1117" s="964">
        <v>0</v>
      </c>
    </row>
    <row r="1118" spans="1:3">
      <c r="A1118" s="963" t="s">
        <v>269</v>
      </c>
      <c r="B1118" s="963" t="s">
        <v>7688</v>
      </c>
      <c r="C1118" s="964">
        <v>20246338887</v>
      </c>
    </row>
    <row r="1119" spans="1:3">
      <c r="A1119" s="963" t="s">
        <v>951</v>
      </c>
      <c r="B1119" s="963" t="s">
        <v>7656</v>
      </c>
      <c r="C1119" s="964">
        <v>7366103594</v>
      </c>
    </row>
    <row r="1120" spans="1:3">
      <c r="A1120" s="963" t="s">
        <v>409</v>
      </c>
      <c r="B1120" s="963" t="s">
        <v>1726</v>
      </c>
      <c r="C1120" s="964">
        <v>1121628077</v>
      </c>
    </row>
    <row r="1121" spans="1:3">
      <c r="A1121" s="963" t="s">
        <v>3996</v>
      </c>
      <c r="B1121" s="963" t="s">
        <v>1727</v>
      </c>
      <c r="C1121" s="964">
        <v>25491845650</v>
      </c>
    </row>
    <row r="1122" spans="1:3">
      <c r="A1122" s="963" t="s">
        <v>3998</v>
      </c>
      <c r="B1122" s="963" t="s">
        <v>1728</v>
      </c>
      <c r="C1122" s="964">
        <v>10315762623</v>
      </c>
    </row>
    <row r="1123" spans="1:3">
      <c r="A1123" s="963" t="s">
        <v>6030</v>
      </c>
      <c r="B1123" s="963" t="s">
        <v>1915</v>
      </c>
      <c r="C1123" s="964">
        <v>10839061530</v>
      </c>
    </row>
    <row r="1124" spans="1:3">
      <c r="A1124" s="963" t="s">
        <v>3002</v>
      </c>
      <c r="B1124" s="963" t="s">
        <v>6062</v>
      </c>
      <c r="C1124" s="964">
        <v>9297133263</v>
      </c>
    </row>
    <row r="1125" spans="1:3">
      <c r="A1125" s="963" t="s">
        <v>2986</v>
      </c>
      <c r="B1125" s="963" t="s">
        <v>186</v>
      </c>
      <c r="C1125" s="964">
        <v>716140700</v>
      </c>
    </row>
    <row r="1126" spans="1:3">
      <c r="A1126" s="963" t="s">
        <v>246</v>
      </c>
      <c r="B1126" s="963" t="s">
        <v>1668</v>
      </c>
      <c r="C1126" s="964">
        <v>5037034648</v>
      </c>
    </row>
    <row r="1127" spans="1:3">
      <c r="A1127" s="963" t="s">
        <v>6032</v>
      </c>
      <c r="B1127" s="963" t="s">
        <v>1918</v>
      </c>
      <c r="C1127" s="964">
        <v>990547836</v>
      </c>
    </row>
    <row r="1128" spans="1:3">
      <c r="A1128" s="963" t="s">
        <v>946</v>
      </c>
      <c r="B1128" s="963" t="s">
        <v>7693</v>
      </c>
      <c r="C1128" s="964">
        <v>2340783233</v>
      </c>
    </row>
    <row r="1129" spans="1:3">
      <c r="A1129" s="963" t="s">
        <v>1875</v>
      </c>
      <c r="B1129" s="963" t="s">
        <v>3858</v>
      </c>
      <c r="C1129" s="964">
        <v>8723162684</v>
      </c>
    </row>
    <row r="1130" spans="1:3">
      <c r="A1130" s="963" t="s">
        <v>6682</v>
      </c>
      <c r="B1130" s="963" t="s">
        <v>6103</v>
      </c>
      <c r="C1130" s="964">
        <v>488454077</v>
      </c>
    </row>
    <row r="1131" spans="1:3">
      <c r="A1131" s="963" t="s">
        <v>4002</v>
      </c>
      <c r="B1131" s="963" t="s">
        <v>1729</v>
      </c>
      <c r="C1131" s="964">
        <v>6424673209</v>
      </c>
    </row>
    <row r="1132" spans="1:3">
      <c r="A1132" s="963" t="s">
        <v>6681</v>
      </c>
      <c r="B1132" s="963" t="s">
        <v>6102</v>
      </c>
      <c r="C1132" s="964">
        <v>5378979309</v>
      </c>
    </row>
    <row r="1133" spans="1:3">
      <c r="A1133" s="963" t="s">
        <v>857</v>
      </c>
      <c r="B1133" s="963" t="s">
        <v>4069</v>
      </c>
      <c r="C1133" s="964">
        <v>1541859479</v>
      </c>
    </row>
    <row r="1134" spans="1:3">
      <c r="A1134" s="963" t="s">
        <v>3402</v>
      </c>
      <c r="C1134" s="964">
        <v>0</v>
      </c>
    </row>
    <row r="1135" spans="1:3">
      <c r="A1135" s="963" t="s">
        <v>4004</v>
      </c>
      <c r="B1135" s="963" t="s">
        <v>8014</v>
      </c>
      <c r="C1135" s="964">
        <v>0</v>
      </c>
    </row>
    <row r="1136" spans="1:3">
      <c r="A1136" s="963" t="s">
        <v>4006</v>
      </c>
      <c r="B1136" s="963" t="s">
        <v>1730</v>
      </c>
      <c r="C1136" s="964">
        <v>3788924941</v>
      </c>
    </row>
    <row r="1137" spans="1:3">
      <c r="A1137" s="963" t="s">
        <v>4008</v>
      </c>
      <c r="B1137" s="963" t="s">
        <v>1731</v>
      </c>
      <c r="C1137" s="964">
        <v>389548173</v>
      </c>
    </row>
    <row r="1138" spans="1:3">
      <c r="A1138" s="963" t="s">
        <v>4010</v>
      </c>
      <c r="B1138" s="963" t="s">
        <v>1732</v>
      </c>
      <c r="C1138" s="964">
        <v>174517327</v>
      </c>
    </row>
    <row r="1139" spans="1:3">
      <c r="A1139" s="963" t="s">
        <v>4012</v>
      </c>
      <c r="B1139" s="963" t="s">
        <v>4374</v>
      </c>
      <c r="C1139" s="964">
        <v>312879671</v>
      </c>
    </row>
    <row r="1140" spans="1:3">
      <c r="A1140" s="963" t="s">
        <v>4014</v>
      </c>
      <c r="B1140" s="963" t="s">
        <v>2008</v>
      </c>
      <c r="C1140" s="964">
        <v>1219304939</v>
      </c>
    </row>
    <row r="1141" spans="1:3">
      <c r="A1141" s="963" t="s">
        <v>3405</v>
      </c>
      <c r="C1141" s="964">
        <v>0</v>
      </c>
    </row>
    <row r="1142" spans="1:3">
      <c r="A1142" s="963" t="s">
        <v>4015</v>
      </c>
      <c r="B1142" s="963" t="s">
        <v>1734</v>
      </c>
      <c r="C1142" s="964">
        <v>766698662</v>
      </c>
    </row>
    <row r="1143" spans="1:3">
      <c r="A1143" s="963" t="s">
        <v>6120</v>
      </c>
      <c r="B1143" s="963" t="s">
        <v>1735</v>
      </c>
      <c r="C1143" s="964">
        <v>660444690</v>
      </c>
    </row>
    <row r="1144" spans="1:3">
      <c r="A1144" s="963" t="s">
        <v>6679</v>
      </c>
      <c r="B1144" s="963" t="s">
        <v>6078</v>
      </c>
      <c r="C1144" s="964">
        <v>69306870</v>
      </c>
    </row>
    <row r="1145" spans="1:3">
      <c r="A1145" s="963" t="s">
        <v>6122</v>
      </c>
      <c r="B1145" s="963" t="s">
        <v>4380</v>
      </c>
      <c r="C1145" s="964">
        <v>165066815</v>
      </c>
    </row>
    <row r="1146" spans="1:3">
      <c r="A1146" s="963" t="s">
        <v>1801</v>
      </c>
      <c r="B1146" s="963" t="s">
        <v>1737</v>
      </c>
      <c r="C1146" s="964">
        <v>110933716</v>
      </c>
    </row>
    <row r="1147" spans="1:3">
      <c r="A1147" s="963" t="s">
        <v>1803</v>
      </c>
      <c r="B1147" s="963" t="s">
        <v>1738</v>
      </c>
      <c r="C1147" s="964">
        <v>31078605</v>
      </c>
    </row>
    <row r="1148" spans="1:3">
      <c r="A1148" s="963" t="s">
        <v>1805</v>
      </c>
      <c r="B1148" s="963" t="s">
        <v>1739</v>
      </c>
      <c r="C1148" s="964">
        <v>2231159020</v>
      </c>
    </row>
    <row r="1149" spans="1:3">
      <c r="A1149" s="963" t="s">
        <v>1807</v>
      </c>
      <c r="B1149" s="963" t="s">
        <v>1740</v>
      </c>
      <c r="C1149" s="964">
        <v>52119316</v>
      </c>
    </row>
    <row r="1150" spans="1:3">
      <c r="A1150" s="963" t="s">
        <v>5037</v>
      </c>
      <c r="B1150" s="963" t="s">
        <v>6106</v>
      </c>
      <c r="C1150" s="964">
        <v>109791745</v>
      </c>
    </row>
    <row r="1151" spans="1:3">
      <c r="A1151" s="963" t="s">
        <v>1809</v>
      </c>
      <c r="B1151" s="963" t="s">
        <v>1741</v>
      </c>
      <c r="C1151" s="964">
        <v>134446417</v>
      </c>
    </row>
    <row r="1152" spans="1:3">
      <c r="A1152" s="963" t="s">
        <v>3407</v>
      </c>
      <c r="C1152" s="964">
        <v>0</v>
      </c>
    </row>
    <row r="1153" spans="1:3">
      <c r="A1153" s="963" t="s">
        <v>8015</v>
      </c>
      <c r="B1153" s="963" t="s">
        <v>8016</v>
      </c>
      <c r="C1153" s="964">
        <v>0</v>
      </c>
    </row>
    <row r="1154" spans="1:3">
      <c r="A1154" s="963" t="s">
        <v>1697</v>
      </c>
      <c r="B1154" s="963" t="s">
        <v>1742</v>
      </c>
      <c r="C1154" s="964">
        <v>145526498</v>
      </c>
    </row>
    <row r="1155" spans="1:3">
      <c r="A1155" s="963" t="s">
        <v>2385</v>
      </c>
      <c r="B1155" s="963" t="s">
        <v>378</v>
      </c>
      <c r="C1155" s="964">
        <v>3274710239</v>
      </c>
    </row>
    <row r="1156" spans="1:3">
      <c r="A1156" s="963" t="s">
        <v>1699</v>
      </c>
      <c r="B1156" s="963" t="s">
        <v>1743</v>
      </c>
      <c r="C1156" s="964">
        <v>113088426</v>
      </c>
    </row>
    <row r="1157" spans="1:3">
      <c r="A1157" s="963" t="s">
        <v>3554</v>
      </c>
      <c r="B1157" s="963" t="s">
        <v>4061</v>
      </c>
      <c r="C1157" s="964">
        <v>253096398</v>
      </c>
    </row>
    <row r="1158" spans="1:3">
      <c r="A1158" s="963" t="s">
        <v>1857</v>
      </c>
      <c r="B1158" s="963" t="s">
        <v>3913</v>
      </c>
      <c r="C1158" s="964">
        <v>128770984</v>
      </c>
    </row>
    <row r="1159" spans="1:3">
      <c r="A1159" s="963" t="s">
        <v>7288</v>
      </c>
      <c r="B1159" s="963" t="s">
        <v>7132</v>
      </c>
      <c r="C1159" s="964">
        <v>77428535</v>
      </c>
    </row>
    <row r="1160" spans="1:3">
      <c r="A1160" s="963" t="s">
        <v>3409</v>
      </c>
      <c r="C1160" s="964">
        <v>0</v>
      </c>
    </row>
    <row r="1161" spans="1:3">
      <c r="A1161" s="963" t="s">
        <v>3411</v>
      </c>
      <c r="B1161" s="963" t="s">
        <v>8017</v>
      </c>
      <c r="C1161" s="964">
        <v>0</v>
      </c>
    </row>
    <row r="1162" spans="1:3">
      <c r="A1162" s="963" t="s">
        <v>3415</v>
      </c>
      <c r="B1162" s="963" t="s">
        <v>3416</v>
      </c>
      <c r="C1162" s="964">
        <v>0</v>
      </c>
    </row>
    <row r="1163" spans="1:3">
      <c r="A1163" s="963" t="s">
        <v>3417</v>
      </c>
      <c r="B1163" s="963" t="s">
        <v>3418</v>
      </c>
      <c r="C1163" s="964">
        <v>0</v>
      </c>
    </row>
    <row r="1164" spans="1:3">
      <c r="A1164" s="963" t="s">
        <v>3419</v>
      </c>
      <c r="B1164" s="963" t="s">
        <v>3420</v>
      </c>
      <c r="C1164" s="964">
        <v>0</v>
      </c>
    </row>
    <row r="1165" spans="1:3">
      <c r="A1165" s="963" t="s">
        <v>3421</v>
      </c>
      <c r="B1165" s="963" t="s">
        <v>8018</v>
      </c>
      <c r="C1165" s="964">
        <v>0</v>
      </c>
    </row>
    <row r="1166" spans="1:3">
      <c r="A1166" s="963" t="s">
        <v>3423</v>
      </c>
      <c r="C1166" s="964">
        <v>0</v>
      </c>
    </row>
    <row r="1167" spans="1:3">
      <c r="A1167" s="963" t="s">
        <v>3425</v>
      </c>
      <c r="B1167" s="963" t="s">
        <v>3426</v>
      </c>
      <c r="C1167" s="964">
        <v>0</v>
      </c>
    </row>
    <row r="1168" spans="1:3">
      <c r="A1168" s="963" t="s">
        <v>7127</v>
      </c>
      <c r="B1168" s="963" t="s">
        <v>3427</v>
      </c>
      <c r="C1168" s="964">
        <v>0</v>
      </c>
    </row>
    <row r="1169" spans="1:3">
      <c r="A1169" s="963" t="s">
        <v>3428</v>
      </c>
      <c r="B1169" s="963" t="s">
        <v>8019</v>
      </c>
      <c r="C1169" s="964">
        <v>0</v>
      </c>
    </row>
    <row r="1170" spans="1:3">
      <c r="A1170" s="963" t="s">
        <v>3430</v>
      </c>
      <c r="B1170" s="963" t="s">
        <v>3431</v>
      </c>
      <c r="C1170" s="964">
        <v>0</v>
      </c>
    </row>
    <row r="1171" spans="1:3">
      <c r="A1171" s="963" t="s">
        <v>3432</v>
      </c>
      <c r="B1171" s="963" t="s">
        <v>8020</v>
      </c>
      <c r="C1171" s="964">
        <v>0</v>
      </c>
    </row>
    <row r="1172" spans="1:3">
      <c r="A1172" s="963" t="s">
        <v>3434</v>
      </c>
      <c r="B1172" s="963" t="s">
        <v>8021</v>
      </c>
      <c r="C1172" s="964">
        <v>0</v>
      </c>
    </row>
    <row r="1173" spans="1:3">
      <c r="A1173" s="963" t="s">
        <v>3436</v>
      </c>
      <c r="B1173" s="963" t="s">
        <v>8022</v>
      </c>
      <c r="C1173" s="964">
        <v>0</v>
      </c>
    </row>
    <row r="1174" spans="1:3">
      <c r="A1174" s="963" t="s">
        <v>3438</v>
      </c>
      <c r="B1174" s="963" t="s">
        <v>8023</v>
      </c>
      <c r="C1174" s="964">
        <v>0</v>
      </c>
    </row>
    <row r="1175" spans="1:3">
      <c r="A1175" s="963" t="s">
        <v>182</v>
      </c>
      <c r="B1175" s="963" t="s">
        <v>8024</v>
      </c>
      <c r="C1175" s="964">
        <v>0</v>
      </c>
    </row>
    <row r="1176" spans="1:3">
      <c r="A1176" s="963" t="s">
        <v>8051</v>
      </c>
      <c r="B1176" s="963" t="s">
        <v>8052</v>
      </c>
      <c r="C1176" s="964">
        <v>0</v>
      </c>
    </row>
    <row r="1177" spans="1:3">
      <c r="A1177" s="963" t="s">
        <v>8025</v>
      </c>
      <c r="B1177" s="963" t="s">
        <v>8026</v>
      </c>
      <c r="C1177" s="964">
        <v>0</v>
      </c>
    </row>
    <row r="1178" spans="1:3">
      <c r="A1178" s="963" t="s">
        <v>2791</v>
      </c>
      <c r="B1178" s="963" t="s">
        <v>1744</v>
      </c>
      <c r="C1178" s="964">
        <v>61899156368</v>
      </c>
    </row>
    <row r="1179" spans="1:3">
      <c r="A1179" s="963" t="s">
        <v>5124</v>
      </c>
      <c r="B1179" s="963" t="s">
        <v>339</v>
      </c>
      <c r="C1179" s="964">
        <v>7473244800</v>
      </c>
    </row>
    <row r="1180" spans="1:3">
      <c r="A1180" s="963" t="s">
        <v>3439</v>
      </c>
      <c r="B1180" s="963" t="s">
        <v>8027</v>
      </c>
      <c r="C1180" s="964">
        <v>0</v>
      </c>
    </row>
    <row r="1181" spans="1:3">
      <c r="A1181" s="963" t="s">
        <v>3441</v>
      </c>
      <c r="B1181" s="963" t="s">
        <v>3442</v>
      </c>
      <c r="C1181" s="964">
        <v>0</v>
      </c>
    </row>
    <row r="1182" spans="1:3">
      <c r="A1182" s="963" t="s">
        <v>2793</v>
      </c>
      <c r="B1182" s="963" t="s">
        <v>1745</v>
      </c>
      <c r="C1182" s="964">
        <v>2886870897</v>
      </c>
    </row>
    <row r="1183" spans="1:3">
      <c r="A1183" s="963" t="s">
        <v>2795</v>
      </c>
      <c r="B1183" s="963" t="s">
        <v>1746</v>
      </c>
      <c r="C1183" s="964">
        <v>9619167914</v>
      </c>
    </row>
    <row r="1184" spans="1:3">
      <c r="A1184" s="963" t="s">
        <v>2052</v>
      </c>
      <c r="B1184" s="963" t="s">
        <v>997</v>
      </c>
      <c r="C1184" s="964">
        <v>3189092969</v>
      </c>
    </row>
    <row r="1185" spans="1:3">
      <c r="A1185" s="963" t="s">
        <v>2797</v>
      </c>
      <c r="B1185" s="963" t="s">
        <v>1747</v>
      </c>
      <c r="C1185" s="964">
        <v>1472491727</v>
      </c>
    </row>
    <row r="1186" spans="1:3">
      <c r="A1186" s="963" t="s">
        <v>2799</v>
      </c>
      <c r="B1186" s="963" t="s">
        <v>1748</v>
      </c>
      <c r="C1186" s="964">
        <v>7055548113</v>
      </c>
    </row>
    <row r="1187" spans="1:3">
      <c r="A1187" s="963" t="s">
        <v>3443</v>
      </c>
      <c r="C1187" s="964">
        <v>0</v>
      </c>
    </row>
    <row r="1188" spans="1:3">
      <c r="A1188" s="963" t="s">
        <v>2801</v>
      </c>
      <c r="B1188" s="963" t="s">
        <v>1749</v>
      </c>
      <c r="C1188" s="964">
        <v>228814597</v>
      </c>
    </row>
    <row r="1189" spans="1:3">
      <c r="A1189" s="963" t="s">
        <v>2803</v>
      </c>
      <c r="B1189" s="963" t="s">
        <v>1750</v>
      </c>
      <c r="C1189" s="964">
        <v>291094354</v>
      </c>
    </row>
    <row r="1190" spans="1:3">
      <c r="A1190" s="963" t="s">
        <v>2805</v>
      </c>
      <c r="B1190" s="963" t="s">
        <v>297</v>
      </c>
      <c r="C1190" s="964">
        <v>26722198</v>
      </c>
    </row>
    <row r="1191" spans="1:3">
      <c r="A1191" s="963" t="s">
        <v>2806</v>
      </c>
      <c r="B1191" s="963" t="s">
        <v>1751</v>
      </c>
      <c r="C1191" s="964">
        <v>33925135</v>
      </c>
    </row>
    <row r="1192" spans="1:3">
      <c r="A1192" s="963" t="s">
        <v>232</v>
      </c>
      <c r="B1192" s="963" t="s">
        <v>2639</v>
      </c>
      <c r="C1192" s="964">
        <v>104430622</v>
      </c>
    </row>
    <row r="1193" spans="1:3">
      <c r="A1193" s="963" t="s">
        <v>3572</v>
      </c>
      <c r="B1193" s="963" t="s">
        <v>1752</v>
      </c>
      <c r="C1193" s="964">
        <v>821893150</v>
      </c>
    </row>
    <row r="1194" spans="1:3">
      <c r="A1194" s="963" t="s">
        <v>3574</v>
      </c>
      <c r="B1194" s="963" t="s">
        <v>7623</v>
      </c>
      <c r="C1194" s="964">
        <v>246115056</v>
      </c>
    </row>
    <row r="1195" spans="1:3">
      <c r="A1195" s="963" t="s">
        <v>4072</v>
      </c>
      <c r="B1195" s="963" t="s">
        <v>2353</v>
      </c>
      <c r="C1195" s="964">
        <v>65593905</v>
      </c>
    </row>
    <row r="1196" spans="1:3">
      <c r="A1196" s="963" t="s">
        <v>735</v>
      </c>
      <c r="B1196" s="963" t="s">
        <v>6108</v>
      </c>
      <c r="C1196" s="964">
        <v>61625611</v>
      </c>
    </row>
    <row r="1197" spans="1:3">
      <c r="A1197" s="963" t="s">
        <v>3576</v>
      </c>
      <c r="B1197" s="963" t="s">
        <v>400</v>
      </c>
      <c r="C1197" s="964">
        <v>178902989</v>
      </c>
    </row>
    <row r="1198" spans="1:3">
      <c r="A1198" s="963" t="s">
        <v>3577</v>
      </c>
      <c r="B1198" s="963" t="s">
        <v>7624</v>
      </c>
      <c r="C1198" s="964">
        <v>904446026</v>
      </c>
    </row>
    <row r="1199" spans="1:3">
      <c r="A1199" s="963" t="s">
        <v>6190</v>
      </c>
      <c r="B1199" s="963" t="s">
        <v>3626</v>
      </c>
      <c r="C1199" s="964">
        <v>150304061</v>
      </c>
    </row>
    <row r="1200" spans="1:3">
      <c r="A1200" s="963" t="s">
        <v>3580</v>
      </c>
      <c r="B1200" s="963" t="s">
        <v>7625</v>
      </c>
      <c r="C1200" s="964">
        <v>85963167</v>
      </c>
    </row>
    <row r="1201" spans="1:3">
      <c r="A1201" s="963" t="s">
        <v>1862</v>
      </c>
      <c r="B1201" s="963" t="s">
        <v>3837</v>
      </c>
      <c r="C1201" s="964">
        <v>394214634</v>
      </c>
    </row>
    <row r="1202" spans="1:3">
      <c r="A1202" s="963" t="s">
        <v>3582</v>
      </c>
      <c r="B1202" s="963" t="s">
        <v>7626</v>
      </c>
      <c r="C1202" s="964">
        <v>157756782</v>
      </c>
    </row>
    <row r="1203" spans="1:3">
      <c r="A1203" s="963" t="s">
        <v>3584</v>
      </c>
      <c r="B1203" s="963" t="s">
        <v>7627</v>
      </c>
      <c r="C1203" s="964">
        <v>215710628</v>
      </c>
    </row>
    <row r="1204" spans="1:3">
      <c r="A1204" s="963" t="s">
        <v>3586</v>
      </c>
      <c r="B1204" s="963" t="s">
        <v>7628</v>
      </c>
      <c r="C1204" s="964">
        <v>1404118983</v>
      </c>
    </row>
    <row r="1205" spans="1:3">
      <c r="A1205" s="963" t="s">
        <v>3588</v>
      </c>
      <c r="B1205" s="963" t="s">
        <v>7629</v>
      </c>
      <c r="C1205" s="964">
        <v>2019744742</v>
      </c>
    </row>
    <row r="1206" spans="1:3">
      <c r="A1206" s="963" t="s">
        <v>3445</v>
      </c>
      <c r="B1206" s="963" t="s">
        <v>8028</v>
      </c>
      <c r="C1206" s="964">
        <v>0</v>
      </c>
    </row>
    <row r="1207" spans="1:3">
      <c r="A1207" s="963" t="s">
        <v>6036</v>
      </c>
      <c r="B1207" s="963" t="s">
        <v>5638</v>
      </c>
      <c r="C1207" s="964">
        <v>47292411</v>
      </c>
    </row>
    <row r="1208" spans="1:3">
      <c r="A1208" s="963" t="s">
        <v>2472</v>
      </c>
      <c r="B1208" s="963" t="s">
        <v>375</v>
      </c>
      <c r="C1208" s="964">
        <v>194712639</v>
      </c>
    </row>
    <row r="1209" spans="1:3">
      <c r="A1209" s="963" t="s">
        <v>2418</v>
      </c>
      <c r="B1209" s="963" t="s">
        <v>6740</v>
      </c>
      <c r="C1209" s="964">
        <v>797861289</v>
      </c>
    </row>
    <row r="1210" spans="1:3">
      <c r="A1210" s="963" t="s">
        <v>3590</v>
      </c>
      <c r="B1210" s="963" t="s">
        <v>7630</v>
      </c>
      <c r="C1210" s="964">
        <v>163887537</v>
      </c>
    </row>
    <row r="1211" spans="1:3">
      <c r="A1211" s="963" t="s">
        <v>2389</v>
      </c>
      <c r="B1211" s="963" t="s">
        <v>2014</v>
      </c>
      <c r="C1211" s="964">
        <v>1358826450</v>
      </c>
    </row>
    <row r="1212" spans="1:3">
      <c r="A1212" s="963" t="s">
        <v>3594</v>
      </c>
      <c r="B1212" s="963" t="s">
        <v>7631</v>
      </c>
      <c r="C1212" s="964">
        <v>190589601</v>
      </c>
    </row>
    <row r="1213" spans="1:3">
      <c r="A1213" s="963" t="s">
        <v>5319</v>
      </c>
      <c r="B1213" s="963" t="s">
        <v>6240</v>
      </c>
      <c r="C1213" s="964">
        <v>0</v>
      </c>
    </row>
    <row r="1214" spans="1:3">
      <c r="A1214" s="963" t="s">
        <v>6241</v>
      </c>
      <c r="B1214" s="963" t="s">
        <v>7632</v>
      </c>
      <c r="C1214" s="964">
        <v>602148109</v>
      </c>
    </row>
    <row r="1215" spans="1:3">
      <c r="A1215" s="963" t="s">
        <v>6243</v>
      </c>
      <c r="B1215" s="963" t="s">
        <v>1926</v>
      </c>
      <c r="C1215" s="964">
        <v>204234949</v>
      </c>
    </row>
    <row r="1216" spans="1:3">
      <c r="A1216" s="963" t="s">
        <v>1832</v>
      </c>
      <c r="B1216" s="963" t="s">
        <v>4967</v>
      </c>
      <c r="C1216" s="964">
        <v>228766863</v>
      </c>
    </row>
    <row r="1217" spans="1:3">
      <c r="A1217" s="963" t="s">
        <v>6164</v>
      </c>
      <c r="B1217" s="963" t="s">
        <v>6068</v>
      </c>
      <c r="C1217" s="964">
        <v>86774260</v>
      </c>
    </row>
    <row r="1218" spans="1:3">
      <c r="A1218" s="963" t="s">
        <v>6244</v>
      </c>
      <c r="B1218" s="963" t="s">
        <v>7633</v>
      </c>
      <c r="C1218" s="964">
        <v>568032191</v>
      </c>
    </row>
    <row r="1219" spans="1:3">
      <c r="A1219" s="963" t="s">
        <v>6246</v>
      </c>
      <c r="B1219" s="963" t="s">
        <v>7634</v>
      </c>
      <c r="C1219" s="964">
        <v>496456541</v>
      </c>
    </row>
    <row r="1220" spans="1:3">
      <c r="A1220" s="963" t="s">
        <v>1313</v>
      </c>
      <c r="B1220" s="963" t="s">
        <v>118</v>
      </c>
      <c r="C1220" s="964">
        <v>57197112</v>
      </c>
    </row>
    <row r="1221" spans="1:3">
      <c r="A1221" s="963" t="s">
        <v>3448</v>
      </c>
      <c r="B1221" s="963" t="s">
        <v>8029</v>
      </c>
      <c r="C1221" s="964">
        <v>0</v>
      </c>
    </row>
    <row r="1222" spans="1:3">
      <c r="A1222" s="963" t="s">
        <v>955</v>
      </c>
      <c r="B1222" s="963" t="s">
        <v>7660</v>
      </c>
      <c r="C1222" s="964">
        <v>135844540</v>
      </c>
    </row>
    <row r="1223" spans="1:3">
      <c r="A1223" s="963" t="s">
        <v>3552</v>
      </c>
      <c r="B1223" s="963" t="s">
        <v>4058</v>
      </c>
      <c r="C1223" s="964">
        <v>4293533311</v>
      </c>
    </row>
    <row r="1224" spans="1:3">
      <c r="A1224" s="963" t="s">
        <v>6248</v>
      </c>
      <c r="B1224" s="963" t="s">
        <v>7635</v>
      </c>
      <c r="C1224" s="964">
        <v>189680909</v>
      </c>
    </row>
    <row r="1225" spans="1:3">
      <c r="A1225" s="963" t="s">
        <v>3450</v>
      </c>
      <c r="C1225" s="964">
        <v>0</v>
      </c>
    </row>
    <row r="1226" spans="1:3">
      <c r="A1226" s="963" t="s">
        <v>3452</v>
      </c>
      <c r="B1226" s="963" t="s">
        <v>3453</v>
      </c>
      <c r="C1226" s="964">
        <v>0</v>
      </c>
    </row>
    <row r="1227" spans="1:3">
      <c r="A1227" s="963" t="s">
        <v>6182</v>
      </c>
      <c r="B1227" s="963" t="s">
        <v>1935</v>
      </c>
      <c r="C1227" s="964">
        <v>193524957</v>
      </c>
    </row>
    <row r="1228" spans="1:3">
      <c r="A1228" s="963" t="s">
        <v>6250</v>
      </c>
      <c r="B1228" s="963" t="s">
        <v>7636</v>
      </c>
      <c r="C1228" s="964">
        <v>1719003787</v>
      </c>
    </row>
    <row r="1229" spans="1:3">
      <c r="A1229" s="963" t="s">
        <v>3454</v>
      </c>
      <c r="B1229" s="963" t="s">
        <v>3455</v>
      </c>
      <c r="C1229" s="964">
        <v>0</v>
      </c>
    </row>
    <row r="1230" spans="1:3">
      <c r="A1230" s="963" t="s">
        <v>3456</v>
      </c>
      <c r="C1230" s="964">
        <v>0</v>
      </c>
    </row>
    <row r="1231" spans="1:3">
      <c r="A1231" s="963" t="s">
        <v>5038</v>
      </c>
      <c r="B1231" s="963" t="s">
        <v>3842</v>
      </c>
      <c r="C1231" s="964">
        <v>408250952</v>
      </c>
    </row>
    <row r="1232" spans="1:3">
      <c r="A1232" s="963" t="s">
        <v>5039</v>
      </c>
      <c r="B1232" s="963" t="s">
        <v>4062</v>
      </c>
      <c r="C1232" s="964">
        <v>1593536644</v>
      </c>
    </row>
    <row r="1233" spans="1:3">
      <c r="A1233" s="963" t="s">
        <v>2082</v>
      </c>
      <c r="B1233" s="963" t="s">
        <v>7637</v>
      </c>
      <c r="C1233" s="964">
        <v>693303182</v>
      </c>
    </row>
    <row r="1234" spans="1:3">
      <c r="A1234" s="963" t="s">
        <v>2084</v>
      </c>
      <c r="B1234" s="963" t="s">
        <v>7638</v>
      </c>
      <c r="C1234" s="964">
        <v>1276988518</v>
      </c>
    </row>
    <row r="1235" spans="1:3">
      <c r="A1235" s="963" t="s">
        <v>2086</v>
      </c>
      <c r="B1235" s="963" t="s">
        <v>2936</v>
      </c>
      <c r="C1235" s="964">
        <v>127424130</v>
      </c>
    </row>
    <row r="1236" spans="1:3">
      <c r="A1236" s="963" t="s">
        <v>3458</v>
      </c>
      <c r="B1236" s="963" t="s">
        <v>3459</v>
      </c>
      <c r="C1236" s="964">
        <v>0</v>
      </c>
    </row>
    <row r="1237" spans="1:3">
      <c r="A1237" s="963" t="s">
        <v>2088</v>
      </c>
      <c r="B1237" s="963" t="s">
        <v>2937</v>
      </c>
      <c r="C1237" s="964">
        <v>2010955574</v>
      </c>
    </row>
    <row r="1238" spans="1:3">
      <c r="A1238" s="963" t="s">
        <v>2090</v>
      </c>
      <c r="B1238" s="963" t="s">
        <v>2938</v>
      </c>
      <c r="C1238" s="964">
        <v>368092964</v>
      </c>
    </row>
    <row r="1239" spans="1:3">
      <c r="A1239" s="963" t="s">
        <v>3460</v>
      </c>
      <c r="B1239" s="963" t="s">
        <v>8030</v>
      </c>
      <c r="C1239" s="964">
        <v>0</v>
      </c>
    </row>
    <row r="1240" spans="1:3">
      <c r="A1240" s="963" t="s">
        <v>7803</v>
      </c>
      <c r="B1240" s="963" t="s">
        <v>8031</v>
      </c>
      <c r="C1240" s="964">
        <v>0</v>
      </c>
    </row>
    <row r="1241" spans="1:3">
      <c r="A1241" s="963" t="s">
        <v>2987</v>
      </c>
      <c r="B1241" s="963" t="s">
        <v>187</v>
      </c>
      <c r="C1241" s="964">
        <v>2163951268</v>
      </c>
    </row>
    <row r="1242" spans="1:3">
      <c r="A1242" s="963" t="s">
        <v>2417</v>
      </c>
      <c r="B1242" s="963" t="s">
        <v>5370</v>
      </c>
      <c r="C1242" s="964">
        <v>9743761472</v>
      </c>
    </row>
    <row r="1243" spans="1:3">
      <c r="A1243" s="963" t="s">
        <v>78</v>
      </c>
      <c r="B1243" s="963" t="s">
        <v>6766</v>
      </c>
      <c r="C1243" s="964">
        <v>1441615732</v>
      </c>
    </row>
    <row r="1244" spans="1:3">
      <c r="A1244" s="963" t="s">
        <v>80</v>
      </c>
      <c r="B1244" s="963" t="s">
        <v>2941</v>
      </c>
      <c r="C1244" s="964">
        <v>183940601</v>
      </c>
    </row>
    <row r="1245" spans="1:3">
      <c r="A1245" s="963" t="s">
        <v>82</v>
      </c>
      <c r="B1245" s="963" t="s">
        <v>6720</v>
      </c>
      <c r="C1245" s="964">
        <v>276971427</v>
      </c>
    </row>
    <row r="1246" spans="1:3">
      <c r="A1246" s="963" t="s">
        <v>84</v>
      </c>
      <c r="B1246" s="963" t="s">
        <v>6721</v>
      </c>
      <c r="C1246" s="964">
        <v>1119241264</v>
      </c>
    </row>
    <row r="1247" spans="1:3">
      <c r="A1247" s="963" t="s">
        <v>86</v>
      </c>
      <c r="B1247" s="963" t="s">
        <v>6722</v>
      </c>
      <c r="C1247" s="964">
        <v>859791463</v>
      </c>
    </row>
    <row r="1248" spans="1:3">
      <c r="A1248" s="963" t="s">
        <v>88</v>
      </c>
      <c r="B1248" s="963" t="s">
        <v>6723</v>
      </c>
      <c r="C1248" s="964">
        <v>168535213</v>
      </c>
    </row>
    <row r="1249" spans="1:3">
      <c r="A1249" s="963" t="s">
        <v>90</v>
      </c>
      <c r="B1249" s="963" t="s">
        <v>6724</v>
      </c>
      <c r="C1249" s="964">
        <v>161448645</v>
      </c>
    </row>
    <row r="1250" spans="1:3">
      <c r="A1250" s="963" t="s">
        <v>92</v>
      </c>
      <c r="B1250" s="963" t="s">
        <v>1546</v>
      </c>
      <c r="C1250" s="964">
        <v>254696074</v>
      </c>
    </row>
    <row r="1251" spans="1:3">
      <c r="A1251" s="963" t="s">
        <v>2332</v>
      </c>
      <c r="B1251" s="963" t="s">
        <v>1547</v>
      </c>
      <c r="C1251" s="964">
        <v>645335834</v>
      </c>
    </row>
    <row r="1252" spans="1:3">
      <c r="A1252" s="963" t="s">
        <v>2334</v>
      </c>
      <c r="B1252" s="963" t="s">
        <v>1548</v>
      </c>
      <c r="C1252" s="964">
        <v>1500618350</v>
      </c>
    </row>
    <row r="1253" spans="1:3">
      <c r="A1253" s="963" t="s">
        <v>3463</v>
      </c>
      <c r="B1253" s="963" t="s">
        <v>3464</v>
      </c>
      <c r="C1253" s="964">
        <v>0</v>
      </c>
    </row>
    <row r="1254" spans="1:3">
      <c r="A1254" s="963" t="s">
        <v>962</v>
      </c>
      <c r="B1254" s="963" t="s">
        <v>2146</v>
      </c>
      <c r="C1254" s="964">
        <v>724228514</v>
      </c>
    </row>
    <row r="1255" spans="1:3">
      <c r="A1255" s="963" t="s">
        <v>2336</v>
      </c>
      <c r="B1255" s="963" t="s">
        <v>1549</v>
      </c>
      <c r="C1255" s="964">
        <v>221830241</v>
      </c>
    </row>
    <row r="1256" spans="1:3">
      <c r="A1256" s="963" t="s">
        <v>2338</v>
      </c>
      <c r="B1256" s="963" t="s">
        <v>6779</v>
      </c>
      <c r="C1256" s="964">
        <v>520227679</v>
      </c>
    </row>
    <row r="1257" spans="1:3">
      <c r="A1257" s="963" t="s">
        <v>2340</v>
      </c>
      <c r="B1257" s="963" t="s">
        <v>1551</v>
      </c>
      <c r="C1257" s="964">
        <v>3846036808</v>
      </c>
    </row>
    <row r="1258" spans="1:3">
      <c r="A1258" s="963" t="s">
        <v>738</v>
      </c>
      <c r="B1258" s="963" t="s">
        <v>6112</v>
      </c>
      <c r="C1258" s="964">
        <v>165298559</v>
      </c>
    </row>
    <row r="1259" spans="1:3">
      <c r="A1259" s="963" t="s">
        <v>3465</v>
      </c>
      <c r="C1259" s="964">
        <v>0</v>
      </c>
    </row>
    <row r="1260" spans="1:3">
      <c r="A1260" s="963" t="s">
        <v>3219</v>
      </c>
      <c r="B1260" s="963" t="s">
        <v>1485</v>
      </c>
      <c r="C1260" s="964">
        <v>44242209</v>
      </c>
    </row>
    <row r="1261" spans="1:3">
      <c r="A1261" s="963" t="s">
        <v>608</v>
      </c>
      <c r="B1261" s="963" t="s">
        <v>1486</v>
      </c>
      <c r="C1261" s="964">
        <v>726632586</v>
      </c>
    </row>
    <row r="1262" spans="1:3">
      <c r="A1262" s="963" t="s">
        <v>610</v>
      </c>
      <c r="B1262" s="963" t="s">
        <v>1939</v>
      </c>
      <c r="C1262" s="964">
        <v>24157131</v>
      </c>
    </row>
    <row r="1263" spans="1:3">
      <c r="A1263" s="963" t="s">
        <v>3467</v>
      </c>
      <c r="B1263" s="963" t="s">
        <v>3780</v>
      </c>
      <c r="C1263" s="964">
        <v>0</v>
      </c>
    </row>
    <row r="1264" spans="1:3">
      <c r="A1264" s="963" t="s">
        <v>6145</v>
      </c>
      <c r="B1264" s="963" t="s">
        <v>188</v>
      </c>
      <c r="C1264" s="964">
        <v>37489399</v>
      </c>
    </row>
    <row r="1265" spans="1:3">
      <c r="A1265" s="963" t="s">
        <v>2998</v>
      </c>
      <c r="B1265" s="963" t="s">
        <v>6058</v>
      </c>
      <c r="C1265" s="964">
        <v>184746866</v>
      </c>
    </row>
    <row r="1266" spans="1:3">
      <c r="A1266" s="963" t="s">
        <v>2766</v>
      </c>
      <c r="B1266" s="963" t="s">
        <v>356</v>
      </c>
      <c r="C1266" s="964">
        <v>387354473</v>
      </c>
    </row>
    <row r="1267" spans="1:3">
      <c r="A1267" s="963" t="s">
        <v>5040</v>
      </c>
      <c r="B1267" s="963" t="s">
        <v>384</v>
      </c>
      <c r="C1267" s="964">
        <v>63366289</v>
      </c>
    </row>
    <row r="1268" spans="1:3">
      <c r="A1268" s="963" t="s">
        <v>1307</v>
      </c>
      <c r="B1268" s="963" t="s">
        <v>111</v>
      </c>
      <c r="C1268" s="964">
        <v>257183416</v>
      </c>
    </row>
    <row r="1269" spans="1:3">
      <c r="A1269" s="963" t="s">
        <v>1319</v>
      </c>
      <c r="B1269" s="963" t="s">
        <v>125</v>
      </c>
      <c r="C1269" s="964">
        <v>5216540233</v>
      </c>
    </row>
    <row r="1270" spans="1:3">
      <c r="A1270" s="963" t="s">
        <v>1856</v>
      </c>
      <c r="B1270" s="963" t="s">
        <v>3912</v>
      </c>
      <c r="C1270" s="964">
        <v>98625914</v>
      </c>
    </row>
    <row r="1271" spans="1:3">
      <c r="A1271" s="963" t="s">
        <v>6020</v>
      </c>
      <c r="B1271" s="963" t="s">
        <v>3859</v>
      </c>
      <c r="C1271" s="964">
        <v>1374521427</v>
      </c>
    </row>
    <row r="1272" spans="1:3">
      <c r="A1272" s="963" t="s">
        <v>611</v>
      </c>
      <c r="B1272" s="963" t="s">
        <v>1487</v>
      </c>
      <c r="C1272" s="964">
        <v>622483531</v>
      </c>
    </row>
    <row r="1273" spans="1:3">
      <c r="A1273" s="963" t="s">
        <v>2990</v>
      </c>
      <c r="B1273" s="963" t="s">
        <v>191</v>
      </c>
      <c r="C1273" s="964">
        <v>1024249399</v>
      </c>
    </row>
    <row r="1274" spans="1:3">
      <c r="A1274" s="963" t="s">
        <v>2382</v>
      </c>
      <c r="B1274" s="963" t="s">
        <v>371</v>
      </c>
      <c r="C1274" s="964">
        <v>20673094881</v>
      </c>
    </row>
    <row r="1275" spans="1:3">
      <c r="A1275" s="963" t="s">
        <v>2473</v>
      </c>
      <c r="B1275" s="963" t="s">
        <v>5363</v>
      </c>
      <c r="C1275" s="964">
        <v>773721525</v>
      </c>
    </row>
    <row r="1276" spans="1:3">
      <c r="A1276" s="963" t="s">
        <v>2412</v>
      </c>
      <c r="B1276" s="963" t="s">
        <v>5365</v>
      </c>
      <c r="C1276" s="964">
        <v>157211313</v>
      </c>
    </row>
    <row r="1277" spans="1:3">
      <c r="A1277" s="963" t="s">
        <v>2988</v>
      </c>
      <c r="B1277" s="963" t="s">
        <v>189</v>
      </c>
      <c r="C1277" s="964">
        <v>13093705691</v>
      </c>
    </row>
    <row r="1278" spans="1:3">
      <c r="A1278" s="963" t="s">
        <v>613</v>
      </c>
      <c r="B1278" s="963" t="s">
        <v>1003</v>
      </c>
      <c r="C1278" s="964">
        <v>54172270</v>
      </c>
    </row>
    <row r="1279" spans="1:3">
      <c r="A1279" s="963" t="s">
        <v>5041</v>
      </c>
      <c r="B1279" s="963" t="s">
        <v>112</v>
      </c>
      <c r="C1279" s="964">
        <v>937322999</v>
      </c>
    </row>
    <row r="1280" spans="1:3">
      <c r="A1280" s="963" t="s">
        <v>6039</v>
      </c>
      <c r="B1280" s="963" t="s">
        <v>183</v>
      </c>
      <c r="C1280" s="964">
        <v>675212198</v>
      </c>
    </row>
    <row r="1281" spans="1:3">
      <c r="A1281" s="963" t="s">
        <v>5043</v>
      </c>
      <c r="B1281" s="963" t="s">
        <v>346</v>
      </c>
      <c r="C1281" s="964">
        <v>161773842</v>
      </c>
    </row>
    <row r="1282" spans="1:3">
      <c r="A1282" s="963" t="s">
        <v>2409</v>
      </c>
      <c r="B1282" s="963" t="s">
        <v>2356</v>
      </c>
      <c r="C1282" s="964">
        <v>159829606</v>
      </c>
    </row>
    <row r="1283" spans="1:3">
      <c r="A1283" s="963" t="s">
        <v>615</v>
      </c>
      <c r="B1283" s="963" t="s">
        <v>1004</v>
      </c>
      <c r="C1283" s="964">
        <v>1038447820</v>
      </c>
    </row>
    <row r="1284" spans="1:3">
      <c r="A1284" s="963" t="s">
        <v>617</v>
      </c>
      <c r="B1284" s="963" t="s">
        <v>1005</v>
      </c>
      <c r="C1284" s="964">
        <v>1255172300</v>
      </c>
    </row>
    <row r="1285" spans="1:3">
      <c r="A1285" s="963" t="s">
        <v>3889</v>
      </c>
      <c r="B1285" s="963" t="s">
        <v>7680</v>
      </c>
      <c r="C1285" s="964">
        <v>262319005</v>
      </c>
    </row>
    <row r="1286" spans="1:3">
      <c r="A1286" s="963" t="s">
        <v>619</v>
      </c>
      <c r="B1286" s="963" t="s">
        <v>1006</v>
      </c>
      <c r="C1286" s="964">
        <v>764409744</v>
      </c>
    </row>
    <row r="1287" spans="1:3">
      <c r="A1287" s="963" t="s">
        <v>1328</v>
      </c>
      <c r="B1287" s="963" t="s">
        <v>1007</v>
      </c>
      <c r="C1287" s="964">
        <v>1252456317</v>
      </c>
    </row>
    <row r="1288" spans="1:3">
      <c r="A1288" s="963" t="s">
        <v>6708</v>
      </c>
      <c r="B1288" s="963" t="s">
        <v>1008</v>
      </c>
      <c r="C1288" s="964">
        <v>518510372</v>
      </c>
    </row>
    <row r="1289" spans="1:3">
      <c r="A1289" s="963" t="s">
        <v>6710</v>
      </c>
      <c r="B1289" s="963" t="s">
        <v>1009</v>
      </c>
      <c r="C1289" s="964">
        <v>2187954383</v>
      </c>
    </row>
    <row r="1290" spans="1:3">
      <c r="A1290" s="963" t="s">
        <v>6192</v>
      </c>
      <c r="B1290" s="963" t="s">
        <v>3630</v>
      </c>
      <c r="C1290" s="964">
        <v>312886110</v>
      </c>
    </row>
    <row r="1291" spans="1:3">
      <c r="A1291" s="963" t="s">
        <v>2400</v>
      </c>
      <c r="B1291" s="963" t="s">
        <v>2342</v>
      </c>
      <c r="C1291" s="964">
        <v>190269040</v>
      </c>
    </row>
    <row r="1292" spans="1:3">
      <c r="A1292" s="963" t="s">
        <v>6712</v>
      </c>
      <c r="B1292" s="963" t="s">
        <v>1010</v>
      </c>
      <c r="C1292" s="964">
        <v>604536998</v>
      </c>
    </row>
    <row r="1293" spans="1:3">
      <c r="A1293" s="963" t="s">
        <v>6714</v>
      </c>
      <c r="B1293" s="963" t="s">
        <v>1011</v>
      </c>
      <c r="C1293" s="964">
        <v>445862173</v>
      </c>
    </row>
    <row r="1294" spans="1:3">
      <c r="A1294" s="963" t="s">
        <v>6716</v>
      </c>
      <c r="B1294" s="963" t="s">
        <v>1012</v>
      </c>
      <c r="C1294" s="964">
        <v>414003012</v>
      </c>
    </row>
    <row r="1295" spans="1:3">
      <c r="A1295" s="963" t="s">
        <v>6718</v>
      </c>
      <c r="B1295" s="963" t="s">
        <v>1013</v>
      </c>
      <c r="C1295" s="964">
        <v>261928840</v>
      </c>
    </row>
    <row r="1296" spans="1:3">
      <c r="A1296" s="963" t="s">
        <v>2443</v>
      </c>
      <c r="B1296" s="963" t="s">
        <v>1014</v>
      </c>
      <c r="C1296" s="964">
        <v>222924727</v>
      </c>
    </row>
    <row r="1297" spans="1:3">
      <c r="A1297" s="963" t="s">
        <v>2445</v>
      </c>
      <c r="B1297" s="963" t="s">
        <v>1015</v>
      </c>
      <c r="C1297" s="964">
        <v>398551330</v>
      </c>
    </row>
    <row r="1298" spans="1:3">
      <c r="A1298" s="963" t="s">
        <v>2447</v>
      </c>
      <c r="B1298" s="963" t="s">
        <v>1016</v>
      </c>
      <c r="C1298" s="964">
        <v>2658233782</v>
      </c>
    </row>
    <row r="1299" spans="1:3">
      <c r="A1299" s="963" t="s">
        <v>905</v>
      </c>
      <c r="B1299" s="963" t="s">
        <v>1017</v>
      </c>
      <c r="C1299" s="964">
        <v>841565396</v>
      </c>
    </row>
    <row r="1300" spans="1:3">
      <c r="A1300" s="963" t="s">
        <v>1854</v>
      </c>
      <c r="B1300" s="963" t="s">
        <v>4965</v>
      </c>
      <c r="C1300" s="964">
        <v>620896369</v>
      </c>
    </row>
    <row r="1301" spans="1:3">
      <c r="A1301" s="963" t="s">
        <v>907</v>
      </c>
      <c r="B1301" s="963" t="s">
        <v>1018</v>
      </c>
      <c r="C1301" s="964">
        <v>50913079</v>
      </c>
    </row>
    <row r="1302" spans="1:3">
      <c r="A1302" s="963" t="s">
        <v>6146</v>
      </c>
      <c r="B1302" s="963" t="s">
        <v>3835</v>
      </c>
      <c r="C1302" s="964">
        <v>179678391</v>
      </c>
    </row>
    <row r="1303" spans="1:3">
      <c r="A1303" s="963" t="s">
        <v>909</v>
      </c>
      <c r="B1303" s="963" t="s">
        <v>1019</v>
      </c>
      <c r="C1303" s="964">
        <v>3083129987</v>
      </c>
    </row>
    <row r="1304" spans="1:3">
      <c r="A1304" s="963" t="s">
        <v>247</v>
      </c>
      <c r="B1304" s="963" t="s">
        <v>989</v>
      </c>
      <c r="C1304" s="964">
        <v>186006870</v>
      </c>
    </row>
    <row r="1305" spans="1:3">
      <c r="A1305" s="963" t="s">
        <v>1527</v>
      </c>
      <c r="B1305" s="963" t="s">
        <v>2154</v>
      </c>
      <c r="C1305" s="964">
        <v>43545879</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L1041"/>
  <sheetViews>
    <sheetView workbookViewId="0">
      <selection activeCell="C3" sqref="C3"/>
    </sheetView>
  </sheetViews>
  <sheetFormatPr defaultRowHeight="13.2"/>
  <sheetData>
    <row r="1" spans="1:12" ht="18.75" customHeight="1">
      <c r="A1" t="str">
        <f>'Data Entry - SOF'!B2</f>
        <v>000-000</v>
      </c>
    </row>
    <row r="2" spans="1:12" s="57" customFormat="1" ht="18.75" customHeight="1">
      <c r="A2" s="927" t="e">
        <f>VLOOKUP($A$1,$A$3:A1050,1,FALSE)</f>
        <v>#N/A</v>
      </c>
      <c r="B2" s="927"/>
      <c r="C2" s="927" t="e">
        <f>VLOOKUP($A$1,$A$3:C1050,3,FALSE)</f>
        <v>#N/A</v>
      </c>
      <c r="D2" s="927"/>
      <c r="E2" s="927"/>
      <c r="F2" s="927"/>
      <c r="G2" s="927"/>
      <c r="H2" s="927"/>
      <c r="J2" s="927"/>
      <c r="K2" s="929"/>
    </row>
    <row r="3" spans="1:12">
      <c r="A3" s="926" t="s">
        <v>3890</v>
      </c>
      <c r="B3" s="310">
        <v>1</v>
      </c>
      <c r="C3" s="310">
        <v>0.03</v>
      </c>
      <c r="D3" s="311">
        <v>1.0443832838586558</v>
      </c>
      <c r="E3" s="311">
        <v>1.0587665677173115</v>
      </c>
      <c r="F3" s="219">
        <v>1.06</v>
      </c>
      <c r="G3" t="s">
        <v>6149</v>
      </c>
      <c r="J3" s="310"/>
      <c r="K3" s="928"/>
      <c r="L3" s="57"/>
    </row>
    <row r="4" spans="1:12">
      <c r="A4" s="926" t="s">
        <v>694</v>
      </c>
      <c r="B4" s="310">
        <v>1</v>
      </c>
      <c r="C4" s="310">
        <v>0.03</v>
      </c>
      <c r="D4" s="311">
        <v>1.0486114230697434</v>
      </c>
      <c r="E4" s="311">
        <v>1.067222846139487</v>
      </c>
      <c r="F4" s="219">
        <v>1.07</v>
      </c>
      <c r="G4" t="s">
        <v>2048</v>
      </c>
      <c r="J4" s="310"/>
      <c r="K4" s="928"/>
      <c r="L4" s="57"/>
    </row>
    <row r="5" spans="1:12">
      <c r="A5" s="926" t="s">
        <v>696</v>
      </c>
      <c r="B5" s="310">
        <v>1</v>
      </c>
      <c r="C5" s="310">
        <v>0.03</v>
      </c>
      <c r="D5" s="311">
        <v>1.0400591985221705</v>
      </c>
      <c r="E5" s="311">
        <v>1.0501183970443413</v>
      </c>
      <c r="F5" s="219">
        <v>1.05</v>
      </c>
      <c r="G5" t="s">
        <v>2049</v>
      </c>
      <c r="J5" s="310"/>
      <c r="K5" s="928"/>
      <c r="L5" s="57"/>
    </row>
    <row r="6" spans="1:12">
      <c r="A6" s="926" t="s">
        <v>698</v>
      </c>
      <c r="B6" s="310">
        <v>1</v>
      </c>
      <c r="C6" s="310">
        <v>0.03</v>
      </c>
      <c r="D6" s="311">
        <v>1.0377951460626624</v>
      </c>
      <c r="E6" s="311">
        <v>1.0455902921253251</v>
      </c>
      <c r="F6" s="219">
        <v>1.05</v>
      </c>
      <c r="G6" t="s">
        <v>2050</v>
      </c>
      <c r="J6" s="310"/>
      <c r="K6" s="928"/>
      <c r="L6" s="57"/>
    </row>
    <row r="7" spans="1:12">
      <c r="A7" s="926" t="s">
        <v>700</v>
      </c>
      <c r="B7" s="310">
        <v>1</v>
      </c>
      <c r="C7" s="310">
        <v>0.06</v>
      </c>
      <c r="D7" s="311">
        <v>1.0672424977620429</v>
      </c>
      <c r="E7" s="311">
        <v>1.0744849955240858</v>
      </c>
      <c r="F7" s="219">
        <v>1.07</v>
      </c>
      <c r="J7" s="310"/>
      <c r="K7" s="928"/>
      <c r="L7" s="57"/>
    </row>
    <row r="8" spans="1:12">
      <c r="A8" s="926" t="s">
        <v>1491</v>
      </c>
      <c r="B8" s="310">
        <v>1</v>
      </c>
      <c r="C8" s="310">
        <v>0.05</v>
      </c>
      <c r="D8" s="311">
        <v>1.0601652279300464</v>
      </c>
      <c r="E8" s="311">
        <v>1.0703304558600926</v>
      </c>
      <c r="F8" s="219">
        <v>1.07</v>
      </c>
      <c r="J8" s="310"/>
      <c r="K8" s="928"/>
      <c r="L8" s="57"/>
    </row>
    <row r="9" spans="1:12">
      <c r="A9" s="926" t="s">
        <v>6212</v>
      </c>
      <c r="B9" s="310">
        <v>1</v>
      </c>
      <c r="C9" s="310">
        <v>0.03</v>
      </c>
      <c r="D9" s="311">
        <v>1.042365997426248</v>
      </c>
      <c r="E9" s="311">
        <v>1.0547319948524958</v>
      </c>
      <c r="F9" s="219">
        <v>1.05</v>
      </c>
      <c r="J9" s="310"/>
      <c r="K9" s="928"/>
      <c r="L9" s="57"/>
    </row>
    <row r="10" spans="1:12">
      <c r="A10" s="926" t="s">
        <v>2753</v>
      </c>
      <c r="B10" s="310">
        <v>1</v>
      </c>
      <c r="C10" s="310">
        <v>0.12</v>
      </c>
      <c r="D10" s="311">
        <v>1.1074472365617356</v>
      </c>
      <c r="E10" s="311">
        <v>1.0948944731234709</v>
      </c>
      <c r="F10" s="219">
        <v>1.0900000000000001</v>
      </c>
      <c r="J10" s="310"/>
      <c r="K10" s="928"/>
      <c r="L10" s="57"/>
    </row>
    <row r="11" spans="1:12">
      <c r="A11" s="926" t="s">
        <v>3080</v>
      </c>
      <c r="B11" s="310">
        <v>1</v>
      </c>
      <c r="C11" s="310">
        <v>0.04</v>
      </c>
      <c r="D11" s="311">
        <v>1.0422351987897873</v>
      </c>
      <c r="E11" s="311">
        <v>1.0444703975795746</v>
      </c>
      <c r="F11" s="219">
        <v>1.04</v>
      </c>
      <c r="J11" s="310"/>
      <c r="K11" s="928"/>
      <c r="L11" s="57"/>
    </row>
    <row r="12" spans="1:12">
      <c r="A12" s="926" t="s">
        <v>2842</v>
      </c>
      <c r="B12" s="310">
        <v>1</v>
      </c>
      <c r="C12" s="310">
        <v>0.06</v>
      </c>
      <c r="D12" s="311">
        <v>1.0582439881111134</v>
      </c>
      <c r="E12" s="311">
        <v>1.056487976222227</v>
      </c>
      <c r="F12" s="219">
        <v>1.06</v>
      </c>
      <c r="J12" s="310"/>
      <c r="K12" s="928"/>
      <c r="L12" s="57"/>
    </row>
    <row r="13" spans="1:12">
      <c r="A13" s="926" t="s">
        <v>1874</v>
      </c>
      <c r="B13" s="310">
        <v>1</v>
      </c>
      <c r="C13" s="310">
        <v>0.04</v>
      </c>
      <c r="D13" s="311">
        <v>1.0419192023211354</v>
      </c>
      <c r="E13" s="311">
        <v>1.0438384046422711</v>
      </c>
      <c r="F13" s="219">
        <v>1.04</v>
      </c>
      <c r="J13" s="310"/>
      <c r="K13" s="928"/>
      <c r="L13" s="57"/>
    </row>
    <row r="14" spans="1:12">
      <c r="A14" s="926" t="s">
        <v>2844</v>
      </c>
      <c r="B14" s="310">
        <v>1</v>
      </c>
      <c r="C14" s="310">
        <v>0.06</v>
      </c>
      <c r="D14" s="311">
        <v>1.0522453344364133</v>
      </c>
      <c r="E14" s="311">
        <v>1.0444906688728266</v>
      </c>
      <c r="F14" s="219">
        <v>1.04</v>
      </c>
      <c r="J14" s="310"/>
      <c r="K14" s="928"/>
      <c r="L14" s="57"/>
    </row>
    <row r="15" spans="1:12">
      <c r="A15" s="926" t="s">
        <v>2846</v>
      </c>
      <c r="B15" s="310">
        <v>1</v>
      </c>
      <c r="C15" s="310">
        <v>0.03</v>
      </c>
      <c r="D15" s="311">
        <v>1.033444813934326</v>
      </c>
      <c r="E15" s="311">
        <v>1.0368896278686519</v>
      </c>
      <c r="F15" s="219">
        <v>1.04</v>
      </c>
      <c r="J15" s="310"/>
      <c r="K15" s="928"/>
      <c r="L15" s="57"/>
    </row>
    <row r="16" spans="1:12">
      <c r="A16" s="926" t="s">
        <v>2848</v>
      </c>
      <c r="B16" s="310">
        <v>1</v>
      </c>
      <c r="C16" s="310">
        <v>0.04</v>
      </c>
      <c r="D16" s="311">
        <v>1.0411142396110091</v>
      </c>
      <c r="E16" s="311">
        <v>1.042228479222018</v>
      </c>
      <c r="F16" s="219">
        <v>1.04</v>
      </c>
      <c r="J16" s="310"/>
      <c r="K16" s="928"/>
      <c r="L16" s="57"/>
    </row>
    <row r="17" spans="1:12">
      <c r="A17" s="926" t="s">
        <v>1225</v>
      </c>
      <c r="B17" s="310">
        <v>1</v>
      </c>
      <c r="C17" s="310">
        <v>0.11</v>
      </c>
      <c r="D17" s="311">
        <v>1.1203437848507996</v>
      </c>
      <c r="E17" s="311">
        <v>1.130687569701599</v>
      </c>
      <c r="F17" s="219">
        <v>1.1299999999999999</v>
      </c>
      <c r="J17" s="310"/>
      <c r="K17" s="928"/>
      <c r="L17" s="57"/>
    </row>
    <row r="18" spans="1:12">
      <c r="A18" s="926" t="s">
        <v>1227</v>
      </c>
      <c r="B18" s="310">
        <v>1</v>
      </c>
      <c r="C18" s="310">
        <v>7.0000000000000007E-2</v>
      </c>
      <c r="D18" s="311">
        <v>1.0617303710461226</v>
      </c>
      <c r="E18" s="311">
        <v>1.0534607420922453</v>
      </c>
      <c r="F18" s="219">
        <v>1.05</v>
      </c>
      <c r="J18" s="310"/>
      <c r="K18" s="928"/>
      <c r="L18" s="57"/>
    </row>
    <row r="19" spans="1:12">
      <c r="A19" s="926" t="s">
        <v>1229</v>
      </c>
      <c r="B19" s="310">
        <v>1</v>
      </c>
      <c r="C19" s="310">
        <v>0.05</v>
      </c>
      <c r="D19" s="311">
        <v>1.0578373558450624</v>
      </c>
      <c r="E19" s="311">
        <v>1.0656747116901246</v>
      </c>
      <c r="F19" s="219">
        <v>1.07</v>
      </c>
      <c r="J19" s="310"/>
      <c r="K19" s="928"/>
      <c r="L19" s="57"/>
    </row>
    <row r="20" spans="1:12">
      <c r="A20" s="926" t="s">
        <v>1231</v>
      </c>
      <c r="B20" s="310">
        <v>1</v>
      </c>
      <c r="C20" s="310">
        <v>7.0000000000000007E-2</v>
      </c>
      <c r="D20" s="311">
        <v>1.0463919126996732</v>
      </c>
      <c r="E20" s="311">
        <v>1.0227838253993464</v>
      </c>
      <c r="F20" s="219">
        <v>1.02</v>
      </c>
      <c r="J20" s="310"/>
      <c r="L20" s="57"/>
    </row>
    <row r="21" spans="1:12">
      <c r="A21" s="926" t="s">
        <v>2360</v>
      </c>
      <c r="B21" s="310">
        <v>1</v>
      </c>
      <c r="C21" s="310">
        <v>0.06</v>
      </c>
      <c r="D21" s="311">
        <v>1.054832654669088</v>
      </c>
      <c r="E21" s="311">
        <v>1.0496653093381758</v>
      </c>
      <c r="F21" s="219">
        <v>1.05</v>
      </c>
      <c r="J21" s="310"/>
      <c r="L21" s="57"/>
    </row>
    <row r="22" spans="1:12">
      <c r="A22" s="926" t="s">
        <v>1233</v>
      </c>
      <c r="B22" s="310">
        <v>1</v>
      </c>
      <c r="C22" s="310">
        <v>0.05</v>
      </c>
      <c r="D22" s="311">
        <v>1.0287663096275257</v>
      </c>
      <c r="E22" s="311">
        <v>1.0075326192550513</v>
      </c>
      <c r="F22" s="219">
        <v>1.01</v>
      </c>
      <c r="J22" s="310"/>
      <c r="L22" s="57"/>
    </row>
    <row r="23" spans="1:12">
      <c r="A23" s="926" t="s">
        <v>3081</v>
      </c>
      <c r="B23" s="310">
        <v>1</v>
      </c>
      <c r="C23" s="310">
        <v>0.08</v>
      </c>
      <c r="D23" s="311">
        <v>1.1036291324204188</v>
      </c>
      <c r="E23" s="311">
        <v>1.1272582648408374</v>
      </c>
      <c r="F23" s="219">
        <v>1.1299999999999999</v>
      </c>
      <c r="J23" s="310"/>
      <c r="L23" s="57"/>
    </row>
    <row r="24" spans="1:12">
      <c r="A24" s="926" t="s">
        <v>1235</v>
      </c>
      <c r="B24" s="310">
        <v>1</v>
      </c>
      <c r="C24" s="310">
        <v>7.0000000000000007E-2</v>
      </c>
      <c r="D24" s="311">
        <v>1.1123953446177102</v>
      </c>
      <c r="E24" s="311">
        <v>1.1547906892354203</v>
      </c>
      <c r="F24" s="219">
        <v>1.1499999999999999</v>
      </c>
      <c r="J24" s="310"/>
      <c r="L24" s="57"/>
    </row>
    <row r="25" spans="1:12">
      <c r="A25" s="926" t="s">
        <v>2999</v>
      </c>
      <c r="B25" s="310">
        <v>1</v>
      </c>
      <c r="C25" s="310">
        <v>7.0000000000000007E-2</v>
      </c>
      <c r="D25" s="311">
        <v>1.1193101055011829</v>
      </c>
      <c r="E25" s="311">
        <v>1.1686202110023658</v>
      </c>
      <c r="F25" s="219">
        <v>1.17</v>
      </c>
      <c r="J25" s="310"/>
      <c r="L25" s="57"/>
    </row>
    <row r="26" spans="1:12">
      <c r="A26" s="926" t="s">
        <v>5127</v>
      </c>
      <c r="B26" s="310">
        <v>1</v>
      </c>
      <c r="C26" s="310">
        <v>0.08</v>
      </c>
      <c r="D26" s="311">
        <v>1.1333086472544185</v>
      </c>
      <c r="E26" s="311">
        <v>1.1866172945088369</v>
      </c>
      <c r="F26" s="219">
        <v>1.19</v>
      </c>
      <c r="J26" s="310"/>
      <c r="L26" s="57"/>
    </row>
    <row r="27" spans="1:12">
      <c r="A27" s="926" t="s">
        <v>2563</v>
      </c>
      <c r="B27" s="310">
        <v>1</v>
      </c>
      <c r="C27" s="310">
        <v>0.09</v>
      </c>
      <c r="D27" s="311">
        <v>1.1290436143726943</v>
      </c>
      <c r="E27" s="311">
        <v>1.1680872287453887</v>
      </c>
      <c r="F27" s="219">
        <v>1.17</v>
      </c>
      <c r="J27" s="310"/>
      <c r="L27" s="57"/>
    </row>
    <row r="28" spans="1:12">
      <c r="A28" s="926" t="s">
        <v>1237</v>
      </c>
      <c r="B28" s="310">
        <v>1</v>
      </c>
      <c r="C28" s="310">
        <v>0.12</v>
      </c>
      <c r="D28" s="311">
        <v>1.1302611147967565</v>
      </c>
      <c r="E28" s="311">
        <v>1.1405222295935127</v>
      </c>
      <c r="F28" s="219">
        <v>1.1399999999999999</v>
      </c>
      <c r="J28" s="310"/>
      <c r="L28" s="57"/>
    </row>
    <row r="29" spans="1:12">
      <c r="A29" s="926" t="s">
        <v>1239</v>
      </c>
      <c r="B29" s="310">
        <v>1</v>
      </c>
      <c r="C29" s="310">
        <v>0.13</v>
      </c>
      <c r="D29" s="311">
        <v>1.1370620589482054</v>
      </c>
      <c r="E29" s="311">
        <v>1.144124117896411</v>
      </c>
      <c r="F29" s="219">
        <v>1.1399999999999999</v>
      </c>
      <c r="J29" s="310"/>
      <c r="L29" s="57"/>
    </row>
    <row r="30" spans="1:12">
      <c r="A30" s="926" t="s">
        <v>1241</v>
      </c>
      <c r="B30" s="310">
        <v>1</v>
      </c>
      <c r="C30" s="310">
        <v>0.11</v>
      </c>
      <c r="D30" s="311">
        <v>1.1210873200681928</v>
      </c>
      <c r="E30" s="311">
        <v>1.1321746401363855</v>
      </c>
      <c r="F30" s="219">
        <v>1.1299999999999999</v>
      </c>
      <c r="J30" s="310"/>
      <c r="L30" s="57"/>
    </row>
    <row r="31" spans="1:12">
      <c r="A31" s="926" t="s">
        <v>1243</v>
      </c>
      <c r="B31" s="310">
        <v>1</v>
      </c>
      <c r="C31" s="310">
        <v>0.06</v>
      </c>
      <c r="D31" s="311">
        <v>1.0662404721779353</v>
      </c>
      <c r="E31" s="311">
        <v>1.0724809443558705</v>
      </c>
      <c r="F31" s="219">
        <v>1.07</v>
      </c>
      <c r="J31" s="310"/>
      <c r="L31" s="57"/>
    </row>
    <row r="32" spans="1:12">
      <c r="A32" s="926" t="s">
        <v>1245</v>
      </c>
      <c r="B32" s="310">
        <v>1</v>
      </c>
      <c r="C32" s="310">
        <v>7.0000000000000007E-2</v>
      </c>
      <c r="D32" s="311">
        <v>1.088275330865883</v>
      </c>
      <c r="E32" s="311">
        <v>1.106550661731766</v>
      </c>
      <c r="F32" s="219">
        <v>1.1100000000000001</v>
      </c>
      <c r="J32" s="310"/>
      <c r="L32" s="57"/>
    </row>
    <row r="33" spans="1:12">
      <c r="A33" s="926" t="s">
        <v>2361</v>
      </c>
      <c r="B33" s="310">
        <v>1</v>
      </c>
      <c r="C33" s="310">
        <v>7.0000000000000007E-2</v>
      </c>
      <c r="D33" s="311">
        <v>1.1213523435574169</v>
      </c>
      <c r="E33" s="311">
        <v>1.1727046871148337</v>
      </c>
      <c r="F33" s="219">
        <v>1.17</v>
      </c>
      <c r="J33" s="310"/>
      <c r="L33" s="57"/>
    </row>
    <row r="34" spans="1:12">
      <c r="A34" s="926" t="s">
        <v>948</v>
      </c>
      <c r="B34" s="310">
        <v>1</v>
      </c>
      <c r="C34" s="310">
        <v>0.1</v>
      </c>
      <c r="D34" s="311">
        <v>1.142081863016059</v>
      </c>
      <c r="E34" s="311">
        <v>1.1841637260321178</v>
      </c>
      <c r="F34" s="219">
        <v>1.18</v>
      </c>
      <c r="J34" s="310"/>
      <c r="L34" s="57"/>
    </row>
    <row r="35" spans="1:12">
      <c r="A35" s="926" t="s">
        <v>1522</v>
      </c>
      <c r="B35" s="310">
        <v>1</v>
      </c>
      <c r="C35" s="310">
        <v>0.09</v>
      </c>
      <c r="D35" s="311">
        <v>1.1287867931776367</v>
      </c>
      <c r="E35" s="311">
        <v>1.1675735863552736</v>
      </c>
      <c r="F35" s="219">
        <v>1.17</v>
      </c>
      <c r="J35" s="310"/>
      <c r="L35" s="57"/>
    </row>
    <row r="36" spans="1:12">
      <c r="A36" s="926" t="s">
        <v>438</v>
      </c>
      <c r="B36" s="310">
        <v>1</v>
      </c>
      <c r="C36" s="310">
        <v>0.08</v>
      </c>
      <c r="D36" s="311">
        <v>1.1007894252602382</v>
      </c>
      <c r="E36" s="311">
        <v>1.1215788505204762</v>
      </c>
      <c r="F36" s="219">
        <v>1.1200000000000001</v>
      </c>
      <c r="J36" s="310"/>
      <c r="L36" s="57"/>
    </row>
    <row r="37" spans="1:12">
      <c r="A37" s="926" t="s">
        <v>2565</v>
      </c>
      <c r="B37" s="310">
        <v>1</v>
      </c>
      <c r="C37" s="310">
        <v>0.08</v>
      </c>
      <c r="D37" s="311">
        <v>1.0852160863874738</v>
      </c>
      <c r="E37" s="311">
        <v>1.0904321727749475</v>
      </c>
      <c r="F37" s="219">
        <v>1.0900000000000001</v>
      </c>
      <c r="J37" s="310"/>
      <c r="L37" s="57"/>
    </row>
    <row r="38" spans="1:12">
      <c r="A38" s="926" t="s">
        <v>1248</v>
      </c>
      <c r="B38" s="310">
        <v>1</v>
      </c>
      <c r="C38" s="310">
        <v>7.0000000000000007E-2</v>
      </c>
      <c r="D38" s="311">
        <v>1.0674938819053896</v>
      </c>
      <c r="E38" s="311">
        <v>1.0649877638107792</v>
      </c>
      <c r="F38" s="219">
        <v>1.06</v>
      </c>
      <c r="J38" s="310"/>
      <c r="L38" s="57"/>
    </row>
    <row r="39" spans="1:12">
      <c r="A39" s="926" t="s">
        <v>439</v>
      </c>
      <c r="B39" s="310">
        <v>1</v>
      </c>
      <c r="C39" s="310">
        <v>0.09</v>
      </c>
      <c r="D39" s="311">
        <v>1.100512736039398</v>
      </c>
      <c r="E39" s="311">
        <v>1.1110254720787962</v>
      </c>
      <c r="F39" s="219">
        <v>1.1100000000000001</v>
      </c>
      <c r="J39" s="310"/>
      <c r="L39" s="57"/>
    </row>
    <row r="40" spans="1:12">
      <c r="A40" s="926" t="s">
        <v>1250</v>
      </c>
      <c r="B40" s="310">
        <v>1</v>
      </c>
      <c r="C40" s="310">
        <v>0.09</v>
      </c>
      <c r="D40" s="311">
        <v>1.0830918678284462</v>
      </c>
      <c r="E40" s="311">
        <v>1.0761837356568924</v>
      </c>
      <c r="F40" s="219">
        <v>1.08</v>
      </c>
      <c r="J40" s="310"/>
      <c r="L40" s="57"/>
    </row>
    <row r="41" spans="1:12">
      <c r="A41" s="926" t="s">
        <v>1252</v>
      </c>
      <c r="B41" s="310">
        <v>1</v>
      </c>
      <c r="C41" s="310">
        <v>0.06</v>
      </c>
      <c r="D41" s="311">
        <v>1.0721657985654098</v>
      </c>
      <c r="E41" s="311">
        <v>1.0843315971308194</v>
      </c>
      <c r="F41" s="219">
        <v>1.08</v>
      </c>
      <c r="J41" s="310"/>
      <c r="L41" s="57"/>
    </row>
    <row r="42" spans="1:12">
      <c r="A42" s="926" t="s">
        <v>2399</v>
      </c>
      <c r="B42" s="310">
        <v>1</v>
      </c>
      <c r="C42" s="310">
        <v>7.0000000000000007E-2</v>
      </c>
      <c r="D42" s="311">
        <v>1.0771024985277267</v>
      </c>
      <c r="E42" s="311">
        <v>1.084204997055453</v>
      </c>
      <c r="F42" s="219">
        <v>1.08</v>
      </c>
      <c r="J42" s="310"/>
      <c r="L42" s="57"/>
    </row>
    <row r="43" spans="1:12">
      <c r="A43" s="926" t="s">
        <v>2566</v>
      </c>
      <c r="B43" s="310">
        <v>1</v>
      </c>
      <c r="C43" s="310">
        <v>0.04</v>
      </c>
      <c r="D43" s="311">
        <v>1.0545679328641091</v>
      </c>
      <c r="E43" s="311">
        <v>1.0691358657282184</v>
      </c>
      <c r="F43" s="219">
        <v>1.07</v>
      </c>
      <c r="J43" s="310"/>
      <c r="L43" s="57"/>
    </row>
    <row r="44" spans="1:12">
      <c r="A44" s="926" t="s">
        <v>947</v>
      </c>
      <c r="B44" s="310">
        <v>1</v>
      </c>
      <c r="C44" s="310">
        <v>0.04</v>
      </c>
      <c r="D44" s="311">
        <v>1.0476951860306096</v>
      </c>
      <c r="E44" s="311">
        <v>1.0553903720612192</v>
      </c>
      <c r="F44" s="219">
        <v>1.06</v>
      </c>
      <c r="J44" s="310"/>
      <c r="L44" s="57"/>
    </row>
    <row r="45" spans="1:12">
      <c r="A45" s="926" t="s">
        <v>950</v>
      </c>
      <c r="B45" s="310">
        <v>1</v>
      </c>
      <c r="C45" s="310">
        <v>0.08</v>
      </c>
      <c r="D45" s="311">
        <v>1.1023926537778626</v>
      </c>
      <c r="E45" s="311">
        <v>1.1247853075557248</v>
      </c>
      <c r="F45" s="219">
        <v>1.1200000000000001</v>
      </c>
      <c r="J45" s="310"/>
      <c r="L45" s="57"/>
    </row>
    <row r="46" spans="1:12">
      <c r="A46" s="926" t="s">
        <v>1869</v>
      </c>
      <c r="B46" s="310">
        <v>1</v>
      </c>
      <c r="C46" s="310">
        <v>0.04</v>
      </c>
      <c r="D46" s="311">
        <v>1.0467672172417766</v>
      </c>
      <c r="E46" s="311">
        <v>1.0535344344835533</v>
      </c>
      <c r="F46" s="219">
        <v>1.05</v>
      </c>
      <c r="J46" s="310"/>
      <c r="L46" s="57"/>
    </row>
    <row r="47" spans="1:12">
      <c r="A47" s="926" t="s">
        <v>6033</v>
      </c>
      <c r="B47" s="310">
        <v>1</v>
      </c>
      <c r="C47" s="310">
        <v>0.1</v>
      </c>
      <c r="D47" s="311">
        <v>1.135954572060887</v>
      </c>
      <c r="E47" s="311">
        <v>1.1719091441217739</v>
      </c>
      <c r="F47" s="219">
        <v>1.17</v>
      </c>
      <c r="J47" s="310"/>
      <c r="L47" s="57"/>
    </row>
    <row r="48" spans="1:12">
      <c r="A48" s="926" t="s">
        <v>2309</v>
      </c>
      <c r="B48" s="310">
        <v>1</v>
      </c>
      <c r="C48" s="310">
        <v>0.05</v>
      </c>
      <c r="D48" s="311">
        <v>1.0575824292873715</v>
      </c>
      <c r="E48" s="311">
        <v>1.0651648585747429</v>
      </c>
      <c r="F48" s="219">
        <v>1.07</v>
      </c>
      <c r="J48" s="310"/>
      <c r="L48" s="57"/>
    </row>
    <row r="49" spans="1:12">
      <c r="A49" s="926" t="s">
        <v>2384</v>
      </c>
      <c r="B49" s="310">
        <v>1</v>
      </c>
      <c r="C49" s="310">
        <v>0.05</v>
      </c>
      <c r="D49" s="311">
        <v>1.0603939958448967</v>
      </c>
      <c r="E49" s="311">
        <v>1.0707879916897933</v>
      </c>
      <c r="F49" s="219">
        <v>1.07</v>
      </c>
      <c r="J49" s="310"/>
      <c r="L49" s="57"/>
    </row>
    <row r="50" spans="1:12">
      <c r="A50" s="926" t="s">
        <v>2411</v>
      </c>
      <c r="B50" s="310">
        <v>1</v>
      </c>
      <c r="C50" s="310">
        <v>0.09</v>
      </c>
      <c r="D50" s="311">
        <v>1.110173635100435</v>
      </c>
      <c r="E50" s="311">
        <v>1.1303472702008697</v>
      </c>
      <c r="F50" s="219">
        <v>1.1299999999999999</v>
      </c>
      <c r="J50" s="310"/>
      <c r="L50" s="57"/>
    </row>
    <row r="51" spans="1:12">
      <c r="A51" s="926" t="s">
        <v>2416</v>
      </c>
      <c r="B51" s="310">
        <v>1</v>
      </c>
      <c r="C51" s="310">
        <v>0.04</v>
      </c>
      <c r="D51" s="311">
        <v>1.0567236483223064</v>
      </c>
      <c r="E51" s="311">
        <v>1.0734472966446129</v>
      </c>
      <c r="F51" s="219">
        <v>1.07</v>
      </c>
      <c r="J51" s="310"/>
      <c r="L51" s="57"/>
    </row>
    <row r="52" spans="1:12">
      <c r="A52" s="926" t="s">
        <v>37</v>
      </c>
      <c r="B52" s="310">
        <v>1</v>
      </c>
      <c r="C52" s="310">
        <v>0.08</v>
      </c>
      <c r="D52" s="311">
        <v>1.1471185188423121</v>
      </c>
      <c r="E52" s="311">
        <v>1.2142370376846243</v>
      </c>
      <c r="F52" s="219">
        <v>1.21</v>
      </c>
      <c r="J52" s="310"/>
      <c r="L52" s="57"/>
    </row>
    <row r="53" spans="1:12">
      <c r="A53" s="926" t="s">
        <v>1860</v>
      </c>
      <c r="B53" s="310">
        <v>1</v>
      </c>
      <c r="C53" s="310">
        <v>0.12</v>
      </c>
      <c r="D53" s="311">
        <v>1.1887050356363833</v>
      </c>
      <c r="E53" s="311">
        <v>1.2574100712727665</v>
      </c>
      <c r="F53" s="219">
        <v>1.26</v>
      </c>
      <c r="J53" s="310"/>
      <c r="L53" s="57"/>
    </row>
    <row r="54" spans="1:12">
      <c r="A54" s="926" t="s">
        <v>1520</v>
      </c>
      <c r="B54" s="310">
        <v>1</v>
      </c>
      <c r="C54" s="310">
        <v>0.15</v>
      </c>
      <c r="D54" s="311">
        <v>1.2022809861823958</v>
      </c>
      <c r="E54" s="311">
        <v>1.2545619723647916</v>
      </c>
      <c r="F54" s="219">
        <v>1.25</v>
      </c>
      <c r="J54" s="310"/>
      <c r="L54" s="57"/>
    </row>
    <row r="55" spans="1:12">
      <c r="A55" s="926" t="s">
        <v>39</v>
      </c>
      <c r="B55" s="310">
        <v>1</v>
      </c>
      <c r="C55" s="310">
        <v>0.06</v>
      </c>
      <c r="D55" s="311">
        <v>1.112532636859576</v>
      </c>
      <c r="E55" s="311">
        <v>1.165065273719152</v>
      </c>
      <c r="F55" s="219">
        <v>1.17</v>
      </c>
      <c r="J55" s="310"/>
      <c r="L55" s="57"/>
    </row>
    <row r="56" spans="1:12">
      <c r="A56" s="926" t="s">
        <v>2386</v>
      </c>
      <c r="B56" s="310">
        <v>1</v>
      </c>
      <c r="C56" s="310">
        <v>0.14000000000000001</v>
      </c>
      <c r="D56" s="311">
        <v>1.2086294809100622</v>
      </c>
      <c r="E56" s="311">
        <v>1.2772589618201244</v>
      </c>
      <c r="F56" s="219">
        <v>1.28</v>
      </c>
      <c r="J56" s="310"/>
      <c r="L56" s="57"/>
    </row>
    <row r="57" spans="1:12">
      <c r="A57" s="926" t="s">
        <v>2403</v>
      </c>
      <c r="B57" s="310">
        <v>1</v>
      </c>
      <c r="C57" s="310">
        <v>0.14000000000000001</v>
      </c>
      <c r="D57" s="311">
        <v>1.1903590155828871</v>
      </c>
      <c r="E57" s="311">
        <v>1.2407180311657744</v>
      </c>
      <c r="F57" s="219">
        <v>1.24</v>
      </c>
      <c r="J57" s="310"/>
      <c r="L57" s="57"/>
    </row>
    <row r="58" spans="1:12">
      <c r="A58" s="926" t="s">
        <v>2402</v>
      </c>
      <c r="B58" s="310">
        <v>1</v>
      </c>
      <c r="C58" s="310">
        <v>0.08</v>
      </c>
      <c r="D58" s="311">
        <v>1.1362559384594924</v>
      </c>
      <c r="E58" s="311">
        <v>1.1925118769189846</v>
      </c>
      <c r="F58" s="219">
        <v>1.19</v>
      </c>
      <c r="J58" s="310"/>
      <c r="L58" s="57"/>
    </row>
    <row r="59" spans="1:12">
      <c r="A59" s="926" t="s">
        <v>6183</v>
      </c>
      <c r="B59" s="310">
        <v>1</v>
      </c>
      <c r="C59" s="310">
        <v>0.11</v>
      </c>
      <c r="D59" s="311">
        <v>1.1951388306505217</v>
      </c>
      <c r="E59" s="311">
        <v>1.2802776613010434</v>
      </c>
      <c r="F59" s="219">
        <v>1.28</v>
      </c>
      <c r="J59" s="310"/>
      <c r="L59" s="57"/>
    </row>
    <row r="60" spans="1:12">
      <c r="A60" s="926" t="s">
        <v>1517</v>
      </c>
      <c r="B60" s="310">
        <v>1</v>
      </c>
      <c r="C60" s="310">
        <v>0.1</v>
      </c>
      <c r="D60" s="311">
        <v>1.1643280194066565</v>
      </c>
      <c r="E60" s="311">
        <v>1.2286560388133132</v>
      </c>
      <c r="F60" s="219">
        <v>1.23</v>
      </c>
      <c r="J60" s="310"/>
      <c r="L60" s="57"/>
    </row>
    <row r="61" spans="1:12">
      <c r="A61" s="926" t="s">
        <v>3082</v>
      </c>
      <c r="B61" s="310">
        <v>1</v>
      </c>
      <c r="C61" s="310">
        <v>0.11</v>
      </c>
      <c r="D61" s="311">
        <v>1.1730166231049699</v>
      </c>
      <c r="E61" s="311">
        <v>1.2360332462099395</v>
      </c>
      <c r="F61" s="219">
        <v>1.24</v>
      </c>
      <c r="J61" s="310"/>
      <c r="L61" s="57"/>
    </row>
    <row r="62" spans="1:12">
      <c r="A62" s="926" t="s">
        <v>41</v>
      </c>
      <c r="B62" s="310">
        <v>1</v>
      </c>
      <c r="C62" s="310">
        <v>0.05</v>
      </c>
      <c r="D62" s="311">
        <v>1.108736896480111</v>
      </c>
      <c r="E62" s="311">
        <v>1.1674737929602221</v>
      </c>
      <c r="F62" s="219">
        <v>1.17</v>
      </c>
      <c r="J62" s="310"/>
      <c r="L62" s="57"/>
    </row>
    <row r="63" spans="1:12">
      <c r="A63" s="926" t="s">
        <v>43</v>
      </c>
      <c r="B63" s="310">
        <v>1</v>
      </c>
      <c r="C63" s="310">
        <v>0.06</v>
      </c>
      <c r="D63" s="311">
        <v>1.1168851694210682</v>
      </c>
      <c r="E63" s="311">
        <v>1.1737703388421361</v>
      </c>
      <c r="F63" s="219">
        <v>1.17</v>
      </c>
      <c r="J63" s="310"/>
      <c r="L63" s="57"/>
    </row>
    <row r="64" spans="1:12">
      <c r="A64" s="926" t="s">
        <v>6185</v>
      </c>
      <c r="B64" s="310">
        <v>1</v>
      </c>
      <c r="C64" s="310">
        <v>0.11</v>
      </c>
      <c r="D64" s="311">
        <v>1.1912652215425665</v>
      </c>
      <c r="E64" s="311">
        <v>1.272530443085133</v>
      </c>
      <c r="F64" s="219">
        <v>1.27</v>
      </c>
      <c r="J64" s="310"/>
      <c r="L64" s="57"/>
    </row>
    <row r="65" spans="1:12">
      <c r="A65" s="926" t="s">
        <v>6026</v>
      </c>
      <c r="B65" s="310">
        <v>1</v>
      </c>
      <c r="C65" s="310">
        <v>0.11</v>
      </c>
      <c r="D65" s="311">
        <v>1.185266721748008</v>
      </c>
      <c r="E65" s="311">
        <v>1.2605334434960156</v>
      </c>
      <c r="F65" s="219">
        <v>1.26</v>
      </c>
      <c r="J65" s="310"/>
      <c r="L65" s="57"/>
    </row>
    <row r="66" spans="1:12">
      <c r="A66" s="926" t="s">
        <v>2404</v>
      </c>
      <c r="B66" s="310">
        <v>1</v>
      </c>
      <c r="C66" s="310">
        <v>0.1</v>
      </c>
      <c r="D66" s="311">
        <v>1.1546701363999452</v>
      </c>
      <c r="E66" s="311">
        <v>1.2093402727998903</v>
      </c>
      <c r="F66" s="219">
        <v>1.21</v>
      </c>
      <c r="J66" s="310"/>
      <c r="L66" s="57"/>
    </row>
    <row r="67" spans="1:12">
      <c r="A67" s="926" t="s">
        <v>45</v>
      </c>
      <c r="B67" s="310">
        <v>1</v>
      </c>
      <c r="C67" s="310">
        <v>0.08</v>
      </c>
      <c r="D67" s="311">
        <v>1.0825602498508018</v>
      </c>
      <c r="E67" s="311">
        <v>1.0851204997016033</v>
      </c>
      <c r="F67" s="219">
        <v>1.0900000000000001</v>
      </c>
      <c r="J67" s="310"/>
      <c r="L67" s="57"/>
    </row>
    <row r="68" spans="1:12">
      <c r="A68" s="926" t="s">
        <v>952</v>
      </c>
      <c r="B68" s="310">
        <v>1</v>
      </c>
      <c r="C68" s="310">
        <v>0.08</v>
      </c>
      <c r="D68" s="311">
        <v>1.0821904823305153</v>
      </c>
      <c r="E68" s="311">
        <v>1.0843809646610303</v>
      </c>
      <c r="F68" s="219">
        <v>1.08</v>
      </c>
      <c r="J68" s="310"/>
      <c r="L68" s="57"/>
    </row>
    <row r="69" spans="1:12">
      <c r="A69" s="926" t="s">
        <v>47</v>
      </c>
      <c r="B69" s="310">
        <v>1</v>
      </c>
      <c r="C69" s="310">
        <v>0.06</v>
      </c>
      <c r="D69" s="311">
        <v>1.0460378218483051</v>
      </c>
      <c r="E69" s="311">
        <v>1.0320756436966101</v>
      </c>
      <c r="F69" s="219">
        <v>1.03</v>
      </c>
      <c r="J69" s="310"/>
      <c r="L69" s="57"/>
    </row>
    <row r="70" spans="1:12">
      <c r="A70" s="926" t="s">
        <v>740</v>
      </c>
      <c r="B70" s="310">
        <v>1</v>
      </c>
      <c r="C70" s="310">
        <v>0.04</v>
      </c>
      <c r="D70" s="311">
        <v>1.0582664405527469</v>
      </c>
      <c r="E70" s="311">
        <v>1.0765328811054937</v>
      </c>
      <c r="F70" s="219">
        <v>1.08</v>
      </c>
      <c r="J70" s="310"/>
      <c r="L70" s="57"/>
    </row>
    <row r="71" spans="1:12">
      <c r="A71" s="926" t="s">
        <v>49</v>
      </c>
      <c r="B71" s="310">
        <v>1</v>
      </c>
      <c r="C71" s="310">
        <v>0.04</v>
      </c>
      <c r="D71" s="311">
        <v>1.0540500762701019</v>
      </c>
      <c r="E71" s="311">
        <v>1.0681001525402041</v>
      </c>
      <c r="F71" s="219">
        <v>1.07</v>
      </c>
      <c r="J71" s="310"/>
      <c r="L71" s="57"/>
    </row>
    <row r="72" spans="1:12">
      <c r="A72" s="926" t="s">
        <v>1337</v>
      </c>
      <c r="B72" s="310">
        <v>1</v>
      </c>
      <c r="C72" s="310">
        <v>7.0000000000000007E-2</v>
      </c>
      <c r="D72" s="311">
        <v>1.0584899876017593</v>
      </c>
      <c r="E72" s="311">
        <v>1.0469799752035183</v>
      </c>
      <c r="F72" s="219">
        <v>1.05</v>
      </c>
      <c r="J72" s="310"/>
      <c r="L72" s="57"/>
    </row>
    <row r="73" spans="1:12">
      <c r="A73" s="926" t="s">
        <v>1339</v>
      </c>
      <c r="B73" s="310">
        <v>1</v>
      </c>
      <c r="C73" s="310">
        <v>0.04</v>
      </c>
      <c r="D73" s="311">
        <v>1.0515654242872277</v>
      </c>
      <c r="E73" s="311">
        <v>1.0631308485744555</v>
      </c>
      <c r="F73" s="219">
        <v>1.06</v>
      </c>
      <c r="J73" s="310"/>
      <c r="L73" s="57"/>
    </row>
    <row r="74" spans="1:12">
      <c r="A74" s="926" t="s">
        <v>2474</v>
      </c>
      <c r="B74" s="310">
        <v>1</v>
      </c>
      <c r="C74" s="310">
        <v>0.04</v>
      </c>
      <c r="D74" s="311">
        <v>1.0424027262795028</v>
      </c>
      <c r="E74" s="311">
        <v>1.0448054525590056</v>
      </c>
      <c r="F74" s="219">
        <v>1.04</v>
      </c>
      <c r="J74" s="310"/>
      <c r="L74" s="57"/>
    </row>
    <row r="75" spans="1:12">
      <c r="A75" s="926" t="s">
        <v>1341</v>
      </c>
      <c r="B75" s="310">
        <v>1</v>
      </c>
      <c r="C75" s="310">
        <v>0.05</v>
      </c>
      <c r="D75" s="311">
        <v>1.0454121180988791</v>
      </c>
      <c r="E75" s="311">
        <v>1.0408242361977582</v>
      </c>
      <c r="F75" s="219">
        <v>1.04</v>
      </c>
      <c r="J75" s="310"/>
      <c r="L75" s="57"/>
    </row>
    <row r="76" spans="1:12">
      <c r="A76" s="926" t="s">
        <v>1343</v>
      </c>
      <c r="B76" s="310">
        <v>1</v>
      </c>
      <c r="C76" s="310">
        <v>0.05</v>
      </c>
      <c r="D76" s="311">
        <v>1.0504504872482581</v>
      </c>
      <c r="E76" s="311">
        <v>1.0509009744965161</v>
      </c>
      <c r="F76" s="219">
        <v>1.05</v>
      </c>
      <c r="J76" s="310"/>
      <c r="L76" s="57"/>
    </row>
    <row r="77" spans="1:12">
      <c r="A77" s="926" t="s">
        <v>1345</v>
      </c>
      <c r="B77" s="310">
        <v>1</v>
      </c>
      <c r="C77" s="310">
        <v>0.05</v>
      </c>
      <c r="D77" s="311">
        <v>1.0520383475684862</v>
      </c>
      <c r="E77" s="311">
        <v>1.0540766951369724</v>
      </c>
      <c r="F77" s="219">
        <v>1.05</v>
      </c>
      <c r="J77" s="310"/>
      <c r="L77" s="57"/>
    </row>
    <row r="78" spans="1:12">
      <c r="A78" s="926" t="s">
        <v>963</v>
      </c>
      <c r="B78" s="310">
        <v>1</v>
      </c>
      <c r="C78" s="310">
        <v>0.03</v>
      </c>
      <c r="D78" s="311">
        <v>1.046588644681163</v>
      </c>
      <c r="E78" s="311">
        <v>1.0631772893623259</v>
      </c>
      <c r="F78" s="219">
        <v>1.06</v>
      </c>
      <c r="J78" s="310"/>
      <c r="L78" s="57"/>
    </row>
    <row r="79" spans="1:12">
      <c r="A79" s="926" t="s">
        <v>3083</v>
      </c>
      <c r="B79" s="310">
        <v>1</v>
      </c>
      <c r="C79" s="310">
        <v>0.04</v>
      </c>
      <c r="D79" s="311">
        <v>1.0506717984906639</v>
      </c>
      <c r="E79" s="311">
        <v>1.0613435969813279</v>
      </c>
      <c r="F79" s="219">
        <v>1.06</v>
      </c>
      <c r="J79" s="310"/>
      <c r="L79" s="57"/>
    </row>
    <row r="80" spans="1:12">
      <c r="A80" s="926" t="s">
        <v>2568</v>
      </c>
      <c r="B80" s="310">
        <v>1</v>
      </c>
      <c r="C80" s="310">
        <v>0.03</v>
      </c>
      <c r="D80" s="311">
        <v>1.0385543010213589</v>
      </c>
      <c r="E80" s="311">
        <v>1.0471086020427178</v>
      </c>
      <c r="F80" s="219">
        <v>1.05</v>
      </c>
      <c r="J80" s="310"/>
      <c r="L80" s="57"/>
    </row>
    <row r="81" spans="1:12">
      <c r="A81" s="926" t="s">
        <v>1349</v>
      </c>
      <c r="B81" s="310">
        <v>1</v>
      </c>
      <c r="C81" s="310">
        <v>0.05</v>
      </c>
      <c r="D81" s="311">
        <v>1.0610221639163941</v>
      </c>
      <c r="E81" s="311">
        <v>1.0720443278327882</v>
      </c>
      <c r="F81" s="219">
        <v>1.07</v>
      </c>
      <c r="J81" s="310"/>
      <c r="L81" s="57"/>
    </row>
    <row r="82" spans="1:12">
      <c r="A82" s="926" t="s">
        <v>6083</v>
      </c>
      <c r="B82" s="310">
        <v>1</v>
      </c>
      <c r="C82" s="310">
        <v>0.03</v>
      </c>
      <c r="D82" s="311">
        <v>1.0453463347254661</v>
      </c>
      <c r="E82" s="311">
        <v>1.0606926694509322</v>
      </c>
      <c r="F82" s="219">
        <v>1.06</v>
      </c>
      <c r="J82" s="310"/>
      <c r="L82" s="57"/>
    </row>
    <row r="83" spans="1:12">
      <c r="A83" s="926" t="s">
        <v>6085</v>
      </c>
      <c r="B83" s="310">
        <v>1</v>
      </c>
      <c r="C83" s="310">
        <v>0.06</v>
      </c>
      <c r="D83" s="311">
        <v>1.0783526973295661</v>
      </c>
      <c r="E83" s="311">
        <v>1.0967053946591321</v>
      </c>
      <c r="F83" s="219">
        <v>1.1000000000000001</v>
      </c>
      <c r="J83" s="310"/>
      <c r="L83" s="57"/>
    </row>
    <row r="84" spans="1:12">
      <c r="A84" s="926" t="s">
        <v>1998</v>
      </c>
      <c r="B84" s="310">
        <v>1</v>
      </c>
      <c r="C84" s="310">
        <v>0.06</v>
      </c>
      <c r="D84" s="311">
        <v>1.0696442180907795</v>
      </c>
      <c r="E84" s="311">
        <v>1.0792884361815589</v>
      </c>
      <c r="F84" s="219">
        <v>1.08</v>
      </c>
      <c r="J84" s="310"/>
      <c r="L84" s="57"/>
    </row>
    <row r="85" spans="1:12">
      <c r="A85" s="926" t="s">
        <v>2570</v>
      </c>
      <c r="B85" s="310">
        <v>1</v>
      </c>
      <c r="C85" s="310">
        <v>0.03</v>
      </c>
      <c r="D85" s="311">
        <v>1.041001164420154</v>
      </c>
      <c r="E85" s="311">
        <v>1.0520023288403082</v>
      </c>
      <c r="F85" s="219">
        <v>1.05</v>
      </c>
      <c r="J85" s="310"/>
      <c r="L85" s="57"/>
    </row>
    <row r="86" spans="1:12">
      <c r="A86" s="926" t="s">
        <v>4076</v>
      </c>
      <c r="B86" s="310">
        <v>1</v>
      </c>
      <c r="C86" s="310">
        <v>0.04</v>
      </c>
      <c r="D86" s="311">
        <v>1.0330984873136284</v>
      </c>
      <c r="E86" s="311">
        <v>1.026196974627257</v>
      </c>
      <c r="F86" s="219">
        <v>1.03</v>
      </c>
      <c r="J86" s="310"/>
      <c r="L86" s="57"/>
    </row>
    <row r="87" spans="1:12">
      <c r="A87" s="926" t="s">
        <v>1963</v>
      </c>
      <c r="B87" s="310">
        <v>1</v>
      </c>
      <c r="C87" s="310">
        <v>0.03</v>
      </c>
      <c r="D87" s="311">
        <v>1.0317394624734835</v>
      </c>
      <c r="E87" s="311">
        <v>1.0334789249469669</v>
      </c>
      <c r="F87" s="219">
        <v>1.03</v>
      </c>
      <c r="J87" s="310"/>
      <c r="L87" s="57"/>
    </row>
    <row r="88" spans="1:12">
      <c r="A88" s="926" t="s">
        <v>2000</v>
      </c>
      <c r="B88" s="310">
        <v>1</v>
      </c>
      <c r="C88" s="310">
        <v>0.05</v>
      </c>
      <c r="D88" s="311">
        <v>1.0597977357460322</v>
      </c>
      <c r="E88" s="311">
        <v>1.0695954714920644</v>
      </c>
      <c r="F88" s="219">
        <v>1.07</v>
      </c>
      <c r="J88" s="310"/>
      <c r="L88" s="57"/>
    </row>
    <row r="89" spans="1:12">
      <c r="A89" s="926" t="s">
        <v>2002</v>
      </c>
      <c r="B89" s="310">
        <v>1</v>
      </c>
      <c r="C89" s="310">
        <v>0.04</v>
      </c>
      <c r="D89" s="311">
        <v>1.0305476133116893</v>
      </c>
      <c r="E89" s="311">
        <v>1.0210952266233788</v>
      </c>
      <c r="F89" s="219">
        <v>1.02</v>
      </c>
      <c r="J89" s="310"/>
      <c r="L89" s="57"/>
    </row>
    <row r="90" spans="1:12">
      <c r="A90" s="926" t="s">
        <v>1964</v>
      </c>
      <c r="B90" s="310">
        <v>1</v>
      </c>
      <c r="C90" s="310">
        <v>0.04</v>
      </c>
      <c r="D90" s="311">
        <v>1.0307209233441221</v>
      </c>
      <c r="E90" s="311">
        <v>1.0214418466882444</v>
      </c>
      <c r="F90" s="219">
        <v>1.02</v>
      </c>
      <c r="J90" s="310"/>
      <c r="L90" s="57"/>
    </row>
    <row r="91" spans="1:12">
      <c r="A91" s="926" t="s">
        <v>2136</v>
      </c>
      <c r="B91" s="310">
        <v>1</v>
      </c>
      <c r="C91" s="310">
        <v>0.15</v>
      </c>
      <c r="D91" s="311">
        <v>1.1864928433298625</v>
      </c>
      <c r="E91" s="311">
        <v>1.2229856866597251</v>
      </c>
      <c r="F91" s="219">
        <v>1.22</v>
      </c>
      <c r="J91" s="310"/>
      <c r="L91" s="57"/>
    </row>
    <row r="92" spans="1:12">
      <c r="A92" s="926" t="s">
        <v>2966</v>
      </c>
      <c r="B92" s="310">
        <v>1</v>
      </c>
      <c r="C92" s="310">
        <v>0.15</v>
      </c>
      <c r="D92" s="311">
        <v>1.1671871542258923</v>
      </c>
      <c r="E92" s="311">
        <v>1.1843743084517844</v>
      </c>
      <c r="F92" s="219">
        <v>1.18</v>
      </c>
      <c r="J92" s="310"/>
      <c r="L92" s="57"/>
    </row>
    <row r="93" spans="1:12">
      <c r="A93" s="926" t="s">
        <v>3084</v>
      </c>
      <c r="B93" s="310">
        <v>1</v>
      </c>
      <c r="C93" s="310">
        <v>0.11</v>
      </c>
      <c r="D93" s="311">
        <v>1.1176210929537764</v>
      </c>
      <c r="E93" s="311">
        <v>1.1252421859075525</v>
      </c>
      <c r="F93" s="219">
        <v>1.1299999999999999</v>
      </c>
      <c r="J93" s="310"/>
      <c r="L93" s="57"/>
    </row>
    <row r="94" spans="1:12">
      <c r="A94" s="926" t="s">
        <v>6252</v>
      </c>
      <c r="B94" s="310">
        <v>1</v>
      </c>
      <c r="C94" s="310">
        <v>0.16</v>
      </c>
      <c r="D94" s="311">
        <v>1.1797037011616485</v>
      </c>
      <c r="E94" s="311">
        <v>1.199407402323297</v>
      </c>
      <c r="F94" s="219">
        <v>1.2</v>
      </c>
      <c r="J94" s="310"/>
      <c r="L94" s="57"/>
    </row>
    <row r="95" spans="1:12">
      <c r="A95" s="926" t="s">
        <v>6254</v>
      </c>
      <c r="B95" s="310">
        <v>1</v>
      </c>
      <c r="C95" s="310">
        <v>0.12</v>
      </c>
      <c r="D95" s="311">
        <v>1.1284934793929522</v>
      </c>
      <c r="E95" s="311">
        <v>1.1369869587859041</v>
      </c>
      <c r="F95" s="219">
        <v>1.1399999999999999</v>
      </c>
      <c r="J95" s="310"/>
      <c r="L95" s="57"/>
    </row>
    <row r="96" spans="1:12">
      <c r="A96" s="926" t="s">
        <v>233</v>
      </c>
      <c r="B96" s="310">
        <v>1</v>
      </c>
      <c r="C96" s="310">
        <v>0.13</v>
      </c>
      <c r="D96" s="311">
        <v>1.141204372817364</v>
      </c>
      <c r="E96" s="311">
        <v>1.1524087456347281</v>
      </c>
      <c r="F96" s="219">
        <v>1.1499999999999999</v>
      </c>
      <c r="J96" s="310"/>
      <c r="L96" s="57"/>
    </row>
    <row r="97" spans="1:12">
      <c r="A97" s="926" t="s">
        <v>6195</v>
      </c>
      <c r="B97" s="310">
        <v>1</v>
      </c>
      <c r="C97" s="310">
        <v>0.15</v>
      </c>
      <c r="D97" s="311">
        <v>1.1924736410846952</v>
      </c>
      <c r="E97" s="311">
        <v>1.2349472821693908</v>
      </c>
      <c r="F97" s="219">
        <v>1.23</v>
      </c>
      <c r="J97" s="310"/>
      <c r="L97" s="57"/>
    </row>
    <row r="98" spans="1:12">
      <c r="A98" s="926" t="s">
        <v>6256</v>
      </c>
      <c r="B98" s="310">
        <v>1</v>
      </c>
      <c r="C98" s="310">
        <v>0.11</v>
      </c>
      <c r="D98" s="311">
        <v>1.1027036296278432</v>
      </c>
      <c r="E98" s="311">
        <v>1.095407259255686</v>
      </c>
      <c r="F98" s="219">
        <v>1.1000000000000001</v>
      </c>
      <c r="J98" s="310"/>
      <c r="L98" s="57"/>
    </row>
    <row r="99" spans="1:12">
      <c r="A99" s="926" t="s">
        <v>743</v>
      </c>
      <c r="B99" s="310">
        <v>1</v>
      </c>
      <c r="C99" s="310">
        <v>0.09</v>
      </c>
      <c r="D99" s="311">
        <v>1.1137271972737397</v>
      </c>
      <c r="E99" s="311">
        <v>1.1374543945474793</v>
      </c>
      <c r="F99" s="219">
        <v>1.1399999999999999</v>
      </c>
      <c r="J99" s="310"/>
      <c r="L99" s="57"/>
    </row>
    <row r="100" spans="1:12">
      <c r="A100" s="926" t="s">
        <v>960</v>
      </c>
      <c r="B100" s="310">
        <v>1</v>
      </c>
      <c r="C100" s="310">
        <v>0.11</v>
      </c>
      <c r="D100" s="311">
        <v>1.1351806214981548</v>
      </c>
      <c r="E100" s="311">
        <v>1.1603612429963095</v>
      </c>
      <c r="F100" s="219">
        <v>1.1599999999999999</v>
      </c>
      <c r="J100" s="310"/>
      <c r="L100" s="57"/>
    </row>
    <row r="101" spans="1:12">
      <c r="A101" s="926" t="s">
        <v>6260</v>
      </c>
      <c r="B101" s="310">
        <v>1</v>
      </c>
      <c r="C101" s="310">
        <v>0.1</v>
      </c>
      <c r="D101" s="311">
        <v>1.0780430292689165</v>
      </c>
      <c r="E101" s="311">
        <v>1.0560860585378329</v>
      </c>
      <c r="F101" s="219">
        <v>1.06</v>
      </c>
      <c r="J101" s="310"/>
      <c r="L101" s="57"/>
    </row>
    <row r="102" spans="1:12">
      <c r="A102" s="926" t="s">
        <v>6262</v>
      </c>
      <c r="B102" s="310">
        <v>1</v>
      </c>
      <c r="C102" s="310">
        <v>0.1</v>
      </c>
      <c r="D102" s="311">
        <v>1.0770192692565781</v>
      </c>
      <c r="E102" s="311">
        <v>1.0540385385131561</v>
      </c>
      <c r="F102" s="219">
        <v>1.05</v>
      </c>
      <c r="J102" s="310"/>
      <c r="L102" s="57"/>
    </row>
    <row r="103" spans="1:12">
      <c r="A103" s="926" t="s">
        <v>6264</v>
      </c>
      <c r="B103" s="310">
        <v>1</v>
      </c>
      <c r="C103" s="310">
        <v>0.09</v>
      </c>
      <c r="D103" s="311">
        <v>1.0728595641870862</v>
      </c>
      <c r="E103" s="311">
        <v>1.0557191283741723</v>
      </c>
      <c r="F103" s="219">
        <v>1.06</v>
      </c>
      <c r="J103" s="310"/>
      <c r="L103" s="57"/>
    </row>
    <row r="104" spans="1:12">
      <c r="A104" s="926" t="s">
        <v>6266</v>
      </c>
      <c r="B104" s="310">
        <v>1</v>
      </c>
      <c r="C104" s="310">
        <v>0.09</v>
      </c>
      <c r="D104" s="311">
        <v>1.0754987068719397</v>
      </c>
      <c r="E104" s="311">
        <v>1.0609974137438793</v>
      </c>
      <c r="F104" s="219">
        <v>1.06</v>
      </c>
      <c r="J104" s="310"/>
      <c r="L104" s="57"/>
    </row>
    <row r="105" spans="1:12">
      <c r="A105" s="926" t="s">
        <v>6268</v>
      </c>
      <c r="B105" s="310">
        <v>1</v>
      </c>
      <c r="C105" s="310">
        <v>0.04</v>
      </c>
      <c r="D105" s="311">
        <v>1.0262211227630862</v>
      </c>
      <c r="E105" s="311">
        <v>1.0124422455261723</v>
      </c>
      <c r="F105" s="219">
        <v>1.01</v>
      </c>
      <c r="J105" s="310"/>
      <c r="L105" s="57"/>
    </row>
    <row r="106" spans="1:12">
      <c r="A106" s="926" t="s">
        <v>6270</v>
      </c>
      <c r="B106" s="310">
        <v>1</v>
      </c>
      <c r="C106" s="310">
        <v>0.15</v>
      </c>
      <c r="D106" s="311">
        <v>1.121274500286785</v>
      </c>
      <c r="E106" s="311">
        <v>1.0925490005735701</v>
      </c>
      <c r="F106" s="219">
        <v>1.0900000000000001</v>
      </c>
      <c r="J106" s="310"/>
      <c r="L106" s="57"/>
    </row>
    <row r="107" spans="1:12">
      <c r="A107" s="926" t="s">
        <v>6272</v>
      </c>
      <c r="B107" s="310">
        <v>1</v>
      </c>
      <c r="C107" s="310">
        <v>0.03</v>
      </c>
      <c r="D107" s="311">
        <v>1.0379110766106128</v>
      </c>
      <c r="E107" s="311">
        <v>1.0458221532212253</v>
      </c>
      <c r="F107" s="219">
        <v>1.05</v>
      </c>
      <c r="J107" s="310"/>
      <c r="L107" s="57"/>
    </row>
    <row r="108" spans="1:12">
      <c r="A108" s="926" t="s">
        <v>2291</v>
      </c>
      <c r="B108" s="310">
        <v>1</v>
      </c>
      <c r="C108" s="310">
        <v>0.06</v>
      </c>
      <c r="D108" s="311">
        <v>1.0549760564012012</v>
      </c>
      <c r="E108" s="311">
        <v>1.0499521128024023</v>
      </c>
      <c r="F108" s="219">
        <v>1.05</v>
      </c>
      <c r="J108" s="310"/>
      <c r="L108" s="57"/>
    </row>
    <row r="109" spans="1:12">
      <c r="A109" s="926" t="s">
        <v>954</v>
      </c>
      <c r="B109" s="310">
        <v>1</v>
      </c>
      <c r="C109" s="310">
        <v>0.05</v>
      </c>
      <c r="D109" s="311">
        <v>1.0377416400707722</v>
      </c>
      <c r="E109" s="311">
        <v>1.0254832801415443</v>
      </c>
      <c r="F109" s="219">
        <v>1.03</v>
      </c>
      <c r="J109" s="310"/>
      <c r="L109" s="57"/>
    </row>
    <row r="110" spans="1:12">
      <c r="A110" s="926" t="s">
        <v>6166</v>
      </c>
      <c r="B110" s="310">
        <v>1</v>
      </c>
      <c r="C110" s="310">
        <v>0.03</v>
      </c>
      <c r="D110" s="311">
        <v>1.0351785810045913</v>
      </c>
      <c r="E110" s="311">
        <v>1.0403571620091825</v>
      </c>
      <c r="F110" s="219">
        <v>1.04</v>
      </c>
      <c r="J110" s="310"/>
      <c r="L110" s="57"/>
    </row>
    <row r="111" spans="1:12">
      <c r="A111" s="926" t="s">
        <v>864</v>
      </c>
      <c r="B111" s="310">
        <v>1</v>
      </c>
      <c r="C111" s="310">
        <v>0.04</v>
      </c>
      <c r="D111" s="311">
        <v>1.0292532217359101</v>
      </c>
      <c r="E111" s="311">
        <v>1.0185064434718201</v>
      </c>
      <c r="F111" s="219">
        <v>1.02</v>
      </c>
      <c r="J111" s="310"/>
      <c r="L111" s="57"/>
    </row>
    <row r="112" spans="1:12">
      <c r="A112" s="926" t="s">
        <v>3085</v>
      </c>
      <c r="B112" s="310">
        <v>1</v>
      </c>
      <c r="C112" s="310">
        <v>0.04</v>
      </c>
      <c r="D112" s="311">
        <v>1.0311005191058755</v>
      </c>
      <c r="E112" s="311">
        <v>1.0222010382117512</v>
      </c>
      <c r="F112" s="219">
        <v>1.02</v>
      </c>
      <c r="J112" s="310"/>
      <c r="L112" s="57"/>
    </row>
    <row r="113" spans="1:12">
      <c r="A113" s="926" t="s">
        <v>1518</v>
      </c>
      <c r="B113" s="310">
        <v>1</v>
      </c>
      <c r="C113" s="310">
        <v>0.04</v>
      </c>
      <c r="D113" s="311">
        <v>1.0408496847151607</v>
      </c>
      <c r="E113" s="311">
        <v>1.0416993694303214</v>
      </c>
      <c r="F113" s="219">
        <v>1.04</v>
      </c>
      <c r="J113" s="310"/>
      <c r="L113" s="57"/>
    </row>
    <row r="114" spans="1:12">
      <c r="A114" s="926" t="s">
        <v>2293</v>
      </c>
      <c r="B114" s="310">
        <v>1</v>
      </c>
      <c r="C114" s="310">
        <v>0.08</v>
      </c>
      <c r="D114" s="311">
        <v>1.0828523351321611</v>
      </c>
      <c r="E114" s="311">
        <v>1.085704670264322</v>
      </c>
      <c r="F114" s="219">
        <v>1.0900000000000001</v>
      </c>
      <c r="J114" s="310"/>
      <c r="L114" s="57"/>
    </row>
    <row r="115" spans="1:12">
      <c r="A115" s="926" t="s">
        <v>2295</v>
      </c>
      <c r="B115" s="310">
        <v>1</v>
      </c>
      <c r="C115" s="310">
        <v>0.09</v>
      </c>
      <c r="D115" s="311">
        <v>1.077992143258188</v>
      </c>
      <c r="E115" s="311">
        <v>1.065984286516376</v>
      </c>
      <c r="F115" s="219">
        <v>1.07</v>
      </c>
      <c r="J115" s="310"/>
      <c r="L115" s="57"/>
    </row>
    <row r="116" spans="1:12">
      <c r="A116" s="926" t="s">
        <v>2297</v>
      </c>
      <c r="B116" s="310">
        <v>1</v>
      </c>
      <c r="C116" s="310">
        <v>0.09</v>
      </c>
      <c r="D116" s="311">
        <v>1.0740821637205791</v>
      </c>
      <c r="E116" s="311">
        <v>1.0581643274411581</v>
      </c>
      <c r="F116" s="219">
        <v>1.06</v>
      </c>
      <c r="J116" s="310"/>
      <c r="L116" s="57"/>
    </row>
    <row r="117" spans="1:12">
      <c r="A117" s="926" t="s">
        <v>978</v>
      </c>
      <c r="B117" s="310">
        <v>1</v>
      </c>
      <c r="C117" s="310">
        <v>0.09</v>
      </c>
      <c r="D117" s="311">
        <v>1.1014156217035302</v>
      </c>
      <c r="E117" s="311">
        <v>1.1128312434070606</v>
      </c>
      <c r="F117" s="219">
        <v>1.1100000000000001</v>
      </c>
      <c r="J117" s="310"/>
      <c r="L117" s="57"/>
    </row>
    <row r="118" spans="1:12">
      <c r="A118" s="926" t="s">
        <v>3003</v>
      </c>
      <c r="B118" s="310">
        <v>1</v>
      </c>
      <c r="C118" s="310">
        <v>0.09</v>
      </c>
      <c r="D118" s="311">
        <v>1.10227029341746</v>
      </c>
      <c r="E118" s="311">
        <v>1.1145405868349199</v>
      </c>
      <c r="F118" s="219">
        <v>1.1100000000000001</v>
      </c>
      <c r="J118" s="310"/>
      <c r="L118" s="57"/>
    </row>
    <row r="119" spans="1:12">
      <c r="A119" s="926" t="s">
        <v>2993</v>
      </c>
      <c r="B119" s="310">
        <v>1</v>
      </c>
      <c r="C119" s="310">
        <v>0.09</v>
      </c>
      <c r="D119" s="311">
        <v>1.1275843303015027</v>
      </c>
      <c r="E119" s="311">
        <v>1.1651686606030056</v>
      </c>
      <c r="F119" s="219">
        <v>1.17</v>
      </c>
      <c r="J119" s="310"/>
      <c r="L119" s="57"/>
    </row>
    <row r="120" spans="1:12">
      <c r="A120" s="926" t="s">
        <v>518</v>
      </c>
      <c r="B120" s="310">
        <v>1</v>
      </c>
      <c r="C120" s="310">
        <v>0.09</v>
      </c>
      <c r="D120" s="311">
        <v>1.0991733943359452</v>
      </c>
      <c r="E120" s="311">
        <v>1.1083467886718905</v>
      </c>
      <c r="F120" s="219">
        <v>1.1100000000000001</v>
      </c>
      <c r="J120" s="310"/>
      <c r="L120" s="57"/>
    </row>
    <row r="121" spans="1:12">
      <c r="A121" s="926" t="s">
        <v>2299</v>
      </c>
      <c r="B121" s="310">
        <v>1</v>
      </c>
      <c r="C121" s="310">
        <v>0.08</v>
      </c>
      <c r="D121" s="311">
        <v>1.0762946904029902</v>
      </c>
      <c r="E121" s="311">
        <v>1.0725893808059803</v>
      </c>
      <c r="F121" s="219">
        <v>1.07</v>
      </c>
      <c r="J121" s="310"/>
      <c r="L121" s="57"/>
    </row>
    <row r="122" spans="1:12">
      <c r="A122" s="926" t="s">
        <v>3971</v>
      </c>
      <c r="B122" s="310">
        <v>1</v>
      </c>
      <c r="C122" s="310">
        <v>0.11</v>
      </c>
      <c r="D122" s="311">
        <v>1.1280622928156374</v>
      </c>
      <c r="E122" s="311">
        <v>1.1461245856312745</v>
      </c>
      <c r="F122" s="219">
        <v>1.1499999999999999</v>
      </c>
      <c r="J122" s="310"/>
      <c r="L122" s="57"/>
    </row>
    <row r="123" spans="1:12">
      <c r="A123" s="926" t="s">
        <v>2161</v>
      </c>
      <c r="B123" s="310">
        <v>1</v>
      </c>
      <c r="C123" s="310">
        <v>0.04</v>
      </c>
      <c r="D123" s="311">
        <v>1.0423026234887462</v>
      </c>
      <c r="E123" s="311">
        <v>1.0446052469774922</v>
      </c>
      <c r="F123" s="219">
        <v>1.04</v>
      </c>
      <c r="J123" s="310"/>
      <c r="L123" s="57"/>
    </row>
    <row r="124" spans="1:12">
      <c r="A124" s="926" t="s">
        <v>3086</v>
      </c>
      <c r="B124" s="310">
        <v>1</v>
      </c>
      <c r="C124" s="310">
        <v>0.05</v>
      </c>
      <c r="D124" s="311">
        <v>1.0598881992903828</v>
      </c>
      <c r="E124" s="311">
        <v>1.0697763985807653</v>
      </c>
      <c r="F124" s="219">
        <v>1.07</v>
      </c>
      <c r="J124" s="310"/>
      <c r="L124" s="57"/>
    </row>
    <row r="125" spans="1:12">
      <c r="A125" s="926" t="s">
        <v>2605</v>
      </c>
      <c r="B125" s="310">
        <v>1</v>
      </c>
      <c r="C125" s="310">
        <v>0.04</v>
      </c>
      <c r="D125" s="311">
        <v>1.0407329961793228</v>
      </c>
      <c r="E125" s="311">
        <v>1.0414659923586456</v>
      </c>
      <c r="F125" s="219">
        <v>1.04</v>
      </c>
      <c r="J125" s="310"/>
      <c r="L125" s="57"/>
    </row>
    <row r="126" spans="1:12">
      <c r="A126" s="926" t="s">
        <v>4181</v>
      </c>
      <c r="B126" s="310">
        <v>1</v>
      </c>
      <c r="C126" s="310">
        <v>0.03</v>
      </c>
      <c r="D126" s="311">
        <v>1.0380979912387249</v>
      </c>
      <c r="E126" s="311">
        <v>1.04619598247745</v>
      </c>
      <c r="F126" s="219">
        <v>1.05</v>
      </c>
      <c r="J126" s="310"/>
      <c r="L126" s="57"/>
    </row>
    <row r="127" spans="1:12">
      <c r="A127" s="926" t="s">
        <v>959</v>
      </c>
      <c r="B127" s="310">
        <v>1</v>
      </c>
      <c r="C127" s="310">
        <v>0.19</v>
      </c>
      <c r="D127" s="311">
        <v>1.2020877886401962</v>
      </c>
      <c r="E127" s="311">
        <v>1.2141755772803924</v>
      </c>
      <c r="F127" s="219">
        <v>1.21</v>
      </c>
      <c r="J127" s="310"/>
      <c r="L127" s="57"/>
    </row>
    <row r="128" spans="1:12">
      <c r="A128" s="926" t="s">
        <v>1861</v>
      </c>
      <c r="B128" s="310">
        <v>1</v>
      </c>
      <c r="C128" s="310">
        <v>0.17</v>
      </c>
      <c r="D128" s="311">
        <v>1.1836715193836267</v>
      </c>
      <c r="E128" s="311">
        <v>1.1973430387672537</v>
      </c>
      <c r="F128" s="219">
        <v>1.2</v>
      </c>
      <c r="J128" s="310"/>
      <c r="L128" s="57"/>
    </row>
    <row r="129" spans="1:12">
      <c r="A129" s="926" t="s">
        <v>6037</v>
      </c>
      <c r="B129" s="310">
        <v>1</v>
      </c>
      <c r="C129" s="310">
        <v>0.14000000000000001</v>
      </c>
      <c r="D129" s="311">
        <v>1.1381000934548511</v>
      </c>
      <c r="E129" s="311">
        <v>1.1362001869097025</v>
      </c>
      <c r="F129" s="219">
        <v>1.1399999999999999</v>
      </c>
      <c r="J129" s="310"/>
      <c r="L129" s="57"/>
    </row>
    <row r="130" spans="1:12">
      <c r="A130" s="926" t="s">
        <v>2995</v>
      </c>
      <c r="B130" s="310">
        <v>1</v>
      </c>
      <c r="C130" s="310">
        <v>0.17</v>
      </c>
      <c r="D130" s="311">
        <v>1.1688522758099076</v>
      </c>
      <c r="E130" s="311">
        <v>1.1677045516198155</v>
      </c>
      <c r="F130" s="219">
        <v>1.17</v>
      </c>
      <c r="J130" s="310"/>
      <c r="L130" s="57"/>
    </row>
    <row r="131" spans="1:12">
      <c r="A131" s="926" t="s">
        <v>7643</v>
      </c>
      <c r="B131" s="310">
        <v>1</v>
      </c>
      <c r="C131" s="310">
        <v>0.14000000000000001</v>
      </c>
      <c r="D131" s="311">
        <v>1.1379248177880412</v>
      </c>
      <c r="E131" s="311">
        <v>1.1358496355760823</v>
      </c>
      <c r="F131" s="219">
        <v>1.1399999999999999</v>
      </c>
      <c r="J131" s="310"/>
      <c r="L131" s="57"/>
    </row>
    <row r="132" spans="1:12">
      <c r="A132" s="926" t="s">
        <v>3087</v>
      </c>
      <c r="B132" s="310">
        <v>1</v>
      </c>
      <c r="C132" s="310">
        <v>0.14000000000000001</v>
      </c>
      <c r="D132" s="311">
        <v>1.1358352661825699</v>
      </c>
      <c r="E132" s="311">
        <v>1.1316705323651399</v>
      </c>
      <c r="F132" s="219">
        <v>1.1299999999999999</v>
      </c>
      <c r="J132" s="310"/>
      <c r="L132" s="57"/>
    </row>
    <row r="133" spans="1:12">
      <c r="A133" s="926" t="s">
        <v>2387</v>
      </c>
      <c r="B133" s="310">
        <v>1</v>
      </c>
      <c r="C133" s="310">
        <v>0.18</v>
      </c>
      <c r="D133" s="311">
        <v>1.1779366585958799</v>
      </c>
      <c r="E133" s="311">
        <v>1.1758733171917597</v>
      </c>
      <c r="F133" s="219">
        <v>1.18</v>
      </c>
      <c r="J133" s="310"/>
      <c r="L133" s="57"/>
    </row>
    <row r="134" spans="1:12">
      <c r="A134" s="926" t="s">
        <v>3088</v>
      </c>
      <c r="B134" s="310">
        <v>1</v>
      </c>
      <c r="C134" s="310">
        <v>0.15</v>
      </c>
      <c r="D134" s="311">
        <v>1.1212080421867809</v>
      </c>
      <c r="E134" s="311">
        <v>1.0924160843735622</v>
      </c>
      <c r="F134" s="219">
        <v>1.0900000000000001</v>
      </c>
      <c r="J134" s="310"/>
      <c r="L134" s="57"/>
    </row>
    <row r="135" spans="1:12">
      <c r="A135" s="926" t="s">
        <v>2393</v>
      </c>
      <c r="B135" s="310">
        <v>1</v>
      </c>
      <c r="C135" s="310">
        <v>0.15</v>
      </c>
      <c r="D135" s="311">
        <v>1.1311861270585344</v>
      </c>
      <c r="E135" s="311">
        <v>1.1123722541170691</v>
      </c>
      <c r="F135" s="219">
        <v>1.1100000000000001</v>
      </c>
      <c r="J135" s="310"/>
      <c r="L135" s="57"/>
    </row>
    <row r="136" spans="1:12">
      <c r="A136" s="926" t="s">
        <v>7645</v>
      </c>
      <c r="B136" s="310">
        <v>1</v>
      </c>
      <c r="C136" s="310">
        <v>0.12</v>
      </c>
      <c r="D136" s="311">
        <v>1.124763681926388</v>
      </c>
      <c r="E136" s="311">
        <v>1.1295273638527761</v>
      </c>
      <c r="F136" s="219">
        <v>1.1299999999999999</v>
      </c>
      <c r="J136" s="310"/>
      <c r="L136" s="57"/>
    </row>
    <row r="137" spans="1:12">
      <c r="A137" s="926" t="s">
        <v>7647</v>
      </c>
      <c r="B137" s="310">
        <v>1</v>
      </c>
      <c r="C137" s="310">
        <v>0.06</v>
      </c>
      <c r="D137" s="311">
        <v>1.0694594489251275</v>
      </c>
      <c r="E137" s="311">
        <v>1.0789188978502551</v>
      </c>
      <c r="F137" s="219">
        <v>1.08</v>
      </c>
      <c r="J137" s="310"/>
      <c r="L137" s="57"/>
    </row>
    <row r="138" spans="1:12">
      <c r="A138" s="926" t="s">
        <v>7649</v>
      </c>
      <c r="B138" s="310">
        <v>1</v>
      </c>
      <c r="C138" s="310">
        <v>0.06</v>
      </c>
      <c r="D138" s="311">
        <v>1.03</v>
      </c>
      <c r="E138" s="311">
        <v>1</v>
      </c>
      <c r="F138" s="219">
        <v>1</v>
      </c>
      <c r="J138" s="310"/>
      <c r="L138" s="57"/>
    </row>
    <row r="139" spans="1:12">
      <c r="A139" s="926" t="s">
        <v>1786</v>
      </c>
      <c r="B139" s="310">
        <v>1</v>
      </c>
      <c r="C139" s="310">
        <v>7.0000000000000007E-2</v>
      </c>
      <c r="D139" s="311">
        <v>1.051574184153556</v>
      </c>
      <c r="E139" s="311">
        <v>1.0331483683071121</v>
      </c>
      <c r="F139" s="219">
        <v>1.03</v>
      </c>
      <c r="J139" s="310"/>
      <c r="L139" s="57"/>
    </row>
    <row r="140" spans="1:12">
      <c r="A140" s="926" t="s">
        <v>1788</v>
      </c>
      <c r="B140" s="310">
        <v>1</v>
      </c>
      <c r="C140" s="310">
        <v>0.06</v>
      </c>
      <c r="D140" s="311">
        <v>1.0382918284441063</v>
      </c>
      <c r="E140" s="311">
        <v>1.0165836568882125</v>
      </c>
      <c r="F140" s="219">
        <v>1.02</v>
      </c>
      <c r="J140" s="310"/>
      <c r="L140" s="57"/>
    </row>
    <row r="141" spans="1:12">
      <c r="A141" s="926" t="s">
        <v>1790</v>
      </c>
      <c r="B141" s="310">
        <v>1</v>
      </c>
      <c r="C141" s="310">
        <v>0.05</v>
      </c>
      <c r="D141" s="311">
        <v>1.0589922334002644</v>
      </c>
      <c r="E141" s="311">
        <v>1.0679844668005285</v>
      </c>
      <c r="F141" s="219">
        <v>1.07</v>
      </c>
      <c r="J141" s="310"/>
      <c r="L141" s="57"/>
    </row>
    <row r="142" spans="1:12">
      <c r="A142" s="926" t="s">
        <v>1792</v>
      </c>
      <c r="B142" s="310">
        <v>1</v>
      </c>
      <c r="C142" s="310">
        <v>0.04</v>
      </c>
      <c r="D142" s="311">
        <v>1.0425109531755061</v>
      </c>
      <c r="E142" s="311">
        <v>1.0450219063510122</v>
      </c>
      <c r="F142" s="219">
        <v>1.05</v>
      </c>
      <c r="J142" s="310"/>
      <c r="L142" s="57"/>
    </row>
    <row r="143" spans="1:12">
      <c r="A143" s="926" t="s">
        <v>2982</v>
      </c>
      <c r="B143" s="310">
        <v>1</v>
      </c>
      <c r="C143" s="310">
        <v>0.04</v>
      </c>
      <c r="D143" s="311">
        <v>1.055348843151416</v>
      </c>
      <c r="E143" s="311">
        <v>1.0706976863028319</v>
      </c>
      <c r="F143" s="219">
        <v>1.07</v>
      </c>
      <c r="J143" s="310"/>
      <c r="L143" s="57"/>
    </row>
    <row r="144" spans="1:12">
      <c r="A144" s="926" t="s">
        <v>2984</v>
      </c>
      <c r="B144" s="310">
        <v>1</v>
      </c>
      <c r="C144" s="310">
        <v>0.05</v>
      </c>
      <c r="D144" s="311">
        <v>1.0593891611453818</v>
      </c>
      <c r="E144" s="311">
        <v>1.0687783222907634</v>
      </c>
      <c r="F144" s="219">
        <v>1.07</v>
      </c>
      <c r="J144" s="310"/>
      <c r="L144" s="57"/>
    </row>
    <row r="145" spans="1:12">
      <c r="A145" s="926" t="s">
        <v>965</v>
      </c>
      <c r="B145" s="310">
        <v>1</v>
      </c>
      <c r="C145" s="310">
        <v>0.04</v>
      </c>
      <c r="D145" s="311">
        <v>1.0489790884563583</v>
      </c>
      <c r="E145" s="311">
        <v>1.0579581769127167</v>
      </c>
      <c r="F145" s="219">
        <v>1.06</v>
      </c>
      <c r="J145" s="310"/>
      <c r="L145" s="57"/>
    </row>
    <row r="146" spans="1:12">
      <c r="A146" s="926" t="s">
        <v>6704</v>
      </c>
      <c r="B146" s="310">
        <v>1</v>
      </c>
      <c r="C146" s="310">
        <v>0.05</v>
      </c>
      <c r="D146" s="311">
        <v>1.054805655883464</v>
      </c>
      <c r="E146" s="311">
        <v>1.0596113117669277</v>
      </c>
      <c r="F146" s="219">
        <v>1.06</v>
      </c>
      <c r="J146" s="310"/>
      <c r="L146" s="57"/>
    </row>
    <row r="147" spans="1:12">
      <c r="A147" s="926" t="s">
        <v>6706</v>
      </c>
      <c r="B147" s="310">
        <v>1</v>
      </c>
      <c r="C147" s="310">
        <v>0.09</v>
      </c>
      <c r="D147" s="311">
        <v>1.0644455165798115</v>
      </c>
      <c r="E147" s="311">
        <v>1.0388910331596226</v>
      </c>
      <c r="F147" s="219">
        <v>1.04</v>
      </c>
      <c r="J147" s="310"/>
      <c r="L147" s="57"/>
    </row>
    <row r="148" spans="1:12">
      <c r="A148" s="926" t="s">
        <v>690</v>
      </c>
      <c r="B148" s="310">
        <v>1</v>
      </c>
      <c r="C148" s="310">
        <v>0.04</v>
      </c>
      <c r="D148" s="311">
        <v>1.0415572582704502</v>
      </c>
      <c r="E148" s="311">
        <v>1.0431145165409004</v>
      </c>
      <c r="F148" s="219">
        <v>1.04</v>
      </c>
      <c r="J148" s="310"/>
      <c r="L148" s="57"/>
    </row>
    <row r="149" spans="1:12">
      <c r="A149" s="926" t="s">
        <v>692</v>
      </c>
      <c r="B149" s="310">
        <v>1</v>
      </c>
      <c r="C149" s="310">
        <v>0.08</v>
      </c>
      <c r="D149" s="311">
        <v>1.0705622134673018</v>
      </c>
      <c r="E149" s="311">
        <v>1.0611244269346036</v>
      </c>
      <c r="F149" s="219">
        <v>1.06</v>
      </c>
      <c r="J149" s="310"/>
      <c r="L149" s="57"/>
    </row>
    <row r="150" spans="1:12">
      <c r="A150" s="926" t="s">
        <v>895</v>
      </c>
      <c r="B150" s="310">
        <v>1</v>
      </c>
      <c r="C150" s="310">
        <v>0.09</v>
      </c>
      <c r="D150" s="311">
        <v>1.0624132815966902</v>
      </c>
      <c r="E150" s="311">
        <v>1.0348265631933804</v>
      </c>
      <c r="F150" s="219">
        <v>1.03</v>
      </c>
      <c r="J150" s="310"/>
      <c r="L150" s="57"/>
    </row>
    <row r="151" spans="1:12">
      <c r="A151" s="926" t="s">
        <v>6177</v>
      </c>
      <c r="B151" s="310">
        <v>1</v>
      </c>
      <c r="C151" s="310">
        <v>0.05</v>
      </c>
      <c r="D151" s="311">
        <v>1.0435479751558794</v>
      </c>
      <c r="E151" s="311">
        <v>1.0370959503117587</v>
      </c>
      <c r="F151" s="219">
        <v>1.04</v>
      </c>
      <c r="J151" s="310"/>
      <c r="L151" s="57"/>
    </row>
    <row r="152" spans="1:12">
      <c r="A152" s="926" t="s">
        <v>265</v>
      </c>
      <c r="B152" s="310">
        <v>1</v>
      </c>
      <c r="C152" s="310">
        <v>0.12</v>
      </c>
      <c r="D152" s="311">
        <v>1.1424046141986743</v>
      </c>
      <c r="E152" s="311">
        <v>1.1648092283973486</v>
      </c>
      <c r="F152" s="219">
        <v>1.1599999999999999</v>
      </c>
      <c r="J152" s="310"/>
      <c r="L152" s="57"/>
    </row>
    <row r="153" spans="1:12">
      <c r="A153" s="926" t="s">
        <v>897</v>
      </c>
      <c r="B153" s="310">
        <v>1</v>
      </c>
      <c r="C153" s="310">
        <v>0.12</v>
      </c>
      <c r="D153" s="311">
        <v>1.1478427698395073</v>
      </c>
      <c r="E153" s="311">
        <v>1.1756855396790145</v>
      </c>
      <c r="F153" s="219">
        <v>1.18</v>
      </c>
      <c r="J153" s="310"/>
      <c r="L153" s="57"/>
    </row>
    <row r="154" spans="1:12">
      <c r="A154" s="926" t="s">
        <v>899</v>
      </c>
      <c r="B154" s="310">
        <v>1</v>
      </c>
      <c r="C154" s="310">
        <v>0.11</v>
      </c>
      <c r="D154" s="311">
        <v>1.1429052051702016</v>
      </c>
      <c r="E154" s="311">
        <v>1.1758104103404032</v>
      </c>
      <c r="F154" s="219">
        <v>1.18</v>
      </c>
      <c r="J154" s="310"/>
      <c r="L154" s="57"/>
    </row>
    <row r="155" spans="1:12">
      <c r="A155" s="926" t="s">
        <v>901</v>
      </c>
      <c r="B155" s="310">
        <v>1</v>
      </c>
      <c r="C155" s="310">
        <v>0.05</v>
      </c>
      <c r="D155" s="311">
        <v>1.0521756721817437</v>
      </c>
      <c r="E155" s="311">
        <v>1.0543513443634873</v>
      </c>
      <c r="F155" s="219">
        <v>1.05</v>
      </c>
      <c r="J155" s="310"/>
      <c r="L155" s="57"/>
    </row>
    <row r="156" spans="1:12">
      <c r="A156" s="926" t="s">
        <v>6023</v>
      </c>
      <c r="B156" s="310">
        <v>1</v>
      </c>
      <c r="C156" s="310">
        <v>0.06</v>
      </c>
      <c r="D156" s="311">
        <v>1.0714455670739624</v>
      </c>
      <c r="E156" s="311">
        <v>1.0828911341479248</v>
      </c>
      <c r="F156" s="219">
        <v>1.08</v>
      </c>
      <c r="J156" s="310"/>
      <c r="L156" s="57"/>
    </row>
    <row r="157" spans="1:12">
      <c r="A157" s="926" t="s">
        <v>2383</v>
      </c>
      <c r="B157" s="310">
        <v>1</v>
      </c>
      <c r="C157" s="310">
        <v>0.05</v>
      </c>
      <c r="D157" s="311">
        <v>1.064239928709235</v>
      </c>
      <c r="E157" s="311">
        <v>1.07847985741847</v>
      </c>
      <c r="F157" s="219">
        <v>1.08</v>
      </c>
      <c r="J157" s="310"/>
      <c r="L157" s="57"/>
    </row>
    <row r="158" spans="1:12">
      <c r="A158" s="926" t="s">
        <v>6180</v>
      </c>
      <c r="B158" s="310">
        <v>1</v>
      </c>
      <c r="C158" s="310">
        <v>0.04</v>
      </c>
      <c r="D158" s="311">
        <v>1.0497323279756405</v>
      </c>
      <c r="E158" s="311">
        <v>1.059464655951281</v>
      </c>
      <c r="F158" s="219">
        <v>1.06</v>
      </c>
      <c r="J158" s="310"/>
      <c r="L158" s="57"/>
    </row>
    <row r="159" spans="1:12">
      <c r="A159" s="926" t="s">
        <v>903</v>
      </c>
      <c r="B159" s="310">
        <v>1</v>
      </c>
      <c r="C159" s="310">
        <v>0.03</v>
      </c>
      <c r="D159" s="311">
        <v>1.0364503863085723</v>
      </c>
      <c r="E159" s="311">
        <v>1.0429007726171446</v>
      </c>
      <c r="F159" s="219">
        <v>1.04</v>
      </c>
      <c r="J159" s="310"/>
      <c r="L159" s="57"/>
    </row>
    <row r="160" spans="1:12">
      <c r="A160" s="926" t="s">
        <v>736</v>
      </c>
      <c r="B160" s="310">
        <v>1</v>
      </c>
      <c r="C160" s="310">
        <v>0.04</v>
      </c>
      <c r="D160" s="311">
        <v>1.0569608255419467</v>
      </c>
      <c r="E160" s="311">
        <v>1.0739216510838934</v>
      </c>
      <c r="F160" s="219">
        <v>1.07</v>
      </c>
      <c r="J160" s="310"/>
      <c r="L160" s="57"/>
    </row>
    <row r="161" spans="1:12">
      <c r="A161" s="926" t="s">
        <v>5336</v>
      </c>
      <c r="B161" s="310">
        <v>1</v>
      </c>
      <c r="C161" s="310">
        <v>0.06</v>
      </c>
      <c r="D161" s="311">
        <v>1.0462856008632795</v>
      </c>
      <c r="E161" s="311">
        <v>1.0325712017265589</v>
      </c>
      <c r="F161" s="219">
        <v>1.03</v>
      </c>
      <c r="J161" s="310"/>
      <c r="L161" s="57"/>
    </row>
    <row r="162" spans="1:12">
      <c r="A162" s="926" t="s">
        <v>2117</v>
      </c>
      <c r="B162" s="310">
        <v>1</v>
      </c>
      <c r="C162" s="310">
        <v>0.05</v>
      </c>
      <c r="D162" s="311">
        <v>1.0591921188305995</v>
      </c>
      <c r="E162" s="311">
        <v>1.0683842376611987</v>
      </c>
      <c r="F162" s="219">
        <v>1.07</v>
      </c>
      <c r="J162" s="310"/>
      <c r="L162" s="57"/>
    </row>
    <row r="163" spans="1:12">
      <c r="A163" s="926" t="s">
        <v>3089</v>
      </c>
      <c r="B163" s="310">
        <v>1</v>
      </c>
      <c r="C163" s="310">
        <v>0.05</v>
      </c>
      <c r="D163" s="311">
        <v>1.0517487036692739</v>
      </c>
      <c r="E163" s="311">
        <v>1.0534974073385475</v>
      </c>
      <c r="F163" s="219">
        <v>1.05</v>
      </c>
      <c r="J163" s="310"/>
      <c r="L163" s="57"/>
    </row>
    <row r="164" spans="1:12">
      <c r="A164" s="926" t="s">
        <v>2119</v>
      </c>
      <c r="B164" s="310">
        <v>1</v>
      </c>
      <c r="C164" s="310">
        <v>0.06</v>
      </c>
      <c r="D164" s="311">
        <v>1.0476724663448391</v>
      </c>
      <c r="E164" s="311">
        <v>1.0353449326896782</v>
      </c>
      <c r="F164" s="219">
        <v>1.04</v>
      </c>
      <c r="J164" s="310"/>
      <c r="L164" s="57"/>
    </row>
    <row r="165" spans="1:12">
      <c r="A165" s="926" t="s">
        <v>2121</v>
      </c>
      <c r="B165" s="310">
        <v>1</v>
      </c>
      <c r="C165" s="310">
        <v>0.06</v>
      </c>
      <c r="D165" s="311">
        <v>1.0473963134974595</v>
      </c>
      <c r="E165" s="311">
        <v>1.034792626994919</v>
      </c>
      <c r="F165" s="219">
        <v>1.03</v>
      </c>
      <c r="J165" s="310"/>
      <c r="L165" s="57"/>
    </row>
    <row r="166" spans="1:12">
      <c r="A166" s="926" t="s">
        <v>2123</v>
      </c>
      <c r="B166" s="310">
        <v>1</v>
      </c>
      <c r="C166" s="310">
        <v>0.09</v>
      </c>
      <c r="D166" s="311">
        <v>1.0610286122980077</v>
      </c>
      <c r="E166" s="311">
        <v>1.0320572245960153</v>
      </c>
      <c r="F166" s="219">
        <v>1.03</v>
      </c>
      <c r="J166" s="310"/>
      <c r="L166" s="57"/>
    </row>
    <row r="167" spans="1:12">
      <c r="A167" s="926" t="s">
        <v>3130</v>
      </c>
      <c r="B167" s="310">
        <v>1</v>
      </c>
      <c r="C167" s="310">
        <v>0.08</v>
      </c>
      <c r="D167" s="311">
        <v>1.0525253101313772</v>
      </c>
      <c r="E167" s="311">
        <v>1.0250506202627543</v>
      </c>
      <c r="F167" s="219">
        <v>1.03</v>
      </c>
      <c r="J167" s="310"/>
      <c r="L167" s="57"/>
    </row>
    <row r="168" spans="1:12">
      <c r="A168" s="926" t="s">
        <v>3132</v>
      </c>
      <c r="B168" s="310">
        <v>1</v>
      </c>
      <c r="C168" s="310">
        <v>0.05</v>
      </c>
      <c r="D168" s="311">
        <v>1.0549315308376745</v>
      </c>
      <c r="E168" s="311">
        <v>1.0598630616753493</v>
      </c>
      <c r="F168" s="219">
        <v>1.06</v>
      </c>
      <c r="J168" s="310"/>
      <c r="L168" s="57"/>
    </row>
    <row r="169" spans="1:12">
      <c r="A169" s="926" t="s">
        <v>1322</v>
      </c>
      <c r="B169" s="310">
        <v>1</v>
      </c>
      <c r="C169" s="310">
        <v>0.05</v>
      </c>
      <c r="D169" s="311">
        <v>1.0518246158727851</v>
      </c>
      <c r="E169" s="311">
        <v>1.0536492317455703</v>
      </c>
      <c r="F169" s="219">
        <v>1.05</v>
      </c>
      <c r="J169" s="310"/>
      <c r="L169" s="57"/>
    </row>
    <row r="170" spans="1:12">
      <c r="A170" s="926" t="s">
        <v>742</v>
      </c>
      <c r="B170" s="310">
        <v>1</v>
      </c>
      <c r="C170" s="310">
        <v>0.03</v>
      </c>
      <c r="D170" s="311">
        <v>1.0439349689716866</v>
      </c>
      <c r="E170" s="311">
        <v>1.0578699379433734</v>
      </c>
      <c r="F170" s="219">
        <v>1.06</v>
      </c>
      <c r="J170" s="310"/>
      <c r="L170" s="57"/>
    </row>
    <row r="171" spans="1:12">
      <c r="A171" s="926" t="s">
        <v>440</v>
      </c>
      <c r="B171" s="310">
        <v>1</v>
      </c>
      <c r="C171" s="310">
        <v>0.03</v>
      </c>
      <c r="D171" s="311">
        <v>1.0312065494770226</v>
      </c>
      <c r="E171" s="311">
        <v>1.032413098954045</v>
      </c>
      <c r="F171" s="219">
        <v>1.03</v>
      </c>
      <c r="J171" s="310"/>
      <c r="L171" s="57"/>
    </row>
    <row r="172" spans="1:12">
      <c r="A172" s="926" t="s">
        <v>1324</v>
      </c>
      <c r="B172" s="310">
        <v>1</v>
      </c>
      <c r="C172" s="310">
        <v>0.03</v>
      </c>
      <c r="D172" s="311">
        <v>1.0368066215738816</v>
      </c>
      <c r="E172" s="311">
        <v>1.0436132431477632</v>
      </c>
      <c r="F172" s="219">
        <v>1.04</v>
      </c>
      <c r="J172" s="310"/>
      <c r="L172" s="57"/>
    </row>
    <row r="173" spans="1:12">
      <c r="A173" s="926" t="s">
        <v>1326</v>
      </c>
      <c r="B173" s="310">
        <v>1</v>
      </c>
      <c r="C173" s="310">
        <v>0.05</v>
      </c>
      <c r="D173" s="311">
        <v>1.0450322642632304</v>
      </c>
      <c r="E173" s="311">
        <v>1.0400645285264607</v>
      </c>
      <c r="F173" s="219">
        <v>1.04</v>
      </c>
      <c r="J173" s="310"/>
      <c r="L173" s="57"/>
    </row>
    <row r="174" spans="1:12">
      <c r="A174" s="926" t="s">
        <v>818</v>
      </c>
      <c r="B174" s="310">
        <v>1</v>
      </c>
      <c r="C174" s="310">
        <v>0.12</v>
      </c>
      <c r="D174" s="311">
        <v>1.1676550767792109</v>
      </c>
      <c r="E174" s="311">
        <v>1.2153101535584214</v>
      </c>
      <c r="F174" s="219">
        <v>1.22</v>
      </c>
      <c r="J174" s="310"/>
      <c r="L174" s="57"/>
    </row>
    <row r="175" spans="1:12">
      <c r="A175" s="926" t="s">
        <v>266</v>
      </c>
      <c r="B175" s="310">
        <v>1</v>
      </c>
      <c r="C175" s="310">
        <v>0.09</v>
      </c>
      <c r="D175" s="311">
        <v>1.1187494134906273</v>
      </c>
      <c r="E175" s="311">
        <v>1.1474988269812547</v>
      </c>
      <c r="F175" s="219">
        <v>1.1499999999999999</v>
      </c>
      <c r="J175" s="310"/>
      <c r="L175" s="57"/>
    </row>
    <row r="176" spans="1:12">
      <c r="A176" s="926" t="s">
        <v>441</v>
      </c>
      <c r="B176" s="310">
        <v>1</v>
      </c>
      <c r="C176" s="310">
        <v>0.09</v>
      </c>
      <c r="D176" s="311">
        <v>1.1211337024729682</v>
      </c>
      <c r="E176" s="311">
        <v>1.1522674049459363</v>
      </c>
      <c r="F176" s="219">
        <v>1.1499999999999999</v>
      </c>
      <c r="J176" s="310"/>
      <c r="L176" s="57"/>
    </row>
    <row r="177" spans="1:12">
      <c r="A177" s="926" t="s">
        <v>1526</v>
      </c>
      <c r="B177" s="310">
        <v>1</v>
      </c>
      <c r="C177" s="310">
        <v>0.08</v>
      </c>
      <c r="D177" s="311">
        <v>1.1055016696465463</v>
      </c>
      <c r="E177" s="311">
        <v>1.1310033392930925</v>
      </c>
      <c r="F177" s="219">
        <v>1.1299999999999999</v>
      </c>
      <c r="J177" s="310"/>
      <c r="L177" s="57"/>
    </row>
    <row r="178" spans="1:12">
      <c r="A178" s="926" t="s">
        <v>1312</v>
      </c>
      <c r="B178" s="310">
        <v>1</v>
      </c>
      <c r="C178" s="310">
        <v>0.09</v>
      </c>
      <c r="D178" s="311">
        <v>1.1480095832165427</v>
      </c>
      <c r="E178" s="311">
        <v>1.2060191664330853</v>
      </c>
      <c r="F178" s="219">
        <v>1.21</v>
      </c>
      <c r="J178" s="310"/>
      <c r="L178" s="57"/>
    </row>
    <row r="179" spans="1:12">
      <c r="A179" s="926" t="s">
        <v>6168</v>
      </c>
      <c r="B179" s="310">
        <v>1</v>
      </c>
      <c r="C179" s="310">
        <v>0.12</v>
      </c>
      <c r="D179" s="311">
        <v>1.1679662484951241</v>
      </c>
      <c r="E179" s="311">
        <v>1.2159324969902481</v>
      </c>
      <c r="F179" s="219">
        <v>1.22</v>
      </c>
      <c r="J179" s="310"/>
      <c r="L179" s="57"/>
    </row>
    <row r="180" spans="1:12">
      <c r="A180" s="926" t="s">
        <v>5913</v>
      </c>
      <c r="B180" s="310">
        <v>1</v>
      </c>
      <c r="C180" s="310">
        <v>0.08</v>
      </c>
      <c r="D180" s="311">
        <v>1.1015498484870763</v>
      </c>
      <c r="E180" s="311">
        <v>1.1230996969741525</v>
      </c>
      <c r="F180" s="219">
        <v>1.1200000000000001</v>
      </c>
      <c r="J180" s="310"/>
      <c r="L180" s="57"/>
    </row>
    <row r="181" spans="1:12">
      <c r="A181" s="926" t="s">
        <v>3546</v>
      </c>
      <c r="B181" s="310">
        <v>1</v>
      </c>
      <c r="C181" s="310">
        <v>0.13</v>
      </c>
      <c r="D181" s="311">
        <v>1.1934302181375114</v>
      </c>
      <c r="E181" s="311">
        <v>1.2568604362750229</v>
      </c>
      <c r="F181" s="219">
        <v>1.26</v>
      </c>
      <c r="J181" s="310"/>
      <c r="L181" s="57"/>
    </row>
    <row r="182" spans="1:12">
      <c r="A182" s="926" t="s">
        <v>5132</v>
      </c>
      <c r="B182" s="310">
        <v>1</v>
      </c>
      <c r="C182" s="310">
        <v>0.09</v>
      </c>
      <c r="D182" s="311">
        <v>1.1192007489658398</v>
      </c>
      <c r="E182" s="311">
        <v>1.1484014979316792</v>
      </c>
      <c r="F182" s="219">
        <v>1.1499999999999999</v>
      </c>
      <c r="J182" s="310"/>
      <c r="L182" s="57"/>
    </row>
    <row r="183" spans="1:12">
      <c r="A183" s="926" t="s">
        <v>649</v>
      </c>
      <c r="B183" s="310">
        <v>1</v>
      </c>
      <c r="C183" s="310">
        <v>7.0000000000000007E-2</v>
      </c>
      <c r="D183" s="311">
        <v>1.1037634527518616</v>
      </c>
      <c r="E183" s="311">
        <v>1.1375269055037232</v>
      </c>
      <c r="F183" s="219">
        <v>1.1399999999999999</v>
      </c>
      <c r="J183" s="310"/>
      <c r="L183" s="57"/>
    </row>
    <row r="184" spans="1:12">
      <c r="A184" s="926" t="s">
        <v>861</v>
      </c>
      <c r="B184" s="310">
        <v>1</v>
      </c>
      <c r="C184" s="310">
        <v>0.1</v>
      </c>
      <c r="D184" s="311">
        <v>1.1456245864444154</v>
      </c>
      <c r="E184" s="311">
        <v>1.191249172888831</v>
      </c>
      <c r="F184" s="219">
        <v>1.19</v>
      </c>
      <c r="J184" s="310"/>
      <c r="L184" s="57"/>
    </row>
    <row r="185" spans="1:12">
      <c r="A185" s="926" t="s">
        <v>956</v>
      </c>
      <c r="B185" s="310">
        <v>1</v>
      </c>
      <c r="C185" s="310">
        <v>0.08</v>
      </c>
      <c r="D185" s="311">
        <v>1.10402290763873</v>
      </c>
      <c r="E185" s="311">
        <v>1.12804581527746</v>
      </c>
      <c r="F185" s="219">
        <v>1.1299999999999999</v>
      </c>
      <c r="J185" s="310"/>
      <c r="L185" s="57"/>
    </row>
    <row r="186" spans="1:12">
      <c r="A186" s="926" t="s">
        <v>236</v>
      </c>
      <c r="B186" s="310">
        <v>1</v>
      </c>
      <c r="C186" s="310">
        <v>0.08</v>
      </c>
      <c r="D186" s="311">
        <v>1.1093414971824553</v>
      </c>
      <c r="E186" s="311">
        <v>1.1386829943649104</v>
      </c>
      <c r="F186" s="219">
        <v>1.1399999999999999</v>
      </c>
      <c r="J186" s="310"/>
      <c r="L186" s="57"/>
    </row>
    <row r="187" spans="1:12">
      <c r="A187" s="926" t="s">
        <v>3548</v>
      </c>
      <c r="B187" s="310">
        <v>1</v>
      </c>
      <c r="C187" s="310">
        <v>7.0000000000000007E-2</v>
      </c>
      <c r="D187" s="311">
        <v>1.1012839850477103</v>
      </c>
      <c r="E187" s="311">
        <v>1.1325679700954205</v>
      </c>
      <c r="F187" s="219">
        <v>1.1299999999999999</v>
      </c>
      <c r="J187" s="310"/>
      <c r="L187" s="57"/>
    </row>
    <row r="188" spans="1:12">
      <c r="A188" s="926" t="s">
        <v>3550</v>
      </c>
      <c r="B188" s="310">
        <v>1</v>
      </c>
      <c r="C188" s="310">
        <v>0.08</v>
      </c>
      <c r="D188" s="311">
        <v>1.0793891872069061</v>
      </c>
      <c r="E188" s="311">
        <v>1.0787783744138122</v>
      </c>
      <c r="F188" s="219">
        <v>1.08</v>
      </c>
      <c r="J188" s="310"/>
      <c r="L188" s="57"/>
    </row>
    <row r="189" spans="1:12">
      <c r="A189" s="926" t="s">
        <v>206</v>
      </c>
      <c r="B189" s="310">
        <v>1</v>
      </c>
      <c r="C189" s="310">
        <v>7.0000000000000007E-2</v>
      </c>
      <c r="D189" s="311">
        <v>1.0642752059876774</v>
      </c>
      <c r="E189" s="311">
        <v>1.0585504119753546</v>
      </c>
      <c r="F189" s="219">
        <v>1.06</v>
      </c>
      <c r="J189" s="310"/>
      <c r="L189" s="57"/>
    </row>
    <row r="190" spans="1:12">
      <c r="A190" s="926" t="s">
        <v>234</v>
      </c>
      <c r="B190" s="310">
        <v>1</v>
      </c>
      <c r="C190" s="310">
        <v>7.0000000000000007E-2</v>
      </c>
      <c r="D190" s="311">
        <v>1.0798714412572359</v>
      </c>
      <c r="E190" s="311">
        <v>1.0897428825144717</v>
      </c>
      <c r="F190" s="219">
        <v>1.0900000000000001</v>
      </c>
      <c r="J190" s="310"/>
      <c r="L190" s="57"/>
    </row>
    <row r="191" spans="1:12">
      <c r="A191" s="926" t="s">
        <v>208</v>
      </c>
      <c r="B191" s="310">
        <v>1</v>
      </c>
      <c r="C191" s="310">
        <v>0.08</v>
      </c>
      <c r="D191" s="311">
        <v>1.0863931202857144</v>
      </c>
      <c r="E191" s="311">
        <v>1.0927862405714288</v>
      </c>
      <c r="F191" s="219">
        <v>1.0900000000000001</v>
      </c>
      <c r="J191" s="310"/>
      <c r="L191" s="57"/>
    </row>
    <row r="192" spans="1:12">
      <c r="A192" s="926" t="s">
        <v>210</v>
      </c>
      <c r="B192" s="310">
        <v>1</v>
      </c>
      <c r="C192" s="310">
        <v>7.0000000000000007E-2</v>
      </c>
      <c r="D192" s="311">
        <v>1.0800694775924331</v>
      </c>
      <c r="E192" s="311">
        <v>1.0901389551848661</v>
      </c>
      <c r="F192" s="219">
        <v>1.0900000000000001</v>
      </c>
      <c r="J192" s="310"/>
      <c r="L192" s="57"/>
    </row>
    <row r="193" spans="1:12">
      <c r="A193" s="926" t="s">
        <v>212</v>
      </c>
      <c r="B193" s="310">
        <v>1</v>
      </c>
      <c r="C193" s="310">
        <v>0.08</v>
      </c>
      <c r="D193" s="311">
        <v>1.1419487018664931</v>
      </c>
      <c r="E193" s="311">
        <v>1.2038974037329861</v>
      </c>
      <c r="F193" s="219">
        <v>1.2</v>
      </c>
      <c r="J193" s="310"/>
      <c r="L193" s="57"/>
    </row>
    <row r="194" spans="1:12">
      <c r="A194" s="926" t="s">
        <v>214</v>
      </c>
      <c r="B194" s="310">
        <v>1</v>
      </c>
      <c r="C194" s="310">
        <v>0.09</v>
      </c>
      <c r="D194" s="311">
        <v>1.1590779787455365</v>
      </c>
      <c r="E194" s="311">
        <v>1.2281559574910728</v>
      </c>
      <c r="F194" s="219">
        <v>1.23</v>
      </c>
      <c r="J194" s="310"/>
      <c r="L194" s="57"/>
    </row>
    <row r="195" spans="1:12">
      <c r="A195" s="926" t="s">
        <v>2714</v>
      </c>
      <c r="B195" s="310">
        <v>1</v>
      </c>
      <c r="C195" s="310">
        <v>0.04</v>
      </c>
      <c r="D195" s="311">
        <v>1.0463113134343431</v>
      </c>
      <c r="E195" s="311">
        <v>1.0526226268686865</v>
      </c>
      <c r="F195" s="219">
        <v>1.05</v>
      </c>
      <c r="J195" s="310"/>
      <c r="L195" s="57"/>
    </row>
    <row r="196" spans="1:12">
      <c r="A196" s="926" t="s">
        <v>250</v>
      </c>
      <c r="B196" s="310">
        <v>1</v>
      </c>
      <c r="C196" s="310">
        <v>0.04</v>
      </c>
      <c r="D196" s="311">
        <v>1.037839385516786</v>
      </c>
      <c r="E196" s="311">
        <v>1.0356787710335722</v>
      </c>
      <c r="F196" s="219">
        <v>1.04</v>
      </c>
      <c r="J196" s="310"/>
      <c r="L196" s="57"/>
    </row>
    <row r="197" spans="1:12">
      <c r="A197" s="926" t="s">
        <v>2162</v>
      </c>
      <c r="B197" s="310">
        <v>1</v>
      </c>
      <c r="C197" s="310">
        <v>0.05</v>
      </c>
      <c r="D197" s="311">
        <v>1.0360949776998361</v>
      </c>
      <c r="E197" s="311">
        <v>1.0221899553996721</v>
      </c>
      <c r="F197" s="219">
        <v>1.02</v>
      </c>
      <c r="J197" s="310"/>
      <c r="L197" s="57"/>
    </row>
    <row r="198" spans="1:12">
      <c r="A198" s="926" t="s">
        <v>2716</v>
      </c>
      <c r="B198" s="310">
        <v>1</v>
      </c>
      <c r="C198" s="310">
        <v>0.04</v>
      </c>
      <c r="D198" s="311">
        <v>1.0317751947363039</v>
      </c>
      <c r="E198" s="311">
        <v>1.0235503894726077</v>
      </c>
      <c r="F198" s="219">
        <v>1.02</v>
      </c>
      <c r="J198" s="310"/>
      <c r="L198" s="57"/>
    </row>
    <row r="199" spans="1:12">
      <c r="A199" s="926" t="s">
        <v>2718</v>
      </c>
      <c r="B199" s="310">
        <v>1</v>
      </c>
      <c r="C199" s="310">
        <v>0.04</v>
      </c>
      <c r="D199" s="311">
        <v>1.0557998943527371</v>
      </c>
      <c r="E199" s="311">
        <v>1.0715997887054742</v>
      </c>
      <c r="F199" s="219">
        <v>1.07</v>
      </c>
      <c r="J199" s="310"/>
      <c r="L199" s="57"/>
    </row>
    <row r="200" spans="1:12">
      <c r="A200" s="926" t="s">
        <v>2720</v>
      </c>
      <c r="B200" s="310">
        <v>1</v>
      </c>
      <c r="C200" s="310">
        <v>0.06</v>
      </c>
      <c r="D200" s="311">
        <v>1.0610770010182624</v>
      </c>
      <c r="E200" s="311">
        <v>1.0621540020365245</v>
      </c>
      <c r="F200" s="219">
        <v>1.06</v>
      </c>
      <c r="J200" s="310"/>
      <c r="L200" s="57"/>
    </row>
    <row r="201" spans="1:12">
      <c r="A201" s="926" t="s">
        <v>1314</v>
      </c>
      <c r="B201" s="310">
        <v>1</v>
      </c>
      <c r="C201" s="310">
        <v>0.09</v>
      </c>
      <c r="D201" s="311">
        <v>1.0945995694344477</v>
      </c>
      <c r="E201" s="311">
        <v>1.0991991388688955</v>
      </c>
      <c r="F201" s="219">
        <v>1.1000000000000001</v>
      </c>
      <c r="J201" s="310"/>
      <c r="L201" s="57"/>
    </row>
    <row r="202" spans="1:12">
      <c r="A202" s="926" t="s">
        <v>2722</v>
      </c>
      <c r="B202" s="310">
        <v>1</v>
      </c>
      <c r="C202" s="310">
        <v>7.0000000000000007E-2</v>
      </c>
      <c r="D202" s="311">
        <v>1.0777055030504803</v>
      </c>
      <c r="E202" s="311">
        <v>1.0854110061009603</v>
      </c>
      <c r="F202" s="219">
        <v>1.0900000000000001</v>
      </c>
      <c r="J202" s="310"/>
      <c r="L202" s="57"/>
    </row>
    <row r="203" spans="1:12">
      <c r="A203" s="926" t="s">
        <v>442</v>
      </c>
      <c r="B203" s="310">
        <v>1</v>
      </c>
      <c r="C203" s="310">
        <v>7.0000000000000007E-2</v>
      </c>
      <c r="D203" s="311">
        <v>1.0750643012305536</v>
      </c>
      <c r="E203" s="311">
        <v>1.0801286024611074</v>
      </c>
      <c r="F203" s="219">
        <v>1.08</v>
      </c>
      <c r="J203" s="310"/>
      <c r="L203" s="57"/>
    </row>
    <row r="204" spans="1:12">
      <c r="A204" s="926" t="s">
        <v>2724</v>
      </c>
      <c r="B204" s="310">
        <v>1</v>
      </c>
      <c r="C204" s="310">
        <v>7.0000000000000007E-2</v>
      </c>
      <c r="D204" s="311">
        <v>1.0810579030808141</v>
      </c>
      <c r="E204" s="311">
        <v>1.0921158061616283</v>
      </c>
      <c r="F204" s="219">
        <v>1.0900000000000001</v>
      </c>
      <c r="J204" s="310"/>
      <c r="L204" s="57"/>
    </row>
    <row r="205" spans="1:12">
      <c r="A205" s="926" t="s">
        <v>5321</v>
      </c>
      <c r="B205" s="310">
        <v>1</v>
      </c>
      <c r="C205" s="310">
        <v>0.06</v>
      </c>
      <c r="D205" s="311">
        <v>1.065041644181439</v>
      </c>
      <c r="E205" s="311">
        <v>1.0700832883628779</v>
      </c>
      <c r="F205" s="219">
        <v>1.07</v>
      </c>
      <c r="J205" s="310"/>
      <c r="L205" s="57"/>
    </row>
    <row r="206" spans="1:12">
      <c r="A206" s="926" t="s">
        <v>5323</v>
      </c>
      <c r="B206" s="310">
        <v>1</v>
      </c>
      <c r="C206" s="310">
        <v>0.06</v>
      </c>
      <c r="D206" s="311">
        <v>1.0708634162178903</v>
      </c>
      <c r="E206" s="311">
        <v>1.0817268324357805</v>
      </c>
      <c r="F206" s="219">
        <v>1.08</v>
      </c>
      <c r="J206" s="310"/>
      <c r="L206" s="57"/>
    </row>
    <row r="207" spans="1:12">
      <c r="A207" s="926" t="s">
        <v>5325</v>
      </c>
      <c r="B207" s="310">
        <v>1</v>
      </c>
      <c r="C207" s="310">
        <v>0.08</v>
      </c>
      <c r="D207" s="311">
        <v>1.069697441587385</v>
      </c>
      <c r="E207" s="311">
        <v>1.0593948831747699</v>
      </c>
      <c r="F207" s="219">
        <v>1.06</v>
      </c>
      <c r="J207" s="310"/>
      <c r="L207" s="57"/>
    </row>
    <row r="208" spans="1:12">
      <c r="A208" s="926" t="s">
        <v>5327</v>
      </c>
      <c r="B208" s="310">
        <v>1</v>
      </c>
      <c r="C208" s="310">
        <v>0.08</v>
      </c>
      <c r="D208" s="311">
        <v>1.0693515811650041</v>
      </c>
      <c r="E208" s="311">
        <v>1.0587031623300081</v>
      </c>
      <c r="F208" s="219">
        <v>1.06</v>
      </c>
      <c r="J208" s="310"/>
      <c r="L208" s="57"/>
    </row>
    <row r="209" spans="1:12">
      <c r="A209" s="926" t="s">
        <v>5329</v>
      </c>
      <c r="B209" s="310">
        <v>1</v>
      </c>
      <c r="C209" s="310">
        <v>0.04</v>
      </c>
      <c r="D209" s="311">
        <v>1.039755243626048</v>
      </c>
      <c r="E209" s="311">
        <v>1.0395104872520959</v>
      </c>
      <c r="F209" s="219">
        <v>1.04</v>
      </c>
      <c r="J209" s="310"/>
      <c r="L209" s="57"/>
    </row>
    <row r="210" spans="1:12">
      <c r="A210" s="926" t="s">
        <v>5331</v>
      </c>
      <c r="B210" s="310">
        <v>1</v>
      </c>
      <c r="C210" s="310">
        <v>0.05</v>
      </c>
      <c r="D210" s="311">
        <v>1.069191841024939</v>
      </c>
      <c r="E210" s="311">
        <v>1.088383682049878</v>
      </c>
      <c r="F210" s="219">
        <v>1.0900000000000001</v>
      </c>
      <c r="J210" s="310"/>
      <c r="L210" s="57"/>
    </row>
    <row r="211" spans="1:12">
      <c r="A211" s="926" t="s">
        <v>585</v>
      </c>
      <c r="B211" s="310">
        <v>1</v>
      </c>
      <c r="C211" s="310">
        <v>0.05</v>
      </c>
      <c r="D211" s="311">
        <v>1.0430914369669391</v>
      </c>
      <c r="E211" s="311">
        <v>1.0361828739338781</v>
      </c>
      <c r="F211" s="219">
        <v>1.04</v>
      </c>
      <c r="J211" s="310"/>
      <c r="L211" s="57"/>
    </row>
    <row r="212" spans="1:12">
      <c r="A212" s="926" t="s">
        <v>5333</v>
      </c>
      <c r="B212" s="310">
        <v>1</v>
      </c>
      <c r="C212" s="310">
        <v>0.04</v>
      </c>
      <c r="D212" s="311">
        <v>1.0384283373733552</v>
      </c>
      <c r="E212" s="311">
        <v>1.0368566747467105</v>
      </c>
      <c r="F212" s="219">
        <v>1.04</v>
      </c>
      <c r="J212" s="310"/>
      <c r="L212" s="57"/>
    </row>
    <row r="213" spans="1:12">
      <c r="A213" s="926" t="s">
        <v>239</v>
      </c>
      <c r="B213" s="310">
        <v>1</v>
      </c>
      <c r="C213" s="310">
        <v>0.09</v>
      </c>
      <c r="D213" s="311">
        <v>1.1057463107869463</v>
      </c>
      <c r="E213" s="311">
        <v>1.1214926215738923</v>
      </c>
      <c r="F213" s="219">
        <v>1.1200000000000001</v>
      </c>
      <c r="J213" s="310"/>
      <c r="L213" s="57"/>
    </row>
    <row r="214" spans="1:12">
      <c r="A214" s="926" t="s">
        <v>5335</v>
      </c>
      <c r="B214" s="310">
        <v>1</v>
      </c>
      <c r="C214" s="310">
        <v>7.0000000000000007E-2</v>
      </c>
      <c r="D214" s="311">
        <v>1.0660778723049251</v>
      </c>
      <c r="E214" s="311">
        <v>1.06215574460985</v>
      </c>
      <c r="F214" s="219">
        <v>1.06</v>
      </c>
      <c r="J214" s="310"/>
      <c r="L214" s="57"/>
    </row>
    <row r="215" spans="1:12">
      <c r="A215" s="926" t="s">
        <v>2450</v>
      </c>
      <c r="B215" s="310">
        <v>1</v>
      </c>
      <c r="C215" s="310">
        <v>0.11</v>
      </c>
      <c r="D215" s="311">
        <v>1.0916599362249959</v>
      </c>
      <c r="E215" s="311">
        <v>1.0733198724499917</v>
      </c>
      <c r="F215" s="219">
        <v>1.07</v>
      </c>
      <c r="J215" s="310"/>
      <c r="L215" s="57"/>
    </row>
    <row r="216" spans="1:12">
      <c r="A216" s="926" t="s">
        <v>2452</v>
      </c>
      <c r="B216" s="310">
        <v>1</v>
      </c>
      <c r="C216" s="310">
        <v>0.11</v>
      </c>
      <c r="D216" s="311">
        <v>1.1034627843719167</v>
      </c>
      <c r="E216" s="311">
        <v>1.0969255687438335</v>
      </c>
      <c r="F216" s="219">
        <v>1.1000000000000001</v>
      </c>
      <c r="J216" s="310"/>
      <c r="L216" s="57"/>
    </row>
    <row r="217" spans="1:12">
      <c r="A217" s="926" t="s">
        <v>2454</v>
      </c>
      <c r="B217" s="310">
        <v>1</v>
      </c>
      <c r="C217" s="310">
        <v>7.0000000000000007E-2</v>
      </c>
      <c r="D217" s="311">
        <v>1.0429653906068821</v>
      </c>
      <c r="E217" s="311">
        <v>1.0159307812137641</v>
      </c>
      <c r="F217" s="219">
        <v>1.02</v>
      </c>
      <c r="J217" s="310"/>
      <c r="L217" s="57"/>
    </row>
    <row r="218" spans="1:12">
      <c r="A218" s="926" t="s">
        <v>2456</v>
      </c>
      <c r="B218" s="310">
        <v>1</v>
      </c>
      <c r="C218" s="310">
        <v>7.0000000000000007E-2</v>
      </c>
      <c r="D218" s="311">
        <v>1.0425816891005204</v>
      </c>
      <c r="E218" s="311">
        <v>1.0151633782010407</v>
      </c>
      <c r="F218" s="219">
        <v>1.02</v>
      </c>
      <c r="J218" s="310"/>
      <c r="L218" s="57"/>
    </row>
    <row r="219" spans="1:12">
      <c r="A219" s="926" t="s">
        <v>2458</v>
      </c>
      <c r="B219" s="310">
        <v>1</v>
      </c>
      <c r="C219" s="310">
        <v>7.0000000000000007E-2</v>
      </c>
      <c r="D219" s="311">
        <v>1.0469172430837257</v>
      </c>
      <c r="E219" s="311">
        <v>1.0238344861674513</v>
      </c>
      <c r="F219" s="219">
        <v>1.02</v>
      </c>
      <c r="J219" s="310"/>
      <c r="L219" s="57"/>
    </row>
    <row r="220" spans="1:12">
      <c r="A220" s="926" t="s">
        <v>2460</v>
      </c>
      <c r="B220" s="310">
        <v>1</v>
      </c>
      <c r="C220" s="310">
        <v>0.09</v>
      </c>
      <c r="D220" s="311">
        <v>1.0758955502078797</v>
      </c>
      <c r="E220" s="311">
        <v>1.0617911004157596</v>
      </c>
      <c r="F220" s="219">
        <v>1.06</v>
      </c>
      <c r="J220" s="310"/>
      <c r="L220" s="57"/>
    </row>
    <row r="221" spans="1:12">
      <c r="A221" s="926" t="s">
        <v>2462</v>
      </c>
      <c r="B221" s="310">
        <v>1</v>
      </c>
      <c r="C221" s="310">
        <v>0.09</v>
      </c>
      <c r="D221" s="311">
        <v>1.0812519400767107</v>
      </c>
      <c r="E221" s="311">
        <v>1.072503880153421</v>
      </c>
      <c r="F221" s="219">
        <v>1.07</v>
      </c>
      <c r="J221" s="310"/>
      <c r="L221" s="57"/>
    </row>
    <row r="222" spans="1:12">
      <c r="A222" s="926" t="s">
        <v>2464</v>
      </c>
      <c r="B222" s="310">
        <v>1</v>
      </c>
      <c r="C222" s="310">
        <v>0.08</v>
      </c>
      <c r="D222" s="311">
        <v>1.0707359846178508</v>
      </c>
      <c r="E222" s="311">
        <v>1.0614719692357015</v>
      </c>
      <c r="F222" s="219">
        <v>1.06</v>
      </c>
      <c r="J222" s="310"/>
      <c r="L222" s="57"/>
    </row>
    <row r="223" spans="1:12">
      <c r="A223" s="926" t="s">
        <v>2104</v>
      </c>
      <c r="B223" s="310">
        <v>1</v>
      </c>
      <c r="C223" s="310">
        <v>0.14000000000000001</v>
      </c>
      <c r="D223" s="311">
        <v>1.2021740566867543</v>
      </c>
      <c r="E223" s="311">
        <v>1.2643481133735088</v>
      </c>
      <c r="F223" s="219">
        <v>1.26</v>
      </c>
      <c r="J223" s="310"/>
      <c r="L223" s="57"/>
    </row>
    <row r="224" spans="1:12">
      <c r="A224" s="926" t="s">
        <v>2106</v>
      </c>
      <c r="B224" s="310">
        <v>1</v>
      </c>
      <c r="C224" s="310">
        <v>0.12</v>
      </c>
      <c r="D224" s="311">
        <v>1.1660001060604066</v>
      </c>
      <c r="E224" s="311">
        <v>1.2120002121208131</v>
      </c>
      <c r="F224" s="219">
        <v>1.21</v>
      </c>
      <c r="J224" s="310"/>
      <c r="L224" s="57"/>
    </row>
    <row r="225" spans="1:12">
      <c r="A225" s="926" t="s">
        <v>2108</v>
      </c>
      <c r="B225" s="310">
        <v>1</v>
      </c>
      <c r="C225" s="310">
        <v>0.16</v>
      </c>
      <c r="D225" s="311">
        <v>1.2167109987797373</v>
      </c>
      <c r="E225" s="311">
        <v>1.2734219975594747</v>
      </c>
      <c r="F225" s="219">
        <v>1.27</v>
      </c>
      <c r="J225" s="310"/>
      <c r="L225" s="57"/>
    </row>
    <row r="226" spans="1:12">
      <c r="A226" s="926" t="s">
        <v>2110</v>
      </c>
      <c r="B226" s="310">
        <v>1</v>
      </c>
      <c r="C226" s="310">
        <v>0.13</v>
      </c>
      <c r="D226" s="311">
        <v>1.1733597959721103</v>
      </c>
      <c r="E226" s="311">
        <v>1.2167195919442206</v>
      </c>
      <c r="F226" s="219">
        <v>1.22</v>
      </c>
      <c r="J226" s="310"/>
      <c r="L226" s="57"/>
    </row>
    <row r="227" spans="1:12">
      <c r="A227" s="926" t="s">
        <v>2112</v>
      </c>
      <c r="B227" s="310">
        <v>1</v>
      </c>
      <c r="C227" s="310">
        <v>0.14000000000000001</v>
      </c>
      <c r="D227" s="311">
        <v>1.1869412080644395</v>
      </c>
      <c r="E227" s="311">
        <v>1.2338824161288791</v>
      </c>
      <c r="F227" s="219">
        <v>1.23</v>
      </c>
      <c r="J227" s="310"/>
      <c r="L227" s="57"/>
    </row>
    <row r="228" spans="1:12">
      <c r="A228" s="926" t="s">
        <v>1317</v>
      </c>
      <c r="B228" s="310">
        <v>1</v>
      </c>
      <c r="C228" s="310">
        <v>0.14000000000000001</v>
      </c>
      <c r="D228" s="311">
        <v>1.2035592643942667</v>
      </c>
      <c r="E228" s="311">
        <v>1.2671185287885338</v>
      </c>
      <c r="F228" s="219">
        <v>1.27</v>
      </c>
      <c r="J228" s="310"/>
      <c r="L228" s="57"/>
    </row>
    <row r="229" spans="1:12">
      <c r="A229" s="926" t="s">
        <v>587</v>
      </c>
      <c r="B229" s="310">
        <v>1</v>
      </c>
      <c r="C229" s="310">
        <v>0.14000000000000001</v>
      </c>
      <c r="D229" s="311">
        <v>1.1988366609126757</v>
      </c>
      <c r="E229" s="311">
        <v>1.2576733218253513</v>
      </c>
      <c r="F229" s="219">
        <v>1.26</v>
      </c>
      <c r="J229" s="310"/>
      <c r="L229" s="57"/>
    </row>
    <row r="230" spans="1:12">
      <c r="A230" s="926" t="s">
        <v>4569</v>
      </c>
      <c r="B230" s="310">
        <v>1</v>
      </c>
      <c r="C230" s="310">
        <v>0.12</v>
      </c>
      <c r="D230" s="311">
        <v>1.1710417825102299</v>
      </c>
      <c r="E230" s="311">
        <v>1.2220835650204598</v>
      </c>
      <c r="F230" s="219">
        <v>1.22</v>
      </c>
      <c r="J230" s="310"/>
      <c r="L230" s="57"/>
    </row>
    <row r="231" spans="1:12">
      <c r="A231" s="926" t="s">
        <v>6021</v>
      </c>
      <c r="B231" s="310">
        <v>1</v>
      </c>
      <c r="C231" s="310">
        <v>0.14000000000000001</v>
      </c>
      <c r="D231" s="311">
        <v>1.2067967960587775</v>
      </c>
      <c r="E231" s="311">
        <v>1.2735935921175552</v>
      </c>
      <c r="F231" s="219">
        <v>1.27</v>
      </c>
      <c r="J231" s="310"/>
      <c r="L231" s="57"/>
    </row>
    <row r="232" spans="1:12">
      <c r="A232" s="926" t="s">
        <v>4571</v>
      </c>
      <c r="B232" s="310">
        <v>1</v>
      </c>
      <c r="C232" s="310">
        <v>0.12</v>
      </c>
      <c r="D232" s="311">
        <v>1.1597128149074725</v>
      </c>
      <c r="E232" s="311">
        <v>1.199425629814945</v>
      </c>
      <c r="F232" s="219">
        <v>1.2</v>
      </c>
      <c r="J232" s="310"/>
      <c r="L232" s="57"/>
    </row>
    <row r="233" spans="1:12">
      <c r="A233" s="926" t="s">
        <v>6171</v>
      </c>
      <c r="B233" s="310">
        <v>1</v>
      </c>
      <c r="C233" s="310">
        <v>0.14000000000000001</v>
      </c>
      <c r="D233" s="311">
        <v>1.2074705723680639</v>
      </c>
      <c r="E233" s="311">
        <v>1.2749411447361276</v>
      </c>
      <c r="F233" s="219">
        <v>1.27</v>
      </c>
      <c r="J233" s="310"/>
      <c r="L233" s="57"/>
    </row>
    <row r="234" spans="1:12">
      <c r="A234" s="926" t="s">
        <v>4573</v>
      </c>
      <c r="B234" s="310">
        <v>1</v>
      </c>
      <c r="C234" s="310">
        <v>0.14000000000000001</v>
      </c>
      <c r="D234" s="311">
        <v>1.2047508933917517</v>
      </c>
      <c r="E234" s="311">
        <v>1.2695017867835034</v>
      </c>
      <c r="F234" s="219">
        <v>1.27</v>
      </c>
      <c r="J234" s="310"/>
      <c r="L234" s="57"/>
    </row>
    <row r="235" spans="1:12">
      <c r="A235" s="926" t="s">
        <v>4575</v>
      </c>
      <c r="B235" s="310">
        <v>1</v>
      </c>
      <c r="C235" s="310">
        <v>0.08</v>
      </c>
      <c r="D235" s="311">
        <v>1.109919078909724</v>
      </c>
      <c r="E235" s="311">
        <v>1.1398381578194479</v>
      </c>
      <c r="F235" s="219">
        <v>1.1399999999999999</v>
      </c>
      <c r="J235" s="310"/>
      <c r="L235" s="57"/>
    </row>
    <row r="236" spans="1:12">
      <c r="A236" s="926" t="s">
        <v>4577</v>
      </c>
      <c r="B236" s="310">
        <v>1</v>
      </c>
      <c r="C236" s="310">
        <v>0.12</v>
      </c>
      <c r="D236" s="311">
        <v>1.1553412855477756</v>
      </c>
      <c r="E236" s="311">
        <v>1.1906825710955511</v>
      </c>
      <c r="F236" s="219">
        <v>1.19</v>
      </c>
      <c r="J236" s="310"/>
      <c r="L236" s="57"/>
    </row>
    <row r="237" spans="1:12">
      <c r="A237" s="926" t="s">
        <v>4579</v>
      </c>
      <c r="B237" s="310">
        <v>1</v>
      </c>
      <c r="C237" s="310">
        <v>0.11</v>
      </c>
      <c r="D237" s="311">
        <v>1.1656787687995407</v>
      </c>
      <c r="E237" s="311">
        <v>1.2213575375990813</v>
      </c>
      <c r="F237" s="219">
        <v>1.22</v>
      </c>
      <c r="J237" s="310"/>
      <c r="L237" s="57"/>
    </row>
    <row r="238" spans="1:12">
      <c r="A238" s="926" t="s">
        <v>4581</v>
      </c>
      <c r="B238" s="310">
        <v>1</v>
      </c>
      <c r="C238" s="310">
        <v>0.11</v>
      </c>
      <c r="D238" s="311">
        <v>1.0800818154356508</v>
      </c>
      <c r="E238" s="311">
        <v>1.0501636308713016</v>
      </c>
      <c r="F238" s="219">
        <v>1.05</v>
      </c>
      <c r="J238" s="310"/>
      <c r="L238" s="57"/>
    </row>
    <row r="239" spans="1:12">
      <c r="A239" s="926" t="s">
        <v>4582</v>
      </c>
      <c r="B239" s="310">
        <v>1</v>
      </c>
      <c r="C239" s="310">
        <v>0.08</v>
      </c>
      <c r="D239" s="311">
        <v>1.0590176619229135</v>
      </c>
      <c r="E239" s="311">
        <v>1.0380353238458269</v>
      </c>
      <c r="F239" s="219">
        <v>1.04</v>
      </c>
      <c r="J239" s="310"/>
      <c r="L239" s="57"/>
    </row>
    <row r="240" spans="1:12">
      <c r="A240" s="926" t="s">
        <v>4584</v>
      </c>
      <c r="B240" s="310">
        <v>1</v>
      </c>
      <c r="C240" s="310">
        <v>0.13</v>
      </c>
      <c r="D240" s="311">
        <v>1.0941985554796041</v>
      </c>
      <c r="E240" s="311">
        <v>1.0583971109592083</v>
      </c>
      <c r="F240" s="219">
        <v>1.06</v>
      </c>
      <c r="J240" s="310"/>
      <c r="L240" s="57"/>
    </row>
    <row r="241" spans="1:12">
      <c r="A241" s="926" t="s">
        <v>4586</v>
      </c>
      <c r="B241" s="310">
        <v>1</v>
      </c>
      <c r="C241" s="310">
        <v>0.08</v>
      </c>
      <c r="D241" s="311">
        <v>1.0578248860563058</v>
      </c>
      <c r="E241" s="311">
        <v>1.0356497721126112</v>
      </c>
      <c r="F241" s="219">
        <v>1.04</v>
      </c>
      <c r="J241" s="310"/>
      <c r="L241" s="57"/>
    </row>
    <row r="242" spans="1:12">
      <c r="A242" s="926" t="s">
        <v>1865</v>
      </c>
      <c r="B242" s="310">
        <v>1</v>
      </c>
      <c r="C242" s="310">
        <v>0.09</v>
      </c>
      <c r="D242" s="311">
        <v>1.0774326537801682</v>
      </c>
      <c r="E242" s="311">
        <v>1.0648653075603363</v>
      </c>
      <c r="F242" s="219">
        <v>1.06</v>
      </c>
      <c r="J242" s="310"/>
      <c r="L242" s="57"/>
    </row>
    <row r="243" spans="1:12">
      <c r="A243" s="926" t="s">
        <v>5018</v>
      </c>
      <c r="B243" s="310">
        <v>1</v>
      </c>
      <c r="C243" s="310">
        <v>0.05</v>
      </c>
      <c r="D243" s="311">
        <v>1.042131121424174</v>
      </c>
      <c r="E243" s="311">
        <v>1.0342622428483479</v>
      </c>
      <c r="F243" s="219">
        <v>1.03</v>
      </c>
      <c r="J243" s="310"/>
      <c r="L243" s="57"/>
    </row>
    <row r="244" spans="1:12">
      <c r="A244" s="926" t="s">
        <v>5020</v>
      </c>
      <c r="B244" s="310">
        <v>1</v>
      </c>
      <c r="C244" s="310">
        <v>0.03</v>
      </c>
      <c r="D244" s="311">
        <v>1.053008347486339</v>
      </c>
      <c r="E244" s="311">
        <v>1.0760166949726777</v>
      </c>
      <c r="F244" s="219">
        <v>1.08</v>
      </c>
      <c r="J244" s="310"/>
      <c r="L244" s="57"/>
    </row>
    <row r="245" spans="1:12">
      <c r="A245" s="926" t="s">
        <v>589</v>
      </c>
      <c r="B245" s="310">
        <v>1</v>
      </c>
      <c r="C245" s="310">
        <v>0.06</v>
      </c>
      <c r="D245" s="311">
        <v>1.0628170503461289</v>
      </c>
      <c r="E245" s="311">
        <v>1.0656341006922581</v>
      </c>
      <c r="F245" s="219">
        <v>1.07</v>
      </c>
      <c r="J245" s="310"/>
      <c r="L245" s="57"/>
    </row>
    <row r="246" spans="1:12">
      <c r="A246" s="926" t="s">
        <v>5022</v>
      </c>
      <c r="B246" s="310">
        <v>1</v>
      </c>
      <c r="C246" s="310">
        <v>0.14000000000000001</v>
      </c>
      <c r="D246" s="311">
        <v>1.1736725293942158</v>
      </c>
      <c r="E246" s="311">
        <v>1.2073450587884318</v>
      </c>
      <c r="F246" s="219">
        <v>1.21</v>
      </c>
      <c r="J246" s="310"/>
      <c r="L246" s="57"/>
    </row>
    <row r="247" spans="1:12">
      <c r="A247" s="926" t="s">
        <v>2989</v>
      </c>
      <c r="B247" s="310">
        <v>1</v>
      </c>
      <c r="C247" s="310">
        <v>0.14000000000000001</v>
      </c>
      <c r="D247" s="311">
        <v>1.1962597728567843</v>
      </c>
      <c r="E247" s="311">
        <v>1.2525195457135689</v>
      </c>
      <c r="F247" s="219">
        <v>1.25</v>
      </c>
      <c r="J247" s="310"/>
      <c r="L247" s="57"/>
    </row>
    <row r="248" spans="1:12">
      <c r="A248" s="926" t="s">
        <v>5126</v>
      </c>
      <c r="B248" s="310">
        <v>1</v>
      </c>
      <c r="C248" s="310">
        <v>0.08</v>
      </c>
      <c r="D248" s="311">
        <v>1.1159499792379715</v>
      </c>
      <c r="E248" s="311">
        <v>1.1518999584759428</v>
      </c>
      <c r="F248" s="219">
        <v>1.1499999999999999</v>
      </c>
      <c r="J248" s="310"/>
      <c r="L248" s="57"/>
    </row>
    <row r="249" spans="1:12">
      <c r="A249" s="926" t="s">
        <v>3090</v>
      </c>
      <c r="B249" s="310">
        <v>1</v>
      </c>
      <c r="C249" s="310">
        <v>0.08</v>
      </c>
      <c r="D249" s="311">
        <v>1.1011857068498538</v>
      </c>
      <c r="E249" s="311">
        <v>1.1223714136997078</v>
      </c>
      <c r="F249" s="219">
        <v>1.1200000000000001</v>
      </c>
      <c r="J249" s="310"/>
      <c r="L249" s="57"/>
    </row>
    <row r="250" spans="1:12">
      <c r="A250" s="926" t="s">
        <v>5128</v>
      </c>
      <c r="B250" s="310">
        <v>1</v>
      </c>
      <c r="C250" s="310">
        <v>7.0000000000000007E-2</v>
      </c>
      <c r="D250" s="311">
        <v>1.0970864055660094</v>
      </c>
      <c r="E250" s="311">
        <v>1.1241728111320188</v>
      </c>
      <c r="F250" s="219">
        <v>1.1200000000000001</v>
      </c>
      <c r="J250" s="310"/>
      <c r="L250" s="57"/>
    </row>
    <row r="251" spans="1:12">
      <c r="A251" s="926" t="s">
        <v>270</v>
      </c>
      <c r="B251" s="310">
        <v>1</v>
      </c>
      <c r="C251" s="310">
        <v>0.08</v>
      </c>
      <c r="D251" s="311">
        <v>1.1048601483536005</v>
      </c>
      <c r="E251" s="311">
        <v>1.1297202967072009</v>
      </c>
      <c r="F251" s="219">
        <v>1.1299999999999999</v>
      </c>
      <c r="J251" s="310"/>
      <c r="L251" s="57"/>
    </row>
    <row r="252" spans="1:12">
      <c r="A252" s="926" t="s">
        <v>2391</v>
      </c>
      <c r="B252" s="310">
        <v>1</v>
      </c>
      <c r="C252" s="310">
        <v>0.09</v>
      </c>
      <c r="D252" s="311">
        <v>1.1147223972431721</v>
      </c>
      <c r="E252" s="311">
        <v>1.1394447944863442</v>
      </c>
      <c r="F252" s="219">
        <v>1.1399999999999999</v>
      </c>
      <c r="J252" s="310"/>
      <c r="L252" s="57"/>
    </row>
    <row r="253" spans="1:12">
      <c r="A253" s="926" t="s">
        <v>2746</v>
      </c>
      <c r="B253" s="310">
        <v>1</v>
      </c>
      <c r="C253" s="310">
        <v>0.08</v>
      </c>
      <c r="D253" s="311">
        <v>1.1060696250186257</v>
      </c>
      <c r="E253" s="311">
        <v>1.1321392500372514</v>
      </c>
      <c r="F253" s="219">
        <v>1.1299999999999999</v>
      </c>
      <c r="J253" s="310"/>
      <c r="L253" s="57"/>
    </row>
    <row r="254" spans="1:12">
      <c r="A254" s="926" t="s">
        <v>6186</v>
      </c>
      <c r="B254" s="310">
        <v>1</v>
      </c>
      <c r="C254" s="310">
        <v>0.11</v>
      </c>
      <c r="D254" s="311">
        <v>1.1551538673297259</v>
      </c>
      <c r="E254" s="311">
        <v>1.2003077346594517</v>
      </c>
      <c r="F254" s="219">
        <v>1.2</v>
      </c>
      <c r="J254" s="310"/>
      <c r="L254" s="57"/>
    </row>
    <row r="255" spans="1:12">
      <c r="A255" s="926" t="s">
        <v>6041</v>
      </c>
      <c r="B255" s="310">
        <v>1</v>
      </c>
      <c r="C255" s="310">
        <v>0.09</v>
      </c>
      <c r="D255" s="311">
        <v>1.1264898174057985</v>
      </c>
      <c r="E255" s="311">
        <v>1.1629796348115971</v>
      </c>
      <c r="F255" s="219">
        <v>1.1599999999999999</v>
      </c>
      <c r="J255" s="310"/>
      <c r="L255" s="57"/>
    </row>
    <row r="256" spans="1:12">
      <c r="A256" s="926" t="s">
        <v>591</v>
      </c>
      <c r="B256" s="310">
        <v>1</v>
      </c>
      <c r="C256" s="310">
        <v>0.08</v>
      </c>
      <c r="D256" s="311">
        <v>1.1182328594157624</v>
      </c>
      <c r="E256" s="311">
        <v>1.156465718831525</v>
      </c>
      <c r="F256" s="219">
        <v>1.1599999999999999</v>
      </c>
      <c r="J256" s="310"/>
      <c r="L256" s="57"/>
    </row>
    <row r="257" spans="1:12">
      <c r="A257" s="926" t="s">
        <v>443</v>
      </c>
      <c r="B257" s="310">
        <v>1</v>
      </c>
      <c r="C257" s="310">
        <v>0.08</v>
      </c>
      <c r="D257" s="311">
        <v>1.082890999962276</v>
      </c>
      <c r="E257" s="311">
        <v>1.0857819999245519</v>
      </c>
      <c r="F257" s="219">
        <v>1.0900000000000001</v>
      </c>
      <c r="J257" s="310"/>
      <c r="L257" s="57"/>
    </row>
    <row r="258" spans="1:12">
      <c r="A258" s="926" t="s">
        <v>2748</v>
      </c>
      <c r="B258" s="310">
        <v>1</v>
      </c>
      <c r="C258" s="310">
        <v>0.09</v>
      </c>
      <c r="D258" s="311">
        <v>1.0715541218600984</v>
      </c>
      <c r="E258" s="311">
        <v>1.0531082437201968</v>
      </c>
      <c r="F258" s="219">
        <v>1.05</v>
      </c>
      <c r="J258" s="310"/>
      <c r="L258" s="57"/>
    </row>
    <row r="259" spans="1:12">
      <c r="A259" s="926" t="s">
        <v>862</v>
      </c>
      <c r="B259" s="310">
        <v>1</v>
      </c>
      <c r="C259" s="310">
        <v>7.0000000000000007E-2</v>
      </c>
      <c r="D259" s="311">
        <v>1.0795450580140926</v>
      </c>
      <c r="E259" s="311">
        <v>1.0890901160281854</v>
      </c>
      <c r="F259" s="219">
        <v>1.0900000000000001</v>
      </c>
      <c r="J259" s="310"/>
      <c r="L259" s="57"/>
    </row>
    <row r="260" spans="1:12">
      <c r="A260" s="926" t="s">
        <v>2750</v>
      </c>
      <c r="B260" s="310">
        <v>1</v>
      </c>
      <c r="C260" s="310">
        <v>0.06</v>
      </c>
      <c r="D260" s="311">
        <v>1.0684890610498035</v>
      </c>
      <c r="E260" s="311">
        <v>1.0769781220996069</v>
      </c>
      <c r="F260" s="219">
        <v>1.08</v>
      </c>
      <c r="J260" s="310"/>
      <c r="L260" s="57"/>
    </row>
    <row r="261" spans="1:12">
      <c r="A261" s="926" t="s">
        <v>3899</v>
      </c>
      <c r="B261" s="310">
        <v>1</v>
      </c>
      <c r="C261" s="310">
        <v>0.09</v>
      </c>
      <c r="D261" s="311">
        <v>1.0699092104747725</v>
      </c>
      <c r="E261" s="311">
        <v>1.0498184209495449</v>
      </c>
      <c r="F261" s="219">
        <v>1.05</v>
      </c>
      <c r="J261" s="310"/>
      <c r="L261" s="57"/>
    </row>
    <row r="262" spans="1:12">
      <c r="A262" s="926" t="s">
        <v>3604</v>
      </c>
      <c r="B262" s="310">
        <v>1</v>
      </c>
      <c r="C262" s="310">
        <v>7.0000000000000007E-2</v>
      </c>
      <c r="D262" s="311">
        <v>1.0613986655514234</v>
      </c>
      <c r="E262" s="311">
        <v>1.0527973311028469</v>
      </c>
      <c r="F262" s="219">
        <v>1.05</v>
      </c>
      <c r="J262" s="310"/>
      <c r="L262" s="57"/>
    </row>
    <row r="263" spans="1:12">
      <c r="A263" s="926" t="s">
        <v>3166</v>
      </c>
      <c r="B263" s="310">
        <v>1</v>
      </c>
      <c r="C263" s="310">
        <v>0.06</v>
      </c>
      <c r="D263" s="311">
        <v>1.0481817236559254</v>
      </c>
      <c r="E263" s="311">
        <v>1.036363447311851</v>
      </c>
      <c r="F263" s="219">
        <v>1.04</v>
      </c>
      <c r="J263" s="310"/>
      <c r="L263" s="57"/>
    </row>
    <row r="264" spans="1:12">
      <c r="A264" s="926" t="s">
        <v>3168</v>
      </c>
      <c r="B264" s="310">
        <v>1</v>
      </c>
      <c r="C264" s="310">
        <v>0.09</v>
      </c>
      <c r="D264" s="311">
        <v>1.0619096840675075</v>
      </c>
      <c r="E264" s="311">
        <v>1.033819368135015</v>
      </c>
      <c r="F264" s="219">
        <v>1.03</v>
      </c>
      <c r="J264" s="310"/>
      <c r="L264" s="57"/>
    </row>
    <row r="265" spans="1:12">
      <c r="A265" s="926" t="s">
        <v>3091</v>
      </c>
      <c r="B265" s="310">
        <v>1</v>
      </c>
      <c r="C265" s="310">
        <v>0.12</v>
      </c>
      <c r="D265" s="311">
        <v>1.1137300960092396</v>
      </c>
      <c r="E265" s="311">
        <v>1.1074601920184788</v>
      </c>
      <c r="F265" s="219">
        <v>1.1100000000000001</v>
      </c>
      <c r="J265" s="310"/>
      <c r="L265" s="57"/>
    </row>
    <row r="266" spans="1:12">
      <c r="A266" s="926" t="s">
        <v>3171</v>
      </c>
      <c r="B266" s="310">
        <v>1</v>
      </c>
      <c r="C266" s="310">
        <v>7.0000000000000007E-2</v>
      </c>
      <c r="D266" s="311">
        <v>1.0638423741137504</v>
      </c>
      <c r="E266" s="311">
        <v>1.0576847482275007</v>
      </c>
      <c r="F266" s="219">
        <v>1.06</v>
      </c>
      <c r="J266" s="310"/>
      <c r="L266" s="57"/>
    </row>
    <row r="267" spans="1:12">
      <c r="A267" s="926" t="s">
        <v>593</v>
      </c>
      <c r="B267" s="310">
        <v>1</v>
      </c>
      <c r="C267" s="310">
        <v>7.0000000000000007E-2</v>
      </c>
      <c r="D267" s="311">
        <v>1.0596839082698288</v>
      </c>
      <c r="E267" s="311">
        <v>1.0493678165396576</v>
      </c>
      <c r="F267" s="219">
        <v>1.05</v>
      </c>
      <c r="J267" s="310"/>
      <c r="L267" s="57"/>
    </row>
    <row r="268" spans="1:12">
      <c r="A268" s="926" t="s">
        <v>3173</v>
      </c>
      <c r="B268" s="310">
        <v>1</v>
      </c>
      <c r="C268" s="310">
        <v>0.12</v>
      </c>
      <c r="D268" s="311">
        <v>1.0897887239042849</v>
      </c>
      <c r="E268" s="311">
        <v>1.0595774478085696</v>
      </c>
      <c r="F268" s="219">
        <v>1.06</v>
      </c>
      <c r="J268" s="310"/>
      <c r="L268" s="57"/>
    </row>
    <row r="269" spans="1:12">
      <c r="A269" s="926" t="s">
        <v>3175</v>
      </c>
      <c r="B269" s="310">
        <v>1</v>
      </c>
      <c r="C269" s="310">
        <v>0.11</v>
      </c>
      <c r="D269" s="311">
        <v>1.0984576173491019</v>
      </c>
      <c r="E269" s="311">
        <v>1.0869152346982038</v>
      </c>
      <c r="F269" s="219">
        <v>1.0900000000000001</v>
      </c>
      <c r="J269" s="310"/>
      <c r="L269" s="57"/>
    </row>
    <row r="270" spans="1:12">
      <c r="A270" s="926" t="s">
        <v>3092</v>
      </c>
      <c r="B270" s="310">
        <v>1</v>
      </c>
      <c r="C270" s="310">
        <v>0.12</v>
      </c>
      <c r="D270" s="311">
        <v>1.1091339407041811</v>
      </c>
      <c r="E270" s="311">
        <v>1.0982678814083624</v>
      </c>
      <c r="F270" s="219">
        <v>1.1000000000000001</v>
      </c>
      <c r="J270" s="310"/>
      <c r="L270" s="57"/>
    </row>
    <row r="271" spans="1:12">
      <c r="A271" s="926" t="s">
        <v>673</v>
      </c>
      <c r="B271" s="310">
        <v>1</v>
      </c>
      <c r="C271" s="310">
        <v>0.08</v>
      </c>
      <c r="D271" s="311">
        <v>1.0934473791969226</v>
      </c>
      <c r="E271" s="311">
        <v>1.1068947583938453</v>
      </c>
      <c r="F271" s="219">
        <v>1.1100000000000001</v>
      </c>
      <c r="J271" s="310"/>
      <c r="L271" s="57"/>
    </row>
    <row r="272" spans="1:12">
      <c r="A272" s="926" t="s">
        <v>322</v>
      </c>
      <c r="B272" s="310">
        <v>1</v>
      </c>
      <c r="C272" s="310">
        <v>0.04</v>
      </c>
      <c r="D272" s="311">
        <v>1.046097788473592</v>
      </c>
      <c r="E272" s="311">
        <v>1.052195576947184</v>
      </c>
      <c r="F272" s="219">
        <v>1.05</v>
      </c>
      <c r="J272" s="310"/>
      <c r="L272" s="57"/>
    </row>
    <row r="273" spans="1:12">
      <c r="A273" s="926" t="s">
        <v>675</v>
      </c>
      <c r="B273" s="310">
        <v>1</v>
      </c>
      <c r="C273" s="310">
        <v>0.05</v>
      </c>
      <c r="D273" s="311">
        <v>1.0511378758694194</v>
      </c>
      <c r="E273" s="311">
        <v>1.0522757517388388</v>
      </c>
      <c r="F273" s="219">
        <v>1.05</v>
      </c>
      <c r="J273" s="310"/>
      <c r="L273" s="57"/>
    </row>
    <row r="274" spans="1:12">
      <c r="A274" s="926" t="s">
        <v>677</v>
      </c>
      <c r="B274" s="310">
        <v>1</v>
      </c>
      <c r="C274" s="310">
        <v>0.04</v>
      </c>
      <c r="D274" s="311">
        <v>1.0356846705471916</v>
      </c>
      <c r="E274" s="311">
        <v>1.0313693410943832</v>
      </c>
      <c r="F274" s="219">
        <v>1.03</v>
      </c>
      <c r="J274" s="310"/>
      <c r="L274" s="57"/>
    </row>
    <row r="275" spans="1:12">
      <c r="A275" s="926" t="s">
        <v>679</v>
      </c>
      <c r="B275" s="310">
        <v>1</v>
      </c>
      <c r="C275" s="310">
        <v>0.05</v>
      </c>
      <c r="D275" s="311">
        <v>1.0401588992115043</v>
      </c>
      <c r="E275" s="311">
        <v>1.0303177984230083</v>
      </c>
      <c r="F275" s="219">
        <v>1.03</v>
      </c>
      <c r="J275" s="310"/>
      <c r="L275" s="57"/>
    </row>
    <row r="276" spans="1:12">
      <c r="A276" s="926" t="s">
        <v>2960</v>
      </c>
      <c r="B276" s="310">
        <v>1</v>
      </c>
      <c r="C276" s="310">
        <v>0.05</v>
      </c>
      <c r="D276" s="311">
        <v>1.042546072981263</v>
      </c>
      <c r="E276" s="311">
        <v>1.0350921459625262</v>
      </c>
      <c r="F276" s="219">
        <v>1.04</v>
      </c>
      <c r="J276" s="310"/>
      <c r="L276" s="57"/>
    </row>
    <row r="277" spans="1:12">
      <c r="A277" s="926" t="s">
        <v>1994</v>
      </c>
      <c r="B277" s="310">
        <v>1</v>
      </c>
      <c r="C277" s="310">
        <v>0.14000000000000001</v>
      </c>
      <c r="D277" s="311">
        <v>1.1555800778338803</v>
      </c>
      <c r="E277" s="311">
        <v>1.1711601556677607</v>
      </c>
      <c r="F277" s="219">
        <v>1.17</v>
      </c>
      <c r="J277" s="310"/>
      <c r="L277" s="57"/>
    </row>
    <row r="278" spans="1:12">
      <c r="A278" s="926" t="s">
        <v>2735</v>
      </c>
      <c r="B278" s="310">
        <v>1</v>
      </c>
      <c r="C278" s="310">
        <v>0.09</v>
      </c>
      <c r="D278" s="311">
        <v>1.0765391163260354</v>
      </c>
      <c r="E278" s="311">
        <v>1.0630782326520705</v>
      </c>
      <c r="F278" s="219">
        <v>1.06</v>
      </c>
      <c r="J278" s="310"/>
      <c r="L278" s="57"/>
    </row>
    <row r="279" spans="1:12">
      <c r="A279" s="926" t="s">
        <v>2737</v>
      </c>
      <c r="B279" s="310">
        <v>1</v>
      </c>
      <c r="C279" s="310">
        <v>0.08</v>
      </c>
      <c r="D279" s="311">
        <v>1.065452921782406</v>
      </c>
      <c r="E279" s="311">
        <v>1.0509058435648122</v>
      </c>
      <c r="F279" s="219">
        <v>1.05</v>
      </c>
      <c r="J279" s="310"/>
      <c r="L279" s="57"/>
    </row>
    <row r="280" spans="1:12">
      <c r="A280" s="926" t="s">
        <v>1976</v>
      </c>
      <c r="B280" s="310">
        <v>1</v>
      </c>
      <c r="C280" s="310">
        <v>0.09</v>
      </c>
      <c r="D280" s="311">
        <v>1.0867261272507336</v>
      </c>
      <c r="E280" s="311">
        <v>1.0834522545014671</v>
      </c>
      <c r="F280" s="219">
        <v>1.08</v>
      </c>
      <c r="J280" s="310"/>
      <c r="L280" s="57"/>
    </row>
    <row r="281" spans="1:12">
      <c r="A281" s="926" t="s">
        <v>3648</v>
      </c>
      <c r="B281" s="310">
        <v>1</v>
      </c>
      <c r="C281" s="310">
        <v>0.11</v>
      </c>
      <c r="D281" s="311">
        <v>1.1413098966176709</v>
      </c>
      <c r="E281" s="311">
        <v>1.1726197932353419</v>
      </c>
      <c r="F281" s="219">
        <v>1.17</v>
      </c>
      <c r="J281" s="310"/>
      <c r="L281" s="57"/>
    </row>
    <row r="282" spans="1:12">
      <c r="A282" s="926" t="s">
        <v>3650</v>
      </c>
      <c r="B282" s="310">
        <v>1</v>
      </c>
      <c r="C282" s="310">
        <v>0.09</v>
      </c>
      <c r="D282" s="311">
        <v>1.1280588505597267</v>
      </c>
      <c r="E282" s="311">
        <v>1.1661177011194532</v>
      </c>
      <c r="F282" s="219">
        <v>1.17</v>
      </c>
      <c r="J282" s="310"/>
      <c r="L282" s="57"/>
    </row>
    <row r="283" spans="1:12">
      <c r="A283" s="926" t="s">
        <v>3093</v>
      </c>
      <c r="B283" s="310">
        <v>1</v>
      </c>
      <c r="C283" s="310">
        <v>0.09</v>
      </c>
      <c r="D283" s="311">
        <v>1.0951653563149792</v>
      </c>
      <c r="E283" s="311">
        <v>1.1003307126299584</v>
      </c>
      <c r="F283" s="219">
        <v>1.1000000000000001</v>
      </c>
      <c r="J283" s="310"/>
      <c r="L283" s="57"/>
    </row>
    <row r="284" spans="1:12">
      <c r="A284" s="926" t="s">
        <v>7734</v>
      </c>
      <c r="B284" s="310">
        <v>1</v>
      </c>
      <c r="C284" s="310">
        <v>0.11</v>
      </c>
      <c r="D284" s="311">
        <v>1.1478099506108443</v>
      </c>
      <c r="E284" s="311">
        <v>1.1856199012216884</v>
      </c>
      <c r="F284" s="219">
        <v>1.19</v>
      </c>
      <c r="J284" s="310"/>
      <c r="L284" s="57"/>
    </row>
    <row r="285" spans="1:12">
      <c r="A285" s="926" t="s">
        <v>915</v>
      </c>
      <c r="B285" s="310">
        <v>1</v>
      </c>
      <c r="C285" s="310">
        <v>0.1</v>
      </c>
      <c r="D285" s="311">
        <v>1.0878902079833339</v>
      </c>
      <c r="E285" s="311">
        <v>1.0757804159666677</v>
      </c>
      <c r="F285" s="219">
        <v>1.08</v>
      </c>
      <c r="J285" s="310"/>
      <c r="L285" s="57"/>
    </row>
    <row r="286" spans="1:12">
      <c r="A286" s="926" t="s">
        <v>1978</v>
      </c>
      <c r="B286" s="310">
        <v>1</v>
      </c>
      <c r="C286" s="310">
        <v>0.08</v>
      </c>
      <c r="D286" s="311">
        <v>1.1093934332283313</v>
      </c>
      <c r="E286" s="311">
        <v>1.1387868664566627</v>
      </c>
      <c r="F286" s="219">
        <v>1.1399999999999999</v>
      </c>
      <c r="J286" s="310"/>
      <c r="L286" s="57"/>
    </row>
    <row r="287" spans="1:12">
      <c r="A287" s="926" t="s">
        <v>2767</v>
      </c>
      <c r="B287" s="310">
        <v>1</v>
      </c>
      <c r="C287" s="310">
        <v>0.11</v>
      </c>
      <c r="D287" s="311">
        <v>1.1525009227568377</v>
      </c>
      <c r="E287" s="311">
        <v>1.1950018455136753</v>
      </c>
      <c r="F287" s="219">
        <v>1.2</v>
      </c>
      <c r="J287" s="310"/>
      <c r="L287" s="57"/>
    </row>
    <row r="288" spans="1:12">
      <c r="A288" s="926" t="s">
        <v>3555</v>
      </c>
      <c r="B288" s="310">
        <v>1</v>
      </c>
      <c r="C288" s="310">
        <v>0.11</v>
      </c>
      <c r="D288" s="311">
        <v>1.1510595696104486</v>
      </c>
      <c r="E288" s="311">
        <v>1.1921191392208974</v>
      </c>
      <c r="F288" s="219">
        <v>1.19</v>
      </c>
      <c r="J288" s="310"/>
      <c r="L288" s="57"/>
    </row>
    <row r="289" spans="1:12">
      <c r="A289" s="926" t="s">
        <v>3094</v>
      </c>
      <c r="B289" s="310">
        <v>1</v>
      </c>
      <c r="C289" s="310">
        <v>0.08</v>
      </c>
      <c r="D289" s="311">
        <v>1.099927588394408</v>
      </c>
      <c r="E289" s="311">
        <v>1.1198551767888156</v>
      </c>
      <c r="F289" s="219">
        <v>1.1200000000000001</v>
      </c>
      <c r="J289" s="310"/>
      <c r="L289" s="57"/>
    </row>
    <row r="290" spans="1:12">
      <c r="A290" s="926" t="s">
        <v>741</v>
      </c>
      <c r="B290" s="310">
        <v>1</v>
      </c>
      <c r="C290" s="310">
        <v>0.12</v>
      </c>
      <c r="D290" s="311">
        <v>1.158542031406117</v>
      </c>
      <c r="E290" s="311">
        <v>1.1970840628122341</v>
      </c>
      <c r="F290" s="219">
        <v>1.2</v>
      </c>
      <c r="J290" s="310"/>
      <c r="L290" s="57"/>
    </row>
    <row r="291" spans="1:12">
      <c r="A291" s="926" t="s">
        <v>4035</v>
      </c>
      <c r="B291" s="310">
        <v>1</v>
      </c>
      <c r="C291" s="310">
        <v>0.14000000000000001</v>
      </c>
      <c r="D291" s="311">
        <v>1.1853499250434689</v>
      </c>
      <c r="E291" s="311">
        <v>1.2306998500869379</v>
      </c>
      <c r="F291" s="219">
        <v>1.23</v>
      </c>
      <c r="J291" s="310"/>
      <c r="L291" s="57"/>
    </row>
    <row r="292" spans="1:12">
      <c r="A292" s="926" t="s">
        <v>1524</v>
      </c>
      <c r="B292" s="310">
        <v>1</v>
      </c>
      <c r="C292" s="310">
        <v>0.13</v>
      </c>
      <c r="D292" s="311">
        <v>1.1449056255521723</v>
      </c>
      <c r="E292" s="311">
        <v>1.1598112511043448</v>
      </c>
      <c r="F292" s="219">
        <v>1.1599999999999999</v>
      </c>
      <c r="J292" s="310"/>
      <c r="L292" s="57"/>
    </row>
    <row r="293" spans="1:12">
      <c r="A293" s="926" t="s">
        <v>2388</v>
      </c>
      <c r="B293" s="310">
        <v>1</v>
      </c>
      <c r="C293" s="310">
        <v>0.14000000000000001</v>
      </c>
      <c r="D293" s="311">
        <v>1.1544286151346936</v>
      </c>
      <c r="E293" s="311">
        <v>1.1688572302693876</v>
      </c>
      <c r="F293" s="219">
        <v>1.17</v>
      </c>
      <c r="J293" s="310"/>
      <c r="L293" s="57"/>
    </row>
    <row r="294" spans="1:12">
      <c r="A294" s="926" t="s">
        <v>863</v>
      </c>
      <c r="B294" s="310">
        <v>1</v>
      </c>
      <c r="C294" s="310">
        <v>0.14000000000000001</v>
      </c>
      <c r="D294" s="311">
        <v>1.1911433836241452</v>
      </c>
      <c r="E294" s="311">
        <v>1.2422867672482905</v>
      </c>
      <c r="F294" s="219">
        <v>1.24</v>
      </c>
      <c r="J294" s="310"/>
      <c r="L294" s="57"/>
    </row>
    <row r="295" spans="1:12">
      <c r="A295" s="926" t="s">
        <v>268</v>
      </c>
      <c r="B295" s="310">
        <v>1</v>
      </c>
      <c r="C295" s="310">
        <v>0.1</v>
      </c>
      <c r="D295" s="311">
        <v>1.1100014983971835</v>
      </c>
      <c r="E295" s="311">
        <v>1.120002996794367</v>
      </c>
      <c r="F295" s="219">
        <v>1.1200000000000001</v>
      </c>
      <c r="J295" s="310"/>
      <c r="L295" s="57"/>
    </row>
    <row r="296" spans="1:12">
      <c r="A296" s="926" t="s">
        <v>981</v>
      </c>
      <c r="B296" s="310">
        <v>1</v>
      </c>
      <c r="C296" s="310">
        <v>0.13</v>
      </c>
      <c r="D296" s="311">
        <v>1.150071939154977</v>
      </c>
      <c r="E296" s="311">
        <v>1.170143878309954</v>
      </c>
      <c r="F296" s="219">
        <v>1.17</v>
      </c>
      <c r="J296" s="310"/>
      <c r="L296" s="57"/>
    </row>
    <row r="297" spans="1:12">
      <c r="A297" s="926" t="s">
        <v>2414</v>
      </c>
      <c r="B297" s="310">
        <v>1</v>
      </c>
      <c r="C297" s="310">
        <v>0.13</v>
      </c>
      <c r="D297" s="311">
        <v>1.1322013168347524</v>
      </c>
      <c r="E297" s="311">
        <v>1.134402633669505</v>
      </c>
      <c r="F297" s="219">
        <v>1.1299999999999999</v>
      </c>
      <c r="J297" s="310"/>
      <c r="L297" s="57"/>
    </row>
    <row r="298" spans="1:12">
      <c r="A298" s="926" t="s">
        <v>2401</v>
      </c>
      <c r="B298" s="310">
        <v>1</v>
      </c>
      <c r="C298" s="310">
        <v>0.15</v>
      </c>
      <c r="D298" s="311">
        <v>1.1973774215630888</v>
      </c>
      <c r="E298" s="311">
        <v>1.2447548431261777</v>
      </c>
      <c r="F298" s="219">
        <v>1.24</v>
      </c>
      <c r="J298" s="310"/>
      <c r="L298" s="57"/>
    </row>
    <row r="299" spans="1:12">
      <c r="A299" s="926" t="s">
        <v>4037</v>
      </c>
      <c r="B299" s="310">
        <v>1</v>
      </c>
      <c r="C299" s="310">
        <v>7.0000000000000007E-2</v>
      </c>
      <c r="D299" s="311">
        <v>1.04465891580071</v>
      </c>
      <c r="E299" s="311">
        <v>1.01931783160142</v>
      </c>
      <c r="F299" s="219">
        <v>1.02</v>
      </c>
      <c r="J299" s="310"/>
      <c r="L299" s="57"/>
    </row>
    <row r="300" spans="1:12">
      <c r="A300" s="926" t="s">
        <v>2140</v>
      </c>
      <c r="B300" s="310">
        <v>1</v>
      </c>
      <c r="C300" s="310">
        <v>0.05</v>
      </c>
      <c r="D300" s="311">
        <v>1.0525237078830036</v>
      </c>
      <c r="E300" s="311">
        <v>1.055047415766007</v>
      </c>
      <c r="F300" s="219">
        <v>1.06</v>
      </c>
      <c r="J300" s="310"/>
      <c r="L300" s="57"/>
    </row>
    <row r="301" spans="1:12">
      <c r="A301" s="926" t="s">
        <v>2408</v>
      </c>
      <c r="B301" s="310">
        <v>1</v>
      </c>
      <c r="C301" s="310">
        <v>0.08</v>
      </c>
      <c r="D301" s="311">
        <v>1.0708886495599901</v>
      </c>
      <c r="E301" s="311">
        <v>1.0617772991199801</v>
      </c>
      <c r="F301" s="219">
        <v>1.06</v>
      </c>
      <c r="J301" s="310"/>
      <c r="L301" s="57"/>
    </row>
    <row r="302" spans="1:12">
      <c r="A302" s="926" t="s">
        <v>2700</v>
      </c>
      <c r="B302" s="310">
        <v>1</v>
      </c>
      <c r="C302" s="310">
        <v>0.06</v>
      </c>
      <c r="D302" s="311">
        <v>1.0444202028344125</v>
      </c>
      <c r="E302" s="311">
        <v>1.028840405668825</v>
      </c>
      <c r="F302" s="219">
        <v>1.03</v>
      </c>
      <c r="J302" s="310"/>
      <c r="L302" s="57"/>
    </row>
    <row r="303" spans="1:12">
      <c r="A303" s="926" t="s">
        <v>2702</v>
      </c>
      <c r="B303" s="310">
        <v>1</v>
      </c>
      <c r="C303" s="310">
        <v>0.06</v>
      </c>
      <c r="D303" s="311">
        <v>1.049493204118078</v>
      </c>
      <c r="E303" s="311">
        <v>1.0389864082361557</v>
      </c>
      <c r="F303" s="219">
        <v>1.04</v>
      </c>
      <c r="J303" s="310"/>
      <c r="L303" s="57"/>
    </row>
    <row r="304" spans="1:12">
      <c r="A304" s="926" t="s">
        <v>2828</v>
      </c>
      <c r="B304" s="310">
        <v>1</v>
      </c>
      <c r="C304" s="310">
        <v>0.06</v>
      </c>
      <c r="D304" s="311">
        <v>1.0530558504851264</v>
      </c>
      <c r="E304" s="311">
        <v>1.046111700970253</v>
      </c>
      <c r="F304" s="219">
        <v>1.05</v>
      </c>
      <c r="J304" s="310"/>
      <c r="L304" s="57"/>
    </row>
    <row r="305" spans="1:12">
      <c r="A305" s="926" t="s">
        <v>2704</v>
      </c>
      <c r="B305" s="310">
        <v>1</v>
      </c>
      <c r="C305" s="310">
        <v>0.06</v>
      </c>
      <c r="D305" s="311">
        <v>1.046047113415185</v>
      </c>
      <c r="E305" s="311">
        <v>1.0320942268303699</v>
      </c>
      <c r="F305" s="219">
        <v>1.03</v>
      </c>
      <c r="J305" s="310"/>
      <c r="L305" s="57"/>
    </row>
    <row r="306" spans="1:12">
      <c r="A306" s="926" t="s">
        <v>2706</v>
      </c>
      <c r="B306" s="310">
        <v>1</v>
      </c>
      <c r="C306" s="310">
        <v>7.0000000000000007E-2</v>
      </c>
      <c r="D306" s="311">
        <v>1.0521091710324639</v>
      </c>
      <c r="E306" s="311">
        <v>1.034218342064928</v>
      </c>
      <c r="F306" s="219">
        <v>1.03</v>
      </c>
      <c r="J306" s="310"/>
      <c r="L306" s="57"/>
    </row>
    <row r="307" spans="1:12">
      <c r="A307" s="926" t="s">
        <v>6162</v>
      </c>
      <c r="B307" s="310">
        <v>1</v>
      </c>
      <c r="C307" s="310">
        <v>0.08</v>
      </c>
      <c r="D307" s="311">
        <v>1.0687450104634322</v>
      </c>
      <c r="E307" s="311">
        <v>1.0574900209268643</v>
      </c>
      <c r="F307" s="219">
        <v>1.06</v>
      </c>
      <c r="J307" s="310"/>
      <c r="L307" s="57"/>
    </row>
    <row r="308" spans="1:12">
      <c r="A308" s="926" t="s">
        <v>967</v>
      </c>
      <c r="B308" s="310">
        <v>1</v>
      </c>
      <c r="C308" s="310">
        <v>0.06</v>
      </c>
      <c r="D308" s="311">
        <v>1.0465219746650853</v>
      </c>
      <c r="E308" s="311">
        <v>1.0330439493301706</v>
      </c>
      <c r="F308" s="219">
        <v>1.03</v>
      </c>
      <c r="J308" s="310"/>
      <c r="L308" s="57"/>
    </row>
    <row r="309" spans="1:12">
      <c r="A309" s="926" t="s">
        <v>2708</v>
      </c>
      <c r="B309" s="310">
        <v>1</v>
      </c>
      <c r="C309" s="310">
        <v>0.05</v>
      </c>
      <c r="D309" s="311">
        <v>1.0531197751001935</v>
      </c>
      <c r="E309" s="311">
        <v>1.0562395502003872</v>
      </c>
      <c r="F309" s="219">
        <v>1.06</v>
      </c>
      <c r="J309" s="310"/>
      <c r="L309" s="57"/>
    </row>
    <row r="310" spans="1:12">
      <c r="A310" s="926" t="s">
        <v>2710</v>
      </c>
      <c r="B310" s="310">
        <v>1</v>
      </c>
      <c r="C310" s="310">
        <v>0.08</v>
      </c>
      <c r="D310" s="311">
        <v>1.0775932023841908</v>
      </c>
      <c r="E310" s="311">
        <v>1.0751864047683815</v>
      </c>
      <c r="F310" s="219">
        <v>1.08</v>
      </c>
      <c r="J310" s="310"/>
      <c r="L310" s="57"/>
    </row>
    <row r="311" spans="1:12">
      <c r="A311" s="926" t="s">
        <v>2830</v>
      </c>
      <c r="B311" s="310">
        <v>1</v>
      </c>
      <c r="C311" s="310">
        <v>0.08</v>
      </c>
      <c r="D311" s="311">
        <v>1.0637018343020768</v>
      </c>
      <c r="E311" s="311">
        <v>1.0474036686041537</v>
      </c>
      <c r="F311" s="219">
        <v>1.05</v>
      </c>
      <c r="J311" s="310"/>
      <c r="L311" s="57"/>
    </row>
    <row r="312" spans="1:12">
      <c r="A312" s="926" t="s">
        <v>3095</v>
      </c>
      <c r="B312" s="310">
        <v>1</v>
      </c>
      <c r="C312" s="310">
        <v>7.0000000000000007E-2</v>
      </c>
      <c r="D312" s="311">
        <v>1.0587856151866615</v>
      </c>
      <c r="E312" s="311">
        <v>1.0475712303733231</v>
      </c>
      <c r="F312" s="219">
        <v>1.05</v>
      </c>
      <c r="J312" s="310"/>
      <c r="L312" s="57"/>
    </row>
    <row r="313" spans="1:12">
      <c r="A313" s="926" t="s">
        <v>2712</v>
      </c>
      <c r="B313" s="310">
        <v>1</v>
      </c>
      <c r="C313" s="310">
        <v>7.0000000000000007E-2</v>
      </c>
      <c r="D313" s="311">
        <v>1.0636098585074918</v>
      </c>
      <c r="E313" s="311">
        <v>1.0572197170149833</v>
      </c>
      <c r="F313" s="219">
        <v>1.06</v>
      </c>
      <c r="J313" s="310"/>
      <c r="L313" s="57"/>
    </row>
    <row r="314" spans="1:12">
      <c r="A314" s="926" t="s">
        <v>2424</v>
      </c>
      <c r="B314" s="310">
        <v>1</v>
      </c>
      <c r="C314" s="310">
        <v>7.0000000000000007E-2</v>
      </c>
      <c r="D314" s="311">
        <v>1.0653796691290851</v>
      </c>
      <c r="E314" s="311">
        <v>1.0607593382581704</v>
      </c>
      <c r="F314" s="219">
        <v>1.06</v>
      </c>
      <c r="J314" s="310"/>
      <c r="L314" s="57"/>
    </row>
    <row r="315" spans="1:12">
      <c r="A315" s="926" t="s">
        <v>2426</v>
      </c>
      <c r="B315" s="310">
        <v>1</v>
      </c>
      <c r="C315" s="310">
        <v>0.06</v>
      </c>
      <c r="D315" s="311">
        <v>1.0547725516439304</v>
      </c>
      <c r="E315" s="311">
        <v>1.0495451032878609</v>
      </c>
      <c r="F315" s="219">
        <v>1.05</v>
      </c>
      <c r="J315" s="310"/>
      <c r="L315" s="57"/>
    </row>
    <row r="316" spans="1:12">
      <c r="A316" s="926" t="s">
        <v>2428</v>
      </c>
      <c r="B316" s="310">
        <v>1</v>
      </c>
      <c r="C316" s="310">
        <v>0.06</v>
      </c>
      <c r="D316" s="311">
        <v>1.0586020493214954</v>
      </c>
      <c r="E316" s="311">
        <v>1.0572040986429909</v>
      </c>
      <c r="F316" s="219">
        <v>1.06</v>
      </c>
      <c r="J316" s="310"/>
      <c r="L316" s="57"/>
    </row>
    <row r="317" spans="1:12">
      <c r="A317" s="926" t="s">
        <v>2832</v>
      </c>
      <c r="B317" s="310">
        <v>1</v>
      </c>
      <c r="C317" s="310">
        <v>0.06</v>
      </c>
      <c r="D317" s="311">
        <v>1.0600750093125053</v>
      </c>
      <c r="E317" s="311">
        <v>1.0601500186250106</v>
      </c>
      <c r="F317" s="219">
        <v>1.06</v>
      </c>
      <c r="J317" s="310"/>
      <c r="L317" s="57"/>
    </row>
    <row r="318" spans="1:12">
      <c r="A318" s="926" t="s">
        <v>4923</v>
      </c>
      <c r="B318" s="310">
        <v>1</v>
      </c>
      <c r="C318" s="310">
        <v>0.05</v>
      </c>
      <c r="D318" s="311">
        <v>1.0683666228528028</v>
      </c>
      <c r="E318" s="311">
        <v>1.0867332457056054</v>
      </c>
      <c r="F318" s="219">
        <v>1.0900000000000001</v>
      </c>
      <c r="J318" s="310"/>
      <c r="L318" s="57"/>
    </row>
    <row r="319" spans="1:12">
      <c r="A319" s="926" t="s">
        <v>4925</v>
      </c>
      <c r="B319" s="310">
        <v>1</v>
      </c>
      <c r="C319" s="310">
        <v>7.0000000000000007E-2</v>
      </c>
      <c r="D319" s="311">
        <v>1.0876012282547229</v>
      </c>
      <c r="E319" s="311">
        <v>1.105202456509446</v>
      </c>
      <c r="F319" s="219">
        <v>1.1100000000000001</v>
      </c>
      <c r="J319" s="310"/>
      <c r="L319" s="57"/>
    </row>
    <row r="320" spans="1:12">
      <c r="A320" s="926" t="s">
        <v>4927</v>
      </c>
      <c r="B320" s="310">
        <v>1</v>
      </c>
      <c r="C320" s="310">
        <v>0.06</v>
      </c>
      <c r="D320" s="311">
        <v>1.0798062450718811</v>
      </c>
      <c r="E320" s="311">
        <v>1.0996124901437623</v>
      </c>
      <c r="F320" s="219">
        <v>1.1000000000000001</v>
      </c>
      <c r="J320" s="310"/>
      <c r="L320" s="57"/>
    </row>
    <row r="321" spans="1:12">
      <c r="A321" s="926" t="s">
        <v>4929</v>
      </c>
      <c r="B321" s="310">
        <v>1</v>
      </c>
      <c r="C321" s="310">
        <v>0.06</v>
      </c>
      <c r="D321" s="311">
        <v>1.0673004246142983</v>
      </c>
      <c r="E321" s="311">
        <v>1.0746008492285966</v>
      </c>
      <c r="F321" s="219">
        <v>1.07</v>
      </c>
      <c r="J321" s="310"/>
      <c r="L321" s="57"/>
    </row>
    <row r="322" spans="1:12">
      <c r="A322" s="926" t="s">
        <v>4931</v>
      </c>
      <c r="B322" s="310">
        <v>1</v>
      </c>
      <c r="C322" s="310">
        <v>0.05</v>
      </c>
      <c r="D322" s="311">
        <v>1.0639064295961127</v>
      </c>
      <c r="E322" s="311">
        <v>1.0778128591922256</v>
      </c>
      <c r="F322" s="219">
        <v>1.08</v>
      </c>
      <c r="J322" s="310"/>
      <c r="L322" s="57"/>
    </row>
    <row r="323" spans="1:12">
      <c r="A323" s="926" t="s">
        <v>4933</v>
      </c>
      <c r="B323" s="310">
        <v>1</v>
      </c>
      <c r="C323" s="310">
        <v>0.05</v>
      </c>
      <c r="D323" s="311">
        <v>1.0491400362389891</v>
      </c>
      <c r="E323" s="311">
        <v>1.0482800724779784</v>
      </c>
      <c r="F323" s="219">
        <v>1.05</v>
      </c>
      <c r="J323" s="310"/>
      <c r="L323" s="57"/>
    </row>
    <row r="324" spans="1:12">
      <c r="A324" s="926" t="s">
        <v>444</v>
      </c>
      <c r="B324" s="310">
        <v>1</v>
      </c>
      <c r="C324" s="310">
        <v>0.06</v>
      </c>
      <c r="D324" s="311">
        <v>1.055968078939707</v>
      </c>
      <c r="E324" s="311">
        <v>1.051936157879414</v>
      </c>
      <c r="F324" s="219">
        <v>1.05</v>
      </c>
      <c r="J324" s="310"/>
      <c r="L324" s="57"/>
    </row>
    <row r="325" spans="1:12">
      <c r="A325" s="926" t="s">
        <v>3558</v>
      </c>
      <c r="B325" s="310">
        <v>1</v>
      </c>
      <c r="C325" s="310">
        <v>7.0000000000000007E-2</v>
      </c>
      <c r="D325" s="311">
        <v>1.0588183409403347</v>
      </c>
      <c r="E325" s="311">
        <v>1.0476366818806691</v>
      </c>
      <c r="F325" s="219">
        <v>1.05</v>
      </c>
      <c r="J325" s="310"/>
      <c r="L325" s="57"/>
    </row>
    <row r="326" spans="1:12">
      <c r="A326" s="926" t="s">
        <v>3560</v>
      </c>
      <c r="B326" s="310">
        <v>1</v>
      </c>
      <c r="C326" s="310">
        <v>0.06</v>
      </c>
      <c r="D326" s="311">
        <v>1.0492136479321768</v>
      </c>
      <c r="E326" s="311">
        <v>1.0384272958643535</v>
      </c>
      <c r="F326" s="219">
        <v>1.04</v>
      </c>
      <c r="J326" s="310"/>
      <c r="L326" s="57"/>
    </row>
    <row r="327" spans="1:12">
      <c r="A327" s="926" t="s">
        <v>3562</v>
      </c>
      <c r="B327" s="310">
        <v>1</v>
      </c>
      <c r="C327" s="310">
        <v>0.04</v>
      </c>
      <c r="D327" s="311">
        <v>1.0467968513179848</v>
      </c>
      <c r="E327" s="311">
        <v>1.0535937026359696</v>
      </c>
      <c r="F327" s="219">
        <v>1.05</v>
      </c>
      <c r="J327" s="310"/>
      <c r="L327" s="57"/>
    </row>
    <row r="328" spans="1:12">
      <c r="A328" s="926" t="s">
        <v>3564</v>
      </c>
      <c r="B328" s="310">
        <v>1</v>
      </c>
      <c r="C328" s="310">
        <v>0.16</v>
      </c>
      <c r="D328" s="311">
        <v>1.1978840266843513</v>
      </c>
      <c r="E328" s="311">
        <v>1.2357680533687025</v>
      </c>
      <c r="F328" s="219">
        <v>1.24</v>
      </c>
      <c r="J328" s="310"/>
      <c r="L328" s="57"/>
    </row>
    <row r="329" spans="1:12">
      <c r="A329" s="926" t="s">
        <v>6179</v>
      </c>
      <c r="B329" s="310">
        <v>1</v>
      </c>
      <c r="C329" s="310">
        <v>0.12</v>
      </c>
      <c r="D329" s="311">
        <v>1.1386454808992648</v>
      </c>
      <c r="E329" s="311">
        <v>1.1572909617985294</v>
      </c>
      <c r="F329" s="219">
        <v>1.1599999999999999</v>
      </c>
      <c r="J329" s="310"/>
      <c r="L329" s="57"/>
    </row>
    <row r="330" spans="1:12">
      <c r="A330" s="926" t="s">
        <v>1309</v>
      </c>
      <c r="B330" s="310">
        <v>1</v>
      </c>
      <c r="C330" s="310">
        <v>0.16</v>
      </c>
      <c r="D330" s="311">
        <v>1.2094981713945734</v>
      </c>
      <c r="E330" s="311">
        <v>1.2589963427891468</v>
      </c>
      <c r="F330" s="219">
        <v>1.26</v>
      </c>
      <c r="J330" s="310"/>
      <c r="L330" s="57"/>
    </row>
    <row r="331" spans="1:12">
      <c r="A331" s="926" t="s">
        <v>3566</v>
      </c>
      <c r="B331" s="310">
        <v>1</v>
      </c>
      <c r="C331" s="310">
        <v>0.13</v>
      </c>
      <c r="D331" s="311">
        <v>1.1084258000024647</v>
      </c>
      <c r="E331" s="311">
        <v>1.0868516000049298</v>
      </c>
      <c r="F331" s="219">
        <v>1.0900000000000001</v>
      </c>
      <c r="J331" s="310"/>
      <c r="L331" s="57"/>
    </row>
    <row r="332" spans="1:12">
      <c r="A332" s="926" t="s">
        <v>3568</v>
      </c>
      <c r="B332" s="310">
        <v>1</v>
      </c>
      <c r="C332" s="310">
        <v>0.11</v>
      </c>
      <c r="D332" s="311">
        <v>1.1472402290595616</v>
      </c>
      <c r="E332" s="311">
        <v>1.1844804581191231</v>
      </c>
      <c r="F332" s="219">
        <v>1.18</v>
      </c>
      <c r="J332" s="310"/>
      <c r="L332" s="57"/>
    </row>
    <row r="333" spans="1:12">
      <c r="A333" s="926" t="s">
        <v>1607</v>
      </c>
      <c r="B333" s="310">
        <v>1</v>
      </c>
      <c r="C333" s="310">
        <v>0.04</v>
      </c>
      <c r="D333" s="311">
        <v>1.0724756201178889</v>
      </c>
      <c r="E333" s="311">
        <v>1.104951240235778</v>
      </c>
      <c r="F333" s="219">
        <v>1.1000000000000001</v>
      </c>
      <c r="J333" s="310"/>
      <c r="L333" s="57"/>
    </row>
    <row r="334" spans="1:12">
      <c r="A334" s="926" t="s">
        <v>2482</v>
      </c>
      <c r="B334" s="310">
        <v>1</v>
      </c>
      <c r="C334" s="310">
        <v>0.06</v>
      </c>
      <c r="D334" s="311">
        <v>1.0748281756531111</v>
      </c>
      <c r="E334" s="311">
        <v>1.0896563513062221</v>
      </c>
      <c r="F334" s="219">
        <v>1.0900000000000001</v>
      </c>
      <c r="J334" s="310"/>
      <c r="L334" s="57"/>
    </row>
    <row r="335" spans="1:12">
      <c r="A335" s="926" t="s">
        <v>2484</v>
      </c>
      <c r="B335" s="310">
        <v>1</v>
      </c>
      <c r="C335" s="310">
        <v>0.05</v>
      </c>
      <c r="D335" s="311">
        <v>1.0683412789140927</v>
      </c>
      <c r="E335" s="311">
        <v>1.0866825578281853</v>
      </c>
      <c r="F335" s="219">
        <v>1.0900000000000001</v>
      </c>
      <c r="J335" s="310"/>
      <c r="L335" s="57"/>
    </row>
    <row r="336" spans="1:12">
      <c r="A336" s="926" t="s">
        <v>2486</v>
      </c>
      <c r="B336" s="310">
        <v>1</v>
      </c>
      <c r="C336" s="310">
        <v>0.05</v>
      </c>
      <c r="D336" s="311">
        <v>1.061542586724022</v>
      </c>
      <c r="E336" s="311">
        <v>1.0730851734480438</v>
      </c>
      <c r="F336" s="219">
        <v>1.07</v>
      </c>
      <c r="J336" s="310"/>
      <c r="L336" s="57"/>
    </row>
    <row r="337" spans="1:12">
      <c r="A337" s="926" t="s">
        <v>2488</v>
      </c>
      <c r="B337" s="310">
        <v>1</v>
      </c>
      <c r="C337" s="310">
        <v>0.06</v>
      </c>
      <c r="D337" s="311">
        <v>1.0589686906788636</v>
      </c>
      <c r="E337" s="311">
        <v>1.0579373813577269</v>
      </c>
      <c r="F337" s="219">
        <v>1.06</v>
      </c>
      <c r="J337" s="310"/>
      <c r="L337" s="57"/>
    </row>
    <row r="338" spans="1:12">
      <c r="A338" s="926" t="s">
        <v>2834</v>
      </c>
      <c r="B338" s="310">
        <v>1</v>
      </c>
      <c r="C338" s="310">
        <v>0.08</v>
      </c>
      <c r="D338" s="311">
        <v>1.0800953196187757</v>
      </c>
      <c r="E338" s="311">
        <v>1.0801906392375513</v>
      </c>
      <c r="F338" s="219">
        <v>1.08</v>
      </c>
      <c r="J338" s="310"/>
      <c r="L338" s="57"/>
    </row>
    <row r="339" spans="1:12">
      <c r="A339" s="926" t="s">
        <v>445</v>
      </c>
      <c r="B339" s="310">
        <v>1</v>
      </c>
      <c r="C339" s="310">
        <v>0.09</v>
      </c>
      <c r="D339" s="311">
        <v>1.0896278031062097</v>
      </c>
      <c r="E339" s="311">
        <v>1.0892556062124195</v>
      </c>
      <c r="F339" s="219">
        <v>1.0900000000000001</v>
      </c>
      <c r="J339" s="310"/>
      <c r="L339" s="57"/>
    </row>
    <row r="340" spans="1:12">
      <c r="A340" s="926" t="s">
        <v>2490</v>
      </c>
      <c r="B340" s="310">
        <v>1</v>
      </c>
      <c r="C340" s="310">
        <v>0.12</v>
      </c>
      <c r="D340" s="311">
        <v>1.0968146242711194</v>
      </c>
      <c r="E340" s="311">
        <v>1.0736292485422387</v>
      </c>
      <c r="F340" s="219">
        <v>1.07</v>
      </c>
      <c r="J340" s="310"/>
      <c r="L340" s="57"/>
    </row>
    <row r="341" spans="1:12">
      <c r="A341" s="926" t="s">
        <v>2492</v>
      </c>
      <c r="B341" s="310">
        <v>1</v>
      </c>
      <c r="C341" s="310">
        <v>0.13</v>
      </c>
      <c r="D341" s="311">
        <v>1.0932271624159258</v>
      </c>
      <c r="E341" s="311">
        <v>1.0564543248318516</v>
      </c>
      <c r="F341" s="219">
        <v>1.06</v>
      </c>
      <c r="J341" s="310"/>
      <c r="L341" s="57"/>
    </row>
    <row r="342" spans="1:12">
      <c r="A342" s="926" t="s">
        <v>2494</v>
      </c>
      <c r="B342" s="310">
        <v>1</v>
      </c>
      <c r="C342" s="310">
        <v>0.1</v>
      </c>
      <c r="D342" s="311">
        <v>1.0971126387223071</v>
      </c>
      <c r="E342" s="311">
        <v>1.094225277444614</v>
      </c>
      <c r="F342" s="219">
        <v>1.0900000000000001</v>
      </c>
      <c r="J342" s="310"/>
      <c r="L342" s="57"/>
    </row>
    <row r="343" spans="1:12">
      <c r="A343" s="926" t="s">
        <v>2498</v>
      </c>
      <c r="B343" s="310">
        <v>1</v>
      </c>
      <c r="C343" s="310">
        <v>0.14000000000000001</v>
      </c>
      <c r="D343" s="311">
        <v>1.1639529023506481</v>
      </c>
      <c r="E343" s="311">
        <v>1.1879058047012965</v>
      </c>
      <c r="F343" s="219">
        <v>1.19</v>
      </c>
      <c r="J343" s="310"/>
      <c r="L343" s="57"/>
    </row>
    <row r="344" spans="1:12">
      <c r="A344" s="926" t="s">
        <v>1670</v>
      </c>
      <c r="B344" s="310">
        <v>1</v>
      </c>
      <c r="C344" s="310">
        <v>0.16</v>
      </c>
      <c r="D344" s="311">
        <v>1.1712403137682101</v>
      </c>
      <c r="E344" s="311">
        <v>1.1824806275364201</v>
      </c>
      <c r="F344" s="219">
        <v>1.18</v>
      </c>
      <c r="J344" s="310"/>
      <c r="L344" s="57"/>
    </row>
    <row r="345" spans="1:12">
      <c r="A345" s="926" t="s">
        <v>1867</v>
      </c>
      <c r="B345" s="310">
        <v>1</v>
      </c>
      <c r="C345" s="310">
        <v>0.1</v>
      </c>
      <c r="D345" s="311">
        <v>1.1152141832914877</v>
      </c>
      <c r="E345" s="311">
        <v>1.1304283665829755</v>
      </c>
      <c r="F345" s="219">
        <v>1.1299999999999999</v>
      </c>
      <c r="J345" s="310"/>
      <c r="L345" s="57"/>
    </row>
    <row r="346" spans="1:12">
      <c r="A346" s="926" t="s">
        <v>1672</v>
      </c>
      <c r="B346" s="310">
        <v>1</v>
      </c>
      <c r="C346" s="310">
        <v>0.14000000000000001</v>
      </c>
      <c r="D346" s="311">
        <v>1.1527561911073376</v>
      </c>
      <c r="E346" s="311">
        <v>1.1655123822146751</v>
      </c>
      <c r="F346" s="219">
        <v>1.17</v>
      </c>
      <c r="J346" s="310"/>
      <c r="L346" s="57"/>
    </row>
    <row r="347" spans="1:12">
      <c r="A347" s="926" t="s">
        <v>1674</v>
      </c>
      <c r="B347" s="310">
        <v>1</v>
      </c>
      <c r="C347" s="310">
        <v>0.15</v>
      </c>
      <c r="D347" s="311">
        <v>1.1634685807020781</v>
      </c>
      <c r="E347" s="311">
        <v>1.1769371614041564</v>
      </c>
      <c r="F347" s="219">
        <v>1.18</v>
      </c>
      <c r="J347" s="310"/>
      <c r="L347" s="57"/>
    </row>
    <row r="348" spans="1:12">
      <c r="A348" s="926" t="s">
        <v>5048</v>
      </c>
      <c r="B348" s="310">
        <v>1</v>
      </c>
      <c r="C348" s="310">
        <v>0.12</v>
      </c>
      <c r="D348" s="311">
        <v>1.1256478027831816</v>
      </c>
      <c r="E348" s="311">
        <v>1.131295605566363</v>
      </c>
      <c r="F348" s="219">
        <v>1.1299999999999999</v>
      </c>
      <c r="J348" s="310"/>
      <c r="L348" s="57"/>
    </row>
    <row r="349" spans="1:12">
      <c r="A349" s="926" t="s">
        <v>2392</v>
      </c>
      <c r="B349" s="310">
        <v>1</v>
      </c>
      <c r="C349" s="310">
        <v>0.13</v>
      </c>
      <c r="D349" s="311">
        <v>1.1525733467200536</v>
      </c>
      <c r="E349" s="311">
        <v>1.1751466934401074</v>
      </c>
      <c r="F349" s="219">
        <v>1.18</v>
      </c>
      <c r="J349" s="310"/>
      <c r="L349" s="57"/>
    </row>
    <row r="350" spans="1:12">
      <c r="A350" s="926" t="s">
        <v>5050</v>
      </c>
      <c r="B350" s="310">
        <v>1</v>
      </c>
      <c r="C350" s="310">
        <v>0.16</v>
      </c>
      <c r="D350" s="311">
        <v>1.2066108359053558</v>
      </c>
      <c r="E350" s="311">
        <v>1.2532216718107116</v>
      </c>
      <c r="F350" s="219">
        <v>1.25</v>
      </c>
      <c r="J350" s="310"/>
      <c r="L350" s="57"/>
    </row>
    <row r="351" spans="1:12">
      <c r="A351" s="926" t="s">
        <v>1311</v>
      </c>
      <c r="B351" s="310">
        <v>1</v>
      </c>
      <c r="C351" s="310">
        <v>0.13</v>
      </c>
      <c r="D351" s="311">
        <v>1.1625318227279928</v>
      </c>
      <c r="E351" s="311">
        <v>1.1950636454559858</v>
      </c>
      <c r="F351" s="219">
        <v>1.2</v>
      </c>
      <c r="J351" s="310"/>
      <c r="L351" s="57"/>
    </row>
    <row r="352" spans="1:12">
      <c r="A352" s="926" t="s">
        <v>3222</v>
      </c>
      <c r="B352" s="310">
        <v>1</v>
      </c>
      <c r="C352" s="310">
        <v>0.06</v>
      </c>
      <c r="D352" s="311">
        <v>1.0585526480501777</v>
      </c>
      <c r="E352" s="311">
        <v>1.0571052961003555</v>
      </c>
      <c r="F352" s="219">
        <v>1.06</v>
      </c>
      <c r="J352" s="310"/>
      <c r="L352" s="57"/>
    </row>
    <row r="353" spans="1:12">
      <c r="A353" s="926" t="s">
        <v>3224</v>
      </c>
      <c r="B353" s="310">
        <v>1</v>
      </c>
      <c r="C353" s="310">
        <v>0.08</v>
      </c>
      <c r="D353" s="311">
        <v>1.0539523796786781</v>
      </c>
      <c r="E353" s="311">
        <v>1.0279047593573563</v>
      </c>
      <c r="F353" s="219">
        <v>1.03</v>
      </c>
      <c r="J353" s="310"/>
      <c r="L353" s="57"/>
    </row>
    <row r="354" spans="1:12">
      <c r="A354" s="926" t="s">
        <v>3226</v>
      </c>
      <c r="B354" s="310">
        <v>1</v>
      </c>
      <c r="C354" s="310">
        <v>0.05</v>
      </c>
      <c r="D354" s="311">
        <v>1.0526190543796217</v>
      </c>
      <c r="E354" s="311">
        <v>1.0552381087592433</v>
      </c>
      <c r="F354" s="219">
        <v>1.06</v>
      </c>
      <c r="J354" s="310"/>
      <c r="L354" s="57"/>
    </row>
    <row r="355" spans="1:12">
      <c r="A355" s="926" t="s">
        <v>3228</v>
      </c>
      <c r="B355" s="310">
        <v>1</v>
      </c>
      <c r="C355" s="310">
        <v>0.06</v>
      </c>
      <c r="D355" s="311">
        <v>1.0790397264416585</v>
      </c>
      <c r="E355" s="311">
        <v>1.0980794528833169</v>
      </c>
      <c r="F355" s="219">
        <v>1.1000000000000001</v>
      </c>
      <c r="J355" s="310"/>
      <c r="L355" s="57"/>
    </row>
    <row r="356" spans="1:12">
      <c r="A356" s="926" t="s">
        <v>3230</v>
      </c>
      <c r="B356" s="310">
        <v>1</v>
      </c>
      <c r="C356" s="310">
        <v>0.04</v>
      </c>
      <c r="D356" s="311">
        <v>1.0571174561044359</v>
      </c>
      <c r="E356" s="311">
        <v>1.0742349122088715</v>
      </c>
      <c r="F356" s="219">
        <v>1.07</v>
      </c>
      <c r="J356" s="310"/>
      <c r="L356" s="57"/>
    </row>
    <row r="357" spans="1:12">
      <c r="A357" s="926" t="s">
        <v>3232</v>
      </c>
      <c r="B357" s="310">
        <v>1</v>
      </c>
      <c r="C357" s="310">
        <v>0.09</v>
      </c>
      <c r="D357" s="311">
        <v>1.0716254529521896</v>
      </c>
      <c r="E357" s="311">
        <v>1.0532509059043789</v>
      </c>
      <c r="F357" s="219">
        <v>1.05</v>
      </c>
      <c r="J357" s="310"/>
      <c r="L357" s="57"/>
    </row>
    <row r="358" spans="1:12">
      <c r="A358" s="926" t="s">
        <v>1899</v>
      </c>
      <c r="B358" s="310">
        <v>1</v>
      </c>
      <c r="C358" s="310">
        <v>0.08</v>
      </c>
      <c r="D358" s="311">
        <v>1.0945390398134482</v>
      </c>
      <c r="E358" s="311">
        <v>1.1090780796268966</v>
      </c>
      <c r="F358" s="219">
        <v>1.1100000000000001</v>
      </c>
      <c r="J358" s="310"/>
      <c r="L358" s="57"/>
    </row>
    <row r="359" spans="1:12">
      <c r="A359" s="926" t="s">
        <v>1853</v>
      </c>
      <c r="B359" s="310">
        <v>1</v>
      </c>
      <c r="C359" s="310">
        <v>7.0000000000000007E-2</v>
      </c>
      <c r="D359" s="311">
        <v>1.0754496442373798</v>
      </c>
      <c r="E359" s="311">
        <v>1.0808992884747592</v>
      </c>
      <c r="F359" s="219">
        <v>1.08</v>
      </c>
      <c r="J359" s="310"/>
      <c r="L359" s="57"/>
    </row>
    <row r="360" spans="1:12">
      <c r="A360" s="926" t="s">
        <v>1901</v>
      </c>
      <c r="B360" s="310">
        <v>1</v>
      </c>
      <c r="C360" s="310">
        <v>0.06</v>
      </c>
      <c r="D360" s="311">
        <v>1.0655691829356466</v>
      </c>
      <c r="E360" s="311">
        <v>1.071138365871293</v>
      </c>
      <c r="F360" s="219">
        <v>1.07</v>
      </c>
      <c r="J360" s="310"/>
      <c r="L360" s="57"/>
    </row>
    <row r="361" spans="1:12">
      <c r="A361" s="926" t="s">
        <v>1903</v>
      </c>
      <c r="B361" s="310">
        <v>1</v>
      </c>
      <c r="C361" s="310">
        <v>7.0000000000000007E-2</v>
      </c>
      <c r="D361" s="311">
        <v>1.0704591291615104</v>
      </c>
      <c r="E361" s="311">
        <v>1.070918258323021</v>
      </c>
      <c r="F361" s="219">
        <v>1.07</v>
      </c>
      <c r="J361" s="310"/>
      <c r="L361" s="57"/>
    </row>
    <row r="362" spans="1:12">
      <c r="A362" s="926" t="s">
        <v>52</v>
      </c>
      <c r="B362" s="310">
        <v>1</v>
      </c>
      <c r="C362" s="310">
        <v>0.08</v>
      </c>
      <c r="D362" s="311">
        <v>1.0613094350345391</v>
      </c>
      <c r="E362" s="311">
        <v>1.0426188700690784</v>
      </c>
      <c r="F362" s="219">
        <v>1.04</v>
      </c>
      <c r="J362" s="310"/>
      <c r="L362" s="57"/>
    </row>
    <row r="363" spans="1:12">
      <c r="A363" s="926" t="s">
        <v>54</v>
      </c>
      <c r="B363" s="310">
        <v>1</v>
      </c>
      <c r="C363" s="310">
        <v>7.0000000000000007E-2</v>
      </c>
      <c r="D363" s="311">
        <v>1.0578707740089635</v>
      </c>
      <c r="E363" s="311">
        <v>1.0457415480179271</v>
      </c>
      <c r="F363" s="219">
        <v>1.05</v>
      </c>
      <c r="J363" s="310"/>
      <c r="L363" s="57"/>
    </row>
    <row r="364" spans="1:12">
      <c r="A364" s="926" t="s">
        <v>6191</v>
      </c>
      <c r="B364" s="310">
        <v>1</v>
      </c>
      <c r="C364" s="310">
        <v>0.09</v>
      </c>
      <c r="D364" s="311">
        <v>1.0825671139875706</v>
      </c>
      <c r="E364" s="311">
        <v>1.0751342279751408</v>
      </c>
      <c r="F364" s="219">
        <v>1.08</v>
      </c>
      <c r="J364" s="310"/>
      <c r="L364" s="57"/>
    </row>
    <row r="365" spans="1:12">
      <c r="A365" s="926" t="s">
        <v>732</v>
      </c>
      <c r="B365" s="310">
        <v>1</v>
      </c>
      <c r="C365" s="310">
        <v>0.08</v>
      </c>
      <c r="D365" s="311">
        <v>1.0487543196311337</v>
      </c>
      <c r="E365" s="311">
        <v>1.0175086392622672</v>
      </c>
      <c r="F365" s="219">
        <v>1.02</v>
      </c>
      <c r="J365" s="310"/>
      <c r="L365" s="57"/>
    </row>
    <row r="366" spans="1:12">
      <c r="A366" s="926" t="s">
        <v>949</v>
      </c>
      <c r="B366" s="310">
        <v>1</v>
      </c>
      <c r="C366" s="310">
        <v>0.08</v>
      </c>
      <c r="D366" s="311">
        <v>1.0697372223085782</v>
      </c>
      <c r="E366" s="311">
        <v>1.0594744446171562</v>
      </c>
      <c r="F366" s="219">
        <v>1.06</v>
      </c>
      <c r="J366" s="310"/>
      <c r="L366" s="57"/>
    </row>
    <row r="367" spans="1:12">
      <c r="A367" s="926" t="s">
        <v>3980</v>
      </c>
      <c r="B367" s="310">
        <v>1</v>
      </c>
      <c r="C367" s="310">
        <v>7.0000000000000007E-2</v>
      </c>
      <c r="D367" s="311">
        <v>1.0627848677726255</v>
      </c>
      <c r="E367" s="311">
        <v>1.0555697355452511</v>
      </c>
      <c r="F367" s="219">
        <v>1.06</v>
      </c>
      <c r="J367" s="310"/>
      <c r="L367" s="57"/>
    </row>
    <row r="368" spans="1:12">
      <c r="A368" s="926" t="s">
        <v>3982</v>
      </c>
      <c r="B368" s="310">
        <v>1</v>
      </c>
      <c r="C368" s="310">
        <v>0.1</v>
      </c>
      <c r="D368" s="311">
        <v>1.1026415496883535</v>
      </c>
      <c r="E368" s="311">
        <v>1.1052830993767069</v>
      </c>
      <c r="F368" s="219">
        <v>1.1100000000000001</v>
      </c>
      <c r="J368" s="310"/>
      <c r="L368" s="57"/>
    </row>
    <row r="369" spans="1:12">
      <c r="A369" s="926" t="s">
        <v>1871</v>
      </c>
      <c r="B369" s="310">
        <v>1</v>
      </c>
      <c r="C369" s="310">
        <v>7.0000000000000007E-2</v>
      </c>
      <c r="D369" s="311">
        <v>1.0685212144693386</v>
      </c>
      <c r="E369" s="311">
        <v>1.0670424289386771</v>
      </c>
      <c r="F369" s="219">
        <v>1.07</v>
      </c>
      <c r="J369" s="310"/>
      <c r="L369" s="57"/>
    </row>
    <row r="370" spans="1:12">
      <c r="A370" s="926" t="s">
        <v>3116</v>
      </c>
      <c r="B370" s="310">
        <v>1</v>
      </c>
      <c r="C370" s="310">
        <v>0.11</v>
      </c>
      <c r="D370" s="311">
        <v>1.1121227571193377</v>
      </c>
      <c r="E370" s="311">
        <v>1.1142455142386751</v>
      </c>
      <c r="F370" s="219">
        <v>1.1100000000000001</v>
      </c>
      <c r="J370" s="310"/>
      <c r="L370" s="57"/>
    </row>
    <row r="371" spans="1:12">
      <c r="A371" s="926" t="s">
        <v>3118</v>
      </c>
      <c r="B371" s="310">
        <v>1</v>
      </c>
      <c r="C371" s="310">
        <v>0.08</v>
      </c>
      <c r="D371" s="311">
        <v>1.0568656657687523</v>
      </c>
      <c r="E371" s="311">
        <v>1.0337313315375045</v>
      </c>
      <c r="F371" s="219">
        <v>1.03</v>
      </c>
      <c r="J371" s="310"/>
      <c r="L371" s="57"/>
    </row>
    <row r="372" spans="1:12">
      <c r="A372" s="926" t="s">
        <v>2836</v>
      </c>
      <c r="B372" s="310">
        <v>1</v>
      </c>
      <c r="C372" s="310">
        <v>7.0000000000000007E-2</v>
      </c>
      <c r="D372" s="311">
        <v>1.0710738950220446</v>
      </c>
      <c r="E372" s="311">
        <v>1.072147790044089</v>
      </c>
      <c r="F372" s="219">
        <v>1.07</v>
      </c>
      <c r="J372" s="310"/>
      <c r="L372" s="57"/>
    </row>
    <row r="373" spans="1:12">
      <c r="A373" s="926" t="s">
        <v>2838</v>
      </c>
      <c r="B373" s="310">
        <v>1</v>
      </c>
      <c r="C373" s="310">
        <v>0.08</v>
      </c>
      <c r="D373" s="311">
        <v>1.0792822895957364</v>
      </c>
      <c r="E373" s="311">
        <v>1.0785645791914726</v>
      </c>
      <c r="F373" s="219">
        <v>1.08</v>
      </c>
      <c r="J373" s="310"/>
      <c r="L373" s="57"/>
    </row>
    <row r="374" spans="1:12">
      <c r="A374" s="926" t="s">
        <v>5220</v>
      </c>
      <c r="B374" s="310">
        <v>1</v>
      </c>
      <c r="C374" s="310">
        <v>7.0000000000000007E-2</v>
      </c>
      <c r="D374" s="311">
        <v>1.0645555710357548</v>
      </c>
      <c r="E374" s="311">
        <v>1.0591111420715096</v>
      </c>
      <c r="F374" s="219">
        <v>1.06</v>
      </c>
      <c r="J374" s="310"/>
      <c r="L374" s="57"/>
    </row>
    <row r="375" spans="1:12">
      <c r="A375" s="926" t="s">
        <v>5129</v>
      </c>
      <c r="B375" s="310">
        <v>1</v>
      </c>
      <c r="C375" s="310">
        <v>7.0000000000000007E-2</v>
      </c>
      <c r="D375" s="311">
        <v>1.0716545282586349</v>
      </c>
      <c r="E375" s="311">
        <v>1.0733090565172698</v>
      </c>
      <c r="F375" s="219">
        <v>1.07</v>
      </c>
      <c r="J375" s="310"/>
      <c r="L375" s="57"/>
    </row>
    <row r="376" spans="1:12">
      <c r="A376" s="926" t="s">
        <v>5222</v>
      </c>
      <c r="B376" s="310">
        <v>1</v>
      </c>
      <c r="C376" s="310">
        <v>7.0000000000000007E-2</v>
      </c>
      <c r="D376" s="311">
        <v>1.0673734812138216</v>
      </c>
      <c r="E376" s="311">
        <v>1.0647469624276431</v>
      </c>
      <c r="F376" s="219">
        <v>1.06</v>
      </c>
      <c r="J376" s="310"/>
      <c r="L376" s="57"/>
    </row>
    <row r="377" spans="1:12">
      <c r="A377" s="926" t="s">
        <v>1858</v>
      </c>
      <c r="B377" s="310">
        <v>1</v>
      </c>
      <c r="C377" s="310">
        <v>0.06</v>
      </c>
      <c r="D377" s="311">
        <v>1.060146380238552</v>
      </c>
      <c r="E377" s="311">
        <v>1.060292760477104</v>
      </c>
      <c r="F377" s="219">
        <v>1.06</v>
      </c>
      <c r="J377" s="310"/>
      <c r="L377" s="57"/>
    </row>
    <row r="378" spans="1:12">
      <c r="A378" s="926" t="s">
        <v>5224</v>
      </c>
      <c r="B378" s="310">
        <v>1</v>
      </c>
      <c r="C378" s="310">
        <v>0.08</v>
      </c>
      <c r="D378" s="311">
        <v>1.0708807178464124</v>
      </c>
      <c r="E378" s="311">
        <v>1.0617614356928249</v>
      </c>
      <c r="F378" s="219">
        <v>1.06</v>
      </c>
      <c r="J378" s="310"/>
      <c r="L378" s="57"/>
    </row>
    <row r="379" spans="1:12">
      <c r="A379" s="926" t="s">
        <v>5228</v>
      </c>
      <c r="B379" s="310">
        <v>1</v>
      </c>
      <c r="C379" s="310">
        <v>0.06</v>
      </c>
      <c r="D379" s="311">
        <v>1.0775184225462082</v>
      </c>
      <c r="E379" s="311">
        <v>1.0950368450924162</v>
      </c>
      <c r="F379" s="219">
        <v>1.1000000000000001</v>
      </c>
      <c r="J379" s="310"/>
      <c r="L379" s="57"/>
    </row>
    <row r="380" spans="1:12">
      <c r="A380" s="926" t="s">
        <v>5230</v>
      </c>
      <c r="B380" s="310">
        <v>1</v>
      </c>
      <c r="C380" s="310">
        <v>7.0000000000000007E-2</v>
      </c>
      <c r="D380" s="311">
        <v>1.0886594814822681</v>
      </c>
      <c r="E380" s="311">
        <v>1.1073189629645364</v>
      </c>
      <c r="F380" s="219">
        <v>1.1100000000000001</v>
      </c>
      <c r="J380" s="310"/>
      <c r="L380" s="57"/>
    </row>
    <row r="381" spans="1:12">
      <c r="A381" s="926" t="s">
        <v>2994</v>
      </c>
      <c r="B381" s="310">
        <v>1</v>
      </c>
      <c r="C381" s="310">
        <v>0.09</v>
      </c>
      <c r="D381" s="311">
        <v>1.113183022444058</v>
      </c>
      <c r="E381" s="311">
        <v>1.1363660448881161</v>
      </c>
      <c r="F381" s="219">
        <v>1.1399999999999999</v>
      </c>
      <c r="J381" s="310"/>
      <c r="L381" s="57"/>
    </row>
    <row r="382" spans="1:12">
      <c r="A382" s="926" t="s">
        <v>7723</v>
      </c>
      <c r="B382" s="310">
        <v>1</v>
      </c>
      <c r="C382" s="310">
        <v>0.08</v>
      </c>
      <c r="D382" s="311">
        <v>1.0991759060501645</v>
      </c>
      <c r="E382" s="311">
        <v>1.1183518121003289</v>
      </c>
      <c r="F382" s="219">
        <v>1.1200000000000001</v>
      </c>
      <c r="J382" s="310"/>
      <c r="L382" s="57"/>
    </row>
    <row r="383" spans="1:12">
      <c r="A383" s="926" t="s">
        <v>221</v>
      </c>
      <c r="B383" s="310">
        <v>1</v>
      </c>
      <c r="C383" s="310">
        <v>0.05</v>
      </c>
      <c r="D383" s="311">
        <v>1.0665783041711996</v>
      </c>
      <c r="E383" s="311">
        <v>1.0831566083423989</v>
      </c>
      <c r="F383" s="219">
        <v>1.08</v>
      </c>
      <c r="J383" s="310"/>
      <c r="L383" s="57"/>
    </row>
    <row r="384" spans="1:12">
      <c r="A384" s="926" t="s">
        <v>2406</v>
      </c>
      <c r="B384" s="310">
        <v>1</v>
      </c>
      <c r="C384" s="310">
        <v>0.05</v>
      </c>
      <c r="D384" s="311">
        <v>1.0688462989378218</v>
      </c>
      <c r="E384" s="311">
        <v>1.0876925978756435</v>
      </c>
      <c r="F384" s="219">
        <v>1.0900000000000001</v>
      </c>
      <c r="J384" s="310"/>
      <c r="L384" s="57"/>
    </row>
    <row r="385" spans="1:12">
      <c r="A385" s="926" t="s">
        <v>223</v>
      </c>
      <c r="B385" s="310">
        <v>1</v>
      </c>
      <c r="C385" s="310">
        <v>0.05</v>
      </c>
      <c r="D385" s="311">
        <v>1.0671364048221073</v>
      </c>
      <c r="E385" s="311">
        <v>1.0842728096442145</v>
      </c>
      <c r="F385" s="219">
        <v>1.08</v>
      </c>
      <c r="J385" s="310"/>
      <c r="L385" s="57"/>
    </row>
    <row r="386" spans="1:12">
      <c r="A386" s="926" t="s">
        <v>225</v>
      </c>
      <c r="B386" s="310">
        <v>1</v>
      </c>
      <c r="C386" s="310">
        <v>0.08</v>
      </c>
      <c r="D386" s="311">
        <v>1.0726777946579564</v>
      </c>
      <c r="E386" s="311">
        <v>1.0653555893159128</v>
      </c>
      <c r="F386" s="219">
        <v>1.07</v>
      </c>
      <c r="J386" s="310"/>
      <c r="L386" s="57"/>
    </row>
    <row r="387" spans="1:12">
      <c r="A387" s="926" t="s">
        <v>227</v>
      </c>
      <c r="B387" s="310">
        <v>1</v>
      </c>
      <c r="C387" s="310">
        <v>7.0000000000000007E-2</v>
      </c>
      <c r="D387" s="311">
        <v>1.0663197127553514</v>
      </c>
      <c r="E387" s="311">
        <v>1.0626394255107028</v>
      </c>
      <c r="F387" s="219">
        <v>1.06</v>
      </c>
      <c r="J387" s="310"/>
      <c r="L387" s="57"/>
    </row>
    <row r="388" spans="1:12">
      <c r="A388" s="926" t="s">
        <v>229</v>
      </c>
      <c r="B388" s="310">
        <v>1</v>
      </c>
      <c r="C388" s="310">
        <v>0.11</v>
      </c>
      <c r="D388" s="311">
        <v>1.0946062295494641</v>
      </c>
      <c r="E388" s="311">
        <v>1.079212459098928</v>
      </c>
      <c r="F388" s="219">
        <v>1.08</v>
      </c>
      <c r="J388" s="310"/>
      <c r="L388" s="57"/>
    </row>
    <row r="389" spans="1:12">
      <c r="A389" s="926" t="s">
        <v>4039</v>
      </c>
      <c r="B389" s="310">
        <v>1</v>
      </c>
      <c r="C389" s="310">
        <v>0.1</v>
      </c>
      <c r="D389" s="311">
        <v>1.0752844486164417</v>
      </c>
      <c r="E389" s="311">
        <v>1.0505688972328833</v>
      </c>
      <c r="F389" s="219">
        <v>1.05</v>
      </c>
      <c r="J389" s="310"/>
      <c r="L389" s="57"/>
    </row>
    <row r="390" spans="1:12">
      <c r="A390" s="926" t="s">
        <v>2396</v>
      </c>
      <c r="B390" s="310">
        <v>1</v>
      </c>
      <c r="C390" s="310">
        <v>0.09</v>
      </c>
      <c r="D390" s="311">
        <v>1.1457724817456116</v>
      </c>
      <c r="E390" s="311">
        <v>1.2015449634912232</v>
      </c>
      <c r="F390" s="219">
        <v>1.2</v>
      </c>
      <c r="J390" s="310"/>
      <c r="L390" s="57"/>
    </row>
    <row r="391" spans="1:12">
      <c r="A391" s="926" t="s">
        <v>2394</v>
      </c>
      <c r="B391" s="310">
        <v>1</v>
      </c>
      <c r="C391" s="310">
        <v>0.09</v>
      </c>
      <c r="D391" s="311">
        <v>1.1543337418393391</v>
      </c>
      <c r="E391" s="311">
        <v>1.2186674836786779</v>
      </c>
      <c r="F391" s="219">
        <v>1.22</v>
      </c>
      <c r="J391" s="310"/>
      <c r="L391" s="57"/>
    </row>
    <row r="392" spans="1:12">
      <c r="A392" s="926" t="s">
        <v>4042</v>
      </c>
      <c r="B392" s="310">
        <v>1</v>
      </c>
      <c r="C392" s="310">
        <v>0.06</v>
      </c>
      <c r="D392" s="311">
        <v>1.1022736599778642</v>
      </c>
      <c r="E392" s="311">
        <v>1.1445473199557283</v>
      </c>
      <c r="F392" s="219">
        <v>1.1399999999999999</v>
      </c>
      <c r="J392" s="310"/>
      <c r="L392" s="57"/>
    </row>
    <row r="393" spans="1:12">
      <c r="A393" s="926" t="s">
        <v>3004</v>
      </c>
      <c r="B393" s="310">
        <v>1</v>
      </c>
      <c r="C393" s="310">
        <v>0.05</v>
      </c>
      <c r="D393" s="311">
        <v>1.1062887764790812</v>
      </c>
      <c r="E393" s="311">
        <v>1.1625775529581626</v>
      </c>
      <c r="F393" s="219">
        <v>1.1599999999999999</v>
      </c>
      <c r="J393" s="310"/>
      <c r="L393" s="57"/>
    </row>
    <row r="394" spans="1:12">
      <c r="A394" s="926" t="s">
        <v>4044</v>
      </c>
      <c r="B394" s="310">
        <v>1</v>
      </c>
      <c r="C394" s="310">
        <v>0.06</v>
      </c>
      <c r="D394" s="311">
        <v>1.0519882509679737</v>
      </c>
      <c r="E394" s="311">
        <v>1.0439765019359475</v>
      </c>
      <c r="F394" s="219">
        <v>1.04</v>
      </c>
      <c r="J394" s="310"/>
      <c r="L394" s="57"/>
    </row>
    <row r="395" spans="1:12">
      <c r="A395" s="926" t="s">
        <v>4046</v>
      </c>
      <c r="B395" s="310">
        <v>1</v>
      </c>
      <c r="C395" s="310">
        <v>0.09</v>
      </c>
      <c r="D395" s="311">
        <v>1.0555326486925987</v>
      </c>
      <c r="E395" s="311">
        <v>1.021065297385197</v>
      </c>
      <c r="F395" s="219">
        <v>1.02</v>
      </c>
      <c r="J395" s="310"/>
      <c r="L395" s="57"/>
    </row>
    <row r="396" spans="1:12">
      <c r="A396" s="926" t="s">
        <v>5402</v>
      </c>
      <c r="B396" s="310">
        <v>1</v>
      </c>
      <c r="C396" s="310">
        <v>7.0000000000000007E-2</v>
      </c>
      <c r="D396" s="311">
        <v>1.0503413575571057</v>
      </c>
      <c r="E396" s="311">
        <v>1.0306827151142111</v>
      </c>
      <c r="F396" s="219">
        <v>1.03</v>
      </c>
      <c r="J396" s="310"/>
      <c r="L396" s="57"/>
    </row>
    <row r="397" spans="1:12">
      <c r="A397" s="926" t="s">
        <v>5404</v>
      </c>
      <c r="B397" s="310">
        <v>1</v>
      </c>
      <c r="C397" s="310">
        <v>0.06</v>
      </c>
      <c r="D397" s="311">
        <v>1.0478429212480127</v>
      </c>
      <c r="E397" s="311">
        <v>1.0356858424960256</v>
      </c>
      <c r="F397" s="219">
        <v>1.04</v>
      </c>
      <c r="J397" s="310"/>
      <c r="L397" s="57"/>
    </row>
    <row r="398" spans="1:12">
      <c r="A398" s="926" t="s">
        <v>423</v>
      </c>
      <c r="B398" s="310">
        <v>1</v>
      </c>
      <c r="C398" s="310">
        <v>0.09</v>
      </c>
      <c r="D398" s="311">
        <v>1.0671716436265575</v>
      </c>
      <c r="E398" s="311">
        <v>1.0443432872531149</v>
      </c>
      <c r="F398" s="219">
        <v>1.04</v>
      </c>
      <c r="J398" s="310"/>
      <c r="L398" s="57"/>
    </row>
    <row r="399" spans="1:12">
      <c r="A399" s="926" t="s">
        <v>425</v>
      </c>
      <c r="B399" s="310">
        <v>1</v>
      </c>
      <c r="C399" s="310">
        <v>0.02</v>
      </c>
      <c r="D399" s="311">
        <v>1.039373881156243</v>
      </c>
      <c r="E399" s="311">
        <v>1.0587477623124861</v>
      </c>
      <c r="F399" s="219">
        <v>1.06</v>
      </c>
      <c r="J399" s="310"/>
      <c r="L399" s="57"/>
    </row>
    <row r="400" spans="1:12">
      <c r="A400" s="926" t="s">
        <v>427</v>
      </c>
      <c r="B400" s="310">
        <v>1</v>
      </c>
      <c r="C400" s="310">
        <v>0.04</v>
      </c>
      <c r="D400" s="311">
        <v>1.0410444651803838</v>
      </c>
      <c r="E400" s="311">
        <v>1.0420889303607677</v>
      </c>
      <c r="F400" s="219">
        <v>1.04</v>
      </c>
      <c r="J400" s="310"/>
      <c r="L400" s="57"/>
    </row>
    <row r="401" spans="1:12">
      <c r="A401" s="926" t="s">
        <v>429</v>
      </c>
      <c r="B401" s="310">
        <v>1</v>
      </c>
      <c r="C401" s="310">
        <v>0.04</v>
      </c>
      <c r="D401" s="311">
        <v>1.0624637736753009</v>
      </c>
      <c r="E401" s="311">
        <v>1.0849275473506019</v>
      </c>
      <c r="F401" s="219">
        <v>1.08</v>
      </c>
      <c r="J401" s="310"/>
      <c r="L401" s="57"/>
    </row>
    <row r="402" spans="1:12">
      <c r="A402" s="926" t="s">
        <v>446</v>
      </c>
      <c r="B402" s="310">
        <v>1</v>
      </c>
      <c r="C402" s="310">
        <v>0.03</v>
      </c>
      <c r="D402" s="311">
        <v>1.0493980651068848</v>
      </c>
      <c r="E402" s="311">
        <v>1.0687961302137696</v>
      </c>
      <c r="F402" s="219">
        <v>1.07</v>
      </c>
      <c r="J402" s="310"/>
      <c r="L402" s="57"/>
    </row>
    <row r="403" spans="1:12">
      <c r="A403" s="926" t="s">
        <v>431</v>
      </c>
      <c r="B403" s="310">
        <v>1</v>
      </c>
      <c r="C403" s="310">
        <v>0.09</v>
      </c>
      <c r="D403" s="311">
        <v>1.095226813232526</v>
      </c>
      <c r="E403" s="311">
        <v>1.100453626465052</v>
      </c>
      <c r="F403" s="219">
        <v>1.1000000000000001</v>
      </c>
      <c r="J403" s="310"/>
      <c r="L403" s="57"/>
    </row>
    <row r="404" spans="1:12">
      <c r="A404" s="926" t="s">
        <v>4945</v>
      </c>
      <c r="B404" s="310">
        <v>1</v>
      </c>
      <c r="C404" s="310">
        <v>0.09</v>
      </c>
      <c r="D404" s="311">
        <v>1.0812690744484579</v>
      </c>
      <c r="E404" s="311">
        <v>1.0725381488969155</v>
      </c>
      <c r="F404" s="219">
        <v>1.07</v>
      </c>
      <c r="J404" s="310"/>
      <c r="L404" s="57"/>
    </row>
    <row r="405" spans="1:12">
      <c r="A405" s="926" t="s">
        <v>4947</v>
      </c>
      <c r="B405" s="310">
        <v>1</v>
      </c>
      <c r="C405" s="310">
        <v>0.08</v>
      </c>
      <c r="D405" s="311">
        <v>1.0939487677768009</v>
      </c>
      <c r="E405" s="311">
        <v>1.107897535553602</v>
      </c>
      <c r="F405" s="219">
        <v>1.1100000000000001</v>
      </c>
      <c r="J405" s="310"/>
      <c r="L405" s="57"/>
    </row>
    <row r="406" spans="1:12">
      <c r="A406" s="926" t="s">
        <v>4949</v>
      </c>
      <c r="B406" s="310">
        <v>1</v>
      </c>
      <c r="C406" s="310">
        <v>0.04</v>
      </c>
      <c r="D406" s="311">
        <v>1.0478813155419489</v>
      </c>
      <c r="E406" s="311">
        <v>1.0557626310838977</v>
      </c>
      <c r="F406" s="219">
        <v>1.06</v>
      </c>
      <c r="J406" s="310"/>
      <c r="L406" s="57"/>
    </row>
    <row r="407" spans="1:12">
      <c r="A407" s="926" t="s">
        <v>4951</v>
      </c>
      <c r="B407" s="310">
        <v>1</v>
      </c>
      <c r="C407" s="310">
        <v>0.03</v>
      </c>
      <c r="D407" s="311">
        <v>1.0513738315843331</v>
      </c>
      <c r="E407" s="311">
        <v>1.0727476631686661</v>
      </c>
      <c r="F407" s="219">
        <v>1.07</v>
      </c>
      <c r="J407" s="310"/>
      <c r="L407" s="57"/>
    </row>
    <row r="408" spans="1:12">
      <c r="A408" s="926" t="s">
        <v>1560</v>
      </c>
      <c r="B408" s="310">
        <v>1</v>
      </c>
      <c r="C408" s="310">
        <v>0.08</v>
      </c>
      <c r="D408" s="311">
        <v>1.083978608239712</v>
      </c>
      <c r="E408" s="311">
        <v>1.0879572164794242</v>
      </c>
      <c r="F408" s="219">
        <v>1.0900000000000001</v>
      </c>
      <c r="J408" s="310"/>
      <c r="L408" s="57"/>
    </row>
    <row r="409" spans="1:12">
      <c r="A409" s="926" t="s">
        <v>2398</v>
      </c>
      <c r="B409" s="310">
        <v>1</v>
      </c>
      <c r="C409" s="310">
        <v>0.09</v>
      </c>
      <c r="D409" s="311">
        <v>1.0998812666001601</v>
      </c>
      <c r="E409" s="311">
        <v>1.10976253320032</v>
      </c>
      <c r="F409" s="219">
        <v>1.1100000000000001</v>
      </c>
      <c r="J409" s="310"/>
      <c r="L409" s="57"/>
    </row>
    <row r="410" spans="1:12">
      <c r="A410" s="926" t="s">
        <v>1562</v>
      </c>
      <c r="B410" s="310">
        <v>1</v>
      </c>
      <c r="C410" s="310">
        <v>0.09</v>
      </c>
      <c r="D410" s="311">
        <v>1.0951589511685289</v>
      </c>
      <c r="E410" s="311">
        <v>1.1003179023370577</v>
      </c>
      <c r="F410" s="219">
        <v>1.1000000000000001</v>
      </c>
      <c r="J410" s="310"/>
      <c r="L410" s="57"/>
    </row>
    <row r="411" spans="1:12">
      <c r="A411" s="926" t="s">
        <v>2997</v>
      </c>
      <c r="B411" s="310">
        <v>1</v>
      </c>
      <c r="C411" s="310">
        <v>0.09</v>
      </c>
      <c r="D411" s="311">
        <v>1.0998531804812846</v>
      </c>
      <c r="E411" s="311">
        <v>1.1097063609625692</v>
      </c>
      <c r="F411" s="219">
        <v>1.1100000000000001</v>
      </c>
      <c r="J411" s="310"/>
      <c r="L411" s="57"/>
    </row>
    <row r="412" spans="1:12">
      <c r="A412" s="926" t="s">
        <v>856</v>
      </c>
      <c r="B412" s="310">
        <v>1</v>
      </c>
      <c r="C412" s="310">
        <v>0.08</v>
      </c>
      <c r="D412" s="311">
        <v>1.0768870983493024</v>
      </c>
      <c r="E412" s="311">
        <v>1.0737741966986047</v>
      </c>
      <c r="F412" s="219">
        <v>1.07</v>
      </c>
      <c r="J412" s="310"/>
      <c r="L412" s="57"/>
    </row>
    <row r="413" spans="1:12">
      <c r="A413" s="926" t="s">
        <v>819</v>
      </c>
      <c r="B413" s="310">
        <v>1</v>
      </c>
      <c r="C413" s="310">
        <v>0.16</v>
      </c>
      <c r="D413" s="311">
        <v>1.225507951196307</v>
      </c>
      <c r="E413" s="311">
        <v>1.2910159023926138</v>
      </c>
      <c r="F413" s="219">
        <v>1.29</v>
      </c>
      <c r="J413" s="310"/>
      <c r="L413" s="57"/>
    </row>
    <row r="414" spans="1:12">
      <c r="A414" s="926" t="s">
        <v>3887</v>
      </c>
      <c r="B414" s="310">
        <v>1</v>
      </c>
      <c r="C414" s="310">
        <v>0.16</v>
      </c>
      <c r="D414" s="311">
        <v>1.2166008814585574</v>
      </c>
      <c r="E414" s="311">
        <v>1.2732017629171146</v>
      </c>
      <c r="F414" s="219">
        <v>1.27</v>
      </c>
      <c r="J414" s="310"/>
      <c r="L414" s="57"/>
    </row>
    <row r="415" spans="1:12">
      <c r="A415" s="926" t="s">
        <v>1988</v>
      </c>
      <c r="B415" s="310">
        <v>1</v>
      </c>
      <c r="C415" s="310">
        <v>0.14000000000000001</v>
      </c>
      <c r="D415" s="311">
        <v>1.1806024848710366</v>
      </c>
      <c r="E415" s="311">
        <v>1.221204969742073</v>
      </c>
      <c r="F415" s="219">
        <v>1.22</v>
      </c>
      <c r="J415" s="310"/>
      <c r="L415" s="57"/>
    </row>
    <row r="416" spans="1:12">
      <c r="A416" s="926" t="s">
        <v>245</v>
      </c>
      <c r="B416" s="310">
        <v>1</v>
      </c>
      <c r="C416" s="310">
        <v>0.13</v>
      </c>
      <c r="D416" s="311">
        <v>1.164812409579969</v>
      </c>
      <c r="E416" s="311">
        <v>1.1996248191599383</v>
      </c>
      <c r="F416" s="219">
        <v>1.2</v>
      </c>
      <c r="J416" s="310"/>
      <c r="L416" s="57"/>
    </row>
    <row r="417" spans="1:12">
      <c r="A417" s="926" t="s">
        <v>1990</v>
      </c>
      <c r="B417" s="310">
        <v>1</v>
      </c>
      <c r="C417" s="310">
        <v>0.16</v>
      </c>
      <c r="D417" s="311">
        <v>1.2150802497132005</v>
      </c>
      <c r="E417" s="311">
        <v>1.2701604994264011</v>
      </c>
      <c r="F417" s="219">
        <v>1.27</v>
      </c>
      <c r="J417" s="310"/>
      <c r="L417" s="57"/>
    </row>
    <row r="418" spans="1:12">
      <c r="A418" s="926" t="s">
        <v>2115</v>
      </c>
      <c r="B418" s="310">
        <v>1</v>
      </c>
      <c r="C418" s="310">
        <v>0.16</v>
      </c>
      <c r="D418" s="311">
        <v>1.1968116678944671</v>
      </c>
      <c r="E418" s="311">
        <v>1.2336233357889341</v>
      </c>
      <c r="F418" s="219">
        <v>1.23</v>
      </c>
      <c r="J418" s="310"/>
      <c r="L418" s="57"/>
    </row>
    <row r="419" spans="1:12">
      <c r="A419" s="926" t="s">
        <v>6184</v>
      </c>
      <c r="B419" s="310">
        <v>1</v>
      </c>
      <c r="C419" s="310">
        <v>0.18</v>
      </c>
      <c r="D419" s="311">
        <v>1.2169167139191632</v>
      </c>
      <c r="E419" s="311">
        <v>1.2538334278383265</v>
      </c>
      <c r="F419" s="219">
        <v>1.25</v>
      </c>
      <c r="J419" s="310"/>
      <c r="L419" s="57"/>
    </row>
    <row r="420" spans="1:12">
      <c r="A420" s="926" t="s">
        <v>1315</v>
      </c>
      <c r="B420" s="310">
        <v>1</v>
      </c>
      <c r="C420" s="310">
        <v>0.16</v>
      </c>
      <c r="D420" s="311">
        <v>1.2133417563033659</v>
      </c>
      <c r="E420" s="311">
        <v>1.266683512606732</v>
      </c>
      <c r="F420" s="219">
        <v>1.27</v>
      </c>
      <c r="J420" s="310"/>
      <c r="L420" s="57"/>
    </row>
    <row r="421" spans="1:12">
      <c r="A421" s="926" t="s">
        <v>5622</v>
      </c>
      <c r="B421" s="310">
        <v>1</v>
      </c>
      <c r="C421" s="310">
        <v>0.16</v>
      </c>
      <c r="D421" s="311">
        <v>1.2040059027473817</v>
      </c>
      <c r="E421" s="311">
        <v>1.2480118054947633</v>
      </c>
      <c r="F421" s="219">
        <v>1.25</v>
      </c>
      <c r="J421" s="310"/>
      <c r="L421" s="57"/>
    </row>
    <row r="422" spans="1:12">
      <c r="A422" s="926" t="s">
        <v>5624</v>
      </c>
      <c r="B422" s="310">
        <v>1</v>
      </c>
      <c r="C422" s="310">
        <v>0.17</v>
      </c>
      <c r="D422" s="311">
        <v>1.2226549138874927</v>
      </c>
      <c r="E422" s="311">
        <v>1.2753098277749855</v>
      </c>
      <c r="F422" s="219">
        <v>1.28</v>
      </c>
      <c r="J422" s="310"/>
      <c r="L422" s="57"/>
    </row>
    <row r="423" spans="1:12">
      <c r="A423" s="926" t="s">
        <v>1873</v>
      </c>
      <c r="B423" s="310">
        <v>1</v>
      </c>
      <c r="C423" s="310">
        <v>0.16</v>
      </c>
      <c r="D423" s="311">
        <v>1.2200142395034321</v>
      </c>
      <c r="E423" s="311">
        <v>1.2800284790068646</v>
      </c>
      <c r="F423" s="219">
        <v>1.28</v>
      </c>
      <c r="J423" s="310"/>
      <c r="L423" s="57"/>
    </row>
    <row r="424" spans="1:12">
      <c r="A424" s="926" t="s">
        <v>6028</v>
      </c>
      <c r="B424" s="310">
        <v>1</v>
      </c>
      <c r="C424" s="310">
        <v>0.16</v>
      </c>
      <c r="D424" s="311">
        <v>1.2142115666070585</v>
      </c>
      <c r="E424" s="311">
        <v>1.2684231332141171</v>
      </c>
      <c r="F424" s="219">
        <v>1.27</v>
      </c>
      <c r="J424" s="310"/>
      <c r="L424" s="57"/>
    </row>
    <row r="425" spans="1:12">
      <c r="A425" s="926" t="s">
        <v>6035</v>
      </c>
      <c r="B425" s="310">
        <v>1</v>
      </c>
      <c r="C425" s="310">
        <v>0.16</v>
      </c>
      <c r="D425" s="311">
        <v>1.2205485347109803</v>
      </c>
      <c r="E425" s="311">
        <v>1.2810970694219606</v>
      </c>
      <c r="F425" s="219">
        <v>1.28</v>
      </c>
      <c r="J425" s="310"/>
      <c r="L425" s="57"/>
    </row>
    <row r="426" spans="1:12">
      <c r="A426" s="926" t="s">
        <v>5626</v>
      </c>
      <c r="B426" s="310">
        <v>1</v>
      </c>
      <c r="C426" s="310">
        <v>0.15</v>
      </c>
      <c r="D426" s="311">
        <v>1.1809455006865255</v>
      </c>
      <c r="E426" s="311">
        <v>1.2118910013730513</v>
      </c>
      <c r="F426" s="219">
        <v>1.21</v>
      </c>
      <c r="J426" s="310"/>
      <c r="L426" s="57"/>
    </row>
    <row r="427" spans="1:12">
      <c r="A427" s="926" t="s">
        <v>6194</v>
      </c>
      <c r="B427" s="310">
        <v>1</v>
      </c>
      <c r="C427" s="310">
        <v>0.16</v>
      </c>
      <c r="D427" s="311">
        <v>1.2151258274783869</v>
      </c>
      <c r="E427" s="311">
        <v>1.2702516549567739</v>
      </c>
      <c r="F427" s="219">
        <v>1.27</v>
      </c>
      <c r="J427" s="310"/>
      <c r="L427" s="57"/>
    </row>
    <row r="428" spans="1:12">
      <c r="A428" s="926" t="s">
        <v>1539</v>
      </c>
      <c r="B428" s="310">
        <v>1</v>
      </c>
      <c r="C428" s="310">
        <v>0.16</v>
      </c>
      <c r="D428" s="311">
        <v>1.2205998806356424</v>
      </c>
      <c r="E428" s="311">
        <v>1.2811997612712849</v>
      </c>
      <c r="F428" s="219">
        <v>1.28</v>
      </c>
      <c r="J428" s="310"/>
      <c r="L428" s="57"/>
    </row>
    <row r="429" spans="1:12">
      <c r="A429" s="926" t="s">
        <v>911</v>
      </c>
      <c r="B429" s="310">
        <v>1</v>
      </c>
      <c r="C429" s="310">
        <v>0.16</v>
      </c>
      <c r="D429" s="311">
        <v>1.2218918073154561</v>
      </c>
      <c r="E429" s="311">
        <v>1.2837836146309123</v>
      </c>
      <c r="F429" s="219">
        <v>1.28</v>
      </c>
      <c r="J429" s="310"/>
      <c r="L429" s="57"/>
    </row>
    <row r="430" spans="1:12">
      <c r="A430" s="926" t="s">
        <v>1428</v>
      </c>
      <c r="B430" s="310">
        <v>1</v>
      </c>
      <c r="C430" s="310">
        <v>0.14000000000000001</v>
      </c>
      <c r="D430" s="311">
        <v>1.180890506163415</v>
      </c>
      <c r="E430" s="311">
        <v>1.22178101232683</v>
      </c>
      <c r="F430" s="219">
        <v>1.22</v>
      </c>
      <c r="J430" s="310"/>
      <c r="L430" s="57"/>
    </row>
    <row r="431" spans="1:12">
      <c r="A431" s="926" t="s">
        <v>1430</v>
      </c>
      <c r="B431" s="310">
        <v>1</v>
      </c>
      <c r="C431" s="310">
        <v>0.14000000000000001</v>
      </c>
      <c r="D431" s="311">
        <v>1.1742201372993351</v>
      </c>
      <c r="E431" s="311">
        <v>1.20844027459867</v>
      </c>
      <c r="F431" s="219">
        <v>1.21</v>
      </c>
      <c r="J431" s="310"/>
      <c r="L431" s="57"/>
    </row>
    <row r="432" spans="1:12">
      <c r="A432" s="926" t="s">
        <v>4971</v>
      </c>
      <c r="B432" s="310">
        <v>1</v>
      </c>
      <c r="C432" s="310">
        <v>0.12</v>
      </c>
      <c r="D432" s="311">
        <v>1.1533143284583769</v>
      </c>
      <c r="E432" s="311">
        <v>1.1866286569167535</v>
      </c>
      <c r="F432" s="219">
        <v>1.19</v>
      </c>
      <c r="J432" s="310"/>
      <c r="L432" s="57"/>
    </row>
    <row r="433" spans="1:12">
      <c r="A433" s="926" t="s">
        <v>1432</v>
      </c>
      <c r="B433" s="310">
        <v>1</v>
      </c>
      <c r="C433" s="310">
        <v>0.06</v>
      </c>
      <c r="D433" s="311">
        <v>1.0459038611870835</v>
      </c>
      <c r="E433" s="311">
        <v>1.0318077223741666</v>
      </c>
      <c r="F433" s="219">
        <v>1.03</v>
      </c>
      <c r="J433" s="310"/>
      <c r="L433" s="57"/>
    </row>
    <row r="434" spans="1:12">
      <c r="A434" s="926" t="s">
        <v>1434</v>
      </c>
      <c r="B434" s="310">
        <v>1</v>
      </c>
      <c r="C434" s="310">
        <v>0.08</v>
      </c>
      <c r="D434" s="311">
        <v>1.0692549809522804</v>
      </c>
      <c r="E434" s="311">
        <v>1.0585099619045608</v>
      </c>
      <c r="F434" s="219">
        <v>1.06</v>
      </c>
      <c r="J434" s="310"/>
      <c r="L434" s="57"/>
    </row>
    <row r="435" spans="1:12">
      <c r="A435" s="926" t="s">
        <v>1436</v>
      </c>
      <c r="B435" s="310">
        <v>1</v>
      </c>
      <c r="C435" s="310">
        <v>0.04</v>
      </c>
      <c r="D435" s="311">
        <v>1.0387296410232993</v>
      </c>
      <c r="E435" s="311">
        <v>1.0374592820465989</v>
      </c>
      <c r="F435" s="219">
        <v>1.04</v>
      </c>
      <c r="J435" s="310"/>
      <c r="L435" s="57"/>
    </row>
    <row r="436" spans="1:12">
      <c r="A436" s="926" t="s">
        <v>1438</v>
      </c>
      <c r="B436" s="310">
        <v>1</v>
      </c>
      <c r="C436" s="310">
        <v>7.0000000000000007E-2</v>
      </c>
      <c r="D436" s="311">
        <v>1.0658851562028195</v>
      </c>
      <c r="E436" s="311">
        <v>1.061770312405639</v>
      </c>
      <c r="F436" s="219">
        <v>1.06</v>
      </c>
      <c r="J436" s="310"/>
      <c r="L436" s="57"/>
    </row>
    <row r="437" spans="1:12">
      <c r="A437" s="926" t="s">
        <v>2580</v>
      </c>
      <c r="B437" s="310">
        <v>1</v>
      </c>
      <c r="C437" s="310">
        <v>0.04</v>
      </c>
      <c r="D437" s="311">
        <v>1.0417275258011043</v>
      </c>
      <c r="E437" s="311">
        <v>1.0434550516022087</v>
      </c>
      <c r="F437" s="219">
        <v>1.04</v>
      </c>
      <c r="J437" s="310"/>
      <c r="L437" s="57"/>
    </row>
    <row r="438" spans="1:12">
      <c r="A438" s="926" t="s">
        <v>2582</v>
      </c>
      <c r="B438" s="310">
        <v>1</v>
      </c>
      <c r="C438" s="310">
        <v>0.04</v>
      </c>
      <c r="D438" s="311">
        <v>1.0407706033126223</v>
      </c>
      <c r="E438" s="311">
        <v>1.0415412066252447</v>
      </c>
      <c r="F438" s="219">
        <v>1.04</v>
      </c>
      <c r="J438" s="310"/>
      <c r="L438" s="57"/>
    </row>
    <row r="439" spans="1:12">
      <c r="A439" s="926" t="s">
        <v>2584</v>
      </c>
      <c r="B439" s="310">
        <v>1</v>
      </c>
      <c r="C439" s="310">
        <v>0.05</v>
      </c>
      <c r="D439" s="311">
        <v>1.0678195006673175</v>
      </c>
      <c r="E439" s="311">
        <v>1.0856390013346346</v>
      </c>
      <c r="F439" s="219">
        <v>1.0900000000000001</v>
      </c>
      <c r="J439" s="310"/>
      <c r="L439" s="57"/>
    </row>
    <row r="440" spans="1:12">
      <c r="A440" s="926" t="s">
        <v>1578</v>
      </c>
      <c r="B440" s="310">
        <v>1</v>
      </c>
      <c r="C440" s="310">
        <v>0.05</v>
      </c>
      <c r="D440" s="311">
        <v>1.0751539522143498</v>
      </c>
      <c r="E440" s="311">
        <v>1.1003079044286999</v>
      </c>
      <c r="F440" s="219">
        <v>1.1000000000000001</v>
      </c>
      <c r="J440" s="310"/>
      <c r="L440" s="57"/>
    </row>
    <row r="441" spans="1:12">
      <c r="A441" s="926" t="s">
        <v>1580</v>
      </c>
      <c r="B441" s="310">
        <v>1</v>
      </c>
      <c r="C441" s="310">
        <v>0.04</v>
      </c>
      <c r="D441" s="311">
        <v>1.0515970577617852</v>
      </c>
      <c r="E441" s="311">
        <v>1.0631941155235702</v>
      </c>
      <c r="F441" s="219">
        <v>1.06</v>
      </c>
      <c r="J441" s="310"/>
      <c r="L441" s="57"/>
    </row>
    <row r="442" spans="1:12">
      <c r="A442" s="926" t="s">
        <v>447</v>
      </c>
      <c r="B442" s="310">
        <v>1</v>
      </c>
      <c r="C442" s="310">
        <v>0.05</v>
      </c>
      <c r="D442" s="311">
        <v>1.0494639932187955</v>
      </c>
      <c r="E442" s="311">
        <v>1.0489279864375907</v>
      </c>
      <c r="F442" s="219">
        <v>1.05</v>
      </c>
      <c r="J442" s="310"/>
      <c r="L442" s="57"/>
    </row>
    <row r="443" spans="1:12">
      <c r="A443" s="926" t="s">
        <v>1582</v>
      </c>
      <c r="B443" s="310">
        <v>1</v>
      </c>
      <c r="C443" s="310">
        <v>0.05</v>
      </c>
      <c r="D443" s="311">
        <v>1.0506240592624938</v>
      </c>
      <c r="E443" s="311">
        <v>1.0512481185249876</v>
      </c>
      <c r="F443" s="219">
        <v>1.05</v>
      </c>
      <c r="J443" s="310"/>
      <c r="L443" s="57"/>
    </row>
    <row r="444" spans="1:12">
      <c r="A444" s="926" t="s">
        <v>1584</v>
      </c>
      <c r="B444" s="310">
        <v>1</v>
      </c>
      <c r="C444" s="310">
        <v>0.06</v>
      </c>
      <c r="D444" s="311">
        <v>1.0532644099141648</v>
      </c>
      <c r="E444" s="311">
        <v>1.0465288198283293</v>
      </c>
      <c r="F444" s="219">
        <v>1.05</v>
      </c>
      <c r="J444" s="310"/>
      <c r="L444" s="57"/>
    </row>
    <row r="445" spans="1:12">
      <c r="A445" s="926" t="s">
        <v>1588</v>
      </c>
      <c r="B445" s="310">
        <v>1</v>
      </c>
      <c r="C445" s="310">
        <v>0.1</v>
      </c>
      <c r="D445" s="311">
        <v>1.1347688646139977</v>
      </c>
      <c r="E445" s="311">
        <v>1.1695377292279954</v>
      </c>
      <c r="F445" s="219">
        <v>1.17</v>
      </c>
      <c r="J445" s="310"/>
      <c r="L445" s="57"/>
    </row>
    <row r="446" spans="1:12">
      <c r="A446" s="926" t="s">
        <v>1292</v>
      </c>
      <c r="B446" s="310">
        <v>1</v>
      </c>
      <c r="C446" s="310">
        <v>7.0000000000000007E-2</v>
      </c>
      <c r="D446" s="311">
        <v>1.1236784866270508</v>
      </c>
      <c r="E446" s="311">
        <v>1.1773569732541016</v>
      </c>
      <c r="F446" s="219">
        <v>1.18</v>
      </c>
      <c r="J446" s="310"/>
      <c r="L446" s="57"/>
    </row>
    <row r="447" spans="1:12">
      <c r="A447" s="926" t="s">
        <v>1590</v>
      </c>
      <c r="B447" s="310">
        <v>1</v>
      </c>
      <c r="C447" s="310">
        <v>0.06</v>
      </c>
      <c r="D447" s="311">
        <v>1.1007429389856318</v>
      </c>
      <c r="E447" s="311">
        <v>1.1414858779712636</v>
      </c>
      <c r="F447" s="219">
        <v>1.1399999999999999</v>
      </c>
      <c r="J447" s="310"/>
      <c r="L447" s="57"/>
    </row>
    <row r="448" spans="1:12">
      <c r="A448" s="926" t="s">
        <v>1864</v>
      </c>
      <c r="B448" s="310">
        <v>1</v>
      </c>
      <c r="C448" s="310">
        <v>0.1</v>
      </c>
      <c r="D448" s="311">
        <v>1.1524177331910828</v>
      </c>
      <c r="E448" s="311">
        <v>1.2048354663821657</v>
      </c>
      <c r="F448" s="219">
        <v>1.2</v>
      </c>
      <c r="J448" s="310"/>
      <c r="L448" s="57"/>
    </row>
    <row r="449" spans="1:12">
      <c r="A449" s="926" t="s">
        <v>1592</v>
      </c>
      <c r="B449" s="310">
        <v>1</v>
      </c>
      <c r="C449" s="310">
        <v>7.0000000000000007E-2</v>
      </c>
      <c r="D449" s="311">
        <v>1.094196651013871</v>
      </c>
      <c r="E449" s="311">
        <v>1.1183933020277421</v>
      </c>
      <c r="F449" s="219">
        <v>1.1200000000000001</v>
      </c>
      <c r="J449" s="310"/>
      <c r="L449" s="57"/>
    </row>
    <row r="450" spans="1:12">
      <c r="A450" s="926" t="s">
        <v>1594</v>
      </c>
      <c r="B450" s="310">
        <v>1</v>
      </c>
      <c r="C450" s="310">
        <v>0.06</v>
      </c>
      <c r="D450" s="311">
        <v>1.0703608665383562</v>
      </c>
      <c r="E450" s="311">
        <v>1.0807217330767123</v>
      </c>
      <c r="F450" s="219">
        <v>1.08</v>
      </c>
      <c r="J450" s="310"/>
      <c r="L450" s="57"/>
    </row>
    <row r="451" spans="1:12">
      <c r="A451" s="926" t="s">
        <v>1596</v>
      </c>
      <c r="B451" s="310">
        <v>1</v>
      </c>
      <c r="C451" s="310">
        <v>0.05</v>
      </c>
      <c r="D451" s="311">
        <v>1.0591037482214363</v>
      </c>
      <c r="E451" s="311">
        <v>1.0682074964428723</v>
      </c>
      <c r="F451" s="219">
        <v>1.07</v>
      </c>
      <c r="J451" s="310"/>
      <c r="L451" s="57"/>
    </row>
    <row r="452" spans="1:12">
      <c r="A452" s="926" t="s">
        <v>1598</v>
      </c>
      <c r="B452" s="310">
        <v>1</v>
      </c>
      <c r="C452" s="310">
        <v>0.05</v>
      </c>
      <c r="D452" s="311">
        <v>1.0570477174283739</v>
      </c>
      <c r="E452" s="311">
        <v>1.064095434856748</v>
      </c>
      <c r="F452" s="219">
        <v>1.06</v>
      </c>
      <c r="J452" s="310"/>
      <c r="L452" s="57"/>
    </row>
    <row r="453" spans="1:12">
      <c r="A453" s="926" t="s">
        <v>1600</v>
      </c>
      <c r="B453" s="310">
        <v>1</v>
      </c>
      <c r="C453" s="310">
        <v>0.04</v>
      </c>
      <c r="D453" s="311">
        <v>1.0566405618525498</v>
      </c>
      <c r="E453" s="311">
        <v>1.0732811237050996</v>
      </c>
      <c r="F453" s="219">
        <v>1.07</v>
      </c>
      <c r="J453" s="310"/>
      <c r="L453" s="57"/>
    </row>
    <row r="454" spans="1:12">
      <c r="A454" s="926" t="s">
        <v>5260</v>
      </c>
      <c r="B454" s="310">
        <v>1</v>
      </c>
      <c r="C454" s="310">
        <v>0.04</v>
      </c>
      <c r="D454" s="311">
        <v>1.0552014551990427</v>
      </c>
      <c r="E454" s="311">
        <v>1.0704029103980857</v>
      </c>
      <c r="F454" s="219">
        <v>1.07</v>
      </c>
      <c r="J454" s="310"/>
      <c r="L454" s="57"/>
    </row>
    <row r="455" spans="1:12">
      <c r="A455" s="926" t="s">
        <v>2415</v>
      </c>
      <c r="B455" s="310">
        <v>1</v>
      </c>
      <c r="C455" s="310">
        <v>0.04</v>
      </c>
      <c r="D455" s="311">
        <v>1.0471780010386491</v>
      </c>
      <c r="E455" s="311">
        <v>1.0543560020772982</v>
      </c>
      <c r="F455" s="219">
        <v>1.05</v>
      </c>
      <c r="J455" s="310"/>
      <c r="L455" s="57"/>
    </row>
    <row r="456" spans="1:12">
      <c r="A456" s="926" t="s">
        <v>4973</v>
      </c>
      <c r="B456" s="310">
        <v>1</v>
      </c>
      <c r="C456" s="310">
        <v>0.05</v>
      </c>
      <c r="D456" s="311">
        <v>1.0456813621262158</v>
      </c>
      <c r="E456" s="311">
        <v>1.0413627242524315</v>
      </c>
      <c r="F456" s="219">
        <v>1.04</v>
      </c>
      <c r="J456" s="310"/>
      <c r="L456" s="57"/>
    </row>
    <row r="457" spans="1:12">
      <c r="A457" s="926" t="s">
        <v>5262</v>
      </c>
      <c r="B457" s="310">
        <v>1</v>
      </c>
      <c r="C457" s="310">
        <v>0.04</v>
      </c>
      <c r="D457" s="311">
        <v>1.0468554280843145</v>
      </c>
      <c r="E457" s="311">
        <v>1.0537108561686293</v>
      </c>
      <c r="F457" s="219">
        <v>1.05</v>
      </c>
      <c r="J457" s="310"/>
      <c r="L457" s="57"/>
    </row>
    <row r="458" spans="1:12">
      <c r="A458" s="926" t="s">
        <v>2054</v>
      </c>
      <c r="B458" s="310">
        <v>1</v>
      </c>
      <c r="C458" s="310">
        <v>0.18</v>
      </c>
      <c r="D458" s="311">
        <v>1.1788736228898014</v>
      </c>
      <c r="E458" s="311">
        <v>1.1777472457796028</v>
      </c>
      <c r="F458" s="219">
        <v>1.18</v>
      </c>
      <c r="J458" s="310"/>
      <c r="L458" s="57"/>
    </row>
    <row r="459" spans="1:12">
      <c r="A459" s="926" t="s">
        <v>1519</v>
      </c>
      <c r="B459" s="310">
        <v>1</v>
      </c>
      <c r="C459" s="310">
        <v>0.18</v>
      </c>
      <c r="D459" s="311">
        <v>1.165275794386252</v>
      </c>
      <c r="E459" s="311">
        <v>1.150551588772504</v>
      </c>
      <c r="F459" s="219">
        <v>1.1499999999999999</v>
      </c>
      <c r="J459" s="310"/>
      <c r="L459" s="57"/>
    </row>
    <row r="460" spans="1:12">
      <c r="A460" s="926" t="s">
        <v>1521</v>
      </c>
      <c r="B460" s="310">
        <v>1</v>
      </c>
      <c r="C460" s="310">
        <v>0.18</v>
      </c>
      <c r="D460" s="311">
        <v>1.1930314828455468</v>
      </c>
      <c r="E460" s="311">
        <v>1.2060629656910937</v>
      </c>
      <c r="F460" s="219">
        <v>1.21</v>
      </c>
      <c r="J460" s="310"/>
      <c r="L460" s="57"/>
    </row>
    <row r="461" spans="1:12">
      <c r="A461" s="926" t="s">
        <v>1866</v>
      </c>
      <c r="B461" s="310">
        <v>1</v>
      </c>
      <c r="C461" s="310">
        <v>0.17</v>
      </c>
      <c r="D461" s="311">
        <v>1.1523564171976162</v>
      </c>
      <c r="E461" s="311">
        <v>1.1347128343952326</v>
      </c>
      <c r="F461" s="219">
        <v>1.1299999999999999</v>
      </c>
      <c r="J461" s="310"/>
      <c r="L461" s="57"/>
    </row>
    <row r="462" spans="1:12">
      <c r="A462" s="926" t="s">
        <v>6167</v>
      </c>
      <c r="B462" s="310">
        <v>1</v>
      </c>
      <c r="C462" s="310">
        <v>0.17</v>
      </c>
      <c r="D462" s="311">
        <v>1.1888367422307864</v>
      </c>
      <c r="E462" s="311">
        <v>1.2076734844615729</v>
      </c>
      <c r="F462" s="219">
        <v>1.21</v>
      </c>
      <c r="J462" s="310"/>
      <c r="L462" s="57"/>
    </row>
    <row r="463" spans="1:12">
      <c r="A463" s="926" t="s">
        <v>6170</v>
      </c>
      <c r="B463" s="310">
        <v>1</v>
      </c>
      <c r="C463" s="310">
        <v>0.17</v>
      </c>
      <c r="D463" s="311">
        <v>1.161839459425706</v>
      </c>
      <c r="E463" s="311">
        <v>1.1536789188514123</v>
      </c>
      <c r="F463" s="219">
        <v>1.1499999999999999</v>
      </c>
      <c r="J463" s="310"/>
      <c r="L463" s="57"/>
    </row>
    <row r="464" spans="1:12">
      <c r="A464" s="926" t="s">
        <v>6176</v>
      </c>
      <c r="B464" s="310">
        <v>1</v>
      </c>
      <c r="C464" s="310">
        <v>0.19</v>
      </c>
      <c r="D464" s="311">
        <v>1.1882443269696601</v>
      </c>
      <c r="E464" s="311">
        <v>1.1864886539393202</v>
      </c>
      <c r="F464" s="219">
        <v>1.19</v>
      </c>
      <c r="J464" s="310"/>
      <c r="L464" s="57"/>
    </row>
    <row r="465" spans="1:12">
      <c r="A465" s="926" t="s">
        <v>5125</v>
      </c>
      <c r="B465" s="310">
        <v>1</v>
      </c>
      <c r="C465" s="310">
        <v>0.19</v>
      </c>
      <c r="D465" s="311">
        <v>1.199974732995867</v>
      </c>
      <c r="E465" s="311">
        <v>1.209949465991734</v>
      </c>
      <c r="F465" s="219">
        <v>1.21</v>
      </c>
      <c r="J465" s="310"/>
      <c r="L465" s="57"/>
    </row>
    <row r="466" spans="1:12">
      <c r="A466" s="926" t="s">
        <v>648</v>
      </c>
      <c r="B466" s="310">
        <v>1</v>
      </c>
      <c r="C466" s="310">
        <v>0.16</v>
      </c>
      <c r="D466" s="311">
        <v>1.1428332252855566</v>
      </c>
      <c r="E466" s="311">
        <v>1.1256664505711134</v>
      </c>
      <c r="F466" s="219">
        <v>1.1299999999999999</v>
      </c>
      <c r="J466" s="310"/>
      <c r="L466" s="57"/>
    </row>
    <row r="467" spans="1:12">
      <c r="A467" s="926" t="s">
        <v>780</v>
      </c>
      <c r="B467" s="310">
        <v>1</v>
      </c>
      <c r="C467" s="310">
        <v>0.14000000000000001</v>
      </c>
      <c r="D467" s="311">
        <v>1.1486817775929268</v>
      </c>
      <c r="E467" s="311">
        <v>1.1573635551858539</v>
      </c>
      <c r="F467" s="219">
        <v>1.1599999999999999</v>
      </c>
      <c r="J467" s="310"/>
      <c r="L467" s="57"/>
    </row>
    <row r="468" spans="1:12">
      <c r="A468" s="926" t="s">
        <v>6038</v>
      </c>
      <c r="B468" s="310">
        <v>1</v>
      </c>
      <c r="C468" s="310">
        <v>0.2</v>
      </c>
      <c r="D468" s="311">
        <v>1.2015939241587357</v>
      </c>
      <c r="E468" s="311">
        <v>1.2031878483174712</v>
      </c>
      <c r="F468" s="219">
        <v>1.2</v>
      </c>
      <c r="J468" s="310"/>
      <c r="L468" s="57"/>
    </row>
    <row r="469" spans="1:12">
      <c r="A469" s="926" t="s">
        <v>3096</v>
      </c>
      <c r="B469" s="310">
        <v>1</v>
      </c>
      <c r="C469" s="310">
        <v>0.19</v>
      </c>
      <c r="D469" s="311">
        <v>1.1899905507054747</v>
      </c>
      <c r="E469" s="311">
        <v>1.1899811014109494</v>
      </c>
      <c r="F469" s="219">
        <v>1.19</v>
      </c>
      <c r="J469" s="310"/>
      <c r="L469" s="57"/>
    </row>
    <row r="470" spans="1:12">
      <c r="A470" s="926" t="s">
        <v>6040</v>
      </c>
      <c r="B470" s="310">
        <v>1</v>
      </c>
      <c r="C470" s="310">
        <v>0.15</v>
      </c>
      <c r="D470" s="311">
        <v>1.1230946836336604</v>
      </c>
      <c r="E470" s="311">
        <v>1.0961893672673209</v>
      </c>
      <c r="F470" s="219">
        <v>1.1000000000000001</v>
      </c>
      <c r="J470" s="310"/>
      <c r="L470" s="57"/>
    </row>
    <row r="471" spans="1:12">
      <c r="A471" s="926" t="s">
        <v>3097</v>
      </c>
      <c r="B471" s="310">
        <v>1</v>
      </c>
      <c r="C471" s="310">
        <v>0.14000000000000001</v>
      </c>
      <c r="D471" s="311">
        <v>1.1140612921916662</v>
      </c>
      <c r="E471" s="311">
        <v>1.0881225843833324</v>
      </c>
      <c r="F471" s="219">
        <v>1.0900000000000001</v>
      </c>
      <c r="J471" s="310"/>
      <c r="L471" s="57"/>
    </row>
    <row r="472" spans="1:12">
      <c r="A472" s="926" t="s">
        <v>2419</v>
      </c>
      <c r="B472" s="310">
        <v>1</v>
      </c>
      <c r="C472" s="310">
        <v>0.16</v>
      </c>
      <c r="D472" s="311">
        <v>1.1448101247488744</v>
      </c>
      <c r="E472" s="311">
        <v>1.1296202494977492</v>
      </c>
      <c r="F472" s="219">
        <v>1.1299999999999999</v>
      </c>
      <c r="J472" s="310"/>
      <c r="L472" s="57"/>
    </row>
    <row r="473" spans="1:12">
      <c r="A473" s="926" t="s">
        <v>2608</v>
      </c>
      <c r="B473" s="310">
        <v>1</v>
      </c>
      <c r="C473" s="310">
        <v>0.06</v>
      </c>
      <c r="D473" s="311">
        <v>1.0539614770829289</v>
      </c>
      <c r="E473" s="311">
        <v>1.0479229541658579</v>
      </c>
      <c r="F473" s="219">
        <v>1.05</v>
      </c>
      <c r="J473" s="310"/>
      <c r="L473" s="57"/>
    </row>
    <row r="474" spans="1:12">
      <c r="A474" s="926" t="s">
        <v>448</v>
      </c>
      <c r="B474" s="310">
        <v>1</v>
      </c>
      <c r="C474" s="310">
        <v>0.06</v>
      </c>
      <c r="D474" s="311">
        <v>1.0533645024627936</v>
      </c>
      <c r="E474" s="311">
        <v>1.0467290049255871</v>
      </c>
      <c r="F474" s="219">
        <v>1.05</v>
      </c>
      <c r="J474" s="310"/>
      <c r="L474" s="57"/>
    </row>
    <row r="475" spans="1:12">
      <c r="A475" s="926" t="s">
        <v>243</v>
      </c>
      <c r="B475" s="310">
        <v>1</v>
      </c>
      <c r="C475" s="310">
        <v>0.05</v>
      </c>
      <c r="D475" s="311">
        <v>1.0460888828580419</v>
      </c>
      <c r="E475" s="311">
        <v>1.042177765716084</v>
      </c>
      <c r="F475" s="219">
        <v>1.04</v>
      </c>
      <c r="J475" s="310"/>
      <c r="L475" s="57"/>
    </row>
    <row r="476" spans="1:12">
      <c r="A476" s="926" t="s">
        <v>1868</v>
      </c>
      <c r="B476" s="310">
        <v>1</v>
      </c>
      <c r="C476" s="310">
        <v>0.05</v>
      </c>
      <c r="D476" s="311">
        <v>1.0645628547449297</v>
      </c>
      <c r="E476" s="311">
        <v>1.0791257094898594</v>
      </c>
      <c r="F476" s="219">
        <v>1.08</v>
      </c>
      <c r="J476" s="310"/>
      <c r="L476" s="57"/>
    </row>
    <row r="477" spans="1:12">
      <c r="A477" s="926" t="s">
        <v>3098</v>
      </c>
      <c r="B477" s="310">
        <v>1</v>
      </c>
      <c r="C477" s="310">
        <v>0.05</v>
      </c>
      <c r="D477" s="311">
        <v>1.0539008750695316</v>
      </c>
      <c r="E477" s="311">
        <v>1.0578017501390631</v>
      </c>
      <c r="F477" s="219">
        <v>1.06</v>
      </c>
      <c r="J477" s="310"/>
      <c r="L477" s="57"/>
    </row>
    <row r="478" spans="1:12">
      <c r="A478" s="926" t="s">
        <v>6022</v>
      </c>
      <c r="B478" s="310">
        <v>1</v>
      </c>
      <c r="C478" s="310">
        <v>0.06</v>
      </c>
      <c r="D478" s="311">
        <v>1.0571438860341658</v>
      </c>
      <c r="E478" s="311">
        <v>1.0542877720683315</v>
      </c>
      <c r="F478" s="219">
        <v>1.05</v>
      </c>
      <c r="J478" s="310"/>
      <c r="L478" s="57"/>
    </row>
    <row r="479" spans="1:12">
      <c r="A479" s="926" t="s">
        <v>2610</v>
      </c>
      <c r="B479" s="310">
        <v>1</v>
      </c>
      <c r="C479" s="310">
        <v>7.0000000000000007E-2</v>
      </c>
      <c r="D479" s="311">
        <v>1.0509634486643384</v>
      </c>
      <c r="E479" s="311">
        <v>1.0319268973286768</v>
      </c>
      <c r="F479" s="219">
        <v>1.03</v>
      </c>
      <c r="J479" s="310"/>
      <c r="L479" s="57"/>
    </row>
    <row r="480" spans="1:12">
      <c r="A480" s="926" t="s">
        <v>2612</v>
      </c>
      <c r="B480" s="310">
        <v>1</v>
      </c>
      <c r="C480" s="310">
        <v>0.06</v>
      </c>
      <c r="D480" s="311">
        <v>1.0492726648784201</v>
      </c>
      <c r="E480" s="311">
        <v>1.0385453297568399</v>
      </c>
      <c r="F480" s="219">
        <v>1.04</v>
      </c>
      <c r="J480" s="310"/>
      <c r="L480" s="57"/>
    </row>
    <row r="481" spans="1:12">
      <c r="A481" s="926" t="s">
        <v>782</v>
      </c>
      <c r="B481" s="310">
        <v>1</v>
      </c>
      <c r="C481" s="310">
        <v>0.06</v>
      </c>
      <c r="D481" s="311">
        <v>1.0661344642998443</v>
      </c>
      <c r="E481" s="311">
        <v>1.0722689285996883</v>
      </c>
      <c r="F481" s="219">
        <v>1.07</v>
      </c>
      <c r="J481" s="310"/>
      <c r="L481" s="57"/>
    </row>
    <row r="482" spans="1:12">
      <c r="A482" s="926" t="s">
        <v>2614</v>
      </c>
      <c r="B482" s="310">
        <v>1</v>
      </c>
      <c r="C482" s="310">
        <v>0.06</v>
      </c>
      <c r="D482" s="311">
        <v>1.0529148017117702</v>
      </c>
      <c r="E482" s="311">
        <v>1.0458296034235401</v>
      </c>
      <c r="F482" s="219">
        <v>1.05</v>
      </c>
      <c r="J482" s="310"/>
      <c r="L482" s="57"/>
    </row>
    <row r="483" spans="1:12">
      <c r="A483" s="926" t="s">
        <v>2468</v>
      </c>
      <c r="B483" s="310">
        <v>1</v>
      </c>
      <c r="C483" s="310">
        <v>0.05</v>
      </c>
      <c r="D483" s="311">
        <v>1.0469886888335758</v>
      </c>
      <c r="E483" s="311">
        <v>1.0439773776671513</v>
      </c>
      <c r="F483" s="219">
        <v>1.04</v>
      </c>
      <c r="J483" s="310"/>
      <c r="L483" s="57"/>
    </row>
    <row r="484" spans="1:12">
      <c r="A484" s="926" t="s">
        <v>2616</v>
      </c>
      <c r="B484" s="310">
        <v>1</v>
      </c>
      <c r="C484" s="310">
        <v>0.06</v>
      </c>
      <c r="D484" s="311">
        <v>1.0517146523824656</v>
      </c>
      <c r="E484" s="311">
        <v>1.0434293047649312</v>
      </c>
      <c r="F484" s="219">
        <v>1.04</v>
      </c>
      <c r="J484" s="310"/>
      <c r="L484" s="57"/>
    </row>
    <row r="485" spans="1:12">
      <c r="A485" s="926" t="s">
        <v>784</v>
      </c>
      <c r="B485" s="310">
        <v>1</v>
      </c>
      <c r="C485" s="310">
        <v>0.06</v>
      </c>
      <c r="D485" s="311">
        <v>1.0446978614852247</v>
      </c>
      <c r="E485" s="311">
        <v>1.0293957229704491</v>
      </c>
      <c r="F485" s="219">
        <v>1.03</v>
      </c>
      <c r="J485" s="310"/>
      <c r="L485" s="57"/>
    </row>
    <row r="486" spans="1:12">
      <c r="A486" s="926" t="s">
        <v>786</v>
      </c>
      <c r="B486" s="310">
        <v>1</v>
      </c>
      <c r="C486" s="310">
        <v>0.09</v>
      </c>
      <c r="D486" s="311">
        <v>1.0719717983355621</v>
      </c>
      <c r="E486" s="311">
        <v>1.0539435966711244</v>
      </c>
      <c r="F486" s="219">
        <v>1.05</v>
      </c>
      <c r="J486" s="310"/>
      <c r="L486" s="57"/>
    </row>
    <row r="487" spans="1:12">
      <c r="A487" s="926" t="s">
        <v>788</v>
      </c>
      <c r="B487" s="310">
        <v>1</v>
      </c>
      <c r="C487" s="310">
        <v>7.0000000000000007E-2</v>
      </c>
      <c r="D487" s="311">
        <v>1.0477686641435375</v>
      </c>
      <c r="E487" s="311">
        <v>1.0255373282870752</v>
      </c>
      <c r="F487" s="219">
        <v>1.03</v>
      </c>
      <c r="J487" s="310"/>
      <c r="L487" s="57"/>
    </row>
    <row r="488" spans="1:12">
      <c r="A488" s="926" t="s">
        <v>969</v>
      </c>
      <c r="B488" s="310">
        <v>1</v>
      </c>
      <c r="C488" s="310">
        <v>0.04</v>
      </c>
      <c r="D488" s="311">
        <v>1.03318748449997</v>
      </c>
      <c r="E488" s="311">
        <v>1.02637496899994</v>
      </c>
      <c r="F488" s="219">
        <v>1.03</v>
      </c>
      <c r="J488" s="310"/>
      <c r="L488" s="57"/>
    </row>
    <row r="489" spans="1:12">
      <c r="A489" s="926" t="s">
        <v>790</v>
      </c>
      <c r="B489" s="310">
        <v>1</v>
      </c>
      <c r="C489" s="310">
        <v>0.06</v>
      </c>
      <c r="D489" s="311">
        <v>1.0493367826682791</v>
      </c>
      <c r="E489" s="311">
        <v>1.0386735653365582</v>
      </c>
      <c r="F489" s="219">
        <v>1.04</v>
      </c>
      <c r="J489" s="310"/>
      <c r="L489" s="57"/>
    </row>
    <row r="490" spans="1:12">
      <c r="A490" s="926" t="s">
        <v>792</v>
      </c>
      <c r="B490" s="310">
        <v>1</v>
      </c>
      <c r="C490" s="310">
        <v>7.0000000000000007E-2</v>
      </c>
      <c r="D490" s="311">
        <v>1.0474576036376493</v>
      </c>
      <c r="E490" s="311">
        <v>1.0249152072752985</v>
      </c>
      <c r="F490" s="219">
        <v>1.02</v>
      </c>
      <c r="J490" s="310"/>
      <c r="L490" s="57"/>
    </row>
    <row r="491" spans="1:12">
      <c r="A491" s="926" t="s">
        <v>794</v>
      </c>
      <c r="B491" s="310">
        <v>1</v>
      </c>
      <c r="C491" s="310">
        <v>0.08</v>
      </c>
      <c r="D491" s="311">
        <v>1.0840348902463801</v>
      </c>
      <c r="E491" s="311">
        <v>1.0880697804927602</v>
      </c>
      <c r="F491" s="219">
        <v>1.0900000000000001</v>
      </c>
      <c r="J491" s="310"/>
      <c r="L491" s="57"/>
    </row>
    <row r="492" spans="1:12">
      <c r="A492" s="926" t="s">
        <v>2991</v>
      </c>
      <c r="B492" s="310">
        <v>1</v>
      </c>
      <c r="C492" s="310">
        <v>0.04</v>
      </c>
      <c r="D492" s="311">
        <v>1.0433884331209615</v>
      </c>
      <c r="E492" s="311">
        <v>1.046776866241923</v>
      </c>
      <c r="F492" s="219">
        <v>1.05</v>
      </c>
      <c r="J492" s="310"/>
      <c r="L492" s="57"/>
    </row>
    <row r="493" spans="1:12">
      <c r="A493" s="926" t="s">
        <v>2413</v>
      </c>
      <c r="B493" s="310">
        <v>1</v>
      </c>
      <c r="C493" s="310">
        <v>0.04</v>
      </c>
      <c r="D493" s="311">
        <v>1.0451820887608683</v>
      </c>
      <c r="E493" s="311">
        <v>1.0503641775217365</v>
      </c>
      <c r="F493" s="219">
        <v>1.05</v>
      </c>
      <c r="J493" s="310"/>
      <c r="L493" s="57"/>
    </row>
    <row r="494" spans="1:12">
      <c r="A494" s="926" t="s">
        <v>796</v>
      </c>
      <c r="B494" s="310">
        <v>1</v>
      </c>
      <c r="C494" s="310">
        <v>0.06</v>
      </c>
      <c r="D494" s="311">
        <v>1.0688448602637406</v>
      </c>
      <c r="E494" s="311">
        <v>1.0776897205274811</v>
      </c>
      <c r="F494" s="219">
        <v>1.08</v>
      </c>
      <c r="J494" s="310"/>
      <c r="L494" s="57"/>
    </row>
    <row r="495" spans="1:12">
      <c r="A495" s="926" t="s">
        <v>2044</v>
      </c>
      <c r="B495" s="310">
        <v>1</v>
      </c>
      <c r="C495" s="310">
        <v>0.03</v>
      </c>
      <c r="D495" s="311">
        <v>1.0364534993466066</v>
      </c>
      <c r="E495" s="311">
        <v>1.0429069986932133</v>
      </c>
      <c r="F495" s="219">
        <v>1.04</v>
      </c>
      <c r="J495" s="310"/>
      <c r="L495" s="57"/>
    </row>
    <row r="496" spans="1:12">
      <c r="A496" s="926" t="s">
        <v>798</v>
      </c>
      <c r="B496" s="310">
        <v>1</v>
      </c>
      <c r="C496" s="310">
        <v>0.02</v>
      </c>
      <c r="D496" s="311">
        <v>1.0358680941358522</v>
      </c>
      <c r="E496" s="311">
        <v>1.0517361882717047</v>
      </c>
      <c r="F496" s="219">
        <v>1.05</v>
      </c>
      <c r="J496" s="310"/>
      <c r="L496" s="57"/>
    </row>
    <row r="497" spans="1:12">
      <c r="A497" s="926" t="s">
        <v>2358</v>
      </c>
      <c r="B497" s="310">
        <v>1</v>
      </c>
      <c r="C497" s="310">
        <v>0.04</v>
      </c>
      <c r="D497" s="311">
        <v>1.0400769994471728</v>
      </c>
      <c r="E497" s="311">
        <v>1.0401539988943456</v>
      </c>
      <c r="F497" s="219">
        <v>1.04</v>
      </c>
      <c r="J497" s="310"/>
      <c r="L497" s="57"/>
    </row>
    <row r="498" spans="1:12">
      <c r="A498" s="926" t="s">
        <v>800</v>
      </c>
      <c r="B498" s="310">
        <v>1</v>
      </c>
      <c r="C498" s="310">
        <v>0.04</v>
      </c>
      <c r="D498" s="311">
        <v>1.0592045543370441</v>
      </c>
      <c r="E498" s="311">
        <v>1.0784091086740883</v>
      </c>
      <c r="F498" s="219">
        <v>1.08</v>
      </c>
      <c r="J498" s="310"/>
      <c r="L498" s="57"/>
    </row>
    <row r="499" spans="1:12">
      <c r="A499" s="926" t="s">
        <v>802</v>
      </c>
      <c r="B499" s="310">
        <v>1</v>
      </c>
      <c r="C499" s="310">
        <v>0.04</v>
      </c>
      <c r="D499" s="311">
        <v>1.0467864695487337</v>
      </c>
      <c r="E499" s="311">
        <v>1.0535729390974675</v>
      </c>
      <c r="F499" s="219">
        <v>1.05</v>
      </c>
      <c r="J499" s="310"/>
      <c r="L499" s="57"/>
    </row>
    <row r="500" spans="1:12">
      <c r="A500" s="926" t="s">
        <v>2046</v>
      </c>
      <c r="B500" s="310">
        <v>1</v>
      </c>
      <c r="C500" s="310">
        <v>0.03</v>
      </c>
      <c r="D500" s="311">
        <v>1.0430671899220547</v>
      </c>
      <c r="E500" s="311">
        <v>1.0561343798441096</v>
      </c>
      <c r="F500" s="219">
        <v>1.06</v>
      </c>
      <c r="J500" s="310"/>
      <c r="L500" s="57"/>
    </row>
    <row r="501" spans="1:12">
      <c r="A501" s="926" t="s">
        <v>804</v>
      </c>
      <c r="B501" s="310">
        <v>1</v>
      </c>
      <c r="C501" s="310">
        <v>7.0000000000000007E-2</v>
      </c>
      <c r="D501" s="311">
        <v>1.070044248284538</v>
      </c>
      <c r="E501" s="311">
        <v>1.070088496569076</v>
      </c>
      <c r="F501" s="219">
        <v>1.07</v>
      </c>
      <c r="J501" s="310"/>
      <c r="L501" s="57"/>
    </row>
    <row r="502" spans="1:12">
      <c r="A502" s="926" t="s">
        <v>806</v>
      </c>
      <c r="B502" s="310">
        <v>1</v>
      </c>
      <c r="C502" s="310">
        <v>0.04</v>
      </c>
      <c r="D502" s="311">
        <v>1.0528736637972629</v>
      </c>
      <c r="E502" s="311">
        <v>1.0657473275945255</v>
      </c>
      <c r="F502" s="219">
        <v>1.07</v>
      </c>
      <c r="J502" s="310"/>
      <c r="L502" s="57"/>
    </row>
    <row r="503" spans="1:12">
      <c r="A503" s="926" t="s">
        <v>808</v>
      </c>
      <c r="B503" s="310">
        <v>1</v>
      </c>
      <c r="C503" s="310">
        <v>0.04</v>
      </c>
      <c r="D503" s="311">
        <v>1.0452356592665732</v>
      </c>
      <c r="E503" s="311">
        <v>1.0504713185331465</v>
      </c>
      <c r="F503" s="219">
        <v>1.05</v>
      </c>
      <c r="J503" s="310"/>
      <c r="L503" s="57"/>
    </row>
    <row r="504" spans="1:12">
      <c r="A504" s="926" t="s">
        <v>810</v>
      </c>
      <c r="B504" s="310">
        <v>1</v>
      </c>
      <c r="C504" s="310">
        <v>0.03</v>
      </c>
      <c r="D504" s="311">
        <v>1.0450922243702878</v>
      </c>
      <c r="E504" s="311">
        <v>1.0601844487405756</v>
      </c>
      <c r="F504" s="219">
        <v>1.06</v>
      </c>
      <c r="J504" s="310"/>
      <c r="L504" s="57"/>
    </row>
    <row r="505" spans="1:12">
      <c r="A505" s="926" t="s">
        <v>667</v>
      </c>
      <c r="B505" s="310">
        <v>1</v>
      </c>
      <c r="C505" s="310">
        <v>0.06</v>
      </c>
      <c r="D505" s="311">
        <v>1.0536388688308533</v>
      </c>
      <c r="E505" s="311">
        <v>1.0472777376617068</v>
      </c>
      <c r="F505" s="219">
        <v>1.05</v>
      </c>
      <c r="J505" s="310"/>
      <c r="L505" s="57"/>
    </row>
    <row r="506" spans="1:12">
      <c r="A506" s="926" t="s">
        <v>1707</v>
      </c>
      <c r="B506" s="310">
        <v>1</v>
      </c>
      <c r="C506" s="310">
        <v>0.08</v>
      </c>
      <c r="D506" s="311">
        <v>1.0762502677849364</v>
      </c>
      <c r="E506" s="311">
        <v>1.0725005355698729</v>
      </c>
      <c r="F506" s="219">
        <v>1.07</v>
      </c>
      <c r="J506" s="310"/>
      <c r="L506" s="57"/>
    </row>
    <row r="507" spans="1:12">
      <c r="A507" s="926" t="s">
        <v>1709</v>
      </c>
      <c r="B507" s="310">
        <v>1</v>
      </c>
      <c r="C507" s="310">
        <v>0.05</v>
      </c>
      <c r="D507" s="311">
        <v>1.0557734932095699</v>
      </c>
      <c r="E507" s="311">
        <v>1.0615469864191398</v>
      </c>
      <c r="F507" s="219">
        <v>1.06</v>
      </c>
      <c r="J507" s="310"/>
      <c r="L507" s="57"/>
    </row>
    <row r="508" spans="1:12">
      <c r="A508" s="926" t="s">
        <v>1711</v>
      </c>
      <c r="B508" s="310">
        <v>1</v>
      </c>
      <c r="C508" s="310">
        <v>0.06</v>
      </c>
      <c r="D508" s="311">
        <v>1.0570965299656179</v>
      </c>
      <c r="E508" s="311">
        <v>1.0541930599312357</v>
      </c>
      <c r="F508" s="219">
        <v>1.05</v>
      </c>
      <c r="J508" s="310"/>
      <c r="L508" s="57"/>
    </row>
    <row r="509" spans="1:12">
      <c r="A509" s="926" t="s">
        <v>1713</v>
      </c>
      <c r="B509" s="310">
        <v>1</v>
      </c>
      <c r="C509" s="310">
        <v>0.11</v>
      </c>
      <c r="D509" s="311">
        <v>1.0815820871407387</v>
      </c>
      <c r="E509" s="311">
        <v>1.053164174281477</v>
      </c>
      <c r="F509" s="219">
        <v>1.05</v>
      </c>
      <c r="J509" s="310"/>
      <c r="L509" s="57"/>
    </row>
    <row r="510" spans="1:12">
      <c r="A510" s="926" t="s">
        <v>1330</v>
      </c>
      <c r="B510" s="310">
        <v>1</v>
      </c>
      <c r="C510" s="310">
        <v>0.1</v>
      </c>
      <c r="D510" s="311">
        <v>1.0753661710641009</v>
      </c>
      <c r="E510" s="311">
        <v>1.050732342128202</v>
      </c>
      <c r="F510" s="219">
        <v>1.05</v>
      </c>
      <c r="J510" s="310"/>
      <c r="L510" s="57"/>
    </row>
    <row r="511" spans="1:12">
      <c r="A511" s="926" t="s">
        <v>1332</v>
      </c>
      <c r="B511" s="310">
        <v>1</v>
      </c>
      <c r="C511" s="310">
        <v>0.1</v>
      </c>
      <c r="D511" s="311">
        <v>1.0701072015151052</v>
      </c>
      <c r="E511" s="311">
        <v>1.0402144030302103</v>
      </c>
      <c r="F511" s="219">
        <v>1.04</v>
      </c>
      <c r="J511" s="310"/>
      <c r="L511" s="57"/>
    </row>
    <row r="512" spans="1:12">
      <c r="A512" s="926" t="s">
        <v>979</v>
      </c>
      <c r="B512" s="310">
        <v>1</v>
      </c>
      <c r="C512" s="310">
        <v>0.06</v>
      </c>
      <c r="D512" s="311">
        <v>1.0913640792849311</v>
      </c>
      <c r="E512" s="311">
        <v>1.1227281585698621</v>
      </c>
      <c r="F512" s="219">
        <v>1.1200000000000001</v>
      </c>
      <c r="J512" s="310"/>
      <c r="L512" s="57"/>
    </row>
    <row r="513" spans="1:12">
      <c r="A513" s="926" t="s">
        <v>1334</v>
      </c>
      <c r="B513" s="310">
        <v>1</v>
      </c>
      <c r="C513" s="310">
        <v>0.05</v>
      </c>
      <c r="D513" s="311">
        <v>1.0772017958458437</v>
      </c>
      <c r="E513" s="311">
        <v>1.1044035916916874</v>
      </c>
      <c r="F513" s="219">
        <v>1.1000000000000001</v>
      </c>
      <c r="J513" s="310"/>
      <c r="L513" s="57"/>
    </row>
    <row r="514" spans="1:12">
      <c r="A514" s="926" t="s">
        <v>235</v>
      </c>
      <c r="B514" s="310">
        <v>1</v>
      </c>
      <c r="C514" s="310">
        <v>0.06</v>
      </c>
      <c r="D514" s="311">
        <v>1.0829130331215762</v>
      </c>
      <c r="E514" s="311">
        <v>1.1058260662431525</v>
      </c>
      <c r="F514" s="219">
        <v>1.1100000000000001</v>
      </c>
      <c r="J514" s="310"/>
      <c r="L514" s="57"/>
    </row>
    <row r="515" spans="1:12">
      <c r="A515" s="926" t="s">
        <v>3961</v>
      </c>
      <c r="B515" s="310">
        <v>1</v>
      </c>
      <c r="C515" s="310">
        <v>0.08</v>
      </c>
      <c r="D515" s="311">
        <v>1.1147683495161538</v>
      </c>
      <c r="E515" s="311">
        <v>1.1495366990323075</v>
      </c>
      <c r="F515" s="219">
        <v>1.1499999999999999</v>
      </c>
      <c r="J515" s="310"/>
      <c r="L515" s="57"/>
    </row>
    <row r="516" spans="1:12">
      <c r="A516" s="926" t="s">
        <v>2359</v>
      </c>
      <c r="B516" s="310">
        <v>1</v>
      </c>
      <c r="C516" s="310">
        <v>0.04</v>
      </c>
      <c r="D516" s="311">
        <v>1.0643817989690807</v>
      </c>
      <c r="E516" s="311">
        <v>1.0887635979381616</v>
      </c>
      <c r="F516" s="219">
        <v>1.0900000000000001</v>
      </c>
      <c r="J516" s="310"/>
      <c r="L516" s="57"/>
    </row>
    <row r="517" spans="1:12">
      <c r="A517" s="926" t="s">
        <v>650</v>
      </c>
      <c r="B517" s="310">
        <v>1</v>
      </c>
      <c r="C517" s="310">
        <v>7.0000000000000007E-2</v>
      </c>
      <c r="D517" s="311">
        <v>1.1103911101156068</v>
      </c>
      <c r="E517" s="311">
        <v>1.1507822202312137</v>
      </c>
      <c r="F517" s="219">
        <v>1.1499999999999999</v>
      </c>
      <c r="J517" s="310"/>
      <c r="L517" s="57"/>
    </row>
    <row r="518" spans="1:12">
      <c r="A518" s="926" t="s">
        <v>2127</v>
      </c>
      <c r="B518" s="310">
        <v>1</v>
      </c>
      <c r="C518" s="310">
        <v>0.06</v>
      </c>
      <c r="D518" s="311">
        <v>1.0806798989575617</v>
      </c>
      <c r="E518" s="311">
        <v>1.1013597979151233</v>
      </c>
      <c r="F518" s="219">
        <v>1.1000000000000001</v>
      </c>
      <c r="J518" s="310"/>
      <c r="L518" s="57"/>
    </row>
    <row r="519" spans="1:12">
      <c r="A519" s="926" t="s">
        <v>3963</v>
      </c>
      <c r="B519" s="310">
        <v>1</v>
      </c>
      <c r="C519" s="310">
        <v>0.05</v>
      </c>
      <c r="D519" s="311">
        <v>1.0566096751733696</v>
      </c>
      <c r="E519" s="311">
        <v>1.0632193503467389</v>
      </c>
      <c r="F519" s="219">
        <v>1.06</v>
      </c>
      <c r="J519" s="310"/>
      <c r="L519" s="57"/>
    </row>
    <row r="520" spans="1:12">
      <c r="A520" s="926" t="s">
        <v>953</v>
      </c>
      <c r="B520" s="310">
        <v>1</v>
      </c>
      <c r="C520" s="310">
        <v>0.04</v>
      </c>
      <c r="D520" s="311">
        <v>1.0708923482349326</v>
      </c>
      <c r="E520" s="311">
        <v>1.1017846964698654</v>
      </c>
      <c r="F520" s="219">
        <v>1.1000000000000001</v>
      </c>
      <c r="J520" s="310"/>
      <c r="L520" s="57"/>
    </row>
    <row r="521" spans="1:12">
      <c r="A521" s="926" t="s">
        <v>971</v>
      </c>
      <c r="B521" s="310">
        <v>1</v>
      </c>
      <c r="C521" s="310">
        <v>7.0000000000000007E-2</v>
      </c>
      <c r="D521" s="311">
        <v>1.0895936694098696</v>
      </c>
      <c r="E521" s="311">
        <v>1.1091873388197393</v>
      </c>
      <c r="F521" s="219">
        <v>1.1100000000000001</v>
      </c>
      <c r="J521" s="310"/>
      <c r="L521" s="57"/>
    </row>
    <row r="522" spans="1:12">
      <c r="A522" s="926" t="s">
        <v>3965</v>
      </c>
      <c r="B522" s="310">
        <v>1</v>
      </c>
      <c r="C522" s="310">
        <v>0.08</v>
      </c>
      <c r="D522" s="311">
        <v>1.0775796136319891</v>
      </c>
      <c r="E522" s="311">
        <v>1.0751592272639781</v>
      </c>
      <c r="F522" s="219">
        <v>1.08</v>
      </c>
      <c r="J522" s="310"/>
      <c r="L522" s="57"/>
    </row>
    <row r="523" spans="1:12">
      <c r="A523" s="926" t="s">
        <v>3967</v>
      </c>
      <c r="B523" s="310">
        <v>1</v>
      </c>
      <c r="C523" s="310">
        <v>7.0000000000000007E-2</v>
      </c>
      <c r="D523" s="311">
        <v>1.0657310393659309</v>
      </c>
      <c r="E523" s="311">
        <v>1.0614620787318618</v>
      </c>
      <c r="F523" s="219">
        <v>1.06</v>
      </c>
      <c r="J523" s="310"/>
      <c r="L523" s="57"/>
    </row>
    <row r="524" spans="1:12">
      <c r="A524" s="926" t="s">
        <v>3969</v>
      </c>
      <c r="B524" s="310">
        <v>1</v>
      </c>
      <c r="C524" s="310">
        <v>0.06</v>
      </c>
      <c r="D524" s="311">
        <v>1.0627733806772421</v>
      </c>
      <c r="E524" s="311">
        <v>1.0655467613544842</v>
      </c>
      <c r="F524" s="219">
        <v>1.07</v>
      </c>
      <c r="J524" s="310"/>
      <c r="L524" s="57"/>
    </row>
    <row r="525" spans="1:12">
      <c r="A525" s="926" t="s">
        <v>757</v>
      </c>
      <c r="B525" s="310">
        <v>1</v>
      </c>
      <c r="C525" s="310">
        <v>7.0000000000000007E-2</v>
      </c>
      <c r="D525" s="311">
        <v>1.053933653020237</v>
      </c>
      <c r="E525" s="311">
        <v>1.0378673060404739</v>
      </c>
      <c r="F525" s="219">
        <v>1.04</v>
      </c>
      <c r="J525" s="310"/>
      <c r="L525" s="57"/>
    </row>
    <row r="526" spans="1:12">
      <c r="A526" s="926" t="s">
        <v>759</v>
      </c>
      <c r="B526" s="310">
        <v>1</v>
      </c>
      <c r="C526" s="310">
        <v>0.06</v>
      </c>
      <c r="D526" s="311">
        <v>1.0545662188898659</v>
      </c>
      <c r="E526" s="311">
        <v>1.0491324377797318</v>
      </c>
      <c r="F526" s="219">
        <v>1.05</v>
      </c>
      <c r="J526" s="310"/>
      <c r="L526" s="57"/>
    </row>
    <row r="527" spans="1:12">
      <c r="A527" s="926" t="s">
        <v>69</v>
      </c>
      <c r="B527" s="310">
        <v>1</v>
      </c>
      <c r="C527" s="310">
        <v>0.05</v>
      </c>
      <c r="D527" s="311">
        <v>1.0611848969513082</v>
      </c>
      <c r="E527" s="311">
        <v>1.0723697939026167</v>
      </c>
      <c r="F527" s="219">
        <v>1.07</v>
      </c>
      <c r="J527" s="310"/>
      <c r="L527" s="57"/>
    </row>
    <row r="528" spans="1:12">
      <c r="A528" s="926" t="s">
        <v>71</v>
      </c>
      <c r="B528" s="310">
        <v>1</v>
      </c>
      <c r="C528" s="310">
        <v>0.05</v>
      </c>
      <c r="D528" s="311">
        <v>1.0679767384579639</v>
      </c>
      <c r="E528" s="311">
        <v>1.085953476915928</v>
      </c>
      <c r="F528" s="219">
        <v>1.0900000000000001</v>
      </c>
      <c r="J528" s="310"/>
      <c r="L528" s="57"/>
    </row>
    <row r="529" spans="1:12">
      <c r="A529" s="926" t="s">
        <v>73</v>
      </c>
      <c r="B529" s="310">
        <v>1</v>
      </c>
      <c r="C529" s="310">
        <v>0.05</v>
      </c>
      <c r="D529" s="311">
        <v>1.0635245168548024</v>
      </c>
      <c r="E529" s="311">
        <v>1.0770490337096048</v>
      </c>
      <c r="F529" s="219">
        <v>1.08</v>
      </c>
      <c r="J529" s="310"/>
      <c r="L529" s="57"/>
    </row>
    <row r="530" spans="1:12">
      <c r="A530" s="926" t="s">
        <v>75</v>
      </c>
      <c r="B530" s="310">
        <v>1</v>
      </c>
      <c r="C530" s="310">
        <v>0.08</v>
      </c>
      <c r="D530" s="311">
        <v>1.0831895280718371</v>
      </c>
      <c r="E530" s="311">
        <v>1.0863790561436741</v>
      </c>
      <c r="F530" s="219">
        <v>1.0900000000000001</v>
      </c>
      <c r="J530" s="310"/>
      <c r="L530" s="57"/>
    </row>
    <row r="531" spans="1:12">
      <c r="A531" s="926" t="s">
        <v>1316</v>
      </c>
      <c r="B531" s="310">
        <v>1</v>
      </c>
      <c r="C531" s="310">
        <v>0.09</v>
      </c>
      <c r="D531" s="311">
        <v>1.0856653962341389</v>
      </c>
      <c r="E531" s="311">
        <v>1.0813307924682778</v>
      </c>
      <c r="F531" s="219">
        <v>1.08</v>
      </c>
      <c r="J531" s="310"/>
      <c r="L531" s="57"/>
    </row>
    <row r="532" spans="1:12">
      <c r="A532" s="926" t="s">
        <v>2600</v>
      </c>
      <c r="B532" s="310">
        <v>1</v>
      </c>
      <c r="C532" s="310">
        <v>7.0000000000000007E-2</v>
      </c>
      <c r="D532" s="311">
        <v>1.0755398309612585</v>
      </c>
      <c r="E532" s="311">
        <v>1.0810796619225171</v>
      </c>
      <c r="F532" s="219">
        <v>1.08</v>
      </c>
      <c r="J532" s="310"/>
      <c r="L532" s="57"/>
    </row>
    <row r="533" spans="1:12">
      <c r="A533" s="926" t="s">
        <v>7133</v>
      </c>
      <c r="B533" s="310">
        <v>1</v>
      </c>
      <c r="C533" s="310">
        <v>7.0000000000000007E-2</v>
      </c>
      <c r="D533" s="311">
        <v>1.0622016824213083</v>
      </c>
      <c r="E533" s="311">
        <v>1.0544033648426165</v>
      </c>
      <c r="F533" s="219">
        <v>1.05</v>
      </c>
      <c r="J533" s="310"/>
      <c r="L533" s="57"/>
    </row>
    <row r="534" spans="1:12">
      <c r="A534" s="926" t="s">
        <v>961</v>
      </c>
      <c r="B534" s="310">
        <v>1</v>
      </c>
      <c r="C534" s="310">
        <v>0.06</v>
      </c>
      <c r="D534" s="311">
        <v>1.0622568425112</v>
      </c>
      <c r="E534" s="311">
        <v>1.0645136850223997</v>
      </c>
      <c r="F534" s="219">
        <v>1.06</v>
      </c>
      <c r="J534" s="310"/>
      <c r="L534" s="57"/>
    </row>
    <row r="535" spans="1:12">
      <c r="A535" s="926" t="s">
        <v>6024</v>
      </c>
      <c r="B535" s="310">
        <v>1</v>
      </c>
      <c r="C535" s="310">
        <v>0.08</v>
      </c>
      <c r="D535" s="311">
        <v>1.0832680609983147</v>
      </c>
      <c r="E535" s="311">
        <v>1.0865361219966294</v>
      </c>
      <c r="F535" s="219">
        <v>1.0900000000000001</v>
      </c>
      <c r="J535" s="310"/>
      <c r="L535" s="57"/>
    </row>
    <row r="536" spans="1:12">
      <c r="A536" s="926" t="s">
        <v>6034</v>
      </c>
      <c r="B536" s="310">
        <v>1</v>
      </c>
      <c r="C536" s="310">
        <v>0.06</v>
      </c>
      <c r="D536" s="311">
        <v>1.0658059085487082</v>
      </c>
      <c r="E536" s="311">
        <v>1.0716118170974163</v>
      </c>
      <c r="F536" s="219">
        <v>1.07</v>
      </c>
      <c r="J536" s="310"/>
      <c r="L536" s="57"/>
    </row>
    <row r="537" spans="1:12">
      <c r="A537" s="926" t="s">
        <v>7135</v>
      </c>
      <c r="B537" s="310">
        <v>1</v>
      </c>
      <c r="C537" s="310">
        <v>0.05</v>
      </c>
      <c r="D537" s="311">
        <v>1.0488819430000649</v>
      </c>
      <c r="E537" s="311">
        <v>1.0477638860001295</v>
      </c>
      <c r="F537" s="219">
        <v>1.05</v>
      </c>
      <c r="J537" s="310"/>
      <c r="L537" s="57"/>
    </row>
    <row r="538" spans="1:12">
      <c r="A538" s="926" t="s">
        <v>7137</v>
      </c>
      <c r="B538" s="310">
        <v>1</v>
      </c>
      <c r="C538" s="310">
        <v>0.08</v>
      </c>
      <c r="D538" s="311">
        <v>1.0590562607477891</v>
      </c>
      <c r="E538" s="311">
        <v>1.0381125214955782</v>
      </c>
      <c r="F538" s="219">
        <v>1.04</v>
      </c>
      <c r="J538" s="310"/>
      <c r="L538" s="57"/>
    </row>
    <row r="539" spans="1:12">
      <c r="A539" s="926" t="s">
        <v>7139</v>
      </c>
      <c r="B539" s="310">
        <v>1</v>
      </c>
      <c r="C539" s="310">
        <v>0.09</v>
      </c>
      <c r="D539" s="311">
        <v>1.0621930976394891</v>
      </c>
      <c r="E539" s="311">
        <v>1.0343861952789781</v>
      </c>
      <c r="F539" s="219">
        <v>1.03</v>
      </c>
      <c r="J539" s="310"/>
      <c r="L539" s="57"/>
    </row>
    <row r="540" spans="1:12">
      <c r="A540" s="926" t="s">
        <v>6178</v>
      </c>
      <c r="B540" s="310">
        <v>1</v>
      </c>
      <c r="C540" s="310">
        <v>0.12</v>
      </c>
      <c r="D540" s="311">
        <v>1.1230816556308927</v>
      </c>
      <c r="E540" s="311">
        <v>1.1261633112617855</v>
      </c>
      <c r="F540" s="219">
        <v>1.1299999999999999</v>
      </c>
      <c r="J540" s="310"/>
      <c r="L540" s="57"/>
    </row>
    <row r="541" spans="1:12">
      <c r="A541" s="926" t="s">
        <v>7145</v>
      </c>
      <c r="B541" s="310">
        <v>1</v>
      </c>
      <c r="C541" s="310">
        <v>0.14000000000000001</v>
      </c>
      <c r="D541" s="311">
        <v>1.146532136466982</v>
      </c>
      <c r="E541" s="311">
        <v>1.1530642729339642</v>
      </c>
      <c r="F541" s="219">
        <v>1.1499999999999999</v>
      </c>
      <c r="J541" s="310"/>
      <c r="L541" s="57"/>
    </row>
    <row r="542" spans="1:12">
      <c r="A542" s="926" t="s">
        <v>7147</v>
      </c>
      <c r="B542" s="310">
        <v>1</v>
      </c>
      <c r="C542" s="310">
        <v>0.12</v>
      </c>
      <c r="D542" s="311">
        <v>1.1223350424102145</v>
      </c>
      <c r="E542" s="311">
        <v>1.124670084820429</v>
      </c>
      <c r="F542" s="219">
        <v>1.1200000000000001</v>
      </c>
      <c r="J542" s="310"/>
      <c r="L542" s="57"/>
    </row>
    <row r="543" spans="1:12">
      <c r="A543" s="926" t="s">
        <v>2808</v>
      </c>
      <c r="B543" s="310">
        <v>1</v>
      </c>
      <c r="C543" s="310">
        <v>0.14000000000000001</v>
      </c>
      <c r="D543" s="311">
        <v>1.1570646941671765</v>
      </c>
      <c r="E543" s="311">
        <v>1.1741293883343531</v>
      </c>
      <c r="F543" s="219">
        <v>1.17</v>
      </c>
      <c r="J543" s="310"/>
      <c r="L543" s="57"/>
    </row>
    <row r="544" spans="1:12">
      <c r="A544" s="926" t="s">
        <v>2810</v>
      </c>
      <c r="B544" s="310">
        <v>1</v>
      </c>
      <c r="C544" s="310">
        <v>0.09</v>
      </c>
      <c r="D544" s="311">
        <v>1.071140618561476</v>
      </c>
      <c r="E544" s="311">
        <v>1.0522812371229522</v>
      </c>
      <c r="F544" s="219">
        <v>1.05</v>
      </c>
      <c r="J544" s="310"/>
      <c r="L544" s="57"/>
    </row>
    <row r="545" spans="1:12">
      <c r="A545" s="926" t="s">
        <v>1859</v>
      </c>
      <c r="B545" s="310">
        <v>1</v>
      </c>
      <c r="C545" s="310">
        <v>0.09</v>
      </c>
      <c r="D545" s="311">
        <v>1.0938969254206641</v>
      </c>
      <c r="E545" s="311">
        <v>1.0977938508413283</v>
      </c>
      <c r="F545" s="219">
        <v>1.1000000000000001</v>
      </c>
      <c r="J545" s="310"/>
      <c r="L545" s="57"/>
    </row>
    <row r="546" spans="1:12">
      <c r="A546" s="926" t="s">
        <v>2812</v>
      </c>
      <c r="B546" s="310">
        <v>1</v>
      </c>
      <c r="C546" s="310">
        <v>0.1</v>
      </c>
      <c r="D546" s="311">
        <v>1.1114796338114341</v>
      </c>
      <c r="E546" s="311">
        <v>1.1229592676228684</v>
      </c>
      <c r="F546" s="219">
        <v>1.1200000000000001</v>
      </c>
      <c r="J546" s="310"/>
      <c r="L546" s="57"/>
    </row>
    <row r="547" spans="1:12">
      <c r="A547" s="926" t="s">
        <v>820</v>
      </c>
      <c r="B547" s="310">
        <v>1</v>
      </c>
      <c r="C547" s="310">
        <v>0.12</v>
      </c>
      <c r="D547" s="311">
        <v>1.1097306916208063</v>
      </c>
      <c r="E547" s="311">
        <v>1.0994613832416122</v>
      </c>
      <c r="F547" s="219">
        <v>1.1000000000000001</v>
      </c>
      <c r="J547" s="310"/>
      <c r="L547" s="57"/>
    </row>
    <row r="548" spans="1:12">
      <c r="A548" s="926" t="s">
        <v>127</v>
      </c>
      <c r="B548" s="310">
        <v>1</v>
      </c>
      <c r="C548" s="310">
        <v>0.1</v>
      </c>
      <c r="D548" s="311">
        <v>1.0845333399879549</v>
      </c>
      <c r="E548" s="311">
        <v>1.0690666799759097</v>
      </c>
      <c r="F548" s="219">
        <v>1.07</v>
      </c>
      <c r="J548" s="310"/>
      <c r="L548" s="57"/>
    </row>
    <row r="549" spans="1:12">
      <c r="A549" s="926" t="s">
        <v>6189</v>
      </c>
      <c r="B549" s="310">
        <v>1</v>
      </c>
      <c r="C549" s="310">
        <v>0.09</v>
      </c>
      <c r="D549" s="311">
        <v>1.0916900758276238</v>
      </c>
      <c r="E549" s="311">
        <v>1.0933801516552475</v>
      </c>
      <c r="F549" s="219">
        <v>1.0900000000000001</v>
      </c>
      <c r="J549" s="310"/>
      <c r="L549" s="57"/>
    </row>
    <row r="550" spans="1:12">
      <c r="A550" s="926" t="s">
        <v>5130</v>
      </c>
      <c r="B550" s="310">
        <v>1</v>
      </c>
      <c r="C550" s="310">
        <v>0.08</v>
      </c>
      <c r="D550" s="311">
        <v>1.0758630128894306</v>
      </c>
      <c r="E550" s="311">
        <v>1.0717260257788612</v>
      </c>
      <c r="F550" s="219">
        <v>1.07</v>
      </c>
      <c r="J550" s="310"/>
      <c r="L550" s="57"/>
    </row>
    <row r="551" spans="1:12">
      <c r="A551" s="926" t="s">
        <v>2815</v>
      </c>
      <c r="B551" s="310">
        <v>1</v>
      </c>
      <c r="C551" s="310">
        <v>0.13</v>
      </c>
      <c r="D551" s="311">
        <v>1.0913618802523204</v>
      </c>
      <c r="E551" s="311">
        <v>1.0527237605046409</v>
      </c>
      <c r="F551" s="219">
        <v>1.05</v>
      </c>
      <c r="J551" s="310"/>
      <c r="L551" s="57"/>
    </row>
    <row r="552" spans="1:12">
      <c r="A552" s="926" t="s">
        <v>3888</v>
      </c>
      <c r="B552" s="310">
        <v>1</v>
      </c>
      <c r="C552" s="310">
        <v>0.1</v>
      </c>
      <c r="D552" s="311">
        <v>1.1376458619252843</v>
      </c>
      <c r="E552" s="311">
        <v>1.1752917238505685</v>
      </c>
      <c r="F552" s="219">
        <v>1.18</v>
      </c>
      <c r="J552" s="310"/>
      <c r="L552" s="57"/>
    </row>
    <row r="553" spans="1:12">
      <c r="A553" s="926" t="s">
        <v>977</v>
      </c>
      <c r="B553" s="310">
        <v>1</v>
      </c>
      <c r="C553" s="310">
        <v>0.11</v>
      </c>
      <c r="D553" s="311">
        <v>1.1599864028343208</v>
      </c>
      <c r="E553" s="311">
        <v>1.2099728056686414</v>
      </c>
      <c r="F553" s="219">
        <v>1.21</v>
      </c>
      <c r="J553" s="310"/>
      <c r="L553" s="57"/>
    </row>
    <row r="554" spans="1:12">
      <c r="A554" s="926" t="s">
        <v>739</v>
      </c>
      <c r="B554" s="310">
        <v>1</v>
      </c>
      <c r="C554" s="310">
        <v>0.11</v>
      </c>
      <c r="D554" s="311">
        <v>1.1488726930186384</v>
      </c>
      <c r="E554" s="311">
        <v>1.1877453860372764</v>
      </c>
      <c r="F554" s="219">
        <v>1.19</v>
      </c>
      <c r="J554" s="310"/>
      <c r="L554" s="57"/>
    </row>
    <row r="555" spans="1:12">
      <c r="A555" s="926" t="s">
        <v>1855</v>
      </c>
      <c r="B555" s="310">
        <v>1</v>
      </c>
      <c r="C555" s="310">
        <v>0.09</v>
      </c>
      <c r="D555" s="311">
        <v>1.1111608708003518</v>
      </c>
      <c r="E555" s="311">
        <v>1.1323217416007032</v>
      </c>
      <c r="F555" s="219">
        <v>1.1299999999999999</v>
      </c>
      <c r="J555" s="310"/>
      <c r="L555" s="57"/>
    </row>
    <row r="556" spans="1:12">
      <c r="A556" s="926" t="s">
        <v>6025</v>
      </c>
      <c r="B556" s="310">
        <v>1</v>
      </c>
      <c r="C556" s="310">
        <v>0.12</v>
      </c>
      <c r="D556" s="311">
        <v>1.1523883504516315</v>
      </c>
      <c r="E556" s="311">
        <v>1.1847767009032628</v>
      </c>
      <c r="F556" s="219">
        <v>1.18</v>
      </c>
      <c r="J556" s="310"/>
      <c r="L556" s="57"/>
    </row>
    <row r="557" spans="1:12">
      <c r="A557" s="926" t="s">
        <v>2817</v>
      </c>
      <c r="B557" s="310">
        <v>1</v>
      </c>
      <c r="C557" s="310">
        <v>0.08</v>
      </c>
      <c r="D557" s="311">
        <v>1.1052813048455352</v>
      </c>
      <c r="E557" s="311">
        <v>1.1305626096910701</v>
      </c>
      <c r="F557" s="219">
        <v>1.1299999999999999</v>
      </c>
      <c r="J557" s="310"/>
      <c r="L557" s="57"/>
    </row>
    <row r="558" spans="1:12">
      <c r="A558" s="926" t="s">
        <v>128</v>
      </c>
      <c r="B558" s="310">
        <v>1</v>
      </c>
      <c r="C558" s="310">
        <v>0.08</v>
      </c>
      <c r="D558" s="311">
        <v>1.101614716092969</v>
      </c>
      <c r="E558" s="311">
        <v>1.123229432185938</v>
      </c>
      <c r="F558" s="219">
        <v>1.1200000000000001</v>
      </c>
      <c r="J558" s="310"/>
      <c r="L558" s="57"/>
    </row>
    <row r="559" spans="1:12">
      <c r="A559" s="926" t="s">
        <v>3551</v>
      </c>
      <c r="B559" s="310">
        <v>1</v>
      </c>
      <c r="C559" s="310">
        <v>0.08</v>
      </c>
      <c r="D559" s="311">
        <v>1.1177580780101537</v>
      </c>
      <c r="E559" s="311">
        <v>1.1555161560203071</v>
      </c>
      <c r="F559" s="219">
        <v>1.1599999999999999</v>
      </c>
      <c r="J559" s="310"/>
      <c r="L559" s="57"/>
    </row>
    <row r="560" spans="1:12">
      <c r="A560" s="926" t="s">
        <v>1851</v>
      </c>
      <c r="B560" s="310">
        <v>1</v>
      </c>
      <c r="C560" s="310">
        <v>0.08</v>
      </c>
      <c r="D560" s="311">
        <v>1.1139745179195522</v>
      </c>
      <c r="E560" s="311">
        <v>1.1479490358391042</v>
      </c>
      <c r="F560" s="219">
        <v>1.1499999999999999</v>
      </c>
      <c r="J560" s="310"/>
      <c r="L560" s="57"/>
    </row>
    <row r="561" spans="1:12">
      <c r="A561" s="926" t="s">
        <v>267</v>
      </c>
      <c r="B561" s="310">
        <v>1</v>
      </c>
      <c r="C561" s="310">
        <v>0.06</v>
      </c>
      <c r="D561" s="311">
        <v>1.0575966842609374</v>
      </c>
      <c r="E561" s="311">
        <v>1.0551933685218746</v>
      </c>
      <c r="F561" s="219">
        <v>1.06</v>
      </c>
      <c r="J561" s="310"/>
      <c r="L561" s="57"/>
    </row>
    <row r="562" spans="1:12">
      <c r="A562" s="926" t="s">
        <v>2819</v>
      </c>
      <c r="B562" s="310">
        <v>1</v>
      </c>
      <c r="C562" s="310">
        <v>0.05</v>
      </c>
      <c r="D562" s="311">
        <v>1.0497626977010457</v>
      </c>
      <c r="E562" s="311">
        <v>1.0495253954020916</v>
      </c>
      <c r="F562" s="219">
        <v>1.05</v>
      </c>
      <c r="J562" s="310"/>
      <c r="L562" s="57"/>
    </row>
    <row r="563" spans="1:12">
      <c r="A563" s="926" t="s">
        <v>1863</v>
      </c>
      <c r="B563" s="310">
        <v>1</v>
      </c>
      <c r="C563" s="310">
        <v>0.06</v>
      </c>
      <c r="D563" s="311">
        <v>1.0564579791381292</v>
      </c>
      <c r="E563" s="311">
        <v>1.0529159582762584</v>
      </c>
      <c r="F563" s="219">
        <v>1.05</v>
      </c>
      <c r="J563" s="310"/>
      <c r="L563" s="57"/>
    </row>
    <row r="564" spans="1:12">
      <c r="A564" s="926" t="s">
        <v>449</v>
      </c>
      <c r="B564" s="310">
        <v>1</v>
      </c>
      <c r="C564" s="310">
        <v>0.05</v>
      </c>
      <c r="D564" s="311">
        <v>1.0373107053210768</v>
      </c>
      <c r="E564" s="311">
        <v>1.0246214106421534</v>
      </c>
      <c r="F564" s="219">
        <v>1.02</v>
      </c>
      <c r="J564" s="310"/>
      <c r="L564" s="57"/>
    </row>
    <row r="565" spans="1:12">
      <c r="A565" s="926" t="s">
        <v>5138</v>
      </c>
      <c r="B565" s="310">
        <v>1</v>
      </c>
      <c r="C565" s="310">
        <v>0.04</v>
      </c>
      <c r="D565" s="311">
        <v>1.0476263552974294</v>
      </c>
      <c r="E565" s="311">
        <v>1.0552527105948586</v>
      </c>
      <c r="F565" s="219">
        <v>1.06</v>
      </c>
      <c r="J565" s="310"/>
      <c r="L565" s="57"/>
    </row>
    <row r="566" spans="1:12">
      <c r="A566" s="926" t="s">
        <v>6027</v>
      </c>
      <c r="B566" s="310">
        <v>1</v>
      </c>
      <c r="C566" s="310">
        <v>0.06</v>
      </c>
      <c r="D566" s="311">
        <v>1.0643365803133</v>
      </c>
      <c r="E566" s="311">
        <v>1.0686731606266002</v>
      </c>
      <c r="F566" s="219">
        <v>1.07</v>
      </c>
      <c r="J566" s="310"/>
      <c r="L566" s="57"/>
    </row>
    <row r="567" spans="1:12">
      <c r="A567" s="926" t="s">
        <v>450</v>
      </c>
      <c r="B567" s="310">
        <v>1</v>
      </c>
      <c r="C567" s="310">
        <v>0.08</v>
      </c>
      <c r="D567" s="311">
        <v>1.0750154946670805</v>
      </c>
      <c r="E567" s="311">
        <v>1.0700309893341609</v>
      </c>
      <c r="F567" s="219">
        <v>1.07</v>
      </c>
      <c r="J567" s="310"/>
      <c r="L567" s="57"/>
    </row>
    <row r="568" spans="1:12">
      <c r="A568" s="926" t="s">
        <v>516</v>
      </c>
      <c r="B568" s="310">
        <v>1</v>
      </c>
      <c r="C568" s="310">
        <v>0.06</v>
      </c>
      <c r="D568" s="311">
        <v>1.0581938713148249</v>
      </c>
      <c r="E568" s="311">
        <v>1.0563877426296497</v>
      </c>
      <c r="F568" s="219">
        <v>1.06</v>
      </c>
      <c r="J568" s="310"/>
      <c r="L568" s="57"/>
    </row>
    <row r="569" spans="1:12">
      <c r="A569" s="926" t="s">
        <v>1525</v>
      </c>
      <c r="B569" s="310">
        <v>1</v>
      </c>
      <c r="C569" s="310">
        <v>0.04</v>
      </c>
      <c r="D569" s="311">
        <v>1.0473024446481638</v>
      </c>
      <c r="E569" s="311">
        <v>1.0546048892963273</v>
      </c>
      <c r="F569" s="219">
        <v>1.05</v>
      </c>
      <c r="J569" s="310"/>
      <c r="L569" s="57"/>
    </row>
    <row r="570" spans="1:12">
      <c r="A570" s="926" t="s">
        <v>244</v>
      </c>
      <c r="B570" s="310">
        <v>1</v>
      </c>
      <c r="C570" s="310">
        <v>0.08</v>
      </c>
      <c r="D570" s="311">
        <v>1.1206126112662198</v>
      </c>
      <c r="E570" s="311">
        <v>1.1612252225324393</v>
      </c>
      <c r="F570" s="219">
        <v>1.1599999999999999</v>
      </c>
      <c r="J570" s="310"/>
      <c r="L570" s="57"/>
    </row>
    <row r="571" spans="1:12">
      <c r="A571" s="926" t="s">
        <v>1308</v>
      </c>
      <c r="B571" s="310">
        <v>1</v>
      </c>
      <c r="C571" s="310">
        <v>0.08</v>
      </c>
      <c r="D571" s="311">
        <v>1.1304138539212274</v>
      </c>
      <c r="E571" s="311">
        <v>1.1808277078424545</v>
      </c>
      <c r="F571" s="219">
        <v>1.18</v>
      </c>
      <c r="J571" s="310"/>
      <c r="L571" s="57"/>
    </row>
    <row r="572" spans="1:12">
      <c r="A572" s="926" t="s">
        <v>6029</v>
      </c>
      <c r="B572" s="310">
        <v>1</v>
      </c>
      <c r="C572" s="310">
        <v>0.1</v>
      </c>
      <c r="D572" s="311">
        <v>1.1315292906325705</v>
      </c>
      <c r="E572" s="311">
        <v>1.1630585812651408</v>
      </c>
      <c r="F572" s="219">
        <v>1.1599999999999999</v>
      </c>
      <c r="J572" s="310"/>
      <c r="L572" s="57"/>
    </row>
    <row r="573" spans="1:12">
      <c r="A573" s="926" t="s">
        <v>6031</v>
      </c>
      <c r="B573" s="310">
        <v>1</v>
      </c>
      <c r="C573" s="310">
        <v>0.08</v>
      </c>
      <c r="D573" s="311">
        <v>1.105965415061138</v>
      </c>
      <c r="E573" s="311">
        <v>1.1319308301222759</v>
      </c>
      <c r="F573" s="219">
        <v>1.1299999999999999</v>
      </c>
      <c r="J573" s="310"/>
      <c r="L573" s="57"/>
    </row>
    <row r="574" spans="1:12">
      <c r="A574" s="926" t="s">
        <v>5628</v>
      </c>
      <c r="B574" s="310">
        <v>1</v>
      </c>
      <c r="C574" s="310">
        <v>0.09</v>
      </c>
      <c r="D574" s="311">
        <v>1.1145814932325906</v>
      </c>
      <c r="E574" s="311">
        <v>1.1391629864651811</v>
      </c>
      <c r="F574" s="219">
        <v>1.1399999999999999</v>
      </c>
      <c r="J574" s="310"/>
      <c r="L574" s="57"/>
    </row>
    <row r="575" spans="1:12">
      <c r="A575" s="926" t="s">
        <v>5630</v>
      </c>
      <c r="B575" s="310">
        <v>1</v>
      </c>
      <c r="C575" s="310">
        <v>0.1</v>
      </c>
      <c r="D575" s="311">
        <v>1.1381202606504877</v>
      </c>
      <c r="E575" s="311">
        <v>1.1762405213009752</v>
      </c>
      <c r="F575" s="219">
        <v>1.18</v>
      </c>
      <c r="J575" s="310"/>
      <c r="L575" s="57"/>
    </row>
    <row r="576" spans="1:12">
      <c r="A576" s="926" t="s">
        <v>2395</v>
      </c>
      <c r="B576" s="310">
        <v>1</v>
      </c>
      <c r="C576" s="310">
        <v>7.0000000000000007E-2</v>
      </c>
      <c r="D576" s="311">
        <v>1.0993260711922344</v>
      </c>
      <c r="E576" s="311">
        <v>1.1286521423844686</v>
      </c>
      <c r="F576" s="219">
        <v>1.1299999999999999</v>
      </c>
      <c r="J576" s="310"/>
      <c r="L576" s="57"/>
    </row>
    <row r="577" spans="1:12">
      <c r="A577" s="926" t="s">
        <v>5632</v>
      </c>
      <c r="B577" s="310">
        <v>1</v>
      </c>
      <c r="C577" s="310">
        <v>0.09</v>
      </c>
      <c r="D577" s="311">
        <v>1.1471167288039212</v>
      </c>
      <c r="E577" s="311">
        <v>1.2042334576078424</v>
      </c>
      <c r="F577" s="219">
        <v>1.2</v>
      </c>
      <c r="J577" s="310"/>
      <c r="L577" s="57"/>
    </row>
    <row r="578" spans="1:12">
      <c r="A578" s="926" t="s">
        <v>6147</v>
      </c>
      <c r="B578" s="310">
        <v>1</v>
      </c>
      <c r="C578" s="310">
        <v>0.06</v>
      </c>
      <c r="D578" s="311">
        <v>1.0998601741692613</v>
      </c>
      <c r="E578" s="311">
        <v>1.1397203483385223</v>
      </c>
      <c r="F578" s="219">
        <v>1.1399999999999999</v>
      </c>
      <c r="J578" s="310"/>
      <c r="L578" s="57"/>
    </row>
    <row r="579" spans="1:12">
      <c r="A579" s="926" t="s">
        <v>1417</v>
      </c>
      <c r="B579" s="310">
        <v>1</v>
      </c>
      <c r="C579" s="310">
        <v>0.12</v>
      </c>
      <c r="D579" s="311">
        <v>1.0861543433302983</v>
      </c>
      <c r="E579" s="311">
        <v>1.0523086866605964</v>
      </c>
      <c r="F579" s="219">
        <v>1.05</v>
      </c>
      <c r="J579" s="310"/>
      <c r="L579" s="57"/>
    </row>
    <row r="580" spans="1:12">
      <c r="A580" s="926" t="s">
        <v>1419</v>
      </c>
      <c r="B580" s="310">
        <v>1</v>
      </c>
      <c r="C580" s="310">
        <v>7.0000000000000007E-2</v>
      </c>
      <c r="D580" s="311">
        <v>1.059465861422114</v>
      </c>
      <c r="E580" s="311">
        <v>1.0489317228442276</v>
      </c>
      <c r="F580" s="219">
        <v>1.05</v>
      </c>
      <c r="J580" s="310"/>
      <c r="L580" s="57"/>
    </row>
    <row r="581" spans="1:12">
      <c r="A581" s="926" t="s">
        <v>2469</v>
      </c>
      <c r="B581" s="310">
        <v>1</v>
      </c>
      <c r="C581" s="310">
        <v>0.05</v>
      </c>
      <c r="D581" s="311">
        <v>1.0633965245299761</v>
      </c>
      <c r="E581" s="311">
        <v>1.0767930490599522</v>
      </c>
      <c r="F581" s="219">
        <v>1.08</v>
      </c>
      <c r="J581" s="310"/>
      <c r="L581" s="57"/>
    </row>
    <row r="582" spans="1:12">
      <c r="A582" s="926" t="s">
        <v>1421</v>
      </c>
      <c r="B582" s="310">
        <v>1</v>
      </c>
      <c r="C582" s="310">
        <v>0.05</v>
      </c>
      <c r="D582" s="311">
        <v>1.0570960688341715</v>
      </c>
      <c r="E582" s="311">
        <v>1.064192137668343</v>
      </c>
      <c r="F582" s="219">
        <v>1.06</v>
      </c>
      <c r="J582" s="310"/>
      <c r="L582" s="57"/>
    </row>
    <row r="583" spans="1:12">
      <c r="A583" s="926" t="s">
        <v>1423</v>
      </c>
      <c r="B583" s="310">
        <v>1</v>
      </c>
      <c r="C583" s="310">
        <v>0.06</v>
      </c>
      <c r="D583" s="311">
        <v>1.0754553648806819</v>
      </c>
      <c r="E583" s="311">
        <v>1.0909107297613641</v>
      </c>
      <c r="F583" s="219">
        <v>1.0900000000000001</v>
      </c>
      <c r="J583" s="310"/>
      <c r="L583" s="57"/>
    </row>
    <row r="584" spans="1:12">
      <c r="A584" s="926" t="s">
        <v>1425</v>
      </c>
      <c r="B584" s="310">
        <v>1</v>
      </c>
      <c r="C584" s="310">
        <v>0.05</v>
      </c>
      <c r="D584" s="311">
        <v>1.0679193643887666</v>
      </c>
      <c r="E584" s="311">
        <v>1.0858387287775333</v>
      </c>
      <c r="F584" s="219">
        <v>1.0900000000000001</v>
      </c>
      <c r="J584" s="310"/>
      <c r="L584" s="57"/>
    </row>
    <row r="585" spans="1:12">
      <c r="A585" s="926" t="s">
        <v>7151</v>
      </c>
      <c r="B585" s="310">
        <v>1</v>
      </c>
      <c r="C585" s="310">
        <v>0.05</v>
      </c>
      <c r="D585" s="311">
        <v>1.0474916685671181</v>
      </c>
      <c r="E585" s="311">
        <v>1.0449833371342361</v>
      </c>
      <c r="F585" s="219">
        <v>1.04</v>
      </c>
      <c r="J585" s="310"/>
      <c r="L585" s="57"/>
    </row>
    <row r="586" spans="1:12">
      <c r="A586" s="926" t="s">
        <v>7153</v>
      </c>
      <c r="B586" s="310">
        <v>1</v>
      </c>
      <c r="C586" s="310">
        <v>0.05</v>
      </c>
      <c r="D586" s="311">
        <v>1.0635445322099746</v>
      </c>
      <c r="E586" s="311">
        <v>1.0770890644199489</v>
      </c>
      <c r="F586" s="219">
        <v>1.08</v>
      </c>
      <c r="J586" s="310"/>
      <c r="L586" s="57"/>
    </row>
    <row r="587" spans="1:12">
      <c r="A587" s="926" t="s">
        <v>1833</v>
      </c>
      <c r="B587" s="310">
        <v>1</v>
      </c>
      <c r="C587" s="310">
        <v>0.08</v>
      </c>
      <c r="D587" s="311">
        <v>1.0681893183373856</v>
      </c>
      <c r="E587" s="311">
        <v>1.0563786366747709</v>
      </c>
      <c r="F587" s="219">
        <v>1.06</v>
      </c>
      <c r="J587" s="310"/>
      <c r="L587" s="57"/>
    </row>
    <row r="588" spans="1:12">
      <c r="A588" s="926" t="s">
        <v>1835</v>
      </c>
      <c r="B588" s="310">
        <v>1</v>
      </c>
      <c r="C588" s="310">
        <v>0.1</v>
      </c>
      <c r="D588" s="311">
        <v>1.0749066656307193</v>
      </c>
      <c r="E588" s="311">
        <v>1.0498133312614388</v>
      </c>
      <c r="F588" s="219">
        <v>1.05</v>
      </c>
      <c r="J588" s="310"/>
      <c r="L588" s="57"/>
    </row>
    <row r="589" spans="1:12">
      <c r="A589" s="926" t="s">
        <v>510</v>
      </c>
      <c r="B589" s="310">
        <v>1</v>
      </c>
      <c r="C589" s="310">
        <v>0.12</v>
      </c>
      <c r="D589" s="311">
        <v>1.1055391443481857</v>
      </c>
      <c r="E589" s="311">
        <v>1.0910782886963712</v>
      </c>
      <c r="F589" s="219">
        <v>1.0900000000000001</v>
      </c>
      <c r="J589" s="310"/>
      <c r="L589" s="57"/>
    </row>
    <row r="590" spans="1:12">
      <c r="A590" s="926" t="s">
        <v>3530</v>
      </c>
      <c r="B590" s="310">
        <v>1</v>
      </c>
      <c r="C590" s="310">
        <v>0.08</v>
      </c>
      <c r="D590" s="311">
        <v>1.0727108435488089</v>
      </c>
      <c r="E590" s="311">
        <v>1.0654216870976174</v>
      </c>
      <c r="F590" s="219">
        <v>1.07</v>
      </c>
      <c r="J590" s="310"/>
      <c r="L590" s="57"/>
    </row>
    <row r="591" spans="1:12">
      <c r="A591" s="926" t="s">
        <v>3532</v>
      </c>
      <c r="B591" s="310">
        <v>1</v>
      </c>
      <c r="C591" s="310">
        <v>0.09</v>
      </c>
      <c r="D591" s="311">
        <v>1.0806641623702067</v>
      </c>
      <c r="E591" s="311">
        <v>1.0713283247404131</v>
      </c>
      <c r="F591" s="219">
        <v>1.07</v>
      </c>
      <c r="J591" s="310"/>
      <c r="L591" s="57"/>
    </row>
    <row r="592" spans="1:12">
      <c r="A592" s="926" t="s">
        <v>3534</v>
      </c>
      <c r="B592" s="310">
        <v>1</v>
      </c>
      <c r="C592" s="310">
        <v>0.09</v>
      </c>
      <c r="D592" s="311">
        <v>1.0755555144955384</v>
      </c>
      <c r="E592" s="311">
        <v>1.0611110289910768</v>
      </c>
      <c r="F592" s="219">
        <v>1.06</v>
      </c>
      <c r="J592" s="310"/>
      <c r="L592" s="57"/>
    </row>
    <row r="593" spans="1:12">
      <c r="A593" s="926" t="s">
        <v>3536</v>
      </c>
      <c r="F593" s="219"/>
      <c r="L593" s="57"/>
    </row>
    <row r="594" spans="1:12">
      <c r="A594" s="926" t="s">
        <v>511</v>
      </c>
      <c r="B594" s="310">
        <v>1</v>
      </c>
      <c r="C594" s="310">
        <v>0.08</v>
      </c>
      <c r="D594" s="311">
        <v>1.0695789915047649</v>
      </c>
      <c r="E594" s="311">
        <v>1.0591579830095295</v>
      </c>
      <c r="F594" s="219">
        <v>1.06</v>
      </c>
      <c r="J594" s="310"/>
      <c r="L594" s="57"/>
    </row>
    <row r="595" spans="1:12">
      <c r="A595" s="926" t="s">
        <v>3539</v>
      </c>
      <c r="B595" s="310">
        <v>1</v>
      </c>
      <c r="C595" s="310">
        <v>0.08</v>
      </c>
      <c r="D595" s="311">
        <v>1.0733871110760012</v>
      </c>
      <c r="E595" s="311">
        <v>1.066774222152002</v>
      </c>
      <c r="F595" s="219">
        <v>1.07</v>
      </c>
      <c r="J595" s="310"/>
      <c r="L595" s="57"/>
    </row>
    <row r="596" spans="1:12">
      <c r="A596" s="926" t="s">
        <v>3541</v>
      </c>
      <c r="B596" s="310">
        <v>1</v>
      </c>
      <c r="C596" s="310">
        <v>0.08</v>
      </c>
      <c r="D596" s="311">
        <v>1.0669346294222033</v>
      </c>
      <c r="E596" s="311">
        <v>1.0538692588444065</v>
      </c>
      <c r="F596" s="219">
        <v>1.05</v>
      </c>
      <c r="J596" s="310"/>
      <c r="L596" s="57"/>
    </row>
    <row r="597" spans="1:12">
      <c r="A597" s="926" t="s">
        <v>3543</v>
      </c>
      <c r="B597" s="310">
        <v>1</v>
      </c>
      <c r="C597" s="310">
        <v>0.03</v>
      </c>
      <c r="D597" s="311">
        <v>1.0362160270142711</v>
      </c>
      <c r="E597" s="311">
        <v>1.0424320540285421</v>
      </c>
      <c r="F597" s="219">
        <v>1.04</v>
      </c>
      <c r="J597" s="310"/>
      <c r="L597" s="57"/>
    </row>
    <row r="598" spans="1:12">
      <c r="A598" s="926" t="s">
        <v>129</v>
      </c>
      <c r="B598" s="310">
        <v>1</v>
      </c>
      <c r="C598" s="310">
        <v>0.05</v>
      </c>
      <c r="D598" s="311">
        <v>1.0354168197625337</v>
      </c>
      <c r="E598" s="311">
        <v>1.0208336395250674</v>
      </c>
      <c r="F598" s="219">
        <v>1.02</v>
      </c>
      <c r="J598" s="310"/>
      <c r="L598" s="57"/>
    </row>
    <row r="599" spans="1:12">
      <c r="A599" s="926" t="s">
        <v>6193</v>
      </c>
      <c r="B599" s="310">
        <v>1</v>
      </c>
      <c r="C599" s="310">
        <v>0.06</v>
      </c>
      <c r="D599" s="311">
        <v>1.0584529344202824</v>
      </c>
      <c r="E599" s="311">
        <v>1.056905868840565</v>
      </c>
      <c r="F599" s="219">
        <v>1.06</v>
      </c>
      <c r="J599" s="310"/>
      <c r="L599" s="57"/>
    </row>
    <row r="600" spans="1:12">
      <c r="A600" s="926" t="s">
        <v>2674</v>
      </c>
      <c r="B600" s="310">
        <v>1</v>
      </c>
      <c r="C600" s="310">
        <v>0.06</v>
      </c>
      <c r="D600" s="311">
        <v>1.0593161944436678</v>
      </c>
      <c r="E600" s="311">
        <v>1.0586323888873357</v>
      </c>
      <c r="F600" s="219">
        <v>1.06</v>
      </c>
      <c r="J600" s="310"/>
      <c r="L600" s="57"/>
    </row>
    <row r="601" spans="1:12">
      <c r="A601" s="926" t="s">
        <v>512</v>
      </c>
      <c r="B601" s="310">
        <v>1</v>
      </c>
      <c r="C601" s="310">
        <v>0.04</v>
      </c>
      <c r="D601" s="311">
        <v>1.0420862111446794</v>
      </c>
      <c r="E601" s="311">
        <v>1.0441724222893589</v>
      </c>
      <c r="F601" s="219">
        <v>1.04</v>
      </c>
      <c r="J601" s="310"/>
      <c r="L601" s="57"/>
    </row>
    <row r="602" spans="1:12">
      <c r="A602" s="926" t="s">
        <v>600</v>
      </c>
      <c r="B602" s="310">
        <v>1</v>
      </c>
      <c r="C602" s="310">
        <v>0.06</v>
      </c>
      <c r="D602" s="311">
        <v>1.0379061727579995</v>
      </c>
      <c r="E602" s="311">
        <v>1.0158123455159991</v>
      </c>
      <c r="F602" s="219">
        <v>1.02</v>
      </c>
      <c r="J602" s="310"/>
      <c r="L602" s="57"/>
    </row>
    <row r="603" spans="1:12">
      <c r="A603" s="926" t="s">
        <v>602</v>
      </c>
      <c r="B603" s="310">
        <v>1</v>
      </c>
      <c r="C603" s="310">
        <v>7.0000000000000007E-2</v>
      </c>
      <c r="D603" s="311">
        <v>1.0540603322033659</v>
      </c>
      <c r="E603" s="311">
        <v>1.038120664406732</v>
      </c>
      <c r="F603" s="219">
        <v>1.04</v>
      </c>
      <c r="J603" s="310"/>
      <c r="L603" s="57"/>
    </row>
    <row r="604" spans="1:12">
      <c r="A604" s="926" t="s">
        <v>6188</v>
      </c>
      <c r="B604" s="310">
        <v>1</v>
      </c>
      <c r="C604" s="310">
        <v>7.0000000000000007E-2</v>
      </c>
      <c r="D604" s="311">
        <v>1.0442815352566304</v>
      </c>
      <c r="E604" s="311">
        <v>1.0185630705132607</v>
      </c>
      <c r="F604" s="219">
        <v>1.02</v>
      </c>
      <c r="J604" s="310"/>
      <c r="L604" s="57"/>
    </row>
    <row r="605" spans="1:12">
      <c r="A605" s="926" t="s">
        <v>2016</v>
      </c>
      <c r="B605" s="310">
        <v>1</v>
      </c>
      <c r="C605" s="310">
        <v>7.0000000000000007E-2</v>
      </c>
      <c r="D605" s="311">
        <v>1.040629691928237</v>
      </c>
      <c r="E605" s="311">
        <v>1.0112593838564736</v>
      </c>
      <c r="F605" s="219">
        <v>1.01</v>
      </c>
      <c r="J605" s="310"/>
      <c r="L605" s="57"/>
    </row>
    <row r="606" spans="1:12">
      <c r="A606" s="926" t="s">
        <v>2018</v>
      </c>
      <c r="B606" s="310">
        <v>1</v>
      </c>
      <c r="C606" s="310">
        <v>7.0000000000000007E-2</v>
      </c>
      <c r="D606" s="311">
        <v>1.0450545834842233</v>
      </c>
      <c r="E606" s="311">
        <v>1.0201091669684466</v>
      </c>
      <c r="F606" s="219">
        <v>1.02</v>
      </c>
      <c r="J606" s="310"/>
      <c r="L606" s="57"/>
    </row>
    <row r="607" spans="1:12">
      <c r="A607" s="926" t="s">
        <v>2020</v>
      </c>
      <c r="B607" s="310">
        <v>1</v>
      </c>
      <c r="C607" s="310">
        <v>0.06</v>
      </c>
      <c r="D607" s="311">
        <v>1.0446309317937059</v>
      </c>
      <c r="E607" s="311">
        <v>1.029261863587412</v>
      </c>
      <c r="F607" s="219">
        <v>1.03</v>
      </c>
      <c r="J607" s="310"/>
      <c r="L607" s="57"/>
    </row>
    <row r="608" spans="1:12">
      <c r="A608" s="926" t="s">
        <v>2024</v>
      </c>
      <c r="B608" s="310">
        <v>1</v>
      </c>
      <c r="C608" s="310">
        <v>7.0000000000000007E-2</v>
      </c>
      <c r="D608" s="311">
        <v>1.0799695441219552</v>
      </c>
      <c r="E608" s="311">
        <v>1.0899390882439102</v>
      </c>
      <c r="F608" s="219">
        <v>1.0900000000000001</v>
      </c>
      <c r="J608" s="310"/>
      <c r="L608" s="57"/>
    </row>
    <row r="609" spans="1:12">
      <c r="A609" s="926" t="s">
        <v>2026</v>
      </c>
      <c r="B609" s="310">
        <v>1</v>
      </c>
      <c r="C609" s="310">
        <v>0.06</v>
      </c>
      <c r="D609" s="311">
        <v>1.0435996976939221</v>
      </c>
      <c r="E609" s="311">
        <v>1.0271993953878444</v>
      </c>
      <c r="F609" s="219">
        <v>1.03</v>
      </c>
      <c r="J609" s="310"/>
      <c r="L609" s="57"/>
    </row>
    <row r="610" spans="1:12">
      <c r="A610" s="926" t="s">
        <v>242</v>
      </c>
      <c r="B610" s="310">
        <v>1</v>
      </c>
      <c r="C610" s="310">
        <v>0.1</v>
      </c>
      <c r="D610" s="311">
        <v>1.0878506527502165</v>
      </c>
      <c r="E610" s="311">
        <v>1.0757013055004327</v>
      </c>
      <c r="F610" s="219">
        <v>1.08</v>
      </c>
      <c r="J610" s="310"/>
      <c r="L610" s="57"/>
    </row>
    <row r="611" spans="1:12">
      <c r="A611" s="926" t="s">
        <v>2028</v>
      </c>
      <c r="B611" s="310">
        <v>1</v>
      </c>
      <c r="C611" s="310">
        <v>0.06</v>
      </c>
      <c r="D611" s="311">
        <v>1.076982704576896</v>
      </c>
      <c r="E611" s="311">
        <v>1.093965409153792</v>
      </c>
      <c r="F611" s="219">
        <v>1.0900000000000001</v>
      </c>
      <c r="J611" s="310"/>
      <c r="L611" s="57"/>
    </row>
    <row r="612" spans="1:12">
      <c r="A612" s="926" t="s">
        <v>2030</v>
      </c>
      <c r="B612" s="310">
        <v>1</v>
      </c>
      <c r="C612" s="310">
        <v>0.06</v>
      </c>
      <c r="D612" s="311">
        <v>1.0696347180099846</v>
      </c>
      <c r="E612" s="311">
        <v>1.0792694360199688</v>
      </c>
      <c r="F612" s="219">
        <v>1.08</v>
      </c>
      <c r="J612" s="310"/>
      <c r="L612" s="57"/>
    </row>
    <row r="613" spans="1:12">
      <c r="A613" s="926" t="s">
        <v>2032</v>
      </c>
      <c r="B613" s="310">
        <v>1</v>
      </c>
      <c r="C613" s="310">
        <v>7.0000000000000007E-2</v>
      </c>
      <c r="D613" s="311">
        <v>1.0768654687529509</v>
      </c>
      <c r="E613" s="311">
        <v>1.0837309375059014</v>
      </c>
      <c r="F613" s="219">
        <v>1.08</v>
      </c>
      <c r="J613" s="310"/>
      <c r="L613" s="57"/>
    </row>
    <row r="614" spans="1:12">
      <c r="A614" s="926" t="s">
        <v>2034</v>
      </c>
      <c r="B614" s="310">
        <v>1</v>
      </c>
      <c r="C614" s="310">
        <v>7.0000000000000007E-2</v>
      </c>
      <c r="D614" s="311">
        <v>1.0671021803483227</v>
      </c>
      <c r="E614" s="311">
        <v>1.0642043606966454</v>
      </c>
      <c r="F614" s="219">
        <v>1.06</v>
      </c>
      <c r="J614" s="310"/>
      <c r="L614" s="57"/>
    </row>
    <row r="615" spans="1:12">
      <c r="A615" s="926" t="s">
        <v>2036</v>
      </c>
      <c r="B615" s="310">
        <v>1</v>
      </c>
      <c r="C615" s="310">
        <v>7.0000000000000007E-2</v>
      </c>
      <c r="D615" s="311">
        <v>1.0658684869563806</v>
      </c>
      <c r="E615" s="311">
        <v>1.0617369739127611</v>
      </c>
      <c r="F615" s="219">
        <v>1.06</v>
      </c>
      <c r="J615" s="310"/>
      <c r="L615" s="57"/>
    </row>
    <row r="616" spans="1:12">
      <c r="A616" s="926" t="s">
        <v>308</v>
      </c>
      <c r="B616" s="310">
        <v>1</v>
      </c>
      <c r="C616" s="310">
        <v>7.0000000000000007E-2</v>
      </c>
      <c r="D616" s="311">
        <v>1.0667617737407098</v>
      </c>
      <c r="E616" s="311">
        <v>1.0635235474814195</v>
      </c>
      <c r="F616" s="219">
        <v>1.06</v>
      </c>
      <c r="J616" s="310"/>
      <c r="L616" s="57"/>
    </row>
    <row r="617" spans="1:12">
      <c r="A617" s="926" t="s">
        <v>310</v>
      </c>
      <c r="B617" s="310">
        <v>1</v>
      </c>
      <c r="C617" s="310">
        <v>0.08</v>
      </c>
      <c r="D617" s="311">
        <v>1.0877409723735951</v>
      </c>
      <c r="E617" s="311">
        <v>1.0954819447471904</v>
      </c>
      <c r="F617" s="219">
        <v>1.1000000000000001</v>
      </c>
      <c r="J617" s="310"/>
      <c r="L617" s="57"/>
    </row>
    <row r="618" spans="1:12">
      <c r="A618" s="926" t="s">
        <v>312</v>
      </c>
      <c r="B618" s="310">
        <v>1</v>
      </c>
      <c r="C618" s="310">
        <v>7.0000000000000007E-2</v>
      </c>
      <c r="D618" s="311">
        <v>1.0773943598669606</v>
      </c>
      <c r="E618" s="311">
        <v>1.0847887197339214</v>
      </c>
      <c r="F618" s="219">
        <v>1.08</v>
      </c>
      <c r="J618" s="310"/>
      <c r="L618" s="57"/>
    </row>
    <row r="619" spans="1:12">
      <c r="A619" s="926" t="s">
        <v>314</v>
      </c>
      <c r="B619" s="310">
        <v>1</v>
      </c>
      <c r="C619" s="310">
        <v>0.09</v>
      </c>
      <c r="D619" s="311">
        <v>1.080287029805473</v>
      </c>
      <c r="E619" s="311">
        <v>1.0705740596109459</v>
      </c>
      <c r="F619" s="219">
        <v>1.07</v>
      </c>
      <c r="J619" s="310"/>
      <c r="L619" s="57"/>
    </row>
    <row r="620" spans="1:12">
      <c r="A620" s="926" t="s">
        <v>316</v>
      </c>
      <c r="B620" s="310">
        <v>1</v>
      </c>
      <c r="C620" s="310">
        <v>7.0000000000000007E-2</v>
      </c>
      <c r="D620" s="311">
        <v>1.0760231406010261</v>
      </c>
      <c r="E620" s="311">
        <v>1.0820462812020524</v>
      </c>
      <c r="F620" s="219">
        <v>1.08</v>
      </c>
      <c r="J620" s="310"/>
      <c r="L620" s="57"/>
    </row>
    <row r="621" spans="1:12">
      <c r="A621" s="926" t="s">
        <v>318</v>
      </c>
      <c r="B621" s="310">
        <v>1</v>
      </c>
      <c r="C621" s="310">
        <v>0.06</v>
      </c>
      <c r="D621" s="311">
        <v>1.0670516681504361</v>
      </c>
      <c r="E621" s="311">
        <v>1.0741033363008718</v>
      </c>
      <c r="F621" s="219">
        <v>1.07</v>
      </c>
      <c r="J621" s="310"/>
      <c r="L621" s="57"/>
    </row>
    <row r="622" spans="1:12">
      <c r="A622" s="926" t="s">
        <v>320</v>
      </c>
      <c r="B622" s="310">
        <v>1</v>
      </c>
      <c r="C622" s="310">
        <v>0.06</v>
      </c>
      <c r="D622" s="311">
        <v>1.065064969449059</v>
      </c>
      <c r="E622" s="311">
        <v>1.070129938898118</v>
      </c>
      <c r="F622" s="219">
        <v>1.07</v>
      </c>
      <c r="J622" s="310"/>
      <c r="L622" s="57"/>
    </row>
    <row r="623" spans="1:12">
      <c r="A623" s="926" t="s">
        <v>2319</v>
      </c>
      <c r="B623" s="310">
        <v>1</v>
      </c>
      <c r="C623" s="310">
        <v>0.06</v>
      </c>
      <c r="D623" s="311">
        <v>1.0654220768850751</v>
      </c>
      <c r="E623" s="311">
        <v>1.0708441537701503</v>
      </c>
      <c r="F623" s="219">
        <v>1.07</v>
      </c>
      <c r="J623" s="310"/>
      <c r="L623" s="57"/>
    </row>
    <row r="624" spans="1:12">
      <c r="A624" s="926" t="s">
        <v>2321</v>
      </c>
      <c r="B624" s="310">
        <v>1</v>
      </c>
      <c r="C624" s="310">
        <v>7.0000000000000007E-2</v>
      </c>
      <c r="D624" s="311">
        <v>1.0745599503428851</v>
      </c>
      <c r="E624" s="311">
        <v>1.0791199006857699</v>
      </c>
      <c r="F624" s="219">
        <v>1.08</v>
      </c>
      <c r="J624" s="310"/>
      <c r="L624" s="57"/>
    </row>
    <row r="625" spans="1:12">
      <c r="A625" s="926" t="s">
        <v>3178</v>
      </c>
      <c r="B625" s="310">
        <v>1</v>
      </c>
      <c r="C625" s="310">
        <v>0.13</v>
      </c>
      <c r="D625" s="311">
        <v>1.1510916112916907</v>
      </c>
      <c r="E625" s="311">
        <v>1.1721832225833813</v>
      </c>
      <c r="F625" s="219">
        <v>1.17</v>
      </c>
      <c r="J625" s="310"/>
      <c r="L625" s="57"/>
    </row>
    <row r="626" spans="1:12">
      <c r="A626" s="926" t="s">
        <v>249</v>
      </c>
      <c r="B626" s="310">
        <v>1</v>
      </c>
      <c r="C626" s="310">
        <v>0.12</v>
      </c>
      <c r="D626" s="311">
        <v>1.1570118742632629</v>
      </c>
      <c r="E626" s="311">
        <v>1.1940237485265259</v>
      </c>
      <c r="F626" s="219">
        <v>1.19</v>
      </c>
      <c r="J626" s="310"/>
      <c r="L626" s="57"/>
    </row>
    <row r="627" spans="1:12">
      <c r="A627" s="926" t="s">
        <v>2323</v>
      </c>
      <c r="B627" s="310">
        <v>1</v>
      </c>
      <c r="C627" s="310">
        <v>0.11</v>
      </c>
      <c r="D627" s="311">
        <v>1.1146284522156966</v>
      </c>
      <c r="E627" s="311">
        <v>1.1192569044313931</v>
      </c>
      <c r="F627" s="219">
        <v>1.1200000000000001</v>
      </c>
      <c r="J627" s="310"/>
      <c r="L627" s="57"/>
    </row>
    <row r="628" spans="1:12">
      <c r="A628" s="926" t="s">
        <v>513</v>
      </c>
      <c r="B628" s="310">
        <v>1</v>
      </c>
      <c r="C628" s="310">
        <v>0.1</v>
      </c>
      <c r="D628" s="311">
        <v>1.1212403219227651</v>
      </c>
      <c r="E628" s="311">
        <v>1.1424806438455304</v>
      </c>
      <c r="F628" s="219">
        <v>1.1399999999999999</v>
      </c>
      <c r="J628" s="310"/>
      <c r="L628" s="57"/>
    </row>
    <row r="629" spans="1:12">
      <c r="A629" s="926" t="s">
        <v>1872</v>
      </c>
      <c r="B629" s="310">
        <v>1</v>
      </c>
      <c r="C629" s="310">
        <v>0.1</v>
      </c>
      <c r="D629" s="311">
        <v>1.1173797476489622</v>
      </c>
      <c r="E629" s="311">
        <v>1.1347594952979243</v>
      </c>
      <c r="F629" s="219">
        <v>1.1299999999999999</v>
      </c>
      <c r="J629" s="310"/>
      <c r="L629" s="57"/>
    </row>
    <row r="630" spans="1:12">
      <c r="A630" s="926" t="s">
        <v>2325</v>
      </c>
      <c r="B630" s="310">
        <v>1</v>
      </c>
      <c r="C630" s="310">
        <v>0.12</v>
      </c>
      <c r="D630" s="311">
        <v>1.1411848311107273</v>
      </c>
      <c r="E630" s="311">
        <v>1.1623696622214545</v>
      </c>
      <c r="F630" s="219">
        <v>1.1599999999999999</v>
      </c>
      <c r="J630" s="310"/>
      <c r="L630" s="57"/>
    </row>
    <row r="631" spans="1:12">
      <c r="A631" s="926" t="s">
        <v>2327</v>
      </c>
      <c r="B631" s="310">
        <v>1</v>
      </c>
      <c r="C631" s="310">
        <v>0.11</v>
      </c>
      <c r="D631" s="311">
        <v>1.1332230828295633</v>
      </c>
      <c r="E631" s="311">
        <v>1.1564461656591263</v>
      </c>
      <c r="F631" s="219">
        <v>1.1599999999999999</v>
      </c>
      <c r="J631" s="310"/>
      <c r="L631" s="57"/>
    </row>
    <row r="632" spans="1:12">
      <c r="A632" s="926" t="s">
        <v>5236</v>
      </c>
      <c r="B632" s="310">
        <v>1</v>
      </c>
      <c r="C632" s="310">
        <v>0.05</v>
      </c>
      <c r="D632" s="311">
        <v>1.0508475390036378</v>
      </c>
      <c r="E632" s="311">
        <v>1.0516950780072754</v>
      </c>
      <c r="F632" s="219">
        <v>1.05</v>
      </c>
      <c r="J632" s="310"/>
      <c r="L632" s="57"/>
    </row>
    <row r="633" spans="1:12">
      <c r="A633" s="926" t="s">
        <v>7700</v>
      </c>
      <c r="B633" s="310">
        <v>1</v>
      </c>
      <c r="C633" s="310">
        <v>0.05</v>
      </c>
      <c r="D633" s="311">
        <v>1.0618044825854986</v>
      </c>
      <c r="E633" s="311">
        <v>1.0736089651709975</v>
      </c>
      <c r="F633" s="219">
        <v>1.07</v>
      </c>
      <c r="J633" s="310"/>
      <c r="L633" s="57"/>
    </row>
    <row r="634" spans="1:12">
      <c r="A634" s="926" t="s">
        <v>7702</v>
      </c>
      <c r="B634" s="310">
        <v>1</v>
      </c>
      <c r="C634" s="310">
        <v>0.06</v>
      </c>
      <c r="D634" s="311">
        <v>1.0697085382069031</v>
      </c>
      <c r="E634" s="311">
        <v>1.0794170764138062</v>
      </c>
      <c r="F634" s="219">
        <v>1.08</v>
      </c>
      <c r="J634" s="310"/>
      <c r="L634" s="57"/>
    </row>
    <row r="635" spans="1:12">
      <c r="A635" s="926" t="s">
        <v>7704</v>
      </c>
      <c r="B635" s="310">
        <v>1</v>
      </c>
      <c r="C635" s="310">
        <v>7.0000000000000007E-2</v>
      </c>
      <c r="D635" s="311">
        <v>1.0881537607016929</v>
      </c>
      <c r="E635" s="311">
        <v>1.106307521403386</v>
      </c>
      <c r="F635" s="219">
        <v>1.1100000000000001</v>
      </c>
      <c r="J635" s="310"/>
      <c r="L635" s="57"/>
    </row>
    <row r="636" spans="1:12">
      <c r="A636" s="926" t="s">
        <v>5634</v>
      </c>
      <c r="B636" s="310">
        <v>1</v>
      </c>
      <c r="C636" s="310">
        <v>0.08</v>
      </c>
      <c r="D636" s="311">
        <v>1.0863092243769317</v>
      </c>
      <c r="E636" s="311">
        <v>1.0926184487538635</v>
      </c>
      <c r="F636" s="219">
        <v>1.0900000000000001</v>
      </c>
      <c r="J636" s="310"/>
      <c r="L636" s="57"/>
    </row>
    <row r="637" spans="1:12">
      <c r="A637" s="926" t="s">
        <v>5636</v>
      </c>
      <c r="B637" s="310">
        <v>1</v>
      </c>
      <c r="C637" s="310">
        <v>0.08</v>
      </c>
      <c r="D637" s="311">
        <v>1.0827989003194751</v>
      </c>
      <c r="E637" s="311">
        <v>1.0855978006389502</v>
      </c>
      <c r="F637" s="219">
        <v>1.0900000000000001</v>
      </c>
      <c r="J637" s="310"/>
      <c r="L637" s="57"/>
    </row>
    <row r="638" spans="1:12">
      <c r="A638" s="926" t="s">
        <v>4016</v>
      </c>
      <c r="B638" s="310">
        <v>1</v>
      </c>
      <c r="C638" s="310">
        <v>0.08</v>
      </c>
      <c r="D638" s="311">
        <v>1.0803313120608813</v>
      </c>
      <c r="E638" s="311">
        <v>1.0806626241217627</v>
      </c>
      <c r="F638" s="219">
        <v>1.08</v>
      </c>
      <c r="J638" s="310"/>
      <c r="L638" s="57"/>
    </row>
    <row r="639" spans="1:12">
      <c r="A639" s="926" t="s">
        <v>4018</v>
      </c>
      <c r="B639" s="310">
        <v>1</v>
      </c>
      <c r="C639" s="310">
        <v>0.06</v>
      </c>
      <c r="D639" s="311">
        <v>1.07966285279337</v>
      </c>
      <c r="E639" s="311">
        <v>1.0993257055867398</v>
      </c>
      <c r="F639" s="219">
        <v>1.1000000000000001</v>
      </c>
      <c r="J639" s="310"/>
      <c r="L639" s="57"/>
    </row>
    <row r="640" spans="1:12">
      <c r="A640" s="926" t="s">
        <v>4020</v>
      </c>
      <c r="B640" s="310">
        <v>1</v>
      </c>
      <c r="C640" s="310">
        <v>0.05</v>
      </c>
      <c r="D640" s="311">
        <v>1.0727864386438</v>
      </c>
      <c r="E640" s="311">
        <v>1.0955728772875999</v>
      </c>
      <c r="F640" s="219">
        <v>1.1000000000000001</v>
      </c>
      <c r="J640" s="310"/>
      <c r="L640" s="57"/>
    </row>
    <row r="641" spans="1:12">
      <c r="A641" s="926" t="s">
        <v>4022</v>
      </c>
      <c r="B641" s="310">
        <v>1</v>
      </c>
      <c r="C641" s="310">
        <v>0.05</v>
      </c>
      <c r="D641" s="311">
        <v>1.0875364303978574</v>
      </c>
      <c r="E641" s="311">
        <v>1.1250728607957148</v>
      </c>
      <c r="F641" s="219">
        <v>1.1299999999999999</v>
      </c>
      <c r="J641" s="310"/>
      <c r="L641" s="57"/>
    </row>
    <row r="642" spans="1:12">
      <c r="A642" s="926" t="s">
        <v>2996</v>
      </c>
      <c r="B642" s="310">
        <v>1</v>
      </c>
      <c r="C642" s="310">
        <v>0.11</v>
      </c>
      <c r="D642" s="311">
        <v>1.1231503791789335</v>
      </c>
      <c r="E642" s="311">
        <v>1.136300758357867</v>
      </c>
      <c r="F642" s="219">
        <v>1.1399999999999999</v>
      </c>
      <c r="J642" s="310"/>
      <c r="L642" s="57"/>
    </row>
    <row r="643" spans="1:12">
      <c r="A643" s="926" t="s">
        <v>4028</v>
      </c>
      <c r="B643" s="310">
        <v>1</v>
      </c>
      <c r="C643" s="310">
        <v>0.04</v>
      </c>
      <c r="D643" s="311">
        <v>1.0345011740532479</v>
      </c>
      <c r="E643" s="311">
        <v>1.0290023481064956</v>
      </c>
      <c r="F643" s="219">
        <v>1.03</v>
      </c>
      <c r="J643" s="310"/>
      <c r="L643" s="57"/>
    </row>
    <row r="644" spans="1:12">
      <c r="A644" s="926" t="s">
        <v>4030</v>
      </c>
      <c r="B644" s="310">
        <v>1</v>
      </c>
      <c r="C644" s="310">
        <v>7.0000000000000007E-2</v>
      </c>
      <c r="D644" s="311">
        <v>1.0553793363491932</v>
      </c>
      <c r="E644" s="311">
        <v>1.0407586726983866</v>
      </c>
      <c r="F644" s="219">
        <v>1.04</v>
      </c>
      <c r="J644" s="310"/>
      <c r="L644" s="57"/>
    </row>
    <row r="645" spans="1:12">
      <c r="A645" s="926" t="s">
        <v>2903</v>
      </c>
      <c r="B645" s="310">
        <v>1</v>
      </c>
      <c r="C645" s="310">
        <v>0.05</v>
      </c>
      <c r="D645" s="311">
        <v>1.0518367708786793</v>
      </c>
      <c r="E645" s="311">
        <v>1.0536735417573588</v>
      </c>
      <c r="F645" s="219">
        <v>1.05</v>
      </c>
      <c r="J645" s="310"/>
      <c r="L645" s="57"/>
    </row>
    <row r="646" spans="1:12">
      <c r="A646" s="926" t="s">
        <v>1310</v>
      </c>
      <c r="B646" s="310">
        <v>1</v>
      </c>
      <c r="C646" s="310">
        <v>0.08</v>
      </c>
      <c r="D646" s="311">
        <v>1.0784831976123752</v>
      </c>
      <c r="E646" s="311">
        <v>1.0769663952247501</v>
      </c>
      <c r="F646" s="219">
        <v>1.08</v>
      </c>
      <c r="J646" s="310"/>
      <c r="L646" s="57"/>
    </row>
    <row r="647" spans="1:12">
      <c r="A647" s="926" t="s">
        <v>4032</v>
      </c>
      <c r="B647" s="310">
        <v>1</v>
      </c>
      <c r="C647" s="310">
        <v>0.05</v>
      </c>
      <c r="D647" s="311">
        <v>1.0455821950431021</v>
      </c>
      <c r="E647" s="311">
        <v>1.0411643900862042</v>
      </c>
      <c r="F647" s="219">
        <v>1.04</v>
      </c>
      <c r="J647" s="310"/>
      <c r="L647" s="57"/>
    </row>
    <row r="648" spans="1:12">
      <c r="A648" s="926" t="s">
        <v>2397</v>
      </c>
      <c r="B648" s="310">
        <v>1</v>
      </c>
      <c r="C648" s="310">
        <v>0.04</v>
      </c>
      <c r="D648" s="311">
        <v>1.0393525423677996</v>
      </c>
      <c r="E648" s="311">
        <v>1.0387050847355992</v>
      </c>
      <c r="F648" s="219">
        <v>1.04</v>
      </c>
      <c r="J648" s="310"/>
      <c r="L648" s="57"/>
    </row>
    <row r="649" spans="1:12">
      <c r="A649" s="926" t="s">
        <v>669</v>
      </c>
      <c r="B649" s="310">
        <v>1</v>
      </c>
      <c r="C649" s="310">
        <v>0.04</v>
      </c>
      <c r="D649" s="311">
        <v>1.0358715235732898</v>
      </c>
      <c r="E649" s="311">
        <v>1.0317430471465796</v>
      </c>
      <c r="F649" s="219">
        <v>1.03</v>
      </c>
      <c r="J649" s="310"/>
      <c r="L649" s="57"/>
    </row>
    <row r="650" spans="1:12">
      <c r="A650" s="926" t="s">
        <v>4151</v>
      </c>
      <c r="B650" s="310">
        <v>1</v>
      </c>
      <c r="C650" s="310">
        <v>7.0000000000000007E-2</v>
      </c>
      <c r="D650" s="311">
        <v>1.062864339103665</v>
      </c>
      <c r="E650" s="311">
        <v>1.0557286782073296</v>
      </c>
      <c r="F650" s="219">
        <v>1.06</v>
      </c>
      <c r="J650" s="310"/>
      <c r="L650" s="57"/>
    </row>
    <row r="651" spans="1:12">
      <c r="A651" s="926" t="s">
        <v>4153</v>
      </c>
      <c r="B651" s="310">
        <v>1</v>
      </c>
      <c r="C651" s="310">
        <v>7.0000000000000007E-2</v>
      </c>
      <c r="D651" s="311">
        <v>1.0632613761418424</v>
      </c>
      <c r="E651" s="311">
        <v>1.0565227522836846</v>
      </c>
      <c r="F651" s="219">
        <v>1.06</v>
      </c>
      <c r="J651" s="310"/>
      <c r="L651" s="57"/>
    </row>
    <row r="652" spans="1:12">
      <c r="A652" s="926" t="s">
        <v>4155</v>
      </c>
      <c r="B652" s="310">
        <v>1</v>
      </c>
      <c r="C652" s="310">
        <v>7.0000000000000007E-2</v>
      </c>
      <c r="D652" s="311">
        <v>1.0536293236062741</v>
      </c>
      <c r="E652" s="311">
        <v>1.037258647212548</v>
      </c>
      <c r="F652" s="219">
        <v>1.04</v>
      </c>
      <c r="J652" s="310"/>
      <c r="L652" s="57"/>
    </row>
    <row r="653" spans="1:12">
      <c r="A653" s="926" t="s">
        <v>4157</v>
      </c>
      <c r="B653" s="310">
        <v>1</v>
      </c>
      <c r="C653" s="310">
        <v>0.06</v>
      </c>
      <c r="D653" s="311">
        <v>1.0509797304459447</v>
      </c>
      <c r="E653" s="311">
        <v>1.0419594608918894</v>
      </c>
      <c r="F653" s="219">
        <v>1.04</v>
      </c>
      <c r="J653" s="310"/>
      <c r="L653" s="57"/>
    </row>
    <row r="654" spans="1:12">
      <c r="A654" s="926" t="s">
        <v>3000</v>
      </c>
      <c r="B654" s="310">
        <v>1</v>
      </c>
      <c r="C654" s="310">
        <v>7.0000000000000007E-2</v>
      </c>
      <c r="D654" s="311">
        <v>1.072982956028425</v>
      </c>
      <c r="E654" s="311">
        <v>1.0759659120568497</v>
      </c>
      <c r="F654" s="219">
        <v>1.08</v>
      </c>
      <c r="J654" s="310"/>
      <c r="L654" s="57"/>
    </row>
    <row r="655" spans="1:12">
      <c r="A655" s="926" t="s">
        <v>4159</v>
      </c>
      <c r="B655" s="310">
        <v>1</v>
      </c>
      <c r="C655" s="310">
        <v>7.0000000000000007E-2</v>
      </c>
      <c r="D655" s="311">
        <v>1.0640700108959957</v>
      </c>
      <c r="E655" s="311">
        <v>1.0581400217919916</v>
      </c>
      <c r="F655" s="219">
        <v>1.06</v>
      </c>
      <c r="J655" s="310"/>
      <c r="L655" s="57"/>
    </row>
    <row r="656" spans="1:12">
      <c r="A656" s="926" t="s">
        <v>4161</v>
      </c>
      <c r="B656" s="310">
        <v>1</v>
      </c>
      <c r="C656" s="310">
        <v>0.06</v>
      </c>
      <c r="D656" s="311">
        <v>1.0580299464998693</v>
      </c>
      <c r="E656" s="311">
        <v>1.0560598929997385</v>
      </c>
      <c r="F656" s="219">
        <v>1.06</v>
      </c>
      <c r="J656" s="310"/>
      <c r="L656" s="57"/>
    </row>
    <row r="657" spans="1:12">
      <c r="A657" s="926" t="s">
        <v>4163</v>
      </c>
      <c r="B657" s="310">
        <v>1</v>
      </c>
      <c r="C657" s="310">
        <v>0.09</v>
      </c>
      <c r="D657" s="311">
        <v>1.0699313184514201</v>
      </c>
      <c r="E657" s="311">
        <v>1.0498626369028401</v>
      </c>
      <c r="F657" s="219">
        <v>1.05</v>
      </c>
      <c r="J657" s="310"/>
      <c r="L657" s="57"/>
    </row>
    <row r="658" spans="1:12">
      <c r="A658" s="926" t="s">
        <v>4165</v>
      </c>
      <c r="B658" s="310">
        <v>1</v>
      </c>
      <c r="C658" s="310">
        <v>0.09</v>
      </c>
      <c r="D658" s="311">
        <v>1.0657743424773354</v>
      </c>
      <c r="E658" s="311">
        <v>1.0415486849546707</v>
      </c>
      <c r="F658" s="219">
        <v>1.04</v>
      </c>
      <c r="J658" s="310"/>
      <c r="L658" s="57"/>
    </row>
    <row r="659" spans="1:12">
      <c r="A659" s="926" t="s">
        <v>4167</v>
      </c>
      <c r="B659" s="310">
        <v>1</v>
      </c>
      <c r="C659" s="310">
        <v>0.05</v>
      </c>
      <c r="D659" s="311">
        <v>1.0669307190934667</v>
      </c>
      <c r="E659" s="311">
        <v>1.0838614381869336</v>
      </c>
      <c r="F659" s="219">
        <v>1.08</v>
      </c>
      <c r="J659" s="310"/>
      <c r="L659" s="57"/>
    </row>
    <row r="660" spans="1:12">
      <c r="A660" s="926" t="s">
        <v>4169</v>
      </c>
      <c r="B660" s="310">
        <v>1</v>
      </c>
      <c r="C660" s="310">
        <v>0.13</v>
      </c>
      <c r="D660" s="311">
        <v>1.1192122911507556</v>
      </c>
      <c r="E660" s="311">
        <v>1.1084245823015111</v>
      </c>
      <c r="F660" s="219">
        <v>1.1100000000000001</v>
      </c>
      <c r="J660" s="310"/>
      <c r="L660" s="57"/>
    </row>
    <row r="661" spans="1:12">
      <c r="A661" s="926" t="s">
        <v>4171</v>
      </c>
      <c r="B661" s="310">
        <v>1</v>
      </c>
      <c r="C661" s="310">
        <v>0.09</v>
      </c>
      <c r="D661" s="311">
        <v>1.0934766514400973</v>
      </c>
      <c r="E661" s="311">
        <v>1.0969533028801943</v>
      </c>
      <c r="F661" s="219">
        <v>1.1000000000000001</v>
      </c>
      <c r="J661" s="310"/>
      <c r="L661" s="57"/>
    </row>
    <row r="662" spans="1:12">
      <c r="A662" s="926" t="s">
        <v>2055</v>
      </c>
      <c r="B662" s="310">
        <v>1</v>
      </c>
      <c r="C662" s="310">
        <v>0.1</v>
      </c>
      <c r="D662" s="311">
        <v>1.0856356610876285</v>
      </c>
      <c r="E662" s="311">
        <v>1.071271322175257</v>
      </c>
      <c r="F662" s="219">
        <v>1.07</v>
      </c>
      <c r="J662" s="310"/>
      <c r="L662" s="57"/>
    </row>
    <row r="663" spans="1:12">
      <c r="A663" s="926" t="s">
        <v>2057</v>
      </c>
      <c r="B663" s="310">
        <v>1</v>
      </c>
      <c r="C663" s="310">
        <v>0.11</v>
      </c>
      <c r="D663" s="311">
        <v>1.105534200676467</v>
      </c>
      <c r="E663" s="311">
        <v>1.1010684013529339</v>
      </c>
      <c r="F663" s="219">
        <v>1.1000000000000001</v>
      </c>
      <c r="J663" s="310"/>
      <c r="L663" s="57"/>
    </row>
    <row r="664" spans="1:12">
      <c r="A664" s="926" t="s">
        <v>2059</v>
      </c>
      <c r="B664" s="310">
        <v>1</v>
      </c>
      <c r="C664" s="310">
        <v>0.11</v>
      </c>
      <c r="D664" s="311">
        <v>1.0998061619092707</v>
      </c>
      <c r="E664" s="311">
        <v>1.0896123238185413</v>
      </c>
      <c r="F664" s="219">
        <v>1.0900000000000001</v>
      </c>
      <c r="J664" s="310"/>
      <c r="L664" s="57"/>
    </row>
    <row r="665" spans="1:12">
      <c r="A665" s="926" t="s">
        <v>1814</v>
      </c>
      <c r="B665" s="310">
        <v>1</v>
      </c>
      <c r="C665" s="310">
        <v>0.15</v>
      </c>
      <c r="D665" s="311">
        <v>1.1344551452281086</v>
      </c>
      <c r="E665" s="311">
        <v>1.1189102904562176</v>
      </c>
      <c r="F665" s="219">
        <v>1.1200000000000001</v>
      </c>
      <c r="J665" s="310"/>
      <c r="L665" s="57"/>
    </row>
    <row r="666" spans="1:12">
      <c r="A666" s="926" t="s">
        <v>958</v>
      </c>
      <c r="B666" s="310">
        <v>1</v>
      </c>
      <c r="C666" s="310">
        <v>0.03</v>
      </c>
      <c r="D666" s="311">
        <v>1.0555136964290686</v>
      </c>
      <c r="E666" s="311">
        <v>1.0810273928581369</v>
      </c>
      <c r="F666" s="219">
        <v>1.08</v>
      </c>
      <c r="J666" s="310"/>
      <c r="L666" s="57"/>
    </row>
    <row r="667" spans="1:12">
      <c r="A667" s="926" t="s">
        <v>2061</v>
      </c>
      <c r="B667" s="310">
        <v>1</v>
      </c>
      <c r="C667" s="310">
        <v>0.05</v>
      </c>
      <c r="D667" s="311">
        <v>1.0463266222225236</v>
      </c>
      <c r="E667" s="311">
        <v>1.0426532444450471</v>
      </c>
      <c r="F667" s="219">
        <v>1.04</v>
      </c>
      <c r="J667" s="310"/>
      <c r="L667" s="57"/>
    </row>
    <row r="668" spans="1:12">
      <c r="A668" s="926" t="s">
        <v>1845</v>
      </c>
      <c r="B668" s="310">
        <v>1</v>
      </c>
      <c r="C668" s="310">
        <v>0.04</v>
      </c>
      <c r="D668" s="311">
        <v>1.043190810433793</v>
      </c>
      <c r="E668" s="311">
        <v>1.046381620867586</v>
      </c>
      <c r="F668" s="219">
        <v>1.05</v>
      </c>
      <c r="J668" s="310"/>
      <c r="L668" s="57"/>
    </row>
    <row r="669" spans="1:12">
      <c r="A669" s="926" t="s">
        <v>5237</v>
      </c>
      <c r="B669" s="310">
        <v>1</v>
      </c>
      <c r="C669" s="310">
        <v>0.03</v>
      </c>
      <c r="D669" s="311">
        <v>1.0501180274159982</v>
      </c>
      <c r="E669" s="311">
        <v>1.0702360548319967</v>
      </c>
      <c r="F669" s="219">
        <v>1.07</v>
      </c>
      <c r="J669" s="310"/>
      <c r="L669" s="57"/>
    </row>
    <row r="670" spans="1:12">
      <c r="A670" s="926" t="s">
        <v>2065</v>
      </c>
      <c r="B670" s="310">
        <v>1</v>
      </c>
      <c r="C670" s="310">
        <v>0.08</v>
      </c>
      <c r="D670" s="311">
        <v>1.1054104358439711</v>
      </c>
      <c r="E670" s="311">
        <v>1.1308208716879422</v>
      </c>
      <c r="F670" s="219">
        <v>1.1299999999999999</v>
      </c>
      <c r="J670" s="310"/>
      <c r="L670" s="57"/>
    </row>
    <row r="671" spans="1:12">
      <c r="A671" s="926" t="s">
        <v>2905</v>
      </c>
      <c r="B671" s="310">
        <v>1</v>
      </c>
      <c r="C671" s="310">
        <v>0.06</v>
      </c>
      <c r="D671" s="311">
        <v>1.0812456086608249</v>
      </c>
      <c r="E671" s="311">
        <v>1.1024912173216499</v>
      </c>
      <c r="F671" s="219">
        <v>1.1000000000000001</v>
      </c>
      <c r="J671" s="310"/>
      <c r="L671" s="57"/>
    </row>
    <row r="672" spans="1:12">
      <c r="A672" s="926" t="s">
        <v>5238</v>
      </c>
      <c r="B672" s="310">
        <v>1</v>
      </c>
      <c r="C672" s="310">
        <v>0.05</v>
      </c>
      <c r="D672" s="311">
        <v>1.0705568989243641</v>
      </c>
      <c r="E672" s="311">
        <v>1.091113797848728</v>
      </c>
      <c r="F672" s="219">
        <v>1.0900000000000001</v>
      </c>
      <c r="J672" s="310"/>
      <c r="L672" s="57"/>
    </row>
    <row r="673" spans="1:12">
      <c r="A673" s="926" t="s">
        <v>6163</v>
      </c>
      <c r="B673" s="310">
        <v>1</v>
      </c>
      <c r="C673" s="310">
        <v>0.05</v>
      </c>
      <c r="D673" s="311">
        <v>1.0599342519233526</v>
      </c>
      <c r="E673" s="311">
        <v>1.0698685038467053</v>
      </c>
      <c r="F673" s="219">
        <v>1.07</v>
      </c>
      <c r="J673" s="310"/>
      <c r="L673" s="57"/>
    </row>
    <row r="674" spans="1:12">
      <c r="A674" s="926" t="s">
        <v>2470</v>
      </c>
      <c r="B674" s="310">
        <v>1</v>
      </c>
      <c r="C674" s="310">
        <v>0.05</v>
      </c>
      <c r="D674" s="311">
        <v>1.0669419517864287</v>
      </c>
      <c r="E674" s="311">
        <v>1.0838839035728574</v>
      </c>
      <c r="F674" s="219">
        <v>1.08</v>
      </c>
      <c r="J674" s="310"/>
      <c r="L674" s="57"/>
    </row>
    <row r="675" spans="1:12">
      <c r="A675" s="926" t="s">
        <v>973</v>
      </c>
      <c r="B675" s="310">
        <v>1</v>
      </c>
      <c r="C675" s="310">
        <v>0.05</v>
      </c>
      <c r="D675" s="311">
        <v>1.0605804961697092</v>
      </c>
      <c r="E675" s="311">
        <v>1.0711609923394185</v>
      </c>
      <c r="F675" s="219">
        <v>1.07</v>
      </c>
      <c r="J675" s="310"/>
      <c r="L675" s="57"/>
    </row>
    <row r="676" spans="1:12">
      <c r="A676" s="926" t="s">
        <v>2769</v>
      </c>
      <c r="B676" s="310">
        <v>1</v>
      </c>
      <c r="C676" s="310">
        <v>0.04</v>
      </c>
      <c r="D676" s="311">
        <v>1.0534902755134672</v>
      </c>
      <c r="E676" s="311">
        <v>1.0669805510269341</v>
      </c>
      <c r="F676" s="219">
        <v>1.07</v>
      </c>
      <c r="J676" s="310"/>
      <c r="L676" s="57"/>
    </row>
    <row r="677" spans="1:12">
      <c r="A677" s="926" t="s">
        <v>3553</v>
      </c>
      <c r="B677" s="310">
        <v>1</v>
      </c>
      <c r="C677" s="310">
        <v>0.11</v>
      </c>
      <c r="D677" s="311">
        <v>1.1370895381497927</v>
      </c>
      <c r="E677" s="311">
        <v>1.1641790762995852</v>
      </c>
      <c r="F677" s="219">
        <v>1.1599999999999999</v>
      </c>
      <c r="J677" s="310"/>
      <c r="L677" s="57"/>
    </row>
    <row r="678" spans="1:12">
      <c r="A678" s="926" t="s">
        <v>3556</v>
      </c>
      <c r="B678" s="310">
        <v>1</v>
      </c>
      <c r="C678" s="310">
        <v>0.05</v>
      </c>
      <c r="D678" s="311">
        <v>1.0697397856518696</v>
      </c>
      <c r="E678" s="311">
        <v>1.0894795713037391</v>
      </c>
      <c r="F678" s="219">
        <v>1.0900000000000001</v>
      </c>
      <c r="J678" s="310"/>
      <c r="L678" s="57"/>
    </row>
    <row r="679" spans="1:12">
      <c r="A679" s="926" t="s">
        <v>5052</v>
      </c>
      <c r="B679" s="310">
        <v>1</v>
      </c>
      <c r="C679" s="310">
        <v>0.04</v>
      </c>
      <c r="D679" s="311">
        <v>1.0561382192587629</v>
      </c>
      <c r="E679" s="311">
        <v>1.0722764385175259</v>
      </c>
      <c r="F679" s="219">
        <v>1.07</v>
      </c>
      <c r="J679" s="310"/>
      <c r="L679" s="57"/>
    </row>
    <row r="680" spans="1:12">
      <c r="A680" s="926" t="s">
        <v>5054</v>
      </c>
      <c r="B680" s="310">
        <v>1</v>
      </c>
      <c r="C680" s="310">
        <v>0.04</v>
      </c>
      <c r="D680" s="311">
        <v>1.0592638846935465</v>
      </c>
      <c r="E680" s="311">
        <v>1.0785277693870929</v>
      </c>
      <c r="F680" s="219">
        <v>1.08</v>
      </c>
      <c r="J680" s="310"/>
      <c r="L680" s="57"/>
    </row>
    <row r="681" spans="1:12">
      <c r="A681" s="926" t="s">
        <v>737</v>
      </c>
      <c r="B681" s="310">
        <v>1</v>
      </c>
      <c r="C681" s="310">
        <v>0.04</v>
      </c>
      <c r="D681" s="311">
        <v>1.0667667455767185</v>
      </c>
      <c r="E681" s="311">
        <v>1.0935334911534369</v>
      </c>
      <c r="F681" s="219">
        <v>1.0900000000000001</v>
      </c>
      <c r="J681" s="310"/>
      <c r="L681" s="57"/>
    </row>
    <row r="682" spans="1:12">
      <c r="A682" s="926" t="s">
        <v>237</v>
      </c>
      <c r="B682" s="310">
        <v>1</v>
      </c>
      <c r="C682" s="310">
        <v>0.06</v>
      </c>
      <c r="D682" s="311">
        <v>1.0814088100566503</v>
      </c>
      <c r="E682" s="311">
        <v>1.1028176201133009</v>
      </c>
      <c r="F682" s="219">
        <v>1.1000000000000001</v>
      </c>
      <c r="J682" s="310"/>
      <c r="L682" s="57"/>
    </row>
    <row r="683" spans="1:12">
      <c r="A683" s="926" t="s">
        <v>2307</v>
      </c>
      <c r="B683" s="310">
        <v>1</v>
      </c>
      <c r="C683" s="310">
        <v>0.06</v>
      </c>
      <c r="D683" s="311">
        <v>1.0789699706254265</v>
      </c>
      <c r="E683" s="311">
        <v>1.0979399412508533</v>
      </c>
      <c r="F683" s="219">
        <v>1.1000000000000001</v>
      </c>
      <c r="J683" s="310"/>
      <c r="L683" s="57"/>
    </row>
    <row r="684" spans="1:12">
      <c r="A684" s="926" t="s">
        <v>957</v>
      </c>
      <c r="B684" s="310">
        <v>1</v>
      </c>
      <c r="C684" s="310">
        <v>0.04</v>
      </c>
      <c r="D684" s="311">
        <v>1.0521905826615923</v>
      </c>
      <c r="E684" s="311">
        <v>1.0643811653231843</v>
      </c>
      <c r="F684" s="219">
        <v>1.06</v>
      </c>
      <c r="J684" s="310"/>
      <c r="L684" s="57"/>
    </row>
    <row r="685" spans="1:12">
      <c r="A685" s="926" t="s">
        <v>5056</v>
      </c>
      <c r="B685" s="310">
        <v>1</v>
      </c>
      <c r="C685" s="310">
        <v>0.05</v>
      </c>
      <c r="D685" s="311">
        <v>1.0450738064945893</v>
      </c>
      <c r="E685" s="311">
        <v>1.0401476129891785</v>
      </c>
      <c r="F685" s="219">
        <v>1.04</v>
      </c>
      <c r="J685" s="310"/>
      <c r="L685" s="57"/>
    </row>
    <row r="686" spans="1:12">
      <c r="A686" s="926" t="s">
        <v>5137</v>
      </c>
      <c r="B686" s="310">
        <v>1</v>
      </c>
      <c r="C686" s="310">
        <v>0.05</v>
      </c>
      <c r="D686" s="311">
        <v>1.0468090517110675</v>
      </c>
      <c r="E686" s="311">
        <v>1.0436181034221352</v>
      </c>
      <c r="F686" s="219">
        <v>1.04</v>
      </c>
      <c r="J686" s="310"/>
      <c r="L686" s="57"/>
    </row>
    <row r="687" spans="1:12">
      <c r="A687" s="926" t="s">
        <v>4568</v>
      </c>
      <c r="B687" s="310">
        <v>1</v>
      </c>
      <c r="C687" s="310">
        <v>7.0000000000000007E-2</v>
      </c>
      <c r="D687" s="311">
        <v>1.0743922070170409</v>
      </c>
      <c r="E687" s="311">
        <v>1.0787844140340817</v>
      </c>
      <c r="F687" s="219">
        <v>1.08</v>
      </c>
      <c r="J687" s="310"/>
      <c r="L687" s="57"/>
    </row>
    <row r="688" spans="1:12">
      <c r="A688" s="926" t="s">
        <v>2053</v>
      </c>
      <c r="B688" s="310">
        <v>1</v>
      </c>
      <c r="C688" s="310">
        <v>7.0000000000000007E-2</v>
      </c>
      <c r="D688" s="311">
        <v>1.1202959772506631</v>
      </c>
      <c r="E688" s="311">
        <v>1.1705919545013259</v>
      </c>
      <c r="F688" s="219">
        <v>1.17</v>
      </c>
      <c r="J688" s="310"/>
      <c r="L688" s="57"/>
    </row>
    <row r="689" spans="1:12">
      <c r="A689" s="926" t="s">
        <v>1846</v>
      </c>
      <c r="B689" s="310">
        <v>1</v>
      </c>
      <c r="C689" s="310">
        <v>0.06</v>
      </c>
      <c r="D689" s="311">
        <v>1.086444704291464</v>
      </c>
      <c r="E689" s="311">
        <v>1.1128894085829282</v>
      </c>
      <c r="F689" s="219">
        <v>1.1100000000000001</v>
      </c>
      <c r="J689" s="310"/>
      <c r="L689" s="57"/>
    </row>
    <row r="690" spans="1:12">
      <c r="A690" s="926" t="s">
        <v>5239</v>
      </c>
      <c r="B690" s="310">
        <v>1</v>
      </c>
      <c r="C690" s="310">
        <v>7.0000000000000007E-2</v>
      </c>
      <c r="D690" s="311">
        <v>1.1150787282745425</v>
      </c>
      <c r="E690" s="311">
        <v>1.1601574565490851</v>
      </c>
      <c r="F690" s="219">
        <v>1.1599999999999999</v>
      </c>
      <c r="J690" s="310"/>
      <c r="L690" s="57"/>
    </row>
    <row r="691" spans="1:12">
      <c r="A691" s="926" t="s">
        <v>1870</v>
      </c>
      <c r="B691" s="310">
        <v>1</v>
      </c>
      <c r="C691" s="310">
        <v>0.08</v>
      </c>
      <c r="D691" s="311">
        <v>1.1249651942700405</v>
      </c>
      <c r="E691" s="311">
        <v>1.1699303885400809</v>
      </c>
      <c r="F691" s="219">
        <v>1.17</v>
      </c>
      <c r="J691" s="310"/>
      <c r="L691" s="57"/>
    </row>
    <row r="692" spans="1:12">
      <c r="A692" s="926" t="s">
        <v>6169</v>
      </c>
      <c r="B692" s="310">
        <v>1</v>
      </c>
      <c r="C692" s="310">
        <v>0.08</v>
      </c>
      <c r="D692" s="311">
        <v>1.1348342023392237</v>
      </c>
      <c r="E692" s="311">
        <v>1.1896684046784476</v>
      </c>
      <c r="F692" s="219">
        <v>1.19</v>
      </c>
      <c r="J692" s="310"/>
      <c r="L692" s="57"/>
    </row>
    <row r="693" spans="1:12">
      <c r="A693" s="926" t="s">
        <v>574</v>
      </c>
      <c r="B693" s="310">
        <v>1</v>
      </c>
      <c r="C693" s="310">
        <v>0.06</v>
      </c>
      <c r="D693" s="311">
        <v>1.0654017449784705</v>
      </c>
      <c r="E693" s="311">
        <v>1.0708034899569412</v>
      </c>
      <c r="F693" s="219">
        <v>1.07</v>
      </c>
      <c r="J693" s="310"/>
      <c r="L693" s="57"/>
    </row>
    <row r="694" spans="1:12">
      <c r="A694" s="926" t="s">
        <v>6172</v>
      </c>
      <c r="B694" s="310">
        <v>1</v>
      </c>
      <c r="C694" s="310">
        <v>0.14000000000000001</v>
      </c>
      <c r="D694" s="311">
        <v>1.151071381692752</v>
      </c>
      <c r="E694" s="311">
        <v>1.1621427633855039</v>
      </c>
      <c r="F694" s="219">
        <v>1.1599999999999999</v>
      </c>
      <c r="J694" s="310"/>
      <c r="L694" s="57"/>
    </row>
    <row r="695" spans="1:12">
      <c r="A695" s="926" t="s">
        <v>578</v>
      </c>
      <c r="B695" s="310">
        <v>1</v>
      </c>
      <c r="C695" s="310">
        <v>0.09</v>
      </c>
      <c r="D695" s="311">
        <v>1.0845897332605299</v>
      </c>
      <c r="E695" s="311">
        <v>1.0791794665210599</v>
      </c>
      <c r="F695" s="219">
        <v>1.08</v>
      </c>
      <c r="J695" s="310"/>
      <c r="L695" s="57"/>
    </row>
    <row r="696" spans="1:12">
      <c r="A696" s="926" t="s">
        <v>980</v>
      </c>
      <c r="B696" s="310">
        <v>1</v>
      </c>
      <c r="C696" s="310">
        <v>0.08</v>
      </c>
      <c r="D696" s="311">
        <v>1.0804832385589762</v>
      </c>
      <c r="E696" s="311">
        <v>1.0809664771179521</v>
      </c>
      <c r="F696" s="219">
        <v>1.08</v>
      </c>
      <c r="J696" s="310"/>
      <c r="L696" s="57"/>
    </row>
    <row r="697" spans="1:12">
      <c r="A697" s="926" t="s">
        <v>3972</v>
      </c>
      <c r="B697" s="310">
        <v>1</v>
      </c>
      <c r="C697" s="310">
        <v>0.08</v>
      </c>
      <c r="D697" s="311">
        <v>1.0650744119975168</v>
      </c>
      <c r="E697" s="311">
        <v>1.0501488239950336</v>
      </c>
      <c r="F697" s="219">
        <v>1.05</v>
      </c>
      <c r="J697" s="310"/>
      <c r="L697" s="57"/>
    </row>
    <row r="698" spans="1:12">
      <c r="A698" s="926" t="s">
        <v>6173</v>
      </c>
      <c r="B698" s="310">
        <v>1</v>
      </c>
      <c r="C698" s="310">
        <v>0.06</v>
      </c>
      <c r="D698" s="311">
        <v>1.0605940260466196</v>
      </c>
      <c r="E698" s="311">
        <v>1.0611880520932389</v>
      </c>
      <c r="F698" s="219">
        <v>1.06</v>
      </c>
      <c r="J698" s="310"/>
      <c r="L698" s="57"/>
    </row>
    <row r="699" spans="1:12">
      <c r="A699" s="926" t="s">
        <v>3974</v>
      </c>
      <c r="B699" s="310">
        <v>1</v>
      </c>
      <c r="C699" s="310">
        <v>0.08</v>
      </c>
      <c r="D699" s="311">
        <v>1.0839782011471095</v>
      </c>
      <c r="E699" s="311">
        <v>1.087956402294219</v>
      </c>
      <c r="F699" s="219">
        <v>1.0900000000000001</v>
      </c>
      <c r="J699" s="310"/>
      <c r="L699" s="57"/>
    </row>
    <row r="700" spans="1:12">
      <c r="A700" s="926" t="s">
        <v>814</v>
      </c>
      <c r="B700" s="310">
        <v>1</v>
      </c>
      <c r="C700" s="310">
        <v>0.06</v>
      </c>
      <c r="D700" s="311">
        <v>1.0610098778546817</v>
      </c>
      <c r="E700" s="311">
        <v>1.0620197557093634</v>
      </c>
      <c r="F700" s="219">
        <v>1.06</v>
      </c>
      <c r="J700" s="310"/>
      <c r="L700" s="57"/>
    </row>
    <row r="701" spans="1:12">
      <c r="A701" s="926" t="s">
        <v>4587</v>
      </c>
      <c r="B701" s="310">
        <v>1</v>
      </c>
      <c r="C701" s="310">
        <v>0.08</v>
      </c>
      <c r="D701" s="311">
        <v>1.0659475690271476</v>
      </c>
      <c r="E701" s="311">
        <v>1.0518951380542949</v>
      </c>
      <c r="F701" s="219">
        <v>1.05</v>
      </c>
      <c r="J701" s="310"/>
      <c r="L701" s="57"/>
    </row>
    <row r="702" spans="1:12">
      <c r="A702" s="926" t="s">
        <v>1852</v>
      </c>
      <c r="B702" s="310">
        <v>1</v>
      </c>
      <c r="C702" s="310">
        <v>0.04</v>
      </c>
      <c r="D702" s="311">
        <v>1.0538275401591259</v>
      </c>
      <c r="E702" s="311">
        <v>1.0676550803182518</v>
      </c>
      <c r="F702" s="219">
        <v>1.07</v>
      </c>
      <c r="J702" s="310"/>
      <c r="L702" s="57"/>
    </row>
    <row r="703" spans="1:12">
      <c r="A703" s="926" t="s">
        <v>141</v>
      </c>
      <c r="B703" s="310">
        <v>1</v>
      </c>
      <c r="C703" s="310">
        <v>0.05</v>
      </c>
      <c r="D703" s="311">
        <v>1.0483140226195444</v>
      </c>
      <c r="E703" s="311">
        <v>1.0466280452390888</v>
      </c>
      <c r="F703" s="219">
        <v>1.05</v>
      </c>
      <c r="J703" s="310"/>
      <c r="L703" s="57"/>
    </row>
    <row r="704" spans="1:12">
      <c r="A704" s="926" t="s">
        <v>143</v>
      </c>
      <c r="B704" s="310">
        <v>1</v>
      </c>
      <c r="C704" s="310">
        <v>0.04</v>
      </c>
      <c r="D704" s="311">
        <v>1.0465345260171266</v>
      </c>
      <c r="E704" s="311">
        <v>1.0530690520342534</v>
      </c>
      <c r="F704" s="219">
        <v>1.05</v>
      </c>
      <c r="J704" s="310"/>
      <c r="L704" s="57"/>
    </row>
    <row r="705" spans="1:12">
      <c r="A705" s="926" t="s">
        <v>1847</v>
      </c>
      <c r="B705" s="310">
        <v>1</v>
      </c>
      <c r="C705" s="310">
        <v>0.05</v>
      </c>
      <c r="D705" s="311">
        <v>1.0490832014862035</v>
      </c>
      <c r="E705" s="311">
        <v>1.0481664029724069</v>
      </c>
      <c r="F705" s="219">
        <v>1.05</v>
      </c>
      <c r="J705" s="310"/>
      <c r="L705" s="57"/>
    </row>
    <row r="706" spans="1:12">
      <c r="A706" s="926" t="s">
        <v>145</v>
      </c>
      <c r="B706" s="310">
        <v>1</v>
      </c>
      <c r="C706" s="310">
        <v>7.0000000000000007E-2</v>
      </c>
      <c r="D706" s="311">
        <v>1.0683734050281</v>
      </c>
      <c r="E706" s="311">
        <v>1.0667468100561999</v>
      </c>
      <c r="F706" s="219">
        <v>1.07</v>
      </c>
      <c r="J706" s="310"/>
      <c r="L706" s="57"/>
    </row>
    <row r="707" spans="1:12">
      <c r="A707" s="926" t="s">
        <v>147</v>
      </c>
      <c r="B707" s="310">
        <v>1</v>
      </c>
      <c r="C707" s="310">
        <v>0.06</v>
      </c>
      <c r="D707" s="311">
        <v>1.0518217452297276</v>
      </c>
      <c r="E707" s="311">
        <v>1.0436434904594554</v>
      </c>
      <c r="F707" s="219">
        <v>1.04</v>
      </c>
      <c r="J707" s="310"/>
      <c r="L707" s="57"/>
    </row>
    <row r="708" spans="1:12">
      <c r="A708" s="926" t="s">
        <v>149</v>
      </c>
      <c r="B708" s="310">
        <v>1</v>
      </c>
      <c r="C708" s="310">
        <v>0.08</v>
      </c>
      <c r="D708" s="311">
        <v>1.0613991175361843</v>
      </c>
      <c r="E708" s="311">
        <v>1.0427982350723686</v>
      </c>
      <c r="F708" s="219">
        <v>1.04</v>
      </c>
      <c r="J708" s="310"/>
      <c r="L708" s="57"/>
    </row>
    <row r="709" spans="1:12">
      <c r="A709" s="926" t="s">
        <v>1956</v>
      </c>
      <c r="B709" s="310">
        <v>1</v>
      </c>
      <c r="C709" s="310">
        <v>7.0000000000000007E-2</v>
      </c>
      <c r="D709" s="311">
        <v>1.0730922964412053</v>
      </c>
      <c r="E709" s="311">
        <v>1.0761845928824103</v>
      </c>
      <c r="F709" s="219">
        <v>1.08</v>
      </c>
      <c r="J709" s="310"/>
      <c r="L709" s="57"/>
    </row>
    <row r="710" spans="1:12">
      <c r="A710" s="926" t="s">
        <v>1958</v>
      </c>
      <c r="B710" s="310">
        <v>1</v>
      </c>
      <c r="C710" s="310">
        <v>0.06</v>
      </c>
      <c r="D710" s="311">
        <v>1.0645399196476026</v>
      </c>
      <c r="E710" s="311">
        <v>1.0690798392952052</v>
      </c>
      <c r="F710" s="219">
        <v>1.07</v>
      </c>
      <c r="J710" s="310"/>
      <c r="L710" s="57"/>
    </row>
    <row r="711" spans="1:12">
      <c r="A711" s="926" t="s">
        <v>1960</v>
      </c>
      <c r="B711" s="310">
        <v>1</v>
      </c>
      <c r="C711" s="310">
        <v>7.0000000000000007E-2</v>
      </c>
      <c r="D711" s="311">
        <v>1.0577045797989051</v>
      </c>
      <c r="E711" s="311">
        <v>1.0454091595978103</v>
      </c>
      <c r="F711" s="219">
        <v>1.05</v>
      </c>
      <c r="J711" s="310"/>
      <c r="L711" s="57"/>
    </row>
    <row r="712" spans="1:12">
      <c r="A712" s="926" t="s">
        <v>2039</v>
      </c>
      <c r="B712" s="310">
        <v>1</v>
      </c>
      <c r="C712" s="310">
        <v>7.0000000000000007E-2</v>
      </c>
      <c r="D712" s="311">
        <v>1.0554391607874509</v>
      </c>
      <c r="E712" s="311">
        <v>1.0408783215749018</v>
      </c>
      <c r="F712" s="219">
        <v>1.04</v>
      </c>
      <c r="J712" s="310"/>
      <c r="L712" s="57"/>
    </row>
    <row r="713" spans="1:12">
      <c r="A713" s="926" t="s">
        <v>2041</v>
      </c>
      <c r="B713" s="310">
        <v>1</v>
      </c>
      <c r="C713" s="310">
        <v>0.06</v>
      </c>
      <c r="D713" s="311">
        <v>1.0538024214907387</v>
      </c>
      <c r="E713" s="311">
        <v>1.0476048429814773</v>
      </c>
      <c r="F713" s="219">
        <v>1.05</v>
      </c>
      <c r="J713" s="310"/>
      <c r="L713" s="57"/>
    </row>
    <row r="714" spans="1:12">
      <c r="A714" s="926" t="s">
        <v>1825</v>
      </c>
      <c r="B714" s="310">
        <v>1</v>
      </c>
      <c r="C714" s="310">
        <v>0.06</v>
      </c>
      <c r="D714" s="311">
        <v>1.0531055796287552</v>
      </c>
      <c r="E714" s="311">
        <v>1.0462111592575101</v>
      </c>
      <c r="F714" s="219">
        <v>1.05</v>
      </c>
      <c r="J714" s="310"/>
      <c r="L714" s="57"/>
    </row>
    <row r="715" spans="1:12">
      <c r="A715" s="926" t="s">
        <v>1827</v>
      </c>
      <c r="B715" s="310">
        <v>1</v>
      </c>
      <c r="C715" s="310">
        <v>0.05</v>
      </c>
      <c r="D715" s="311">
        <v>1.0545428951034148</v>
      </c>
      <c r="E715" s="311">
        <v>1.0590857902068296</v>
      </c>
      <c r="F715" s="219">
        <v>1.06</v>
      </c>
      <c r="J715" s="310"/>
      <c r="L715" s="57"/>
    </row>
    <row r="716" spans="1:12">
      <c r="A716" s="926" t="s">
        <v>238</v>
      </c>
      <c r="B716" s="310">
        <v>1</v>
      </c>
      <c r="C716" s="310">
        <v>0.16</v>
      </c>
      <c r="D716" s="311">
        <v>1.2128608365308788</v>
      </c>
      <c r="E716" s="311">
        <v>1.2657216730617575</v>
      </c>
      <c r="F716" s="219">
        <v>1.27</v>
      </c>
      <c r="J716" s="310"/>
      <c r="L716" s="57"/>
    </row>
    <row r="717" spans="1:12">
      <c r="A717" s="926" t="s">
        <v>1829</v>
      </c>
      <c r="B717" s="310">
        <v>1</v>
      </c>
      <c r="C717" s="310">
        <v>0.12</v>
      </c>
      <c r="D717" s="311">
        <v>1.146577860300559</v>
      </c>
      <c r="E717" s="311">
        <v>1.1731557206011176</v>
      </c>
      <c r="F717" s="219">
        <v>1.17</v>
      </c>
      <c r="J717" s="310"/>
      <c r="L717" s="57"/>
    </row>
    <row r="718" spans="1:12">
      <c r="A718" s="926" t="s">
        <v>859</v>
      </c>
      <c r="B718" s="310">
        <v>1</v>
      </c>
      <c r="C718" s="310">
        <v>0.13</v>
      </c>
      <c r="D718" s="311">
        <v>1.1530123790794167</v>
      </c>
      <c r="E718" s="311">
        <v>1.1760247581588334</v>
      </c>
      <c r="F718" s="219">
        <v>1.18</v>
      </c>
      <c r="J718" s="310"/>
      <c r="L718" s="57"/>
    </row>
    <row r="719" spans="1:12">
      <c r="A719" s="926" t="s">
        <v>3001</v>
      </c>
      <c r="B719" s="310">
        <v>1</v>
      </c>
      <c r="C719" s="310">
        <v>0.13</v>
      </c>
      <c r="D719" s="311">
        <v>1.1695397455715157</v>
      </c>
      <c r="E719" s="311">
        <v>1.2090794911430316</v>
      </c>
      <c r="F719" s="219">
        <v>1.21</v>
      </c>
      <c r="J719" s="310"/>
      <c r="L719" s="57"/>
    </row>
    <row r="720" spans="1:12">
      <c r="A720" s="926" t="s">
        <v>2405</v>
      </c>
      <c r="B720" s="310">
        <v>1</v>
      </c>
      <c r="C720" s="310">
        <v>0.12</v>
      </c>
      <c r="D720" s="311">
        <v>1.1504160427263281</v>
      </c>
      <c r="E720" s="311">
        <v>1.1808320854526559</v>
      </c>
      <c r="F720" s="219">
        <v>1.18</v>
      </c>
      <c r="J720" s="310"/>
      <c r="L720" s="57"/>
    </row>
    <row r="721" spans="1:12">
      <c r="A721" s="926" t="s">
        <v>2907</v>
      </c>
      <c r="B721" s="310">
        <v>1</v>
      </c>
      <c r="C721" s="310">
        <v>0.14000000000000001</v>
      </c>
      <c r="D721" s="311">
        <v>1.1775809415445284</v>
      </c>
      <c r="E721" s="311">
        <v>1.2151618830890567</v>
      </c>
      <c r="F721" s="219">
        <v>1.22</v>
      </c>
      <c r="J721" s="310"/>
      <c r="L721" s="57"/>
    </row>
    <row r="722" spans="1:12">
      <c r="A722" s="926" t="s">
        <v>1222</v>
      </c>
      <c r="B722" s="310">
        <v>1</v>
      </c>
      <c r="C722" s="310">
        <v>0.08</v>
      </c>
      <c r="D722" s="311">
        <v>1.0917877316214857</v>
      </c>
      <c r="E722" s="311">
        <v>1.1035754632429711</v>
      </c>
      <c r="F722" s="219">
        <v>1.1000000000000001</v>
      </c>
      <c r="J722" s="310"/>
      <c r="L722" s="57"/>
    </row>
    <row r="723" spans="1:12">
      <c r="A723" s="926" t="s">
        <v>1224</v>
      </c>
      <c r="B723" s="310">
        <v>1</v>
      </c>
      <c r="C723" s="310">
        <v>0.05</v>
      </c>
      <c r="D723" s="311">
        <v>1.0684629694813759</v>
      </c>
      <c r="E723" s="311">
        <v>1.0869259389627515</v>
      </c>
      <c r="F723" s="219">
        <v>1.0900000000000001</v>
      </c>
      <c r="J723" s="310"/>
      <c r="L723" s="57"/>
    </row>
    <row r="724" spans="1:12">
      <c r="A724" s="926" t="s">
        <v>5375</v>
      </c>
      <c r="B724" s="310">
        <v>1</v>
      </c>
      <c r="C724" s="310">
        <v>0.06</v>
      </c>
      <c r="D724" s="311">
        <v>1.0582286137880068</v>
      </c>
      <c r="E724" s="311">
        <v>1.0564572275760133</v>
      </c>
      <c r="F724" s="219">
        <v>1.06</v>
      </c>
      <c r="J724" s="310"/>
      <c r="L724" s="57"/>
    </row>
    <row r="725" spans="1:12">
      <c r="A725" s="926" t="s">
        <v>5377</v>
      </c>
      <c r="B725" s="310">
        <v>1</v>
      </c>
      <c r="C725" s="310">
        <v>0.04</v>
      </c>
      <c r="D725" s="311">
        <v>1.0486178645332918</v>
      </c>
      <c r="E725" s="311">
        <v>1.0572357290665837</v>
      </c>
      <c r="F725" s="219">
        <v>1.06</v>
      </c>
      <c r="J725" s="310"/>
      <c r="L725" s="57"/>
    </row>
    <row r="726" spans="1:12">
      <c r="A726" s="926" t="s">
        <v>5379</v>
      </c>
      <c r="B726" s="310">
        <v>1</v>
      </c>
      <c r="C726" s="310">
        <v>0.04</v>
      </c>
      <c r="D726" s="311">
        <v>1.0344285328073326</v>
      </c>
      <c r="E726" s="311">
        <v>1.0288570656146652</v>
      </c>
      <c r="F726" s="219">
        <v>1.03</v>
      </c>
      <c r="J726" s="310"/>
      <c r="L726" s="57"/>
    </row>
    <row r="727" spans="1:12">
      <c r="A727" s="926" t="s">
        <v>642</v>
      </c>
      <c r="B727" s="310">
        <v>1</v>
      </c>
      <c r="C727" s="310">
        <v>0.03</v>
      </c>
      <c r="D727" s="311">
        <v>1.0303985549683907</v>
      </c>
      <c r="E727" s="311">
        <v>1.0307971099367812</v>
      </c>
      <c r="F727" s="219">
        <v>1.03</v>
      </c>
      <c r="J727" s="310"/>
      <c r="L727" s="57"/>
    </row>
    <row r="728" spans="1:12">
      <c r="A728" s="926" t="s">
        <v>2618</v>
      </c>
      <c r="B728" s="310">
        <v>1</v>
      </c>
      <c r="C728" s="310">
        <v>0.03</v>
      </c>
      <c r="D728" s="311">
        <v>1.0366484646919285</v>
      </c>
      <c r="E728" s="311">
        <v>1.0432969293838568</v>
      </c>
      <c r="F728" s="219">
        <v>1.04</v>
      </c>
      <c r="J728" s="310"/>
      <c r="L728" s="57"/>
    </row>
    <row r="729" spans="1:12">
      <c r="A729" s="926" t="s">
        <v>644</v>
      </c>
      <c r="B729" s="310">
        <v>1</v>
      </c>
      <c r="C729" s="310">
        <v>0.04</v>
      </c>
      <c r="D729" s="311">
        <v>1.0421492565054948</v>
      </c>
      <c r="E729" s="311">
        <v>1.0442985130109899</v>
      </c>
      <c r="F729" s="219">
        <v>1.04</v>
      </c>
      <c r="J729" s="310"/>
      <c r="L729" s="57"/>
    </row>
    <row r="730" spans="1:12">
      <c r="A730" s="926" t="s">
        <v>2620</v>
      </c>
      <c r="B730" s="310">
        <v>1</v>
      </c>
      <c r="C730" s="310">
        <v>0.06</v>
      </c>
      <c r="D730" s="311">
        <v>1.057016624565658</v>
      </c>
      <c r="E730" s="311">
        <v>1.054033249131316</v>
      </c>
      <c r="F730" s="219">
        <v>1.05</v>
      </c>
      <c r="J730" s="310"/>
      <c r="L730" s="57"/>
    </row>
    <row r="731" spans="1:12">
      <c r="A731" s="926" t="s">
        <v>4588</v>
      </c>
      <c r="B731" s="310">
        <v>1</v>
      </c>
      <c r="C731" s="310">
        <v>0.03</v>
      </c>
      <c r="D731" s="311">
        <v>1.0339878774484035</v>
      </c>
      <c r="E731" s="311">
        <v>1.0379757548968072</v>
      </c>
      <c r="F731" s="219">
        <v>1.04</v>
      </c>
      <c r="J731" s="310"/>
      <c r="L731" s="57"/>
    </row>
    <row r="732" spans="1:12">
      <c r="A732" s="926" t="s">
        <v>2622</v>
      </c>
      <c r="B732" s="310">
        <v>1</v>
      </c>
      <c r="C732" s="310">
        <v>0.03</v>
      </c>
      <c r="D732" s="311">
        <v>1.0341151211691457</v>
      </c>
      <c r="E732" s="311">
        <v>1.0382302423382914</v>
      </c>
      <c r="F732" s="219">
        <v>1.04</v>
      </c>
      <c r="J732" s="310"/>
      <c r="L732" s="57"/>
    </row>
    <row r="733" spans="1:12">
      <c r="A733" s="926" t="s">
        <v>2624</v>
      </c>
      <c r="B733" s="310">
        <v>1</v>
      </c>
      <c r="C733" s="310">
        <v>0.04</v>
      </c>
      <c r="D733" s="311">
        <v>1.0362222356868309</v>
      </c>
      <c r="E733" s="311">
        <v>1.0324444713736618</v>
      </c>
      <c r="F733" s="219">
        <v>1.03</v>
      </c>
      <c r="J733" s="310"/>
      <c r="L733" s="57"/>
    </row>
    <row r="734" spans="1:12">
      <c r="A734" s="926" t="s">
        <v>1523</v>
      </c>
      <c r="B734" s="310">
        <v>1</v>
      </c>
      <c r="C734" s="310">
        <v>0.04</v>
      </c>
      <c r="D734" s="311">
        <v>1.0321065357888648</v>
      </c>
      <c r="E734" s="311">
        <v>1.0242130715777296</v>
      </c>
      <c r="F734" s="219">
        <v>1.02</v>
      </c>
      <c r="J734" s="310"/>
      <c r="L734" s="57"/>
    </row>
    <row r="735" spans="1:12">
      <c r="A735" s="926" t="s">
        <v>2626</v>
      </c>
      <c r="B735" s="310">
        <v>1</v>
      </c>
      <c r="C735" s="310">
        <v>0.03</v>
      </c>
      <c r="D735" s="311">
        <v>1.0328860592386528</v>
      </c>
      <c r="E735" s="311">
        <v>1.0357721184773057</v>
      </c>
      <c r="F735" s="219">
        <v>1.04</v>
      </c>
      <c r="J735" s="310"/>
      <c r="L735" s="57"/>
    </row>
    <row r="736" spans="1:12">
      <c r="A736" s="926" t="s">
        <v>2628</v>
      </c>
      <c r="B736" s="310">
        <v>1</v>
      </c>
      <c r="C736" s="310">
        <v>0.05</v>
      </c>
      <c r="D736" s="311">
        <v>1.0526616987586532</v>
      </c>
      <c r="E736" s="311">
        <v>1.0553233975173062</v>
      </c>
      <c r="F736" s="219">
        <v>1.06</v>
      </c>
      <c r="J736" s="310"/>
      <c r="L736" s="57"/>
    </row>
    <row r="737" spans="1:12">
      <c r="A737" s="926" t="s">
        <v>241</v>
      </c>
      <c r="B737" s="310">
        <v>1</v>
      </c>
      <c r="C737" s="310">
        <v>7.0000000000000007E-2</v>
      </c>
      <c r="D737" s="311">
        <v>1.0806187349121075</v>
      </c>
      <c r="E737" s="311">
        <v>1.0912374698242147</v>
      </c>
      <c r="F737" s="219">
        <v>1.0900000000000001</v>
      </c>
      <c r="J737" s="310"/>
      <c r="L737" s="57"/>
    </row>
    <row r="738" spans="1:12">
      <c r="A738" s="926" t="s">
        <v>248</v>
      </c>
      <c r="B738" s="310">
        <v>1</v>
      </c>
      <c r="C738" s="310">
        <v>0.04</v>
      </c>
      <c r="D738" s="311">
        <v>1.0508762381254146</v>
      </c>
      <c r="E738" s="311">
        <v>1.061752476250829</v>
      </c>
      <c r="F738" s="219">
        <v>1.06</v>
      </c>
      <c r="J738" s="310"/>
      <c r="L738" s="57"/>
    </row>
    <row r="739" spans="1:12">
      <c r="A739" s="926" t="s">
        <v>5084</v>
      </c>
      <c r="B739" s="310">
        <v>1</v>
      </c>
      <c r="C739" s="310">
        <v>0.04</v>
      </c>
      <c r="D739" s="311">
        <v>1.0448319367045888</v>
      </c>
      <c r="E739" s="311">
        <v>1.0496638734091779</v>
      </c>
      <c r="F739" s="219">
        <v>1.05</v>
      </c>
      <c r="J739" s="310"/>
      <c r="L739" s="57"/>
    </row>
    <row r="740" spans="1:12">
      <c r="A740" s="926" t="s">
        <v>2534</v>
      </c>
      <c r="B740" s="310">
        <v>1</v>
      </c>
      <c r="C740" s="310">
        <v>0.06</v>
      </c>
      <c r="D740" s="311">
        <v>1.0630115626527581</v>
      </c>
      <c r="E740" s="311">
        <v>1.0660231253055161</v>
      </c>
      <c r="F740" s="219">
        <v>1.07</v>
      </c>
      <c r="J740" s="310"/>
      <c r="L740" s="57"/>
    </row>
    <row r="741" spans="1:12">
      <c r="A741" s="926" t="s">
        <v>5086</v>
      </c>
      <c r="B741" s="310">
        <v>1</v>
      </c>
      <c r="C741" s="310">
        <v>0.04</v>
      </c>
      <c r="D741" s="311">
        <v>1.0506752212863342</v>
      </c>
      <c r="E741" s="311">
        <v>1.0613504425726681</v>
      </c>
      <c r="F741" s="219">
        <v>1.06</v>
      </c>
      <c r="J741" s="310"/>
      <c r="L741" s="57"/>
    </row>
    <row r="742" spans="1:12">
      <c r="A742" s="926" t="s">
        <v>2768</v>
      </c>
      <c r="B742" s="310">
        <v>1</v>
      </c>
      <c r="C742" s="310">
        <v>0.04</v>
      </c>
      <c r="D742" s="311">
        <v>1.0484988429795887</v>
      </c>
      <c r="E742" s="311">
        <v>1.0569976859591774</v>
      </c>
      <c r="F742" s="219">
        <v>1.06</v>
      </c>
      <c r="J742" s="310"/>
      <c r="L742" s="57"/>
    </row>
    <row r="743" spans="1:12">
      <c r="A743" s="926" t="s">
        <v>5088</v>
      </c>
      <c r="B743" s="310">
        <v>1</v>
      </c>
      <c r="C743" s="310">
        <v>0.08</v>
      </c>
      <c r="D743" s="311">
        <v>1.0688410119708742</v>
      </c>
      <c r="E743" s="311">
        <v>1.0576820239417484</v>
      </c>
      <c r="F743" s="219">
        <v>1.06</v>
      </c>
      <c r="J743" s="310"/>
      <c r="L743" s="57"/>
    </row>
    <row r="744" spans="1:12">
      <c r="A744" s="926" t="s">
        <v>6181</v>
      </c>
      <c r="B744" s="310">
        <v>1</v>
      </c>
      <c r="C744" s="310">
        <v>7.0000000000000007E-2</v>
      </c>
      <c r="D744" s="311">
        <v>1.0671489769912719</v>
      </c>
      <c r="E744" s="311">
        <v>1.0642979539825435</v>
      </c>
      <c r="F744" s="219">
        <v>1.06</v>
      </c>
      <c r="J744" s="310"/>
      <c r="L744" s="57"/>
    </row>
    <row r="745" spans="1:12">
      <c r="A745" s="926" t="s">
        <v>1848</v>
      </c>
      <c r="B745" s="310">
        <v>1</v>
      </c>
      <c r="C745" s="310">
        <v>7.0000000000000007E-2</v>
      </c>
      <c r="D745" s="311">
        <v>1.0569191838833372</v>
      </c>
      <c r="E745" s="311">
        <v>1.043838367766674</v>
      </c>
      <c r="F745" s="219">
        <v>1.04</v>
      </c>
      <c r="J745" s="310"/>
      <c r="L745" s="57"/>
    </row>
    <row r="746" spans="1:12">
      <c r="A746" s="926" t="s">
        <v>2471</v>
      </c>
      <c r="B746" s="310">
        <v>1</v>
      </c>
      <c r="C746" s="310">
        <v>0.05</v>
      </c>
      <c r="D746" s="311">
        <v>1.0519335459851118</v>
      </c>
      <c r="E746" s="311">
        <v>1.0538670919702233</v>
      </c>
      <c r="F746" s="219">
        <v>1.05</v>
      </c>
      <c r="J746" s="310"/>
      <c r="L746" s="57"/>
    </row>
    <row r="747" spans="1:12">
      <c r="A747" s="926" t="s">
        <v>6044</v>
      </c>
      <c r="B747" s="310">
        <v>1</v>
      </c>
      <c r="C747" s="310">
        <v>7.0000000000000007E-2</v>
      </c>
      <c r="D747" s="311">
        <v>1.0711168939752542</v>
      </c>
      <c r="E747" s="311">
        <v>1.0722337879505084</v>
      </c>
      <c r="F747" s="219">
        <v>1.07</v>
      </c>
      <c r="J747" s="310"/>
      <c r="L747" s="57"/>
    </row>
    <row r="748" spans="1:12">
      <c r="A748" s="926" t="s">
        <v>6046</v>
      </c>
      <c r="B748" s="310">
        <v>1</v>
      </c>
      <c r="C748" s="310">
        <v>7.0000000000000007E-2</v>
      </c>
      <c r="D748" s="311">
        <v>1.0574655478444175</v>
      </c>
      <c r="E748" s="311">
        <v>1.0449310956888351</v>
      </c>
      <c r="F748" s="219">
        <v>1.04</v>
      </c>
      <c r="J748" s="310"/>
      <c r="L748" s="57"/>
    </row>
    <row r="749" spans="1:12">
      <c r="A749" s="926" t="s">
        <v>4185</v>
      </c>
      <c r="B749" s="310">
        <v>1</v>
      </c>
      <c r="C749" s="310">
        <v>0.06</v>
      </c>
      <c r="D749" s="311">
        <v>1.0564158976678293</v>
      </c>
      <c r="E749" s="311">
        <v>1.0528317953356585</v>
      </c>
      <c r="F749" s="219">
        <v>1.05</v>
      </c>
      <c r="J749" s="310"/>
      <c r="L749" s="57"/>
    </row>
    <row r="750" spans="1:12">
      <c r="A750" s="926" t="s">
        <v>6689</v>
      </c>
      <c r="B750" s="310">
        <v>1</v>
      </c>
      <c r="C750" s="310">
        <v>7.0000000000000007E-2</v>
      </c>
      <c r="D750" s="311">
        <v>1.0709519389919904</v>
      </c>
      <c r="E750" s="311">
        <v>1.0719038779839805</v>
      </c>
      <c r="F750" s="219">
        <v>1.07</v>
      </c>
      <c r="J750" s="310"/>
      <c r="L750" s="57"/>
    </row>
    <row r="751" spans="1:12">
      <c r="A751" s="926" t="s">
        <v>6691</v>
      </c>
      <c r="B751" s="310">
        <v>1</v>
      </c>
      <c r="C751" s="310">
        <v>0.08</v>
      </c>
      <c r="D751" s="311">
        <v>1.0902394288388104</v>
      </c>
      <c r="E751" s="311">
        <v>1.1004788576776208</v>
      </c>
      <c r="F751" s="219">
        <v>1.1000000000000001</v>
      </c>
      <c r="J751" s="310"/>
      <c r="L751" s="57"/>
    </row>
    <row r="752" spans="1:12">
      <c r="A752" s="926" t="s">
        <v>6693</v>
      </c>
      <c r="B752" s="310">
        <v>1</v>
      </c>
      <c r="C752" s="310">
        <v>0.11</v>
      </c>
      <c r="D752" s="311">
        <v>1.1257959947433172</v>
      </c>
      <c r="E752" s="311">
        <v>1.1415919894866344</v>
      </c>
      <c r="F752" s="219">
        <v>1.1399999999999999</v>
      </c>
      <c r="J752" s="310"/>
      <c r="L752" s="57"/>
    </row>
    <row r="753" spans="1:12">
      <c r="A753" s="926" t="s">
        <v>240</v>
      </c>
      <c r="B753" s="310">
        <v>1</v>
      </c>
      <c r="C753" s="310">
        <v>0.11</v>
      </c>
      <c r="D753" s="311">
        <v>1.15812527673762</v>
      </c>
      <c r="E753" s="311">
        <v>1.2062505534752397</v>
      </c>
      <c r="F753" s="219">
        <v>1.21</v>
      </c>
      <c r="J753" s="310"/>
      <c r="L753" s="57"/>
    </row>
    <row r="754" spans="1:12">
      <c r="A754" s="926" t="s">
        <v>6695</v>
      </c>
      <c r="B754" s="310">
        <v>1</v>
      </c>
      <c r="C754" s="310">
        <v>0.11</v>
      </c>
      <c r="D754" s="311">
        <v>1.0914389594850578</v>
      </c>
      <c r="E754" s="311">
        <v>1.0728779189701154</v>
      </c>
      <c r="F754" s="219">
        <v>1.07</v>
      </c>
      <c r="J754" s="310"/>
      <c r="L754" s="57"/>
    </row>
    <row r="755" spans="1:12">
      <c r="A755" s="926" t="s">
        <v>745</v>
      </c>
      <c r="B755" s="310">
        <v>1</v>
      </c>
      <c r="C755" s="310">
        <v>0.08</v>
      </c>
      <c r="D755" s="311">
        <v>1.0744135596183013</v>
      </c>
      <c r="E755" s="311">
        <v>1.0688271192366026</v>
      </c>
      <c r="F755" s="219">
        <v>1.07</v>
      </c>
      <c r="J755" s="310"/>
      <c r="L755" s="57"/>
    </row>
    <row r="756" spans="1:12">
      <c r="A756" s="926" t="s">
        <v>747</v>
      </c>
      <c r="B756" s="310">
        <v>1</v>
      </c>
      <c r="C756" s="310">
        <v>7.0000000000000007E-2</v>
      </c>
      <c r="D756" s="311">
        <v>1.0736281556473966</v>
      </c>
      <c r="E756" s="311">
        <v>1.077256311294793</v>
      </c>
      <c r="F756" s="219">
        <v>1.08</v>
      </c>
      <c r="J756" s="310"/>
      <c r="L756" s="57"/>
    </row>
    <row r="757" spans="1:12">
      <c r="A757" s="926" t="s">
        <v>2308</v>
      </c>
      <c r="B757" s="310">
        <v>1</v>
      </c>
      <c r="C757" s="310">
        <v>0.16</v>
      </c>
      <c r="D757" s="311">
        <v>1.1490990617600412</v>
      </c>
      <c r="E757" s="311">
        <v>1.1381981235200822</v>
      </c>
      <c r="F757" s="219">
        <v>1.1399999999999999</v>
      </c>
      <c r="J757" s="310"/>
      <c r="L757" s="57"/>
    </row>
    <row r="758" spans="1:12">
      <c r="A758" s="926" t="s">
        <v>749</v>
      </c>
      <c r="B758" s="310">
        <v>1</v>
      </c>
      <c r="C758" s="310">
        <v>0.1</v>
      </c>
      <c r="D758" s="311">
        <v>1.1165076595699435</v>
      </c>
      <c r="E758" s="311">
        <v>1.1330153191398866</v>
      </c>
      <c r="F758" s="219">
        <v>1.1299999999999999</v>
      </c>
      <c r="J758" s="310"/>
      <c r="L758" s="57"/>
    </row>
    <row r="759" spans="1:12">
      <c r="A759" s="926" t="s">
        <v>2953</v>
      </c>
      <c r="B759" s="310">
        <v>1</v>
      </c>
      <c r="C759" s="310">
        <v>0.08</v>
      </c>
      <c r="D759" s="311">
        <v>1.087474583919795</v>
      </c>
      <c r="E759" s="311">
        <v>1.0949491678395902</v>
      </c>
      <c r="F759" s="219">
        <v>1.0900000000000001</v>
      </c>
      <c r="J759" s="310"/>
      <c r="L759" s="57"/>
    </row>
    <row r="760" spans="1:12">
      <c r="A760" s="926" t="s">
        <v>2955</v>
      </c>
      <c r="B760" s="310">
        <v>1</v>
      </c>
      <c r="C760" s="310">
        <v>0.11</v>
      </c>
      <c r="D760" s="311">
        <v>1.1252161025217466</v>
      </c>
      <c r="E760" s="311">
        <v>1.1404322050434932</v>
      </c>
      <c r="F760" s="219">
        <v>1.1399999999999999</v>
      </c>
      <c r="J760" s="310"/>
      <c r="L760" s="57"/>
    </row>
    <row r="761" spans="1:12">
      <c r="A761" s="926" t="s">
        <v>2957</v>
      </c>
      <c r="B761" s="310">
        <v>1</v>
      </c>
      <c r="C761" s="310">
        <v>0.12</v>
      </c>
      <c r="D761" s="311">
        <v>1.118576029283332</v>
      </c>
      <c r="E761" s="311">
        <v>1.1171520585666639</v>
      </c>
      <c r="F761" s="219">
        <v>1.1200000000000001</v>
      </c>
      <c r="J761" s="310"/>
      <c r="L761" s="57"/>
    </row>
    <row r="762" spans="1:12">
      <c r="A762" s="926" t="s">
        <v>5123</v>
      </c>
      <c r="B762" s="310">
        <v>1</v>
      </c>
      <c r="C762" s="310">
        <v>0.1</v>
      </c>
      <c r="D762" s="311">
        <v>1.1224250916057854</v>
      </c>
      <c r="E762" s="311">
        <v>1.1448501832115707</v>
      </c>
      <c r="F762" s="219">
        <v>1.1399999999999999</v>
      </c>
      <c r="J762" s="310"/>
      <c r="L762" s="57"/>
    </row>
    <row r="763" spans="1:12">
      <c r="A763" s="926" t="s">
        <v>7156</v>
      </c>
      <c r="B763" s="310">
        <v>1</v>
      </c>
      <c r="C763" s="310">
        <v>0.09</v>
      </c>
      <c r="D763" s="311">
        <v>1.0812734434683045</v>
      </c>
      <c r="E763" s="311">
        <v>1.0725468869366088</v>
      </c>
      <c r="F763" s="219">
        <v>1.07</v>
      </c>
      <c r="J763" s="310"/>
      <c r="L763" s="57"/>
    </row>
    <row r="764" spans="1:12">
      <c r="A764" s="926" t="s">
        <v>4119</v>
      </c>
      <c r="B764" s="310">
        <v>1</v>
      </c>
      <c r="C764" s="310">
        <v>0.04</v>
      </c>
      <c r="D764" s="311">
        <v>1.0538355452747248</v>
      </c>
      <c r="E764" s="311">
        <v>1.0676710905494495</v>
      </c>
      <c r="F764" s="219">
        <v>1.07</v>
      </c>
      <c r="J764" s="310"/>
      <c r="L764" s="57"/>
    </row>
    <row r="765" spans="1:12">
      <c r="A765" s="926" t="s">
        <v>4121</v>
      </c>
      <c r="B765" s="310">
        <v>1</v>
      </c>
      <c r="C765" s="310">
        <v>0.06</v>
      </c>
      <c r="D765" s="311">
        <v>1.0616411693628804</v>
      </c>
      <c r="E765" s="311">
        <v>1.0632823387257606</v>
      </c>
      <c r="F765" s="219">
        <v>1.06</v>
      </c>
      <c r="J765" s="310"/>
      <c r="L765" s="57"/>
    </row>
    <row r="766" spans="1:12">
      <c r="A766" s="926" t="s">
        <v>4123</v>
      </c>
      <c r="B766" s="310">
        <v>1</v>
      </c>
      <c r="C766" s="310">
        <v>0.05</v>
      </c>
      <c r="D766" s="311">
        <v>1.0451454937274312</v>
      </c>
      <c r="E766" s="311">
        <v>1.040290987454862</v>
      </c>
      <c r="F766" s="219">
        <v>1.04</v>
      </c>
      <c r="J766" s="310"/>
      <c r="L766" s="57"/>
    </row>
    <row r="767" spans="1:12">
      <c r="A767" s="926" t="s">
        <v>5032</v>
      </c>
      <c r="B767" s="310">
        <v>1</v>
      </c>
      <c r="C767" s="310">
        <v>0.1</v>
      </c>
      <c r="D767" s="311">
        <v>1.1031421411589943</v>
      </c>
      <c r="E767" s="311">
        <v>1.1062842823179886</v>
      </c>
      <c r="F767" s="219">
        <v>1.1100000000000001</v>
      </c>
      <c r="J767" s="310"/>
      <c r="L767" s="57"/>
    </row>
    <row r="768" spans="1:12">
      <c r="A768" s="926" t="s">
        <v>4125</v>
      </c>
      <c r="B768" s="310">
        <v>1</v>
      </c>
      <c r="C768" s="310">
        <v>0.08</v>
      </c>
      <c r="D768" s="311">
        <v>1.0859865094045817</v>
      </c>
      <c r="E768" s="311">
        <v>1.0919730188091636</v>
      </c>
      <c r="F768" s="219">
        <v>1.0900000000000001</v>
      </c>
      <c r="J768" s="310"/>
      <c r="L768" s="57"/>
    </row>
    <row r="769" spans="1:12">
      <c r="A769" s="926" t="s">
        <v>4127</v>
      </c>
      <c r="B769" s="310">
        <v>1</v>
      </c>
      <c r="C769" s="310">
        <v>0.11</v>
      </c>
      <c r="D769" s="311">
        <v>1.1110738658086956</v>
      </c>
      <c r="E769" s="311">
        <v>1.1121477316173909</v>
      </c>
      <c r="F769" s="219">
        <v>1.1100000000000001</v>
      </c>
      <c r="J769" s="310"/>
      <c r="L769" s="57"/>
    </row>
    <row r="770" spans="1:12">
      <c r="A770" s="926" t="s">
        <v>5033</v>
      </c>
      <c r="B770" s="310">
        <v>1</v>
      </c>
      <c r="C770" s="310">
        <v>0.1</v>
      </c>
      <c r="D770" s="311">
        <v>1.1117947310974789</v>
      </c>
      <c r="E770" s="311">
        <v>1.1235894621949578</v>
      </c>
      <c r="F770" s="219">
        <v>1.1200000000000001</v>
      </c>
      <c r="J770" s="310"/>
      <c r="L770" s="57"/>
    </row>
    <row r="771" spans="1:12">
      <c r="A771" s="926" t="s">
        <v>4129</v>
      </c>
      <c r="B771" s="310">
        <v>1</v>
      </c>
      <c r="C771" s="310">
        <v>0.1</v>
      </c>
      <c r="D771" s="311">
        <v>1.1074626931360296</v>
      </c>
      <c r="E771" s="311">
        <v>1.1149253862720592</v>
      </c>
      <c r="F771" s="219">
        <v>1.1100000000000001</v>
      </c>
      <c r="J771" s="310"/>
      <c r="L771" s="57"/>
    </row>
    <row r="772" spans="1:12">
      <c r="A772" s="926" t="s">
        <v>4131</v>
      </c>
      <c r="B772" s="310">
        <v>1</v>
      </c>
      <c r="C772" s="310">
        <v>0.06</v>
      </c>
      <c r="D772" s="311">
        <v>1.0598147378956726</v>
      </c>
      <c r="E772" s="311">
        <v>1.0596294757913451</v>
      </c>
      <c r="F772" s="219">
        <v>1.06</v>
      </c>
      <c r="J772" s="310"/>
      <c r="L772" s="57"/>
    </row>
    <row r="773" spans="1:12">
      <c r="A773" s="926" t="s">
        <v>4133</v>
      </c>
      <c r="B773" s="310">
        <v>1</v>
      </c>
      <c r="C773" s="310">
        <v>0.05</v>
      </c>
      <c r="D773" s="311">
        <v>1.0675470853077647</v>
      </c>
      <c r="E773" s="311">
        <v>1.0850941706155295</v>
      </c>
      <c r="F773" s="219">
        <v>1.0900000000000001</v>
      </c>
      <c r="J773" s="310"/>
      <c r="L773" s="57"/>
    </row>
    <row r="774" spans="1:12">
      <c r="A774" s="926" t="s">
        <v>6175</v>
      </c>
      <c r="B774" s="310">
        <v>1</v>
      </c>
      <c r="C774" s="310">
        <v>7.0000000000000007E-2</v>
      </c>
      <c r="D774" s="311">
        <v>1.0884381826484497</v>
      </c>
      <c r="E774" s="311">
        <v>1.1068763652968996</v>
      </c>
      <c r="F774" s="219">
        <v>1.1100000000000001</v>
      </c>
      <c r="J774" s="310"/>
      <c r="L774" s="57"/>
    </row>
    <row r="775" spans="1:12">
      <c r="A775" s="926" t="s">
        <v>4135</v>
      </c>
      <c r="B775" s="310">
        <v>1</v>
      </c>
      <c r="C775" s="310">
        <v>0.05</v>
      </c>
      <c r="D775" s="311">
        <v>1.0597802716115983</v>
      </c>
      <c r="E775" s="311">
        <v>1.0695605432231965</v>
      </c>
      <c r="F775" s="219">
        <v>1.07</v>
      </c>
      <c r="J775" s="310"/>
      <c r="L775" s="57"/>
    </row>
    <row r="776" spans="1:12">
      <c r="A776" s="926" t="s">
        <v>4137</v>
      </c>
      <c r="B776" s="310">
        <v>1</v>
      </c>
      <c r="C776" s="310">
        <v>0.06</v>
      </c>
      <c r="D776" s="311">
        <v>1.0620834457634472</v>
      </c>
      <c r="E776" s="311">
        <v>1.0641668915268943</v>
      </c>
      <c r="F776" s="219">
        <v>1.06</v>
      </c>
      <c r="J776" s="310"/>
      <c r="L776" s="57"/>
    </row>
    <row r="777" spans="1:12">
      <c r="A777" s="926" t="s">
        <v>4139</v>
      </c>
      <c r="B777" s="310">
        <v>1</v>
      </c>
      <c r="C777" s="310">
        <v>0.06</v>
      </c>
      <c r="D777" s="311">
        <v>1.0596373154083949</v>
      </c>
      <c r="E777" s="311">
        <v>1.0592746308167895</v>
      </c>
      <c r="F777" s="219">
        <v>1.06</v>
      </c>
      <c r="J777" s="310"/>
      <c r="L777" s="57"/>
    </row>
    <row r="778" spans="1:12">
      <c r="A778" s="926" t="s">
        <v>4141</v>
      </c>
      <c r="B778" s="310">
        <v>1</v>
      </c>
      <c r="C778" s="310">
        <v>0.05</v>
      </c>
      <c r="D778" s="311">
        <v>1.0556687014075097</v>
      </c>
      <c r="E778" s="311">
        <v>1.0613374028150195</v>
      </c>
      <c r="F778" s="219">
        <v>1.06</v>
      </c>
      <c r="J778" s="310"/>
      <c r="L778" s="57"/>
    </row>
    <row r="779" spans="1:12">
      <c r="A779" s="926" t="s">
        <v>4143</v>
      </c>
      <c r="B779" s="310">
        <v>1</v>
      </c>
      <c r="C779" s="310">
        <v>7.0000000000000007E-2</v>
      </c>
      <c r="D779" s="311">
        <v>1.0783934518889526</v>
      </c>
      <c r="E779" s="311">
        <v>1.086786903777905</v>
      </c>
      <c r="F779" s="219">
        <v>1.0900000000000001</v>
      </c>
      <c r="J779" s="310"/>
      <c r="L779" s="57"/>
    </row>
    <row r="780" spans="1:12">
      <c r="A780" s="926" t="s">
        <v>1318</v>
      </c>
      <c r="B780" s="310">
        <v>1</v>
      </c>
      <c r="C780" s="310">
        <v>0.04</v>
      </c>
      <c r="D780" s="311">
        <v>1.0517155187783476</v>
      </c>
      <c r="E780" s="311">
        <v>1.0634310375566951</v>
      </c>
      <c r="F780" s="219">
        <v>1.06</v>
      </c>
      <c r="J780" s="310"/>
      <c r="L780" s="57"/>
    </row>
    <row r="781" spans="1:12">
      <c r="A781" s="926" t="s">
        <v>2536</v>
      </c>
      <c r="B781" s="310">
        <v>1</v>
      </c>
      <c r="C781" s="310">
        <v>0.09</v>
      </c>
      <c r="D781" s="311">
        <v>1.1040512608025497</v>
      </c>
      <c r="E781" s="311">
        <v>1.1181025216050993</v>
      </c>
      <c r="F781" s="219">
        <v>1.1200000000000001</v>
      </c>
      <c r="J781" s="310"/>
      <c r="L781" s="57"/>
    </row>
    <row r="782" spans="1:12">
      <c r="A782" s="926" t="s">
        <v>2407</v>
      </c>
      <c r="B782" s="310">
        <v>1</v>
      </c>
      <c r="C782" s="310">
        <v>0.11</v>
      </c>
      <c r="D782" s="311">
        <v>1.1447548968828003</v>
      </c>
      <c r="E782" s="311">
        <v>1.1795097937656007</v>
      </c>
      <c r="F782" s="219">
        <v>1.18</v>
      </c>
      <c r="J782" s="310"/>
      <c r="L782" s="57"/>
    </row>
    <row r="783" spans="1:12">
      <c r="A783" s="926" t="s">
        <v>5034</v>
      </c>
      <c r="B783" s="310">
        <v>1</v>
      </c>
      <c r="C783" s="310">
        <v>0.12</v>
      </c>
      <c r="D783" s="311">
        <v>1.1597252203606114</v>
      </c>
      <c r="E783" s="311">
        <v>1.199450440721223</v>
      </c>
      <c r="F783" s="219">
        <v>1.2</v>
      </c>
      <c r="J783" s="310"/>
      <c r="L783" s="57"/>
    </row>
    <row r="784" spans="1:12">
      <c r="A784" s="926" t="s">
        <v>6174</v>
      </c>
      <c r="B784" s="310">
        <v>1</v>
      </c>
      <c r="C784" s="310">
        <v>0.1</v>
      </c>
      <c r="D784" s="311">
        <v>1.1117538393497495</v>
      </c>
      <c r="E784" s="311">
        <v>1.1235076786994989</v>
      </c>
      <c r="F784" s="219">
        <v>1.1200000000000001</v>
      </c>
      <c r="J784" s="310"/>
      <c r="L784" s="57"/>
    </row>
    <row r="785" spans="1:12">
      <c r="A785" s="926" t="s">
        <v>4145</v>
      </c>
      <c r="B785" s="310">
        <v>1</v>
      </c>
      <c r="C785" s="310">
        <v>0.11</v>
      </c>
      <c r="D785" s="311">
        <v>1.1468378362216707</v>
      </c>
      <c r="E785" s="311">
        <v>1.1836756724433413</v>
      </c>
      <c r="F785" s="219">
        <v>1.18</v>
      </c>
      <c r="J785" s="310"/>
      <c r="L785" s="57"/>
    </row>
    <row r="786" spans="1:12">
      <c r="A786" s="926" t="s">
        <v>6196</v>
      </c>
      <c r="B786" s="310">
        <v>1</v>
      </c>
      <c r="C786" s="310">
        <v>0.09</v>
      </c>
      <c r="D786" s="311">
        <v>1.112208776705504</v>
      </c>
      <c r="E786" s="311">
        <v>1.1344175534110079</v>
      </c>
      <c r="F786" s="219">
        <v>1.1299999999999999</v>
      </c>
      <c r="J786" s="310"/>
      <c r="L786" s="57"/>
    </row>
    <row r="787" spans="1:12">
      <c r="A787" s="926" t="s">
        <v>6131</v>
      </c>
      <c r="B787" s="310">
        <v>1</v>
      </c>
      <c r="C787" s="310">
        <v>0.08</v>
      </c>
      <c r="D787" s="311">
        <v>1.1020138392292056</v>
      </c>
      <c r="E787" s="311">
        <v>1.1240276784584111</v>
      </c>
      <c r="F787" s="219">
        <v>1.1200000000000001</v>
      </c>
      <c r="J787" s="310"/>
      <c r="L787" s="57"/>
    </row>
    <row r="788" spans="1:12">
      <c r="A788" s="926" t="s">
        <v>254</v>
      </c>
      <c r="B788" s="310">
        <v>1</v>
      </c>
      <c r="C788" s="310">
        <v>0.1</v>
      </c>
      <c r="D788" s="311">
        <v>1.0982742875149214</v>
      </c>
      <c r="E788" s="311">
        <v>1.0965485750298427</v>
      </c>
      <c r="F788" s="219">
        <v>1.1000000000000001</v>
      </c>
      <c r="J788" s="310"/>
      <c r="L788" s="57"/>
    </row>
    <row r="789" spans="1:12">
      <c r="A789" s="926" t="s">
        <v>256</v>
      </c>
      <c r="B789" s="310">
        <v>1</v>
      </c>
      <c r="C789" s="310">
        <v>0.05</v>
      </c>
      <c r="D789" s="311">
        <v>1.0488866153755532</v>
      </c>
      <c r="E789" s="311">
        <v>1.0477732307511063</v>
      </c>
      <c r="F789" s="219">
        <v>1.05</v>
      </c>
      <c r="J789" s="310"/>
      <c r="L789" s="57"/>
    </row>
    <row r="790" spans="1:12">
      <c r="A790" s="926" t="s">
        <v>258</v>
      </c>
      <c r="B790" s="310">
        <v>1</v>
      </c>
      <c r="C790" s="310">
        <v>0.05</v>
      </c>
      <c r="D790" s="311">
        <v>1.0469101089220987</v>
      </c>
      <c r="E790" s="311">
        <v>1.0438202178441973</v>
      </c>
      <c r="F790" s="219">
        <v>1.04</v>
      </c>
      <c r="J790" s="310"/>
      <c r="L790" s="57"/>
    </row>
    <row r="791" spans="1:12">
      <c r="A791" s="926" t="s">
        <v>260</v>
      </c>
      <c r="B791" s="310">
        <v>1</v>
      </c>
      <c r="C791" s="310">
        <v>0.06</v>
      </c>
      <c r="D791" s="311">
        <v>1.0562689409235277</v>
      </c>
      <c r="E791" s="311">
        <v>1.0525378818470554</v>
      </c>
      <c r="F791" s="219">
        <v>1.05</v>
      </c>
      <c r="J791" s="310"/>
      <c r="L791" s="57"/>
    </row>
    <row r="792" spans="1:12">
      <c r="A792" s="926" t="s">
        <v>262</v>
      </c>
      <c r="B792" s="310">
        <v>1</v>
      </c>
      <c r="C792" s="310">
        <v>0.05</v>
      </c>
      <c r="D792" s="311">
        <v>1.0374199255776901</v>
      </c>
      <c r="E792" s="311">
        <v>1.0248398511553802</v>
      </c>
      <c r="F792" s="219">
        <v>1.02</v>
      </c>
      <c r="J792" s="310"/>
      <c r="L792" s="57"/>
    </row>
    <row r="793" spans="1:12">
      <c r="A793" s="926" t="s">
        <v>872</v>
      </c>
      <c r="B793" s="310">
        <v>1</v>
      </c>
      <c r="C793" s="310">
        <v>0.11</v>
      </c>
      <c r="D793" s="311">
        <v>1.0879049220862107</v>
      </c>
      <c r="E793" s="311">
        <v>1.0658098441724213</v>
      </c>
      <c r="F793" s="219">
        <v>1.07</v>
      </c>
      <c r="J793" s="310"/>
      <c r="L793" s="57"/>
    </row>
    <row r="794" spans="1:12">
      <c r="A794" s="926" t="s">
        <v>874</v>
      </c>
      <c r="B794" s="310">
        <v>1</v>
      </c>
      <c r="C794" s="310">
        <v>0.13</v>
      </c>
      <c r="D794" s="311">
        <v>1.111288536519401</v>
      </c>
      <c r="E794" s="311">
        <v>1.0925770730388018</v>
      </c>
      <c r="F794" s="219">
        <v>1.0900000000000001</v>
      </c>
      <c r="J794" s="310"/>
      <c r="L794" s="57"/>
    </row>
    <row r="795" spans="1:12">
      <c r="A795" s="926" t="s">
        <v>876</v>
      </c>
      <c r="B795" s="310">
        <v>1</v>
      </c>
      <c r="C795" s="310">
        <v>0.1</v>
      </c>
      <c r="D795" s="311">
        <v>1.093794221288344</v>
      </c>
      <c r="E795" s="311">
        <v>1.087588442576688</v>
      </c>
      <c r="F795" s="219">
        <v>1.0900000000000001</v>
      </c>
      <c r="J795" s="310"/>
      <c r="L795" s="57"/>
    </row>
    <row r="796" spans="1:12">
      <c r="A796" s="926" t="s">
        <v>3040</v>
      </c>
      <c r="B796" s="310">
        <v>1</v>
      </c>
      <c r="C796" s="310">
        <v>0.05</v>
      </c>
      <c r="D796" s="311">
        <v>1.0559684270703855</v>
      </c>
      <c r="E796" s="311">
        <v>1.061936854140771</v>
      </c>
      <c r="F796" s="219">
        <v>1.06</v>
      </c>
      <c r="J796" s="310"/>
      <c r="L796" s="57"/>
    </row>
    <row r="797" spans="1:12">
      <c r="A797" s="926" t="s">
        <v>3042</v>
      </c>
      <c r="B797" s="310">
        <v>1</v>
      </c>
      <c r="C797" s="310">
        <v>0.06</v>
      </c>
      <c r="D797" s="311">
        <v>1.0558612063122892</v>
      </c>
      <c r="E797" s="311">
        <v>1.0517224126245786</v>
      </c>
      <c r="F797" s="219">
        <v>1.05</v>
      </c>
      <c r="J797" s="310"/>
      <c r="L797" s="57"/>
    </row>
    <row r="798" spans="1:12">
      <c r="A798" s="926" t="s">
        <v>709</v>
      </c>
      <c r="B798" s="310">
        <v>1</v>
      </c>
      <c r="C798" s="310">
        <v>7.0000000000000007E-2</v>
      </c>
      <c r="D798" s="311">
        <v>1.0657716531975128</v>
      </c>
      <c r="E798" s="311">
        <v>1.0615433063950257</v>
      </c>
      <c r="F798" s="219">
        <v>1.06</v>
      </c>
      <c r="J798" s="310"/>
      <c r="L798" s="57"/>
    </row>
    <row r="799" spans="1:12">
      <c r="A799" s="926" t="s">
        <v>3044</v>
      </c>
      <c r="B799" s="310">
        <v>1</v>
      </c>
      <c r="C799" s="310">
        <v>7.0000000000000007E-2</v>
      </c>
      <c r="D799" s="311">
        <v>1.0606546851204117</v>
      </c>
      <c r="E799" s="311">
        <v>1.0513093702408234</v>
      </c>
      <c r="F799" s="219">
        <v>1.05</v>
      </c>
      <c r="J799" s="310"/>
      <c r="L799" s="57"/>
    </row>
    <row r="800" spans="1:12">
      <c r="A800" s="926" t="s">
        <v>2992</v>
      </c>
      <c r="B800" s="310">
        <v>1</v>
      </c>
      <c r="C800" s="310">
        <v>7.0000000000000007E-2</v>
      </c>
      <c r="D800" s="311">
        <v>1.0779932856433121</v>
      </c>
      <c r="E800" s="311">
        <v>1.0859865712866241</v>
      </c>
      <c r="F800" s="219">
        <v>1.0900000000000001</v>
      </c>
      <c r="J800" s="310"/>
      <c r="L800" s="57"/>
    </row>
    <row r="801" spans="1:12">
      <c r="A801" s="926" t="s">
        <v>3046</v>
      </c>
      <c r="B801" s="310">
        <v>1</v>
      </c>
      <c r="C801" s="310">
        <v>0.05</v>
      </c>
      <c r="D801" s="311">
        <v>1.0509486009454889</v>
      </c>
      <c r="E801" s="311">
        <v>1.0518972018909776</v>
      </c>
      <c r="F801" s="219">
        <v>1.05</v>
      </c>
      <c r="J801" s="310"/>
      <c r="L801" s="57"/>
    </row>
    <row r="802" spans="1:12">
      <c r="A802" s="926" t="s">
        <v>264</v>
      </c>
      <c r="B802" s="310">
        <v>1</v>
      </c>
      <c r="C802" s="310">
        <v>0.11</v>
      </c>
      <c r="D802" s="311">
        <v>1.1266166110309954</v>
      </c>
      <c r="E802" s="311">
        <v>1.1432332220619905</v>
      </c>
      <c r="F802" s="219">
        <v>1.1399999999999999</v>
      </c>
      <c r="J802" s="310"/>
      <c r="L802" s="57"/>
    </row>
    <row r="803" spans="1:12">
      <c r="A803" s="926" t="s">
        <v>2306</v>
      </c>
      <c r="B803" s="310">
        <v>1</v>
      </c>
      <c r="C803" s="310">
        <v>0.05</v>
      </c>
      <c r="D803" s="311">
        <v>1.0542026001506146</v>
      </c>
      <c r="E803" s="311">
        <v>1.0584052003012294</v>
      </c>
      <c r="F803" s="219">
        <v>1.06</v>
      </c>
      <c r="J803" s="310"/>
      <c r="L803" s="57"/>
    </row>
    <row r="804" spans="1:12">
      <c r="A804" s="926" t="s">
        <v>3048</v>
      </c>
      <c r="B804" s="310">
        <v>1</v>
      </c>
      <c r="C804" s="310">
        <v>0.05</v>
      </c>
      <c r="D804" s="311">
        <v>1.0435543164029166</v>
      </c>
      <c r="E804" s="311">
        <v>1.0371086328058332</v>
      </c>
      <c r="F804" s="219">
        <v>1.04</v>
      </c>
      <c r="J804" s="310"/>
      <c r="L804" s="57"/>
    </row>
    <row r="805" spans="1:12">
      <c r="A805" s="926" t="s">
        <v>3049</v>
      </c>
      <c r="B805" s="310">
        <v>1</v>
      </c>
      <c r="C805" s="310">
        <v>0.04</v>
      </c>
      <c r="D805" s="311">
        <v>1.0339973050745503</v>
      </c>
      <c r="E805" s="311">
        <v>1.0279946101491009</v>
      </c>
      <c r="F805" s="219">
        <v>1.03</v>
      </c>
      <c r="J805" s="310"/>
      <c r="L805" s="57"/>
    </row>
    <row r="806" spans="1:12">
      <c r="A806" s="926" t="s">
        <v>5035</v>
      </c>
      <c r="B806" s="310">
        <v>1</v>
      </c>
      <c r="C806" s="310">
        <v>0.06</v>
      </c>
      <c r="D806" s="311">
        <v>1.0407061416485219</v>
      </c>
      <c r="E806" s="311">
        <v>1.0214122832970436</v>
      </c>
      <c r="F806" s="219">
        <v>1.02</v>
      </c>
      <c r="J806" s="310"/>
      <c r="L806" s="57"/>
    </row>
    <row r="807" spans="1:12">
      <c r="A807" s="926" t="s">
        <v>5131</v>
      </c>
      <c r="B807" s="310">
        <v>1</v>
      </c>
      <c r="C807" s="310">
        <v>0.1</v>
      </c>
      <c r="D807" s="311">
        <v>1.0741612129987113</v>
      </c>
      <c r="E807" s="311">
        <v>1.0483224259974226</v>
      </c>
      <c r="F807" s="219">
        <v>1.05</v>
      </c>
      <c r="J807" s="310"/>
      <c r="L807" s="57"/>
    </row>
    <row r="808" spans="1:12">
      <c r="A808" s="926" t="s">
        <v>5231</v>
      </c>
      <c r="B808" s="310">
        <v>1</v>
      </c>
      <c r="C808" s="310">
        <v>0.04</v>
      </c>
      <c r="D808" s="311">
        <v>1.0556472056940707</v>
      </c>
      <c r="E808" s="311">
        <v>1.0712944113881411</v>
      </c>
      <c r="F808" s="219">
        <v>1.07</v>
      </c>
      <c r="J808" s="310"/>
      <c r="L808" s="57"/>
    </row>
    <row r="809" spans="1:12">
      <c r="A809" s="926" t="s">
        <v>3109</v>
      </c>
      <c r="B809" s="310">
        <v>1</v>
      </c>
      <c r="C809" s="310">
        <v>0.06</v>
      </c>
      <c r="D809" s="311">
        <v>1.0738951495130959</v>
      </c>
      <c r="E809" s="311">
        <v>1.0877902990261918</v>
      </c>
      <c r="F809" s="219">
        <v>1.0900000000000001</v>
      </c>
      <c r="J809" s="310"/>
      <c r="L809" s="57"/>
    </row>
    <row r="810" spans="1:12">
      <c r="A810" s="926" t="s">
        <v>3111</v>
      </c>
      <c r="B810" s="310">
        <v>1</v>
      </c>
      <c r="C810" s="310">
        <v>0.09</v>
      </c>
      <c r="D810" s="311">
        <v>1.0931965366461815</v>
      </c>
      <c r="E810" s="311">
        <v>1.0963930732923632</v>
      </c>
      <c r="F810" s="219">
        <v>1.1000000000000001</v>
      </c>
      <c r="J810" s="310"/>
      <c r="L810" s="57"/>
    </row>
    <row r="811" spans="1:12">
      <c r="A811" s="926" t="s">
        <v>3113</v>
      </c>
      <c r="B811" s="310">
        <v>1</v>
      </c>
      <c r="C811" s="310">
        <v>0.05</v>
      </c>
      <c r="D811" s="311">
        <v>1.0539058641842445</v>
      </c>
      <c r="E811" s="311">
        <v>1.0578117283684889</v>
      </c>
      <c r="F811" s="219">
        <v>1.06</v>
      </c>
      <c r="J811" s="310"/>
      <c r="L811" s="57"/>
    </row>
    <row r="812" spans="1:12">
      <c r="A812" s="926" t="s">
        <v>975</v>
      </c>
      <c r="B812" s="310">
        <v>1</v>
      </c>
      <c r="C812" s="310">
        <v>0.05</v>
      </c>
      <c r="D812" s="311">
        <v>1.047850459945169</v>
      </c>
      <c r="E812" s="311">
        <v>1.045700919890338</v>
      </c>
      <c r="F812" s="219">
        <v>1.05</v>
      </c>
      <c r="J812" s="310"/>
      <c r="L812" s="57"/>
    </row>
    <row r="813" spans="1:12">
      <c r="A813" s="926" t="s">
        <v>2771</v>
      </c>
      <c r="B813" s="310">
        <v>1</v>
      </c>
      <c r="C813" s="310">
        <v>0.05</v>
      </c>
      <c r="D813" s="311">
        <v>1.0488407254103547</v>
      </c>
      <c r="E813" s="311">
        <v>1.0476814508207093</v>
      </c>
      <c r="F813" s="219">
        <v>1.05</v>
      </c>
      <c r="J813" s="310"/>
      <c r="L813" s="57"/>
    </row>
    <row r="814" spans="1:12">
      <c r="A814" s="926" t="s">
        <v>2821</v>
      </c>
      <c r="B814" s="310">
        <v>1</v>
      </c>
      <c r="C814" s="310">
        <v>0.05</v>
      </c>
      <c r="D814" s="311">
        <v>1.0561372576424743</v>
      </c>
      <c r="E814" s="311">
        <v>1.0622745152849487</v>
      </c>
      <c r="F814" s="219">
        <v>1.06</v>
      </c>
      <c r="J814" s="310"/>
      <c r="L814" s="57"/>
    </row>
    <row r="815" spans="1:12">
      <c r="A815" s="926" t="s">
        <v>4589</v>
      </c>
      <c r="B815" s="310">
        <v>1</v>
      </c>
      <c r="C815" s="310">
        <v>0.04</v>
      </c>
      <c r="D815" s="311">
        <v>1.0415444091984507</v>
      </c>
      <c r="E815" s="311">
        <v>1.0430888183969012</v>
      </c>
      <c r="F815" s="219">
        <v>1.04</v>
      </c>
      <c r="J815" s="310"/>
      <c r="L815" s="57"/>
    </row>
    <row r="816" spans="1:12">
      <c r="A816" s="926" t="s">
        <v>2572</v>
      </c>
      <c r="B816" s="310">
        <v>1</v>
      </c>
      <c r="C816" s="310">
        <v>0.13</v>
      </c>
      <c r="D816" s="311">
        <v>1.1055657733584665</v>
      </c>
      <c r="E816" s="311">
        <v>1.0811315467169333</v>
      </c>
      <c r="F816" s="219">
        <v>1.08</v>
      </c>
      <c r="J816" s="310"/>
      <c r="L816" s="57"/>
    </row>
    <row r="817" spans="1:12">
      <c r="A817" s="926" t="s">
        <v>1507</v>
      </c>
      <c r="B817" s="310">
        <v>1</v>
      </c>
      <c r="C817" s="310">
        <v>0.12</v>
      </c>
      <c r="D817" s="311">
        <v>1.0723173943146067</v>
      </c>
      <c r="E817" s="311">
        <v>1.0246347886292135</v>
      </c>
      <c r="F817" s="219">
        <v>1.02</v>
      </c>
      <c r="J817" s="310"/>
      <c r="L817" s="57"/>
    </row>
    <row r="818" spans="1:12">
      <c r="A818" s="926" t="s">
        <v>2574</v>
      </c>
      <c r="B818" s="310">
        <v>1</v>
      </c>
      <c r="C818" s="310">
        <v>7.0000000000000007E-2</v>
      </c>
      <c r="D818" s="311">
        <v>1.0662389010920075</v>
      </c>
      <c r="E818" s="311">
        <v>1.0624778021840147</v>
      </c>
      <c r="F818" s="219">
        <v>1.06</v>
      </c>
      <c r="J818" s="310"/>
      <c r="L818" s="57"/>
    </row>
    <row r="819" spans="1:12">
      <c r="A819" s="926" t="s">
        <v>2576</v>
      </c>
      <c r="B819" s="310">
        <v>1</v>
      </c>
      <c r="C819" s="310">
        <v>0.08</v>
      </c>
      <c r="D819" s="311">
        <v>1.0790774441641164</v>
      </c>
      <c r="E819" s="311">
        <v>1.078154888328233</v>
      </c>
      <c r="F819" s="219">
        <v>1.08</v>
      </c>
      <c r="J819" s="310"/>
      <c r="L819" s="57"/>
    </row>
    <row r="820" spans="1:12">
      <c r="A820" s="926" t="s">
        <v>2578</v>
      </c>
      <c r="B820" s="310">
        <v>1</v>
      </c>
      <c r="C820" s="310">
        <v>7.0000000000000007E-2</v>
      </c>
      <c r="D820" s="311">
        <v>1.0757112626547396</v>
      </c>
      <c r="E820" s="311">
        <v>1.0814225253094791</v>
      </c>
      <c r="F820" s="219">
        <v>1.08</v>
      </c>
      <c r="J820" s="310"/>
      <c r="L820" s="57"/>
    </row>
    <row r="821" spans="1:12">
      <c r="A821" s="926" t="s">
        <v>158</v>
      </c>
      <c r="B821" s="310">
        <v>1</v>
      </c>
      <c r="C821" s="310">
        <v>0.08</v>
      </c>
      <c r="D821" s="311">
        <v>1.0664916575340508</v>
      </c>
      <c r="E821" s="311">
        <v>1.0529833150681014</v>
      </c>
      <c r="F821" s="219">
        <v>1.05</v>
      </c>
      <c r="J821" s="310"/>
      <c r="L821" s="57"/>
    </row>
    <row r="822" spans="1:12">
      <c r="A822" s="926" t="s">
        <v>5211</v>
      </c>
      <c r="B822" s="310">
        <v>1</v>
      </c>
      <c r="C822" s="310">
        <v>0.06</v>
      </c>
      <c r="D822" s="311">
        <v>1.0558989098983831</v>
      </c>
      <c r="E822" s="311">
        <v>1.0517978197967661</v>
      </c>
      <c r="F822" s="219">
        <v>1.05</v>
      </c>
      <c r="J822" s="310"/>
      <c r="L822" s="57"/>
    </row>
    <row r="823" spans="1:12">
      <c r="A823" s="926" t="s">
        <v>5213</v>
      </c>
      <c r="B823" s="310">
        <v>1</v>
      </c>
      <c r="C823" s="310">
        <v>0.09</v>
      </c>
      <c r="D823" s="311">
        <v>1.0681260237573231</v>
      </c>
      <c r="E823" s="311">
        <v>1.046252047514646</v>
      </c>
      <c r="F823" s="219">
        <v>1.05</v>
      </c>
      <c r="J823" s="310"/>
      <c r="L823" s="57"/>
    </row>
    <row r="824" spans="1:12">
      <c r="A824" s="926" t="s">
        <v>5215</v>
      </c>
      <c r="B824" s="310">
        <v>1</v>
      </c>
      <c r="C824" s="310">
        <v>7.0000000000000007E-2</v>
      </c>
      <c r="D824" s="311">
        <v>1.0705223373100994</v>
      </c>
      <c r="E824" s="311">
        <v>1.0710446746201987</v>
      </c>
      <c r="F824" s="219">
        <v>1.07</v>
      </c>
      <c r="J824" s="310"/>
      <c r="L824" s="57"/>
    </row>
    <row r="825" spans="1:12">
      <c r="A825" s="926" t="s">
        <v>5217</v>
      </c>
      <c r="B825" s="310">
        <v>1</v>
      </c>
      <c r="C825" s="310">
        <v>0.1</v>
      </c>
      <c r="D825" s="311">
        <v>1.0880062987800665</v>
      </c>
      <c r="E825" s="311">
        <v>1.0760125975601331</v>
      </c>
      <c r="F825" s="219">
        <v>1.08</v>
      </c>
      <c r="J825" s="310"/>
      <c r="L825" s="57"/>
    </row>
    <row r="826" spans="1:12">
      <c r="A826" s="926" t="s">
        <v>5219</v>
      </c>
      <c r="B826" s="310">
        <v>1</v>
      </c>
      <c r="C826" s="310">
        <v>0.13</v>
      </c>
      <c r="D826" s="311">
        <v>1.0927125642822813</v>
      </c>
      <c r="E826" s="311">
        <v>1.0554251285645626</v>
      </c>
      <c r="F826" s="219">
        <v>1.06</v>
      </c>
      <c r="J826" s="310"/>
      <c r="L826" s="57"/>
    </row>
    <row r="827" spans="1:12">
      <c r="A827" s="926" t="s">
        <v>2125</v>
      </c>
      <c r="B827" s="310">
        <v>1</v>
      </c>
      <c r="C827" s="310">
        <v>0.13</v>
      </c>
      <c r="D827" s="311">
        <v>1.1715149342561335</v>
      </c>
      <c r="E827" s="311">
        <v>1.2130298685122674</v>
      </c>
      <c r="F827" s="219">
        <v>1.21</v>
      </c>
      <c r="J827" s="310"/>
      <c r="L827" s="57"/>
    </row>
    <row r="828" spans="1:12">
      <c r="A828" s="926" t="s">
        <v>870</v>
      </c>
      <c r="B828" s="310">
        <v>1</v>
      </c>
      <c r="C828" s="310">
        <v>0.1</v>
      </c>
      <c r="D828" s="311">
        <v>1.1277808701697218</v>
      </c>
      <c r="E828" s="311">
        <v>1.1555617403394436</v>
      </c>
      <c r="F828" s="219">
        <v>1.1599999999999999</v>
      </c>
      <c r="J828" s="310"/>
      <c r="L828" s="57"/>
    </row>
    <row r="829" spans="1:12">
      <c r="A829" s="926" t="s">
        <v>5615</v>
      </c>
      <c r="B829" s="310">
        <v>1</v>
      </c>
      <c r="C829" s="310">
        <v>0.06</v>
      </c>
      <c r="D829" s="311">
        <v>1.0587180676387129</v>
      </c>
      <c r="E829" s="311">
        <v>1.0574361352774257</v>
      </c>
      <c r="F829" s="219">
        <v>1.06</v>
      </c>
      <c r="J829" s="310"/>
      <c r="L829" s="57"/>
    </row>
    <row r="830" spans="1:12">
      <c r="A830" s="926" t="s">
        <v>4590</v>
      </c>
      <c r="B830" s="310">
        <v>1</v>
      </c>
      <c r="C830" s="310">
        <v>0.05</v>
      </c>
      <c r="D830" s="311">
        <v>1.0470185421140161</v>
      </c>
      <c r="E830" s="311">
        <v>1.0440370842280322</v>
      </c>
      <c r="F830" s="219">
        <v>1.04</v>
      </c>
      <c r="J830" s="310"/>
      <c r="L830" s="57"/>
    </row>
    <row r="831" spans="1:12">
      <c r="A831" s="926" t="s">
        <v>860</v>
      </c>
      <c r="B831" s="310">
        <v>1</v>
      </c>
      <c r="C831" s="310">
        <v>0.05</v>
      </c>
      <c r="D831" s="311">
        <v>1.0526440909510582</v>
      </c>
      <c r="E831" s="311">
        <v>1.055288181902116</v>
      </c>
      <c r="F831" s="219">
        <v>1.06</v>
      </c>
      <c r="J831" s="310"/>
      <c r="L831" s="57"/>
    </row>
    <row r="832" spans="1:12">
      <c r="A832" s="926" t="s">
        <v>4591</v>
      </c>
      <c r="B832" s="310">
        <v>1</v>
      </c>
      <c r="C832" s="310">
        <v>7.0000000000000007E-2</v>
      </c>
      <c r="D832" s="311">
        <v>1.0475491389093907</v>
      </c>
      <c r="E832" s="311">
        <v>1.0250982778187816</v>
      </c>
      <c r="F832" s="219">
        <v>1.03</v>
      </c>
      <c r="J832" s="310"/>
      <c r="L832" s="57"/>
    </row>
    <row r="833" spans="1:12">
      <c r="A833" s="926" t="s">
        <v>5617</v>
      </c>
      <c r="B833" s="310">
        <v>1</v>
      </c>
      <c r="C833" s="310">
        <v>7.0000000000000007E-2</v>
      </c>
      <c r="D833" s="311">
        <v>1.0886889105772664</v>
      </c>
      <c r="E833" s="311">
        <v>1.1073778211545329</v>
      </c>
      <c r="F833" s="219">
        <v>1.1100000000000001</v>
      </c>
      <c r="J833" s="310"/>
      <c r="L833" s="57"/>
    </row>
    <row r="834" spans="1:12">
      <c r="A834" s="926" t="s">
        <v>3150</v>
      </c>
      <c r="B834" s="310">
        <v>1</v>
      </c>
      <c r="C834" s="310">
        <v>0.08</v>
      </c>
      <c r="D834" s="311">
        <v>1.0609733722503905</v>
      </c>
      <c r="E834" s="311">
        <v>1.0419467445007808</v>
      </c>
      <c r="F834" s="219">
        <v>1.04</v>
      </c>
      <c r="J834" s="310"/>
      <c r="L834" s="57"/>
    </row>
    <row r="835" spans="1:12">
      <c r="A835" s="926" t="s">
        <v>3152</v>
      </c>
      <c r="B835" s="310">
        <v>1</v>
      </c>
      <c r="C835" s="310">
        <v>0.1</v>
      </c>
      <c r="D835" s="311">
        <v>1.0725262730207872</v>
      </c>
      <c r="E835" s="311">
        <v>1.045052546041574</v>
      </c>
      <c r="F835" s="219">
        <v>1.05</v>
      </c>
      <c r="J835" s="310"/>
      <c r="L835" s="57"/>
    </row>
    <row r="836" spans="1:12">
      <c r="A836" s="926" t="s">
        <v>1949</v>
      </c>
      <c r="B836" s="310">
        <v>1</v>
      </c>
      <c r="C836" s="310">
        <v>0.04</v>
      </c>
      <c r="D836" s="311">
        <v>1.0452385038649243</v>
      </c>
      <c r="E836" s="311">
        <v>1.0504770077298489</v>
      </c>
      <c r="F836" s="219">
        <v>1.05</v>
      </c>
      <c r="J836" s="310"/>
      <c r="L836" s="57"/>
    </row>
    <row r="837" spans="1:12">
      <c r="A837" s="926" t="s">
        <v>1951</v>
      </c>
      <c r="B837" s="310">
        <v>1</v>
      </c>
      <c r="C837" s="310">
        <v>0.04</v>
      </c>
      <c r="D837" s="311">
        <v>1.0489384985976495</v>
      </c>
      <c r="E837" s="311">
        <v>1.0578769971952993</v>
      </c>
      <c r="F837" s="219">
        <v>1.06</v>
      </c>
      <c r="J837" s="310"/>
      <c r="L837" s="57"/>
    </row>
    <row r="838" spans="1:12">
      <c r="A838" s="926" t="s">
        <v>3154</v>
      </c>
      <c r="B838" s="310">
        <v>1</v>
      </c>
      <c r="C838" s="310">
        <v>0.04</v>
      </c>
      <c r="D838" s="311">
        <v>1.0593937350238511</v>
      </c>
      <c r="E838" s="311">
        <v>1.0787874700477023</v>
      </c>
      <c r="F838" s="219">
        <v>1.08</v>
      </c>
      <c r="J838" s="310"/>
      <c r="L838" s="57"/>
    </row>
    <row r="839" spans="1:12">
      <c r="A839" s="926" t="s">
        <v>3883</v>
      </c>
      <c r="B839" s="310">
        <v>1</v>
      </c>
      <c r="C839" s="310">
        <v>0.03</v>
      </c>
      <c r="D839" s="311">
        <v>1.0440846989754999</v>
      </c>
      <c r="E839" s="311">
        <v>1.0581693979509996</v>
      </c>
      <c r="F839" s="219">
        <v>1.06</v>
      </c>
      <c r="J839" s="310"/>
      <c r="L839" s="57"/>
    </row>
    <row r="840" spans="1:12">
      <c r="A840" s="926" t="s">
        <v>3156</v>
      </c>
      <c r="B840" s="310">
        <v>1</v>
      </c>
      <c r="C840" s="310">
        <v>0.05</v>
      </c>
      <c r="D840" s="311">
        <v>1.0594626096327953</v>
      </c>
      <c r="E840" s="311">
        <v>1.0689252192655905</v>
      </c>
      <c r="F840" s="219">
        <v>1.07</v>
      </c>
      <c r="J840" s="310"/>
      <c r="L840" s="57"/>
    </row>
    <row r="841" spans="1:12">
      <c r="A841" s="926" t="s">
        <v>3158</v>
      </c>
      <c r="B841" s="310">
        <v>1</v>
      </c>
      <c r="C841" s="310">
        <v>0.04</v>
      </c>
      <c r="D841" s="311">
        <v>1.0472339423423889</v>
      </c>
      <c r="E841" s="311">
        <v>1.0544678846847779</v>
      </c>
      <c r="F841" s="219">
        <v>1.05</v>
      </c>
      <c r="J841" s="310"/>
      <c r="L841" s="57"/>
    </row>
    <row r="842" spans="1:12">
      <c r="A842" s="926" t="s">
        <v>3160</v>
      </c>
      <c r="B842" s="310">
        <v>1</v>
      </c>
      <c r="C842" s="310">
        <v>0.05</v>
      </c>
      <c r="D842" s="311">
        <v>1.0482832241185296</v>
      </c>
      <c r="E842" s="311">
        <v>1.0465664482370591</v>
      </c>
      <c r="F842" s="219">
        <v>1.05</v>
      </c>
      <c r="J842" s="310"/>
      <c r="L842" s="57"/>
    </row>
    <row r="843" spans="1:12">
      <c r="A843" s="926" t="s">
        <v>3162</v>
      </c>
      <c r="B843" s="310">
        <v>1</v>
      </c>
      <c r="C843" s="310">
        <v>0.06</v>
      </c>
      <c r="D843" s="311">
        <v>1.0433335945571471</v>
      </c>
      <c r="E843" s="311">
        <v>1.026667189114294</v>
      </c>
      <c r="F843" s="219">
        <v>1.03</v>
      </c>
      <c r="J843" s="310"/>
      <c r="L843" s="57"/>
    </row>
    <row r="844" spans="1:12">
      <c r="A844" s="926" t="s">
        <v>569</v>
      </c>
      <c r="B844" s="310">
        <v>1</v>
      </c>
      <c r="C844" s="310">
        <v>0.06</v>
      </c>
      <c r="D844" s="311">
        <v>1.039490538127247</v>
      </c>
      <c r="E844" s="311">
        <v>1.0189810762544937</v>
      </c>
      <c r="F844" s="219">
        <v>1.02</v>
      </c>
      <c r="J844" s="310"/>
      <c r="L844" s="57"/>
    </row>
    <row r="845" spans="1:12">
      <c r="A845" s="926" t="s">
        <v>571</v>
      </c>
      <c r="B845" s="310">
        <v>1</v>
      </c>
      <c r="C845" s="310">
        <v>0.1</v>
      </c>
      <c r="D845" s="311">
        <v>1.1165071835353186</v>
      </c>
      <c r="E845" s="311">
        <v>1.1330143670706372</v>
      </c>
      <c r="F845" s="219">
        <v>1.1299999999999999</v>
      </c>
      <c r="J845" s="310"/>
      <c r="L845" s="57"/>
    </row>
    <row r="846" spans="1:12">
      <c r="A846" s="926" t="s">
        <v>3181</v>
      </c>
      <c r="B846" s="310">
        <v>1</v>
      </c>
      <c r="C846" s="310">
        <v>0.09</v>
      </c>
      <c r="D846" s="311">
        <v>1.1152500976124387</v>
      </c>
      <c r="E846" s="311">
        <v>1.1405001952248774</v>
      </c>
      <c r="F846" s="219">
        <v>1.1399999999999999</v>
      </c>
      <c r="J846" s="310"/>
      <c r="L846" s="57"/>
    </row>
    <row r="847" spans="1:12">
      <c r="A847" s="926" t="s">
        <v>2071</v>
      </c>
      <c r="B847" s="310">
        <v>1</v>
      </c>
      <c r="C847" s="310">
        <v>0.1</v>
      </c>
      <c r="D847" s="311">
        <v>1.1055076740362568</v>
      </c>
      <c r="E847" s="311">
        <v>1.1110153480725133</v>
      </c>
      <c r="F847" s="219">
        <v>1.1100000000000001</v>
      </c>
      <c r="J847" s="310"/>
      <c r="L847" s="57"/>
    </row>
    <row r="848" spans="1:12">
      <c r="A848" s="926" t="s">
        <v>3183</v>
      </c>
      <c r="B848" s="310">
        <v>1</v>
      </c>
      <c r="C848" s="310">
        <v>0.09</v>
      </c>
      <c r="D848" s="311">
        <v>1.1130561613102752</v>
      </c>
      <c r="E848" s="311">
        <v>1.1361123226205501</v>
      </c>
      <c r="F848" s="219">
        <v>1.1399999999999999</v>
      </c>
      <c r="J848" s="310"/>
      <c r="L848" s="57"/>
    </row>
    <row r="849" spans="1:12">
      <c r="A849" s="926" t="s">
        <v>924</v>
      </c>
      <c r="B849" s="310">
        <v>1</v>
      </c>
      <c r="C849" s="310">
        <v>0.08</v>
      </c>
      <c r="D849" s="311">
        <v>1.0966033146606819</v>
      </c>
      <c r="E849" s="311">
        <v>1.1132066293213638</v>
      </c>
      <c r="F849" s="219">
        <v>1.1100000000000001</v>
      </c>
      <c r="J849" s="310"/>
      <c r="L849" s="57"/>
    </row>
    <row r="850" spans="1:12">
      <c r="A850" s="926" t="s">
        <v>6165</v>
      </c>
      <c r="B850" s="310">
        <v>1</v>
      </c>
      <c r="C850" s="310">
        <v>0.12</v>
      </c>
      <c r="D850" s="311">
        <v>1.1160762037757526</v>
      </c>
      <c r="E850" s="311">
        <v>1.112152407551505</v>
      </c>
      <c r="F850" s="219">
        <v>1.1100000000000001</v>
      </c>
      <c r="J850" s="310"/>
      <c r="L850" s="57"/>
    </row>
    <row r="851" spans="1:12">
      <c r="A851" s="926" t="s">
        <v>6187</v>
      </c>
      <c r="B851" s="310">
        <v>1</v>
      </c>
      <c r="C851" s="310">
        <v>0.09</v>
      </c>
      <c r="D851" s="311">
        <v>1.0970093108627554</v>
      </c>
      <c r="E851" s="311">
        <v>1.1040186217255106</v>
      </c>
      <c r="F851" s="219">
        <v>1.1000000000000001</v>
      </c>
      <c r="J851" s="310"/>
      <c r="L851" s="57"/>
    </row>
    <row r="852" spans="1:12">
      <c r="A852" s="926" t="s">
        <v>1837</v>
      </c>
      <c r="B852" s="310">
        <v>1</v>
      </c>
      <c r="C852" s="310">
        <v>0.1</v>
      </c>
      <c r="D852" s="311">
        <v>1.1074227934550742</v>
      </c>
      <c r="E852" s="311">
        <v>1.1148455869101483</v>
      </c>
      <c r="F852" s="219">
        <v>1.1100000000000001</v>
      </c>
      <c r="J852" s="310"/>
      <c r="L852" s="57"/>
    </row>
    <row r="853" spans="1:12">
      <c r="A853" s="926" t="s">
        <v>3884</v>
      </c>
      <c r="B853" s="310">
        <v>1</v>
      </c>
      <c r="C853" s="310">
        <v>0.1</v>
      </c>
      <c r="D853" s="311">
        <v>1.1019980468602104</v>
      </c>
      <c r="E853" s="311">
        <v>1.1039960937204205</v>
      </c>
      <c r="F853" s="219">
        <v>1.1000000000000001</v>
      </c>
      <c r="J853" s="310"/>
      <c r="L853" s="57"/>
    </row>
    <row r="854" spans="1:12">
      <c r="A854" s="926" t="s">
        <v>2390</v>
      </c>
      <c r="B854" s="310">
        <v>1</v>
      </c>
      <c r="C854" s="310">
        <v>0.02</v>
      </c>
      <c r="D854" s="311">
        <v>1.0451504661894488</v>
      </c>
      <c r="E854" s="311">
        <v>1.0703009323788979</v>
      </c>
      <c r="F854" s="219">
        <v>1.07</v>
      </c>
      <c r="J854" s="310"/>
      <c r="L854" s="57"/>
    </row>
    <row r="855" spans="1:12">
      <c r="A855" s="926" t="s">
        <v>926</v>
      </c>
      <c r="B855" s="310">
        <v>1</v>
      </c>
      <c r="C855" s="310">
        <v>0.04</v>
      </c>
      <c r="D855" s="311">
        <v>1.0406738769804194</v>
      </c>
      <c r="E855" s="311">
        <v>1.0413477539608385</v>
      </c>
      <c r="F855" s="219">
        <v>1.04</v>
      </c>
      <c r="J855" s="310"/>
      <c r="L855" s="57"/>
    </row>
    <row r="856" spans="1:12">
      <c r="A856" s="926" t="s">
        <v>928</v>
      </c>
      <c r="B856" s="310">
        <v>1</v>
      </c>
      <c r="C856" s="310">
        <v>0.04</v>
      </c>
      <c r="D856" s="311">
        <v>1.0507205343986039</v>
      </c>
      <c r="E856" s="311">
        <v>1.0614410687972078</v>
      </c>
      <c r="F856" s="219">
        <v>1.06</v>
      </c>
      <c r="J856" s="310"/>
      <c r="L856" s="57"/>
    </row>
    <row r="857" spans="1:12">
      <c r="A857" s="926" t="s">
        <v>930</v>
      </c>
      <c r="B857" s="310">
        <v>1</v>
      </c>
      <c r="C857" s="310">
        <v>0.05</v>
      </c>
      <c r="D857" s="311">
        <v>1.0559231618074074</v>
      </c>
      <c r="E857" s="311">
        <v>1.061846323614815</v>
      </c>
      <c r="F857" s="219">
        <v>1.06</v>
      </c>
      <c r="J857" s="310"/>
      <c r="L857" s="57"/>
    </row>
    <row r="858" spans="1:12">
      <c r="A858" s="926" t="s">
        <v>932</v>
      </c>
      <c r="B858" s="310">
        <v>1</v>
      </c>
      <c r="C858" s="310">
        <v>0.08</v>
      </c>
      <c r="D858" s="311">
        <v>1.0646795882270765</v>
      </c>
      <c r="E858" s="311">
        <v>1.049359176454153</v>
      </c>
      <c r="F858" s="219">
        <v>1.05</v>
      </c>
      <c r="J858" s="310"/>
      <c r="L858" s="57"/>
    </row>
    <row r="859" spans="1:12">
      <c r="A859" s="926" t="s">
        <v>934</v>
      </c>
      <c r="B859" s="310">
        <v>1</v>
      </c>
      <c r="C859" s="310">
        <v>0.1</v>
      </c>
      <c r="D859" s="311">
        <v>1.0943279744946244</v>
      </c>
      <c r="E859" s="311">
        <v>1.0886559489892489</v>
      </c>
      <c r="F859" s="219">
        <v>1.0900000000000001</v>
      </c>
      <c r="J859" s="310"/>
      <c r="L859" s="57"/>
    </row>
    <row r="860" spans="1:12">
      <c r="A860" s="926" t="s">
        <v>936</v>
      </c>
      <c r="B860" s="310">
        <v>1</v>
      </c>
      <c r="C860" s="310">
        <v>7.0000000000000007E-2</v>
      </c>
      <c r="D860" s="311">
        <v>1.0674164799925683</v>
      </c>
      <c r="E860" s="311">
        <v>1.0648329599851365</v>
      </c>
      <c r="F860" s="219">
        <v>1.06</v>
      </c>
      <c r="J860" s="310"/>
      <c r="L860" s="57"/>
    </row>
    <row r="861" spans="1:12">
      <c r="A861" s="926" t="s">
        <v>5145</v>
      </c>
      <c r="B861" s="310">
        <v>1</v>
      </c>
      <c r="C861" s="310">
        <v>0.05</v>
      </c>
      <c r="D861" s="311">
        <v>1.058883120003123</v>
      </c>
      <c r="E861" s="311">
        <v>1.067766240006246</v>
      </c>
      <c r="F861" s="219">
        <v>1.07</v>
      </c>
      <c r="J861" s="310"/>
      <c r="L861" s="57"/>
    </row>
    <row r="862" spans="1:12">
      <c r="A862" s="926" t="s">
        <v>2950</v>
      </c>
      <c r="B862" s="310">
        <v>1</v>
      </c>
      <c r="C862" s="310">
        <v>0.05</v>
      </c>
      <c r="D862" s="311">
        <v>1.0506552891499528</v>
      </c>
      <c r="E862" s="311">
        <v>1.0513105782999057</v>
      </c>
      <c r="F862" s="219">
        <v>1.05</v>
      </c>
      <c r="J862" s="310"/>
      <c r="L862" s="57"/>
    </row>
    <row r="863" spans="1:12">
      <c r="A863" s="926" t="s">
        <v>2952</v>
      </c>
      <c r="B863" s="310">
        <v>1</v>
      </c>
      <c r="C863" s="310">
        <v>0.05</v>
      </c>
      <c r="D863" s="311">
        <v>1.0589819770056867</v>
      </c>
      <c r="E863" s="311">
        <v>1.0679639540113732</v>
      </c>
      <c r="F863" s="219">
        <v>1.07</v>
      </c>
      <c r="J863" s="310"/>
      <c r="L863" s="57"/>
    </row>
    <row r="864" spans="1:12">
      <c r="A864" s="926" t="s">
        <v>2526</v>
      </c>
      <c r="B864" s="310">
        <v>1</v>
      </c>
      <c r="C864" s="310">
        <v>0.04</v>
      </c>
      <c r="D864" s="311">
        <v>1.0482166981841394</v>
      </c>
      <c r="E864" s="311">
        <v>1.056433396368279</v>
      </c>
      <c r="F864" s="219">
        <v>1.06</v>
      </c>
      <c r="J864" s="310"/>
      <c r="L864" s="57"/>
    </row>
    <row r="865" spans="1:12">
      <c r="A865" s="926" t="s">
        <v>3885</v>
      </c>
      <c r="B865" s="310">
        <v>1</v>
      </c>
      <c r="C865" s="310">
        <v>0.05</v>
      </c>
      <c r="D865" s="311">
        <v>1.0520431530350474</v>
      </c>
      <c r="E865" s="311">
        <v>1.0540863060700947</v>
      </c>
      <c r="F865" s="219">
        <v>1.05</v>
      </c>
      <c r="J865" s="310"/>
      <c r="L865" s="57"/>
    </row>
    <row r="866" spans="1:12">
      <c r="A866" s="926" t="s">
        <v>2528</v>
      </c>
      <c r="B866" s="310">
        <v>1</v>
      </c>
      <c r="C866" s="310">
        <v>0.04</v>
      </c>
      <c r="D866" s="311">
        <v>1.0431546102350371</v>
      </c>
      <c r="E866" s="311">
        <v>1.0463092204700741</v>
      </c>
      <c r="F866" s="219">
        <v>1.05</v>
      </c>
      <c r="J866" s="310"/>
      <c r="L866" s="57"/>
    </row>
    <row r="867" spans="1:12">
      <c r="A867" s="926" t="s">
        <v>2530</v>
      </c>
      <c r="B867" s="310">
        <v>1</v>
      </c>
      <c r="C867" s="310">
        <v>0.04</v>
      </c>
      <c r="D867" s="311">
        <v>1.043061676492496</v>
      </c>
      <c r="E867" s="311">
        <v>1.0461233529849923</v>
      </c>
      <c r="F867" s="219">
        <v>1.05</v>
      </c>
      <c r="J867" s="310"/>
      <c r="L867" s="57"/>
    </row>
    <row r="868" spans="1:12">
      <c r="A868" s="926" t="s">
        <v>2532</v>
      </c>
      <c r="B868" s="310">
        <v>1</v>
      </c>
      <c r="C868" s="310">
        <v>0.04</v>
      </c>
      <c r="D868" s="311">
        <v>1.0296466111756228</v>
      </c>
      <c r="E868" s="311">
        <v>1.0192932223512456</v>
      </c>
      <c r="F868" s="219">
        <v>1.02</v>
      </c>
      <c r="J868" s="310"/>
      <c r="L868" s="57"/>
    </row>
    <row r="869" spans="1:12">
      <c r="A869" s="926" t="s">
        <v>2316</v>
      </c>
      <c r="B869" s="310">
        <v>1</v>
      </c>
      <c r="C869" s="310">
        <v>0.09</v>
      </c>
      <c r="D869" s="311">
        <v>1.088912626594623</v>
      </c>
      <c r="E869" s="311">
        <v>1.0878252531892456</v>
      </c>
      <c r="F869" s="219">
        <v>1.0900000000000001</v>
      </c>
      <c r="J869" s="310"/>
      <c r="L869" s="57"/>
    </row>
    <row r="870" spans="1:12">
      <c r="A870" s="926" t="s">
        <v>5105</v>
      </c>
      <c r="B870" s="310">
        <v>1</v>
      </c>
      <c r="C870" s="310">
        <v>0.08</v>
      </c>
      <c r="D870" s="311">
        <v>1.084260865385593</v>
      </c>
      <c r="E870" s="311">
        <v>1.0885217307711861</v>
      </c>
      <c r="F870" s="219">
        <v>1.0900000000000001</v>
      </c>
      <c r="J870" s="310"/>
      <c r="L870" s="57"/>
    </row>
    <row r="871" spans="1:12">
      <c r="A871" s="926" t="s">
        <v>5036</v>
      </c>
      <c r="B871" s="310">
        <v>1</v>
      </c>
      <c r="C871" s="310">
        <v>0.04</v>
      </c>
      <c r="D871" s="311">
        <v>1.0562116093753371</v>
      </c>
      <c r="E871" s="311">
        <v>1.0724232187506744</v>
      </c>
      <c r="F871" s="219">
        <v>1.07</v>
      </c>
      <c r="J871" s="310"/>
      <c r="L871" s="57"/>
    </row>
    <row r="872" spans="1:12">
      <c r="A872" s="926" t="s">
        <v>2430</v>
      </c>
      <c r="B872" s="310">
        <v>1</v>
      </c>
      <c r="C872" s="310">
        <v>0.04</v>
      </c>
      <c r="D872" s="311">
        <v>1.0608150176695803</v>
      </c>
      <c r="E872" s="311">
        <v>1.0816300353391604</v>
      </c>
      <c r="F872" s="219">
        <v>1.08</v>
      </c>
      <c r="J872" s="310"/>
      <c r="L872" s="57"/>
    </row>
    <row r="873" spans="1:12">
      <c r="A873" s="926" t="s">
        <v>2432</v>
      </c>
      <c r="B873" s="310">
        <v>1</v>
      </c>
      <c r="C873" s="310">
        <v>0.06</v>
      </c>
      <c r="D873" s="311">
        <v>1.081744257095048</v>
      </c>
      <c r="E873" s="311">
        <v>1.1034885141900961</v>
      </c>
      <c r="F873" s="219">
        <v>1.1000000000000001</v>
      </c>
      <c r="J873" s="310"/>
      <c r="L873" s="57"/>
    </row>
    <row r="874" spans="1:12">
      <c r="A874" s="926" t="s">
        <v>5339</v>
      </c>
      <c r="B874" s="310">
        <v>1</v>
      </c>
      <c r="C874" s="310">
        <v>0.04</v>
      </c>
      <c r="D874" s="311">
        <v>1.0559983034013847</v>
      </c>
      <c r="E874" s="311">
        <v>1.0719966068027691</v>
      </c>
      <c r="F874" s="219">
        <v>1.07</v>
      </c>
      <c r="J874" s="310"/>
      <c r="L874" s="57"/>
    </row>
    <row r="875" spans="1:12">
      <c r="A875" s="926" t="s">
        <v>5341</v>
      </c>
      <c r="B875" s="310">
        <v>1</v>
      </c>
      <c r="C875" s="310">
        <v>0.1</v>
      </c>
      <c r="D875" s="311">
        <v>1.1344094057992848</v>
      </c>
      <c r="E875" s="311">
        <v>1.1688188115985696</v>
      </c>
      <c r="F875" s="219">
        <v>1.17</v>
      </c>
      <c r="J875" s="310"/>
      <c r="L875" s="57"/>
    </row>
    <row r="876" spans="1:12">
      <c r="A876" s="926" t="s">
        <v>858</v>
      </c>
      <c r="B876" s="310">
        <v>1</v>
      </c>
      <c r="C876" s="310">
        <v>7.0000000000000007E-2</v>
      </c>
      <c r="D876" s="311">
        <v>1.0924359096188931</v>
      </c>
      <c r="E876" s="311">
        <v>1.1148718192377862</v>
      </c>
      <c r="F876" s="219">
        <v>1.1100000000000001</v>
      </c>
      <c r="J876" s="310"/>
      <c r="L876" s="57"/>
    </row>
    <row r="877" spans="1:12">
      <c r="A877" s="926" t="s">
        <v>5343</v>
      </c>
      <c r="B877" s="310">
        <v>1</v>
      </c>
      <c r="C877" s="310">
        <v>7.0000000000000007E-2</v>
      </c>
      <c r="D877" s="311">
        <v>1.0891065110371914</v>
      </c>
      <c r="E877" s="311">
        <v>1.1082130220743824</v>
      </c>
      <c r="F877" s="219">
        <v>1.1100000000000001</v>
      </c>
      <c r="J877" s="310"/>
      <c r="L877" s="57"/>
    </row>
    <row r="878" spans="1:12">
      <c r="A878" s="926" t="s">
        <v>5344</v>
      </c>
      <c r="B878" s="310">
        <v>1</v>
      </c>
      <c r="C878" s="310">
        <v>0.04</v>
      </c>
      <c r="D878" s="311">
        <v>1.0595673019633169</v>
      </c>
      <c r="E878" s="311">
        <v>1.0791346039266341</v>
      </c>
      <c r="F878" s="219">
        <v>1.08</v>
      </c>
      <c r="J878" s="310"/>
      <c r="L878" s="57"/>
    </row>
    <row r="879" spans="1:12">
      <c r="A879" s="926" t="s">
        <v>5346</v>
      </c>
      <c r="B879" s="310">
        <v>1</v>
      </c>
      <c r="C879" s="310">
        <v>0.05</v>
      </c>
      <c r="D879" s="311">
        <v>1.0599572867759579</v>
      </c>
      <c r="E879" s="311">
        <v>1.0699145735519155</v>
      </c>
      <c r="F879" s="219">
        <v>1.07</v>
      </c>
      <c r="J879" s="310"/>
      <c r="L879" s="57"/>
    </row>
    <row r="880" spans="1:12">
      <c r="A880" s="926" t="s">
        <v>2770</v>
      </c>
      <c r="B880" s="310">
        <v>1</v>
      </c>
      <c r="C880" s="310">
        <v>0.18</v>
      </c>
      <c r="D880" s="311">
        <v>1.1483637990864826</v>
      </c>
      <c r="E880" s="311">
        <v>1.1167275981729654</v>
      </c>
      <c r="F880" s="219">
        <v>1.1200000000000001</v>
      </c>
      <c r="J880" s="310"/>
      <c r="L880" s="57"/>
    </row>
    <row r="881" spans="1:12">
      <c r="A881" s="926" t="s">
        <v>5348</v>
      </c>
      <c r="B881" s="310">
        <v>1</v>
      </c>
      <c r="C881" s="310">
        <v>0.12</v>
      </c>
      <c r="D881" s="311">
        <v>1.1032852629694934</v>
      </c>
      <c r="E881" s="311">
        <v>1.0865705259389866</v>
      </c>
      <c r="F881" s="219">
        <v>1.0900000000000001</v>
      </c>
      <c r="J881" s="310"/>
      <c r="L881" s="57"/>
    </row>
    <row r="882" spans="1:12">
      <c r="A882" s="926" t="s">
        <v>3886</v>
      </c>
      <c r="B882" s="310">
        <v>1</v>
      </c>
      <c r="C882" s="310">
        <v>0.2</v>
      </c>
      <c r="D882" s="311">
        <v>1.1606373894243367</v>
      </c>
      <c r="E882" s="311">
        <v>1.1212747788486734</v>
      </c>
      <c r="F882" s="219">
        <v>1.1200000000000001</v>
      </c>
      <c r="J882" s="310"/>
      <c r="L882" s="57"/>
    </row>
    <row r="883" spans="1:12">
      <c r="A883" s="926" t="s">
        <v>5350</v>
      </c>
      <c r="B883" s="310">
        <v>1</v>
      </c>
      <c r="C883" s="310">
        <v>7.0000000000000007E-2</v>
      </c>
      <c r="D883" s="311">
        <v>1.0679862508798994</v>
      </c>
      <c r="E883" s="311">
        <v>1.0659725017597987</v>
      </c>
      <c r="F883" s="219">
        <v>1.07</v>
      </c>
      <c r="J883" s="310"/>
      <c r="L883" s="57"/>
    </row>
    <row r="884" spans="1:12">
      <c r="A884" s="926" t="s">
        <v>3139</v>
      </c>
      <c r="B884" s="310">
        <v>1</v>
      </c>
      <c r="C884" s="310">
        <v>0.06</v>
      </c>
      <c r="D884" s="311">
        <v>1.0651468076317727</v>
      </c>
      <c r="E884" s="311">
        <v>1.0702936152635454</v>
      </c>
      <c r="F884" s="219">
        <v>1.07</v>
      </c>
      <c r="J884" s="310"/>
      <c r="L884" s="57"/>
    </row>
    <row r="885" spans="1:12">
      <c r="A885" s="926" t="s">
        <v>1530</v>
      </c>
      <c r="B885" s="310">
        <v>1</v>
      </c>
      <c r="C885" s="310">
        <v>0.04</v>
      </c>
      <c r="D885" s="311">
        <v>1.0422498008495338</v>
      </c>
      <c r="E885" s="311">
        <v>1.0444996016990675</v>
      </c>
      <c r="F885" s="219">
        <v>1.04</v>
      </c>
      <c r="J885" s="310"/>
      <c r="L885" s="57"/>
    </row>
    <row r="886" spans="1:12">
      <c r="A886" s="926" t="s">
        <v>1532</v>
      </c>
      <c r="B886" s="310">
        <v>1</v>
      </c>
      <c r="C886" s="310">
        <v>0.08</v>
      </c>
      <c r="D886" s="311">
        <v>1.0913309559855437</v>
      </c>
      <c r="E886" s="311">
        <v>1.1026619119710872</v>
      </c>
      <c r="F886" s="219">
        <v>1.1000000000000001</v>
      </c>
      <c r="J886" s="310"/>
      <c r="L886" s="57"/>
    </row>
    <row r="887" spans="1:12">
      <c r="A887" s="926" t="s">
        <v>624</v>
      </c>
      <c r="B887" s="310">
        <v>1</v>
      </c>
      <c r="C887" s="310">
        <v>0.06</v>
      </c>
      <c r="D887" s="311">
        <v>1.0460496204345766</v>
      </c>
      <c r="E887" s="311">
        <v>1.0320992408691529</v>
      </c>
      <c r="F887" s="219">
        <v>1.03</v>
      </c>
      <c r="J887" s="310"/>
      <c r="L887" s="57"/>
    </row>
    <row r="888" spans="1:12">
      <c r="A888" s="926" t="s">
        <v>626</v>
      </c>
      <c r="B888" s="310">
        <v>1</v>
      </c>
      <c r="C888" s="310">
        <v>0.08</v>
      </c>
      <c r="D888" s="311">
        <v>1.0621964720612929</v>
      </c>
      <c r="E888" s="311">
        <v>1.0443929441225859</v>
      </c>
      <c r="F888" s="219">
        <v>1.04</v>
      </c>
      <c r="J888" s="310"/>
      <c r="L888" s="57"/>
    </row>
    <row r="889" spans="1:12">
      <c r="A889" s="926" t="s">
        <v>628</v>
      </c>
      <c r="B889" s="310">
        <v>1</v>
      </c>
      <c r="C889" s="310">
        <v>7.0000000000000007E-2</v>
      </c>
      <c r="D889" s="311">
        <v>1.0463763575794793</v>
      </c>
      <c r="E889" s="311">
        <v>1.0227527151589588</v>
      </c>
      <c r="F889" s="219">
        <v>1.02</v>
      </c>
      <c r="J889" s="310"/>
      <c r="L889" s="57"/>
    </row>
    <row r="890" spans="1:12">
      <c r="A890" s="926" t="s">
        <v>269</v>
      </c>
      <c r="B890" s="310">
        <v>1</v>
      </c>
      <c r="C890" s="310">
        <v>0.14000000000000001</v>
      </c>
      <c r="D890" s="311">
        <v>1.2009345983310817</v>
      </c>
      <c r="E890" s="311">
        <v>1.2618691966621638</v>
      </c>
      <c r="F890" s="219">
        <v>1.26</v>
      </c>
      <c r="J890" s="310"/>
      <c r="L890" s="57"/>
    </row>
    <row r="891" spans="1:12">
      <c r="A891" s="926" t="s">
        <v>951</v>
      </c>
      <c r="B891" s="310">
        <v>1</v>
      </c>
      <c r="C891" s="310">
        <v>0.14000000000000001</v>
      </c>
      <c r="D891" s="311">
        <v>1.2054280791236054</v>
      </c>
      <c r="E891" s="311">
        <v>1.2708561582472107</v>
      </c>
      <c r="F891" s="219">
        <v>1.27</v>
      </c>
      <c r="J891" s="310"/>
      <c r="L891" s="57"/>
    </row>
    <row r="892" spans="1:12">
      <c r="A892" s="926" t="s">
        <v>409</v>
      </c>
      <c r="B892" s="310">
        <v>1</v>
      </c>
      <c r="C892" s="310">
        <v>0.11</v>
      </c>
      <c r="D892" s="311">
        <v>1.1533862492558362</v>
      </c>
      <c r="E892" s="311">
        <v>1.1967724985116726</v>
      </c>
      <c r="F892" s="219">
        <v>1.2</v>
      </c>
      <c r="J892" s="310"/>
      <c r="L892" s="57"/>
    </row>
    <row r="893" spans="1:12">
      <c r="A893" s="926" t="s">
        <v>3996</v>
      </c>
      <c r="B893" s="310">
        <v>1</v>
      </c>
      <c r="C893" s="310">
        <v>0.14000000000000001</v>
      </c>
      <c r="D893" s="311">
        <v>1.2048362576170839</v>
      </c>
      <c r="E893" s="311">
        <v>1.2696725152341677</v>
      </c>
      <c r="F893" s="219">
        <v>1.27</v>
      </c>
      <c r="J893" s="310"/>
      <c r="L893" s="57"/>
    </row>
    <row r="894" spans="1:12">
      <c r="A894" s="926" t="s">
        <v>3998</v>
      </c>
      <c r="B894" s="310">
        <v>1</v>
      </c>
      <c r="C894" s="310">
        <v>0.13</v>
      </c>
      <c r="D894" s="311">
        <v>1.1865954968493662</v>
      </c>
      <c r="E894" s="311">
        <v>1.2431909936987324</v>
      </c>
      <c r="F894" s="219">
        <v>1.24</v>
      </c>
      <c r="J894" s="310"/>
      <c r="L894" s="57"/>
    </row>
    <row r="895" spans="1:12">
      <c r="A895" s="926" t="s">
        <v>6030</v>
      </c>
      <c r="B895" s="310">
        <v>1</v>
      </c>
      <c r="C895" s="310">
        <v>0.13</v>
      </c>
      <c r="D895" s="311">
        <v>1.1944734721098631</v>
      </c>
      <c r="E895" s="311">
        <v>1.2589469442197265</v>
      </c>
      <c r="F895" s="219">
        <v>1.26</v>
      </c>
      <c r="J895" s="310"/>
      <c r="L895" s="57"/>
    </row>
    <row r="896" spans="1:12">
      <c r="A896" s="926" t="s">
        <v>3002</v>
      </c>
      <c r="B896" s="310">
        <v>1</v>
      </c>
      <c r="C896" s="310">
        <v>0.13</v>
      </c>
      <c r="D896" s="311">
        <v>1.1902862734705835</v>
      </c>
      <c r="E896" s="311">
        <v>1.2505725469411668</v>
      </c>
      <c r="F896" s="219">
        <v>1.25</v>
      </c>
      <c r="J896" s="310"/>
      <c r="L896" s="57"/>
    </row>
    <row r="897" spans="1:12">
      <c r="A897" s="926" t="s">
        <v>4000</v>
      </c>
      <c r="F897" s="219"/>
      <c r="L897" s="57"/>
    </row>
    <row r="898" spans="1:12">
      <c r="A898" s="926" t="s">
        <v>2986</v>
      </c>
      <c r="B898" s="310">
        <v>1</v>
      </c>
      <c r="C898" s="310">
        <v>0.09</v>
      </c>
      <c r="D898" s="311">
        <v>1.1341813255356301</v>
      </c>
      <c r="E898" s="311">
        <v>1.1783626510712601</v>
      </c>
      <c r="F898" s="219">
        <v>1.18</v>
      </c>
      <c r="J898" s="310"/>
      <c r="L898" s="57"/>
    </row>
    <row r="899" spans="1:12">
      <c r="A899" s="926" t="s">
        <v>246</v>
      </c>
      <c r="B899" s="310">
        <v>1</v>
      </c>
      <c r="C899" s="310">
        <v>0.12</v>
      </c>
      <c r="D899" s="311">
        <v>1.1749252549114138</v>
      </c>
      <c r="E899" s="311">
        <v>1.2298505098228276</v>
      </c>
      <c r="F899" s="219">
        <v>1.23</v>
      </c>
      <c r="J899" s="310"/>
      <c r="L899" s="57"/>
    </row>
    <row r="900" spans="1:12">
      <c r="A900" s="926" t="s">
        <v>6032</v>
      </c>
      <c r="B900" s="310">
        <v>1</v>
      </c>
      <c r="C900" s="310">
        <v>0.09</v>
      </c>
      <c r="D900" s="311">
        <v>1.1384969025597989</v>
      </c>
      <c r="E900" s="311">
        <v>1.1869938051195974</v>
      </c>
      <c r="F900" s="219">
        <v>1.19</v>
      </c>
      <c r="J900" s="310"/>
      <c r="L900" s="57"/>
    </row>
    <row r="901" spans="1:12">
      <c r="A901" s="926" t="s">
        <v>946</v>
      </c>
      <c r="B901" s="310">
        <v>1</v>
      </c>
      <c r="C901" s="310">
        <v>0.12</v>
      </c>
      <c r="D901" s="311">
        <v>1.1626722418661304</v>
      </c>
      <c r="E901" s="311">
        <v>1.2053444837322609</v>
      </c>
      <c r="F901" s="219">
        <v>1.21</v>
      </c>
      <c r="J901" s="310"/>
      <c r="L901" s="57"/>
    </row>
    <row r="902" spans="1:12">
      <c r="A902" s="926" t="s">
        <v>1875</v>
      </c>
      <c r="B902" s="310">
        <v>1</v>
      </c>
      <c r="C902" s="310">
        <v>0.14000000000000001</v>
      </c>
      <c r="D902" s="311">
        <v>1.2006964974682051</v>
      </c>
      <c r="E902" s="311">
        <v>1.2613929949364104</v>
      </c>
      <c r="F902" s="219">
        <v>1.26</v>
      </c>
      <c r="J902" s="310"/>
      <c r="L902" s="57"/>
    </row>
    <row r="903" spans="1:12">
      <c r="A903" s="926" t="s">
        <v>6682</v>
      </c>
      <c r="B903" s="310">
        <v>1</v>
      </c>
      <c r="C903" s="310">
        <v>0.11</v>
      </c>
      <c r="D903" s="311">
        <v>1.1529973927372474</v>
      </c>
      <c r="E903" s="311">
        <v>1.1959947854744948</v>
      </c>
      <c r="F903" s="219">
        <v>1.2</v>
      </c>
      <c r="J903" s="310"/>
      <c r="L903" s="57"/>
    </row>
    <row r="904" spans="1:12">
      <c r="A904" s="926" t="s">
        <v>4002</v>
      </c>
      <c r="B904" s="310">
        <v>1</v>
      </c>
      <c r="C904" s="310">
        <v>0.12</v>
      </c>
      <c r="D904" s="311">
        <v>1.170073910514603</v>
      </c>
      <c r="E904" s="311">
        <v>1.2201478210292058</v>
      </c>
      <c r="F904" s="219">
        <v>1.22</v>
      </c>
      <c r="J904" s="310"/>
      <c r="L904" s="57"/>
    </row>
    <row r="905" spans="1:12">
      <c r="A905" s="926" t="s">
        <v>6681</v>
      </c>
      <c r="B905" s="310">
        <v>1</v>
      </c>
      <c r="C905" s="310">
        <v>0.1</v>
      </c>
      <c r="D905" s="311">
        <v>1.1582037332573401</v>
      </c>
      <c r="E905" s="311">
        <v>1.21640746651468</v>
      </c>
      <c r="F905" s="219">
        <v>1.22</v>
      </c>
      <c r="J905" s="310"/>
      <c r="L905" s="57"/>
    </row>
    <row r="906" spans="1:12">
      <c r="A906" s="926" t="s">
        <v>857</v>
      </c>
      <c r="B906" s="310">
        <v>1</v>
      </c>
      <c r="C906" s="310">
        <v>0.11</v>
      </c>
      <c r="D906" s="311">
        <v>1.1563493294197731</v>
      </c>
      <c r="E906" s="311">
        <v>1.2026986588395461</v>
      </c>
      <c r="F906" s="219">
        <v>1.2</v>
      </c>
      <c r="J906" s="310"/>
      <c r="L906" s="57"/>
    </row>
    <row r="907" spans="1:12">
      <c r="A907" s="926" t="s">
        <v>4006</v>
      </c>
      <c r="B907" s="310">
        <v>1</v>
      </c>
      <c r="C907" s="310">
        <v>0.09</v>
      </c>
      <c r="D907" s="311">
        <v>1.1170711213509805</v>
      </c>
      <c r="E907" s="311">
        <v>1.144142242701961</v>
      </c>
      <c r="F907" s="219">
        <v>1.1399999999999999</v>
      </c>
      <c r="J907" s="310"/>
      <c r="L907" s="57"/>
    </row>
    <row r="908" spans="1:12">
      <c r="A908" s="926" t="s">
        <v>4008</v>
      </c>
      <c r="B908" s="310">
        <v>1</v>
      </c>
      <c r="C908" s="310">
        <v>0.04</v>
      </c>
      <c r="D908" s="311">
        <v>1.0543639825457021</v>
      </c>
      <c r="E908" s="311">
        <v>1.0687279650914039</v>
      </c>
      <c r="F908" s="219">
        <v>1.07</v>
      </c>
      <c r="J908" s="310"/>
      <c r="L908" s="57"/>
    </row>
    <row r="909" spans="1:12">
      <c r="A909" s="926" t="s">
        <v>4010</v>
      </c>
      <c r="B909" s="310">
        <v>1</v>
      </c>
      <c r="C909" s="310">
        <v>0.05</v>
      </c>
      <c r="D909" s="311">
        <v>1.0384981442051515</v>
      </c>
      <c r="E909" s="311">
        <v>1.0269962884103032</v>
      </c>
      <c r="F909" s="219">
        <v>1.03</v>
      </c>
      <c r="J909" s="310"/>
      <c r="L909" s="57"/>
    </row>
    <row r="910" spans="1:12">
      <c r="A910" s="926" t="s">
        <v>4012</v>
      </c>
      <c r="B910" s="310">
        <v>1</v>
      </c>
      <c r="C910" s="310">
        <v>0.04</v>
      </c>
      <c r="D910" s="311">
        <v>1.051096123941448</v>
      </c>
      <c r="E910" s="311">
        <v>1.0621922478828958</v>
      </c>
      <c r="F910" s="219">
        <v>1.06</v>
      </c>
      <c r="J910" s="310"/>
      <c r="L910" s="57"/>
    </row>
    <row r="911" spans="1:12">
      <c r="A911" s="926" t="s">
        <v>4014</v>
      </c>
      <c r="B911" s="310">
        <v>1</v>
      </c>
      <c r="C911" s="310">
        <v>0.05</v>
      </c>
      <c r="D911" s="311">
        <v>1.067350668725314</v>
      </c>
      <c r="E911" s="311">
        <v>1.0847013374506282</v>
      </c>
      <c r="F911" s="219">
        <v>1.08</v>
      </c>
      <c r="J911" s="310"/>
      <c r="L911" s="57"/>
    </row>
    <row r="912" spans="1:12">
      <c r="A912" s="926" t="s">
        <v>4015</v>
      </c>
      <c r="B912" s="310">
        <v>1</v>
      </c>
      <c r="C912" s="310">
        <v>0.09</v>
      </c>
      <c r="D912" s="311">
        <v>1.0606185518102302</v>
      </c>
      <c r="E912" s="311">
        <v>1.0312371036204602</v>
      </c>
      <c r="F912" s="219">
        <v>1.03</v>
      </c>
      <c r="J912" s="310"/>
      <c r="L912" s="57"/>
    </row>
    <row r="913" spans="1:12">
      <c r="A913" s="926" t="s">
        <v>6120</v>
      </c>
      <c r="B913" s="310">
        <v>1</v>
      </c>
      <c r="C913" s="310">
        <v>0.08</v>
      </c>
      <c r="D913" s="311">
        <v>1.0626697241623493</v>
      </c>
      <c r="E913" s="311">
        <v>1.0453394483246983</v>
      </c>
      <c r="F913" s="219">
        <v>1.05</v>
      </c>
      <c r="J913" s="310"/>
      <c r="L913" s="57"/>
    </row>
    <row r="914" spans="1:12">
      <c r="A914" s="926" t="s">
        <v>6679</v>
      </c>
      <c r="B914" s="310">
        <v>1</v>
      </c>
      <c r="C914" s="310">
        <v>7.0000000000000007E-2</v>
      </c>
      <c r="D914" s="311">
        <v>1.0486990080927483</v>
      </c>
      <c r="E914" s="311">
        <v>1.0273980161854965</v>
      </c>
      <c r="F914" s="219">
        <v>1.03</v>
      </c>
      <c r="J914" s="310"/>
      <c r="L914" s="57"/>
    </row>
    <row r="915" spans="1:12">
      <c r="A915" s="926" t="s">
        <v>6122</v>
      </c>
      <c r="B915" s="310">
        <v>1</v>
      </c>
      <c r="C915" s="310">
        <v>7.0000000000000007E-2</v>
      </c>
      <c r="D915" s="311">
        <v>1.0522141099163727</v>
      </c>
      <c r="E915" s="311">
        <v>1.0344282198327452</v>
      </c>
      <c r="F915" s="219">
        <v>1.03</v>
      </c>
      <c r="J915" s="310"/>
      <c r="L915" s="57"/>
    </row>
    <row r="916" spans="1:12">
      <c r="A916" s="926" t="s">
        <v>1801</v>
      </c>
      <c r="B916" s="310">
        <v>1</v>
      </c>
      <c r="C916" s="310">
        <v>7.0000000000000007E-2</v>
      </c>
      <c r="D916" s="311">
        <v>1.0623384433927519</v>
      </c>
      <c r="E916" s="311">
        <v>1.0546768867855036</v>
      </c>
      <c r="F916" s="219">
        <v>1.05</v>
      </c>
      <c r="J916" s="310"/>
      <c r="L916" s="57"/>
    </row>
    <row r="917" spans="1:12">
      <c r="A917" s="926" t="s">
        <v>1803</v>
      </c>
      <c r="B917" s="310">
        <v>1</v>
      </c>
      <c r="C917" s="310">
        <v>0.09</v>
      </c>
      <c r="D917" s="311">
        <v>1.0671206410101943</v>
      </c>
      <c r="E917" s="311">
        <v>1.0442412820203886</v>
      </c>
      <c r="F917" s="219">
        <v>1.04</v>
      </c>
      <c r="J917" s="310"/>
      <c r="L917" s="57"/>
    </row>
    <row r="918" spans="1:12">
      <c r="A918" s="926" t="s">
        <v>1805</v>
      </c>
      <c r="B918" s="310">
        <v>1</v>
      </c>
      <c r="C918" s="310">
        <v>0.08</v>
      </c>
      <c r="D918" s="311">
        <v>1.0836897716608975</v>
      </c>
      <c r="E918" s="311">
        <v>1.0873795433217948</v>
      </c>
      <c r="F918" s="219">
        <v>1.0900000000000001</v>
      </c>
      <c r="J918" s="310"/>
      <c r="L918" s="57"/>
    </row>
    <row r="919" spans="1:12">
      <c r="A919" s="926" t="s">
        <v>1807</v>
      </c>
      <c r="B919" s="310">
        <v>1</v>
      </c>
      <c r="C919" s="310">
        <v>0.05</v>
      </c>
      <c r="D919" s="311">
        <v>1.0514336410258927</v>
      </c>
      <c r="E919" s="311">
        <v>1.0528672820517853</v>
      </c>
      <c r="F919" s="219">
        <v>1.05</v>
      </c>
      <c r="J919" s="310"/>
      <c r="L919" s="57"/>
    </row>
    <row r="920" spans="1:12">
      <c r="A920" s="926" t="s">
        <v>5037</v>
      </c>
      <c r="B920" s="310">
        <v>1</v>
      </c>
      <c r="C920" s="310">
        <v>0.04</v>
      </c>
      <c r="D920" s="311">
        <v>1.0489253589296368</v>
      </c>
      <c r="E920" s="311">
        <v>1.0578507178592738</v>
      </c>
      <c r="F920" s="219">
        <v>1.06</v>
      </c>
      <c r="J920" s="310"/>
      <c r="L920" s="57"/>
    </row>
    <row r="921" spans="1:12">
      <c r="A921" s="926" t="s">
        <v>1809</v>
      </c>
      <c r="B921" s="310">
        <v>1</v>
      </c>
      <c r="C921" s="310">
        <v>0.03</v>
      </c>
      <c r="D921" s="311">
        <v>1.0438206907047407</v>
      </c>
      <c r="E921" s="311">
        <v>1.0576413814094812</v>
      </c>
      <c r="F921" s="219">
        <v>1.06</v>
      </c>
      <c r="J921" s="310"/>
      <c r="L921" s="57"/>
    </row>
    <row r="922" spans="1:12">
      <c r="A922" s="926" t="s">
        <v>1697</v>
      </c>
      <c r="B922" s="310">
        <v>1</v>
      </c>
      <c r="C922" s="310">
        <v>0.04</v>
      </c>
      <c r="D922" s="311">
        <v>1.043404139755252</v>
      </c>
      <c r="E922" s="311">
        <v>1.0468082795105038</v>
      </c>
      <c r="F922" s="219">
        <v>1.05</v>
      </c>
      <c r="J922" s="310"/>
      <c r="L922" s="57"/>
    </row>
    <row r="923" spans="1:12">
      <c r="A923" s="926" t="s">
        <v>2385</v>
      </c>
      <c r="B923" s="310">
        <v>1</v>
      </c>
      <c r="C923" s="310">
        <v>0.08</v>
      </c>
      <c r="D923" s="311">
        <v>1.1141323413091841</v>
      </c>
      <c r="E923" s="311">
        <v>1.1482646826183682</v>
      </c>
      <c r="F923" s="219">
        <v>1.1499999999999999</v>
      </c>
      <c r="J923" s="310"/>
      <c r="L923" s="57"/>
    </row>
    <row r="924" spans="1:12">
      <c r="A924" s="926" t="s">
        <v>1699</v>
      </c>
      <c r="B924" s="310">
        <v>1</v>
      </c>
      <c r="C924" s="310">
        <v>0.03</v>
      </c>
      <c r="D924" s="311">
        <v>1.0363538234757228</v>
      </c>
      <c r="E924" s="311">
        <v>1.0427076469514454</v>
      </c>
      <c r="F924" s="219">
        <v>1.04</v>
      </c>
      <c r="J924" s="310"/>
      <c r="L924" s="57"/>
    </row>
    <row r="925" spans="1:12">
      <c r="A925" s="926" t="s">
        <v>3554</v>
      </c>
      <c r="B925" s="310">
        <v>1</v>
      </c>
      <c r="C925" s="310">
        <v>0.05</v>
      </c>
      <c r="D925" s="311">
        <v>1.057408986882681</v>
      </c>
      <c r="E925" s="311">
        <v>1.0648179737653618</v>
      </c>
      <c r="F925" s="219">
        <v>1.06</v>
      </c>
      <c r="J925" s="310"/>
      <c r="L925" s="57"/>
    </row>
    <row r="926" spans="1:12">
      <c r="A926" s="926" t="s">
        <v>1857</v>
      </c>
      <c r="B926" s="310">
        <v>1</v>
      </c>
      <c r="C926" s="310">
        <v>0.05</v>
      </c>
      <c r="D926" s="311">
        <v>1.058990309134199</v>
      </c>
      <c r="E926" s="311">
        <v>1.067980618268398</v>
      </c>
      <c r="F926" s="219">
        <v>1.07</v>
      </c>
      <c r="J926" s="310"/>
      <c r="L926" s="57"/>
    </row>
    <row r="927" spans="1:12">
      <c r="A927" s="926" t="s">
        <v>7288</v>
      </c>
      <c r="B927" s="310">
        <v>1</v>
      </c>
      <c r="C927" s="310">
        <v>0.05</v>
      </c>
      <c r="D927" s="311">
        <v>1.0446023865552758</v>
      </c>
      <c r="E927" s="311">
        <v>1.0392047731105516</v>
      </c>
      <c r="F927" s="219">
        <v>1.04</v>
      </c>
      <c r="J927" s="310"/>
      <c r="L927" s="57"/>
    </row>
    <row r="928" spans="1:12">
      <c r="A928" s="926" t="s">
        <v>2791</v>
      </c>
      <c r="B928" s="310">
        <v>1</v>
      </c>
      <c r="C928" s="310">
        <v>0.1</v>
      </c>
      <c r="D928" s="311">
        <v>1.1860167526551364</v>
      </c>
      <c r="E928" s="311">
        <v>1.2720335053102729</v>
      </c>
      <c r="F928" s="219">
        <v>1.27</v>
      </c>
      <c r="J928" s="310"/>
      <c r="L928" s="57"/>
    </row>
    <row r="929" spans="1:12">
      <c r="A929" s="926" t="s">
        <v>5124</v>
      </c>
      <c r="B929" s="310">
        <v>1</v>
      </c>
      <c r="C929" s="310">
        <v>0.11</v>
      </c>
      <c r="D929" s="311">
        <v>1.1804568958790562</v>
      </c>
      <c r="E929" s="311">
        <v>1.2509137917581121</v>
      </c>
      <c r="F929" s="219">
        <v>1.25</v>
      </c>
      <c r="J929" s="310"/>
      <c r="L929" s="57"/>
    </row>
    <row r="930" spans="1:12">
      <c r="A930" s="926" t="s">
        <v>2793</v>
      </c>
      <c r="B930" s="310">
        <v>1</v>
      </c>
      <c r="C930" s="310">
        <v>7.0000000000000007E-2</v>
      </c>
      <c r="D930" s="311">
        <v>1.1268792829534349</v>
      </c>
      <c r="E930" s="311">
        <v>1.1837585659068697</v>
      </c>
      <c r="F930" s="219">
        <v>1.18</v>
      </c>
      <c r="J930" s="310"/>
      <c r="L930" s="57"/>
    </row>
    <row r="931" spans="1:12">
      <c r="A931" s="926" t="s">
        <v>2795</v>
      </c>
      <c r="B931" s="310">
        <v>1</v>
      </c>
      <c r="C931" s="310">
        <v>0.1</v>
      </c>
      <c r="D931" s="311">
        <v>1.1670347412970195</v>
      </c>
      <c r="E931" s="311">
        <v>1.2340694825940386</v>
      </c>
      <c r="F931" s="219">
        <v>1.23</v>
      </c>
      <c r="J931" s="310"/>
      <c r="L931" s="57"/>
    </row>
    <row r="932" spans="1:12">
      <c r="A932" s="926" t="s">
        <v>2052</v>
      </c>
      <c r="B932" s="310">
        <v>1</v>
      </c>
      <c r="C932" s="310">
        <v>0.11</v>
      </c>
      <c r="D932" s="311">
        <v>1.1615527054546171</v>
      </c>
      <c r="E932" s="311">
        <v>1.2131054109092341</v>
      </c>
      <c r="F932" s="219">
        <v>1.21</v>
      </c>
      <c r="J932" s="310"/>
      <c r="L932" s="57"/>
    </row>
    <row r="933" spans="1:12">
      <c r="A933" s="926" t="s">
        <v>2797</v>
      </c>
      <c r="B933" s="310">
        <v>1</v>
      </c>
      <c r="C933" s="310">
        <v>0.05</v>
      </c>
      <c r="D933" s="311">
        <v>1.1028333450822252</v>
      </c>
      <c r="E933" s="311">
        <v>1.1556666901644503</v>
      </c>
      <c r="F933" s="219">
        <v>1.1599999999999999</v>
      </c>
      <c r="J933" s="310"/>
      <c r="L933" s="57"/>
    </row>
    <row r="934" spans="1:12">
      <c r="A934" s="926" t="s">
        <v>2799</v>
      </c>
      <c r="B934" s="310">
        <v>1</v>
      </c>
      <c r="C934" s="310">
        <v>0.08</v>
      </c>
      <c r="D934" s="311">
        <v>1.1409835679483415</v>
      </c>
      <c r="E934" s="311">
        <v>1.2019671358966828</v>
      </c>
      <c r="F934" s="219">
        <v>1.2</v>
      </c>
      <c r="J934" s="310"/>
      <c r="L934" s="57"/>
    </row>
    <row r="935" spans="1:12">
      <c r="A935" s="926" t="s">
        <v>2801</v>
      </c>
      <c r="B935" s="310">
        <v>1</v>
      </c>
      <c r="C935" s="310">
        <v>0.04</v>
      </c>
      <c r="D935" s="311">
        <v>1.0408340027358514</v>
      </c>
      <c r="E935" s="311">
        <v>1.0416680054717025</v>
      </c>
      <c r="F935" s="219">
        <v>1.04</v>
      </c>
      <c r="J935" s="310"/>
      <c r="L935" s="57"/>
    </row>
    <row r="936" spans="1:12">
      <c r="A936" s="926" t="s">
        <v>2803</v>
      </c>
      <c r="B936" s="310">
        <v>1</v>
      </c>
      <c r="C936" s="310">
        <v>0.05</v>
      </c>
      <c r="D936" s="311">
        <v>1.0457593482973393</v>
      </c>
      <c r="E936" s="311">
        <v>1.0415186965946783</v>
      </c>
      <c r="F936" s="219">
        <v>1.04</v>
      </c>
      <c r="J936" s="310"/>
      <c r="L936" s="57"/>
    </row>
    <row r="937" spans="1:12">
      <c r="A937" s="926" t="s">
        <v>2805</v>
      </c>
      <c r="B937" s="310">
        <v>1</v>
      </c>
      <c r="C937" s="310">
        <v>0.05</v>
      </c>
      <c r="D937" s="311">
        <v>1.0376392516457962</v>
      </c>
      <c r="E937" s="311">
        <v>1.0252785032915923</v>
      </c>
      <c r="F937" s="219">
        <v>1.03</v>
      </c>
      <c r="J937" s="310"/>
      <c r="L937" s="57"/>
    </row>
    <row r="938" spans="1:12">
      <c r="A938" s="926" t="s">
        <v>2806</v>
      </c>
      <c r="B938" s="310">
        <v>1</v>
      </c>
      <c r="C938" s="310">
        <v>0.05</v>
      </c>
      <c r="D938" s="311">
        <v>1.0379053333668296</v>
      </c>
      <c r="E938" s="311">
        <v>1.0258106667336591</v>
      </c>
      <c r="F938" s="219">
        <v>1.03</v>
      </c>
      <c r="J938" s="310"/>
      <c r="L938" s="57"/>
    </row>
    <row r="939" spans="1:12">
      <c r="A939" s="926" t="s">
        <v>232</v>
      </c>
      <c r="B939" s="310">
        <v>1</v>
      </c>
      <c r="C939" s="310">
        <v>0.05</v>
      </c>
      <c r="D939" s="311">
        <v>1.0558775938574883</v>
      </c>
      <c r="E939" s="311">
        <v>1.0617551877149762</v>
      </c>
      <c r="F939" s="219">
        <v>1.06</v>
      </c>
      <c r="J939" s="310"/>
      <c r="L939" s="57"/>
    </row>
    <row r="940" spans="1:12">
      <c r="A940" s="926" t="s">
        <v>3572</v>
      </c>
      <c r="B940" s="310">
        <v>1</v>
      </c>
      <c r="C940" s="310">
        <v>0.06</v>
      </c>
      <c r="D940" s="311">
        <v>1.0678566489193666</v>
      </c>
      <c r="E940" s="311">
        <v>1.0757132978387332</v>
      </c>
      <c r="F940" s="219">
        <v>1.08</v>
      </c>
      <c r="J940" s="310"/>
      <c r="L940" s="57"/>
    </row>
    <row r="941" spans="1:12">
      <c r="A941" s="926" t="s">
        <v>3574</v>
      </c>
      <c r="B941" s="310">
        <v>1</v>
      </c>
      <c r="C941" s="310">
        <v>0.04</v>
      </c>
      <c r="D941" s="311">
        <v>1.0534250080264165</v>
      </c>
      <c r="E941" s="311">
        <v>1.0668500160528329</v>
      </c>
      <c r="F941" s="219">
        <v>1.07</v>
      </c>
      <c r="J941" s="310"/>
      <c r="L941" s="57"/>
    </row>
    <row r="942" spans="1:12">
      <c r="A942" s="926" t="s">
        <v>4072</v>
      </c>
      <c r="B942" s="310">
        <v>1</v>
      </c>
      <c r="C942" s="310">
        <v>0.04</v>
      </c>
      <c r="D942" s="311">
        <v>1.0504170930320367</v>
      </c>
      <c r="E942" s="311">
        <v>1.0608341860640733</v>
      </c>
      <c r="F942" s="219">
        <v>1.06</v>
      </c>
      <c r="J942" s="310"/>
      <c r="L942" s="57"/>
    </row>
    <row r="943" spans="1:12">
      <c r="A943" s="926" t="s">
        <v>735</v>
      </c>
      <c r="B943" s="310">
        <v>1</v>
      </c>
      <c r="C943" s="310">
        <v>0.04</v>
      </c>
      <c r="D943" s="311">
        <v>1.0435161012314658</v>
      </c>
      <c r="E943" s="311">
        <v>1.0470322024629313</v>
      </c>
      <c r="F943" s="219">
        <v>1.05</v>
      </c>
      <c r="J943" s="310"/>
      <c r="L943" s="57"/>
    </row>
    <row r="944" spans="1:12">
      <c r="A944" s="926" t="s">
        <v>3576</v>
      </c>
      <c r="B944" s="310">
        <v>1</v>
      </c>
      <c r="C944" s="310">
        <v>0.06</v>
      </c>
      <c r="D944" s="311">
        <v>1.0621977060740444</v>
      </c>
      <c r="E944" s="311">
        <v>1.0643954121480887</v>
      </c>
      <c r="F944" s="219">
        <v>1.06</v>
      </c>
      <c r="J944" s="310"/>
      <c r="L944" s="57"/>
    </row>
    <row r="945" spans="1:12">
      <c r="A945" s="926" t="s">
        <v>3577</v>
      </c>
      <c r="B945" s="310">
        <v>1</v>
      </c>
      <c r="C945" s="310">
        <v>0.06</v>
      </c>
      <c r="D945" s="311">
        <v>1.0776215826104301</v>
      </c>
      <c r="E945" s="311">
        <v>1.0952431652208601</v>
      </c>
      <c r="F945" s="219">
        <v>1.1000000000000001</v>
      </c>
      <c r="J945" s="310"/>
      <c r="L945" s="57"/>
    </row>
    <row r="946" spans="1:12">
      <c r="A946" s="926" t="s">
        <v>6190</v>
      </c>
      <c r="B946" s="310">
        <v>1</v>
      </c>
      <c r="C946" s="310">
        <v>0.05</v>
      </c>
      <c r="D946" s="311">
        <v>1.0601074824149084</v>
      </c>
      <c r="E946" s="311">
        <v>1.0702149648298165</v>
      </c>
      <c r="F946" s="219">
        <v>1.07</v>
      </c>
      <c r="J946" s="310"/>
      <c r="L946" s="57"/>
    </row>
    <row r="947" spans="1:12">
      <c r="A947" s="926" t="s">
        <v>3580</v>
      </c>
      <c r="B947" s="310">
        <v>1</v>
      </c>
      <c r="C947" s="310">
        <v>0.06</v>
      </c>
      <c r="D947" s="311">
        <v>1.0550813193412349</v>
      </c>
      <c r="E947" s="311">
        <v>1.0501626386824698</v>
      </c>
      <c r="F947" s="219">
        <v>1.05</v>
      </c>
      <c r="J947" s="310"/>
      <c r="L947" s="57"/>
    </row>
    <row r="948" spans="1:12">
      <c r="A948" s="926" t="s">
        <v>1862</v>
      </c>
      <c r="B948" s="310">
        <v>1</v>
      </c>
      <c r="C948" s="310">
        <v>0.06</v>
      </c>
      <c r="D948" s="311">
        <v>1.0656325521458401</v>
      </c>
      <c r="E948" s="311">
        <v>1.0712651042916803</v>
      </c>
      <c r="F948" s="219">
        <v>1.07</v>
      </c>
      <c r="J948" s="310"/>
      <c r="L948" s="57"/>
    </row>
    <row r="949" spans="1:12">
      <c r="A949" s="926" t="s">
        <v>3582</v>
      </c>
      <c r="B949" s="310">
        <v>1</v>
      </c>
      <c r="C949" s="310">
        <v>0.06</v>
      </c>
      <c r="D949" s="311">
        <v>1.0654944852203465</v>
      </c>
      <c r="E949" s="311">
        <v>1.070988970440693</v>
      </c>
      <c r="F949" s="219">
        <v>1.07</v>
      </c>
      <c r="J949" s="310"/>
      <c r="L949" s="57"/>
    </row>
    <row r="950" spans="1:12">
      <c r="A950" s="926" t="s">
        <v>3584</v>
      </c>
      <c r="B950" s="310">
        <v>1</v>
      </c>
      <c r="C950" s="310">
        <v>0.06</v>
      </c>
      <c r="D950" s="311">
        <v>1.0642292985650572</v>
      </c>
      <c r="E950" s="311">
        <v>1.0684585971301146</v>
      </c>
      <c r="F950" s="219">
        <v>1.07</v>
      </c>
      <c r="J950" s="310"/>
      <c r="L950" s="57"/>
    </row>
    <row r="951" spans="1:12">
      <c r="A951" s="926" t="s">
        <v>3586</v>
      </c>
      <c r="B951" s="310">
        <v>1</v>
      </c>
      <c r="C951" s="310">
        <v>0.09</v>
      </c>
      <c r="D951" s="311">
        <v>1.0738767241997063</v>
      </c>
      <c r="E951" s="311">
        <v>1.0577534483994127</v>
      </c>
      <c r="F951" s="219">
        <v>1.06</v>
      </c>
      <c r="J951" s="310"/>
      <c r="L951" s="57"/>
    </row>
    <row r="952" spans="1:12">
      <c r="A952" s="926" t="s">
        <v>3588</v>
      </c>
      <c r="B952" s="310">
        <v>1</v>
      </c>
      <c r="C952" s="310">
        <v>0.09</v>
      </c>
      <c r="D952" s="311">
        <v>1.0737009448782078</v>
      </c>
      <c r="E952" s="311">
        <v>1.0574018897564155</v>
      </c>
      <c r="F952" s="219">
        <v>1.06</v>
      </c>
      <c r="J952" s="310"/>
      <c r="L952" s="57"/>
    </row>
    <row r="953" spans="1:12">
      <c r="A953" s="926" t="s">
        <v>6036</v>
      </c>
      <c r="B953" s="310">
        <v>1</v>
      </c>
      <c r="C953" s="310">
        <v>0.08</v>
      </c>
      <c r="D953" s="311">
        <v>1.0644097122130325</v>
      </c>
      <c r="E953" s="311">
        <v>1.0488194244260647</v>
      </c>
      <c r="F953" s="219">
        <v>1.05</v>
      </c>
      <c r="J953" s="310"/>
      <c r="L953" s="57"/>
    </row>
    <row r="954" spans="1:12">
      <c r="A954" s="926" t="s">
        <v>2472</v>
      </c>
      <c r="B954" s="310">
        <v>1</v>
      </c>
      <c r="C954" s="310">
        <v>0.08</v>
      </c>
      <c r="D954" s="311">
        <v>1.0736718217584684</v>
      </c>
      <c r="E954" s="311">
        <v>1.067343643516937</v>
      </c>
      <c r="F954" s="219">
        <v>1.07</v>
      </c>
      <c r="J954" s="310"/>
      <c r="L954" s="57"/>
    </row>
    <row r="955" spans="1:12">
      <c r="A955" s="926" t="s">
        <v>2418</v>
      </c>
      <c r="B955" s="310">
        <v>1</v>
      </c>
      <c r="C955" s="310">
        <v>0.12</v>
      </c>
      <c r="D955" s="311">
        <v>1.0975165502766853</v>
      </c>
      <c r="E955" s="311">
        <v>1.0750331005533706</v>
      </c>
      <c r="F955" s="219">
        <v>1.08</v>
      </c>
      <c r="J955" s="310"/>
      <c r="L955" s="57"/>
    </row>
    <row r="956" spans="1:12">
      <c r="A956" s="926" t="s">
        <v>3590</v>
      </c>
      <c r="B956" s="310">
        <v>1</v>
      </c>
      <c r="C956" s="310">
        <v>7.0000000000000007E-2</v>
      </c>
      <c r="D956" s="311">
        <v>1.0642486089407281</v>
      </c>
      <c r="E956" s="311">
        <v>1.058497217881456</v>
      </c>
      <c r="F956" s="219">
        <v>1.06</v>
      </c>
      <c r="J956" s="310"/>
      <c r="L956" s="57"/>
    </row>
    <row r="957" spans="1:12">
      <c r="A957" s="926" t="s">
        <v>2389</v>
      </c>
      <c r="B957" s="310">
        <v>1</v>
      </c>
      <c r="C957" s="310">
        <v>0.13</v>
      </c>
      <c r="D957" s="311">
        <v>1.1110432438931648</v>
      </c>
      <c r="E957" s="311">
        <v>1.0920864877863297</v>
      </c>
      <c r="F957" s="219">
        <v>1.0900000000000001</v>
      </c>
      <c r="J957" s="310"/>
      <c r="L957" s="57"/>
    </row>
    <row r="958" spans="1:12">
      <c r="A958" s="926" t="s">
        <v>3594</v>
      </c>
      <c r="B958" s="310">
        <v>1</v>
      </c>
      <c r="C958" s="310">
        <v>0.08</v>
      </c>
      <c r="D958" s="311">
        <v>1.0792741452505425</v>
      </c>
      <c r="E958" s="311">
        <v>1.0785482905010852</v>
      </c>
      <c r="F958" s="219">
        <v>1.08</v>
      </c>
      <c r="J958" s="310"/>
      <c r="L958" s="57"/>
    </row>
    <row r="959" spans="1:12">
      <c r="A959" s="926" t="s">
        <v>6241</v>
      </c>
      <c r="B959" s="310">
        <v>1</v>
      </c>
      <c r="C959" s="310">
        <v>0.04</v>
      </c>
      <c r="D959" s="311">
        <v>1.0551608849219847</v>
      </c>
      <c r="E959" s="311">
        <v>1.0703217698439693</v>
      </c>
      <c r="F959" s="219">
        <v>1.07</v>
      </c>
      <c r="J959" s="310"/>
      <c r="L959" s="57"/>
    </row>
    <row r="960" spans="1:12">
      <c r="A960" s="926" t="s">
        <v>6243</v>
      </c>
      <c r="B960" s="310">
        <v>1</v>
      </c>
      <c r="C960" s="310">
        <v>0.03</v>
      </c>
      <c r="D960" s="311">
        <v>1.0467757791110772</v>
      </c>
      <c r="E960" s="311">
        <v>1.0635515582221546</v>
      </c>
      <c r="F960" s="219">
        <v>1.06</v>
      </c>
      <c r="J960" s="310"/>
      <c r="L960" s="57"/>
    </row>
    <row r="961" spans="1:12">
      <c r="A961" s="926" t="s">
        <v>1832</v>
      </c>
      <c r="B961" s="310">
        <v>1</v>
      </c>
      <c r="C961" s="310">
        <v>0.03</v>
      </c>
      <c r="D961" s="311">
        <v>1.0452222836298555</v>
      </c>
      <c r="E961" s="311">
        <v>1.0604445672597107</v>
      </c>
      <c r="F961" s="219">
        <v>1.06</v>
      </c>
      <c r="J961" s="310"/>
      <c r="L961" s="57"/>
    </row>
    <row r="962" spans="1:12">
      <c r="A962" s="926" t="s">
        <v>6164</v>
      </c>
      <c r="B962" s="310">
        <v>1</v>
      </c>
      <c r="C962" s="310">
        <v>0.03</v>
      </c>
      <c r="D962" s="311">
        <v>1.0402421361669916</v>
      </c>
      <c r="E962" s="311">
        <v>1.0504842723339829</v>
      </c>
      <c r="F962" s="219">
        <v>1.05</v>
      </c>
      <c r="J962" s="310"/>
      <c r="L962" s="57"/>
    </row>
    <row r="963" spans="1:12">
      <c r="A963" s="926" t="s">
        <v>6244</v>
      </c>
      <c r="B963" s="310">
        <v>1</v>
      </c>
      <c r="C963" s="310">
        <v>0.04</v>
      </c>
      <c r="D963" s="311">
        <v>1.052862853883489</v>
      </c>
      <c r="E963" s="311">
        <v>1.0657257077669777</v>
      </c>
      <c r="F963" s="219">
        <v>1.07</v>
      </c>
      <c r="J963" s="310"/>
      <c r="L963" s="57"/>
    </row>
    <row r="964" spans="1:12">
      <c r="A964" s="926" t="s">
        <v>6246</v>
      </c>
      <c r="B964" s="310">
        <v>1</v>
      </c>
      <c r="C964" s="310">
        <v>0.04</v>
      </c>
      <c r="D964" s="311">
        <v>1.0570474921627917</v>
      </c>
      <c r="E964" s="311">
        <v>1.0740949843255834</v>
      </c>
      <c r="F964" s="219">
        <v>1.07</v>
      </c>
      <c r="J964" s="310"/>
      <c r="L964" s="57"/>
    </row>
    <row r="965" spans="1:12">
      <c r="A965" s="926" t="s">
        <v>1313</v>
      </c>
      <c r="B965" s="310">
        <v>1</v>
      </c>
      <c r="C965" s="310">
        <v>0.03</v>
      </c>
      <c r="D965" s="311">
        <v>1.0409806604165164</v>
      </c>
      <c r="E965" s="311">
        <v>1.0519613208330327</v>
      </c>
      <c r="F965" s="219">
        <v>1.05</v>
      </c>
      <c r="J965" s="310"/>
      <c r="L965" s="57"/>
    </row>
    <row r="966" spans="1:12">
      <c r="A966" s="926" t="s">
        <v>955</v>
      </c>
      <c r="B966" s="310">
        <v>1</v>
      </c>
      <c r="C966" s="310">
        <v>7.0000000000000007E-2</v>
      </c>
      <c r="D966" s="311">
        <v>1.0865579630186155</v>
      </c>
      <c r="E966" s="311">
        <v>1.1031159260372307</v>
      </c>
      <c r="F966" s="219">
        <v>1.1000000000000001</v>
      </c>
      <c r="J966" s="310"/>
      <c r="L966" s="57"/>
    </row>
    <row r="967" spans="1:12">
      <c r="A967" s="926" t="s">
        <v>3552</v>
      </c>
      <c r="B967" s="310">
        <v>1</v>
      </c>
      <c r="C967" s="310">
        <v>0.1</v>
      </c>
      <c r="D967" s="311">
        <v>1.1434781059232519</v>
      </c>
      <c r="E967" s="311">
        <v>1.1869562118465038</v>
      </c>
      <c r="F967" s="219">
        <v>1.19</v>
      </c>
      <c r="J967" s="310"/>
      <c r="L967" s="57"/>
    </row>
    <row r="968" spans="1:12">
      <c r="A968" s="926" t="s">
        <v>6248</v>
      </c>
      <c r="B968" s="310">
        <v>1</v>
      </c>
      <c r="C968" s="310">
        <v>7.0000000000000007E-2</v>
      </c>
      <c r="D968" s="311">
        <v>1.0665741304760663</v>
      </c>
      <c r="E968" s="311">
        <v>1.0631482609521326</v>
      </c>
      <c r="F968" s="219">
        <v>1.06</v>
      </c>
      <c r="J968" s="310"/>
      <c r="L968" s="57"/>
    </row>
    <row r="969" spans="1:12">
      <c r="A969" s="926" t="s">
        <v>6182</v>
      </c>
      <c r="B969" s="310">
        <v>1</v>
      </c>
      <c r="C969" s="310">
        <v>0.06</v>
      </c>
      <c r="D969" s="311">
        <v>1.0522213722040874</v>
      </c>
      <c r="E969" s="311">
        <v>1.0444427444081748</v>
      </c>
      <c r="F969" s="219">
        <v>1.04</v>
      </c>
      <c r="J969" s="310"/>
      <c r="L969" s="57"/>
    </row>
    <row r="970" spans="1:12">
      <c r="A970" s="926" t="s">
        <v>6250</v>
      </c>
      <c r="B970" s="310">
        <v>1</v>
      </c>
      <c r="C970" s="310">
        <v>0.1</v>
      </c>
      <c r="D970" s="311">
        <v>1.0791614276427821</v>
      </c>
      <c r="E970" s="311">
        <v>1.0583228552855639</v>
      </c>
      <c r="F970" s="219">
        <v>1.06</v>
      </c>
      <c r="J970" s="310"/>
      <c r="L970" s="57"/>
    </row>
    <row r="971" spans="1:12">
      <c r="A971" s="926" t="s">
        <v>5038</v>
      </c>
      <c r="B971" s="310">
        <v>1</v>
      </c>
      <c r="C971" s="310">
        <v>0.12</v>
      </c>
      <c r="D971" s="311">
        <v>1.1269033470181498</v>
      </c>
      <c r="E971" s="311">
        <v>1.1338066940362996</v>
      </c>
      <c r="F971" s="219">
        <v>1.1299999999999999</v>
      </c>
      <c r="J971" s="310"/>
      <c r="L971" s="57"/>
    </row>
    <row r="972" spans="1:12">
      <c r="A972" s="926" t="s">
        <v>5039</v>
      </c>
      <c r="B972" s="310">
        <v>1</v>
      </c>
      <c r="C972" s="310">
        <v>0.14000000000000001</v>
      </c>
      <c r="D972" s="311">
        <v>1.15835003886348</v>
      </c>
      <c r="E972" s="311">
        <v>1.1767000777269598</v>
      </c>
      <c r="F972" s="219">
        <v>1.18</v>
      </c>
      <c r="J972" s="310"/>
      <c r="L972" s="57"/>
    </row>
    <row r="973" spans="1:12">
      <c r="A973" s="926" t="s">
        <v>2082</v>
      </c>
      <c r="B973" s="310">
        <v>1</v>
      </c>
      <c r="C973" s="310">
        <v>0.13</v>
      </c>
      <c r="D973" s="311">
        <v>1.1389651492783288</v>
      </c>
      <c r="E973" s="311">
        <v>1.1479302985566577</v>
      </c>
      <c r="F973" s="219">
        <v>1.1499999999999999</v>
      </c>
      <c r="J973" s="310"/>
      <c r="L973" s="57"/>
    </row>
    <row r="974" spans="1:12">
      <c r="A974" s="926" t="s">
        <v>2084</v>
      </c>
      <c r="B974" s="310">
        <v>1</v>
      </c>
      <c r="C974" s="310">
        <v>0.12</v>
      </c>
      <c r="D974" s="311">
        <v>1.0937126544018847</v>
      </c>
      <c r="E974" s="311">
        <v>1.0674253088037691</v>
      </c>
      <c r="F974" s="219">
        <v>1.07</v>
      </c>
      <c r="J974" s="310"/>
      <c r="L974" s="57"/>
    </row>
    <row r="975" spans="1:12">
      <c r="A975" s="926" t="s">
        <v>2086</v>
      </c>
      <c r="B975" s="310">
        <v>1</v>
      </c>
      <c r="C975" s="310">
        <v>0.1</v>
      </c>
      <c r="D975" s="311">
        <v>1.0690208112797999</v>
      </c>
      <c r="E975" s="311">
        <v>1.0380416225595994</v>
      </c>
      <c r="F975" s="219">
        <v>1.04</v>
      </c>
      <c r="J975" s="310"/>
      <c r="L975" s="57"/>
    </row>
    <row r="976" spans="1:12">
      <c r="A976" s="926" t="s">
        <v>2088</v>
      </c>
      <c r="B976" s="310">
        <v>1</v>
      </c>
      <c r="C976" s="310">
        <v>0.12</v>
      </c>
      <c r="D976" s="311">
        <v>1.1176261637069675</v>
      </c>
      <c r="E976" s="311">
        <v>1.1152523274139348</v>
      </c>
      <c r="F976" s="219">
        <v>1.1200000000000001</v>
      </c>
      <c r="J976" s="310"/>
      <c r="L976" s="57"/>
    </row>
    <row r="977" spans="1:12">
      <c r="A977" s="926" t="s">
        <v>2090</v>
      </c>
      <c r="B977" s="310">
        <v>1</v>
      </c>
      <c r="C977" s="310">
        <v>0.08</v>
      </c>
      <c r="D977" s="311">
        <v>1.0870150220001604</v>
      </c>
      <c r="E977" s="311">
        <v>1.0940300440003208</v>
      </c>
      <c r="F977" s="219">
        <v>1.0900000000000001</v>
      </c>
      <c r="J977" s="310"/>
      <c r="L977" s="57"/>
    </row>
    <row r="978" spans="1:12">
      <c r="A978" s="926" t="s">
        <v>2987</v>
      </c>
      <c r="B978" s="310">
        <v>1</v>
      </c>
      <c r="C978" s="310">
        <v>0.16</v>
      </c>
      <c r="D978" s="311">
        <v>1.1787741943533954</v>
      </c>
      <c r="E978" s="311">
        <v>1.1975483887067906</v>
      </c>
      <c r="F978" s="219">
        <v>1.2</v>
      </c>
      <c r="J978" s="310"/>
      <c r="L978" s="57"/>
    </row>
    <row r="979" spans="1:12">
      <c r="A979" s="926" t="s">
        <v>2094</v>
      </c>
      <c r="B979" s="310">
        <v>1</v>
      </c>
      <c r="C979" s="310">
        <v>0.09</v>
      </c>
      <c r="D979" s="311">
        <v>1.0690826988643094</v>
      </c>
      <c r="E979" s="311">
        <v>1.0481653977286187</v>
      </c>
      <c r="F979" s="219">
        <v>1.05</v>
      </c>
      <c r="J979" s="310"/>
      <c r="L979" s="57"/>
    </row>
    <row r="980" spans="1:12">
      <c r="A980" s="926" t="s">
        <v>2417</v>
      </c>
      <c r="B980" s="310">
        <v>1</v>
      </c>
      <c r="C980" s="310">
        <v>0.14000000000000001</v>
      </c>
      <c r="D980" s="311">
        <v>1.170585223970432</v>
      </c>
      <c r="E980" s="311">
        <v>1.2011704479408638</v>
      </c>
      <c r="F980" s="219">
        <v>1.2</v>
      </c>
      <c r="J980" s="310"/>
      <c r="L980" s="57"/>
    </row>
    <row r="981" spans="1:12">
      <c r="A981" s="926" t="s">
        <v>78</v>
      </c>
      <c r="B981" s="310">
        <v>1</v>
      </c>
      <c r="C981" s="310">
        <v>7.0000000000000007E-2</v>
      </c>
      <c r="D981" s="311">
        <v>1.0712164840536325</v>
      </c>
      <c r="E981" s="311">
        <v>1.0724329681072649</v>
      </c>
      <c r="F981" s="219">
        <v>1.07</v>
      </c>
      <c r="J981" s="310"/>
      <c r="L981" s="57"/>
    </row>
    <row r="982" spans="1:12">
      <c r="A982" s="926" t="s">
        <v>80</v>
      </c>
      <c r="B982" s="310">
        <v>1</v>
      </c>
      <c r="C982" s="310">
        <v>0.09</v>
      </c>
      <c r="D982" s="311">
        <v>1.0887546543460984</v>
      </c>
      <c r="E982" s="311">
        <v>1.0875093086921968</v>
      </c>
      <c r="F982" s="219">
        <v>1.0900000000000001</v>
      </c>
      <c r="J982" s="310"/>
      <c r="L982" s="57"/>
    </row>
    <row r="983" spans="1:12">
      <c r="A983" s="926" t="s">
        <v>82</v>
      </c>
      <c r="B983" s="310">
        <v>1</v>
      </c>
      <c r="C983" s="310">
        <v>0.09</v>
      </c>
      <c r="D983" s="311">
        <v>1.086319713522776</v>
      </c>
      <c r="E983" s="311">
        <v>1.0826394270455519</v>
      </c>
      <c r="F983" s="219">
        <v>1.08</v>
      </c>
      <c r="J983" s="310"/>
      <c r="L983" s="57"/>
    </row>
    <row r="984" spans="1:12">
      <c r="A984" s="926" t="s">
        <v>84</v>
      </c>
      <c r="B984" s="310">
        <v>1</v>
      </c>
      <c r="C984" s="310">
        <v>0.11</v>
      </c>
      <c r="D984" s="311">
        <v>1.1108337589079718</v>
      </c>
      <c r="E984" s="311">
        <v>1.1116675178159434</v>
      </c>
      <c r="F984" s="219">
        <v>1.1100000000000001</v>
      </c>
      <c r="J984" s="310"/>
      <c r="L984" s="57"/>
    </row>
    <row r="985" spans="1:12">
      <c r="A985" s="926" t="s">
        <v>86</v>
      </c>
      <c r="B985" s="310">
        <v>1</v>
      </c>
      <c r="C985" s="310">
        <v>0.11</v>
      </c>
      <c r="D985" s="311">
        <v>1.1035792279061929</v>
      </c>
      <c r="E985" s="311">
        <v>1.0971584558123857</v>
      </c>
      <c r="F985" s="219">
        <v>1.1000000000000001</v>
      </c>
      <c r="J985" s="310"/>
      <c r="L985" s="57"/>
    </row>
    <row r="986" spans="1:12">
      <c r="A986" s="926" t="s">
        <v>88</v>
      </c>
      <c r="B986" s="310">
        <v>1</v>
      </c>
      <c r="C986" s="310">
        <v>0.09</v>
      </c>
      <c r="D986" s="311">
        <v>1.0874320560630473</v>
      </c>
      <c r="E986" s="311">
        <v>1.0848641121260947</v>
      </c>
      <c r="F986" s="219">
        <v>1.08</v>
      </c>
      <c r="J986" s="310"/>
      <c r="L986" s="57"/>
    </row>
    <row r="987" spans="1:12">
      <c r="A987" s="926" t="s">
        <v>90</v>
      </c>
      <c r="B987" s="310">
        <v>1</v>
      </c>
      <c r="C987" s="310">
        <v>7.0000000000000007E-2</v>
      </c>
      <c r="D987" s="311">
        <v>1.0718056347775211</v>
      </c>
      <c r="E987" s="311">
        <v>1.0736112695550424</v>
      </c>
      <c r="F987" s="219">
        <v>1.07</v>
      </c>
      <c r="J987" s="310"/>
      <c r="L987" s="57"/>
    </row>
    <row r="988" spans="1:12">
      <c r="A988" s="926" t="s">
        <v>92</v>
      </c>
      <c r="B988" s="310">
        <v>1</v>
      </c>
      <c r="C988" s="310">
        <v>0.06</v>
      </c>
      <c r="D988" s="311">
        <v>1.074124260923617</v>
      </c>
      <c r="E988" s="311">
        <v>1.088248521847234</v>
      </c>
      <c r="F988" s="219">
        <v>1.0900000000000001</v>
      </c>
      <c r="J988" s="310"/>
      <c r="L988" s="57"/>
    </row>
    <row r="989" spans="1:12">
      <c r="A989" s="926" t="s">
        <v>94</v>
      </c>
      <c r="F989" s="219"/>
      <c r="L989" s="57"/>
    </row>
    <row r="990" spans="1:12">
      <c r="A990" s="926" t="s">
        <v>2332</v>
      </c>
      <c r="B990" s="310">
        <v>1</v>
      </c>
      <c r="C990" s="310">
        <v>0.08</v>
      </c>
      <c r="D990" s="311">
        <v>1.0676735506194923</v>
      </c>
      <c r="E990" s="311">
        <v>1.0553471012389846</v>
      </c>
      <c r="F990" s="219">
        <v>1.06</v>
      </c>
      <c r="J990" s="310"/>
      <c r="L990" s="57"/>
    </row>
    <row r="991" spans="1:12">
      <c r="A991" s="926" t="s">
        <v>2334</v>
      </c>
      <c r="B991" s="310">
        <v>1</v>
      </c>
      <c r="C991" s="310">
        <v>7.0000000000000007E-2</v>
      </c>
      <c r="D991" s="311">
        <v>1.0687612330698606</v>
      </c>
      <c r="E991" s="311">
        <v>1.0675224661397211</v>
      </c>
      <c r="F991" s="219">
        <v>1.07</v>
      </c>
      <c r="J991" s="310"/>
      <c r="L991" s="57"/>
    </row>
    <row r="992" spans="1:12">
      <c r="A992" s="926" t="s">
        <v>962</v>
      </c>
      <c r="B992" s="310">
        <v>1</v>
      </c>
      <c r="C992" s="310">
        <v>7.0000000000000007E-2</v>
      </c>
      <c r="D992" s="311">
        <v>1.0864022740704438</v>
      </c>
      <c r="E992" s="311">
        <v>1.1028045481408875</v>
      </c>
      <c r="F992" s="219">
        <v>1.1000000000000001</v>
      </c>
      <c r="J992" s="310"/>
      <c r="L992" s="57"/>
    </row>
    <row r="993" spans="1:12">
      <c r="A993" s="926" t="s">
        <v>2336</v>
      </c>
      <c r="B993" s="310">
        <v>1</v>
      </c>
      <c r="C993" s="310">
        <v>0.05</v>
      </c>
      <c r="D993" s="311">
        <v>1.0564236241853155</v>
      </c>
      <c r="E993" s="311">
        <v>1.062847248370631</v>
      </c>
      <c r="F993" s="219">
        <v>1.06</v>
      </c>
      <c r="J993" s="310"/>
      <c r="L993" s="57"/>
    </row>
    <row r="994" spans="1:12">
      <c r="A994" s="926" t="s">
        <v>2338</v>
      </c>
      <c r="B994" s="310">
        <v>1</v>
      </c>
      <c r="C994" s="310">
        <v>0.06</v>
      </c>
      <c r="D994" s="311">
        <v>1.0729277650745928</v>
      </c>
      <c r="E994" s="311">
        <v>1.0858555301491855</v>
      </c>
      <c r="F994" s="219">
        <v>1.0900000000000001</v>
      </c>
      <c r="J994" s="310"/>
      <c r="L994" s="57"/>
    </row>
    <row r="995" spans="1:12">
      <c r="A995" s="926" t="s">
        <v>2340</v>
      </c>
      <c r="B995" s="310">
        <v>1</v>
      </c>
      <c r="C995" s="310">
        <v>0.09</v>
      </c>
      <c r="D995" s="311">
        <v>1.119042782028802</v>
      </c>
      <c r="E995" s="311">
        <v>1.148085564057604</v>
      </c>
      <c r="F995" s="219">
        <v>1.1499999999999999</v>
      </c>
      <c r="J995" s="310"/>
      <c r="L995" s="57"/>
    </row>
    <row r="996" spans="1:12">
      <c r="A996" s="926" t="s">
        <v>738</v>
      </c>
      <c r="B996" s="310">
        <v>1</v>
      </c>
      <c r="C996" s="310">
        <v>0.05</v>
      </c>
      <c r="D996" s="311">
        <v>1.0579645317920423</v>
      </c>
      <c r="E996" s="311">
        <v>1.0659290635840846</v>
      </c>
      <c r="F996" s="219">
        <v>1.07</v>
      </c>
      <c r="J996" s="310"/>
      <c r="L996" s="57"/>
    </row>
    <row r="997" spans="1:12">
      <c r="A997" s="926" t="s">
        <v>3219</v>
      </c>
      <c r="B997" s="310">
        <v>1</v>
      </c>
      <c r="C997" s="310">
        <v>7.0000000000000007E-2</v>
      </c>
      <c r="D997" s="311">
        <v>1.0512562881467045</v>
      </c>
      <c r="E997" s="311">
        <v>1.0325125762934089</v>
      </c>
      <c r="F997" s="219">
        <v>1.03</v>
      </c>
      <c r="J997" s="310"/>
      <c r="L997" s="57"/>
    </row>
    <row r="998" spans="1:12">
      <c r="A998" s="926" t="s">
        <v>608</v>
      </c>
      <c r="B998" s="310">
        <v>1</v>
      </c>
      <c r="C998" s="310">
        <v>0.09</v>
      </c>
      <c r="D998" s="311">
        <v>1.0813425244631132</v>
      </c>
      <c r="E998" s="311">
        <v>1.0726850489262265</v>
      </c>
      <c r="F998" s="219">
        <v>1.07</v>
      </c>
      <c r="J998" s="310"/>
      <c r="L998" s="57"/>
    </row>
    <row r="999" spans="1:12">
      <c r="A999" s="926" t="s">
        <v>610</v>
      </c>
      <c r="B999" s="310">
        <v>1</v>
      </c>
      <c r="C999" s="310">
        <v>7.0000000000000007E-2</v>
      </c>
      <c r="D999" s="311">
        <v>1.0579484837605975</v>
      </c>
      <c r="E999" s="311">
        <v>1.0458969675211947</v>
      </c>
      <c r="F999" s="219">
        <v>1.05</v>
      </c>
      <c r="J999" s="310"/>
      <c r="L999" s="57"/>
    </row>
    <row r="1000" spans="1:12">
      <c r="A1000" s="926" t="s">
        <v>6145</v>
      </c>
      <c r="B1000" s="310">
        <v>1</v>
      </c>
      <c r="C1000" s="310">
        <v>0.16</v>
      </c>
      <c r="D1000" s="311">
        <v>1.1066019366568427</v>
      </c>
      <c r="E1000" s="311">
        <v>1.0532038733136853</v>
      </c>
      <c r="F1000" s="219">
        <v>1.05</v>
      </c>
      <c r="J1000" s="310"/>
      <c r="L1000" s="57"/>
    </row>
    <row r="1001" spans="1:12">
      <c r="A1001" s="926" t="s">
        <v>2998</v>
      </c>
      <c r="B1001" s="310">
        <v>1</v>
      </c>
      <c r="C1001" s="310">
        <v>0.15</v>
      </c>
      <c r="D1001" s="311">
        <v>1.1173704471743564</v>
      </c>
      <c r="E1001" s="311">
        <v>1.0847408943487127</v>
      </c>
      <c r="F1001" s="219">
        <v>1.08</v>
      </c>
      <c r="J1001" s="310"/>
      <c r="L1001" s="57"/>
    </row>
    <row r="1002" spans="1:12">
      <c r="A1002" s="926" t="s">
        <v>2766</v>
      </c>
      <c r="B1002" s="310">
        <v>1</v>
      </c>
      <c r="C1002" s="310">
        <v>0.17</v>
      </c>
      <c r="D1002" s="311">
        <v>1.1289846511557555</v>
      </c>
      <c r="E1002" s="311">
        <v>1.0879693023115113</v>
      </c>
      <c r="F1002" s="219">
        <v>1.0900000000000001</v>
      </c>
      <c r="J1002" s="310"/>
      <c r="L1002" s="57"/>
    </row>
    <row r="1003" spans="1:12">
      <c r="A1003" s="926" t="s">
        <v>5040</v>
      </c>
      <c r="B1003" s="310">
        <v>1</v>
      </c>
      <c r="C1003" s="310">
        <v>0.14000000000000001</v>
      </c>
      <c r="D1003" s="311">
        <v>1.1039040980318884</v>
      </c>
      <c r="E1003" s="311">
        <v>1.0678081960637769</v>
      </c>
      <c r="F1003" s="219">
        <v>1.07</v>
      </c>
      <c r="J1003" s="310"/>
      <c r="L1003" s="57"/>
    </row>
    <row r="1004" spans="1:12">
      <c r="A1004" s="926" t="s">
        <v>1307</v>
      </c>
      <c r="B1004" s="310">
        <v>1</v>
      </c>
      <c r="C1004" s="310">
        <v>7.0000000000000007E-2</v>
      </c>
      <c r="D1004" s="311">
        <v>1.1011424101913836</v>
      </c>
      <c r="E1004" s="311">
        <v>1.1322848203827671</v>
      </c>
      <c r="F1004" s="219">
        <v>1.1299999999999999</v>
      </c>
      <c r="J1004" s="310"/>
      <c r="L1004" s="57"/>
    </row>
    <row r="1005" spans="1:12">
      <c r="A1005" s="926" t="s">
        <v>1319</v>
      </c>
      <c r="B1005" s="310">
        <v>1</v>
      </c>
      <c r="C1005" s="310">
        <v>0.09</v>
      </c>
      <c r="D1005" s="311">
        <v>1.1450302337055136</v>
      </c>
      <c r="E1005" s="311">
        <v>1.2000604674110271</v>
      </c>
      <c r="F1005" s="219">
        <v>1.2</v>
      </c>
      <c r="J1005" s="310"/>
      <c r="L1005" s="57"/>
    </row>
    <row r="1006" spans="1:12">
      <c r="A1006" s="926" t="s">
        <v>1856</v>
      </c>
      <c r="B1006" s="310">
        <v>1</v>
      </c>
      <c r="C1006" s="310">
        <v>0.06</v>
      </c>
      <c r="D1006" s="311">
        <v>1.0911673851670491</v>
      </c>
      <c r="E1006" s="311">
        <v>1.1223347703340982</v>
      </c>
      <c r="F1006" s="219">
        <v>1.1200000000000001</v>
      </c>
      <c r="J1006" s="310"/>
      <c r="L1006" s="57"/>
    </row>
    <row r="1007" spans="1:12">
      <c r="A1007" s="926" t="s">
        <v>6020</v>
      </c>
      <c r="B1007" s="310">
        <v>1</v>
      </c>
      <c r="C1007" s="310">
        <v>0.06</v>
      </c>
      <c r="D1007" s="311">
        <v>1.1056969258793048</v>
      </c>
      <c r="E1007" s="311">
        <v>1.1513938517586095</v>
      </c>
      <c r="F1007" s="219">
        <v>1.1499999999999999</v>
      </c>
      <c r="J1007" s="310"/>
      <c r="L1007" s="57"/>
    </row>
    <row r="1008" spans="1:12">
      <c r="A1008" s="926" t="s">
        <v>611</v>
      </c>
      <c r="B1008" s="310">
        <v>1</v>
      </c>
      <c r="C1008" s="310">
        <v>0.06</v>
      </c>
      <c r="D1008" s="311">
        <v>1.0960594861092927</v>
      </c>
      <c r="E1008" s="311">
        <v>1.1321189722185854</v>
      </c>
      <c r="F1008" s="219">
        <v>1.1299999999999999</v>
      </c>
      <c r="J1008" s="310"/>
      <c r="L1008" s="57"/>
    </row>
    <row r="1009" spans="1:12">
      <c r="A1009" s="926" t="s">
        <v>2990</v>
      </c>
      <c r="B1009" s="310">
        <v>1</v>
      </c>
      <c r="C1009" s="310">
        <v>0.06</v>
      </c>
      <c r="D1009" s="311">
        <v>1.1040785732108716</v>
      </c>
      <c r="E1009" s="311">
        <v>1.1481571464217433</v>
      </c>
      <c r="F1009" s="219">
        <v>1.1499999999999999</v>
      </c>
      <c r="J1009" s="310"/>
      <c r="L1009" s="57"/>
    </row>
    <row r="1010" spans="1:12">
      <c r="A1010" s="926" t="s">
        <v>2382</v>
      </c>
      <c r="B1010" s="310">
        <v>1</v>
      </c>
      <c r="C1010" s="310">
        <v>0.12</v>
      </c>
      <c r="D1010" s="311">
        <v>1.1957053200993686</v>
      </c>
      <c r="E1010" s="311">
        <v>1.2714106401987368</v>
      </c>
      <c r="F1010" s="219">
        <v>1.27</v>
      </c>
      <c r="J1010" s="310"/>
      <c r="L1010" s="57"/>
    </row>
    <row r="1011" spans="1:12">
      <c r="A1011" s="926" t="s">
        <v>2473</v>
      </c>
      <c r="B1011" s="310">
        <v>1</v>
      </c>
      <c r="C1011" s="310">
        <v>0.08</v>
      </c>
      <c r="D1011" s="311">
        <v>1.120813102903147</v>
      </c>
      <c r="E1011" s="311">
        <v>1.1616262058062938</v>
      </c>
      <c r="F1011" s="219">
        <v>1.1599999999999999</v>
      </c>
      <c r="J1011" s="310"/>
      <c r="L1011" s="57"/>
    </row>
    <row r="1012" spans="1:12">
      <c r="A1012" s="926" t="s">
        <v>2412</v>
      </c>
      <c r="B1012" s="310">
        <v>1</v>
      </c>
      <c r="C1012" s="310">
        <v>0.06</v>
      </c>
      <c r="D1012" s="311">
        <v>1.083126133319378</v>
      </c>
      <c r="E1012" s="311">
        <v>1.106252266638756</v>
      </c>
      <c r="F1012" s="219">
        <v>1.1100000000000001</v>
      </c>
      <c r="J1012" s="310"/>
      <c r="L1012" s="57"/>
    </row>
    <row r="1013" spans="1:12">
      <c r="A1013" s="926" t="s">
        <v>2988</v>
      </c>
      <c r="B1013" s="310">
        <v>1</v>
      </c>
      <c r="C1013" s="310">
        <v>0.1</v>
      </c>
      <c r="D1013" s="311">
        <v>1.1737353299990434</v>
      </c>
      <c r="E1013" s="311">
        <v>1.2474706599980867</v>
      </c>
      <c r="F1013" s="219">
        <v>1.25</v>
      </c>
      <c r="J1013" s="310"/>
      <c r="L1013" s="57"/>
    </row>
    <row r="1014" spans="1:12">
      <c r="A1014" s="926" t="s">
        <v>613</v>
      </c>
      <c r="B1014" s="310">
        <v>1</v>
      </c>
      <c r="C1014" s="310">
        <v>7.0000000000000007E-2</v>
      </c>
      <c r="D1014" s="311">
        <v>1.0777630191872098</v>
      </c>
      <c r="E1014" s="311">
        <v>1.0855260383744196</v>
      </c>
      <c r="F1014" s="219">
        <v>1.0900000000000001</v>
      </c>
      <c r="J1014" s="310"/>
      <c r="L1014" s="57"/>
    </row>
    <row r="1015" spans="1:12">
      <c r="A1015" s="926" t="s">
        <v>5041</v>
      </c>
      <c r="B1015" s="310">
        <v>1</v>
      </c>
      <c r="C1015" s="310">
        <v>0.08</v>
      </c>
      <c r="D1015" s="311">
        <v>1.1341087780600243</v>
      </c>
      <c r="E1015" s="311">
        <v>1.1882175561200488</v>
      </c>
      <c r="F1015" s="219">
        <v>1.19</v>
      </c>
      <c r="J1015" s="310"/>
      <c r="L1015" s="57"/>
    </row>
    <row r="1016" spans="1:12">
      <c r="A1016" s="926" t="s">
        <v>6039</v>
      </c>
      <c r="B1016" s="310">
        <v>1</v>
      </c>
      <c r="C1016" s="310">
        <v>7.0000000000000007E-2</v>
      </c>
      <c r="D1016" s="311">
        <v>1.122496080124056</v>
      </c>
      <c r="E1016" s="311">
        <v>1.1749921602481119</v>
      </c>
      <c r="F1016" s="219">
        <v>1.17</v>
      </c>
      <c r="J1016" s="310"/>
      <c r="L1016" s="57"/>
    </row>
    <row r="1017" spans="1:12">
      <c r="A1017" s="926" t="s">
        <v>5043</v>
      </c>
      <c r="B1017" s="310">
        <v>1</v>
      </c>
      <c r="C1017" s="310">
        <v>7.0000000000000007E-2</v>
      </c>
      <c r="D1017" s="311">
        <v>1.1052670368136772</v>
      </c>
      <c r="E1017" s="311">
        <v>1.1405340736273544</v>
      </c>
      <c r="F1017" s="219">
        <v>1.1399999999999999</v>
      </c>
      <c r="J1017" s="310"/>
      <c r="L1017" s="57"/>
    </row>
    <row r="1018" spans="1:12">
      <c r="A1018" s="926" t="s">
        <v>2409</v>
      </c>
      <c r="B1018" s="310">
        <v>1</v>
      </c>
      <c r="C1018" s="310">
        <v>7.0000000000000007E-2</v>
      </c>
      <c r="D1018" s="311">
        <v>1.1035920957644159</v>
      </c>
      <c r="E1018" s="311">
        <v>1.1371841915288319</v>
      </c>
      <c r="F1018" s="219">
        <v>1.1399999999999999</v>
      </c>
      <c r="J1018" s="310"/>
      <c r="L1018" s="57"/>
    </row>
    <row r="1019" spans="1:12">
      <c r="A1019" s="926" t="s">
        <v>615</v>
      </c>
      <c r="B1019" s="310">
        <v>1</v>
      </c>
      <c r="C1019" s="310">
        <v>0.13</v>
      </c>
      <c r="D1019" s="311">
        <v>1.1038423855993673</v>
      </c>
      <c r="E1019" s="311">
        <v>1.0776847711987347</v>
      </c>
      <c r="F1019" s="219">
        <v>1.08</v>
      </c>
      <c r="J1019" s="310"/>
      <c r="L1019" s="57"/>
    </row>
    <row r="1020" spans="1:12">
      <c r="A1020" s="926" t="s">
        <v>617</v>
      </c>
      <c r="B1020" s="310">
        <v>1</v>
      </c>
      <c r="C1020" s="310">
        <v>0.1</v>
      </c>
      <c r="D1020" s="311">
        <v>1.0833813433313</v>
      </c>
      <c r="E1020" s="311">
        <v>1.0667626866625999</v>
      </c>
      <c r="F1020" s="219">
        <v>1.07</v>
      </c>
      <c r="J1020" s="310"/>
      <c r="L1020" s="57"/>
    </row>
    <row r="1021" spans="1:12">
      <c r="A1021" s="926" t="s">
        <v>3889</v>
      </c>
      <c r="B1021" s="310">
        <v>1</v>
      </c>
      <c r="C1021" s="310">
        <v>0.1</v>
      </c>
      <c r="D1021" s="311">
        <v>1.1046515514557091</v>
      </c>
      <c r="E1021" s="311">
        <v>1.1093031029114184</v>
      </c>
      <c r="F1021" s="219">
        <v>1.1100000000000001</v>
      </c>
      <c r="J1021" s="310"/>
      <c r="L1021" s="57"/>
    </row>
    <row r="1022" spans="1:12">
      <c r="A1022" s="926" t="s">
        <v>619</v>
      </c>
      <c r="B1022" s="310">
        <v>1</v>
      </c>
      <c r="C1022" s="310">
        <v>0.11</v>
      </c>
      <c r="D1022" s="311">
        <v>1.1269571186199081</v>
      </c>
      <c r="E1022" s="311">
        <v>1.1439142372398163</v>
      </c>
      <c r="F1022" s="219">
        <v>1.1399999999999999</v>
      </c>
      <c r="J1022" s="310"/>
      <c r="L1022" s="57"/>
    </row>
    <row r="1023" spans="1:12">
      <c r="A1023" s="926" t="s">
        <v>1328</v>
      </c>
      <c r="B1023" s="310">
        <v>1</v>
      </c>
      <c r="C1023" s="310">
        <v>0.1</v>
      </c>
      <c r="D1023" s="311">
        <v>1.1250980864936699</v>
      </c>
      <c r="E1023" s="311">
        <v>1.1501961729873398</v>
      </c>
      <c r="F1023" s="219">
        <v>1.1499999999999999</v>
      </c>
      <c r="J1023" s="310"/>
      <c r="L1023" s="57"/>
    </row>
    <row r="1024" spans="1:12">
      <c r="A1024" s="926" t="s">
        <v>6708</v>
      </c>
      <c r="B1024" s="310">
        <v>1</v>
      </c>
      <c r="C1024" s="310">
        <v>0.1</v>
      </c>
      <c r="D1024" s="311">
        <v>1.1060524448538573</v>
      </c>
      <c r="E1024" s="311">
        <v>1.1121048897077148</v>
      </c>
      <c r="F1024" s="219">
        <v>1.1100000000000001</v>
      </c>
      <c r="J1024" s="310"/>
      <c r="L1024" s="57"/>
    </row>
    <row r="1025" spans="1:12">
      <c r="A1025" s="926" t="s">
        <v>6710</v>
      </c>
      <c r="B1025" s="310">
        <v>1</v>
      </c>
      <c r="C1025" s="310">
        <v>0.1</v>
      </c>
      <c r="D1025" s="311">
        <v>1.1288699759263192</v>
      </c>
      <c r="E1025" s="311">
        <v>1.1577399518526381</v>
      </c>
      <c r="F1025" s="219">
        <v>1.1599999999999999</v>
      </c>
      <c r="J1025" s="310"/>
      <c r="L1025" s="57"/>
    </row>
    <row r="1026" spans="1:12">
      <c r="A1026" s="926" t="s">
        <v>6192</v>
      </c>
      <c r="B1026" s="310">
        <v>1</v>
      </c>
      <c r="C1026" s="310">
        <v>0.1</v>
      </c>
      <c r="D1026" s="311">
        <v>1.1168863145516279</v>
      </c>
      <c r="E1026" s="311">
        <v>1.1337726291032559</v>
      </c>
      <c r="F1026" s="219">
        <v>1.1299999999999999</v>
      </c>
      <c r="J1026" s="310"/>
      <c r="L1026" s="57"/>
    </row>
    <row r="1027" spans="1:12">
      <c r="A1027" s="926" t="s">
        <v>2400</v>
      </c>
      <c r="B1027" s="310">
        <v>1</v>
      </c>
      <c r="C1027" s="310">
        <v>0.1</v>
      </c>
      <c r="D1027" s="311">
        <v>1.0993074513938956</v>
      </c>
      <c r="E1027" s="311">
        <v>1.0986149027877909</v>
      </c>
      <c r="F1027" s="219">
        <v>1.1000000000000001</v>
      </c>
      <c r="J1027" s="310"/>
      <c r="L1027" s="57"/>
    </row>
    <row r="1028" spans="1:12">
      <c r="A1028" s="926" t="s">
        <v>6712</v>
      </c>
      <c r="B1028" s="310">
        <v>1</v>
      </c>
      <c r="C1028" s="310">
        <v>0.04</v>
      </c>
      <c r="D1028" s="311">
        <v>1.04409793757153</v>
      </c>
      <c r="E1028" s="311">
        <v>1.0481958751430598</v>
      </c>
      <c r="F1028" s="219">
        <v>1.05</v>
      </c>
      <c r="J1028" s="310"/>
      <c r="L1028" s="57"/>
    </row>
    <row r="1029" spans="1:12">
      <c r="A1029" s="926" t="s">
        <v>6714</v>
      </c>
      <c r="B1029" s="310">
        <v>1</v>
      </c>
      <c r="C1029" s="310">
        <v>0.04</v>
      </c>
      <c r="D1029" s="311">
        <v>1.0520919801371735</v>
      </c>
      <c r="E1029" s="311">
        <v>1.0641839602743468</v>
      </c>
      <c r="F1029" s="219">
        <v>1.06</v>
      </c>
      <c r="J1029" s="310"/>
      <c r="L1029" s="57"/>
    </row>
    <row r="1030" spans="1:12">
      <c r="A1030" s="926" t="s">
        <v>6716</v>
      </c>
      <c r="B1030" s="310">
        <v>1</v>
      </c>
      <c r="C1030" s="310">
        <v>0.05</v>
      </c>
      <c r="D1030" s="311">
        <v>1.0543758781541852</v>
      </c>
      <c r="E1030" s="311">
        <v>1.0587517563083706</v>
      </c>
      <c r="F1030" s="219">
        <v>1.06</v>
      </c>
      <c r="J1030" s="310"/>
      <c r="L1030" s="57"/>
    </row>
    <row r="1031" spans="1:12">
      <c r="A1031" s="926" t="s">
        <v>6718</v>
      </c>
      <c r="B1031" s="310">
        <v>1</v>
      </c>
      <c r="C1031" s="310">
        <v>0.04</v>
      </c>
      <c r="D1031" s="311">
        <v>1.0458580475226906</v>
      </c>
      <c r="E1031" s="311">
        <v>1.0517160950453814</v>
      </c>
      <c r="F1031" s="219">
        <v>1.05</v>
      </c>
      <c r="J1031" s="310"/>
      <c r="L1031" s="57"/>
    </row>
    <row r="1032" spans="1:12">
      <c r="A1032" s="926" t="s">
        <v>2443</v>
      </c>
      <c r="B1032" s="310">
        <v>1</v>
      </c>
      <c r="C1032" s="310">
        <v>0.05</v>
      </c>
      <c r="D1032" s="311">
        <v>1.0548232860345133</v>
      </c>
      <c r="E1032" s="311">
        <v>1.0596465720690265</v>
      </c>
      <c r="F1032" s="219">
        <v>1.06</v>
      </c>
      <c r="J1032" s="310"/>
      <c r="L1032" s="57"/>
    </row>
    <row r="1033" spans="1:12">
      <c r="A1033" s="926" t="s">
        <v>2445</v>
      </c>
      <c r="B1033" s="310">
        <v>1</v>
      </c>
      <c r="C1033" s="310">
        <v>0.04</v>
      </c>
      <c r="D1033" s="311">
        <v>1.053180942945658</v>
      </c>
      <c r="E1033" s="311">
        <v>1.066361885891316</v>
      </c>
      <c r="F1033" s="219">
        <v>1.07</v>
      </c>
      <c r="J1033" s="310"/>
      <c r="L1033" s="57"/>
    </row>
    <row r="1034" spans="1:12">
      <c r="A1034" s="926" t="s">
        <v>2447</v>
      </c>
      <c r="B1034" s="310">
        <v>1</v>
      </c>
      <c r="C1034" s="310">
        <v>0.11</v>
      </c>
      <c r="D1034" s="311">
        <v>1.0920827048494011</v>
      </c>
      <c r="E1034" s="311">
        <v>1.0741654096988018</v>
      </c>
      <c r="F1034" s="219">
        <v>1.07</v>
      </c>
      <c r="J1034" s="310"/>
      <c r="L1034" s="57"/>
    </row>
    <row r="1035" spans="1:12">
      <c r="A1035" s="926" t="s">
        <v>905</v>
      </c>
      <c r="B1035" s="310">
        <v>1</v>
      </c>
      <c r="C1035" s="310">
        <v>0.11</v>
      </c>
      <c r="D1035" s="311">
        <v>1.0836110717162488</v>
      </c>
      <c r="E1035" s="311">
        <v>1.0572221434324975</v>
      </c>
      <c r="F1035" s="219">
        <v>1.06</v>
      </c>
      <c r="J1035" s="310"/>
      <c r="L1035" s="57"/>
    </row>
    <row r="1036" spans="1:12">
      <c r="A1036" s="926" t="s">
        <v>1854</v>
      </c>
      <c r="B1036" s="310">
        <v>1</v>
      </c>
      <c r="C1036" s="310">
        <v>0.09</v>
      </c>
      <c r="D1036" s="311">
        <v>1.0873632057568576</v>
      </c>
      <c r="E1036" s="311">
        <v>1.0847264115137152</v>
      </c>
      <c r="F1036" s="219">
        <v>1.08</v>
      </c>
      <c r="J1036" s="310"/>
      <c r="L1036" s="57"/>
    </row>
    <row r="1037" spans="1:12">
      <c r="A1037" s="926" t="s">
        <v>907</v>
      </c>
      <c r="B1037" s="310">
        <v>1</v>
      </c>
      <c r="C1037" s="310">
        <v>7.0000000000000007E-2</v>
      </c>
      <c r="D1037" s="311">
        <v>1.0640403312894833</v>
      </c>
      <c r="E1037" s="311">
        <v>1.0580806625789667</v>
      </c>
      <c r="F1037" s="219">
        <v>1.06</v>
      </c>
      <c r="J1037" s="310"/>
      <c r="L1037" s="57"/>
    </row>
    <row r="1038" spans="1:12">
      <c r="A1038" s="926" t="s">
        <v>6146</v>
      </c>
      <c r="B1038" s="310">
        <v>1</v>
      </c>
      <c r="C1038" s="310">
        <v>0.06</v>
      </c>
      <c r="D1038" s="311">
        <v>1.0626566000441298</v>
      </c>
      <c r="E1038" s="311">
        <v>1.0653132000882595</v>
      </c>
      <c r="F1038" s="219">
        <v>1.07</v>
      </c>
      <c r="J1038" s="310"/>
      <c r="L1038" s="57"/>
    </row>
    <row r="1039" spans="1:12">
      <c r="A1039" s="926" t="s">
        <v>909</v>
      </c>
      <c r="B1039" s="310">
        <v>1</v>
      </c>
      <c r="C1039" s="310">
        <v>0.12</v>
      </c>
      <c r="D1039" s="311">
        <v>1.1257745939871435</v>
      </c>
      <c r="E1039" s="311">
        <v>1.1315491879742869</v>
      </c>
      <c r="F1039" s="219">
        <v>1.1299999999999999</v>
      </c>
      <c r="J1039" s="310"/>
      <c r="L1039" s="57"/>
    </row>
    <row r="1040" spans="1:12">
      <c r="A1040" s="926" t="s">
        <v>247</v>
      </c>
      <c r="B1040" s="310">
        <v>1</v>
      </c>
      <c r="C1040" s="310">
        <v>0.14000000000000001</v>
      </c>
      <c r="D1040" s="311">
        <v>1.1143717443524568</v>
      </c>
      <c r="E1040" s="311">
        <v>1.0887434887049134</v>
      </c>
      <c r="F1040" s="219">
        <v>1.0900000000000001</v>
      </c>
      <c r="J1040" s="310"/>
      <c r="L1040" s="57"/>
    </row>
    <row r="1041" spans="1:12">
      <c r="A1041" s="926" t="s">
        <v>1527</v>
      </c>
      <c r="B1041" s="310">
        <v>1</v>
      </c>
      <c r="C1041" s="310">
        <v>0.09</v>
      </c>
      <c r="D1041" s="311">
        <v>1.0710455155266221</v>
      </c>
      <c r="E1041" s="311">
        <v>1.0520910310532441</v>
      </c>
      <c r="F1041" s="219">
        <v>1.05</v>
      </c>
      <c r="J1041" s="310"/>
      <c r="L1041" s="57"/>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
  <sheetViews>
    <sheetView workbookViewId="0"/>
  </sheetViews>
  <sheetFormatPr defaultRowHeight="13.2"/>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K1034"/>
  <sheetViews>
    <sheetView workbookViewId="0">
      <selection activeCell="A2" sqref="A2"/>
    </sheetView>
  </sheetViews>
  <sheetFormatPr defaultColWidth="9.21875" defaultRowHeight="13.2"/>
  <cols>
    <col min="1" max="1" width="9" style="650" bestFit="1" customWidth="1"/>
    <col min="2" max="2" width="37.21875" style="650" bestFit="1" customWidth="1"/>
    <col min="3" max="6" width="13.77734375" style="650" bestFit="1" customWidth="1"/>
    <col min="7" max="8" width="12.77734375" style="650" bestFit="1" customWidth="1"/>
    <col min="9" max="10" width="8.5546875" style="651" bestFit="1" customWidth="1"/>
    <col min="11" max="11" width="9" style="651" bestFit="1" customWidth="1"/>
    <col min="12" max="16384" width="9.21875" style="650"/>
  </cols>
  <sheetData>
    <row r="1" spans="1:11" ht="29.25" customHeight="1">
      <c r="A1" s="647" t="str">
        <f>'Data Entry - SOF'!B2</f>
        <v>000-000</v>
      </c>
      <c r="B1" s="648" t="e">
        <f>LOOKUP(A1,A5:A1035,B5:B1035)</f>
        <v>#N/A</v>
      </c>
      <c r="C1" s="649" t="e">
        <f>LOOKUP(A1,A5:A1035,C5:C1035)</f>
        <v>#N/A</v>
      </c>
      <c r="D1" s="649" t="e">
        <f>LOOKUP(A1,A5:A1035,D5:D1035)</f>
        <v>#N/A</v>
      </c>
    </row>
    <row r="2" spans="1:11" s="652" customFormat="1" ht="33" customHeight="1">
      <c r="B2" s="652" t="s">
        <v>4503</v>
      </c>
      <c r="D2" s="652" t="s">
        <v>4504</v>
      </c>
      <c r="I2" s="653"/>
      <c r="J2" s="653"/>
      <c r="K2" s="653"/>
    </row>
    <row r="3" spans="1:11">
      <c r="A3" s="654" t="s">
        <v>1757</v>
      </c>
      <c r="B3" s="654" t="s">
        <v>4505</v>
      </c>
      <c r="C3" s="650" t="s">
        <v>4506</v>
      </c>
      <c r="D3" s="650" t="s">
        <v>4507</v>
      </c>
      <c r="E3" s="650" t="s">
        <v>4508</v>
      </c>
      <c r="F3" s="650" t="s">
        <v>4509</v>
      </c>
      <c r="G3" s="650" t="s">
        <v>4510</v>
      </c>
      <c r="H3" s="650" t="s">
        <v>4511</v>
      </c>
      <c r="I3" s="651" t="s">
        <v>4512</v>
      </c>
      <c r="J3" s="651" t="s">
        <v>4513</v>
      </c>
      <c r="K3" s="651" t="s">
        <v>4514</v>
      </c>
    </row>
    <row r="5" spans="1:11">
      <c r="A5" s="654" t="s">
        <v>4515</v>
      </c>
      <c r="B5" s="654" t="s">
        <v>1763</v>
      </c>
      <c r="C5" s="655">
        <v>258660731</v>
      </c>
      <c r="D5" s="655">
        <v>252408751</v>
      </c>
      <c r="E5" s="655">
        <v>255360839</v>
      </c>
      <c r="F5" s="655">
        <v>249108859</v>
      </c>
      <c r="G5" s="655">
        <v>6251980</v>
      </c>
      <c r="H5" s="655">
        <v>3299892</v>
      </c>
      <c r="I5" s="651">
        <v>1.5</v>
      </c>
      <c r="J5" s="651">
        <v>0</v>
      </c>
      <c r="K5" s="651">
        <v>1.5</v>
      </c>
    </row>
    <row r="6" spans="1:11">
      <c r="A6" s="654" t="s">
        <v>4516</v>
      </c>
      <c r="B6" s="654" t="s">
        <v>1764</v>
      </c>
      <c r="C6" s="655">
        <v>157208034</v>
      </c>
      <c r="D6" s="655">
        <v>143667594</v>
      </c>
      <c r="E6" s="655">
        <v>157208034</v>
      </c>
      <c r="F6" s="655">
        <v>143667594</v>
      </c>
      <c r="G6" s="655">
        <v>13540440</v>
      </c>
      <c r="H6" s="650">
        <v>0</v>
      </c>
      <c r="I6" s="651">
        <v>1.5</v>
      </c>
      <c r="J6" s="651">
        <v>0</v>
      </c>
      <c r="K6" s="651">
        <v>1.5</v>
      </c>
    </row>
    <row r="7" spans="1:11">
      <c r="A7" s="654" t="s">
        <v>4517</v>
      </c>
      <c r="B7" s="654" t="s">
        <v>1765</v>
      </c>
      <c r="C7" s="655">
        <v>217238884</v>
      </c>
      <c r="D7" s="655">
        <v>205942454</v>
      </c>
      <c r="E7" s="655">
        <v>209409348</v>
      </c>
      <c r="F7" s="655">
        <v>198112918</v>
      </c>
      <c r="G7" s="655">
        <v>11296430</v>
      </c>
      <c r="H7" s="655">
        <v>7829536</v>
      </c>
      <c r="I7" s="651">
        <v>1.4453</v>
      </c>
      <c r="J7" s="651">
        <v>8.77E-2</v>
      </c>
      <c r="K7" s="651">
        <v>1.5329999999999999</v>
      </c>
    </row>
    <row r="8" spans="1:11">
      <c r="A8" s="654" t="s">
        <v>4518</v>
      </c>
      <c r="B8" s="654" t="s">
        <v>1766</v>
      </c>
      <c r="C8" s="655">
        <v>67058402</v>
      </c>
      <c r="D8" s="655">
        <v>63458751</v>
      </c>
      <c r="E8" s="655">
        <v>64889770</v>
      </c>
      <c r="F8" s="655">
        <v>61290119</v>
      </c>
      <c r="G8" s="655">
        <v>3599651</v>
      </c>
      <c r="H8" s="655">
        <v>2168632</v>
      </c>
      <c r="I8" s="651">
        <v>1.5</v>
      </c>
      <c r="J8" s="651">
        <v>0</v>
      </c>
      <c r="K8" s="651">
        <v>1.5</v>
      </c>
    </row>
    <row r="9" spans="1:11">
      <c r="A9" s="654" t="s">
        <v>4519</v>
      </c>
      <c r="B9" s="654" t="s">
        <v>1767</v>
      </c>
      <c r="C9" s="655">
        <v>753833805</v>
      </c>
      <c r="D9" s="655">
        <v>708465664</v>
      </c>
      <c r="E9" s="655">
        <v>753833805</v>
      </c>
      <c r="F9" s="655">
        <v>708465664</v>
      </c>
      <c r="G9" s="655">
        <v>45368141</v>
      </c>
      <c r="H9" s="650">
        <v>0</v>
      </c>
      <c r="I9" s="651">
        <v>1.5</v>
      </c>
      <c r="J9" s="651">
        <v>0.12039999999999999</v>
      </c>
      <c r="K9" s="651">
        <v>1.6204000000000001</v>
      </c>
    </row>
    <row r="10" spans="1:11">
      <c r="A10" s="654" t="s">
        <v>4520</v>
      </c>
      <c r="B10" s="654" t="s">
        <v>1768</v>
      </c>
      <c r="C10" s="655">
        <v>351607745</v>
      </c>
      <c r="D10" s="655">
        <v>332641289</v>
      </c>
      <c r="E10" s="655">
        <v>351607745</v>
      </c>
      <c r="F10" s="655">
        <v>332641289</v>
      </c>
      <c r="G10" s="655">
        <v>18966456</v>
      </c>
      <c r="H10" s="650">
        <v>0</v>
      </c>
      <c r="I10" s="651">
        <v>1.337</v>
      </c>
      <c r="J10" s="651">
        <v>0</v>
      </c>
      <c r="K10" s="651">
        <v>1.337</v>
      </c>
    </row>
    <row r="11" spans="1:11">
      <c r="A11" s="654" t="s">
        <v>4521</v>
      </c>
      <c r="B11" s="654" t="s">
        <v>1769</v>
      </c>
      <c r="C11" s="655">
        <v>73069961</v>
      </c>
      <c r="D11" s="655">
        <v>67842761</v>
      </c>
      <c r="E11" s="655">
        <v>73069961</v>
      </c>
      <c r="F11" s="655">
        <v>67842761</v>
      </c>
      <c r="G11" s="655">
        <v>5227200</v>
      </c>
      <c r="H11" s="650">
        <v>0</v>
      </c>
      <c r="I11" s="651">
        <v>1.2871999999999999</v>
      </c>
      <c r="J11" s="651">
        <v>0</v>
      </c>
      <c r="K11" s="651">
        <v>1.2871999999999999</v>
      </c>
    </row>
    <row r="12" spans="1:11">
      <c r="A12" s="654" t="s">
        <v>4522</v>
      </c>
      <c r="B12" s="654" t="s">
        <v>5003</v>
      </c>
      <c r="C12" s="655">
        <v>1977066322</v>
      </c>
      <c r="D12" s="655">
        <v>1950066262</v>
      </c>
      <c r="E12" s="655">
        <v>1961192417</v>
      </c>
      <c r="F12" s="655">
        <v>1934192357</v>
      </c>
      <c r="G12" s="655">
        <v>27000060</v>
      </c>
      <c r="H12" s="655">
        <v>15873905</v>
      </c>
      <c r="I12" s="651">
        <v>1.4607300000000001</v>
      </c>
      <c r="J12" s="651">
        <v>0.18787000000000001</v>
      </c>
      <c r="K12" s="651">
        <v>1.6486000000000001</v>
      </c>
    </row>
    <row r="13" spans="1:11">
      <c r="A13" s="654" t="s">
        <v>4523</v>
      </c>
      <c r="B13" s="654" t="s">
        <v>3853</v>
      </c>
      <c r="C13" s="655">
        <v>236554284</v>
      </c>
      <c r="D13" s="655">
        <v>216259784</v>
      </c>
      <c r="E13" s="655">
        <v>236554284</v>
      </c>
      <c r="F13" s="655">
        <v>216259784</v>
      </c>
      <c r="G13" s="655">
        <v>20294500</v>
      </c>
      <c r="H13" s="650">
        <v>0</v>
      </c>
      <c r="I13" s="651">
        <v>1.4350000000000001</v>
      </c>
      <c r="J13" s="651">
        <v>0.08</v>
      </c>
      <c r="K13" s="651">
        <v>1.5149999999999999</v>
      </c>
    </row>
    <row r="14" spans="1:11">
      <c r="A14" s="654" t="s">
        <v>4524</v>
      </c>
      <c r="B14" s="654" t="s">
        <v>5004</v>
      </c>
      <c r="C14" s="655">
        <v>1809711192</v>
      </c>
      <c r="D14" s="655">
        <v>1720720047</v>
      </c>
      <c r="E14" s="655">
        <v>1809711192</v>
      </c>
      <c r="F14" s="655">
        <v>1720720047</v>
      </c>
      <c r="G14" s="655">
        <v>88991145</v>
      </c>
      <c r="H14" s="650">
        <v>0</v>
      </c>
      <c r="I14" s="651">
        <v>1.5</v>
      </c>
      <c r="J14" s="651">
        <v>0.08</v>
      </c>
      <c r="K14" s="651">
        <v>1.58</v>
      </c>
    </row>
    <row r="15" spans="1:11">
      <c r="A15" s="654" t="s">
        <v>4525</v>
      </c>
      <c r="B15" s="654" t="s">
        <v>3857</v>
      </c>
      <c r="C15" s="655">
        <v>161954033</v>
      </c>
      <c r="D15" s="655">
        <v>143284473</v>
      </c>
      <c r="E15" s="655">
        <v>151712098</v>
      </c>
      <c r="F15" s="655">
        <v>133042538</v>
      </c>
      <c r="G15" s="655">
        <v>18669560</v>
      </c>
      <c r="H15" s="655">
        <v>10241935</v>
      </c>
      <c r="I15" s="651">
        <v>1.5</v>
      </c>
      <c r="J15" s="651">
        <v>0.14000000000000001</v>
      </c>
      <c r="K15" s="651">
        <v>1.64</v>
      </c>
    </row>
    <row r="16" spans="1:11">
      <c r="A16" s="654" t="s">
        <v>4526</v>
      </c>
      <c r="B16" s="654" t="s">
        <v>5005</v>
      </c>
      <c r="C16" s="655">
        <v>279461238</v>
      </c>
      <c r="D16" s="655">
        <v>264349927</v>
      </c>
      <c r="E16" s="655">
        <v>271738576</v>
      </c>
      <c r="F16" s="655">
        <v>256627265</v>
      </c>
      <c r="G16" s="655">
        <v>15111311</v>
      </c>
      <c r="H16" s="655">
        <v>7722662</v>
      </c>
      <c r="I16" s="651">
        <v>1.48</v>
      </c>
      <c r="J16" s="651">
        <v>0</v>
      </c>
      <c r="K16" s="651">
        <v>1.48</v>
      </c>
    </row>
    <row r="17" spans="1:11">
      <c r="A17" s="654" t="s">
        <v>4527</v>
      </c>
      <c r="B17" s="654" t="s">
        <v>5006</v>
      </c>
      <c r="C17" s="655">
        <v>70570490</v>
      </c>
      <c r="D17" s="655">
        <v>63165800</v>
      </c>
      <c r="E17" s="655">
        <v>67462865</v>
      </c>
      <c r="F17" s="655">
        <v>60058175</v>
      </c>
      <c r="G17" s="655">
        <v>7404690</v>
      </c>
      <c r="H17" s="655">
        <v>3107625</v>
      </c>
      <c r="I17" s="651">
        <v>1.4215</v>
      </c>
      <c r="J17" s="651">
        <v>7.0000000000000007E-2</v>
      </c>
      <c r="K17" s="651">
        <v>1.4915</v>
      </c>
    </row>
    <row r="18" spans="1:11">
      <c r="A18" s="654" t="s">
        <v>4528</v>
      </c>
      <c r="B18" s="654" t="s">
        <v>5007</v>
      </c>
      <c r="C18" s="655">
        <v>173202342</v>
      </c>
      <c r="D18" s="655">
        <v>155162912</v>
      </c>
      <c r="E18" s="655">
        <v>173202342</v>
      </c>
      <c r="F18" s="655">
        <v>155162912</v>
      </c>
      <c r="G18" s="655">
        <v>18039430</v>
      </c>
      <c r="H18" s="650">
        <v>0</v>
      </c>
      <c r="I18" s="651">
        <v>1.5</v>
      </c>
      <c r="J18" s="651">
        <v>0</v>
      </c>
      <c r="K18" s="651">
        <v>1.5</v>
      </c>
    </row>
    <row r="19" spans="1:11">
      <c r="A19" s="654" t="s">
        <v>4529</v>
      </c>
      <c r="B19" s="654" t="s">
        <v>5008</v>
      </c>
      <c r="C19" s="655">
        <v>1497157260</v>
      </c>
      <c r="D19" s="655">
        <v>1445377750</v>
      </c>
      <c r="E19" s="655">
        <v>1497157260</v>
      </c>
      <c r="F19" s="655">
        <v>1445377750</v>
      </c>
      <c r="G19" s="655">
        <v>51779510</v>
      </c>
      <c r="H19" s="650">
        <v>0</v>
      </c>
      <c r="I19" s="651">
        <v>1.4464999999999999</v>
      </c>
      <c r="J19" s="651">
        <v>7.0800000000000002E-2</v>
      </c>
      <c r="K19" s="651">
        <v>1.5173000000000001</v>
      </c>
    </row>
    <row r="20" spans="1:11">
      <c r="A20" s="654" t="s">
        <v>4530</v>
      </c>
      <c r="B20" s="654" t="s">
        <v>4094</v>
      </c>
      <c r="C20" s="655">
        <v>127619162</v>
      </c>
      <c r="D20" s="655">
        <v>119878832</v>
      </c>
      <c r="E20" s="655">
        <v>127619162</v>
      </c>
      <c r="F20" s="655">
        <v>119878832</v>
      </c>
      <c r="G20" s="655">
        <v>7740330</v>
      </c>
      <c r="H20" s="650">
        <v>0</v>
      </c>
      <c r="I20" s="651">
        <v>1.35</v>
      </c>
      <c r="J20" s="651">
        <v>0.08</v>
      </c>
      <c r="K20" s="651">
        <v>1.43</v>
      </c>
    </row>
    <row r="21" spans="1:11">
      <c r="A21" s="654" t="s">
        <v>4531</v>
      </c>
      <c r="B21" s="654" t="s">
        <v>4095</v>
      </c>
      <c r="C21" s="655">
        <v>168165373</v>
      </c>
      <c r="D21" s="655">
        <v>156534218</v>
      </c>
      <c r="E21" s="655">
        <v>168165373</v>
      </c>
      <c r="F21" s="655">
        <v>156534218</v>
      </c>
      <c r="G21" s="655">
        <v>11631155</v>
      </c>
      <c r="H21" s="650">
        <v>0</v>
      </c>
      <c r="I21" s="651">
        <v>1.5</v>
      </c>
      <c r="J21" s="651">
        <v>0</v>
      </c>
      <c r="K21" s="651">
        <v>1.5</v>
      </c>
    </row>
    <row r="22" spans="1:11">
      <c r="A22" s="654" t="s">
        <v>4532</v>
      </c>
      <c r="B22" s="654" t="s">
        <v>4096</v>
      </c>
      <c r="C22" s="655">
        <v>19723895</v>
      </c>
      <c r="D22" s="655">
        <v>18885815</v>
      </c>
      <c r="E22" s="655">
        <v>19723895</v>
      </c>
      <c r="F22" s="655">
        <v>18885815</v>
      </c>
      <c r="G22" s="655">
        <v>838080</v>
      </c>
      <c r="H22" s="650">
        <v>0</v>
      </c>
      <c r="I22" s="651">
        <v>1.5</v>
      </c>
      <c r="J22" s="651">
        <v>0</v>
      </c>
      <c r="K22" s="651">
        <v>1.5</v>
      </c>
    </row>
    <row r="23" spans="1:11">
      <c r="A23" s="654" t="s">
        <v>4533</v>
      </c>
      <c r="B23" s="654" t="s">
        <v>2004</v>
      </c>
      <c r="C23" s="655">
        <v>45661393</v>
      </c>
      <c r="D23" s="655">
        <v>42224653</v>
      </c>
      <c r="E23" s="655">
        <v>45661393</v>
      </c>
      <c r="F23" s="655">
        <v>42224653</v>
      </c>
      <c r="G23" s="655">
        <v>3436740</v>
      </c>
      <c r="H23" s="650">
        <v>0</v>
      </c>
      <c r="I23" s="651">
        <v>1.5</v>
      </c>
      <c r="J23" s="651">
        <v>0.11</v>
      </c>
      <c r="K23" s="651">
        <v>1.61</v>
      </c>
    </row>
    <row r="24" spans="1:11">
      <c r="A24" s="654" t="s">
        <v>4534</v>
      </c>
      <c r="B24" s="654" t="s">
        <v>4097</v>
      </c>
      <c r="C24" s="655">
        <v>88603649</v>
      </c>
      <c r="D24" s="655">
        <v>83440581</v>
      </c>
      <c r="E24" s="655">
        <v>88603649</v>
      </c>
      <c r="F24" s="655">
        <v>83440581</v>
      </c>
      <c r="G24" s="655">
        <v>5163068</v>
      </c>
      <c r="H24" s="650">
        <v>0</v>
      </c>
      <c r="I24" s="651">
        <v>1.36</v>
      </c>
      <c r="J24" s="651">
        <v>0</v>
      </c>
      <c r="K24" s="651">
        <v>1.36</v>
      </c>
    </row>
    <row r="25" spans="1:11">
      <c r="A25" s="654" t="s">
        <v>4535</v>
      </c>
      <c r="B25" s="654" t="s">
        <v>6107</v>
      </c>
      <c r="C25" s="655">
        <v>59197881</v>
      </c>
      <c r="D25" s="655">
        <v>55295821</v>
      </c>
      <c r="E25" s="655">
        <v>59197881</v>
      </c>
      <c r="F25" s="655">
        <v>55295821</v>
      </c>
      <c r="G25" s="655">
        <v>3902060</v>
      </c>
      <c r="H25" s="650">
        <v>0</v>
      </c>
      <c r="I25" s="651">
        <v>1.39</v>
      </c>
      <c r="J25" s="651">
        <v>0.14000000000000001</v>
      </c>
      <c r="K25" s="651">
        <v>1.53</v>
      </c>
    </row>
    <row r="26" spans="1:11">
      <c r="A26" s="654" t="s">
        <v>4536</v>
      </c>
      <c r="B26" s="654" t="s">
        <v>4098</v>
      </c>
      <c r="C26" s="655">
        <v>310555005</v>
      </c>
      <c r="D26" s="655">
        <v>299179293</v>
      </c>
      <c r="E26" s="655">
        <v>310555005</v>
      </c>
      <c r="F26" s="655">
        <v>299179293</v>
      </c>
      <c r="G26" s="655">
        <v>11375712</v>
      </c>
      <c r="H26" s="650">
        <v>0</v>
      </c>
      <c r="I26" s="651">
        <v>1.5</v>
      </c>
      <c r="J26" s="651">
        <v>0</v>
      </c>
      <c r="K26" s="651">
        <v>1.5</v>
      </c>
    </row>
    <row r="27" spans="1:11">
      <c r="A27" s="654" t="s">
        <v>4537</v>
      </c>
      <c r="B27" s="654" t="s">
        <v>4099</v>
      </c>
      <c r="C27" s="655">
        <v>132080535</v>
      </c>
      <c r="D27" s="655">
        <v>120758865</v>
      </c>
      <c r="E27" s="655">
        <v>132080535</v>
      </c>
      <c r="F27" s="655">
        <v>120758865</v>
      </c>
      <c r="G27" s="655">
        <v>11321670</v>
      </c>
      <c r="H27" s="650">
        <v>0</v>
      </c>
      <c r="I27" s="651">
        <v>1.5</v>
      </c>
      <c r="J27" s="651">
        <v>0.37859999999999999</v>
      </c>
      <c r="K27" s="651">
        <v>1.8786</v>
      </c>
    </row>
    <row r="28" spans="1:11">
      <c r="A28" s="654" t="s">
        <v>4538</v>
      </c>
      <c r="B28" s="654" t="s">
        <v>342</v>
      </c>
      <c r="C28" s="655">
        <v>460415118</v>
      </c>
      <c r="D28" s="655">
        <v>428071839</v>
      </c>
      <c r="E28" s="655">
        <v>460415118</v>
      </c>
      <c r="F28" s="655">
        <v>428071839</v>
      </c>
      <c r="G28" s="655">
        <v>32343279</v>
      </c>
      <c r="H28" s="650">
        <v>0</v>
      </c>
      <c r="I28" s="651">
        <v>1.5</v>
      </c>
      <c r="J28" s="651">
        <v>0.06</v>
      </c>
      <c r="K28" s="651">
        <v>1.56</v>
      </c>
    </row>
    <row r="29" spans="1:11">
      <c r="A29" s="654" t="s">
        <v>4539</v>
      </c>
      <c r="B29" s="654" t="s">
        <v>345</v>
      </c>
      <c r="C29" s="655">
        <v>114397087</v>
      </c>
      <c r="D29" s="655">
        <v>100860587</v>
      </c>
      <c r="E29" s="655">
        <v>114397087</v>
      </c>
      <c r="F29" s="655">
        <v>100860587</v>
      </c>
      <c r="G29" s="655">
        <v>13536500</v>
      </c>
      <c r="H29" s="650">
        <v>0</v>
      </c>
      <c r="I29" s="651">
        <v>1.5</v>
      </c>
      <c r="J29" s="651">
        <v>6.8900000000000003E-2</v>
      </c>
      <c r="K29" s="651">
        <v>1.5689</v>
      </c>
    </row>
    <row r="30" spans="1:11">
      <c r="A30" s="654" t="s">
        <v>4540</v>
      </c>
      <c r="B30" s="654" t="s">
        <v>4100</v>
      </c>
      <c r="C30" s="655">
        <v>565354398</v>
      </c>
      <c r="D30" s="655">
        <v>531861094</v>
      </c>
      <c r="E30" s="655">
        <v>565354398</v>
      </c>
      <c r="F30" s="655">
        <v>531861094</v>
      </c>
      <c r="G30" s="655">
        <v>33493304</v>
      </c>
      <c r="H30" s="650">
        <v>0</v>
      </c>
      <c r="I30" s="651">
        <v>1.5</v>
      </c>
      <c r="J30" s="651">
        <v>8.5000000000000006E-2</v>
      </c>
      <c r="K30" s="651">
        <v>1.585</v>
      </c>
    </row>
    <row r="31" spans="1:11">
      <c r="A31" s="654" t="s">
        <v>4541</v>
      </c>
      <c r="B31" s="654" t="s">
        <v>4101</v>
      </c>
      <c r="C31" s="655">
        <v>556263388</v>
      </c>
      <c r="D31" s="655">
        <v>528733585</v>
      </c>
      <c r="E31" s="655">
        <v>532957867</v>
      </c>
      <c r="F31" s="655">
        <v>505428064</v>
      </c>
      <c r="G31" s="655">
        <v>27529803</v>
      </c>
      <c r="H31" s="655">
        <v>23305521</v>
      </c>
      <c r="I31" s="651">
        <v>1.46</v>
      </c>
      <c r="J31" s="651">
        <v>0.22</v>
      </c>
      <c r="K31" s="651">
        <v>1.68</v>
      </c>
    </row>
    <row r="32" spans="1:11">
      <c r="A32" s="654" t="s">
        <v>4542</v>
      </c>
      <c r="B32" s="654" t="s">
        <v>4102</v>
      </c>
      <c r="C32" s="655">
        <v>377985007</v>
      </c>
      <c r="D32" s="655">
        <v>367520684</v>
      </c>
      <c r="E32" s="655">
        <v>375385091</v>
      </c>
      <c r="F32" s="655">
        <v>364920768</v>
      </c>
      <c r="G32" s="655">
        <v>10464323</v>
      </c>
      <c r="H32" s="655">
        <v>2599916</v>
      </c>
      <c r="I32" s="651">
        <v>1.4</v>
      </c>
      <c r="J32" s="651">
        <v>0.23799999999999999</v>
      </c>
      <c r="K32" s="651">
        <v>1.6379999999999999</v>
      </c>
    </row>
    <row r="33" spans="1:11">
      <c r="A33" s="654" t="s">
        <v>4543</v>
      </c>
      <c r="B33" s="654" t="s">
        <v>4103</v>
      </c>
      <c r="C33" s="655">
        <v>183663814</v>
      </c>
      <c r="D33" s="655">
        <v>171759596</v>
      </c>
      <c r="E33" s="655">
        <v>183663814</v>
      </c>
      <c r="F33" s="655">
        <v>171759596</v>
      </c>
      <c r="G33" s="655">
        <v>11904218</v>
      </c>
      <c r="H33" s="650">
        <v>0</v>
      </c>
      <c r="I33" s="651">
        <v>1.43</v>
      </c>
      <c r="J33" s="651">
        <v>0</v>
      </c>
      <c r="K33" s="651">
        <v>1.43</v>
      </c>
    </row>
    <row r="34" spans="1:11">
      <c r="A34" s="654" t="s">
        <v>4544</v>
      </c>
      <c r="B34" s="654" t="s">
        <v>4104</v>
      </c>
      <c r="C34" s="655">
        <v>114673532</v>
      </c>
      <c r="D34" s="655">
        <v>109851483</v>
      </c>
      <c r="E34" s="655">
        <v>114673532</v>
      </c>
      <c r="F34" s="655">
        <v>109851483</v>
      </c>
      <c r="G34" s="655">
        <v>4822049</v>
      </c>
      <c r="H34" s="650">
        <v>0</v>
      </c>
      <c r="I34" s="651">
        <v>1.38</v>
      </c>
      <c r="J34" s="651">
        <v>0</v>
      </c>
      <c r="K34" s="651">
        <v>1.38</v>
      </c>
    </row>
    <row r="35" spans="1:11">
      <c r="A35" s="654" t="s">
        <v>4545</v>
      </c>
      <c r="B35" s="654" t="s">
        <v>7695</v>
      </c>
      <c r="C35" s="655">
        <v>706145462</v>
      </c>
      <c r="D35" s="655">
        <v>664839938</v>
      </c>
      <c r="E35" s="655">
        <v>706145462</v>
      </c>
      <c r="F35" s="655">
        <v>664839938</v>
      </c>
      <c r="G35" s="655">
        <v>41305524</v>
      </c>
      <c r="H35" s="650">
        <v>0</v>
      </c>
      <c r="I35" s="651">
        <v>1.47</v>
      </c>
      <c r="J35" s="651">
        <v>0.16250000000000001</v>
      </c>
      <c r="K35" s="651">
        <v>1.6325000000000001</v>
      </c>
    </row>
    <row r="36" spans="1:11">
      <c r="A36" s="654" t="s">
        <v>4546</v>
      </c>
      <c r="B36" s="654" t="s">
        <v>7697</v>
      </c>
      <c r="C36" s="655">
        <v>2009893640</v>
      </c>
      <c r="D36" s="655">
        <v>1929936376</v>
      </c>
      <c r="E36" s="655">
        <v>2009893640</v>
      </c>
      <c r="F36" s="655">
        <v>1929936376</v>
      </c>
      <c r="G36" s="655">
        <v>79957264</v>
      </c>
      <c r="H36" s="650">
        <v>0</v>
      </c>
      <c r="I36" s="651">
        <v>1.5</v>
      </c>
      <c r="J36" s="651">
        <v>0.24199999999999999</v>
      </c>
      <c r="K36" s="651">
        <v>1.742</v>
      </c>
    </row>
    <row r="37" spans="1:11">
      <c r="A37" s="654" t="s">
        <v>4547</v>
      </c>
      <c r="B37" s="654" t="s">
        <v>1928</v>
      </c>
      <c r="C37" s="655">
        <v>644340492</v>
      </c>
      <c r="D37" s="655">
        <v>611977468</v>
      </c>
      <c r="E37" s="655">
        <v>644340492</v>
      </c>
      <c r="F37" s="655">
        <v>611977468</v>
      </c>
      <c r="G37" s="655">
        <v>32363024</v>
      </c>
      <c r="H37" s="650">
        <v>0</v>
      </c>
      <c r="I37" s="651">
        <v>1.5</v>
      </c>
      <c r="J37" s="651">
        <v>0.32</v>
      </c>
      <c r="K37" s="651">
        <v>1.82</v>
      </c>
    </row>
    <row r="38" spans="1:11">
      <c r="A38" s="654" t="s">
        <v>4548</v>
      </c>
      <c r="B38" s="654" t="s">
        <v>2343</v>
      </c>
      <c r="C38" s="655">
        <v>451151301</v>
      </c>
      <c r="D38" s="655">
        <v>427040626</v>
      </c>
      <c r="E38" s="655">
        <v>451151301</v>
      </c>
      <c r="F38" s="655">
        <v>427040626</v>
      </c>
      <c r="G38" s="655">
        <v>24110675</v>
      </c>
      <c r="H38" s="650">
        <v>0</v>
      </c>
      <c r="I38" s="651">
        <v>1.5</v>
      </c>
      <c r="J38" s="651">
        <v>0.27</v>
      </c>
      <c r="K38" s="651">
        <v>1.77</v>
      </c>
    </row>
    <row r="39" spans="1:11">
      <c r="A39" s="654" t="s">
        <v>2505</v>
      </c>
      <c r="B39" s="654" t="s">
        <v>6074</v>
      </c>
      <c r="C39" s="655">
        <v>53618520</v>
      </c>
      <c r="D39" s="655">
        <v>50663543</v>
      </c>
      <c r="E39" s="655">
        <v>53618520</v>
      </c>
      <c r="F39" s="655">
        <v>50663543</v>
      </c>
      <c r="G39" s="655">
        <v>2954977</v>
      </c>
      <c r="H39" s="650">
        <v>0</v>
      </c>
      <c r="I39" s="651">
        <v>1.5</v>
      </c>
      <c r="J39" s="651">
        <v>7.0999999999999994E-2</v>
      </c>
      <c r="K39" s="651">
        <v>1.571</v>
      </c>
    </row>
    <row r="40" spans="1:11">
      <c r="A40" s="654" t="s">
        <v>2506</v>
      </c>
      <c r="B40" s="654" t="s">
        <v>4105</v>
      </c>
      <c r="C40" s="655">
        <v>120684576</v>
      </c>
      <c r="D40" s="655">
        <v>109534976</v>
      </c>
      <c r="E40" s="655">
        <v>120684576</v>
      </c>
      <c r="F40" s="655">
        <v>109534976</v>
      </c>
      <c r="G40" s="655">
        <v>11149600</v>
      </c>
      <c r="H40" s="650">
        <v>0</v>
      </c>
      <c r="I40" s="651">
        <v>1.5</v>
      </c>
      <c r="J40" s="651">
        <v>0.13500000000000001</v>
      </c>
      <c r="K40" s="651">
        <v>1.635</v>
      </c>
    </row>
    <row r="41" spans="1:11">
      <c r="A41" s="654" t="s">
        <v>2507</v>
      </c>
      <c r="B41" s="654" t="s">
        <v>7698</v>
      </c>
      <c r="C41" s="655">
        <v>424266501</v>
      </c>
      <c r="D41" s="655">
        <v>387907105</v>
      </c>
      <c r="E41" s="655">
        <v>424266501</v>
      </c>
      <c r="F41" s="655">
        <v>387907105</v>
      </c>
      <c r="G41" s="655">
        <v>36359396</v>
      </c>
      <c r="H41" s="650">
        <v>0</v>
      </c>
      <c r="I41" s="651">
        <v>1.4650000000000001</v>
      </c>
      <c r="J41" s="651">
        <v>0.125</v>
      </c>
      <c r="K41" s="651">
        <v>1.59</v>
      </c>
    </row>
    <row r="42" spans="1:11">
      <c r="A42" s="654" t="s">
        <v>2508</v>
      </c>
      <c r="B42" s="654" t="s">
        <v>4106</v>
      </c>
      <c r="C42" s="655">
        <v>133868020</v>
      </c>
      <c r="D42" s="655">
        <v>131951130</v>
      </c>
      <c r="E42" s="655">
        <v>133013110</v>
      </c>
      <c r="F42" s="655">
        <v>131096220</v>
      </c>
      <c r="G42" s="655">
        <v>1916890</v>
      </c>
      <c r="H42" s="655">
        <v>854910</v>
      </c>
      <c r="I42" s="651">
        <v>1.2093700000000001</v>
      </c>
      <c r="J42" s="651">
        <v>0</v>
      </c>
      <c r="K42" s="651">
        <v>1.2093700000000001</v>
      </c>
    </row>
    <row r="43" spans="1:11">
      <c r="A43" s="654" t="s">
        <v>2509</v>
      </c>
      <c r="B43" s="654" t="s">
        <v>4107</v>
      </c>
      <c r="C43" s="655">
        <v>142176600</v>
      </c>
      <c r="D43" s="655">
        <v>137847125</v>
      </c>
      <c r="E43" s="655">
        <v>142176600</v>
      </c>
      <c r="F43" s="655">
        <v>137847125</v>
      </c>
      <c r="G43" s="655">
        <v>4329475</v>
      </c>
      <c r="H43" s="650">
        <v>0</v>
      </c>
      <c r="I43" s="651">
        <v>1.1970000000000001</v>
      </c>
      <c r="J43" s="651">
        <v>0</v>
      </c>
      <c r="K43" s="651">
        <v>1.1970000000000001</v>
      </c>
    </row>
    <row r="44" spans="1:11">
      <c r="A44" s="654" t="s">
        <v>2510</v>
      </c>
      <c r="B44" s="654" t="s">
        <v>2341</v>
      </c>
      <c r="C44" s="655">
        <v>89215678</v>
      </c>
      <c r="D44" s="655">
        <v>83148158</v>
      </c>
      <c r="E44" s="655">
        <v>86764528</v>
      </c>
      <c r="F44" s="655">
        <v>80697008</v>
      </c>
      <c r="G44" s="655">
        <v>6067520</v>
      </c>
      <c r="H44" s="655">
        <v>2451150</v>
      </c>
      <c r="I44" s="651">
        <v>1.5</v>
      </c>
      <c r="J44" s="651">
        <v>8.5000000000000006E-2</v>
      </c>
      <c r="K44" s="651">
        <v>1.585</v>
      </c>
    </row>
    <row r="45" spans="1:11">
      <c r="A45" s="654" t="s">
        <v>2511</v>
      </c>
      <c r="B45" s="654" t="s">
        <v>4108</v>
      </c>
      <c r="C45" s="655">
        <v>141127026</v>
      </c>
      <c r="D45" s="655">
        <v>130422974</v>
      </c>
      <c r="E45" s="655">
        <v>141127026</v>
      </c>
      <c r="F45" s="655">
        <v>130422974</v>
      </c>
      <c r="G45" s="655">
        <v>10704052</v>
      </c>
      <c r="H45" s="650">
        <v>0</v>
      </c>
      <c r="I45" s="651">
        <v>1.4589000000000001</v>
      </c>
      <c r="J45" s="651">
        <v>0.29110000000000003</v>
      </c>
      <c r="K45" s="651">
        <v>1.75</v>
      </c>
    </row>
    <row r="46" spans="1:11">
      <c r="A46" s="654" t="s">
        <v>2512</v>
      </c>
      <c r="B46" s="654" t="s">
        <v>7696</v>
      </c>
      <c r="C46" s="655">
        <v>69483675</v>
      </c>
      <c r="D46" s="655">
        <v>63901727</v>
      </c>
      <c r="E46" s="655">
        <v>69483675</v>
      </c>
      <c r="F46" s="655">
        <v>63901727</v>
      </c>
      <c r="G46" s="655">
        <v>5581948</v>
      </c>
      <c r="H46" s="650">
        <v>0</v>
      </c>
      <c r="I46" s="651">
        <v>1.4619</v>
      </c>
      <c r="J46" s="651">
        <v>0.13200000000000001</v>
      </c>
      <c r="K46" s="651">
        <v>1.5939000000000001</v>
      </c>
    </row>
    <row r="47" spans="1:11">
      <c r="A47" s="654" t="s">
        <v>2513</v>
      </c>
      <c r="B47" s="654" t="s">
        <v>7654</v>
      </c>
      <c r="C47" s="655">
        <v>1159911892</v>
      </c>
      <c r="D47" s="655">
        <v>1079134101</v>
      </c>
      <c r="E47" s="655">
        <v>1159911892</v>
      </c>
      <c r="F47" s="655">
        <v>1079134101</v>
      </c>
      <c r="G47" s="655">
        <v>80777791</v>
      </c>
      <c r="H47" s="650">
        <v>0</v>
      </c>
      <c r="I47" s="651">
        <v>1.5</v>
      </c>
      <c r="J47" s="651">
        <v>0.24</v>
      </c>
      <c r="K47" s="651">
        <v>1.74</v>
      </c>
    </row>
    <row r="48" spans="1:11">
      <c r="A48" s="654" t="s">
        <v>2514</v>
      </c>
      <c r="B48" s="654" t="s">
        <v>3848</v>
      </c>
      <c r="C48" s="655">
        <v>67504838</v>
      </c>
      <c r="D48" s="655">
        <v>62029092</v>
      </c>
      <c r="E48" s="655">
        <v>67504838</v>
      </c>
      <c r="F48" s="655">
        <v>62029092</v>
      </c>
      <c r="G48" s="655">
        <v>5475746</v>
      </c>
      <c r="H48" s="650">
        <v>0</v>
      </c>
      <c r="I48" s="651">
        <v>1.42</v>
      </c>
      <c r="J48" s="651">
        <v>0.12470000000000001</v>
      </c>
      <c r="K48" s="651">
        <v>1.5447</v>
      </c>
    </row>
    <row r="49" spans="1:11">
      <c r="A49" s="654" t="s">
        <v>2515</v>
      </c>
      <c r="B49" s="654" t="s">
        <v>1920</v>
      </c>
      <c r="C49" s="655">
        <v>3545989039</v>
      </c>
      <c r="D49" s="655">
        <v>3332360683</v>
      </c>
      <c r="E49" s="655">
        <v>3545989039</v>
      </c>
      <c r="F49" s="655">
        <v>3332360683</v>
      </c>
      <c r="G49" s="655">
        <v>213628356</v>
      </c>
      <c r="H49" s="650">
        <v>0</v>
      </c>
      <c r="I49" s="651">
        <v>1.42</v>
      </c>
      <c r="J49" s="651">
        <v>0.13830000000000001</v>
      </c>
      <c r="K49" s="651">
        <v>1.5583</v>
      </c>
    </row>
    <row r="50" spans="1:11">
      <c r="A50" s="654" t="s">
        <v>2516</v>
      </c>
      <c r="B50" s="654" t="s">
        <v>367</v>
      </c>
      <c r="C50" s="655">
        <v>112439972</v>
      </c>
      <c r="D50" s="655">
        <v>103287375</v>
      </c>
      <c r="E50" s="655">
        <v>112439972</v>
      </c>
      <c r="F50" s="655">
        <v>103287375</v>
      </c>
      <c r="G50" s="655">
        <v>9152597</v>
      </c>
      <c r="H50" s="650">
        <v>0</v>
      </c>
      <c r="I50" s="651">
        <v>1.46</v>
      </c>
      <c r="J50" s="651">
        <v>7.85E-2</v>
      </c>
      <c r="K50" s="651">
        <v>1.5385</v>
      </c>
    </row>
    <row r="51" spans="1:11">
      <c r="A51" s="654" t="s">
        <v>2517</v>
      </c>
      <c r="B51" s="654" t="s">
        <v>376</v>
      </c>
      <c r="C51" s="655">
        <v>418716354</v>
      </c>
      <c r="D51" s="655">
        <v>401095100</v>
      </c>
      <c r="E51" s="655">
        <v>418716354</v>
      </c>
      <c r="F51" s="655">
        <v>401095100</v>
      </c>
      <c r="G51" s="655">
        <v>17621254</v>
      </c>
      <c r="H51" s="650">
        <v>0</v>
      </c>
      <c r="I51" s="651">
        <v>1.4119999999999999</v>
      </c>
      <c r="J51" s="651">
        <v>0.16800000000000001</v>
      </c>
      <c r="K51" s="651">
        <v>1.58</v>
      </c>
    </row>
    <row r="52" spans="1:11">
      <c r="A52" s="654" t="s">
        <v>2518</v>
      </c>
      <c r="B52" s="654" t="s">
        <v>5364</v>
      </c>
      <c r="C52" s="655">
        <v>2245696695</v>
      </c>
      <c r="D52" s="655">
        <v>2143229751</v>
      </c>
      <c r="E52" s="655">
        <v>2245696695</v>
      </c>
      <c r="F52" s="655">
        <v>2143229751</v>
      </c>
      <c r="G52" s="655">
        <v>102466944</v>
      </c>
      <c r="H52" s="650">
        <v>0</v>
      </c>
      <c r="I52" s="651">
        <v>1.5</v>
      </c>
      <c r="J52" s="651">
        <v>0.1318</v>
      </c>
      <c r="K52" s="651">
        <v>1.6317999999999999</v>
      </c>
    </row>
    <row r="53" spans="1:11">
      <c r="A53" s="654" t="s">
        <v>2519</v>
      </c>
      <c r="B53" s="654" t="s">
        <v>5369</v>
      </c>
      <c r="C53" s="655">
        <v>186274824</v>
      </c>
      <c r="D53" s="655">
        <v>172967729</v>
      </c>
      <c r="E53" s="655">
        <v>186274824</v>
      </c>
      <c r="F53" s="655">
        <v>172967729</v>
      </c>
      <c r="G53" s="655">
        <v>13307095</v>
      </c>
      <c r="H53" s="650">
        <v>0</v>
      </c>
      <c r="I53" s="651">
        <v>1.44</v>
      </c>
      <c r="J53" s="651">
        <v>0.1925</v>
      </c>
      <c r="K53" s="651">
        <v>1.6325000000000001</v>
      </c>
    </row>
    <row r="54" spans="1:11">
      <c r="A54" s="654" t="s">
        <v>2520</v>
      </c>
      <c r="B54" s="654" t="s">
        <v>4109</v>
      </c>
      <c r="C54" s="655">
        <v>3259358675</v>
      </c>
      <c r="D54" s="655">
        <v>3186316095</v>
      </c>
      <c r="E54" s="655">
        <v>3259358675</v>
      </c>
      <c r="F54" s="655">
        <v>3186316095</v>
      </c>
      <c r="G54" s="655">
        <v>73042580</v>
      </c>
      <c r="H54" s="650">
        <v>0</v>
      </c>
      <c r="I54" s="651">
        <v>1.5</v>
      </c>
      <c r="J54" s="651">
        <v>0.12959999999999999</v>
      </c>
      <c r="K54" s="651">
        <v>1.6295999999999999</v>
      </c>
    </row>
    <row r="55" spans="1:11">
      <c r="A55" s="654" t="s">
        <v>2521</v>
      </c>
      <c r="B55" s="654" t="s">
        <v>3918</v>
      </c>
      <c r="C55" s="655">
        <v>1038853117</v>
      </c>
      <c r="D55" s="655">
        <v>926403448</v>
      </c>
      <c r="E55" s="655">
        <v>1038853117</v>
      </c>
      <c r="F55" s="655">
        <v>926403448</v>
      </c>
      <c r="G55" s="655">
        <v>112449669</v>
      </c>
      <c r="H55" s="650">
        <v>0</v>
      </c>
      <c r="I55" s="651">
        <v>1.5</v>
      </c>
      <c r="J55" s="651">
        <v>0.25600000000000001</v>
      </c>
      <c r="K55" s="651">
        <v>1.756</v>
      </c>
    </row>
    <row r="56" spans="1:11">
      <c r="A56" s="654" t="s">
        <v>2522</v>
      </c>
      <c r="B56" s="654" t="s">
        <v>1926</v>
      </c>
      <c r="C56" s="655">
        <v>779428245</v>
      </c>
      <c r="D56" s="655">
        <v>680104663</v>
      </c>
      <c r="E56" s="655">
        <v>779428245</v>
      </c>
      <c r="F56" s="655">
        <v>680104663</v>
      </c>
      <c r="G56" s="655">
        <v>99323582</v>
      </c>
      <c r="H56" s="650">
        <v>0</v>
      </c>
      <c r="I56" s="651">
        <v>1.5</v>
      </c>
      <c r="J56" s="651">
        <v>0.23449999999999999</v>
      </c>
      <c r="K56" s="651">
        <v>1.7344999999999999</v>
      </c>
    </row>
    <row r="57" spans="1:11">
      <c r="A57" s="654" t="s">
        <v>2523</v>
      </c>
      <c r="B57" s="654" t="s">
        <v>379</v>
      </c>
      <c r="C57" s="655">
        <v>8747415818</v>
      </c>
      <c r="D57" s="655">
        <v>8230791444</v>
      </c>
      <c r="E57" s="655">
        <v>8747415818</v>
      </c>
      <c r="F57" s="655">
        <v>8230791444</v>
      </c>
      <c r="G57" s="655">
        <v>516624374</v>
      </c>
      <c r="H57" s="650">
        <v>0</v>
      </c>
      <c r="I57" s="651">
        <v>1.5</v>
      </c>
      <c r="J57" s="651">
        <v>0.222</v>
      </c>
      <c r="K57" s="651">
        <v>1.722</v>
      </c>
    </row>
    <row r="58" spans="1:11">
      <c r="A58" s="654" t="s">
        <v>4611</v>
      </c>
      <c r="B58" s="654" t="s">
        <v>2347</v>
      </c>
      <c r="C58" s="655">
        <v>870065397</v>
      </c>
      <c r="D58" s="655">
        <v>805102118</v>
      </c>
      <c r="E58" s="655">
        <v>870065397</v>
      </c>
      <c r="F58" s="655">
        <v>805102118</v>
      </c>
      <c r="G58" s="655">
        <v>64963279</v>
      </c>
      <c r="H58" s="650">
        <v>0</v>
      </c>
      <c r="I58" s="651">
        <v>1.5</v>
      </c>
      <c r="J58" s="651">
        <v>0.23830000000000001</v>
      </c>
      <c r="K58" s="651">
        <v>1.7383</v>
      </c>
    </row>
    <row r="59" spans="1:11">
      <c r="A59" s="654" t="s">
        <v>4612</v>
      </c>
      <c r="B59" s="654" t="s">
        <v>2346</v>
      </c>
      <c r="C59" s="655">
        <v>237156645</v>
      </c>
      <c r="D59" s="655">
        <v>214510950</v>
      </c>
      <c r="E59" s="655">
        <v>237156645</v>
      </c>
      <c r="F59" s="655">
        <v>214510950</v>
      </c>
      <c r="G59" s="655">
        <v>22645695</v>
      </c>
      <c r="H59" s="650">
        <v>0</v>
      </c>
      <c r="I59" s="651">
        <v>1.5</v>
      </c>
      <c r="J59" s="651">
        <v>0.185</v>
      </c>
      <c r="K59" s="651">
        <v>1.6850000000000001</v>
      </c>
    </row>
    <row r="60" spans="1:11">
      <c r="A60" s="654" t="s">
        <v>4613</v>
      </c>
      <c r="B60" s="654" t="s">
        <v>1937</v>
      </c>
      <c r="C60" s="655">
        <v>18904940997</v>
      </c>
      <c r="D60" s="655">
        <v>18145449324</v>
      </c>
      <c r="E60" s="655">
        <v>18904940997</v>
      </c>
      <c r="F60" s="655">
        <v>18145449324</v>
      </c>
      <c r="G60" s="655">
        <v>759491673</v>
      </c>
      <c r="H60" s="650">
        <v>0</v>
      </c>
      <c r="I60" s="651">
        <v>1.5</v>
      </c>
      <c r="J60" s="651">
        <v>0.29399999999999998</v>
      </c>
      <c r="K60" s="651">
        <v>1.794</v>
      </c>
    </row>
    <row r="61" spans="1:11">
      <c r="A61" s="654" t="s">
        <v>4614</v>
      </c>
      <c r="B61" s="654" t="s">
        <v>3013</v>
      </c>
      <c r="C61" s="655">
        <v>1241914760</v>
      </c>
      <c r="D61" s="655">
        <v>1158286706</v>
      </c>
      <c r="E61" s="655">
        <v>1241914760</v>
      </c>
      <c r="F61" s="655">
        <v>1158286706</v>
      </c>
      <c r="G61" s="655">
        <v>83628054</v>
      </c>
      <c r="H61" s="650">
        <v>0</v>
      </c>
      <c r="I61" s="651">
        <v>1.5</v>
      </c>
      <c r="J61" s="651">
        <v>0.18</v>
      </c>
      <c r="K61" s="651">
        <v>1.68</v>
      </c>
    </row>
    <row r="62" spans="1:11">
      <c r="A62" s="654" t="s">
        <v>4615</v>
      </c>
      <c r="B62" s="654" t="s">
        <v>2349</v>
      </c>
      <c r="C62" s="655">
        <v>708475483</v>
      </c>
      <c r="D62" s="655">
        <v>645491720</v>
      </c>
      <c r="E62" s="655">
        <v>708475483</v>
      </c>
      <c r="F62" s="655">
        <v>645491720</v>
      </c>
      <c r="G62" s="655">
        <v>62983763</v>
      </c>
      <c r="H62" s="650">
        <v>0</v>
      </c>
      <c r="I62" s="651">
        <v>1.5</v>
      </c>
      <c r="J62" s="651">
        <v>0.14219999999999999</v>
      </c>
      <c r="K62" s="651">
        <v>1.6422000000000001</v>
      </c>
    </row>
    <row r="63" spans="1:11">
      <c r="A63" s="654" t="s">
        <v>4616</v>
      </c>
      <c r="B63" s="654" t="s">
        <v>1939</v>
      </c>
      <c r="C63" s="655">
        <v>18197982117</v>
      </c>
      <c r="D63" s="655">
        <v>17408931955</v>
      </c>
      <c r="E63" s="655">
        <v>18197982117</v>
      </c>
      <c r="F63" s="655">
        <v>17408931955</v>
      </c>
      <c r="G63" s="655">
        <v>789050162</v>
      </c>
      <c r="H63" s="650">
        <v>0</v>
      </c>
      <c r="I63" s="651">
        <v>1.5</v>
      </c>
      <c r="J63" s="651">
        <v>0.26250000000000001</v>
      </c>
      <c r="K63" s="651">
        <v>1.7625</v>
      </c>
    </row>
    <row r="64" spans="1:11">
      <c r="A64" s="654" t="s">
        <v>4617</v>
      </c>
      <c r="B64" s="654" t="s">
        <v>1911</v>
      </c>
      <c r="C64" s="655">
        <v>3856037730</v>
      </c>
      <c r="D64" s="655">
        <v>3670907796</v>
      </c>
      <c r="E64" s="655">
        <v>3856037730</v>
      </c>
      <c r="F64" s="655">
        <v>3670907796</v>
      </c>
      <c r="G64" s="655">
        <v>185129934</v>
      </c>
      <c r="H64" s="650">
        <v>0</v>
      </c>
      <c r="I64" s="651">
        <v>1.5</v>
      </c>
      <c r="J64" s="651">
        <v>0.27600000000000002</v>
      </c>
      <c r="K64" s="651">
        <v>1.776</v>
      </c>
    </row>
    <row r="65" spans="1:11">
      <c r="A65" s="654" t="s">
        <v>4618</v>
      </c>
      <c r="B65" s="654" t="s">
        <v>2348</v>
      </c>
      <c r="C65" s="655">
        <v>358203060</v>
      </c>
      <c r="D65" s="655">
        <v>324078612</v>
      </c>
      <c r="E65" s="655">
        <v>358203060</v>
      </c>
      <c r="F65" s="655">
        <v>324078612</v>
      </c>
      <c r="G65" s="655">
        <v>34124448</v>
      </c>
      <c r="H65" s="650">
        <v>0</v>
      </c>
      <c r="I65" s="651">
        <v>1.5</v>
      </c>
      <c r="J65" s="651">
        <v>0.22</v>
      </c>
      <c r="K65" s="651">
        <v>1.72</v>
      </c>
    </row>
    <row r="66" spans="1:11">
      <c r="A66" s="654" t="s">
        <v>4619</v>
      </c>
      <c r="B66" s="654" t="s">
        <v>4113</v>
      </c>
      <c r="C66" s="655">
        <v>341790661</v>
      </c>
      <c r="D66" s="655">
        <v>329355971</v>
      </c>
      <c r="E66" s="655">
        <v>341790661</v>
      </c>
      <c r="F66" s="655">
        <v>329355971</v>
      </c>
      <c r="G66" s="655">
        <v>12434690</v>
      </c>
      <c r="H66" s="650">
        <v>0</v>
      </c>
      <c r="I66" s="651">
        <v>1.2532000000000001</v>
      </c>
      <c r="J66" s="651">
        <v>0.24</v>
      </c>
      <c r="K66" s="651">
        <v>1.4932000000000001</v>
      </c>
    </row>
    <row r="67" spans="1:11">
      <c r="A67" s="654" t="s">
        <v>4620</v>
      </c>
      <c r="B67" s="654" t="s">
        <v>7657</v>
      </c>
      <c r="C67" s="655">
        <v>340470851</v>
      </c>
      <c r="D67" s="655">
        <v>325593921</v>
      </c>
      <c r="E67" s="655">
        <v>340470851</v>
      </c>
      <c r="F67" s="655">
        <v>325593921</v>
      </c>
      <c r="G67" s="655">
        <v>14876930</v>
      </c>
      <c r="H67" s="650">
        <v>0</v>
      </c>
      <c r="I67" s="651">
        <v>1.2846</v>
      </c>
      <c r="J67" s="651">
        <v>0.21540000000000001</v>
      </c>
      <c r="K67" s="651">
        <v>1.5</v>
      </c>
    </row>
    <row r="68" spans="1:11">
      <c r="A68" s="654" t="s">
        <v>4621</v>
      </c>
      <c r="B68" s="654" t="s">
        <v>4114</v>
      </c>
      <c r="C68" s="655">
        <v>362627152</v>
      </c>
      <c r="D68" s="655">
        <v>361377482</v>
      </c>
      <c r="E68" s="655">
        <v>362349112</v>
      </c>
      <c r="F68" s="655">
        <v>361099442</v>
      </c>
      <c r="G68" s="655">
        <v>1249670</v>
      </c>
      <c r="H68" s="655">
        <v>278040</v>
      </c>
      <c r="I68" s="651">
        <v>1.45</v>
      </c>
      <c r="J68" s="651">
        <v>0</v>
      </c>
      <c r="K68" s="651">
        <v>1.45</v>
      </c>
    </row>
    <row r="69" spans="1:11">
      <c r="A69" s="654" t="s">
        <v>4622</v>
      </c>
      <c r="B69" s="654" t="s">
        <v>6115</v>
      </c>
      <c r="C69" s="655">
        <v>374713802</v>
      </c>
      <c r="D69" s="655">
        <v>357633569</v>
      </c>
      <c r="E69" s="655">
        <v>374713802</v>
      </c>
      <c r="F69" s="655">
        <v>357633569</v>
      </c>
      <c r="G69" s="655">
        <v>17080233</v>
      </c>
      <c r="H69" s="650">
        <v>0</v>
      </c>
      <c r="I69" s="651">
        <v>1.4261999999999999</v>
      </c>
      <c r="J69" s="651">
        <v>0.14000000000000001</v>
      </c>
      <c r="K69" s="651">
        <v>1.5662</v>
      </c>
    </row>
    <row r="70" spans="1:11">
      <c r="A70" s="654" t="s">
        <v>4623</v>
      </c>
      <c r="B70" s="654" t="s">
        <v>4115</v>
      </c>
      <c r="C70" s="655">
        <v>103874798</v>
      </c>
      <c r="D70" s="655">
        <v>97865718</v>
      </c>
      <c r="E70" s="655">
        <v>103874798</v>
      </c>
      <c r="F70" s="655">
        <v>97865718</v>
      </c>
      <c r="G70" s="655">
        <v>6009080</v>
      </c>
      <c r="H70" s="650">
        <v>0</v>
      </c>
      <c r="I70" s="651">
        <v>1.341</v>
      </c>
      <c r="J70" s="651">
        <v>0.1091</v>
      </c>
      <c r="K70" s="651">
        <v>1.4500999999999999</v>
      </c>
    </row>
    <row r="71" spans="1:11">
      <c r="A71" s="654" t="s">
        <v>4624</v>
      </c>
      <c r="B71" s="654" t="s">
        <v>4116</v>
      </c>
      <c r="C71" s="655">
        <v>43048667</v>
      </c>
      <c r="D71" s="655">
        <v>40774057</v>
      </c>
      <c r="E71" s="655">
        <v>43048667</v>
      </c>
      <c r="F71" s="655">
        <v>40774057</v>
      </c>
      <c r="G71" s="655">
        <v>2274610</v>
      </c>
      <c r="H71" s="650">
        <v>0</v>
      </c>
      <c r="I71" s="651">
        <v>1.46</v>
      </c>
      <c r="J71" s="651">
        <v>0</v>
      </c>
      <c r="K71" s="651">
        <v>1.46</v>
      </c>
    </row>
    <row r="72" spans="1:11">
      <c r="A72" s="654" t="s">
        <v>4625</v>
      </c>
      <c r="B72" s="654" t="s">
        <v>4117</v>
      </c>
      <c r="C72" s="655">
        <v>135335800</v>
      </c>
      <c r="D72" s="655">
        <v>128286059</v>
      </c>
      <c r="E72" s="655">
        <v>135335800</v>
      </c>
      <c r="F72" s="655">
        <v>128286059</v>
      </c>
      <c r="G72" s="655">
        <v>7049741</v>
      </c>
      <c r="H72" s="650">
        <v>0</v>
      </c>
      <c r="I72" s="651">
        <v>1.5</v>
      </c>
      <c r="J72" s="651">
        <v>0.17499999999999999</v>
      </c>
      <c r="K72" s="651">
        <v>1.675</v>
      </c>
    </row>
    <row r="73" spans="1:11">
      <c r="A73" s="654" t="s">
        <v>4626</v>
      </c>
      <c r="B73" s="654" t="s">
        <v>329</v>
      </c>
      <c r="C73" s="655">
        <v>42715574</v>
      </c>
      <c r="D73" s="655">
        <v>40592874</v>
      </c>
      <c r="E73" s="655">
        <v>42715574</v>
      </c>
      <c r="F73" s="655">
        <v>40592874</v>
      </c>
      <c r="G73" s="655">
        <v>2122700</v>
      </c>
      <c r="H73" s="650">
        <v>0</v>
      </c>
      <c r="I73" s="651">
        <v>1.1499999999999999</v>
      </c>
      <c r="J73" s="651">
        <v>0</v>
      </c>
      <c r="K73" s="651">
        <v>1.1499999999999999</v>
      </c>
    </row>
    <row r="74" spans="1:11">
      <c r="A74" s="654" t="s">
        <v>4627</v>
      </c>
      <c r="B74" s="654" t="s">
        <v>1663</v>
      </c>
      <c r="C74" s="655">
        <v>48790415</v>
      </c>
      <c r="D74" s="655">
        <v>46346574</v>
      </c>
      <c r="E74" s="655">
        <v>48790415</v>
      </c>
      <c r="F74" s="655">
        <v>46346574</v>
      </c>
      <c r="G74" s="655">
        <v>2443841</v>
      </c>
      <c r="H74" s="650">
        <v>0</v>
      </c>
      <c r="I74" s="651">
        <v>1.3459000000000001</v>
      </c>
      <c r="J74" s="651">
        <v>0.1414</v>
      </c>
      <c r="K74" s="651">
        <v>1.4873000000000001</v>
      </c>
    </row>
    <row r="75" spans="1:11">
      <c r="A75" s="654" t="s">
        <v>4628</v>
      </c>
      <c r="B75" s="654" t="s">
        <v>1664</v>
      </c>
      <c r="C75" s="655">
        <v>76383837</v>
      </c>
      <c r="D75" s="655">
        <v>71278346</v>
      </c>
      <c r="E75" s="655">
        <v>76383837</v>
      </c>
      <c r="F75" s="655">
        <v>71278346</v>
      </c>
      <c r="G75" s="655">
        <v>5105491</v>
      </c>
      <c r="H75" s="650">
        <v>0</v>
      </c>
      <c r="I75" s="651">
        <v>1.47</v>
      </c>
      <c r="J75" s="651">
        <v>0.03</v>
      </c>
      <c r="K75" s="651">
        <v>1.5</v>
      </c>
    </row>
    <row r="76" spans="1:11">
      <c r="A76" s="654" t="s">
        <v>4629</v>
      </c>
      <c r="B76" s="654" t="s">
        <v>885</v>
      </c>
      <c r="C76" s="655">
        <v>47330392</v>
      </c>
      <c r="D76" s="655">
        <v>45089601</v>
      </c>
      <c r="E76" s="655">
        <v>47330392</v>
      </c>
      <c r="F76" s="655">
        <v>45089601</v>
      </c>
      <c r="G76" s="655">
        <v>2240791</v>
      </c>
      <c r="H76" s="650">
        <v>0</v>
      </c>
      <c r="I76" s="651">
        <v>1.46</v>
      </c>
      <c r="J76" s="651">
        <v>0</v>
      </c>
      <c r="K76" s="651">
        <v>1.46</v>
      </c>
    </row>
    <row r="77" spans="1:11">
      <c r="A77" s="654" t="s">
        <v>4630</v>
      </c>
      <c r="B77" s="654" t="s">
        <v>996</v>
      </c>
      <c r="C77" s="655">
        <v>119809842</v>
      </c>
      <c r="D77" s="655">
        <v>108173147</v>
      </c>
      <c r="E77" s="655">
        <v>119809842</v>
      </c>
      <c r="F77" s="655">
        <v>108173147</v>
      </c>
      <c r="G77" s="655">
        <v>11636695</v>
      </c>
      <c r="H77" s="650">
        <v>0</v>
      </c>
      <c r="I77" s="651">
        <v>1.5</v>
      </c>
      <c r="J77" s="651">
        <v>2.1700000000000001E-2</v>
      </c>
      <c r="K77" s="651">
        <v>1.5217000000000001</v>
      </c>
    </row>
    <row r="78" spans="1:11">
      <c r="A78" s="654" t="s">
        <v>4631</v>
      </c>
      <c r="B78" s="654" t="s">
        <v>3850</v>
      </c>
      <c r="C78" s="655">
        <v>111858359</v>
      </c>
      <c r="D78" s="655">
        <v>100265150</v>
      </c>
      <c r="E78" s="655">
        <v>111858359</v>
      </c>
      <c r="F78" s="655">
        <v>100265150</v>
      </c>
      <c r="G78" s="655">
        <v>11593209</v>
      </c>
      <c r="H78" s="650">
        <v>0</v>
      </c>
      <c r="I78" s="651">
        <v>1.38</v>
      </c>
      <c r="J78" s="651">
        <v>0.16500000000000001</v>
      </c>
      <c r="K78" s="651">
        <v>1.5449999999999999</v>
      </c>
    </row>
    <row r="79" spans="1:11">
      <c r="A79" s="654" t="s">
        <v>4632</v>
      </c>
      <c r="B79" s="654" t="s">
        <v>6070</v>
      </c>
      <c r="C79" s="655">
        <v>43878024</v>
      </c>
      <c r="D79" s="655">
        <v>38356877</v>
      </c>
      <c r="E79" s="655">
        <v>43878024</v>
      </c>
      <c r="F79" s="655">
        <v>38356877</v>
      </c>
      <c r="G79" s="655">
        <v>5521147</v>
      </c>
      <c r="H79" s="650">
        <v>0</v>
      </c>
      <c r="I79" s="651">
        <v>1.3545</v>
      </c>
      <c r="J79" s="651">
        <v>4.0399999999999998E-2</v>
      </c>
      <c r="K79" s="651">
        <v>1.3949</v>
      </c>
    </row>
    <row r="80" spans="1:11">
      <c r="A80" s="654" t="s">
        <v>4633</v>
      </c>
      <c r="B80" s="654" t="s">
        <v>886</v>
      </c>
      <c r="C80" s="655">
        <v>237826467</v>
      </c>
      <c r="D80" s="655">
        <v>219350444</v>
      </c>
      <c r="E80" s="655">
        <v>237826467</v>
      </c>
      <c r="F80" s="655">
        <v>219350444</v>
      </c>
      <c r="G80" s="655">
        <v>18476023</v>
      </c>
      <c r="H80" s="650">
        <v>0</v>
      </c>
      <c r="I80" s="651">
        <v>1.4567000000000001</v>
      </c>
      <c r="J80" s="651">
        <v>7.4499999999999997E-2</v>
      </c>
      <c r="K80" s="651">
        <v>1.5311999999999999</v>
      </c>
    </row>
    <row r="81" spans="1:11">
      <c r="A81" s="654" t="s">
        <v>4634</v>
      </c>
      <c r="B81" s="654" t="s">
        <v>887</v>
      </c>
      <c r="C81" s="655">
        <v>136784686</v>
      </c>
      <c r="D81" s="655">
        <v>125284792</v>
      </c>
      <c r="E81" s="655">
        <v>136784686</v>
      </c>
      <c r="F81" s="655">
        <v>125284792</v>
      </c>
      <c r="G81" s="655">
        <v>11499894</v>
      </c>
      <c r="H81" s="650">
        <v>0</v>
      </c>
      <c r="I81" s="651">
        <v>1.3714999999999999</v>
      </c>
      <c r="J81" s="651">
        <v>0.1139</v>
      </c>
      <c r="K81" s="651">
        <v>1.4854000000000001</v>
      </c>
    </row>
    <row r="82" spans="1:11">
      <c r="A82" s="654" t="s">
        <v>4635</v>
      </c>
      <c r="B82" s="654" t="s">
        <v>888</v>
      </c>
      <c r="C82" s="655">
        <v>1440123490</v>
      </c>
      <c r="D82" s="655">
        <v>1384219242</v>
      </c>
      <c r="E82" s="655">
        <v>1440123490</v>
      </c>
      <c r="F82" s="655">
        <v>1384219242</v>
      </c>
      <c r="G82" s="655">
        <v>55904248</v>
      </c>
      <c r="H82" s="650">
        <v>0</v>
      </c>
      <c r="I82" s="651">
        <v>1.3346</v>
      </c>
      <c r="J82" s="651">
        <v>0.2016</v>
      </c>
      <c r="K82" s="651">
        <v>1.5362</v>
      </c>
    </row>
    <row r="83" spans="1:11">
      <c r="A83" s="654" t="s">
        <v>4636</v>
      </c>
      <c r="B83" s="654" t="s">
        <v>889</v>
      </c>
      <c r="C83" s="655">
        <v>392620092</v>
      </c>
      <c r="D83" s="655">
        <v>366340511</v>
      </c>
      <c r="E83" s="655">
        <v>392620092</v>
      </c>
      <c r="F83" s="655">
        <v>366340511</v>
      </c>
      <c r="G83" s="655">
        <v>26279581</v>
      </c>
      <c r="H83" s="650">
        <v>0</v>
      </c>
      <c r="I83" s="651">
        <v>1.3939999999999999</v>
      </c>
      <c r="J83" s="651">
        <v>0.13600000000000001</v>
      </c>
      <c r="K83" s="651">
        <v>1.53</v>
      </c>
    </row>
    <row r="84" spans="1:11">
      <c r="A84" s="654" t="s">
        <v>4637</v>
      </c>
      <c r="B84" s="654" t="s">
        <v>1467</v>
      </c>
      <c r="C84" s="655">
        <v>66027913</v>
      </c>
      <c r="D84" s="655">
        <v>58912695</v>
      </c>
      <c r="E84" s="655">
        <v>66027913</v>
      </c>
      <c r="F84" s="655">
        <v>58912695</v>
      </c>
      <c r="G84" s="655">
        <v>7115218</v>
      </c>
      <c r="H84" s="650">
        <v>0</v>
      </c>
      <c r="I84" s="651">
        <v>1.3229</v>
      </c>
      <c r="J84" s="651">
        <v>5.8500000000000003E-2</v>
      </c>
      <c r="K84" s="651">
        <v>1.3814</v>
      </c>
    </row>
    <row r="85" spans="1:11">
      <c r="A85" s="654" t="s">
        <v>4638</v>
      </c>
      <c r="B85" s="654" t="s">
        <v>6061</v>
      </c>
      <c r="C85" s="655">
        <v>12056076</v>
      </c>
      <c r="D85" s="655">
        <v>10355534</v>
      </c>
      <c r="E85" s="655">
        <v>12056076</v>
      </c>
      <c r="F85" s="655">
        <v>10355534</v>
      </c>
      <c r="G85" s="655">
        <v>1700542</v>
      </c>
      <c r="H85" s="650">
        <v>0</v>
      </c>
      <c r="I85" s="651">
        <v>1.39</v>
      </c>
      <c r="J85" s="651">
        <v>5.6000000000000001E-2</v>
      </c>
      <c r="K85" s="651">
        <v>1.446</v>
      </c>
    </row>
    <row r="86" spans="1:11">
      <c r="A86" s="654" t="s">
        <v>4639</v>
      </c>
      <c r="B86" s="654" t="s">
        <v>890</v>
      </c>
      <c r="C86" s="655">
        <v>111902465</v>
      </c>
      <c r="D86" s="655">
        <v>106238001</v>
      </c>
      <c r="E86" s="655">
        <v>111902465</v>
      </c>
      <c r="F86" s="655">
        <v>106238001</v>
      </c>
      <c r="G86" s="655">
        <v>5664464</v>
      </c>
      <c r="H86" s="650">
        <v>0</v>
      </c>
      <c r="I86" s="651">
        <v>0.96640000000000004</v>
      </c>
      <c r="J86" s="651">
        <v>0</v>
      </c>
      <c r="K86" s="651">
        <v>0.96640000000000004</v>
      </c>
    </row>
    <row r="87" spans="1:11">
      <c r="A87" s="654" t="s">
        <v>4640</v>
      </c>
      <c r="B87" s="654" t="s">
        <v>891</v>
      </c>
      <c r="C87" s="655">
        <v>615891289</v>
      </c>
      <c r="D87" s="655">
        <v>591317919</v>
      </c>
      <c r="E87" s="655">
        <v>615891289</v>
      </c>
      <c r="F87" s="655">
        <v>591317919</v>
      </c>
      <c r="G87" s="655">
        <v>24573370</v>
      </c>
      <c r="H87" s="650">
        <v>0</v>
      </c>
      <c r="I87" s="651">
        <v>1.3595999999999999</v>
      </c>
      <c r="J87" s="651">
        <v>0.21290000000000001</v>
      </c>
      <c r="K87" s="651">
        <v>1.5725</v>
      </c>
    </row>
    <row r="88" spans="1:11">
      <c r="A88" s="654" t="s">
        <v>4641</v>
      </c>
      <c r="B88" s="654" t="s">
        <v>3852</v>
      </c>
      <c r="C88" s="655">
        <v>12894356</v>
      </c>
      <c r="D88" s="655">
        <v>11352308</v>
      </c>
      <c r="E88" s="655">
        <v>12894356</v>
      </c>
      <c r="F88" s="655">
        <v>11352308</v>
      </c>
      <c r="G88" s="655">
        <v>1542048</v>
      </c>
      <c r="H88" s="650">
        <v>0</v>
      </c>
      <c r="I88" s="651">
        <v>1.46</v>
      </c>
      <c r="J88" s="651">
        <v>0</v>
      </c>
      <c r="K88" s="651">
        <v>1.46</v>
      </c>
    </row>
    <row r="89" spans="1:11">
      <c r="A89" s="654" t="s">
        <v>4642</v>
      </c>
      <c r="B89" s="654" t="s">
        <v>892</v>
      </c>
      <c r="C89" s="655">
        <v>22009698</v>
      </c>
      <c r="D89" s="655">
        <v>19726292</v>
      </c>
      <c r="E89" s="655">
        <v>22009698</v>
      </c>
      <c r="F89" s="655">
        <v>19726292</v>
      </c>
      <c r="G89" s="655">
        <v>2283406</v>
      </c>
      <c r="H89" s="650">
        <v>0</v>
      </c>
      <c r="I89" s="651">
        <v>1.41</v>
      </c>
      <c r="J89" s="651">
        <v>0</v>
      </c>
      <c r="K89" s="651">
        <v>1.41</v>
      </c>
    </row>
    <row r="90" spans="1:11">
      <c r="A90" s="654" t="s">
        <v>4643</v>
      </c>
      <c r="B90" s="654" t="s">
        <v>7679</v>
      </c>
      <c r="C90" s="655">
        <v>2261000927</v>
      </c>
      <c r="D90" s="655">
        <v>2135450664</v>
      </c>
      <c r="E90" s="655">
        <v>2261000927</v>
      </c>
      <c r="F90" s="655">
        <v>2135450664</v>
      </c>
      <c r="G90" s="655">
        <v>125550263</v>
      </c>
      <c r="H90" s="650">
        <v>0</v>
      </c>
      <c r="I90" s="651">
        <v>1.4412</v>
      </c>
      <c r="J90" s="651">
        <v>0.23480000000000001</v>
      </c>
      <c r="K90" s="651">
        <v>1.6759999999999999</v>
      </c>
    </row>
    <row r="91" spans="1:11">
      <c r="A91" s="654" t="s">
        <v>4644</v>
      </c>
      <c r="B91" s="654" t="s">
        <v>893</v>
      </c>
      <c r="C91" s="655">
        <v>2035557442</v>
      </c>
      <c r="D91" s="655">
        <v>1966295501</v>
      </c>
      <c r="E91" s="655">
        <v>2035557442</v>
      </c>
      <c r="F91" s="655">
        <v>1966295501</v>
      </c>
      <c r="G91" s="655">
        <v>69261941</v>
      </c>
      <c r="H91" s="650">
        <v>0</v>
      </c>
      <c r="I91" s="651">
        <v>1.4151</v>
      </c>
      <c r="J91" s="651">
        <v>0.19489999999999999</v>
      </c>
      <c r="K91" s="651">
        <v>1.61</v>
      </c>
    </row>
    <row r="92" spans="1:11">
      <c r="A92" s="654" t="s">
        <v>4645</v>
      </c>
      <c r="B92" s="654" t="s">
        <v>992</v>
      </c>
      <c r="C92" s="655">
        <v>123062965</v>
      </c>
      <c r="D92" s="655">
        <v>114760985</v>
      </c>
      <c r="E92" s="655">
        <v>123062965</v>
      </c>
      <c r="F92" s="655">
        <v>114760985</v>
      </c>
      <c r="G92" s="655">
        <v>8301980</v>
      </c>
      <c r="H92" s="650">
        <v>0</v>
      </c>
      <c r="I92" s="651">
        <v>1.4582999999999999</v>
      </c>
      <c r="J92" s="651">
        <v>0.1032</v>
      </c>
      <c r="K92" s="651">
        <v>1.5615000000000001</v>
      </c>
    </row>
    <row r="93" spans="1:11">
      <c r="A93" s="654" t="s">
        <v>4646</v>
      </c>
      <c r="B93" s="654" t="s">
        <v>1571</v>
      </c>
      <c r="C93" s="655">
        <v>6116342618</v>
      </c>
      <c r="D93" s="655">
        <v>5988469618</v>
      </c>
      <c r="E93" s="655">
        <v>6050788841</v>
      </c>
      <c r="F93" s="655">
        <v>5922915841</v>
      </c>
      <c r="G93" s="655">
        <v>127873000</v>
      </c>
      <c r="H93" s="655">
        <v>65553777</v>
      </c>
      <c r="I93" s="651">
        <v>1.3626</v>
      </c>
      <c r="J93" s="651">
        <v>0.16020000000000001</v>
      </c>
      <c r="K93" s="651">
        <v>1.5227999999999999</v>
      </c>
    </row>
    <row r="94" spans="1:11">
      <c r="A94" s="654" t="s">
        <v>4647</v>
      </c>
      <c r="B94" s="654" t="s">
        <v>1572</v>
      </c>
      <c r="C94" s="655">
        <v>1430430260</v>
      </c>
      <c r="D94" s="655">
        <v>1404262271</v>
      </c>
      <c r="E94" s="655">
        <v>1410937916</v>
      </c>
      <c r="F94" s="655">
        <v>1384769927</v>
      </c>
      <c r="G94" s="655">
        <v>26167989</v>
      </c>
      <c r="H94" s="655">
        <v>19492344</v>
      </c>
      <c r="I94" s="651">
        <v>1.5</v>
      </c>
      <c r="J94" s="651">
        <v>0.192</v>
      </c>
      <c r="K94" s="651">
        <v>1.6919999999999999</v>
      </c>
    </row>
    <row r="95" spans="1:11">
      <c r="A95" s="654" t="s">
        <v>4648</v>
      </c>
      <c r="B95" s="654" t="s">
        <v>2640</v>
      </c>
      <c r="C95" s="655">
        <v>629439025</v>
      </c>
      <c r="D95" s="655">
        <v>583431325</v>
      </c>
      <c r="E95" s="655">
        <v>610521872</v>
      </c>
      <c r="F95" s="655">
        <v>564514172</v>
      </c>
      <c r="G95" s="655">
        <v>46007700</v>
      </c>
      <c r="H95" s="655">
        <v>18917153</v>
      </c>
      <c r="I95" s="651">
        <v>1.4798</v>
      </c>
      <c r="J95" s="651">
        <v>0.39019999999999999</v>
      </c>
      <c r="K95" s="651">
        <v>1.87</v>
      </c>
    </row>
    <row r="96" spans="1:11">
      <c r="A96" s="654" t="s">
        <v>4649</v>
      </c>
      <c r="B96" s="654" t="s">
        <v>5293</v>
      </c>
      <c r="C96" s="655">
        <v>4253701588</v>
      </c>
      <c r="D96" s="655">
        <v>4051038109</v>
      </c>
      <c r="E96" s="655">
        <v>4253701588</v>
      </c>
      <c r="F96" s="655">
        <v>4051038109</v>
      </c>
      <c r="G96" s="655">
        <v>202663479</v>
      </c>
      <c r="H96" s="650">
        <v>0</v>
      </c>
      <c r="I96" s="651">
        <v>1.5</v>
      </c>
      <c r="J96" s="651">
        <v>0.29220000000000002</v>
      </c>
      <c r="K96" s="651">
        <v>1.7922</v>
      </c>
    </row>
    <row r="97" spans="1:11">
      <c r="A97" s="654" t="s">
        <v>4650</v>
      </c>
      <c r="B97" s="654" t="s">
        <v>1573</v>
      </c>
      <c r="C97" s="655">
        <v>34924334</v>
      </c>
      <c r="D97" s="655">
        <v>32306114</v>
      </c>
      <c r="E97" s="655">
        <v>34924334</v>
      </c>
      <c r="F97" s="655">
        <v>32306114</v>
      </c>
      <c r="G97" s="655">
        <v>2618220</v>
      </c>
      <c r="H97" s="650">
        <v>0</v>
      </c>
      <c r="I97" s="651">
        <v>1.42</v>
      </c>
      <c r="J97" s="651">
        <v>0</v>
      </c>
      <c r="K97" s="651">
        <v>1.42</v>
      </c>
    </row>
    <row r="98" spans="1:11">
      <c r="A98" s="654" t="s">
        <v>4651</v>
      </c>
      <c r="B98" s="654" t="s">
        <v>6119</v>
      </c>
      <c r="C98" s="655">
        <v>3622845975</v>
      </c>
      <c r="D98" s="655">
        <v>3535418654</v>
      </c>
      <c r="E98" s="655">
        <v>3622845975</v>
      </c>
      <c r="F98" s="655">
        <v>3535418654</v>
      </c>
      <c r="G98" s="655">
        <v>87427321</v>
      </c>
      <c r="H98" s="650">
        <v>0</v>
      </c>
      <c r="I98" s="651">
        <v>1.5</v>
      </c>
      <c r="J98" s="651">
        <v>0.27</v>
      </c>
      <c r="K98" s="651">
        <v>1.77</v>
      </c>
    </row>
    <row r="99" spans="1:11">
      <c r="A99" s="654" t="s">
        <v>4652</v>
      </c>
      <c r="B99" s="654" t="s">
        <v>2143</v>
      </c>
      <c r="C99" s="655">
        <v>3132294274</v>
      </c>
      <c r="D99" s="655">
        <v>3002050218</v>
      </c>
      <c r="E99" s="655">
        <v>3132294274</v>
      </c>
      <c r="F99" s="655">
        <v>3002050218</v>
      </c>
      <c r="G99" s="655">
        <v>130244056</v>
      </c>
      <c r="H99" s="650">
        <v>0</v>
      </c>
      <c r="I99" s="651">
        <v>1.5</v>
      </c>
      <c r="J99" s="651">
        <v>0.17</v>
      </c>
      <c r="K99" s="651">
        <v>1.67</v>
      </c>
    </row>
    <row r="100" spans="1:11">
      <c r="A100" s="654" t="s">
        <v>4653</v>
      </c>
      <c r="B100" s="654" t="s">
        <v>107</v>
      </c>
      <c r="C100" s="655">
        <v>52502035</v>
      </c>
      <c r="D100" s="655">
        <v>50817113</v>
      </c>
      <c r="E100" s="655">
        <v>52502035</v>
      </c>
      <c r="F100" s="655">
        <v>50817113</v>
      </c>
      <c r="G100" s="655">
        <v>1684922</v>
      </c>
      <c r="H100" s="650">
        <v>0</v>
      </c>
      <c r="I100" s="651">
        <v>1.2</v>
      </c>
      <c r="J100" s="651">
        <v>0</v>
      </c>
      <c r="K100" s="651">
        <v>1.2</v>
      </c>
    </row>
    <row r="101" spans="1:11">
      <c r="A101" s="654" t="s">
        <v>4654</v>
      </c>
      <c r="B101" s="654" t="s">
        <v>108</v>
      </c>
      <c r="C101" s="655">
        <v>306687103</v>
      </c>
      <c r="D101" s="655">
        <v>289316102</v>
      </c>
      <c r="E101" s="655">
        <v>299802913</v>
      </c>
      <c r="F101" s="655">
        <v>282431912</v>
      </c>
      <c r="G101" s="655">
        <v>17371001</v>
      </c>
      <c r="H101" s="655">
        <v>6884190</v>
      </c>
      <c r="I101" s="651">
        <v>1.5</v>
      </c>
      <c r="J101" s="651">
        <v>0.1</v>
      </c>
      <c r="K101" s="651">
        <v>1.6</v>
      </c>
    </row>
    <row r="102" spans="1:11">
      <c r="A102" s="654" t="s">
        <v>4655</v>
      </c>
      <c r="B102" s="654" t="s">
        <v>3792</v>
      </c>
      <c r="C102" s="655">
        <v>49732467</v>
      </c>
      <c r="D102" s="655">
        <v>48168879</v>
      </c>
      <c r="E102" s="655">
        <v>49732467</v>
      </c>
      <c r="F102" s="655">
        <v>48168879</v>
      </c>
      <c r="G102" s="655">
        <v>1563588</v>
      </c>
      <c r="H102" s="650">
        <v>0</v>
      </c>
      <c r="I102" s="651">
        <v>1.5</v>
      </c>
      <c r="J102" s="651">
        <v>0</v>
      </c>
      <c r="K102" s="651">
        <v>1.5</v>
      </c>
    </row>
    <row r="103" spans="1:11">
      <c r="A103" s="654" t="s">
        <v>4656</v>
      </c>
      <c r="B103" s="654" t="s">
        <v>3793</v>
      </c>
      <c r="C103" s="655">
        <v>7226292</v>
      </c>
      <c r="D103" s="655">
        <v>7205561</v>
      </c>
      <c r="E103" s="655">
        <v>7226292</v>
      </c>
      <c r="F103" s="655">
        <v>7205561</v>
      </c>
      <c r="G103" s="655">
        <v>20731</v>
      </c>
      <c r="H103" s="650">
        <v>0</v>
      </c>
      <c r="I103" s="651">
        <v>1.23</v>
      </c>
      <c r="J103" s="651">
        <v>0</v>
      </c>
      <c r="K103" s="651">
        <v>1.23</v>
      </c>
    </row>
    <row r="104" spans="1:11">
      <c r="A104" s="654" t="s">
        <v>4657</v>
      </c>
      <c r="B104" s="654" t="s">
        <v>3794</v>
      </c>
      <c r="C104" s="655">
        <v>48542930</v>
      </c>
      <c r="D104" s="655">
        <v>45651862</v>
      </c>
      <c r="E104" s="655">
        <v>48542930</v>
      </c>
      <c r="F104" s="655">
        <v>45651862</v>
      </c>
      <c r="G104" s="655">
        <v>2891068</v>
      </c>
      <c r="H104" s="650">
        <v>0</v>
      </c>
      <c r="I104" s="651">
        <v>1.34</v>
      </c>
      <c r="J104" s="651">
        <v>0</v>
      </c>
      <c r="K104" s="651">
        <v>1.34</v>
      </c>
    </row>
    <row r="105" spans="1:11">
      <c r="A105" s="654" t="s">
        <v>4658</v>
      </c>
      <c r="B105" s="654" t="s">
        <v>3795</v>
      </c>
      <c r="C105" s="655">
        <v>700071158</v>
      </c>
      <c r="D105" s="655">
        <v>686668208</v>
      </c>
      <c r="E105" s="655">
        <v>700071158</v>
      </c>
      <c r="F105" s="655">
        <v>686668208</v>
      </c>
      <c r="G105" s="655">
        <v>13402950</v>
      </c>
      <c r="H105" s="650">
        <v>0</v>
      </c>
      <c r="I105" s="651">
        <v>1.2307999999999999</v>
      </c>
      <c r="J105" s="651">
        <v>3.6299999999999999E-2</v>
      </c>
      <c r="K105" s="651">
        <v>1.2670999999999999</v>
      </c>
    </row>
    <row r="106" spans="1:11">
      <c r="A106" s="654" t="s">
        <v>4659</v>
      </c>
      <c r="B106" s="654" t="s">
        <v>3796</v>
      </c>
      <c r="C106" s="655">
        <v>156867502</v>
      </c>
      <c r="D106" s="655">
        <v>140790791</v>
      </c>
      <c r="E106" s="655">
        <v>156867502</v>
      </c>
      <c r="F106" s="655">
        <v>140790791</v>
      </c>
      <c r="G106" s="655">
        <v>16076711</v>
      </c>
      <c r="H106" s="650">
        <v>0</v>
      </c>
      <c r="I106" s="651">
        <v>1.4265000000000001</v>
      </c>
      <c r="J106" s="651">
        <v>0</v>
      </c>
      <c r="K106" s="651">
        <v>1.4265000000000001</v>
      </c>
    </row>
    <row r="107" spans="1:11">
      <c r="A107" s="654" t="s">
        <v>4660</v>
      </c>
      <c r="B107" s="654" t="s">
        <v>3797</v>
      </c>
      <c r="C107" s="655">
        <v>823932167</v>
      </c>
      <c r="D107" s="655">
        <v>781209422</v>
      </c>
      <c r="E107" s="655">
        <v>823932167</v>
      </c>
      <c r="F107" s="655">
        <v>781209422</v>
      </c>
      <c r="G107" s="655">
        <v>42722745</v>
      </c>
      <c r="H107" s="650">
        <v>0</v>
      </c>
      <c r="I107" s="651">
        <v>1.49</v>
      </c>
      <c r="J107" s="651">
        <v>0.1145</v>
      </c>
      <c r="K107" s="651">
        <v>1.6045</v>
      </c>
    </row>
    <row r="108" spans="1:11">
      <c r="A108" s="654" t="s">
        <v>4661</v>
      </c>
      <c r="B108" s="654" t="s">
        <v>7659</v>
      </c>
      <c r="C108" s="655">
        <v>29003727</v>
      </c>
      <c r="D108" s="655">
        <v>26149660</v>
      </c>
      <c r="E108" s="655">
        <v>29003727</v>
      </c>
      <c r="F108" s="655">
        <v>26149660</v>
      </c>
      <c r="G108" s="655">
        <v>2854067</v>
      </c>
      <c r="H108" s="650">
        <v>0</v>
      </c>
      <c r="I108" s="651">
        <v>1.5</v>
      </c>
      <c r="J108" s="651">
        <v>7.0000000000000007E-2</v>
      </c>
      <c r="K108" s="651">
        <v>1.57</v>
      </c>
    </row>
    <row r="109" spans="1:11">
      <c r="A109" s="654" t="s">
        <v>4662</v>
      </c>
      <c r="B109" s="654" t="s">
        <v>6071</v>
      </c>
      <c r="C109" s="655">
        <v>82029112</v>
      </c>
      <c r="D109" s="655">
        <v>76201430</v>
      </c>
      <c r="E109" s="655">
        <v>82029112</v>
      </c>
      <c r="F109" s="655">
        <v>76201430</v>
      </c>
      <c r="G109" s="655">
        <v>5827682</v>
      </c>
      <c r="H109" s="650">
        <v>0</v>
      </c>
      <c r="I109" s="651">
        <v>1.325</v>
      </c>
      <c r="J109" s="651">
        <v>0.12959999999999999</v>
      </c>
      <c r="K109" s="651">
        <v>1.4545999999999999</v>
      </c>
    </row>
    <row r="110" spans="1:11">
      <c r="A110" s="654" t="s">
        <v>4663</v>
      </c>
      <c r="B110" s="654" t="s">
        <v>2011</v>
      </c>
      <c r="C110" s="655">
        <v>25635313</v>
      </c>
      <c r="D110" s="655">
        <v>23713048</v>
      </c>
      <c r="E110" s="655">
        <v>25635313</v>
      </c>
      <c r="F110" s="655">
        <v>23713048</v>
      </c>
      <c r="G110" s="655">
        <v>1922265</v>
      </c>
      <c r="H110" s="650">
        <v>0</v>
      </c>
      <c r="I110" s="651">
        <v>1.375</v>
      </c>
      <c r="J110" s="651">
        <v>3.5000000000000003E-2</v>
      </c>
      <c r="K110" s="651">
        <v>1.41</v>
      </c>
    </row>
    <row r="111" spans="1:11">
      <c r="A111" s="654" t="s">
        <v>4664</v>
      </c>
      <c r="B111" s="654" t="s">
        <v>2141</v>
      </c>
      <c r="C111" s="655">
        <v>35380267</v>
      </c>
      <c r="D111" s="655">
        <v>33052826</v>
      </c>
      <c r="E111" s="655">
        <v>35380267</v>
      </c>
      <c r="F111" s="655">
        <v>33052826</v>
      </c>
      <c r="G111" s="655">
        <v>2327441</v>
      </c>
      <c r="H111" s="650">
        <v>0</v>
      </c>
      <c r="I111" s="651">
        <v>1.5</v>
      </c>
      <c r="J111" s="651">
        <v>0.1226</v>
      </c>
      <c r="K111" s="651">
        <v>1.6226</v>
      </c>
    </row>
    <row r="112" spans="1:11">
      <c r="A112" s="654" t="s">
        <v>4665</v>
      </c>
      <c r="B112" s="654" t="s">
        <v>3012</v>
      </c>
      <c r="C112" s="655">
        <v>152788537</v>
      </c>
      <c r="D112" s="655">
        <v>139781106</v>
      </c>
      <c r="E112" s="655">
        <v>152788537</v>
      </c>
      <c r="F112" s="655">
        <v>139781106</v>
      </c>
      <c r="G112" s="655">
        <v>13007431</v>
      </c>
      <c r="H112" s="650">
        <v>0</v>
      </c>
      <c r="I112" s="651">
        <v>1.4590000000000001</v>
      </c>
      <c r="J112" s="651">
        <v>7.6999999999999999E-2</v>
      </c>
      <c r="K112" s="651">
        <v>1.536</v>
      </c>
    </row>
    <row r="113" spans="1:11">
      <c r="A113" s="654" t="s">
        <v>4666</v>
      </c>
      <c r="B113" s="654" t="s">
        <v>3798</v>
      </c>
      <c r="C113" s="655">
        <v>427670131</v>
      </c>
      <c r="D113" s="655">
        <v>405102901</v>
      </c>
      <c r="E113" s="655">
        <v>427670131</v>
      </c>
      <c r="F113" s="655">
        <v>405102901</v>
      </c>
      <c r="G113" s="655">
        <v>22567230</v>
      </c>
      <c r="H113" s="650">
        <v>0</v>
      </c>
      <c r="I113" s="651">
        <v>1.4876</v>
      </c>
      <c r="J113" s="651">
        <v>0.10315000000000001</v>
      </c>
      <c r="K113" s="651">
        <v>1.5907500000000001</v>
      </c>
    </row>
    <row r="114" spans="1:11">
      <c r="A114" s="654" t="s">
        <v>4667</v>
      </c>
      <c r="B114" s="654" t="s">
        <v>3799</v>
      </c>
      <c r="C114" s="655">
        <v>149309398</v>
      </c>
      <c r="D114" s="655">
        <v>138199168</v>
      </c>
      <c r="E114" s="655">
        <v>149309398</v>
      </c>
      <c r="F114" s="655">
        <v>138199168</v>
      </c>
      <c r="G114" s="655">
        <v>11110230</v>
      </c>
      <c r="H114" s="650">
        <v>0</v>
      </c>
      <c r="I114" s="651">
        <v>1.5</v>
      </c>
      <c r="J114" s="651">
        <v>8.4449999999999997E-2</v>
      </c>
      <c r="K114" s="651">
        <v>1.5844499999999999</v>
      </c>
    </row>
    <row r="115" spans="1:11">
      <c r="A115" s="654" t="s">
        <v>4668</v>
      </c>
      <c r="B115" s="654" t="s">
        <v>3800</v>
      </c>
      <c r="C115" s="655">
        <v>115083282</v>
      </c>
      <c r="D115" s="655">
        <v>108449297</v>
      </c>
      <c r="E115" s="655">
        <v>115083282</v>
      </c>
      <c r="F115" s="655">
        <v>108449297</v>
      </c>
      <c r="G115" s="655">
        <v>6633985</v>
      </c>
      <c r="H115" s="650">
        <v>0</v>
      </c>
      <c r="I115" s="651">
        <v>1.5</v>
      </c>
      <c r="J115" s="651">
        <v>0</v>
      </c>
      <c r="K115" s="651">
        <v>1.5</v>
      </c>
    </row>
    <row r="116" spans="1:11">
      <c r="A116" s="654" t="s">
        <v>4669</v>
      </c>
      <c r="B116" s="654" t="s">
        <v>4670</v>
      </c>
      <c r="C116" s="655">
        <v>1015475243</v>
      </c>
      <c r="D116" s="655">
        <v>963888817</v>
      </c>
      <c r="E116" s="655">
        <v>1015475243</v>
      </c>
      <c r="F116" s="655">
        <v>963888817</v>
      </c>
      <c r="G116" s="655">
        <v>51586426</v>
      </c>
      <c r="H116" s="650">
        <v>0</v>
      </c>
      <c r="I116" s="651">
        <v>1.4550000000000001</v>
      </c>
      <c r="J116" s="651">
        <v>0.29499999999999998</v>
      </c>
      <c r="K116" s="651">
        <v>1.75</v>
      </c>
    </row>
    <row r="117" spans="1:11">
      <c r="A117" s="654" t="s">
        <v>4671</v>
      </c>
      <c r="B117" s="654" t="s">
        <v>6063</v>
      </c>
      <c r="C117" s="655">
        <v>1664719565</v>
      </c>
      <c r="D117" s="655">
        <v>1612806474</v>
      </c>
      <c r="E117" s="655">
        <v>1664719565</v>
      </c>
      <c r="F117" s="655">
        <v>1612806474</v>
      </c>
      <c r="G117" s="655">
        <v>51913091</v>
      </c>
      <c r="H117" s="650">
        <v>0</v>
      </c>
      <c r="I117" s="651">
        <v>1.49</v>
      </c>
      <c r="J117" s="651">
        <v>0.16500000000000001</v>
      </c>
      <c r="K117" s="651">
        <v>1.655</v>
      </c>
    </row>
    <row r="118" spans="1:11">
      <c r="A118" s="654" t="s">
        <v>4672</v>
      </c>
      <c r="B118" s="654" t="s">
        <v>196</v>
      </c>
      <c r="C118" s="655">
        <v>705984235</v>
      </c>
      <c r="D118" s="655">
        <v>662746719</v>
      </c>
      <c r="E118" s="655">
        <v>705984235</v>
      </c>
      <c r="F118" s="655">
        <v>662746719</v>
      </c>
      <c r="G118" s="655">
        <v>43237516</v>
      </c>
      <c r="H118" s="650">
        <v>0</v>
      </c>
      <c r="I118" s="651">
        <v>1.3859999999999999</v>
      </c>
      <c r="J118" s="651">
        <v>0.20269999999999999</v>
      </c>
      <c r="K118" s="651">
        <v>1.5887</v>
      </c>
    </row>
    <row r="119" spans="1:11">
      <c r="A119" s="654" t="s">
        <v>4673</v>
      </c>
      <c r="B119" s="654" t="s">
        <v>6056</v>
      </c>
      <c r="C119" s="655">
        <v>221965205</v>
      </c>
      <c r="D119" s="655">
        <v>208409544</v>
      </c>
      <c r="E119" s="655">
        <v>221965205</v>
      </c>
      <c r="F119" s="655">
        <v>208409544</v>
      </c>
      <c r="G119" s="655">
        <v>13555661</v>
      </c>
      <c r="H119" s="650">
        <v>0</v>
      </c>
      <c r="I119" s="651">
        <v>1.2549999999999999</v>
      </c>
      <c r="J119" s="651">
        <v>0.05</v>
      </c>
      <c r="K119" s="651">
        <v>1.3049999999999999</v>
      </c>
    </row>
    <row r="120" spans="1:11">
      <c r="A120" s="654" t="s">
        <v>4674</v>
      </c>
      <c r="B120" s="654" t="s">
        <v>3801</v>
      </c>
      <c r="C120" s="655">
        <v>51773863</v>
      </c>
      <c r="D120" s="655">
        <v>49301006</v>
      </c>
      <c r="E120" s="655">
        <v>51773863</v>
      </c>
      <c r="F120" s="655">
        <v>49301006</v>
      </c>
      <c r="G120" s="655">
        <v>2472857</v>
      </c>
      <c r="H120" s="650">
        <v>0</v>
      </c>
      <c r="I120" s="651">
        <v>1.4148000000000001</v>
      </c>
      <c r="J120" s="651">
        <v>0</v>
      </c>
      <c r="K120" s="651">
        <v>1.4148000000000001</v>
      </c>
    </row>
    <row r="121" spans="1:11">
      <c r="A121" s="654" t="s">
        <v>4675</v>
      </c>
      <c r="B121" s="654" t="s">
        <v>4676</v>
      </c>
      <c r="C121" s="655">
        <v>3576308991</v>
      </c>
      <c r="D121" s="655">
        <v>3529986018</v>
      </c>
      <c r="E121" s="655">
        <v>3547137645</v>
      </c>
      <c r="F121" s="655">
        <v>3500814672</v>
      </c>
      <c r="G121" s="655">
        <v>46322973</v>
      </c>
      <c r="H121" s="655">
        <v>29171346</v>
      </c>
      <c r="I121" s="651">
        <v>1.3855</v>
      </c>
      <c r="J121" s="651">
        <v>3.2099999999999997E-2</v>
      </c>
      <c r="K121" s="651">
        <v>1.4176</v>
      </c>
    </row>
    <row r="122" spans="1:11">
      <c r="A122" s="654" t="s">
        <v>4677</v>
      </c>
      <c r="B122" s="654" t="s">
        <v>3803</v>
      </c>
      <c r="C122" s="655">
        <v>68425612</v>
      </c>
      <c r="D122" s="655">
        <v>61360702</v>
      </c>
      <c r="E122" s="655">
        <v>68425612</v>
      </c>
      <c r="F122" s="655">
        <v>61360702</v>
      </c>
      <c r="G122" s="655">
        <v>7064910</v>
      </c>
      <c r="H122" s="650">
        <v>0</v>
      </c>
      <c r="I122" s="651">
        <v>1.2209000000000001</v>
      </c>
      <c r="J122" s="651">
        <v>7.3499999999999996E-2</v>
      </c>
      <c r="K122" s="651">
        <v>1.2944</v>
      </c>
    </row>
    <row r="123" spans="1:11">
      <c r="A123" s="654" t="s">
        <v>4678</v>
      </c>
      <c r="B123" s="654" t="s">
        <v>4679</v>
      </c>
      <c r="C123" s="655">
        <v>174828156</v>
      </c>
      <c r="D123" s="655">
        <v>154855726</v>
      </c>
      <c r="E123" s="655">
        <v>174828156</v>
      </c>
      <c r="F123" s="655">
        <v>154855726</v>
      </c>
      <c r="G123" s="655">
        <v>19972430</v>
      </c>
      <c r="H123" s="650">
        <v>0</v>
      </c>
      <c r="I123" s="651">
        <v>1.5</v>
      </c>
      <c r="J123" s="651">
        <v>0.12470000000000001</v>
      </c>
      <c r="K123" s="651">
        <v>1.6247</v>
      </c>
    </row>
    <row r="124" spans="1:11">
      <c r="A124" s="654" t="s">
        <v>4680</v>
      </c>
      <c r="B124" s="654" t="s">
        <v>3804</v>
      </c>
      <c r="C124" s="655">
        <v>78845999</v>
      </c>
      <c r="D124" s="655">
        <v>71954079</v>
      </c>
      <c r="E124" s="655">
        <v>78845999</v>
      </c>
      <c r="F124" s="655">
        <v>71954079</v>
      </c>
      <c r="G124" s="655">
        <v>6891920</v>
      </c>
      <c r="H124" s="650">
        <v>0</v>
      </c>
      <c r="I124" s="651">
        <v>1.31</v>
      </c>
      <c r="J124" s="651">
        <v>0</v>
      </c>
      <c r="K124" s="651">
        <v>1.31</v>
      </c>
    </row>
    <row r="125" spans="1:11">
      <c r="A125" s="654" t="s">
        <v>4681</v>
      </c>
      <c r="B125" s="654" t="s">
        <v>3805</v>
      </c>
      <c r="C125" s="655">
        <v>122001665</v>
      </c>
      <c r="D125" s="655">
        <v>116061130</v>
      </c>
      <c r="E125" s="655">
        <v>122001665</v>
      </c>
      <c r="F125" s="655">
        <v>116061130</v>
      </c>
      <c r="G125" s="655">
        <v>5940535</v>
      </c>
      <c r="H125" s="650">
        <v>0</v>
      </c>
      <c r="I125" s="651">
        <v>1.4524999999999999</v>
      </c>
      <c r="J125" s="651">
        <v>0.22750000000000001</v>
      </c>
      <c r="K125" s="651">
        <v>1.68</v>
      </c>
    </row>
    <row r="126" spans="1:11">
      <c r="A126" s="654" t="s">
        <v>4682</v>
      </c>
      <c r="B126" s="654" t="s">
        <v>2142</v>
      </c>
      <c r="C126" s="655">
        <v>3853733045</v>
      </c>
      <c r="D126" s="655">
        <v>3646446868</v>
      </c>
      <c r="E126" s="655">
        <v>3853733045</v>
      </c>
      <c r="F126" s="655">
        <v>3646446868</v>
      </c>
      <c r="G126" s="655">
        <v>207286177</v>
      </c>
      <c r="H126" s="650">
        <v>0</v>
      </c>
      <c r="I126" s="651">
        <v>1.4719</v>
      </c>
      <c r="J126" s="651">
        <v>1.37E-2</v>
      </c>
      <c r="K126" s="651">
        <v>1.4856</v>
      </c>
    </row>
    <row r="127" spans="1:11">
      <c r="A127" s="654" t="s">
        <v>4683</v>
      </c>
      <c r="B127" s="654" t="s">
        <v>4684</v>
      </c>
      <c r="C127" s="655">
        <v>2452619362</v>
      </c>
      <c r="D127" s="655">
        <v>2327408789</v>
      </c>
      <c r="E127" s="655">
        <v>2452619362</v>
      </c>
      <c r="F127" s="655">
        <v>2327408789</v>
      </c>
      <c r="G127" s="655">
        <v>125210573</v>
      </c>
      <c r="H127" s="650">
        <v>0</v>
      </c>
      <c r="I127" s="651">
        <v>1.4550000000000001</v>
      </c>
      <c r="J127" s="651">
        <v>9.5000000000000001E-2</v>
      </c>
      <c r="K127" s="651">
        <v>1.55</v>
      </c>
    </row>
    <row r="128" spans="1:11">
      <c r="A128" s="654" t="s">
        <v>4685</v>
      </c>
      <c r="B128" s="654" t="s">
        <v>2152</v>
      </c>
      <c r="C128" s="655">
        <v>228516926</v>
      </c>
      <c r="D128" s="655">
        <v>207711407</v>
      </c>
      <c r="E128" s="655">
        <v>228516926</v>
      </c>
      <c r="F128" s="655">
        <v>207711407</v>
      </c>
      <c r="G128" s="655">
        <v>20805519</v>
      </c>
      <c r="H128" s="650">
        <v>0</v>
      </c>
      <c r="I128" s="651">
        <v>1.454</v>
      </c>
      <c r="J128" s="651">
        <v>0.09</v>
      </c>
      <c r="K128" s="651">
        <v>1.544</v>
      </c>
    </row>
    <row r="129" spans="1:11">
      <c r="A129" s="654" t="s">
        <v>4686</v>
      </c>
      <c r="B129" s="654" t="s">
        <v>4687</v>
      </c>
      <c r="C129" s="655">
        <v>747191743</v>
      </c>
      <c r="D129" s="655">
        <v>702664807</v>
      </c>
      <c r="E129" s="655">
        <v>747191743</v>
      </c>
      <c r="F129" s="655">
        <v>702664807</v>
      </c>
      <c r="G129" s="655">
        <v>44526936</v>
      </c>
      <c r="H129" s="650">
        <v>0</v>
      </c>
      <c r="I129" s="651">
        <v>1.454</v>
      </c>
      <c r="J129" s="651">
        <v>0.122</v>
      </c>
      <c r="K129" s="651">
        <v>1.5760000000000001</v>
      </c>
    </row>
    <row r="130" spans="1:11">
      <c r="A130" s="654" t="s">
        <v>4688</v>
      </c>
      <c r="B130" s="654" t="s">
        <v>3806</v>
      </c>
      <c r="C130" s="655">
        <v>1990460186</v>
      </c>
      <c r="D130" s="655">
        <v>1968519718</v>
      </c>
      <c r="E130" s="655">
        <v>1990460186</v>
      </c>
      <c r="F130" s="655">
        <v>1968519718</v>
      </c>
      <c r="G130" s="655">
        <v>21940468</v>
      </c>
      <c r="H130" s="650">
        <v>0</v>
      </c>
      <c r="I130" s="651">
        <v>1.2871600000000001</v>
      </c>
      <c r="J130" s="651">
        <v>6.8963999999999998E-2</v>
      </c>
      <c r="K130" s="651">
        <v>1.35612</v>
      </c>
    </row>
    <row r="131" spans="1:11">
      <c r="A131" s="654" t="s">
        <v>4689</v>
      </c>
      <c r="B131" s="654" t="s">
        <v>361</v>
      </c>
      <c r="C131" s="655">
        <v>160201439</v>
      </c>
      <c r="D131" s="655">
        <v>146974261</v>
      </c>
      <c r="E131" s="655">
        <v>160201439</v>
      </c>
      <c r="F131" s="655">
        <v>146974261</v>
      </c>
      <c r="G131" s="655">
        <v>13227178</v>
      </c>
      <c r="H131" s="650">
        <v>0</v>
      </c>
      <c r="I131" s="651">
        <v>1.46</v>
      </c>
      <c r="J131" s="651">
        <v>0.23810000000000001</v>
      </c>
      <c r="K131" s="651">
        <v>1.6980999999999999</v>
      </c>
    </row>
    <row r="132" spans="1:11">
      <c r="A132" s="654" t="s">
        <v>4690</v>
      </c>
      <c r="B132" s="654" t="s">
        <v>4691</v>
      </c>
      <c r="C132" s="655">
        <v>626431984</v>
      </c>
      <c r="D132" s="655">
        <v>570514609</v>
      </c>
      <c r="E132" s="655">
        <v>626431984</v>
      </c>
      <c r="F132" s="655">
        <v>570514609</v>
      </c>
      <c r="G132" s="655">
        <v>55917375</v>
      </c>
      <c r="H132" s="650">
        <v>0</v>
      </c>
      <c r="I132" s="651">
        <v>1.42543</v>
      </c>
      <c r="J132" s="651">
        <v>0.14399999999999999</v>
      </c>
      <c r="K132" s="651">
        <v>1.5694300000000001</v>
      </c>
    </row>
    <row r="133" spans="1:11">
      <c r="A133" s="654" t="s">
        <v>4692</v>
      </c>
      <c r="B133" s="654" t="s">
        <v>1459</v>
      </c>
      <c r="C133" s="655">
        <v>30822442</v>
      </c>
      <c r="D133" s="655">
        <v>27970114</v>
      </c>
      <c r="E133" s="655">
        <v>30822442</v>
      </c>
      <c r="F133" s="655">
        <v>27970114</v>
      </c>
      <c r="G133" s="655">
        <v>2852328</v>
      </c>
      <c r="H133" s="650">
        <v>0</v>
      </c>
      <c r="I133" s="651">
        <v>1.5</v>
      </c>
      <c r="J133" s="651">
        <v>0.1966</v>
      </c>
      <c r="K133" s="651">
        <v>1.6966000000000001</v>
      </c>
    </row>
    <row r="134" spans="1:11">
      <c r="A134" s="654" t="s">
        <v>4693</v>
      </c>
      <c r="B134" s="654" t="s">
        <v>1460</v>
      </c>
      <c r="C134" s="655">
        <v>53580839</v>
      </c>
      <c r="D134" s="655">
        <v>47324036</v>
      </c>
      <c r="E134" s="655">
        <v>53580839</v>
      </c>
      <c r="F134" s="655">
        <v>47324036</v>
      </c>
      <c r="G134" s="655">
        <v>6256803</v>
      </c>
      <c r="H134" s="650">
        <v>0</v>
      </c>
      <c r="I134" s="651">
        <v>1.46</v>
      </c>
      <c r="J134" s="651">
        <v>0.16</v>
      </c>
      <c r="K134" s="651">
        <v>1.62</v>
      </c>
    </row>
    <row r="135" spans="1:11">
      <c r="A135" s="654" t="s">
        <v>4694</v>
      </c>
      <c r="B135" s="654" t="s">
        <v>3807</v>
      </c>
      <c r="C135" s="655">
        <v>488821052</v>
      </c>
      <c r="D135" s="655">
        <v>460789396</v>
      </c>
      <c r="E135" s="655">
        <v>488821052</v>
      </c>
      <c r="F135" s="655">
        <v>460789396</v>
      </c>
      <c r="G135" s="655">
        <v>28031656</v>
      </c>
      <c r="H135" s="650">
        <v>0</v>
      </c>
      <c r="I135" s="651">
        <v>1.3694</v>
      </c>
      <c r="J135" s="651">
        <v>7.0604E-2</v>
      </c>
      <c r="K135" s="651">
        <v>1.44</v>
      </c>
    </row>
    <row r="136" spans="1:11">
      <c r="A136" s="654" t="s">
        <v>4695</v>
      </c>
      <c r="B136" s="654" t="s">
        <v>3808</v>
      </c>
      <c r="C136" s="655">
        <v>56762833</v>
      </c>
      <c r="D136" s="655">
        <v>54405153</v>
      </c>
      <c r="E136" s="655">
        <v>56762833</v>
      </c>
      <c r="F136" s="655">
        <v>54405153</v>
      </c>
      <c r="G136" s="655">
        <v>2357680</v>
      </c>
      <c r="H136" s="650">
        <v>0</v>
      </c>
      <c r="I136" s="651">
        <v>1.5</v>
      </c>
      <c r="J136" s="651">
        <v>0.1</v>
      </c>
      <c r="K136" s="651">
        <v>1.6</v>
      </c>
    </row>
    <row r="137" spans="1:11">
      <c r="A137" s="654" t="s">
        <v>4696</v>
      </c>
      <c r="B137" s="654" t="s">
        <v>3809</v>
      </c>
      <c r="C137" s="655">
        <v>301530797</v>
      </c>
      <c r="D137" s="655">
        <v>292165187</v>
      </c>
      <c r="E137" s="655">
        <v>295355512</v>
      </c>
      <c r="F137" s="655">
        <v>285989902</v>
      </c>
      <c r="G137" s="655">
        <v>9365610</v>
      </c>
      <c r="H137" s="655">
        <v>6175285</v>
      </c>
      <c r="I137" s="651">
        <v>1.5</v>
      </c>
      <c r="J137" s="651">
        <v>0</v>
      </c>
      <c r="K137" s="651">
        <v>1.5</v>
      </c>
    </row>
    <row r="138" spans="1:11">
      <c r="A138" s="654" t="s">
        <v>4697</v>
      </c>
      <c r="B138" s="654" t="s">
        <v>6208</v>
      </c>
      <c r="C138" s="655">
        <v>302229059</v>
      </c>
      <c r="D138" s="655">
        <v>297341359</v>
      </c>
      <c r="E138" s="655">
        <v>300177194</v>
      </c>
      <c r="F138" s="655">
        <v>295289494</v>
      </c>
      <c r="G138" s="655">
        <v>4887700</v>
      </c>
      <c r="H138" s="655">
        <v>2051865</v>
      </c>
      <c r="I138" s="651">
        <v>1.5</v>
      </c>
      <c r="J138" s="651">
        <v>0</v>
      </c>
      <c r="K138" s="651">
        <v>1.5</v>
      </c>
    </row>
    <row r="139" spans="1:11">
      <c r="A139" s="654" t="s">
        <v>4698</v>
      </c>
      <c r="B139" s="654" t="s">
        <v>6209</v>
      </c>
      <c r="C139" s="655">
        <v>329942768</v>
      </c>
      <c r="D139" s="655">
        <v>301632478</v>
      </c>
      <c r="E139" s="655">
        <v>329942768</v>
      </c>
      <c r="F139" s="655">
        <v>301632478</v>
      </c>
      <c r="G139" s="655">
        <v>28310290</v>
      </c>
      <c r="H139" s="650">
        <v>0</v>
      </c>
      <c r="I139" s="651">
        <v>1.476</v>
      </c>
      <c r="J139" s="651">
        <v>5.1999999999999998E-2</v>
      </c>
      <c r="K139" s="651">
        <v>1.528</v>
      </c>
    </row>
    <row r="140" spans="1:11">
      <c r="A140" s="654" t="s">
        <v>4699</v>
      </c>
      <c r="B140" s="654" t="s">
        <v>6210</v>
      </c>
      <c r="C140" s="655">
        <v>35680770</v>
      </c>
      <c r="D140" s="655">
        <v>32373820</v>
      </c>
      <c r="E140" s="655">
        <v>35680770</v>
      </c>
      <c r="F140" s="655">
        <v>32373820</v>
      </c>
      <c r="G140" s="655">
        <v>3306950</v>
      </c>
      <c r="H140" s="650">
        <v>0</v>
      </c>
      <c r="I140" s="651">
        <v>1.5</v>
      </c>
      <c r="J140" s="651">
        <v>0</v>
      </c>
      <c r="K140" s="651">
        <v>1.5</v>
      </c>
    </row>
    <row r="141" spans="1:11">
      <c r="A141" s="654" t="s">
        <v>4700</v>
      </c>
      <c r="B141" s="654" t="s">
        <v>6211</v>
      </c>
      <c r="C141" s="655">
        <v>167348024</v>
      </c>
      <c r="D141" s="655">
        <v>155311974</v>
      </c>
      <c r="E141" s="655">
        <v>167348024</v>
      </c>
      <c r="F141" s="655">
        <v>155311974</v>
      </c>
      <c r="G141" s="655">
        <v>12036050</v>
      </c>
      <c r="H141" s="650">
        <v>0</v>
      </c>
      <c r="I141" s="651">
        <v>1.47</v>
      </c>
      <c r="J141" s="651">
        <v>8.7803999999999993E-2</v>
      </c>
      <c r="K141" s="651">
        <v>1.5578000000000001</v>
      </c>
    </row>
    <row r="142" spans="1:11">
      <c r="A142" s="654" t="s">
        <v>4701</v>
      </c>
      <c r="B142" s="654" t="s">
        <v>4702</v>
      </c>
      <c r="C142" s="655">
        <v>150325550</v>
      </c>
      <c r="D142" s="655">
        <v>134243880</v>
      </c>
      <c r="E142" s="655">
        <v>143504490</v>
      </c>
      <c r="F142" s="655">
        <v>127422820</v>
      </c>
      <c r="G142" s="655">
        <v>16081670</v>
      </c>
      <c r="H142" s="655">
        <v>6821060</v>
      </c>
      <c r="I142" s="651">
        <v>1.48</v>
      </c>
      <c r="J142" s="651">
        <v>0</v>
      </c>
      <c r="K142" s="651">
        <v>1.48</v>
      </c>
    </row>
    <row r="143" spans="1:11">
      <c r="A143" s="654" t="s">
        <v>4703</v>
      </c>
      <c r="B143" s="654" t="s">
        <v>6077</v>
      </c>
      <c r="C143" s="655">
        <v>19128901</v>
      </c>
      <c r="D143" s="655">
        <v>16968971</v>
      </c>
      <c r="E143" s="655">
        <v>19128901</v>
      </c>
      <c r="F143" s="655">
        <v>16968971</v>
      </c>
      <c r="G143" s="655">
        <v>2159930</v>
      </c>
      <c r="H143" s="650">
        <v>0</v>
      </c>
      <c r="I143" s="651">
        <v>1.3955500000000001</v>
      </c>
      <c r="J143" s="651">
        <v>0</v>
      </c>
      <c r="K143" s="651">
        <v>1.3955500000000001</v>
      </c>
    </row>
    <row r="144" spans="1:11">
      <c r="A144" s="654" t="s">
        <v>4704</v>
      </c>
      <c r="B144" s="654" t="s">
        <v>3814</v>
      </c>
      <c r="C144" s="655">
        <v>325902853</v>
      </c>
      <c r="D144" s="655">
        <v>312081683</v>
      </c>
      <c r="E144" s="655">
        <v>319389618</v>
      </c>
      <c r="F144" s="655">
        <v>305568448</v>
      </c>
      <c r="G144" s="655">
        <v>13821170</v>
      </c>
      <c r="H144" s="655">
        <v>6513235</v>
      </c>
      <c r="I144" s="651">
        <v>1.415</v>
      </c>
      <c r="J144" s="651">
        <v>0.1031</v>
      </c>
      <c r="K144" s="651">
        <v>1.5181</v>
      </c>
    </row>
    <row r="145" spans="1:11">
      <c r="A145" s="654" t="s">
        <v>4705</v>
      </c>
      <c r="B145" s="654" t="s">
        <v>3815</v>
      </c>
      <c r="C145" s="655">
        <v>14315636</v>
      </c>
      <c r="D145" s="655">
        <v>12331206</v>
      </c>
      <c r="E145" s="655">
        <v>14315636</v>
      </c>
      <c r="F145" s="655">
        <v>12331206</v>
      </c>
      <c r="G145" s="655">
        <v>1984430</v>
      </c>
      <c r="H145" s="650">
        <v>0</v>
      </c>
      <c r="I145" s="651">
        <v>1.3562000000000001</v>
      </c>
      <c r="J145" s="651">
        <v>0</v>
      </c>
      <c r="K145" s="651">
        <v>1.3562000000000001</v>
      </c>
    </row>
    <row r="146" spans="1:11">
      <c r="A146" s="654" t="s">
        <v>4706</v>
      </c>
      <c r="B146" s="654" t="s">
        <v>3816</v>
      </c>
      <c r="C146" s="655">
        <v>25610273</v>
      </c>
      <c r="D146" s="655">
        <v>22216373</v>
      </c>
      <c r="E146" s="655">
        <v>25610273</v>
      </c>
      <c r="F146" s="655">
        <v>22216373</v>
      </c>
      <c r="G146" s="655">
        <v>3393900</v>
      </c>
      <c r="H146" s="650">
        <v>0</v>
      </c>
      <c r="I146" s="651">
        <v>1.5</v>
      </c>
      <c r="J146" s="651">
        <v>0</v>
      </c>
      <c r="K146" s="651">
        <v>1.5</v>
      </c>
    </row>
    <row r="147" spans="1:11">
      <c r="A147" s="654" t="s">
        <v>4707</v>
      </c>
      <c r="B147" s="654" t="s">
        <v>3817</v>
      </c>
      <c r="C147" s="655">
        <v>219646730</v>
      </c>
      <c r="D147" s="655">
        <v>209522040</v>
      </c>
      <c r="E147" s="655">
        <v>219646730</v>
      </c>
      <c r="F147" s="655">
        <v>209522040</v>
      </c>
      <c r="G147" s="655">
        <v>10124690</v>
      </c>
      <c r="H147" s="650">
        <v>0</v>
      </c>
      <c r="I147" s="651">
        <v>1.5</v>
      </c>
      <c r="J147" s="651">
        <v>0</v>
      </c>
      <c r="K147" s="651">
        <v>1.5</v>
      </c>
    </row>
    <row r="148" spans="1:11">
      <c r="A148" s="654" t="s">
        <v>4708</v>
      </c>
      <c r="B148" s="654" t="s">
        <v>3818</v>
      </c>
      <c r="C148" s="655">
        <v>52988200</v>
      </c>
      <c r="D148" s="655">
        <v>50414640</v>
      </c>
      <c r="E148" s="655">
        <v>52988200</v>
      </c>
      <c r="F148" s="655">
        <v>50414640</v>
      </c>
      <c r="G148" s="655">
        <v>2573560</v>
      </c>
      <c r="H148" s="650">
        <v>0</v>
      </c>
      <c r="I148" s="651">
        <v>1.45</v>
      </c>
      <c r="J148" s="651">
        <v>0</v>
      </c>
      <c r="K148" s="651">
        <v>1.45</v>
      </c>
    </row>
    <row r="149" spans="1:11">
      <c r="A149" s="654" t="s">
        <v>4709</v>
      </c>
      <c r="B149" s="654" t="s">
        <v>506</v>
      </c>
      <c r="C149" s="655">
        <v>23333344</v>
      </c>
      <c r="D149" s="655">
        <v>21667604</v>
      </c>
      <c r="E149" s="655">
        <v>23333344</v>
      </c>
      <c r="F149" s="655">
        <v>21667604</v>
      </c>
      <c r="G149" s="655">
        <v>1665740</v>
      </c>
      <c r="H149" s="650">
        <v>0</v>
      </c>
      <c r="I149" s="651">
        <v>1.42</v>
      </c>
      <c r="J149" s="651">
        <v>0.21</v>
      </c>
      <c r="K149" s="651">
        <v>1.63</v>
      </c>
    </row>
    <row r="150" spans="1:11">
      <c r="A150" s="654" t="s">
        <v>4710</v>
      </c>
      <c r="B150" s="654" t="s">
        <v>7682</v>
      </c>
      <c r="C150" s="655">
        <v>281644939</v>
      </c>
      <c r="D150" s="655">
        <v>264489119</v>
      </c>
      <c r="E150" s="655">
        <v>270425789</v>
      </c>
      <c r="F150" s="655">
        <v>253269969</v>
      </c>
      <c r="G150" s="655">
        <v>17155820</v>
      </c>
      <c r="H150" s="655">
        <v>11219150</v>
      </c>
      <c r="I150" s="651">
        <v>1.5</v>
      </c>
      <c r="J150" s="651">
        <v>0.11070000000000001</v>
      </c>
      <c r="K150" s="651">
        <v>1.6107</v>
      </c>
    </row>
    <row r="151" spans="1:11">
      <c r="A151" s="654" t="s">
        <v>4711</v>
      </c>
      <c r="B151" s="654" t="s">
        <v>3819</v>
      </c>
      <c r="C151" s="655">
        <v>1997621188</v>
      </c>
      <c r="D151" s="655">
        <v>1968064098</v>
      </c>
      <c r="E151" s="655">
        <v>1958297548</v>
      </c>
      <c r="F151" s="655">
        <v>1928740458</v>
      </c>
      <c r="G151" s="655">
        <v>29557090</v>
      </c>
      <c r="H151" s="655">
        <v>39323640</v>
      </c>
      <c r="I151" s="651">
        <v>1.5</v>
      </c>
      <c r="J151" s="651">
        <v>0.28989999999999999</v>
      </c>
      <c r="K151" s="651">
        <v>1.7899</v>
      </c>
    </row>
    <row r="152" spans="1:11">
      <c r="A152" s="654" t="s">
        <v>4712</v>
      </c>
      <c r="B152" s="654" t="s">
        <v>3820</v>
      </c>
      <c r="C152" s="655">
        <v>259312572</v>
      </c>
      <c r="D152" s="655">
        <v>246274452</v>
      </c>
      <c r="E152" s="655">
        <v>249862632</v>
      </c>
      <c r="F152" s="655">
        <v>236824512</v>
      </c>
      <c r="G152" s="655">
        <v>13038120</v>
      </c>
      <c r="H152" s="655">
        <v>9449940</v>
      </c>
      <c r="I152" s="651">
        <v>1.41</v>
      </c>
      <c r="J152" s="651">
        <v>0</v>
      </c>
      <c r="K152" s="651">
        <v>1.41</v>
      </c>
    </row>
    <row r="153" spans="1:11">
      <c r="A153" s="654" t="s">
        <v>4713</v>
      </c>
      <c r="B153" s="654" t="s">
        <v>3821</v>
      </c>
      <c r="C153" s="655">
        <v>118980010</v>
      </c>
      <c r="D153" s="655">
        <v>111457688</v>
      </c>
      <c r="E153" s="655">
        <v>118980010</v>
      </c>
      <c r="F153" s="655">
        <v>111457688</v>
      </c>
      <c r="G153" s="655">
        <v>7522322</v>
      </c>
      <c r="H153" s="650">
        <v>0</v>
      </c>
      <c r="I153" s="651">
        <v>1.464</v>
      </c>
      <c r="J153" s="651">
        <v>4.9000000000000002E-2</v>
      </c>
      <c r="K153" s="651">
        <v>1.5129999999999999</v>
      </c>
    </row>
    <row r="154" spans="1:11">
      <c r="A154" s="654" t="s">
        <v>4714</v>
      </c>
      <c r="B154" s="654" t="s">
        <v>1908</v>
      </c>
      <c r="C154" s="655">
        <v>744344215</v>
      </c>
      <c r="D154" s="655">
        <v>693922325</v>
      </c>
      <c r="E154" s="655">
        <v>744344215</v>
      </c>
      <c r="F154" s="655">
        <v>693922325</v>
      </c>
      <c r="G154" s="655">
        <v>50421890</v>
      </c>
      <c r="H154" s="650">
        <v>0</v>
      </c>
      <c r="I154" s="651">
        <v>1.4550000000000001</v>
      </c>
      <c r="J154" s="651">
        <v>0.09</v>
      </c>
      <c r="K154" s="651">
        <v>1.5449999999999999</v>
      </c>
    </row>
    <row r="155" spans="1:11">
      <c r="A155" s="654" t="s">
        <v>4715</v>
      </c>
      <c r="B155" s="654" t="s">
        <v>374</v>
      </c>
      <c r="C155" s="655">
        <v>287900345</v>
      </c>
      <c r="D155" s="655">
        <v>264875922</v>
      </c>
      <c r="E155" s="655">
        <v>287900345</v>
      </c>
      <c r="F155" s="655">
        <v>264875922</v>
      </c>
      <c r="G155" s="655">
        <v>23024423</v>
      </c>
      <c r="H155" s="650">
        <v>0</v>
      </c>
      <c r="I155" s="651">
        <v>1.44</v>
      </c>
      <c r="J155" s="651">
        <v>0.10249999999999999</v>
      </c>
      <c r="K155" s="651">
        <v>1.5425</v>
      </c>
    </row>
    <row r="156" spans="1:11">
      <c r="A156" s="654" t="s">
        <v>4716</v>
      </c>
      <c r="B156" s="654" t="s">
        <v>1934</v>
      </c>
      <c r="C156" s="655">
        <v>34231331</v>
      </c>
      <c r="D156" s="655">
        <v>30984873</v>
      </c>
      <c r="E156" s="655">
        <v>34231331</v>
      </c>
      <c r="F156" s="655">
        <v>30984873</v>
      </c>
      <c r="G156" s="655">
        <v>3246458</v>
      </c>
      <c r="H156" s="650">
        <v>0</v>
      </c>
      <c r="I156" s="651">
        <v>1.47</v>
      </c>
      <c r="J156" s="651">
        <v>0</v>
      </c>
      <c r="K156" s="651">
        <v>1.47</v>
      </c>
    </row>
    <row r="157" spans="1:11">
      <c r="A157" s="654" t="s">
        <v>4717</v>
      </c>
      <c r="B157" s="654" t="s">
        <v>3822</v>
      </c>
      <c r="C157" s="655">
        <v>33658031</v>
      </c>
      <c r="D157" s="655">
        <v>30072811</v>
      </c>
      <c r="E157" s="655">
        <v>33658031</v>
      </c>
      <c r="F157" s="655">
        <v>30072811</v>
      </c>
      <c r="G157" s="655">
        <v>3585220</v>
      </c>
      <c r="H157" s="650">
        <v>0</v>
      </c>
      <c r="I157" s="651">
        <v>1.5</v>
      </c>
      <c r="J157" s="651">
        <v>0</v>
      </c>
      <c r="K157" s="651">
        <v>1.5</v>
      </c>
    </row>
    <row r="158" spans="1:11">
      <c r="A158" s="654" t="s">
        <v>4718</v>
      </c>
      <c r="B158" s="654" t="s">
        <v>6109</v>
      </c>
      <c r="C158" s="655">
        <v>163732099</v>
      </c>
      <c r="D158" s="655">
        <v>148605199</v>
      </c>
      <c r="E158" s="655">
        <v>163732099</v>
      </c>
      <c r="F158" s="655">
        <v>148605199</v>
      </c>
      <c r="G158" s="655">
        <v>15126900</v>
      </c>
      <c r="H158" s="650">
        <v>0</v>
      </c>
      <c r="I158" s="651">
        <v>1.5</v>
      </c>
      <c r="J158" s="651">
        <v>8.7480000000000002E-2</v>
      </c>
      <c r="K158" s="651">
        <v>1.58748</v>
      </c>
    </row>
    <row r="159" spans="1:11">
      <c r="A159" s="654" t="s">
        <v>4719</v>
      </c>
      <c r="B159" s="654" t="s">
        <v>3823</v>
      </c>
      <c r="C159" s="655">
        <v>18774946</v>
      </c>
      <c r="D159" s="655">
        <v>16933126</v>
      </c>
      <c r="E159" s="655">
        <v>18774946</v>
      </c>
      <c r="F159" s="655">
        <v>16933126</v>
      </c>
      <c r="G159" s="655">
        <v>1841820</v>
      </c>
      <c r="H159" s="650">
        <v>0</v>
      </c>
      <c r="I159" s="651">
        <v>1.5</v>
      </c>
      <c r="J159" s="651">
        <v>0</v>
      </c>
      <c r="K159" s="651">
        <v>1.5</v>
      </c>
    </row>
    <row r="160" spans="1:11">
      <c r="A160" s="654" t="s">
        <v>4720</v>
      </c>
      <c r="B160" s="654" t="s">
        <v>3824</v>
      </c>
      <c r="C160" s="655">
        <v>260356595</v>
      </c>
      <c r="D160" s="655">
        <v>244453265</v>
      </c>
      <c r="E160" s="655">
        <v>260356595</v>
      </c>
      <c r="F160" s="655">
        <v>244453265</v>
      </c>
      <c r="G160" s="655">
        <v>15903330</v>
      </c>
      <c r="H160" s="650">
        <v>0</v>
      </c>
      <c r="I160" s="651">
        <v>1.42</v>
      </c>
      <c r="J160" s="651">
        <v>7.0000000000000007E-2</v>
      </c>
      <c r="K160" s="651">
        <v>1.49</v>
      </c>
    </row>
    <row r="161" spans="1:11">
      <c r="A161" s="654" t="s">
        <v>4721</v>
      </c>
      <c r="B161" s="654" t="s">
        <v>338</v>
      </c>
      <c r="C161" s="655">
        <v>66049580</v>
      </c>
      <c r="D161" s="655">
        <v>60451050</v>
      </c>
      <c r="E161" s="655">
        <v>66049580</v>
      </c>
      <c r="F161" s="655">
        <v>60451050</v>
      </c>
      <c r="G161" s="655">
        <v>5598530</v>
      </c>
      <c r="H161" s="650">
        <v>0</v>
      </c>
      <c r="I161" s="651">
        <v>1.5</v>
      </c>
      <c r="J161" s="651">
        <v>0.216</v>
      </c>
      <c r="K161" s="651">
        <v>1.716</v>
      </c>
    </row>
    <row r="162" spans="1:11">
      <c r="A162" s="654" t="s">
        <v>4722</v>
      </c>
      <c r="B162" s="654" t="s">
        <v>3825</v>
      </c>
      <c r="C162" s="655">
        <v>32378730</v>
      </c>
      <c r="D162" s="655">
        <v>30440180</v>
      </c>
      <c r="E162" s="655">
        <v>32378730</v>
      </c>
      <c r="F162" s="655">
        <v>30440180</v>
      </c>
      <c r="G162" s="655">
        <v>1938550</v>
      </c>
      <c r="H162" s="650">
        <v>0</v>
      </c>
      <c r="I162" s="651">
        <v>1.5</v>
      </c>
      <c r="J162" s="651">
        <v>0</v>
      </c>
      <c r="K162" s="651">
        <v>1.5</v>
      </c>
    </row>
    <row r="163" spans="1:11">
      <c r="A163" s="654" t="s">
        <v>4723</v>
      </c>
      <c r="B163" s="654" t="s">
        <v>2855</v>
      </c>
      <c r="C163" s="655">
        <v>51672307</v>
      </c>
      <c r="D163" s="655">
        <v>49154567</v>
      </c>
      <c r="E163" s="655">
        <v>51672307</v>
      </c>
      <c r="F163" s="655">
        <v>49154567</v>
      </c>
      <c r="G163" s="655">
        <v>2517740</v>
      </c>
      <c r="H163" s="650">
        <v>0</v>
      </c>
      <c r="I163" s="651">
        <v>1.5</v>
      </c>
      <c r="J163" s="651">
        <v>0</v>
      </c>
      <c r="K163" s="651">
        <v>1.5</v>
      </c>
    </row>
    <row r="164" spans="1:11">
      <c r="A164" s="654" t="s">
        <v>4724</v>
      </c>
      <c r="B164" s="654" t="s">
        <v>2856</v>
      </c>
      <c r="C164" s="655">
        <v>57290640</v>
      </c>
      <c r="D164" s="655">
        <v>52808290</v>
      </c>
      <c r="E164" s="655">
        <v>57290640</v>
      </c>
      <c r="F164" s="655">
        <v>52808290</v>
      </c>
      <c r="G164" s="655">
        <v>4482350</v>
      </c>
      <c r="H164" s="650">
        <v>0</v>
      </c>
      <c r="I164" s="651">
        <v>1.5</v>
      </c>
      <c r="J164" s="651">
        <v>0</v>
      </c>
      <c r="K164" s="651">
        <v>1.5</v>
      </c>
    </row>
    <row r="165" spans="1:11">
      <c r="A165" s="654" t="s">
        <v>4725</v>
      </c>
      <c r="B165" s="654" t="s">
        <v>4726</v>
      </c>
      <c r="C165" s="655">
        <v>346510940</v>
      </c>
      <c r="D165" s="655">
        <v>344631610</v>
      </c>
      <c r="E165" s="655">
        <v>346510940</v>
      </c>
      <c r="F165" s="655">
        <v>344631610</v>
      </c>
      <c r="G165" s="655">
        <v>1879330</v>
      </c>
      <c r="H165" s="650">
        <v>0</v>
      </c>
      <c r="I165" s="651">
        <v>1.4282999999999999</v>
      </c>
      <c r="J165" s="651">
        <v>0</v>
      </c>
      <c r="K165" s="651">
        <v>1.4282999999999999</v>
      </c>
    </row>
    <row r="166" spans="1:11">
      <c r="A166" s="654" t="s">
        <v>4727</v>
      </c>
      <c r="B166" s="654" t="s">
        <v>2858</v>
      </c>
      <c r="C166" s="655">
        <v>64245748</v>
      </c>
      <c r="D166" s="655">
        <v>60427868</v>
      </c>
      <c r="E166" s="655">
        <v>62423510</v>
      </c>
      <c r="F166" s="655">
        <v>58605630</v>
      </c>
      <c r="G166" s="655">
        <v>3817880</v>
      </c>
      <c r="H166" s="655">
        <v>1822238</v>
      </c>
      <c r="I166" s="651">
        <v>1.45</v>
      </c>
      <c r="J166" s="651">
        <v>0</v>
      </c>
      <c r="K166" s="651">
        <v>1.45</v>
      </c>
    </row>
    <row r="167" spans="1:11">
      <c r="A167" s="654" t="s">
        <v>4728</v>
      </c>
      <c r="B167" s="654" t="s">
        <v>2859</v>
      </c>
      <c r="C167" s="655">
        <v>111943059</v>
      </c>
      <c r="D167" s="655">
        <v>107076519</v>
      </c>
      <c r="E167" s="655">
        <v>109827136</v>
      </c>
      <c r="F167" s="655">
        <v>104960596</v>
      </c>
      <c r="G167" s="655">
        <v>4866540</v>
      </c>
      <c r="H167" s="655">
        <v>2115923</v>
      </c>
      <c r="I167" s="651">
        <v>1.5</v>
      </c>
      <c r="J167" s="651">
        <v>0</v>
      </c>
      <c r="K167" s="651">
        <v>1.5</v>
      </c>
    </row>
    <row r="168" spans="1:11">
      <c r="A168" s="654" t="s">
        <v>4729</v>
      </c>
      <c r="B168" s="654" t="s">
        <v>6118</v>
      </c>
      <c r="C168" s="655">
        <v>94128460</v>
      </c>
      <c r="D168" s="655">
        <v>80425440</v>
      </c>
      <c r="E168" s="655">
        <v>94128460</v>
      </c>
      <c r="F168" s="655">
        <v>80425440</v>
      </c>
      <c r="G168" s="655">
        <v>13703020</v>
      </c>
      <c r="H168" s="650">
        <v>0</v>
      </c>
      <c r="I168" s="651">
        <v>1.46</v>
      </c>
      <c r="J168" s="651">
        <v>0.22</v>
      </c>
      <c r="K168" s="651">
        <v>1.68</v>
      </c>
    </row>
    <row r="169" spans="1:11">
      <c r="A169" s="654" t="s">
        <v>4730</v>
      </c>
      <c r="B169" s="654" t="s">
        <v>1457</v>
      </c>
      <c r="C169" s="655">
        <v>44005393</v>
      </c>
      <c r="D169" s="655">
        <v>40286953</v>
      </c>
      <c r="E169" s="655">
        <v>44005393</v>
      </c>
      <c r="F169" s="655">
        <v>40286953</v>
      </c>
      <c r="G169" s="655">
        <v>3718440</v>
      </c>
      <c r="H169" s="650">
        <v>0</v>
      </c>
      <c r="I169" s="651">
        <v>1.5</v>
      </c>
      <c r="J169" s="651">
        <v>0.08</v>
      </c>
      <c r="K169" s="651">
        <v>1.58</v>
      </c>
    </row>
    <row r="170" spans="1:11">
      <c r="A170" s="654" t="s">
        <v>4731</v>
      </c>
      <c r="B170" s="654" t="s">
        <v>4732</v>
      </c>
      <c r="C170" s="655">
        <v>54533447</v>
      </c>
      <c r="D170" s="655">
        <v>51646177</v>
      </c>
      <c r="E170" s="655">
        <v>54533447</v>
      </c>
      <c r="F170" s="655">
        <v>51646177</v>
      </c>
      <c r="G170" s="655">
        <v>2887270</v>
      </c>
      <c r="H170" s="650">
        <v>0</v>
      </c>
      <c r="I170" s="651">
        <v>1.5</v>
      </c>
      <c r="J170" s="651">
        <v>0</v>
      </c>
      <c r="K170" s="651">
        <v>1.5</v>
      </c>
    </row>
    <row r="171" spans="1:11">
      <c r="A171" s="654" t="s">
        <v>4733</v>
      </c>
      <c r="B171" s="654" t="s">
        <v>2861</v>
      </c>
      <c r="C171" s="655">
        <v>31415809</v>
      </c>
      <c r="D171" s="655">
        <v>29622059</v>
      </c>
      <c r="E171" s="655">
        <v>31415809</v>
      </c>
      <c r="F171" s="655">
        <v>29622059</v>
      </c>
      <c r="G171" s="655">
        <v>1793750</v>
      </c>
      <c r="H171" s="650">
        <v>0</v>
      </c>
      <c r="I171" s="651">
        <v>1.5</v>
      </c>
      <c r="J171" s="651">
        <v>0</v>
      </c>
      <c r="K171" s="651">
        <v>1.5</v>
      </c>
    </row>
    <row r="172" spans="1:11">
      <c r="A172" s="654" t="s">
        <v>4734</v>
      </c>
      <c r="B172" s="654" t="s">
        <v>7677</v>
      </c>
      <c r="C172" s="655">
        <v>4554116833</v>
      </c>
      <c r="D172" s="655">
        <v>4402046133</v>
      </c>
      <c r="E172" s="655">
        <v>4554116833</v>
      </c>
      <c r="F172" s="655">
        <v>4402046133</v>
      </c>
      <c r="G172" s="655">
        <v>152070700</v>
      </c>
      <c r="H172" s="650">
        <v>0</v>
      </c>
      <c r="I172" s="651">
        <v>1.5</v>
      </c>
      <c r="J172" s="651">
        <v>0.43334699999999998</v>
      </c>
      <c r="K172" s="651">
        <v>1.9333499999999999</v>
      </c>
    </row>
    <row r="173" spans="1:11">
      <c r="A173" s="654" t="s">
        <v>4735</v>
      </c>
      <c r="B173" s="654" t="s">
        <v>7683</v>
      </c>
      <c r="C173" s="655">
        <v>262342757</v>
      </c>
      <c r="D173" s="655">
        <v>248970114</v>
      </c>
      <c r="E173" s="655">
        <v>262342757</v>
      </c>
      <c r="F173" s="655">
        <v>248970114</v>
      </c>
      <c r="G173" s="655">
        <v>13372643</v>
      </c>
      <c r="H173" s="650">
        <v>0</v>
      </c>
      <c r="I173" s="651">
        <v>1.4489099999999999</v>
      </c>
      <c r="J173" s="651">
        <v>0.34098699999999998</v>
      </c>
      <c r="K173" s="651">
        <v>1.7899</v>
      </c>
    </row>
    <row r="174" spans="1:11">
      <c r="A174" s="654" t="s">
        <v>4736</v>
      </c>
      <c r="B174" s="654" t="s">
        <v>6104</v>
      </c>
      <c r="C174" s="655">
        <v>398042872</v>
      </c>
      <c r="D174" s="655">
        <v>383585215</v>
      </c>
      <c r="E174" s="655">
        <v>398042872</v>
      </c>
      <c r="F174" s="655">
        <v>383585215</v>
      </c>
      <c r="G174" s="655">
        <v>14457657</v>
      </c>
      <c r="H174" s="650">
        <v>0</v>
      </c>
      <c r="I174" s="651">
        <v>1.5</v>
      </c>
      <c r="J174" s="651">
        <v>0.3</v>
      </c>
      <c r="K174" s="651">
        <v>1.8</v>
      </c>
    </row>
    <row r="175" spans="1:11">
      <c r="A175" s="654" t="s">
        <v>4737</v>
      </c>
      <c r="B175" s="654" t="s">
        <v>110</v>
      </c>
      <c r="C175" s="655">
        <v>252182701</v>
      </c>
      <c r="D175" s="655">
        <v>236360981</v>
      </c>
      <c r="E175" s="655">
        <v>252182701</v>
      </c>
      <c r="F175" s="655">
        <v>236360981</v>
      </c>
      <c r="G175" s="655">
        <v>15821720</v>
      </c>
      <c r="H175" s="650">
        <v>0</v>
      </c>
      <c r="I175" s="651">
        <v>1.4055</v>
      </c>
      <c r="J175" s="651">
        <v>0.13450000000000001</v>
      </c>
      <c r="K175" s="651">
        <v>1.54</v>
      </c>
    </row>
    <row r="176" spans="1:11">
      <c r="A176" s="654" t="s">
        <v>4738</v>
      </c>
      <c r="B176" s="654" t="s">
        <v>117</v>
      </c>
      <c r="C176" s="655">
        <v>8132688576</v>
      </c>
      <c r="D176" s="655">
        <v>7941510843</v>
      </c>
      <c r="E176" s="655">
        <v>8132688576</v>
      </c>
      <c r="F176" s="655">
        <v>7941510843</v>
      </c>
      <c r="G176" s="655">
        <v>191177733</v>
      </c>
      <c r="H176" s="650">
        <v>0</v>
      </c>
      <c r="I176" s="651">
        <v>1.2775000000000001</v>
      </c>
      <c r="J176" s="651">
        <v>0.28000000000000003</v>
      </c>
      <c r="K176" s="651">
        <v>1.5575000000000001</v>
      </c>
    </row>
    <row r="177" spans="1:11">
      <c r="A177" s="654" t="s">
        <v>4739</v>
      </c>
      <c r="B177" s="654" t="s">
        <v>6076</v>
      </c>
      <c r="C177" s="655">
        <v>6142322811</v>
      </c>
      <c r="D177" s="655">
        <v>5954995488</v>
      </c>
      <c r="E177" s="655">
        <v>6142322811</v>
      </c>
      <c r="F177" s="655">
        <v>5954995488</v>
      </c>
      <c r="G177" s="655">
        <v>187327323</v>
      </c>
      <c r="H177" s="650">
        <v>0</v>
      </c>
      <c r="I177" s="651">
        <v>1.5</v>
      </c>
      <c r="J177" s="651">
        <v>0.5</v>
      </c>
      <c r="K177" s="651">
        <v>2</v>
      </c>
    </row>
    <row r="178" spans="1:11">
      <c r="A178" s="654" t="s">
        <v>4740</v>
      </c>
      <c r="B178" s="654" t="s">
        <v>2862</v>
      </c>
      <c r="C178" s="655">
        <v>227044923</v>
      </c>
      <c r="D178" s="655">
        <v>218396955</v>
      </c>
      <c r="E178" s="655">
        <v>227044923</v>
      </c>
      <c r="F178" s="655">
        <v>218396955</v>
      </c>
      <c r="G178" s="655">
        <v>8647968</v>
      </c>
      <c r="H178" s="650">
        <v>0</v>
      </c>
      <c r="I178" s="651">
        <v>1.5</v>
      </c>
      <c r="J178" s="651">
        <v>0.49</v>
      </c>
      <c r="K178" s="651">
        <v>1.99</v>
      </c>
    </row>
    <row r="179" spans="1:11">
      <c r="A179" s="654" t="s">
        <v>4741</v>
      </c>
      <c r="B179" s="654" t="s">
        <v>2863</v>
      </c>
      <c r="C179" s="655">
        <v>28602518708</v>
      </c>
      <c r="D179" s="655">
        <v>27901712003</v>
      </c>
      <c r="E179" s="655">
        <v>28602518708</v>
      </c>
      <c r="F179" s="655">
        <v>27901712003</v>
      </c>
      <c r="G179" s="655">
        <v>700806705</v>
      </c>
      <c r="H179" s="650">
        <v>0</v>
      </c>
      <c r="I179" s="651">
        <v>1.5</v>
      </c>
      <c r="J179" s="651">
        <v>0.2334</v>
      </c>
      <c r="K179" s="651">
        <v>1.7334000000000001</v>
      </c>
    </row>
    <row r="180" spans="1:11">
      <c r="A180" s="654" t="s">
        <v>4742</v>
      </c>
      <c r="B180" s="654" t="s">
        <v>352</v>
      </c>
      <c r="C180" s="655">
        <v>355119672</v>
      </c>
      <c r="D180" s="655">
        <v>330738249</v>
      </c>
      <c r="E180" s="655">
        <v>355119672</v>
      </c>
      <c r="F180" s="655">
        <v>330738249</v>
      </c>
      <c r="G180" s="655">
        <v>24381423</v>
      </c>
      <c r="H180" s="650">
        <v>0</v>
      </c>
      <c r="I180" s="651">
        <v>1.42</v>
      </c>
      <c r="J180" s="651">
        <v>0.32775900000000002</v>
      </c>
      <c r="K180" s="651">
        <v>1.74776</v>
      </c>
    </row>
    <row r="181" spans="1:11">
      <c r="A181" s="654" t="s">
        <v>4743</v>
      </c>
      <c r="B181" s="654" t="s">
        <v>354</v>
      </c>
      <c r="C181" s="655">
        <v>638139653</v>
      </c>
      <c r="D181" s="655">
        <v>621094657</v>
      </c>
      <c r="E181" s="655">
        <v>638139653</v>
      </c>
      <c r="F181" s="655">
        <v>621094657</v>
      </c>
      <c r="G181" s="655">
        <v>17044996</v>
      </c>
      <c r="H181" s="650">
        <v>0</v>
      </c>
      <c r="I181" s="651">
        <v>1.5</v>
      </c>
      <c r="J181" s="651">
        <v>0.45150000000000001</v>
      </c>
      <c r="K181" s="651">
        <v>1.9515</v>
      </c>
    </row>
    <row r="182" spans="1:11">
      <c r="A182" s="654" t="s">
        <v>4744</v>
      </c>
      <c r="B182" s="654" t="s">
        <v>2008</v>
      </c>
      <c r="C182" s="655">
        <v>1910815142</v>
      </c>
      <c r="D182" s="655">
        <v>1826654665</v>
      </c>
      <c r="E182" s="655">
        <v>1910815142</v>
      </c>
      <c r="F182" s="655">
        <v>1826654665</v>
      </c>
      <c r="G182" s="655">
        <v>84160477</v>
      </c>
      <c r="H182" s="650">
        <v>0</v>
      </c>
      <c r="I182" s="651">
        <v>1.5</v>
      </c>
      <c r="J182" s="651">
        <v>0.3</v>
      </c>
      <c r="K182" s="651">
        <v>1.8</v>
      </c>
    </row>
    <row r="183" spans="1:11">
      <c r="A183" s="654" t="s">
        <v>4745</v>
      </c>
      <c r="B183" s="654" t="s">
        <v>7661</v>
      </c>
      <c r="C183" s="655">
        <v>98152552</v>
      </c>
      <c r="D183" s="655">
        <v>90992722</v>
      </c>
      <c r="E183" s="655">
        <v>98152552</v>
      </c>
      <c r="F183" s="655">
        <v>90992722</v>
      </c>
      <c r="G183" s="655">
        <v>7159830</v>
      </c>
      <c r="H183" s="650">
        <v>0</v>
      </c>
      <c r="I183" s="651">
        <v>1.5</v>
      </c>
      <c r="J183" s="651">
        <v>0.27560000000000001</v>
      </c>
      <c r="K183" s="651">
        <v>1.7756000000000001</v>
      </c>
    </row>
    <row r="184" spans="1:11">
      <c r="A184" s="654" t="s">
        <v>4746</v>
      </c>
      <c r="B184" s="654" t="s">
        <v>2643</v>
      </c>
      <c r="C184" s="655">
        <v>274713514</v>
      </c>
      <c r="D184" s="655">
        <v>257761858</v>
      </c>
      <c r="E184" s="655">
        <v>274713514</v>
      </c>
      <c r="F184" s="655">
        <v>257761858</v>
      </c>
      <c r="G184" s="655">
        <v>16951656</v>
      </c>
      <c r="H184" s="650">
        <v>0</v>
      </c>
      <c r="I184" s="651">
        <v>1.5</v>
      </c>
      <c r="J184" s="651">
        <v>0.17</v>
      </c>
      <c r="K184" s="651">
        <v>1.67</v>
      </c>
    </row>
    <row r="185" spans="1:11">
      <c r="A185" s="654" t="s">
        <v>4747</v>
      </c>
      <c r="B185" s="654" t="s">
        <v>2864</v>
      </c>
      <c r="C185" s="655">
        <v>893910531</v>
      </c>
      <c r="D185" s="655">
        <v>869180531</v>
      </c>
      <c r="E185" s="655">
        <v>893910531</v>
      </c>
      <c r="F185" s="655">
        <v>869180531</v>
      </c>
      <c r="G185" s="655">
        <v>24730000</v>
      </c>
      <c r="H185" s="650">
        <v>0</v>
      </c>
      <c r="I185" s="651">
        <v>1.5</v>
      </c>
      <c r="J185" s="651">
        <v>0.32340000000000002</v>
      </c>
      <c r="K185" s="651">
        <v>1.8233999999999999</v>
      </c>
    </row>
    <row r="186" spans="1:11">
      <c r="A186" s="654" t="s">
        <v>4748</v>
      </c>
      <c r="B186" s="654" t="s">
        <v>2865</v>
      </c>
      <c r="C186" s="655">
        <v>66745040</v>
      </c>
      <c r="D186" s="655">
        <v>59882620</v>
      </c>
      <c r="E186" s="655">
        <v>66745040</v>
      </c>
      <c r="F186" s="655">
        <v>59882620</v>
      </c>
      <c r="G186" s="655">
        <v>6862420</v>
      </c>
      <c r="H186" s="650">
        <v>0</v>
      </c>
      <c r="I186" s="651">
        <v>1.36</v>
      </c>
      <c r="J186" s="651">
        <v>0</v>
      </c>
      <c r="K186" s="651">
        <v>1.36</v>
      </c>
    </row>
    <row r="187" spans="1:11">
      <c r="A187" s="654" t="s">
        <v>4749</v>
      </c>
      <c r="B187" s="654" t="s">
        <v>2866</v>
      </c>
      <c r="C187" s="655">
        <v>30153800</v>
      </c>
      <c r="D187" s="655">
        <v>29699040</v>
      </c>
      <c r="E187" s="655">
        <v>30153800</v>
      </c>
      <c r="F187" s="655">
        <v>29699040</v>
      </c>
      <c r="G187" s="655">
        <v>454760</v>
      </c>
      <c r="H187" s="650">
        <v>0</v>
      </c>
      <c r="I187" s="651">
        <v>1.3145</v>
      </c>
      <c r="J187" s="651">
        <v>0</v>
      </c>
      <c r="K187" s="651">
        <v>1.3145</v>
      </c>
    </row>
    <row r="188" spans="1:11">
      <c r="A188" s="654" t="s">
        <v>4750</v>
      </c>
      <c r="B188" s="654" t="s">
        <v>2641</v>
      </c>
      <c r="C188" s="655">
        <v>524470725</v>
      </c>
      <c r="D188" s="655">
        <v>498236661</v>
      </c>
      <c r="E188" s="655">
        <v>518459512</v>
      </c>
      <c r="F188" s="655">
        <v>492225448</v>
      </c>
      <c r="G188" s="655">
        <v>26234064</v>
      </c>
      <c r="H188" s="655">
        <v>6011213</v>
      </c>
      <c r="I188" s="651">
        <v>1.39</v>
      </c>
      <c r="J188" s="651">
        <v>0.19</v>
      </c>
      <c r="K188" s="651">
        <v>1.58</v>
      </c>
    </row>
    <row r="189" spans="1:11">
      <c r="A189" s="654" t="s">
        <v>4751</v>
      </c>
      <c r="B189" s="654" t="s">
        <v>4752</v>
      </c>
      <c r="C189" s="655">
        <v>442042759</v>
      </c>
      <c r="D189" s="655">
        <v>426265064</v>
      </c>
      <c r="E189" s="655">
        <v>442042759</v>
      </c>
      <c r="F189" s="655">
        <v>426265064</v>
      </c>
      <c r="G189" s="655">
        <v>15777695</v>
      </c>
      <c r="H189" s="650">
        <v>0</v>
      </c>
      <c r="I189" s="651">
        <v>1.41734</v>
      </c>
      <c r="J189" s="651">
        <v>8.0519999999999994E-2</v>
      </c>
      <c r="K189" s="651">
        <v>1.49786</v>
      </c>
    </row>
    <row r="190" spans="1:11">
      <c r="A190" s="654" t="s">
        <v>4753</v>
      </c>
      <c r="B190" s="654" t="s">
        <v>2868</v>
      </c>
      <c r="C190" s="655">
        <v>198362067</v>
      </c>
      <c r="D190" s="655">
        <v>185508747</v>
      </c>
      <c r="E190" s="655">
        <v>198362067</v>
      </c>
      <c r="F190" s="655">
        <v>185508747</v>
      </c>
      <c r="G190" s="655">
        <v>12853320</v>
      </c>
      <c r="H190" s="650">
        <v>0</v>
      </c>
      <c r="I190" s="651">
        <v>1.4</v>
      </c>
      <c r="J190" s="651">
        <v>0.17</v>
      </c>
      <c r="K190" s="651">
        <v>1.57</v>
      </c>
    </row>
    <row r="191" spans="1:11">
      <c r="A191" s="654" t="s">
        <v>4754</v>
      </c>
      <c r="B191" s="654" t="s">
        <v>2869</v>
      </c>
      <c r="C191" s="655">
        <v>1839299950</v>
      </c>
      <c r="D191" s="655">
        <v>1752838336</v>
      </c>
      <c r="E191" s="655">
        <v>1839299950</v>
      </c>
      <c r="F191" s="655">
        <v>1752838336</v>
      </c>
      <c r="G191" s="655">
        <v>86461614</v>
      </c>
      <c r="H191" s="650">
        <v>0</v>
      </c>
      <c r="I191" s="651">
        <v>1.4390000000000001</v>
      </c>
      <c r="J191" s="651">
        <v>0.38100000000000001</v>
      </c>
      <c r="K191" s="651">
        <v>1.82</v>
      </c>
    </row>
    <row r="192" spans="1:11">
      <c r="A192" s="654" t="s">
        <v>4755</v>
      </c>
      <c r="B192" s="654" t="s">
        <v>2870</v>
      </c>
      <c r="C192" s="655">
        <v>5177347298</v>
      </c>
      <c r="D192" s="655">
        <v>4988241984</v>
      </c>
      <c r="E192" s="655">
        <v>4880630668</v>
      </c>
      <c r="F192" s="655">
        <v>4691525354</v>
      </c>
      <c r="G192" s="655">
        <v>189105314</v>
      </c>
      <c r="H192" s="655">
        <v>296716630</v>
      </c>
      <c r="I192" s="651">
        <v>1.5</v>
      </c>
      <c r="J192" s="651">
        <v>0.32</v>
      </c>
      <c r="K192" s="651">
        <v>1.82</v>
      </c>
    </row>
    <row r="193" spans="1:11">
      <c r="A193" s="654" t="s">
        <v>4756</v>
      </c>
      <c r="B193" s="654" t="s">
        <v>2871</v>
      </c>
      <c r="C193" s="655">
        <v>222698511</v>
      </c>
      <c r="D193" s="655">
        <v>205599670</v>
      </c>
      <c r="E193" s="655">
        <v>222698511</v>
      </c>
      <c r="F193" s="655">
        <v>205599670</v>
      </c>
      <c r="G193" s="655">
        <v>17098841</v>
      </c>
      <c r="H193" s="650">
        <v>0</v>
      </c>
      <c r="I193" s="651">
        <v>1.1100000000000001</v>
      </c>
      <c r="J193" s="651">
        <v>0</v>
      </c>
      <c r="K193" s="651">
        <v>1.1100000000000001</v>
      </c>
    </row>
    <row r="194" spans="1:11">
      <c r="A194" s="654" t="s">
        <v>4757</v>
      </c>
      <c r="B194" s="654" t="s">
        <v>995</v>
      </c>
      <c r="C194" s="655">
        <v>130470192</v>
      </c>
      <c r="D194" s="655">
        <v>119591221</v>
      </c>
      <c r="E194" s="655">
        <v>130470192</v>
      </c>
      <c r="F194" s="655">
        <v>119591221</v>
      </c>
      <c r="G194" s="655">
        <v>10878971</v>
      </c>
      <c r="H194" s="650">
        <v>0</v>
      </c>
      <c r="I194" s="651">
        <v>1.331</v>
      </c>
      <c r="J194" s="651">
        <v>2.9000000000000001E-2</v>
      </c>
      <c r="K194" s="651">
        <v>1.36</v>
      </c>
    </row>
    <row r="195" spans="1:11">
      <c r="A195" s="654" t="s">
        <v>4758</v>
      </c>
      <c r="B195" s="654" t="s">
        <v>3915</v>
      </c>
      <c r="C195" s="655">
        <v>33446253</v>
      </c>
      <c r="D195" s="655">
        <v>30617691</v>
      </c>
      <c r="E195" s="655">
        <v>33446253</v>
      </c>
      <c r="F195" s="655">
        <v>30617691</v>
      </c>
      <c r="G195" s="655">
        <v>2828562</v>
      </c>
      <c r="H195" s="650">
        <v>0</v>
      </c>
      <c r="I195" s="651">
        <v>1.4592000000000001</v>
      </c>
      <c r="J195" s="651">
        <v>8.9200000000000002E-2</v>
      </c>
      <c r="K195" s="651">
        <v>1.5484</v>
      </c>
    </row>
    <row r="196" spans="1:11">
      <c r="A196" s="654" t="s">
        <v>4759</v>
      </c>
      <c r="B196" s="654" t="s">
        <v>2872</v>
      </c>
      <c r="C196" s="655">
        <v>16976785</v>
      </c>
      <c r="D196" s="655">
        <v>15241355</v>
      </c>
      <c r="E196" s="655">
        <v>16976785</v>
      </c>
      <c r="F196" s="655">
        <v>15241355</v>
      </c>
      <c r="G196" s="655">
        <v>1735430</v>
      </c>
      <c r="H196" s="650">
        <v>0</v>
      </c>
      <c r="I196" s="651">
        <v>1.31</v>
      </c>
      <c r="J196" s="651">
        <v>0</v>
      </c>
      <c r="K196" s="651">
        <v>1.31</v>
      </c>
    </row>
    <row r="197" spans="1:11">
      <c r="A197" s="654" t="s">
        <v>4760</v>
      </c>
      <c r="B197" s="654" t="s">
        <v>4761</v>
      </c>
      <c r="C197" s="655">
        <v>108204068</v>
      </c>
      <c r="D197" s="655">
        <v>103732414</v>
      </c>
      <c r="E197" s="655">
        <v>108204068</v>
      </c>
      <c r="F197" s="655">
        <v>103732414</v>
      </c>
      <c r="G197" s="655">
        <v>4471654</v>
      </c>
      <c r="H197" s="650">
        <v>0</v>
      </c>
      <c r="I197" s="651">
        <v>1.5</v>
      </c>
      <c r="J197" s="651">
        <v>0</v>
      </c>
      <c r="K197" s="651">
        <v>1.5</v>
      </c>
    </row>
    <row r="198" spans="1:11">
      <c r="A198" s="654" t="s">
        <v>4762</v>
      </c>
      <c r="B198" s="654" t="s">
        <v>2874</v>
      </c>
      <c r="C198" s="655">
        <v>64294096</v>
      </c>
      <c r="D198" s="655">
        <v>62525026</v>
      </c>
      <c r="E198" s="655">
        <v>64294096</v>
      </c>
      <c r="F198" s="655">
        <v>62525026</v>
      </c>
      <c r="G198" s="655">
        <v>1769070</v>
      </c>
      <c r="H198" s="650">
        <v>0</v>
      </c>
      <c r="I198" s="651">
        <v>1.4928999999999999</v>
      </c>
      <c r="J198" s="651">
        <v>0</v>
      </c>
      <c r="K198" s="651">
        <v>1.4928999999999999</v>
      </c>
    </row>
    <row r="199" spans="1:11">
      <c r="A199" s="654" t="s">
        <v>4763</v>
      </c>
      <c r="B199" s="654" t="s">
        <v>119</v>
      </c>
      <c r="C199" s="655">
        <v>659031716</v>
      </c>
      <c r="D199" s="655">
        <v>621159377</v>
      </c>
      <c r="E199" s="655">
        <v>659031716</v>
      </c>
      <c r="F199" s="655">
        <v>621159377</v>
      </c>
      <c r="G199" s="655">
        <v>37872339</v>
      </c>
      <c r="H199" s="650">
        <v>0</v>
      </c>
      <c r="I199" s="651">
        <v>1.5</v>
      </c>
      <c r="J199" s="651">
        <v>5.5E-2</v>
      </c>
      <c r="K199" s="651">
        <v>1.5549999999999999</v>
      </c>
    </row>
    <row r="200" spans="1:11">
      <c r="A200" s="654" t="s">
        <v>4764</v>
      </c>
      <c r="B200" s="654" t="s">
        <v>2875</v>
      </c>
      <c r="C200" s="655">
        <v>143903096</v>
      </c>
      <c r="D200" s="655">
        <v>136103044</v>
      </c>
      <c r="E200" s="655">
        <v>143903096</v>
      </c>
      <c r="F200" s="655">
        <v>136103044</v>
      </c>
      <c r="G200" s="655">
        <v>7800052</v>
      </c>
      <c r="H200" s="650">
        <v>0</v>
      </c>
      <c r="I200" s="651">
        <v>1.41</v>
      </c>
      <c r="J200" s="651">
        <v>0.1699</v>
      </c>
      <c r="K200" s="651">
        <v>1.5799000000000001</v>
      </c>
    </row>
    <row r="201" spans="1:11">
      <c r="A201" s="654" t="s">
        <v>4765</v>
      </c>
      <c r="B201" s="654" t="s">
        <v>5372</v>
      </c>
      <c r="C201" s="655">
        <v>133534099</v>
      </c>
      <c r="D201" s="655">
        <v>125700464</v>
      </c>
      <c r="E201" s="655">
        <v>133534099</v>
      </c>
      <c r="F201" s="655">
        <v>125700464</v>
      </c>
      <c r="G201" s="655">
        <v>7833635</v>
      </c>
      <c r="H201" s="650">
        <v>0</v>
      </c>
      <c r="I201" s="651">
        <v>1.42</v>
      </c>
      <c r="J201" s="651">
        <v>8.2000000000000003E-2</v>
      </c>
      <c r="K201" s="651">
        <v>1.502</v>
      </c>
    </row>
    <row r="202" spans="1:11">
      <c r="A202" s="654" t="s">
        <v>4766</v>
      </c>
      <c r="B202" s="654" t="s">
        <v>2876</v>
      </c>
      <c r="C202" s="655">
        <v>369447457</v>
      </c>
      <c r="D202" s="655">
        <v>348899259</v>
      </c>
      <c r="E202" s="655">
        <v>369447457</v>
      </c>
      <c r="F202" s="655">
        <v>348899259</v>
      </c>
      <c r="G202" s="655">
        <v>20548198</v>
      </c>
      <c r="H202" s="650">
        <v>0</v>
      </c>
      <c r="I202" s="651">
        <v>1.4543999999999999</v>
      </c>
      <c r="J202" s="651">
        <v>7.5600000000000001E-2</v>
      </c>
      <c r="K202" s="651">
        <v>1.53</v>
      </c>
    </row>
    <row r="203" spans="1:11">
      <c r="A203" s="654" t="s">
        <v>4767</v>
      </c>
      <c r="B203" s="654" t="s">
        <v>2877</v>
      </c>
      <c r="C203" s="655">
        <v>69495257</v>
      </c>
      <c r="D203" s="655">
        <v>64825253</v>
      </c>
      <c r="E203" s="655">
        <v>69495257</v>
      </c>
      <c r="F203" s="655">
        <v>64825253</v>
      </c>
      <c r="G203" s="655">
        <v>4670004</v>
      </c>
      <c r="H203" s="650">
        <v>0</v>
      </c>
      <c r="I203" s="651">
        <v>1.48</v>
      </c>
      <c r="J203" s="651">
        <v>7.0000000000000007E-2</v>
      </c>
      <c r="K203" s="651">
        <v>1.55</v>
      </c>
    </row>
    <row r="204" spans="1:11">
      <c r="A204" s="654" t="s">
        <v>4768</v>
      </c>
      <c r="B204" s="654" t="s">
        <v>2878</v>
      </c>
      <c r="C204" s="655">
        <v>121685660</v>
      </c>
      <c r="D204" s="655">
        <v>117029786</v>
      </c>
      <c r="E204" s="655">
        <v>121685660</v>
      </c>
      <c r="F204" s="655">
        <v>117029786</v>
      </c>
      <c r="G204" s="655">
        <v>4655874</v>
      </c>
      <c r="H204" s="650">
        <v>0</v>
      </c>
      <c r="I204" s="651">
        <v>1.375</v>
      </c>
      <c r="J204" s="651">
        <v>0.05</v>
      </c>
      <c r="K204" s="651">
        <v>1.425</v>
      </c>
    </row>
    <row r="205" spans="1:11">
      <c r="A205" s="654" t="s">
        <v>4769</v>
      </c>
      <c r="B205" s="654" t="s">
        <v>2879</v>
      </c>
      <c r="C205" s="655">
        <v>10804859</v>
      </c>
      <c r="D205" s="655">
        <v>10465845</v>
      </c>
      <c r="E205" s="655">
        <v>10804859</v>
      </c>
      <c r="F205" s="655">
        <v>10465845</v>
      </c>
      <c r="G205" s="655">
        <v>339014</v>
      </c>
      <c r="H205" s="650">
        <v>0</v>
      </c>
      <c r="I205" s="651">
        <v>1.5</v>
      </c>
      <c r="J205" s="651">
        <v>0</v>
      </c>
      <c r="K205" s="651">
        <v>1.5</v>
      </c>
    </row>
    <row r="206" spans="1:11">
      <c r="A206" s="654" t="s">
        <v>4770</v>
      </c>
      <c r="B206" s="654" t="s">
        <v>2880</v>
      </c>
      <c r="C206" s="655">
        <v>69242320</v>
      </c>
      <c r="D206" s="655">
        <v>67785586</v>
      </c>
      <c r="E206" s="655">
        <v>69242320</v>
      </c>
      <c r="F206" s="655">
        <v>67785586</v>
      </c>
      <c r="G206" s="655">
        <v>1456734</v>
      </c>
      <c r="H206" s="650">
        <v>0</v>
      </c>
      <c r="I206" s="651">
        <v>1.2833000000000001</v>
      </c>
      <c r="J206" s="651">
        <v>0</v>
      </c>
      <c r="K206" s="651">
        <v>1.2833000000000001</v>
      </c>
    </row>
    <row r="207" spans="1:11">
      <c r="A207" s="654" t="s">
        <v>4771</v>
      </c>
      <c r="B207" s="654" t="s">
        <v>2881</v>
      </c>
      <c r="C207" s="655">
        <v>55778799</v>
      </c>
      <c r="D207" s="655">
        <v>51422582</v>
      </c>
      <c r="E207" s="655">
        <v>55778799</v>
      </c>
      <c r="F207" s="655">
        <v>51422582</v>
      </c>
      <c r="G207" s="655">
        <v>4356217</v>
      </c>
      <c r="H207" s="650">
        <v>0</v>
      </c>
      <c r="I207" s="651">
        <v>1.35</v>
      </c>
      <c r="J207" s="651">
        <v>0</v>
      </c>
      <c r="K207" s="651">
        <v>1.35</v>
      </c>
    </row>
    <row r="208" spans="1:11">
      <c r="A208" s="654" t="s">
        <v>4772</v>
      </c>
      <c r="B208" s="654" t="s">
        <v>2882</v>
      </c>
      <c r="C208" s="655">
        <v>347276480</v>
      </c>
      <c r="D208" s="655">
        <v>312885408</v>
      </c>
      <c r="E208" s="655">
        <v>347276480</v>
      </c>
      <c r="F208" s="655">
        <v>312885408</v>
      </c>
      <c r="G208" s="655">
        <v>34391072</v>
      </c>
      <c r="H208" s="650">
        <v>0</v>
      </c>
      <c r="I208" s="651">
        <v>1.403</v>
      </c>
      <c r="J208" s="651">
        <v>9.7000000000000003E-2</v>
      </c>
      <c r="K208" s="651">
        <v>1.5</v>
      </c>
    </row>
    <row r="209" spans="1:11">
      <c r="A209" s="654" t="s">
        <v>4773</v>
      </c>
      <c r="B209" s="654" t="s">
        <v>3833</v>
      </c>
      <c r="C209" s="655">
        <v>23934105</v>
      </c>
      <c r="D209" s="655">
        <v>21092963</v>
      </c>
      <c r="E209" s="655">
        <v>23934105</v>
      </c>
      <c r="F209" s="655">
        <v>21092963</v>
      </c>
      <c r="G209" s="655">
        <v>2841142</v>
      </c>
      <c r="H209" s="650">
        <v>0</v>
      </c>
      <c r="I209" s="651">
        <v>1.33</v>
      </c>
      <c r="J209" s="651">
        <v>0.17</v>
      </c>
      <c r="K209" s="651">
        <v>1.5</v>
      </c>
    </row>
    <row r="210" spans="1:11">
      <c r="A210" s="654" t="s">
        <v>4774</v>
      </c>
      <c r="B210" s="654" t="s">
        <v>2883</v>
      </c>
      <c r="C210" s="655">
        <v>40141078</v>
      </c>
      <c r="D210" s="655">
        <v>37291800</v>
      </c>
      <c r="E210" s="655">
        <v>40141078</v>
      </c>
      <c r="F210" s="655">
        <v>37291800</v>
      </c>
      <c r="G210" s="655">
        <v>2849278</v>
      </c>
      <c r="H210" s="650">
        <v>0</v>
      </c>
      <c r="I210" s="651">
        <v>1.39</v>
      </c>
      <c r="J210" s="651">
        <v>0</v>
      </c>
      <c r="K210" s="651">
        <v>1.39</v>
      </c>
    </row>
    <row r="211" spans="1:11">
      <c r="A211" s="654" t="s">
        <v>4775</v>
      </c>
      <c r="B211" s="654" t="s">
        <v>2647</v>
      </c>
      <c r="C211" s="655">
        <v>798615516</v>
      </c>
      <c r="D211" s="655">
        <v>735031770</v>
      </c>
      <c r="E211" s="655">
        <v>798615516</v>
      </c>
      <c r="F211" s="655">
        <v>735031770</v>
      </c>
      <c r="G211" s="655">
        <v>63583746</v>
      </c>
      <c r="H211" s="650">
        <v>0</v>
      </c>
      <c r="I211" s="651">
        <v>1.4630000000000001</v>
      </c>
      <c r="J211" s="651">
        <v>0.14099999999999999</v>
      </c>
      <c r="K211" s="651">
        <v>1.6040000000000001</v>
      </c>
    </row>
    <row r="212" spans="1:11">
      <c r="A212" s="654" t="s">
        <v>4776</v>
      </c>
      <c r="B212" s="654" t="s">
        <v>2884</v>
      </c>
      <c r="C212" s="655">
        <v>94907866</v>
      </c>
      <c r="D212" s="655">
        <v>90213966</v>
      </c>
      <c r="E212" s="655">
        <v>93688351</v>
      </c>
      <c r="F212" s="655">
        <v>88994451</v>
      </c>
      <c r="G212" s="655">
        <v>4693900</v>
      </c>
      <c r="H212" s="655">
        <v>1219515</v>
      </c>
      <c r="I212" s="651">
        <v>1.39</v>
      </c>
      <c r="J212" s="651">
        <v>0</v>
      </c>
      <c r="K212" s="651">
        <v>1.39</v>
      </c>
    </row>
    <row r="213" spans="1:11">
      <c r="A213" s="654" t="s">
        <v>4777</v>
      </c>
      <c r="B213" s="654" t="s">
        <v>2885</v>
      </c>
      <c r="C213" s="655">
        <v>882874010</v>
      </c>
      <c r="D213" s="655">
        <v>873891520</v>
      </c>
      <c r="E213" s="655">
        <v>882874010</v>
      </c>
      <c r="F213" s="655">
        <v>873891520</v>
      </c>
      <c r="G213" s="655">
        <v>8982490</v>
      </c>
      <c r="H213" s="650">
        <v>0</v>
      </c>
      <c r="I213" s="651">
        <v>1.5</v>
      </c>
      <c r="J213" s="651">
        <v>0</v>
      </c>
      <c r="K213" s="651">
        <v>1.5</v>
      </c>
    </row>
    <row r="214" spans="1:11">
      <c r="A214" s="654" t="s">
        <v>4778</v>
      </c>
      <c r="B214" s="654" t="s">
        <v>4779</v>
      </c>
      <c r="C214" s="655">
        <v>1284419110</v>
      </c>
      <c r="D214" s="655">
        <v>1275666100</v>
      </c>
      <c r="E214" s="655">
        <v>1281521065</v>
      </c>
      <c r="F214" s="655">
        <v>1272768055</v>
      </c>
      <c r="G214" s="655">
        <v>8753010</v>
      </c>
      <c r="H214" s="655">
        <v>2898045</v>
      </c>
      <c r="I214" s="651">
        <v>1.5</v>
      </c>
      <c r="J214" s="651">
        <v>0</v>
      </c>
      <c r="K214" s="651">
        <v>1.5</v>
      </c>
    </row>
    <row r="215" spans="1:11">
      <c r="A215" s="654" t="s">
        <v>4780</v>
      </c>
      <c r="B215" s="654" t="s">
        <v>4781</v>
      </c>
      <c r="C215" s="655">
        <v>68244615</v>
      </c>
      <c r="D215" s="655">
        <v>63142862</v>
      </c>
      <c r="E215" s="655">
        <v>68244615</v>
      </c>
      <c r="F215" s="655">
        <v>63142862</v>
      </c>
      <c r="G215" s="655">
        <v>5101753</v>
      </c>
      <c r="H215" s="650">
        <v>0</v>
      </c>
      <c r="I215" s="651">
        <v>1.5</v>
      </c>
      <c r="J215" s="651">
        <v>0</v>
      </c>
      <c r="K215" s="651">
        <v>1.5</v>
      </c>
    </row>
    <row r="216" spans="1:11">
      <c r="A216" s="654" t="s">
        <v>4782</v>
      </c>
      <c r="B216" s="654" t="s">
        <v>2888</v>
      </c>
      <c r="C216" s="655">
        <v>59910234</v>
      </c>
      <c r="D216" s="655">
        <v>56667374</v>
      </c>
      <c r="E216" s="655">
        <v>59910234</v>
      </c>
      <c r="F216" s="655">
        <v>56667374</v>
      </c>
      <c r="G216" s="655">
        <v>3242860</v>
      </c>
      <c r="H216" s="650">
        <v>0</v>
      </c>
      <c r="I216" s="651">
        <v>1.4505999999999999</v>
      </c>
      <c r="J216" s="651">
        <v>0</v>
      </c>
      <c r="K216" s="651">
        <v>1.4505999999999999</v>
      </c>
    </row>
    <row r="217" spans="1:11">
      <c r="A217" s="654" t="s">
        <v>4783</v>
      </c>
      <c r="B217" s="654" t="s">
        <v>2889</v>
      </c>
      <c r="C217" s="655">
        <v>76623335</v>
      </c>
      <c r="D217" s="655">
        <v>71408575</v>
      </c>
      <c r="E217" s="655">
        <v>76623335</v>
      </c>
      <c r="F217" s="655">
        <v>71408575</v>
      </c>
      <c r="G217" s="655">
        <v>5214760</v>
      </c>
      <c r="H217" s="650">
        <v>0</v>
      </c>
      <c r="I217" s="651">
        <v>1.39</v>
      </c>
      <c r="J217" s="651">
        <v>0</v>
      </c>
      <c r="K217" s="651">
        <v>1.39</v>
      </c>
    </row>
    <row r="218" spans="1:11">
      <c r="A218" s="654" t="s">
        <v>4784</v>
      </c>
      <c r="B218" s="654" t="s">
        <v>2890</v>
      </c>
      <c r="C218" s="655">
        <v>215415620</v>
      </c>
      <c r="D218" s="655">
        <v>210944060</v>
      </c>
      <c r="E218" s="655">
        <v>215415620</v>
      </c>
      <c r="F218" s="655">
        <v>210944060</v>
      </c>
      <c r="G218" s="655">
        <v>4471560</v>
      </c>
      <c r="H218" s="650">
        <v>0</v>
      </c>
      <c r="I218" s="651">
        <v>1.5</v>
      </c>
      <c r="J218" s="651">
        <v>7.4999999999999997E-2</v>
      </c>
      <c r="K218" s="651">
        <v>1.575</v>
      </c>
    </row>
    <row r="219" spans="1:11">
      <c r="A219" s="654" t="s">
        <v>4785</v>
      </c>
      <c r="B219" s="654" t="s">
        <v>2891</v>
      </c>
      <c r="C219" s="655">
        <v>391664829</v>
      </c>
      <c r="D219" s="655">
        <v>373873880</v>
      </c>
      <c r="E219" s="655">
        <v>391664829</v>
      </c>
      <c r="F219" s="655">
        <v>373873880</v>
      </c>
      <c r="G219" s="655">
        <v>17790949</v>
      </c>
      <c r="H219" s="650">
        <v>0</v>
      </c>
      <c r="I219" s="651">
        <v>1.42</v>
      </c>
      <c r="J219" s="651">
        <v>0</v>
      </c>
      <c r="K219" s="651">
        <v>1.42</v>
      </c>
    </row>
    <row r="220" spans="1:11">
      <c r="A220" s="654" t="s">
        <v>4786</v>
      </c>
      <c r="B220" s="654" t="s">
        <v>2892</v>
      </c>
      <c r="C220" s="655">
        <v>72831790</v>
      </c>
      <c r="D220" s="655">
        <v>71382859</v>
      </c>
      <c r="E220" s="655">
        <v>72831790</v>
      </c>
      <c r="F220" s="655">
        <v>71382859</v>
      </c>
      <c r="G220" s="655">
        <v>1448931</v>
      </c>
      <c r="H220" s="650">
        <v>0</v>
      </c>
      <c r="I220" s="651">
        <v>1.5</v>
      </c>
      <c r="J220" s="651">
        <v>0</v>
      </c>
      <c r="K220" s="651">
        <v>1.5</v>
      </c>
    </row>
    <row r="221" spans="1:11">
      <c r="A221" s="654" t="s">
        <v>4787</v>
      </c>
      <c r="B221" s="654" t="s">
        <v>2893</v>
      </c>
      <c r="C221" s="655">
        <v>12525100364</v>
      </c>
      <c r="D221" s="655">
        <v>12269081579</v>
      </c>
      <c r="E221" s="655">
        <v>12525100364</v>
      </c>
      <c r="F221" s="655">
        <v>12269081579</v>
      </c>
      <c r="G221" s="655">
        <v>256018785</v>
      </c>
      <c r="H221" s="650">
        <v>0</v>
      </c>
      <c r="I221" s="651">
        <v>1.5</v>
      </c>
      <c r="J221" s="651">
        <v>0.28239999999999998</v>
      </c>
      <c r="K221" s="651">
        <v>1.7824</v>
      </c>
    </row>
    <row r="222" spans="1:11">
      <c r="A222" s="654" t="s">
        <v>4788</v>
      </c>
      <c r="B222" s="654" t="s">
        <v>2894</v>
      </c>
      <c r="C222" s="655">
        <v>2221799183</v>
      </c>
      <c r="D222" s="655">
        <v>2128329483</v>
      </c>
      <c r="E222" s="655">
        <v>2221799183</v>
      </c>
      <c r="F222" s="655">
        <v>2128329483</v>
      </c>
      <c r="G222" s="655">
        <v>93469700</v>
      </c>
      <c r="H222" s="650">
        <v>0</v>
      </c>
      <c r="I222" s="651">
        <v>1.5</v>
      </c>
      <c r="J222" s="651">
        <v>0.24129999999999999</v>
      </c>
      <c r="K222" s="651">
        <v>1.7413000000000001</v>
      </c>
    </row>
    <row r="223" spans="1:11">
      <c r="A223" s="654" t="s">
        <v>4789</v>
      </c>
      <c r="B223" s="654" t="s">
        <v>2895</v>
      </c>
      <c r="C223" s="655">
        <v>60149776523</v>
      </c>
      <c r="D223" s="655">
        <v>58613126523</v>
      </c>
      <c r="E223" s="655">
        <v>58921026772</v>
      </c>
      <c r="F223" s="655">
        <v>57384376772</v>
      </c>
      <c r="G223" s="655">
        <v>1536650000</v>
      </c>
      <c r="H223" s="655">
        <v>1228749751</v>
      </c>
      <c r="I223" s="651">
        <v>1.5</v>
      </c>
      <c r="J223" s="651">
        <v>0.1694</v>
      </c>
      <c r="K223" s="651">
        <v>1.6694</v>
      </c>
    </row>
    <row r="224" spans="1:11">
      <c r="A224" s="654" t="s">
        <v>4790</v>
      </c>
      <c r="B224" s="654" t="s">
        <v>2896</v>
      </c>
      <c r="C224" s="655">
        <v>1991264018</v>
      </c>
      <c r="D224" s="655">
        <v>1890553160</v>
      </c>
      <c r="E224" s="655">
        <v>1991264018</v>
      </c>
      <c r="F224" s="655">
        <v>1890553160</v>
      </c>
      <c r="G224" s="655">
        <v>100710858</v>
      </c>
      <c r="H224" s="650">
        <v>0</v>
      </c>
      <c r="I224" s="651">
        <v>1.5</v>
      </c>
      <c r="J224" s="651">
        <v>0.24</v>
      </c>
      <c r="K224" s="651">
        <v>1.74</v>
      </c>
    </row>
    <row r="225" spans="1:11">
      <c r="A225" s="654" t="s">
        <v>4791</v>
      </c>
      <c r="B225" s="654" t="s">
        <v>2897</v>
      </c>
      <c r="C225" s="655">
        <v>2948562709</v>
      </c>
      <c r="D225" s="655">
        <v>2819719581</v>
      </c>
      <c r="E225" s="655">
        <v>2948562709</v>
      </c>
      <c r="F225" s="655">
        <v>2819719581</v>
      </c>
      <c r="G225" s="655">
        <v>128843128</v>
      </c>
      <c r="H225" s="650">
        <v>0</v>
      </c>
      <c r="I225" s="651">
        <v>1.47</v>
      </c>
      <c r="J225" s="651">
        <v>0.36599999999999999</v>
      </c>
      <c r="K225" s="651">
        <v>1.8360000000000001</v>
      </c>
    </row>
    <row r="226" spans="1:11">
      <c r="A226" s="654" t="s">
        <v>4792</v>
      </c>
      <c r="B226" s="654" t="s">
        <v>122</v>
      </c>
      <c r="C226" s="655">
        <v>12283232655</v>
      </c>
      <c r="D226" s="655">
        <v>11715899023</v>
      </c>
      <c r="E226" s="655">
        <v>12283232655</v>
      </c>
      <c r="F226" s="655">
        <v>11715899023</v>
      </c>
      <c r="G226" s="655">
        <v>567333632</v>
      </c>
      <c r="H226" s="650">
        <v>0</v>
      </c>
      <c r="I226" s="651">
        <v>1.4101999999999999</v>
      </c>
      <c r="J226" s="651">
        <v>0.2112</v>
      </c>
      <c r="K226" s="651">
        <v>1.6214</v>
      </c>
    </row>
    <row r="227" spans="1:11">
      <c r="A227" s="654" t="s">
        <v>4793</v>
      </c>
      <c r="B227" s="654" t="s">
        <v>4966</v>
      </c>
      <c r="C227" s="655">
        <v>3811988833</v>
      </c>
      <c r="D227" s="655">
        <v>3622929292</v>
      </c>
      <c r="E227" s="655">
        <v>3811988833</v>
      </c>
      <c r="F227" s="655">
        <v>3622929292</v>
      </c>
      <c r="G227" s="655">
        <v>189059541</v>
      </c>
      <c r="H227" s="650">
        <v>0</v>
      </c>
      <c r="I227" s="651">
        <v>1.4624999999999999</v>
      </c>
      <c r="J227" s="651">
        <v>0.28860000000000002</v>
      </c>
      <c r="K227" s="651">
        <v>1.7511000000000001</v>
      </c>
    </row>
    <row r="228" spans="1:11">
      <c r="A228" s="654" t="s">
        <v>4794</v>
      </c>
      <c r="B228" s="654" t="s">
        <v>2898</v>
      </c>
      <c r="C228" s="655">
        <v>7888963264</v>
      </c>
      <c r="D228" s="655">
        <v>7805563264</v>
      </c>
      <c r="E228" s="655">
        <v>7209918440</v>
      </c>
      <c r="F228" s="655">
        <v>7126518440</v>
      </c>
      <c r="G228" s="655">
        <v>83400000</v>
      </c>
      <c r="H228" s="655">
        <v>679044824</v>
      </c>
      <c r="I228" s="651">
        <v>1.5</v>
      </c>
      <c r="J228" s="651">
        <v>0.11</v>
      </c>
      <c r="K228" s="651">
        <v>1.61</v>
      </c>
    </row>
    <row r="229" spans="1:11">
      <c r="A229" s="654" t="s">
        <v>4795</v>
      </c>
      <c r="B229" s="654" t="s">
        <v>3860</v>
      </c>
      <c r="C229" s="655">
        <v>7884187084</v>
      </c>
      <c r="D229" s="655">
        <v>7645867084</v>
      </c>
      <c r="E229" s="655">
        <v>7809768941</v>
      </c>
      <c r="F229" s="655">
        <v>7571448941</v>
      </c>
      <c r="G229" s="655">
        <v>238320000</v>
      </c>
      <c r="H229" s="655">
        <v>74418143</v>
      </c>
      <c r="I229" s="651">
        <v>1.5</v>
      </c>
      <c r="J229" s="651">
        <v>0.33700000000000002</v>
      </c>
      <c r="K229" s="651">
        <v>1.837</v>
      </c>
    </row>
    <row r="230" spans="1:11">
      <c r="A230" s="654" t="s">
        <v>4796</v>
      </c>
      <c r="B230" s="654" t="s">
        <v>2899</v>
      </c>
      <c r="C230" s="655">
        <v>1258382095</v>
      </c>
      <c r="D230" s="655">
        <v>1197756273</v>
      </c>
      <c r="E230" s="655">
        <v>1258382095</v>
      </c>
      <c r="F230" s="655">
        <v>1197756273</v>
      </c>
      <c r="G230" s="655">
        <v>60625822</v>
      </c>
      <c r="H230" s="650">
        <v>0</v>
      </c>
      <c r="I230" s="651">
        <v>1.4615800000000001</v>
      </c>
      <c r="J230" s="651">
        <v>0.39287699999999998</v>
      </c>
      <c r="K230" s="651">
        <v>1.85446</v>
      </c>
    </row>
    <row r="231" spans="1:11">
      <c r="A231" s="654" t="s">
        <v>4797</v>
      </c>
      <c r="B231" s="654" t="s">
        <v>496</v>
      </c>
      <c r="C231" s="655">
        <v>6112796679</v>
      </c>
      <c r="D231" s="655">
        <v>5805583183</v>
      </c>
      <c r="E231" s="655">
        <v>6112796679</v>
      </c>
      <c r="F231" s="655">
        <v>5805583183</v>
      </c>
      <c r="G231" s="655">
        <v>307213496</v>
      </c>
      <c r="H231" s="650">
        <v>0</v>
      </c>
      <c r="I231" s="651">
        <v>1.44</v>
      </c>
      <c r="J231" s="651">
        <v>0.32</v>
      </c>
      <c r="K231" s="651">
        <v>1.76</v>
      </c>
    </row>
    <row r="232" spans="1:11">
      <c r="A232" s="654" t="s">
        <v>4798</v>
      </c>
      <c r="B232" s="654" t="s">
        <v>2900</v>
      </c>
      <c r="C232" s="655">
        <v>16016354112</v>
      </c>
      <c r="D232" s="655">
        <v>15583614112</v>
      </c>
      <c r="E232" s="655">
        <v>15635657947</v>
      </c>
      <c r="F232" s="655">
        <v>15202917947</v>
      </c>
      <c r="G232" s="655">
        <v>432740000</v>
      </c>
      <c r="H232" s="655">
        <v>380696165</v>
      </c>
      <c r="I232" s="651">
        <v>1.5</v>
      </c>
      <c r="J232" s="651">
        <v>0.32</v>
      </c>
      <c r="K232" s="651">
        <v>1.82</v>
      </c>
    </row>
    <row r="233" spans="1:11">
      <c r="A233" s="654" t="s">
        <v>4799</v>
      </c>
      <c r="B233" s="654" t="s">
        <v>2901</v>
      </c>
      <c r="C233" s="655">
        <v>408391467</v>
      </c>
      <c r="D233" s="655">
        <v>397760940</v>
      </c>
      <c r="E233" s="655">
        <v>408391467</v>
      </c>
      <c r="F233" s="655">
        <v>397760940</v>
      </c>
      <c r="G233" s="655">
        <v>10630527</v>
      </c>
      <c r="H233" s="650">
        <v>0</v>
      </c>
      <c r="I233" s="651">
        <v>1.446</v>
      </c>
      <c r="J233" s="651">
        <v>0</v>
      </c>
      <c r="K233" s="651">
        <v>1.446</v>
      </c>
    </row>
    <row r="234" spans="1:11">
      <c r="A234" s="654" t="s">
        <v>4800</v>
      </c>
      <c r="B234" s="654" t="s">
        <v>2902</v>
      </c>
      <c r="C234" s="655">
        <v>578519461</v>
      </c>
      <c r="D234" s="655">
        <v>545032876</v>
      </c>
      <c r="E234" s="655">
        <v>578519461</v>
      </c>
      <c r="F234" s="655">
        <v>545032876</v>
      </c>
      <c r="G234" s="655">
        <v>33486585</v>
      </c>
      <c r="H234" s="650">
        <v>0</v>
      </c>
      <c r="I234" s="651">
        <v>1.4950000000000001</v>
      </c>
      <c r="J234" s="651">
        <v>8.5000000000000006E-2</v>
      </c>
      <c r="K234" s="651">
        <v>1.58</v>
      </c>
    </row>
    <row r="235" spans="1:11">
      <c r="A235" s="654" t="s">
        <v>4801</v>
      </c>
      <c r="B235" s="654" t="s">
        <v>2676</v>
      </c>
      <c r="C235" s="655">
        <v>5995770892</v>
      </c>
      <c r="D235" s="655">
        <v>5890895004</v>
      </c>
      <c r="E235" s="655">
        <v>5995770892</v>
      </c>
      <c r="F235" s="655">
        <v>5890895004</v>
      </c>
      <c r="G235" s="655">
        <v>104875888</v>
      </c>
      <c r="H235" s="650">
        <v>0</v>
      </c>
      <c r="I235" s="651">
        <v>1.5</v>
      </c>
      <c r="J235" s="651">
        <v>0.23499999999999999</v>
      </c>
      <c r="K235" s="651">
        <v>1.7350000000000001</v>
      </c>
    </row>
    <row r="236" spans="1:11">
      <c r="A236" s="654" t="s">
        <v>4802</v>
      </c>
      <c r="B236" s="654" t="s">
        <v>993</v>
      </c>
      <c r="C236" s="655">
        <v>142113707</v>
      </c>
      <c r="D236" s="655">
        <v>141392357</v>
      </c>
      <c r="E236" s="655">
        <v>142113707</v>
      </c>
      <c r="F236" s="655">
        <v>141392357</v>
      </c>
      <c r="G236" s="655">
        <v>721350</v>
      </c>
      <c r="H236" s="650">
        <v>0</v>
      </c>
      <c r="I236" s="651">
        <v>1.5</v>
      </c>
      <c r="J236" s="651">
        <v>0.11776</v>
      </c>
      <c r="K236" s="651">
        <v>1.6177600000000001</v>
      </c>
    </row>
    <row r="237" spans="1:11">
      <c r="A237" s="654" t="s">
        <v>4803</v>
      </c>
      <c r="B237" s="654" t="s">
        <v>2677</v>
      </c>
      <c r="C237" s="655">
        <v>205517617</v>
      </c>
      <c r="D237" s="655">
        <v>204064257</v>
      </c>
      <c r="E237" s="655">
        <v>204715632</v>
      </c>
      <c r="F237" s="655">
        <v>203262272</v>
      </c>
      <c r="G237" s="655">
        <v>1453360</v>
      </c>
      <c r="H237" s="655">
        <v>801985</v>
      </c>
      <c r="I237" s="651">
        <v>1.5</v>
      </c>
      <c r="J237" s="651">
        <v>0</v>
      </c>
      <c r="K237" s="651">
        <v>1.5</v>
      </c>
    </row>
    <row r="238" spans="1:11">
      <c r="A238" s="654" t="s">
        <v>4804</v>
      </c>
      <c r="B238" s="654" t="s">
        <v>2678</v>
      </c>
      <c r="C238" s="655">
        <v>306730027</v>
      </c>
      <c r="D238" s="655">
        <v>284599337</v>
      </c>
      <c r="E238" s="655">
        <v>301314587</v>
      </c>
      <c r="F238" s="655">
        <v>279183897</v>
      </c>
      <c r="G238" s="655">
        <v>22130690</v>
      </c>
      <c r="H238" s="655">
        <v>5415440</v>
      </c>
      <c r="I238" s="651">
        <v>1.5</v>
      </c>
      <c r="J238" s="651">
        <v>0</v>
      </c>
      <c r="K238" s="651">
        <v>1.5</v>
      </c>
    </row>
    <row r="239" spans="1:11">
      <c r="A239" s="654" t="s">
        <v>4805</v>
      </c>
      <c r="B239" s="654" t="s">
        <v>2679</v>
      </c>
      <c r="C239" s="655">
        <v>100986262</v>
      </c>
      <c r="D239" s="655">
        <v>99390622</v>
      </c>
      <c r="E239" s="655">
        <v>100287727</v>
      </c>
      <c r="F239" s="655">
        <v>98692087</v>
      </c>
      <c r="G239" s="655">
        <v>1595640</v>
      </c>
      <c r="H239" s="655">
        <v>698535</v>
      </c>
      <c r="I239" s="651">
        <v>1.48</v>
      </c>
      <c r="J239" s="651">
        <v>0</v>
      </c>
      <c r="K239" s="651">
        <v>1.48</v>
      </c>
    </row>
    <row r="240" spans="1:11">
      <c r="A240" s="654" t="s">
        <v>4806</v>
      </c>
      <c r="B240" s="654" t="s">
        <v>3843</v>
      </c>
      <c r="C240" s="655">
        <v>554745099</v>
      </c>
      <c r="D240" s="655">
        <v>522113468</v>
      </c>
      <c r="E240" s="655">
        <v>554745099</v>
      </c>
      <c r="F240" s="655">
        <v>522113468</v>
      </c>
      <c r="G240" s="655">
        <v>32631631</v>
      </c>
      <c r="H240" s="650">
        <v>0</v>
      </c>
      <c r="I240" s="651">
        <v>1.5</v>
      </c>
      <c r="J240" s="651">
        <v>0</v>
      </c>
      <c r="K240" s="651">
        <v>1.5</v>
      </c>
    </row>
    <row r="241" spans="1:11">
      <c r="A241" s="654" t="s">
        <v>4807</v>
      </c>
      <c r="B241" s="654" t="s">
        <v>2680</v>
      </c>
      <c r="C241" s="655">
        <v>28599372</v>
      </c>
      <c r="D241" s="655">
        <v>28350792</v>
      </c>
      <c r="E241" s="655">
        <v>28599372</v>
      </c>
      <c r="F241" s="655">
        <v>28350792</v>
      </c>
      <c r="G241" s="655">
        <v>248580</v>
      </c>
      <c r="H241" s="650">
        <v>0</v>
      </c>
      <c r="I241" s="651">
        <v>0.97570000000000001</v>
      </c>
      <c r="J241" s="651">
        <v>0</v>
      </c>
      <c r="K241" s="651">
        <v>0.97570000000000001</v>
      </c>
    </row>
    <row r="242" spans="1:11">
      <c r="A242" s="654" t="s">
        <v>4808</v>
      </c>
      <c r="B242" s="654" t="s">
        <v>2681</v>
      </c>
      <c r="C242" s="655">
        <v>116432478</v>
      </c>
      <c r="D242" s="655">
        <v>104407591</v>
      </c>
      <c r="E242" s="655">
        <v>116432478</v>
      </c>
      <c r="F242" s="655">
        <v>104407591</v>
      </c>
      <c r="G242" s="655">
        <v>12024887</v>
      </c>
      <c r="H242" s="650">
        <v>0</v>
      </c>
      <c r="I242" s="651">
        <v>1.34</v>
      </c>
      <c r="J242" s="651">
        <v>0.16</v>
      </c>
      <c r="K242" s="651">
        <v>1.5</v>
      </c>
    </row>
    <row r="243" spans="1:11">
      <c r="A243" s="654" t="s">
        <v>4809</v>
      </c>
      <c r="B243" s="654" t="s">
        <v>109</v>
      </c>
      <c r="C243" s="655">
        <v>35335756</v>
      </c>
      <c r="D243" s="655">
        <v>31312860</v>
      </c>
      <c r="E243" s="655">
        <v>35335756</v>
      </c>
      <c r="F243" s="655">
        <v>31312860</v>
      </c>
      <c r="G243" s="655">
        <v>4022896</v>
      </c>
      <c r="H243" s="650">
        <v>0</v>
      </c>
      <c r="I243" s="651">
        <v>1.4990000000000001</v>
      </c>
      <c r="J243" s="651">
        <v>0.151</v>
      </c>
      <c r="K243" s="651">
        <v>1.65</v>
      </c>
    </row>
    <row r="244" spans="1:11">
      <c r="A244" s="654" t="s">
        <v>4810</v>
      </c>
      <c r="B244" s="654" t="s">
        <v>2682</v>
      </c>
      <c r="C244" s="655">
        <v>6077494882</v>
      </c>
      <c r="D244" s="655">
        <v>5874844016</v>
      </c>
      <c r="E244" s="655">
        <v>6077494882</v>
      </c>
      <c r="F244" s="655">
        <v>5874844016</v>
      </c>
      <c r="G244" s="655">
        <v>202650866</v>
      </c>
      <c r="H244" s="650">
        <v>0</v>
      </c>
      <c r="I244" s="651">
        <v>1.5</v>
      </c>
      <c r="J244" s="651">
        <v>0.36399999999999999</v>
      </c>
      <c r="K244" s="651">
        <v>1.8640000000000001</v>
      </c>
    </row>
    <row r="245" spans="1:11">
      <c r="A245" s="654" t="s">
        <v>4811</v>
      </c>
      <c r="B245" s="654" t="s">
        <v>190</v>
      </c>
      <c r="C245" s="655">
        <v>17342273414</v>
      </c>
      <c r="D245" s="655">
        <v>16825005207</v>
      </c>
      <c r="E245" s="655">
        <v>17342273414</v>
      </c>
      <c r="F245" s="655">
        <v>16825005207</v>
      </c>
      <c r="G245" s="655">
        <v>517268207</v>
      </c>
      <c r="H245" s="650">
        <v>0</v>
      </c>
      <c r="I245" s="651">
        <v>1.5</v>
      </c>
      <c r="J245" s="651">
        <v>0.27</v>
      </c>
      <c r="K245" s="651">
        <v>1.77</v>
      </c>
    </row>
    <row r="246" spans="1:11">
      <c r="A246" s="654" t="s">
        <v>4812</v>
      </c>
      <c r="B246" s="654" t="s">
        <v>341</v>
      </c>
      <c r="C246" s="655">
        <v>388570765</v>
      </c>
      <c r="D246" s="655">
        <v>373636177</v>
      </c>
      <c r="E246" s="655">
        <v>388570765</v>
      </c>
      <c r="F246" s="655">
        <v>373636177</v>
      </c>
      <c r="G246" s="655">
        <v>14934588</v>
      </c>
      <c r="H246" s="650">
        <v>0</v>
      </c>
      <c r="I246" s="651">
        <v>1.5</v>
      </c>
      <c r="J246" s="651">
        <v>0.27550000000000002</v>
      </c>
      <c r="K246" s="651">
        <v>1.7755000000000001</v>
      </c>
    </row>
    <row r="247" spans="1:11">
      <c r="A247" s="654" t="s">
        <v>4813</v>
      </c>
      <c r="B247" s="654" t="s">
        <v>5640</v>
      </c>
      <c r="C247" s="655">
        <v>466551762</v>
      </c>
      <c r="D247" s="655">
        <v>452386661</v>
      </c>
      <c r="E247" s="655">
        <v>466551762</v>
      </c>
      <c r="F247" s="655">
        <v>452386661</v>
      </c>
      <c r="G247" s="655">
        <v>14165101</v>
      </c>
      <c r="H247" s="650">
        <v>0</v>
      </c>
      <c r="I247" s="651">
        <v>1.5</v>
      </c>
      <c r="J247" s="651">
        <v>0.22</v>
      </c>
      <c r="K247" s="651">
        <v>1.72</v>
      </c>
    </row>
    <row r="248" spans="1:11">
      <c r="A248" s="654" t="s">
        <v>4814</v>
      </c>
      <c r="B248" s="654" t="s">
        <v>343</v>
      </c>
      <c r="C248" s="655">
        <v>528752098</v>
      </c>
      <c r="D248" s="655">
        <v>520423138</v>
      </c>
      <c r="E248" s="655">
        <v>528752098</v>
      </c>
      <c r="F248" s="655">
        <v>520423138</v>
      </c>
      <c r="G248" s="655">
        <v>8328960</v>
      </c>
      <c r="H248" s="650">
        <v>0</v>
      </c>
      <c r="I248" s="651">
        <v>1.5</v>
      </c>
      <c r="J248" s="651">
        <v>0.26</v>
      </c>
      <c r="K248" s="651">
        <v>1.76</v>
      </c>
    </row>
    <row r="249" spans="1:11">
      <c r="A249" s="654" t="s">
        <v>4815</v>
      </c>
      <c r="B249" s="654" t="s">
        <v>7690</v>
      </c>
      <c r="C249" s="655">
        <v>298572599</v>
      </c>
      <c r="D249" s="655">
        <v>284462728</v>
      </c>
      <c r="E249" s="655">
        <v>298572599</v>
      </c>
      <c r="F249" s="655">
        <v>284462728</v>
      </c>
      <c r="G249" s="655">
        <v>14109871</v>
      </c>
      <c r="H249" s="650">
        <v>0</v>
      </c>
      <c r="I249" s="651">
        <v>1.5</v>
      </c>
      <c r="J249" s="651">
        <v>0.30809999999999998</v>
      </c>
      <c r="K249" s="651">
        <v>1.8081</v>
      </c>
    </row>
    <row r="250" spans="1:11">
      <c r="A250" s="654" t="s">
        <v>4816</v>
      </c>
      <c r="B250" s="654" t="s">
        <v>1456</v>
      </c>
      <c r="C250" s="655">
        <v>507837850</v>
      </c>
      <c r="D250" s="655">
        <v>484647549</v>
      </c>
      <c r="E250" s="655">
        <v>507837850</v>
      </c>
      <c r="F250" s="655">
        <v>484647549</v>
      </c>
      <c r="G250" s="655">
        <v>23190301</v>
      </c>
      <c r="H250" s="650">
        <v>0</v>
      </c>
      <c r="I250" s="651">
        <v>1.5</v>
      </c>
      <c r="J250" s="651">
        <v>0.3</v>
      </c>
      <c r="K250" s="651">
        <v>1.8</v>
      </c>
    </row>
    <row r="251" spans="1:11">
      <c r="A251" s="654" t="s">
        <v>4817</v>
      </c>
      <c r="B251" s="654" t="s">
        <v>2683</v>
      </c>
      <c r="C251" s="655">
        <v>613832687</v>
      </c>
      <c r="D251" s="655">
        <v>598421960</v>
      </c>
      <c r="E251" s="655">
        <v>613832687</v>
      </c>
      <c r="F251" s="655">
        <v>598421960</v>
      </c>
      <c r="G251" s="655">
        <v>15410727</v>
      </c>
      <c r="H251" s="650">
        <v>0</v>
      </c>
      <c r="I251" s="651">
        <v>1.5</v>
      </c>
      <c r="J251" s="651">
        <v>0.4</v>
      </c>
      <c r="K251" s="651">
        <v>1.9</v>
      </c>
    </row>
    <row r="252" spans="1:11">
      <c r="A252" s="654" t="s">
        <v>4818</v>
      </c>
      <c r="B252" s="654" t="s">
        <v>3831</v>
      </c>
      <c r="C252" s="655">
        <v>5092727927</v>
      </c>
      <c r="D252" s="655">
        <v>5010395911</v>
      </c>
      <c r="E252" s="655">
        <v>5092727927</v>
      </c>
      <c r="F252" s="655">
        <v>5010395911</v>
      </c>
      <c r="G252" s="655">
        <v>82332016</v>
      </c>
      <c r="H252" s="650">
        <v>0</v>
      </c>
      <c r="I252" s="651">
        <v>1.5</v>
      </c>
      <c r="J252" s="651">
        <v>0.31929999999999997</v>
      </c>
      <c r="K252" s="651">
        <v>1.8192999999999999</v>
      </c>
    </row>
    <row r="253" spans="1:11">
      <c r="A253" s="654" t="s">
        <v>4819</v>
      </c>
      <c r="B253" s="654" t="s">
        <v>185</v>
      </c>
      <c r="C253" s="655">
        <v>1028610262</v>
      </c>
      <c r="D253" s="655">
        <v>983444235</v>
      </c>
      <c r="E253" s="655">
        <v>1028610262</v>
      </c>
      <c r="F253" s="655">
        <v>983444235</v>
      </c>
      <c r="G253" s="655">
        <v>45166027</v>
      </c>
      <c r="H253" s="650">
        <v>0</v>
      </c>
      <c r="I253" s="651">
        <v>1.5</v>
      </c>
      <c r="J253" s="651">
        <v>0.29499999999999998</v>
      </c>
      <c r="K253" s="651">
        <v>1.7949999999999999</v>
      </c>
    </row>
    <row r="254" spans="1:11">
      <c r="A254" s="654" t="s">
        <v>4820</v>
      </c>
      <c r="B254" s="654" t="s">
        <v>194</v>
      </c>
      <c r="C254" s="655">
        <v>935896541</v>
      </c>
      <c r="D254" s="655">
        <v>896622827</v>
      </c>
      <c r="E254" s="655">
        <v>935896541</v>
      </c>
      <c r="F254" s="655">
        <v>896622827</v>
      </c>
      <c r="G254" s="655">
        <v>39273714</v>
      </c>
      <c r="H254" s="650">
        <v>0</v>
      </c>
      <c r="I254" s="651">
        <v>1.47</v>
      </c>
      <c r="J254" s="651">
        <v>0.35</v>
      </c>
      <c r="K254" s="651">
        <v>1.82</v>
      </c>
    </row>
    <row r="255" spans="1:11">
      <c r="A255" s="654" t="s">
        <v>4821</v>
      </c>
      <c r="B255" s="654" t="s">
        <v>990</v>
      </c>
      <c r="C255" s="655">
        <v>246535299</v>
      </c>
      <c r="D255" s="655">
        <v>225141669</v>
      </c>
      <c r="E255" s="655">
        <v>246535299</v>
      </c>
      <c r="F255" s="655">
        <v>225141669</v>
      </c>
      <c r="G255" s="655">
        <v>21393630</v>
      </c>
      <c r="H255" s="650">
        <v>0</v>
      </c>
      <c r="I255" s="651">
        <v>1.5</v>
      </c>
      <c r="J255" s="651">
        <v>0.16378000000000001</v>
      </c>
      <c r="K255" s="651">
        <v>1.66378</v>
      </c>
    </row>
    <row r="256" spans="1:11">
      <c r="A256" s="654" t="s">
        <v>4822</v>
      </c>
      <c r="B256" s="654" t="s">
        <v>2684</v>
      </c>
      <c r="C256" s="655">
        <v>47687456</v>
      </c>
      <c r="D256" s="655">
        <v>45629676</v>
      </c>
      <c r="E256" s="655">
        <v>47687456</v>
      </c>
      <c r="F256" s="655">
        <v>45629676</v>
      </c>
      <c r="G256" s="655">
        <v>2057780</v>
      </c>
      <c r="H256" s="650">
        <v>0</v>
      </c>
      <c r="I256" s="651">
        <v>1.5</v>
      </c>
      <c r="J256" s="651">
        <v>0.19198000000000001</v>
      </c>
      <c r="K256" s="651">
        <v>1.69198</v>
      </c>
    </row>
    <row r="257" spans="1:11">
      <c r="A257" s="654" t="s">
        <v>4823</v>
      </c>
      <c r="B257" s="654" t="s">
        <v>2009</v>
      </c>
      <c r="C257" s="655">
        <v>280504810</v>
      </c>
      <c r="D257" s="655">
        <v>259542570</v>
      </c>
      <c r="E257" s="655">
        <v>280504810</v>
      </c>
      <c r="F257" s="655">
        <v>259542570</v>
      </c>
      <c r="G257" s="655">
        <v>20962240</v>
      </c>
      <c r="H257" s="650">
        <v>0</v>
      </c>
      <c r="I257" s="651">
        <v>1.5</v>
      </c>
      <c r="J257" s="651">
        <v>0.17</v>
      </c>
      <c r="K257" s="651">
        <v>1.67</v>
      </c>
    </row>
    <row r="258" spans="1:11">
      <c r="A258" s="654" t="s">
        <v>1379</v>
      </c>
      <c r="B258" s="654" t="s">
        <v>2685</v>
      </c>
      <c r="C258" s="655">
        <v>106585737</v>
      </c>
      <c r="D258" s="655">
        <v>96260617</v>
      </c>
      <c r="E258" s="655">
        <v>106585737</v>
      </c>
      <c r="F258" s="655">
        <v>96260617</v>
      </c>
      <c r="G258" s="655">
        <v>10325120</v>
      </c>
      <c r="H258" s="650">
        <v>0</v>
      </c>
      <c r="I258" s="651">
        <v>1.5</v>
      </c>
      <c r="J258" s="651">
        <v>0</v>
      </c>
      <c r="K258" s="651">
        <v>1.5</v>
      </c>
    </row>
    <row r="259" spans="1:11">
      <c r="A259" s="654" t="s">
        <v>1380</v>
      </c>
      <c r="B259" s="654" t="s">
        <v>2686</v>
      </c>
      <c r="C259" s="655">
        <v>17144412</v>
      </c>
      <c r="D259" s="655">
        <v>15679062</v>
      </c>
      <c r="E259" s="655">
        <v>17144412</v>
      </c>
      <c r="F259" s="655">
        <v>15679062</v>
      </c>
      <c r="G259" s="655">
        <v>1465350</v>
      </c>
      <c r="H259" s="650">
        <v>0</v>
      </c>
      <c r="I259" s="651">
        <v>1.37297</v>
      </c>
      <c r="J259" s="651">
        <v>0.10663</v>
      </c>
      <c r="K259" s="651">
        <v>1.4796</v>
      </c>
    </row>
    <row r="260" spans="1:11">
      <c r="A260" s="654" t="s">
        <v>1381</v>
      </c>
      <c r="B260" s="654" t="s">
        <v>2687</v>
      </c>
      <c r="C260" s="655">
        <v>59053184</v>
      </c>
      <c r="D260" s="655">
        <v>55746824</v>
      </c>
      <c r="E260" s="655">
        <v>59053184</v>
      </c>
      <c r="F260" s="655">
        <v>55746824</v>
      </c>
      <c r="G260" s="655">
        <v>3306360</v>
      </c>
      <c r="H260" s="650">
        <v>0</v>
      </c>
      <c r="I260" s="651">
        <v>1.5</v>
      </c>
      <c r="J260" s="651">
        <v>0</v>
      </c>
      <c r="K260" s="651">
        <v>1.5</v>
      </c>
    </row>
    <row r="261" spans="1:11">
      <c r="A261" s="654" t="s">
        <v>1382</v>
      </c>
      <c r="B261" s="654" t="s">
        <v>2688</v>
      </c>
      <c r="C261" s="655">
        <v>133606670</v>
      </c>
      <c r="D261" s="655">
        <v>129076850</v>
      </c>
      <c r="E261" s="655">
        <v>133606670</v>
      </c>
      <c r="F261" s="655">
        <v>129076850</v>
      </c>
      <c r="G261" s="655">
        <v>4529820</v>
      </c>
      <c r="H261" s="650">
        <v>0</v>
      </c>
      <c r="I261" s="651">
        <v>1.5</v>
      </c>
      <c r="J261" s="651">
        <v>0</v>
      </c>
      <c r="K261" s="651">
        <v>1.5</v>
      </c>
    </row>
    <row r="262" spans="1:11">
      <c r="A262" s="654" t="s">
        <v>1383</v>
      </c>
      <c r="B262" s="654" t="s">
        <v>2689</v>
      </c>
      <c r="C262" s="655">
        <v>22465397</v>
      </c>
      <c r="D262" s="655">
        <v>21731387</v>
      </c>
      <c r="E262" s="655">
        <v>22465397</v>
      </c>
      <c r="F262" s="655">
        <v>21731387</v>
      </c>
      <c r="G262" s="655">
        <v>734010</v>
      </c>
      <c r="H262" s="650">
        <v>0</v>
      </c>
      <c r="I262" s="651">
        <v>1.5</v>
      </c>
      <c r="J262" s="651">
        <v>0</v>
      </c>
      <c r="K262" s="651">
        <v>1.5</v>
      </c>
    </row>
    <row r="263" spans="1:11">
      <c r="A263" s="654" t="s">
        <v>1384</v>
      </c>
      <c r="B263" s="654" t="s">
        <v>1385</v>
      </c>
      <c r="C263" s="655">
        <v>298828715</v>
      </c>
      <c r="D263" s="655">
        <v>281986642</v>
      </c>
      <c r="E263" s="655">
        <v>294236640</v>
      </c>
      <c r="F263" s="655">
        <v>277394567</v>
      </c>
      <c r="G263" s="655">
        <v>16842073</v>
      </c>
      <c r="H263" s="655">
        <v>4592075</v>
      </c>
      <c r="I263" s="651">
        <v>1.5</v>
      </c>
      <c r="J263" s="651">
        <v>0.04</v>
      </c>
      <c r="K263" s="651">
        <v>1.54</v>
      </c>
    </row>
    <row r="264" spans="1:11">
      <c r="A264" s="654" t="s">
        <v>1386</v>
      </c>
      <c r="B264" s="654" t="s">
        <v>2690</v>
      </c>
      <c r="C264" s="655">
        <v>113022507</v>
      </c>
      <c r="D264" s="655">
        <v>105300601</v>
      </c>
      <c r="E264" s="655">
        <v>113022507</v>
      </c>
      <c r="F264" s="655">
        <v>105300601</v>
      </c>
      <c r="G264" s="655">
        <v>7721906</v>
      </c>
      <c r="H264" s="650">
        <v>0</v>
      </c>
      <c r="I264" s="651">
        <v>1.3740000000000001</v>
      </c>
      <c r="J264" s="651">
        <v>0</v>
      </c>
      <c r="K264" s="651">
        <v>1.3740000000000001</v>
      </c>
    </row>
    <row r="265" spans="1:11">
      <c r="A265" s="654" t="s">
        <v>1387</v>
      </c>
      <c r="B265" s="654" t="s">
        <v>3841</v>
      </c>
      <c r="C265" s="655">
        <v>30323149</v>
      </c>
      <c r="D265" s="655">
        <v>28892760</v>
      </c>
      <c r="E265" s="655">
        <v>30323149</v>
      </c>
      <c r="F265" s="655">
        <v>28892760</v>
      </c>
      <c r="G265" s="655">
        <v>1430389</v>
      </c>
      <c r="H265" s="650">
        <v>0</v>
      </c>
      <c r="I265" s="651">
        <v>1.3735999999999999</v>
      </c>
      <c r="J265" s="651">
        <v>0</v>
      </c>
      <c r="K265" s="651">
        <v>1.4302999999999999</v>
      </c>
    </row>
    <row r="266" spans="1:11">
      <c r="A266" s="654" t="s">
        <v>1388</v>
      </c>
      <c r="B266" s="654" t="s">
        <v>2691</v>
      </c>
      <c r="C266" s="655">
        <v>27225236</v>
      </c>
      <c r="D266" s="655">
        <v>26856956</v>
      </c>
      <c r="E266" s="655">
        <v>26964685</v>
      </c>
      <c r="F266" s="655">
        <v>26596405</v>
      </c>
      <c r="G266" s="655">
        <v>368280</v>
      </c>
      <c r="H266" s="655">
        <v>260551</v>
      </c>
      <c r="I266" s="651">
        <v>1.47</v>
      </c>
      <c r="J266" s="651">
        <v>0</v>
      </c>
      <c r="K266" s="651">
        <v>1.47</v>
      </c>
    </row>
    <row r="267" spans="1:11">
      <c r="A267" s="654" t="s">
        <v>1389</v>
      </c>
      <c r="B267" s="654" t="s">
        <v>2692</v>
      </c>
      <c r="C267" s="655">
        <v>249127261</v>
      </c>
      <c r="D267" s="655">
        <v>242656363</v>
      </c>
      <c r="E267" s="655">
        <v>249127261</v>
      </c>
      <c r="F267" s="655">
        <v>242656363</v>
      </c>
      <c r="G267" s="655">
        <v>6470898</v>
      </c>
      <c r="H267" s="650">
        <v>0</v>
      </c>
      <c r="I267" s="651">
        <v>1.4</v>
      </c>
      <c r="J267" s="651">
        <v>0</v>
      </c>
      <c r="K267" s="651">
        <v>1.4</v>
      </c>
    </row>
    <row r="268" spans="1:11">
      <c r="A268" s="654" t="s">
        <v>1390</v>
      </c>
      <c r="B268" s="654" t="s">
        <v>381</v>
      </c>
      <c r="C268" s="655">
        <v>129213946</v>
      </c>
      <c r="D268" s="655">
        <v>117065796</v>
      </c>
      <c r="E268" s="655">
        <v>129213946</v>
      </c>
      <c r="F268" s="655">
        <v>117065796</v>
      </c>
      <c r="G268" s="655">
        <v>12148150</v>
      </c>
      <c r="H268" s="650">
        <v>0</v>
      </c>
      <c r="I268" s="651">
        <v>1.4646999999999999</v>
      </c>
      <c r="J268" s="651">
        <v>0.1321</v>
      </c>
      <c r="K268" s="651">
        <v>1.5968</v>
      </c>
    </row>
    <row r="269" spans="1:11">
      <c r="A269" s="654" t="s">
        <v>1391</v>
      </c>
      <c r="B269" s="654" t="s">
        <v>2693</v>
      </c>
      <c r="C269" s="655">
        <v>267608926</v>
      </c>
      <c r="D269" s="655">
        <v>260897386</v>
      </c>
      <c r="E269" s="655">
        <v>264359871</v>
      </c>
      <c r="F269" s="655">
        <v>257648331</v>
      </c>
      <c r="G269" s="655">
        <v>6711540</v>
      </c>
      <c r="H269" s="655">
        <v>3249055</v>
      </c>
      <c r="I269" s="651">
        <v>1.5</v>
      </c>
      <c r="J269" s="651">
        <v>0</v>
      </c>
      <c r="K269" s="651">
        <v>1.5</v>
      </c>
    </row>
    <row r="270" spans="1:11">
      <c r="A270" s="654" t="s">
        <v>1392</v>
      </c>
      <c r="B270" s="654" t="s">
        <v>325</v>
      </c>
      <c r="C270" s="655">
        <v>170524716</v>
      </c>
      <c r="D270" s="655">
        <v>159100556</v>
      </c>
      <c r="E270" s="655">
        <v>170524716</v>
      </c>
      <c r="F270" s="655">
        <v>159100556</v>
      </c>
      <c r="G270" s="655">
        <v>11424160</v>
      </c>
      <c r="H270" s="650">
        <v>0</v>
      </c>
      <c r="I270" s="651">
        <v>1.44</v>
      </c>
      <c r="J270" s="651">
        <v>0</v>
      </c>
      <c r="K270" s="651">
        <v>1.44</v>
      </c>
    </row>
    <row r="271" spans="1:11">
      <c r="A271" s="654" t="s">
        <v>1393</v>
      </c>
      <c r="B271" s="654" t="s">
        <v>7652</v>
      </c>
      <c r="C271" s="655">
        <v>243954434</v>
      </c>
      <c r="D271" s="655">
        <v>228127984</v>
      </c>
      <c r="E271" s="655">
        <v>243954434</v>
      </c>
      <c r="F271" s="655">
        <v>228127984</v>
      </c>
      <c r="G271" s="655">
        <v>15826450</v>
      </c>
      <c r="H271" s="650">
        <v>0</v>
      </c>
      <c r="I271" s="651">
        <v>1.45</v>
      </c>
      <c r="J271" s="651">
        <v>0</v>
      </c>
      <c r="K271" s="651">
        <v>1.45</v>
      </c>
    </row>
    <row r="272" spans="1:11">
      <c r="A272" s="654" t="s">
        <v>1394</v>
      </c>
      <c r="B272" s="654" t="s">
        <v>1259</v>
      </c>
      <c r="C272" s="655">
        <v>47084080</v>
      </c>
      <c r="D272" s="655">
        <v>42580680</v>
      </c>
      <c r="E272" s="655">
        <v>47084080</v>
      </c>
      <c r="F272" s="655">
        <v>42580680</v>
      </c>
      <c r="G272" s="655">
        <v>4503400</v>
      </c>
      <c r="H272" s="650">
        <v>0</v>
      </c>
      <c r="I272" s="651">
        <v>1.45</v>
      </c>
      <c r="J272" s="651">
        <v>0</v>
      </c>
      <c r="K272" s="651">
        <v>1.45</v>
      </c>
    </row>
    <row r="273" spans="1:11">
      <c r="A273" s="654" t="s">
        <v>1395</v>
      </c>
      <c r="B273" s="654" t="s">
        <v>1260</v>
      </c>
      <c r="C273" s="655">
        <v>67563743</v>
      </c>
      <c r="D273" s="655">
        <v>61284713</v>
      </c>
      <c r="E273" s="655">
        <v>67563743</v>
      </c>
      <c r="F273" s="655">
        <v>61284713</v>
      </c>
      <c r="G273" s="655">
        <v>6279030</v>
      </c>
      <c r="H273" s="650">
        <v>0</v>
      </c>
      <c r="I273" s="651">
        <v>1.5</v>
      </c>
      <c r="J273" s="651">
        <v>0</v>
      </c>
      <c r="K273" s="651">
        <v>1.5</v>
      </c>
    </row>
    <row r="274" spans="1:11">
      <c r="A274" s="654" t="s">
        <v>1396</v>
      </c>
      <c r="B274" s="654" t="s">
        <v>1261</v>
      </c>
      <c r="C274" s="655">
        <v>34517780</v>
      </c>
      <c r="D274" s="655">
        <v>31175530</v>
      </c>
      <c r="E274" s="655">
        <v>34517780</v>
      </c>
      <c r="F274" s="655">
        <v>31175530</v>
      </c>
      <c r="G274" s="655">
        <v>3342250</v>
      </c>
      <c r="H274" s="650">
        <v>0</v>
      </c>
      <c r="I274" s="651">
        <v>1.4390000000000001</v>
      </c>
      <c r="J274" s="651">
        <v>0</v>
      </c>
      <c r="K274" s="651">
        <v>1.4390000000000001</v>
      </c>
    </row>
    <row r="275" spans="1:11">
      <c r="A275" s="654" t="s">
        <v>1397</v>
      </c>
      <c r="B275" s="654" t="s">
        <v>1262</v>
      </c>
      <c r="C275" s="655">
        <v>5286585268</v>
      </c>
      <c r="D275" s="655">
        <v>5029862142</v>
      </c>
      <c r="E275" s="655">
        <v>5146260314</v>
      </c>
      <c r="F275" s="655">
        <v>4889537188</v>
      </c>
      <c r="G275" s="655">
        <v>256723126</v>
      </c>
      <c r="H275" s="655">
        <v>140324954</v>
      </c>
      <c r="I275" s="651">
        <v>1.45</v>
      </c>
      <c r="J275" s="651">
        <v>6.9199999999999998E-2</v>
      </c>
      <c r="K275" s="651">
        <v>1.5192000000000001</v>
      </c>
    </row>
    <row r="276" spans="1:11">
      <c r="A276" s="654" t="s">
        <v>1398</v>
      </c>
      <c r="B276" s="654" t="s">
        <v>1263</v>
      </c>
      <c r="C276" s="655">
        <v>215813827</v>
      </c>
      <c r="D276" s="655">
        <v>212282763</v>
      </c>
      <c r="E276" s="655">
        <v>215813827</v>
      </c>
      <c r="F276" s="655">
        <v>212282763</v>
      </c>
      <c r="G276" s="655">
        <v>3531064</v>
      </c>
      <c r="H276" s="650">
        <v>0</v>
      </c>
      <c r="I276" s="651">
        <v>1.5</v>
      </c>
      <c r="J276" s="651">
        <v>0</v>
      </c>
      <c r="K276" s="651">
        <v>1.5</v>
      </c>
    </row>
    <row r="277" spans="1:11">
      <c r="A277" s="654" t="s">
        <v>1399</v>
      </c>
      <c r="B277" s="654" t="s">
        <v>1264</v>
      </c>
      <c r="C277" s="655">
        <v>121311328</v>
      </c>
      <c r="D277" s="655">
        <v>116294668</v>
      </c>
      <c r="E277" s="655">
        <v>121311328</v>
      </c>
      <c r="F277" s="655">
        <v>116294668</v>
      </c>
      <c r="G277" s="655">
        <v>5016660</v>
      </c>
      <c r="H277" s="650">
        <v>0</v>
      </c>
      <c r="I277" s="651">
        <v>1.5</v>
      </c>
      <c r="J277" s="651">
        <v>0.06</v>
      </c>
      <c r="K277" s="651">
        <v>1.56</v>
      </c>
    </row>
    <row r="278" spans="1:11">
      <c r="A278" s="654" t="s">
        <v>1400</v>
      </c>
      <c r="B278" s="654" t="s">
        <v>7691</v>
      </c>
      <c r="C278" s="655">
        <v>29771017</v>
      </c>
      <c r="D278" s="655">
        <v>28219526</v>
      </c>
      <c r="E278" s="655">
        <v>29771017</v>
      </c>
      <c r="F278" s="655">
        <v>28219526</v>
      </c>
      <c r="G278" s="655">
        <v>1551491</v>
      </c>
      <c r="H278" s="650">
        <v>0</v>
      </c>
      <c r="I278" s="651">
        <v>1.3533999999999999</v>
      </c>
      <c r="J278" s="651">
        <v>6.5699999999999995E-2</v>
      </c>
      <c r="K278" s="651">
        <v>1.4191</v>
      </c>
    </row>
    <row r="279" spans="1:11">
      <c r="A279" s="654" t="s">
        <v>1401</v>
      </c>
      <c r="B279" s="654" t="s">
        <v>1265</v>
      </c>
      <c r="C279" s="655">
        <v>1291630930</v>
      </c>
      <c r="D279" s="655">
        <v>1244402833</v>
      </c>
      <c r="E279" s="655">
        <v>1291630930</v>
      </c>
      <c r="F279" s="655">
        <v>1244402833</v>
      </c>
      <c r="G279" s="655">
        <v>47228097</v>
      </c>
      <c r="H279" s="650">
        <v>0</v>
      </c>
      <c r="I279" s="651">
        <v>1.4702999999999999</v>
      </c>
      <c r="J279" s="651">
        <v>0.18160000000000001</v>
      </c>
      <c r="K279" s="651">
        <v>1.6518999999999999</v>
      </c>
    </row>
    <row r="280" spans="1:11">
      <c r="A280" s="654" t="s">
        <v>1402</v>
      </c>
      <c r="B280" s="654" t="s">
        <v>1266</v>
      </c>
      <c r="C280" s="655">
        <v>272539130</v>
      </c>
      <c r="D280" s="655">
        <v>255674624</v>
      </c>
      <c r="E280" s="655">
        <v>272539130</v>
      </c>
      <c r="F280" s="655">
        <v>255674624</v>
      </c>
      <c r="G280" s="655">
        <v>16864506</v>
      </c>
      <c r="H280" s="650">
        <v>0</v>
      </c>
      <c r="I280" s="651">
        <v>1.4750000000000001</v>
      </c>
      <c r="J280" s="651">
        <v>0.2969</v>
      </c>
      <c r="K280" s="651">
        <v>1.7719</v>
      </c>
    </row>
    <row r="281" spans="1:11">
      <c r="A281" s="654" t="s">
        <v>1403</v>
      </c>
      <c r="B281" s="654" t="s">
        <v>1906</v>
      </c>
      <c r="C281" s="655">
        <v>85013442</v>
      </c>
      <c r="D281" s="655">
        <v>78875883</v>
      </c>
      <c r="E281" s="655">
        <v>85013442</v>
      </c>
      <c r="F281" s="655">
        <v>78875883</v>
      </c>
      <c r="G281" s="655">
        <v>6137559</v>
      </c>
      <c r="H281" s="650">
        <v>0</v>
      </c>
      <c r="I281" s="651">
        <v>1.5</v>
      </c>
      <c r="J281" s="651">
        <v>0.06</v>
      </c>
      <c r="K281" s="651">
        <v>1.56</v>
      </c>
    </row>
    <row r="282" spans="1:11">
      <c r="A282" s="654" t="s">
        <v>1404</v>
      </c>
      <c r="B282" s="654" t="s">
        <v>1267</v>
      </c>
      <c r="C282" s="655">
        <v>1940079596</v>
      </c>
      <c r="D282" s="655">
        <v>1880163519</v>
      </c>
      <c r="E282" s="655">
        <v>1895266293</v>
      </c>
      <c r="F282" s="655">
        <v>1835350216</v>
      </c>
      <c r="G282" s="655">
        <v>59916077</v>
      </c>
      <c r="H282" s="655">
        <v>44813303</v>
      </c>
      <c r="I282" s="651">
        <v>1.5</v>
      </c>
      <c r="J282" s="651">
        <v>0.26450000000000001</v>
      </c>
      <c r="K282" s="651">
        <v>1.7645</v>
      </c>
    </row>
    <row r="283" spans="1:11">
      <c r="A283" s="654" t="s">
        <v>1405</v>
      </c>
      <c r="B283" s="654" t="s">
        <v>1268</v>
      </c>
      <c r="C283" s="655">
        <v>34991612</v>
      </c>
      <c r="D283" s="655">
        <v>32620053</v>
      </c>
      <c r="E283" s="655">
        <v>34991612</v>
      </c>
      <c r="F283" s="655">
        <v>32620053</v>
      </c>
      <c r="G283" s="655">
        <v>2371559</v>
      </c>
      <c r="H283" s="650">
        <v>0</v>
      </c>
      <c r="I283" s="651">
        <v>1.5</v>
      </c>
      <c r="J283" s="651">
        <v>0.12398099999999999</v>
      </c>
      <c r="K283" s="651">
        <v>1.62398</v>
      </c>
    </row>
    <row r="284" spans="1:11">
      <c r="A284" s="654" t="s">
        <v>1406</v>
      </c>
      <c r="B284" s="654" t="s">
        <v>3628</v>
      </c>
      <c r="C284" s="655">
        <v>179001658</v>
      </c>
      <c r="D284" s="655">
        <v>167687655</v>
      </c>
      <c r="E284" s="655">
        <v>179001658</v>
      </c>
      <c r="F284" s="655">
        <v>167687655</v>
      </c>
      <c r="G284" s="655">
        <v>11314003</v>
      </c>
      <c r="H284" s="650">
        <v>0</v>
      </c>
      <c r="I284" s="651">
        <v>1.5</v>
      </c>
      <c r="J284" s="651">
        <v>0.11700000000000001</v>
      </c>
      <c r="K284" s="651">
        <v>1.617</v>
      </c>
    </row>
    <row r="285" spans="1:11">
      <c r="A285" s="654" t="s">
        <v>1407</v>
      </c>
      <c r="B285" s="654" t="s">
        <v>357</v>
      </c>
      <c r="C285" s="655">
        <v>881724801</v>
      </c>
      <c r="D285" s="655">
        <v>831166879</v>
      </c>
      <c r="E285" s="655">
        <v>881724801</v>
      </c>
      <c r="F285" s="655">
        <v>831166879</v>
      </c>
      <c r="G285" s="655">
        <v>50557922</v>
      </c>
      <c r="H285" s="650">
        <v>0</v>
      </c>
      <c r="I285" s="651">
        <v>1.49</v>
      </c>
      <c r="J285" s="651">
        <v>0.15</v>
      </c>
      <c r="K285" s="651">
        <v>1.64</v>
      </c>
    </row>
    <row r="286" spans="1:11">
      <c r="A286" s="654" t="s">
        <v>1408</v>
      </c>
      <c r="B286" s="654" t="s">
        <v>4063</v>
      </c>
      <c r="C286" s="655">
        <v>2050142105</v>
      </c>
      <c r="D286" s="655">
        <v>1981700988</v>
      </c>
      <c r="E286" s="655">
        <v>2050142105</v>
      </c>
      <c r="F286" s="655">
        <v>1981700988</v>
      </c>
      <c r="G286" s="655">
        <v>68441117</v>
      </c>
      <c r="H286" s="650">
        <v>0</v>
      </c>
      <c r="I286" s="651">
        <v>1.4858</v>
      </c>
      <c r="J286" s="651">
        <v>0.23069999999999999</v>
      </c>
      <c r="K286" s="651">
        <v>1.7164999999999999</v>
      </c>
    </row>
    <row r="287" spans="1:11">
      <c r="A287" s="654" t="s">
        <v>1409</v>
      </c>
      <c r="B287" s="654" t="s">
        <v>6072</v>
      </c>
      <c r="C287" s="655">
        <v>144892420</v>
      </c>
      <c r="D287" s="655">
        <v>135815018</v>
      </c>
      <c r="E287" s="655">
        <v>144892420</v>
      </c>
      <c r="F287" s="655">
        <v>135815018</v>
      </c>
      <c r="G287" s="655">
        <v>9077402</v>
      </c>
      <c r="H287" s="650">
        <v>0</v>
      </c>
      <c r="I287" s="651">
        <v>1.45</v>
      </c>
      <c r="J287" s="651">
        <v>0.32900000000000001</v>
      </c>
      <c r="K287" s="651">
        <v>1.7789999999999999</v>
      </c>
    </row>
    <row r="288" spans="1:11">
      <c r="A288" s="654" t="s">
        <v>1410</v>
      </c>
      <c r="B288" s="654" t="s">
        <v>6116</v>
      </c>
      <c r="C288" s="655">
        <v>506430878</v>
      </c>
      <c r="D288" s="655">
        <v>464445145</v>
      </c>
      <c r="E288" s="655">
        <v>506430878</v>
      </c>
      <c r="F288" s="655">
        <v>464445145</v>
      </c>
      <c r="G288" s="655">
        <v>41985733</v>
      </c>
      <c r="H288" s="650">
        <v>0</v>
      </c>
      <c r="I288" s="651">
        <v>1.5</v>
      </c>
      <c r="J288" s="651">
        <v>0.21</v>
      </c>
      <c r="K288" s="651">
        <v>1.71</v>
      </c>
    </row>
    <row r="289" spans="1:11">
      <c r="A289" s="654" t="s">
        <v>1411</v>
      </c>
      <c r="B289" s="654" t="s">
        <v>1269</v>
      </c>
      <c r="C289" s="655">
        <v>10265267709</v>
      </c>
      <c r="D289" s="655">
        <v>9724995784</v>
      </c>
      <c r="E289" s="655">
        <v>10265267709</v>
      </c>
      <c r="F289" s="655">
        <v>9724995784</v>
      </c>
      <c r="G289" s="655">
        <v>540271925</v>
      </c>
      <c r="H289" s="650">
        <v>0</v>
      </c>
      <c r="I289" s="651">
        <v>1.5</v>
      </c>
      <c r="J289" s="651">
        <v>0.1535</v>
      </c>
      <c r="K289" s="651">
        <v>1.6535</v>
      </c>
    </row>
    <row r="290" spans="1:11">
      <c r="A290" s="654" t="s">
        <v>1412</v>
      </c>
      <c r="B290" s="654" t="s">
        <v>1930</v>
      </c>
      <c r="C290" s="655">
        <v>119173468</v>
      </c>
      <c r="D290" s="655">
        <v>108551960</v>
      </c>
      <c r="E290" s="655">
        <v>119173468</v>
      </c>
      <c r="F290" s="655">
        <v>108551960</v>
      </c>
      <c r="G290" s="655">
        <v>10621508</v>
      </c>
      <c r="H290" s="650">
        <v>0</v>
      </c>
      <c r="I290" s="651">
        <v>1.5</v>
      </c>
      <c r="J290" s="651">
        <v>7.8495999999999996E-2</v>
      </c>
      <c r="K290" s="651">
        <v>1.5785</v>
      </c>
    </row>
    <row r="291" spans="1:11">
      <c r="A291" s="654" t="s">
        <v>1413</v>
      </c>
      <c r="B291" s="654" t="s">
        <v>382</v>
      </c>
      <c r="C291" s="655">
        <v>113929000</v>
      </c>
      <c r="D291" s="655">
        <v>101785692</v>
      </c>
      <c r="E291" s="655">
        <v>113929000</v>
      </c>
      <c r="F291" s="655">
        <v>101785692</v>
      </c>
      <c r="G291" s="655">
        <v>12143308</v>
      </c>
      <c r="H291" s="650">
        <v>0</v>
      </c>
      <c r="I291" s="651">
        <v>1.5</v>
      </c>
      <c r="J291" s="651">
        <v>7.1698999999999999E-2</v>
      </c>
      <c r="K291" s="651">
        <v>1.5717000000000001</v>
      </c>
    </row>
    <row r="292" spans="1:11">
      <c r="A292" s="654" t="s">
        <v>7347</v>
      </c>
      <c r="B292" s="654" t="s">
        <v>2010</v>
      </c>
      <c r="C292" s="655">
        <v>4988762039</v>
      </c>
      <c r="D292" s="655">
        <v>4621336436</v>
      </c>
      <c r="E292" s="655">
        <v>4729753563</v>
      </c>
      <c r="F292" s="655">
        <v>4362327960</v>
      </c>
      <c r="G292" s="655">
        <v>367425603</v>
      </c>
      <c r="H292" s="655">
        <v>259008476</v>
      </c>
      <c r="I292" s="651">
        <v>1.5</v>
      </c>
      <c r="J292" s="651">
        <v>0.257438</v>
      </c>
      <c r="K292" s="651">
        <v>1.7574399999999999</v>
      </c>
    </row>
    <row r="293" spans="1:11">
      <c r="A293" s="654" t="s">
        <v>7348</v>
      </c>
      <c r="B293" s="654" t="s">
        <v>7349</v>
      </c>
      <c r="C293" s="655">
        <v>90217911</v>
      </c>
      <c r="D293" s="655">
        <v>85376820</v>
      </c>
      <c r="E293" s="655">
        <v>90217911</v>
      </c>
      <c r="F293" s="655">
        <v>85376820</v>
      </c>
      <c r="G293" s="655">
        <v>4841091</v>
      </c>
      <c r="H293" s="650">
        <v>0</v>
      </c>
      <c r="I293" s="651">
        <v>1.5</v>
      </c>
      <c r="J293" s="651">
        <v>0.22007099999999999</v>
      </c>
      <c r="K293" s="651">
        <v>1.72007</v>
      </c>
    </row>
    <row r="294" spans="1:11">
      <c r="A294" s="654" t="s">
        <v>7350</v>
      </c>
      <c r="B294" s="654" t="s">
        <v>6099</v>
      </c>
      <c r="C294" s="655">
        <v>682656436</v>
      </c>
      <c r="D294" s="655">
        <v>654963932</v>
      </c>
      <c r="E294" s="655">
        <v>682656436</v>
      </c>
      <c r="F294" s="655">
        <v>654963932</v>
      </c>
      <c r="G294" s="655">
        <v>27692504</v>
      </c>
      <c r="H294" s="650">
        <v>0</v>
      </c>
      <c r="I294" s="651">
        <v>1.5</v>
      </c>
      <c r="J294" s="651">
        <v>0.241537</v>
      </c>
      <c r="K294" s="651">
        <v>1.7415400000000001</v>
      </c>
    </row>
    <row r="295" spans="1:11">
      <c r="A295" s="654" t="s">
        <v>7351</v>
      </c>
      <c r="B295" s="654" t="s">
        <v>5367</v>
      </c>
      <c r="C295" s="655">
        <v>43887896</v>
      </c>
      <c r="D295" s="655">
        <v>41518240</v>
      </c>
      <c r="E295" s="655">
        <v>43887896</v>
      </c>
      <c r="F295" s="655">
        <v>41518240</v>
      </c>
      <c r="G295" s="655">
        <v>2369656</v>
      </c>
      <c r="H295" s="650">
        <v>0</v>
      </c>
      <c r="I295" s="651">
        <v>1.5</v>
      </c>
      <c r="J295" s="651">
        <v>0.208202</v>
      </c>
      <c r="K295" s="651">
        <v>1.7081999999999999</v>
      </c>
    </row>
    <row r="296" spans="1:11">
      <c r="A296" s="654" t="s">
        <v>7352</v>
      </c>
      <c r="B296" s="654" t="s">
        <v>2345</v>
      </c>
      <c r="C296" s="655">
        <v>3882071603</v>
      </c>
      <c r="D296" s="655">
        <v>3626556925</v>
      </c>
      <c r="E296" s="655">
        <v>3882071603</v>
      </c>
      <c r="F296" s="655">
        <v>3626556925</v>
      </c>
      <c r="G296" s="655">
        <v>255514678</v>
      </c>
      <c r="H296" s="650">
        <v>0</v>
      </c>
      <c r="I296" s="651">
        <v>1.3684000000000001</v>
      </c>
      <c r="J296" s="651">
        <v>0.26929999999999998</v>
      </c>
      <c r="K296" s="651">
        <v>1.6376999999999999</v>
      </c>
    </row>
    <row r="297" spans="1:11">
      <c r="A297" s="654" t="s">
        <v>7353</v>
      </c>
      <c r="B297" s="654" t="s">
        <v>1270</v>
      </c>
      <c r="C297" s="655">
        <v>27723585</v>
      </c>
      <c r="D297" s="655">
        <v>26592086</v>
      </c>
      <c r="E297" s="655">
        <v>27723585</v>
      </c>
      <c r="F297" s="655">
        <v>26592086</v>
      </c>
      <c r="G297" s="655">
        <v>1131499</v>
      </c>
      <c r="H297" s="650">
        <v>0</v>
      </c>
      <c r="I297" s="651">
        <v>1.26</v>
      </c>
      <c r="J297" s="651">
        <v>0</v>
      </c>
      <c r="K297" s="651">
        <v>1.26</v>
      </c>
    </row>
    <row r="298" spans="1:11">
      <c r="A298" s="654" t="s">
        <v>7354</v>
      </c>
      <c r="B298" s="654" t="s">
        <v>1271</v>
      </c>
      <c r="C298" s="655">
        <v>197610471</v>
      </c>
      <c r="D298" s="655">
        <v>184536675</v>
      </c>
      <c r="E298" s="655">
        <v>197610471</v>
      </c>
      <c r="F298" s="655">
        <v>184536675</v>
      </c>
      <c r="G298" s="655">
        <v>13073796</v>
      </c>
      <c r="H298" s="650">
        <v>0</v>
      </c>
      <c r="I298" s="651">
        <v>1.3420000000000001</v>
      </c>
      <c r="J298" s="651">
        <v>9.5600000000000004E-2</v>
      </c>
      <c r="K298" s="651">
        <v>1.4376</v>
      </c>
    </row>
    <row r="299" spans="1:11">
      <c r="A299" s="654" t="s">
        <v>7355</v>
      </c>
      <c r="B299" s="654" t="s">
        <v>2355</v>
      </c>
      <c r="C299" s="655">
        <v>838942892</v>
      </c>
      <c r="D299" s="655">
        <v>796981386</v>
      </c>
      <c r="E299" s="655">
        <v>838942892</v>
      </c>
      <c r="F299" s="655">
        <v>796981386</v>
      </c>
      <c r="G299" s="655">
        <v>41961506</v>
      </c>
      <c r="H299" s="650">
        <v>0</v>
      </c>
      <c r="I299" s="651">
        <v>1.5</v>
      </c>
      <c r="J299" s="651">
        <v>0.17</v>
      </c>
      <c r="K299" s="651">
        <v>1.67</v>
      </c>
    </row>
    <row r="300" spans="1:11">
      <c r="A300" s="654" t="s">
        <v>7356</v>
      </c>
      <c r="B300" s="654" t="s">
        <v>1272</v>
      </c>
      <c r="C300" s="655">
        <v>73666705</v>
      </c>
      <c r="D300" s="655">
        <v>71743665</v>
      </c>
      <c r="E300" s="655">
        <v>73666705</v>
      </c>
      <c r="F300" s="655">
        <v>71743665</v>
      </c>
      <c r="G300" s="655">
        <v>1923040</v>
      </c>
      <c r="H300" s="650">
        <v>0</v>
      </c>
      <c r="I300" s="651">
        <v>1.38</v>
      </c>
      <c r="J300" s="651">
        <v>8.48E-2</v>
      </c>
      <c r="K300" s="651">
        <v>1.4648000000000001</v>
      </c>
    </row>
    <row r="301" spans="1:11">
      <c r="A301" s="654" t="s">
        <v>7357</v>
      </c>
      <c r="B301" s="654" t="s">
        <v>1273</v>
      </c>
      <c r="C301" s="655">
        <v>63466382</v>
      </c>
      <c r="D301" s="655">
        <v>60608462</v>
      </c>
      <c r="E301" s="655">
        <v>63466382</v>
      </c>
      <c r="F301" s="655">
        <v>60608462</v>
      </c>
      <c r="G301" s="655">
        <v>2857920</v>
      </c>
      <c r="H301" s="650">
        <v>0</v>
      </c>
      <c r="I301" s="651">
        <v>1.5</v>
      </c>
      <c r="J301" s="651">
        <v>0</v>
      </c>
      <c r="K301" s="651">
        <v>1.5</v>
      </c>
    </row>
    <row r="302" spans="1:11">
      <c r="A302" s="654" t="s">
        <v>7358</v>
      </c>
      <c r="B302" s="654" t="s">
        <v>192</v>
      </c>
      <c r="C302" s="655">
        <v>46920674</v>
      </c>
      <c r="D302" s="655">
        <v>44716159</v>
      </c>
      <c r="E302" s="655">
        <v>46920674</v>
      </c>
      <c r="F302" s="655">
        <v>44716159</v>
      </c>
      <c r="G302" s="655">
        <v>2204515</v>
      </c>
      <c r="H302" s="650">
        <v>0</v>
      </c>
      <c r="I302" s="651">
        <v>1.4</v>
      </c>
      <c r="J302" s="651">
        <v>6.6799999999999998E-2</v>
      </c>
      <c r="K302" s="651">
        <v>1.4668000000000001</v>
      </c>
    </row>
    <row r="303" spans="1:11">
      <c r="A303" s="654" t="s">
        <v>7359</v>
      </c>
      <c r="B303" s="654" t="s">
        <v>1274</v>
      </c>
      <c r="C303" s="655">
        <v>40824091</v>
      </c>
      <c r="D303" s="655">
        <v>38649153</v>
      </c>
      <c r="E303" s="655">
        <v>40824091</v>
      </c>
      <c r="F303" s="655">
        <v>38649153</v>
      </c>
      <c r="G303" s="655">
        <v>2174938</v>
      </c>
      <c r="H303" s="650">
        <v>0</v>
      </c>
      <c r="I303" s="651">
        <v>1.31</v>
      </c>
      <c r="J303" s="651">
        <v>0</v>
      </c>
      <c r="K303" s="651">
        <v>1.31</v>
      </c>
    </row>
    <row r="304" spans="1:11">
      <c r="A304" s="654" t="s">
        <v>7360</v>
      </c>
      <c r="B304" s="654" t="s">
        <v>7361</v>
      </c>
      <c r="C304" s="655">
        <v>38930639</v>
      </c>
      <c r="D304" s="655">
        <v>34923939</v>
      </c>
      <c r="E304" s="655">
        <v>38930639</v>
      </c>
      <c r="F304" s="655">
        <v>34923939</v>
      </c>
      <c r="G304" s="655">
        <v>4006700</v>
      </c>
      <c r="H304" s="650">
        <v>0</v>
      </c>
      <c r="I304" s="651">
        <v>1.49</v>
      </c>
      <c r="J304" s="651">
        <v>0</v>
      </c>
      <c r="K304" s="651">
        <v>1.49</v>
      </c>
    </row>
    <row r="305" spans="1:11">
      <c r="A305" s="654" t="s">
        <v>7362</v>
      </c>
      <c r="B305" s="654" t="s">
        <v>6066</v>
      </c>
      <c r="C305" s="655">
        <v>172888157</v>
      </c>
      <c r="D305" s="655">
        <v>157152357</v>
      </c>
      <c r="E305" s="655">
        <v>172888157</v>
      </c>
      <c r="F305" s="655">
        <v>157152357</v>
      </c>
      <c r="G305" s="655">
        <v>15735800</v>
      </c>
      <c r="H305" s="650">
        <v>0</v>
      </c>
      <c r="I305" s="651">
        <v>1.5</v>
      </c>
      <c r="J305" s="651">
        <v>8.5099999999999995E-2</v>
      </c>
      <c r="K305" s="651">
        <v>1.5851</v>
      </c>
    </row>
    <row r="306" spans="1:11">
      <c r="A306" s="654" t="s">
        <v>7363</v>
      </c>
      <c r="B306" s="654" t="s">
        <v>4068</v>
      </c>
      <c r="C306" s="655">
        <v>11016668</v>
      </c>
      <c r="D306" s="655">
        <v>9874408</v>
      </c>
      <c r="E306" s="655">
        <v>11016668</v>
      </c>
      <c r="F306" s="655">
        <v>9874408</v>
      </c>
      <c r="G306" s="655">
        <v>1142260</v>
      </c>
      <c r="H306" s="650">
        <v>0</v>
      </c>
      <c r="I306" s="651">
        <v>1.23</v>
      </c>
      <c r="J306" s="651">
        <v>0</v>
      </c>
      <c r="K306" s="651">
        <v>1.23</v>
      </c>
    </row>
    <row r="307" spans="1:11">
      <c r="A307" s="654" t="s">
        <v>7364</v>
      </c>
      <c r="B307" s="654" t="s">
        <v>1276</v>
      </c>
      <c r="C307" s="655">
        <v>101202822</v>
      </c>
      <c r="D307" s="655">
        <v>90979492</v>
      </c>
      <c r="E307" s="655">
        <v>101202822</v>
      </c>
      <c r="F307" s="655">
        <v>90979492</v>
      </c>
      <c r="G307" s="655">
        <v>10223330</v>
      </c>
      <c r="H307" s="650">
        <v>0</v>
      </c>
      <c r="I307" s="651">
        <v>0.96189999999999998</v>
      </c>
      <c r="J307" s="651">
        <v>0</v>
      </c>
      <c r="K307" s="651">
        <v>0.96189999999999998</v>
      </c>
    </row>
    <row r="308" spans="1:11">
      <c r="A308" s="654" t="s">
        <v>7365</v>
      </c>
      <c r="B308" s="654" t="s">
        <v>1277</v>
      </c>
      <c r="C308" s="655">
        <v>430846392</v>
      </c>
      <c r="D308" s="655">
        <v>397552071</v>
      </c>
      <c r="E308" s="655">
        <v>430846392</v>
      </c>
      <c r="F308" s="655">
        <v>397552071</v>
      </c>
      <c r="G308" s="655">
        <v>33294321</v>
      </c>
      <c r="H308" s="650">
        <v>0</v>
      </c>
      <c r="I308" s="651">
        <v>1.49</v>
      </c>
      <c r="J308" s="651">
        <v>0.08</v>
      </c>
      <c r="K308" s="651">
        <v>1.57</v>
      </c>
    </row>
    <row r="309" spans="1:11">
      <c r="A309" s="654" t="s">
        <v>7366</v>
      </c>
      <c r="B309" s="654" t="s">
        <v>2282</v>
      </c>
      <c r="C309" s="655">
        <v>30248655</v>
      </c>
      <c r="D309" s="655">
        <v>27382049</v>
      </c>
      <c r="E309" s="655">
        <v>30248655</v>
      </c>
      <c r="F309" s="655">
        <v>27382049</v>
      </c>
      <c r="G309" s="655">
        <v>2866606</v>
      </c>
      <c r="H309" s="650">
        <v>0</v>
      </c>
      <c r="I309" s="651">
        <v>1.37</v>
      </c>
      <c r="J309" s="651">
        <v>7.4999999999999997E-2</v>
      </c>
      <c r="K309" s="651">
        <v>1.4450000000000001</v>
      </c>
    </row>
    <row r="310" spans="1:11">
      <c r="A310" s="654" t="s">
        <v>7367</v>
      </c>
      <c r="B310" s="654" t="s">
        <v>3014</v>
      </c>
      <c r="C310" s="655">
        <v>24458318</v>
      </c>
      <c r="D310" s="655">
        <v>21875666</v>
      </c>
      <c r="E310" s="655">
        <v>24458318</v>
      </c>
      <c r="F310" s="655">
        <v>21875666</v>
      </c>
      <c r="G310" s="655">
        <v>2582652</v>
      </c>
      <c r="H310" s="650">
        <v>0</v>
      </c>
      <c r="I310" s="651">
        <v>1.36</v>
      </c>
      <c r="J310" s="651">
        <v>0.155</v>
      </c>
      <c r="K310" s="651">
        <v>1.5149999999999999</v>
      </c>
    </row>
    <row r="311" spans="1:11">
      <c r="A311" s="654" t="s">
        <v>7368</v>
      </c>
      <c r="B311" s="654" t="s">
        <v>1278</v>
      </c>
      <c r="C311" s="655">
        <v>97238696</v>
      </c>
      <c r="D311" s="655">
        <v>88654771</v>
      </c>
      <c r="E311" s="655">
        <v>97238696</v>
      </c>
      <c r="F311" s="655">
        <v>88654771</v>
      </c>
      <c r="G311" s="655">
        <v>8583925</v>
      </c>
      <c r="H311" s="650">
        <v>0</v>
      </c>
      <c r="I311" s="651">
        <v>1.371</v>
      </c>
      <c r="J311" s="651">
        <v>0.113</v>
      </c>
      <c r="K311" s="651">
        <v>1.484</v>
      </c>
    </row>
    <row r="312" spans="1:11">
      <c r="A312" s="654" t="s">
        <v>7369</v>
      </c>
      <c r="B312" s="654" t="s">
        <v>1279</v>
      </c>
      <c r="C312" s="655">
        <v>94550106</v>
      </c>
      <c r="D312" s="655">
        <v>86462552</v>
      </c>
      <c r="E312" s="655">
        <v>94550106</v>
      </c>
      <c r="F312" s="655">
        <v>86462552</v>
      </c>
      <c r="G312" s="655">
        <v>8087554</v>
      </c>
      <c r="H312" s="650">
        <v>0</v>
      </c>
      <c r="I312" s="651">
        <v>1.3879999999999999</v>
      </c>
      <c r="J312" s="651">
        <v>0.14199999999999999</v>
      </c>
      <c r="K312" s="651">
        <v>1.53</v>
      </c>
    </row>
    <row r="313" spans="1:11">
      <c r="A313" s="654" t="s">
        <v>7370</v>
      </c>
      <c r="B313" s="654" t="s">
        <v>1280</v>
      </c>
      <c r="C313" s="655">
        <v>75576439</v>
      </c>
      <c r="D313" s="655">
        <v>70589498</v>
      </c>
      <c r="E313" s="655">
        <v>72699538</v>
      </c>
      <c r="F313" s="655">
        <v>67712597</v>
      </c>
      <c r="G313" s="655">
        <v>4986941</v>
      </c>
      <c r="H313" s="655">
        <v>2876901</v>
      </c>
      <c r="I313" s="651">
        <v>1.5</v>
      </c>
      <c r="J313" s="651">
        <v>0.24440000000000001</v>
      </c>
      <c r="K313" s="651">
        <v>1.7444</v>
      </c>
    </row>
    <row r="314" spans="1:11">
      <c r="A314" s="654" t="s">
        <v>7371</v>
      </c>
      <c r="B314" s="654" t="s">
        <v>1281</v>
      </c>
      <c r="C314" s="655">
        <v>83162088</v>
      </c>
      <c r="D314" s="655">
        <v>76799270</v>
      </c>
      <c r="E314" s="655">
        <v>83162088</v>
      </c>
      <c r="F314" s="655">
        <v>76799270</v>
      </c>
      <c r="G314" s="655">
        <v>6362818</v>
      </c>
      <c r="H314" s="650">
        <v>0</v>
      </c>
      <c r="I314" s="651">
        <v>1.39</v>
      </c>
      <c r="J314" s="651">
        <v>0.17499999999999999</v>
      </c>
      <c r="K314" s="651">
        <v>1.5649999999999999</v>
      </c>
    </row>
    <row r="315" spans="1:11">
      <c r="A315" s="654" t="s">
        <v>7372</v>
      </c>
      <c r="B315" s="654" t="s">
        <v>377</v>
      </c>
      <c r="C315" s="655">
        <v>62278495</v>
      </c>
      <c r="D315" s="655">
        <v>55521135</v>
      </c>
      <c r="E315" s="655">
        <v>62278495</v>
      </c>
      <c r="F315" s="655">
        <v>55521135</v>
      </c>
      <c r="G315" s="655">
        <v>6757360</v>
      </c>
      <c r="H315" s="650">
        <v>0</v>
      </c>
      <c r="I315" s="651">
        <v>1.35</v>
      </c>
      <c r="J315" s="651">
        <v>9.2999999999999999E-2</v>
      </c>
      <c r="K315" s="651">
        <v>1.4430000000000001</v>
      </c>
    </row>
    <row r="316" spans="1:11">
      <c r="A316" s="654" t="s">
        <v>7373</v>
      </c>
      <c r="B316" s="654" t="s">
        <v>1282</v>
      </c>
      <c r="C316" s="655">
        <v>166233669</v>
      </c>
      <c r="D316" s="655">
        <v>157799567</v>
      </c>
      <c r="E316" s="655">
        <v>166233669</v>
      </c>
      <c r="F316" s="655">
        <v>157799567</v>
      </c>
      <c r="G316" s="655">
        <v>8434102</v>
      </c>
      <c r="H316" s="650">
        <v>0</v>
      </c>
      <c r="I316" s="651">
        <v>1.4224000000000001</v>
      </c>
      <c r="J316" s="651">
        <v>0.11260000000000001</v>
      </c>
      <c r="K316" s="651">
        <v>1.5349999999999999</v>
      </c>
    </row>
    <row r="317" spans="1:11">
      <c r="A317" s="654" t="s">
        <v>7374</v>
      </c>
      <c r="B317" s="654" t="s">
        <v>1283</v>
      </c>
      <c r="C317" s="655">
        <v>693849696</v>
      </c>
      <c r="D317" s="655">
        <v>663024411</v>
      </c>
      <c r="E317" s="655">
        <v>693849696</v>
      </c>
      <c r="F317" s="655">
        <v>663024411</v>
      </c>
      <c r="G317" s="655">
        <v>30825285</v>
      </c>
      <c r="H317" s="650">
        <v>0</v>
      </c>
      <c r="I317" s="651">
        <v>1.5</v>
      </c>
      <c r="J317" s="651">
        <v>7.7700000000000005E-2</v>
      </c>
      <c r="K317" s="651">
        <v>1.5777000000000001</v>
      </c>
    </row>
    <row r="318" spans="1:11">
      <c r="A318" s="654" t="s">
        <v>7375</v>
      </c>
      <c r="B318" s="654" t="s">
        <v>1284</v>
      </c>
      <c r="C318" s="655">
        <v>249364010</v>
      </c>
      <c r="D318" s="655">
        <v>236054650</v>
      </c>
      <c r="E318" s="655">
        <v>249364010</v>
      </c>
      <c r="F318" s="655">
        <v>236054650</v>
      </c>
      <c r="G318" s="655">
        <v>13309360</v>
      </c>
      <c r="H318" s="650">
        <v>0</v>
      </c>
      <c r="I318" s="651">
        <v>1.415</v>
      </c>
      <c r="J318" s="651">
        <v>0.19500000000000001</v>
      </c>
      <c r="K318" s="651">
        <v>1.61</v>
      </c>
    </row>
    <row r="319" spans="1:11">
      <c r="A319" s="654" t="s">
        <v>7376</v>
      </c>
      <c r="B319" s="654" t="s">
        <v>1285</v>
      </c>
      <c r="C319" s="655">
        <v>124421200</v>
      </c>
      <c r="D319" s="655">
        <v>119855490</v>
      </c>
      <c r="E319" s="655">
        <v>124421200</v>
      </c>
      <c r="F319" s="655">
        <v>119855490</v>
      </c>
      <c r="G319" s="655">
        <v>4565710</v>
      </c>
      <c r="H319" s="650">
        <v>0</v>
      </c>
      <c r="I319" s="651">
        <v>1.5</v>
      </c>
      <c r="J319" s="651">
        <v>0</v>
      </c>
      <c r="K319" s="651">
        <v>1.5</v>
      </c>
    </row>
    <row r="320" spans="1:11">
      <c r="A320" s="654" t="s">
        <v>7377</v>
      </c>
      <c r="B320" s="654" t="s">
        <v>1286</v>
      </c>
      <c r="C320" s="655">
        <v>238348592</v>
      </c>
      <c r="D320" s="655">
        <v>232487580</v>
      </c>
      <c r="E320" s="655">
        <v>233287203</v>
      </c>
      <c r="F320" s="655">
        <v>227426191</v>
      </c>
      <c r="G320" s="655">
        <v>5861012</v>
      </c>
      <c r="H320" s="655">
        <v>5061389</v>
      </c>
      <c r="I320" s="651">
        <v>1.5</v>
      </c>
      <c r="J320" s="651">
        <v>7.9200000000000007E-2</v>
      </c>
      <c r="K320" s="651">
        <v>1.5791999999999999</v>
      </c>
    </row>
    <row r="321" spans="1:11">
      <c r="A321" s="654" t="s">
        <v>7378</v>
      </c>
      <c r="B321" s="654" t="s">
        <v>7379</v>
      </c>
      <c r="C321" s="655">
        <v>51044523</v>
      </c>
      <c r="D321" s="655">
        <v>47161709</v>
      </c>
      <c r="E321" s="655">
        <v>51044523</v>
      </c>
      <c r="F321" s="655">
        <v>47161709</v>
      </c>
      <c r="G321" s="655">
        <v>3882814</v>
      </c>
      <c r="H321" s="650">
        <v>0</v>
      </c>
      <c r="I321" s="651">
        <v>1.5</v>
      </c>
      <c r="J321" s="651">
        <v>8.3089999999999997E-2</v>
      </c>
      <c r="K321" s="651">
        <v>1.5830900000000001</v>
      </c>
    </row>
    <row r="322" spans="1:11">
      <c r="A322" s="654" t="s">
        <v>7380</v>
      </c>
      <c r="B322" s="654" t="s">
        <v>370</v>
      </c>
      <c r="C322" s="655">
        <v>51946721</v>
      </c>
      <c r="D322" s="655">
        <v>47027981</v>
      </c>
      <c r="E322" s="655">
        <v>51946721</v>
      </c>
      <c r="F322" s="655">
        <v>47027981</v>
      </c>
      <c r="G322" s="655">
        <v>4918740</v>
      </c>
      <c r="H322" s="650">
        <v>0</v>
      </c>
      <c r="I322" s="651">
        <v>1.5</v>
      </c>
      <c r="J322" s="651">
        <v>6.5000000000000002E-2</v>
      </c>
      <c r="K322" s="651">
        <v>1.5649999999999999</v>
      </c>
    </row>
    <row r="323" spans="1:11">
      <c r="A323" s="654" t="s">
        <v>7381</v>
      </c>
      <c r="B323" s="654" t="s">
        <v>1288</v>
      </c>
      <c r="C323" s="655">
        <v>141738692</v>
      </c>
      <c r="D323" s="655">
        <v>131281042</v>
      </c>
      <c r="E323" s="655">
        <v>141738692</v>
      </c>
      <c r="F323" s="655">
        <v>131281042</v>
      </c>
      <c r="G323" s="655">
        <v>10457650</v>
      </c>
      <c r="H323" s="650">
        <v>0</v>
      </c>
      <c r="I323" s="651">
        <v>1.4434400000000001</v>
      </c>
      <c r="J323" s="651">
        <v>0</v>
      </c>
      <c r="K323" s="651">
        <v>1.4434400000000001</v>
      </c>
    </row>
    <row r="324" spans="1:11">
      <c r="A324" s="654" t="s">
        <v>7382</v>
      </c>
      <c r="B324" s="654" t="s">
        <v>2909</v>
      </c>
      <c r="C324" s="655">
        <v>87327416</v>
      </c>
      <c r="D324" s="655">
        <v>81751466</v>
      </c>
      <c r="E324" s="655">
        <v>87327416</v>
      </c>
      <c r="F324" s="655">
        <v>81751466</v>
      </c>
      <c r="G324" s="655">
        <v>5575950</v>
      </c>
      <c r="H324" s="650">
        <v>0</v>
      </c>
      <c r="I324" s="651">
        <v>1.5</v>
      </c>
      <c r="J324" s="651">
        <v>0</v>
      </c>
      <c r="K324" s="651">
        <v>1.5</v>
      </c>
    </row>
    <row r="325" spans="1:11">
      <c r="A325" s="654" t="s">
        <v>7383</v>
      </c>
      <c r="B325" s="654" t="s">
        <v>2910</v>
      </c>
      <c r="C325" s="655">
        <v>71383733</v>
      </c>
      <c r="D325" s="655">
        <v>67732618</v>
      </c>
      <c r="E325" s="655">
        <v>71383733</v>
      </c>
      <c r="F325" s="655">
        <v>67732618</v>
      </c>
      <c r="G325" s="655">
        <v>3651115</v>
      </c>
      <c r="H325" s="650">
        <v>0</v>
      </c>
      <c r="I325" s="651">
        <v>1.36</v>
      </c>
      <c r="J325" s="651">
        <v>0</v>
      </c>
      <c r="K325" s="651">
        <v>1.36</v>
      </c>
    </row>
    <row r="326" spans="1:11">
      <c r="A326" s="654" t="s">
        <v>7384</v>
      </c>
      <c r="B326" s="654" t="s">
        <v>7385</v>
      </c>
      <c r="C326" s="655">
        <v>5125181515</v>
      </c>
      <c r="D326" s="655">
        <v>4942651556</v>
      </c>
      <c r="E326" s="655">
        <v>5125181515</v>
      </c>
      <c r="F326" s="655">
        <v>4942651556</v>
      </c>
      <c r="G326" s="655">
        <v>182529959</v>
      </c>
      <c r="H326" s="650">
        <v>0</v>
      </c>
      <c r="I326" s="651">
        <v>1.5</v>
      </c>
      <c r="J326" s="651">
        <v>0.1976</v>
      </c>
      <c r="K326" s="651">
        <v>1.6976</v>
      </c>
    </row>
    <row r="327" spans="1:11">
      <c r="A327" s="654" t="s">
        <v>7386</v>
      </c>
      <c r="B327" s="654" t="s">
        <v>1932</v>
      </c>
      <c r="C327" s="655">
        <v>421214591</v>
      </c>
      <c r="D327" s="655">
        <v>393016680</v>
      </c>
      <c r="E327" s="655">
        <v>421214591</v>
      </c>
      <c r="F327" s="655">
        <v>393016680</v>
      </c>
      <c r="G327" s="655">
        <v>28197911</v>
      </c>
      <c r="H327" s="650">
        <v>0</v>
      </c>
      <c r="I327" s="651">
        <v>1.5</v>
      </c>
      <c r="J327" s="651">
        <v>0.16400000000000001</v>
      </c>
      <c r="K327" s="651">
        <v>1.6639999999999999</v>
      </c>
    </row>
    <row r="328" spans="1:11">
      <c r="A328" s="654" t="s">
        <v>7387</v>
      </c>
      <c r="B328" s="654" t="s">
        <v>114</v>
      </c>
      <c r="C328" s="655">
        <v>15936474049</v>
      </c>
      <c r="D328" s="655">
        <v>15283777599</v>
      </c>
      <c r="E328" s="655">
        <v>15936474049</v>
      </c>
      <c r="F328" s="655">
        <v>15283777599</v>
      </c>
      <c r="G328" s="655">
        <v>652696450</v>
      </c>
      <c r="H328" s="650">
        <v>0</v>
      </c>
      <c r="I328" s="651">
        <v>1.5</v>
      </c>
      <c r="J328" s="651">
        <v>0.20749999999999999</v>
      </c>
      <c r="K328" s="651">
        <v>1.7075</v>
      </c>
    </row>
    <row r="329" spans="1:11">
      <c r="A329" s="654" t="s">
        <v>7388</v>
      </c>
      <c r="B329" s="654" t="s">
        <v>2912</v>
      </c>
      <c r="C329" s="655">
        <v>31964774</v>
      </c>
      <c r="D329" s="655">
        <v>29517604</v>
      </c>
      <c r="E329" s="655">
        <v>31964774</v>
      </c>
      <c r="F329" s="655">
        <v>29517604</v>
      </c>
      <c r="G329" s="655">
        <v>2447170</v>
      </c>
      <c r="H329" s="650">
        <v>0</v>
      </c>
      <c r="I329" s="651">
        <v>1.5</v>
      </c>
      <c r="J329" s="651">
        <v>0.28000000000000003</v>
      </c>
      <c r="K329" s="651">
        <v>1.78</v>
      </c>
    </row>
    <row r="330" spans="1:11">
      <c r="A330" s="654" t="s">
        <v>7389</v>
      </c>
      <c r="B330" s="654" t="s">
        <v>7390</v>
      </c>
      <c r="C330" s="655">
        <v>1523873008</v>
      </c>
      <c r="D330" s="655">
        <v>1497492928</v>
      </c>
      <c r="E330" s="655">
        <v>1489249723</v>
      </c>
      <c r="F330" s="655">
        <v>1462869643</v>
      </c>
      <c r="G330" s="655">
        <v>26380080</v>
      </c>
      <c r="H330" s="655">
        <v>34623285</v>
      </c>
      <c r="I330" s="651">
        <v>1.5</v>
      </c>
      <c r="J330" s="651">
        <v>0.20799999999999999</v>
      </c>
      <c r="K330" s="651">
        <v>1.708</v>
      </c>
    </row>
    <row r="331" spans="1:11">
      <c r="A331" s="654" t="s">
        <v>7391</v>
      </c>
      <c r="B331" s="654" t="s">
        <v>2914</v>
      </c>
      <c r="C331" s="655">
        <v>607862202</v>
      </c>
      <c r="D331" s="655">
        <v>585782382</v>
      </c>
      <c r="E331" s="655">
        <v>607862202</v>
      </c>
      <c r="F331" s="655">
        <v>585782382</v>
      </c>
      <c r="G331" s="655">
        <v>22079820</v>
      </c>
      <c r="H331" s="650">
        <v>0</v>
      </c>
      <c r="I331" s="651">
        <v>1.36</v>
      </c>
      <c r="J331" s="651">
        <v>0</v>
      </c>
      <c r="K331" s="651">
        <v>1.36</v>
      </c>
    </row>
    <row r="332" spans="1:11">
      <c r="A332" s="654" t="s">
        <v>7392</v>
      </c>
      <c r="B332" s="654" t="s">
        <v>2915</v>
      </c>
      <c r="C332" s="655">
        <v>1671222220</v>
      </c>
      <c r="D332" s="655">
        <v>1650759100</v>
      </c>
      <c r="E332" s="655">
        <v>1671222220</v>
      </c>
      <c r="F332" s="655">
        <v>1650759100</v>
      </c>
      <c r="G332" s="655">
        <v>20463120</v>
      </c>
      <c r="H332" s="650">
        <v>0</v>
      </c>
      <c r="I332" s="651">
        <v>1.4</v>
      </c>
      <c r="J332" s="651">
        <v>0.13500000000000001</v>
      </c>
      <c r="K332" s="651">
        <v>1.5349999999999999</v>
      </c>
    </row>
    <row r="333" spans="1:11">
      <c r="A333" s="654" t="s">
        <v>7393</v>
      </c>
      <c r="B333" s="654" t="s">
        <v>2916</v>
      </c>
      <c r="C333" s="655">
        <v>1093523124</v>
      </c>
      <c r="D333" s="655">
        <v>1081056994</v>
      </c>
      <c r="E333" s="655">
        <v>1093523124</v>
      </c>
      <c r="F333" s="655">
        <v>1081056994</v>
      </c>
      <c r="G333" s="655">
        <v>12466130</v>
      </c>
      <c r="H333" s="650">
        <v>0</v>
      </c>
      <c r="I333" s="651">
        <v>1.1499999999999999</v>
      </c>
      <c r="J333" s="651">
        <v>5.8999999999999997E-2</v>
      </c>
      <c r="K333" s="651">
        <v>1.2090000000000001</v>
      </c>
    </row>
    <row r="334" spans="1:11">
      <c r="A334" s="654" t="s">
        <v>7394</v>
      </c>
      <c r="B334" s="654" t="s">
        <v>2917</v>
      </c>
      <c r="C334" s="655">
        <v>88247248</v>
      </c>
      <c r="D334" s="655">
        <v>84043138</v>
      </c>
      <c r="E334" s="655">
        <v>88247248</v>
      </c>
      <c r="F334" s="655">
        <v>84043138</v>
      </c>
      <c r="G334" s="655">
        <v>4204110</v>
      </c>
      <c r="H334" s="650">
        <v>0</v>
      </c>
      <c r="I334" s="651">
        <v>1.5</v>
      </c>
      <c r="J334" s="651">
        <v>8.6999999999999994E-2</v>
      </c>
      <c r="K334" s="651">
        <v>1.587</v>
      </c>
    </row>
    <row r="335" spans="1:11">
      <c r="A335" s="654" t="s">
        <v>7395</v>
      </c>
      <c r="B335" s="654" t="s">
        <v>2918</v>
      </c>
      <c r="C335" s="655">
        <v>336611650</v>
      </c>
      <c r="D335" s="655">
        <v>334723440</v>
      </c>
      <c r="E335" s="655">
        <v>336611650</v>
      </c>
      <c r="F335" s="655">
        <v>334723440</v>
      </c>
      <c r="G335" s="655">
        <v>1888210</v>
      </c>
      <c r="H335" s="650">
        <v>0</v>
      </c>
      <c r="I335" s="651">
        <v>1.5</v>
      </c>
      <c r="J335" s="651">
        <v>0</v>
      </c>
      <c r="K335" s="651">
        <v>1.5</v>
      </c>
    </row>
    <row r="336" spans="1:11">
      <c r="A336" s="654" t="s">
        <v>7396</v>
      </c>
      <c r="B336" s="654" t="s">
        <v>1002</v>
      </c>
      <c r="C336" s="655">
        <v>101531100</v>
      </c>
      <c r="D336" s="655">
        <v>95264090</v>
      </c>
      <c r="E336" s="655">
        <v>101531100</v>
      </c>
      <c r="F336" s="655">
        <v>95264090</v>
      </c>
      <c r="G336" s="655">
        <v>6267010</v>
      </c>
      <c r="H336" s="650">
        <v>0</v>
      </c>
      <c r="I336" s="651">
        <v>1.5</v>
      </c>
      <c r="J336" s="651">
        <v>7.6200000000000004E-2</v>
      </c>
      <c r="K336" s="651">
        <v>1.5762</v>
      </c>
    </row>
    <row r="337" spans="1:11">
      <c r="A337" s="654" t="s">
        <v>7397</v>
      </c>
      <c r="B337" s="654" t="s">
        <v>5294</v>
      </c>
      <c r="C337" s="655">
        <v>266433018</v>
      </c>
      <c r="D337" s="655">
        <v>248777338</v>
      </c>
      <c r="E337" s="655">
        <v>266433018</v>
      </c>
      <c r="F337" s="655">
        <v>248777338</v>
      </c>
      <c r="G337" s="655">
        <v>17655680</v>
      </c>
      <c r="H337" s="650">
        <v>0</v>
      </c>
      <c r="I337" s="651">
        <v>1.395</v>
      </c>
      <c r="J337" s="651">
        <v>0.17499999999999999</v>
      </c>
      <c r="K337" s="651">
        <v>1.57</v>
      </c>
    </row>
    <row r="338" spans="1:11">
      <c r="A338" s="654" t="s">
        <v>7398</v>
      </c>
      <c r="B338" s="654" t="s">
        <v>2919</v>
      </c>
      <c r="C338" s="655">
        <v>127906629</v>
      </c>
      <c r="D338" s="655">
        <v>123080980</v>
      </c>
      <c r="E338" s="655">
        <v>127906629</v>
      </c>
      <c r="F338" s="655">
        <v>123080980</v>
      </c>
      <c r="G338" s="655">
        <v>4825649</v>
      </c>
      <c r="H338" s="650">
        <v>0</v>
      </c>
      <c r="I338" s="651">
        <v>1.25</v>
      </c>
      <c r="J338" s="651">
        <v>0</v>
      </c>
      <c r="K338" s="651">
        <v>1.25</v>
      </c>
    </row>
    <row r="339" spans="1:11">
      <c r="A339" s="654" t="s">
        <v>7399</v>
      </c>
      <c r="B339" s="654" t="s">
        <v>2920</v>
      </c>
      <c r="C339" s="655">
        <v>246759450</v>
      </c>
      <c r="D339" s="655">
        <v>245801609</v>
      </c>
      <c r="E339" s="655">
        <v>246338996</v>
      </c>
      <c r="F339" s="655">
        <v>245381155</v>
      </c>
      <c r="G339" s="655">
        <v>957841</v>
      </c>
      <c r="H339" s="655">
        <v>420454</v>
      </c>
      <c r="I339" s="651">
        <v>1.18</v>
      </c>
      <c r="J339" s="651">
        <v>0.14000000000000001</v>
      </c>
      <c r="K339" s="651">
        <v>1.32</v>
      </c>
    </row>
    <row r="340" spans="1:11">
      <c r="A340" s="654" t="s">
        <v>7400</v>
      </c>
      <c r="B340" s="654" t="s">
        <v>2921</v>
      </c>
      <c r="C340" s="655">
        <v>2190714026</v>
      </c>
      <c r="D340" s="655">
        <v>2168353203</v>
      </c>
      <c r="E340" s="655">
        <v>2190714026</v>
      </c>
      <c r="F340" s="655">
        <v>2168353203</v>
      </c>
      <c r="G340" s="655">
        <v>22360823</v>
      </c>
      <c r="H340" s="650">
        <v>0</v>
      </c>
      <c r="I340" s="651">
        <v>0.98</v>
      </c>
      <c r="J340" s="651">
        <v>5.6800000000000003E-2</v>
      </c>
      <c r="K340" s="651">
        <v>1.0367999999999999</v>
      </c>
    </row>
    <row r="341" spans="1:11">
      <c r="A341" s="654" t="s">
        <v>7401</v>
      </c>
      <c r="B341" s="654" t="s">
        <v>2922</v>
      </c>
      <c r="C341" s="655">
        <v>1684463728</v>
      </c>
      <c r="D341" s="655">
        <v>1597943861</v>
      </c>
      <c r="E341" s="655">
        <v>1659684996</v>
      </c>
      <c r="F341" s="655">
        <v>1573165129</v>
      </c>
      <c r="G341" s="655">
        <v>86519867</v>
      </c>
      <c r="H341" s="655">
        <v>24778732</v>
      </c>
      <c r="I341" s="651">
        <v>1.5</v>
      </c>
      <c r="J341" s="651">
        <v>0.23799999999999999</v>
      </c>
      <c r="K341" s="651">
        <v>1.738</v>
      </c>
    </row>
    <row r="342" spans="1:11">
      <c r="A342" s="654" t="s">
        <v>7402</v>
      </c>
      <c r="B342" s="654" t="s">
        <v>2923</v>
      </c>
      <c r="C342" s="655">
        <v>3296773470</v>
      </c>
      <c r="D342" s="655">
        <v>3184684394</v>
      </c>
      <c r="E342" s="655">
        <v>3185765926</v>
      </c>
      <c r="F342" s="655">
        <v>3073676850</v>
      </c>
      <c r="G342" s="655">
        <v>112089076</v>
      </c>
      <c r="H342" s="655">
        <v>111007544</v>
      </c>
      <c r="I342" s="651">
        <v>1.5</v>
      </c>
      <c r="J342" s="651">
        <v>0.21</v>
      </c>
      <c r="K342" s="651">
        <v>1.71</v>
      </c>
    </row>
    <row r="343" spans="1:11">
      <c r="A343" s="654" t="s">
        <v>7403</v>
      </c>
      <c r="B343" s="654" t="s">
        <v>3846</v>
      </c>
      <c r="C343" s="655">
        <v>79821821</v>
      </c>
      <c r="D343" s="655">
        <v>77101680</v>
      </c>
      <c r="E343" s="655">
        <v>78549148</v>
      </c>
      <c r="F343" s="655">
        <v>75829007</v>
      </c>
      <c r="G343" s="655">
        <v>2720141</v>
      </c>
      <c r="H343" s="655">
        <v>1272673</v>
      </c>
      <c r="I343" s="651">
        <v>1.5</v>
      </c>
      <c r="J343" s="651">
        <v>0.20910000000000001</v>
      </c>
      <c r="K343" s="651">
        <v>1.7091000000000001</v>
      </c>
    </row>
    <row r="344" spans="1:11">
      <c r="A344" s="654" t="s">
        <v>7404</v>
      </c>
      <c r="B344" s="654" t="s">
        <v>2924</v>
      </c>
      <c r="C344" s="655">
        <v>1267053652</v>
      </c>
      <c r="D344" s="655">
        <v>1201086681</v>
      </c>
      <c r="E344" s="655">
        <v>1267053652</v>
      </c>
      <c r="F344" s="655">
        <v>1201086681</v>
      </c>
      <c r="G344" s="655">
        <v>65966971</v>
      </c>
      <c r="H344" s="650">
        <v>0</v>
      </c>
      <c r="I344" s="651">
        <v>1.5</v>
      </c>
      <c r="J344" s="651">
        <v>0.24299999999999999</v>
      </c>
      <c r="K344" s="651">
        <v>1.7430000000000001</v>
      </c>
    </row>
    <row r="345" spans="1:11">
      <c r="A345" s="654" t="s">
        <v>7405</v>
      </c>
      <c r="B345" s="654" t="s">
        <v>2925</v>
      </c>
      <c r="C345" s="655">
        <v>2947283906</v>
      </c>
      <c r="D345" s="655">
        <v>2883751135</v>
      </c>
      <c r="E345" s="655">
        <v>2900356508</v>
      </c>
      <c r="F345" s="655">
        <v>2836823737</v>
      </c>
      <c r="G345" s="655">
        <v>63532771</v>
      </c>
      <c r="H345" s="655">
        <v>46927398</v>
      </c>
      <c r="I345" s="651">
        <v>1.5</v>
      </c>
      <c r="J345" s="651">
        <v>0.113</v>
      </c>
      <c r="K345" s="651">
        <v>1.613</v>
      </c>
    </row>
    <row r="346" spans="1:11">
      <c r="A346" s="654" t="s">
        <v>7406</v>
      </c>
      <c r="B346" s="654" t="s">
        <v>2926</v>
      </c>
      <c r="C346" s="655">
        <v>312159856</v>
      </c>
      <c r="D346" s="655">
        <v>293126091</v>
      </c>
      <c r="E346" s="655">
        <v>312159856</v>
      </c>
      <c r="F346" s="655">
        <v>293126091</v>
      </c>
      <c r="G346" s="655">
        <v>19033765</v>
      </c>
      <c r="H346" s="650">
        <v>0</v>
      </c>
      <c r="I346" s="651">
        <v>1.5</v>
      </c>
      <c r="J346" s="651">
        <v>0</v>
      </c>
      <c r="K346" s="651">
        <v>1.71</v>
      </c>
    </row>
    <row r="347" spans="1:11">
      <c r="A347" s="654" t="s">
        <v>7407</v>
      </c>
      <c r="B347" s="654" t="s">
        <v>1458</v>
      </c>
      <c r="C347" s="655">
        <v>813579587</v>
      </c>
      <c r="D347" s="655">
        <v>753313732</v>
      </c>
      <c r="E347" s="655">
        <v>813579587</v>
      </c>
      <c r="F347" s="655">
        <v>753313732</v>
      </c>
      <c r="G347" s="655">
        <v>60265855</v>
      </c>
      <c r="H347" s="650">
        <v>0</v>
      </c>
      <c r="I347" s="651">
        <v>1.44</v>
      </c>
      <c r="J347" s="651">
        <v>0.13</v>
      </c>
      <c r="K347" s="651">
        <v>1.57</v>
      </c>
    </row>
    <row r="348" spans="1:11">
      <c r="A348" s="654" t="s">
        <v>7408</v>
      </c>
      <c r="B348" s="654" t="s">
        <v>2927</v>
      </c>
      <c r="C348" s="655">
        <v>11606456513</v>
      </c>
      <c r="D348" s="655">
        <v>11165687327</v>
      </c>
      <c r="E348" s="655">
        <v>11429866302</v>
      </c>
      <c r="F348" s="655">
        <v>10989097116</v>
      </c>
      <c r="G348" s="655">
        <v>440769186</v>
      </c>
      <c r="H348" s="655">
        <v>176590211</v>
      </c>
      <c r="I348" s="651">
        <v>1.5</v>
      </c>
      <c r="J348" s="651">
        <v>0.245</v>
      </c>
      <c r="K348" s="651">
        <v>1.7450000000000001</v>
      </c>
    </row>
    <row r="349" spans="1:11">
      <c r="A349" s="654" t="s">
        <v>7409</v>
      </c>
      <c r="B349" s="654" t="s">
        <v>116</v>
      </c>
      <c r="C349" s="655">
        <v>1610092444</v>
      </c>
      <c r="D349" s="655">
        <v>1541202773</v>
      </c>
      <c r="E349" s="655">
        <v>1610092444</v>
      </c>
      <c r="F349" s="655">
        <v>1541202773</v>
      </c>
      <c r="G349" s="655">
        <v>68889671</v>
      </c>
      <c r="H349" s="650">
        <v>0</v>
      </c>
      <c r="I349" s="651">
        <v>1.5</v>
      </c>
      <c r="J349" s="651">
        <v>0.13700000000000001</v>
      </c>
      <c r="K349" s="651">
        <v>1.637</v>
      </c>
    </row>
    <row r="350" spans="1:11">
      <c r="A350" s="654" t="s">
        <v>7410</v>
      </c>
      <c r="B350" s="654" t="s">
        <v>2928</v>
      </c>
      <c r="C350" s="655">
        <v>368001560</v>
      </c>
      <c r="D350" s="655">
        <v>358424070</v>
      </c>
      <c r="E350" s="655">
        <v>368001560</v>
      </c>
      <c r="F350" s="655">
        <v>358424070</v>
      </c>
      <c r="G350" s="655">
        <v>9577490</v>
      </c>
      <c r="H350" s="650">
        <v>0</v>
      </c>
      <c r="I350" s="651">
        <v>1.41</v>
      </c>
      <c r="J350" s="651">
        <v>0</v>
      </c>
      <c r="K350" s="651">
        <v>1.41</v>
      </c>
    </row>
    <row r="351" spans="1:11">
      <c r="A351" s="654" t="s">
        <v>7411</v>
      </c>
      <c r="B351" s="654" t="s">
        <v>2929</v>
      </c>
      <c r="C351" s="655">
        <v>39782800</v>
      </c>
      <c r="D351" s="655">
        <v>39236110</v>
      </c>
      <c r="E351" s="655">
        <v>39782800</v>
      </c>
      <c r="F351" s="655">
        <v>39236110</v>
      </c>
      <c r="G351" s="655">
        <v>546690</v>
      </c>
      <c r="H351" s="650">
        <v>0</v>
      </c>
      <c r="I351" s="651">
        <v>1.5</v>
      </c>
      <c r="J351" s="651">
        <v>0</v>
      </c>
      <c r="K351" s="651">
        <v>1.5</v>
      </c>
    </row>
    <row r="352" spans="1:11">
      <c r="A352" s="654" t="s">
        <v>7412</v>
      </c>
      <c r="B352" s="654" t="s">
        <v>7413</v>
      </c>
      <c r="C352" s="655">
        <v>20062432</v>
      </c>
      <c r="D352" s="655">
        <v>19293152</v>
      </c>
      <c r="E352" s="655">
        <v>20062432</v>
      </c>
      <c r="F352" s="655">
        <v>19293152</v>
      </c>
      <c r="G352" s="655">
        <v>769280</v>
      </c>
      <c r="H352" s="650">
        <v>0</v>
      </c>
      <c r="I352" s="651">
        <v>1.36</v>
      </c>
      <c r="J352" s="651">
        <v>0</v>
      </c>
      <c r="K352" s="651">
        <v>1.36</v>
      </c>
    </row>
    <row r="353" spans="1:11">
      <c r="A353" s="654" t="s">
        <v>7414</v>
      </c>
      <c r="B353" s="654" t="s">
        <v>2931</v>
      </c>
      <c r="C353" s="655">
        <v>1371397783</v>
      </c>
      <c r="D353" s="655">
        <v>1316438986</v>
      </c>
      <c r="E353" s="655">
        <v>1371397783</v>
      </c>
      <c r="F353" s="655">
        <v>1316438986</v>
      </c>
      <c r="G353" s="655">
        <v>54958797</v>
      </c>
      <c r="H353" s="650">
        <v>0</v>
      </c>
      <c r="I353" s="651">
        <v>1.42289</v>
      </c>
      <c r="J353" s="651">
        <v>0.16331000000000001</v>
      </c>
      <c r="K353" s="651">
        <v>1.5862000000000001</v>
      </c>
    </row>
    <row r="354" spans="1:11">
      <c r="A354" s="654" t="s">
        <v>7415</v>
      </c>
      <c r="B354" s="654" t="s">
        <v>2932</v>
      </c>
      <c r="C354" s="655">
        <v>196049756</v>
      </c>
      <c r="D354" s="655">
        <v>186324716</v>
      </c>
      <c r="E354" s="655">
        <v>196049756</v>
      </c>
      <c r="F354" s="655">
        <v>186324716</v>
      </c>
      <c r="G354" s="655">
        <v>9725040</v>
      </c>
      <c r="H354" s="650">
        <v>0</v>
      </c>
      <c r="I354" s="651">
        <v>1.3756999999999999</v>
      </c>
      <c r="J354" s="651">
        <v>0</v>
      </c>
      <c r="K354" s="651">
        <v>1.3756999999999999</v>
      </c>
    </row>
    <row r="355" spans="1:11">
      <c r="A355" s="654" t="s">
        <v>7416</v>
      </c>
      <c r="B355" s="654" t="s">
        <v>3788</v>
      </c>
      <c r="C355" s="655">
        <v>435982820</v>
      </c>
      <c r="D355" s="655">
        <v>433417230</v>
      </c>
      <c r="E355" s="655">
        <v>434729125</v>
      </c>
      <c r="F355" s="655">
        <v>432163535</v>
      </c>
      <c r="G355" s="655">
        <v>2565590</v>
      </c>
      <c r="H355" s="655">
        <v>1253695</v>
      </c>
      <c r="I355" s="651">
        <v>1.4279999999999999</v>
      </c>
      <c r="J355" s="651">
        <v>0</v>
      </c>
      <c r="K355" s="651">
        <v>1.4279999999999999</v>
      </c>
    </row>
    <row r="356" spans="1:11">
      <c r="A356" s="654" t="s">
        <v>7417</v>
      </c>
      <c r="B356" s="654" t="s">
        <v>3789</v>
      </c>
      <c r="C356" s="655">
        <v>643138909</v>
      </c>
      <c r="D356" s="655">
        <v>624829099</v>
      </c>
      <c r="E356" s="655">
        <v>632837679</v>
      </c>
      <c r="F356" s="655">
        <v>614527869</v>
      </c>
      <c r="G356" s="655">
        <v>18309810</v>
      </c>
      <c r="H356" s="655">
        <v>10301230</v>
      </c>
      <c r="I356" s="651">
        <v>1.3607</v>
      </c>
      <c r="J356" s="651">
        <v>5.6300000000000003E-2</v>
      </c>
      <c r="K356" s="651">
        <v>1.417</v>
      </c>
    </row>
    <row r="357" spans="1:11">
      <c r="A357" s="654" t="s">
        <v>7418</v>
      </c>
      <c r="B357" s="654" t="s">
        <v>4964</v>
      </c>
      <c r="C357" s="655">
        <v>408360491</v>
      </c>
      <c r="D357" s="655">
        <v>383679721</v>
      </c>
      <c r="E357" s="655">
        <v>408360491</v>
      </c>
      <c r="F357" s="655">
        <v>383679721</v>
      </c>
      <c r="G357" s="655">
        <v>24680770</v>
      </c>
      <c r="H357" s="650">
        <v>0</v>
      </c>
      <c r="I357" s="651">
        <v>1.3451</v>
      </c>
      <c r="J357" s="651">
        <v>6.4899999999999999E-2</v>
      </c>
      <c r="K357" s="651">
        <v>1.41</v>
      </c>
    </row>
    <row r="358" spans="1:11">
      <c r="A358" s="654" t="s">
        <v>7419</v>
      </c>
      <c r="B358" s="654" t="s">
        <v>7420</v>
      </c>
      <c r="C358" s="655">
        <v>125742516</v>
      </c>
      <c r="D358" s="655">
        <v>117216026</v>
      </c>
      <c r="E358" s="655">
        <v>122051176</v>
      </c>
      <c r="F358" s="655">
        <v>113524686</v>
      </c>
      <c r="G358" s="655">
        <v>8526490</v>
      </c>
      <c r="H358" s="655">
        <v>3691340</v>
      </c>
      <c r="I358" s="651">
        <v>1.3</v>
      </c>
      <c r="J358" s="651">
        <v>3.3320000000000002E-2</v>
      </c>
      <c r="K358" s="651">
        <v>1.3333200000000001</v>
      </c>
    </row>
    <row r="359" spans="1:11">
      <c r="A359" s="654" t="s">
        <v>7421</v>
      </c>
      <c r="B359" s="654" t="s">
        <v>3791</v>
      </c>
      <c r="C359" s="655">
        <v>90956950</v>
      </c>
      <c r="D359" s="655">
        <v>87727230</v>
      </c>
      <c r="E359" s="655">
        <v>90956950</v>
      </c>
      <c r="F359" s="655">
        <v>87727230</v>
      </c>
      <c r="G359" s="655">
        <v>3229720</v>
      </c>
      <c r="H359" s="650">
        <v>0</v>
      </c>
      <c r="I359" s="651">
        <v>1.42</v>
      </c>
      <c r="J359" s="651">
        <v>0</v>
      </c>
      <c r="K359" s="651">
        <v>1.42</v>
      </c>
    </row>
    <row r="360" spans="1:11">
      <c r="A360" s="654" t="s">
        <v>7422</v>
      </c>
      <c r="B360" s="654" t="s">
        <v>5666</v>
      </c>
      <c r="C360" s="655">
        <v>75996114</v>
      </c>
      <c r="D360" s="655">
        <v>74450894</v>
      </c>
      <c r="E360" s="655">
        <v>75996114</v>
      </c>
      <c r="F360" s="655">
        <v>74450894</v>
      </c>
      <c r="G360" s="655">
        <v>1545220</v>
      </c>
      <c r="H360" s="650">
        <v>0</v>
      </c>
      <c r="I360" s="651">
        <v>1.5</v>
      </c>
      <c r="J360" s="651">
        <v>0.10349999999999999</v>
      </c>
      <c r="K360" s="651">
        <v>1.6034999999999999</v>
      </c>
    </row>
    <row r="361" spans="1:11">
      <c r="A361" s="654" t="s">
        <v>7423</v>
      </c>
      <c r="B361" s="654" t="s">
        <v>5667</v>
      </c>
      <c r="C361" s="655">
        <v>122388781</v>
      </c>
      <c r="D361" s="655">
        <v>119823754</v>
      </c>
      <c r="E361" s="655">
        <v>122388781</v>
      </c>
      <c r="F361" s="655">
        <v>119823754</v>
      </c>
      <c r="G361" s="655">
        <v>2565027</v>
      </c>
      <c r="H361" s="650">
        <v>0</v>
      </c>
      <c r="I361" s="651">
        <v>1.35</v>
      </c>
      <c r="J361" s="651">
        <v>0</v>
      </c>
      <c r="K361" s="651">
        <v>1.35</v>
      </c>
    </row>
    <row r="362" spans="1:11">
      <c r="A362" s="654" t="s">
        <v>7424</v>
      </c>
      <c r="B362" s="654" t="s">
        <v>3629</v>
      </c>
      <c r="C362" s="655">
        <v>821942800</v>
      </c>
      <c r="D362" s="655">
        <v>776963913</v>
      </c>
      <c r="E362" s="655">
        <v>821942800</v>
      </c>
      <c r="F362" s="655">
        <v>776963913</v>
      </c>
      <c r="G362" s="655">
        <v>44978887</v>
      </c>
      <c r="H362" s="650">
        <v>0</v>
      </c>
      <c r="I362" s="651">
        <v>1.5</v>
      </c>
      <c r="J362" s="651">
        <v>5.6000000000000001E-2</v>
      </c>
      <c r="K362" s="651">
        <v>1.556</v>
      </c>
    </row>
    <row r="363" spans="1:11">
      <c r="A363" s="654" t="s">
        <v>7425</v>
      </c>
      <c r="B363" s="654" t="s">
        <v>5668</v>
      </c>
      <c r="C363" s="655">
        <v>84185023</v>
      </c>
      <c r="D363" s="655">
        <v>83944873</v>
      </c>
      <c r="E363" s="655">
        <v>84185023</v>
      </c>
      <c r="F363" s="655">
        <v>83944873</v>
      </c>
      <c r="G363" s="655">
        <v>240150</v>
      </c>
      <c r="H363" s="650">
        <v>0</v>
      </c>
      <c r="I363" s="651">
        <v>0.99229999999999996</v>
      </c>
      <c r="J363" s="651">
        <v>0.49</v>
      </c>
      <c r="K363" s="651">
        <v>1.4823</v>
      </c>
    </row>
    <row r="364" spans="1:11">
      <c r="A364" s="654" t="s">
        <v>7426</v>
      </c>
      <c r="B364" s="654" t="s">
        <v>7653</v>
      </c>
      <c r="C364" s="655">
        <v>100050722</v>
      </c>
      <c r="D364" s="655">
        <v>90816387</v>
      </c>
      <c r="E364" s="655">
        <v>100050722</v>
      </c>
      <c r="F364" s="655">
        <v>90816387</v>
      </c>
      <c r="G364" s="655">
        <v>9234335</v>
      </c>
      <c r="H364" s="650">
        <v>0</v>
      </c>
      <c r="I364" s="651">
        <v>1.43</v>
      </c>
      <c r="J364" s="651">
        <v>0.13</v>
      </c>
      <c r="K364" s="651">
        <v>1.56</v>
      </c>
    </row>
    <row r="365" spans="1:11">
      <c r="A365" s="654" t="s">
        <v>7427</v>
      </c>
      <c r="B365" s="654" t="s">
        <v>5669</v>
      </c>
      <c r="C365" s="655">
        <v>86978786</v>
      </c>
      <c r="D365" s="655">
        <v>80562241</v>
      </c>
      <c r="E365" s="655">
        <v>86978786</v>
      </c>
      <c r="F365" s="655">
        <v>80562241</v>
      </c>
      <c r="G365" s="655">
        <v>6416545</v>
      </c>
      <c r="H365" s="650">
        <v>0</v>
      </c>
      <c r="I365" s="651">
        <v>1.4048</v>
      </c>
      <c r="J365" s="651">
        <v>7.0000000000000007E-2</v>
      </c>
      <c r="K365" s="651">
        <v>1.4748000000000001</v>
      </c>
    </row>
    <row r="366" spans="1:11">
      <c r="A366" s="654" t="s">
        <v>7428</v>
      </c>
      <c r="B366" s="654" t="s">
        <v>5670</v>
      </c>
      <c r="C366" s="655">
        <v>978626600</v>
      </c>
      <c r="D366" s="655">
        <v>911306403</v>
      </c>
      <c r="E366" s="655">
        <v>978626600</v>
      </c>
      <c r="F366" s="655">
        <v>911306403</v>
      </c>
      <c r="G366" s="655">
        <v>67320197</v>
      </c>
      <c r="H366" s="650">
        <v>0</v>
      </c>
      <c r="I366" s="651">
        <v>1.49</v>
      </c>
      <c r="J366" s="651">
        <v>0.1071</v>
      </c>
      <c r="K366" s="651">
        <v>1.5971</v>
      </c>
    </row>
    <row r="367" spans="1:11">
      <c r="A367" s="654" t="s">
        <v>7429</v>
      </c>
      <c r="B367" s="654" t="s">
        <v>3851</v>
      </c>
      <c r="C367" s="655">
        <v>147860851</v>
      </c>
      <c r="D367" s="655">
        <v>136701884</v>
      </c>
      <c r="E367" s="655">
        <v>147860851</v>
      </c>
      <c r="F367" s="655">
        <v>136701884</v>
      </c>
      <c r="G367" s="655">
        <v>11158967</v>
      </c>
      <c r="H367" s="650">
        <v>0</v>
      </c>
      <c r="I367" s="651">
        <v>1.5</v>
      </c>
      <c r="J367" s="651">
        <v>0.27321000000000001</v>
      </c>
      <c r="K367" s="651">
        <v>1.77321</v>
      </c>
    </row>
    <row r="368" spans="1:11">
      <c r="A368" s="654" t="s">
        <v>7430</v>
      </c>
      <c r="B368" s="654" t="s">
        <v>5242</v>
      </c>
      <c r="C368" s="655">
        <v>1689318625</v>
      </c>
      <c r="D368" s="655">
        <v>1615028043</v>
      </c>
      <c r="E368" s="655">
        <v>1689318625</v>
      </c>
      <c r="F368" s="655">
        <v>1615028043</v>
      </c>
      <c r="G368" s="655">
        <v>74290582</v>
      </c>
      <c r="H368" s="650">
        <v>0</v>
      </c>
      <c r="I368" s="651">
        <v>1.5</v>
      </c>
      <c r="J368" s="651">
        <v>0.18</v>
      </c>
      <c r="K368" s="651">
        <v>1.68</v>
      </c>
    </row>
    <row r="369" spans="1:11">
      <c r="A369" s="654" t="s">
        <v>7431</v>
      </c>
      <c r="B369" s="654" t="s">
        <v>5243</v>
      </c>
      <c r="C369" s="655">
        <v>52280464</v>
      </c>
      <c r="D369" s="655">
        <v>49235011</v>
      </c>
      <c r="E369" s="655">
        <v>52280464</v>
      </c>
      <c r="F369" s="655">
        <v>49235011</v>
      </c>
      <c r="G369" s="655">
        <v>3045453</v>
      </c>
      <c r="H369" s="650">
        <v>0</v>
      </c>
      <c r="I369" s="651">
        <v>1.45</v>
      </c>
      <c r="J369" s="651">
        <v>0</v>
      </c>
      <c r="K369" s="651">
        <v>1.45</v>
      </c>
    </row>
    <row r="370" spans="1:11">
      <c r="A370" s="654" t="s">
        <v>7432</v>
      </c>
      <c r="B370" s="654" t="s">
        <v>5373</v>
      </c>
      <c r="C370" s="655">
        <v>284786490</v>
      </c>
      <c r="D370" s="655">
        <v>269034475</v>
      </c>
      <c r="E370" s="655">
        <v>284786490</v>
      </c>
      <c r="F370" s="655">
        <v>269034475</v>
      </c>
      <c r="G370" s="655">
        <v>15752015</v>
      </c>
      <c r="H370" s="650">
        <v>0</v>
      </c>
      <c r="I370" s="651">
        <v>1.5</v>
      </c>
      <c r="J370" s="651">
        <v>0.26</v>
      </c>
      <c r="K370" s="651">
        <v>1.76</v>
      </c>
    </row>
    <row r="371" spans="1:11">
      <c r="A371" s="654" t="s">
        <v>7433</v>
      </c>
      <c r="B371" s="654" t="s">
        <v>4071</v>
      </c>
      <c r="C371" s="655">
        <v>291260508</v>
      </c>
      <c r="D371" s="655">
        <v>267217163</v>
      </c>
      <c r="E371" s="655">
        <v>291260508</v>
      </c>
      <c r="F371" s="655">
        <v>267217163</v>
      </c>
      <c r="G371" s="655">
        <v>24043345</v>
      </c>
      <c r="H371" s="650">
        <v>0</v>
      </c>
      <c r="I371" s="651">
        <v>1.5</v>
      </c>
      <c r="J371" s="651">
        <v>0.22900000000000001</v>
      </c>
      <c r="K371" s="651">
        <v>1.7290000000000001</v>
      </c>
    </row>
    <row r="372" spans="1:11">
      <c r="A372" s="654" t="s">
        <v>7434</v>
      </c>
      <c r="B372" s="654" t="s">
        <v>5244</v>
      </c>
      <c r="C372" s="655">
        <v>116987568</v>
      </c>
      <c r="D372" s="655">
        <v>108756565</v>
      </c>
      <c r="E372" s="655">
        <v>116987568</v>
      </c>
      <c r="F372" s="655">
        <v>108756565</v>
      </c>
      <c r="G372" s="655">
        <v>8231003</v>
      </c>
      <c r="H372" s="650">
        <v>0</v>
      </c>
      <c r="I372" s="651">
        <v>1.46</v>
      </c>
      <c r="J372" s="651">
        <v>0.23</v>
      </c>
      <c r="K372" s="651">
        <v>1.69</v>
      </c>
    </row>
    <row r="373" spans="1:11">
      <c r="A373" s="654" t="s">
        <v>7435</v>
      </c>
      <c r="B373" s="654" t="s">
        <v>347</v>
      </c>
      <c r="C373" s="655">
        <v>466827661</v>
      </c>
      <c r="D373" s="655">
        <v>443470394</v>
      </c>
      <c r="E373" s="655">
        <v>466827661</v>
      </c>
      <c r="F373" s="655">
        <v>443470394</v>
      </c>
      <c r="G373" s="655">
        <v>23357267</v>
      </c>
      <c r="H373" s="650">
        <v>0</v>
      </c>
      <c r="I373" s="651">
        <v>1.44</v>
      </c>
      <c r="J373" s="651">
        <v>0.25</v>
      </c>
      <c r="K373" s="651">
        <v>1.69</v>
      </c>
    </row>
    <row r="374" spans="1:11">
      <c r="A374" s="654" t="s">
        <v>7436</v>
      </c>
      <c r="B374" s="654" t="s">
        <v>7437</v>
      </c>
      <c r="C374" s="655">
        <v>223913515</v>
      </c>
      <c r="D374" s="655">
        <v>212056220</v>
      </c>
      <c r="E374" s="655">
        <v>223913515</v>
      </c>
      <c r="F374" s="655">
        <v>212056220</v>
      </c>
      <c r="G374" s="655">
        <v>11857295</v>
      </c>
      <c r="H374" s="650">
        <v>0</v>
      </c>
      <c r="I374" s="651">
        <v>1.5</v>
      </c>
      <c r="J374" s="651">
        <v>0.18276000000000001</v>
      </c>
      <c r="K374" s="651">
        <v>1.68276</v>
      </c>
    </row>
    <row r="375" spans="1:11">
      <c r="A375" s="654" t="s">
        <v>7438</v>
      </c>
      <c r="B375" s="654" t="s">
        <v>3914</v>
      </c>
      <c r="C375" s="655">
        <v>123368892</v>
      </c>
      <c r="D375" s="655">
        <v>118385365</v>
      </c>
      <c r="E375" s="655">
        <v>123368892</v>
      </c>
      <c r="F375" s="655">
        <v>118385365</v>
      </c>
      <c r="G375" s="655">
        <v>4983527</v>
      </c>
      <c r="H375" s="650">
        <v>0</v>
      </c>
      <c r="I375" s="651">
        <v>1.44</v>
      </c>
      <c r="J375" s="651">
        <v>0.10290000000000001</v>
      </c>
      <c r="K375" s="651">
        <v>1.5428999999999999</v>
      </c>
    </row>
    <row r="376" spans="1:11">
      <c r="A376" s="654" t="s">
        <v>7439</v>
      </c>
      <c r="B376" s="654" t="s">
        <v>7160</v>
      </c>
      <c r="C376" s="655">
        <v>114927855</v>
      </c>
      <c r="D376" s="655">
        <v>104655872</v>
      </c>
      <c r="E376" s="655">
        <v>114927855</v>
      </c>
      <c r="F376" s="655">
        <v>104655872</v>
      </c>
      <c r="G376" s="655">
        <v>10271983</v>
      </c>
      <c r="H376" s="650">
        <v>0</v>
      </c>
      <c r="I376" s="651">
        <v>1.46</v>
      </c>
      <c r="J376" s="651">
        <v>0.113</v>
      </c>
      <c r="K376" s="651">
        <v>1.573</v>
      </c>
    </row>
    <row r="377" spans="1:11">
      <c r="A377" s="654" t="s">
        <v>7440</v>
      </c>
      <c r="B377" s="654" t="s">
        <v>7161</v>
      </c>
      <c r="C377" s="655">
        <v>429937836</v>
      </c>
      <c r="D377" s="655">
        <v>405156411</v>
      </c>
      <c r="E377" s="655">
        <v>414959240</v>
      </c>
      <c r="F377" s="655">
        <v>390177815</v>
      </c>
      <c r="G377" s="655">
        <v>24781425</v>
      </c>
      <c r="H377" s="655">
        <v>14978596</v>
      </c>
      <c r="I377" s="651">
        <v>1.45143</v>
      </c>
      <c r="J377" s="651">
        <v>6.5000000000000002E-2</v>
      </c>
      <c r="K377" s="651">
        <v>1.5164299999999999</v>
      </c>
    </row>
    <row r="378" spans="1:11">
      <c r="A378" s="654" t="s">
        <v>7441</v>
      </c>
      <c r="B378" s="654" t="s">
        <v>7162</v>
      </c>
      <c r="C378" s="655">
        <v>903054768</v>
      </c>
      <c r="D378" s="655">
        <v>858350467</v>
      </c>
      <c r="E378" s="655">
        <v>871554545</v>
      </c>
      <c r="F378" s="655">
        <v>826850244</v>
      </c>
      <c r="G378" s="655">
        <v>44704301</v>
      </c>
      <c r="H378" s="655">
        <v>31500223</v>
      </c>
      <c r="I378" s="651">
        <v>1.5</v>
      </c>
      <c r="J378" s="651">
        <v>0.112</v>
      </c>
      <c r="K378" s="651">
        <v>1.6120000000000001</v>
      </c>
    </row>
    <row r="379" spans="1:11">
      <c r="A379" s="654" t="s">
        <v>7442</v>
      </c>
      <c r="B379" s="654" t="s">
        <v>199</v>
      </c>
      <c r="C379" s="655">
        <v>2684821368</v>
      </c>
      <c r="D379" s="655">
        <v>2578662407</v>
      </c>
      <c r="E379" s="655">
        <v>2684821368</v>
      </c>
      <c r="F379" s="655">
        <v>2578662407</v>
      </c>
      <c r="G379" s="655">
        <v>106158961</v>
      </c>
      <c r="H379" s="650">
        <v>0</v>
      </c>
      <c r="I379" s="651">
        <v>1.5</v>
      </c>
      <c r="J379" s="651">
        <v>0.115</v>
      </c>
      <c r="K379" s="651">
        <v>1.615</v>
      </c>
    </row>
    <row r="380" spans="1:11">
      <c r="A380" s="654" t="s">
        <v>7443</v>
      </c>
      <c r="B380" s="654" t="s">
        <v>7163</v>
      </c>
      <c r="C380" s="655">
        <v>1282987213</v>
      </c>
      <c r="D380" s="655">
        <v>1227552834</v>
      </c>
      <c r="E380" s="655">
        <v>1225276915</v>
      </c>
      <c r="F380" s="655">
        <v>1169842536</v>
      </c>
      <c r="G380" s="655">
        <v>55434379</v>
      </c>
      <c r="H380" s="655">
        <v>57710298</v>
      </c>
      <c r="I380" s="651">
        <v>1.5</v>
      </c>
      <c r="J380" s="651">
        <v>0.1328</v>
      </c>
      <c r="K380" s="651">
        <v>1.6328</v>
      </c>
    </row>
    <row r="381" spans="1:11">
      <c r="A381" s="654" t="s">
        <v>7444</v>
      </c>
      <c r="B381" s="654" t="s">
        <v>7164</v>
      </c>
      <c r="C381" s="655">
        <v>220802508</v>
      </c>
      <c r="D381" s="655">
        <v>206242268</v>
      </c>
      <c r="E381" s="655">
        <v>209723753</v>
      </c>
      <c r="F381" s="655">
        <v>195163513</v>
      </c>
      <c r="G381" s="655">
        <v>14560240</v>
      </c>
      <c r="H381" s="655">
        <v>11078755</v>
      </c>
      <c r="I381" s="651">
        <v>1.5</v>
      </c>
      <c r="J381" s="651">
        <v>0</v>
      </c>
      <c r="K381" s="651">
        <v>1.5</v>
      </c>
    </row>
    <row r="382" spans="1:11">
      <c r="A382" s="654" t="s">
        <v>7445</v>
      </c>
      <c r="B382" s="654" t="s">
        <v>2351</v>
      </c>
      <c r="C382" s="655">
        <v>301056327</v>
      </c>
      <c r="D382" s="655">
        <v>284813157</v>
      </c>
      <c r="E382" s="655">
        <v>285640449</v>
      </c>
      <c r="F382" s="655">
        <v>269397279</v>
      </c>
      <c r="G382" s="655">
        <v>16243170</v>
      </c>
      <c r="H382" s="655">
        <v>15415878</v>
      </c>
      <c r="I382" s="651">
        <v>1.5</v>
      </c>
      <c r="J382" s="651">
        <v>0.14499999999999999</v>
      </c>
      <c r="K382" s="651">
        <v>1.645</v>
      </c>
    </row>
    <row r="383" spans="1:11">
      <c r="A383" s="654" t="s">
        <v>7446</v>
      </c>
      <c r="B383" s="654" t="s">
        <v>7165</v>
      </c>
      <c r="C383" s="655">
        <v>245885210</v>
      </c>
      <c r="D383" s="655">
        <v>231607500</v>
      </c>
      <c r="E383" s="655">
        <v>232821673</v>
      </c>
      <c r="F383" s="655">
        <v>218543963</v>
      </c>
      <c r="G383" s="655">
        <v>14277710</v>
      </c>
      <c r="H383" s="655">
        <v>13063537</v>
      </c>
      <c r="I383" s="651">
        <v>1.4941</v>
      </c>
      <c r="J383" s="651">
        <v>0.1124</v>
      </c>
      <c r="K383" s="651">
        <v>1.6065</v>
      </c>
    </row>
    <row r="384" spans="1:11">
      <c r="A384" s="654" t="s">
        <v>7447</v>
      </c>
      <c r="B384" s="654" t="s">
        <v>7448</v>
      </c>
      <c r="C384" s="655">
        <v>362318249</v>
      </c>
      <c r="D384" s="655">
        <v>354708369</v>
      </c>
      <c r="E384" s="655">
        <v>362318249</v>
      </c>
      <c r="F384" s="655">
        <v>354708369</v>
      </c>
      <c r="G384" s="655">
        <v>7609880</v>
      </c>
      <c r="H384" s="650">
        <v>0</v>
      </c>
      <c r="I384" s="651">
        <v>1.5</v>
      </c>
      <c r="J384" s="651">
        <v>0.1</v>
      </c>
      <c r="K384" s="651">
        <v>1.6</v>
      </c>
    </row>
    <row r="385" spans="1:11">
      <c r="A385" s="654" t="s">
        <v>7449</v>
      </c>
      <c r="B385" s="654" t="s">
        <v>7167</v>
      </c>
      <c r="C385" s="655">
        <v>81302070</v>
      </c>
      <c r="D385" s="655">
        <v>75619430</v>
      </c>
      <c r="E385" s="655">
        <v>81302070</v>
      </c>
      <c r="F385" s="655">
        <v>75619430</v>
      </c>
      <c r="G385" s="655">
        <v>5682640</v>
      </c>
      <c r="H385" s="650">
        <v>0</v>
      </c>
      <c r="I385" s="651">
        <v>1.44</v>
      </c>
      <c r="J385" s="651">
        <v>0</v>
      </c>
      <c r="K385" s="651">
        <v>1.44</v>
      </c>
    </row>
    <row r="386" spans="1:11">
      <c r="A386" s="654" t="s">
        <v>7450</v>
      </c>
      <c r="B386" s="654" t="s">
        <v>7168</v>
      </c>
      <c r="C386" s="655">
        <v>745881630</v>
      </c>
      <c r="D386" s="655">
        <v>714123310</v>
      </c>
      <c r="E386" s="655">
        <v>723568952</v>
      </c>
      <c r="F386" s="655">
        <v>691810632</v>
      </c>
      <c r="G386" s="655">
        <v>31758320</v>
      </c>
      <c r="H386" s="655">
        <v>22312678</v>
      </c>
      <c r="I386" s="651">
        <v>1.5</v>
      </c>
      <c r="J386" s="651">
        <v>0.1</v>
      </c>
      <c r="K386" s="651">
        <v>1.6</v>
      </c>
    </row>
    <row r="387" spans="1:11">
      <c r="A387" s="654" t="s">
        <v>7451</v>
      </c>
      <c r="B387" s="654" t="s">
        <v>7169</v>
      </c>
      <c r="C387" s="655">
        <v>76668025</v>
      </c>
      <c r="D387" s="655">
        <v>72730313</v>
      </c>
      <c r="E387" s="655">
        <v>76668025</v>
      </c>
      <c r="F387" s="655">
        <v>72730313</v>
      </c>
      <c r="G387" s="655">
        <v>3937712</v>
      </c>
      <c r="H387" s="650">
        <v>0</v>
      </c>
      <c r="I387" s="651">
        <v>1.5</v>
      </c>
      <c r="J387" s="651">
        <v>0</v>
      </c>
      <c r="K387" s="651">
        <v>1.5</v>
      </c>
    </row>
    <row r="388" spans="1:11">
      <c r="A388" s="654" t="s">
        <v>7452</v>
      </c>
      <c r="B388" s="654" t="s">
        <v>1463</v>
      </c>
      <c r="C388" s="655">
        <v>1707600726</v>
      </c>
      <c r="D388" s="655">
        <v>1620756623</v>
      </c>
      <c r="E388" s="655">
        <v>1707600726</v>
      </c>
      <c r="F388" s="655">
        <v>1620756623</v>
      </c>
      <c r="G388" s="655">
        <v>86844103</v>
      </c>
      <c r="H388" s="650">
        <v>0</v>
      </c>
      <c r="I388" s="651">
        <v>1.5</v>
      </c>
      <c r="J388" s="651">
        <v>0.19439999999999999</v>
      </c>
      <c r="K388" s="651">
        <v>1.6943999999999999</v>
      </c>
    </row>
    <row r="389" spans="1:11">
      <c r="A389" s="654" t="s">
        <v>7453</v>
      </c>
      <c r="B389" s="654" t="s">
        <v>1461</v>
      </c>
      <c r="C389" s="655">
        <v>1784393868</v>
      </c>
      <c r="D389" s="655">
        <v>1689063528</v>
      </c>
      <c r="E389" s="655">
        <v>1784393868</v>
      </c>
      <c r="F389" s="655">
        <v>1689063528</v>
      </c>
      <c r="G389" s="655">
        <v>95330340</v>
      </c>
      <c r="H389" s="650">
        <v>0</v>
      </c>
      <c r="I389" s="651">
        <v>1.5</v>
      </c>
      <c r="J389" s="651">
        <v>0.24</v>
      </c>
      <c r="K389" s="651">
        <v>1.74</v>
      </c>
    </row>
    <row r="390" spans="1:11">
      <c r="A390" s="654" t="s">
        <v>7454</v>
      </c>
      <c r="B390" s="654" t="s">
        <v>7170</v>
      </c>
      <c r="C390" s="655">
        <v>444198896</v>
      </c>
      <c r="D390" s="655">
        <v>429585001</v>
      </c>
      <c r="E390" s="655">
        <v>426617290</v>
      </c>
      <c r="F390" s="655">
        <v>412003395</v>
      </c>
      <c r="G390" s="655">
        <v>14613895</v>
      </c>
      <c r="H390" s="655">
        <v>17581606</v>
      </c>
      <c r="I390" s="651">
        <v>1.5</v>
      </c>
      <c r="J390" s="651">
        <v>0.35510000000000003</v>
      </c>
      <c r="K390" s="651">
        <v>1.8551</v>
      </c>
    </row>
    <row r="391" spans="1:11">
      <c r="A391" s="654" t="s">
        <v>7455</v>
      </c>
      <c r="B391" s="654" t="s">
        <v>6065</v>
      </c>
      <c r="C391" s="655">
        <v>378557743</v>
      </c>
      <c r="D391" s="655">
        <v>363256562</v>
      </c>
      <c r="E391" s="655">
        <v>378557743</v>
      </c>
      <c r="F391" s="655">
        <v>363256562</v>
      </c>
      <c r="G391" s="655">
        <v>15301181</v>
      </c>
      <c r="H391" s="650">
        <v>0</v>
      </c>
      <c r="I391" s="651">
        <v>1.5</v>
      </c>
      <c r="J391" s="651">
        <v>0.26790000000000003</v>
      </c>
      <c r="K391" s="651">
        <v>1.7679</v>
      </c>
    </row>
    <row r="392" spans="1:11">
      <c r="A392" s="654" t="s">
        <v>7456</v>
      </c>
      <c r="B392" s="654" t="s">
        <v>5272</v>
      </c>
      <c r="C392" s="655">
        <v>211398236</v>
      </c>
      <c r="D392" s="655">
        <v>204715487</v>
      </c>
      <c r="E392" s="655">
        <v>211398236</v>
      </c>
      <c r="F392" s="655">
        <v>204715487</v>
      </c>
      <c r="G392" s="655">
        <v>6682749</v>
      </c>
      <c r="H392" s="650">
        <v>0</v>
      </c>
      <c r="I392" s="651">
        <v>1.5</v>
      </c>
      <c r="J392" s="651">
        <v>0</v>
      </c>
      <c r="K392" s="651">
        <v>1.5</v>
      </c>
    </row>
    <row r="393" spans="1:11">
      <c r="A393" s="654" t="s">
        <v>7457</v>
      </c>
      <c r="B393" s="654" t="s">
        <v>5273</v>
      </c>
      <c r="C393" s="655">
        <v>28260332</v>
      </c>
      <c r="D393" s="655">
        <v>27648439</v>
      </c>
      <c r="E393" s="655">
        <v>28260332</v>
      </c>
      <c r="F393" s="655">
        <v>27648439</v>
      </c>
      <c r="G393" s="655">
        <v>611893</v>
      </c>
      <c r="H393" s="650">
        <v>0</v>
      </c>
      <c r="I393" s="651">
        <v>1.5</v>
      </c>
      <c r="J393" s="651">
        <v>0</v>
      </c>
      <c r="K393" s="651">
        <v>1.5</v>
      </c>
    </row>
    <row r="394" spans="1:11">
      <c r="A394" s="654" t="s">
        <v>7458</v>
      </c>
      <c r="B394" s="654" t="s">
        <v>5274</v>
      </c>
      <c r="C394" s="655">
        <v>66270197</v>
      </c>
      <c r="D394" s="655">
        <v>61304029</v>
      </c>
      <c r="E394" s="655">
        <v>66270197</v>
      </c>
      <c r="F394" s="655">
        <v>61304029</v>
      </c>
      <c r="G394" s="655">
        <v>4966168</v>
      </c>
      <c r="H394" s="650">
        <v>0</v>
      </c>
      <c r="I394" s="651">
        <v>1.5</v>
      </c>
      <c r="J394" s="651">
        <v>0</v>
      </c>
      <c r="K394" s="651">
        <v>1.5</v>
      </c>
    </row>
    <row r="395" spans="1:11">
      <c r="A395" s="654" t="s">
        <v>7459</v>
      </c>
      <c r="B395" s="654" t="s">
        <v>5275</v>
      </c>
      <c r="C395" s="655">
        <v>45299330</v>
      </c>
      <c r="D395" s="655">
        <v>42131604</v>
      </c>
      <c r="E395" s="655">
        <v>45299330</v>
      </c>
      <c r="F395" s="655">
        <v>42131604</v>
      </c>
      <c r="G395" s="655">
        <v>3167726</v>
      </c>
      <c r="H395" s="650">
        <v>0</v>
      </c>
      <c r="I395" s="651">
        <v>1.5</v>
      </c>
      <c r="J395" s="651">
        <v>6.5000000000000002E-2</v>
      </c>
      <c r="K395" s="651">
        <v>1.5649999999999999</v>
      </c>
    </row>
    <row r="396" spans="1:11">
      <c r="A396" s="654" t="s">
        <v>7460</v>
      </c>
      <c r="B396" s="654" t="s">
        <v>5276</v>
      </c>
      <c r="C396" s="655">
        <v>894326784</v>
      </c>
      <c r="D396" s="655">
        <v>848239212</v>
      </c>
      <c r="E396" s="655">
        <v>894326784</v>
      </c>
      <c r="F396" s="655">
        <v>848239212</v>
      </c>
      <c r="G396" s="655">
        <v>46087572</v>
      </c>
      <c r="H396" s="650">
        <v>0</v>
      </c>
      <c r="I396" s="651">
        <v>1.45</v>
      </c>
      <c r="J396" s="651">
        <v>0</v>
      </c>
      <c r="K396" s="651">
        <v>1.45</v>
      </c>
    </row>
    <row r="397" spans="1:11">
      <c r="A397" s="654" t="s">
        <v>7461</v>
      </c>
      <c r="B397" s="654" t="s">
        <v>5277</v>
      </c>
      <c r="C397" s="655">
        <v>103050781</v>
      </c>
      <c r="D397" s="655">
        <v>96390051</v>
      </c>
      <c r="E397" s="655">
        <v>103050781</v>
      </c>
      <c r="F397" s="655">
        <v>96390051</v>
      </c>
      <c r="G397" s="655">
        <v>6660730</v>
      </c>
      <c r="H397" s="650">
        <v>0</v>
      </c>
      <c r="I397" s="651">
        <v>1.4908999999999999</v>
      </c>
      <c r="J397" s="651">
        <v>0</v>
      </c>
      <c r="K397" s="651">
        <v>1.4908999999999999</v>
      </c>
    </row>
    <row r="398" spans="1:11">
      <c r="A398" s="654" t="s">
        <v>7462</v>
      </c>
      <c r="B398" s="654" t="s">
        <v>5278</v>
      </c>
      <c r="C398" s="655">
        <v>38691349</v>
      </c>
      <c r="D398" s="655">
        <v>35884439</v>
      </c>
      <c r="E398" s="655">
        <v>38691349</v>
      </c>
      <c r="F398" s="655">
        <v>35884439</v>
      </c>
      <c r="G398" s="655">
        <v>2806910</v>
      </c>
      <c r="H398" s="650">
        <v>0</v>
      </c>
      <c r="I398" s="651">
        <v>1.38</v>
      </c>
      <c r="J398" s="651">
        <v>0</v>
      </c>
      <c r="K398" s="651">
        <v>1.38</v>
      </c>
    </row>
    <row r="399" spans="1:11">
      <c r="A399" s="654" t="s">
        <v>7463</v>
      </c>
      <c r="B399" s="654" t="s">
        <v>7464</v>
      </c>
      <c r="C399" s="655">
        <v>199879138</v>
      </c>
      <c r="D399" s="655">
        <v>185265327</v>
      </c>
      <c r="E399" s="655">
        <v>199879138</v>
      </c>
      <c r="F399" s="655">
        <v>185265327</v>
      </c>
      <c r="G399" s="655">
        <v>14613811</v>
      </c>
      <c r="H399" s="650">
        <v>0</v>
      </c>
      <c r="I399" s="651">
        <v>1.43</v>
      </c>
      <c r="J399" s="651">
        <v>0.14779999999999999</v>
      </c>
      <c r="K399" s="651">
        <v>1.5778000000000001</v>
      </c>
    </row>
    <row r="400" spans="1:11">
      <c r="A400" s="654" t="s">
        <v>7465</v>
      </c>
      <c r="B400" s="654" t="s">
        <v>3844</v>
      </c>
      <c r="C400" s="655">
        <v>102042063</v>
      </c>
      <c r="D400" s="655">
        <v>94684133</v>
      </c>
      <c r="E400" s="655">
        <v>102042063</v>
      </c>
      <c r="F400" s="655">
        <v>94684133</v>
      </c>
      <c r="G400" s="655">
        <v>7357930</v>
      </c>
      <c r="H400" s="650">
        <v>0</v>
      </c>
      <c r="I400" s="651">
        <v>1.41</v>
      </c>
      <c r="J400" s="651">
        <v>0.13</v>
      </c>
      <c r="K400" s="651">
        <v>1.54</v>
      </c>
    </row>
    <row r="401" spans="1:11">
      <c r="A401" s="654" t="s">
        <v>7466</v>
      </c>
      <c r="B401" s="654" t="s">
        <v>5280</v>
      </c>
      <c r="C401" s="655">
        <v>249272025</v>
      </c>
      <c r="D401" s="655">
        <v>245246407</v>
      </c>
      <c r="E401" s="655">
        <v>249272025</v>
      </c>
      <c r="F401" s="655">
        <v>245246407</v>
      </c>
      <c r="G401" s="655">
        <v>4025618</v>
      </c>
      <c r="H401" s="650">
        <v>0</v>
      </c>
      <c r="I401" s="651">
        <v>1.42</v>
      </c>
      <c r="J401" s="651">
        <v>0</v>
      </c>
      <c r="K401" s="651">
        <v>1.42</v>
      </c>
    </row>
    <row r="402" spans="1:11">
      <c r="A402" s="654" t="s">
        <v>7467</v>
      </c>
      <c r="B402" s="654" t="s">
        <v>7468</v>
      </c>
      <c r="C402" s="655">
        <v>121267925</v>
      </c>
      <c r="D402" s="655">
        <v>120637491</v>
      </c>
      <c r="E402" s="655">
        <v>120910373</v>
      </c>
      <c r="F402" s="655">
        <v>120279939</v>
      </c>
      <c r="G402" s="655">
        <v>630434</v>
      </c>
      <c r="H402" s="655">
        <v>357552</v>
      </c>
      <c r="I402" s="651">
        <v>1.4</v>
      </c>
      <c r="J402" s="651">
        <v>0</v>
      </c>
      <c r="K402" s="651">
        <v>1.4</v>
      </c>
    </row>
    <row r="403" spans="1:11">
      <c r="A403" s="654" t="s">
        <v>7469</v>
      </c>
      <c r="B403" s="654" t="s">
        <v>5282</v>
      </c>
      <c r="C403" s="655">
        <v>287364874</v>
      </c>
      <c r="D403" s="655">
        <v>278061212</v>
      </c>
      <c r="E403" s="655">
        <v>287364874</v>
      </c>
      <c r="F403" s="655">
        <v>278061212</v>
      </c>
      <c r="G403" s="655">
        <v>9303662</v>
      </c>
      <c r="H403" s="650">
        <v>0</v>
      </c>
      <c r="I403" s="651">
        <v>1.5</v>
      </c>
      <c r="J403" s="651">
        <v>0</v>
      </c>
      <c r="K403" s="651">
        <v>1.5</v>
      </c>
    </row>
    <row r="404" spans="1:11">
      <c r="A404" s="654" t="s">
        <v>7470</v>
      </c>
      <c r="B404" s="654" t="s">
        <v>5283</v>
      </c>
      <c r="C404" s="655">
        <v>79061949</v>
      </c>
      <c r="D404" s="655">
        <v>76529639</v>
      </c>
      <c r="E404" s="655">
        <v>79061949</v>
      </c>
      <c r="F404" s="655">
        <v>76529639</v>
      </c>
      <c r="G404" s="655">
        <v>2532310</v>
      </c>
      <c r="H404" s="650">
        <v>0</v>
      </c>
      <c r="I404" s="651">
        <v>1.45</v>
      </c>
      <c r="J404" s="651">
        <v>0</v>
      </c>
      <c r="K404" s="651">
        <v>1.45</v>
      </c>
    </row>
    <row r="405" spans="1:11">
      <c r="A405" s="654" t="s">
        <v>7471</v>
      </c>
      <c r="B405" s="654" t="s">
        <v>5284</v>
      </c>
      <c r="C405" s="655">
        <v>174104010</v>
      </c>
      <c r="D405" s="655">
        <v>166246840</v>
      </c>
      <c r="E405" s="655">
        <v>174104010</v>
      </c>
      <c r="F405" s="655">
        <v>166246840</v>
      </c>
      <c r="G405" s="655">
        <v>7857170</v>
      </c>
      <c r="H405" s="650">
        <v>0</v>
      </c>
      <c r="I405" s="651">
        <v>1.5</v>
      </c>
      <c r="J405" s="651">
        <v>5.3400000000000003E-2</v>
      </c>
      <c r="K405" s="651">
        <v>1.5533999999999999</v>
      </c>
    </row>
    <row r="406" spans="1:11">
      <c r="A406" s="654" t="s">
        <v>7472</v>
      </c>
      <c r="B406" s="654" t="s">
        <v>5285</v>
      </c>
      <c r="C406" s="655">
        <v>202969805</v>
      </c>
      <c r="D406" s="655">
        <v>185276095</v>
      </c>
      <c r="E406" s="655">
        <v>197773210</v>
      </c>
      <c r="F406" s="655">
        <v>180079500</v>
      </c>
      <c r="G406" s="655">
        <v>17693710</v>
      </c>
      <c r="H406" s="655">
        <v>5196595</v>
      </c>
      <c r="I406" s="651">
        <v>1.4650000000000001</v>
      </c>
      <c r="J406" s="651">
        <v>8.5000000000000006E-2</v>
      </c>
      <c r="K406" s="651">
        <v>1.55</v>
      </c>
    </row>
    <row r="407" spans="1:11">
      <c r="A407" s="654" t="s">
        <v>7473</v>
      </c>
      <c r="B407" s="654" t="s">
        <v>1466</v>
      </c>
      <c r="C407" s="655">
        <v>474581766</v>
      </c>
      <c r="D407" s="655">
        <v>433683756</v>
      </c>
      <c r="E407" s="655">
        <v>474581766</v>
      </c>
      <c r="F407" s="655">
        <v>433683756</v>
      </c>
      <c r="G407" s="655">
        <v>40898010</v>
      </c>
      <c r="H407" s="650">
        <v>0</v>
      </c>
      <c r="I407" s="651">
        <v>1.5</v>
      </c>
      <c r="J407" s="651">
        <v>0.1671</v>
      </c>
      <c r="K407" s="651">
        <v>1.6671</v>
      </c>
    </row>
    <row r="408" spans="1:11">
      <c r="A408" s="654" t="s">
        <v>7474</v>
      </c>
      <c r="B408" s="654" t="s">
        <v>5286</v>
      </c>
      <c r="C408" s="655">
        <v>535538250</v>
      </c>
      <c r="D408" s="655">
        <v>507765470</v>
      </c>
      <c r="E408" s="655">
        <v>519553740</v>
      </c>
      <c r="F408" s="655">
        <v>491780960</v>
      </c>
      <c r="G408" s="655">
        <v>27772780</v>
      </c>
      <c r="H408" s="655">
        <v>15984510</v>
      </c>
      <c r="I408" s="651">
        <v>1.48</v>
      </c>
      <c r="J408" s="651">
        <v>0.08</v>
      </c>
      <c r="K408" s="651">
        <v>1.56</v>
      </c>
    </row>
    <row r="409" spans="1:11">
      <c r="A409" s="654" t="s">
        <v>7475</v>
      </c>
      <c r="B409" s="654" t="s">
        <v>6057</v>
      </c>
      <c r="C409" s="655">
        <v>516404302</v>
      </c>
      <c r="D409" s="655">
        <v>473802482</v>
      </c>
      <c r="E409" s="655">
        <v>516404302</v>
      </c>
      <c r="F409" s="655">
        <v>473802482</v>
      </c>
      <c r="G409" s="655">
        <v>42601820</v>
      </c>
      <c r="H409" s="650">
        <v>0</v>
      </c>
      <c r="I409" s="651">
        <v>1.43</v>
      </c>
      <c r="J409" s="651">
        <v>0.09</v>
      </c>
      <c r="K409" s="651">
        <v>1.52</v>
      </c>
    </row>
    <row r="410" spans="1:11">
      <c r="A410" s="654" t="s">
        <v>7476</v>
      </c>
      <c r="B410" s="654" t="s">
        <v>7477</v>
      </c>
      <c r="C410" s="655">
        <v>111840229</v>
      </c>
      <c r="D410" s="655">
        <v>103081419</v>
      </c>
      <c r="E410" s="655">
        <v>111840229</v>
      </c>
      <c r="F410" s="655">
        <v>103081419</v>
      </c>
      <c r="G410" s="655">
        <v>8758810</v>
      </c>
      <c r="H410" s="650">
        <v>0</v>
      </c>
      <c r="I410" s="651">
        <v>1.5</v>
      </c>
      <c r="J410" s="651">
        <v>0.21</v>
      </c>
      <c r="K410" s="651">
        <v>1.71</v>
      </c>
    </row>
    <row r="411" spans="1:11">
      <c r="A411" s="654" t="s">
        <v>7478</v>
      </c>
      <c r="B411" s="654" t="s">
        <v>3901</v>
      </c>
      <c r="C411" s="655">
        <v>9283513833</v>
      </c>
      <c r="D411" s="655">
        <v>8968910443</v>
      </c>
      <c r="E411" s="655">
        <v>9283513833</v>
      </c>
      <c r="F411" s="655">
        <v>8968910443</v>
      </c>
      <c r="G411" s="655">
        <v>314603390</v>
      </c>
      <c r="H411" s="650">
        <v>0</v>
      </c>
      <c r="I411" s="651">
        <v>1.58</v>
      </c>
      <c r="J411" s="651">
        <v>0.109</v>
      </c>
      <c r="K411" s="651">
        <v>1.6890000000000001</v>
      </c>
    </row>
    <row r="412" spans="1:11">
      <c r="A412" s="654" t="s">
        <v>7479</v>
      </c>
      <c r="B412" s="654" t="s">
        <v>1844</v>
      </c>
      <c r="C412" s="655">
        <v>8841199222</v>
      </c>
      <c r="D412" s="655">
        <v>8564388612</v>
      </c>
      <c r="E412" s="655">
        <v>8841199222</v>
      </c>
      <c r="F412" s="655">
        <v>8564388612</v>
      </c>
      <c r="G412" s="655">
        <v>276810610</v>
      </c>
      <c r="H412" s="650">
        <v>0</v>
      </c>
      <c r="I412" s="651">
        <v>1.47</v>
      </c>
      <c r="J412" s="651">
        <v>0.22</v>
      </c>
      <c r="K412" s="651">
        <v>1.69</v>
      </c>
    </row>
    <row r="413" spans="1:11">
      <c r="A413" s="654" t="s">
        <v>7480</v>
      </c>
      <c r="B413" s="654" t="s">
        <v>303</v>
      </c>
      <c r="C413" s="655">
        <v>1732026310</v>
      </c>
      <c r="D413" s="655">
        <v>1679551360</v>
      </c>
      <c r="E413" s="655">
        <v>1732026310</v>
      </c>
      <c r="F413" s="655">
        <v>1679551360</v>
      </c>
      <c r="G413" s="655">
        <v>52474950</v>
      </c>
      <c r="H413" s="650">
        <v>0</v>
      </c>
      <c r="I413" s="651">
        <v>1.5</v>
      </c>
      <c r="J413" s="651">
        <v>0.21</v>
      </c>
      <c r="K413" s="651">
        <v>1.71</v>
      </c>
    </row>
    <row r="414" spans="1:11">
      <c r="A414" s="654" t="s">
        <v>7481</v>
      </c>
      <c r="B414" s="654" t="s">
        <v>1667</v>
      </c>
      <c r="C414" s="655">
        <v>826491878</v>
      </c>
      <c r="D414" s="655">
        <v>775732338</v>
      </c>
      <c r="E414" s="655">
        <v>826491878</v>
      </c>
      <c r="F414" s="655">
        <v>775732338</v>
      </c>
      <c r="G414" s="655">
        <v>50759540</v>
      </c>
      <c r="H414" s="650">
        <v>0</v>
      </c>
      <c r="I414" s="651">
        <v>1.5</v>
      </c>
      <c r="J414" s="651">
        <v>0.38</v>
      </c>
      <c r="K414" s="651">
        <v>1.88</v>
      </c>
    </row>
    <row r="415" spans="1:11">
      <c r="A415" s="654" t="s">
        <v>7482</v>
      </c>
      <c r="B415" s="654" t="s">
        <v>304</v>
      </c>
      <c r="C415" s="655">
        <v>23032762120</v>
      </c>
      <c r="D415" s="655">
        <v>22166648590</v>
      </c>
      <c r="E415" s="655">
        <v>21743849495</v>
      </c>
      <c r="F415" s="655">
        <v>20877735965</v>
      </c>
      <c r="G415" s="655">
        <v>866113530</v>
      </c>
      <c r="H415" s="655">
        <v>1288912625</v>
      </c>
      <c r="I415" s="651">
        <v>1.5</v>
      </c>
      <c r="J415" s="651">
        <v>0.28999999999999998</v>
      </c>
      <c r="K415" s="651">
        <v>1.79</v>
      </c>
    </row>
    <row r="416" spans="1:11">
      <c r="A416" s="654" t="s">
        <v>7483</v>
      </c>
      <c r="B416" s="654" t="s">
        <v>305</v>
      </c>
      <c r="C416" s="655">
        <v>6669533016</v>
      </c>
      <c r="D416" s="655">
        <v>6552377536</v>
      </c>
      <c r="E416" s="655">
        <v>6529667276</v>
      </c>
      <c r="F416" s="655">
        <v>6412511796</v>
      </c>
      <c r="G416" s="655">
        <v>117155480</v>
      </c>
      <c r="H416" s="655">
        <v>139865740</v>
      </c>
      <c r="I416" s="651">
        <v>1.6</v>
      </c>
      <c r="J416" s="651">
        <v>0.20549999999999999</v>
      </c>
      <c r="K416" s="651">
        <v>1.8055000000000001</v>
      </c>
    </row>
    <row r="417" spans="1:11">
      <c r="A417" s="654" t="s">
        <v>7484</v>
      </c>
      <c r="B417" s="654" t="s">
        <v>1938</v>
      </c>
      <c r="C417" s="655">
        <v>1158580789</v>
      </c>
      <c r="D417" s="655">
        <v>1063274219</v>
      </c>
      <c r="E417" s="655">
        <v>1158580789</v>
      </c>
      <c r="F417" s="655">
        <v>1063274219</v>
      </c>
      <c r="G417" s="655">
        <v>95306570</v>
      </c>
      <c r="H417" s="650">
        <v>0</v>
      </c>
      <c r="I417" s="651">
        <v>1.5844</v>
      </c>
      <c r="J417" s="651">
        <v>0.16</v>
      </c>
      <c r="K417" s="651">
        <v>1.7444</v>
      </c>
    </row>
    <row r="418" spans="1:11">
      <c r="A418" s="654" t="s">
        <v>7485</v>
      </c>
      <c r="B418" s="654" t="s">
        <v>120</v>
      </c>
      <c r="C418" s="655">
        <v>3823077090</v>
      </c>
      <c r="D418" s="655">
        <v>3687715180</v>
      </c>
      <c r="E418" s="655">
        <v>3709696810</v>
      </c>
      <c r="F418" s="655">
        <v>3574334900</v>
      </c>
      <c r="G418" s="655">
        <v>135361910</v>
      </c>
      <c r="H418" s="655">
        <v>113380280</v>
      </c>
      <c r="I418" s="651">
        <v>1.58</v>
      </c>
      <c r="J418" s="651">
        <v>0.215</v>
      </c>
      <c r="K418" s="651">
        <v>1.7949999999999999</v>
      </c>
    </row>
    <row r="419" spans="1:11">
      <c r="A419" s="654" t="s">
        <v>7486</v>
      </c>
      <c r="B419" s="654" t="s">
        <v>306</v>
      </c>
      <c r="C419" s="655">
        <v>7469919339</v>
      </c>
      <c r="D419" s="655">
        <v>7290009529</v>
      </c>
      <c r="E419" s="655">
        <v>7387720609</v>
      </c>
      <c r="F419" s="655">
        <v>7207810799</v>
      </c>
      <c r="G419" s="655">
        <v>179909810</v>
      </c>
      <c r="H419" s="655">
        <v>82198730</v>
      </c>
      <c r="I419" s="651">
        <v>1.5</v>
      </c>
      <c r="J419" s="651">
        <v>0.18371000000000001</v>
      </c>
      <c r="K419" s="651">
        <v>1.68371</v>
      </c>
    </row>
    <row r="420" spans="1:11">
      <c r="A420" s="654" t="s">
        <v>7487</v>
      </c>
      <c r="B420" s="654" t="s">
        <v>95</v>
      </c>
      <c r="C420" s="655">
        <v>75331337432</v>
      </c>
      <c r="D420" s="655">
        <v>73323502052</v>
      </c>
      <c r="E420" s="655">
        <v>71934398932</v>
      </c>
      <c r="F420" s="655">
        <v>69926563552</v>
      </c>
      <c r="G420" s="655">
        <v>2007835380</v>
      </c>
      <c r="H420" s="655">
        <v>3396938500</v>
      </c>
      <c r="I420" s="651">
        <v>1.45</v>
      </c>
      <c r="J420" s="651">
        <v>0.14899999999999999</v>
      </c>
      <c r="K420" s="651">
        <v>1.599</v>
      </c>
    </row>
    <row r="421" spans="1:11">
      <c r="A421" s="654" t="s">
        <v>7488</v>
      </c>
      <c r="B421" s="654" t="s">
        <v>3856</v>
      </c>
      <c r="C421" s="655">
        <v>7082355810</v>
      </c>
      <c r="D421" s="655">
        <v>6760466570</v>
      </c>
      <c r="E421" s="655">
        <v>7082355810</v>
      </c>
      <c r="F421" s="655">
        <v>6760466570</v>
      </c>
      <c r="G421" s="655">
        <v>321889240</v>
      </c>
      <c r="H421" s="650">
        <v>0</v>
      </c>
      <c r="I421" s="651">
        <v>1.5</v>
      </c>
      <c r="J421" s="651">
        <v>0.24</v>
      </c>
      <c r="K421" s="651">
        <v>1.74</v>
      </c>
    </row>
    <row r="422" spans="1:11">
      <c r="A422" s="654" t="s">
        <v>7489</v>
      </c>
      <c r="B422" s="654" t="s">
        <v>1913</v>
      </c>
      <c r="C422" s="655">
        <v>11814526495</v>
      </c>
      <c r="D422" s="655">
        <v>11371833359</v>
      </c>
      <c r="E422" s="655">
        <v>11814526495</v>
      </c>
      <c r="F422" s="655">
        <v>11371833359</v>
      </c>
      <c r="G422" s="655">
        <v>442693136</v>
      </c>
      <c r="H422" s="650">
        <v>0</v>
      </c>
      <c r="I422" s="651">
        <v>1.63</v>
      </c>
      <c r="J422" s="651">
        <v>0.37</v>
      </c>
      <c r="K422" s="651">
        <v>2</v>
      </c>
    </row>
    <row r="423" spans="1:11">
      <c r="A423" s="654" t="s">
        <v>7490</v>
      </c>
      <c r="B423" s="654" t="s">
        <v>1923</v>
      </c>
      <c r="C423" s="655">
        <v>8926836027</v>
      </c>
      <c r="D423" s="655">
        <v>8520349857</v>
      </c>
      <c r="E423" s="655">
        <v>8926836027</v>
      </c>
      <c r="F423" s="655">
        <v>8520349857</v>
      </c>
      <c r="G423" s="655">
        <v>406486170</v>
      </c>
      <c r="H423" s="650">
        <v>0</v>
      </c>
      <c r="I423" s="651">
        <v>1.5</v>
      </c>
      <c r="J423" s="651">
        <v>0.2</v>
      </c>
      <c r="K423" s="651">
        <v>1.7</v>
      </c>
    </row>
    <row r="424" spans="1:11">
      <c r="A424" s="654" t="s">
        <v>7491</v>
      </c>
      <c r="B424" s="654" t="s">
        <v>96</v>
      </c>
      <c r="C424" s="655">
        <v>4754054015</v>
      </c>
      <c r="D424" s="655">
        <v>4659655185</v>
      </c>
      <c r="E424" s="655">
        <v>4655790560</v>
      </c>
      <c r="F424" s="655">
        <v>4561391730</v>
      </c>
      <c r="G424" s="655">
        <v>94398830</v>
      </c>
      <c r="H424" s="655">
        <v>98263455</v>
      </c>
      <c r="I424" s="651">
        <v>1.5</v>
      </c>
      <c r="J424" s="651">
        <v>0.23350000000000001</v>
      </c>
      <c r="K424" s="651">
        <v>1.7335</v>
      </c>
    </row>
    <row r="425" spans="1:11">
      <c r="A425" s="654" t="s">
        <v>7492</v>
      </c>
      <c r="B425" s="654" t="s">
        <v>5292</v>
      </c>
      <c r="C425" s="655">
        <v>7898796184</v>
      </c>
      <c r="D425" s="655">
        <v>7536935004</v>
      </c>
      <c r="E425" s="655">
        <v>7733828259</v>
      </c>
      <c r="F425" s="655">
        <v>7371967079</v>
      </c>
      <c r="G425" s="655">
        <v>361861180</v>
      </c>
      <c r="H425" s="655">
        <v>164967925</v>
      </c>
      <c r="I425" s="651">
        <v>1.5149999999999999</v>
      </c>
      <c r="J425" s="651">
        <v>0.26</v>
      </c>
      <c r="K425" s="651">
        <v>1.7749999999999999</v>
      </c>
    </row>
    <row r="426" spans="1:11">
      <c r="A426" s="654" t="s">
        <v>7493</v>
      </c>
      <c r="B426" s="654" t="s">
        <v>97</v>
      </c>
      <c r="C426" s="655">
        <v>6326999106</v>
      </c>
      <c r="D426" s="655">
        <v>6096358736</v>
      </c>
      <c r="E426" s="655">
        <v>6326999106</v>
      </c>
      <c r="F426" s="655">
        <v>6096358736</v>
      </c>
      <c r="G426" s="655">
        <v>230640370</v>
      </c>
      <c r="H426" s="650">
        <v>0</v>
      </c>
      <c r="I426" s="651">
        <v>1.49</v>
      </c>
      <c r="J426" s="651">
        <v>0.38</v>
      </c>
      <c r="K426" s="651">
        <v>1.87</v>
      </c>
    </row>
    <row r="427" spans="1:11">
      <c r="A427" s="654" t="s">
        <v>7494</v>
      </c>
      <c r="B427" s="654" t="s">
        <v>98</v>
      </c>
      <c r="C427" s="655">
        <v>13884737953</v>
      </c>
      <c r="D427" s="655">
        <v>13550508363</v>
      </c>
      <c r="E427" s="655">
        <v>12912355673</v>
      </c>
      <c r="F427" s="655">
        <v>12578126083</v>
      </c>
      <c r="G427" s="655">
        <v>334229590</v>
      </c>
      <c r="H427" s="655">
        <v>972382280</v>
      </c>
      <c r="I427" s="651">
        <v>1.575</v>
      </c>
      <c r="J427" s="651">
        <v>0.23499999999999999</v>
      </c>
      <c r="K427" s="651">
        <v>1.81</v>
      </c>
    </row>
    <row r="428" spans="1:11">
      <c r="A428" s="654" t="s">
        <v>7495</v>
      </c>
      <c r="B428" s="654" t="s">
        <v>99</v>
      </c>
      <c r="C428" s="655">
        <v>3222502370</v>
      </c>
      <c r="D428" s="655">
        <v>3121506650</v>
      </c>
      <c r="E428" s="655">
        <v>3222502370</v>
      </c>
      <c r="F428" s="655">
        <v>3121506650</v>
      </c>
      <c r="G428" s="655">
        <v>100995720</v>
      </c>
      <c r="H428" s="650">
        <v>0</v>
      </c>
      <c r="I428" s="651">
        <v>1.48</v>
      </c>
      <c r="J428" s="651">
        <v>0.25</v>
      </c>
      <c r="K428" s="651">
        <v>1.73</v>
      </c>
    </row>
    <row r="429" spans="1:11">
      <c r="A429" s="654" t="s">
        <v>7496</v>
      </c>
      <c r="B429" s="654" t="s">
        <v>100</v>
      </c>
      <c r="C429" s="655">
        <v>1835772545</v>
      </c>
      <c r="D429" s="655">
        <v>1799903435</v>
      </c>
      <c r="E429" s="655">
        <v>1811326165</v>
      </c>
      <c r="F429" s="655">
        <v>1775457055</v>
      </c>
      <c r="G429" s="655">
        <v>35869110</v>
      </c>
      <c r="H429" s="655">
        <v>24446380</v>
      </c>
      <c r="I429" s="651">
        <v>1.5</v>
      </c>
      <c r="J429" s="651">
        <v>0.246</v>
      </c>
      <c r="K429" s="651">
        <v>1.746</v>
      </c>
    </row>
    <row r="430" spans="1:11">
      <c r="A430" s="654" t="s">
        <v>7497</v>
      </c>
      <c r="B430" s="654" t="s">
        <v>3854</v>
      </c>
      <c r="C430" s="655">
        <v>540938555</v>
      </c>
      <c r="D430" s="655">
        <v>509607255</v>
      </c>
      <c r="E430" s="655">
        <v>540938555</v>
      </c>
      <c r="F430" s="655">
        <v>509607255</v>
      </c>
      <c r="G430" s="655">
        <v>31331300</v>
      </c>
      <c r="H430" s="650">
        <v>0</v>
      </c>
      <c r="I430" s="651">
        <v>1.5</v>
      </c>
      <c r="J430" s="651">
        <v>0.35</v>
      </c>
      <c r="K430" s="651">
        <v>1.85</v>
      </c>
    </row>
    <row r="431" spans="1:11">
      <c r="A431" s="654" t="s">
        <v>7498</v>
      </c>
      <c r="B431" s="654" t="s">
        <v>101</v>
      </c>
      <c r="C431" s="655">
        <v>105865243</v>
      </c>
      <c r="D431" s="655">
        <v>100104816</v>
      </c>
      <c r="E431" s="655">
        <v>101815901</v>
      </c>
      <c r="F431" s="655">
        <v>96055474</v>
      </c>
      <c r="G431" s="655">
        <v>5760427</v>
      </c>
      <c r="H431" s="655">
        <v>4049342</v>
      </c>
      <c r="I431" s="651">
        <v>1.5</v>
      </c>
      <c r="J431" s="651">
        <v>0</v>
      </c>
      <c r="K431" s="651">
        <v>1.5</v>
      </c>
    </row>
    <row r="432" spans="1:11">
      <c r="A432" s="654" t="s">
        <v>7499</v>
      </c>
      <c r="B432" s="654" t="s">
        <v>877</v>
      </c>
      <c r="C432" s="655">
        <v>1724668413</v>
      </c>
      <c r="D432" s="655">
        <v>1655931106</v>
      </c>
      <c r="E432" s="655">
        <v>1671584771</v>
      </c>
      <c r="F432" s="655">
        <v>1602847464</v>
      </c>
      <c r="G432" s="655">
        <v>68737307</v>
      </c>
      <c r="H432" s="655">
        <v>53083642</v>
      </c>
      <c r="I432" s="651">
        <v>1.3986499999999999</v>
      </c>
      <c r="J432" s="651">
        <v>0.10135</v>
      </c>
      <c r="K432" s="651">
        <v>1.5</v>
      </c>
    </row>
    <row r="433" spans="1:11">
      <c r="A433" s="654" t="s">
        <v>7500</v>
      </c>
      <c r="B433" s="654" t="s">
        <v>878</v>
      </c>
      <c r="C433" s="655">
        <v>242101649</v>
      </c>
      <c r="D433" s="655">
        <v>233462803</v>
      </c>
      <c r="E433" s="655">
        <v>235971469</v>
      </c>
      <c r="F433" s="655">
        <v>227332623</v>
      </c>
      <c r="G433" s="655">
        <v>8638846</v>
      </c>
      <c r="H433" s="655">
        <v>6130180</v>
      </c>
      <c r="I433" s="651">
        <v>1.5</v>
      </c>
      <c r="J433" s="651">
        <v>0</v>
      </c>
      <c r="K433" s="651">
        <v>1.5</v>
      </c>
    </row>
    <row r="434" spans="1:11">
      <c r="A434" s="654" t="s">
        <v>7501</v>
      </c>
      <c r="B434" s="654" t="s">
        <v>879</v>
      </c>
      <c r="C434" s="655">
        <v>1618427879</v>
      </c>
      <c r="D434" s="655">
        <v>1578511155</v>
      </c>
      <c r="E434" s="655">
        <v>1579127752</v>
      </c>
      <c r="F434" s="655">
        <v>1539211028</v>
      </c>
      <c r="G434" s="655">
        <v>39916724</v>
      </c>
      <c r="H434" s="655">
        <v>39300127</v>
      </c>
      <c r="I434" s="651">
        <v>1.4850000000000001</v>
      </c>
      <c r="J434" s="651">
        <v>0.14000000000000001</v>
      </c>
      <c r="K434" s="651">
        <v>1.625</v>
      </c>
    </row>
    <row r="435" spans="1:11">
      <c r="A435" s="654" t="s">
        <v>7502</v>
      </c>
      <c r="B435" s="654" t="s">
        <v>880</v>
      </c>
      <c r="C435" s="655">
        <v>119139188</v>
      </c>
      <c r="D435" s="655">
        <v>113010555</v>
      </c>
      <c r="E435" s="655">
        <v>114673442</v>
      </c>
      <c r="F435" s="655">
        <v>108544809</v>
      </c>
      <c r="G435" s="655">
        <v>6128633</v>
      </c>
      <c r="H435" s="655">
        <v>4465746</v>
      </c>
      <c r="I435" s="651">
        <v>1.43</v>
      </c>
      <c r="J435" s="651">
        <v>0.08</v>
      </c>
      <c r="K435" s="651">
        <v>1.51</v>
      </c>
    </row>
    <row r="436" spans="1:11">
      <c r="A436" s="654" t="s">
        <v>7503</v>
      </c>
      <c r="B436" s="654" t="s">
        <v>881</v>
      </c>
      <c r="C436" s="655">
        <v>354753087</v>
      </c>
      <c r="D436" s="655">
        <v>342966672</v>
      </c>
      <c r="E436" s="655">
        <v>347172485</v>
      </c>
      <c r="F436" s="655">
        <v>335386070</v>
      </c>
      <c r="G436" s="655">
        <v>11786415</v>
      </c>
      <c r="H436" s="655">
        <v>7580602</v>
      </c>
      <c r="I436" s="651">
        <v>1.165</v>
      </c>
      <c r="J436" s="651">
        <v>0.08</v>
      </c>
      <c r="K436" s="651">
        <v>1.2450000000000001</v>
      </c>
    </row>
    <row r="437" spans="1:11">
      <c r="A437" s="654" t="s">
        <v>7504</v>
      </c>
      <c r="B437" s="654" t="s">
        <v>834</v>
      </c>
      <c r="C437" s="655">
        <v>95908177</v>
      </c>
      <c r="D437" s="655">
        <v>94945258</v>
      </c>
      <c r="E437" s="655">
        <v>95908177</v>
      </c>
      <c r="F437" s="655">
        <v>94945258</v>
      </c>
      <c r="G437" s="655">
        <v>962919</v>
      </c>
      <c r="H437" s="650">
        <v>0</v>
      </c>
      <c r="I437" s="651">
        <v>1.5</v>
      </c>
      <c r="J437" s="651">
        <v>0</v>
      </c>
      <c r="K437" s="651">
        <v>1.5</v>
      </c>
    </row>
    <row r="438" spans="1:11">
      <c r="A438" s="654" t="s">
        <v>7505</v>
      </c>
      <c r="B438" s="654" t="s">
        <v>835</v>
      </c>
      <c r="C438" s="655">
        <v>72363085</v>
      </c>
      <c r="D438" s="655">
        <v>71060839</v>
      </c>
      <c r="E438" s="655">
        <v>72363085</v>
      </c>
      <c r="F438" s="655">
        <v>71060839</v>
      </c>
      <c r="G438" s="655">
        <v>1302246</v>
      </c>
      <c r="H438" s="650">
        <v>0</v>
      </c>
      <c r="I438" s="651">
        <v>1.5</v>
      </c>
      <c r="J438" s="651">
        <v>0.105</v>
      </c>
      <c r="K438" s="651">
        <v>1.605</v>
      </c>
    </row>
    <row r="439" spans="1:11">
      <c r="A439" s="654" t="s">
        <v>7506</v>
      </c>
      <c r="B439" s="654" t="s">
        <v>3838</v>
      </c>
      <c r="C439" s="655">
        <v>110235046</v>
      </c>
      <c r="D439" s="655">
        <v>100914400</v>
      </c>
      <c r="E439" s="655">
        <v>109940382</v>
      </c>
      <c r="F439" s="655">
        <v>100619736</v>
      </c>
      <c r="G439" s="655">
        <v>9320646</v>
      </c>
      <c r="H439" s="655">
        <v>294664</v>
      </c>
      <c r="I439" s="651">
        <v>1.5</v>
      </c>
      <c r="J439" s="651">
        <v>0</v>
      </c>
      <c r="K439" s="651">
        <v>1.5</v>
      </c>
    </row>
    <row r="440" spans="1:11">
      <c r="A440" s="654" t="s">
        <v>7507</v>
      </c>
      <c r="B440" s="654" t="s">
        <v>837</v>
      </c>
      <c r="C440" s="655">
        <v>26926289</v>
      </c>
      <c r="D440" s="655">
        <v>24755179</v>
      </c>
      <c r="E440" s="655">
        <v>26421687</v>
      </c>
      <c r="F440" s="655">
        <v>24250577</v>
      </c>
      <c r="G440" s="655">
        <v>2171110</v>
      </c>
      <c r="H440" s="655">
        <v>504602</v>
      </c>
      <c r="I440" s="651">
        <v>1.5</v>
      </c>
      <c r="J440" s="651">
        <v>0</v>
      </c>
      <c r="K440" s="651">
        <v>1.5</v>
      </c>
    </row>
    <row r="441" spans="1:11">
      <c r="A441" s="654" t="s">
        <v>7508</v>
      </c>
      <c r="B441" s="654" t="s">
        <v>838</v>
      </c>
      <c r="C441" s="655">
        <v>35742095</v>
      </c>
      <c r="D441" s="655">
        <v>34781445</v>
      </c>
      <c r="E441" s="655">
        <v>35742095</v>
      </c>
      <c r="F441" s="655">
        <v>34781445</v>
      </c>
      <c r="G441" s="655">
        <v>960650</v>
      </c>
      <c r="H441" s="650">
        <v>0</v>
      </c>
      <c r="I441" s="651">
        <v>1.5</v>
      </c>
      <c r="J441" s="651">
        <v>0</v>
      </c>
      <c r="K441" s="651">
        <v>1.5</v>
      </c>
    </row>
    <row r="442" spans="1:11">
      <c r="A442" s="654" t="s">
        <v>7509</v>
      </c>
      <c r="B442" s="654" t="s">
        <v>7510</v>
      </c>
      <c r="C442" s="655">
        <v>2501702244</v>
      </c>
      <c r="D442" s="655">
        <v>2438159621</v>
      </c>
      <c r="E442" s="655">
        <v>2501702244</v>
      </c>
      <c r="F442" s="655">
        <v>2438159621</v>
      </c>
      <c r="G442" s="655">
        <v>63542623</v>
      </c>
      <c r="H442" s="650">
        <v>0</v>
      </c>
      <c r="I442" s="651">
        <v>1.5</v>
      </c>
      <c r="J442" s="651">
        <v>0.23</v>
      </c>
      <c r="K442" s="651">
        <v>1.73</v>
      </c>
    </row>
    <row r="443" spans="1:11">
      <c r="A443" s="654" t="s">
        <v>7511</v>
      </c>
      <c r="B443" s="654" t="s">
        <v>3010</v>
      </c>
      <c r="C443" s="655">
        <v>1444243264</v>
      </c>
      <c r="D443" s="655">
        <v>1400491873</v>
      </c>
      <c r="E443" s="655">
        <v>1444243264</v>
      </c>
      <c r="F443" s="655">
        <v>1400491873</v>
      </c>
      <c r="G443" s="655">
        <v>43751391</v>
      </c>
      <c r="H443" s="650">
        <v>0</v>
      </c>
      <c r="I443" s="651">
        <v>1.4830000000000001</v>
      </c>
      <c r="J443" s="651">
        <v>0.26350000000000001</v>
      </c>
      <c r="K443" s="651">
        <v>1.7464999999999999</v>
      </c>
    </row>
    <row r="444" spans="1:11">
      <c r="A444" s="654" t="s">
        <v>7512</v>
      </c>
      <c r="B444" s="654" t="s">
        <v>840</v>
      </c>
      <c r="C444" s="655">
        <v>949104673</v>
      </c>
      <c r="D444" s="655">
        <v>913961442</v>
      </c>
      <c r="E444" s="655">
        <v>949104673</v>
      </c>
      <c r="F444" s="655">
        <v>913961442</v>
      </c>
      <c r="G444" s="655">
        <v>35143231</v>
      </c>
      <c r="H444" s="650">
        <v>0</v>
      </c>
      <c r="I444" s="651">
        <v>1.5</v>
      </c>
      <c r="J444" s="651">
        <v>0.19</v>
      </c>
      <c r="K444" s="651">
        <v>1.69</v>
      </c>
    </row>
    <row r="445" spans="1:11">
      <c r="A445" s="654" t="s">
        <v>7513</v>
      </c>
      <c r="B445" s="654" t="s">
        <v>7514</v>
      </c>
      <c r="C445" s="655">
        <v>2075203420</v>
      </c>
      <c r="D445" s="655">
        <v>1986136563</v>
      </c>
      <c r="E445" s="655">
        <v>2075203420</v>
      </c>
      <c r="F445" s="655">
        <v>1986136563</v>
      </c>
      <c r="G445" s="655">
        <v>89066857</v>
      </c>
      <c r="H445" s="650">
        <v>0</v>
      </c>
      <c r="I445" s="651">
        <v>1.4332</v>
      </c>
      <c r="J445" s="651">
        <v>0.36130000000000001</v>
      </c>
      <c r="K445" s="651">
        <v>1.7945</v>
      </c>
    </row>
    <row r="446" spans="1:11">
      <c r="A446" s="654" t="s">
        <v>7515</v>
      </c>
      <c r="B446" s="654" t="s">
        <v>841</v>
      </c>
      <c r="C446" s="655">
        <v>743056015</v>
      </c>
      <c r="D446" s="655">
        <v>734917764</v>
      </c>
      <c r="E446" s="655">
        <v>738354205</v>
      </c>
      <c r="F446" s="655">
        <v>730215954</v>
      </c>
      <c r="G446" s="655">
        <v>8138251</v>
      </c>
      <c r="H446" s="655">
        <v>4701810</v>
      </c>
      <c r="I446" s="651">
        <v>1.25023</v>
      </c>
      <c r="J446" s="651">
        <v>0.20351</v>
      </c>
      <c r="K446" s="651">
        <v>1.45374</v>
      </c>
    </row>
    <row r="447" spans="1:11">
      <c r="A447" s="654" t="s">
        <v>7516</v>
      </c>
      <c r="B447" s="654" t="s">
        <v>842</v>
      </c>
      <c r="C447" s="655">
        <v>874182569</v>
      </c>
      <c r="D447" s="655">
        <v>828429022</v>
      </c>
      <c r="E447" s="655">
        <v>874182569</v>
      </c>
      <c r="F447" s="655">
        <v>828429022</v>
      </c>
      <c r="G447" s="655">
        <v>45753547</v>
      </c>
      <c r="H447" s="650">
        <v>0</v>
      </c>
      <c r="I447" s="651">
        <v>1.385</v>
      </c>
      <c r="J447" s="651">
        <v>0.115</v>
      </c>
      <c r="K447" s="651">
        <v>1.5</v>
      </c>
    </row>
    <row r="448" spans="1:11">
      <c r="A448" s="654" t="s">
        <v>7517</v>
      </c>
      <c r="B448" s="654" t="s">
        <v>843</v>
      </c>
      <c r="C448" s="655">
        <v>508943486</v>
      </c>
      <c r="D448" s="655">
        <v>468807364</v>
      </c>
      <c r="E448" s="655">
        <v>481276939</v>
      </c>
      <c r="F448" s="655">
        <v>441140817</v>
      </c>
      <c r="G448" s="655">
        <v>40136122</v>
      </c>
      <c r="H448" s="655">
        <v>27666547</v>
      </c>
      <c r="I448" s="651">
        <v>1.5</v>
      </c>
      <c r="J448" s="651">
        <v>9.5000000000000001E-2</v>
      </c>
      <c r="K448" s="651">
        <v>1.595</v>
      </c>
    </row>
    <row r="449" spans="1:11">
      <c r="A449" s="654" t="s">
        <v>7518</v>
      </c>
      <c r="B449" s="654" t="s">
        <v>844</v>
      </c>
      <c r="C449" s="655">
        <v>193922338</v>
      </c>
      <c r="D449" s="655">
        <v>187167559</v>
      </c>
      <c r="E449" s="655">
        <v>193922338</v>
      </c>
      <c r="F449" s="655">
        <v>187167559</v>
      </c>
      <c r="G449" s="655">
        <v>6754779</v>
      </c>
      <c r="H449" s="650">
        <v>0</v>
      </c>
      <c r="I449" s="651">
        <v>1.409</v>
      </c>
      <c r="J449" s="651">
        <v>0.19</v>
      </c>
      <c r="K449" s="651">
        <v>1.599</v>
      </c>
    </row>
    <row r="450" spans="1:11">
      <c r="A450" s="654" t="s">
        <v>7519</v>
      </c>
      <c r="B450" s="654" t="s">
        <v>845</v>
      </c>
      <c r="C450" s="655">
        <v>365457931</v>
      </c>
      <c r="D450" s="655">
        <v>344020126</v>
      </c>
      <c r="E450" s="655">
        <v>349599852</v>
      </c>
      <c r="F450" s="655">
        <v>328162047</v>
      </c>
      <c r="G450" s="655">
        <v>21437805</v>
      </c>
      <c r="H450" s="655">
        <v>15858079</v>
      </c>
      <c r="I450" s="651">
        <v>1.41</v>
      </c>
      <c r="J450" s="651">
        <v>0.06</v>
      </c>
      <c r="K450" s="651">
        <v>1.47</v>
      </c>
    </row>
    <row r="451" spans="1:11">
      <c r="A451" s="654" t="s">
        <v>7520</v>
      </c>
      <c r="B451" s="654" t="s">
        <v>846</v>
      </c>
      <c r="C451" s="655">
        <v>674031327</v>
      </c>
      <c r="D451" s="655">
        <v>647493775</v>
      </c>
      <c r="E451" s="655">
        <v>674031327</v>
      </c>
      <c r="F451" s="655">
        <v>647493775</v>
      </c>
      <c r="G451" s="655">
        <v>26537552</v>
      </c>
      <c r="H451" s="650">
        <v>0</v>
      </c>
      <c r="I451" s="651">
        <v>1.3577999999999999</v>
      </c>
      <c r="J451" s="651">
        <v>7.6799999999999993E-2</v>
      </c>
      <c r="K451" s="651">
        <v>1.4346000000000001</v>
      </c>
    </row>
    <row r="452" spans="1:11">
      <c r="A452" s="654" t="s">
        <v>7521</v>
      </c>
      <c r="B452" s="654" t="s">
        <v>5368</v>
      </c>
      <c r="C452" s="655">
        <v>39198656</v>
      </c>
      <c r="D452" s="655">
        <v>36916634</v>
      </c>
      <c r="E452" s="655">
        <v>38414994</v>
      </c>
      <c r="F452" s="655">
        <v>36132972</v>
      </c>
      <c r="G452" s="655">
        <v>2282022</v>
      </c>
      <c r="H452" s="655">
        <v>783662</v>
      </c>
      <c r="I452" s="651">
        <v>1.5</v>
      </c>
      <c r="J452" s="651">
        <v>0.33</v>
      </c>
      <c r="K452" s="651">
        <v>1.83</v>
      </c>
    </row>
    <row r="453" spans="1:11">
      <c r="A453" s="654" t="s">
        <v>7522</v>
      </c>
      <c r="B453" s="654" t="s">
        <v>328</v>
      </c>
      <c r="C453" s="655">
        <v>32833589</v>
      </c>
      <c r="D453" s="655">
        <v>30692393</v>
      </c>
      <c r="E453" s="655">
        <v>32833589</v>
      </c>
      <c r="F453" s="655">
        <v>30692393</v>
      </c>
      <c r="G453" s="655">
        <v>2141196</v>
      </c>
      <c r="H453" s="650">
        <v>0</v>
      </c>
      <c r="I453" s="651">
        <v>1.48</v>
      </c>
      <c r="J453" s="651">
        <v>0</v>
      </c>
      <c r="K453" s="651">
        <v>1.48</v>
      </c>
    </row>
    <row r="454" spans="1:11">
      <c r="A454" s="654" t="s">
        <v>7523</v>
      </c>
      <c r="B454" s="654" t="s">
        <v>847</v>
      </c>
      <c r="C454" s="655">
        <v>302821492</v>
      </c>
      <c r="D454" s="655">
        <v>296342658</v>
      </c>
      <c r="E454" s="655">
        <v>298884519</v>
      </c>
      <c r="F454" s="655">
        <v>292405685</v>
      </c>
      <c r="G454" s="655">
        <v>6478834</v>
      </c>
      <c r="H454" s="655">
        <v>3936973</v>
      </c>
      <c r="I454" s="651">
        <v>1.36</v>
      </c>
      <c r="J454" s="651">
        <v>7.0000000000000007E-2</v>
      </c>
      <c r="K454" s="651">
        <v>1.43</v>
      </c>
    </row>
    <row r="455" spans="1:11">
      <c r="A455" s="654" t="s">
        <v>7524</v>
      </c>
      <c r="B455" s="654" t="s">
        <v>7525</v>
      </c>
      <c r="C455" s="655">
        <v>694752878</v>
      </c>
      <c r="D455" s="655">
        <v>624331108</v>
      </c>
      <c r="E455" s="655">
        <v>694752878</v>
      </c>
      <c r="F455" s="655">
        <v>624331108</v>
      </c>
      <c r="G455" s="655">
        <v>70421770</v>
      </c>
      <c r="H455" s="650">
        <v>0</v>
      </c>
      <c r="I455" s="651">
        <v>1.5</v>
      </c>
      <c r="J455" s="651">
        <v>0.16</v>
      </c>
      <c r="K455" s="651">
        <v>1.66</v>
      </c>
    </row>
    <row r="456" spans="1:11">
      <c r="A456" s="654" t="s">
        <v>7526</v>
      </c>
      <c r="B456" s="654" t="s">
        <v>3015</v>
      </c>
      <c r="C456" s="655">
        <v>193633842</v>
      </c>
      <c r="D456" s="655">
        <v>168407403</v>
      </c>
      <c r="E456" s="655">
        <v>193633842</v>
      </c>
      <c r="F456" s="655">
        <v>168407403</v>
      </c>
      <c r="G456" s="655">
        <v>25226439</v>
      </c>
      <c r="H456" s="650">
        <v>0</v>
      </c>
      <c r="I456" s="651">
        <v>1.4722999999999999</v>
      </c>
      <c r="J456" s="651">
        <v>0.12770000000000001</v>
      </c>
      <c r="K456" s="651">
        <v>1.6</v>
      </c>
    </row>
    <row r="457" spans="1:11">
      <c r="A457" s="654" t="s">
        <v>7527</v>
      </c>
      <c r="B457" s="654" t="s">
        <v>7528</v>
      </c>
      <c r="C457" s="655">
        <v>3443173690</v>
      </c>
      <c r="D457" s="655">
        <v>3297715279</v>
      </c>
      <c r="E457" s="655">
        <v>3443173690</v>
      </c>
      <c r="F457" s="655">
        <v>3297715279</v>
      </c>
      <c r="G457" s="655">
        <v>145458411</v>
      </c>
      <c r="H457" s="650">
        <v>0</v>
      </c>
      <c r="I457" s="651">
        <v>1.5</v>
      </c>
      <c r="J457" s="651">
        <v>9.5100000000000004E-2</v>
      </c>
      <c r="K457" s="651">
        <v>1.5951</v>
      </c>
    </row>
    <row r="458" spans="1:11">
      <c r="A458" s="654" t="s">
        <v>7529</v>
      </c>
      <c r="B458" s="654" t="s">
        <v>3845</v>
      </c>
      <c r="C458" s="655">
        <v>241972370</v>
      </c>
      <c r="D458" s="655">
        <v>230783049</v>
      </c>
      <c r="E458" s="655">
        <v>241972370</v>
      </c>
      <c r="F458" s="655">
        <v>230783049</v>
      </c>
      <c r="G458" s="655">
        <v>11189321</v>
      </c>
      <c r="H458" s="650">
        <v>0</v>
      </c>
      <c r="I458" s="651">
        <v>1.44</v>
      </c>
      <c r="J458" s="651">
        <v>0.15</v>
      </c>
      <c r="K458" s="651">
        <v>1.59</v>
      </c>
    </row>
    <row r="459" spans="1:11">
      <c r="A459" s="654" t="s">
        <v>7530</v>
      </c>
      <c r="B459" s="654" t="s">
        <v>6073</v>
      </c>
      <c r="C459" s="655">
        <v>4539869821</v>
      </c>
      <c r="D459" s="655">
        <v>4365959196</v>
      </c>
      <c r="E459" s="655">
        <v>4539869821</v>
      </c>
      <c r="F459" s="655">
        <v>4365959196</v>
      </c>
      <c r="G459" s="655">
        <v>173910625</v>
      </c>
      <c r="H459" s="650">
        <v>0</v>
      </c>
      <c r="I459" s="651">
        <v>1.5</v>
      </c>
      <c r="J459" s="651">
        <v>0.04</v>
      </c>
      <c r="K459" s="651">
        <v>1.54</v>
      </c>
    </row>
    <row r="460" spans="1:11">
      <c r="A460" s="654" t="s">
        <v>7531</v>
      </c>
      <c r="B460" s="654" t="s">
        <v>495</v>
      </c>
      <c r="C460" s="655">
        <v>237749298</v>
      </c>
      <c r="D460" s="655">
        <v>209398913</v>
      </c>
      <c r="E460" s="655">
        <v>237749298</v>
      </c>
      <c r="F460" s="655">
        <v>209398913</v>
      </c>
      <c r="G460" s="655">
        <v>28350385</v>
      </c>
      <c r="H460" s="650">
        <v>0</v>
      </c>
      <c r="I460" s="651">
        <v>1.5</v>
      </c>
      <c r="J460" s="651">
        <v>0.16</v>
      </c>
      <c r="K460" s="651">
        <v>1.66</v>
      </c>
    </row>
    <row r="461" spans="1:11">
      <c r="A461" s="654" t="s">
        <v>7532</v>
      </c>
      <c r="B461" s="654" t="s">
        <v>7533</v>
      </c>
      <c r="C461" s="655">
        <v>1075573648</v>
      </c>
      <c r="D461" s="655">
        <v>984524756</v>
      </c>
      <c r="E461" s="655">
        <v>1075573648</v>
      </c>
      <c r="F461" s="655">
        <v>984524756</v>
      </c>
      <c r="G461" s="655">
        <v>91048892</v>
      </c>
      <c r="H461" s="650">
        <v>0</v>
      </c>
      <c r="I461" s="651">
        <v>1.4632000000000001</v>
      </c>
      <c r="J461" s="651">
        <v>0.10589999999999999</v>
      </c>
      <c r="K461" s="651">
        <v>1.5690999999999999</v>
      </c>
    </row>
    <row r="462" spans="1:11">
      <c r="A462" s="654" t="s">
        <v>7534</v>
      </c>
      <c r="B462" s="654" t="s">
        <v>340</v>
      </c>
      <c r="C462" s="655">
        <v>2332806735</v>
      </c>
      <c r="D462" s="655">
        <v>2169823742</v>
      </c>
      <c r="E462" s="655">
        <v>2332806735</v>
      </c>
      <c r="F462" s="655">
        <v>2169823742</v>
      </c>
      <c r="G462" s="655">
        <v>162982993</v>
      </c>
      <c r="H462" s="650">
        <v>0</v>
      </c>
      <c r="I462" s="651">
        <v>1.5</v>
      </c>
      <c r="J462" s="651">
        <v>0.113534</v>
      </c>
      <c r="K462" s="651">
        <v>1.6135299999999999</v>
      </c>
    </row>
    <row r="463" spans="1:11">
      <c r="A463" s="654" t="s">
        <v>7535</v>
      </c>
      <c r="B463" s="654" t="s">
        <v>353</v>
      </c>
      <c r="C463" s="655">
        <v>84576318</v>
      </c>
      <c r="D463" s="655">
        <v>75487247</v>
      </c>
      <c r="E463" s="655">
        <v>84576318</v>
      </c>
      <c r="F463" s="655">
        <v>75487247</v>
      </c>
      <c r="G463" s="655">
        <v>9089071</v>
      </c>
      <c r="H463" s="650">
        <v>0</v>
      </c>
      <c r="I463" s="651">
        <v>1.5</v>
      </c>
      <c r="J463" s="651">
        <v>0.154</v>
      </c>
      <c r="K463" s="651">
        <v>1.6539999999999999</v>
      </c>
    </row>
    <row r="464" spans="1:11">
      <c r="A464" s="654" t="s">
        <v>7536</v>
      </c>
      <c r="B464" s="654" t="s">
        <v>848</v>
      </c>
      <c r="C464" s="655">
        <v>1267943759</v>
      </c>
      <c r="D464" s="655">
        <v>1217151893</v>
      </c>
      <c r="E464" s="655">
        <v>1267943759</v>
      </c>
      <c r="F464" s="655">
        <v>1217151893</v>
      </c>
      <c r="G464" s="655">
        <v>50791866</v>
      </c>
      <c r="H464" s="650">
        <v>0</v>
      </c>
      <c r="I464" s="651">
        <v>1.4455</v>
      </c>
      <c r="J464" s="651">
        <v>0.1195</v>
      </c>
      <c r="K464" s="651">
        <v>1.5649999999999999</v>
      </c>
    </row>
    <row r="465" spans="1:11">
      <c r="A465" s="654" t="s">
        <v>7537</v>
      </c>
      <c r="B465" s="654" t="s">
        <v>2153</v>
      </c>
      <c r="C465" s="655">
        <v>1555937172</v>
      </c>
      <c r="D465" s="655">
        <v>1445493181</v>
      </c>
      <c r="E465" s="655">
        <v>1555937172</v>
      </c>
      <c r="F465" s="655">
        <v>1445493181</v>
      </c>
      <c r="G465" s="655">
        <v>110443991</v>
      </c>
      <c r="H465" s="650">
        <v>0</v>
      </c>
      <c r="I465" s="651">
        <v>1.5</v>
      </c>
      <c r="J465" s="651">
        <v>0.14199999999999999</v>
      </c>
      <c r="K465" s="651">
        <v>1.6419999999999999</v>
      </c>
    </row>
    <row r="466" spans="1:11">
      <c r="A466" s="654" t="s">
        <v>7538</v>
      </c>
      <c r="B466" s="654" t="s">
        <v>4065</v>
      </c>
      <c r="C466" s="655">
        <v>1192481185</v>
      </c>
      <c r="D466" s="655">
        <v>1098182808</v>
      </c>
      <c r="E466" s="655">
        <v>1192481185</v>
      </c>
      <c r="F466" s="655">
        <v>1098182808</v>
      </c>
      <c r="G466" s="655">
        <v>94298377</v>
      </c>
      <c r="H466" s="650">
        <v>0</v>
      </c>
      <c r="I466" s="651">
        <v>1.3859999999999999</v>
      </c>
      <c r="J466" s="651">
        <v>4.3999999999999997E-2</v>
      </c>
      <c r="K466" s="651">
        <v>1.43</v>
      </c>
    </row>
    <row r="467" spans="1:11">
      <c r="A467" s="654" t="s">
        <v>7539</v>
      </c>
      <c r="B467" s="654" t="s">
        <v>184</v>
      </c>
      <c r="C467" s="655">
        <v>52834938</v>
      </c>
      <c r="D467" s="655">
        <v>48893004</v>
      </c>
      <c r="E467" s="655">
        <v>52834938</v>
      </c>
      <c r="F467" s="655">
        <v>48893004</v>
      </c>
      <c r="G467" s="655">
        <v>3941934</v>
      </c>
      <c r="H467" s="650">
        <v>0</v>
      </c>
      <c r="I467" s="651">
        <v>1.4705999999999999</v>
      </c>
      <c r="J467" s="651">
        <v>0.1361</v>
      </c>
      <c r="K467" s="651">
        <v>1.6067</v>
      </c>
    </row>
    <row r="468" spans="1:11">
      <c r="A468" s="654" t="s">
        <v>7540</v>
      </c>
      <c r="B468" s="654" t="s">
        <v>503</v>
      </c>
      <c r="C468" s="655">
        <v>47713443</v>
      </c>
      <c r="D468" s="655">
        <v>43603168</v>
      </c>
      <c r="E468" s="655">
        <v>47713443</v>
      </c>
      <c r="F468" s="655">
        <v>43603168</v>
      </c>
      <c r="G468" s="655">
        <v>4110275</v>
      </c>
      <c r="H468" s="650">
        <v>0</v>
      </c>
      <c r="I468" s="651">
        <v>1.4</v>
      </c>
      <c r="J468" s="651">
        <v>0.16639999999999999</v>
      </c>
      <c r="K468" s="651">
        <v>1.5664</v>
      </c>
    </row>
    <row r="469" spans="1:11">
      <c r="A469" s="654" t="s">
        <v>7541</v>
      </c>
      <c r="B469" s="654" t="s">
        <v>5372</v>
      </c>
      <c r="C469" s="655">
        <v>217012200</v>
      </c>
      <c r="D469" s="655">
        <v>203092490</v>
      </c>
      <c r="E469" s="655">
        <v>217012200</v>
      </c>
      <c r="F469" s="655">
        <v>203092490</v>
      </c>
      <c r="G469" s="655">
        <v>13919710</v>
      </c>
      <c r="H469" s="650">
        <v>0</v>
      </c>
      <c r="I469" s="651">
        <v>1.4251</v>
      </c>
      <c r="J469" s="651">
        <v>0.12379999999999999</v>
      </c>
      <c r="K469" s="651">
        <v>1.5488999999999999</v>
      </c>
    </row>
    <row r="470" spans="1:11">
      <c r="A470" s="654" t="s">
        <v>7542</v>
      </c>
      <c r="B470" s="654" t="s">
        <v>324</v>
      </c>
      <c r="C470" s="655">
        <v>40545747</v>
      </c>
      <c r="D470" s="655">
        <v>37517148</v>
      </c>
      <c r="E470" s="655">
        <v>40545747</v>
      </c>
      <c r="F470" s="655">
        <v>37517148</v>
      </c>
      <c r="G470" s="655">
        <v>3028599</v>
      </c>
      <c r="H470" s="650">
        <v>0</v>
      </c>
      <c r="I470" s="651">
        <v>1.5</v>
      </c>
      <c r="J470" s="651">
        <v>0</v>
      </c>
      <c r="K470" s="651">
        <v>1.5</v>
      </c>
    </row>
    <row r="471" spans="1:11">
      <c r="A471" s="654" t="s">
        <v>7543</v>
      </c>
      <c r="B471" s="654" t="s">
        <v>6096</v>
      </c>
      <c r="C471" s="655">
        <v>31949679</v>
      </c>
      <c r="D471" s="655">
        <v>29466259</v>
      </c>
      <c r="E471" s="655">
        <v>31949679</v>
      </c>
      <c r="F471" s="655">
        <v>29466259</v>
      </c>
      <c r="G471" s="655">
        <v>2483420</v>
      </c>
      <c r="H471" s="650">
        <v>0</v>
      </c>
      <c r="I471" s="651">
        <v>1.5</v>
      </c>
      <c r="J471" s="651">
        <v>0.08</v>
      </c>
      <c r="K471" s="651">
        <v>1.58</v>
      </c>
    </row>
    <row r="472" spans="1:11">
      <c r="A472" s="654" t="s">
        <v>7544</v>
      </c>
      <c r="B472" s="654" t="s">
        <v>5246</v>
      </c>
      <c r="C472" s="655">
        <v>39533113</v>
      </c>
      <c r="D472" s="655">
        <v>35618130</v>
      </c>
      <c r="E472" s="655">
        <v>39533113</v>
      </c>
      <c r="F472" s="655">
        <v>35618130</v>
      </c>
      <c r="G472" s="655">
        <v>3914983</v>
      </c>
      <c r="H472" s="650">
        <v>0</v>
      </c>
      <c r="I472" s="651">
        <v>1.46</v>
      </c>
      <c r="J472" s="651">
        <v>0.1</v>
      </c>
      <c r="K472" s="651">
        <v>1.56</v>
      </c>
    </row>
    <row r="473" spans="1:11">
      <c r="A473" s="654" t="s">
        <v>7545</v>
      </c>
      <c r="B473" s="654" t="s">
        <v>3847</v>
      </c>
      <c r="C473" s="655">
        <v>393032454</v>
      </c>
      <c r="D473" s="655">
        <v>371692837</v>
      </c>
      <c r="E473" s="655">
        <v>393032454</v>
      </c>
      <c r="F473" s="655">
        <v>371692837</v>
      </c>
      <c r="G473" s="655">
        <v>21339617</v>
      </c>
      <c r="H473" s="650">
        <v>0</v>
      </c>
      <c r="I473" s="651">
        <v>1.5</v>
      </c>
      <c r="J473" s="651">
        <v>0.25800000000000001</v>
      </c>
      <c r="K473" s="651">
        <v>1.758</v>
      </c>
    </row>
    <row r="474" spans="1:11">
      <c r="A474" s="654" t="s">
        <v>7546</v>
      </c>
      <c r="B474" s="654" t="s">
        <v>3852</v>
      </c>
      <c r="C474" s="655">
        <v>52942074</v>
      </c>
      <c r="D474" s="655">
        <v>47674788</v>
      </c>
      <c r="E474" s="655">
        <v>52942074</v>
      </c>
      <c r="F474" s="655">
        <v>47674788</v>
      </c>
      <c r="G474" s="655">
        <v>5267286</v>
      </c>
      <c r="H474" s="650">
        <v>0</v>
      </c>
      <c r="I474" s="651">
        <v>1.5</v>
      </c>
      <c r="J474" s="651">
        <v>0.17499999999999999</v>
      </c>
      <c r="K474" s="651">
        <v>1.675</v>
      </c>
    </row>
    <row r="475" spans="1:11">
      <c r="A475" s="654" t="s">
        <v>7547</v>
      </c>
      <c r="B475" s="654" t="s">
        <v>1907</v>
      </c>
      <c r="C475" s="655">
        <v>96759115</v>
      </c>
      <c r="D475" s="655">
        <v>89193205</v>
      </c>
      <c r="E475" s="655">
        <v>96759115</v>
      </c>
      <c r="F475" s="655">
        <v>89193205</v>
      </c>
      <c r="G475" s="655">
        <v>7565910</v>
      </c>
      <c r="H475" s="650">
        <v>0</v>
      </c>
      <c r="I475" s="651">
        <v>1.5</v>
      </c>
      <c r="J475" s="651">
        <v>8.9399999999999993E-2</v>
      </c>
      <c r="K475" s="651">
        <v>1.5893999999999999</v>
      </c>
    </row>
    <row r="476" spans="1:11">
      <c r="A476" s="654" t="s">
        <v>7548</v>
      </c>
      <c r="B476" s="654" t="s">
        <v>326</v>
      </c>
      <c r="C476" s="655">
        <v>19345567</v>
      </c>
      <c r="D476" s="655">
        <v>17911262</v>
      </c>
      <c r="E476" s="655">
        <v>19345567</v>
      </c>
      <c r="F476" s="655">
        <v>17911262</v>
      </c>
      <c r="G476" s="655">
        <v>1434305</v>
      </c>
      <c r="H476" s="650">
        <v>0</v>
      </c>
      <c r="I476" s="651">
        <v>1.42</v>
      </c>
      <c r="J476" s="651">
        <v>0</v>
      </c>
      <c r="K476" s="651">
        <v>1.42</v>
      </c>
    </row>
    <row r="477" spans="1:11">
      <c r="A477" s="654" t="s">
        <v>7549</v>
      </c>
      <c r="B477" s="654" t="s">
        <v>504</v>
      </c>
      <c r="C477" s="655">
        <v>20507897</v>
      </c>
      <c r="D477" s="655">
        <v>18309314</v>
      </c>
      <c r="E477" s="655">
        <v>20507897</v>
      </c>
      <c r="F477" s="655">
        <v>18309314</v>
      </c>
      <c r="G477" s="655">
        <v>2198583</v>
      </c>
      <c r="H477" s="650">
        <v>0</v>
      </c>
      <c r="I477" s="651">
        <v>1.5</v>
      </c>
      <c r="J477" s="651">
        <v>0</v>
      </c>
      <c r="K477" s="651">
        <v>1.5</v>
      </c>
    </row>
    <row r="478" spans="1:11">
      <c r="A478" s="654" t="s">
        <v>7550</v>
      </c>
      <c r="B478" s="654" t="s">
        <v>849</v>
      </c>
      <c r="C478" s="655">
        <v>416287741</v>
      </c>
      <c r="D478" s="655">
        <v>391481968</v>
      </c>
      <c r="E478" s="655">
        <v>416287741</v>
      </c>
      <c r="F478" s="655">
        <v>391481968</v>
      </c>
      <c r="G478" s="655">
        <v>24805773</v>
      </c>
      <c r="H478" s="650">
        <v>0</v>
      </c>
      <c r="I478" s="651">
        <v>1.4858</v>
      </c>
      <c r="J478" s="651">
        <v>0.1484</v>
      </c>
      <c r="K478" s="651">
        <v>1.6342000000000001</v>
      </c>
    </row>
    <row r="479" spans="1:11">
      <c r="A479" s="654" t="s">
        <v>7551</v>
      </c>
      <c r="B479" s="654" t="s">
        <v>7686</v>
      </c>
      <c r="C479" s="655">
        <v>37822323</v>
      </c>
      <c r="D479" s="655">
        <v>34737942</v>
      </c>
      <c r="E479" s="655">
        <v>37822323</v>
      </c>
      <c r="F479" s="655">
        <v>34737942</v>
      </c>
      <c r="G479" s="655">
        <v>3084381</v>
      </c>
      <c r="H479" s="650">
        <v>0</v>
      </c>
      <c r="I479" s="651">
        <v>1.5</v>
      </c>
      <c r="J479" s="651">
        <v>7.4999999999999997E-2</v>
      </c>
      <c r="K479" s="651">
        <v>1.575</v>
      </c>
    </row>
    <row r="480" spans="1:11">
      <c r="A480" s="654" t="s">
        <v>7552</v>
      </c>
      <c r="B480" s="654" t="s">
        <v>7662</v>
      </c>
      <c r="C480" s="655">
        <v>51158172</v>
      </c>
      <c r="D480" s="655">
        <v>47163548</v>
      </c>
      <c r="E480" s="655">
        <v>51158172</v>
      </c>
      <c r="F480" s="655">
        <v>47163548</v>
      </c>
      <c r="G480" s="655">
        <v>3994624</v>
      </c>
      <c r="H480" s="650">
        <v>0</v>
      </c>
      <c r="I480" s="651">
        <v>1.5</v>
      </c>
      <c r="J480" s="651">
        <v>0.18290000000000001</v>
      </c>
      <c r="K480" s="651">
        <v>1.6829000000000001</v>
      </c>
    </row>
    <row r="481" spans="1:11">
      <c r="A481" s="654" t="s">
        <v>7553</v>
      </c>
      <c r="B481" s="654" t="s">
        <v>336</v>
      </c>
      <c r="C481" s="655">
        <v>18302680</v>
      </c>
      <c r="D481" s="655">
        <v>16764165</v>
      </c>
      <c r="E481" s="655">
        <v>18302680</v>
      </c>
      <c r="F481" s="655">
        <v>16764165</v>
      </c>
      <c r="G481" s="655">
        <v>1538515</v>
      </c>
      <c r="H481" s="650">
        <v>0</v>
      </c>
      <c r="I481" s="651">
        <v>1.5</v>
      </c>
      <c r="J481" s="651">
        <v>0</v>
      </c>
      <c r="K481" s="651">
        <v>1.5</v>
      </c>
    </row>
    <row r="482" spans="1:11">
      <c r="A482" s="654" t="s">
        <v>7554</v>
      </c>
      <c r="B482" s="654" t="s">
        <v>850</v>
      </c>
      <c r="C482" s="655">
        <v>73285828</v>
      </c>
      <c r="D482" s="655">
        <v>70345441</v>
      </c>
      <c r="E482" s="655">
        <v>72731748</v>
      </c>
      <c r="F482" s="655">
        <v>69791361</v>
      </c>
      <c r="G482" s="655">
        <v>2940387</v>
      </c>
      <c r="H482" s="655">
        <v>554080</v>
      </c>
      <c r="I482" s="651">
        <v>1.5</v>
      </c>
      <c r="J482" s="651">
        <v>0</v>
      </c>
      <c r="K482" s="651">
        <v>1.5</v>
      </c>
    </row>
    <row r="483" spans="1:11">
      <c r="A483" s="654" t="s">
        <v>7555</v>
      </c>
      <c r="B483" s="654" t="s">
        <v>7109</v>
      </c>
      <c r="C483" s="655">
        <v>815678560</v>
      </c>
      <c r="D483" s="655">
        <v>780734524</v>
      </c>
      <c r="E483" s="655">
        <v>815678560</v>
      </c>
      <c r="F483" s="655">
        <v>780734524</v>
      </c>
      <c r="G483" s="655">
        <v>34944036</v>
      </c>
      <c r="H483" s="650">
        <v>0</v>
      </c>
      <c r="I483" s="651">
        <v>1.5</v>
      </c>
      <c r="J483" s="651">
        <v>0.13980000000000001</v>
      </c>
      <c r="K483" s="651">
        <v>1.6397999999999999</v>
      </c>
    </row>
    <row r="484" spans="1:11">
      <c r="A484" s="654" t="s">
        <v>7556</v>
      </c>
      <c r="B484" s="654" t="s">
        <v>7110</v>
      </c>
      <c r="C484" s="655">
        <v>47458217</v>
      </c>
      <c r="D484" s="655">
        <v>44553233</v>
      </c>
      <c r="E484" s="655">
        <v>47458217</v>
      </c>
      <c r="F484" s="655">
        <v>44553233</v>
      </c>
      <c r="G484" s="655">
        <v>2904984</v>
      </c>
      <c r="H484" s="650">
        <v>0</v>
      </c>
      <c r="I484" s="651">
        <v>1.5</v>
      </c>
      <c r="J484" s="651">
        <v>0</v>
      </c>
      <c r="K484" s="651">
        <v>1.5</v>
      </c>
    </row>
    <row r="485" spans="1:11">
      <c r="A485" s="654" t="s">
        <v>7557</v>
      </c>
      <c r="B485" s="654" t="s">
        <v>2344</v>
      </c>
      <c r="C485" s="655">
        <v>51828371</v>
      </c>
      <c r="D485" s="655">
        <v>47948395</v>
      </c>
      <c r="E485" s="655">
        <v>51828371</v>
      </c>
      <c r="F485" s="655">
        <v>47948395</v>
      </c>
      <c r="G485" s="655">
        <v>3879976</v>
      </c>
      <c r="H485" s="650">
        <v>0</v>
      </c>
      <c r="I485" s="651">
        <v>1.5</v>
      </c>
      <c r="J485" s="651">
        <v>0</v>
      </c>
      <c r="K485" s="651">
        <v>1.5</v>
      </c>
    </row>
    <row r="486" spans="1:11">
      <c r="A486" s="654" t="s">
        <v>7558</v>
      </c>
      <c r="B486" s="654" t="s">
        <v>7111</v>
      </c>
      <c r="C486" s="655">
        <v>650153698</v>
      </c>
      <c r="D486" s="655">
        <v>646381132</v>
      </c>
      <c r="E486" s="655">
        <v>648927148</v>
      </c>
      <c r="F486" s="655">
        <v>645154582</v>
      </c>
      <c r="G486" s="655">
        <v>3772566</v>
      </c>
      <c r="H486" s="655">
        <v>1226550</v>
      </c>
      <c r="I486" s="651">
        <v>1.5</v>
      </c>
      <c r="J486" s="651">
        <v>0</v>
      </c>
      <c r="K486" s="651">
        <v>1.5</v>
      </c>
    </row>
    <row r="487" spans="1:11">
      <c r="A487" s="654" t="s">
        <v>7559</v>
      </c>
      <c r="B487" s="654" t="s">
        <v>7112</v>
      </c>
      <c r="C487" s="655">
        <v>28585526</v>
      </c>
      <c r="D487" s="655">
        <v>27404494</v>
      </c>
      <c r="E487" s="655">
        <v>28585526</v>
      </c>
      <c r="F487" s="655">
        <v>27404494</v>
      </c>
      <c r="G487" s="655">
        <v>1181032</v>
      </c>
      <c r="H487" s="650">
        <v>0</v>
      </c>
      <c r="I487" s="651">
        <v>1.5</v>
      </c>
      <c r="J487" s="651">
        <v>0</v>
      </c>
      <c r="K487" s="651">
        <v>1.5</v>
      </c>
    </row>
    <row r="488" spans="1:11">
      <c r="A488" s="654" t="s">
        <v>7560</v>
      </c>
      <c r="B488" s="654" t="s">
        <v>7113</v>
      </c>
      <c r="C488" s="655">
        <v>2485524764</v>
      </c>
      <c r="D488" s="655">
        <v>2372894001</v>
      </c>
      <c r="E488" s="655">
        <v>2485524764</v>
      </c>
      <c r="F488" s="655">
        <v>2372894001</v>
      </c>
      <c r="G488" s="655">
        <v>112630763</v>
      </c>
      <c r="H488" s="650">
        <v>0</v>
      </c>
      <c r="I488" s="651">
        <v>1.425</v>
      </c>
      <c r="J488" s="651">
        <v>0.245</v>
      </c>
      <c r="K488" s="651">
        <v>1.67</v>
      </c>
    </row>
    <row r="489" spans="1:11">
      <c r="A489" s="654" t="s">
        <v>7561</v>
      </c>
      <c r="B489" s="654" t="s">
        <v>193</v>
      </c>
      <c r="C489" s="655">
        <v>59894350</v>
      </c>
      <c r="D489" s="655">
        <v>58642039</v>
      </c>
      <c r="E489" s="655">
        <v>59894350</v>
      </c>
      <c r="F489" s="655">
        <v>58642039</v>
      </c>
      <c r="G489" s="655">
        <v>1252311</v>
      </c>
      <c r="H489" s="650">
        <v>0</v>
      </c>
      <c r="I489" s="651">
        <v>1.5</v>
      </c>
      <c r="J489" s="651">
        <v>0.2</v>
      </c>
      <c r="K489" s="651">
        <v>1.7</v>
      </c>
    </row>
    <row r="490" spans="1:11">
      <c r="A490" s="654" t="s">
        <v>3652</v>
      </c>
      <c r="B490" s="654" t="s">
        <v>5366</v>
      </c>
      <c r="C490" s="655">
        <v>83959380</v>
      </c>
      <c r="D490" s="655">
        <v>77979726</v>
      </c>
      <c r="E490" s="655">
        <v>83959380</v>
      </c>
      <c r="F490" s="655">
        <v>77979726</v>
      </c>
      <c r="G490" s="655">
        <v>5979654</v>
      </c>
      <c r="H490" s="650">
        <v>0</v>
      </c>
      <c r="I490" s="651">
        <v>1.5</v>
      </c>
      <c r="J490" s="651">
        <v>0.251</v>
      </c>
      <c r="K490" s="651">
        <v>1.7509999999999999</v>
      </c>
    </row>
    <row r="491" spans="1:11">
      <c r="A491" s="654" t="s">
        <v>3653</v>
      </c>
      <c r="B491" s="654" t="s">
        <v>7114</v>
      </c>
      <c r="C491" s="655">
        <v>894783027</v>
      </c>
      <c r="D491" s="655">
        <v>844105802</v>
      </c>
      <c r="E491" s="655">
        <v>894783027</v>
      </c>
      <c r="F491" s="655">
        <v>844105802</v>
      </c>
      <c r="G491" s="655">
        <v>50677225</v>
      </c>
      <c r="H491" s="650">
        <v>0</v>
      </c>
      <c r="I491" s="651">
        <v>1.4255800000000001</v>
      </c>
      <c r="J491" s="651">
        <v>7.9069E-2</v>
      </c>
      <c r="K491" s="651">
        <v>1.50465</v>
      </c>
    </row>
    <row r="492" spans="1:11">
      <c r="A492" s="654" t="s">
        <v>3654</v>
      </c>
      <c r="B492" s="654" t="s">
        <v>991</v>
      </c>
      <c r="C492" s="655">
        <v>50666191</v>
      </c>
      <c r="D492" s="655">
        <v>45645521</v>
      </c>
      <c r="E492" s="655">
        <v>50666191</v>
      </c>
      <c r="F492" s="655">
        <v>45645521</v>
      </c>
      <c r="G492" s="655">
        <v>5020670</v>
      </c>
      <c r="H492" s="650">
        <v>0</v>
      </c>
      <c r="I492" s="651">
        <v>1.4112</v>
      </c>
      <c r="J492" s="651">
        <v>6.0499999999999998E-2</v>
      </c>
      <c r="K492" s="651">
        <v>1.4717</v>
      </c>
    </row>
    <row r="493" spans="1:11">
      <c r="A493" s="654" t="s">
        <v>3655</v>
      </c>
      <c r="B493" s="654" t="s">
        <v>7115</v>
      </c>
      <c r="C493" s="655">
        <v>63792721</v>
      </c>
      <c r="D493" s="655">
        <v>59107311</v>
      </c>
      <c r="E493" s="655">
        <v>63792721</v>
      </c>
      <c r="F493" s="655">
        <v>59107311</v>
      </c>
      <c r="G493" s="655">
        <v>4685410</v>
      </c>
      <c r="H493" s="650">
        <v>0</v>
      </c>
      <c r="I493" s="651">
        <v>1.3606</v>
      </c>
      <c r="J493" s="651">
        <v>8.9399999999999993E-2</v>
      </c>
      <c r="K493" s="651">
        <v>1.45</v>
      </c>
    </row>
    <row r="494" spans="1:11">
      <c r="A494" s="654" t="s">
        <v>3656</v>
      </c>
      <c r="B494" s="654" t="s">
        <v>499</v>
      </c>
      <c r="C494" s="655">
        <v>38161326</v>
      </c>
      <c r="D494" s="655">
        <v>34542082</v>
      </c>
      <c r="E494" s="655">
        <v>38161326</v>
      </c>
      <c r="F494" s="655">
        <v>34542082</v>
      </c>
      <c r="G494" s="655">
        <v>3619244</v>
      </c>
      <c r="H494" s="650">
        <v>0</v>
      </c>
      <c r="I494" s="651">
        <v>1.38</v>
      </c>
      <c r="J494" s="651">
        <v>0.15</v>
      </c>
      <c r="K494" s="651">
        <v>1.53</v>
      </c>
    </row>
    <row r="495" spans="1:11">
      <c r="A495" s="654" t="s">
        <v>3657</v>
      </c>
      <c r="B495" s="654" t="s">
        <v>7116</v>
      </c>
      <c r="C495" s="655">
        <v>107144990</v>
      </c>
      <c r="D495" s="655">
        <v>99387210</v>
      </c>
      <c r="E495" s="655">
        <v>107144990</v>
      </c>
      <c r="F495" s="655">
        <v>99387210</v>
      </c>
      <c r="G495" s="655">
        <v>7757780</v>
      </c>
      <c r="H495" s="650">
        <v>0</v>
      </c>
      <c r="I495" s="651">
        <v>1.2150000000000001</v>
      </c>
      <c r="J495" s="651">
        <v>0</v>
      </c>
      <c r="K495" s="651">
        <v>1.2150000000000001</v>
      </c>
    </row>
    <row r="496" spans="1:11">
      <c r="A496" s="654" t="s">
        <v>3658</v>
      </c>
      <c r="B496" s="654" t="s">
        <v>7117</v>
      </c>
      <c r="C496" s="655">
        <v>32677915</v>
      </c>
      <c r="D496" s="655">
        <v>30125695</v>
      </c>
      <c r="E496" s="655">
        <v>32677915</v>
      </c>
      <c r="F496" s="655">
        <v>30125695</v>
      </c>
      <c r="G496" s="655">
        <v>2552220</v>
      </c>
      <c r="H496" s="650">
        <v>0</v>
      </c>
      <c r="I496" s="651">
        <v>1.29</v>
      </c>
      <c r="J496" s="651">
        <v>0</v>
      </c>
      <c r="K496" s="651">
        <v>1.29</v>
      </c>
    </row>
    <row r="497" spans="1:11">
      <c r="A497" s="654" t="s">
        <v>3659</v>
      </c>
      <c r="B497" s="654" t="s">
        <v>2357</v>
      </c>
      <c r="C497" s="655">
        <v>41325648</v>
      </c>
      <c r="D497" s="655">
        <v>38298878</v>
      </c>
      <c r="E497" s="655">
        <v>41325648</v>
      </c>
      <c r="F497" s="655">
        <v>38298878</v>
      </c>
      <c r="G497" s="655">
        <v>3026770</v>
      </c>
      <c r="H497" s="650">
        <v>0</v>
      </c>
      <c r="I497" s="651">
        <v>1.3562000000000001</v>
      </c>
      <c r="J497" s="651">
        <v>0.15709999999999999</v>
      </c>
      <c r="K497" s="651">
        <v>1.5133000000000001</v>
      </c>
    </row>
    <row r="498" spans="1:11">
      <c r="A498" s="654" t="s">
        <v>3660</v>
      </c>
      <c r="B498" s="654" t="s">
        <v>7118</v>
      </c>
      <c r="C498" s="655">
        <v>270873841</v>
      </c>
      <c r="D498" s="655">
        <v>248722581</v>
      </c>
      <c r="E498" s="655">
        <v>270873841</v>
      </c>
      <c r="F498" s="655">
        <v>248722581</v>
      </c>
      <c r="G498" s="655">
        <v>22151260</v>
      </c>
      <c r="H498" s="650">
        <v>0</v>
      </c>
      <c r="I498" s="651">
        <v>1.48</v>
      </c>
      <c r="J498" s="651">
        <v>0.18</v>
      </c>
      <c r="K498" s="651">
        <v>1.66</v>
      </c>
    </row>
    <row r="499" spans="1:11">
      <c r="A499" s="654" t="s">
        <v>3661</v>
      </c>
      <c r="B499" s="654" t="s">
        <v>7119</v>
      </c>
      <c r="C499" s="655">
        <v>171357307</v>
      </c>
      <c r="D499" s="655">
        <v>160425887</v>
      </c>
      <c r="E499" s="655">
        <v>171357307</v>
      </c>
      <c r="F499" s="655">
        <v>160425887</v>
      </c>
      <c r="G499" s="655">
        <v>10931420</v>
      </c>
      <c r="H499" s="650">
        <v>0</v>
      </c>
      <c r="I499" s="651">
        <v>1.4750000000000001</v>
      </c>
      <c r="J499" s="651">
        <v>0</v>
      </c>
      <c r="K499" s="651">
        <v>1.4750000000000001</v>
      </c>
    </row>
    <row r="500" spans="1:11">
      <c r="A500" s="654" t="s">
        <v>3662</v>
      </c>
      <c r="B500" s="654" t="s">
        <v>7120</v>
      </c>
      <c r="C500" s="655">
        <v>134941109</v>
      </c>
      <c r="D500" s="655">
        <v>127492269</v>
      </c>
      <c r="E500" s="655">
        <v>134941109</v>
      </c>
      <c r="F500" s="655">
        <v>127492269</v>
      </c>
      <c r="G500" s="655">
        <v>7448840</v>
      </c>
      <c r="H500" s="650">
        <v>0</v>
      </c>
      <c r="I500" s="651">
        <v>1.415</v>
      </c>
      <c r="J500" s="651">
        <v>0</v>
      </c>
      <c r="K500" s="651">
        <v>1.415</v>
      </c>
    </row>
    <row r="501" spans="1:11">
      <c r="A501" s="654" t="s">
        <v>3663</v>
      </c>
      <c r="B501" s="654" t="s">
        <v>7121</v>
      </c>
      <c r="C501" s="655">
        <v>96745862</v>
      </c>
      <c r="D501" s="655">
        <v>90313412</v>
      </c>
      <c r="E501" s="655">
        <v>96745862</v>
      </c>
      <c r="F501" s="655">
        <v>90313412</v>
      </c>
      <c r="G501" s="655">
        <v>6432450</v>
      </c>
      <c r="H501" s="650">
        <v>0</v>
      </c>
      <c r="I501" s="651">
        <v>1.4703999999999999</v>
      </c>
      <c r="J501" s="651">
        <v>0.16900000000000001</v>
      </c>
      <c r="K501" s="651">
        <v>1.6394</v>
      </c>
    </row>
    <row r="502" spans="1:11">
      <c r="A502" s="654" t="s">
        <v>3664</v>
      </c>
      <c r="B502" s="654" t="s">
        <v>7122</v>
      </c>
      <c r="C502" s="655">
        <v>82760252</v>
      </c>
      <c r="D502" s="655">
        <v>76565133</v>
      </c>
      <c r="E502" s="655">
        <v>82760252</v>
      </c>
      <c r="F502" s="655">
        <v>76565133</v>
      </c>
      <c r="G502" s="655">
        <v>6195119</v>
      </c>
      <c r="H502" s="650">
        <v>0</v>
      </c>
      <c r="I502" s="651">
        <v>1.3522099999999999</v>
      </c>
      <c r="J502" s="651">
        <v>5.7790000000000001E-2</v>
      </c>
      <c r="K502" s="651">
        <v>1.41</v>
      </c>
    </row>
    <row r="503" spans="1:11">
      <c r="A503" s="654" t="s">
        <v>3665</v>
      </c>
      <c r="B503" s="654" t="s">
        <v>3864</v>
      </c>
      <c r="C503" s="655">
        <v>688607782</v>
      </c>
      <c r="D503" s="655">
        <v>644674034</v>
      </c>
      <c r="E503" s="655">
        <v>669129832</v>
      </c>
      <c r="F503" s="655">
        <v>625196084</v>
      </c>
      <c r="G503" s="655">
        <v>43933748</v>
      </c>
      <c r="H503" s="655">
        <v>19477950</v>
      </c>
      <c r="I503" s="651">
        <v>1.5</v>
      </c>
      <c r="J503" s="651">
        <v>7.6300000000000007E-2</v>
      </c>
      <c r="K503" s="651">
        <v>1.5763</v>
      </c>
    </row>
    <row r="504" spans="1:11">
      <c r="A504" s="654" t="s">
        <v>3666</v>
      </c>
      <c r="B504" s="654" t="s">
        <v>3865</v>
      </c>
      <c r="C504" s="655">
        <v>213682847</v>
      </c>
      <c r="D504" s="655">
        <v>204234066</v>
      </c>
      <c r="E504" s="655">
        <v>209537085</v>
      </c>
      <c r="F504" s="655">
        <v>200088304</v>
      </c>
      <c r="G504" s="655">
        <v>9448781</v>
      </c>
      <c r="H504" s="655">
        <v>4145762</v>
      </c>
      <c r="I504" s="651">
        <v>1.5</v>
      </c>
      <c r="J504" s="651">
        <v>0</v>
      </c>
      <c r="K504" s="651">
        <v>1.5</v>
      </c>
    </row>
    <row r="505" spans="1:11">
      <c r="A505" s="654" t="s">
        <v>3667</v>
      </c>
      <c r="B505" s="654" t="s">
        <v>3866</v>
      </c>
      <c r="C505" s="655">
        <v>244469028</v>
      </c>
      <c r="D505" s="655">
        <v>237982210</v>
      </c>
      <c r="E505" s="655">
        <v>241422435</v>
      </c>
      <c r="F505" s="655">
        <v>234935617</v>
      </c>
      <c r="G505" s="655">
        <v>6486818</v>
      </c>
      <c r="H505" s="655">
        <v>3046593</v>
      </c>
      <c r="I505" s="651">
        <v>1.5</v>
      </c>
      <c r="J505" s="651">
        <v>0</v>
      </c>
      <c r="K505" s="651">
        <v>1.5</v>
      </c>
    </row>
    <row r="506" spans="1:11">
      <c r="A506" s="654" t="s">
        <v>3668</v>
      </c>
      <c r="B506" s="654" t="s">
        <v>3867</v>
      </c>
      <c r="C506" s="655">
        <v>102599444</v>
      </c>
      <c r="D506" s="655">
        <v>99601781</v>
      </c>
      <c r="E506" s="655">
        <v>102599444</v>
      </c>
      <c r="F506" s="655">
        <v>99601781</v>
      </c>
      <c r="G506" s="655">
        <v>2997663</v>
      </c>
      <c r="H506" s="650">
        <v>0</v>
      </c>
      <c r="I506" s="651">
        <v>1.1536</v>
      </c>
      <c r="J506" s="651">
        <v>0.156</v>
      </c>
      <c r="K506" s="651">
        <v>1.3096000000000001</v>
      </c>
    </row>
    <row r="507" spans="1:11">
      <c r="A507" s="654" t="s">
        <v>3669</v>
      </c>
      <c r="B507" s="654" t="s">
        <v>3868</v>
      </c>
      <c r="C507" s="655">
        <v>45507270</v>
      </c>
      <c r="D507" s="655">
        <v>44402009</v>
      </c>
      <c r="E507" s="655">
        <v>44942005</v>
      </c>
      <c r="F507" s="655">
        <v>43836744</v>
      </c>
      <c r="G507" s="655">
        <v>1105261</v>
      </c>
      <c r="H507" s="655">
        <v>565265</v>
      </c>
      <c r="I507" s="651">
        <v>1.5</v>
      </c>
      <c r="J507" s="651">
        <v>0</v>
      </c>
      <c r="K507" s="651">
        <v>1.5</v>
      </c>
    </row>
    <row r="508" spans="1:11">
      <c r="A508" s="654" t="s">
        <v>3670</v>
      </c>
      <c r="B508" s="654" t="s">
        <v>3869</v>
      </c>
      <c r="C508" s="655">
        <v>42422065</v>
      </c>
      <c r="D508" s="655">
        <v>41861296</v>
      </c>
      <c r="E508" s="655">
        <v>41856800</v>
      </c>
      <c r="F508" s="655">
        <v>41296031</v>
      </c>
      <c r="G508" s="655">
        <v>560769</v>
      </c>
      <c r="H508" s="655">
        <v>565265</v>
      </c>
      <c r="I508" s="651">
        <v>1.48</v>
      </c>
      <c r="J508" s="651">
        <v>0</v>
      </c>
      <c r="K508" s="651">
        <v>1.48</v>
      </c>
    </row>
    <row r="509" spans="1:11">
      <c r="A509" s="654" t="s">
        <v>3671</v>
      </c>
      <c r="B509" s="654" t="s">
        <v>6097</v>
      </c>
      <c r="C509" s="655">
        <v>201130533</v>
      </c>
      <c r="D509" s="655">
        <v>187026393</v>
      </c>
      <c r="E509" s="655">
        <v>201130533</v>
      </c>
      <c r="F509" s="655">
        <v>187026393</v>
      </c>
      <c r="G509" s="655">
        <v>14104140</v>
      </c>
      <c r="H509" s="650">
        <v>0</v>
      </c>
      <c r="I509" s="651">
        <v>1.3954</v>
      </c>
      <c r="J509" s="651">
        <v>0.27550000000000002</v>
      </c>
      <c r="K509" s="651">
        <v>1.6709000000000001</v>
      </c>
    </row>
    <row r="510" spans="1:11">
      <c r="A510" s="654" t="s">
        <v>3672</v>
      </c>
      <c r="B510" s="654" t="s">
        <v>3870</v>
      </c>
      <c r="C510" s="655">
        <v>57664302</v>
      </c>
      <c r="D510" s="655">
        <v>51464522</v>
      </c>
      <c r="E510" s="655">
        <v>57664302</v>
      </c>
      <c r="F510" s="655">
        <v>51464522</v>
      </c>
      <c r="G510" s="655">
        <v>6199780</v>
      </c>
      <c r="H510" s="650">
        <v>0</v>
      </c>
      <c r="I510" s="651">
        <v>1.48</v>
      </c>
      <c r="J510" s="651">
        <v>6.9059999999999996E-2</v>
      </c>
      <c r="K510" s="651">
        <v>1.5490600000000001</v>
      </c>
    </row>
    <row r="511" spans="1:11">
      <c r="A511" s="654" t="s">
        <v>3673</v>
      </c>
      <c r="B511" s="654" t="s">
        <v>2642</v>
      </c>
      <c r="C511" s="655">
        <v>370778872</v>
      </c>
      <c r="D511" s="655">
        <v>352777902</v>
      </c>
      <c r="E511" s="655">
        <v>370778872</v>
      </c>
      <c r="F511" s="655">
        <v>352777902</v>
      </c>
      <c r="G511" s="655">
        <v>18000970</v>
      </c>
      <c r="H511" s="650">
        <v>0</v>
      </c>
      <c r="I511" s="651">
        <v>1.5</v>
      </c>
      <c r="J511" s="651">
        <v>0.19450000000000001</v>
      </c>
      <c r="K511" s="651">
        <v>1.6944999999999999</v>
      </c>
    </row>
    <row r="512" spans="1:11">
      <c r="A512" s="654" t="s">
        <v>3674</v>
      </c>
      <c r="B512" s="654" t="s">
        <v>3871</v>
      </c>
      <c r="C512" s="655">
        <v>1115347689</v>
      </c>
      <c r="D512" s="655">
        <v>1055072689</v>
      </c>
      <c r="E512" s="655">
        <v>1115347689</v>
      </c>
      <c r="F512" s="655">
        <v>1055072689</v>
      </c>
      <c r="G512" s="655">
        <v>60275000</v>
      </c>
      <c r="H512" s="650">
        <v>0</v>
      </c>
      <c r="I512" s="651">
        <v>1.5</v>
      </c>
      <c r="J512" s="651">
        <v>0.15</v>
      </c>
      <c r="K512" s="651">
        <v>1.65</v>
      </c>
    </row>
    <row r="513" spans="1:11">
      <c r="A513" s="654" t="s">
        <v>3675</v>
      </c>
      <c r="B513" s="654" t="s">
        <v>198</v>
      </c>
      <c r="C513" s="655">
        <v>125597636</v>
      </c>
      <c r="D513" s="655">
        <v>114533806</v>
      </c>
      <c r="E513" s="655">
        <v>125597636</v>
      </c>
      <c r="F513" s="655">
        <v>114533806</v>
      </c>
      <c r="G513" s="655">
        <v>11063830</v>
      </c>
      <c r="H513" s="650">
        <v>0</v>
      </c>
      <c r="I513" s="651">
        <v>1.43</v>
      </c>
      <c r="J513" s="651">
        <v>0.06</v>
      </c>
      <c r="K513" s="651">
        <v>1.49</v>
      </c>
    </row>
    <row r="514" spans="1:11">
      <c r="A514" s="654" t="s">
        <v>3676</v>
      </c>
      <c r="B514" s="654" t="s">
        <v>355</v>
      </c>
      <c r="C514" s="655">
        <v>469157829</v>
      </c>
      <c r="D514" s="655">
        <v>427772959</v>
      </c>
      <c r="E514" s="655">
        <v>469157829</v>
      </c>
      <c r="F514" s="655">
        <v>427772959</v>
      </c>
      <c r="G514" s="655">
        <v>41384870</v>
      </c>
      <c r="H514" s="650">
        <v>0</v>
      </c>
      <c r="I514" s="651">
        <v>1.4118999999999999</v>
      </c>
      <c r="J514" s="651">
        <v>0.21099999999999999</v>
      </c>
      <c r="K514" s="651">
        <v>1.6229</v>
      </c>
    </row>
    <row r="515" spans="1:11">
      <c r="A515" s="654" t="s">
        <v>3677</v>
      </c>
      <c r="B515" s="654" t="s">
        <v>2007</v>
      </c>
      <c r="C515" s="655">
        <v>69633831</v>
      </c>
      <c r="D515" s="655">
        <v>61716211</v>
      </c>
      <c r="E515" s="655">
        <v>69633831</v>
      </c>
      <c r="F515" s="655">
        <v>61716211</v>
      </c>
      <c r="G515" s="655">
        <v>7917620</v>
      </c>
      <c r="H515" s="650">
        <v>0</v>
      </c>
      <c r="I515" s="651">
        <v>1.4344300000000001</v>
      </c>
      <c r="J515" s="651">
        <v>0.20211000000000001</v>
      </c>
      <c r="K515" s="651">
        <v>1.6365400000000001</v>
      </c>
    </row>
    <row r="516" spans="1:11">
      <c r="A516" s="654" t="s">
        <v>3678</v>
      </c>
      <c r="B516" s="654" t="s">
        <v>3872</v>
      </c>
      <c r="C516" s="655">
        <v>52171167</v>
      </c>
      <c r="D516" s="655">
        <v>46233526</v>
      </c>
      <c r="E516" s="655">
        <v>52171167</v>
      </c>
      <c r="F516" s="655">
        <v>46233526</v>
      </c>
      <c r="G516" s="655">
        <v>5937641</v>
      </c>
      <c r="H516" s="650">
        <v>0</v>
      </c>
      <c r="I516" s="651">
        <v>1.3738900000000001</v>
      </c>
      <c r="J516" s="651">
        <v>9.6112000000000003E-2</v>
      </c>
      <c r="K516" s="651">
        <v>1.47</v>
      </c>
    </row>
    <row r="517" spans="1:11">
      <c r="A517" s="654" t="s">
        <v>3679</v>
      </c>
      <c r="B517" s="654" t="s">
        <v>7658</v>
      </c>
      <c r="C517" s="655">
        <v>78394688</v>
      </c>
      <c r="D517" s="655">
        <v>70800868</v>
      </c>
      <c r="E517" s="655">
        <v>78394688</v>
      </c>
      <c r="F517" s="655">
        <v>70800868</v>
      </c>
      <c r="G517" s="655">
        <v>7593820</v>
      </c>
      <c r="H517" s="650">
        <v>0</v>
      </c>
      <c r="I517" s="651">
        <v>1.4107000000000001</v>
      </c>
      <c r="J517" s="651">
        <v>4.5699999999999998E-2</v>
      </c>
      <c r="K517" s="651">
        <v>1.4563999999999999</v>
      </c>
    </row>
    <row r="518" spans="1:11">
      <c r="A518" s="654" t="s">
        <v>3680</v>
      </c>
      <c r="B518" s="654" t="s">
        <v>7663</v>
      </c>
      <c r="C518" s="655">
        <v>12333379</v>
      </c>
      <c r="D518" s="655">
        <v>11068029</v>
      </c>
      <c r="E518" s="655">
        <v>12333379</v>
      </c>
      <c r="F518" s="655">
        <v>11068029</v>
      </c>
      <c r="G518" s="655">
        <v>1265350</v>
      </c>
      <c r="H518" s="650">
        <v>0</v>
      </c>
      <c r="I518" s="651">
        <v>1.46</v>
      </c>
      <c r="J518" s="651">
        <v>6.8515000000000006E-2</v>
      </c>
      <c r="K518" s="651">
        <v>1.52851</v>
      </c>
    </row>
    <row r="519" spans="1:11">
      <c r="A519" s="654" t="s">
        <v>3681</v>
      </c>
      <c r="B519" s="654" t="s">
        <v>3873</v>
      </c>
      <c r="C519" s="655">
        <v>465666005</v>
      </c>
      <c r="D519" s="655">
        <v>425790655</v>
      </c>
      <c r="E519" s="655">
        <v>453834595</v>
      </c>
      <c r="F519" s="655">
        <v>413959245</v>
      </c>
      <c r="G519" s="655">
        <v>39875350</v>
      </c>
      <c r="H519" s="655">
        <v>11831410</v>
      </c>
      <c r="I519" s="651">
        <v>1.5</v>
      </c>
      <c r="J519" s="651">
        <v>0</v>
      </c>
      <c r="K519" s="651">
        <v>1.5</v>
      </c>
    </row>
    <row r="520" spans="1:11">
      <c r="A520" s="654" t="s">
        <v>3682</v>
      </c>
      <c r="B520" s="654" t="s">
        <v>3683</v>
      </c>
      <c r="C520" s="655">
        <v>141394008</v>
      </c>
      <c r="D520" s="655">
        <v>125318628</v>
      </c>
      <c r="E520" s="655">
        <v>137237328</v>
      </c>
      <c r="F520" s="655">
        <v>121161948</v>
      </c>
      <c r="G520" s="655">
        <v>16075380</v>
      </c>
      <c r="H520" s="655">
        <v>4156680</v>
      </c>
      <c r="I520" s="651">
        <v>1.4853000000000001</v>
      </c>
      <c r="J520" s="651">
        <v>0.1449</v>
      </c>
      <c r="K520" s="651">
        <v>1.6302000000000001</v>
      </c>
    </row>
    <row r="521" spans="1:11">
      <c r="A521" s="654" t="s">
        <v>3684</v>
      </c>
      <c r="B521" s="654" t="s">
        <v>3685</v>
      </c>
      <c r="C521" s="655">
        <v>842523880</v>
      </c>
      <c r="D521" s="655">
        <v>835020340</v>
      </c>
      <c r="E521" s="655">
        <v>839665635</v>
      </c>
      <c r="F521" s="655">
        <v>832162095</v>
      </c>
      <c r="G521" s="655">
        <v>7503540</v>
      </c>
      <c r="H521" s="655">
        <v>2858245</v>
      </c>
      <c r="I521" s="651">
        <v>1.415</v>
      </c>
      <c r="J521" s="651">
        <v>0.11</v>
      </c>
      <c r="K521" s="651">
        <v>1.5249999999999999</v>
      </c>
    </row>
    <row r="522" spans="1:11">
      <c r="A522" s="654" t="s">
        <v>3686</v>
      </c>
      <c r="B522" s="654" t="s">
        <v>3057</v>
      </c>
      <c r="C522" s="655">
        <v>23136196</v>
      </c>
      <c r="D522" s="655">
        <v>22868176</v>
      </c>
      <c r="E522" s="655">
        <v>23049121</v>
      </c>
      <c r="F522" s="655">
        <v>22781101</v>
      </c>
      <c r="G522" s="655">
        <v>268020</v>
      </c>
      <c r="H522" s="655">
        <v>87075</v>
      </c>
      <c r="I522" s="651">
        <v>1.3942399999999999</v>
      </c>
      <c r="J522" s="651">
        <v>0</v>
      </c>
      <c r="K522" s="651">
        <v>1.3942399999999999</v>
      </c>
    </row>
    <row r="523" spans="1:11">
      <c r="A523" s="654" t="s">
        <v>3687</v>
      </c>
      <c r="B523" s="654" t="s">
        <v>3688</v>
      </c>
      <c r="C523" s="655">
        <v>242678437</v>
      </c>
      <c r="D523" s="655">
        <v>238434787</v>
      </c>
      <c r="E523" s="655">
        <v>242678437</v>
      </c>
      <c r="F523" s="655">
        <v>238434787</v>
      </c>
      <c r="G523" s="655">
        <v>4243650</v>
      </c>
      <c r="H523" s="650">
        <v>0</v>
      </c>
      <c r="I523" s="651">
        <v>1.5</v>
      </c>
      <c r="J523" s="651">
        <v>0</v>
      </c>
      <c r="K523" s="651">
        <v>1.5</v>
      </c>
    </row>
    <row r="524" spans="1:11">
      <c r="A524" s="654" t="s">
        <v>3689</v>
      </c>
      <c r="B524" s="654" t="s">
        <v>3059</v>
      </c>
      <c r="C524" s="655">
        <v>77700862</v>
      </c>
      <c r="D524" s="655">
        <v>74505822</v>
      </c>
      <c r="E524" s="655">
        <v>77700862</v>
      </c>
      <c r="F524" s="655">
        <v>74505822</v>
      </c>
      <c r="G524" s="655">
        <v>3195040</v>
      </c>
      <c r="H524" s="650">
        <v>0</v>
      </c>
      <c r="I524" s="651">
        <v>1.5</v>
      </c>
      <c r="J524" s="651">
        <v>6.5000000000000002E-2</v>
      </c>
      <c r="K524" s="651">
        <v>1.5649999999999999</v>
      </c>
    </row>
    <row r="525" spans="1:11">
      <c r="A525" s="654" t="s">
        <v>3690</v>
      </c>
      <c r="B525" s="654" t="s">
        <v>3060</v>
      </c>
      <c r="C525" s="655">
        <v>289951110</v>
      </c>
      <c r="D525" s="655">
        <v>275268470</v>
      </c>
      <c r="E525" s="655">
        <v>289951110</v>
      </c>
      <c r="F525" s="655">
        <v>275268470</v>
      </c>
      <c r="G525" s="655">
        <v>14682640</v>
      </c>
      <c r="H525" s="650">
        <v>0</v>
      </c>
      <c r="I525" s="651">
        <v>1.5</v>
      </c>
      <c r="J525" s="651">
        <v>0</v>
      </c>
      <c r="K525" s="651">
        <v>1.5</v>
      </c>
    </row>
    <row r="526" spans="1:11">
      <c r="A526" s="654" t="s">
        <v>3691</v>
      </c>
      <c r="B526" s="654" t="s">
        <v>3692</v>
      </c>
      <c r="C526" s="655">
        <v>80005182</v>
      </c>
      <c r="D526" s="655">
        <v>74661822</v>
      </c>
      <c r="E526" s="655">
        <v>80005182</v>
      </c>
      <c r="F526" s="655">
        <v>74661822</v>
      </c>
      <c r="G526" s="655">
        <v>5343360</v>
      </c>
      <c r="H526" s="650">
        <v>0</v>
      </c>
      <c r="I526" s="651">
        <v>1.5</v>
      </c>
      <c r="J526" s="651">
        <v>6.9000000000000006E-2</v>
      </c>
      <c r="K526" s="651">
        <v>1.569</v>
      </c>
    </row>
    <row r="527" spans="1:11">
      <c r="A527" s="654" t="s">
        <v>3693</v>
      </c>
      <c r="B527" s="654" t="s">
        <v>3062</v>
      </c>
      <c r="C527" s="655">
        <v>283108981</v>
      </c>
      <c r="D527" s="655">
        <v>264898240</v>
      </c>
      <c r="E527" s="655">
        <v>283108981</v>
      </c>
      <c r="F527" s="655">
        <v>264898240</v>
      </c>
      <c r="G527" s="655">
        <v>18210741</v>
      </c>
      <c r="H527" s="650">
        <v>0</v>
      </c>
      <c r="I527" s="651">
        <v>1.5</v>
      </c>
      <c r="J527" s="651">
        <v>6.3399999999999998E-2</v>
      </c>
      <c r="K527" s="651">
        <v>1.5633999999999999</v>
      </c>
    </row>
    <row r="528" spans="1:11">
      <c r="A528" s="654" t="s">
        <v>3694</v>
      </c>
      <c r="B528" s="654" t="s">
        <v>121</v>
      </c>
      <c r="C528" s="655">
        <v>117863479</v>
      </c>
      <c r="D528" s="655">
        <v>109962973</v>
      </c>
      <c r="E528" s="655">
        <v>117863479</v>
      </c>
      <c r="F528" s="655">
        <v>109962973</v>
      </c>
      <c r="G528" s="655">
        <v>7900506</v>
      </c>
      <c r="H528" s="650">
        <v>0</v>
      </c>
      <c r="I528" s="651">
        <v>1.5</v>
      </c>
      <c r="J528" s="651">
        <v>6.0699999999999997E-2</v>
      </c>
      <c r="K528" s="651">
        <v>1.5607</v>
      </c>
    </row>
    <row r="529" spans="1:11">
      <c r="A529" s="654" t="s">
        <v>3695</v>
      </c>
      <c r="B529" s="654" t="s">
        <v>3063</v>
      </c>
      <c r="C529" s="655">
        <v>491801210</v>
      </c>
      <c r="D529" s="655">
        <v>481970163</v>
      </c>
      <c r="E529" s="655">
        <v>485727847</v>
      </c>
      <c r="F529" s="655">
        <v>475896800</v>
      </c>
      <c r="G529" s="655">
        <v>9831047</v>
      </c>
      <c r="H529" s="655">
        <v>6073363</v>
      </c>
      <c r="I529" s="651">
        <v>1.4665999999999999</v>
      </c>
      <c r="J529" s="651">
        <v>0.38190000000000002</v>
      </c>
      <c r="K529" s="651">
        <v>1.8485</v>
      </c>
    </row>
    <row r="530" spans="1:11">
      <c r="A530" s="654" t="s">
        <v>3696</v>
      </c>
      <c r="B530" s="654" t="s">
        <v>3064</v>
      </c>
      <c r="C530" s="655">
        <v>123636683</v>
      </c>
      <c r="D530" s="655">
        <v>117001819</v>
      </c>
      <c r="E530" s="655">
        <v>120189494</v>
      </c>
      <c r="F530" s="655">
        <v>113554630</v>
      </c>
      <c r="G530" s="655">
        <v>6634864</v>
      </c>
      <c r="H530" s="655">
        <v>3447189</v>
      </c>
      <c r="I530" s="651">
        <v>1.5</v>
      </c>
      <c r="J530" s="651">
        <v>0</v>
      </c>
      <c r="K530" s="651">
        <v>1.5</v>
      </c>
    </row>
    <row r="531" spans="1:11">
      <c r="A531" s="654" t="s">
        <v>3697</v>
      </c>
      <c r="B531" s="654" t="s">
        <v>2145</v>
      </c>
      <c r="C531" s="655">
        <v>206329202</v>
      </c>
      <c r="D531" s="655">
        <v>185946640</v>
      </c>
      <c r="E531" s="655">
        <v>206329202</v>
      </c>
      <c r="F531" s="655">
        <v>185946640</v>
      </c>
      <c r="G531" s="655">
        <v>20382562</v>
      </c>
      <c r="H531" s="650">
        <v>0</v>
      </c>
      <c r="I531" s="651">
        <v>1.5</v>
      </c>
      <c r="J531" s="651">
        <v>0.2</v>
      </c>
      <c r="K531" s="651">
        <v>1.7</v>
      </c>
    </row>
    <row r="532" spans="1:11">
      <c r="A532" s="654" t="s">
        <v>3698</v>
      </c>
      <c r="B532" s="654" t="s">
        <v>1909</v>
      </c>
      <c r="C532" s="655">
        <v>538113788</v>
      </c>
      <c r="D532" s="655">
        <v>499340658</v>
      </c>
      <c r="E532" s="655">
        <v>538113788</v>
      </c>
      <c r="F532" s="655">
        <v>499340658</v>
      </c>
      <c r="G532" s="655">
        <v>38773130</v>
      </c>
      <c r="H532" s="650">
        <v>0</v>
      </c>
      <c r="I532" s="651">
        <v>1.5</v>
      </c>
      <c r="J532" s="651">
        <v>0.15</v>
      </c>
      <c r="K532" s="651">
        <v>1.65</v>
      </c>
    </row>
    <row r="533" spans="1:11">
      <c r="A533" s="654" t="s">
        <v>3699</v>
      </c>
      <c r="B533" s="654" t="s">
        <v>1922</v>
      </c>
      <c r="C533" s="655">
        <v>152695951</v>
      </c>
      <c r="D533" s="655">
        <v>132879303</v>
      </c>
      <c r="E533" s="655">
        <v>152695951</v>
      </c>
      <c r="F533" s="655">
        <v>132879303</v>
      </c>
      <c r="G533" s="655">
        <v>19816648</v>
      </c>
      <c r="H533" s="650">
        <v>0</v>
      </c>
      <c r="I533" s="651">
        <v>1.5</v>
      </c>
      <c r="J533" s="651">
        <v>0.17</v>
      </c>
      <c r="K533" s="651">
        <v>1.67</v>
      </c>
    </row>
    <row r="534" spans="1:11">
      <c r="A534" s="654" t="s">
        <v>3700</v>
      </c>
      <c r="B534" s="654" t="s">
        <v>3065</v>
      </c>
      <c r="C534" s="655">
        <v>454242508</v>
      </c>
      <c r="D534" s="655">
        <v>449974676</v>
      </c>
      <c r="E534" s="655">
        <v>452383984</v>
      </c>
      <c r="F534" s="655">
        <v>448116152</v>
      </c>
      <c r="G534" s="655">
        <v>4267832</v>
      </c>
      <c r="H534" s="655">
        <v>1858524</v>
      </c>
      <c r="I534" s="651">
        <v>1.5</v>
      </c>
      <c r="J534" s="651">
        <v>0.04</v>
      </c>
      <c r="K534" s="651">
        <v>1.54</v>
      </c>
    </row>
    <row r="535" spans="1:11">
      <c r="A535" s="654" t="s">
        <v>3701</v>
      </c>
      <c r="B535" s="654" t="s">
        <v>3066</v>
      </c>
      <c r="C535" s="655">
        <v>115533206</v>
      </c>
      <c r="D535" s="655">
        <v>110312811</v>
      </c>
      <c r="E535" s="655">
        <v>115533206</v>
      </c>
      <c r="F535" s="655">
        <v>110312811</v>
      </c>
      <c r="G535" s="655">
        <v>5220395</v>
      </c>
      <c r="H535" s="650">
        <v>0</v>
      </c>
      <c r="I535" s="651">
        <v>1.47</v>
      </c>
      <c r="J535" s="651">
        <v>0</v>
      </c>
      <c r="K535" s="651">
        <v>1.47</v>
      </c>
    </row>
    <row r="536" spans="1:11">
      <c r="A536" s="654" t="s">
        <v>3702</v>
      </c>
      <c r="B536" s="654" t="s">
        <v>3067</v>
      </c>
      <c r="C536" s="655">
        <v>28152979</v>
      </c>
      <c r="D536" s="655">
        <v>27596349</v>
      </c>
      <c r="E536" s="655">
        <v>28152979</v>
      </c>
      <c r="F536" s="655">
        <v>27596349</v>
      </c>
      <c r="G536" s="655">
        <v>556630</v>
      </c>
      <c r="H536" s="650">
        <v>0</v>
      </c>
      <c r="I536" s="651">
        <v>1.31</v>
      </c>
      <c r="J536" s="651">
        <v>0</v>
      </c>
      <c r="K536" s="651">
        <v>1.31</v>
      </c>
    </row>
    <row r="537" spans="1:11">
      <c r="A537" s="654" t="s">
        <v>3703</v>
      </c>
      <c r="B537" s="654" t="s">
        <v>3519</v>
      </c>
      <c r="C537" s="655">
        <v>1255643424</v>
      </c>
      <c r="D537" s="655">
        <v>1185313924</v>
      </c>
      <c r="E537" s="655">
        <v>1255643424</v>
      </c>
      <c r="F537" s="655">
        <v>1185313924</v>
      </c>
      <c r="G537" s="655">
        <v>70329500</v>
      </c>
      <c r="H537" s="650">
        <v>0</v>
      </c>
      <c r="I537" s="651">
        <v>1.47</v>
      </c>
      <c r="J537" s="651">
        <v>0.08</v>
      </c>
      <c r="K537" s="651">
        <v>1.55</v>
      </c>
    </row>
    <row r="538" spans="1:11">
      <c r="A538" s="654" t="s">
        <v>3704</v>
      </c>
      <c r="B538" s="654" t="s">
        <v>3068</v>
      </c>
      <c r="C538" s="655">
        <v>2805351046</v>
      </c>
      <c r="D538" s="655">
        <v>2690553746</v>
      </c>
      <c r="E538" s="655">
        <v>2805351046</v>
      </c>
      <c r="F538" s="655">
        <v>2690553746</v>
      </c>
      <c r="G538" s="655">
        <v>114797300</v>
      </c>
      <c r="H538" s="650">
        <v>0</v>
      </c>
      <c r="I538" s="651">
        <v>1.49031</v>
      </c>
      <c r="J538" s="651">
        <v>0.13384499999999999</v>
      </c>
      <c r="K538" s="651">
        <v>1.62415</v>
      </c>
    </row>
    <row r="539" spans="1:11">
      <c r="A539" s="654" t="s">
        <v>3705</v>
      </c>
      <c r="B539" s="654" t="s">
        <v>3069</v>
      </c>
      <c r="C539" s="655">
        <v>2640580706</v>
      </c>
      <c r="D539" s="655">
        <v>2565610396</v>
      </c>
      <c r="E539" s="655">
        <v>2576015716</v>
      </c>
      <c r="F539" s="655">
        <v>2501045406</v>
      </c>
      <c r="G539" s="655">
        <v>74970310</v>
      </c>
      <c r="H539" s="655">
        <v>64564990</v>
      </c>
      <c r="I539" s="651">
        <v>1.5</v>
      </c>
      <c r="J539" s="651">
        <v>0.12779199999999999</v>
      </c>
      <c r="K539" s="651">
        <v>1.6277900000000001</v>
      </c>
    </row>
    <row r="540" spans="1:11">
      <c r="A540" s="654" t="s">
        <v>3706</v>
      </c>
      <c r="B540" s="654" t="s">
        <v>3054</v>
      </c>
      <c r="C540" s="655">
        <v>7002995167</v>
      </c>
      <c r="D540" s="655">
        <v>6751617707</v>
      </c>
      <c r="E540" s="655">
        <v>7002995167</v>
      </c>
      <c r="F540" s="655">
        <v>6751617707</v>
      </c>
      <c r="G540" s="655">
        <v>251377460</v>
      </c>
      <c r="H540" s="650">
        <v>0</v>
      </c>
      <c r="I540" s="651">
        <v>1.47</v>
      </c>
      <c r="J540" s="651">
        <v>7.0000000000000007E-2</v>
      </c>
      <c r="K540" s="651">
        <v>1.54</v>
      </c>
    </row>
    <row r="541" spans="1:11">
      <c r="A541" s="654" t="s">
        <v>3707</v>
      </c>
      <c r="B541" s="654" t="s">
        <v>6648</v>
      </c>
      <c r="C541" s="655">
        <v>400849486</v>
      </c>
      <c r="D541" s="655">
        <v>399580286</v>
      </c>
      <c r="E541" s="655">
        <v>400385775</v>
      </c>
      <c r="F541" s="655">
        <v>399116575</v>
      </c>
      <c r="G541" s="655">
        <v>1269200</v>
      </c>
      <c r="H541" s="655">
        <v>463711</v>
      </c>
      <c r="I541" s="651">
        <v>1.5</v>
      </c>
      <c r="J541" s="651">
        <v>0.1956</v>
      </c>
      <c r="K541" s="651">
        <v>1.6956</v>
      </c>
    </row>
    <row r="542" spans="1:11">
      <c r="A542" s="654" t="s">
        <v>3708</v>
      </c>
      <c r="B542" s="654" t="s">
        <v>3916</v>
      </c>
      <c r="C542" s="655">
        <v>437841089</v>
      </c>
      <c r="D542" s="655">
        <v>414740539</v>
      </c>
      <c r="E542" s="655">
        <v>437841089</v>
      </c>
      <c r="F542" s="655">
        <v>414740539</v>
      </c>
      <c r="G542" s="655">
        <v>23100550</v>
      </c>
      <c r="H542" s="650">
        <v>0</v>
      </c>
      <c r="I542" s="651">
        <v>1.5</v>
      </c>
      <c r="J542" s="651">
        <v>0.23499999999999999</v>
      </c>
      <c r="K542" s="651">
        <v>1.7350000000000001</v>
      </c>
    </row>
    <row r="543" spans="1:11">
      <c r="A543" s="654" t="s">
        <v>3709</v>
      </c>
      <c r="B543" s="654" t="s">
        <v>6649</v>
      </c>
      <c r="C543" s="655">
        <v>397643087</v>
      </c>
      <c r="D543" s="655">
        <v>386143017</v>
      </c>
      <c r="E543" s="655">
        <v>394890977</v>
      </c>
      <c r="F543" s="655">
        <v>383390907</v>
      </c>
      <c r="G543" s="655">
        <v>11500070</v>
      </c>
      <c r="H543" s="655">
        <v>2752110</v>
      </c>
      <c r="I543" s="651">
        <v>1.4</v>
      </c>
      <c r="J543" s="651">
        <v>0.10245</v>
      </c>
      <c r="K543" s="651">
        <v>1.5024500000000001</v>
      </c>
    </row>
    <row r="544" spans="1:11">
      <c r="A544" s="654" t="s">
        <v>3710</v>
      </c>
      <c r="B544" s="654" t="s">
        <v>1843</v>
      </c>
      <c r="C544" s="655">
        <v>762887449</v>
      </c>
      <c r="D544" s="655">
        <v>721972093</v>
      </c>
      <c r="E544" s="655">
        <v>762887449</v>
      </c>
      <c r="F544" s="655">
        <v>721972093</v>
      </c>
      <c r="G544" s="655">
        <v>40915356</v>
      </c>
      <c r="H544" s="650">
        <v>0</v>
      </c>
      <c r="I544" s="651">
        <v>1.4808300000000001</v>
      </c>
      <c r="J544" s="651">
        <v>0.159167</v>
      </c>
      <c r="K544" s="651">
        <v>1.64</v>
      </c>
    </row>
    <row r="545" spans="1:11">
      <c r="A545" s="654" t="s">
        <v>3711</v>
      </c>
      <c r="B545" s="654" t="s">
        <v>7655</v>
      </c>
      <c r="C545" s="655">
        <v>45908151</v>
      </c>
      <c r="D545" s="655">
        <v>42234801</v>
      </c>
      <c r="E545" s="655">
        <v>45908151</v>
      </c>
      <c r="F545" s="655">
        <v>42234801</v>
      </c>
      <c r="G545" s="655">
        <v>3673350</v>
      </c>
      <c r="H545" s="650">
        <v>0</v>
      </c>
      <c r="I545" s="651">
        <v>1.5</v>
      </c>
      <c r="J545" s="651">
        <v>0.14319999999999999</v>
      </c>
      <c r="K545" s="651">
        <v>1.6432</v>
      </c>
    </row>
    <row r="546" spans="1:11">
      <c r="A546" s="654" t="s">
        <v>3712</v>
      </c>
      <c r="B546" s="654" t="s">
        <v>3625</v>
      </c>
      <c r="C546" s="655">
        <v>122868690</v>
      </c>
      <c r="D546" s="655">
        <v>112561154</v>
      </c>
      <c r="E546" s="655">
        <v>122868690</v>
      </c>
      <c r="F546" s="655">
        <v>112561154</v>
      </c>
      <c r="G546" s="655">
        <v>10307536</v>
      </c>
      <c r="H546" s="650">
        <v>0</v>
      </c>
      <c r="I546" s="651">
        <v>1.43</v>
      </c>
      <c r="J546" s="651">
        <v>0.1668</v>
      </c>
      <c r="K546" s="651">
        <v>1.5968</v>
      </c>
    </row>
    <row r="547" spans="1:11">
      <c r="A547" s="654" t="s">
        <v>3713</v>
      </c>
      <c r="B547" s="654" t="s">
        <v>349</v>
      </c>
      <c r="C547" s="655">
        <v>114676491</v>
      </c>
      <c r="D547" s="655">
        <v>108395658</v>
      </c>
      <c r="E547" s="655">
        <v>114676491</v>
      </c>
      <c r="F547" s="655">
        <v>108395658</v>
      </c>
      <c r="G547" s="655">
        <v>6280833</v>
      </c>
      <c r="H547" s="650">
        <v>0</v>
      </c>
      <c r="I547" s="651">
        <v>1.5</v>
      </c>
      <c r="J547" s="651">
        <v>7.2298000000000001E-2</v>
      </c>
      <c r="K547" s="651">
        <v>1.5723</v>
      </c>
    </row>
    <row r="548" spans="1:11">
      <c r="A548" s="654" t="s">
        <v>3714</v>
      </c>
      <c r="B548" s="654" t="s">
        <v>6650</v>
      </c>
      <c r="C548" s="655">
        <v>28672186</v>
      </c>
      <c r="D548" s="655">
        <v>28074650</v>
      </c>
      <c r="E548" s="655">
        <v>28552183</v>
      </c>
      <c r="F548" s="655">
        <v>27954647</v>
      </c>
      <c r="G548" s="655">
        <v>597536</v>
      </c>
      <c r="H548" s="655">
        <v>120003</v>
      </c>
      <c r="I548" s="651">
        <v>1.47</v>
      </c>
      <c r="J548" s="651">
        <v>0</v>
      </c>
      <c r="K548" s="651">
        <v>1.47</v>
      </c>
    </row>
    <row r="549" spans="1:11">
      <c r="A549" s="654" t="s">
        <v>3715</v>
      </c>
      <c r="B549" s="654" t="s">
        <v>7678</v>
      </c>
      <c r="C549" s="655">
        <v>578864078</v>
      </c>
      <c r="D549" s="655">
        <v>538924025</v>
      </c>
      <c r="E549" s="655">
        <v>578864078</v>
      </c>
      <c r="F549" s="655">
        <v>538924025</v>
      </c>
      <c r="G549" s="655">
        <v>39940053</v>
      </c>
      <c r="H549" s="650">
        <v>0</v>
      </c>
      <c r="I549" s="651">
        <v>1.45</v>
      </c>
      <c r="J549" s="651">
        <v>0.27</v>
      </c>
      <c r="K549" s="651">
        <v>1.72</v>
      </c>
    </row>
    <row r="550" spans="1:11">
      <c r="A550" s="654" t="s">
        <v>3716</v>
      </c>
      <c r="B550" s="654" t="s">
        <v>2147</v>
      </c>
      <c r="C550" s="655">
        <v>1843941435</v>
      </c>
      <c r="D550" s="655">
        <v>1750658432</v>
      </c>
      <c r="E550" s="655">
        <v>1843941435</v>
      </c>
      <c r="F550" s="655">
        <v>1750658432</v>
      </c>
      <c r="G550" s="655">
        <v>93283003</v>
      </c>
      <c r="H550" s="650">
        <v>0</v>
      </c>
      <c r="I550" s="651">
        <v>1.5</v>
      </c>
      <c r="J550" s="651">
        <v>0.24840000000000001</v>
      </c>
      <c r="K550" s="651">
        <v>1.7484</v>
      </c>
    </row>
    <row r="551" spans="1:11">
      <c r="A551" s="654" t="s">
        <v>3717</v>
      </c>
      <c r="B551" s="654" t="s">
        <v>6113</v>
      </c>
      <c r="C551" s="655">
        <v>1579572689</v>
      </c>
      <c r="D551" s="655">
        <v>1500634663</v>
      </c>
      <c r="E551" s="655">
        <v>1579572689</v>
      </c>
      <c r="F551" s="655">
        <v>1500634663</v>
      </c>
      <c r="G551" s="655">
        <v>78938026</v>
      </c>
      <c r="H551" s="650">
        <v>0</v>
      </c>
      <c r="I551" s="651">
        <v>1.5</v>
      </c>
      <c r="J551" s="651">
        <v>0.1867</v>
      </c>
      <c r="K551" s="651">
        <v>1.6867000000000001</v>
      </c>
    </row>
    <row r="552" spans="1:11">
      <c r="A552" s="654" t="s">
        <v>3718</v>
      </c>
      <c r="B552" s="654" t="s">
        <v>4968</v>
      </c>
      <c r="C552" s="655">
        <v>158366914</v>
      </c>
      <c r="D552" s="655">
        <v>147603584</v>
      </c>
      <c r="E552" s="655">
        <v>158366914</v>
      </c>
      <c r="F552" s="655">
        <v>147603584</v>
      </c>
      <c r="G552" s="655">
        <v>10763330</v>
      </c>
      <c r="H552" s="650">
        <v>0</v>
      </c>
      <c r="I552" s="651">
        <v>1.5</v>
      </c>
      <c r="J552" s="651">
        <v>7.4999999999999997E-2</v>
      </c>
      <c r="K552" s="651">
        <v>1.575</v>
      </c>
    </row>
    <row r="553" spans="1:11">
      <c r="A553" s="654" t="s">
        <v>3719</v>
      </c>
      <c r="B553" s="654" t="s">
        <v>1910</v>
      </c>
      <c r="C553" s="655">
        <v>747479072</v>
      </c>
      <c r="D553" s="655">
        <v>696371781</v>
      </c>
      <c r="E553" s="655">
        <v>747479072</v>
      </c>
      <c r="F553" s="655">
        <v>696371781</v>
      </c>
      <c r="G553" s="655">
        <v>51107291</v>
      </c>
      <c r="H553" s="650">
        <v>0</v>
      </c>
      <c r="I553" s="651">
        <v>1.5</v>
      </c>
      <c r="J553" s="651">
        <v>0.23808000000000001</v>
      </c>
      <c r="K553" s="651">
        <v>1.7380800000000001</v>
      </c>
    </row>
    <row r="554" spans="1:11">
      <c r="A554" s="654" t="s">
        <v>3720</v>
      </c>
      <c r="B554" s="654" t="s">
        <v>6651</v>
      </c>
      <c r="C554" s="655">
        <v>117089184</v>
      </c>
      <c r="D554" s="655">
        <v>110258262</v>
      </c>
      <c r="E554" s="655">
        <v>117089184</v>
      </c>
      <c r="F554" s="655">
        <v>110258262</v>
      </c>
      <c r="G554" s="655">
        <v>6830922</v>
      </c>
      <c r="H554" s="650">
        <v>0</v>
      </c>
      <c r="I554" s="651">
        <v>1.4650000000000001</v>
      </c>
      <c r="J554" s="651">
        <v>9.35E-2</v>
      </c>
      <c r="K554" s="651">
        <v>1.5585</v>
      </c>
    </row>
    <row r="555" spans="1:11">
      <c r="A555" s="654" t="s">
        <v>3721</v>
      </c>
      <c r="B555" s="654" t="s">
        <v>362</v>
      </c>
      <c r="C555" s="655">
        <v>123091767</v>
      </c>
      <c r="D555" s="655">
        <v>114015151</v>
      </c>
      <c r="E555" s="655">
        <v>123091767</v>
      </c>
      <c r="F555" s="655">
        <v>114015151</v>
      </c>
      <c r="G555" s="655">
        <v>9076616</v>
      </c>
      <c r="H555" s="650">
        <v>0</v>
      </c>
      <c r="I555" s="651">
        <v>1.5</v>
      </c>
      <c r="J555" s="651">
        <v>0.13</v>
      </c>
      <c r="K555" s="651">
        <v>1.63</v>
      </c>
    </row>
    <row r="556" spans="1:11">
      <c r="A556" s="654" t="s">
        <v>3722</v>
      </c>
      <c r="B556" s="654" t="s">
        <v>7131</v>
      </c>
      <c r="C556" s="655">
        <v>175997326</v>
      </c>
      <c r="D556" s="655">
        <v>162139822</v>
      </c>
      <c r="E556" s="655">
        <v>175997326</v>
      </c>
      <c r="F556" s="655">
        <v>162139822</v>
      </c>
      <c r="G556" s="655">
        <v>13857504</v>
      </c>
      <c r="H556" s="650">
        <v>0</v>
      </c>
      <c r="I556" s="651">
        <v>1.5</v>
      </c>
      <c r="J556" s="651">
        <v>0.09</v>
      </c>
      <c r="K556" s="651">
        <v>1.59</v>
      </c>
    </row>
    <row r="557" spans="1:11">
      <c r="A557" s="654" t="s">
        <v>3723</v>
      </c>
      <c r="B557" s="654" t="s">
        <v>126</v>
      </c>
      <c r="C557" s="655">
        <v>192803394</v>
      </c>
      <c r="D557" s="655">
        <v>180771600</v>
      </c>
      <c r="E557" s="655">
        <v>192803394</v>
      </c>
      <c r="F557" s="655">
        <v>180771600</v>
      </c>
      <c r="G557" s="655">
        <v>12031794</v>
      </c>
      <c r="H557" s="650">
        <v>0</v>
      </c>
      <c r="I557" s="651">
        <v>1.42784</v>
      </c>
      <c r="J557" s="651">
        <v>0.16900000000000001</v>
      </c>
      <c r="K557" s="651">
        <v>1.59684</v>
      </c>
    </row>
    <row r="558" spans="1:11">
      <c r="A558" s="654" t="s">
        <v>3724</v>
      </c>
      <c r="B558" s="654" t="s">
        <v>7684</v>
      </c>
      <c r="C558" s="655">
        <v>82371318</v>
      </c>
      <c r="D558" s="655">
        <v>73536478</v>
      </c>
      <c r="E558" s="655">
        <v>82371318</v>
      </c>
      <c r="F558" s="655">
        <v>73536478</v>
      </c>
      <c r="G558" s="655">
        <v>8834840</v>
      </c>
      <c r="H558" s="650">
        <v>0</v>
      </c>
      <c r="I558" s="651">
        <v>1.5</v>
      </c>
      <c r="J558" s="651">
        <v>0</v>
      </c>
      <c r="K558" s="651">
        <v>1.5</v>
      </c>
    </row>
    <row r="559" spans="1:11">
      <c r="A559" s="654" t="s">
        <v>3725</v>
      </c>
      <c r="B559" s="654" t="s">
        <v>6652</v>
      </c>
      <c r="C559" s="655">
        <v>70423214</v>
      </c>
      <c r="D559" s="655">
        <v>64664670</v>
      </c>
      <c r="E559" s="655">
        <v>70423214</v>
      </c>
      <c r="F559" s="655">
        <v>64664670</v>
      </c>
      <c r="G559" s="655">
        <v>5758544</v>
      </c>
      <c r="H559" s="650">
        <v>0</v>
      </c>
      <c r="I559" s="651">
        <v>1.5</v>
      </c>
      <c r="J559" s="651">
        <v>0.1183</v>
      </c>
      <c r="K559" s="651">
        <v>1.6183000000000001</v>
      </c>
    </row>
    <row r="560" spans="1:11">
      <c r="A560" s="654" t="s">
        <v>3726</v>
      </c>
      <c r="B560" s="654" t="s">
        <v>3839</v>
      </c>
      <c r="C560" s="655">
        <v>65933070</v>
      </c>
      <c r="D560" s="655">
        <v>58724332</v>
      </c>
      <c r="E560" s="655">
        <v>65933070</v>
      </c>
      <c r="F560" s="655">
        <v>58724332</v>
      </c>
      <c r="G560" s="655">
        <v>7208738</v>
      </c>
      <c r="H560" s="650">
        <v>0</v>
      </c>
      <c r="I560" s="651">
        <v>1.45</v>
      </c>
      <c r="J560" s="651">
        <v>0</v>
      </c>
      <c r="K560" s="651">
        <v>1.45</v>
      </c>
    </row>
    <row r="561" spans="1:11">
      <c r="A561" s="654" t="s">
        <v>3727</v>
      </c>
      <c r="B561" s="654" t="s">
        <v>6155</v>
      </c>
      <c r="C561" s="655">
        <v>30620677</v>
      </c>
      <c r="D561" s="655">
        <v>28893480</v>
      </c>
      <c r="E561" s="655">
        <v>30620677</v>
      </c>
      <c r="F561" s="655">
        <v>28893480</v>
      </c>
      <c r="G561" s="655">
        <v>1727197</v>
      </c>
      <c r="H561" s="650">
        <v>0</v>
      </c>
      <c r="I561" s="651">
        <v>1.5</v>
      </c>
      <c r="J561" s="651">
        <v>7.0000000000000007E-2</v>
      </c>
      <c r="K561" s="651">
        <v>1.57</v>
      </c>
    </row>
    <row r="562" spans="1:11">
      <c r="A562" s="654" t="s">
        <v>3728</v>
      </c>
      <c r="B562" s="654" t="s">
        <v>2354</v>
      </c>
      <c r="C562" s="655">
        <v>67868495</v>
      </c>
      <c r="D562" s="655">
        <v>60341700</v>
      </c>
      <c r="E562" s="655">
        <v>67868495</v>
      </c>
      <c r="F562" s="655">
        <v>60341700</v>
      </c>
      <c r="G562" s="655">
        <v>7526795</v>
      </c>
      <c r="H562" s="650">
        <v>0</v>
      </c>
      <c r="I562" s="651">
        <v>1.5</v>
      </c>
      <c r="J562" s="651">
        <v>9.5600000000000004E-2</v>
      </c>
      <c r="K562" s="651">
        <v>1.5955999999999999</v>
      </c>
    </row>
    <row r="563" spans="1:11">
      <c r="A563" s="654" t="s">
        <v>3729</v>
      </c>
      <c r="B563" s="654" t="s">
        <v>1912</v>
      </c>
      <c r="C563" s="655">
        <v>170520528</v>
      </c>
      <c r="D563" s="655">
        <v>160036517</v>
      </c>
      <c r="E563" s="655">
        <v>170520528</v>
      </c>
      <c r="F563" s="655">
        <v>160036517</v>
      </c>
      <c r="G563" s="655">
        <v>10484011</v>
      </c>
      <c r="H563" s="650">
        <v>0</v>
      </c>
      <c r="I563" s="651">
        <v>1.4094</v>
      </c>
      <c r="J563" s="651">
        <v>2.8358000000000001E-2</v>
      </c>
      <c r="K563" s="651">
        <v>1.4377599999999999</v>
      </c>
    </row>
    <row r="564" spans="1:11">
      <c r="A564" s="654" t="s">
        <v>3730</v>
      </c>
      <c r="B564" s="654" t="s">
        <v>1917</v>
      </c>
      <c r="C564" s="655">
        <v>105543318</v>
      </c>
      <c r="D564" s="655">
        <v>96845596</v>
      </c>
      <c r="E564" s="655">
        <v>105543318</v>
      </c>
      <c r="F564" s="655">
        <v>96845596</v>
      </c>
      <c r="G564" s="655">
        <v>8697722</v>
      </c>
      <c r="H564" s="650">
        <v>0</v>
      </c>
      <c r="I564" s="651">
        <v>1.5</v>
      </c>
      <c r="J564" s="651">
        <v>0.08</v>
      </c>
      <c r="K564" s="651">
        <v>1.58</v>
      </c>
    </row>
    <row r="565" spans="1:11">
      <c r="A565" s="654" t="s">
        <v>3731</v>
      </c>
      <c r="B565" s="654" t="s">
        <v>6653</v>
      </c>
      <c r="C565" s="655">
        <v>50000086</v>
      </c>
      <c r="D565" s="655">
        <v>47400039</v>
      </c>
      <c r="E565" s="655">
        <v>50000086</v>
      </c>
      <c r="F565" s="655">
        <v>47400039</v>
      </c>
      <c r="G565" s="655">
        <v>2600047</v>
      </c>
      <c r="H565" s="650">
        <v>0</v>
      </c>
      <c r="I565" s="651">
        <v>1.5</v>
      </c>
      <c r="J565" s="651">
        <v>0</v>
      </c>
      <c r="K565" s="651">
        <v>1.5</v>
      </c>
    </row>
    <row r="566" spans="1:11">
      <c r="A566" s="654" t="s">
        <v>3732</v>
      </c>
      <c r="B566" s="654" t="s">
        <v>1931</v>
      </c>
      <c r="C566" s="655">
        <v>44851679</v>
      </c>
      <c r="D566" s="655">
        <v>40177410</v>
      </c>
      <c r="E566" s="655">
        <v>44851679</v>
      </c>
      <c r="F566" s="655">
        <v>40177410</v>
      </c>
      <c r="G566" s="655">
        <v>4674269</v>
      </c>
      <c r="H566" s="650">
        <v>0</v>
      </c>
      <c r="I566" s="651">
        <v>1.5</v>
      </c>
      <c r="J566" s="651">
        <v>0.13539999999999999</v>
      </c>
      <c r="K566" s="651">
        <v>1.6354</v>
      </c>
    </row>
    <row r="567" spans="1:11">
      <c r="A567" s="654" t="s">
        <v>3733</v>
      </c>
      <c r="B567" s="654" t="s">
        <v>1665</v>
      </c>
      <c r="C567" s="655">
        <v>357112001</v>
      </c>
      <c r="D567" s="655">
        <v>335885491</v>
      </c>
      <c r="E567" s="655">
        <v>357112001</v>
      </c>
      <c r="F567" s="655">
        <v>335885491</v>
      </c>
      <c r="G567" s="655">
        <v>21226510</v>
      </c>
      <c r="H567" s="650">
        <v>0</v>
      </c>
      <c r="I567" s="651">
        <v>1.5</v>
      </c>
      <c r="J567" s="651">
        <v>0.26650000000000001</v>
      </c>
      <c r="K567" s="651">
        <v>1.7665</v>
      </c>
    </row>
    <row r="568" spans="1:11">
      <c r="A568" s="654" t="s">
        <v>3734</v>
      </c>
      <c r="B568" s="654" t="s">
        <v>113</v>
      </c>
      <c r="C568" s="655">
        <v>1390109154</v>
      </c>
      <c r="D568" s="655">
        <v>1345912303</v>
      </c>
      <c r="E568" s="655">
        <v>1390109154</v>
      </c>
      <c r="F568" s="655">
        <v>1345912303</v>
      </c>
      <c r="G568" s="655">
        <v>44196851</v>
      </c>
      <c r="H568" s="650">
        <v>0</v>
      </c>
      <c r="I568" s="651">
        <v>1.41</v>
      </c>
      <c r="J568" s="651">
        <v>0.26</v>
      </c>
      <c r="K568" s="651">
        <v>1.67</v>
      </c>
    </row>
    <row r="569" spans="1:11">
      <c r="A569" s="654" t="s">
        <v>3735</v>
      </c>
      <c r="B569" s="654" t="s">
        <v>1914</v>
      </c>
      <c r="C569" s="655">
        <v>537596749</v>
      </c>
      <c r="D569" s="655">
        <v>500896151</v>
      </c>
      <c r="E569" s="655">
        <v>537596749</v>
      </c>
      <c r="F569" s="655">
        <v>500896151</v>
      </c>
      <c r="G569" s="655">
        <v>36700598</v>
      </c>
      <c r="H569" s="650">
        <v>0</v>
      </c>
      <c r="I569" s="651">
        <v>1.5</v>
      </c>
      <c r="J569" s="651">
        <v>0.22</v>
      </c>
      <c r="K569" s="651">
        <v>1.72</v>
      </c>
    </row>
    <row r="570" spans="1:11">
      <c r="A570" s="654" t="s">
        <v>3736</v>
      </c>
      <c r="B570" s="654" t="s">
        <v>1916</v>
      </c>
      <c r="C570" s="655">
        <v>258892663</v>
      </c>
      <c r="D570" s="655">
        <v>237040925</v>
      </c>
      <c r="E570" s="655">
        <v>258892663</v>
      </c>
      <c r="F570" s="655">
        <v>237040925</v>
      </c>
      <c r="G570" s="655">
        <v>21851738</v>
      </c>
      <c r="H570" s="650">
        <v>0</v>
      </c>
      <c r="I570" s="651">
        <v>1.5</v>
      </c>
      <c r="J570" s="651">
        <v>0.08</v>
      </c>
      <c r="K570" s="651">
        <v>1.58</v>
      </c>
    </row>
    <row r="571" spans="1:11">
      <c r="A571" s="654" t="s">
        <v>3737</v>
      </c>
      <c r="B571" s="654" t="s">
        <v>6654</v>
      </c>
      <c r="C571" s="655">
        <v>741879979</v>
      </c>
      <c r="D571" s="655">
        <v>695099403</v>
      </c>
      <c r="E571" s="655">
        <v>741879979</v>
      </c>
      <c r="F571" s="655">
        <v>695099403</v>
      </c>
      <c r="G571" s="655">
        <v>46780576</v>
      </c>
      <c r="H571" s="650">
        <v>0</v>
      </c>
      <c r="I571" s="651">
        <v>1.45</v>
      </c>
      <c r="J571" s="651">
        <v>0.08</v>
      </c>
      <c r="K571" s="651">
        <v>1.53</v>
      </c>
    </row>
    <row r="572" spans="1:11">
      <c r="A572" s="654" t="s">
        <v>3738</v>
      </c>
      <c r="B572" s="654" t="s">
        <v>6655</v>
      </c>
      <c r="C572" s="655">
        <v>1103596468</v>
      </c>
      <c r="D572" s="655">
        <v>1057225891</v>
      </c>
      <c r="E572" s="655">
        <v>1103596468</v>
      </c>
      <c r="F572" s="655">
        <v>1057225891</v>
      </c>
      <c r="G572" s="655">
        <v>46370577</v>
      </c>
      <c r="H572" s="650">
        <v>0</v>
      </c>
      <c r="I572" s="651">
        <v>1.5</v>
      </c>
      <c r="J572" s="651">
        <v>0.24</v>
      </c>
      <c r="K572" s="651">
        <v>1.74</v>
      </c>
    </row>
    <row r="573" spans="1:11">
      <c r="A573" s="654" t="s">
        <v>3739</v>
      </c>
      <c r="B573" s="654" t="s">
        <v>1462</v>
      </c>
      <c r="C573" s="655">
        <v>138187264</v>
      </c>
      <c r="D573" s="655">
        <v>127760151</v>
      </c>
      <c r="E573" s="655">
        <v>138187264</v>
      </c>
      <c r="F573" s="655">
        <v>127760151</v>
      </c>
      <c r="G573" s="655">
        <v>10427113</v>
      </c>
      <c r="H573" s="650">
        <v>0</v>
      </c>
      <c r="I573" s="651">
        <v>1.5</v>
      </c>
      <c r="J573" s="651">
        <v>0.25</v>
      </c>
      <c r="K573" s="651">
        <v>1.75</v>
      </c>
    </row>
    <row r="574" spans="1:11">
      <c r="A574" s="654" t="s">
        <v>3740</v>
      </c>
      <c r="B574" s="654" t="s">
        <v>6656</v>
      </c>
      <c r="C574" s="655">
        <v>2475595186</v>
      </c>
      <c r="D574" s="655">
        <v>2401734146</v>
      </c>
      <c r="E574" s="655">
        <v>2475595186</v>
      </c>
      <c r="F574" s="655">
        <v>2401734146</v>
      </c>
      <c r="G574" s="655">
        <v>73861040</v>
      </c>
      <c r="H574" s="650">
        <v>0</v>
      </c>
      <c r="I574" s="651">
        <v>1.4550000000000001</v>
      </c>
      <c r="J574" s="651">
        <v>0.16500000000000001</v>
      </c>
      <c r="K574" s="651">
        <v>1.62</v>
      </c>
    </row>
    <row r="575" spans="1:11">
      <c r="A575" s="654" t="s">
        <v>3741</v>
      </c>
      <c r="B575" s="654" t="s">
        <v>6657</v>
      </c>
      <c r="C575" s="655">
        <v>389849515</v>
      </c>
      <c r="D575" s="655">
        <v>372685325</v>
      </c>
      <c r="E575" s="655">
        <v>389849515</v>
      </c>
      <c r="F575" s="655">
        <v>372685325</v>
      </c>
      <c r="G575" s="655">
        <v>17164190</v>
      </c>
      <c r="H575" s="650">
        <v>0</v>
      </c>
      <c r="I575" s="651">
        <v>1.325</v>
      </c>
      <c r="J575" s="651">
        <v>0.17499999999999999</v>
      </c>
      <c r="K575" s="651">
        <v>1.5</v>
      </c>
    </row>
    <row r="576" spans="1:11">
      <c r="A576" s="654" t="s">
        <v>3742</v>
      </c>
      <c r="B576" s="654" t="s">
        <v>6658</v>
      </c>
      <c r="C576" s="655">
        <v>372158609</v>
      </c>
      <c r="D576" s="655">
        <v>371995349</v>
      </c>
      <c r="E576" s="655">
        <v>371961729</v>
      </c>
      <c r="F576" s="655">
        <v>371798469</v>
      </c>
      <c r="G576" s="655">
        <v>163260</v>
      </c>
      <c r="H576" s="655">
        <v>196880</v>
      </c>
      <c r="I576" s="651">
        <v>1.5</v>
      </c>
      <c r="J576" s="651">
        <v>0</v>
      </c>
      <c r="K576" s="651">
        <v>1.5</v>
      </c>
    </row>
    <row r="577" spans="1:11">
      <c r="A577" s="654" t="s">
        <v>3743</v>
      </c>
      <c r="B577" s="654" t="s">
        <v>6659</v>
      </c>
      <c r="C577" s="655">
        <v>327289084</v>
      </c>
      <c r="D577" s="655">
        <v>325396819</v>
      </c>
      <c r="E577" s="655">
        <v>326845291</v>
      </c>
      <c r="F577" s="655">
        <v>324953026</v>
      </c>
      <c r="G577" s="655">
        <v>1892265</v>
      </c>
      <c r="H577" s="655">
        <v>443793</v>
      </c>
      <c r="I577" s="651">
        <v>1.5</v>
      </c>
      <c r="J577" s="651">
        <v>0.12239999999999999</v>
      </c>
      <c r="K577" s="651">
        <v>1.6224000000000001</v>
      </c>
    </row>
    <row r="578" spans="1:11">
      <c r="A578" s="654" t="s">
        <v>3744</v>
      </c>
      <c r="B578" s="654" t="s">
        <v>6105</v>
      </c>
      <c r="C578" s="655">
        <v>128077242</v>
      </c>
      <c r="D578" s="655">
        <v>119603826</v>
      </c>
      <c r="E578" s="655">
        <v>128077242</v>
      </c>
      <c r="F578" s="655">
        <v>119603826</v>
      </c>
      <c r="G578" s="655">
        <v>8473416</v>
      </c>
      <c r="H578" s="650">
        <v>0</v>
      </c>
      <c r="I578" s="651">
        <v>1.45</v>
      </c>
      <c r="J578" s="651">
        <v>0.09</v>
      </c>
      <c r="K578" s="651">
        <v>1.54</v>
      </c>
    </row>
    <row r="579" spans="1:11">
      <c r="A579" s="654" t="s">
        <v>3745</v>
      </c>
      <c r="B579" s="654" t="s">
        <v>6660</v>
      </c>
      <c r="C579" s="655">
        <v>185202306</v>
      </c>
      <c r="D579" s="655">
        <v>180840362</v>
      </c>
      <c r="E579" s="655">
        <v>185202306</v>
      </c>
      <c r="F579" s="655">
        <v>180840362</v>
      </c>
      <c r="G579" s="655">
        <v>4361944</v>
      </c>
      <c r="H579" s="650">
        <v>0</v>
      </c>
      <c r="I579" s="651">
        <v>1.48</v>
      </c>
      <c r="J579" s="651">
        <v>0</v>
      </c>
      <c r="K579" s="651">
        <v>1.48</v>
      </c>
    </row>
    <row r="580" spans="1:11">
      <c r="A580" s="654" t="s">
        <v>3746</v>
      </c>
      <c r="B580" s="654" t="s">
        <v>6661</v>
      </c>
      <c r="C580" s="655">
        <v>1538561126</v>
      </c>
      <c r="D580" s="655">
        <v>1455930692</v>
      </c>
      <c r="E580" s="655">
        <v>1538561126</v>
      </c>
      <c r="F580" s="655">
        <v>1455930692</v>
      </c>
      <c r="G580" s="655">
        <v>82630434</v>
      </c>
      <c r="H580" s="650">
        <v>0</v>
      </c>
      <c r="I580" s="651">
        <v>1.48</v>
      </c>
      <c r="J580" s="651">
        <v>0.20300000000000001</v>
      </c>
      <c r="K580" s="651">
        <v>1.6830000000000001</v>
      </c>
    </row>
    <row r="581" spans="1:11">
      <c r="A581" s="654" t="s">
        <v>3747</v>
      </c>
      <c r="B581" s="654" t="s">
        <v>6662</v>
      </c>
      <c r="C581" s="655">
        <v>285129291</v>
      </c>
      <c r="D581" s="655">
        <v>264265132</v>
      </c>
      <c r="E581" s="655">
        <v>285129291</v>
      </c>
      <c r="F581" s="655">
        <v>264265132</v>
      </c>
      <c r="G581" s="655">
        <v>20864159</v>
      </c>
      <c r="H581" s="650">
        <v>0</v>
      </c>
      <c r="I581" s="651">
        <v>1.5</v>
      </c>
      <c r="J581" s="651">
        <v>7.8600000000000003E-2</v>
      </c>
      <c r="K581" s="651">
        <v>1.5786</v>
      </c>
    </row>
    <row r="582" spans="1:11">
      <c r="A582" s="654" t="s">
        <v>3748</v>
      </c>
      <c r="B582" s="654" t="s">
        <v>6663</v>
      </c>
      <c r="C582" s="655">
        <v>33019433</v>
      </c>
      <c r="D582" s="655">
        <v>32729433</v>
      </c>
      <c r="E582" s="655">
        <v>33019433</v>
      </c>
      <c r="F582" s="655">
        <v>32729433</v>
      </c>
      <c r="G582" s="655">
        <v>290000</v>
      </c>
      <c r="H582" s="650">
        <v>0</v>
      </c>
      <c r="I582" s="651">
        <v>1.18</v>
      </c>
      <c r="J582" s="651">
        <v>0</v>
      </c>
      <c r="K582" s="651">
        <v>1.18</v>
      </c>
    </row>
    <row r="583" spans="1:11">
      <c r="A583" s="654" t="s">
        <v>3749</v>
      </c>
      <c r="B583" s="654" t="s">
        <v>6664</v>
      </c>
      <c r="C583" s="655">
        <v>195893606</v>
      </c>
      <c r="D583" s="655">
        <v>185208186</v>
      </c>
      <c r="E583" s="655">
        <v>195893606</v>
      </c>
      <c r="F583" s="655">
        <v>185208186</v>
      </c>
      <c r="G583" s="655">
        <v>10685420</v>
      </c>
      <c r="H583" s="650">
        <v>0</v>
      </c>
      <c r="I583" s="651">
        <v>1.48</v>
      </c>
      <c r="J583" s="651">
        <v>0</v>
      </c>
      <c r="K583" s="651">
        <v>1.48</v>
      </c>
    </row>
    <row r="584" spans="1:11">
      <c r="A584" s="654" t="s">
        <v>3750</v>
      </c>
      <c r="B584" s="654" t="s">
        <v>6665</v>
      </c>
      <c r="C584" s="655">
        <v>162473468</v>
      </c>
      <c r="D584" s="655">
        <v>162179618</v>
      </c>
      <c r="E584" s="655">
        <v>162420508</v>
      </c>
      <c r="F584" s="655">
        <v>162126658</v>
      </c>
      <c r="G584" s="655">
        <v>293850</v>
      </c>
      <c r="H584" s="655">
        <v>52960</v>
      </c>
      <c r="I584" s="651">
        <v>1.4116</v>
      </c>
      <c r="J584" s="651">
        <v>0</v>
      </c>
      <c r="K584" s="651">
        <v>1.4116</v>
      </c>
    </row>
    <row r="585" spans="1:11">
      <c r="A585" s="654" t="s">
        <v>3751</v>
      </c>
      <c r="B585" s="654" t="s">
        <v>6666</v>
      </c>
      <c r="C585" s="655">
        <v>129373750</v>
      </c>
      <c r="D585" s="655">
        <v>120341927</v>
      </c>
      <c r="E585" s="655">
        <v>129373750</v>
      </c>
      <c r="F585" s="655">
        <v>120341927</v>
      </c>
      <c r="G585" s="655">
        <v>9031823</v>
      </c>
      <c r="H585" s="650">
        <v>0</v>
      </c>
      <c r="I585" s="651">
        <v>1.2975000000000001</v>
      </c>
      <c r="J585" s="651">
        <v>0</v>
      </c>
      <c r="K585" s="651">
        <v>1.2975000000000001</v>
      </c>
    </row>
    <row r="586" spans="1:11">
      <c r="A586" s="654" t="s">
        <v>3752</v>
      </c>
      <c r="B586" s="654" t="s">
        <v>1921</v>
      </c>
      <c r="C586" s="655">
        <v>606190044</v>
      </c>
      <c r="D586" s="655">
        <v>565042394</v>
      </c>
      <c r="E586" s="655">
        <v>606190044</v>
      </c>
      <c r="F586" s="655">
        <v>565042394</v>
      </c>
      <c r="G586" s="655">
        <v>41147650</v>
      </c>
      <c r="H586" s="650">
        <v>0</v>
      </c>
      <c r="I586" s="651">
        <v>1.5</v>
      </c>
      <c r="J586" s="651">
        <v>9.4490000000000005E-2</v>
      </c>
      <c r="K586" s="651">
        <v>1.59449</v>
      </c>
    </row>
    <row r="587" spans="1:11">
      <c r="A587" s="654" t="s">
        <v>3753</v>
      </c>
      <c r="B587" s="654" t="s">
        <v>6667</v>
      </c>
      <c r="C587" s="655">
        <v>150816549</v>
      </c>
      <c r="D587" s="655">
        <v>143609369</v>
      </c>
      <c r="E587" s="655">
        <v>147875122</v>
      </c>
      <c r="F587" s="655">
        <v>140667942</v>
      </c>
      <c r="G587" s="655">
        <v>7207180</v>
      </c>
      <c r="H587" s="655">
        <v>2941427</v>
      </c>
      <c r="I587" s="651">
        <v>1.4</v>
      </c>
      <c r="J587" s="651">
        <v>0</v>
      </c>
      <c r="K587" s="651">
        <v>1.4</v>
      </c>
    </row>
    <row r="588" spans="1:11">
      <c r="A588" s="654" t="s">
        <v>3754</v>
      </c>
      <c r="B588" s="654" t="s">
        <v>6668</v>
      </c>
      <c r="C588" s="655">
        <v>151007244</v>
      </c>
      <c r="D588" s="655">
        <v>147396037</v>
      </c>
      <c r="E588" s="655">
        <v>148678780</v>
      </c>
      <c r="F588" s="655">
        <v>145067573</v>
      </c>
      <c r="G588" s="655">
        <v>3611207</v>
      </c>
      <c r="H588" s="655">
        <v>2328464</v>
      </c>
      <c r="I588" s="651">
        <v>1.32117</v>
      </c>
      <c r="J588" s="651">
        <v>0</v>
      </c>
      <c r="K588" s="651">
        <v>1.32117</v>
      </c>
    </row>
    <row r="589" spans="1:11">
      <c r="A589" s="654" t="s">
        <v>3755</v>
      </c>
      <c r="B589" s="654" t="s">
        <v>6669</v>
      </c>
      <c r="C589" s="655">
        <v>196457000</v>
      </c>
      <c r="D589" s="655">
        <v>196447000</v>
      </c>
      <c r="E589" s="655">
        <v>196457000</v>
      </c>
      <c r="F589" s="655">
        <v>196447000</v>
      </c>
      <c r="G589" s="655">
        <v>10000</v>
      </c>
      <c r="H589" s="650">
        <v>0</v>
      </c>
      <c r="I589" s="651">
        <v>1.45</v>
      </c>
      <c r="J589" s="651">
        <v>0</v>
      </c>
      <c r="K589" s="651">
        <v>1.45</v>
      </c>
    </row>
    <row r="590" spans="1:11">
      <c r="A590" s="654" t="s">
        <v>3756</v>
      </c>
      <c r="B590" s="654" t="s">
        <v>5639</v>
      </c>
      <c r="C590" s="655">
        <v>54905108</v>
      </c>
      <c r="D590" s="655">
        <v>50837333</v>
      </c>
      <c r="E590" s="655">
        <v>54905108</v>
      </c>
      <c r="F590" s="655">
        <v>50837333</v>
      </c>
      <c r="G590" s="655">
        <v>4067775</v>
      </c>
      <c r="H590" s="650">
        <v>0</v>
      </c>
      <c r="I590" s="651">
        <v>1.5</v>
      </c>
      <c r="J590" s="651">
        <v>6.5000000000000002E-2</v>
      </c>
      <c r="K590" s="651">
        <v>1.5649999999999999</v>
      </c>
    </row>
    <row r="591" spans="1:11">
      <c r="A591" s="654" t="s">
        <v>3757</v>
      </c>
      <c r="B591" s="654" t="s">
        <v>6670</v>
      </c>
      <c r="C591" s="655">
        <v>46707097</v>
      </c>
      <c r="D591" s="655">
        <v>41878077</v>
      </c>
      <c r="E591" s="655">
        <v>46707097</v>
      </c>
      <c r="F591" s="655">
        <v>41878077</v>
      </c>
      <c r="G591" s="655">
        <v>4829020</v>
      </c>
      <c r="H591" s="650">
        <v>0</v>
      </c>
      <c r="I591" s="651">
        <v>1.5</v>
      </c>
      <c r="J591" s="651">
        <v>0</v>
      </c>
      <c r="K591" s="651">
        <v>1.5</v>
      </c>
    </row>
    <row r="592" spans="1:11">
      <c r="A592" s="654" t="s">
        <v>3758</v>
      </c>
      <c r="B592" s="654" t="s">
        <v>6671</v>
      </c>
      <c r="C592" s="655">
        <v>24973115</v>
      </c>
      <c r="D592" s="655">
        <v>24222365</v>
      </c>
      <c r="E592" s="655">
        <v>24973115</v>
      </c>
      <c r="F592" s="655">
        <v>24222365</v>
      </c>
      <c r="G592" s="655">
        <v>750750</v>
      </c>
      <c r="H592" s="650">
        <v>0</v>
      </c>
      <c r="I592" s="651">
        <v>1.5</v>
      </c>
      <c r="J592" s="651">
        <v>0</v>
      </c>
      <c r="K592" s="651">
        <v>1.5</v>
      </c>
    </row>
    <row r="593" spans="1:11">
      <c r="A593" s="654" t="s">
        <v>3759</v>
      </c>
      <c r="B593" s="654" t="s">
        <v>278</v>
      </c>
      <c r="C593" s="655">
        <v>501374883</v>
      </c>
      <c r="D593" s="655">
        <v>493222263</v>
      </c>
      <c r="E593" s="655">
        <v>501374883</v>
      </c>
      <c r="F593" s="655">
        <v>493222263</v>
      </c>
      <c r="G593" s="655">
        <v>8152620</v>
      </c>
      <c r="H593" s="650">
        <v>0</v>
      </c>
      <c r="I593" s="651">
        <v>1.48</v>
      </c>
      <c r="J593" s="651">
        <v>0.16800000000000001</v>
      </c>
      <c r="K593" s="651">
        <v>1.6479999999999999</v>
      </c>
    </row>
    <row r="594" spans="1:11">
      <c r="A594" s="654" t="s">
        <v>3760</v>
      </c>
      <c r="B594" s="654" t="s">
        <v>372</v>
      </c>
      <c r="C594" s="655">
        <v>28840841</v>
      </c>
      <c r="D594" s="655">
        <v>25838917</v>
      </c>
      <c r="E594" s="655">
        <v>28840841</v>
      </c>
      <c r="F594" s="655">
        <v>25838917</v>
      </c>
      <c r="G594" s="655">
        <v>3001924</v>
      </c>
      <c r="H594" s="650">
        <v>0</v>
      </c>
      <c r="I594" s="651">
        <v>1.5</v>
      </c>
      <c r="J594" s="651">
        <v>0.1242</v>
      </c>
      <c r="K594" s="651">
        <v>1.6242000000000001</v>
      </c>
    </row>
    <row r="595" spans="1:11">
      <c r="A595" s="654" t="s">
        <v>3761</v>
      </c>
      <c r="B595" s="654" t="s">
        <v>3891</v>
      </c>
      <c r="C595" s="655">
        <v>628905165</v>
      </c>
      <c r="D595" s="655">
        <v>583927401</v>
      </c>
      <c r="E595" s="655">
        <v>628905165</v>
      </c>
      <c r="F595" s="655">
        <v>583927401</v>
      </c>
      <c r="G595" s="655">
        <v>44977764</v>
      </c>
      <c r="H595" s="650">
        <v>0</v>
      </c>
      <c r="I595" s="651">
        <v>1.5</v>
      </c>
      <c r="J595" s="651">
        <v>9.1999999999999998E-2</v>
      </c>
      <c r="K595" s="651">
        <v>1.5920000000000001</v>
      </c>
    </row>
    <row r="596" spans="1:11">
      <c r="A596" s="654" t="s">
        <v>3762</v>
      </c>
      <c r="B596" s="654" t="s">
        <v>279</v>
      </c>
      <c r="C596" s="655">
        <v>702814036</v>
      </c>
      <c r="D596" s="655">
        <v>660883305</v>
      </c>
      <c r="E596" s="655">
        <v>702814036</v>
      </c>
      <c r="F596" s="655">
        <v>660883305</v>
      </c>
      <c r="G596" s="655">
        <v>41930731</v>
      </c>
      <c r="H596" s="650">
        <v>0</v>
      </c>
      <c r="I596" s="651">
        <v>1.4583999999999999</v>
      </c>
      <c r="J596" s="651">
        <v>0.13059999999999999</v>
      </c>
      <c r="K596" s="651">
        <v>1.589</v>
      </c>
    </row>
    <row r="597" spans="1:11">
      <c r="A597" s="654" t="s">
        <v>3763</v>
      </c>
      <c r="B597" s="654" t="s">
        <v>348</v>
      </c>
      <c r="C597" s="655">
        <v>120751669</v>
      </c>
      <c r="D597" s="655">
        <v>106201590</v>
      </c>
      <c r="E597" s="655">
        <v>120751669</v>
      </c>
      <c r="F597" s="655">
        <v>106201590</v>
      </c>
      <c r="G597" s="655">
        <v>14550079</v>
      </c>
      <c r="H597" s="650">
        <v>0</v>
      </c>
      <c r="I597" s="651">
        <v>1.47</v>
      </c>
      <c r="J597" s="651">
        <v>0.17799999999999999</v>
      </c>
      <c r="K597" s="651">
        <v>1.6479999999999999</v>
      </c>
    </row>
    <row r="598" spans="1:11">
      <c r="A598" s="654" t="s">
        <v>3764</v>
      </c>
      <c r="B598" s="654" t="s">
        <v>280</v>
      </c>
      <c r="C598" s="655">
        <v>31353984</v>
      </c>
      <c r="D598" s="655">
        <v>29665694</v>
      </c>
      <c r="E598" s="655">
        <v>31353984</v>
      </c>
      <c r="F598" s="655">
        <v>29665694</v>
      </c>
      <c r="G598" s="655">
        <v>1688290</v>
      </c>
      <c r="H598" s="650">
        <v>0</v>
      </c>
      <c r="I598" s="651">
        <v>1.5</v>
      </c>
      <c r="J598" s="651">
        <v>0</v>
      </c>
      <c r="K598" s="651">
        <v>1.5</v>
      </c>
    </row>
    <row r="599" spans="1:11">
      <c r="A599" s="654" t="s">
        <v>5959</v>
      </c>
      <c r="B599" s="654" t="s">
        <v>281</v>
      </c>
      <c r="C599" s="655">
        <v>177726974</v>
      </c>
      <c r="D599" s="655">
        <v>163820364</v>
      </c>
      <c r="E599" s="655">
        <v>177726974</v>
      </c>
      <c r="F599" s="655">
        <v>163820364</v>
      </c>
      <c r="G599" s="655">
        <v>13906610</v>
      </c>
      <c r="H599" s="650">
        <v>0</v>
      </c>
      <c r="I599" s="651">
        <v>1.42</v>
      </c>
      <c r="J599" s="651">
        <v>0</v>
      </c>
      <c r="K599" s="651">
        <v>1.42</v>
      </c>
    </row>
    <row r="600" spans="1:11">
      <c r="A600" s="654" t="s">
        <v>5960</v>
      </c>
      <c r="B600" s="654" t="s">
        <v>3836</v>
      </c>
      <c r="C600" s="655">
        <v>73151224</v>
      </c>
      <c r="D600" s="655">
        <v>68185753</v>
      </c>
      <c r="E600" s="655">
        <v>73151224</v>
      </c>
      <c r="F600" s="655">
        <v>68185753</v>
      </c>
      <c r="G600" s="655">
        <v>4965471</v>
      </c>
      <c r="H600" s="650">
        <v>0</v>
      </c>
      <c r="I600" s="651">
        <v>1.5</v>
      </c>
      <c r="J600" s="651">
        <v>0.08</v>
      </c>
      <c r="K600" s="651">
        <v>1.58</v>
      </c>
    </row>
    <row r="601" spans="1:11">
      <c r="A601" s="654" t="s">
        <v>5961</v>
      </c>
      <c r="B601" s="654" t="s">
        <v>282</v>
      </c>
      <c r="C601" s="655">
        <v>11352323</v>
      </c>
      <c r="D601" s="655">
        <v>10835093</v>
      </c>
      <c r="E601" s="655">
        <v>11352323</v>
      </c>
      <c r="F601" s="655">
        <v>10835093</v>
      </c>
      <c r="G601" s="655">
        <v>517230</v>
      </c>
      <c r="H601" s="650">
        <v>0</v>
      </c>
      <c r="I601" s="651">
        <v>1.5</v>
      </c>
      <c r="J601" s="651">
        <v>0</v>
      </c>
      <c r="K601" s="651">
        <v>1.5</v>
      </c>
    </row>
    <row r="602" spans="1:11">
      <c r="A602" s="654" t="s">
        <v>5962</v>
      </c>
      <c r="B602" s="654" t="s">
        <v>283</v>
      </c>
      <c r="C602" s="655">
        <v>50344412</v>
      </c>
      <c r="D602" s="655">
        <v>46946912</v>
      </c>
      <c r="E602" s="655">
        <v>50344412</v>
      </c>
      <c r="F602" s="655">
        <v>46946912</v>
      </c>
      <c r="G602" s="655">
        <v>3397500</v>
      </c>
      <c r="H602" s="650">
        <v>0</v>
      </c>
      <c r="I602" s="651">
        <v>1.48</v>
      </c>
      <c r="J602" s="651">
        <v>0</v>
      </c>
      <c r="K602" s="651">
        <v>1.48</v>
      </c>
    </row>
    <row r="603" spans="1:11">
      <c r="A603" s="654" t="s">
        <v>5963</v>
      </c>
      <c r="B603" s="654" t="s">
        <v>284</v>
      </c>
      <c r="C603" s="655">
        <v>413432678</v>
      </c>
      <c r="D603" s="655">
        <v>409809330</v>
      </c>
      <c r="E603" s="655">
        <v>413432678</v>
      </c>
      <c r="F603" s="655">
        <v>409809330</v>
      </c>
      <c r="G603" s="655">
        <v>3623348</v>
      </c>
      <c r="H603" s="650">
        <v>0</v>
      </c>
      <c r="I603" s="651">
        <v>1.27783</v>
      </c>
      <c r="J603" s="651">
        <v>2.2169999999999999E-2</v>
      </c>
      <c r="K603" s="651">
        <v>1.3</v>
      </c>
    </row>
    <row r="604" spans="1:11">
      <c r="A604" s="654" t="s">
        <v>5964</v>
      </c>
      <c r="B604" s="654" t="s">
        <v>285</v>
      </c>
      <c r="C604" s="655">
        <v>638302501</v>
      </c>
      <c r="D604" s="655">
        <v>595969942</v>
      </c>
      <c r="E604" s="655">
        <v>638302501</v>
      </c>
      <c r="F604" s="655">
        <v>595969942</v>
      </c>
      <c r="G604" s="655">
        <v>42332559</v>
      </c>
      <c r="H604" s="650">
        <v>0</v>
      </c>
      <c r="I604" s="651">
        <v>1.47</v>
      </c>
      <c r="J604" s="651">
        <v>0.03</v>
      </c>
      <c r="K604" s="651">
        <v>1.5</v>
      </c>
    </row>
    <row r="605" spans="1:11">
      <c r="A605" s="654" t="s">
        <v>5965</v>
      </c>
      <c r="B605" s="654" t="s">
        <v>286</v>
      </c>
      <c r="C605" s="655">
        <v>61227068</v>
      </c>
      <c r="D605" s="655">
        <v>57859338</v>
      </c>
      <c r="E605" s="655">
        <v>61227068</v>
      </c>
      <c r="F605" s="655">
        <v>57859338</v>
      </c>
      <c r="G605" s="655">
        <v>3367730</v>
      </c>
      <c r="H605" s="650">
        <v>0</v>
      </c>
      <c r="I605" s="651">
        <v>1.3</v>
      </c>
      <c r="J605" s="651">
        <v>0</v>
      </c>
      <c r="K605" s="651">
        <v>1.3</v>
      </c>
    </row>
    <row r="606" spans="1:11">
      <c r="A606" s="654" t="s">
        <v>5966</v>
      </c>
      <c r="B606" s="654" t="s">
        <v>2650</v>
      </c>
      <c r="C606" s="655">
        <v>272214551</v>
      </c>
      <c r="D606" s="655">
        <v>263099406</v>
      </c>
      <c r="E606" s="655">
        <v>272214551</v>
      </c>
      <c r="F606" s="655">
        <v>263099406</v>
      </c>
      <c r="G606" s="655">
        <v>9115145</v>
      </c>
      <c r="H606" s="650">
        <v>0</v>
      </c>
      <c r="I606" s="651">
        <v>1.4926999999999999</v>
      </c>
      <c r="J606" s="651">
        <v>6.2199999999999998E-2</v>
      </c>
      <c r="K606" s="651">
        <v>1.5548999999999999</v>
      </c>
    </row>
    <row r="607" spans="1:11">
      <c r="A607" s="654" t="s">
        <v>5967</v>
      </c>
      <c r="B607" s="654" t="s">
        <v>287</v>
      </c>
      <c r="C607" s="655">
        <v>612713915</v>
      </c>
      <c r="D607" s="655">
        <v>593342832</v>
      </c>
      <c r="E607" s="655">
        <v>612713915</v>
      </c>
      <c r="F607" s="655">
        <v>593342832</v>
      </c>
      <c r="G607" s="655">
        <v>19371083</v>
      </c>
      <c r="H607" s="650">
        <v>0</v>
      </c>
      <c r="I607" s="651">
        <v>1.2004999999999999</v>
      </c>
      <c r="J607" s="651">
        <v>0</v>
      </c>
      <c r="K607" s="651">
        <v>1.2004999999999999</v>
      </c>
    </row>
    <row r="608" spans="1:11">
      <c r="A608" s="654" t="s">
        <v>5968</v>
      </c>
      <c r="B608" s="654" t="s">
        <v>288</v>
      </c>
      <c r="C608" s="655">
        <v>64096724</v>
      </c>
      <c r="D608" s="655">
        <v>57557913</v>
      </c>
      <c r="E608" s="655">
        <v>60559821</v>
      </c>
      <c r="F608" s="655">
        <v>54021010</v>
      </c>
      <c r="G608" s="655">
        <v>6538811</v>
      </c>
      <c r="H608" s="655">
        <v>3536903</v>
      </c>
      <c r="I608" s="651">
        <v>1.42</v>
      </c>
      <c r="J608" s="651">
        <v>0.03</v>
      </c>
      <c r="K608" s="651">
        <v>1.45</v>
      </c>
    </row>
    <row r="609" spans="1:11">
      <c r="A609" s="654" t="s">
        <v>5969</v>
      </c>
      <c r="B609" s="654" t="s">
        <v>289</v>
      </c>
      <c r="C609" s="655">
        <v>156827108</v>
      </c>
      <c r="D609" s="655">
        <v>144321661</v>
      </c>
      <c r="E609" s="655">
        <v>156827108</v>
      </c>
      <c r="F609" s="655">
        <v>144321661</v>
      </c>
      <c r="G609" s="655">
        <v>12505447</v>
      </c>
      <c r="H609" s="650">
        <v>0</v>
      </c>
      <c r="I609" s="651">
        <v>1.5</v>
      </c>
      <c r="J609" s="651">
        <v>0</v>
      </c>
      <c r="K609" s="651">
        <v>1.5</v>
      </c>
    </row>
    <row r="610" spans="1:11">
      <c r="A610" s="654" t="s">
        <v>5970</v>
      </c>
      <c r="B610" s="654" t="s">
        <v>290</v>
      </c>
      <c r="C610" s="655">
        <v>48952404</v>
      </c>
      <c r="D610" s="655">
        <v>46467684</v>
      </c>
      <c r="E610" s="655">
        <v>47347900</v>
      </c>
      <c r="F610" s="655">
        <v>44863180</v>
      </c>
      <c r="G610" s="655">
        <v>2484720</v>
      </c>
      <c r="H610" s="655">
        <v>1604504</v>
      </c>
      <c r="I610" s="651">
        <v>1.23</v>
      </c>
      <c r="J610" s="651">
        <v>0</v>
      </c>
      <c r="K610" s="651">
        <v>1.23</v>
      </c>
    </row>
    <row r="611" spans="1:11">
      <c r="A611" s="654" t="s">
        <v>5971</v>
      </c>
      <c r="B611" s="654" t="s">
        <v>291</v>
      </c>
      <c r="C611" s="655">
        <v>33692264</v>
      </c>
      <c r="D611" s="655">
        <v>31290394</v>
      </c>
      <c r="E611" s="655">
        <v>33692264</v>
      </c>
      <c r="F611" s="655">
        <v>31290394</v>
      </c>
      <c r="G611" s="655">
        <v>2401870</v>
      </c>
      <c r="H611" s="650">
        <v>0</v>
      </c>
      <c r="I611" s="651">
        <v>1.4500999999999999</v>
      </c>
      <c r="J611" s="651">
        <v>0</v>
      </c>
      <c r="K611" s="651">
        <v>1.4500999999999999</v>
      </c>
    </row>
    <row r="612" spans="1:11">
      <c r="A612" s="654" t="s">
        <v>5972</v>
      </c>
      <c r="B612" s="654" t="s">
        <v>292</v>
      </c>
      <c r="C612" s="655">
        <v>140807157</v>
      </c>
      <c r="D612" s="655">
        <v>138584007</v>
      </c>
      <c r="E612" s="655">
        <v>139541475</v>
      </c>
      <c r="F612" s="655">
        <v>137318325</v>
      </c>
      <c r="G612" s="655">
        <v>2223150</v>
      </c>
      <c r="H612" s="655">
        <v>1265682</v>
      </c>
      <c r="I612" s="651">
        <v>1.28</v>
      </c>
      <c r="J612" s="651">
        <v>0</v>
      </c>
      <c r="K612" s="651">
        <v>1.28</v>
      </c>
    </row>
    <row r="613" spans="1:11">
      <c r="A613" s="654" t="s">
        <v>5973</v>
      </c>
      <c r="B613" s="654" t="s">
        <v>293</v>
      </c>
      <c r="C613" s="655">
        <v>469827218</v>
      </c>
      <c r="D613" s="655">
        <v>448679874</v>
      </c>
      <c r="E613" s="655">
        <v>461141174</v>
      </c>
      <c r="F613" s="655">
        <v>439993830</v>
      </c>
      <c r="G613" s="655">
        <v>21147344</v>
      </c>
      <c r="H613" s="655">
        <v>8686044</v>
      </c>
      <c r="I613" s="651">
        <v>1.5</v>
      </c>
      <c r="J613" s="651">
        <v>0.15</v>
      </c>
      <c r="K613" s="651">
        <v>1.65</v>
      </c>
    </row>
    <row r="614" spans="1:11">
      <c r="A614" s="654" t="s">
        <v>5974</v>
      </c>
      <c r="B614" s="654" t="s">
        <v>294</v>
      </c>
      <c r="C614" s="655">
        <v>206142086</v>
      </c>
      <c r="D614" s="655">
        <v>191999784</v>
      </c>
      <c r="E614" s="655">
        <v>203015784</v>
      </c>
      <c r="F614" s="655">
        <v>188873482</v>
      </c>
      <c r="G614" s="655">
        <v>14142302</v>
      </c>
      <c r="H614" s="655">
        <v>3126302</v>
      </c>
      <c r="I614" s="651">
        <v>1.4786999999999999</v>
      </c>
      <c r="J614" s="651">
        <v>6.88E-2</v>
      </c>
      <c r="K614" s="651">
        <v>1.5475000000000001</v>
      </c>
    </row>
    <row r="615" spans="1:11">
      <c r="A615" s="654" t="s">
        <v>5975</v>
      </c>
      <c r="B615" s="654" t="s">
        <v>295</v>
      </c>
      <c r="C615" s="655">
        <v>83402691</v>
      </c>
      <c r="D615" s="655">
        <v>80260004</v>
      </c>
      <c r="E615" s="655">
        <v>82753758</v>
      </c>
      <c r="F615" s="655">
        <v>79611071</v>
      </c>
      <c r="G615" s="655">
        <v>3142687</v>
      </c>
      <c r="H615" s="655">
        <v>648933</v>
      </c>
      <c r="I615" s="651">
        <v>1.5</v>
      </c>
      <c r="J615" s="651">
        <v>0</v>
      </c>
      <c r="K615" s="651">
        <v>1.5</v>
      </c>
    </row>
    <row r="616" spans="1:11">
      <c r="A616" s="654" t="s">
        <v>5976</v>
      </c>
      <c r="B616" s="654" t="s">
        <v>296</v>
      </c>
      <c r="C616" s="655">
        <v>182614934</v>
      </c>
      <c r="D616" s="655">
        <v>174375599</v>
      </c>
      <c r="E616" s="655">
        <v>180185404</v>
      </c>
      <c r="F616" s="655">
        <v>171946069</v>
      </c>
      <c r="G616" s="655">
        <v>8239335</v>
      </c>
      <c r="H616" s="655">
        <v>2429530</v>
      </c>
      <c r="I616" s="651">
        <v>1.4745699999999999</v>
      </c>
      <c r="J616" s="651">
        <v>8.1439999999999999E-2</v>
      </c>
      <c r="K616" s="651">
        <v>1.5560099999999999</v>
      </c>
    </row>
    <row r="617" spans="1:11">
      <c r="A617" s="654" t="s">
        <v>5977</v>
      </c>
      <c r="B617" s="654" t="s">
        <v>297</v>
      </c>
      <c r="C617" s="655">
        <v>187778470</v>
      </c>
      <c r="D617" s="655">
        <v>177314524</v>
      </c>
      <c r="E617" s="655">
        <v>181725007</v>
      </c>
      <c r="F617" s="655">
        <v>171261061</v>
      </c>
      <c r="G617" s="655">
        <v>10463946</v>
      </c>
      <c r="H617" s="655">
        <v>6053463</v>
      </c>
      <c r="I617" s="651">
        <v>1.5</v>
      </c>
      <c r="J617" s="651">
        <v>7.0000000000000007E-2</v>
      </c>
      <c r="K617" s="651">
        <v>1.57</v>
      </c>
    </row>
    <row r="618" spans="1:11">
      <c r="A618" s="654" t="s">
        <v>5978</v>
      </c>
      <c r="B618" s="654" t="s">
        <v>298</v>
      </c>
      <c r="C618" s="655">
        <v>148106034</v>
      </c>
      <c r="D618" s="655">
        <v>138627832</v>
      </c>
      <c r="E618" s="655">
        <v>141631849</v>
      </c>
      <c r="F618" s="655">
        <v>132153647</v>
      </c>
      <c r="G618" s="655">
        <v>9478202</v>
      </c>
      <c r="H618" s="655">
        <v>6474185</v>
      </c>
      <c r="I618" s="651">
        <v>1.5</v>
      </c>
      <c r="J618" s="651">
        <v>0.2</v>
      </c>
      <c r="K618" s="651">
        <v>1.7</v>
      </c>
    </row>
    <row r="619" spans="1:11">
      <c r="A619" s="654" t="s">
        <v>5979</v>
      </c>
      <c r="B619" s="654" t="s">
        <v>299</v>
      </c>
      <c r="C619" s="655">
        <v>97049264</v>
      </c>
      <c r="D619" s="655">
        <v>91636011</v>
      </c>
      <c r="E619" s="655">
        <v>97049264</v>
      </c>
      <c r="F619" s="655">
        <v>91636011</v>
      </c>
      <c r="G619" s="655">
        <v>5413253</v>
      </c>
      <c r="H619" s="650">
        <v>0</v>
      </c>
      <c r="I619" s="651">
        <v>1.48</v>
      </c>
      <c r="J619" s="651">
        <v>0</v>
      </c>
      <c r="K619" s="651">
        <v>1.48</v>
      </c>
    </row>
    <row r="620" spans="1:11">
      <c r="A620" s="654" t="s">
        <v>5980</v>
      </c>
      <c r="B620" s="654" t="s">
        <v>300</v>
      </c>
      <c r="C620" s="655">
        <v>459243201</v>
      </c>
      <c r="D620" s="655">
        <v>450378954</v>
      </c>
      <c r="E620" s="655">
        <v>459243201</v>
      </c>
      <c r="F620" s="655">
        <v>450378954</v>
      </c>
      <c r="G620" s="655">
        <v>8864247</v>
      </c>
      <c r="H620" s="650">
        <v>0</v>
      </c>
      <c r="I620" s="651">
        <v>1.2</v>
      </c>
      <c r="J620" s="651">
        <v>0.08</v>
      </c>
      <c r="K620" s="651">
        <v>1.28</v>
      </c>
    </row>
    <row r="621" spans="1:11">
      <c r="A621" s="654" t="s">
        <v>5981</v>
      </c>
      <c r="B621" s="654" t="s">
        <v>6114</v>
      </c>
      <c r="C621" s="655">
        <v>525609726</v>
      </c>
      <c r="D621" s="655">
        <v>492234436</v>
      </c>
      <c r="E621" s="655">
        <v>525609726</v>
      </c>
      <c r="F621" s="655">
        <v>492234436</v>
      </c>
      <c r="G621" s="655">
        <v>33375290</v>
      </c>
      <c r="H621" s="650">
        <v>0</v>
      </c>
      <c r="I621" s="651">
        <v>1.40001</v>
      </c>
      <c r="J621" s="651">
        <v>0.29998999999999998</v>
      </c>
      <c r="K621" s="651">
        <v>1.7</v>
      </c>
    </row>
    <row r="622" spans="1:11">
      <c r="A622" s="654" t="s">
        <v>5982</v>
      </c>
      <c r="B622" s="654" t="s">
        <v>994</v>
      </c>
      <c r="C622" s="655">
        <v>905439157</v>
      </c>
      <c r="D622" s="655">
        <v>854801977</v>
      </c>
      <c r="E622" s="655">
        <v>905439157</v>
      </c>
      <c r="F622" s="655">
        <v>854801977</v>
      </c>
      <c r="G622" s="655">
        <v>50637180</v>
      </c>
      <c r="H622" s="650">
        <v>0</v>
      </c>
      <c r="I622" s="651">
        <v>1.5</v>
      </c>
      <c r="J622" s="651">
        <v>0.25679999999999997</v>
      </c>
      <c r="K622" s="651">
        <v>1.7567999999999999</v>
      </c>
    </row>
    <row r="623" spans="1:11">
      <c r="A623" s="654" t="s">
        <v>5983</v>
      </c>
      <c r="B623" s="654" t="s">
        <v>301</v>
      </c>
      <c r="C623" s="655">
        <v>370739212</v>
      </c>
      <c r="D623" s="655">
        <v>368552852</v>
      </c>
      <c r="E623" s="655">
        <v>370739212</v>
      </c>
      <c r="F623" s="655">
        <v>368552852</v>
      </c>
      <c r="G623" s="655">
        <v>2186360</v>
      </c>
      <c r="H623" s="650">
        <v>0</v>
      </c>
      <c r="I623" s="651">
        <v>1.1000000000000001</v>
      </c>
      <c r="J623" s="651">
        <v>4.3400000000000001E-2</v>
      </c>
      <c r="K623" s="651">
        <v>1.1434</v>
      </c>
    </row>
    <row r="624" spans="1:11">
      <c r="A624" s="654" t="s">
        <v>5984</v>
      </c>
      <c r="B624" s="654" t="s">
        <v>3917</v>
      </c>
      <c r="C624" s="655">
        <v>182117701</v>
      </c>
      <c r="D624" s="655">
        <v>165297841</v>
      </c>
      <c r="E624" s="655">
        <v>182117701</v>
      </c>
      <c r="F624" s="655">
        <v>165297841</v>
      </c>
      <c r="G624" s="655">
        <v>16819860</v>
      </c>
      <c r="H624" s="650">
        <v>0</v>
      </c>
      <c r="I624" s="651">
        <v>1.4892000000000001</v>
      </c>
      <c r="J624" s="651">
        <v>0</v>
      </c>
      <c r="K624" s="651">
        <v>1.4892000000000001</v>
      </c>
    </row>
    <row r="625" spans="1:11">
      <c r="A625" s="654" t="s">
        <v>5985</v>
      </c>
      <c r="B625" s="654" t="s">
        <v>3855</v>
      </c>
      <c r="C625" s="655">
        <v>215420380</v>
      </c>
      <c r="D625" s="655">
        <v>208026045</v>
      </c>
      <c r="E625" s="655">
        <v>215420380</v>
      </c>
      <c r="F625" s="655">
        <v>208026045</v>
      </c>
      <c r="G625" s="655">
        <v>7394335</v>
      </c>
      <c r="H625" s="650">
        <v>0</v>
      </c>
      <c r="I625" s="651">
        <v>1.5</v>
      </c>
      <c r="J625" s="651">
        <v>8.3099999999999993E-2</v>
      </c>
      <c r="K625" s="651">
        <v>1.5831</v>
      </c>
    </row>
    <row r="626" spans="1:11">
      <c r="A626" s="654" t="s">
        <v>5986</v>
      </c>
      <c r="B626" s="654" t="s">
        <v>302</v>
      </c>
      <c r="C626" s="655">
        <v>648900710</v>
      </c>
      <c r="D626" s="655">
        <v>624414039</v>
      </c>
      <c r="E626" s="655">
        <v>648900710</v>
      </c>
      <c r="F626" s="655">
        <v>624414039</v>
      </c>
      <c r="G626" s="655">
        <v>24486671</v>
      </c>
      <c r="H626" s="650">
        <v>0</v>
      </c>
      <c r="I626" s="651">
        <v>1.49</v>
      </c>
      <c r="J626" s="651">
        <v>0.24579999999999999</v>
      </c>
      <c r="K626" s="651">
        <v>1.7358</v>
      </c>
    </row>
    <row r="627" spans="1:11">
      <c r="A627" s="654" t="s">
        <v>5987</v>
      </c>
      <c r="B627" s="654" t="s">
        <v>2163</v>
      </c>
      <c r="C627" s="655">
        <v>290004023</v>
      </c>
      <c r="D627" s="655">
        <v>269899523</v>
      </c>
      <c r="E627" s="655">
        <v>290004023</v>
      </c>
      <c r="F627" s="655">
        <v>269899523</v>
      </c>
      <c r="G627" s="655">
        <v>20104500</v>
      </c>
      <c r="H627" s="650">
        <v>0</v>
      </c>
      <c r="I627" s="651">
        <v>1.46</v>
      </c>
      <c r="J627" s="651">
        <v>0.30559999999999998</v>
      </c>
      <c r="K627" s="651">
        <v>1.7656000000000001</v>
      </c>
    </row>
    <row r="628" spans="1:11">
      <c r="A628" s="654" t="s">
        <v>5988</v>
      </c>
      <c r="B628" s="654" t="s">
        <v>2646</v>
      </c>
      <c r="C628" s="655">
        <v>25094203</v>
      </c>
      <c r="D628" s="655">
        <v>22588593</v>
      </c>
      <c r="E628" s="655">
        <v>25094203</v>
      </c>
      <c r="F628" s="655">
        <v>22588593</v>
      </c>
      <c r="G628" s="655">
        <v>2505610</v>
      </c>
      <c r="H628" s="650">
        <v>0</v>
      </c>
      <c r="I628" s="651">
        <v>1.5</v>
      </c>
      <c r="J628" s="651">
        <v>0.1542</v>
      </c>
      <c r="K628" s="651">
        <v>1.6541999999999999</v>
      </c>
    </row>
    <row r="629" spans="1:11">
      <c r="A629" s="654" t="s">
        <v>5989</v>
      </c>
      <c r="B629" s="654" t="s">
        <v>2164</v>
      </c>
      <c r="C629" s="655">
        <v>1029115499</v>
      </c>
      <c r="D629" s="655">
        <v>1007088585</v>
      </c>
      <c r="E629" s="655">
        <v>1017654243</v>
      </c>
      <c r="F629" s="655">
        <v>995627329</v>
      </c>
      <c r="G629" s="655">
        <v>22026914</v>
      </c>
      <c r="H629" s="655">
        <v>11461256</v>
      </c>
      <c r="I629" s="651">
        <v>1.2606999999999999</v>
      </c>
      <c r="J629" s="651">
        <v>0</v>
      </c>
      <c r="K629" s="651">
        <v>1.2606999999999999</v>
      </c>
    </row>
    <row r="630" spans="1:11">
      <c r="A630" s="654" t="s">
        <v>5990</v>
      </c>
      <c r="B630" s="654" t="s">
        <v>2165</v>
      </c>
      <c r="C630" s="655">
        <v>302875598</v>
      </c>
      <c r="D630" s="655">
        <v>278547948</v>
      </c>
      <c r="E630" s="655">
        <v>302875598</v>
      </c>
      <c r="F630" s="655">
        <v>278547948</v>
      </c>
      <c r="G630" s="655">
        <v>24327650</v>
      </c>
      <c r="H630" s="650">
        <v>0</v>
      </c>
      <c r="I630" s="651">
        <v>1.5</v>
      </c>
      <c r="J630" s="651">
        <v>6.88E-2</v>
      </c>
      <c r="K630" s="651">
        <v>1.5688</v>
      </c>
    </row>
    <row r="631" spans="1:11">
      <c r="A631" s="654" t="s">
        <v>5991</v>
      </c>
      <c r="B631" s="654" t="s">
        <v>2166</v>
      </c>
      <c r="C631" s="655">
        <v>118964174</v>
      </c>
      <c r="D631" s="655">
        <v>115889409</v>
      </c>
      <c r="E631" s="655">
        <v>118964174</v>
      </c>
      <c r="F631" s="655">
        <v>115889409</v>
      </c>
      <c r="G631" s="655">
        <v>3074765</v>
      </c>
      <c r="H631" s="650">
        <v>0</v>
      </c>
      <c r="I631" s="651">
        <v>1.5</v>
      </c>
      <c r="J631" s="651">
        <v>6.5000000000000002E-2</v>
      </c>
      <c r="K631" s="651">
        <v>1.5649999999999999</v>
      </c>
    </row>
    <row r="632" spans="1:11">
      <c r="A632" s="654" t="s">
        <v>5992</v>
      </c>
      <c r="B632" s="654" t="s">
        <v>2167</v>
      </c>
      <c r="C632" s="655">
        <v>136574785</v>
      </c>
      <c r="D632" s="655">
        <v>135010499</v>
      </c>
      <c r="E632" s="655">
        <v>136574785</v>
      </c>
      <c r="F632" s="655">
        <v>135010499</v>
      </c>
      <c r="G632" s="655">
        <v>1564286</v>
      </c>
      <c r="H632" s="650">
        <v>0</v>
      </c>
      <c r="I632" s="651">
        <v>1.5</v>
      </c>
      <c r="J632" s="651">
        <v>0</v>
      </c>
      <c r="K632" s="651">
        <v>1.5</v>
      </c>
    </row>
    <row r="633" spans="1:11">
      <c r="A633" s="654" t="s">
        <v>5993</v>
      </c>
      <c r="B633" s="654" t="s">
        <v>2168</v>
      </c>
      <c r="C633" s="655">
        <v>95382323</v>
      </c>
      <c r="D633" s="655">
        <v>94075843</v>
      </c>
      <c r="E633" s="655">
        <v>95382323</v>
      </c>
      <c r="F633" s="655">
        <v>94075843</v>
      </c>
      <c r="G633" s="655">
        <v>1306480</v>
      </c>
      <c r="H633" s="650">
        <v>0</v>
      </c>
      <c r="I633" s="651">
        <v>1.5</v>
      </c>
      <c r="J633" s="651">
        <v>0</v>
      </c>
      <c r="K633" s="651">
        <v>1.5</v>
      </c>
    </row>
    <row r="634" spans="1:11">
      <c r="A634" s="654" t="s">
        <v>5994</v>
      </c>
      <c r="B634" s="654" t="s">
        <v>2169</v>
      </c>
      <c r="C634" s="655">
        <v>129047055</v>
      </c>
      <c r="D634" s="655">
        <v>127841765</v>
      </c>
      <c r="E634" s="655">
        <v>129047055</v>
      </c>
      <c r="F634" s="655">
        <v>127841765</v>
      </c>
      <c r="G634" s="655">
        <v>1205290</v>
      </c>
      <c r="H634" s="650">
        <v>0</v>
      </c>
      <c r="I634" s="651">
        <v>1.5</v>
      </c>
      <c r="J634" s="651">
        <v>0</v>
      </c>
      <c r="K634" s="651">
        <v>1.5</v>
      </c>
    </row>
    <row r="635" spans="1:11">
      <c r="A635" s="654" t="s">
        <v>5995</v>
      </c>
      <c r="B635" s="654" t="s">
        <v>2170</v>
      </c>
      <c r="C635" s="655">
        <v>348495960</v>
      </c>
      <c r="D635" s="655">
        <v>330248580</v>
      </c>
      <c r="E635" s="655">
        <v>339911375</v>
      </c>
      <c r="F635" s="655">
        <v>321663995</v>
      </c>
      <c r="G635" s="655">
        <v>18247380</v>
      </c>
      <c r="H635" s="655">
        <v>8584585</v>
      </c>
      <c r="I635" s="651">
        <v>1.5</v>
      </c>
      <c r="J635" s="651">
        <v>0</v>
      </c>
      <c r="K635" s="651">
        <v>1.5</v>
      </c>
    </row>
    <row r="636" spans="1:11">
      <c r="A636" s="654" t="s">
        <v>5996</v>
      </c>
      <c r="B636" s="654" t="s">
        <v>5648</v>
      </c>
      <c r="C636" s="655">
        <v>328952103</v>
      </c>
      <c r="D636" s="655">
        <v>319898643</v>
      </c>
      <c r="E636" s="655">
        <v>325018773</v>
      </c>
      <c r="F636" s="655">
        <v>315965313</v>
      </c>
      <c r="G636" s="655">
        <v>9053460</v>
      </c>
      <c r="H636" s="655">
        <v>3933330</v>
      </c>
      <c r="I636" s="651">
        <v>1.5</v>
      </c>
      <c r="J636" s="651">
        <v>9.2439999999999994E-2</v>
      </c>
      <c r="K636" s="651">
        <v>1.5924400000000001</v>
      </c>
    </row>
    <row r="637" spans="1:11">
      <c r="A637" s="654" t="s">
        <v>5997</v>
      </c>
      <c r="B637" s="654" t="s">
        <v>5649</v>
      </c>
      <c r="C637" s="655">
        <v>1588021936</v>
      </c>
      <c r="D637" s="655">
        <v>1538770886</v>
      </c>
      <c r="E637" s="655">
        <v>1552055687</v>
      </c>
      <c r="F637" s="655">
        <v>1502804637</v>
      </c>
      <c r="G637" s="655">
        <v>49251050</v>
      </c>
      <c r="H637" s="655">
        <v>35966249</v>
      </c>
      <c r="I637" s="651">
        <v>1.5</v>
      </c>
      <c r="J637" s="651">
        <v>0.10199999999999999</v>
      </c>
      <c r="K637" s="651">
        <v>1.6020000000000001</v>
      </c>
    </row>
    <row r="638" spans="1:11">
      <c r="A638" s="654" t="s">
        <v>5998</v>
      </c>
      <c r="C638" s="650">
        <v>0</v>
      </c>
      <c r="D638" s="650" t="s">
        <v>5999</v>
      </c>
      <c r="E638" s="650">
        <v>0</v>
      </c>
      <c r="F638" s="650">
        <v>0</v>
      </c>
      <c r="G638" s="650">
        <v>0</v>
      </c>
      <c r="H638" s="650">
        <v>0</v>
      </c>
      <c r="I638" s="651">
        <v>0</v>
      </c>
      <c r="J638" s="651">
        <v>0</v>
      </c>
      <c r="K638" s="651">
        <v>0</v>
      </c>
    </row>
    <row r="639" spans="1:11">
      <c r="A639" s="654" t="s">
        <v>6000</v>
      </c>
      <c r="B639" s="654" t="s">
        <v>202</v>
      </c>
      <c r="C639" s="655">
        <v>6907712668</v>
      </c>
      <c r="D639" s="655">
        <v>6569328608</v>
      </c>
      <c r="E639" s="655">
        <v>6907712668</v>
      </c>
      <c r="F639" s="655">
        <v>6569328608</v>
      </c>
      <c r="G639" s="655">
        <v>338384060</v>
      </c>
      <c r="H639" s="650">
        <v>0</v>
      </c>
      <c r="I639" s="651">
        <v>1.5</v>
      </c>
      <c r="J639" s="651">
        <v>0.1056</v>
      </c>
      <c r="K639" s="651">
        <v>1.6055999999999999</v>
      </c>
    </row>
    <row r="640" spans="1:11">
      <c r="A640" s="654" t="s">
        <v>6001</v>
      </c>
      <c r="B640" s="654" t="s">
        <v>5650</v>
      </c>
      <c r="C640" s="655">
        <v>127328513</v>
      </c>
      <c r="D640" s="655">
        <v>120455783</v>
      </c>
      <c r="E640" s="655">
        <v>127328513</v>
      </c>
      <c r="F640" s="655">
        <v>120455783</v>
      </c>
      <c r="G640" s="655">
        <v>6872730</v>
      </c>
      <c r="H640" s="650">
        <v>0</v>
      </c>
      <c r="I640" s="651">
        <v>1.5</v>
      </c>
      <c r="J640" s="651">
        <v>0</v>
      </c>
      <c r="K640" s="651">
        <v>1.5</v>
      </c>
    </row>
    <row r="641" spans="1:11">
      <c r="A641" s="654" t="s">
        <v>6536</v>
      </c>
      <c r="B641" s="654" t="s">
        <v>5651</v>
      </c>
      <c r="C641" s="655">
        <v>227460728</v>
      </c>
      <c r="D641" s="655">
        <v>209873098</v>
      </c>
      <c r="E641" s="655">
        <v>227460728</v>
      </c>
      <c r="F641" s="655">
        <v>209873098</v>
      </c>
      <c r="G641" s="655">
        <v>17587630</v>
      </c>
      <c r="H641" s="650">
        <v>0</v>
      </c>
      <c r="I641" s="651">
        <v>1.5</v>
      </c>
      <c r="J641" s="651">
        <v>0.1002</v>
      </c>
      <c r="K641" s="651">
        <v>1.6002000000000001</v>
      </c>
    </row>
    <row r="642" spans="1:11">
      <c r="A642" s="654" t="s">
        <v>6537</v>
      </c>
      <c r="B642" s="654" t="s">
        <v>203</v>
      </c>
      <c r="C642" s="655">
        <v>626934699</v>
      </c>
      <c r="D642" s="655">
        <v>600163860</v>
      </c>
      <c r="E642" s="655">
        <v>626934699</v>
      </c>
      <c r="F642" s="655">
        <v>600163860</v>
      </c>
      <c r="G642" s="655">
        <v>26770839</v>
      </c>
      <c r="H642" s="650">
        <v>0</v>
      </c>
      <c r="I642" s="651">
        <v>1.397</v>
      </c>
      <c r="J642" s="651">
        <v>0.1206</v>
      </c>
      <c r="K642" s="651">
        <v>1.5176000000000001</v>
      </c>
    </row>
    <row r="643" spans="1:11">
      <c r="A643" s="654" t="s">
        <v>6538</v>
      </c>
      <c r="B643" s="654" t="s">
        <v>115</v>
      </c>
      <c r="C643" s="655">
        <v>1391988913</v>
      </c>
      <c r="D643" s="655">
        <v>1331807857</v>
      </c>
      <c r="E643" s="655">
        <v>1391988913</v>
      </c>
      <c r="F643" s="655">
        <v>1331807857</v>
      </c>
      <c r="G643" s="655">
        <v>60181056</v>
      </c>
      <c r="H643" s="650">
        <v>0</v>
      </c>
      <c r="I643" s="651">
        <v>1.4111</v>
      </c>
      <c r="J643" s="651">
        <v>0.26950000000000002</v>
      </c>
      <c r="K643" s="651">
        <v>1.6806000000000001</v>
      </c>
    </row>
    <row r="644" spans="1:11">
      <c r="A644" s="654" t="s">
        <v>6539</v>
      </c>
      <c r="B644" s="654" t="s">
        <v>5652</v>
      </c>
      <c r="C644" s="655">
        <v>144465211</v>
      </c>
      <c r="D644" s="655">
        <v>134512241</v>
      </c>
      <c r="E644" s="655">
        <v>144465211</v>
      </c>
      <c r="F644" s="655">
        <v>134512241</v>
      </c>
      <c r="G644" s="655">
        <v>9952970</v>
      </c>
      <c r="H644" s="650">
        <v>0</v>
      </c>
      <c r="I644" s="651">
        <v>1.5</v>
      </c>
      <c r="J644" s="651">
        <v>0</v>
      </c>
      <c r="K644" s="651">
        <v>1.5</v>
      </c>
    </row>
    <row r="645" spans="1:11">
      <c r="A645" s="654" t="s">
        <v>6540</v>
      </c>
      <c r="B645" s="654" t="s">
        <v>1464</v>
      </c>
      <c r="C645" s="655">
        <v>126578579</v>
      </c>
      <c r="D645" s="655">
        <v>116870966</v>
      </c>
      <c r="E645" s="655">
        <v>126578579</v>
      </c>
      <c r="F645" s="655">
        <v>116870966</v>
      </c>
      <c r="G645" s="655">
        <v>9707613</v>
      </c>
      <c r="H645" s="650">
        <v>0</v>
      </c>
      <c r="I645" s="651">
        <v>1.5</v>
      </c>
      <c r="J645" s="651">
        <v>0.22</v>
      </c>
      <c r="K645" s="651">
        <v>1.72</v>
      </c>
    </row>
    <row r="646" spans="1:11">
      <c r="A646" s="654" t="s">
        <v>6541</v>
      </c>
      <c r="B646" s="654" t="s">
        <v>5653</v>
      </c>
      <c r="C646" s="655">
        <v>130972055</v>
      </c>
      <c r="D646" s="655">
        <v>123507741</v>
      </c>
      <c r="E646" s="655">
        <v>130972055</v>
      </c>
      <c r="F646" s="655">
        <v>123507741</v>
      </c>
      <c r="G646" s="655">
        <v>7464314</v>
      </c>
      <c r="H646" s="650">
        <v>0</v>
      </c>
      <c r="I646" s="651">
        <v>1.40544</v>
      </c>
      <c r="J646" s="651">
        <v>9.4560000000000005E-2</v>
      </c>
      <c r="K646" s="651">
        <v>1.5</v>
      </c>
    </row>
    <row r="647" spans="1:11">
      <c r="A647" s="654" t="s">
        <v>6542</v>
      </c>
      <c r="B647" s="654" t="s">
        <v>5654</v>
      </c>
      <c r="C647" s="655">
        <v>58834464</v>
      </c>
      <c r="D647" s="655">
        <v>55744864</v>
      </c>
      <c r="E647" s="655">
        <v>58834464</v>
      </c>
      <c r="F647" s="655">
        <v>55744864</v>
      </c>
      <c r="G647" s="655">
        <v>3089600</v>
      </c>
      <c r="H647" s="650">
        <v>0</v>
      </c>
      <c r="I647" s="651">
        <v>1.45</v>
      </c>
      <c r="J647" s="651">
        <v>0.05</v>
      </c>
      <c r="K647" s="651">
        <v>1.5</v>
      </c>
    </row>
    <row r="648" spans="1:11">
      <c r="A648" s="654" t="s">
        <v>6543</v>
      </c>
      <c r="B648" s="654" t="s">
        <v>3100</v>
      </c>
      <c r="C648" s="655">
        <v>82069863</v>
      </c>
      <c r="D648" s="655">
        <v>74723173</v>
      </c>
      <c r="E648" s="655">
        <v>82069863</v>
      </c>
      <c r="F648" s="655">
        <v>74723173</v>
      </c>
      <c r="G648" s="655">
        <v>7346690</v>
      </c>
      <c r="H648" s="650">
        <v>0</v>
      </c>
      <c r="I648" s="651">
        <v>1.5</v>
      </c>
      <c r="J648" s="651">
        <v>0</v>
      </c>
      <c r="K648" s="651">
        <v>1.5</v>
      </c>
    </row>
    <row r="649" spans="1:11">
      <c r="A649" s="654" t="s">
        <v>6544</v>
      </c>
      <c r="B649" s="654" t="s">
        <v>3101</v>
      </c>
      <c r="C649" s="655">
        <v>31980985</v>
      </c>
      <c r="D649" s="655">
        <v>30205405</v>
      </c>
      <c r="E649" s="655">
        <v>31980985</v>
      </c>
      <c r="F649" s="655">
        <v>30205405</v>
      </c>
      <c r="G649" s="655">
        <v>1775580</v>
      </c>
      <c r="H649" s="650">
        <v>0</v>
      </c>
      <c r="I649" s="651">
        <v>1.5</v>
      </c>
      <c r="J649" s="651">
        <v>0.1076</v>
      </c>
      <c r="K649" s="651">
        <v>1.6075999999999999</v>
      </c>
    </row>
    <row r="650" spans="1:11">
      <c r="A650" s="654" t="s">
        <v>6545</v>
      </c>
      <c r="B650" s="654" t="s">
        <v>3102</v>
      </c>
      <c r="C650" s="655">
        <v>30006486</v>
      </c>
      <c r="D650" s="655">
        <v>27945296</v>
      </c>
      <c r="E650" s="655">
        <v>30006486</v>
      </c>
      <c r="F650" s="655">
        <v>27945296</v>
      </c>
      <c r="G650" s="655">
        <v>2061190</v>
      </c>
      <c r="H650" s="650">
        <v>0</v>
      </c>
      <c r="I650" s="651">
        <v>1.5</v>
      </c>
      <c r="J650" s="651">
        <v>9.7600000000000006E-2</v>
      </c>
      <c r="K650" s="651">
        <v>1.5975999999999999</v>
      </c>
    </row>
    <row r="651" spans="1:11">
      <c r="A651" s="654" t="s">
        <v>6546</v>
      </c>
      <c r="B651" s="654" t="s">
        <v>6547</v>
      </c>
      <c r="C651" s="655">
        <v>330346386</v>
      </c>
      <c r="D651" s="655">
        <v>307377104</v>
      </c>
      <c r="E651" s="655">
        <v>330346386</v>
      </c>
      <c r="F651" s="655">
        <v>307377104</v>
      </c>
      <c r="G651" s="655">
        <v>22969282</v>
      </c>
      <c r="H651" s="650">
        <v>0</v>
      </c>
      <c r="I651" s="651">
        <v>1.47</v>
      </c>
      <c r="J651" s="651">
        <v>0.18</v>
      </c>
      <c r="K651" s="651">
        <v>1.65</v>
      </c>
    </row>
    <row r="652" spans="1:11">
      <c r="A652" s="654" t="s">
        <v>6548</v>
      </c>
      <c r="B652" s="654" t="s">
        <v>3103</v>
      </c>
      <c r="C652" s="655">
        <v>92052981</v>
      </c>
      <c r="D652" s="655">
        <v>87668571</v>
      </c>
      <c r="E652" s="655">
        <v>92052981</v>
      </c>
      <c r="F652" s="655">
        <v>87668571</v>
      </c>
      <c r="G652" s="655">
        <v>4384410</v>
      </c>
      <c r="H652" s="650">
        <v>0</v>
      </c>
      <c r="I652" s="651">
        <v>1.45</v>
      </c>
      <c r="J652" s="651">
        <v>0</v>
      </c>
      <c r="K652" s="651">
        <v>1.45</v>
      </c>
    </row>
    <row r="653" spans="1:11">
      <c r="A653" s="654" t="s">
        <v>6549</v>
      </c>
      <c r="B653" s="654" t="s">
        <v>3104</v>
      </c>
      <c r="C653" s="655">
        <v>456073252</v>
      </c>
      <c r="D653" s="655">
        <v>430842717</v>
      </c>
      <c r="E653" s="655">
        <v>449433492</v>
      </c>
      <c r="F653" s="655">
        <v>424202957</v>
      </c>
      <c r="G653" s="655">
        <v>25230535</v>
      </c>
      <c r="H653" s="655">
        <v>6639760</v>
      </c>
      <c r="I653" s="651">
        <v>1.2615099999999999</v>
      </c>
      <c r="J653" s="651">
        <v>0.140762</v>
      </c>
      <c r="K653" s="651">
        <v>1.4022699999999999</v>
      </c>
    </row>
    <row r="654" spans="1:11">
      <c r="A654" s="654" t="s">
        <v>6550</v>
      </c>
      <c r="B654" s="654" t="s">
        <v>3105</v>
      </c>
      <c r="C654" s="655">
        <v>201967020</v>
      </c>
      <c r="D654" s="655">
        <v>193347240</v>
      </c>
      <c r="E654" s="655">
        <v>199278050</v>
      </c>
      <c r="F654" s="655">
        <v>190658270</v>
      </c>
      <c r="G654" s="655">
        <v>8619780</v>
      </c>
      <c r="H654" s="655">
        <v>2688970</v>
      </c>
      <c r="I654" s="651">
        <v>1.5</v>
      </c>
      <c r="J654" s="651">
        <v>0</v>
      </c>
      <c r="K654" s="651">
        <v>1.5</v>
      </c>
    </row>
    <row r="655" spans="1:11">
      <c r="A655" s="654" t="s">
        <v>6551</v>
      </c>
      <c r="B655" s="654" t="s">
        <v>3106</v>
      </c>
      <c r="C655" s="655">
        <v>165907989</v>
      </c>
      <c r="D655" s="655">
        <v>164786239</v>
      </c>
      <c r="E655" s="655">
        <v>165323774</v>
      </c>
      <c r="F655" s="655">
        <v>164202024</v>
      </c>
      <c r="G655" s="655">
        <v>1121750</v>
      </c>
      <c r="H655" s="655">
        <v>584215</v>
      </c>
      <c r="I655" s="651">
        <v>1.38</v>
      </c>
      <c r="J655" s="651">
        <v>0</v>
      </c>
      <c r="K655" s="651">
        <v>1.38</v>
      </c>
    </row>
    <row r="656" spans="1:11">
      <c r="A656" s="654" t="s">
        <v>6552</v>
      </c>
      <c r="B656" s="654" t="s">
        <v>3107</v>
      </c>
      <c r="C656" s="655">
        <v>170326950</v>
      </c>
      <c r="D656" s="655">
        <v>159435310</v>
      </c>
      <c r="E656" s="655">
        <v>170326950</v>
      </c>
      <c r="F656" s="655">
        <v>159435310</v>
      </c>
      <c r="G656" s="655">
        <v>10891640</v>
      </c>
      <c r="H656" s="650">
        <v>0</v>
      </c>
      <c r="I656" s="651">
        <v>1.5</v>
      </c>
      <c r="J656" s="651">
        <v>0.1</v>
      </c>
      <c r="K656" s="651">
        <v>1.6</v>
      </c>
    </row>
    <row r="657" spans="1:11">
      <c r="A657" s="654" t="s">
        <v>6553</v>
      </c>
      <c r="B657" s="654" t="s">
        <v>3108</v>
      </c>
      <c r="C657" s="655">
        <v>838339475</v>
      </c>
      <c r="D657" s="655">
        <v>801987602</v>
      </c>
      <c r="E657" s="655">
        <v>838339475</v>
      </c>
      <c r="F657" s="655">
        <v>801987602</v>
      </c>
      <c r="G657" s="655">
        <v>36351873</v>
      </c>
      <c r="H657" s="650">
        <v>0</v>
      </c>
      <c r="I657" s="651">
        <v>1.5</v>
      </c>
      <c r="J657" s="651">
        <v>0.15</v>
      </c>
      <c r="K657" s="651">
        <v>1.65</v>
      </c>
    </row>
    <row r="658" spans="1:11">
      <c r="A658" s="654" t="s">
        <v>6554</v>
      </c>
      <c r="B658" s="654" t="s">
        <v>713</v>
      </c>
      <c r="C658" s="655">
        <v>388225698</v>
      </c>
      <c r="D658" s="655">
        <v>379751262</v>
      </c>
      <c r="E658" s="655">
        <v>383818407</v>
      </c>
      <c r="F658" s="655">
        <v>375343971</v>
      </c>
      <c r="G658" s="655">
        <v>8474436</v>
      </c>
      <c r="H658" s="655">
        <v>4407291</v>
      </c>
      <c r="I658" s="651">
        <v>1.294</v>
      </c>
      <c r="J658" s="651">
        <v>0</v>
      </c>
      <c r="K658" s="651">
        <v>1.294</v>
      </c>
    </row>
    <row r="659" spans="1:11">
      <c r="A659" s="654" t="s">
        <v>6555</v>
      </c>
      <c r="B659" s="654" t="s">
        <v>714</v>
      </c>
      <c r="C659" s="655">
        <v>126518991</v>
      </c>
      <c r="D659" s="655">
        <v>123521560</v>
      </c>
      <c r="E659" s="655">
        <v>126518991</v>
      </c>
      <c r="F659" s="655">
        <v>123521560</v>
      </c>
      <c r="G659" s="655">
        <v>2997431</v>
      </c>
      <c r="H659" s="650">
        <v>0</v>
      </c>
      <c r="I659" s="651">
        <v>1.4</v>
      </c>
      <c r="J659" s="651">
        <v>0</v>
      </c>
      <c r="K659" s="651">
        <v>1.4</v>
      </c>
    </row>
    <row r="660" spans="1:11">
      <c r="A660" s="654" t="s">
        <v>6556</v>
      </c>
      <c r="B660" s="654" t="s">
        <v>715</v>
      </c>
      <c r="C660" s="655">
        <v>1046685384</v>
      </c>
      <c r="D660" s="655">
        <v>1032544668</v>
      </c>
      <c r="E660" s="655">
        <v>1038419182</v>
      </c>
      <c r="F660" s="655">
        <v>1024278466</v>
      </c>
      <c r="G660" s="655">
        <v>14140716</v>
      </c>
      <c r="H660" s="655">
        <v>8266202</v>
      </c>
      <c r="I660" s="651">
        <v>1.38</v>
      </c>
      <c r="J660" s="651">
        <v>7.0000000000000007E-2</v>
      </c>
      <c r="K660" s="651">
        <v>1.45</v>
      </c>
    </row>
    <row r="661" spans="1:11">
      <c r="A661" s="654" t="s">
        <v>6557</v>
      </c>
      <c r="B661" s="654" t="s">
        <v>716</v>
      </c>
      <c r="C661" s="655">
        <v>269647005</v>
      </c>
      <c r="D661" s="655">
        <v>256489161</v>
      </c>
      <c r="E661" s="655">
        <v>261943344</v>
      </c>
      <c r="F661" s="655">
        <v>248785500</v>
      </c>
      <c r="G661" s="655">
        <v>13157844</v>
      </c>
      <c r="H661" s="655">
        <v>7703661</v>
      </c>
      <c r="I661" s="651">
        <v>1.5</v>
      </c>
      <c r="J661" s="651">
        <v>0</v>
      </c>
      <c r="K661" s="651">
        <v>1.5</v>
      </c>
    </row>
    <row r="662" spans="1:11">
      <c r="A662" s="654" t="s">
        <v>6558</v>
      </c>
      <c r="B662" s="654" t="s">
        <v>3011</v>
      </c>
      <c r="C662" s="655">
        <v>1170535994</v>
      </c>
      <c r="D662" s="655">
        <v>1095953153</v>
      </c>
      <c r="E662" s="655">
        <v>1170535994</v>
      </c>
      <c r="F662" s="655">
        <v>1095953153</v>
      </c>
      <c r="G662" s="655">
        <v>74582841</v>
      </c>
      <c r="H662" s="650">
        <v>0</v>
      </c>
      <c r="I662" s="651">
        <v>1.2745599999999999</v>
      </c>
      <c r="J662" s="651">
        <v>7.7299999999999994E-2</v>
      </c>
      <c r="K662" s="651">
        <v>1.3518600000000001</v>
      </c>
    </row>
    <row r="663" spans="1:11">
      <c r="A663" s="654" t="s">
        <v>6559</v>
      </c>
      <c r="B663" s="654" t="s">
        <v>7665</v>
      </c>
      <c r="C663" s="655">
        <v>236647003</v>
      </c>
      <c r="D663" s="655">
        <v>219993563</v>
      </c>
      <c r="E663" s="655">
        <v>236647003</v>
      </c>
      <c r="F663" s="655">
        <v>219993563</v>
      </c>
      <c r="G663" s="655">
        <v>16653440</v>
      </c>
      <c r="H663" s="650">
        <v>0</v>
      </c>
      <c r="I663" s="651">
        <v>1.5</v>
      </c>
      <c r="J663" s="651">
        <v>0.15509999999999999</v>
      </c>
      <c r="K663" s="651">
        <v>1.6551</v>
      </c>
    </row>
    <row r="664" spans="1:11">
      <c r="A664" s="654" t="s">
        <v>6560</v>
      </c>
      <c r="B664" s="654" t="s">
        <v>717</v>
      </c>
      <c r="C664" s="655">
        <v>34728319</v>
      </c>
      <c r="D664" s="655">
        <v>32349309</v>
      </c>
      <c r="E664" s="655">
        <v>34728319</v>
      </c>
      <c r="F664" s="655">
        <v>32349309</v>
      </c>
      <c r="G664" s="655">
        <v>2379010</v>
      </c>
      <c r="H664" s="650">
        <v>0</v>
      </c>
      <c r="I664" s="651">
        <v>1.5</v>
      </c>
      <c r="J664" s="651">
        <v>0</v>
      </c>
      <c r="K664" s="651">
        <v>1.5</v>
      </c>
    </row>
    <row r="665" spans="1:11">
      <c r="A665" s="654" t="s">
        <v>6561</v>
      </c>
      <c r="B665" s="654" t="s">
        <v>197</v>
      </c>
      <c r="C665" s="655">
        <v>16316025</v>
      </c>
      <c r="D665" s="655">
        <v>15627765</v>
      </c>
      <c r="E665" s="655">
        <v>16316025</v>
      </c>
      <c r="F665" s="655">
        <v>15627765</v>
      </c>
      <c r="G665" s="655">
        <v>688260</v>
      </c>
      <c r="H665" s="650">
        <v>0</v>
      </c>
      <c r="I665" s="651">
        <v>1.4850000000000001</v>
      </c>
      <c r="J665" s="651">
        <v>7.1999999999999995E-2</v>
      </c>
      <c r="K665" s="651">
        <v>1.5569999999999999</v>
      </c>
    </row>
    <row r="666" spans="1:11">
      <c r="A666" s="654" t="s">
        <v>6562</v>
      </c>
      <c r="B666" s="654" t="s">
        <v>1666</v>
      </c>
      <c r="C666" s="655">
        <v>105633391</v>
      </c>
      <c r="D666" s="655">
        <v>99462418</v>
      </c>
      <c r="E666" s="655">
        <v>105633391</v>
      </c>
      <c r="F666" s="655">
        <v>99462418</v>
      </c>
      <c r="G666" s="655">
        <v>6170973</v>
      </c>
      <c r="H666" s="650">
        <v>0</v>
      </c>
      <c r="I666" s="651">
        <v>1.4410000000000001</v>
      </c>
      <c r="J666" s="651">
        <v>0.1082</v>
      </c>
      <c r="K666" s="651">
        <v>1.5491999999999999</v>
      </c>
    </row>
    <row r="667" spans="1:11">
      <c r="A667" s="654" t="s">
        <v>6563</v>
      </c>
      <c r="B667" s="654" t="s">
        <v>2855</v>
      </c>
      <c r="C667" s="655">
        <v>2419270658</v>
      </c>
      <c r="D667" s="655">
        <v>2335236263</v>
      </c>
      <c r="E667" s="655">
        <v>2419270658</v>
      </c>
      <c r="F667" s="655">
        <v>2335236263</v>
      </c>
      <c r="G667" s="655">
        <v>84034395</v>
      </c>
      <c r="H667" s="650">
        <v>0</v>
      </c>
      <c r="I667" s="651">
        <v>1.36</v>
      </c>
      <c r="J667" s="651">
        <v>0.26200000000000001</v>
      </c>
      <c r="K667" s="651">
        <v>1.6220000000000001</v>
      </c>
    </row>
    <row r="668" spans="1:11">
      <c r="A668" s="654" t="s">
        <v>6564</v>
      </c>
      <c r="B668" s="654" t="s">
        <v>2155</v>
      </c>
      <c r="C668" s="655">
        <v>417784594</v>
      </c>
      <c r="D668" s="655">
        <v>394416727</v>
      </c>
      <c r="E668" s="655">
        <v>417784594</v>
      </c>
      <c r="F668" s="655">
        <v>394416727</v>
      </c>
      <c r="G668" s="655">
        <v>23367867</v>
      </c>
      <c r="H668" s="650">
        <v>0</v>
      </c>
      <c r="I668" s="651">
        <v>1.4824999999999999</v>
      </c>
      <c r="J668" s="651">
        <v>0.23749999999999999</v>
      </c>
      <c r="K668" s="651">
        <v>1.72</v>
      </c>
    </row>
    <row r="669" spans="1:11">
      <c r="A669" s="654" t="s">
        <v>6565</v>
      </c>
      <c r="B669" s="654" t="s">
        <v>200</v>
      </c>
      <c r="C669" s="655">
        <v>258899388</v>
      </c>
      <c r="D669" s="655">
        <v>240836532</v>
      </c>
      <c r="E669" s="655">
        <v>258899388</v>
      </c>
      <c r="F669" s="655">
        <v>240836532</v>
      </c>
      <c r="G669" s="655">
        <v>18062856</v>
      </c>
      <c r="H669" s="650">
        <v>0</v>
      </c>
      <c r="I669" s="651">
        <v>1.5</v>
      </c>
      <c r="J669" s="651">
        <v>0.25457000000000002</v>
      </c>
      <c r="K669" s="651">
        <v>1.75457</v>
      </c>
    </row>
    <row r="670" spans="1:11">
      <c r="A670" s="654" t="s">
        <v>6566</v>
      </c>
      <c r="B670" s="654" t="s">
        <v>6067</v>
      </c>
      <c r="C670" s="655">
        <v>67152344</v>
      </c>
      <c r="D670" s="655">
        <v>59995680</v>
      </c>
      <c r="E670" s="655">
        <v>67152344</v>
      </c>
      <c r="F670" s="655">
        <v>59995680</v>
      </c>
      <c r="G670" s="655">
        <v>7156664</v>
      </c>
      <c r="H670" s="650">
        <v>0</v>
      </c>
      <c r="I670" s="651">
        <v>1.5</v>
      </c>
      <c r="J670" s="651">
        <v>0.132878</v>
      </c>
      <c r="K670" s="651">
        <v>1.6328800000000001</v>
      </c>
    </row>
    <row r="671" spans="1:11">
      <c r="A671" s="654" t="s">
        <v>6567</v>
      </c>
      <c r="B671" s="654" t="s">
        <v>6075</v>
      </c>
      <c r="C671" s="655">
        <v>212959369</v>
      </c>
      <c r="D671" s="655">
        <v>200381316</v>
      </c>
      <c r="E671" s="655">
        <v>212959369</v>
      </c>
      <c r="F671" s="655">
        <v>200381316</v>
      </c>
      <c r="G671" s="655">
        <v>12578053</v>
      </c>
      <c r="H671" s="650">
        <v>0</v>
      </c>
      <c r="I671" s="651">
        <v>1.48</v>
      </c>
      <c r="J671" s="651">
        <v>0.17</v>
      </c>
      <c r="K671" s="651">
        <v>1.65</v>
      </c>
    </row>
    <row r="672" spans="1:11">
      <c r="A672" s="654" t="s">
        <v>6568</v>
      </c>
      <c r="B672" s="654" t="s">
        <v>718</v>
      </c>
      <c r="C672" s="655">
        <v>94523462</v>
      </c>
      <c r="D672" s="655">
        <v>85452464</v>
      </c>
      <c r="E672" s="655">
        <v>94523462</v>
      </c>
      <c r="F672" s="655">
        <v>85452464</v>
      </c>
      <c r="G672" s="655">
        <v>9070998</v>
      </c>
      <c r="H672" s="650">
        <v>0</v>
      </c>
      <c r="I672" s="651">
        <v>1.42</v>
      </c>
      <c r="J672" s="651">
        <v>0</v>
      </c>
      <c r="K672" s="651">
        <v>1.42</v>
      </c>
    </row>
    <row r="673" spans="1:11">
      <c r="A673" s="654" t="s">
        <v>6569</v>
      </c>
      <c r="B673" s="654" t="s">
        <v>359</v>
      </c>
      <c r="C673" s="655">
        <v>70977262</v>
      </c>
      <c r="D673" s="655">
        <v>65887522</v>
      </c>
      <c r="E673" s="655">
        <v>67745037</v>
      </c>
      <c r="F673" s="655">
        <v>62655297</v>
      </c>
      <c r="G673" s="655">
        <v>5089740</v>
      </c>
      <c r="H673" s="655">
        <v>3232225</v>
      </c>
      <c r="I673" s="651">
        <v>1.5</v>
      </c>
      <c r="J673" s="651">
        <v>0.13336500000000001</v>
      </c>
      <c r="K673" s="651">
        <v>1.6333599999999999</v>
      </c>
    </row>
    <row r="674" spans="1:11">
      <c r="A674" s="654" t="s">
        <v>6570</v>
      </c>
      <c r="B674" s="654" t="s">
        <v>4060</v>
      </c>
      <c r="C674" s="655">
        <v>3124846939</v>
      </c>
      <c r="D674" s="655">
        <v>2962737364</v>
      </c>
      <c r="E674" s="655">
        <v>3124846939</v>
      </c>
      <c r="F674" s="655">
        <v>2962737364</v>
      </c>
      <c r="G674" s="655">
        <v>162109575</v>
      </c>
      <c r="H674" s="650">
        <v>0</v>
      </c>
      <c r="I674" s="651">
        <v>1.4198299999999999</v>
      </c>
      <c r="J674" s="651">
        <v>0.11849999999999999</v>
      </c>
      <c r="K674" s="651">
        <v>1.53833</v>
      </c>
    </row>
    <row r="675" spans="1:11">
      <c r="A675" s="654" t="s">
        <v>6571</v>
      </c>
      <c r="B675" s="654" t="s">
        <v>4067</v>
      </c>
      <c r="C675" s="655">
        <v>237528866</v>
      </c>
      <c r="D675" s="655">
        <v>216693561</v>
      </c>
      <c r="E675" s="655">
        <v>237528866</v>
      </c>
      <c r="F675" s="655">
        <v>216693561</v>
      </c>
      <c r="G675" s="655">
        <v>20835305</v>
      </c>
      <c r="H675" s="650">
        <v>0</v>
      </c>
      <c r="I675" s="651">
        <v>1.5</v>
      </c>
      <c r="J675" s="651">
        <v>0.19639999999999999</v>
      </c>
      <c r="K675" s="651">
        <v>1.6963999999999999</v>
      </c>
    </row>
    <row r="676" spans="1:11">
      <c r="A676" s="654" t="s">
        <v>6572</v>
      </c>
      <c r="B676" s="654" t="s">
        <v>719</v>
      </c>
      <c r="C676" s="655">
        <v>74112889</v>
      </c>
      <c r="D676" s="655">
        <v>66702045</v>
      </c>
      <c r="E676" s="655">
        <v>74112889</v>
      </c>
      <c r="F676" s="655">
        <v>66702045</v>
      </c>
      <c r="G676" s="655">
        <v>7410844</v>
      </c>
      <c r="H676" s="650">
        <v>0</v>
      </c>
      <c r="I676" s="651">
        <v>1.4970000000000001</v>
      </c>
      <c r="J676" s="651">
        <v>0</v>
      </c>
      <c r="K676" s="651">
        <v>1.4970000000000001</v>
      </c>
    </row>
    <row r="677" spans="1:11">
      <c r="A677" s="654" t="s">
        <v>6573</v>
      </c>
      <c r="B677" s="654" t="s">
        <v>720</v>
      </c>
      <c r="C677" s="655">
        <v>113876569</v>
      </c>
      <c r="D677" s="655">
        <v>105155778</v>
      </c>
      <c r="E677" s="655">
        <v>113876569</v>
      </c>
      <c r="F677" s="655">
        <v>105155778</v>
      </c>
      <c r="G677" s="655">
        <v>8720791</v>
      </c>
      <c r="H677" s="650">
        <v>0</v>
      </c>
      <c r="I677" s="651">
        <v>1.45</v>
      </c>
      <c r="J677" s="651">
        <v>0</v>
      </c>
      <c r="K677" s="651">
        <v>1.45</v>
      </c>
    </row>
    <row r="678" spans="1:11">
      <c r="A678" s="654" t="s">
        <v>6574</v>
      </c>
      <c r="B678" s="654" t="s">
        <v>6110</v>
      </c>
      <c r="C678" s="655">
        <v>333170009</v>
      </c>
      <c r="D678" s="655">
        <v>312028640</v>
      </c>
      <c r="E678" s="655">
        <v>333170009</v>
      </c>
      <c r="F678" s="655">
        <v>312028640</v>
      </c>
      <c r="G678" s="655">
        <v>21141369</v>
      </c>
      <c r="H678" s="650">
        <v>0</v>
      </c>
      <c r="I678" s="651">
        <v>1.3323199999999999</v>
      </c>
      <c r="J678" s="651">
        <v>0.20566999999999999</v>
      </c>
      <c r="K678" s="651">
        <v>1.53799</v>
      </c>
    </row>
    <row r="679" spans="1:11">
      <c r="A679" s="654" t="s">
        <v>6575</v>
      </c>
      <c r="B679" s="654" t="s">
        <v>2644</v>
      </c>
      <c r="C679" s="655">
        <v>415870170</v>
      </c>
      <c r="D679" s="655">
        <v>391063028</v>
      </c>
      <c r="E679" s="655">
        <v>415870170</v>
      </c>
      <c r="F679" s="655">
        <v>391063028</v>
      </c>
      <c r="G679" s="655">
        <v>24807142</v>
      </c>
      <c r="H679" s="650">
        <v>0</v>
      </c>
      <c r="I679" s="651">
        <v>1.5</v>
      </c>
      <c r="J679" s="651">
        <v>0.14696100000000001</v>
      </c>
      <c r="K679" s="651">
        <v>1.64696</v>
      </c>
    </row>
    <row r="680" spans="1:11">
      <c r="A680" s="654" t="s">
        <v>6576</v>
      </c>
      <c r="B680" s="654" t="s">
        <v>365</v>
      </c>
      <c r="C680" s="655">
        <v>319070079</v>
      </c>
      <c r="D680" s="655">
        <v>293542100</v>
      </c>
      <c r="E680" s="655">
        <v>319070079</v>
      </c>
      <c r="F680" s="655">
        <v>293542100</v>
      </c>
      <c r="G680" s="655">
        <v>25527979</v>
      </c>
      <c r="H680" s="650">
        <v>0</v>
      </c>
      <c r="I680" s="651">
        <v>1.5</v>
      </c>
      <c r="J680" s="651">
        <v>0.151</v>
      </c>
      <c r="K680" s="651">
        <v>1.651</v>
      </c>
    </row>
    <row r="681" spans="1:11">
      <c r="A681" s="654" t="s">
        <v>6577</v>
      </c>
      <c r="B681" s="654" t="s">
        <v>7664</v>
      </c>
      <c r="C681" s="655">
        <v>96924430</v>
      </c>
      <c r="D681" s="655">
        <v>92575505</v>
      </c>
      <c r="E681" s="655">
        <v>96924430</v>
      </c>
      <c r="F681" s="655">
        <v>92575505</v>
      </c>
      <c r="G681" s="655">
        <v>4348925</v>
      </c>
      <c r="H681" s="650">
        <v>0</v>
      </c>
      <c r="I681" s="651">
        <v>1.4196800000000001</v>
      </c>
      <c r="J681" s="651">
        <v>7.2398000000000004E-2</v>
      </c>
      <c r="K681" s="651">
        <v>1.49207</v>
      </c>
    </row>
    <row r="682" spans="1:11">
      <c r="A682" s="654" t="s">
        <v>6578</v>
      </c>
      <c r="B682" s="654" t="s">
        <v>721</v>
      </c>
      <c r="C682" s="655">
        <v>69026446</v>
      </c>
      <c r="D682" s="655">
        <v>66006206</v>
      </c>
      <c r="E682" s="655">
        <v>69026446</v>
      </c>
      <c r="F682" s="655">
        <v>66006206</v>
      </c>
      <c r="G682" s="655">
        <v>3020240</v>
      </c>
      <c r="H682" s="650">
        <v>0</v>
      </c>
      <c r="I682" s="651">
        <v>1.5</v>
      </c>
      <c r="J682" s="651">
        <v>0</v>
      </c>
      <c r="K682" s="651">
        <v>1.5</v>
      </c>
    </row>
    <row r="683" spans="1:11">
      <c r="A683" s="654" t="s">
        <v>6579</v>
      </c>
      <c r="B683" s="654" t="s">
        <v>722</v>
      </c>
      <c r="C683" s="655">
        <v>28837051</v>
      </c>
      <c r="D683" s="655">
        <v>25652347</v>
      </c>
      <c r="E683" s="655">
        <v>28837051</v>
      </c>
      <c r="F683" s="655">
        <v>25652347</v>
      </c>
      <c r="G683" s="655">
        <v>3184704</v>
      </c>
      <c r="H683" s="650">
        <v>0</v>
      </c>
      <c r="I683" s="651">
        <v>1.4523999999999999</v>
      </c>
      <c r="J683" s="651">
        <v>0</v>
      </c>
      <c r="K683" s="651">
        <v>1.4523999999999999</v>
      </c>
    </row>
    <row r="684" spans="1:11">
      <c r="A684" s="654" t="s">
        <v>6580</v>
      </c>
      <c r="B684" s="654" t="s">
        <v>723</v>
      </c>
      <c r="C684" s="655">
        <v>290849926</v>
      </c>
      <c r="D684" s="655">
        <v>288796304</v>
      </c>
      <c r="E684" s="655">
        <v>290041876</v>
      </c>
      <c r="F684" s="655">
        <v>287988254</v>
      </c>
      <c r="G684" s="655">
        <v>2053622</v>
      </c>
      <c r="H684" s="655">
        <v>808050</v>
      </c>
      <c r="I684" s="651">
        <v>1.33</v>
      </c>
      <c r="J684" s="651">
        <v>0.15</v>
      </c>
      <c r="K684" s="651">
        <v>1.48</v>
      </c>
    </row>
    <row r="685" spans="1:11">
      <c r="A685" s="654" t="s">
        <v>6581</v>
      </c>
      <c r="B685" s="654" t="s">
        <v>999</v>
      </c>
      <c r="C685" s="655">
        <v>219560189</v>
      </c>
      <c r="D685" s="655">
        <v>201090739</v>
      </c>
      <c r="E685" s="655">
        <v>219560189</v>
      </c>
      <c r="F685" s="655">
        <v>201090739</v>
      </c>
      <c r="G685" s="655">
        <v>18469450</v>
      </c>
      <c r="H685" s="650">
        <v>0</v>
      </c>
      <c r="I685" s="651">
        <v>1.48</v>
      </c>
      <c r="J685" s="651">
        <v>0.05</v>
      </c>
      <c r="K685" s="651">
        <v>1.53</v>
      </c>
    </row>
    <row r="686" spans="1:11">
      <c r="A686" s="654" t="s">
        <v>6582</v>
      </c>
      <c r="B686" s="654" t="s">
        <v>1001</v>
      </c>
      <c r="C686" s="655">
        <v>61092460</v>
      </c>
      <c r="D686" s="655">
        <v>57948420</v>
      </c>
      <c r="E686" s="655">
        <v>61092460</v>
      </c>
      <c r="F686" s="655">
        <v>57948420</v>
      </c>
      <c r="G686" s="655">
        <v>3144040</v>
      </c>
      <c r="H686" s="650">
        <v>0</v>
      </c>
      <c r="I686" s="651">
        <v>1.42</v>
      </c>
      <c r="J686" s="651">
        <v>7.2999999999999995E-2</v>
      </c>
      <c r="K686" s="651">
        <v>1.4930000000000001</v>
      </c>
    </row>
    <row r="687" spans="1:11">
      <c r="A687" s="654" t="s">
        <v>6583</v>
      </c>
      <c r="B687" s="654" t="s">
        <v>505</v>
      </c>
      <c r="C687" s="655">
        <v>100234515</v>
      </c>
      <c r="D687" s="655">
        <v>89270095</v>
      </c>
      <c r="E687" s="655">
        <v>100234515</v>
      </c>
      <c r="F687" s="655">
        <v>89270095</v>
      </c>
      <c r="G687" s="655">
        <v>10964420</v>
      </c>
      <c r="H687" s="650">
        <v>0</v>
      </c>
      <c r="I687" s="651">
        <v>1.4693000000000001</v>
      </c>
      <c r="J687" s="651">
        <v>0.1217</v>
      </c>
      <c r="K687" s="651">
        <v>1.591</v>
      </c>
    </row>
    <row r="688" spans="1:11">
      <c r="A688" s="654" t="s">
        <v>6584</v>
      </c>
      <c r="B688" s="654" t="s">
        <v>3849</v>
      </c>
      <c r="C688" s="655">
        <v>298987380</v>
      </c>
      <c r="D688" s="655">
        <v>276346237</v>
      </c>
      <c r="E688" s="655">
        <v>298987380</v>
      </c>
      <c r="F688" s="655">
        <v>276346237</v>
      </c>
      <c r="G688" s="655">
        <v>22641143</v>
      </c>
      <c r="H688" s="650">
        <v>0</v>
      </c>
      <c r="I688" s="651">
        <v>1.5</v>
      </c>
      <c r="J688" s="651">
        <v>0.09</v>
      </c>
      <c r="K688" s="651">
        <v>1.59</v>
      </c>
    </row>
    <row r="689" spans="1:11">
      <c r="A689" s="654" t="s">
        <v>6585</v>
      </c>
      <c r="B689" s="654" t="s">
        <v>6079</v>
      </c>
      <c r="C689" s="655">
        <v>572609194</v>
      </c>
      <c r="D689" s="655">
        <v>535784091</v>
      </c>
      <c r="E689" s="655">
        <v>572609194</v>
      </c>
      <c r="F689" s="655">
        <v>535784091</v>
      </c>
      <c r="G689" s="655">
        <v>36825103</v>
      </c>
      <c r="H689" s="650">
        <v>0</v>
      </c>
      <c r="I689" s="651">
        <v>1.4275</v>
      </c>
      <c r="J689" s="651">
        <v>0.14749999999999999</v>
      </c>
      <c r="K689" s="651">
        <v>1.575</v>
      </c>
    </row>
    <row r="690" spans="1:11">
      <c r="A690" s="654" t="s">
        <v>6586</v>
      </c>
      <c r="B690" s="654" t="s">
        <v>724</v>
      </c>
      <c r="C690" s="655">
        <v>90761917</v>
      </c>
      <c r="D690" s="655">
        <v>84881217</v>
      </c>
      <c r="E690" s="655">
        <v>90761917</v>
      </c>
      <c r="F690" s="655">
        <v>84881217</v>
      </c>
      <c r="G690" s="655">
        <v>5880700</v>
      </c>
      <c r="H690" s="650">
        <v>0</v>
      </c>
      <c r="I690" s="651">
        <v>1.5</v>
      </c>
      <c r="J690" s="651">
        <v>0</v>
      </c>
      <c r="K690" s="651">
        <v>1.5</v>
      </c>
    </row>
    <row r="691" spans="1:11">
      <c r="A691" s="654" t="s">
        <v>6587</v>
      </c>
      <c r="B691" s="654" t="s">
        <v>497</v>
      </c>
      <c r="C691" s="655">
        <v>5235406059</v>
      </c>
      <c r="D691" s="655">
        <v>5004562302</v>
      </c>
      <c r="E691" s="655">
        <v>5117338983</v>
      </c>
      <c r="F691" s="655">
        <v>4886495226</v>
      </c>
      <c r="G691" s="655">
        <v>230843757</v>
      </c>
      <c r="H691" s="655">
        <v>118067076</v>
      </c>
      <c r="I691" s="651">
        <v>1.5</v>
      </c>
      <c r="J691" s="651">
        <v>0.14249999999999999</v>
      </c>
      <c r="K691" s="651">
        <v>1.6425000000000001</v>
      </c>
    </row>
    <row r="692" spans="1:11">
      <c r="A692" s="654" t="s">
        <v>6588</v>
      </c>
      <c r="B692" s="654" t="s">
        <v>725</v>
      </c>
      <c r="C692" s="655">
        <v>302908022</v>
      </c>
      <c r="D692" s="655">
        <v>291752605</v>
      </c>
      <c r="E692" s="655">
        <v>293207878</v>
      </c>
      <c r="F692" s="655">
        <v>282052461</v>
      </c>
      <c r="G692" s="655">
        <v>11155417</v>
      </c>
      <c r="H692" s="655">
        <v>9700144</v>
      </c>
      <c r="I692" s="651">
        <v>1.5</v>
      </c>
      <c r="J692" s="651">
        <v>0.30161100000000002</v>
      </c>
      <c r="K692" s="651">
        <v>1.8016099999999999</v>
      </c>
    </row>
    <row r="693" spans="1:11">
      <c r="A693" s="654" t="s">
        <v>6589</v>
      </c>
      <c r="B693" s="654" t="s">
        <v>6098</v>
      </c>
      <c r="C693" s="655">
        <v>241859150</v>
      </c>
      <c r="D693" s="655">
        <v>221996690</v>
      </c>
      <c r="E693" s="655">
        <v>241859150</v>
      </c>
      <c r="F693" s="655">
        <v>221996690</v>
      </c>
      <c r="G693" s="655">
        <v>19862460</v>
      </c>
      <c r="H693" s="650">
        <v>0</v>
      </c>
      <c r="I693" s="651">
        <v>1.405</v>
      </c>
      <c r="J693" s="651">
        <v>0.29499999999999998</v>
      </c>
      <c r="K693" s="651">
        <v>1.7</v>
      </c>
    </row>
    <row r="694" spans="1:11">
      <c r="A694" s="654" t="s">
        <v>6590</v>
      </c>
      <c r="B694" s="654" t="s">
        <v>726</v>
      </c>
      <c r="C694" s="655">
        <v>52791891</v>
      </c>
      <c r="D694" s="655">
        <v>50294451</v>
      </c>
      <c r="E694" s="655">
        <v>52791891</v>
      </c>
      <c r="F694" s="655">
        <v>50294451</v>
      </c>
      <c r="G694" s="655">
        <v>2497440</v>
      </c>
      <c r="H694" s="650">
        <v>0</v>
      </c>
      <c r="I694" s="651">
        <v>1.4832000000000001</v>
      </c>
      <c r="J694" s="651">
        <v>0</v>
      </c>
      <c r="K694" s="651">
        <v>1.4832000000000001</v>
      </c>
    </row>
    <row r="695" spans="1:11">
      <c r="A695" s="654" t="s">
        <v>6591</v>
      </c>
      <c r="B695" s="654" t="s">
        <v>727</v>
      </c>
      <c r="C695" s="655">
        <v>56475806</v>
      </c>
      <c r="D695" s="655">
        <v>51980606</v>
      </c>
      <c r="E695" s="655">
        <v>56475806</v>
      </c>
      <c r="F695" s="655">
        <v>51980606</v>
      </c>
      <c r="G695" s="655">
        <v>4495200</v>
      </c>
      <c r="H695" s="650">
        <v>0</v>
      </c>
      <c r="I695" s="651">
        <v>1.5</v>
      </c>
      <c r="J695" s="651">
        <v>0</v>
      </c>
      <c r="K695" s="651">
        <v>1.5</v>
      </c>
    </row>
    <row r="696" spans="1:11">
      <c r="A696" s="654" t="s">
        <v>6592</v>
      </c>
      <c r="B696" s="654" t="s">
        <v>728</v>
      </c>
      <c r="C696" s="655">
        <v>617460495</v>
      </c>
      <c r="D696" s="655">
        <v>596138787</v>
      </c>
      <c r="E696" s="655">
        <v>617460495</v>
      </c>
      <c r="F696" s="655">
        <v>596138787</v>
      </c>
      <c r="G696" s="655">
        <v>21321708</v>
      </c>
      <c r="H696" s="650">
        <v>0</v>
      </c>
      <c r="I696" s="651">
        <v>1.4595</v>
      </c>
      <c r="J696" s="651">
        <v>0</v>
      </c>
      <c r="K696" s="651">
        <v>1.4595</v>
      </c>
    </row>
    <row r="697" spans="1:11">
      <c r="A697" s="654" t="s">
        <v>6593</v>
      </c>
      <c r="B697" s="654" t="s">
        <v>729</v>
      </c>
      <c r="C697" s="655">
        <v>89851536</v>
      </c>
      <c r="D697" s="655">
        <v>82918356</v>
      </c>
      <c r="E697" s="655">
        <v>89851536</v>
      </c>
      <c r="F697" s="655">
        <v>82918356</v>
      </c>
      <c r="G697" s="655">
        <v>6933180</v>
      </c>
      <c r="H697" s="650">
        <v>0</v>
      </c>
      <c r="I697" s="651">
        <v>1.41</v>
      </c>
      <c r="J697" s="651">
        <v>0.16</v>
      </c>
      <c r="K697" s="651">
        <v>1.57</v>
      </c>
    </row>
    <row r="698" spans="1:11">
      <c r="A698" s="654" t="s">
        <v>6594</v>
      </c>
      <c r="B698" s="654" t="s">
        <v>2144</v>
      </c>
      <c r="C698" s="655">
        <v>23101454</v>
      </c>
      <c r="D698" s="655">
        <v>21390659</v>
      </c>
      <c r="E698" s="655">
        <v>23101454</v>
      </c>
      <c r="F698" s="655">
        <v>21390659</v>
      </c>
      <c r="G698" s="655">
        <v>1710795</v>
      </c>
      <c r="H698" s="650">
        <v>0</v>
      </c>
      <c r="I698" s="651">
        <v>1.4850000000000001</v>
      </c>
      <c r="J698" s="651">
        <v>7.0000000000000007E-2</v>
      </c>
      <c r="K698" s="651">
        <v>1.5549999999999999</v>
      </c>
    </row>
    <row r="699" spans="1:11">
      <c r="A699" s="654" t="s">
        <v>6595</v>
      </c>
      <c r="B699" s="654" t="s">
        <v>4963</v>
      </c>
      <c r="C699" s="655">
        <v>112364637</v>
      </c>
      <c r="D699" s="655">
        <v>103734277</v>
      </c>
      <c r="E699" s="655">
        <v>112364637</v>
      </c>
      <c r="F699" s="655">
        <v>103734277</v>
      </c>
      <c r="G699" s="655">
        <v>8630360</v>
      </c>
      <c r="H699" s="650">
        <v>0</v>
      </c>
      <c r="I699" s="651">
        <v>1.2553000000000001</v>
      </c>
      <c r="J699" s="651">
        <v>0.1147</v>
      </c>
      <c r="K699" s="651">
        <v>1.37</v>
      </c>
    </row>
    <row r="700" spans="1:11">
      <c r="A700" s="654" t="s">
        <v>6596</v>
      </c>
      <c r="B700" s="654" t="s">
        <v>730</v>
      </c>
      <c r="C700" s="655">
        <v>41395558</v>
      </c>
      <c r="D700" s="655">
        <v>38954808</v>
      </c>
      <c r="E700" s="655">
        <v>41395558</v>
      </c>
      <c r="F700" s="655">
        <v>38954808</v>
      </c>
      <c r="G700" s="655">
        <v>2440750</v>
      </c>
      <c r="H700" s="650">
        <v>0</v>
      </c>
      <c r="I700" s="651">
        <v>1.37</v>
      </c>
      <c r="J700" s="651">
        <v>0</v>
      </c>
      <c r="K700" s="651">
        <v>1.37</v>
      </c>
    </row>
    <row r="701" spans="1:11">
      <c r="A701" s="654" t="s">
        <v>6597</v>
      </c>
      <c r="B701" s="654" t="s">
        <v>524</v>
      </c>
      <c r="C701" s="655">
        <v>19741431</v>
      </c>
      <c r="D701" s="655">
        <v>18805783</v>
      </c>
      <c r="E701" s="655">
        <v>19741431</v>
      </c>
      <c r="F701" s="655">
        <v>18805783</v>
      </c>
      <c r="G701" s="655">
        <v>935648</v>
      </c>
      <c r="H701" s="650">
        <v>0</v>
      </c>
      <c r="I701" s="651">
        <v>1.165</v>
      </c>
      <c r="J701" s="651">
        <v>0</v>
      </c>
      <c r="K701" s="651">
        <v>1.165</v>
      </c>
    </row>
    <row r="702" spans="1:11">
      <c r="A702" s="654" t="s">
        <v>6598</v>
      </c>
      <c r="B702" s="654" t="s">
        <v>351</v>
      </c>
      <c r="C702" s="655">
        <v>14618913</v>
      </c>
      <c r="D702" s="655">
        <v>13426738</v>
      </c>
      <c r="E702" s="655">
        <v>14618913</v>
      </c>
      <c r="F702" s="655">
        <v>13426738</v>
      </c>
      <c r="G702" s="655">
        <v>1192175</v>
      </c>
      <c r="H702" s="650">
        <v>0</v>
      </c>
      <c r="I702" s="651">
        <v>1.2749999999999999</v>
      </c>
      <c r="J702" s="651">
        <v>5.5E-2</v>
      </c>
      <c r="K702" s="651">
        <v>1.33</v>
      </c>
    </row>
    <row r="703" spans="1:11">
      <c r="A703" s="654" t="s">
        <v>6599</v>
      </c>
      <c r="B703" s="654" t="s">
        <v>525</v>
      </c>
      <c r="C703" s="655">
        <v>215273861</v>
      </c>
      <c r="D703" s="655">
        <v>204115396</v>
      </c>
      <c r="E703" s="655">
        <v>215273861</v>
      </c>
      <c r="F703" s="655">
        <v>204115396</v>
      </c>
      <c r="G703" s="655">
        <v>11158465</v>
      </c>
      <c r="H703" s="650">
        <v>0</v>
      </c>
      <c r="I703" s="651">
        <v>1.5</v>
      </c>
      <c r="J703" s="651">
        <v>0</v>
      </c>
      <c r="K703" s="651">
        <v>1.5</v>
      </c>
    </row>
    <row r="704" spans="1:11">
      <c r="A704" s="654" t="s">
        <v>6600</v>
      </c>
      <c r="B704" s="654" t="s">
        <v>526</v>
      </c>
      <c r="C704" s="655">
        <v>26864530</v>
      </c>
      <c r="D704" s="655">
        <v>24588550</v>
      </c>
      <c r="E704" s="655">
        <v>26864530</v>
      </c>
      <c r="F704" s="655">
        <v>24588550</v>
      </c>
      <c r="G704" s="655">
        <v>2275980</v>
      </c>
      <c r="H704" s="650">
        <v>0</v>
      </c>
      <c r="I704" s="651">
        <v>1.5</v>
      </c>
      <c r="J704" s="651">
        <v>0</v>
      </c>
      <c r="K704" s="651">
        <v>1.5</v>
      </c>
    </row>
    <row r="705" spans="1:11">
      <c r="A705" s="654" t="s">
        <v>6601</v>
      </c>
      <c r="B705" s="654" t="s">
        <v>527</v>
      </c>
      <c r="C705" s="655">
        <v>126504480</v>
      </c>
      <c r="D705" s="655">
        <v>124414950</v>
      </c>
      <c r="E705" s="655">
        <v>126504480</v>
      </c>
      <c r="F705" s="655">
        <v>124414950</v>
      </c>
      <c r="G705" s="655">
        <v>2089530</v>
      </c>
      <c r="H705" s="650">
        <v>0</v>
      </c>
      <c r="I705" s="651">
        <v>1.45</v>
      </c>
      <c r="J705" s="651">
        <v>0</v>
      </c>
      <c r="K705" s="651">
        <v>1.45</v>
      </c>
    </row>
    <row r="706" spans="1:11">
      <c r="A706" s="654" t="s">
        <v>6602</v>
      </c>
      <c r="B706" s="654" t="s">
        <v>528</v>
      </c>
      <c r="C706" s="655">
        <v>340303382</v>
      </c>
      <c r="D706" s="655">
        <v>312374887</v>
      </c>
      <c r="E706" s="655">
        <v>340303382</v>
      </c>
      <c r="F706" s="655">
        <v>312374887</v>
      </c>
      <c r="G706" s="655">
        <v>27928495</v>
      </c>
      <c r="H706" s="650">
        <v>0</v>
      </c>
      <c r="I706" s="651">
        <v>1.5</v>
      </c>
      <c r="J706" s="651">
        <v>0</v>
      </c>
      <c r="K706" s="651">
        <v>1.5</v>
      </c>
    </row>
    <row r="707" spans="1:11">
      <c r="A707" s="654" t="s">
        <v>6603</v>
      </c>
      <c r="B707" s="654" t="s">
        <v>529</v>
      </c>
      <c r="C707" s="655">
        <v>129193015</v>
      </c>
      <c r="D707" s="655">
        <v>117286535</v>
      </c>
      <c r="E707" s="655">
        <v>129193015</v>
      </c>
      <c r="F707" s="655">
        <v>117286535</v>
      </c>
      <c r="G707" s="655">
        <v>11906480</v>
      </c>
      <c r="H707" s="650">
        <v>0</v>
      </c>
      <c r="I707" s="651">
        <v>1.5</v>
      </c>
      <c r="J707" s="651">
        <v>0</v>
      </c>
      <c r="K707" s="651">
        <v>1.5</v>
      </c>
    </row>
    <row r="708" spans="1:11">
      <c r="A708" s="654" t="s">
        <v>6604</v>
      </c>
      <c r="B708" s="654" t="s">
        <v>530</v>
      </c>
      <c r="C708" s="655">
        <v>43690358</v>
      </c>
      <c r="D708" s="655">
        <v>41717498</v>
      </c>
      <c r="E708" s="655">
        <v>43690358</v>
      </c>
      <c r="F708" s="655">
        <v>41717498</v>
      </c>
      <c r="G708" s="655">
        <v>1972860</v>
      </c>
      <c r="H708" s="650">
        <v>0</v>
      </c>
      <c r="I708" s="651">
        <v>1.5</v>
      </c>
      <c r="J708" s="651">
        <v>0.26</v>
      </c>
      <c r="K708" s="651">
        <v>1.76</v>
      </c>
    </row>
    <row r="709" spans="1:11">
      <c r="A709" s="654" t="s">
        <v>6605</v>
      </c>
      <c r="B709" s="654" t="s">
        <v>531</v>
      </c>
      <c r="C709" s="655">
        <v>16904492</v>
      </c>
      <c r="D709" s="655">
        <v>15220722</v>
      </c>
      <c r="E709" s="655">
        <v>16904492</v>
      </c>
      <c r="F709" s="655">
        <v>15220722</v>
      </c>
      <c r="G709" s="655">
        <v>1683770</v>
      </c>
      <c r="H709" s="650">
        <v>0</v>
      </c>
      <c r="I709" s="651">
        <v>1.3</v>
      </c>
      <c r="J709" s="651">
        <v>0</v>
      </c>
      <c r="K709" s="651">
        <v>1.3</v>
      </c>
    </row>
    <row r="710" spans="1:11">
      <c r="A710" s="654" t="s">
        <v>6606</v>
      </c>
      <c r="B710" s="654" t="s">
        <v>532</v>
      </c>
      <c r="C710" s="655">
        <v>56822675</v>
      </c>
      <c r="D710" s="655">
        <v>54710005</v>
      </c>
      <c r="E710" s="655">
        <v>56822675</v>
      </c>
      <c r="F710" s="655">
        <v>54710005</v>
      </c>
      <c r="G710" s="655">
        <v>2112670</v>
      </c>
      <c r="H710" s="650">
        <v>0</v>
      </c>
      <c r="I710" s="651">
        <v>1.5</v>
      </c>
      <c r="J710" s="651">
        <v>0</v>
      </c>
      <c r="K710" s="651">
        <v>1.5</v>
      </c>
    </row>
    <row r="711" spans="1:11">
      <c r="A711" s="654" t="s">
        <v>6607</v>
      </c>
      <c r="B711" s="654" t="s">
        <v>533</v>
      </c>
      <c r="C711" s="655">
        <v>32404276</v>
      </c>
      <c r="D711" s="655">
        <v>29693706</v>
      </c>
      <c r="E711" s="655">
        <v>32404276</v>
      </c>
      <c r="F711" s="655">
        <v>29693706</v>
      </c>
      <c r="G711" s="655">
        <v>2710570</v>
      </c>
      <c r="H711" s="650">
        <v>0</v>
      </c>
      <c r="I711" s="651">
        <v>1.5</v>
      </c>
      <c r="J711" s="651">
        <v>0.1</v>
      </c>
      <c r="K711" s="651">
        <v>1.6</v>
      </c>
    </row>
    <row r="712" spans="1:11">
      <c r="A712" s="654" t="s">
        <v>6608</v>
      </c>
      <c r="B712" s="654" t="s">
        <v>534</v>
      </c>
      <c r="C712" s="655">
        <v>64360438</v>
      </c>
      <c r="D712" s="655">
        <v>59872816</v>
      </c>
      <c r="E712" s="655">
        <v>64360438</v>
      </c>
      <c r="F712" s="655">
        <v>59872816</v>
      </c>
      <c r="G712" s="655">
        <v>4487622</v>
      </c>
      <c r="H712" s="650">
        <v>0</v>
      </c>
      <c r="I712" s="651">
        <v>1.5</v>
      </c>
      <c r="J712" s="651">
        <v>0.16489999999999999</v>
      </c>
      <c r="K712" s="651">
        <v>1.6649</v>
      </c>
    </row>
    <row r="713" spans="1:11">
      <c r="A713" s="654" t="s">
        <v>6609</v>
      </c>
      <c r="B713" s="654" t="s">
        <v>2645</v>
      </c>
      <c r="C713" s="655">
        <v>12202162608</v>
      </c>
      <c r="D713" s="655">
        <v>11759584391</v>
      </c>
      <c r="E713" s="655">
        <v>12202162608</v>
      </c>
      <c r="F713" s="655">
        <v>11759584391</v>
      </c>
      <c r="G713" s="655">
        <v>442578217</v>
      </c>
      <c r="H713" s="650">
        <v>0</v>
      </c>
      <c r="I713" s="651">
        <v>1.5</v>
      </c>
      <c r="J713" s="651">
        <v>0.23250000000000001</v>
      </c>
      <c r="K713" s="651">
        <v>1.7324999999999999</v>
      </c>
    </row>
    <row r="714" spans="1:11">
      <c r="A714" s="654" t="s">
        <v>6610</v>
      </c>
      <c r="B714" s="654" t="s">
        <v>535</v>
      </c>
      <c r="C714" s="655">
        <v>2119987721</v>
      </c>
      <c r="D714" s="655">
        <v>2041430072</v>
      </c>
      <c r="E714" s="655">
        <v>2119987721</v>
      </c>
      <c r="F714" s="655">
        <v>2041430072</v>
      </c>
      <c r="G714" s="655">
        <v>78557649</v>
      </c>
      <c r="H714" s="650">
        <v>0</v>
      </c>
      <c r="I714" s="651">
        <v>1.4770000000000001</v>
      </c>
      <c r="J714" s="651">
        <v>0.183</v>
      </c>
      <c r="K714" s="651">
        <v>1.66</v>
      </c>
    </row>
    <row r="715" spans="1:11">
      <c r="A715" s="654" t="s">
        <v>6611</v>
      </c>
      <c r="B715" s="654" t="s">
        <v>2003</v>
      </c>
      <c r="C715" s="655">
        <v>1245197564</v>
      </c>
      <c r="D715" s="655">
        <v>1176821434</v>
      </c>
      <c r="E715" s="655">
        <v>1245197564</v>
      </c>
      <c r="F715" s="655">
        <v>1176821434</v>
      </c>
      <c r="G715" s="655">
        <v>68376130</v>
      </c>
      <c r="H715" s="650">
        <v>0</v>
      </c>
      <c r="I715" s="651">
        <v>1.46</v>
      </c>
      <c r="J715" s="651">
        <v>0.27500000000000002</v>
      </c>
      <c r="K715" s="651">
        <v>1.7350000000000001</v>
      </c>
    </row>
    <row r="716" spans="1:11">
      <c r="A716" s="654" t="s">
        <v>6612</v>
      </c>
      <c r="B716" s="654" t="s">
        <v>6060</v>
      </c>
      <c r="C716" s="655">
        <v>1837136973</v>
      </c>
      <c r="D716" s="655">
        <v>1741772960</v>
      </c>
      <c r="E716" s="655">
        <v>1837136973</v>
      </c>
      <c r="F716" s="655">
        <v>1741772960</v>
      </c>
      <c r="G716" s="655">
        <v>95364013</v>
      </c>
      <c r="H716" s="650">
        <v>0</v>
      </c>
      <c r="I716" s="651">
        <v>1.45</v>
      </c>
      <c r="J716" s="651">
        <v>0.23</v>
      </c>
      <c r="K716" s="651">
        <v>1.68</v>
      </c>
    </row>
    <row r="717" spans="1:11">
      <c r="A717" s="654" t="s">
        <v>6613</v>
      </c>
      <c r="B717" s="654" t="s">
        <v>2350</v>
      </c>
      <c r="C717" s="655">
        <v>244212041</v>
      </c>
      <c r="D717" s="655">
        <v>219538751</v>
      </c>
      <c r="E717" s="655">
        <v>244212041</v>
      </c>
      <c r="F717" s="655">
        <v>219538751</v>
      </c>
      <c r="G717" s="655">
        <v>24673290</v>
      </c>
      <c r="H717" s="650">
        <v>0</v>
      </c>
      <c r="I717" s="651">
        <v>1.5</v>
      </c>
      <c r="J717" s="651">
        <v>0.23</v>
      </c>
      <c r="K717" s="651">
        <v>1.73</v>
      </c>
    </row>
    <row r="718" spans="1:11">
      <c r="A718" s="654" t="s">
        <v>6614</v>
      </c>
      <c r="B718" s="654" t="s">
        <v>1933</v>
      </c>
      <c r="C718" s="655">
        <v>1158052334</v>
      </c>
      <c r="D718" s="655">
        <v>1088807177</v>
      </c>
      <c r="E718" s="655">
        <v>1158052334</v>
      </c>
      <c r="F718" s="655">
        <v>1088807177</v>
      </c>
      <c r="G718" s="655">
        <v>69245157</v>
      </c>
      <c r="H718" s="650">
        <v>0</v>
      </c>
      <c r="I718" s="651">
        <v>1.48</v>
      </c>
      <c r="J718" s="651">
        <v>0.28999999999999998</v>
      </c>
      <c r="K718" s="651">
        <v>1.77</v>
      </c>
    </row>
    <row r="719" spans="1:11">
      <c r="A719" s="654" t="s">
        <v>6615</v>
      </c>
      <c r="B719" s="654" t="s">
        <v>536</v>
      </c>
      <c r="C719" s="655">
        <v>1517820090</v>
      </c>
      <c r="D719" s="655">
        <v>1484049250</v>
      </c>
      <c r="E719" s="655">
        <v>1493166472</v>
      </c>
      <c r="F719" s="655">
        <v>1459395632</v>
      </c>
      <c r="G719" s="655">
        <v>33770840</v>
      </c>
      <c r="H719" s="655">
        <v>24653618</v>
      </c>
      <c r="I719" s="651">
        <v>1.3585</v>
      </c>
      <c r="J719" s="651">
        <v>4.48E-2</v>
      </c>
      <c r="K719" s="651">
        <v>1.4033</v>
      </c>
    </row>
    <row r="720" spans="1:11">
      <c r="A720" s="654" t="s">
        <v>6616</v>
      </c>
      <c r="B720" s="654" t="s">
        <v>537</v>
      </c>
      <c r="C720" s="655">
        <v>248141420</v>
      </c>
      <c r="D720" s="655">
        <v>243766720</v>
      </c>
      <c r="E720" s="655">
        <v>248141420</v>
      </c>
      <c r="F720" s="655">
        <v>243766720</v>
      </c>
      <c r="G720" s="655">
        <v>4374700</v>
      </c>
      <c r="H720" s="650">
        <v>0</v>
      </c>
      <c r="I720" s="651">
        <v>1.4653</v>
      </c>
      <c r="J720" s="651">
        <v>0.15049999999999999</v>
      </c>
      <c r="K720" s="651">
        <v>1.6157999999999999</v>
      </c>
    </row>
    <row r="721" spans="1:11">
      <c r="A721" s="654" t="s">
        <v>6617</v>
      </c>
      <c r="B721" s="654" t="s">
        <v>538</v>
      </c>
      <c r="C721" s="655">
        <v>662614746</v>
      </c>
      <c r="D721" s="655">
        <v>638158355</v>
      </c>
      <c r="E721" s="655">
        <v>650610844</v>
      </c>
      <c r="F721" s="655">
        <v>626154453</v>
      </c>
      <c r="G721" s="655">
        <v>24456391</v>
      </c>
      <c r="H721" s="655">
        <v>12003902</v>
      </c>
      <c r="I721" s="651">
        <v>1.5</v>
      </c>
      <c r="J721" s="651">
        <v>0.1318</v>
      </c>
      <c r="K721" s="651">
        <v>1.6317999999999999</v>
      </c>
    </row>
    <row r="722" spans="1:11">
      <c r="A722" s="654" t="s">
        <v>6618</v>
      </c>
      <c r="B722" s="654" t="s">
        <v>6619</v>
      </c>
      <c r="C722" s="655">
        <v>140335475</v>
      </c>
      <c r="D722" s="655">
        <v>126327955</v>
      </c>
      <c r="E722" s="655">
        <v>140335475</v>
      </c>
      <c r="F722" s="655">
        <v>126327955</v>
      </c>
      <c r="G722" s="655">
        <v>14007520</v>
      </c>
      <c r="H722" s="650">
        <v>0</v>
      </c>
      <c r="I722" s="651">
        <v>1.39924</v>
      </c>
      <c r="J722" s="651">
        <v>0</v>
      </c>
      <c r="K722" s="651">
        <v>1.39924</v>
      </c>
    </row>
    <row r="723" spans="1:11">
      <c r="A723" s="654" t="s">
        <v>6620</v>
      </c>
      <c r="B723" s="654" t="s">
        <v>540</v>
      </c>
      <c r="C723" s="655">
        <v>62502509</v>
      </c>
      <c r="D723" s="655">
        <v>59034708</v>
      </c>
      <c r="E723" s="655">
        <v>62502509</v>
      </c>
      <c r="F723" s="655">
        <v>59034708</v>
      </c>
      <c r="G723" s="655">
        <v>3467801</v>
      </c>
      <c r="H723" s="650">
        <v>0</v>
      </c>
      <c r="I723" s="651">
        <v>1.49594</v>
      </c>
      <c r="J723" s="651">
        <v>0</v>
      </c>
      <c r="K723" s="651">
        <v>1.49594</v>
      </c>
    </row>
    <row r="724" spans="1:11">
      <c r="A724" s="654" t="s">
        <v>6621</v>
      </c>
      <c r="B724" s="654" t="s">
        <v>6111</v>
      </c>
      <c r="C724" s="655">
        <v>39654398</v>
      </c>
      <c r="D724" s="655">
        <v>35742538</v>
      </c>
      <c r="E724" s="655">
        <v>37904063</v>
      </c>
      <c r="F724" s="655">
        <v>33992203</v>
      </c>
      <c r="G724" s="655">
        <v>3911860</v>
      </c>
      <c r="H724" s="655">
        <v>1750335</v>
      </c>
      <c r="I724" s="651">
        <v>1.5</v>
      </c>
      <c r="J724" s="651">
        <v>6.0199999999999997E-2</v>
      </c>
      <c r="K724" s="651">
        <v>1.5602</v>
      </c>
    </row>
    <row r="725" spans="1:11">
      <c r="A725" s="654" t="s">
        <v>6622</v>
      </c>
      <c r="B725" s="654" t="s">
        <v>541</v>
      </c>
      <c r="C725" s="655">
        <v>213019073</v>
      </c>
      <c r="D725" s="655">
        <v>204973763</v>
      </c>
      <c r="E725" s="655">
        <v>209399923</v>
      </c>
      <c r="F725" s="655">
        <v>201354613</v>
      </c>
      <c r="G725" s="655">
        <v>8045310</v>
      </c>
      <c r="H725" s="655">
        <v>3619150</v>
      </c>
      <c r="I725" s="651">
        <v>1.5</v>
      </c>
      <c r="J725" s="651">
        <v>0</v>
      </c>
      <c r="K725" s="651">
        <v>1.5</v>
      </c>
    </row>
    <row r="726" spans="1:11">
      <c r="A726" s="654" t="s">
        <v>6623</v>
      </c>
      <c r="B726" s="654" t="s">
        <v>123</v>
      </c>
      <c r="C726" s="655">
        <v>136176649</v>
      </c>
      <c r="D726" s="655">
        <v>128504629</v>
      </c>
      <c r="E726" s="655">
        <v>132290764</v>
      </c>
      <c r="F726" s="655">
        <v>124618744</v>
      </c>
      <c r="G726" s="655">
        <v>7672020</v>
      </c>
      <c r="H726" s="655">
        <v>3885885</v>
      </c>
      <c r="I726" s="651">
        <v>1.37</v>
      </c>
      <c r="J726" s="651">
        <v>0.06</v>
      </c>
      <c r="K726" s="651">
        <v>1.43</v>
      </c>
    </row>
    <row r="727" spans="1:11">
      <c r="A727" s="654" t="s">
        <v>6624</v>
      </c>
      <c r="B727" s="654" t="s">
        <v>542</v>
      </c>
      <c r="C727" s="655">
        <v>1481216807</v>
      </c>
      <c r="D727" s="655">
        <v>1404641337</v>
      </c>
      <c r="E727" s="655">
        <v>1415985362</v>
      </c>
      <c r="F727" s="655">
        <v>1339409892</v>
      </c>
      <c r="G727" s="655">
        <v>76575470</v>
      </c>
      <c r="H727" s="655">
        <v>65231445</v>
      </c>
      <c r="I727" s="651">
        <v>1.5</v>
      </c>
      <c r="J727" s="651">
        <v>0.21</v>
      </c>
      <c r="K727" s="651">
        <v>1.71</v>
      </c>
    </row>
    <row r="728" spans="1:11">
      <c r="A728" s="654" t="s">
        <v>6625</v>
      </c>
      <c r="B728" s="654" t="s">
        <v>2006</v>
      </c>
      <c r="C728" s="655">
        <v>91221298</v>
      </c>
      <c r="D728" s="655">
        <v>84395768</v>
      </c>
      <c r="E728" s="655">
        <v>87435113</v>
      </c>
      <c r="F728" s="655">
        <v>80609583</v>
      </c>
      <c r="G728" s="655">
        <v>6825530</v>
      </c>
      <c r="H728" s="655">
        <v>3786185</v>
      </c>
      <c r="I728" s="651">
        <v>1.4870000000000001</v>
      </c>
      <c r="J728" s="651">
        <v>3.0000000000000001E-3</v>
      </c>
      <c r="K728" s="651">
        <v>1.49</v>
      </c>
    </row>
    <row r="729" spans="1:11">
      <c r="A729" s="654" t="s">
        <v>6626</v>
      </c>
      <c r="B729" s="654" t="s">
        <v>543</v>
      </c>
      <c r="C729" s="655">
        <v>72179317</v>
      </c>
      <c r="D729" s="655">
        <v>65055027</v>
      </c>
      <c r="E729" s="655">
        <v>67922452</v>
      </c>
      <c r="F729" s="655">
        <v>60798162</v>
      </c>
      <c r="G729" s="655">
        <v>7124290</v>
      </c>
      <c r="H729" s="655">
        <v>4256865</v>
      </c>
      <c r="I729" s="651">
        <v>1.5</v>
      </c>
      <c r="J729" s="651">
        <v>0</v>
      </c>
      <c r="K729" s="651">
        <v>1.5</v>
      </c>
    </row>
    <row r="730" spans="1:11">
      <c r="A730" s="654" t="s">
        <v>6627</v>
      </c>
      <c r="B730" s="654" t="s">
        <v>544</v>
      </c>
      <c r="C730" s="655">
        <v>33405357</v>
      </c>
      <c r="D730" s="655">
        <v>30049897</v>
      </c>
      <c r="E730" s="655">
        <v>31389187</v>
      </c>
      <c r="F730" s="655">
        <v>28033727</v>
      </c>
      <c r="G730" s="655">
        <v>3355460</v>
      </c>
      <c r="H730" s="655">
        <v>2016170</v>
      </c>
      <c r="I730" s="651">
        <v>1.5</v>
      </c>
      <c r="J730" s="651">
        <v>0.124</v>
      </c>
      <c r="K730" s="651">
        <v>1.6240000000000001</v>
      </c>
    </row>
    <row r="731" spans="1:11">
      <c r="A731" s="654" t="s">
        <v>6628</v>
      </c>
      <c r="B731" s="654" t="s">
        <v>1929</v>
      </c>
      <c r="C731" s="655">
        <v>39998826</v>
      </c>
      <c r="D731" s="655">
        <v>35946896</v>
      </c>
      <c r="E731" s="655">
        <v>38028651</v>
      </c>
      <c r="F731" s="655">
        <v>33976721</v>
      </c>
      <c r="G731" s="655">
        <v>4051930</v>
      </c>
      <c r="H731" s="655">
        <v>1970175</v>
      </c>
      <c r="I731" s="651">
        <v>1.5</v>
      </c>
      <c r="J731" s="651">
        <v>0</v>
      </c>
      <c r="K731" s="651">
        <v>1.5</v>
      </c>
    </row>
    <row r="732" spans="1:11">
      <c r="A732" s="654" t="s">
        <v>6629</v>
      </c>
      <c r="B732" s="654" t="s">
        <v>545</v>
      </c>
      <c r="C732" s="655">
        <v>97947013</v>
      </c>
      <c r="D732" s="655">
        <v>93144343</v>
      </c>
      <c r="E732" s="655">
        <v>94122343</v>
      </c>
      <c r="F732" s="655">
        <v>89319673</v>
      </c>
      <c r="G732" s="655">
        <v>4802670</v>
      </c>
      <c r="H732" s="655">
        <v>3824670</v>
      </c>
      <c r="I732" s="651">
        <v>1.5</v>
      </c>
      <c r="J732" s="651">
        <v>0</v>
      </c>
      <c r="K732" s="651">
        <v>1.5</v>
      </c>
    </row>
    <row r="733" spans="1:11">
      <c r="A733" s="654" t="s">
        <v>6630</v>
      </c>
      <c r="B733" s="654" t="s">
        <v>546</v>
      </c>
      <c r="C733" s="655">
        <v>95044647</v>
      </c>
      <c r="D733" s="655">
        <v>84637337</v>
      </c>
      <c r="E733" s="655">
        <v>95044647</v>
      </c>
      <c r="F733" s="655">
        <v>84637337</v>
      </c>
      <c r="G733" s="655">
        <v>10407310</v>
      </c>
      <c r="H733" s="650">
        <v>0</v>
      </c>
      <c r="I733" s="651">
        <v>1.48</v>
      </c>
      <c r="J733" s="651">
        <v>8.8499999999999995E-2</v>
      </c>
      <c r="K733" s="651">
        <v>1.5685</v>
      </c>
    </row>
    <row r="734" spans="1:11">
      <c r="A734" s="654" t="s">
        <v>6631</v>
      </c>
      <c r="B734" s="654" t="s">
        <v>2649</v>
      </c>
      <c r="C734" s="655">
        <v>963825791</v>
      </c>
      <c r="D734" s="655">
        <v>910604025</v>
      </c>
      <c r="E734" s="655">
        <v>963825791</v>
      </c>
      <c r="F734" s="655">
        <v>910604025</v>
      </c>
      <c r="G734" s="655">
        <v>53221766</v>
      </c>
      <c r="H734" s="650">
        <v>0</v>
      </c>
      <c r="I734" s="651">
        <v>1.3808</v>
      </c>
      <c r="J734" s="651">
        <v>0.29380000000000001</v>
      </c>
      <c r="K734" s="651">
        <v>1.6746000000000001</v>
      </c>
    </row>
    <row r="735" spans="1:11">
      <c r="A735" s="654" t="s">
        <v>6632</v>
      </c>
      <c r="B735" s="654" t="s">
        <v>993</v>
      </c>
      <c r="C735" s="655">
        <v>58717956</v>
      </c>
      <c r="D735" s="655">
        <v>52221066</v>
      </c>
      <c r="E735" s="655">
        <v>58717956</v>
      </c>
      <c r="F735" s="655">
        <v>52221066</v>
      </c>
      <c r="G735" s="655">
        <v>6496890</v>
      </c>
      <c r="H735" s="650">
        <v>0</v>
      </c>
      <c r="I735" s="651">
        <v>1.5</v>
      </c>
      <c r="J735" s="651">
        <v>0</v>
      </c>
      <c r="K735" s="651">
        <v>1.5</v>
      </c>
    </row>
    <row r="736" spans="1:11">
      <c r="A736" s="654" t="s">
        <v>4197</v>
      </c>
      <c r="B736" s="654" t="s">
        <v>547</v>
      </c>
      <c r="C736" s="655">
        <v>45140074</v>
      </c>
      <c r="D736" s="655">
        <v>40844134</v>
      </c>
      <c r="E736" s="655">
        <v>45140074</v>
      </c>
      <c r="F736" s="655">
        <v>40844134</v>
      </c>
      <c r="G736" s="655">
        <v>4295940</v>
      </c>
      <c r="H736" s="650">
        <v>0</v>
      </c>
      <c r="I736" s="651">
        <v>1.5</v>
      </c>
      <c r="J736" s="651">
        <v>6.5000000000000002E-2</v>
      </c>
      <c r="K736" s="651">
        <v>1.5649999999999999</v>
      </c>
    </row>
    <row r="737" spans="1:11">
      <c r="A737" s="654" t="s">
        <v>4198</v>
      </c>
      <c r="B737" s="654" t="s">
        <v>1919</v>
      </c>
      <c r="C737" s="655">
        <v>131403314</v>
      </c>
      <c r="D737" s="655">
        <v>123640684</v>
      </c>
      <c r="E737" s="655">
        <v>131403314</v>
      </c>
      <c r="F737" s="655">
        <v>123640684</v>
      </c>
      <c r="G737" s="655">
        <v>7762630</v>
      </c>
      <c r="H737" s="650">
        <v>0</v>
      </c>
      <c r="I737" s="651">
        <v>1.35</v>
      </c>
      <c r="J737" s="651">
        <v>0.05</v>
      </c>
      <c r="K737" s="651">
        <v>1.4</v>
      </c>
    </row>
    <row r="738" spans="1:11">
      <c r="A738" s="654" t="s">
        <v>4199</v>
      </c>
      <c r="B738" s="654" t="s">
        <v>548</v>
      </c>
      <c r="C738" s="655">
        <v>188576351</v>
      </c>
      <c r="D738" s="655">
        <v>182071861</v>
      </c>
      <c r="E738" s="655">
        <v>188576351</v>
      </c>
      <c r="F738" s="655">
        <v>182071861</v>
      </c>
      <c r="G738" s="655">
        <v>6504490</v>
      </c>
      <c r="H738" s="650">
        <v>0</v>
      </c>
      <c r="I738" s="651">
        <v>1.3131999999999999</v>
      </c>
      <c r="J738" s="651">
        <v>0.10879999999999999</v>
      </c>
      <c r="K738" s="651">
        <v>1.4219999999999999</v>
      </c>
    </row>
    <row r="739" spans="1:11">
      <c r="A739" s="654" t="s">
        <v>4200</v>
      </c>
      <c r="B739" s="654" t="s">
        <v>358</v>
      </c>
      <c r="C739" s="655">
        <v>57952966</v>
      </c>
      <c r="D739" s="655">
        <v>53260706</v>
      </c>
      <c r="E739" s="655">
        <v>57952966</v>
      </c>
      <c r="F739" s="655">
        <v>53260706</v>
      </c>
      <c r="G739" s="655">
        <v>4692260</v>
      </c>
      <c r="H739" s="650">
        <v>0</v>
      </c>
      <c r="I739" s="651">
        <v>1.4377</v>
      </c>
      <c r="J739" s="651">
        <v>0.15190000000000001</v>
      </c>
      <c r="K739" s="651">
        <v>1.5895999999999999</v>
      </c>
    </row>
    <row r="740" spans="1:11">
      <c r="A740" s="654" t="s">
        <v>4201</v>
      </c>
      <c r="B740" s="654" t="s">
        <v>549</v>
      </c>
      <c r="C740" s="655">
        <v>134474927</v>
      </c>
      <c r="D740" s="655">
        <v>127348770</v>
      </c>
      <c r="E740" s="655">
        <v>131448441</v>
      </c>
      <c r="F740" s="655">
        <v>124322284</v>
      </c>
      <c r="G740" s="655">
        <v>7126157</v>
      </c>
      <c r="H740" s="655">
        <v>3026486</v>
      </c>
      <c r="I740" s="651">
        <v>1.4861</v>
      </c>
      <c r="J740" s="651">
        <v>0.19309999999999999</v>
      </c>
      <c r="K740" s="651">
        <v>1.6792</v>
      </c>
    </row>
    <row r="741" spans="1:11">
      <c r="A741" s="654" t="s">
        <v>4202</v>
      </c>
      <c r="B741" s="654" t="s">
        <v>1936</v>
      </c>
      <c r="C741" s="655">
        <v>170014822</v>
      </c>
      <c r="D741" s="655">
        <v>153455592</v>
      </c>
      <c r="E741" s="655">
        <v>165002468</v>
      </c>
      <c r="F741" s="655">
        <v>148443238</v>
      </c>
      <c r="G741" s="655">
        <v>16559230</v>
      </c>
      <c r="H741" s="655">
        <v>5012354</v>
      </c>
      <c r="I741" s="651">
        <v>1.4082399999999999</v>
      </c>
      <c r="J741" s="651">
        <v>0.22176000000000001</v>
      </c>
      <c r="K741" s="651">
        <v>1.63</v>
      </c>
    </row>
    <row r="742" spans="1:11">
      <c r="A742" s="654" t="s">
        <v>4203</v>
      </c>
      <c r="B742" s="654" t="s">
        <v>1000</v>
      </c>
      <c r="C742" s="655">
        <v>386564194</v>
      </c>
      <c r="D742" s="655">
        <v>377602086</v>
      </c>
      <c r="E742" s="655">
        <v>383496714</v>
      </c>
      <c r="F742" s="655">
        <v>374534606</v>
      </c>
      <c r="G742" s="655">
        <v>8962108</v>
      </c>
      <c r="H742" s="655">
        <v>3067480</v>
      </c>
      <c r="I742" s="651">
        <v>1.46</v>
      </c>
      <c r="J742" s="651">
        <v>0.26</v>
      </c>
      <c r="K742" s="651">
        <v>1.72</v>
      </c>
    </row>
    <row r="743" spans="1:11">
      <c r="A743" s="654" t="s">
        <v>4204</v>
      </c>
      <c r="B743" s="654" t="s">
        <v>369</v>
      </c>
      <c r="C743" s="655">
        <v>58025882</v>
      </c>
      <c r="D743" s="655">
        <v>53839981</v>
      </c>
      <c r="E743" s="655">
        <v>58025882</v>
      </c>
      <c r="F743" s="655">
        <v>53839981</v>
      </c>
      <c r="G743" s="655">
        <v>4185901</v>
      </c>
      <c r="H743" s="650">
        <v>0</v>
      </c>
      <c r="I743" s="651">
        <v>1.5</v>
      </c>
      <c r="J743" s="651">
        <v>0.09</v>
      </c>
      <c r="K743" s="651">
        <v>1.59</v>
      </c>
    </row>
    <row r="744" spans="1:11">
      <c r="A744" s="654" t="s">
        <v>4205</v>
      </c>
      <c r="B744" s="654" t="s">
        <v>550</v>
      </c>
      <c r="C744" s="655">
        <v>421953294</v>
      </c>
      <c r="D744" s="655">
        <v>394672019</v>
      </c>
      <c r="E744" s="655">
        <v>421953294</v>
      </c>
      <c r="F744" s="655">
        <v>394672019</v>
      </c>
      <c r="G744" s="655">
        <v>27281275</v>
      </c>
      <c r="H744" s="650">
        <v>0</v>
      </c>
      <c r="I744" s="651">
        <v>1.5</v>
      </c>
      <c r="J744" s="651">
        <v>8.3400000000000002E-2</v>
      </c>
      <c r="K744" s="651">
        <v>1.5833999999999999</v>
      </c>
    </row>
    <row r="745" spans="1:11">
      <c r="A745" s="654" t="s">
        <v>4206</v>
      </c>
      <c r="B745" s="654" t="s">
        <v>4207</v>
      </c>
      <c r="C745" s="655">
        <v>122722876</v>
      </c>
      <c r="D745" s="655">
        <v>120089704</v>
      </c>
      <c r="E745" s="655">
        <v>122722876</v>
      </c>
      <c r="F745" s="655">
        <v>120089704</v>
      </c>
      <c r="G745" s="655">
        <v>2633172</v>
      </c>
      <c r="H745" s="650">
        <v>0</v>
      </c>
      <c r="I745" s="651">
        <v>1.5</v>
      </c>
      <c r="J745" s="651">
        <v>0</v>
      </c>
      <c r="K745" s="651">
        <v>1.5</v>
      </c>
    </row>
    <row r="746" spans="1:11">
      <c r="A746" s="654" t="s">
        <v>4208</v>
      </c>
      <c r="B746" s="654" t="s">
        <v>552</v>
      </c>
      <c r="C746" s="655">
        <v>72186574</v>
      </c>
      <c r="D746" s="655">
        <v>71223274</v>
      </c>
      <c r="E746" s="655">
        <v>72186574</v>
      </c>
      <c r="F746" s="655">
        <v>71223274</v>
      </c>
      <c r="G746" s="655">
        <v>963300</v>
      </c>
      <c r="H746" s="650">
        <v>0</v>
      </c>
      <c r="I746" s="651">
        <v>1.5</v>
      </c>
      <c r="J746" s="651">
        <v>0.11</v>
      </c>
      <c r="K746" s="651">
        <v>1.61</v>
      </c>
    </row>
    <row r="747" spans="1:11">
      <c r="A747" s="654" t="s">
        <v>4209</v>
      </c>
      <c r="B747" s="654" t="s">
        <v>553</v>
      </c>
      <c r="C747" s="655">
        <v>79532848</v>
      </c>
      <c r="D747" s="655">
        <v>76462577</v>
      </c>
      <c r="E747" s="655">
        <v>79532848</v>
      </c>
      <c r="F747" s="655">
        <v>76462577</v>
      </c>
      <c r="G747" s="655">
        <v>3070271</v>
      </c>
      <c r="H747" s="650">
        <v>0</v>
      </c>
      <c r="I747" s="651">
        <v>1.5</v>
      </c>
      <c r="J747" s="651">
        <v>0.25990999999999997</v>
      </c>
      <c r="K747" s="651">
        <v>1.7599100000000001</v>
      </c>
    </row>
    <row r="748" spans="1:11">
      <c r="A748" s="654" t="s">
        <v>4210</v>
      </c>
      <c r="B748" s="654" t="s">
        <v>4211</v>
      </c>
      <c r="C748" s="655">
        <v>477683526</v>
      </c>
      <c r="D748" s="655">
        <v>465113702</v>
      </c>
      <c r="E748" s="655">
        <v>471445975</v>
      </c>
      <c r="F748" s="655">
        <v>458876151</v>
      </c>
      <c r="G748" s="655">
        <v>12569824</v>
      </c>
      <c r="H748" s="655">
        <v>6237551</v>
      </c>
      <c r="I748" s="651">
        <v>1.48</v>
      </c>
      <c r="J748" s="651">
        <v>0.15237999999999999</v>
      </c>
      <c r="K748" s="651">
        <v>1.6323799999999999</v>
      </c>
    </row>
    <row r="749" spans="1:11">
      <c r="A749" s="654" t="s">
        <v>4212</v>
      </c>
      <c r="B749" s="654" t="s">
        <v>555</v>
      </c>
      <c r="C749" s="655">
        <v>1015352495</v>
      </c>
      <c r="D749" s="655">
        <v>970255887</v>
      </c>
      <c r="E749" s="655">
        <v>1015352495</v>
      </c>
      <c r="F749" s="655">
        <v>970255887</v>
      </c>
      <c r="G749" s="655">
        <v>45096608</v>
      </c>
      <c r="H749" s="650">
        <v>0</v>
      </c>
      <c r="I749" s="651">
        <v>1.5</v>
      </c>
      <c r="J749" s="651">
        <v>9.9000000000000005E-2</v>
      </c>
      <c r="K749" s="651">
        <v>1.599</v>
      </c>
    </row>
    <row r="750" spans="1:11">
      <c r="A750" s="654" t="s">
        <v>4213</v>
      </c>
      <c r="B750" s="654" t="s">
        <v>2648</v>
      </c>
      <c r="C750" s="655">
        <v>7873405030</v>
      </c>
      <c r="D750" s="655">
        <v>7439452580</v>
      </c>
      <c r="E750" s="655">
        <v>7873405030</v>
      </c>
      <c r="F750" s="655">
        <v>7439452580</v>
      </c>
      <c r="G750" s="655">
        <v>433952450</v>
      </c>
      <c r="H750" s="650">
        <v>0</v>
      </c>
      <c r="I750" s="651">
        <v>1.5</v>
      </c>
      <c r="J750" s="651">
        <v>0.11600000000000001</v>
      </c>
      <c r="K750" s="651">
        <v>1.6160000000000001</v>
      </c>
    </row>
    <row r="751" spans="1:11">
      <c r="A751" s="654" t="s">
        <v>4214</v>
      </c>
      <c r="B751" s="654" t="s">
        <v>556</v>
      </c>
      <c r="C751" s="655">
        <v>96259947</v>
      </c>
      <c r="D751" s="655">
        <v>93797473</v>
      </c>
      <c r="E751" s="655">
        <v>96259947</v>
      </c>
      <c r="F751" s="655">
        <v>93797473</v>
      </c>
      <c r="G751" s="655">
        <v>2462474</v>
      </c>
      <c r="H751" s="650">
        <v>0</v>
      </c>
      <c r="I751" s="651">
        <v>1.5</v>
      </c>
      <c r="J751" s="651">
        <v>0.29449999999999998</v>
      </c>
      <c r="K751" s="651">
        <v>1.7945</v>
      </c>
    </row>
    <row r="752" spans="1:11">
      <c r="A752" s="654" t="s">
        <v>4215</v>
      </c>
      <c r="B752" s="654" t="s">
        <v>557</v>
      </c>
      <c r="C752" s="655">
        <v>142688518</v>
      </c>
      <c r="D752" s="655">
        <v>140848518</v>
      </c>
      <c r="E752" s="655">
        <v>142688518</v>
      </c>
      <c r="F752" s="655">
        <v>140848518</v>
      </c>
      <c r="G752" s="655">
        <v>1840000</v>
      </c>
      <c r="H752" s="650">
        <v>0</v>
      </c>
      <c r="I752" s="651">
        <v>1.03</v>
      </c>
      <c r="J752" s="651">
        <v>0.21940000000000001</v>
      </c>
      <c r="K752" s="651">
        <v>1.2494000000000001</v>
      </c>
    </row>
    <row r="753" spans="1:11">
      <c r="A753" s="654" t="s">
        <v>4216</v>
      </c>
      <c r="B753" s="654" t="s">
        <v>558</v>
      </c>
      <c r="C753" s="655">
        <v>861518119</v>
      </c>
      <c r="D753" s="655">
        <v>851061538</v>
      </c>
      <c r="E753" s="655">
        <v>861518119</v>
      </c>
      <c r="F753" s="655">
        <v>851061538</v>
      </c>
      <c r="G753" s="655">
        <v>10456581</v>
      </c>
      <c r="H753" s="650">
        <v>0</v>
      </c>
      <c r="I753" s="651">
        <v>1.46</v>
      </c>
      <c r="J753" s="651">
        <v>9.7799999999999998E-2</v>
      </c>
      <c r="K753" s="651">
        <v>1.5578000000000001</v>
      </c>
    </row>
    <row r="754" spans="1:11">
      <c r="A754" s="654" t="s">
        <v>4217</v>
      </c>
      <c r="B754" s="654" t="s">
        <v>366</v>
      </c>
      <c r="C754" s="655">
        <v>249601973</v>
      </c>
      <c r="D754" s="655">
        <v>221803609</v>
      </c>
      <c r="E754" s="655">
        <v>249601973</v>
      </c>
      <c r="F754" s="655">
        <v>221803609</v>
      </c>
      <c r="G754" s="655">
        <v>27798364</v>
      </c>
      <c r="H754" s="650">
        <v>0</v>
      </c>
      <c r="I754" s="651">
        <v>1.5</v>
      </c>
      <c r="J754" s="651">
        <v>0.214</v>
      </c>
      <c r="K754" s="651">
        <v>1.714</v>
      </c>
    </row>
    <row r="755" spans="1:11">
      <c r="A755" s="654" t="s">
        <v>4218</v>
      </c>
      <c r="B755" s="654" t="s">
        <v>559</v>
      </c>
      <c r="C755" s="655">
        <v>1103369816</v>
      </c>
      <c r="D755" s="655">
        <v>1082150500</v>
      </c>
      <c r="E755" s="655">
        <v>1086922557</v>
      </c>
      <c r="F755" s="655">
        <v>1065703241</v>
      </c>
      <c r="G755" s="655">
        <v>21219316</v>
      </c>
      <c r="H755" s="655">
        <v>16447259</v>
      </c>
      <c r="I755" s="651">
        <v>1.4758899999999999</v>
      </c>
      <c r="J755" s="651">
        <v>0.248811</v>
      </c>
      <c r="K755" s="651">
        <v>1.7246999999999999</v>
      </c>
    </row>
    <row r="756" spans="1:11">
      <c r="A756" s="654" t="s">
        <v>4219</v>
      </c>
      <c r="B756" s="654" t="s">
        <v>560</v>
      </c>
      <c r="C756" s="655">
        <v>172122204</v>
      </c>
      <c r="D756" s="655">
        <v>164047359</v>
      </c>
      <c r="E756" s="655">
        <v>172122204</v>
      </c>
      <c r="F756" s="655">
        <v>164047359</v>
      </c>
      <c r="G756" s="655">
        <v>8074845</v>
      </c>
      <c r="H756" s="650">
        <v>0</v>
      </c>
      <c r="I756" s="651">
        <v>1.44</v>
      </c>
      <c r="J756" s="651">
        <v>0.16489999999999999</v>
      </c>
      <c r="K756" s="651">
        <v>1.6049</v>
      </c>
    </row>
    <row r="757" spans="1:11">
      <c r="A757" s="654" t="s">
        <v>4220</v>
      </c>
      <c r="B757" s="654" t="s">
        <v>561</v>
      </c>
      <c r="C757" s="655">
        <v>1271464661</v>
      </c>
      <c r="D757" s="655">
        <v>1209860454</v>
      </c>
      <c r="E757" s="655">
        <v>1271464661</v>
      </c>
      <c r="F757" s="655">
        <v>1209860454</v>
      </c>
      <c r="G757" s="655">
        <v>61604207</v>
      </c>
      <c r="H757" s="650">
        <v>0</v>
      </c>
      <c r="I757" s="651">
        <v>1.4841</v>
      </c>
      <c r="J757" s="651">
        <v>4.2097000000000002E-2</v>
      </c>
      <c r="K757" s="651">
        <v>1.5262</v>
      </c>
    </row>
    <row r="758" spans="1:11">
      <c r="A758" s="654" t="s">
        <v>4221</v>
      </c>
      <c r="B758" s="654" t="s">
        <v>562</v>
      </c>
      <c r="C758" s="655">
        <v>367189980</v>
      </c>
      <c r="D758" s="655">
        <v>351732801</v>
      </c>
      <c r="E758" s="655">
        <v>367189980</v>
      </c>
      <c r="F758" s="655">
        <v>351732801</v>
      </c>
      <c r="G758" s="655">
        <v>15457179</v>
      </c>
      <c r="H758" s="650">
        <v>0</v>
      </c>
      <c r="I758" s="651">
        <v>1.5</v>
      </c>
      <c r="J758" s="651">
        <v>0.4</v>
      </c>
      <c r="K758" s="651">
        <v>1.9</v>
      </c>
    </row>
    <row r="759" spans="1:11">
      <c r="A759" s="654" t="s">
        <v>4222</v>
      </c>
      <c r="B759" s="654" t="s">
        <v>337</v>
      </c>
      <c r="C759" s="655">
        <v>590250442</v>
      </c>
      <c r="D759" s="655">
        <v>569363692</v>
      </c>
      <c r="E759" s="655">
        <v>590250442</v>
      </c>
      <c r="F759" s="655">
        <v>569363692</v>
      </c>
      <c r="G759" s="655">
        <v>20886750</v>
      </c>
      <c r="H759" s="650">
        <v>0</v>
      </c>
      <c r="I759" s="651">
        <v>1.31</v>
      </c>
      <c r="J759" s="651">
        <v>8.6999999999999994E-2</v>
      </c>
      <c r="K759" s="651">
        <v>1.397</v>
      </c>
    </row>
    <row r="760" spans="1:11">
      <c r="A760" s="654" t="s">
        <v>4223</v>
      </c>
      <c r="B760" s="654" t="s">
        <v>563</v>
      </c>
      <c r="C760" s="655">
        <v>66360449</v>
      </c>
      <c r="D760" s="655">
        <v>63080405</v>
      </c>
      <c r="E760" s="655">
        <v>66360449</v>
      </c>
      <c r="F760" s="655">
        <v>63080405</v>
      </c>
      <c r="G760" s="655">
        <v>3280044</v>
      </c>
      <c r="H760" s="650">
        <v>0</v>
      </c>
      <c r="I760" s="651">
        <v>1.4</v>
      </c>
      <c r="J760" s="651">
        <v>0</v>
      </c>
      <c r="K760" s="651">
        <v>1.4</v>
      </c>
    </row>
    <row r="761" spans="1:11">
      <c r="A761" s="654" t="s">
        <v>4224</v>
      </c>
      <c r="B761" s="654" t="s">
        <v>564</v>
      </c>
      <c r="C761" s="655">
        <v>34182258</v>
      </c>
      <c r="D761" s="655">
        <v>33441155</v>
      </c>
      <c r="E761" s="655">
        <v>34182258</v>
      </c>
      <c r="F761" s="655">
        <v>33441155</v>
      </c>
      <c r="G761" s="655">
        <v>741103</v>
      </c>
      <c r="H761" s="650">
        <v>0</v>
      </c>
      <c r="I761" s="651">
        <v>1.45</v>
      </c>
      <c r="J761" s="651">
        <v>0</v>
      </c>
      <c r="K761" s="651">
        <v>1.45</v>
      </c>
    </row>
    <row r="762" spans="1:11">
      <c r="A762" s="654" t="s">
        <v>4225</v>
      </c>
      <c r="B762" s="654" t="s">
        <v>565</v>
      </c>
      <c r="C762" s="655">
        <v>20647305</v>
      </c>
      <c r="D762" s="655">
        <v>19770799</v>
      </c>
      <c r="E762" s="655">
        <v>20647305</v>
      </c>
      <c r="F762" s="655">
        <v>19770799</v>
      </c>
      <c r="G762" s="655">
        <v>876506</v>
      </c>
      <c r="H762" s="650">
        <v>0</v>
      </c>
      <c r="I762" s="651">
        <v>1.5</v>
      </c>
      <c r="J762" s="651">
        <v>0</v>
      </c>
      <c r="K762" s="651">
        <v>1.5</v>
      </c>
    </row>
    <row r="763" spans="1:11">
      <c r="A763" s="654" t="s">
        <v>4226</v>
      </c>
      <c r="B763" s="654" t="s">
        <v>7666</v>
      </c>
      <c r="C763" s="655">
        <v>556485474</v>
      </c>
      <c r="D763" s="655">
        <v>519717434</v>
      </c>
      <c r="E763" s="655">
        <v>541556639</v>
      </c>
      <c r="F763" s="655">
        <v>504788599</v>
      </c>
      <c r="G763" s="655">
        <v>36768040</v>
      </c>
      <c r="H763" s="655">
        <v>14928835</v>
      </c>
      <c r="I763" s="651">
        <v>1.5</v>
      </c>
      <c r="J763" s="651">
        <v>0.25774999999999998</v>
      </c>
      <c r="K763" s="651">
        <v>1.7577499999999999</v>
      </c>
    </row>
    <row r="764" spans="1:11">
      <c r="A764" s="654" t="s">
        <v>4227</v>
      </c>
      <c r="B764" s="654" t="s">
        <v>566</v>
      </c>
      <c r="C764" s="655">
        <v>277431454</v>
      </c>
      <c r="D764" s="655">
        <v>257846374</v>
      </c>
      <c r="E764" s="655">
        <v>262283934</v>
      </c>
      <c r="F764" s="655">
        <v>242698854</v>
      </c>
      <c r="G764" s="655">
        <v>19585080</v>
      </c>
      <c r="H764" s="655">
        <v>15147520</v>
      </c>
      <c r="I764" s="651">
        <v>1.5</v>
      </c>
      <c r="J764" s="651">
        <v>0.28000000000000003</v>
      </c>
      <c r="K764" s="651">
        <v>1.78</v>
      </c>
    </row>
    <row r="765" spans="1:11">
      <c r="A765" s="654" t="s">
        <v>4228</v>
      </c>
      <c r="B765" s="654" t="s">
        <v>4229</v>
      </c>
      <c r="C765" s="655">
        <v>1602582499</v>
      </c>
      <c r="D765" s="655">
        <v>1556532589</v>
      </c>
      <c r="E765" s="655">
        <v>1578638864</v>
      </c>
      <c r="F765" s="655">
        <v>1532588954</v>
      </c>
      <c r="G765" s="655">
        <v>46049910</v>
      </c>
      <c r="H765" s="655">
        <v>23943635</v>
      </c>
      <c r="I765" s="651">
        <v>1.5</v>
      </c>
      <c r="J765" s="651">
        <v>8.9256000000000002E-2</v>
      </c>
      <c r="K765" s="651">
        <v>1.5892599999999999</v>
      </c>
    </row>
    <row r="766" spans="1:11">
      <c r="A766" s="654" t="s">
        <v>4230</v>
      </c>
      <c r="B766" s="654" t="s">
        <v>4059</v>
      </c>
      <c r="C766" s="655">
        <v>631479555</v>
      </c>
      <c r="D766" s="655">
        <v>565652435</v>
      </c>
      <c r="E766" s="655">
        <v>604775090</v>
      </c>
      <c r="F766" s="655">
        <v>538947970</v>
      </c>
      <c r="G766" s="655">
        <v>65827120</v>
      </c>
      <c r="H766" s="655">
        <v>26704465</v>
      </c>
      <c r="I766" s="651">
        <v>1.5</v>
      </c>
      <c r="J766" s="651">
        <v>0.1275</v>
      </c>
      <c r="K766" s="651">
        <v>1.6274999999999999</v>
      </c>
    </row>
    <row r="767" spans="1:11">
      <c r="A767" s="654" t="s">
        <v>4231</v>
      </c>
      <c r="B767" s="654" t="s">
        <v>4232</v>
      </c>
      <c r="C767" s="655">
        <v>735026605</v>
      </c>
      <c r="D767" s="655">
        <v>686238775</v>
      </c>
      <c r="E767" s="655">
        <v>704034480</v>
      </c>
      <c r="F767" s="655">
        <v>655246650</v>
      </c>
      <c r="G767" s="655">
        <v>48787830</v>
      </c>
      <c r="H767" s="655">
        <v>30992125</v>
      </c>
      <c r="I767" s="651">
        <v>1.5</v>
      </c>
      <c r="J767" s="651">
        <v>0.1</v>
      </c>
      <c r="K767" s="651">
        <v>1.6</v>
      </c>
    </row>
    <row r="768" spans="1:11">
      <c r="A768" s="654" t="s">
        <v>4233</v>
      </c>
      <c r="B768" s="654" t="s">
        <v>1622</v>
      </c>
      <c r="C768" s="655">
        <v>55907848</v>
      </c>
      <c r="D768" s="655">
        <v>53109068</v>
      </c>
      <c r="E768" s="655">
        <v>55907848</v>
      </c>
      <c r="F768" s="655">
        <v>53109068</v>
      </c>
      <c r="G768" s="655">
        <v>2798780</v>
      </c>
      <c r="H768" s="650">
        <v>0</v>
      </c>
      <c r="I768" s="651">
        <v>1.4862599999999999</v>
      </c>
      <c r="J768" s="651">
        <v>0.11753</v>
      </c>
      <c r="K768" s="651">
        <v>1.60379</v>
      </c>
    </row>
    <row r="769" spans="1:11">
      <c r="A769" s="654" t="s">
        <v>4234</v>
      </c>
      <c r="B769" s="654" t="s">
        <v>1623</v>
      </c>
      <c r="C769" s="655">
        <v>355847649</v>
      </c>
      <c r="D769" s="655">
        <v>349243900</v>
      </c>
      <c r="E769" s="655">
        <v>355847649</v>
      </c>
      <c r="F769" s="655">
        <v>349243900</v>
      </c>
      <c r="G769" s="655">
        <v>6603749</v>
      </c>
      <c r="H769" s="650">
        <v>0</v>
      </c>
      <c r="I769" s="651">
        <v>1.41313</v>
      </c>
      <c r="J769" s="651">
        <v>6.8939E-2</v>
      </c>
      <c r="K769" s="651">
        <v>1.48207</v>
      </c>
    </row>
    <row r="770" spans="1:11">
      <c r="A770" s="654" t="s">
        <v>4235</v>
      </c>
      <c r="B770" s="654" t="s">
        <v>501</v>
      </c>
      <c r="C770" s="655">
        <v>494222944</v>
      </c>
      <c r="D770" s="655">
        <v>453107255</v>
      </c>
      <c r="E770" s="655">
        <v>490933816</v>
      </c>
      <c r="F770" s="655">
        <v>449818127</v>
      </c>
      <c r="G770" s="655">
        <v>41115689</v>
      </c>
      <c r="H770" s="655">
        <v>3289128</v>
      </c>
      <c r="I770" s="651">
        <v>1.5</v>
      </c>
      <c r="J770" s="651">
        <v>0.172928</v>
      </c>
      <c r="K770" s="651">
        <v>1.67293</v>
      </c>
    </row>
    <row r="771" spans="1:11">
      <c r="A771" s="654" t="s">
        <v>4236</v>
      </c>
      <c r="B771" s="654" t="s">
        <v>1624</v>
      </c>
      <c r="C771" s="655">
        <v>187190549</v>
      </c>
      <c r="D771" s="655">
        <v>179006839</v>
      </c>
      <c r="E771" s="655">
        <v>187190549</v>
      </c>
      <c r="F771" s="655">
        <v>179006839</v>
      </c>
      <c r="G771" s="655">
        <v>8183710</v>
      </c>
      <c r="H771" s="650">
        <v>0</v>
      </c>
      <c r="I771" s="651">
        <v>1.48</v>
      </c>
      <c r="J771" s="651">
        <v>0.20943999999999999</v>
      </c>
      <c r="K771" s="651">
        <v>1.6894400000000001</v>
      </c>
    </row>
    <row r="772" spans="1:11">
      <c r="A772" s="654" t="s">
        <v>4237</v>
      </c>
      <c r="B772" s="654" t="s">
        <v>1625</v>
      </c>
      <c r="C772" s="655">
        <v>59771875</v>
      </c>
      <c r="D772" s="655">
        <v>57684515</v>
      </c>
      <c r="E772" s="655">
        <v>59771875</v>
      </c>
      <c r="F772" s="655">
        <v>57684515</v>
      </c>
      <c r="G772" s="655">
        <v>2087360</v>
      </c>
      <c r="H772" s="650">
        <v>0</v>
      </c>
      <c r="I772" s="651">
        <v>1.28393</v>
      </c>
      <c r="J772" s="651">
        <v>9.5193E-2</v>
      </c>
      <c r="K772" s="651">
        <v>1.3791199999999999</v>
      </c>
    </row>
    <row r="773" spans="1:11">
      <c r="A773" s="654" t="s">
        <v>4238</v>
      </c>
      <c r="B773" s="654" t="s">
        <v>1626</v>
      </c>
      <c r="C773" s="655">
        <v>244152996</v>
      </c>
      <c r="D773" s="655">
        <v>241547976</v>
      </c>
      <c r="E773" s="655">
        <v>240857801</v>
      </c>
      <c r="F773" s="655">
        <v>238252781</v>
      </c>
      <c r="G773" s="655">
        <v>2605020</v>
      </c>
      <c r="H773" s="655">
        <v>3295195</v>
      </c>
      <c r="I773" s="651">
        <v>1.5</v>
      </c>
      <c r="J773" s="651">
        <v>3.5534999999999997E-2</v>
      </c>
      <c r="K773" s="651">
        <v>1.5355300000000001</v>
      </c>
    </row>
    <row r="774" spans="1:11">
      <c r="A774" s="654" t="s">
        <v>4239</v>
      </c>
      <c r="B774" s="654" t="s">
        <v>1627</v>
      </c>
      <c r="C774" s="655">
        <v>442986321</v>
      </c>
      <c r="D774" s="655">
        <v>436547181</v>
      </c>
      <c r="E774" s="655">
        <v>439672796</v>
      </c>
      <c r="F774" s="655">
        <v>433233656</v>
      </c>
      <c r="G774" s="655">
        <v>6439140</v>
      </c>
      <c r="H774" s="655">
        <v>3313525</v>
      </c>
      <c r="I774" s="651">
        <v>1.3192999999999999</v>
      </c>
      <c r="J774" s="651">
        <v>0.1452</v>
      </c>
      <c r="K774" s="651">
        <v>1.4644999999999999</v>
      </c>
    </row>
    <row r="775" spans="1:11">
      <c r="A775" s="654" t="s">
        <v>4240</v>
      </c>
      <c r="B775" s="654" t="s">
        <v>1628</v>
      </c>
      <c r="C775" s="655">
        <v>1985230538</v>
      </c>
      <c r="D775" s="655">
        <v>1941344895</v>
      </c>
      <c r="E775" s="655">
        <v>1958417938</v>
      </c>
      <c r="F775" s="655">
        <v>1914532295</v>
      </c>
      <c r="G775" s="655">
        <v>43885643</v>
      </c>
      <c r="H775" s="655">
        <v>26812600</v>
      </c>
      <c r="I775" s="651">
        <v>1.5</v>
      </c>
      <c r="J775" s="651">
        <v>3.1E-2</v>
      </c>
      <c r="K775" s="651">
        <v>1.5309999999999999</v>
      </c>
    </row>
    <row r="776" spans="1:11">
      <c r="A776" s="654" t="s">
        <v>4241</v>
      </c>
      <c r="B776" s="654" t="s">
        <v>124</v>
      </c>
      <c r="C776" s="655">
        <v>124297737</v>
      </c>
      <c r="D776" s="655">
        <v>119199137</v>
      </c>
      <c r="E776" s="655">
        <v>121798262</v>
      </c>
      <c r="F776" s="655">
        <v>116699662</v>
      </c>
      <c r="G776" s="655">
        <v>5098600</v>
      </c>
      <c r="H776" s="655">
        <v>2499475</v>
      </c>
      <c r="I776" s="651">
        <v>1.1140000000000001</v>
      </c>
      <c r="J776" s="651">
        <v>0.1008</v>
      </c>
      <c r="K776" s="651">
        <v>1.2148000000000001</v>
      </c>
    </row>
    <row r="777" spans="1:11">
      <c r="A777" s="654" t="s">
        <v>4242</v>
      </c>
      <c r="B777" s="654" t="s">
        <v>344</v>
      </c>
      <c r="C777" s="655">
        <v>98200756</v>
      </c>
      <c r="D777" s="655">
        <v>92260897</v>
      </c>
      <c r="E777" s="655">
        <v>98200756</v>
      </c>
      <c r="F777" s="655">
        <v>92260897</v>
      </c>
      <c r="G777" s="655">
        <v>5939859</v>
      </c>
      <c r="H777" s="650">
        <v>0</v>
      </c>
      <c r="I777" s="651">
        <v>1.41</v>
      </c>
      <c r="J777" s="651">
        <v>0.19500000000000001</v>
      </c>
      <c r="K777" s="651">
        <v>1.605</v>
      </c>
    </row>
    <row r="778" spans="1:11">
      <c r="A778" s="654" t="s">
        <v>4243</v>
      </c>
      <c r="B778" s="654" t="s">
        <v>2352</v>
      </c>
      <c r="C778" s="655">
        <v>530756509</v>
      </c>
      <c r="D778" s="655">
        <v>490379969</v>
      </c>
      <c r="E778" s="655">
        <v>530756509</v>
      </c>
      <c r="F778" s="655">
        <v>490379969</v>
      </c>
      <c r="G778" s="655">
        <v>40376540</v>
      </c>
      <c r="H778" s="650">
        <v>0</v>
      </c>
      <c r="I778" s="651">
        <v>1.5</v>
      </c>
      <c r="J778" s="651">
        <v>0.13980000000000001</v>
      </c>
      <c r="K778" s="651">
        <v>1.6397999999999999</v>
      </c>
    </row>
    <row r="779" spans="1:11">
      <c r="A779" s="654" t="s">
        <v>4244</v>
      </c>
      <c r="B779" s="654" t="s">
        <v>4064</v>
      </c>
      <c r="C779" s="655">
        <v>1925358667</v>
      </c>
      <c r="D779" s="655">
        <v>1827533068</v>
      </c>
      <c r="E779" s="655">
        <v>1925358667</v>
      </c>
      <c r="F779" s="655">
        <v>1827533068</v>
      </c>
      <c r="G779" s="655">
        <v>97825599</v>
      </c>
      <c r="H779" s="650">
        <v>0</v>
      </c>
      <c r="I779" s="651">
        <v>1.5</v>
      </c>
      <c r="J779" s="651">
        <v>0.24</v>
      </c>
      <c r="K779" s="651">
        <v>1.74</v>
      </c>
    </row>
    <row r="780" spans="1:11">
      <c r="A780" s="654" t="s">
        <v>4245</v>
      </c>
      <c r="B780" s="654" t="s">
        <v>500</v>
      </c>
      <c r="C780" s="655">
        <v>177220143</v>
      </c>
      <c r="D780" s="655">
        <v>167538183</v>
      </c>
      <c r="E780" s="655">
        <v>177220143</v>
      </c>
      <c r="F780" s="655">
        <v>167538183</v>
      </c>
      <c r="G780" s="655">
        <v>9681960</v>
      </c>
      <c r="H780" s="650">
        <v>0</v>
      </c>
      <c r="I780" s="651">
        <v>1.5</v>
      </c>
      <c r="J780" s="651">
        <v>0.24</v>
      </c>
      <c r="K780" s="651">
        <v>1.74</v>
      </c>
    </row>
    <row r="781" spans="1:11">
      <c r="A781" s="654" t="s">
        <v>4246</v>
      </c>
      <c r="B781" s="654" t="s">
        <v>1629</v>
      </c>
      <c r="C781" s="655">
        <v>1077292517</v>
      </c>
      <c r="D781" s="655">
        <v>1038085917</v>
      </c>
      <c r="E781" s="655">
        <v>1077292517</v>
      </c>
      <c r="F781" s="655">
        <v>1038085917</v>
      </c>
      <c r="G781" s="655">
        <v>39206600</v>
      </c>
      <c r="H781" s="650">
        <v>0</v>
      </c>
      <c r="I781" s="651">
        <v>1.5</v>
      </c>
      <c r="J781" s="651">
        <v>0.2203</v>
      </c>
      <c r="K781" s="651">
        <v>1.7202999999999999</v>
      </c>
    </row>
    <row r="782" spans="1:11">
      <c r="A782" s="654" t="s">
        <v>4247</v>
      </c>
      <c r="B782" s="654" t="s">
        <v>5295</v>
      </c>
      <c r="C782" s="655">
        <v>129401746</v>
      </c>
      <c r="D782" s="655">
        <v>121030926</v>
      </c>
      <c r="E782" s="655">
        <v>129401746</v>
      </c>
      <c r="F782" s="655">
        <v>121030926</v>
      </c>
      <c r="G782" s="655">
        <v>8370820</v>
      </c>
      <c r="H782" s="650">
        <v>0</v>
      </c>
      <c r="I782" s="651">
        <v>1.5</v>
      </c>
      <c r="J782" s="651">
        <v>0.19800000000000001</v>
      </c>
      <c r="K782" s="651">
        <v>1.698</v>
      </c>
    </row>
    <row r="783" spans="1:11">
      <c r="A783" s="654" t="s">
        <v>4248</v>
      </c>
      <c r="B783" s="654" t="s">
        <v>7667</v>
      </c>
      <c r="C783" s="655">
        <v>165029968</v>
      </c>
      <c r="D783" s="655">
        <v>157272148</v>
      </c>
      <c r="E783" s="655">
        <v>165029968</v>
      </c>
      <c r="F783" s="655">
        <v>157272148</v>
      </c>
      <c r="G783" s="655">
        <v>7757820</v>
      </c>
      <c r="H783" s="650">
        <v>0</v>
      </c>
      <c r="I783" s="651">
        <v>1.5</v>
      </c>
      <c r="J783" s="651">
        <v>0.16500000000000001</v>
      </c>
      <c r="K783" s="651">
        <v>1.665</v>
      </c>
    </row>
    <row r="784" spans="1:11">
      <c r="A784" s="654" t="s">
        <v>4249</v>
      </c>
      <c r="B784" s="654" t="s">
        <v>1630</v>
      </c>
      <c r="C784" s="655">
        <v>98797394</v>
      </c>
      <c r="D784" s="655">
        <v>94810344</v>
      </c>
      <c r="E784" s="655">
        <v>98797394</v>
      </c>
      <c r="F784" s="655">
        <v>94810344</v>
      </c>
      <c r="G784" s="655">
        <v>3987050</v>
      </c>
      <c r="H784" s="650">
        <v>0</v>
      </c>
      <c r="I784" s="651">
        <v>1.5</v>
      </c>
      <c r="J784" s="651">
        <v>9.9199999999999997E-2</v>
      </c>
      <c r="K784" s="651">
        <v>1.5992</v>
      </c>
    </row>
    <row r="785" spans="1:11">
      <c r="A785" s="654" t="s">
        <v>4250</v>
      </c>
      <c r="B785" s="654" t="s">
        <v>1631</v>
      </c>
      <c r="C785" s="655">
        <v>64119501</v>
      </c>
      <c r="D785" s="655">
        <v>60428368</v>
      </c>
      <c r="E785" s="655">
        <v>64119501</v>
      </c>
      <c r="F785" s="655">
        <v>60428368</v>
      </c>
      <c r="G785" s="655">
        <v>3691133</v>
      </c>
      <c r="H785" s="650">
        <v>0</v>
      </c>
      <c r="I785" s="651">
        <v>1.27</v>
      </c>
      <c r="J785" s="651">
        <v>0</v>
      </c>
      <c r="K785" s="651">
        <v>1.27</v>
      </c>
    </row>
    <row r="786" spans="1:11">
      <c r="A786" s="654" t="s">
        <v>4251</v>
      </c>
      <c r="B786" s="654" t="s">
        <v>1632</v>
      </c>
      <c r="C786" s="655">
        <v>89537907</v>
      </c>
      <c r="D786" s="655">
        <v>84709428</v>
      </c>
      <c r="E786" s="655">
        <v>89537907</v>
      </c>
      <c r="F786" s="655">
        <v>84709428</v>
      </c>
      <c r="G786" s="655">
        <v>4828479</v>
      </c>
      <c r="H786" s="650">
        <v>0</v>
      </c>
      <c r="I786" s="651">
        <v>1.3674999999999999</v>
      </c>
      <c r="J786" s="651">
        <v>5.2499999999999998E-2</v>
      </c>
      <c r="K786" s="651">
        <v>1.42</v>
      </c>
    </row>
    <row r="787" spans="1:11">
      <c r="A787" s="654" t="s">
        <v>4252</v>
      </c>
      <c r="B787" s="654" t="s">
        <v>1633</v>
      </c>
      <c r="C787" s="655">
        <v>215649318</v>
      </c>
      <c r="D787" s="655">
        <v>206836606</v>
      </c>
      <c r="E787" s="655">
        <v>215649318</v>
      </c>
      <c r="F787" s="655">
        <v>206836606</v>
      </c>
      <c r="G787" s="655">
        <v>8812712</v>
      </c>
      <c r="H787" s="650">
        <v>0</v>
      </c>
      <c r="I787" s="651">
        <v>1.17</v>
      </c>
      <c r="J787" s="651">
        <v>0</v>
      </c>
      <c r="K787" s="651">
        <v>1.17</v>
      </c>
    </row>
    <row r="788" spans="1:11">
      <c r="A788" s="654" t="s">
        <v>4253</v>
      </c>
      <c r="B788" s="654" t="s">
        <v>1634</v>
      </c>
      <c r="C788" s="655">
        <v>48434726</v>
      </c>
      <c r="D788" s="655">
        <v>47269855</v>
      </c>
      <c r="E788" s="655">
        <v>48434726</v>
      </c>
      <c r="F788" s="655">
        <v>47269855</v>
      </c>
      <c r="G788" s="655">
        <v>1164871</v>
      </c>
      <c r="H788" s="650">
        <v>0</v>
      </c>
      <c r="I788" s="651">
        <v>1.5</v>
      </c>
      <c r="J788" s="651">
        <v>0</v>
      </c>
      <c r="K788" s="651">
        <v>1.5</v>
      </c>
    </row>
    <row r="789" spans="1:11">
      <c r="A789" s="654" t="s">
        <v>4254</v>
      </c>
      <c r="B789" s="654" t="s">
        <v>397</v>
      </c>
      <c r="C789" s="655">
        <v>208751320</v>
      </c>
      <c r="D789" s="655">
        <v>208102000</v>
      </c>
      <c r="E789" s="655">
        <v>208621020</v>
      </c>
      <c r="F789" s="655">
        <v>207971700</v>
      </c>
      <c r="G789" s="655">
        <v>649320</v>
      </c>
      <c r="H789" s="655">
        <v>130300</v>
      </c>
      <c r="I789" s="651">
        <v>1.5</v>
      </c>
      <c r="J789" s="651">
        <v>0</v>
      </c>
      <c r="K789" s="651">
        <v>1.5</v>
      </c>
    </row>
    <row r="790" spans="1:11">
      <c r="A790" s="654" t="s">
        <v>4255</v>
      </c>
      <c r="B790" s="654" t="s">
        <v>398</v>
      </c>
      <c r="C790" s="655">
        <v>1451767300</v>
      </c>
      <c r="D790" s="655">
        <v>1427575420</v>
      </c>
      <c r="E790" s="655">
        <v>1442864990</v>
      </c>
      <c r="F790" s="655">
        <v>1418673110</v>
      </c>
      <c r="G790" s="655">
        <v>24191880</v>
      </c>
      <c r="H790" s="655">
        <v>8902310</v>
      </c>
      <c r="I790" s="651">
        <v>1.5</v>
      </c>
      <c r="J790" s="651">
        <v>9.2299999999999993E-2</v>
      </c>
      <c r="K790" s="651">
        <v>1.5923</v>
      </c>
    </row>
    <row r="791" spans="1:11">
      <c r="A791" s="654" t="s">
        <v>4256</v>
      </c>
      <c r="B791" s="654" t="s">
        <v>399</v>
      </c>
      <c r="C791" s="655">
        <v>748453320</v>
      </c>
      <c r="D791" s="655">
        <v>745129700</v>
      </c>
      <c r="E791" s="655">
        <v>747280515</v>
      </c>
      <c r="F791" s="655">
        <v>743956895</v>
      </c>
      <c r="G791" s="655">
        <v>3323620</v>
      </c>
      <c r="H791" s="655">
        <v>1172805</v>
      </c>
      <c r="I791" s="651">
        <v>1.5</v>
      </c>
      <c r="J791" s="651">
        <v>0</v>
      </c>
      <c r="K791" s="651">
        <v>1.5</v>
      </c>
    </row>
    <row r="792" spans="1:11">
      <c r="A792" s="654" t="s">
        <v>4257</v>
      </c>
      <c r="B792" s="654" t="s">
        <v>400</v>
      </c>
      <c r="C792" s="655">
        <v>324635602</v>
      </c>
      <c r="D792" s="655">
        <v>320513639</v>
      </c>
      <c r="E792" s="655">
        <v>322442710</v>
      </c>
      <c r="F792" s="655">
        <v>318320747</v>
      </c>
      <c r="G792" s="655">
        <v>4121963</v>
      </c>
      <c r="H792" s="655">
        <v>2192892</v>
      </c>
      <c r="I792" s="651">
        <v>1.2101</v>
      </c>
      <c r="J792" s="651">
        <v>7.9899999999999999E-2</v>
      </c>
      <c r="K792" s="651">
        <v>1.29</v>
      </c>
    </row>
    <row r="793" spans="1:11">
      <c r="A793" s="654" t="s">
        <v>4258</v>
      </c>
      <c r="B793" s="654" t="s">
        <v>401</v>
      </c>
      <c r="C793" s="655">
        <v>70975510</v>
      </c>
      <c r="D793" s="655">
        <v>66030365</v>
      </c>
      <c r="E793" s="655">
        <v>70975510</v>
      </c>
      <c r="F793" s="655">
        <v>66030365</v>
      </c>
      <c r="G793" s="655">
        <v>4945145</v>
      </c>
      <c r="H793" s="650">
        <v>0</v>
      </c>
      <c r="I793" s="651">
        <v>1.4961</v>
      </c>
      <c r="J793" s="651">
        <v>0</v>
      </c>
      <c r="K793" s="651">
        <v>1.4961</v>
      </c>
    </row>
    <row r="794" spans="1:11">
      <c r="A794" s="654" t="s">
        <v>4259</v>
      </c>
      <c r="B794" s="654" t="s">
        <v>402</v>
      </c>
      <c r="C794" s="655">
        <v>204236409</v>
      </c>
      <c r="D794" s="655">
        <v>195426995</v>
      </c>
      <c r="E794" s="655">
        <v>199703348</v>
      </c>
      <c r="F794" s="655">
        <v>190893934</v>
      </c>
      <c r="G794" s="655">
        <v>8809414</v>
      </c>
      <c r="H794" s="655">
        <v>4533061</v>
      </c>
      <c r="I794" s="651">
        <v>1.4750000000000001</v>
      </c>
      <c r="J794" s="651">
        <v>0.13500000000000001</v>
      </c>
      <c r="K794" s="651">
        <v>1.61</v>
      </c>
    </row>
    <row r="795" spans="1:11">
      <c r="A795" s="654" t="s">
        <v>4260</v>
      </c>
      <c r="B795" s="654" t="s">
        <v>403</v>
      </c>
      <c r="C795" s="655">
        <v>78827730</v>
      </c>
      <c r="D795" s="655">
        <v>76344531</v>
      </c>
      <c r="E795" s="655">
        <v>78827730</v>
      </c>
      <c r="F795" s="655">
        <v>76344531</v>
      </c>
      <c r="G795" s="655">
        <v>2483199</v>
      </c>
      <c r="H795" s="650">
        <v>0</v>
      </c>
      <c r="I795" s="651">
        <v>1.5</v>
      </c>
      <c r="J795" s="651">
        <v>0</v>
      </c>
      <c r="K795" s="651">
        <v>1.5</v>
      </c>
    </row>
    <row r="796" spans="1:11">
      <c r="A796" s="654" t="s">
        <v>4261</v>
      </c>
      <c r="B796" s="654" t="s">
        <v>195</v>
      </c>
      <c r="C796" s="655">
        <v>800240670</v>
      </c>
      <c r="D796" s="655">
        <v>747676248</v>
      </c>
      <c r="E796" s="655">
        <v>800240670</v>
      </c>
      <c r="F796" s="655">
        <v>747676248</v>
      </c>
      <c r="G796" s="655">
        <v>52564422</v>
      </c>
      <c r="H796" s="650">
        <v>0</v>
      </c>
      <c r="I796" s="651">
        <v>1.4804999999999999</v>
      </c>
      <c r="J796" s="651">
        <v>7.1999999999999995E-2</v>
      </c>
      <c r="K796" s="651">
        <v>1.5525</v>
      </c>
    </row>
    <row r="797" spans="1:11">
      <c r="A797" s="654" t="s">
        <v>4262</v>
      </c>
      <c r="B797" s="654" t="s">
        <v>404</v>
      </c>
      <c r="C797" s="655">
        <v>244836988</v>
      </c>
      <c r="D797" s="655">
        <v>226192401</v>
      </c>
      <c r="E797" s="655">
        <v>244836988</v>
      </c>
      <c r="F797" s="655">
        <v>226192401</v>
      </c>
      <c r="G797" s="655">
        <v>18644587</v>
      </c>
      <c r="H797" s="650">
        <v>0</v>
      </c>
      <c r="I797" s="651">
        <v>1.4833000000000001</v>
      </c>
      <c r="J797" s="651">
        <v>0.18770000000000001</v>
      </c>
      <c r="K797" s="651">
        <v>1.671</v>
      </c>
    </row>
    <row r="798" spans="1:11">
      <c r="A798" s="654" t="s">
        <v>4263</v>
      </c>
      <c r="B798" s="654" t="s">
        <v>7681</v>
      </c>
      <c r="C798" s="655">
        <v>5972537091</v>
      </c>
      <c r="D798" s="655">
        <v>5631441500</v>
      </c>
      <c r="E798" s="655">
        <v>5972537091</v>
      </c>
      <c r="F798" s="655">
        <v>5631441500</v>
      </c>
      <c r="G798" s="655">
        <v>341095591</v>
      </c>
      <c r="H798" s="650">
        <v>0</v>
      </c>
      <c r="I798" s="651">
        <v>1.48</v>
      </c>
      <c r="J798" s="651">
        <v>0.13500000000000001</v>
      </c>
      <c r="K798" s="651">
        <v>1.615</v>
      </c>
    </row>
    <row r="799" spans="1:11">
      <c r="A799" s="654" t="s">
        <v>4264</v>
      </c>
      <c r="B799" s="654" t="s">
        <v>363</v>
      </c>
      <c r="C799" s="655">
        <v>197226330</v>
      </c>
      <c r="D799" s="655">
        <v>179816521</v>
      </c>
      <c r="E799" s="655">
        <v>197226330</v>
      </c>
      <c r="F799" s="655">
        <v>179816521</v>
      </c>
      <c r="G799" s="655">
        <v>17409809</v>
      </c>
      <c r="H799" s="650">
        <v>0</v>
      </c>
      <c r="I799" s="651">
        <v>1.5</v>
      </c>
      <c r="J799" s="651">
        <v>7.2300000000000003E-2</v>
      </c>
      <c r="K799" s="651">
        <v>1.5723</v>
      </c>
    </row>
    <row r="800" spans="1:11">
      <c r="A800" s="654" t="s">
        <v>4265</v>
      </c>
      <c r="B800" s="654" t="s">
        <v>2898</v>
      </c>
      <c r="C800" s="655">
        <v>682445030</v>
      </c>
      <c r="D800" s="655">
        <v>680364188</v>
      </c>
      <c r="E800" s="655">
        <v>682445030</v>
      </c>
      <c r="F800" s="655">
        <v>680364188</v>
      </c>
      <c r="G800" s="655">
        <v>2080842</v>
      </c>
      <c r="H800" s="650">
        <v>0</v>
      </c>
      <c r="I800" s="651">
        <v>1.38</v>
      </c>
      <c r="J800" s="651">
        <v>0.1913</v>
      </c>
      <c r="K800" s="651">
        <v>1.5712999999999999</v>
      </c>
    </row>
    <row r="801" spans="1:11">
      <c r="A801" s="654" t="s">
        <v>4266</v>
      </c>
      <c r="B801" s="654" t="s">
        <v>405</v>
      </c>
      <c r="C801" s="655">
        <v>567321068</v>
      </c>
      <c r="D801" s="655">
        <v>556520328</v>
      </c>
      <c r="E801" s="655">
        <v>567321068</v>
      </c>
      <c r="F801" s="655">
        <v>556520328</v>
      </c>
      <c r="G801" s="655">
        <v>10800740</v>
      </c>
      <c r="H801" s="650">
        <v>0</v>
      </c>
      <c r="I801" s="651">
        <v>1.33124</v>
      </c>
      <c r="J801" s="651">
        <v>0.16696</v>
      </c>
      <c r="K801" s="651">
        <v>1.4982</v>
      </c>
    </row>
    <row r="802" spans="1:11">
      <c r="A802" s="654" t="s">
        <v>4267</v>
      </c>
      <c r="B802" s="654" t="s">
        <v>6064</v>
      </c>
      <c r="C802" s="655">
        <v>101926545</v>
      </c>
      <c r="D802" s="655">
        <v>95617015</v>
      </c>
      <c r="E802" s="655">
        <v>101926545</v>
      </c>
      <c r="F802" s="655">
        <v>95617015</v>
      </c>
      <c r="G802" s="655">
        <v>6309530</v>
      </c>
      <c r="H802" s="650">
        <v>0</v>
      </c>
      <c r="I802" s="651">
        <v>1.3895999999999999</v>
      </c>
      <c r="J802" s="651">
        <v>0.22320000000000001</v>
      </c>
      <c r="K802" s="651">
        <v>1.6128</v>
      </c>
    </row>
    <row r="803" spans="1:11">
      <c r="A803" s="654" t="s">
        <v>4268</v>
      </c>
      <c r="B803" s="654" t="s">
        <v>350</v>
      </c>
      <c r="C803" s="655">
        <v>79152414</v>
      </c>
      <c r="D803" s="655">
        <v>70246954</v>
      </c>
      <c r="E803" s="655">
        <v>79152414</v>
      </c>
      <c r="F803" s="655">
        <v>70246954</v>
      </c>
      <c r="G803" s="655">
        <v>8905460</v>
      </c>
      <c r="H803" s="650">
        <v>0</v>
      </c>
      <c r="I803" s="651">
        <v>1.5</v>
      </c>
      <c r="J803" s="651">
        <v>0.2074</v>
      </c>
      <c r="K803" s="651">
        <v>1.7074</v>
      </c>
    </row>
    <row r="804" spans="1:11">
      <c r="A804" s="654" t="s">
        <v>4269</v>
      </c>
      <c r="B804" s="654" t="s">
        <v>406</v>
      </c>
      <c r="C804" s="655">
        <v>346394016</v>
      </c>
      <c r="D804" s="655">
        <v>321516250</v>
      </c>
      <c r="E804" s="655">
        <v>346394016</v>
      </c>
      <c r="F804" s="655">
        <v>321516250</v>
      </c>
      <c r="G804" s="655">
        <v>24877766</v>
      </c>
      <c r="H804" s="650">
        <v>0</v>
      </c>
      <c r="I804" s="651">
        <v>1.48</v>
      </c>
      <c r="J804" s="651">
        <v>6.3899999999999998E-2</v>
      </c>
      <c r="K804" s="651">
        <v>1.5439000000000001</v>
      </c>
    </row>
    <row r="805" spans="1:11">
      <c r="A805" s="654" t="s">
        <v>4270</v>
      </c>
      <c r="B805" s="654" t="s">
        <v>4271</v>
      </c>
      <c r="C805" s="655">
        <v>1993826998</v>
      </c>
      <c r="D805" s="655">
        <v>1893692552</v>
      </c>
      <c r="E805" s="655">
        <v>1993826998</v>
      </c>
      <c r="F805" s="655">
        <v>1893692552</v>
      </c>
      <c r="G805" s="655">
        <v>100134446</v>
      </c>
      <c r="H805" s="650">
        <v>0</v>
      </c>
      <c r="I805" s="651">
        <v>1.4624600000000001</v>
      </c>
      <c r="J805" s="651">
        <v>0.27672999999999998</v>
      </c>
      <c r="K805" s="651">
        <v>1.73919</v>
      </c>
    </row>
    <row r="806" spans="1:11">
      <c r="A806" s="654" t="s">
        <v>4272</v>
      </c>
      <c r="B806" s="654" t="s">
        <v>3193</v>
      </c>
      <c r="C806" s="655">
        <v>599903262</v>
      </c>
      <c r="D806" s="655">
        <v>592937252</v>
      </c>
      <c r="E806" s="655">
        <v>597634932</v>
      </c>
      <c r="F806" s="655">
        <v>590668922</v>
      </c>
      <c r="G806" s="655">
        <v>6966010</v>
      </c>
      <c r="H806" s="655">
        <v>2268330</v>
      </c>
      <c r="I806" s="651">
        <v>1.5</v>
      </c>
      <c r="J806" s="651">
        <v>0</v>
      </c>
      <c r="K806" s="651">
        <v>1.5</v>
      </c>
    </row>
    <row r="807" spans="1:11">
      <c r="A807" s="654" t="s">
        <v>4273</v>
      </c>
      <c r="B807" s="654" t="s">
        <v>3194</v>
      </c>
      <c r="C807" s="655">
        <v>136897946</v>
      </c>
      <c r="D807" s="655">
        <v>131174615</v>
      </c>
      <c r="E807" s="655">
        <v>136897946</v>
      </c>
      <c r="F807" s="655">
        <v>131174615</v>
      </c>
      <c r="G807" s="655">
        <v>5723331</v>
      </c>
      <c r="H807" s="650">
        <v>0</v>
      </c>
      <c r="I807" s="651">
        <v>1.355</v>
      </c>
      <c r="J807" s="651">
        <v>0</v>
      </c>
      <c r="K807" s="651">
        <v>1.355</v>
      </c>
    </row>
    <row r="808" spans="1:11">
      <c r="A808" s="654" t="s">
        <v>4274</v>
      </c>
      <c r="B808" s="654" t="s">
        <v>7692</v>
      </c>
      <c r="C808" s="655">
        <v>41330192</v>
      </c>
      <c r="D808" s="655">
        <v>36774182</v>
      </c>
      <c r="E808" s="655">
        <v>41330192</v>
      </c>
      <c r="F808" s="655">
        <v>36774182</v>
      </c>
      <c r="G808" s="655">
        <v>4556010</v>
      </c>
      <c r="H808" s="650">
        <v>0</v>
      </c>
      <c r="I808" s="651">
        <v>1.44</v>
      </c>
      <c r="J808" s="651">
        <v>0</v>
      </c>
      <c r="K808" s="651">
        <v>1.44</v>
      </c>
    </row>
    <row r="809" spans="1:11">
      <c r="A809" s="654" t="s">
        <v>4275</v>
      </c>
      <c r="B809" s="654" t="s">
        <v>364</v>
      </c>
      <c r="C809" s="655">
        <v>102488416</v>
      </c>
      <c r="D809" s="655">
        <v>91850026</v>
      </c>
      <c r="E809" s="655">
        <v>102488416</v>
      </c>
      <c r="F809" s="655">
        <v>91850026</v>
      </c>
      <c r="G809" s="655">
        <v>10638390</v>
      </c>
      <c r="H809" s="650">
        <v>0</v>
      </c>
      <c r="I809" s="651">
        <v>1.2778</v>
      </c>
      <c r="J809" s="651">
        <v>0.23569999999999999</v>
      </c>
      <c r="K809" s="651">
        <v>1.5135000000000001</v>
      </c>
    </row>
    <row r="810" spans="1:11">
      <c r="A810" s="654" t="s">
        <v>4276</v>
      </c>
      <c r="B810" s="654" t="s">
        <v>3195</v>
      </c>
      <c r="C810" s="655">
        <v>189014665</v>
      </c>
      <c r="D810" s="655">
        <v>171905965</v>
      </c>
      <c r="E810" s="655">
        <v>189014665</v>
      </c>
      <c r="F810" s="655">
        <v>171905965</v>
      </c>
      <c r="G810" s="655">
        <v>17108700</v>
      </c>
      <c r="H810" s="650">
        <v>0</v>
      </c>
      <c r="I810" s="651">
        <v>1.3504700000000001</v>
      </c>
      <c r="J810" s="651">
        <v>0</v>
      </c>
      <c r="K810" s="651">
        <v>1.3504700000000001</v>
      </c>
    </row>
    <row r="811" spans="1:11">
      <c r="A811" s="654" t="s">
        <v>4277</v>
      </c>
      <c r="B811" s="654" t="s">
        <v>998</v>
      </c>
      <c r="C811" s="655">
        <v>48177781</v>
      </c>
      <c r="D811" s="655">
        <v>42523271</v>
      </c>
      <c r="E811" s="655">
        <v>48177781</v>
      </c>
      <c r="F811" s="655">
        <v>42523271</v>
      </c>
      <c r="G811" s="655">
        <v>5654510</v>
      </c>
      <c r="H811" s="650">
        <v>0</v>
      </c>
      <c r="I811" s="651">
        <v>1.42</v>
      </c>
      <c r="J811" s="651">
        <v>5.04E-2</v>
      </c>
      <c r="K811" s="651">
        <v>1.4703999999999999</v>
      </c>
    </row>
    <row r="812" spans="1:11">
      <c r="A812" s="654" t="s">
        <v>4278</v>
      </c>
      <c r="B812" s="654" t="s">
        <v>3196</v>
      </c>
      <c r="C812" s="655">
        <v>527229473</v>
      </c>
      <c r="D812" s="655">
        <v>506646793</v>
      </c>
      <c r="E812" s="655">
        <v>527229473</v>
      </c>
      <c r="F812" s="655">
        <v>506646793</v>
      </c>
      <c r="G812" s="655">
        <v>20582680</v>
      </c>
      <c r="H812" s="650">
        <v>0</v>
      </c>
      <c r="I812" s="651">
        <v>1.5</v>
      </c>
      <c r="J812" s="651">
        <v>0</v>
      </c>
      <c r="K812" s="651">
        <v>1.5</v>
      </c>
    </row>
    <row r="813" spans="1:11">
      <c r="A813" s="654" t="s">
        <v>4279</v>
      </c>
      <c r="B813" s="654" t="s">
        <v>7694</v>
      </c>
      <c r="C813" s="655">
        <v>25962292</v>
      </c>
      <c r="D813" s="655">
        <v>25002292</v>
      </c>
      <c r="E813" s="655">
        <v>25962292</v>
      </c>
      <c r="F813" s="655">
        <v>25002292</v>
      </c>
      <c r="G813" s="655">
        <v>960000</v>
      </c>
      <c r="H813" s="650">
        <v>0</v>
      </c>
      <c r="I813" s="651">
        <v>1.5</v>
      </c>
      <c r="J813" s="651">
        <v>7.9500000000000001E-2</v>
      </c>
      <c r="K813" s="651">
        <v>1.5794999999999999</v>
      </c>
    </row>
    <row r="814" spans="1:11">
      <c r="A814" s="654" t="s">
        <v>4280</v>
      </c>
      <c r="B814" s="654" t="s">
        <v>3197</v>
      </c>
      <c r="C814" s="655">
        <v>308712109</v>
      </c>
      <c r="D814" s="655">
        <v>306581119</v>
      </c>
      <c r="E814" s="655">
        <v>308159214</v>
      </c>
      <c r="F814" s="655">
        <v>306028224</v>
      </c>
      <c r="G814" s="655">
        <v>2130990</v>
      </c>
      <c r="H814" s="655">
        <v>552895</v>
      </c>
      <c r="I814" s="651">
        <v>1.33</v>
      </c>
      <c r="J814" s="651">
        <v>3.6600000000000001E-2</v>
      </c>
      <c r="K814" s="651">
        <v>1.3666</v>
      </c>
    </row>
    <row r="815" spans="1:11">
      <c r="A815" s="654" t="s">
        <v>4281</v>
      </c>
      <c r="B815" s="654" t="s">
        <v>3198</v>
      </c>
      <c r="C815" s="655">
        <v>99657663</v>
      </c>
      <c r="D815" s="655">
        <v>93238643</v>
      </c>
      <c r="E815" s="655">
        <v>99657663</v>
      </c>
      <c r="F815" s="655">
        <v>93238643</v>
      </c>
      <c r="G815" s="655">
        <v>6419020</v>
      </c>
      <c r="H815" s="650">
        <v>0</v>
      </c>
      <c r="I815" s="651">
        <v>1.5</v>
      </c>
      <c r="J815" s="651">
        <v>0</v>
      </c>
      <c r="K815" s="651">
        <v>1.5</v>
      </c>
    </row>
    <row r="816" spans="1:11">
      <c r="A816" s="654" t="s">
        <v>4282</v>
      </c>
      <c r="B816" s="654" t="s">
        <v>3199</v>
      </c>
      <c r="C816" s="655">
        <v>392826889</v>
      </c>
      <c r="D816" s="655">
        <v>384214134</v>
      </c>
      <c r="E816" s="655">
        <v>392824801</v>
      </c>
      <c r="F816" s="655">
        <v>384212046</v>
      </c>
      <c r="G816" s="655">
        <v>8612755</v>
      </c>
      <c r="H816" s="655">
        <v>2088</v>
      </c>
      <c r="I816" s="651">
        <v>1.45</v>
      </c>
      <c r="J816" s="651">
        <v>0</v>
      </c>
      <c r="K816" s="651">
        <v>1.45</v>
      </c>
    </row>
    <row r="817" spans="1:11">
      <c r="A817" s="654" t="s">
        <v>4283</v>
      </c>
      <c r="B817" s="654" t="s">
        <v>3200</v>
      </c>
      <c r="C817" s="655">
        <v>419492853</v>
      </c>
      <c r="D817" s="655">
        <v>417796294</v>
      </c>
      <c r="E817" s="655">
        <v>418588007</v>
      </c>
      <c r="F817" s="655">
        <v>416891448</v>
      </c>
      <c r="G817" s="655">
        <v>1696559</v>
      </c>
      <c r="H817" s="655">
        <v>904846</v>
      </c>
      <c r="I817" s="651">
        <v>1.47</v>
      </c>
      <c r="J817" s="651">
        <v>0.03</v>
      </c>
      <c r="K817" s="651">
        <v>1.5</v>
      </c>
    </row>
    <row r="818" spans="1:11">
      <c r="A818" s="654" t="s">
        <v>4284</v>
      </c>
      <c r="B818" s="654" t="s">
        <v>3201</v>
      </c>
      <c r="C818" s="655">
        <v>230162650</v>
      </c>
      <c r="D818" s="655">
        <v>224621230</v>
      </c>
      <c r="E818" s="655">
        <v>230162650</v>
      </c>
      <c r="F818" s="655">
        <v>224621230</v>
      </c>
      <c r="G818" s="655">
        <v>5541420</v>
      </c>
      <c r="H818" s="650">
        <v>0</v>
      </c>
      <c r="I818" s="651">
        <v>1.5</v>
      </c>
      <c r="J818" s="651">
        <v>0.1603</v>
      </c>
      <c r="K818" s="651">
        <v>1.6603000000000001</v>
      </c>
    </row>
    <row r="819" spans="1:11">
      <c r="A819" s="654" t="s">
        <v>4285</v>
      </c>
      <c r="B819" s="654" t="s">
        <v>3202</v>
      </c>
      <c r="C819" s="655">
        <v>62907415</v>
      </c>
      <c r="D819" s="655">
        <v>59401185</v>
      </c>
      <c r="E819" s="655">
        <v>62907415</v>
      </c>
      <c r="F819" s="655">
        <v>59401185</v>
      </c>
      <c r="G819" s="655">
        <v>3506230</v>
      </c>
      <c r="H819" s="650">
        <v>0</v>
      </c>
      <c r="I819" s="651">
        <v>1.4893000000000001</v>
      </c>
      <c r="J819" s="651">
        <v>0</v>
      </c>
      <c r="K819" s="651">
        <v>1.4893000000000001</v>
      </c>
    </row>
    <row r="820" spans="1:11">
      <c r="A820" s="654" t="s">
        <v>4286</v>
      </c>
      <c r="B820" s="654" t="s">
        <v>3203</v>
      </c>
      <c r="C820" s="655">
        <v>489120387</v>
      </c>
      <c r="D820" s="655">
        <v>476432477</v>
      </c>
      <c r="E820" s="655">
        <v>489120387</v>
      </c>
      <c r="F820" s="655">
        <v>476432477</v>
      </c>
      <c r="G820" s="655">
        <v>12687910</v>
      </c>
      <c r="H820" s="650">
        <v>0</v>
      </c>
      <c r="I820" s="651">
        <v>1.37</v>
      </c>
      <c r="J820" s="651">
        <v>0.13</v>
      </c>
      <c r="K820" s="651">
        <v>1.5</v>
      </c>
    </row>
    <row r="821" spans="1:11">
      <c r="A821" s="654" t="s">
        <v>4287</v>
      </c>
      <c r="B821" s="654" t="s">
        <v>3204</v>
      </c>
      <c r="C821" s="655">
        <v>283822363</v>
      </c>
      <c r="D821" s="655">
        <v>270365763</v>
      </c>
      <c r="E821" s="655">
        <v>283822363</v>
      </c>
      <c r="F821" s="655">
        <v>270365763</v>
      </c>
      <c r="G821" s="655">
        <v>13456600</v>
      </c>
      <c r="H821" s="650">
        <v>0</v>
      </c>
      <c r="I821" s="651">
        <v>1.47</v>
      </c>
      <c r="J821" s="651">
        <v>0</v>
      </c>
      <c r="K821" s="651">
        <v>1.47</v>
      </c>
    </row>
    <row r="822" spans="1:11">
      <c r="A822" s="654" t="s">
        <v>4288</v>
      </c>
      <c r="B822" s="654" t="s">
        <v>3205</v>
      </c>
      <c r="C822" s="655">
        <v>36716379</v>
      </c>
      <c r="D822" s="655">
        <v>36432909</v>
      </c>
      <c r="E822" s="655">
        <v>36716379</v>
      </c>
      <c r="F822" s="655">
        <v>36432909</v>
      </c>
      <c r="G822" s="655">
        <v>283470</v>
      </c>
      <c r="H822" s="650">
        <v>0</v>
      </c>
      <c r="I822" s="651">
        <v>1.38</v>
      </c>
      <c r="J822" s="651">
        <v>0</v>
      </c>
      <c r="K822" s="651">
        <v>1.38</v>
      </c>
    </row>
    <row r="823" spans="1:11">
      <c r="A823" s="654" t="s">
        <v>4289</v>
      </c>
      <c r="B823" s="654" t="s">
        <v>3206</v>
      </c>
      <c r="C823" s="655">
        <v>3910797957</v>
      </c>
      <c r="D823" s="655">
        <v>3787006408</v>
      </c>
      <c r="E823" s="655">
        <v>3910797957</v>
      </c>
      <c r="F823" s="655">
        <v>3787006408</v>
      </c>
      <c r="G823" s="655">
        <v>123791549</v>
      </c>
      <c r="H823" s="650">
        <v>0</v>
      </c>
      <c r="I823" s="651">
        <v>1.5</v>
      </c>
      <c r="J823" s="651">
        <v>0.38</v>
      </c>
      <c r="K823" s="651">
        <v>1.88</v>
      </c>
    </row>
    <row r="824" spans="1:11">
      <c r="A824" s="654" t="s">
        <v>4290</v>
      </c>
      <c r="B824" s="654" t="s">
        <v>373</v>
      </c>
      <c r="C824" s="655">
        <v>522936971</v>
      </c>
      <c r="D824" s="655">
        <v>497989681</v>
      </c>
      <c r="E824" s="655">
        <v>522936971</v>
      </c>
      <c r="F824" s="655">
        <v>497989681</v>
      </c>
      <c r="G824" s="655">
        <v>24947290</v>
      </c>
      <c r="H824" s="650">
        <v>0</v>
      </c>
      <c r="I824" s="651">
        <v>1.3706</v>
      </c>
      <c r="J824" s="651">
        <v>0.3785</v>
      </c>
      <c r="K824" s="651">
        <v>1.7491000000000001</v>
      </c>
    </row>
    <row r="825" spans="1:11">
      <c r="A825" s="654" t="s">
        <v>4291</v>
      </c>
      <c r="B825" s="654" t="s">
        <v>3207</v>
      </c>
      <c r="C825" s="655">
        <v>166587035</v>
      </c>
      <c r="D825" s="655">
        <v>151909619</v>
      </c>
      <c r="E825" s="655">
        <v>166587035</v>
      </c>
      <c r="F825" s="655">
        <v>151909619</v>
      </c>
      <c r="G825" s="655">
        <v>14677416</v>
      </c>
      <c r="H825" s="650">
        <v>0</v>
      </c>
      <c r="I825" s="651">
        <v>1.5</v>
      </c>
      <c r="J825" s="651">
        <v>7.0000000000000007E-2</v>
      </c>
      <c r="K825" s="651">
        <v>1.57</v>
      </c>
    </row>
    <row r="826" spans="1:11">
      <c r="A826" s="654" t="s">
        <v>4292</v>
      </c>
      <c r="B826" s="654" t="s">
        <v>498</v>
      </c>
      <c r="C826" s="655">
        <v>43416372</v>
      </c>
      <c r="D826" s="655">
        <v>39249944</v>
      </c>
      <c r="E826" s="655">
        <v>43416372</v>
      </c>
      <c r="F826" s="655">
        <v>39249944</v>
      </c>
      <c r="G826" s="655">
        <v>4166428</v>
      </c>
      <c r="H826" s="650">
        <v>0</v>
      </c>
      <c r="I826" s="651">
        <v>1.5</v>
      </c>
      <c r="J826" s="651">
        <v>7.4300000000000005E-2</v>
      </c>
      <c r="K826" s="651">
        <v>1.5743</v>
      </c>
    </row>
    <row r="827" spans="1:11">
      <c r="A827" s="654" t="s">
        <v>4293</v>
      </c>
      <c r="B827" s="654" t="s">
        <v>4294</v>
      </c>
      <c r="C827" s="655">
        <v>107887904</v>
      </c>
      <c r="D827" s="655">
        <v>98552449</v>
      </c>
      <c r="E827" s="655">
        <v>107887904</v>
      </c>
      <c r="F827" s="655">
        <v>98552449</v>
      </c>
      <c r="G827" s="655">
        <v>9335455</v>
      </c>
      <c r="H827" s="650">
        <v>0</v>
      </c>
      <c r="I827" s="651">
        <v>1.41</v>
      </c>
      <c r="J827" s="651">
        <v>7.0000000000000007E-2</v>
      </c>
      <c r="K827" s="651">
        <v>1.48</v>
      </c>
    </row>
    <row r="828" spans="1:11">
      <c r="A828" s="654" t="s">
        <v>4295</v>
      </c>
      <c r="B828" s="654" t="s">
        <v>3834</v>
      </c>
      <c r="C828" s="655">
        <v>3782837</v>
      </c>
      <c r="D828" s="655">
        <v>3464173</v>
      </c>
      <c r="E828" s="655">
        <v>3782837</v>
      </c>
      <c r="F828" s="655">
        <v>3464173</v>
      </c>
      <c r="G828" s="655">
        <v>318664</v>
      </c>
      <c r="H828" s="650">
        <v>0</v>
      </c>
      <c r="I828" s="651">
        <v>1.5</v>
      </c>
      <c r="J828" s="651">
        <v>6.7699999999999996E-2</v>
      </c>
      <c r="K828" s="651">
        <v>1.5677000000000001</v>
      </c>
    </row>
    <row r="829" spans="1:11">
      <c r="A829" s="654" t="s">
        <v>4296</v>
      </c>
      <c r="B829" s="654" t="s">
        <v>3208</v>
      </c>
      <c r="C829" s="655">
        <v>983234350</v>
      </c>
      <c r="D829" s="655">
        <v>935544900</v>
      </c>
      <c r="E829" s="655">
        <v>952537095</v>
      </c>
      <c r="F829" s="655">
        <v>904847645</v>
      </c>
      <c r="G829" s="655">
        <v>47689450</v>
      </c>
      <c r="H829" s="655">
        <v>30697255</v>
      </c>
      <c r="I829" s="651">
        <v>1.5</v>
      </c>
      <c r="J829" s="651">
        <v>0.1</v>
      </c>
      <c r="K829" s="651">
        <v>1.6</v>
      </c>
    </row>
    <row r="830" spans="1:11">
      <c r="A830" s="654" t="s">
        <v>4297</v>
      </c>
      <c r="B830" s="654" t="s">
        <v>3209</v>
      </c>
      <c r="C830" s="655">
        <v>42480553</v>
      </c>
      <c r="D830" s="655">
        <v>38314603</v>
      </c>
      <c r="E830" s="655">
        <v>40598343</v>
      </c>
      <c r="F830" s="655">
        <v>36432393</v>
      </c>
      <c r="G830" s="655">
        <v>4165950</v>
      </c>
      <c r="H830" s="655">
        <v>1882210</v>
      </c>
      <c r="I830" s="651">
        <v>1.5</v>
      </c>
      <c r="J830" s="651">
        <v>0</v>
      </c>
      <c r="K830" s="651">
        <v>1.5</v>
      </c>
    </row>
    <row r="831" spans="1:11">
      <c r="A831" s="654" t="s">
        <v>4298</v>
      </c>
      <c r="B831" s="654" t="s">
        <v>3210</v>
      </c>
      <c r="C831" s="655">
        <v>23878734</v>
      </c>
      <c r="D831" s="655">
        <v>22190554</v>
      </c>
      <c r="E831" s="655">
        <v>23295944</v>
      </c>
      <c r="F831" s="655">
        <v>21607764</v>
      </c>
      <c r="G831" s="655">
        <v>1688180</v>
      </c>
      <c r="H831" s="655">
        <v>582790</v>
      </c>
      <c r="I831" s="651">
        <v>1.5</v>
      </c>
      <c r="J831" s="651">
        <v>0.1447</v>
      </c>
      <c r="K831" s="651">
        <v>1.6447000000000001</v>
      </c>
    </row>
    <row r="832" spans="1:11">
      <c r="A832" s="654" t="s">
        <v>4299</v>
      </c>
      <c r="B832" s="654" t="s">
        <v>327</v>
      </c>
      <c r="C832" s="655">
        <v>38779663</v>
      </c>
      <c r="D832" s="655">
        <v>34594413</v>
      </c>
      <c r="E832" s="655">
        <v>36980308</v>
      </c>
      <c r="F832" s="655">
        <v>32795058</v>
      </c>
      <c r="G832" s="655">
        <v>4185250</v>
      </c>
      <c r="H832" s="655">
        <v>1799355</v>
      </c>
      <c r="I832" s="651">
        <v>1.5</v>
      </c>
      <c r="J832" s="651">
        <v>0</v>
      </c>
      <c r="K832" s="651">
        <v>1.5</v>
      </c>
    </row>
    <row r="833" spans="1:11">
      <c r="A833" s="654" t="s">
        <v>4300</v>
      </c>
      <c r="B833" s="654" t="s">
        <v>3627</v>
      </c>
      <c r="C833" s="655">
        <v>54934570</v>
      </c>
      <c r="D833" s="655">
        <v>49073170</v>
      </c>
      <c r="E833" s="655">
        <v>52190680</v>
      </c>
      <c r="F833" s="655">
        <v>46329280</v>
      </c>
      <c r="G833" s="655">
        <v>5861400</v>
      </c>
      <c r="H833" s="655">
        <v>2743890</v>
      </c>
      <c r="I833" s="651">
        <v>1.5</v>
      </c>
      <c r="J833" s="651">
        <v>0.09</v>
      </c>
      <c r="K833" s="651">
        <v>1.59</v>
      </c>
    </row>
    <row r="834" spans="1:11">
      <c r="A834" s="654" t="s">
        <v>4301</v>
      </c>
      <c r="B834" s="654" t="s">
        <v>3211</v>
      </c>
      <c r="C834" s="655">
        <v>1328587376</v>
      </c>
      <c r="D834" s="655">
        <v>1315219166</v>
      </c>
      <c r="E834" s="655">
        <v>1320785791</v>
      </c>
      <c r="F834" s="655">
        <v>1307417581</v>
      </c>
      <c r="G834" s="655">
        <v>13368210</v>
      </c>
      <c r="H834" s="655">
        <v>7801585</v>
      </c>
      <c r="I834" s="651">
        <v>1.3</v>
      </c>
      <c r="J834" s="651">
        <v>0.26800000000000002</v>
      </c>
      <c r="K834" s="651">
        <v>1.5680000000000001</v>
      </c>
    </row>
    <row r="835" spans="1:11">
      <c r="A835" s="654" t="s">
        <v>4302</v>
      </c>
      <c r="B835" s="654" t="s">
        <v>6100</v>
      </c>
      <c r="C835" s="655">
        <v>51568191</v>
      </c>
      <c r="D835" s="655">
        <v>46935041</v>
      </c>
      <c r="E835" s="655">
        <v>49372516</v>
      </c>
      <c r="F835" s="655">
        <v>44739366</v>
      </c>
      <c r="G835" s="655">
        <v>4633150</v>
      </c>
      <c r="H835" s="655">
        <v>2195675</v>
      </c>
      <c r="I835" s="651">
        <v>1.5</v>
      </c>
      <c r="J835" s="651">
        <v>5.8000000000000003E-2</v>
      </c>
      <c r="K835" s="651">
        <v>1.5580000000000001</v>
      </c>
    </row>
    <row r="836" spans="1:11">
      <c r="A836" s="654" t="s">
        <v>4303</v>
      </c>
      <c r="B836" s="654" t="s">
        <v>3212</v>
      </c>
      <c r="C836" s="655">
        <v>225488537</v>
      </c>
      <c r="D836" s="655">
        <v>213586347</v>
      </c>
      <c r="E836" s="655">
        <v>219967672</v>
      </c>
      <c r="F836" s="655">
        <v>208065482</v>
      </c>
      <c r="G836" s="655">
        <v>11902190</v>
      </c>
      <c r="H836" s="655">
        <v>5520865</v>
      </c>
      <c r="I836" s="651">
        <v>1.5</v>
      </c>
      <c r="J836" s="651">
        <v>0</v>
      </c>
      <c r="K836" s="651">
        <v>1.5</v>
      </c>
    </row>
    <row r="837" spans="1:11">
      <c r="A837" s="654" t="s">
        <v>4304</v>
      </c>
      <c r="B837" s="654" t="s">
        <v>3213</v>
      </c>
      <c r="C837" s="655">
        <v>258088292</v>
      </c>
      <c r="D837" s="655">
        <v>234848100</v>
      </c>
      <c r="E837" s="655">
        <v>258088292</v>
      </c>
      <c r="F837" s="655">
        <v>234848100</v>
      </c>
      <c r="G837" s="655">
        <v>23240192</v>
      </c>
      <c r="H837" s="650">
        <v>0</v>
      </c>
      <c r="I837" s="651">
        <v>1.38266</v>
      </c>
      <c r="J837" s="651">
        <v>0</v>
      </c>
      <c r="K837" s="651">
        <v>1.38266</v>
      </c>
    </row>
    <row r="838" spans="1:11">
      <c r="A838" s="654" t="s">
        <v>4305</v>
      </c>
      <c r="B838" s="654" t="s">
        <v>3214</v>
      </c>
      <c r="C838" s="655">
        <v>95368195</v>
      </c>
      <c r="D838" s="655">
        <v>88466493</v>
      </c>
      <c r="E838" s="655">
        <v>93251372</v>
      </c>
      <c r="F838" s="655">
        <v>86349670</v>
      </c>
      <c r="G838" s="655">
        <v>6901702</v>
      </c>
      <c r="H838" s="655">
        <v>2116823</v>
      </c>
      <c r="I838" s="651">
        <v>1.35</v>
      </c>
      <c r="J838" s="651">
        <v>0</v>
      </c>
      <c r="K838" s="651">
        <v>1.35</v>
      </c>
    </row>
    <row r="839" spans="1:11">
      <c r="A839" s="654" t="s">
        <v>4306</v>
      </c>
      <c r="B839" s="654" t="s">
        <v>3215</v>
      </c>
      <c r="C839" s="655">
        <v>133760100</v>
      </c>
      <c r="D839" s="655">
        <v>121327000</v>
      </c>
      <c r="E839" s="655">
        <v>133760100</v>
      </c>
      <c r="F839" s="655">
        <v>121327000</v>
      </c>
      <c r="G839" s="655">
        <v>12433100</v>
      </c>
      <c r="H839" s="650">
        <v>0</v>
      </c>
      <c r="I839" s="651">
        <v>1.5</v>
      </c>
      <c r="J839" s="651">
        <v>0</v>
      </c>
      <c r="K839" s="651">
        <v>1.5</v>
      </c>
    </row>
    <row r="840" spans="1:11">
      <c r="A840" s="654" t="s">
        <v>4307</v>
      </c>
      <c r="B840" s="654" t="s">
        <v>3216</v>
      </c>
      <c r="C840" s="655">
        <v>66680502</v>
      </c>
      <c r="D840" s="655">
        <v>59363692</v>
      </c>
      <c r="E840" s="655">
        <v>64778837</v>
      </c>
      <c r="F840" s="655">
        <v>57462027</v>
      </c>
      <c r="G840" s="655">
        <v>7316810</v>
      </c>
      <c r="H840" s="655">
        <v>1901665</v>
      </c>
      <c r="I840" s="651">
        <v>1.5</v>
      </c>
      <c r="J840" s="651">
        <v>0</v>
      </c>
      <c r="K840" s="651">
        <v>1.5</v>
      </c>
    </row>
    <row r="841" spans="1:11">
      <c r="A841" s="654" t="s">
        <v>4308</v>
      </c>
      <c r="B841" s="654" t="s">
        <v>4309</v>
      </c>
      <c r="C841" s="655">
        <v>577383030</v>
      </c>
      <c r="D841" s="655">
        <v>541582773</v>
      </c>
      <c r="E841" s="655">
        <v>577383030</v>
      </c>
      <c r="F841" s="655">
        <v>541582773</v>
      </c>
      <c r="G841" s="655">
        <v>35800257</v>
      </c>
      <c r="H841" s="650">
        <v>0</v>
      </c>
      <c r="I841" s="651">
        <v>1.46</v>
      </c>
      <c r="J841" s="651">
        <v>7.4999999999999997E-2</v>
      </c>
      <c r="K841" s="651">
        <v>1.5349999999999999</v>
      </c>
    </row>
    <row r="842" spans="1:11">
      <c r="A842" s="654" t="s">
        <v>4310</v>
      </c>
      <c r="B842" s="654" t="s">
        <v>3596</v>
      </c>
      <c r="C842" s="655">
        <v>192959903</v>
      </c>
      <c r="D842" s="655">
        <v>174863012</v>
      </c>
      <c r="E842" s="655">
        <v>184620323</v>
      </c>
      <c r="F842" s="655">
        <v>166523432</v>
      </c>
      <c r="G842" s="655">
        <v>18096891</v>
      </c>
      <c r="H842" s="655">
        <v>8339580</v>
      </c>
      <c r="I842" s="651">
        <v>1.4</v>
      </c>
      <c r="J842" s="651">
        <v>0.1</v>
      </c>
      <c r="K842" s="651">
        <v>1.5</v>
      </c>
    </row>
    <row r="843" spans="1:11">
      <c r="A843" s="654" t="s">
        <v>4311</v>
      </c>
      <c r="B843" s="654" t="s">
        <v>7687</v>
      </c>
      <c r="C843" s="655">
        <v>435946587</v>
      </c>
      <c r="D843" s="655">
        <v>416196269</v>
      </c>
      <c r="E843" s="655">
        <v>435946587</v>
      </c>
      <c r="F843" s="655">
        <v>416196269</v>
      </c>
      <c r="G843" s="655">
        <v>19750318</v>
      </c>
      <c r="H843" s="650">
        <v>0</v>
      </c>
      <c r="I843" s="651">
        <v>1.4864999999999999</v>
      </c>
      <c r="J843" s="651">
        <v>9.0249999999999997E-2</v>
      </c>
      <c r="K843" s="651">
        <v>1.5767500000000001</v>
      </c>
    </row>
    <row r="844" spans="1:11">
      <c r="A844" s="654" t="s">
        <v>4312</v>
      </c>
      <c r="B844" s="654" t="s">
        <v>3597</v>
      </c>
      <c r="C844" s="655">
        <v>785480941</v>
      </c>
      <c r="D844" s="655">
        <v>749191344</v>
      </c>
      <c r="E844" s="655">
        <v>785480941</v>
      </c>
      <c r="F844" s="655">
        <v>749191344</v>
      </c>
      <c r="G844" s="655">
        <v>36289597</v>
      </c>
      <c r="H844" s="650">
        <v>0</v>
      </c>
      <c r="I844" s="651">
        <v>1.5</v>
      </c>
      <c r="J844" s="651">
        <v>0.255</v>
      </c>
      <c r="K844" s="651">
        <v>1.7549999999999999</v>
      </c>
    </row>
    <row r="845" spans="1:11">
      <c r="A845" s="654" t="s">
        <v>4313</v>
      </c>
      <c r="B845" s="654" t="s">
        <v>3598</v>
      </c>
      <c r="C845" s="655">
        <v>943700227</v>
      </c>
      <c r="D845" s="655">
        <v>924643336</v>
      </c>
      <c r="E845" s="655">
        <v>928327056</v>
      </c>
      <c r="F845" s="655">
        <v>909270165</v>
      </c>
      <c r="G845" s="655">
        <v>19056891</v>
      </c>
      <c r="H845" s="655">
        <v>15373171</v>
      </c>
      <c r="I845" s="651">
        <v>1.5</v>
      </c>
      <c r="J845" s="651">
        <v>0.12959999999999999</v>
      </c>
      <c r="K845" s="651">
        <v>1.6295999999999999</v>
      </c>
    </row>
    <row r="846" spans="1:11">
      <c r="A846" s="654" t="s">
        <v>4314</v>
      </c>
      <c r="B846" s="654" t="s">
        <v>6069</v>
      </c>
      <c r="C846" s="655">
        <v>194490259</v>
      </c>
      <c r="D846" s="655">
        <v>175306438</v>
      </c>
      <c r="E846" s="655">
        <v>194490259</v>
      </c>
      <c r="F846" s="655">
        <v>175306438</v>
      </c>
      <c r="G846" s="655">
        <v>19183821</v>
      </c>
      <c r="H846" s="650">
        <v>0</v>
      </c>
      <c r="I846" s="651">
        <v>1.5</v>
      </c>
      <c r="J846" s="651">
        <v>0.1129</v>
      </c>
      <c r="K846" s="651">
        <v>1.6129</v>
      </c>
    </row>
    <row r="847" spans="1:11">
      <c r="A847" s="654" t="s">
        <v>4315</v>
      </c>
      <c r="B847" s="654" t="s">
        <v>3832</v>
      </c>
      <c r="C847" s="655">
        <v>156366476</v>
      </c>
      <c r="D847" s="655">
        <v>146808748</v>
      </c>
      <c r="E847" s="655">
        <v>156366476</v>
      </c>
      <c r="F847" s="655">
        <v>146808748</v>
      </c>
      <c r="G847" s="655">
        <v>9557728</v>
      </c>
      <c r="H847" s="650">
        <v>0</v>
      </c>
      <c r="I847" s="651">
        <v>1.5</v>
      </c>
      <c r="J847" s="651">
        <v>0.1103</v>
      </c>
      <c r="K847" s="651">
        <v>1.6103000000000001</v>
      </c>
    </row>
    <row r="848" spans="1:11">
      <c r="A848" s="654" t="s">
        <v>4316</v>
      </c>
      <c r="B848" s="654" t="s">
        <v>1468</v>
      </c>
      <c r="C848" s="655">
        <v>250788795</v>
      </c>
      <c r="D848" s="655">
        <v>233498734</v>
      </c>
      <c r="E848" s="655">
        <v>250788795</v>
      </c>
      <c r="F848" s="655">
        <v>233498734</v>
      </c>
      <c r="G848" s="655">
        <v>17290061</v>
      </c>
      <c r="H848" s="650">
        <v>0</v>
      </c>
      <c r="I848" s="651">
        <v>1.5</v>
      </c>
      <c r="J848" s="651">
        <v>7.0000000000000007E-2</v>
      </c>
      <c r="K848" s="651">
        <v>1.57</v>
      </c>
    </row>
    <row r="849" spans="1:11">
      <c r="A849" s="654" t="s">
        <v>4317</v>
      </c>
      <c r="B849" s="654" t="s">
        <v>5362</v>
      </c>
      <c r="C849" s="655">
        <v>244094950</v>
      </c>
      <c r="D849" s="655">
        <v>233914783</v>
      </c>
      <c r="E849" s="655">
        <v>244094950</v>
      </c>
      <c r="F849" s="655">
        <v>233914783</v>
      </c>
      <c r="G849" s="655">
        <v>10180167</v>
      </c>
      <c r="H849" s="650">
        <v>0</v>
      </c>
      <c r="I849" s="651">
        <v>1.30938</v>
      </c>
      <c r="J849" s="651">
        <v>9.0623999999999996E-2</v>
      </c>
      <c r="K849" s="651">
        <v>1.4</v>
      </c>
    </row>
    <row r="850" spans="1:11">
      <c r="A850" s="654" t="s">
        <v>4318</v>
      </c>
      <c r="B850" s="654" t="s">
        <v>1455</v>
      </c>
      <c r="C850" s="655">
        <v>132083160</v>
      </c>
      <c r="D850" s="655">
        <v>122001000</v>
      </c>
      <c r="E850" s="655">
        <v>132083160</v>
      </c>
      <c r="F850" s="655">
        <v>122001000</v>
      </c>
      <c r="G850" s="655">
        <v>10082160</v>
      </c>
      <c r="H850" s="650">
        <v>0</v>
      </c>
      <c r="I850" s="651">
        <v>1.43</v>
      </c>
      <c r="J850" s="651">
        <v>0.09</v>
      </c>
      <c r="K850" s="651">
        <v>1.52</v>
      </c>
    </row>
    <row r="851" spans="1:11">
      <c r="A851" s="654" t="s">
        <v>4319</v>
      </c>
      <c r="B851" s="654" t="s">
        <v>3599</v>
      </c>
      <c r="C851" s="655">
        <v>40599200</v>
      </c>
      <c r="D851" s="655">
        <v>38228260</v>
      </c>
      <c r="E851" s="655">
        <v>40599200</v>
      </c>
      <c r="F851" s="655">
        <v>38228260</v>
      </c>
      <c r="G851" s="655">
        <v>2370940</v>
      </c>
      <c r="H851" s="650">
        <v>0</v>
      </c>
      <c r="I851" s="651">
        <v>1.5</v>
      </c>
      <c r="J851" s="651">
        <v>0</v>
      </c>
      <c r="K851" s="651">
        <v>1.5</v>
      </c>
    </row>
    <row r="852" spans="1:11">
      <c r="A852" s="654" t="s">
        <v>4320</v>
      </c>
      <c r="B852" s="654" t="s">
        <v>1840</v>
      </c>
      <c r="C852" s="655">
        <v>31188587</v>
      </c>
      <c r="D852" s="655">
        <v>29786967</v>
      </c>
      <c r="E852" s="655">
        <v>31188587</v>
      </c>
      <c r="F852" s="655">
        <v>29786967</v>
      </c>
      <c r="G852" s="655">
        <v>1401620</v>
      </c>
      <c r="H852" s="650">
        <v>0</v>
      </c>
      <c r="I852" s="651">
        <v>1.46</v>
      </c>
      <c r="J852" s="651">
        <v>0</v>
      </c>
      <c r="K852" s="651">
        <v>1.46</v>
      </c>
    </row>
    <row r="853" spans="1:11">
      <c r="A853" s="654" t="s">
        <v>4321</v>
      </c>
      <c r="B853" s="654" t="s">
        <v>1841</v>
      </c>
      <c r="C853" s="655">
        <v>226836811</v>
      </c>
      <c r="D853" s="655">
        <v>220997131</v>
      </c>
      <c r="E853" s="655">
        <v>225187589</v>
      </c>
      <c r="F853" s="655">
        <v>219347909</v>
      </c>
      <c r="G853" s="655">
        <v>5839680</v>
      </c>
      <c r="H853" s="655">
        <v>1649222</v>
      </c>
      <c r="I853" s="651">
        <v>1.494</v>
      </c>
      <c r="J853" s="651">
        <v>0</v>
      </c>
      <c r="K853" s="651">
        <v>1.494</v>
      </c>
    </row>
    <row r="854" spans="1:11">
      <c r="A854" s="654" t="s">
        <v>4322</v>
      </c>
      <c r="B854" s="654" t="s">
        <v>1842</v>
      </c>
      <c r="C854" s="655">
        <v>33779739</v>
      </c>
      <c r="D854" s="655">
        <v>31614141</v>
      </c>
      <c r="E854" s="655">
        <v>33779739</v>
      </c>
      <c r="F854" s="655">
        <v>31614141</v>
      </c>
      <c r="G854" s="655">
        <v>2165598</v>
      </c>
      <c r="H854" s="650">
        <v>0</v>
      </c>
      <c r="I854" s="651">
        <v>1.5</v>
      </c>
      <c r="J854" s="651">
        <v>0</v>
      </c>
      <c r="K854" s="651">
        <v>1.5</v>
      </c>
    </row>
    <row r="855" spans="1:11">
      <c r="A855" s="654" t="s">
        <v>4323</v>
      </c>
      <c r="B855" s="654" t="s">
        <v>0</v>
      </c>
      <c r="C855" s="655">
        <v>1138555737</v>
      </c>
      <c r="D855" s="655">
        <v>1105699220</v>
      </c>
      <c r="E855" s="655">
        <v>1138555737</v>
      </c>
      <c r="F855" s="655">
        <v>1105699220</v>
      </c>
      <c r="G855" s="655">
        <v>32856517</v>
      </c>
      <c r="H855" s="650">
        <v>0</v>
      </c>
      <c r="I855" s="651">
        <v>1.5</v>
      </c>
      <c r="J855" s="651">
        <v>0</v>
      </c>
      <c r="K855" s="651">
        <v>1.5</v>
      </c>
    </row>
    <row r="856" spans="1:11">
      <c r="A856" s="654" t="s">
        <v>4324</v>
      </c>
      <c r="B856" s="654" t="s">
        <v>1</v>
      </c>
      <c r="C856" s="655">
        <v>96657281</v>
      </c>
      <c r="D856" s="655">
        <v>94991055</v>
      </c>
      <c r="E856" s="655">
        <v>96657281</v>
      </c>
      <c r="F856" s="655">
        <v>94991055</v>
      </c>
      <c r="G856" s="655">
        <v>1666226</v>
      </c>
      <c r="H856" s="650">
        <v>0</v>
      </c>
      <c r="I856" s="651">
        <v>1.5</v>
      </c>
      <c r="J856" s="651">
        <v>0</v>
      </c>
      <c r="K856" s="651">
        <v>1.5</v>
      </c>
    </row>
    <row r="857" spans="1:11">
      <c r="A857" s="654" t="s">
        <v>4325</v>
      </c>
      <c r="B857" s="654" t="s">
        <v>2</v>
      </c>
      <c r="C857" s="655">
        <v>148851595</v>
      </c>
      <c r="D857" s="655">
        <v>142079354</v>
      </c>
      <c r="E857" s="655">
        <v>148851595</v>
      </c>
      <c r="F857" s="655">
        <v>142079354</v>
      </c>
      <c r="G857" s="655">
        <v>6772241</v>
      </c>
      <c r="H857" s="650">
        <v>0</v>
      </c>
      <c r="I857" s="651">
        <v>1.2817000000000001</v>
      </c>
      <c r="J857" s="651">
        <v>0.1202</v>
      </c>
      <c r="K857" s="651">
        <v>1.4018999999999999</v>
      </c>
    </row>
    <row r="858" spans="1:11">
      <c r="A858" s="654" t="s">
        <v>4326</v>
      </c>
      <c r="B858" s="654" t="s">
        <v>3</v>
      </c>
      <c r="C858" s="655">
        <v>30857438</v>
      </c>
      <c r="D858" s="655">
        <v>29761787</v>
      </c>
      <c r="E858" s="655">
        <v>30857438</v>
      </c>
      <c r="F858" s="655">
        <v>29761787</v>
      </c>
      <c r="G858" s="655">
        <v>1095651</v>
      </c>
      <c r="H858" s="650">
        <v>0</v>
      </c>
      <c r="I858" s="651">
        <v>1.4291</v>
      </c>
      <c r="J858" s="651">
        <v>0</v>
      </c>
      <c r="K858" s="651">
        <v>1.4291</v>
      </c>
    </row>
    <row r="859" spans="1:11">
      <c r="A859" s="654" t="s">
        <v>4327</v>
      </c>
      <c r="B859" s="654" t="s">
        <v>4</v>
      </c>
      <c r="C859" s="655">
        <v>335476298</v>
      </c>
      <c r="D859" s="655">
        <v>310692575</v>
      </c>
      <c r="E859" s="655">
        <v>323391528</v>
      </c>
      <c r="F859" s="655">
        <v>298607805</v>
      </c>
      <c r="G859" s="655">
        <v>24783723</v>
      </c>
      <c r="H859" s="655">
        <v>12084770</v>
      </c>
      <c r="I859" s="651">
        <v>1.5</v>
      </c>
      <c r="J859" s="651">
        <v>0.13730000000000001</v>
      </c>
      <c r="K859" s="651">
        <v>1.6373</v>
      </c>
    </row>
    <row r="860" spans="1:11">
      <c r="A860" s="654" t="s">
        <v>4328</v>
      </c>
      <c r="B860" s="654" t="s">
        <v>5</v>
      </c>
      <c r="C860" s="655">
        <v>184076785</v>
      </c>
      <c r="D860" s="655">
        <v>174743753</v>
      </c>
      <c r="E860" s="655">
        <v>180350700</v>
      </c>
      <c r="F860" s="655">
        <v>171017668</v>
      </c>
      <c r="G860" s="655">
        <v>9333032</v>
      </c>
      <c r="H860" s="655">
        <v>3726085</v>
      </c>
      <c r="I860" s="651">
        <v>1.45</v>
      </c>
      <c r="J860" s="651">
        <v>6.4799999999999996E-2</v>
      </c>
      <c r="K860" s="651">
        <v>1.5147999999999999</v>
      </c>
    </row>
    <row r="861" spans="1:11">
      <c r="A861" s="654" t="s">
        <v>4329</v>
      </c>
      <c r="B861" s="654" t="s">
        <v>1465</v>
      </c>
      <c r="C861" s="655">
        <v>150979001</v>
      </c>
      <c r="D861" s="655">
        <v>141976151</v>
      </c>
      <c r="E861" s="655">
        <v>150979001</v>
      </c>
      <c r="F861" s="655">
        <v>141976151</v>
      </c>
      <c r="G861" s="655">
        <v>9002850</v>
      </c>
      <c r="H861" s="650">
        <v>0</v>
      </c>
      <c r="I861" s="651">
        <v>1.3261000000000001</v>
      </c>
      <c r="J861" s="651">
        <v>8.5800000000000001E-2</v>
      </c>
      <c r="K861" s="651">
        <v>1.4118999999999999</v>
      </c>
    </row>
    <row r="862" spans="1:11">
      <c r="A862" s="654" t="s">
        <v>4330</v>
      </c>
      <c r="B862" s="654" t="s">
        <v>6</v>
      </c>
      <c r="C862" s="655">
        <v>59499701</v>
      </c>
      <c r="D862" s="655">
        <v>54506217</v>
      </c>
      <c r="E862" s="655">
        <v>59499701</v>
      </c>
      <c r="F862" s="655">
        <v>54506217</v>
      </c>
      <c r="G862" s="655">
        <v>4993484</v>
      </c>
      <c r="H862" s="650">
        <v>0</v>
      </c>
      <c r="I862" s="651">
        <v>1.5</v>
      </c>
      <c r="J862" s="651">
        <v>0</v>
      </c>
      <c r="K862" s="651">
        <v>1.5</v>
      </c>
    </row>
    <row r="863" spans="1:11">
      <c r="A863" s="654" t="s">
        <v>4331</v>
      </c>
      <c r="B863" s="654" t="s">
        <v>7</v>
      </c>
      <c r="C863" s="655">
        <v>105307757</v>
      </c>
      <c r="D863" s="655">
        <v>96268013</v>
      </c>
      <c r="E863" s="655">
        <v>101714990</v>
      </c>
      <c r="F863" s="655">
        <v>92675246</v>
      </c>
      <c r="G863" s="655">
        <v>9039744</v>
      </c>
      <c r="H863" s="655">
        <v>3592767</v>
      </c>
      <c r="I863" s="651">
        <v>1.5</v>
      </c>
      <c r="J863" s="651">
        <v>0.09</v>
      </c>
      <c r="K863" s="651">
        <v>1.59</v>
      </c>
    </row>
    <row r="864" spans="1:11">
      <c r="A864" s="654" t="s">
        <v>4332</v>
      </c>
      <c r="B864" s="654" t="s">
        <v>8</v>
      </c>
      <c r="C864" s="655">
        <v>10699465</v>
      </c>
      <c r="D864" s="655">
        <v>9387385</v>
      </c>
      <c r="E864" s="655">
        <v>10188627</v>
      </c>
      <c r="F864" s="655">
        <v>8876547</v>
      </c>
      <c r="G864" s="655">
        <v>1312080</v>
      </c>
      <c r="H864" s="655">
        <v>510838</v>
      </c>
      <c r="I864" s="651">
        <v>1.5</v>
      </c>
      <c r="J864" s="651">
        <v>0</v>
      </c>
      <c r="K864" s="651">
        <v>1.5</v>
      </c>
    </row>
    <row r="865" spans="1:11">
      <c r="A865" s="654" t="s">
        <v>4333</v>
      </c>
      <c r="B865" s="654" t="s">
        <v>9</v>
      </c>
      <c r="C865" s="655">
        <v>96465277</v>
      </c>
      <c r="D865" s="655">
        <v>95223537</v>
      </c>
      <c r="E865" s="655">
        <v>96465277</v>
      </c>
      <c r="F865" s="655">
        <v>95223537</v>
      </c>
      <c r="G865" s="655">
        <v>1241740</v>
      </c>
      <c r="H865" s="650">
        <v>0</v>
      </c>
      <c r="I865" s="651">
        <v>1.27121</v>
      </c>
      <c r="J865" s="651">
        <v>0</v>
      </c>
      <c r="K865" s="651">
        <v>1.27121</v>
      </c>
    </row>
    <row r="866" spans="1:11">
      <c r="A866" s="654" t="s">
        <v>4334</v>
      </c>
      <c r="B866" s="654" t="s">
        <v>10</v>
      </c>
      <c r="C866" s="655">
        <v>330789203</v>
      </c>
      <c r="D866" s="655">
        <v>325307749</v>
      </c>
      <c r="E866" s="655">
        <v>330789203</v>
      </c>
      <c r="F866" s="655">
        <v>325307749</v>
      </c>
      <c r="G866" s="655">
        <v>5481454</v>
      </c>
      <c r="H866" s="650">
        <v>0</v>
      </c>
      <c r="I866" s="651">
        <v>1.35</v>
      </c>
      <c r="J866" s="651">
        <v>7.0599999999999996E-2</v>
      </c>
      <c r="K866" s="651">
        <v>1.4206000000000001</v>
      </c>
    </row>
    <row r="867" spans="1:11">
      <c r="A867" s="654" t="s">
        <v>4335</v>
      </c>
      <c r="B867" s="654" t="s">
        <v>7689</v>
      </c>
      <c r="C867" s="655">
        <v>303638198</v>
      </c>
      <c r="D867" s="655">
        <v>289849966</v>
      </c>
      <c r="E867" s="655">
        <v>290488831</v>
      </c>
      <c r="F867" s="655">
        <v>276700599</v>
      </c>
      <c r="G867" s="655">
        <v>13788232</v>
      </c>
      <c r="H867" s="655">
        <v>13149367</v>
      </c>
      <c r="I867" s="651">
        <v>1.2942</v>
      </c>
      <c r="J867" s="651">
        <v>0.22935</v>
      </c>
      <c r="K867" s="651">
        <v>1.5235399999999999</v>
      </c>
    </row>
    <row r="868" spans="1:11">
      <c r="A868" s="654" t="s">
        <v>4336</v>
      </c>
      <c r="B868" s="654" t="s">
        <v>11</v>
      </c>
      <c r="C868" s="655">
        <v>454286513</v>
      </c>
      <c r="D868" s="655">
        <v>428753226</v>
      </c>
      <c r="E868" s="655">
        <v>454286513</v>
      </c>
      <c r="F868" s="655">
        <v>428753226</v>
      </c>
      <c r="G868" s="655">
        <v>25533287</v>
      </c>
      <c r="H868" s="650">
        <v>0</v>
      </c>
      <c r="I868" s="651">
        <v>1.37</v>
      </c>
      <c r="J868" s="651">
        <v>0.22</v>
      </c>
      <c r="K868" s="651">
        <v>1.59</v>
      </c>
    </row>
    <row r="869" spans="1:11">
      <c r="A869" s="654" t="s">
        <v>4337</v>
      </c>
      <c r="B869" s="654" t="s">
        <v>12</v>
      </c>
      <c r="C869" s="655">
        <v>745911845</v>
      </c>
      <c r="D869" s="655">
        <v>700223163</v>
      </c>
      <c r="E869" s="655">
        <v>745911845</v>
      </c>
      <c r="F869" s="655">
        <v>700223163</v>
      </c>
      <c r="G869" s="655">
        <v>45688682</v>
      </c>
      <c r="H869" s="650">
        <v>0</v>
      </c>
      <c r="I869" s="651">
        <v>1.4</v>
      </c>
      <c r="J869" s="651">
        <v>0.20899999999999999</v>
      </c>
      <c r="K869" s="651">
        <v>1.609</v>
      </c>
    </row>
    <row r="870" spans="1:11">
      <c r="A870" s="654" t="s">
        <v>4338</v>
      </c>
      <c r="B870" s="654" t="s">
        <v>13</v>
      </c>
      <c r="C870" s="655">
        <v>218116852</v>
      </c>
      <c r="D870" s="655">
        <v>207680119</v>
      </c>
      <c r="E870" s="655">
        <v>218116852</v>
      </c>
      <c r="F870" s="655">
        <v>207680119</v>
      </c>
      <c r="G870" s="655">
        <v>10436733</v>
      </c>
      <c r="H870" s="650">
        <v>0</v>
      </c>
      <c r="I870" s="651">
        <v>1.2136</v>
      </c>
      <c r="J870" s="651">
        <v>3.5999999999999997E-2</v>
      </c>
      <c r="K870" s="651">
        <v>1.2496</v>
      </c>
    </row>
    <row r="871" spans="1:11">
      <c r="A871" s="654" t="s">
        <v>4339</v>
      </c>
      <c r="B871" s="654" t="s">
        <v>14</v>
      </c>
      <c r="C871" s="655">
        <v>5332092204</v>
      </c>
      <c r="D871" s="655">
        <v>5105399841</v>
      </c>
      <c r="E871" s="655">
        <v>5332092204</v>
      </c>
      <c r="F871" s="655">
        <v>5105399841</v>
      </c>
      <c r="G871" s="655">
        <v>226692363</v>
      </c>
      <c r="H871" s="650">
        <v>0</v>
      </c>
      <c r="I871" s="651">
        <v>1.4245000000000001</v>
      </c>
      <c r="J871" s="651">
        <v>4.1500000000000002E-2</v>
      </c>
      <c r="K871" s="651">
        <v>1.466</v>
      </c>
    </row>
    <row r="872" spans="1:11">
      <c r="A872" s="654" t="s">
        <v>4340</v>
      </c>
      <c r="B872" s="654" t="s">
        <v>4070</v>
      </c>
      <c r="C872" s="655">
        <v>1122266469</v>
      </c>
      <c r="D872" s="655">
        <v>1070168861</v>
      </c>
      <c r="E872" s="655">
        <v>1122266469</v>
      </c>
      <c r="F872" s="655">
        <v>1070168861</v>
      </c>
      <c r="G872" s="655">
        <v>52097608</v>
      </c>
      <c r="H872" s="650">
        <v>0</v>
      </c>
      <c r="I872" s="651">
        <v>1.363</v>
      </c>
      <c r="J872" s="651">
        <v>0.14000000000000001</v>
      </c>
      <c r="K872" s="651">
        <v>1.5029999999999999</v>
      </c>
    </row>
    <row r="873" spans="1:11">
      <c r="A873" s="654" t="s">
        <v>4341</v>
      </c>
      <c r="B873" s="654" t="s">
        <v>6106</v>
      </c>
      <c r="C873" s="655">
        <v>721930030</v>
      </c>
      <c r="D873" s="655">
        <v>681005476</v>
      </c>
      <c r="E873" s="655">
        <v>721930030</v>
      </c>
      <c r="F873" s="655">
        <v>681005476</v>
      </c>
      <c r="G873" s="655">
        <v>40924554</v>
      </c>
      <c r="H873" s="650">
        <v>0</v>
      </c>
      <c r="I873" s="651">
        <v>1.478</v>
      </c>
      <c r="J873" s="651">
        <v>0.112</v>
      </c>
      <c r="K873" s="651">
        <v>1.59</v>
      </c>
    </row>
    <row r="874" spans="1:11">
      <c r="A874" s="654" t="s">
        <v>4342</v>
      </c>
      <c r="B874" s="654" t="s">
        <v>15</v>
      </c>
      <c r="C874" s="655">
        <v>243006166</v>
      </c>
      <c r="D874" s="655">
        <v>229134956</v>
      </c>
      <c r="E874" s="655">
        <v>243006166</v>
      </c>
      <c r="F874" s="655">
        <v>229134956</v>
      </c>
      <c r="G874" s="655">
        <v>13871210</v>
      </c>
      <c r="H874" s="650">
        <v>0</v>
      </c>
      <c r="I874" s="651">
        <v>1.5</v>
      </c>
      <c r="J874" s="651">
        <v>7.1940000000000004E-2</v>
      </c>
      <c r="K874" s="651">
        <v>1.5719399999999999</v>
      </c>
    </row>
    <row r="875" spans="1:11">
      <c r="A875" s="654" t="s">
        <v>4343</v>
      </c>
      <c r="B875" s="654" t="s">
        <v>16</v>
      </c>
      <c r="C875" s="655">
        <v>1838532643</v>
      </c>
      <c r="D875" s="655">
        <v>1822940449</v>
      </c>
      <c r="E875" s="655">
        <v>1823642700</v>
      </c>
      <c r="F875" s="655">
        <v>1808050506</v>
      </c>
      <c r="G875" s="655">
        <v>15592194</v>
      </c>
      <c r="H875" s="655">
        <v>14889943</v>
      </c>
      <c r="I875" s="651">
        <v>1.1177999999999999</v>
      </c>
      <c r="J875" s="651">
        <v>0.08</v>
      </c>
      <c r="K875" s="651">
        <v>1.1978</v>
      </c>
    </row>
    <row r="876" spans="1:11">
      <c r="A876" s="654" t="s">
        <v>4344</v>
      </c>
      <c r="B876" s="654" t="s">
        <v>360</v>
      </c>
      <c r="C876" s="655">
        <v>845472048</v>
      </c>
      <c r="D876" s="655">
        <v>790075778</v>
      </c>
      <c r="E876" s="655">
        <v>845472048</v>
      </c>
      <c r="F876" s="655">
        <v>790075778</v>
      </c>
      <c r="G876" s="655">
        <v>55396270</v>
      </c>
      <c r="H876" s="650">
        <v>0</v>
      </c>
      <c r="I876" s="651">
        <v>1.45</v>
      </c>
      <c r="J876" s="651">
        <v>0.11600000000000001</v>
      </c>
      <c r="K876" s="651">
        <v>1.5660000000000001</v>
      </c>
    </row>
    <row r="877" spans="1:11">
      <c r="A877" s="654" t="s">
        <v>4345</v>
      </c>
      <c r="B877" s="654" t="s">
        <v>1718</v>
      </c>
      <c r="C877" s="655">
        <v>277200724</v>
      </c>
      <c r="D877" s="655">
        <v>275039294</v>
      </c>
      <c r="E877" s="655">
        <v>277200724</v>
      </c>
      <c r="F877" s="655">
        <v>275039294</v>
      </c>
      <c r="G877" s="655">
        <v>2161430</v>
      </c>
      <c r="H877" s="650">
        <v>0</v>
      </c>
      <c r="I877" s="651">
        <v>1.5</v>
      </c>
      <c r="J877" s="651">
        <v>0</v>
      </c>
      <c r="K877" s="651">
        <v>1.5</v>
      </c>
    </row>
    <row r="878" spans="1:11">
      <c r="A878" s="654" t="s">
        <v>4346</v>
      </c>
      <c r="B878" s="654" t="s">
        <v>368</v>
      </c>
      <c r="C878" s="655">
        <v>405025568</v>
      </c>
      <c r="D878" s="655">
        <v>368406778</v>
      </c>
      <c r="E878" s="655">
        <v>405025568</v>
      </c>
      <c r="F878" s="655">
        <v>368406778</v>
      </c>
      <c r="G878" s="655">
        <v>36618790</v>
      </c>
      <c r="H878" s="650">
        <v>0</v>
      </c>
      <c r="I878" s="651">
        <v>1.5</v>
      </c>
      <c r="J878" s="651">
        <v>0</v>
      </c>
      <c r="K878" s="651">
        <v>1.6196999999999999</v>
      </c>
    </row>
    <row r="879" spans="1:11">
      <c r="A879" s="654" t="s">
        <v>4347</v>
      </c>
      <c r="B879" s="654" t="s">
        <v>1719</v>
      </c>
      <c r="C879" s="655">
        <v>445176518</v>
      </c>
      <c r="D879" s="655">
        <v>424316808</v>
      </c>
      <c r="E879" s="655">
        <v>445176518</v>
      </c>
      <c r="F879" s="655">
        <v>424316808</v>
      </c>
      <c r="G879" s="655">
        <v>20859710</v>
      </c>
      <c r="H879" s="650">
        <v>0</v>
      </c>
      <c r="I879" s="651">
        <v>1.3648</v>
      </c>
      <c r="J879" s="651">
        <v>0</v>
      </c>
      <c r="K879" s="651">
        <v>1.3648</v>
      </c>
    </row>
    <row r="880" spans="1:11">
      <c r="A880" s="654" t="s">
        <v>4348</v>
      </c>
      <c r="B880" s="654" t="s">
        <v>1720</v>
      </c>
      <c r="C880" s="655">
        <v>348086320</v>
      </c>
      <c r="D880" s="655">
        <v>345164690</v>
      </c>
      <c r="E880" s="655">
        <v>348086320</v>
      </c>
      <c r="F880" s="655">
        <v>345164690</v>
      </c>
      <c r="G880" s="655">
        <v>2921630</v>
      </c>
      <c r="H880" s="650">
        <v>0</v>
      </c>
      <c r="I880" s="651">
        <v>1.5</v>
      </c>
      <c r="J880" s="651">
        <v>0</v>
      </c>
      <c r="K880" s="651">
        <v>1.5</v>
      </c>
    </row>
    <row r="881" spans="1:11">
      <c r="A881" s="654" t="s">
        <v>4349</v>
      </c>
      <c r="B881" s="654" t="s">
        <v>1721</v>
      </c>
      <c r="C881" s="655">
        <v>98686414</v>
      </c>
      <c r="D881" s="655">
        <v>94624888</v>
      </c>
      <c r="E881" s="655">
        <v>98686414</v>
      </c>
      <c r="F881" s="655">
        <v>94624888</v>
      </c>
      <c r="G881" s="655">
        <v>4061526</v>
      </c>
      <c r="H881" s="650">
        <v>0</v>
      </c>
      <c r="I881" s="651">
        <v>1.5</v>
      </c>
      <c r="J881" s="651">
        <v>0</v>
      </c>
      <c r="K881" s="651">
        <v>1.5</v>
      </c>
    </row>
    <row r="882" spans="1:11">
      <c r="A882" s="654" t="s">
        <v>4350</v>
      </c>
      <c r="B882" s="654" t="s">
        <v>1722</v>
      </c>
      <c r="C882" s="655">
        <v>880626128</v>
      </c>
      <c r="D882" s="655">
        <v>871106355</v>
      </c>
      <c r="E882" s="655">
        <v>875434274</v>
      </c>
      <c r="F882" s="655">
        <v>865914501</v>
      </c>
      <c r="G882" s="655">
        <v>9519773</v>
      </c>
      <c r="H882" s="655">
        <v>5191854</v>
      </c>
      <c r="I882" s="651">
        <v>1.5</v>
      </c>
      <c r="J882" s="651">
        <v>9.6199999999999994E-2</v>
      </c>
      <c r="K882" s="651">
        <v>1.5962000000000001</v>
      </c>
    </row>
    <row r="883" spans="1:11">
      <c r="A883" s="654" t="s">
        <v>4351</v>
      </c>
      <c r="B883" s="654" t="s">
        <v>1723</v>
      </c>
      <c r="C883" s="655">
        <v>57391398</v>
      </c>
      <c r="D883" s="655">
        <v>54840511</v>
      </c>
      <c r="E883" s="655">
        <v>57391398</v>
      </c>
      <c r="F883" s="655">
        <v>54840511</v>
      </c>
      <c r="G883" s="655">
        <v>2550887</v>
      </c>
      <c r="H883" s="650">
        <v>0</v>
      </c>
      <c r="I883" s="651">
        <v>1.42</v>
      </c>
      <c r="J883" s="651">
        <v>0</v>
      </c>
      <c r="K883" s="651">
        <v>1.42</v>
      </c>
    </row>
    <row r="884" spans="1:11">
      <c r="A884" s="654" t="s">
        <v>4352</v>
      </c>
      <c r="B884" s="654" t="s">
        <v>1724</v>
      </c>
      <c r="C884" s="655">
        <v>131157577</v>
      </c>
      <c r="D884" s="655">
        <v>119988367</v>
      </c>
      <c r="E884" s="655">
        <v>131157577</v>
      </c>
      <c r="F884" s="655">
        <v>119988367</v>
      </c>
      <c r="G884" s="655">
        <v>11169210</v>
      </c>
      <c r="H884" s="650">
        <v>0</v>
      </c>
      <c r="I884" s="651">
        <v>1.379</v>
      </c>
      <c r="J884" s="651">
        <v>0</v>
      </c>
      <c r="K884" s="651">
        <v>1.379</v>
      </c>
    </row>
    <row r="885" spans="1:11">
      <c r="A885" s="654" t="s">
        <v>4353</v>
      </c>
      <c r="B885" s="654" t="s">
        <v>1725</v>
      </c>
      <c r="C885" s="655">
        <v>51118614</v>
      </c>
      <c r="D885" s="655">
        <v>48443984</v>
      </c>
      <c r="E885" s="655">
        <v>51118614</v>
      </c>
      <c r="F885" s="655">
        <v>48443984</v>
      </c>
      <c r="G885" s="655">
        <v>2674630</v>
      </c>
      <c r="H885" s="650">
        <v>0</v>
      </c>
      <c r="I885" s="651">
        <v>1.5</v>
      </c>
      <c r="J885" s="651">
        <v>0</v>
      </c>
      <c r="K885" s="651">
        <v>1.5</v>
      </c>
    </row>
    <row r="886" spans="1:11">
      <c r="A886" s="654" t="s">
        <v>4354</v>
      </c>
      <c r="B886" s="654" t="s">
        <v>7688</v>
      </c>
      <c r="C886" s="655">
        <v>18086617975</v>
      </c>
      <c r="D886" s="655">
        <v>17476885915</v>
      </c>
      <c r="E886" s="655">
        <v>18086617975</v>
      </c>
      <c r="F886" s="655">
        <v>17476885915</v>
      </c>
      <c r="G886" s="655">
        <v>609732060</v>
      </c>
      <c r="H886" s="650">
        <v>0</v>
      </c>
      <c r="I886" s="651">
        <v>1.5</v>
      </c>
      <c r="J886" s="651">
        <v>0.255</v>
      </c>
      <c r="K886" s="651">
        <v>1.7549999999999999</v>
      </c>
    </row>
    <row r="887" spans="1:11">
      <c r="A887" s="654" t="s">
        <v>4355</v>
      </c>
      <c r="B887" s="654" t="s">
        <v>7656</v>
      </c>
      <c r="C887" s="655">
        <v>6229644164</v>
      </c>
      <c r="D887" s="655">
        <v>5952060752</v>
      </c>
      <c r="E887" s="655">
        <v>6229644164</v>
      </c>
      <c r="F887" s="655">
        <v>5952060752</v>
      </c>
      <c r="G887" s="655">
        <v>277583412</v>
      </c>
      <c r="H887" s="650">
        <v>0</v>
      </c>
      <c r="I887" s="651">
        <v>1.4650000000000001</v>
      </c>
      <c r="J887" s="651">
        <v>0.152</v>
      </c>
      <c r="K887" s="651">
        <v>1.617</v>
      </c>
    </row>
    <row r="888" spans="1:11">
      <c r="A888" s="654" t="s">
        <v>4356</v>
      </c>
      <c r="B888" s="654" t="s">
        <v>1726</v>
      </c>
      <c r="C888" s="655">
        <v>744095823</v>
      </c>
      <c r="D888" s="655">
        <v>704559317</v>
      </c>
      <c r="E888" s="655">
        <v>724302220</v>
      </c>
      <c r="F888" s="655">
        <v>684765714</v>
      </c>
      <c r="G888" s="655">
        <v>39536506</v>
      </c>
      <c r="H888" s="655">
        <v>19793603</v>
      </c>
      <c r="I888" s="651">
        <v>1.5</v>
      </c>
      <c r="J888" s="651">
        <v>9.6000000000000002E-2</v>
      </c>
      <c r="K888" s="651">
        <v>1.5960000000000001</v>
      </c>
    </row>
    <row r="889" spans="1:11">
      <c r="A889" s="654" t="s">
        <v>4357</v>
      </c>
      <c r="B889" s="654" t="s">
        <v>1727</v>
      </c>
      <c r="C889" s="655">
        <v>18623864615</v>
      </c>
      <c r="D889" s="655">
        <v>17817707417</v>
      </c>
      <c r="E889" s="655">
        <v>18623864615</v>
      </c>
      <c r="F889" s="655">
        <v>17817707417</v>
      </c>
      <c r="G889" s="655">
        <v>806157198</v>
      </c>
      <c r="H889" s="650">
        <v>0</v>
      </c>
      <c r="I889" s="651">
        <v>1.5</v>
      </c>
      <c r="J889" s="651">
        <v>0.158</v>
      </c>
      <c r="K889" s="651">
        <v>1.6579999999999999</v>
      </c>
    </row>
    <row r="890" spans="1:11">
      <c r="A890" s="654" t="s">
        <v>4358</v>
      </c>
      <c r="B890" s="654" t="s">
        <v>1728</v>
      </c>
      <c r="C890" s="655">
        <v>8393950970</v>
      </c>
      <c r="D890" s="655">
        <v>8227863134</v>
      </c>
      <c r="E890" s="655">
        <v>8393950970</v>
      </c>
      <c r="F890" s="655">
        <v>8227863134</v>
      </c>
      <c r="G890" s="655">
        <v>166087836</v>
      </c>
      <c r="H890" s="650">
        <v>0</v>
      </c>
      <c r="I890" s="651">
        <v>1.4710000000000001</v>
      </c>
      <c r="J890" s="651">
        <v>0.22900000000000001</v>
      </c>
      <c r="K890" s="651">
        <v>1.7</v>
      </c>
    </row>
    <row r="891" spans="1:11">
      <c r="A891" s="654" t="s">
        <v>4359</v>
      </c>
      <c r="B891" s="654" t="s">
        <v>1915</v>
      </c>
      <c r="C891" s="655">
        <v>6861701258</v>
      </c>
      <c r="D891" s="655">
        <v>6587206238</v>
      </c>
      <c r="E891" s="655">
        <v>6861701258</v>
      </c>
      <c r="F891" s="655">
        <v>6587206238</v>
      </c>
      <c r="G891" s="655">
        <v>274495020</v>
      </c>
      <c r="H891" s="650">
        <v>0</v>
      </c>
      <c r="I891" s="651">
        <v>1.4336</v>
      </c>
      <c r="J891" s="651">
        <v>0.26390000000000002</v>
      </c>
      <c r="K891" s="651">
        <v>1.6975</v>
      </c>
    </row>
    <row r="892" spans="1:11">
      <c r="A892" s="654" t="s">
        <v>4360</v>
      </c>
      <c r="B892" s="654" t="s">
        <v>6062</v>
      </c>
      <c r="C892" s="655">
        <v>5639037372</v>
      </c>
      <c r="D892" s="655">
        <v>5400838963</v>
      </c>
      <c r="E892" s="655">
        <v>5639037372</v>
      </c>
      <c r="F892" s="655">
        <v>5400838963</v>
      </c>
      <c r="G892" s="655">
        <v>238198409</v>
      </c>
      <c r="H892" s="650">
        <v>0</v>
      </c>
      <c r="I892" s="651">
        <v>1.377</v>
      </c>
      <c r="J892" s="651">
        <v>0.34</v>
      </c>
      <c r="K892" s="651">
        <v>1.7170000000000001</v>
      </c>
    </row>
    <row r="893" spans="1:11">
      <c r="A893" s="654" t="s">
        <v>4361</v>
      </c>
      <c r="B893" s="654" t="s">
        <v>186</v>
      </c>
      <c r="C893" s="655">
        <v>500382426</v>
      </c>
      <c r="D893" s="655">
        <v>479363423</v>
      </c>
      <c r="E893" s="655">
        <v>500382426</v>
      </c>
      <c r="F893" s="655">
        <v>479363423</v>
      </c>
      <c r="G893" s="655">
        <v>21019003</v>
      </c>
      <c r="H893" s="650">
        <v>0</v>
      </c>
      <c r="I893" s="651">
        <v>1.5</v>
      </c>
      <c r="J893" s="651">
        <v>0.25180000000000002</v>
      </c>
      <c r="K893" s="651">
        <v>1.7518</v>
      </c>
    </row>
    <row r="894" spans="1:11">
      <c r="A894" s="654" t="s">
        <v>4362</v>
      </c>
      <c r="B894" s="654" t="s">
        <v>1668</v>
      </c>
      <c r="C894" s="655">
        <v>3478119509</v>
      </c>
      <c r="D894" s="655">
        <v>3339945572</v>
      </c>
      <c r="E894" s="655">
        <v>3382596351</v>
      </c>
      <c r="F894" s="655">
        <v>3244422414</v>
      </c>
      <c r="G894" s="655">
        <v>138173937</v>
      </c>
      <c r="H894" s="655">
        <v>95523158</v>
      </c>
      <c r="I894" s="651">
        <v>1.5</v>
      </c>
      <c r="J894" s="651">
        <v>0.26800000000000002</v>
      </c>
      <c r="K894" s="651">
        <v>1.768</v>
      </c>
    </row>
    <row r="895" spans="1:11">
      <c r="A895" s="654" t="s">
        <v>4363</v>
      </c>
      <c r="B895" s="654" t="s">
        <v>1918</v>
      </c>
      <c r="C895" s="655">
        <v>796784692</v>
      </c>
      <c r="D895" s="655">
        <v>755723292</v>
      </c>
      <c r="E895" s="655">
        <v>796784692</v>
      </c>
      <c r="F895" s="655">
        <v>755723292</v>
      </c>
      <c r="G895" s="655">
        <v>41061400</v>
      </c>
      <c r="H895" s="650">
        <v>0</v>
      </c>
      <c r="I895" s="651">
        <v>1.5</v>
      </c>
      <c r="J895" s="651">
        <v>0.30425200000000002</v>
      </c>
      <c r="K895" s="651">
        <v>1.8042499999999999</v>
      </c>
    </row>
    <row r="896" spans="1:11">
      <c r="A896" s="654" t="s">
        <v>4364</v>
      </c>
      <c r="B896" s="654" t="s">
        <v>7693</v>
      </c>
      <c r="C896" s="655">
        <v>1327672908</v>
      </c>
      <c r="D896" s="655">
        <v>1253569266</v>
      </c>
      <c r="E896" s="655">
        <v>1327672908</v>
      </c>
      <c r="F896" s="655">
        <v>1253569266</v>
      </c>
      <c r="G896" s="655">
        <v>74103642</v>
      </c>
      <c r="H896" s="650">
        <v>0</v>
      </c>
      <c r="I896" s="651">
        <v>1.5</v>
      </c>
      <c r="J896" s="651">
        <v>0.1</v>
      </c>
      <c r="K896" s="651">
        <v>1.6</v>
      </c>
    </row>
    <row r="897" spans="1:11">
      <c r="A897" s="654" t="s">
        <v>4365</v>
      </c>
      <c r="B897" s="654" t="s">
        <v>3858</v>
      </c>
      <c r="C897" s="655">
        <v>7558114949</v>
      </c>
      <c r="D897" s="655">
        <v>7283663046</v>
      </c>
      <c r="E897" s="655">
        <v>7489376224</v>
      </c>
      <c r="F897" s="655">
        <v>7214924321</v>
      </c>
      <c r="G897" s="655">
        <v>274451903</v>
      </c>
      <c r="H897" s="655">
        <v>68738725</v>
      </c>
      <c r="I897" s="651">
        <v>1.4588000000000001</v>
      </c>
      <c r="J897" s="651">
        <v>0.25169999999999998</v>
      </c>
      <c r="K897" s="651">
        <v>1.7104999999999999</v>
      </c>
    </row>
    <row r="898" spans="1:11">
      <c r="A898" s="654" t="s">
        <v>4366</v>
      </c>
      <c r="B898" s="654" t="s">
        <v>6103</v>
      </c>
      <c r="C898" s="655">
        <v>396170821</v>
      </c>
      <c r="D898" s="655">
        <v>357291740</v>
      </c>
      <c r="E898" s="655">
        <v>396170821</v>
      </c>
      <c r="F898" s="655">
        <v>357291740</v>
      </c>
      <c r="G898" s="655">
        <v>38879081</v>
      </c>
      <c r="H898" s="650">
        <v>0</v>
      </c>
      <c r="I898" s="651">
        <v>1.5</v>
      </c>
      <c r="J898" s="651">
        <v>0.17630000000000001</v>
      </c>
      <c r="K898" s="651">
        <v>1.6762999999999999</v>
      </c>
    </row>
    <row r="899" spans="1:11">
      <c r="A899" s="654" t="s">
        <v>4367</v>
      </c>
      <c r="B899" s="654" t="s">
        <v>1729</v>
      </c>
      <c r="C899" s="655">
        <v>3398221084</v>
      </c>
      <c r="D899" s="655">
        <v>3283253938</v>
      </c>
      <c r="E899" s="655">
        <v>3398221084</v>
      </c>
      <c r="F899" s="655">
        <v>3283253938</v>
      </c>
      <c r="G899" s="655">
        <v>114967146</v>
      </c>
      <c r="H899" s="650">
        <v>0</v>
      </c>
      <c r="I899" s="651">
        <v>1.3174999999999999</v>
      </c>
      <c r="J899" s="651">
        <v>0.33250000000000002</v>
      </c>
      <c r="K899" s="651">
        <v>1.65</v>
      </c>
    </row>
    <row r="900" spans="1:11">
      <c r="A900" s="654" t="s">
        <v>4368</v>
      </c>
      <c r="B900" s="654" t="s">
        <v>6102</v>
      </c>
      <c r="C900" s="655">
        <v>3719974560</v>
      </c>
      <c r="D900" s="655">
        <v>3648184076</v>
      </c>
      <c r="E900" s="655">
        <v>3719974560</v>
      </c>
      <c r="F900" s="655">
        <v>3648184076</v>
      </c>
      <c r="G900" s="655">
        <v>71790484</v>
      </c>
      <c r="H900" s="650">
        <v>0</v>
      </c>
      <c r="I900" s="651">
        <v>1.5</v>
      </c>
      <c r="J900" s="651">
        <v>0.435</v>
      </c>
      <c r="K900" s="651">
        <v>1.9350000000000001</v>
      </c>
    </row>
    <row r="901" spans="1:11">
      <c r="A901" s="654" t="s">
        <v>4369</v>
      </c>
      <c r="B901" s="654" t="s">
        <v>4069</v>
      </c>
      <c r="C901" s="655">
        <v>924443369</v>
      </c>
      <c r="D901" s="655">
        <v>869103286</v>
      </c>
      <c r="E901" s="655">
        <v>924443369</v>
      </c>
      <c r="F901" s="655">
        <v>869103286</v>
      </c>
      <c r="G901" s="655">
        <v>55340083</v>
      </c>
      <c r="H901" s="650">
        <v>0</v>
      </c>
      <c r="I901" s="651">
        <v>1.5</v>
      </c>
      <c r="J901" s="651">
        <v>0.17499999999999999</v>
      </c>
      <c r="K901" s="651">
        <v>1.675</v>
      </c>
    </row>
    <row r="902" spans="1:11">
      <c r="A902" s="654" t="s">
        <v>4370</v>
      </c>
      <c r="B902" s="654" t="s">
        <v>1730</v>
      </c>
      <c r="C902" s="655">
        <v>3013638312</v>
      </c>
      <c r="D902" s="655">
        <v>2813617751</v>
      </c>
      <c r="E902" s="655">
        <v>2964848299</v>
      </c>
      <c r="F902" s="655">
        <v>2764827738</v>
      </c>
      <c r="G902" s="655">
        <v>200020561</v>
      </c>
      <c r="H902" s="655">
        <v>48790013</v>
      </c>
      <c r="I902" s="651">
        <v>1.5</v>
      </c>
      <c r="J902" s="651">
        <v>0.1183</v>
      </c>
      <c r="K902" s="651">
        <v>1.6183000000000001</v>
      </c>
    </row>
    <row r="903" spans="1:11">
      <c r="A903" s="654" t="s">
        <v>4371</v>
      </c>
      <c r="B903" s="654" t="s">
        <v>1731</v>
      </c>
      <c r="C903" s="655">
        <v>185374405</v>
      </c>
      <c r="D903" s="655">
        <v>171114591</v>
      </c>
      <c r="E903" s="655">
        <v>185374405</v>
      </c>
      <c r="F903" s="655">
        <v>171114591</v>
      </c>
      <c r="G903" s="655">
        <v>14259814</v>
      </c>
      <c r="H903" s="650">
        <v>0</v>
      </c>
      <c r="I903" s="651">
        <v>1.4416</v>
      </c>
      <c r="J903" s="651">
        <v>2.8400000000000002E-2</v>
      </c>
      <c r="K903" s="651">
        <v>1.47</v>
      </c>
    </row>
    <row r="904" spans="1:11">
      <c r="A904" s="654" t="s">
        <v>4372</v>
      </c>
      <c r="B904" s="654" t="s">
        <v>1732</v>
      </c>
      <c r="C904" s="655">
        <v>111125062</v>
      </c>
      <c r="D904" s="655">
        <v>109353842</v>
      </c>
      <c r="E904" s="655">
        <v>111125062</v>
      </c>
      <c r="F904" s="655">
        <v>109353842</v>
      </c>
      <c r="G904" s="655">
        <v>1771220</v>
      </c>
      <c r="H904" s="650">
        <v>0</v>
      </c>
      <c r="I904" s="651">
        <v>1.5</v>
      </c>
      <c r="J904" s="651">
        <v>0.37269999999999998</v>
      </c>
      <c r="K904" s="651">
        <v>1.8727</v>
      </c>
    </row>
    <row r="905" spans="1:11">
      <c r="A905" s="654" t="s">
        <v>4373</v>
      </c>
      <c r="B905" s="654" t="s">
        <v>4374</v>
      </c>
      <c r="C905" s="655">
        <v>192527316</v>
      </c>
      <c r="D905" s="655">
        <v>178469330</v>
      </c>
      <c r="E905" s="655">
        <v>182238360</v>
      </c>
      <c r="F905" s="655">
        <v>168180374</v>
      </c>
      <c r="G905" s="655">
        <v>14057986</v>
      </c>
      <c r="H905" s="655">
        <v>10288956</v>
      </c>
      <c r="I905" s="651">
        <v>1.41</v>
      </c>
      <c r="J905" s="651">
        <v>0.11</v>
      </c>
      <c r="K905" s="651">
        <v>1.52</v>
      </c>
    </row>
    <row r="906" spans="1:11">
      <c r="A906" s="654" t="s">
        <v>4375</v>
      </c>
      <c r="B906" s="654" t="s">
        <v>2008</v>
      </c>
      <c r="C906" s="655">
        <v>746117077</v>
      </c>
      <c r="D906" s="655">
        <v>707499401</v>
      </c>
      <c r="E906" s="655">
        <v>746117077</v>
      </c>
      <c r="F906" s="655">
        <v>707499401</v>
      </c>
      <c r="G906" s="655">
        <v>38617676</v>
      </c>
      <c r="H906" s="650">
        <v>0</v>
      </c>
      <c r="I906" s="651">
        <v>1.2163999999999999</v>
      </c>
      <c r="J906" s="651">
        <v>0.1535</v>
      </c>
      <c r="K906" s="651">
        <v>1.3698999999999999</v>
      </c>
    </row>
    <row r="907" spans="1:11">
      <c r="A907" s="654" t="s">
        <v>4376</v>
      </c>
      <c r="B907" s="654" t="s">
        <v>1734</v>
      </c>
      <c r="C907" s="655">
        <v>435559513</v>
      </c>
      <c r="D907" s="655">
        <v>432942906</v>
      </c>
      <c r="E907" s="655">
        <v>435021237</v>
      </c>
      <c r="F907" s="655">
        <v>432404630</v>
      </c>
      <c r="G907" s="655">
        <v>2616607</v>
      </c>
      <c r="H907" s="655">
        <v>538276</v>
      </c>
      <c r="I907" s="651">
        <v>1.2030000000000001</v>
      </c>
      <c r="J907" s="651">
        <v>9.9000000000000005E-2</v>
      </c>
      <c r="K907" s="651">
        <v>1.302</v>
      </c>
    </row>
    <row r="908" spans="1:11">
      <c r="A908" s="654" t="s">
        <v>4377</v>
      </c>
      <c r="B908" s="654" t="s">
        <v>1735</v>
      </c>
      <c r="C908" s="655">
        <v>428888144</v>
      </c>
      <c r="D908" s="655">
        <v>410127059</v>
      </c>
      <c r="E908" s="655">
        <v>428888144</v>
      </c>
      <c r="F908" s="655">
        <v>410127059</v>
      </c>
      <c r="G908" s="655">
        <v>18761085</v>
      </c>
      <c r="H908" s="650">
        <v>0</v>
      </c>
      <c r="I908" s="651">
        <v>1.5</v>
      </c>
      <c r="J908" s="651">
        <v>0.1</v>
      </c>
      <c r="K908" s="651">
        <v>1.6</v>
      </c>
    </row>
    <row r="909" spans="1:11">
      <c r="A909" s="654" t="s">
        <v>4378</v>
      </c>
      <c r="B909" s="654" t="s">
        <v>6078</v>
      </c>
      <c r="C909" s="655">
        <v>43937263</v>
      </c>
      <c r="D909" s="655">
        <v>42504012</v>
      </c>
      <c r="E909" s="655">
        <v>43937263</v>
      </c>
      <c r="F909" s="655">
        <v>42504012</v>
      </c>
      <c r="G909" s="655">
        <v>1433251</v>
      </c>
      <c r="H909" s="650">
        <v>0</v>
      </c>
      <c r="I909" s="651">
        <v>1.5</v>
      </c>
      <c r="J909" s="651">
        <v>8.3000000000000004E-2</v>
      </c>
      <c r="K909" s="651">
        <v>1.583</v>
      </c>
    </row>
    <row r="910" spans="1:11">
      <c r="A910" s="654" t="s">
        <v>4379</v>
      </c>
      <c r="B910" s="654" t="s">
        <v>4380</v>
      </c>
      <c r="C910" s="655">
        <v>88307469</v>
      </c>
      <c r="D910" s="655">
        <v>87438191</v>
      </c>
      <c r="E910" s="655">
        <v>88307469</v>
      </c>
      <c r="F910" s="655">
        <v>87438191</v>
      </c>
      <c r="G910" s="655">
        <v>869278</v>
      </c>
      <c r="H910" s="650">
        <v>0</v>
      </c>
      <c r="I910" s="651">
        <v>1.5</v>
      </c>
      <c r="J910" s="651">
        <v>0</v>
      </c>
      <c r="K910" s="651">
        <v>1.5</v>
      </c>
    </row>
    <row r="911" spans="1:11">
      <c r="A911" s="654" t="s">
        <v>4381</v>
      </c>
      <c r="B911" s="654" t="s">
        <v>1737</v>
      </c>
      <c r="C911" s="655">
        <v>82515023</v>
      </c>
      <c r="D911" s="655">
        <v>79084153</v>
      </c>
      <c r="E911" s="655">
        <v>82515023</v>
      </c>
      <c r="F911" s="655">
        <v>79084153</v>
      </c>
      <c r="G911" s="655">
        <v>3430870</v>
      </c>
      <c r="H911" s="650">
        <v>0</v>
      </c>
      <c r="I911" s="651">
        <v>1.5</v>
      </c>
      <c r="J911" s="651">
        <v>0</v>
      </c>
      <c r="K911" s="651">
        <v>1.5</v>
      </c>
    </row>
    <row r="912" spans="1:11">
      <c r="A912" s="654" t="s">
        <v>4382</v>
      </c>
      <c r="B912" s="654" t="s">
        <v>1738</v>
      </c>
      <c r="C912" s="655">
        <v>25093930</v>
      </c>
      <c r="D912" s="655">
        <v>23719890</v>
      </c>
      <c r="E912" s="655">
        <v>25093930</v>
      </c>
      <c r="F912" s="655">
        <v>23719890</v>
      </c>
      <c r="G912" s="655">
        <v>1374040</v>
      </c>
      <c r="H912" s="650">
        <v>0</v>
      </c>
      <c r="I912" s="651">
        <v>1.5</v>
      </c>
      <c r="J912" s="651">
        <v>0</v>
      </c>
      <c r="K912" s="651">
        <v>1.5</v>
      </c>
    </row>
    <row r="913" spans="1:11">
      <c r="A913" s="654" t="s">
        <v>4383</v>
      </c>
      <c r="B913" s="654" t="s">
        <v>1739</v>
      </c>
      <c r="C913" s="655">
        <v>1524384721</v>
      </c>
      <c r="D913" s="655">
        <v>1481001836</v>
      </c>
      <c r="E913" s="655">
        <v>1494355251</v>
      </c>
      <c r="F913" s="655">
        <v>1450972366</v>
      </c>
      <c r="G913" s="655">
        <v>43382885</v>
      </c>
      <c r="H913" s="655">
        <v>30029470</v>
      </c>
      <c r="I913" s="651">
        <v>1.5</v>
      </c>
      <c r="J913" s="651">
        <v>5.8000000000000003E-2</v>
      </c>
      <c r="K913" s="651">
        <v>1.5580000000000001</v>
      </c>
    </row>
    <row r="914" spans="1:11">
      <c r="A914" s="654" t="s">
        <v>4384</v>
      </c>
      <c r="B914" s="654" t="s">
        <v>1740</v>
      </c>
      <c r="C914" s="655">
        <v>68616273</v>
      </c>
      <c r="D914" s="655">
        <v>67027415</v>
      </c>
      <c r="E914" s="655">
        <v>67674097</v>
      </c>
      <c r="F914" s="655">
        <v>66085239</v>
      </c>
      <c r="G914" s="655">
        <v>1588858</v>
      </c>
      <c r="H914" s="655">
        <v>942176</v>
      </c>
      <c r="I914" s="651">
        <v>1.3649</v>
      </c>
      <c r="J914" s="651">
        <v>0</v>
      </c>
      <c r="K914" s="651">
        <v>1.3649</v>
      </c>
    </row>
    <row r="915" spans="1:11">
      <c r="A915" s="654" t="s">
        <v>4385</v>
      </c>
      <c r="B915" s="654" t="s">
        <v>6106</v>
      </c>
      <c r="C915" s="655">
        <v>72446535</v>
      </c>
      <c r="D915" s="655">
        <v>66423375</v>
      </c>
      <c r="E915" s="655">
        <v>72446535</v>
      </c>
      <c r="F915" s="655">
        <v>66423375</v>
      </c>
      <c r="G915" s="655">
        <v>6023160</v>
      </c>
      <c r="H915" s="650">
        <v>0</v>
      </c>
      <c r="I915" s="651">
        <v>1.427</v>
      </c>
      <c r="J915" s="651">
        <v>7.4999999999999997E-2</v>
      </c>
      <c r="K915" s="651">
        <v>1.502</v>
      </c>
    </row>
    <row r="916" spans="1:11">
      <c r="A916" s="654" t="s">
        <v>4386</v>
      </c>
      <c r="B916" s="654" t="s">
        <v>1741</v>
      </c>
      <c r="C916" s="655">
        <v>87405575</v>
      </c>
      <c r="D916" s="655">
        <v>81404889</v>
      </c>
      <c r="E916" s="655">
        <v>87405575</v>
      </c>
      <c r="F916" s="655">
        <v>81404889</v>
      </c>
      <c r="G916" s="655">
        <v>6000686</v>
      </c>
      <c r="H916" s="650">
        <v>0</v>
      </c>
      <c r="I916" s="651">
        <v>1.4</v>
      </c>
      <c r="J916" s="651">
        <v>0</v>
      </c>
      <c r="K916" s="651">
        <v>1.4</v>
      </c>
    </row>
    <row r="917" spans="1:11">
      <c r="A917" s="654" t="s">
        <v>4387</v>
      </c>
      <c r="B917" s="654" t="s">
        <v>1742</v>
      </c>
      <c r="C917" s="655">
        <v>98731231</v>
      </c>
      <c r="D917" s="655">
        <v>92224481</v>
      </c>
      <c r="E917" s="655">
        <v>93493601</v>
      </c>
      <c r="F917" s="655">
        <v>86986851</v>
      </c>
      <c r="G917" s="655">
        <v>6506750</v>
      </c>
      <c r="H917" s="655">
        <v>5237630</v>
      </c>
      <c r="I917" s="651">
        <v>1.5</v>
      </c>
      <c r="J917" s="651">
        <v>0.11070000000000001</v>
      </c>
      <c r="K917" s="651">
        <v>1.6107</v>
      </c>
    </row>
    <row r="918" spans="1:11">
      <c r="A918" s="654" t="s">
        <v>4388</v>
      </c>
      <c r="B918" s="654" t="s">
        <v>378</v>
      </c>
      <c r="C918" s="655">
        <v>2593603302</v>
      </c>
      <c r="D918" s="655">
        <v>2379969402</v>
      </c>
      <c r="E918" s="655">
        <v>2447911717</v>
      </c>
      <c r="F918" s="655">
        <v>2234277817</v>
      </c>
      <c r="G918" s="655">
        <v>213633900</v>
      </c>
      <c r="H918" s="655">
        <v>145691585</v>
      </c>
      <c r="I918" s="651">
        <v>1.5</v>
      </c>
      <c r="J918" s="651">
        <v>7.5249999999999997E-2</v>
      </c>
      <c r="K918" s="651">
        <v>1.57525</v>
      </c>
    </row>
    <row r="919" spans="1:11">
      <c r="A919" s="654" t="s">
        <v>4389</v>
      </c>
      <c r="B919" s="654" t="s">
        <v>1743</v>
      </c>
      <c r="C919" s="655">
        <v>81921423</v>
      </c>
      <c r="D919" s="655">
        <v>77493123</v>
      </c>
      <c r="E919" s="655">
        <v>79762608</v>
      </c>
      <c r="F919" s="655">
        <v>75334308</v>
      </c>
      <c r="G919" s="655">
        <v>4428300</v>
      </c>
      <c r="H919" s="655">
        <v>2158815</v>
      </c>
      <c r="I919" s="651">
        <v>1.5</v>
      </c>
      <c r="J919" s="651">
        <v>0.21199999999999999</v>
      </c>
      <c r="K919" s="651">
        <v>1.712</v>
      </c>
    </row>
    <row r="920" spans="1:11">
      <c r="A920" s="654" t="s">
        <v>4390</v>
      </c>
      <c r="B920" s="654" t="s">
        <v>4061</v>
      </c>
      <c r="C920" s="655">
        <v>147234898</v>
      </c>
      <c r="D920" s="655">
        <v>137522898</v>
      </c>
      <c r="E920" s="655">
        <v>147234898</v>
      </c>
      <c r="F920" s="655">
        <v>137522898</v>
      </c>
      <c r="G920" s="655">
        <v>9712000</v>
      </c>
      <c r="H920" s="650">
        <v>0</v>
      </c>
      <c r="I920" s="651">
        <v>1.5</v>
      </c>
      <c r="J920" s="651">
        <v>0.152</v>
      </c>
      <c r="K920" s="651">
        <v>1.6519999999999999</v>
      </c>
    </row>
    <row r="921" spans="1:11">
      <c r="A921" s="654" t="s">
        <v>4391</v>
      </c>
      <c r="B921" s="654" t="s">
        <v>3913</v>
      </c>
      <c r="C921" s="655">
        <v>113575623</v>
      </c>
      <c r="D921" s="655">
        <v>98509883</v>
      </c>
      <c r="E921" s="655">
        <v>113575623</v>
      </c>
      <c r="F921" s="655">
        <v>98509883</v>
      </c>
      <c r="G921" s="655">
        <v>15065740</v>
      </c>
      <c r="H921" s="650">
        <v>0</v>
      </c>
      <c r="I921" s="651">
        <v>1.5</v>
      </c>
      <c r="J921" s="651">
        <v>0.20499999999999999</v>
      </c>
      <c r="K921" s="651">
        <v>1.7050000000000001</v>
      </c>
    </row>
    <row r="922" spans="1:11">
      <c r="A922" s="654" t="s">
        <v>4392</v>
      </c>
      <c r="B922" s="654" t="s">
        <v>7132</v>
      </c>
      <c r="C922" s="655">
        <v>64141949</v>
      </c>
      <c r="D922" s="655">
        <v>61037549</v>
      </c>
      <c r="E922" s="655">
        <v>62311669</v>
      </c>
      <c r="F922" s="655">
        <v>59207269</v>
      </c>
      <c r="G922" s="655">
        <v>3104400</v>
      </c>
      <c r="H922" s="655">
        <v>1830280</v>
      </c>
      <c r="I922" s="651">
        <v>1.5</v>
      </c>
      <c r="J922" s="651">
        <v>0.12</v>
      </c>
      <c r="K922" s="651">
        <v>1.62</v>
      </c>
    </row>
    <row r="923" spans="1:11">
      <c r="A923" s="654" t="s">
        <v>4393</v>
      </c>
      <c r="B923" s="654" t="s">
        <v>1744</v>
      </c>
      <c r="C923" s="655">
        <v>39651726793</v>
      </c>
      <c r="D923" s="655">
        <v>38621249284</v>
      </c>
      <c r="E923" s="655">
        <v>39651726793</v>
      </c>
      <c r="F923" s="655">
        <v>38621249284</v>
      </c>
      <c r="G923" s="655">
        <v>1030477509</v>
      </c>
      <c r="H923" s="650">
        <v>0</v>
      </c>
      <c r="I923" s="651">
        <v>1.5</v>
      </c>
      <c r="J923" s="651">
        <v>0.123</v>
      </c>
      <c r="K923" s="651">
        <v>1.623</v>
      </c>
    </row>
    <row r="924" spans="1:11">
      <c r="A924" s="654" t="s">
        <v>4394</v>
      </c>
      <c r="B924" s="654" t="s">
        <v>339</v>
      </c>
      <c r="C924" s="655">
        <v>5151258421</v>
      </c>
      <c r="D924" s="655">
        <v>4940195579</v>
      </c>
      <c r="E924" s="655">
        <v>5151258421</v>
      </c>
      <c r="F924" s="655">
        <v>4940195579</v>
      </c>
      <c r="G924" s="655">
        <v>211062842</v>
      </c>
      <c r="H924" s="650">
        <v>0</v>
      </c>
      <c r="I924" s="651">
        <v>1.49</v>
      </c>
      <c r="J924" s="651">
        <v>0.34</v>
      </c>
      <c r="K924" s="651">
        <v>1.83</v>
      </c>
    </row>
    <row r="925" spans="1:11">
      <c r="A925" s="654" t="s">
        <v>4395</v>
      </c>
      <c r="B925" s="654" t="s">
        <v>1745</v>
      </c>
      <c r="C925" s="655">
        <v>1517012819</v>
      </c>
      <c r="D925" s="655">
        <v>1484568770</v>
      </c>
      <c r="E925" s="655">
        <v>1517012819</v>
      </c>
      <c r="F925" s="655">
        <v>1484568770</v>
      </c>
      <c r="G925" s="655">
        <v>32444049</v>
      </c>
      <c r="H925" s="650">
        <v>0</v>
      </c>
      <c r="I925" s="651">
        <v>1.5</v>
      </c>
      <c r="J925" s="651">
        <v>0.32619999999999999</v>
      </c>
      <c r="K925" s="651">
        <v>1.8262</v>
      </c>
    </row>
    <row r="926" spans="1:11">
      <c r="A926" s="654" t="s">
        <v>4396</v>
      </c>
      <c r="B926" s="654" t="s">
        <v>1746</v>
      </c>
      <c r="C926" s="655">
        <v>6095454091</v>
      </c>
      <c r="D926" s="655">
        <v>6002462024</v>
      </c>
      <c r="E926" s="655">
        <v>6095454091</v>
      </c>
      <c r="F926" s="655">
        <v>6002462024</v>
      </c>
      <c r="G926" s="655">
        <v>92992067</v>
      </c>
      <c r="H926" s="650">
        <v>0</v>
      </c>
      <c r="I926" s="651">
        <v>1.5</v>
      </c>
      <c r="J926" s="651">
        <v>0.17050000000000001</v>
      </c>
      <c r="K926" s="651">
        <v>1.6705000000000001</v>
      </c>
    </row>
    <row r="927" spans="1:11">
      <c r="A927" s="654" t="s">
        <v>4397</v>
      </c>
      <c r="B927" s="654" t="s">
        <v>997</v>
      </c>
      <c r="C927" s="655">
        <v>2158199267</v>
      </c>
      <c r="D927" s="655">
        <v>2105578046</v>
      </c>
      <c r="E927" s="655">
        <v>2158199267</v>
      </c>
      <c r="F927" s="655">
        <v>2105578046</v>
      </c>
      <c r="G927" s="655">
        <v>52621221</v>
      </c>
      <c r="H927" s="650">
        <v>0</v>
      </c>
      <c r="I927" s="651">
        <v>1.5</v>
      </c>
      <c r="J927" s="651">
        <v>0.30630000000000002</v>
      </c>
      <c r="K927" s="651">
        <v>1.8063</v>
      </c>
    </row>
    <row r="928" spans="1:11">
      <c r="A928" s="654" t="s">
        <v>4398</v>
      </c>
      <c r="B928" s="654" t="s">
        <v>1747</v>
      </c>
      <c r="C928" s="655">
        <v>791201073</v>
      </c>
      <c r="D928" s="655">
        <v>765721086</v>
      </c>
      <c r="E928" s="655">
        <v>745149195</v>
      </c>
      <c r="F928" s="655">
        <v>719669208</v>
      </c>
      <c r="G928" s="655">
        <v>25479987</v>
      </c>
      <c r="H928" s="655">
        <v>46051878</v>
      </c>
      <c r="I928" s="651">
        <v>1.5</v>
      </c>
      <c r="J928" s="651">
        <v>0.215</v>
      </c>
      <c r="K928" s="651">
        <v>1.7150000000000001</v>
      </c>
    </row>
    <row r="929" spans="1:11">
      <c r="A929" s="654" t="s">
        <v>4399</v>
      </c>
      <c r="B929" s="654" t="s">
        <v>1748</v>
      </c>
      <c r="C929" s="655">
        <v>3666570146</v>
      </c>
      <c r="D929" s="655">
        <v>3580440194</v>
      </c>
      <c r="E929" s="655">
        <v>3416034827</v>
      </c>
      <c r="F929" s="655">
        <v>3329904875</v>
      </c>
      <c r="G929" s="655">
        <v>86129952</v>
      </c>
      <c r="H929" s="655">
        <v>250535319</v>
      </c>
      <c r="I929" s="651">
        <v>1.5</v>
      </c>
      <c r="J929" s="651">
        <v>0.30249999999999999</v>
      </c>
      <c r="K929" s="651">
        <v>1.8025</v>
      </c>
    </row>
    <row r="930" spans="1:11">
      <c r="A930" s="654" t="s">
        <v>4400</v>
      </c>
      <c r="B930" s="654" t="s">
        <v>1749</v>
      </c>
      <c r="C930" s="655">
        <v>140138904</v>
      </c>
      <c r="D930" s="655">
        <v>127744035</v>
      </c>
      <c r="E930" s="655">
        <v>140138904</v>
      </c>
      <c r="F930" s="655">
        <v>127744035</v>
      </c>
      <c r="G930" s="655">
        <v>12394869</v>
      </c>
      <c r="H930" s="650">
        <v>0</v>
      </c>
      <c r="I930" s="651">
        <v>1.45</v>
      </c>
      <c r="J930" s="651">
        <v>0</v>
      </c>
      <c r="K930" s="651">
        <v>1.45</v>
      </c>
    </row>
    <row r="931" spans="1:11">
      <c r="A931" s="654" t="s">
        <v>4401</v>
      </c>
      <c r="B931" s="654" t="s">
        <v>1750</v>
      </c>
      <c r="C931" s="655">
        <v>213750954</v>
      </c>
      <c r="D931" s="655">
        <v>194253801</v>
      </c>
      <c r="E931" s="655">
        <v>213750954</v>
      </c>
      <c r="F931" s="655">
        <v>194253801</v>
      </c>
      <c r="G931" s="655">
        <v>19497153</v>
      </c>
      <c r="H931" s="650">
        <v>0</v>
      </c>
      <c r="I931" s="651">
        <v>1.5</v>
      </c>
      <c r="J931" s="651">
        <v>0.17</v>
      </c>
      <c r="K931" s="651">
        <v>1.67</v>
      </c>
    </row>
    <row r="932" spans="1:11">
      <c r="A932" s="654" t="s">
        <v>4402</v>
      </c>
      <c r="B932" s="654" t="s">
        <v>297</v>
      </c>
      <c r="C932" s="655">
        <v>23256299</v>
      </c>
      <c r="D932" s="655">
        <v>21208226</v>
      </c>
      <c r="E932" s="655">
        <v>23256299</v>
      </c>
      <c r="F932" s="655">
        <v>21208226</v>
      </c>
      <c r="G932" s="655">
        <v>2048073</v>
      </c>
      <c r="H932" s="650">
        <v>0</v>
      </c>
      <c r="I932" s="651">
        <v>1.45</v>
      </c>
      <c r="J932" s="651">
        <v>0</v>
      </c>
      <c r="K932" s="651">
        <v>1.45</v>
      </c>
    </row>
    <row r="933" spans="1:11">
      <c r="A933" s="654" t="s">
        <v>4403</v>
      </c>
      <c r="B933" s="654" t="s">
        <v>1751</v>
      </c>
      <c r="C933" s="655">
        <v>30049462</v>
      </c>
      <c r="D933" s="655">
        <v>26934163</v>
      </c>
      <c r="E933" s="655">
        <v>30049462</v>
      </c>
      <c r="F933" s="655">
        <v>26934163</v>
      </c>
      <c r="G933" s="655">
        <v>3115299</v>
      </c>
      <c r="H933" s="650">
        <v>0</v>
      </c>
      <c r="I933" s="651">
        <v>1.46</v>
      </c>
      <c r="J933" s="651">
        <v>0</v>
      </c>
      <c r="K933" s="651">
        <v>1.46</v>
      </c>
    </row>
    <row r="934" spans="1:11">
      <c r="A934" s="654" t="s">
        <v>4404</v>
      </c>
      <c r="B934" s="654" t="s">
        <v>2639</v>
      </c>
      <c r="C934" s="655">
        <v>86700879</v>
      </c>
      <c r="D934" s="655">
        <v>79709470</v>
      </c>
      <c r="E934" s="655">
        <v>86700879</v>
      </c>
      <c r="F934" s="655">
        <v>79709470</v>
      </c>
      <c r="G934" s="655">
        <v>6991409</v>
      </c>
      <c r="H934" s="650">
        <v>0</v>
      </c>
      <c r="I934" s="651">
        <v>1.5</v>
      </c>
      <c r="J934" s="651">
        <v>0</v>
      </c>
      <c r="K934" s="651">
        <v>1.5</v>
      </c>
    </row>
    <row r="935" spans="1:11">
      <c r="A935" s="654" t="s">
        <v>4405</v>
      </c>
      <c r="B935" s="654" t="s">
        <v>1752</v>
      </c>
      <c r="C935" s="655">
        <v>327772828</v>
      </c>
      <c r="D935" s="655">
        <v>305161904</v>
      </c>
      <c r="E935" s="655">
        <v>327772828</v>
      </c>
      <c r="F935" s="655">
        <v>305161904</v>
      </c>
      <c r="G935" s="655">
        <v>22610924</v>
      </c>
      <c r="H935" s="650">
        <v>0</v>
      </c>
      <c r="I935" s="651">
        <v>1.45</v>
      </c>
      <c r="J935" s="651">
        <v>0.14000000000000001</v>
      </c>
      <c r="K935" s="651">
        <v>1.59</v>
      </c>
    </row>
    <row r="936" spans="1:11">
      <c r="A936" s="654" t="s">
        <v>4406</v>
      </c>
      <c r="B936" s="654" t="s">
        <v>7623</v>
      </c>
      <c r="C936" s="655">
        <v>194542335</v>
      </c>
      <c r="D936" s="655">
        <v>177028303</v>
      </c>
      <c r="E936" s="655">
        <v>194542335</v>
      </c>
      <c r="F936" s="655">
        <v>177028303</v>
      </c>
      <c r="G936" s="655">
        <v>17514032</v>
      </c>
      <c r="H936" s="650">
        <v>0</v>
      </c>
      <c r="I936" s="651">
        <v>1.5</v>
      </c>
      <c r="J936" s="651">
        <v>0</v>
      </c>
      <c r="K936" s="651">
        <v>1.5</v>
      </c>
    </row>
    <row r="937" spans="1:11">
      <c r="A937" s="654" t="s">
        <v>4407</v>
      </c>
      <c r="B937" s="654" t="s">
        <v>2353</v>
      </c>
      <c r="C937" s="655">
        <v>44522004</v>
      </c>
      <c r="D937" s="655">
        <v>39095956</v>
      </c>
      <c r="E937" s="655">
        <v>43258788</v>
      </c>
      <c r="F937" s="655">
        <v>37832740</v>
      </c>
      <c r="G937" s="655">
        <v>5426048</v>
      </c>
      <c r="H937" s="655">
        <v>1263216</v>
      </c>
      <c r="I937" s="651">
        <v>1.5</v>
      </c>
      <c r="J937" s="651">
        <v>0.12</v>
      </c>
      <c r="K937" s="651">
        <v>1.62</v>
      </c>
    </row>
    <row r="938" spans="1:11">
      <c r="A938" s="654" t="s">
        <v>4408</v>
      </c>
      <c r="B938" s="654" t="s">
        <v>6108</v>
      </c>
      <c r="C938" s="655">
        <v>49550800</v>
      </c>
      <c r="D938" s="655">
        <v>46043890</v>
      </c>
      <c r="E938" s="655">
        <v>49550800</v>
      </c>
      <c r="F938" s="655">
        <v>46043890</v>
      </c>
      <c r="G938" s="655">
        <v>3506910</v>
      </c>
      <c r="H938" s="650">
        <v>0</v>
      </c>
      <c r="I938" s="651">
        <v>1.5</v>
      </c>
      <c r="J938" s="651">
        <v>5.0999999999999997E-2</v>
      </c>
      <c r="K938" s="651">
        <v>1.5509999999999999</v>
      </c>
    </row>
    <row r="939" spans="1:11">
      <c r="A939" s="654" t="s">
        <v>4409</v>
      </c>
      <c r="B939" s="654" t="s">
        <v>400</v>
      </c>
      <c r="C939" s="655">
        <v>116526127</v>
      </c>
      <c r="D939" s="655">
        <v>107534738</v>
      </c>
      <c r="E939" s="655">
        <v>116526127</v>
      </c>
      <c r="F939" s="655">
        <v>107534738</v>
      </c>
      <c r="G939" s="655">
        <v>8991389</v>
      </c>
      <c r="H939" s="650">
        <v>0</v>
      </c>
      <c r="I939" s="651">
        <v>1.5</v>
      </c>
      <c r="J939" s="651">
        <v>0.155</v>
      </c>
      <c r="K939" s="651">
        <v>1.655</v>
      </c>
    </row>
    <row r="940" spans="1:11">
      <c r="A940" s="654" t="s">
        <v>4410</v>
      </c>
      <c r="B940" s="654" t="s">
        <v>7624</v>
      </c>
      <c r="C940" s="655">
        <v>625601212</v>
      </c>
      <c r="D940" s="655">
        <v>586394384</v>
      </c>
      <c r="E940" s="655">
        <v>625601212</v>
      </c>
      <c r="F940" s="655">
        <v>586394384</v>
      </c>
      <c r="G940" s="655">
        <v>39206828</v>
      </c>
      <c r="H940" s="650">
        <v>0</v>
      </c>
      <c r="I940" s="651">
        <v>1.385</v>
      </c>
      <c r="J940" s="651">
        <v>0.21299999999999999</v>
      </c>
      <c r="K940" s="651">
        <v>1.5980000000000001</v>
      </c>
    </row>
    <row r="941" spans="1:11">
      <c r="A941" s="654" t="s">
        <v>4411</v>
      </c>
      <c r="B941" s="654" t="s">
        <v>3626</v>
      </c>
      <c r="C941" s="655">
        <v>107029340</v>
      </c>
      <c r="D941" s="655">
        <v>96261778</v>
      </c>
      <c r="E941" s="655">
        <v>107029340</v>
      </c>
      <c r="F941" s="655">
        <v>96261778</v>
      </c>
      <c r="G941" s="655">
        <v>10767562</v>
      </c>
      <c r="H941" s="650">
        <v>0</v>
      </c>
      <c r="I941" s="651">
        <v>1.5</v>
      </c>
      <c r="J941" s="651">
        <v>8.0100000000000005E-2</v>
      </c>
      <c r="K941" s="651">
        <v>1.5801000000000001</v>
      </c>
    </row>
    <row r="942" spans="1:11">
      <c r="A942" s="654" t="s">
        <v>4412</v>
      </c>
      <c r="B942" s="654" t="s">
        <v>7625</v>
      </c>
      <c r="C942" s="655">
        <v>72880804</v>
      </c>
      <c r="D942" s="655">
        <v>67686847</v>
      </c>
      <c r="E942" s="655">
        <v>72880804</v>
      </c>
      <c r="F942" s="655">
        <v>67686847</v>
      </c>
      <c r="G942" s="655">
        <v>5193957</v>
      </c>
      <c r="H942" s="650">
        <v>0</v>
      </c>
      <c r="I942" s="651">
        <v>1.5</v>
      </c>
      <c r="J942" s="651">
        <v>0</v>
      </c>
      <c r="K942" s="651">
        <v>1.5</v>
      </c>
    </row>
    <row r="943" spans="1:11">
      <c r="A943" s="654" t="s">
        <v>4413</v>
      </c>
      <c r="B943" s="654" t="s">
        <v>3837</v>
      </c>
      <c r="C943" s="655">
        <v>285579810</v>
      </c>
      <c r="D943" s="655">
        <v>268056533</v>
      </c>
      <c r="E943" s="655">
        <v>285579810</v>
      </c>
      <c r="F943" s="655">
        <v>268056533</v>
      </c>
      <c r="G943" s="655">
        <v>17523277</v>
      </c>
      <c r="H943" s="650">
        <v>0</v>
      </c>
      <c r="I943" s="651">
        <v>1.4388000000000001</v>
      </c>
      <c r="J943" s="651">
        <v>8.1199999999999994E-2</v>
      </c>
      <c r="K943" s="651">
        <v>1.52</v>
      </c>
    </row>
    <row r="944" spans="1:11">
      <c r="A944" s="654" t="s">
        <v>4414</v>
      </c>
      <c r="B944" s="654" t="s">
        <v>7626</v>
      </c>
      <c r="C944" s="655">
        <v>91927396</v>
      </c>
      <c r="D944" s="655">
        <v>82033392</v>
      </c>
      <c r="E944" s="655">
        <v>91927396</v>
      </c>
      <c r="F944" s="655">
        <v>82033392</v>
      </c>
      <c r="G944" s="655">
        <v>9894004</v>
      </c>
      <c r="H944" s="650">
        <v>0</v>
      </c>
      <c r="I944" s="651">
        <v>1.46</v>
      </c>
      <c r="J944" s="651">
        <v>0</v>
      </c>
      <c r="K944" s="651">
        <v>1.46</v>
      </c>
    </row>
    <row r="945" spans="1:11">
      <c r="A945" s="654" t="s">
        <v>4415</v>
      </c>
      <c r="B945" s="654" t="s">
        <v>7627</v>
      </c>
      <c r="C945" s="655">
        <v>153028172</v>
      </c>
      <c r="D945" s="655">
        <v>145501853</v>
      </c>
      <c r="E945" s="655">
        <v>153028172</v>
      </c>
      <c r="F945" s="655">
        <v>145501853</v>
      </c>
      <c r="G945" s="655">
        <v>7526319</v>
      </c>
      <c r="H945" s="650">
        <v>0</v>
      </c>
      <c r="I945" s="651">
        <v>1.385</v>
      </c>
      <c r="J945" s="651">
        <v>0.09</v>
      </c>
      <c r="K945" s="651">
        <v>1.4750000000000001</v>
      </c>
    </row>
    <row r="946" spans="1:11">
      <c r="A946" s="654" t="s">
        <v>6735</v>
      </c>
      <c r="B946" s="654" t="s">
        <v>7628</v>
      </c>
      <c r="C946" s="655">
        <v>830345340</v>
      </c>
      <c r="D946" s="655">
        <v>825533020</v>
      </c>
      <c r="E946" s="655">
        <v>829377971</v>
      </c>
      <c r="F946" s="655">
        <v>824565651</v>
      </c>
      <c r="G946" s="655">
        <v>4812320</v>
      </c>
      <c r="H946" s="655">
        <v>967369</v>
      </c>
      <c r="I946" s="651">
        <v>1.5</v>
      </c>
      <c r="J946" s="651">
        <v>5.0299999999999997E-2</v>
      </c>
      <c r="K946" s="651">
        <v>1.5503</v>
      </c>
    </row>
    <row r="947" spans="1:11">
      <c r="A947" s="654" t="s">
        <v>6736</v>
      </c>
      <c r="B947" s="654" t="s">
        <v>7629</v>
      </c>
      <c r="C947" s="655">
        <v>446897141</v>
      </c>
      <c r="D947" s="655">
        <v>444634911</v>
      </c>
      <c r="E947" s="655">
        <v>446897141</v>
      </c>
      <c r="F947" s="655">
        <v>444634911</v>
      </c>
      <c r="G947" s="655">
        <v>2262230</v>
      </c>
      <c r="H947" s="650">
        <v>0</v>
      </c>
      <c r="I947" s="651">
        <v>1.4191</v>
      </c>
      <c r="J947" s="651">
        <v>0.13089999999999999</v>
      </c>
      <c r="K947" s="651">
        <v>1.55</v>
      </c>
    </row>
    <row r="948" spans="1:11">
      <c r="A948" s="654" t="s">
        <v>6737</v>
      </c>
      <c r="B948" s="654" t="s">
        <v>5638</v>
      </c>
      <c r="C948" s="655">
        <v>38842718</v>
      </c>
      <c r="D948" s="655">
        <v>36961194</v>
      </c>
      <c r="E948" s="655">
        <v>38842718</v>
      </c>
      <c r="F948" s="655">
        <v>36961194</v>
      </c>
      <c r="G948" s="655">
        <v>1881524</v>
      </c>
      <c r="H948" s="650">
        <v>0</v>
      </c>
      <c r="I948" s="651">
        <v>1.26</v>
      </c>
      <c r="J948" s="651">
        <v>0.06</v>
      </c>
      <c r="K948" s="651">
        <v>1.32</v>
      </c>
    </row>
    <row r="949" spans="1:11">
      <c r="A949" s="654" t="s">
        <v>6738</v>
      </c>
      <c r="B949" s="654" t="s">
        <v>375</v>
      </c>
      <c r="C949" s="655">
        <v>118944480</v>
      </c>
      <c r="D949" s="655">
        <v>112919899</v>
      </c>
      <c r="E949" s="655">
        <v>118944480</v>
      </c>
      <c r="F949" s="655">
        <v>112919899</v>
      </c>
      <c r="G949" s="655">
        <v>6024581</v>
      </c>
      <c r="H949" s="650">
        <v>0</v>
      </c>
      <c r="I949" s="651">
        <v>1.1200000000000001</v>
      </c>
      <c r="J949" s="651">
        <v>4.7800000000000002E-2</v>
      </c>
      <c r="K949" s="651">
        <v>1.1677999999999999</v>
      </c>
    </row>
    <row r="950" spans="1:11">
      <c r="A950" s="654" t="s">
        <v>6739</v>
      </c>
      <c r="B950" s="654" t="s">
        <v>6740</v>
      </c>
      <c r="C950" s="655">
        <v>610398561</v>
      </c>
      <c r="D950" s="655">
        <v>566465562</v>
      </c>
      <c r="E950" s="655">
        <v>610398561</v>
      </c>
      <c r="F950" s="655">
        <v>566465562</v>
      </c>
      <c r="G950" s="655">
        <v>43932999</v>
      </c>
      <c r="H950" s="650">
        <v>0</v>
      </c>
      <c r="I950" s="651">
        <v>1.4268000000000001</v>
      </c>
      <c r="J950" s="651">
        <v>0.16980000000000001</v>
      </c>
      <c r="K950" s="651">
        <v>1.5966</v>
      </c>
    </row>
    <row r="951" spans="1:11">
      <c r="A951" s="654" t="s">
        <v>6741</v>
      </c>
      <c r="B951" s="654" t="s">
        <v>7630</v>
      </c>
      <c r="C951" s="655">
        <v>102381019</v>
      </c>
      <c r="D951" s="655">
        <v>98321999</v>
      </c>
      <c r="E951" s="655">
        <v>102381019</v>
      </c>
      <c r="F951" s="655">
        <v>98321999</v>
      </c>
      <c r="G951" s="655">
        <v>4059020</v>
      </c>
      <c r="H951" s="650">
        <v>0</v>
      </c>
      <c r="I951" s="651">
        <v>1.355</v>
      </c>
      <c r="J951" s="651">
        <v>0</v>
      </c>
      <c r="K951" s="651">
        <v>1.355</v>
      </c>
    </row>
    <row r="952" spans="1:11">
      <c r="A952" s="654" t="s">
        <v>6742</v>
      </c>
      <c r="B952" s="654" t="s">
        <v>2014</v>
      </c>
      <c r="C952" s="655">
        <v>1092935399</v>
      </c>
      <c r="D952" s="655">
        <v>1017304581</v>
      </c>
      <c r="E952" s="655">
        <v>1047582108</v>
      </c>
      <c r="F952" s="655">
        <v>971951290</v>
      </c>
      <c r="G952" s="655">
        <v>75630818</v>
      </c>
      <c r="H952" s="655">
        <v>45353291</v>
      </c>
      <c r="I952" s="651">
        <v>1.44</v>
      </c>
      <c r="J952" s="651">
        <v>7.2679999999999995E-2</v>
      </c>
      <c r="K952" s="651">
        <v>1.51268</v>
      </c>
    </row>
    <row r="953" spans="1:11">
      <c r="A953" s="654" t="s">
        <v>6743</v>
      </c>
      <c r="B953" s="654" t="s">
        <v>7631</v>
      </c>
      <c r="C953" s="655">
        <v>145247134</v>
      </c>
      <c r="D953" s="655">
        <v>143817809</v>
      </c>
      <c r="E953" s="655">
        <v>144996563</v>
      </c>
      <c r="F953" s="655">
        <v>143567238</v>
      </c>
      <c r="G953" s="655">
        <v>1429325</v>
      </c>
      <c r="H953" s="655">
        <v>250571</v>
      </c>
      <c r="I953" s="651">
        <v>1.5</v>
      </c>
      <c r="J953" s="651">
        <v>0.22</v>
      </c>
      <c r="K953" s="651">
        <v>1.72</v>
      </c>
    </row>
    <row r="954" spans="1:11">
      <c r="A954" s="654" t="s">
        <v>6744</v>
      </c>
      <c r="B954" s="654" t="s">
        <v>7632</v>
      </c>
      <c r="C954" s="655">
        <v>442847017</v>
      </c>
      <c r="D954" s="655">
        <v>414627890</v>
      </c>
      <c r="E954" s="655">
        <v>442847017</v>
      </c>
      <c r="F954" s="655">
        <v>414627890</v>
      </c>
      <c r="G954" s="655">
        <v>28219127</v>
      </c>
      <c r="H954" s="650">
        <v>0</v>
      </c>
      <c r="I954" s="651">
        <v>1.4337</v>
      </c>
      <c r="J954" s="651">
        <v>0.28910000000000002</v>
      </c>
      <c r="K954" s="651">
        <v>1.7228000000000001</v>
      </c>
    </row>
    <row r="955" spans="1:11">
      <c r="A955" s="654" t="s">
        <v>6745</v>
      </c>
      <c r="B955" s="654" t="s">
        <v>1926</v>
      </c>
      <c r="C955" s="655">
        <v>162045267</v>
      </c>
      <c r="D955" s="655">
        <v>149673019</v>
      </c>
      <c r="E955" s="655">
        <v>162045267</v>
      </c>
      <c r="F955" s="655">
        <v>149673019</v>
      </c>
      <c r="G955" s="655">
        <v>12372248</v>
      </c>
      <c r="H955" s="650">
        <v>0</v>
      </c>
      <c r="I955" s="651">
        <v>1.3032999999999999</v>
      </c>
      <c r="J955" s="651">
        <v>0.18559999999999999</v>
      </c>
      <c r="K955" s="651">
        <v>1.4888999999999999</v>
      </c>
    </row>
    <row r="956" spans="1:11">
      <c r="A956" s="654" t="s">
        <v>6746</v>
      </c>
      <c r="B956" s="654" t="s">
        <v>4967</v>
      </c>
      <c r="C956" s="655">
        <v>183922687</v>
      </c>
      <c r="D956" s="655">
        <v>167924440</v>
      </c>
      <c r="E956" s="655">
        <v>174237542</v>
      </c>
      <c r="F956" s="655">
        <v>158239295</v>
      </c>
      <c r="G956" s="655">
        <v>15998247</v>
      </c>
      <c r="H956" s="655">
        <v>9685145</v>
      </c>
      <c r="I956" s="651">
        <v>1.3</v>
      </c>
      <c r="J956" s="651">
        <v>0.19</v>
      </c>
      <c r="K956" s="651">
        <v>1.49</v>
      </c>
    </row>
    <row r="957" spans="1:11">
      <c r="A957" s="654" t="s">
        <v>6747</v>
      </c>
      <c r="B957" s="654" t="s">
        <v>6068</v>
      </c>
      <c r="C957" s="655">
        <v>63112795</v>
      </c>
      <c r="D957" s="655">
        <v>58316700</v>
      </c>
      <c r="E957" s="655">
        <v>63112795</v>
      </c>
      <c r="F957" s="655">
        <v>58316700</v>
      </c>
      <c r="G957" s="655">
        <v>4796095</v>
      </c>
      <c r="H957" s="650">
        <v>0</v>
      </c>
      <c r="I957" s="651">
        <v>1.45</v>
      </c>
      <c r="J957" s="651">
        <v>0.11</v>
      </c>
      <c r="K957" s="651">
        <v>1.56</v>
      </c>
    </row>
    <row r="958" spans="1:11">
      <c r="A958" s="654" t="s">
        <v>6748</v>
      </c>
      <c r="B958" s="654" t="s">
        <v>7633</v>
      </c>
      <c r="C958" s="655">
        <v>412474027</v>
      </c>
      <c r="D958" s="655">
        <v>380276943</v>
      </c>
      <c r="E958" s="655">
        <v>390423552</v>
      </c>
      <c r="F958" s="655">
        <v>358226468</v>
      </c>
      <c r="G958" s="655">
        <v>32197084</v>
      </c>
      <c r="H958" s="655">
        <v>22050475</v>
      </c>
      <c r="I958" s="651">
        <v>1.5</v>
      </c>
      <c r="J958" s="651">
        <v>5.799E-2</v>
      </c>
      <c r="K958" s="651">
        <v>1.55799</v>
      </c>
    </row>
    <row r="959" spans="1:11">
      <c r="A959" s="654" t="s">
        <v>6749</v>
      </c>
      <c r="B959" s="654" t="s">
        <v>7634</v>
      </c>
      <c r="C959" s="655">
        <v>389291094</v>
      </c>
      <c r="D959" s="655">
        <v>356723839</v>
      </c>
      <c r="E959" s="655">
        <v>389291094</v>
      </c>
      <c r="F959" s="655">
        <v>356723839</v>
      </c>
      <c r="G959" s="655">
        <v>32567255</v>
      </c>
      <c r="H959" s="650">
        <v>0</v>
      </c>
      <c r="I959" s="651">
        <v>1.5</v>
      </c>
      <c r="J959" s="651">
        <v>0.09</v>
      </c>
      <c r="K959" s="651">
        <v>1.59</v>
      </c>
    </row>
    <row r="960" spans="1:11">
      <c r="A960" s="654" t="s">
        <v>6750</v>
      </c>
      <c r="B960" s="654" t="s">
        <v>118</v>
      </c>
      <c r="C960" s="655">
        <v>48615331</v>
      </c>
      <c r="D960" s="655">
        <v>44499011</v>
      </c>
      <c r="E960" s="655">
        <v>46340969</v>
      </c>
      <c r="F960" s="655">
        <v>42224649</v>
      </c>
      <c r="G960" s="655">
        <v>4116320</v>
      </c>
      <c r="H960" s="655">
        <v>2274362</v>
      </c>
      <c r="I960" s="651">
        <v>1.5</v>
      </c>
      <c r="J960" s="651">
        <v>7.0699999999999999E-2</v>
      </c>
      <c r="K960" s="651">
        <v>1.5707</v>
      </c>
    </row>
    <row r="961" spans="1:11">
      <c r="A961" s="654" t="s">
        <v>6751</v>
      </c>
      <c r="B961" s="654" t="s">
        <v>7660</v>
      </c>
      <c r="C961" s="655">
        <v>122238685</v>
      </c>
      <c r="D961" s="655">
        <v>115296839</v>
      </c>
      <c r="E961" s="655">
        <v>122238685</v>
      </c>
      <c r="F961" s="655">
        <v>115296839</v>
      </c>
      <c r="G961" s="655">
        <v>6941846</v>
      </c>
      <c r="H961" s="650">
        <v>0</v>
      </c>
      <c r="I961" s="651">
        <v>1.5</v>
      </c>
      <c r="J961" s="651">
        <v>0.14330000000000001</v>
      </c>
      <c r="K961" s="651">
        <v>1.6433</v>
      </c>
    </row>
    <row r="962" spans="1:11">
      <c r="A962" s="654" t="s">
        <v>6752</v>
      </c>
      <c r="B962" s="654" t="s">
        <v>4058</v>
      </c>
      <c r="C962" s="655">
        <v>3358936235</v>
      </c>
      <c r="D962" s="655">
        <v>3207697824</v>
      </c>
      <c r="E962" s="655">
        <v>3358936235</v>
      </c>
      <c r="F962" s="655">
        <v>3207697824</v>
      </c>
      <c r="G962" s="655">
        <v>151238411</v>
      </c>
      <c r="H962" s="650">
        <v>0</v>
      </c>
      <c r="I962" s="651">
        <v>1.456</v>
      </c>
      <c r="J962" s="651">
        <v>9.7500000000000003E-2</v>
      </c>
      <c r="K962" s="651">
        <v>1.5535000000000001</v>
      </c>
    </row>
    <row r="963" spans="1:11">
      <c r="A963" s="654" t="s">
        <v>6753</v>
      </c>
      <c r="B963" s="654" t="s">
        <v>7635</v>
      </c>
      <c r="C963" s="655">
        <v>164122830</v>
      </c>
      <c r="D963" s="655">
        <v>160330681</v>
      </c>
      <c r="E963" s="655">
        <v>164122830</v>
      </c>
      <c r="F963" s="655">
        <v>160330681</v>
      </c>
      <c r="G963" s="655">
        <v>3792149</v>
      </c>
      <c r="H963" s="650">
        <v>0</v>
      </c>
      <c r="I963" s="651">
        <v>1.0249999999999999</v>
      </c>
      <c r="J963" s="651">
        <v>0</v>
      </c>
      <c r="K963" s="651">
        <v>1.0249999999999999</v>
      </c>
    </row>
    <row r="964" spans="1:11">
      <c r="A964" s="654" t="s">
        <v>6754</v>
      </c>
      <c r="B964" s="654" t="s">
        <v>1935</v>
      </c>
      <c r="C964" s="655">
        <v>126455318</v>
      </c>
      <c r="D964" s="655">
        <v>115933199</v>
      </c>
      <c r="E964" s="655">
        <v>126455318</v>
      </c>
      <c r="F964" s="655">
        <v>115933199</v>
      </c>
      <c r="G964" s="655">
        <v>10522119</v>
      </c>
      <c r="H964" s="650">
        <v>0</v>
      </c>
      <c r="I964" s="651">
        <v>1.35</v>
      </c>
      <c r="J964" s="651">
        <v>0.23100000000000001</v>
      </c>
      <c r="K964" s="651">
        <v>1.581</v>
      </c>
    </row>
    <row r="965" spans="1:11">
      <c r="A965" s="654" t="s">
        <v>6755</v>
      </c>
      <c r="B965" s="654" t="s">
        <v>7636</v>
      </c>
      <c r="C965" s="655">
        <v>1268458510</v>
      </c>
      <c r="D965" s="655">
        <v>1189050015</v>
      </c>
      <c r="E965" s="655">
        <v>1268458510</v>
      </c>
      <c r="F965" s="655">
        <v>1189050015</v>
      </c>
      <c r="G965" s="655">
        <v>79408495</v>
      </c>
      <c r="H965" s="650">
        <v>0</v>
      </c>
      <c r="I965" s="651">
        <v>1.4850000000000001</v>
      </c>
      <c r="J965" s="651">
        <v>0.17499999999999999</v>
      </c>
      <c r="K965" s="651">
        <v>1.66</v>
      </c>
    </row>
    <row r="966" spans="1:11">
      <c r="A966" s="654" t="s">
        <v>6756</v>
      </c>
      <c r="B966" s="654" t="s">
        <v>3842</v>
      </c>
      <c r="C966" s="655">
        <v>305240931</v>
      </c>
      <c r="D966" s="655">
        <v>289711451</v>
      </c>
      <c r="E966" s="655">
        <v>305240931</v>
      </c>
      <c r="F966" s="655">
        <v>289711451</v>
      </c>
      <c r="G966" s="655">
        <v>15529480</v>
      </c>
      <c r="H966" s="650">
        <v>0</v>
      </c>
      <c r="I966" s="651">
        <v>1.5</v>
      </c>
      <c r="J966" s="651">
        <v>0.26</v>
      </c>
      <c r="K966" s="651">
        <v>1.76</v>
      </c>
    </row>
    <row r="967" spans="1:11">
      <c r="A967" s="654" t="s">
        <v>6757</v>
      </c>
      <c r="B967" s="654" t="s">
        <v>4062</v>
      </c>
      <c r="C967" s="655">
        <v>1053790544</v>
      </c>
      <c r="D967" s="655">
        <v>999645664</v>
      </c>
      <c r="E967" s="655">
        <v>1053790544</v>
      </c>
      <c r="F967" s="655">
        <v>999645664</v>
      </c>
      <c r="G967" s="655">
        <v>54144880</v>
      </c>
      <c r="H967" s="650">
        <v>0</v>
      </c>
      <c r="I967" s="651">
        <v>1.5</v>
      </c>
      <c r="J967" s="651">
        <v>0.28000000000000003</v>
      </c>
      <c r="K967" s="651">
        <v>1.78</v>
      </c>
    </row>
    <row r="968" spans="1:11">
      <c r="A968" s="654" t="s">
        <v>6758</v>
      </c>
      <c r="B968" s="654" t="s">
        <v>7637</v>
      </c>
      <c r="C968" s="655">
        <v>416277807</v>
      </c>
      <c r="D968" s="655">
        <v>401087623</v>
      </c>
      <c r="E968" s="655">
        <v>412853394</v>
      </c>
      <c r="F968" s="655">
        <v>397663210</v>
      </c>
      <c r="G968" s="655">
        <v>15190184</v>
      </c>
      <c r="H968" s="655">
        <v>3424413</v>
      </c>
      <c r="I968" s="651">
        <v>1.5</v>
      </c>
      <c r="J968" s="651">
        <v>0.1777</v>
      </c>
      <c r="K968" s="651">
        <v>1.6777</v>
      </c>
    </row>
    <row r="969" spans="1:11">
      <c r="A969" s="654" t="s">
        <v>6759</v>
      </c>
      <c r="B969" s="654" t="s">
        <v>7638</v>
      </c>
      <c r="C969" s="655">
        <v>832456400</v>
      </c>
      <c r="D969" s="655">
        <v>811232770</v>
      </c>
      <c r="E969" s="655">
        <v>825858520</v>
      </c>
      <c r="F969" s="655">
        <v>804634890</v>
      </c>
      <c r="G969" s="655">
        <v>21223630</v>
      </c>
      <c r="H969" s="655">
        <v>6597880</v>
      </c>
      <c r="I969" s="651">
        <v>1.5</v>
      </c>
      <c r="J969" s="651">
        <v>0</v>
      </c>
      <c r="K969" s="651">
        <v>1.5</v>
      </c>
    </row>
    <row r="970" spans="1:11">
      <c r="A970" s="654" t="s">
        <v>6760</v>
      </c>
      <c r="B970" s="654" t="s">
        <v>2936</v>
      </c>
      <c r="C970" s="655">
        <v>88487429</v>
      </c>
      <c r="D970" s="655">
        <v>87611759</v>
      </c>
      <c r="E970" s="655">
        <v>88349104</v>
      </c>
      <c r="F970" s="655">
        <v>87473434</v>
      </c>
      <c r="G970" s="655">
        <v>875670</v>
      </c>
      <c r="H970" s="655">
        <v>138325</v>
      </c>
      <c r="I970" s="651">
        <v>1.5</v>
      </c>
      <c r="J970" s="651">
        <v>0.1036</v>
      </c>
      <c r="K970" s="651">
        <v>1.6035999999999999</v>
      </c>
    </row>
    <row r="971" spans="1:11">
      <c r="A971" s="654" t="s">
        <v>6761</v>
      </c>
      <c r="B971" s="654" t="s">
        <v>2937</v>
      </c>
      <c r="C971" s="655">
        <v>1506496772</v>
      </c>
      <c r="D971" s="655">
        <v>1438636962</v>
      </c>
      <c r="E971" s="655">
        <v>1506496772</v>
      </c>
      <c r="F971" s="655">
        <v>1438636962</v>
      </c>
      <c r="G971" s="655">
        <v>67859810</v>
      </c>
      <c r="H971" s="650">
        <v>0</v>
      </c>
      <c r="I971" s="651">
        <v>1.47</v>
      </c>
      <c r="J971" s="651">
        <v>9.9000000000000005E-2</v>
      </c>
      <c r="K971" s="651">
        <v>1.569</v>
      </c>
    </row>
    <row r="972" spans="1:11">
      <c r="A972" s="654" t="s">
        <v>6762</v>
      </c>
      <c r="B972" s="654" t="s">
        <v>2938</v>
      </c>
      <c r="C972" s="655">
        <v>229331462</v>
      </c>
      <c r="D972" s="655">
        <v>220872049</v>
      </c>
      <c r="E972" s="655">
        <v>229331462</v>
      </c>
      <c r="F972" s="655">
        <v>220872049</v>
      </c>
      <c r="G972" s="655">
        <v>8459413</v>
      </c>
      <c r="H972" s="650">
        <v>0</v>
      </c>
      <c r="I972" s="651">
        <v>1.4351</v>
      </c>
      <c r="J972" s="651">
        <v>3.5299999999999998E-2</v>
      </c>
      <c r="K972" s="651">
        <v>1.4703999999999999</v>
      </c>
    </row>
    <row r="973" spans="1:11">
      <c r="A973" s="654" t="s">
        <v>6763</v>
      </c>
      <c r="B973" s="654" t="s">
        <v>187</v>
      </c>
      <c r="C973" s="655">
        <v>1770443555</v>
      </c>
      <c r="D973" s="655">
        <v>1659097784</v>
      </c>
      <c r="E973" s="655">
        <v>1770443555</v>
      </c>
      <c r="F973" s="655">
        <v>1659097784</v>
      </c>
      <c r="G973" s="655">
        <v>111345771</v>
      </c>
      <c r="H973" s="650">
        <v>0</v>
      </c>
      <c r="I973" s="651">
        <v>1.32291</v>
      </c>
      <c r="J973" s="651">
        <v>0.1512</v>
      </c>
      <c r="K973" s="651">
        <v>1.47411</v>
      </c>
    </row>
    <row r="974" spans="1:11">
      <c r="A974" s="654" t="s">
        <v>6764</v>
      </c>
      <c r="B974" s="654" t="s">
        <v>5370</v>
      </c>
      <c r="C974" s="655">
        <v>6013557082</v>
      </c>
      <c r="D974" s="655">
        <v>5822096903</v>
      </c>
      <c r="E974" s="655">
        <v>5827429671</v>
      </c>
      <c r="F974" s="655">
        <v>5635969492</v>
      </c>
      <c r="G974" s="655">
        <v>191460179</v>
      </c>
      <c r="H974" s="655">
        <v>186127411</v>
      </c>
      <c r="I974" s="651">
        <v>1.37995</v>
      </c>
      <c r="J974" s="651">
        <v>0.146926</v>
      </c>
      <c r="K974" s="651">
        <v>1.5268699999999999</v>
      </c>
    </row>
    <row r="975" spans="1:11">
      <c r="A975" s="654" t="s">
        <v>6765</v>
      </c>
      <c r="B975" s="654" t="s">
        <v>6766</v>
      </c>
      <c r="C975" s="655">
        <v>1045465524</v>
      </c>
      <c r="D975" s="655">
        <v>1043266971</v>
      </c>
      <c r="E975" s="655">
        <v>1045017030</v>
      </c>
      <c r="F975" s="655">
        <v>1042818477</v>
      </c>
      <c r="G975" s="655">
        <v>2198553</v>
      </c>
      <c r="H975" s="655">
        <v>448494</v>
      </c>
      <c r="I975" s="651">
        <v>1.5</v>
      </c>
      <c r="J975" s="651">
        <v>0</v>
      </c>
      <c r="K975" s="651">
        <v>1.5</v>
      </c>
    </row>
    <row r="976" spans="1:11">
      <c r="A976" s="654" t="s">
        <v>6767</v>
      </c>
      <c r="B976" s="654" t="s">
        <v>2941</v>
      </c>
      <c r="C976" s="655">
        <v>150889280</v>
      </c>
      <c r="D976" s="655">
        <v>140676050</v>
      </c>
      <c r="E976" s="655">
        <v>150889280</v>
      </c>
      <c r="F976" s="655">
        <v>140676050</v>
      </c>
      <c r="G976" s="655">
        <v>10213230</v>
      </c>
      <c r="H976" s="650">
        <v>0</v>
      </c>
      <c r="I976" s="651">
        <v>1.5</v>
      </c>
      <c r="J976" s="651">
        <v>0</v>
      </c>
      <c r="K976" s="651">
        <v>1.5</v>
      </c>
    </row>
    <row r="977" spans="1:11">
      <c r="A977" s="654" t="s">
        <v>6768</v>
      </c>
      <c r="B977" s="654" t="s">
        <v>6720</v>
      </c>
      <c r="C977" s="655">
        <v>201612580</v>
      </c>
      <c r="D977" s="655">
        <v>191684185</v>
      </c>
      <c r="E977" s="655">
        <v>201612580</v>
      </c>
      <c r="F977" s="655">
        <v>191684185</v>
      </c>
      <c r="G977" s="655">
        <v>9928395</v>
      </c>
      <c r="H977" s="650">
        <v>0</v>
      </c>
      <c r="I977" s="651">
        <v>1.45</v>
      </c>
      <c r="J977" s="651">
        <v>0.1799</v>
      </c>
      <c r="K977" s="651">
        <v>1.6298999999999999</v>
      </c>
    </row>
    <row r="978" spans="1:11">
      <c r="A978" s="654" t="s">
        <v>6769</v>
      </c>
      <c r="B978" s="654" t="s">
        <v>6721</v>
      </c>
      <c r="C978" s="655">
        <v>777447016</v>
      </c>
      <c r="D978" s="655">
        <v>739977995</v>
      </c>
      <c r="E978" s="655">
        <v>777447016</v>
      </c>
      <c r="F978" s="655">
        <v>739977995</v>
      </c>
      <c r="G978" s="655">
        <v>37469021</v>
      </c>
      <c r="H978" s="650">
        <v>0</v>
      </c>
      <c r="I978" s="651">
        <v>1.3774999999999999</v>
      </c>
      <c r="J978" s="651">
        <v>3.8899999999999997E-2</v>
      </c>
      <c r="K978" s="651">
        <v>1.4164000000000001</v>
      </c>
    </row>
    <row r="979" spans="1:11">
      <c r="A979" s="654" t="s">
        <v>6770</v>
      </c>
      <c r="B979" s="654" t="s">
        <v>6722</v>
      </c>
      <c r="C979" s="655">
        <v>479647338</v>
      </c>
      <c r="D979" s="655">
        <v>453180408</v>
      </c>
      <c r="E979" s="655">
        <v>479647338</v>
      </c>
      <c r="F979" s="655">
        <v>453180408</v>
      </c>
      <c r="G979" s="655">
        <v>26466930</v>
      </c>
      <c r="H979" s="650">
        <v>0</v>
      </c>
      <c r="I979" s="651">
        <v>1.5</v>
      </c>
      <c r="J979" s="651">
        <v>0</v>
      </c>
      <c r="K979" s="651">
        <v>1.5</v>
      </c>
    </row>
    <row r="980" spans="1:11">
      <c r="A980" s="654" t="s">
        <v>6771</v>
      </c>
      <c r="B980" s="654" t="s">
        <v>6723</v>
      </c>
      <c r="C980" s="655">
        <v>134597381</v>
      </c>
      <c r="D980" s="655">
        <v>129210001</v>
      </c>
      <c r="E980" s="655">
        <v>134597381</v>
      </c>
      <c r="F980" s="655">
        <v>129210001</v>
      </c>
      <c r="G980" s="655">
        <v>5387380</v>
      </c>
      <c r="H980" s="650">
        <v>0</v>
      </c>
      <c r="I980" s="651">
        <v>1.48</v>
      </c>
      <c r="J980" s="651">
        <v>0.17499999999999999</v>
      </c>
      <c r="K980" s="651">
        <v>1.655</v>
      </c>
    </row>
    <row r="981" spans="1:11">
      <c r="A981" s="654" t="s">
        <v>6772</v>
      </c>
      <c r="B981" s="654" t="s">
        <v>6724</v>
      </c>
      <c r="C981" s="655">
        <v>119115774</v>
      </c>
      <c r="D981" s="655">
        <v>113363787</v>
      </c>
      <c r="E981" s="655">
        <v>119115774</v>
      </c>
      <c r="F981" s="655">
        <v>113363787</v>
      </c>
      <c r="G981" s="655">
        <v>5751987</v>
      </c>
      <c r="H981" s="650">
        <v>0</v>
      </c>
      <c r="I981" s="651">
        <v>1.367</v>
      </c>
      <c r="J981" s="651">
        <v>0</v>
      </c>
      <c r="K981" s="651">
        <v>1.367</v>
      </c>
    </row>
    <row r="982" spans="1:11">
      <c r="A982" s="654" t="s">
        <v>6773</v>
      </c>
      <c r="B982" s="654" t="s">
        <v>1546</v>
      </c>
      <c r="C982" s="655">
        <v>120555713</v>
      </c>
      <c r="D982" s="655">
        <v>116028638</v>
      </c>
      <c r="E982" s="655">
        <v>120555713</v>
      </c>
      <c r="F982" s="655">
        <v>116028638</v>
      </c>
      <c r="G982" s="655">
        <v>4527075</v>
      </c>
      <c r="H982" s="650">
        <v>0</v>
      </c>
      <c r="I982" s="651">
        <v>1.49072</v>
      </c>
      <c r="J982" s="651">
        <v>0</v>
      </c>
      <c r="K982" s="651">
        <v>1.49072</v>
      </c>
    </row>
    <row r="983" spans="1:11">
      <c r="A983" s="654" t="s">
        <v>6774</v>
      </c>
      <c r="B983" s="654" t="s">
        <v>1547</v>
      </c>
      <c r="C983" s="655">
        <v>139591909</v>
      </c>
      <c r="D983" s="655">
        <v>139347869</v>
      </c>
      <c r="E983" s="655">
        <v>139591909</v>
      </c>
      <c r="F983" s="655">
        <v>139347869</v>
      </c>
      <c r="G983" s="655">
        <v>244040</v>
      </c>
      <c r="H983" s="650">
        <v>0</v>
      </c>
      <c r="I983" s="651">
        <v>0.78029999999999999</v>
      </c>
      <c r="J983" s="651">
        <v>0</v>
      </c>
      <c r="K983" s="651">
        <v>0.78029999999999999</v>
      </c>
    </row>
    <row r="984" spans="1:11">
      <c r="A984" s="654" t="s">
        <v>6775</v>
      </c>
      <c r="B984" s="654" t="s">
        <v>1548</v>
      </c>
      <c r="C984" s="655">
        <v>530919137</v>
      </c>
      <c r="D984" s="655">
        <v>528994797</v>
      </c>
      <c r="E984" s="655">
        <v>530919137</v>
      </c>
      <c r="F984" s="655">
        <v>528994797</v>
      </c>
      <c r="G984" s="655">
        <v>1924340</v>
      </c>
      <c r="H984" s="650">
        <v>0</v>
      </c>
      <c r="I984" s="651">
        <v>0.86599999999999999</v>
      </c>
      <c r="J984" s="651">
        <v>0.16600000000000001</v>
      </c>
      <c r="K984" s="651">
        <v>1.032</v>
      </c>
    </row>
    <row r="985" spans="1:11">
      <c r="A985" s="654" t="s">
        <v>6776</v>
      </c>
      <c r="B985" s="654" t="s">
        <v>2146</v>
      </c>
      <c r="C985" s="655">
        <v>583428408</v>
      </c>
      <c r="D985" s="655">
        <v>545101081</v>
      </c>
      <c r="E985" s="655">
        <v>583428408</v>
      </c>
      <c r="F985" s="655">
        <v>545101081</v>
      </c>
      <c r="G985" s="655">
        <v>38327327</v>
      </c>
      <c r="H985" s="650">
        <v>0</v>
      </c>
      <c r="I985" s="651">
        <v>1.5</v>
      </c>
      <c r="J985" s="651">
        <v>0.13500000000000001</v>
      </c>
      <c r="K985" s="651">
        <v>1.635</v>
      </c>
    </row>
    <row r="986" spans="1:11">
      <c r="A986" s="654" t="s">
        <v>6777</v>
      </c>
      <c r="B986" s="654" t="s">
        <v>1549</v>
      </c>
      <c r="C986" s="655">
        <v>120294464</v>
      </c>
      <c r="D986" s="655">
        <v>112307858</v>
      </c>
      <c r="E986" s="655">
        <v>120294464</v>
      </c>
      <c r="F986" s="655">
        <v>112307858</v>
      </c>
      <c r="G986" s="655">
        <v>7986606</v>
      </c>
      <c r="H986" s="650">
        <v>0</v>
      </c>
      <c r="I986" s="651">
        <v>1.5</v>
      </c>
      <c r="J986" s="651">
        <v>0.1</v>
      </c>
      <c r="K986" s="651">
        <v>1.6</v>
      </c>
    </row>
    <row r="987" spans="1:11">
      <c r="A987" s="654" t="s">
        <v>6778</v>
      </c>
      <c r="B987" s="654" t="s">
        <v>6779</v>
      </c>
      <c r="C987" s="655">
        <v>410129830</v>
      </c>
      <c r="D987" s="655">
        <v>383231228</v>
      </c>
      <c r="E987" s="655">
        <v>410129830</v>
      </c>
      <c r="F987" s="655">
        <v>383231228</v>
      </c>
      <c r="G987" s="655">
        <v>26898602</v>
      </c>
      <c r="H987" s="650">
        <v>0</v>
      </c>
      <c r="I987" s="651">
        <v>1.49</v>
      </c>
      <c r="J987" s="651">
        <v>0.09</v>
      </c>
      <c r="K987" s="651">
        <v>1.58</v>
      </c>
    </row>
    <row r="988" spans="1:11">
      <c r="A988" s="654" t="s">
        <v>6780</v>
      </c>
      <c r="B988" s="654" t="s">
        <v>1551</v>
      </c>
      <c r="C988" s="655">
        <v>3351302387</v>
      </c>
      <c r="D988" s="655">
        <v>3180583072</v>
      </c>
      <c r="E988" s="655">
        <v>3351302387</v>
      </c>
      <c r="F988" s="655">
        <v>3180583072</v>
      </c>
      <c r="G988" s="655">
        <v>170719315</v>
      </c>
      <c r="H988" s="650">
        <v>0</v>
      </c>
      <c r="I988" s="651">
        <v>1.5</v>
      </c>
      <c r="J988" s="651">
        <v>6.3600000000000004E-2</v>
      </c>
      <c r="K988" s="651">
        <v>1.5636000000000001</v>
      </c>
    </row>
    <row r="989" spans="1:11">
      <c r="A989" s="654" t="s">
        <v>6781</v>
      </c>
      <c r="B989" s="654" t="s">
        <v>6112</v>
      </c>
      <c r="C989" s="655">
        <v>157644686</v>
      </c>
      <c r="D989" s="655">
        <v>147106010</v>
      </c>
      <c r="E989" s="655">
        <v>157644686</v>
      </c>
      <c r="F989" s="655">
        <v>147106010</v>
      </c>
      <c r="G989" s="655">
        <v>10538676</v>
      </c>
      <c r="H989" s="650">
        <v>0</v>
      </c>
      <c r="I989" s="651">
        <v>1.5</v>
      </c>
      <c r="J989" s="651">
        <v>0.22770000000000001</v>
      </c>
      <c r="K989" s="651">
        <v>1.7277</v>
      </c>
    </row>
    <row r="990" spans="1:11">
      <c r="A990" s="654" t="s">
        <v>6782</v>
      </c>
      <c r="B990" s="654" t="s">
        <v>1485</v>
      </c>
      <c r="C990" s="655">
        <v>25682668</v>
      </c>
      <c r="D990" s="655">
        <v>25280978</v>
      </c>
      <c r="E990" s="655">
        <v>25682668</v>
      </c>
      <c r="F990" s="655">
        <v>25280978</v>
      </c>
      <c r="G990" s="655">
        <v>401690</v>
      </c>
      <c r="H990" s="650">
        <v>0</v>
      </c>
      <c r="I990" s="651">
        <v>1.5</v>
      </c>
      <c r="J990" s="651">
        <v>0</v>
      </c>
      <c r="K990" s="651">
        <v>1.5</v>
      </c>
    </row>
    <row r="991" spans="1:11">
      <c r="A991" s="654" t="s">
        <v>6783</v>
      </c>
      <c r="B991" s="654" t="s">
        <v>1486</v>
      </c>
      <c r="C991" s="655">
        <v>681430573</v>
      </c>
      <c r="D991" s="655">
        <v>655541373</v>
      </c>
      <c r="E991" s="655">
        <v>681430573</v>
      </c>
      <c r="F991" s="655">
        <v>655541373</v>
      </c>
      <c r="G991" s="655">
        <v>25889200</v>
      </c>
      <c r="H991" s="650">
        <v>0</v>
      </c>
      <c r="I991" s="651">
        <v>1.48</v>
      </c>
      <c r="J991" s="651">
        <v>0.1</v>
      </c>
      <c r="K991" s="651">
        <v>1.58</v>
      </c>
    </row>
    <row r="992" spans="1:11">
      <c r="A992" s="654" t="s">
        <v>6784</v>
      </c>
      <c r="B992" s="654" t="s">
        <v>1939</v>
      </c>
      <c r="C992" s="655">
        <v>13656716</v>
      </c>
      <c r="D992" s="655">
        <v>13098596</v>
      </c>
      <c r="E992" s="655">
        <v>13656716</v>
      </c>
      <c r="F992" s="655">
        <v>13098596</v>
      </c>
      <c r="G992" s="655">
        <v>558120</v>
      </c>
      <c r="H992" s="650">
        <v>0</v>
      </c>
      <c r="I992" s="651">
        <v>1.5</v>
      </c>
      <c r="J992" s="651">
        <v>0</v>
      </c>
      <c r="K992" s="651">
        <v>1.5</v>
      </c>
    </row>
    <row r="993" spans="1:11">
      <c r="A993" s="654" t="s">
        <v>6785</v>
      </c>
      <c r="B993" s="654" t="s">
        <v>188</v>
      </c>
      <c r="C993" s="655">
        <v>30647563</v>
      </c>
      <c r="D993" s="655">
        <v>28083235</v>
      </c>
      <c r="E993" s="655">
        <v>30647563</v>
      </c>
      <c r="F993" s="655">
        <v>28083235</v>
      </c>
      <c r="G993" s="655">
        <v>2564328</v>
      </c>
      <c r="H993" s="650">
        <v>0</v>
      </c>
      <c r="I993" s="651">
        <v>1.46</v>
      </c>
      <c r="J993" s="651">
        <v>0.17</v>
      </c>
      <c r="K993" s="651">
        <v>1.63</v>
      </c>
    </row>
    <row r="994" spans="1:11">
      <c r="A994" s="654" t="s">
        <v>6786</v>
      </c>
      <c r="B994" s="654" t="s">
        <v>6058</v>
      </c>
      <c r="C994" s="655">
        <v>148028880</v>
      </c>
      <c r="D994" s="655">
        <v>136431155</v>
      </c>
      <c r="E994" s="655">
        <v>148028880</v>
      </c>
      <c r="F994" s="655">
        <v>136431155</v>
      </c>
      <c r="G994" s="655">
        <v>11597725</v>
      </c>
      <c r="H994" s="650">
        <v>0</v>
      </c>
      <c r="I994" s="651">
        <v>1.5</v>
      </c>
      <c r="J994" s="651">
        <v>0.08</v>
      </c>
      <c r="K994" s="651">
        <v>1.58</v>
      </c>
    </row>
    <row r="995" spans="1:11">
      <c r="A995" s="654" t="s">
        <v>6787</v>
      </c>
      <c r="B995" s="654" t="s">
        <v>356</v>
      </c>
      <c r="C995" s="655">
        <v>279046758</v>
      </c>
      <c r="D995" s="655">
        <v>260521688</v>
      </c>
      <c r="E995" s="655">
        <v>279046758</v>
      </c>
      <c r="F995" s="655">
        <v>260521688</v>
      </c>
      <c r="G995" s="655">
        <v>18525070</v>
      </c>
      <c r="H995" s="650">
        <v>0</v>
      </c>
      <c r="I995" s="651">
        <v>1.38</v>
      </c>
      <c r="J995" s="651">
        <v>0.16200000000000001</v>
      </c>
      <c r="K995" s="651">
        <v>1.542</v>
      </c>
    </row>
    <row r="996" spans="1:11">
      <c r="A996" s="654" t="s">
        <v>6788</v>
      </c>
      <c r="B996" s="654" t="s">
        <v>384</v>
      </c>
      <c r="C996" s="655">
        <v>58229677</v>
      </c>
      <c r="D996" s="655">
        <v>55412441</v>
      </c>
      <c r="E996" s="655">
        <v>58229677</v>
      </c>
      <c r="F996" s="655">
        <v>55412441</v>
      </c>
      <c r="G996" s="655">
        <v>2817236</v>
      </c>
      <c r="H996" s="650">
        <v>0</v>
      </c>
      <c r="I996" s="651">
        <v>1.5</v>
      </c>
      <c r="J996" s="651">
        <v>7.1429999999999993E-2</v>
      </c>
      <c r="K996" s="651">
        <v>1.5714300000000001</v>
      </c>
    </row>
    <row r="997" spans="1:11">
      <c r="A997" s="654" t="s">
        <v>6789</v>
      </c>
      <c r="B997" s="654" t="s">
        <v>111</v>
      </c>
      <c r="C997" s="655">
        <v>201542348</v>
      </c>
      <c r="D997" s="655">
        <v>190247359</v>
      </c>
      <c r="E997" s="655">
        <v>201542348</v>
      </c>
      <c r="F997" s="655">
        <v>190247359</v>
      </c>
      <c r="G997" s="655">
        <v>11294989</v>
      </c>
      <c r="H997" s="650">
        <v>0</v>
      </c>
      <c r="I997" s="651">
        <v>1.5</v>
      </c>
      <c r="J997" s="651">
        <v>0.23</v>
      </c>
      <c r="K997" s="651">
        <v>1.73</v>
      </c>
    </row>
    <row r="998" spans="1:11">
      <c r="A998" s="654" t="s">
        <v>6790</v>
      </c>
      <c r="B998" s="654" t="s">
        <v>125</v>
      </c>
      <c r="C998" s="655">
        <v>3334697178</v>
      </c>
      <c r="D998" s="655">
        <v>3206373179</v>
      </c>
      <c r="E998" s="655">
        <v>3334697178</v>
      </c>
      <c r="F998" s="655">
        <v>3206373179</v>
      </c>
      <c r="G998" s="655">
        <v>128323999</v>
      </c>
      <c r="H998" s="650">
        <v>0</v>
      </c>
      <c r="I998" s="651">
        <v>1.5</v>
      </c>
      <c r="J998" s="651">
        <v>0.255</v>
      </c>
      <c r="K998" s="651">
        <v>1.7549999999999999</v>
      </c>
    </row>
    <row r="999" spans="1:11">
      <c r="A999" s="654" t="s">
        <v>6791</v>
      </c>
      <c r="B999" s="654" t="s">
        <v>3912</v>
      </c>
      <c r="C999" s="655">
        <v>83818542</v>
      </c>
      <c r="D999" s="655">
        <v>77784546</v>
      </c>
      <c r="E999" s="655">
        <v>83818542</v>
      </c>
      <c r="F999" s="655">
        <v>77784546</v>
      </c>
      <c r="G999" s="655">
        <v>6033996</v>
      </c>
      <c r="H999" s="650">
        <v>0</v>
      </c>
      <c r="I999" s="651">
        <v>1.48</v>
      </c>
      <c r="J999" s="651">
        <v>6.7500000000000004E-2</v>
      </c>
      <c r="K999" s="651">
        <v>1.5475000000000001</v>
      </c>
    </row>
    <row r="1000" spans="1:11">
      <c r="A1000" s="654" t="s">
        <v>6792</v>
      </c>
      <c r="B1000" s="654" t="s">
        <v>3859</v>
      </c>
      <c r="C1000" s="655">
        <v>677288066</v>
      </c>
      <c r="D1000" s="655">
        <v>653555557</v>
      </c>
      <c r="E1000" s="655">
        <v>677288066</v>
      </c>
      <c r="F1000" s="655">
        <v>653555557</v>
      </c>
      <c r="G1000" s="655">
        <v>23732509</v>
      </c>
      <c r="H1000" s="650">
        <v>0</v>
      </c>
      <c r="I1000" s="651">
        <v>1.4623999999999999</v>
      </c>
      <c r="J1000" s="651">
        <v>0.27660000000000001</v>
      </c>
      <c r="K1000" s="651">
        <v>1.7390000000000001</v>
      </c>
    </row>
    <row r="1001" spans="1:11">
      <c r="A1001" s="654" t="s">
        <v>6793</v>
      </c>
      <c r="B1001" s="654" t="s">
        <v>1487</v>
      </c>
      <c r="C1001" s="655">
        <v>317990793</v>
      </c>
      <c r="D1001" s="655">
        <v>302369142</v>
      </c>
      <c r="E1001" s="655">
        <v>317990793</v>
      </c>
      <c r="F1001" s="655">
        <v>302369142</v>
      </c>
      <c r="G1001" s="655">
        <v>15621651</v>
      </c>
      <c r="H1001" s="650">
        <v>0</v>
      </c>
      <c r="I1001" s="651">
        <v>1.5</v>
      </c>
      <c r="J1001" s="651">
        <v>0.06</v>
      </c>
      <c r="K1001" s="651">
        <v>1.56</v>
      </c>
    </row>
    <row r="1002" spans="1:11">
      <c r="A1002" s="654" t="s">
        <v>6794</v>
      </c>
      <c r="B1002" s="654" t="s">
        <v>191</v>
      </c>
      <c r="C1002" s="655">
        <v>578483521</v>
      </c>
      <c r="D1002" s="655">
        <v>557525509</v>
      </c>
      <c r="E1002" s="655">
        <v>578483521</v>
      </c>
      <c r="F1002" s="655">
        <v>557525509</v>
      </c>
      <c r="G1002" s="655">
        <v>20958012</v>
      </c>
      <c r="H1002" s="650">
        <v>0</v>
      </c>
      <c r="I1002" s="651">
        <v>1.5</v>
      </c>
      <c r="J1002" s="651">
        <v>0.16500000000000001</v>
      </c>
      <c r="K1002" s="651">
        <v>1.665</v>
      </c>
    </row>
    <row r="1003" spans="1:11">
      <c r="A1003" s="654" t="s">
        <v>6795</v>
      </c>
      <c r="B1003" s="654" t="s">
        <v>371</v>
      </c>
      <c r="C1003" s="655">
        <v>14137757513</v>
      </c>
      <c r="D1003" s="655">
        <v>13735355444</v>
      </c>
      <c r="E1003" s="655">
        <v>14137757513</v>
      </c>
      <c r="F1003" s="655">
        <v>13735355444</v>
      </c>
      <c r="G1003" s="655">
        <v>402402069</v>
      </c>
      <c r="H1003" s="650">
        <v>0</v>
      </c>
      <c r="I1003" s="651">
        <v>1.4920500000000001</v>
      </c>
      <c r="J1003" s="651">
        <v>0.36516500000000002</v>
      </c>
      <c r="K1003" s="651">
        <v>1.85721</v>
      </c>
    </row>
    <row r="1004" spans="1:11">
      <c r="A1004" s="654" t="s">
        <v>6796</v>
      </c>
      <c r="B1004" s="654" t="s">
        <v>5363</v>
      </c>
      <c r="C1004" s="655">
        <v>668964360</v>
      </c>
      <c r="D1004" s="655">
        <v>635927045</v>
      </c>
      <c r="E1004" s="655">
        <v>668964360</v>
      </c>
      <c r="F1004" s="655">
        <v>635927045</v>
      </c>
      <c r="G1004" s="655">
        <v>33037315</v>
      </c>
      <c r="H1004" s="650">
        <v>0</v>
      </c>
      <c r="I1004" s="651">
        <v>1.5</v>
      </c>
      <c r="J1004" s="651">
        <v>0.17</v>
      </c>
      <c r="K1004" s="651">
        <v>1.67</v>
      </c>
    </row>
    <row r="1005" spans="1:11">
      <c r="A1005" s="654" t="s">
        <v>6797</v>
      </c>
      <c r="B1005" s="654" t="s">
        <v>5365</v>
      </c>
      <c r="C1005" s="655">
        <v>121133532</v>
      </c>
      <c r="D1005" s="655">
        <v>114130089</v>
      </c>
      <c r="E1005" s="655">
        <v>121133532</v>
      </c>
      <c r="F1005" s="655">
        <v>114130089</v>
      </c>
      <c r="G1005" s="655">
        <v>7003443</v>
      </c>
      <c r="H1005" s="650">
        <v>0</v>
      </c>
      <c r="I1005" s="651">
        <v>1.5</v>
      </c>
      <c r="J1005" s="651">
        <v>0.12</v>
      </c>
      <c r="K1005" s="651">
        <v>1.62</v>
      </c>
    </row>
    <row r="1006" spans="1:11">
      <c r="A1006" s="654" t="s">
        <v>6798</v>
      </c>
      <c r="B1006" s="654" t="s">
        <v>189</v>
      </c>
      <c r="C1006" s="655">
        <v>7207147311</v>
      </c>
      <c r="D1006" s="655">
        <v>6965412783</v>
      </c>
      <c r="E1006" s="655">
        <v>7207147311</v>
      </c>
      <c r="F1006" s="655">
        <v>6965412783</v>
      </c>
      <c r="G1006" s="655">
        <v>241734528</v>
      </c>
      <c r="H1006" s="650">
        <v>0</v>
      </c>
      <c r="I1006" s="651">
        <v>1.4610000000000001</v>
      </c>
      <c r="J1006" s="651">
        <v>0.32900000000000001</v>
      </c>
      <c r="K1006" s="651">
        <v>1.79</v>
      </c>
    </row>
    <row r="1007" spans="1:11">
      <c r="A1007" s="654" t="s">
        <v>6799</v>
      </c>
      <c r="B1007" s="654" t="s">
        <v>1003</v>
      </c>
      <c r="C1007" s="655">
        <v>45979173</v>
      </c>
      <c r="D1007" s="655">
        <v>43592770</v>
      </c>
      <c r="E1007" s="655">
        <v>45979173</v>
      </c>
      <c r="F1007" s="655">
        <v>43592770</v>
      </c>
      <c r="G1007" s="655">
        <v>2386403</v>
      </c>
      <c r="H1007" s="650">
        <v>0</v>
      </c>
      <c r="I1007" s="651">
        <v>1.5</v>
      </c>
      <c r="J1007" s="651">
        <v>0</v>
      </c>
      <c r="K1007" s="651">
        <v>1.5</v>
      </c>
    </row>
    <row r="1008" spans="1:11">
      <c r="A1008" s="654" t="s">
        <v>6800</v>
      </c>
      <c r="B1008" s="654" t="s">
        <v>112</v>
      </c>
      <c r="C1008" s="655">
        <v>683566918</v>
      </c>
      <c r="D1008" s="655">
        <v>640178996</v>
      </c>
      <c r="E1008" s="655">
        <v>683566918</v>
      </c>
      <c r="F1008" s="655">
        <v>640178996</v>
      </c>
      <c r="G1008" s="655">
        <v>43387922</v>
      </c>
      <c r="H1008" s="650">
        <v>0</v>
      </c>
      <c r="I1008" s="651">
        <v>1.5</v>
      </c>
      <c r="J1008" s="651">
        <v>0.1176</v>
      </c>
      <c r="K1008" s="651">
        <v>1.6175999999999999</v>
      </c>
    </row>
    <row r="1009" spans="1:11">
      <c r="A1009" s="654" t="s">
        <v>6801</v>
      </c>
      <c r="B1009" s="654" t="s">
        <v>183</v>
      </c>
      <c r="C1009" s="655">
        <v>393650466</v>
      </c>
      <c r="D1009" s="655">
        <v>367098119</v>
      </c>
      <c r="E1009" s="655">
        <v>393650466</v>
      </c>
      <c r="F1009" s="655">
        <v>367098119</v>
      </c>
      <c r="G1009" s="655">
        <v>26552347</v>
      </c>
      <c r="H1009" s="650">
        <v>0</v>
      </c>
      <c r="I1009" s="651">
        <v>1.5</v>
      </c>
      <c r="J1009" s="651">
        <v>0.21</v>
      </c>
      <c r="K1009" s="651">
        <v>1.71</v>
      </c>
    </row>
    <row r="1010" spans="1:11">
      <c r="A1010" s="654" t="s">
        <v>6802</v>
      </c>
      <c r="B1010" s="654" t="s">
        <v>346</v>
      </c>
      <c r="C1010" s="655">
        <v>121271354</v>
      </c>
      <c r="D1010" s="655">
        <v>112843610</v>
      </c>
      <c r="E1010" s="655">
        <v>121271354</v>
      </c>
      <c r="F1010" s="655">
        <v>112843610</v>
      </c>
      <c r="G1010" s="655">
        <v>8427744</v>
      </c>
      <c r="H1010" s="650">
        <v>0</v>
      </c>
      <c r="I1010" s="651">
        <v>1.46</v>
      </c>
      <c r="J1010" s="651">
        <v>0</v>
      </c>
      <c r="K1010" s="651">
        <v>1.46</v>
      </c>
    </row>
    <row r="1011" spans="1:11">
      <c r="A1011" s="654" t="s">
        <v>6803</v>
      </c>
      <c r="B1011" s="654" t="s">
        <v>2356</v>
      </c>
      <c r="C1011" s="655">
        <v>120388270</v>
      </c>
      <c r="D1011" s="655">
        <v>112586574</v>
      </c>
      <c r="E1011" s="655">
        <v>120388270</v>
      </c>
      <c r="F1011" s="655">
        <v>112586574</v>
      </c>
      <c r="G1011" s="655">
        <v>7801696</v>
      </c>
      <c r="H1011" s="650">
        <v>0</v>
      </c>
      <c r="I1011" s="651">
        <v>1.4039999999999999</v>
      </c>
      <c r="J1011" s="651">
        <v>1.3599999999999999E-2</v>
      </c>
      <c r="K1011" s="651">
        <v>1.4176</v>
      </c>
    </row>
    <row r="1012" spans="1:11">
      <c r="A1012" s="654" t="s">
        <v>6804</v>
      </c>
      <c r="B1012" s="654" t="s">
        <v>1004</v>
      </c>
      <c r="C1012" s="655">
        <v>507310879</v>
      </c>
      <c r="D1012" s="655">
        <v>494329040</v>
      </c>
      <c r="E1012" s="655">
        <v>504082522</v>
      </c>
      <c r="F1012" s="655">
        <v>491100683</v>
      </c>
      <c r="G1012" s="655">
        <v>12981839</v>
      </c>
      <c r="H1012" s="655">
        <v>3228357</v>
      </c>
      <c r="I1012" s="651">
        <v>1.5</v>
      </c>
      <c r="J1012" s="651">
        <v>0</v>
      </c>
      <c r="K1012" s="651">
        <v>1.5</v>
      </c>
    </row>
    <row r="1013" spans="1:11">
      <c r="A1013" s="654" t="s">
        <v>6805</v>
      </c>
      <c r="B1013" s="654" t="s">
        <v>1005</v>
      </c>
      <c r="C1013" s="655">
        <v>528989616</v>
      </c>
      <c r="D1013" s="655">
        <v>526821417</v>
      </c>
      <c r="E1013" s="655">
        <v>528510056</v>
      </c>
      <c r="F1013" s="655">
        <v>526341857</v>
      </c>
      <c r="G1013" s="655">
        <v>2168199</v>
      </c>
      <c r="H1013" s="655">
        <v>479560</v>
      </c>
      <c r="I1013" s="651">
        <v>1.5</v>
      </c>
      <c r="J1013" s="651">
        <v>0</v>
      </c>
      <c r="K1013" s="651">
        <v>1.5</v>
      </c>
    </row>
    <row r="1014" spans="1:11">
      <c r="A1014" s="654" t="s">
        <v>6806</v>
      </c>
      <c r="B1014" s="654" t="s">
        <v>7680</v>
      </c>
      <c r="C1014" s="655">
        <v>128945864</v>
      </c>
      <c r="D1014" s="655">
        <v>120585559</v>
      </c>
      <c r="E1014" s="655">
        <v>128945864</v>
      </c>
      <c r="F1014" s="655">
        <v>120585559</v>
      </c>
      <c r="G1014" s="655">
        <v>8360305</v>
      </c>
      <c r="H1014" s="650">
        <v>0</v>
      </c>
      <c r="I1014" s="651">
        <v>1.44</v>
      </c>
      <c r="J1014" s="651">
        <v>0.15240000000000001</v>
      </c>
      <c r="K1014" s="651">
        <v>1.5924</v>
      </c>
    </row>
    <row r="1015" spans="1:11">
      <c r="A1015" s="654" t="s">
        <v>6807</v>
      </c>
      <c r="B1015" s="654" t="s">
        <v>1006</v>
      </c>
      <c r="C1015" s="655">
        <v>353586581</v>
      </c>
      <c r="D1015" s="655">
        <v>340510646</v>
      </c>
      <c r="E1015" s="655">
        <v>353586581</v>
      </c>
      <c r="F1015" s="655">
        <v>340510646</v>
      </c>
      <c r="G1015" s="655">
        <v>13075935</v>
      </c>
      <c r="H1015" s="650">
        <v>0</v>
      </c>
      <c r="I1015" s="651">
        <v>1.5</v>
      </c>
      <c r="J1015" s="651">
        <v>0.1351</v>
      </c>
      <c r="K1015" s="651">
        <v>1.6351</v>
      </c>
    </row>
    <row r="1016" spans="1:11">
      <c r="A1016" s="654" t="s">
        <v>6808</v>
      </c>
      <c r="B1016" s="654" t="s">
        <v>1007</v>
      </c>
      <c r="C1016" s="655">
        <v>812135853</v>
      </c>
      <c r="D1016" s="655">
        <v>787655560</v>
      </c>
      <c r="E1016" s="655">
        <v>806371912</v>
      </c>
      <c r="F1016" s="655">
        <v>781891619</v>
      </c>
      <c r="G1016" s="655">
        <v>24480293</v>
      </c>
      <c r="H1016" s="655">
        <v>5763941</v>
      </c>
      <c r="I1016" s="651">
        <v>1.3676999999999999</v>
      </c>
      <c r="J1016" s="651">
        <v>0.22500000000000001</v>
      </c>
      <c r="K1016" s="651">
        <v>1.5927</v>
      </c>
    </row>
    <row r="1017" spans="1:11">
      <c r="A1017" s="654" t="s">
        <v>6809</v>
      </c>
      <c r="B1017" s="654" t="s">
        <v>1008</v>
      </c>
      <c r="C1017" s="655">
        <v>264556921</v>
      </c>
      <c r="D1017" s="655">
        <v>256558043</v>
      </c>
      <c r="E1017" s="655">
        <v>264556921</v>
      </c>
      <c r="F1017" s="655">
        <v>256558043</v>
      </c>
      <c r="G1017" s="655">
        <v>7998878</v>
      </c>
      <c r="H1017" s="650">
        <v>0</v>
      </c>
      <c r="I1017" s="651">
        <v>1.46</v>
      </c>
      <c r="J1017" s="651">
        <v>0.1</v>
      </c>
      <c r="K1017" s="651">
        <v>1.56</v>
      </c>
    </row>
    <row r="1018" spans="1:11">
      <c r="A1018" s="654" t="s">
        <v>6810</v>
      </c>
      <c r="B1018" s="654" t="s">
        <v>1009</v>
      </c>
      <c r="C1018" s="655">
        <v>1030766058</v>
      </c>
      <c r="D1018" s="655">
        <v>1000555824</v>
      </c>
      <c r="E1018" s="655">
        <v>1030766058</v>
      </c>
      <c r="F1018" s="655">
        <v>1000555824</v>
      </c>
      <c r="G1018" s="655">
        <v>30210234</v>
      </c>
      <c r="H1018" s="650">
        <v>0</v>
      </c>
      <c r="I1018" s="651">
        <v>1.4613</v>
      </c>
      <c r="J1018" s="651">
        <v>0.2767</v>
      </c>
      <c r="K1018" s="651">
        <v>1.738</v>
      </c>
    </row>
    <row r="1019" spans="1:11">
      <c r="A1019" s="654" t="s">
        <v>6811</v>
      </c>
      <c r="B1019" s="654" t="s">
        <v>3630</v>
      </c>
      <c r="C1019" s="655">
        <v>165574700</v>
      </c>
      <c r="D1019" s="655">
        <v>154891995</v>
      </c>
      <c r="E1019" s="655">
        <v>165574700</v>
      </c>
      <c r="F1019" s="655">
        <v>154891995</v>
      </c>
      <c r="G1019" s="655">
        <v>10682705</v>
      </c>
      <c r="H1019" s="650">
        <v>0</v>
      </c>
      <c r="I1019" s="651">
        <v>1.5</v>
      </c>
      <c r="J1019" s="651">
        <v>0.22</v>
      </c>
      <c r="K1019" s="651">
        <v>1.72</v>
      </c>
    </row>
    <row r="1020" spans="1:11">
      <c r="A1020" s="654" t="s">
        <v>6812</v>
      </c>
      <c r="B1020" s="654" t="s">
        <v>2342</v>
      </c>
      <c r="C1020" s="655">
        <v>82424247</v>
      </c>
      <c r="D1020" s="655">
        <v>78064074</v>
      </c>
      <c r="E1020" s="655">
        <v>78964763</v>
      </c>
      <c r="F1020" s="655">
        <v>74604590</v>
      </c>
      <c r="G1020" s="655">
        <v>4360173</v>
      </c>
      <c r="H1020" s="655">
        <v>3459484</v>
      </c>
      <c r="I1020" s="651">
        <v>1.5</v>
      </c>
      <c r="J1020" s="651">
        <v>0.2</v>
      </c>
      <c r="K1020" s="651">
        <v>1.7</v>
      </c>
    </row>
    <row r="1021" spans="1:11">
      <c r="A1021" s="654" t="s">
        <v>6813</v>
      </c>
      <c r="B1021" s="654" t="s">
        <v>1010</v>
      </c>
      <c r="C1021" s="655">
        <v>382400789</v>
      </c>
      <c r="D1021" s="655">
        <v>369625284</v>
      </c>
      <c r="E1021" s="655">
        <v>382400789</v>
      </c>
      <c r="F1021" s="655">
        <v>369625284</v>
      </c>
      <c r="G1021" s="655">
        <v>12775505</v>
      </c>
      <c r="H1021" s="650">
        <v>0</v>
      </c>
      <c r="I1021" s="651">
        <v>1.24</v>
      </c>
      <c r="J1021" s="651">
        <v>0</v>
      </c>
      <c r="K1021" s="651">
        <v>1.24</v>
      </c>
    </row>
    <row r="1022" spans="1:11">
      <c r="A1022" s="654" t="s">
        <v>6814</v>
      </c>
      <c r="B1022" s="654" t="s">
        <v>1011</v>
      </c>
      <c r="C1022" s="655">
        <v>330329668</v>
      </c>
      <c r="D1022" s="655">
        <v>306534573</v>
      </c>
      <c r="E1022" s="655">
        <v>330329668</v>
      </c>
      <c r="F1022" s="655">
        <v>306534573</v>
      </c>
      <c r="G1022" s="655">
        <v>23795095</v>
      </c>
      <c r="H1022" s="650">
        <v>0</v>
      </c>
      <c r="I1022" s="651">
        <v>1.5</v>
      </c>
      <c r="J1022" s="651">
        <v>0</v>
      </c>
      <c r="K1022" s="651">
        <v>1.5</v>
      </c>
    </row>
    <row r="1023" spans="1:11">
      <c r="A1023" s="654" t="s">
        <v>6815</v>
      </c>
      <c r="B1023" s="654" t="s">
        <v>1012</v>
      </c>
      <c r="C1023" s="655">
        <v>322921647</v>
      </c>
      <c r="D1023" s="655">
        <v>300130958</v>
      </c>
      <c r="E1023" s="655">
        <v>322921647</v>
      </c>
      <c r="F1023" s="655">
        <v>300130958</v>
      </c>
      <c r="G1023" s="655">
        <v>22790689</v>
      </c>
      <c r="H1023" s="650">
        <v>0</v>
      </c>
      <c r="I1023" s="651">
        <v>1.5</v>
      </c>
      <c r="J1023" s="651">
        <v>8.9499999999999996E-2</v>
      </c>
      <c r="K1023" s="651">
        <v>1.5894999999999999</v>
      </c>
    </row>
    <row r="1024" spans="1:11">
      <c r="A1024" s="654" t="s">
        <v>6816</v>
      </c>
      <c r="B1024" s="654" t="s">
        <v>1013</v>
      </c>
      <c r="C1024" s="655">
        <v>165098673</v>
      </c>
      <c r="D1024" s="655">
        <v>156410453</v>
      </c>
      <c r="E1024" s="655">
        <v>165098673</v>
      </c>
      <c r="F1024" s="655">
        <v>156410453</v>
      </c>
      <c r="G1024" s="655">
        <v>8688220</v>
      </c>
      <c r="H1024" s="650">
        <v>0</v>
      </c>
      <c r="I1024" s="651">
        <v>1.431</v>
      </c>
      <c r="J1024" s="651">
        <v>0.12920000000000001</v>
      </c>
      <c r="K1024" s="651">
        <v>1.5602</v>
      </c>
    </row>
    <row r="1025" spans="1:11">
      <c r="A1025" s="654" t="s">
        <v>6817</v>
      </c>
      <c r="B1025" s="654" t="s">
        <v>1014</v>
      </c>
      <c r="C1025" s="655">
        <v>164514444</v>
      </c>
      <c r="D1025" s="655">
        <v>150511288</v>
      </c>
      <c r="E1025" s="655">
        <v>164514444</v>
      </c>
      <c r="F1025" s="655">
        <v>150511288</v>
      </c>
      <c r="G1025" s="655">
        <v>14003156</v>
      </c>
      <c r="H1025" s="650">
        <v>0</v>
      </c>
      <c r="I1025" s="651">
        <v>1.47</v>
      </c>
      <c r="J1025" s="651">
        <v>0.1182</v>
      </c>
      <c r="K1025" s="651">
        <v>1.5882000000000001</v>
      </c>
    </row>
    <row r="1026" spans="1:11">
      <c r="A1026" s="654" t="s">
        <v>6818</v>
      </c>
      <c r="B1026" s="654" t="s">
        <v>1015</v>
      </c>
      <c r="C1026" s="655">
        <v>320433518</v>
      </c>
      <c r="D1026" s="655">
        <v>297724870</v>
      </c>
      <c r="E1026" s="655">
        <v>320433518</v>
      </c>
      <c r="F1026" s="655">
        <v>297724870</v>
      </c>
      <c r="G1026" s="655">
        <v>22708648</v>
      </c>
      <c r="H1026" s="650">
        <v>0</v>
      </c>
      <c r="I1026" s="651">
        <v>1.5</v>
      </c>
      <c r="J1026" s="651">
        <v>0</v>
      </c>
      <c r="K1026" s="651">
        <v>1.5</v>
      </c>
    </row>
    <row r="1027" spans="1:11">
      <c r="A1027" s="654" t="s">
        <v>6819</v>
      </c>
      <c r="B1027" s="654" t="s">
        <v>1016</v>
      </c>
      <c r="C1027" s="655">
        <v>1393404924</v>
      </c>
      <c r="D1027" s="655">
        <v>1382726764</v>
      </c>
      <c r="E1027" s="655">
        <v>1393404924</v>
      </c>
      <c r="F1027" s="655">
        <v>1382726764</v>
      </c>
      <c r="G1027" s="655">
        <v>10678160</v>
      </c>
      <c r="H1027" s="650">
        <v>0</v>
      </c>
      <c r="I1027" s="651">
        <v>1.5</v>
      </c>
      <c r="J1027" s="651">
        <v>0.13</v>
      </c>
      <c r="K1027" s="651">
        <v>1.63</v>
      </c>
    </row>
    <row r="1028" spans="1:11">
      <c r="A1028" s="654" t="s">
        <v>6820</v>
      </c>
      <c r="B1028" s="654" t="s">
        <v>1017</v>
      </c>
      <c r="C1028" s="655">
        <v>475313726</v>
      </c>
      <c r="D1028" s="655">
        <v>471109117</v>
      </c>
      <c r="E1028" s="655">
        <v>473546111</v>
      </c>
      <c r="F1028" s="655">
        <v>469341502</v>
      </c>
      <c r="G1028" s="655">
        <v>4204609</v>
      </c>
      <c r="H1028" s="655">
        <v>1767615</v>
      </c>
      <c r="I1028" s="651">
        <v>1.321</v>
      </c>
      <c r="J1028" s="651">
        <v>0.17899999999999999</v>
      </c>
      <c r="K1028" s="651">
        <v>1.5</v>
      </c>
    </row>
    <row r="1029" spans="1:11">
      <c r="A1029" s="654" t="s">
        <v>6821</v>
      </c>
      <c r="B1029" s="654" t="s">
        <v>4965</v>
      </c>
      <c r="C1029" s="655">
        <v>473176875</v>
      </c>
      <c r="D1029" s="655">
        <v>439919937</v>
      </c>
      <c r="E1029" s="655">
        <v>473176875</v>
      </c>
      <c r="F1029" s="655">
        <v>439919937</v>
      </c>
      <c r="G1029" s="655">
        <v>33256938</v>
      </c>
      <c r="H1029" s="650">
        <v>0</v>
      </c>
      <c r="I1029" s="651">
        <v>1.4</v>
      </c>
      <c r="J1029" s="651">
        <v>6.9389999999999993E-2</v>
      </c>
      <c r="K1029" s="651">
        <v>1.46939</v>
      </c>
    </row>
    <row r="1030" spans="1:11">
      <c r="A1030" s="654" t="s">
        <v>6822</v>
      </c>
      <c r="B1030" s="654" t="s">
        <v>1018</v>
      </c>
      <c r="C1030" s="655">
        <v>35263636</v>
      </c>
      <c r="D1030" s="655">
        <v>33335624</v>
      </c>
      <c r="E1030" s="655">
        <v>35263636</v>
      </c>
      <c r="F1030" s="655">
        <v>33335624</v>
      </c>
      <c r="G1030" s="655">
        <v>1928012</v>
      </c>
      <c r="H1030" s="650">
        <v>0</v>
      </c>
      <c r="I1030" s="651">
        <v>1.5</v>
      </c>
      <c r="J1030" s="651">
        <v>0</v>
      </c>
      <c r="K1030" s="651">
        <v>1.5</v>
      </c>
    </row>
    <row r="1031" spans="1:11">
      <c r="A1031" s="654" t="s">
        <v>6823</v>
      </c>
      <c r="B1031" s="654" t="s">
        <v>3835</v>
      </c>
      <c r="C1031" s="655">
        <v>108574604</v>
      </c>
      <c r="D1031" s="655">
        <v>99398895</v>
      </c>
      <c r="E1031" s="655">
        <v>108574604</v>
      </c>
      <c r="F1031" s="655">
        <v>99398895</v>
      </c>
      <c r="G1031" s="655">
        <v>9175709</v>
      </c>
      <c r="H1031" s="650">
        <v>0</v>
      </c>
      <c r="I1031" s="651">
        <v>1.5</v>
      </c>
      <c r="J1031" s="651">
        <v>0.1573</v>
      </c>
      <c r="K1031" s="651">
        <v>1.6573</v>
      </c>
    </row>
    <row r="1032" spans="1:11">
      <c r="A1032" s="654" t="s">
        <v>6824</v>
      </c>
      <c r="B1032" s="654" t="s">
        <v>1019</v>
      </c>
      <c r="C1032" s="655">
        <v>1949570817</v>
      </c>
      <c r="D1032" s="655">
        <v>1921882629</v>
      </c>
      <c r="E1032" s="655">
        <v>1939988518</v>
      </c>
      <c r="F1032" s="655">
        <v>1912300330</v>
      </c>
      <c r="G1032" s="655">
        <v>27688188</v>
      </c>
      <c r="H1032" s="655">
        <v>9582299</v>
      </c>
      <c r="I1032" s="651">
        <v>1.5</v>
      </c>
      <c r="J1032" s="651">
        <v>0</v>
      </c>
      <c r="K1032" s="651">
        <v>1.5</v>
      </c>
    </row>
    <row r="1033" spans="1:11">
      <c r="A1033" s="654" t="s">
        <v>6825</v>
      </c>
      <c r="B1033" s="654" t="s">
        <v>989</v>
      </c>
      <c r="C1033" s="655">
        <v>151127209</v>
      </c>
      <c r="D1033" s="655">
        <v>138515607</v>
      </c>
      <c r="E1033" s="655">
        <v>151127209</v>
      </c>
      <c r="F1033" s="655">
        <v>138515607</v>
      </c>
      <c r="G1033" s="655">
        <v>12611602</v>
      </c>
      <c r="H1033" s="650">
        <v>0</v>
      </c>
      <c r="I1033" s="651">
        <v>1.48</v>
      </c>
      <c r="J1033" s="651">
        <v>0.17</v>
      </c>
      <c r="K1033" s="651">
        <v>1.65</v>
      </c>
    </row>
    <row r="1034" spans="1:11">
      <c r="A1034" s="654" t="s">
        <v>6826</v>
      </c>
      <c r="B1034" s="654" t="s">
        <v>2154</v>
      </c>
      <c r="C1034" s="655">
        <v>36867872</v>
      </c>
      <c r="D1034" s="655">
        <v>34009899</v>
      </c>
      <c r="E1034" s="655">
        <v>36867872</v>
      </c>
      <c r="F1034" s="655">
        <v>34009899</v>
      </c>
      <c r="G1034" s="655">
        <v>2857973</v>
      </c>
      <c r="H1034" s="650">
        <v>0</v>
      </c>
      <c r="I1034" s="651">
        <v>1.44</v>
      </c>
      <c r="J1034" s="651">
        <v>0.14000000000000001</v>
      </c>
      <c r="K1034" s="651">
        <v>1.58</v>
      </c>
    </row>
  </sheetData>
  <phoneticPr fontId="33" type="noConversion"/>
  <pageMargins left="0.75" right="0.75" top="1" bottom="1" header="0.5" footer="0.5"/>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sheetPr>
  <dimension ref="A1:P20"/>
  <sheetViews>
    <sheetView tabSelected="1" workbookViewId="0">
      <selection activeCell="A17" sqref="A17"/>
    </sheetView>
  </sheetViews>
  <sheetFormatPr defaultRowHeight="13.2"/>
  <sheetData>
    <row r="1" spans="1:16" ht="31.5" customHeight="1">
      <c r="G1" s="683" t="s">
        <v>6535</v>
      </c>
    </row>
    <row r="2" spans="1:16" ht="22.5" customHeight="1">
      <c r="A2" s="685" t="s">
        <v>3923</v>
      </c>
      <c r="B2" s="686"/>
      <c r="C2" s="686"/>
      <c r="D2" s="686"/>
      <c r="E2" s="686"/>
      <c r="F2" s="686"/>
      <c r="G2" s="686"/>
      <c r="H2" s="686"/>
      <c r="I2" s="686"/>
      <c r="J2" s="686"/>
      <c r="K2" s="686"/>
      <c r="L2" s="686"/>
    </row>
    <row r="3" spans="1:16" ht="17.399999999999999">
      <c r="A3" s="684" t="s">
        <v>3924</v>
      </c>
      <c r="B3" s="686"/>
      <c r="C3" s="686"/>
      <c r="D3" s="686"/>
      <c r="E3" s="686"/>
      <c r="F3" s="686"/>
      <c r="G3" s="686"/>
      <c r="H3" s="686"/>
      <c r="I3" s="686"/>
      <c r="J3" s="686"/>
      <c r="K3" s="686"/>
      <c r="L3" s="686"/>
    </row>
    <row r="4" spans="1:16" ht="17.399999999999999">
      <c r="A4" s="684" t="s">
        <v>8284</v>
      </c>
      <c r="B4" s="686"/>
      <c r="C4" s="686"/>
      <c r="D4" s="686"/>
      <c r="E4" s="686"/>
      <c r="F4" s="686"/>
      <c r="G4" s="686"/>
      <c r="H4" s="686"/>
      <c r="I4" s="686"/>
      <c r="J4" s="686"/>
      <c r="K4" s="686"/>
      <c r="L4" s="686"/>
    </row>
    <row r="5" spans="1:16" ht="22.5" customHeight="1">
      <c r="A5" s="688"/>
      <c r="B5" s="688"/>
      <c r="C5" s="688"/>
      <c r="D5" s="688"/>
      <c r="E5" s="688"/>
      <c r="F5" s="688"/>
      <c r="G5" s="688"/>
      <c r="H5" s="688"/>
      <c r="I5" s="688"/>
      <c r="J5" s="688"/>
      <c r="K5" s="688"/>
      <c r="L5" s="688"/>
      <c r="M5" s="688"/>
      <c r="N5" s="688"/>
      <c r="O5" s="688"/>
      <c r="P5" s="688"/>
    </row>
    <row r="6" spans="1:16" ht="22.5" customHeight="1">
      <c r="A6" s="684" t="s">
        <v>8289</v>
      </c>
      <c r="B6" s="684"/>
      <c r="C6" s="684"/>
      <c r="D6" s="684"/>
      <c r="E6" s="684"/>
      <c r="F6" s="684"/>
      <c r="G6" s="684"/>
      <c r="H6" s="684"/>
      <c r="I6" s="684"/>
      <c r="J6" s="684"/>
      <c r="K6" s="684"/>
      <c r="L6" s="684"/>
      <c r="M6" s="684"/>
      <c r="N6" s="684"/>
      <c r="O6" s="684"/>
    </row>
    <row r="7" spans="1:16" ht="22.5" customHeight="1">
      <c r="A7" s="684" t="s">
        <v>8288</v>
      </c>
      <c r="B7" s="684"/>
      <c r="C7" s="684"/>
      <c r="D7" s="684"/>
      <c r="E7" s="684"/>
      <c r="F7" s="684"/>
      <c r="G7" s="684"/>
      <c r="H7" s="684"/>
      <c r="I7" s="684"/>
      <c r="J7" s="684"/>
      <c r="K7" s="684"/>
      <c r="L7" s="684"/>
      <c r="M7" s="684"/>
      <c r="N7" s="684"/>
      <c r="O7" s="684"/>
    </row>
    <row r="8" spans="1:16" ht="22.5" customHeight="1">
      <c r="A8" s="684" t="s">
        <v>8291</v>
      </c>
      <c r="B8" s="684"/>
      <c r="C8" s="684"/>
      <c r="D8" s="684"/>
      <c r="E8" s="684"/>
      <c r="F8" s="684"/>
      <c r="G8" s="684"/>
      <c r="H8" s="684"/>
      <c r="I8" s="684"/>
      <c r="J8" s="684"/>
      <c r="K8" s="684"/>
      <c r="L8" s="684"/>
      <c r="M8" s="684"/>
      <c r="N8" s="684"/>
      <c r="O8" s="684"/>
    </row>
    <row r="9" spans="1:16" ht="22.5" customHeight="1">
      <c r="A9" s="688"/>
      <c r="B9" s="688"/>
      <c r="C9" s="688"/>
      <c r="D9" s="688"/>
      <c r="E9" s="688"/>
      <c r="F9" s="688"/>
      <c r="G9" s="688"/>
      <c r="H9" s="688"/>
      <c r="I9" s="688"/>
      <c r="J9" s="688"/>
      <c r="K9" s="688"/>
      <c r="L9" s="688"/>
      <c r="M9" s="688"/>
      <c r="N9" s="688"/>
      <c r="O9" s="688"/>
      <c r="P9" s="688"/>
    </row>
    <row r="10" spans="1:16" ht="17.399999999999999">
      <c r="A10" s="684" t="s">
        <v>8290</v>
      </c>
    </row>
    <row r="11" spans="1:16" ht="17.399999999999999">
      <c r="A11" s="687" t="s">
        <v>8285</v>
      </c>
    </row>
    <row r="12" spans="1:16" s="684" customFormat="1" ht="17.399999999999999">
      <c r="A12" s="687" t="s">
        <v>8286</v>
      </c>
    </row>
    <row r="13" spans="1:16" s="684" customFormat="1" ht="17.399999999999999">
      <c r="A13" s="687" t="s">
        <v>8287</v>
      </c>
    </row>
    <row r="14" spans="1:16" ht="22.5" customHeight="1">
      <c r="A14" s="688"/>
      <c r="B14" s="688"/>
      <c r="C14" s="688"/>
      <c r="D14" s="688"/>
      <c r="E14" s="688"/>
      <c r="F14" s="688"/>
      <c r="G14" s="688"/>
      <c r="H14" s="688"/>
      <c r="I14" s="688"/>
      <c r="J14" s="688"/>
      <c r="K14" s="688"/>
      <c r="L14" s="688"/>
      <c r="M14" s="688"/>
      <c r="N14" s="688"/>
      <c r="O14" s="688"/>
      <c r="P14" s="688"/>
    </row>
    <row r="15" spans="1:16" ht="18" customHeight="1">
      <c r="A15" s="795" t="s">
        <v>3316</v>
      </c>
      <c r="B15" s="212"/>
      <c r="C15" s="212"/>
      <c r="D15" s="212"/>
      <c r="E15" s="212"/>
      <c r="F15" s="212"/>
      <c r="G15" s="212"/>
      <c r="H15" s="212"/>
      <c r="I15" s="212"/>
      <c r="J15" s="470"/>
      <c r="K15" s="470"/>
      <c r="L15" s="470"/>
      <c r="M15" s="470"/>
      <c r="N15" s="470"/>
    </row>
    <row r="16" spans="1:16" s="684" customFormat="1" ht="17.399999999999999">
      <c r="A16" s="691" t="s">
        <v>8307</v>
      </c>
      <c r="B16" s="691"/>
      <c r="C16" s="691"/>
      <c r="D16" s="691"/>
      <c r="E16" s="691"/>
      <c r="F16" s="691"/>
      <c r="G16" s="691"/>
      <c r="H16" s="691"/>
      <c r="I16" s="691"/>
    </row>
    <row r="17" spans="1:9" s="684" customFormat="1" ht="17.399999999999999">
      <c r="A17" s="691" t="s">
        <v>8304</v>
      </c>
      <c r="B17" s="691"/>
      <c r="C17" s="691"/>
      <c r="D17" s="691"/>
      <c r="E17" s="691"/>
      <c r="F17" s="691"/>
      <c r="G17" s="691"/>
      <c r="H17" s="691"/>
      <c r="I17" s="691"/>
    </row>
    <row r="18" spans="1:9" s="684" customFormat="1" ht="17.399999999999999">
      <c r="A18" s="691" t="s">
        <v>8305</v>
      </c>
      <c r="B18" s="691"/>
      <c r="C18" s="691"/>
      <c r="D18" s="691"/>
      <c r="E18" s="691"/>
      <c r="F18" s="691"/>
      <c r="G18" s="691"/>
      <c r="H18" s="691"/>
      <c r="I18" s="691"/>
    </row>
    <row r="19" spans="1:9" s="684" customFormat="1" ht="17.399999999999999">
      <c r="A19" s="600"/>
      <c r="B19" s="691"/>
      <c r="C19" s="691"/>
      <c r="D19" s="691"/>
      <c r="E19" s="691"/>
      <c r="F19" s="691"/>
      <c r="G19" s="691"/>
      <c r="H19" s="691"/>
      <c r="I19" s="691"/>
    </row>
    <row r="20" spans="1:9" s="239" customFormat="1" ht="12.75" customHeight="1">
      <c r="A20"/>
    </row>
  </sheetData>
  <phoneticPr fontId="33" type="noConversion"/>
  <pageMargins left="0.75" right="0.75" top="1" bottom="1" header="0.5" footer="0.5"/>
  <pageSetup orientation="landscape"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T1243"/>
  <sheetViews>
    <sheetView workbookViewId="0">
      <selection activeCell="A2" sqref="A2"/>
    </sheetView>
  </sheetViews>
  <sheetFormatPr defaultRowHeight="13.2"/>
  <cols>
    <col min="1" max="1" width="14.44140625" style="962" customWidth="1"/>
    <col min="2" max="2" width="15.77734375" style="972" bestFit="1" customWidth="1"/>
    <col min="3" max="3" width="24.44140625" style="972" bestFit="1" customWidth="1"/>
    <col min="4" max="4" width="24.21875" style="972" bestFit="1" customWidth="1"/>
    <col min="5" max="5" width="24.5546875" style="972" bestFit="1" customWidth="1"/>
    <col min="6" max="6" width="18.44140625" style="972" bestFit="1" customWidth="1"/>
    <col min="7" max="7" width="24.77734375" style="972" bestFit="1" customWidth="1"/>
    <col min="8" max="8" width="22" style="972" bestFit="1" customWidth="1"/>
    <col min="9" max="9" width="22.21875" style="972" bestFit="1" customWidth="1"/>
    <col min="10" max="10" width="25.21875" style="972" customWidth="1"/>
    <col min="11" max="11" width="25" style="972" bestFit="1" customWidth="1"/>
    <col min="12" max="12" width="23.5546875" style="972" bestFit="1" customWidth="1"/>
    <col min="13" max="13" width="23.44140625" style="972" bestFit="1" customWidth="1"/>
    <col min="14" max="14" width="23.5546875" style="972" bestFit="1" customWidth="1"/>
    <col min="15" max="15" width="18.21875" style="972" bestFit="1" customWidth="1"/>
    <col min="16" max="16" width="17.77734375" style="972" bestFit="1" customWidth="1"/>
    <col min="17" max="17" width="15.77734375" style="972" bestFit="1" customWidth="1"/>
    <col min="18" max="18" width="20.21875" style="962" bestFit="1" customWidth="1"/>
    <col min="19" max="19" width="12.21875" style="962" bestFit="1" customWidth="1"/>
    <col min="20" max="20" width="21.44140625" style="972" bestFit="1" customWidth="1"/>
    <col min="21" max="256" width="9.21875" style="962"/>
    <col min="257" max="257" width="14.44140625" style="962" customWidth="1"/>
    <col min="258" max="258" width="15.77734375" style="962" bestFit="1" customWidth="1"/>
    <col min="259" max="259" width="24.44140625" style="962" bestFit="1" customWidth="1"/>
    <col min="260" max="260" width="24.21875" style="962" bestFit="1" customWidth="1"/>
    <col min="261" max="261" width="24.5546875" style="962" bestFit="1" customWidth="1"/>
    <col min="262" max="262" width="18.44140625" style="962" bestFit="1" customWidth="1"/>
    <col min="263" max="263" width="24.77734375" style="962" bestFit="1" customWidth="1"/>
    <col min="264" max="264" width="22" style="962" bestFit="1" customWidth="1"/>
    <col min="265" max="265" width="22.21875" style="962" bestFit="1" customWidth="1"/>
    <col min="266" max="266" width="25.21875" style="962" customWidth="1"/>
    <col min="267" max="267" width="25" style="962" bestFit="1" customWidth="1"/>
    <col min="268" max="268" width="23.5546875" style="962" bestFit="1" customWidth="1"/>
    <col min="269" max="269" width="23.44140625" style="962" bestFit="1" customWidth="1"/>
    <col min="270" max="270" width="23.5546875" style="962" bestFit="1" customWidth="1"/>
    <col min="271" max="271" width="18.21875" style="962" bestFit="1" customWidth="1"/>
    <col min="272" max="272" width="17.77734375" style="962" bestFit="1" customWidth="1"/>
    <col min="273" max="273" width="15.77734375" style="962" bestFit="1" customWidth="1"/>
    <col min="274" max="274" width="20.21875" style="962" bestFit="1" customWidth="1"/>
    <col min="275" max="275" width="12.21875" style="962" bestFit="1" customWidth="1"/>
    <col min="276" max="276" width="21.44140625" style="962" bestFit="1" customWidth="1"/>
    <col min="277" max="512" width="9.21875" style="962"/>
    <col min="513" max="513" width="14.44140625" style="962" customWidth="1"/>
    <col min="514" max="514" width="15.77734375" style="962" bestFit="1" customWidth="1"/>
    <col min="515" max="515" width="24.44140625" style="962" bestFit="1" customWidth="1"/>
    <col min="516" max="516" width="24.21875" style="962" bestFit="1" customWidth="1"/>
    <col min="517" max="517" width="24.5546875" style="962" bestFit="1" customWidth="1"/>
    <col min="518" max="518" width="18.44140625" style="962" bestFit="1" customWidth="1"/>
    <col min="519" max="519" width="24.77734375" style="962" bestFit="1" customWidth="1"/>
    <col min="520" max="520" width="22" style="962" bestFit="1" customWidth="1"/>
    <col min="521" max="521" width="22.21875" style="962" bestFit="1" customWidth="1"/>
    <col min="522" max="522" width="25.21875" style="962" customWidth="1"/>
    <col min="523" max="523" width="25" style="962" bestFit="1" customWidth="1"/>
    <col min="524" max="524" width="23.5546875" style="962" bestFit="1" customWidth="1"/>
    <col min="525" max="525" width="23.44140625" style="962" bestFit="1" customWidth="1"/>
    <col min="526" max="526" width="23.5546875" style="962" bestFit="1" customWidth="1"/>
    <col min="527" max="527" width="18.21875" style="962" bestFit="1" customWidth="1"/>
    <col min="528" max="528" width="17.77734375" style="962" bestFit="1" customWidth="1"/>
    <col min="529" max="529" width="15.77734375" style="962" bestFit="1" customWidth="1"/>
    <col min="530" max="530" width="20.21875" style="962" bestFit="1" customWidth="1"/>
    <col min="531" max="531" width="12.21875" style="962" bestFit="1" customWidth="1"/>
    <col min="532" max="532" width="21.44140625" style="962" bestFit="1" customWidth="1"/>
    <col min="533" max="768" width="9.21875" style="962"/>
    <col min="769" max="769" width="14.44140625" style="962" customWidth="1"/>
    <col min="770" max="770" width="15.77734375" style="962" bestFit="1" customWidth="1"/>
    <col min="771" max="771" width="24.44140625" style="962" bestFit="1" customWidth="1"/>
    <col min="772" max="772" width="24.21875" style="962" bestFit="1" customWidth="1"/>
    <col min="773" max="773" width="24.5546875" style="962" bestFit="1" customWidth="1"/>
    <col min="774" max="774" width="18.44140625" style="962" bestFit="1" customWidth="1"/>
    <col min="775" max="775" width="24.77734375" style="962" bestFit="1" customWidth="1"/>
    <col min="776" max="776" width="22" style="962" bestFit="1" customWidth="1"/>
    <col min="777" max="777" width="22.21875" style="962" bestFit="1" customWidth="1"/>
    <col min="778" max="778" width="25.21875" style="962" customWidth="1"/>
    <col min="779" max="779" width="25" style="962" bestFit="1" customWidth="1"/>
    <col min="780" max="780" width="23.5546875" style="962" bestFit="1" customWidth="1"/>
    <col min="781" max="781" width="23.44140625" style="962" bestFit="1" customWidth="1"/>
    <col min="782" max="782" width="23.5546875" style="962" bestFit="1" customWidth="1"/>
    <col min="783" max="783" width="18.21875" style="962" bestFit="1" customWidth="1"/>
    <col min="784" max="784" width="17.77734375" style="962" bestFit="1" customWidth="1"/>
    <col min="785" max="785" width="15.77734375" style="962" bestFit="1" customWidth="1"/>
    <col min="786" max="786" width="20.21875" style="962" bestFit="1" customWidth="1"/>
    <col min="787" max="787" width="12.21875" style="962" bestFit="1" customWidth="1"/>
    <col min="788" max="788" width="21.44140625" style="962" bestFit="1" customWidth="1"/>
    <col min="789" max="1024" width="9.21875" style="962"/>
    <col min="1025" max="1025" width="14.44140625" style="962" customWidth="1"/>
    <col min="1026" max="1026" width="15.77734375" style="962" bestFit="1" customWidth="1"/>
    <col min="1027" max="1027" width="24.44140625" style="962" bestFit="1" customWidth="1"/>
    <col min="1028" max="1028" width="24.21875" style="962" bestFit="1" customWidth="1"/>
    <col min="1029" max="1029" width="24.5546875" style="962" bestFit="1" customWidth="1"/>
    <col min="1030" max="1030" width="18.44140625" style="962" bestFit="1" customWidth="1"/>
    <col min="1031" max="1031" width="24.77734375" style="962" bestFit="1" customWidth="1"/>
    <col min="1032" max="1032" width="22" style="962" bestFit="1" customWidth="1"/>
    <col min="1033" max="1033" width="22.21875" style="962" bestFit="1" customWidth="1"/>
    <col min="1034" max="1034" width="25.21875" style="962" customWidth="1"/>
    <col min="1035" max="1035" width="25" style="962" bestFit="1" customWidth="1"/>
    <col min="1036" max="1036" width="23.5546875" style="962" bestFit="1" customWidth="1"/>
    <col min="1037" max="1037" width="23.44140625" style="962" bestFit="1" customWidth="1"/>
    <col min="1038" max="1038" width="23.5546875" style="962" bestFit="1" customWidth="1"/>
    <col min="1039" max="1039" width="18.21875" style="962" bestFit="1" customWidth="1"/>
    <col min="1040" max="1040" width="17.77734375" style="962" bestFit="1" customWidth="1"/>
    <col min="1041" max="1041" width="15.77734375" style="962" bestFit="1" customWidth="1"/>
    <col min="1042" max="1042" width="20.21875" style="962" bestFit="1" customWidth="1"/>
    <col min="1043" max="1043" width="12.21875" style="962" bestFit="1" customWidth="1"/>
    <col min="1044" max="1044" width="21.44140625" style="962" bestFit="1" customWidth="1"/>
    <col min="1045" max="1280" width="9.21875" style="962"/>
    <col min="1281" max="1281" width="14.44140625" style="962" customWidth="1"/>
    <col min="1282" max="1282" width="15.77734375" style="962" bestFit="1" customWidth="1"/>
    <col min="1283" max="1283" width="24.44140625" style="962" bestFit="1" customWidth="1"/>
    <col min="1284" max="1284" width="24.21875" style="962" bestFit="1" customWidth="1"/>
    <col min="1285" max="1285" width="24.5546875" style="962" bestFit="1" customWidth="1"/>
    <col min="1286" max="1286" width="18.44140625" style="962" bestFit="1" customWidth="1"/>
    <col min="1287" max="1287" width="24.77734375" style="962" bestFit="1" customWidth="1"/>
    <col min="1288" max="1288" width="22" style="962" bestFit="1" customWidth="1"/>
    <col min="1289" max="1289" width="22.21875" style="962" bestFit="1" customWidth="1"/>
    <col min="1290" max="1290" width="25.21875" style="962" customWidth="1"/>
    <col min="1291" max="1291" width="25" style="962" bestFit="1" customWidth="1"/>
    <col min="1292" max="1292" width="23.5546875" style="962" bestFit="1" customWidth="1"/>
    <col min="1293" max="1293" width="23.44140625" style="962" bestFit="1" customWidth="1"/>
    <col min="1294" max="1294" width="23.5546875" style="962" bestFit="1" customWidth="1"/>
    <col min="1295" max="1295" width="18.21875" style="962" bestFit="1" customWidth="1"/>
    <col min="1296" max="1296" width="17.77734375" style="962" bestFit="1" customWidth="1"/>
    <col min="1297" max="1297" width="15.77734375" style="962" bestFit="1" customWidth="1"/>
    <col min="1298" max="1298" width="20.21875" style="962" bestFit="1" customWidth="1"/>
    <col min="1299" max="1299" width="12.21875" style="962" bestFit="1" customWidth="1"/>
    <col min="1300" max="1300" width="21.44140625" style="962" bestFit="1" customWidth="1"/>
    <col min="1301" max="1536" width="9.21875" style="962"/>
    <col min="1537" max="1537" width="14.44140625" style="962" customWidth="1"/>
    <col min="1538" max="1538" width="15.77734375" style="962" bestFit="1" customWidth="1"/>
    <col min="1539" max="1539" width="24.44140625" style="962" bestFit="1" customWidth="1"/>
    <col min="1540" max="1540" width="24.21875" style="962" bestFit="1" customWidth="1"/>
    <col min="1541" max="1541" width="24.5546875" style="962" bestFit="1" customWidth="1"/>
    <col min="1542" max="1542" width="18.44140625" style="962" bestFit="1" customWidth="1"/>
    <col min="1543" max="1543" width="24.77734375" style="962" bestFit="1" customWidth="1"/>
    <col min="1544" max="1544" width="22" style="962" bestFit="1" customWidth="1"/>
    <col min="1545" max="1545" width="22.21875" style="962" bestFit="1" customWidth="1"/>
    <col min="1546" max="1546" width="25.21875" style="962" customWidth="1"/>
    <col min="1547" max="1547" width="25" style="962" bestFit="1" customWidth="1"/>
    <col min="1548" max="1548" width="23.5546875" style="962" bestFit="1" customWidth="1"/>
    <col min="1549" max="1549" width="23.44140625" style="962" bestFit="1" customWidth="1"/>
    <col min="1550" max="1550" width="23.5546875" style="962" bestFit="1" customWidth="1"/>
    <col min="1551" max="1551" width="18.21875" style="962" bestFit="1" customWidth="1"/>
    <col min="1552" max="1552" width="17.77734375" style="962" bestFit="1" customWidth="1"/>
    <col min="1553" max="1553" width="15.77734375" style="962" bestFit="1" customWidth="1"/>
    <col min="1554" max="1554" width="20.21875" style="962" bestFit="1" customWidth="1"/>
    <col min="1555" max="1555" width="12.21875" style="962" bestFit="1" customWidth="1"/>
    <col min="1556" max="1556" width="21.44140625" style="962" bestFit="1" customWidth="1"/>
    <col min="1557" max="1792" width="9.21875" style="962"/>
    <col min="1793" max="1793" width="14.44140625" style="962" customWidth="1"/>
    <col min="1794" max="1794" width="15.77734375" style="962" bestFit="1" customWidth="1"/>
    <col min="1795" max="1795" width="24.44140625" style="962" bestFit="1" customWidth="1"/>
    <col min="1796" max="1796" width="24.21875" style="962" bestFit="1" customWidth="1"/>
    <col min="1797" max="1797" width="24.5546875" style="962" bestFit="1" customWidth="1"/>
    <col min="1798" max="1798" width="18.44140625" style="962" bestFit="1" customWidth="1"/>
    <col min="1799" max="1799" width="24.77734375" style="962" bestFit="1" customWidth="1"/>
    <col min="1800" max="1800" width="22" style="962" bestFit="1" customWidth="1"/>
    <col min="1801" max="1801" width="22.21875" style="962" bestFit="1" customWidth="1"/>
    <col min="1802" max="1802" width="25.21875" style="962" customWidth="1"/>
    <col min="1803" max="1803" width="25" style="962" bestFit="1" customWidth="1"/>
    <col min="1804" max="1804" width="23.5546875" style="962" bestFit="1" customWidth="1"/>
    <col min="1805" max="1805" width="23.44140625" style="962" bestFit="1" customWidth="1"/>
    <col min="1806" max="1806" width="23.5546875" style="962" bestFit="1" customWidth="1"/>
    <col min="1807" max="1807" width="18.21875" style="962" bestFit="1" customWidth="1"/>
    <col min="1808" max="1808" width="17.77734375" style="962" bestFit="1" customWidth="1"/>
    <col min="1809" max="1809" width="15.77734375" style="962" bestFit="1" customWidth="1"/>
    <col min="1810" max="1810" width="20.21875" style="962" bestFit="1" customWidth="1"/>
    <col min="1811" max="1811" width="12.21875" style="962" bestFit="1" customWidth="1"/>
    <col min="1812" max="1812" width="21.44140625" style="962" bestFit="1" customWidth="1"/>
    <col min="1813" max="2048" width="9.21875" style="962"/>
    <col min="2049" max="2049" width="14.44140625" style="962" customWidth="1"/>
    <col min="2050" max="2050" width="15.77734375" style="962" bestFit="1" customWidth="1"/>
    <col min="2051" max="2051" width="24.44140625" style="962" bestFit="1" customWidth="1"/>
    <col min="2052" max="2052" width="24.21875" style="962" bestFit="1" customWidth="1"/>
    <col min="2053" max="2053" width="24.5546875" style="962" bestFit="1" customWidth="1"/>
    <col min="2054" max="2054" width="18.44140625" style="962" bestFit="1" customWidth="1"/>
    <col min="2055" max="2055" width="24.77734375" style="962" bestFit="1" customWidth="1"/>
    <col min="2056" max="2056" width="22" style="962" bestFit="1" customWidth="1"/>
    <col min="2057" max="2057" width="22.21875" style="962" bestFit="1" customWidth="1"/>
    <col min="2058" max="2058" width="25.21875" style="962" customWidth="1"/>
    <col min="2059" max="2059" width="25" style="962" bestFit="1" customWidth="1"/>
    <col min="2060" max="2060" width="23.5546875" style="962" bestFit="1" customWidth="1"/>
    <col min="2061" max="2061" width="23.44140625" style="962" bestFit="1" customWidth="1"/>
    <col min="2062" max="2062" width="23.5546875" style="962" bestFit="1" customWidth="1"/>
    <col min="2063" max="2063" width="18.21875" style="962" bestFit="1" customWidth="1"/>
    <col min="2064" max="2064" width="17.77734375" style="962" bestFit="1" customWidth="1"/>
    <col min="2065" max="2065" width="15.77734375" style="962" bestFit="1" customWidth="1"/>
    <col min="2066" max="2066" width="20.21875" style="962" bestFit="1" customWidth="1"/>
    <col min="2067" max="2067" width="12.21875" style="962" bestFit="1" customWidth="1"/>
    <col min="2068" max="2068" width="21.44140625" style="962" bestFit="1" customWidth="1"/>
    <col min="2069" max="2304" width="9.21875" style="962"/>
    <col min="2305" max="2305" width="14.44140625" style="962" customWidth="1"/>
    <col min="2306" max="2306" width="15.77734375" style="962" bestFit="1" customWidth="1"/>
    <col min="2307" max="2307" width="24.44140625" style="962" bestFit="1" customWidth="1"/>
    <col min="2308" max="2308" width="24.21875" style="962" bestFit="1" customWidth="1"/>
    <col min="2309" max="2309" width="24.5546875" style="962" bestFit="1" customWidth="1"/>
    <col min="2310" max="2310" width="18.44140625" style="962" bestFit="1" customWidth="1"/>
    <col min="2311" max="2311" width="24.77734375" style="962" bestFit="1" customWidth="1"/>
    <col min="2312" max="2312" width="22" style="962" bestFit="1" customWidth="1"/>
    <col min="2313" max="2313" width="22.21875" style="962" bestFit="1" customWidth="1"/>
    <col min="2314" max="2314" width="25.21875" style="962" customWidth="1"/>
    <col min="2315" max="2315" width="25" style="962" bestFit="1" customWidth="1"/>
    <col min="2316" max="2316" width="23.5546875" style="962" bestFit="1" customWidth="1"/>
    <col min="2317" max="2317" width="23.44140625" style="962" bestFit="1" customWidth="1"/>
    <col min="2318" max="2318" width="23.5546875" style="962" bestFit="1" customWidth="1"/>
    <col min="2319" max="2319" width="18.21875" style="962" bestFit="1" customWidth="1"/>
    <col min="2320" max="2320" width="17.77734375" style="962" bestFit="1" customWidth="1"/>
    <col min="2321" max="2321" width="15.77734375" style="962" bestFit="1" customWidth="1"/>
    <col min="2322" max="2322" width="20.21875" style="962" bestFit="1" customWidth="1"/>
    <col min="2323" max="2323" width="12.21875" style="962" bestFit="1" customWidth="1"/>
    <col min="2324" max="2324" width="21.44140625" style="962" bestFit="1" customWidth="1"/>
    <col min="2325" max="2560" width="9.21875" style="962"/>
    <col min="2561" max="2561" width="14.44140625" style="962" customWidth="1"/>
    <col min="2562" max="2562" width="15.77734375" style="962" bestFit="1" customWidth="1"/>
    <col min="2563" max="2563" width="24.44140625" style="962" bestFit="1" customWidth="1"/>
    <col min="2564" max="2564" width="24.21875" style="962" bestFit="1" customWidth="1"/>
    <col min="2565" max="2565" width="24.5546875" style="962" bestFit="1" customWidth="1"/>
    <col min="2566" max="2566" width="18.44140625" style="962" bestFit="1" customWidth="1"/>
    <col min="2567" max="2567" width="24.77734375" style="962" bestFit="1" customWidth="1"/>
    <col min="2568" max="2568" width="22" style="962" bestFit="1" customWidth="1"/>
    <col min="2569" max="2569" width="22.21875" style="962" bestFit="1" customWidth="1"/>
    <col min="2570" max="2570" width="25.21875" style="962" customWidth="1"/>
    <col min="2571" max="2571" width="25" style="962" bestFit="1" customWidth="1"/>
    <col min="2572" max="2572" width="23.5546875" style="962" bestFit="1" customWidth="1"/>
    <col min="2573" max="2573" width="23.44140625" style="962" bestFit="1" customWidth="1"/>
    <col min="2574" max="2574" width="23.5546875" style="962" bestFit="1" customWidth="1"/>
    <col min="2575" max="2575" width="18.21875" style="962" bestFit="1" customWidth="1"/>
    <col min="2576" max="2576" width="17.77734375" style="962" bestFit="1" customWidth="1"/>
    <col min="2577" max="2577" width="15.77734375" style="962" bestFit="1" customWidth="1"/>
    <col min="2578" max="2578" width="20.21875" style="962" bestFit="1" customWidth="1"/>
    <col min="2579" max="2579" width="12.21875" style="962" bestFit="1" customWidth="1"/>
    <col min="2580" max="2580" width="21.44140625" style="962" bestFit="1" customWidth="1"/>
    <col min="2581" max="2816" width="9.21875" style="962"/>
    <col min="2817" max="2817" width="14.44140625" style="962" customWidth="1"/>
    <col min="2818" max="2818" width="15.77734375" style="962" bestFit="1" customWidth="1"/>
    <col min="2819" max="2819" width="24.44140625" style="962" bestFit="1" customWidth="1"/>
    <col min="2820" max="2820" width="24.21875" style="962" bestFit="1" customWidth="1"/>
    <col min="2821" max="2821" width="24.5546875" style="962" bestFit="1" customWidth="1"/>
    <col min="2822" max="2822" width="18.44140625" style="962" bestFit="1" customWidth="1"/>
    <col min="2823" max="2823" width="24.77734375" style="962" bestFit="1" customWidth="1"/>
    <col min="2824" max="2824" width="22" style="962" bestFit="1" customWidth="1"/>
    <col min="2825" max="2825" width="22.21875" style="962" bestFit="1" customWidth="1"/>
    <col min="2826" max="2826" width="25.21875" style="962" customWidth="1"/>
    <col min="2827" max="2827" width="25" style="962" bestFit="1" customWidth="1"/>
    <col min="2828" max="2828" width="23.5546875" style="962" bestFit="1" customWidth="1"/>
    <col min="2829" max="2829" width="23.44140625" style="962" bestFit="1" customWidth="1"/>
    <col min="2830" max="2830" width="23.5546875" style="962" bestFit="1" customWidth="1"/>
    <col min="2831" max="2831" width="18.21875" style="962" bestFit="1" customWidth="1"/>
    <col min="2832" max="2832" width="17.77734375" style="962" bestFit="1" customWidth="1"/>
    <col min="2833" max="2833" width="15.77734375" style="962" bestFit="1" customWidth="1"/>
    <col min="2834" max="2834" width="20.21875" style="962" bestFit="1" customWidth="1"/>
    <col min="2835" max="2835" width="12.21875" style="962" bestFit="1" customWidth="1"/>
    <col min="2836" max="2836" width="21.44140625" style="962" bestFit="1" customWidth="1"/>
    <col min="2837" max="3072" width="9.21875" style="962"/>
    <col min="3073" max="3073" width="14.44140625" style="962" customWidth="1"/>
    <col min="3074" max="3074" width="15.77734375" style="962" bestFit="1" customWidth="1"/>
    <col min="3075" max="3075" width="24.44140625" style="962" bestFit="1" customWidth="1"/>
    <col min="3076" max="3076" width="24.21875" style="962" bestFit="1" customWidth="1"/>
    <col min="3077" max="3077" width="24.5546875" style="962" bestFit="1" customWidth="1"/>
    <col min="3078" max="3078" width="18.44140625" style="962" bestFit="1" customWidth="1"/>
    <col min="3079" max="3079" width="24.77734375" style="962" bestFit="1" customWidth="1"/>
    <col min="3080" max="3080" width="22" style="962" bestFit="1" customWidth="1"/>
    <col min="3081" max="3081" width="22.21875" style="962" bestFit="1" customWidth="1"/>
    <col min="3082" max="3082" width="25.21875" style="962" customWidth="1"/>
    <col min="3083" max="3083" width="25" style="962" bestFit="1" customWidth="1"/>
    <col min="3084" max="3084" width="23.5546875" style="962" bestFit="1" customWidth="1"/>
    <col min="3085" max="3085" width="23.44140625" style="962" bestFit="1" customWidth="1"/>
    <col min="3086" max="3086" width="23.5546875" style="962" bestFit="1" customWidth="1"/>
    <col min="3087" max="3087" width="18.21875" style="962" bestFit="1" customWidth="1"/>
    <col min="3088" max="3088" width="17.77734375" style="962" bestFit="1" customWidth="1"/>
    <col min="3089" max="3089" width="15.77734375" style="962" bestFit="1" customWidth="1"/>
    <col min="3090" max="3090" width="20.21875" style="962" bestFit="1" customWidth="1"/>
    <col min="3091" max="3091" width="12.21875" style="962" bestFit="1" customWidth="1"/>
    <col min="3092" max="3092" width="21.44140625" style="962" bestFit="1" customWidth="1"/>
    <col min="3093" max="3328" width="9.21875" style="962"/>
    <col min="3329" max="3329" width="14.44140625" style="962" customWidth="1"/>
    <col min="3330" max="3330" width="15.77734375" style="962" bestFit="1" customWidth="1"/>
    <col min="3331" max="3331" width="24.44140625" style="962" bestFit="1" customWidth="1"/>
    <col min="3332" max="3332" width="24.21875" style="962" bestFit="1" customWidth="1"/>
    <col min="3333" max="3333" width="24.5546875" style="962" bestFit="1" customWidth="1"/>
    <col min="3334" max="3334" width="18.44140625" style="962" bestFit="1" customWidth="1"/>
    <col min="3335" max="3335" width="24.77734375" style="962" bestFit="1" customWidth="1"/>
    <col min="3336" max="3336" width="22" style="962" bestFit="1" customWidth="1"/>
    <col min="3337" max="3337" width="22.21875" style="962" bestFit="1" customWidth="1"/>
    <col min="3338" max="3338" width="25.21875" style="962" customWidth="1"/>
    <col min="3339" max="3339" width="25" style="962" bestFit="1" customWidth="1"/>
    <col min="3340" max="3340" width="23.5546875" style="962" bestFit="1" customWidth="1"/>
    <col min="3341" max="3341" width="23.44140625" style="962" bestFit="1" customWidth="1"/>
    <col min="3342" max="3342" width="23.5546875" style="962" bestFit="1" customWidth="1"/>
    <col min="3343" max="3343" width="18.21875" style="962" bestFit="1" customWidth="1"/>
    <col min="3344" max="3344" width="17.77734375" style="962" bestFit="1" customWidth="1"/>
    <col min="3345" max="3345" width="15.77734375" style="962" bestFit="1" customWidth="1"/>
    <col min="3346" max="3346" width="20.21875" style="962" bestFit="1" customWidth="1"/>
    <col min="3347" max="3347" width="12.21875" style="962" bestFit="1" customWidth="1"/>
    <col min="3348" max="3348" width="21.44140625" style="962" bestFit="1" customWidth="1"/>
    <col min="3349" max="3584" width="9.21875" style="962"/>
    <col min="3585" max="3585" width="14.44140625" style="962" customWidth="1"/>
    <col min="3586" max="3586" width="15.77734375" style="962" bestFit="1" customWidth="1"/>
    <col min="3587" max="3587" width="24.44140625" style="962" bestFit="1" customWidth="1"/>
    <col min="3588" max="3588" width="24.21875" style="962" bestFit="1" customWidth="1"/>
    <col min="3589" max="3589" width="24.5546875" style="962" bestFit="1" customWidth="1"/>
    <col min="3590" max="3590" width="18.44140625" style="962" bestFit="1" customWidth="1"/>
    <col min="3591" max="3591" width="24.77734375" style="962" bestFit="1" customWidth="1"/>
    <col min="3592" max="3592" width="22" style="962" bestFit="1" customWidth="1"/>
    <col min="3593" max="3593" width="22.21875" style="962" bestFit="1" customWidth="1"/>
    <col min="3594" max="3594" width="25.21875" style="962" customWidth="1"/>
    <col min="3595" max="3595" width="25" style="962" bestFit="1" customWidth="1"/>
    <col min="3596" max="3596" width="23.5546875" style="962" bestFit="1" customWidth="1"/>
    <col min="3597" max="3597" width="23.44140625" style="962" bestFit="1" customWidth="1"/>
    <col min="3598" max="3598" width="23.5546875" style="962" bestFit="1" customWidth="1"/>
    <col min="3599" max="3599" width="18.21875" style="962" bestFit="1" customWidth="1"/>
    <col min="3600" max="3600" width="17.77734375" style="962" bestFit="1" customWidth="1"/>
    <col min="3601" max="3601" width="15.77734375" style="962" bestFit="1" customWidth="1"/>
    <col min="3602" max="3602" width="20.21875" style="962" bestFit="1" customWidth="1"/>
    <col min="3603" max="3603" width="12.21875" style="962" bestFit="1" customWidth="1"/>
    <col min="3604" max="3604" width="21.44140625" style="962" bestFit="1" customWidth="1"/>
    <col min="3605" max="3840" width="9.21875" style="962"/>
    <col min="3841" max="3841" width="14.44140625" style="962" customWidth="1"/>
    <col min="3842" max="3842" width="15.77734375" style="962" bestFit="1" customWidth="1"/>
    <col min="3843" max="3843" width="24.44140625" style="962" bestFit="1" customWidth="1"/>
    <col min="3844" max="3844" width="24.21875" style="962" bestFit="1" customWidth="1"/>
    <col min="3845" max="3845" width="24.5546875" style="962" bestFit="1" customWidth="1"/>
    <col min="3846" max="3846" width="18.44140625" style="962" bestFit="1" customWidth="1"/>
    <col min="3847" max="3847" width="24.77734375" style="962" bestFit="1" customWidth="1"/>
    <col min="3848" max="3848" width="22" style="962" bestFit="1" customWidth="1"/>
    <col min="3849" max="3849" width="22.21875" style="962" bestFit="1" customWidth="1"/>
    <col min="3850" max="3850" width="25.21875" style="962" customWidth="1"/>
    <col min="3851" max="3851" width="25" style="962" bestFit="1" customWidth="1"/>
    <col min="3852" max="3852" width="23.5546875" style="962" bestFit="1" customWidth="1"/>
    <col min="3853" max="3853" width="23.44140625" style="962" bestFit="1" customWidth="1"/>
    <col min="3854" max="3854" width="23.5546875" style="962" bestFit="1" customWidth="1"/>
    <col min="3855" max="3855" width="18.21875" style="962" bestFit="1" customWidth="1"/>
    <col min="3856" max="3856" width="17.77734375" style="962" bestFit="1" customWidth="1"/>
    <col min="3857" max="3857" width="15.77734375" style="962" bestFit="1" customWidth="1"/>
    <col min="3858" max="3858" width="20.21875" style="962" bestFit="1" customWidth="1"/>
    <col min="3859" max="3859" width="12.21875" style="962" bestFit="1" customWidth="1"/>
    <col min="3860" max="3860" width="21.44140625" style="962" bestFit="1" customWidth="1"/>
    <col min="3861" max="4096" width="9.21875" style="962"/>
    <col min="4097" max="4097" width="14.44140625" style="962" customWidth="1"/>
    <col min="4098" max="4098" width="15.77734375" style="962" bestFit="1" customWidth="1"/>
    <col min="4099" max="4099" width="24.44140625" style="962" bestFit="1" customWidth="1"/>
    <col min="4100" max="4100" width="24.21875" style="962" bestFit="1" customWidth="1"/>
    <col min="4101" max="4101" width="24.5546875" style="962" bestFit="1" customWidth="1"/>
    <col min="4102" max="4102" width="18.44140625" style="962" bestFit="1" customWidth="1"/>
    <col min="4103" max="4103" width="24.77734375" style="962" bestFit="1" customWidth="1"/>
    <col min="4104" max="4104" width="22" style="962" bestFit="1" customWidth="1"/>
    <col min="4105" max="4105" width="22.21875" style="962" bestFit="1" customWidth="1"/>
    <col min="4106" max="4106" width="25.21875" style="962" customWidth="1"/>
    <col min="4107" max="4107" width="25" style="962" bestFit="1" customWidth="1"/>
    <col min="4108" max="4108" width="23.5546875" style="962" bestFit="1" customWidth="1"/>
    <col min="4109" max="4109" width="23.44140625" style="962" bestFit="1" customWidth="1"/>
    <col min="4110" max="4110" width="23.5546875" style="962" bestFit="1" customWidth="1"/>
    <col min="4111" max="4111" width="18.21875" style="962" bestFit="1" customWidth="1"/>
    <col min="4112" max="4112" width="17.77734375" style="962" bestFit="1" customWidth="1"/>
    <col min="4113" max="4113" width="15.77734375" style="962" bestFit="1" customWidth="1"/>
    <col min="4114" max="4114" width="20.21875" style="962" bestFit="1" customWidth="1"/>
    <col min="4115" max="4115" width="12.21875" style="962" bestFit="1" customWidth="1"/>
    <col min="4116" max="4116" width="21.44140625" style="962" bestFit="1" customWidth="1"/>
    <col min="4117" max="4352" width="9.21875" style="962"/>
    <col min="4353" max="4353" width="14.44140625" style="962" customWidth="1"/>
    <col min="4354" max="4354" width="15.77734375" style="962" bestFit="1" customWidth="1"/>
    <col min="4355" max="4355" width="24.44140625" style="962" bestFit="1" customWidth="1"/>
    <col min="4356" max="4356" width="24.21875" style="962" bestFit="1" customWidth="1"/>
    <col min="4357" max="4357" width="24.5546875" style="962" bestFit="1" customWidth="1"/>
    <col min="4358" max="4358" width="18.44140625" style="962" bestFit="1" customWidth="1"/>
    <col min="4359" max="4359" width="24.77734375" style="962" bestFit="1" customWidth="1"/>
    <col min="4360" max="4360" width="22" style="962" bestFit="1" customWidth="1"/>
    <col min="4361" max="4361" width="22.21875" style="962" bestFit="1" customWidth="1"/>
    <col min="4362" max="4362" width="25.21875" style="962" customWidth="1"/>
    <col min="4363" max="4363" width="25" style="962" bestFit="1" customWidth="1"/>
    <col min="4364" max="4364" width="23.5546875" style="962" bestFit="1" customWidth="1"/>
    <col min="4365" max="4365" width="23.44140625" style="962" bestFit="1" customWidth="1"/>
    <col min="4366" max="4366" width="23.5546875" style="962" bestFit="1" customWidth="1"/>
    <col min="4367" max="4367" width="18.21875" style="962" bestFit="1" customWidth="1"/>
    <col min="4368" max="4368" width="17.77734375" style="962" bestFit="1" customWidth="1"/>
    <col min="4369" max="4369" width="15.77734375" style="962" bestFit="1" customWidth="1"/>
    <col min="4370" max="4370" width="20.21875" style="962" bestFit="1" customWidth="1"/>
    <col min="4371" max="4371" width="12.21875" style="962" bestFit="1" customWidth="1"/>
    <col min="4372" max="4372" width="21.44140625" style="962" bestFit="1" customWidth="1"/>
    <col min="4373" max="4608" width="9.21875" style="962"/>
    <col min="4609" max="4609" width="14.44140625" style="962" customWidth="1"/>
    <col min="4610" max="4610" width="15.77734375" style="962" bestFit="1" customWidth="1"/>
    <col min="4611" max="4611" width="24.44140625" style="962" bestFit="1" customWidth="1"/>
    <col min="4612" max="4612" width="24.21875" style="962" bestFit="1" customWidth="1"/>
    <col min="4613" max="4613" width="24.5546875" style="962" bestFit="1" customWidth="1"/>
    <col min="4614" max="4614" width="18.44140625" style="962" bestFit="1" customWidth="1"/>
    <col min="4615" max="4615" width="24.77734375" style="962" bestFit="1" customWidth="1"/>
    <col min="4616" max="4616" width="22" style="962" bestFit="1" customWidth="1"/>
    <col min="4617" max="4617" width="22.21875" style="962" bestFit="1" customWidth="1"/>
    <col min="4618" max="4618" width="25.21875" style="962" customWidth="1"/>
    <col min="4619" max="4619" width="25" style="962" bestFit="1" customWidth="1"/>
    <col min="4620" max="4620" width="23.5546875" style="962" bestFit="1" customWidth="1"/>
    <col min="4621" max="4621" width="23.44140625" style="962" bestFit="1" customWidth="1"/>
    <col min="4622" max="4622" width="23.5546875" style="962" bestFit="1" customWidth="1"/>
    <col min="4623" max="4623" width="18.21875" style="962" bestFit="1" customWidth="1"/>
    <col min="4624" max="4624" width="17.77734375" style="962" bestFit="1" customWidth="1"/>
    <col min="4625" max="4625" width="15.77734375" style="962" bestFit="1" customWidth="1"/>
    <col min="4626" max="4626" width="20.21875" style="962" bestFit="1" customWidth="1"/>
    <col min="4627" max="4627" width="12.21875" style="962" bestFit="1" customWidth="1"/>
    <col min="4628" max="4628" width="21.44140625" style="962" bestFit="1" customWidth="1"/>
    <col min="4629" max="4864" width="9.21875" style="962"/>
    <col min="4865" max="4865" width="14.44140625" style="962" customWidth="1"/>
    <col min="4866" max="4866" width="15.77734375" style="962" bestFit="1" customWidth="1"/>
    <col min="4867" max="4867" width="24.44140625" style="962" bestFit="1" customWidth="1"/>
    <col min="4868" max="4868" width="24.21875" style="962" bestFit="1" customWidth="1"/>
    <col min="4869" max="4869" width="24.5546875" style="962" bestFit="1" customWidth="1"/>
    <col min="4870" max="4870" width="18.44140625" style="962" bestFit="1" customWidth="1"/>
    <col min="4871" max="4871" width="24.77734375" style="962" bestFit="1" customWidth="1"/>
    <col min="4872" max="4872" width="22" style="962" bestFit="1" customWidth="1"/>
    <col min="4873" max="4873" width="22.21875" style="962" bestFit="1" customWidth="1"/>
    <col min="4874" max="4874" width="25.21875" style="962" customWidth="1"/>
    <col min="4875" max="4875" width="25" style="962" bestFit="1" customWidth="1"/>
    <col min="4876" max="4876" width="23.5546875" style="962" bestFit="1" customWidth="1"/>
    <col min="4877" max="4877" width="23.44140625" style="962" bestFit="1" customWidth="1"/>
    <col min="4878" max="4878" width="23.5546875" style="962" bestFit="1" customWidth="1"/>
    <col min="4879" max="4879" width="18.21875" style="962" bestFit="1" customWidth="1"/>
    <col min="4880" max="4880" width="17.77734375" style="962" bestFit="1" customWidth="1"/>
    <col min="4881" max="4881" width="15.77734375" style="962" bestFit="1" customWidth="1"/>
    <col min="4882" max="4882" width="20.21875" style="962" bestFit="1" customWidth="1"/>
    <col min="4883" max="4883" width="12.21875" style="962" bestFit="1" customWidth="1"/>
    <col min="4884" max="4884" width="21.44140625" style="962" bestFit="1" customWidth="1"/>
    <col min="4885" max="5120" width="9.21875" style="962"/>
    <col min="5121" max="5121" width="14.44140625" style="962" customWidth="1"/>
    <col min="5122" max="5122" width="15.77734375" style="962" bestFit="1" customWidth="1"/>
    <col min="5123" max="5123" width="24.44140625" style="962" bestFit="1" customWidth="1"/>
    <col min="5124" max="5124" width="24.21875" style="962" bestFit="1" customWidth="1"/>
    <col min="5125" max="5125" width="24.5546875" style="962" bestFit="1" customWidth="1"/>
    <col min="5126" max="5126" width="18.44140625" style="962" bestFit="1" customWidth="1"/>
    <col min="5127" max="5127" width="24.77734375" style="962" bestFit="1" customWidth="1"/>
    <col min="5128" max="5128" width="22" style="962" bestFit="1" customWidth="1"/>
    <col min="5129" max="5129" width="22.21875" style="962" bestFit="1" customWidth="1"/>
    <col min="5130" max="5130" width="25.21875" style="962" customWidth="1"/>
    <col min="5131" max="5131" width="25" style="962" bestFit="1" customWidth="1"/>
    <col min="5132" max="5132" width="23.5546875" style="962" bestFit="1" customWidth="1"/>
    <col min="5133" max="5133" width="23.44140625" style="962" bestFit="1" customWidth="1"/>
    <col min="5134" max="5134" width="23.5546875" style="962" bestFit="1" customWidth="1"/>
    <col min="5135" max="5135" width="18.21875" style="962" bestFit="1" customWidth="1"/>
    <col min="5136" max="5136" width="17.77734375" style="962" bestFit="1" customWidth="1"/>
    <col min="5137" max="5137" width="15.77734375" style="962" bestFit="1" customWidth="1"/>
    <col min="5138" max="5138" width="20.21875" style="962" bestFit="1" customWidth="1"/>
    <col min="5139" max="5139" width="12.21875" style="962" bestFit="1" customWidth="1"/>
    <col min="5140" max="5140" width="21.44140625" style="962" bestFit="1" customWidth="1"/>
    <col min="5141" max="5376" width="9.21875" style="962"/>
    <col min="5377" max="5377" width="14.44140625" style="962" customWidth="1"/>
    <col min="5378" max="5378" width="15.77734375" style="962" bestFit="1" customWidth="1"/>
    <col min="5379" max="5379" width="24.44140625" style="962" bestFit="1" customWidth="1"/>
    <col min="5380" max="5380" width="24.21875" style="962" bestFit="1" customWidth="1"/>
    <col min="5381" max="5381" width="24.5546875" style="962" bestFit="1" customWidth="1"/>
    <col min="5382" max="5382" width="18.44140625" style="962" bestFit="1" customWidth="1"/>
    <col min="5383" max="5383" width="24.77734375" style="962" bestFit="1" customWidth="1"/>
    <col min="5384" max="5384" width="22" style="962" bestFit="1" customWidth="1"/>
    <col min="5385" max="5385" width="22.21875" style="962" bestFit="1" customWidth="1"/>
    <col min="5386" max="5386" width="25.21875" style="962" customWidth="1"/>
    <col min="5387" max="5387" width="25" style="962" bestFit="1" customWidth="1"/>
    <col min="5388" max="5388" width="23.5546875" style="962" bestFit="1" customWidth="1"/>
    <col min="5389" max="5389" width="23.44140625" style="962" bestFit="1" customWidth="1"/>
    <col min="5390" max="5390" width="23.5546875" style="962" bestFit="1" customWidth="1"/>
    <col min="5391" max="5391" width="18.21875" style="962" bestFit="1" customWidth="1"/>
    <col min="5392" max="5392" width="17.77734375" style="962" bestFit="1" customWidth="1"/>
    <col min="5393" max="5393" width="15.77734375" style="962" bestFit="1" customWidth="1"/>
    <col min="5394" max="5394" width="20.21875" style="962" bestFit="1" customWidth="1"/>
    <col min="5395" max="5395" width="12.21875" style="962" bestFit="1" customWidth="1"/>
    <col min="5396" max="5396" width="21.44140625" style="962" bestFit="1" customWidth="1"/>
    <col min="5397" max="5632" width="9.21875" style="962"/>
    <col min="5633" max="5633" width="14.44140625" style="962" customWidth="1"/>
    <col min="5634" max="5634" width="15.77734375" style="962" bestFit="1" customWidth="1"/>
    <col min="5635" max="5635" width="24.44140625" style="962" bestFit="1" customWidth="1"/>
    <col min="5636" max="5636" width="24.21875" style="962" bestFit="1" customWidth="1"/>
    <col min="5637" max="5637" width="24.5546875" style="962" bestFit="1" customWidth="1"/>
    <col min="5638" max="5638" width="18.44140625" style="962" bestFit="1" customWidth="1"/>
    <col min="5639" max="5639" width="24.77734375" style="962" bestFit="1" customWidth="1"/>
    <col min="5640" max="5640" width="22" style="962" bestFit="1" customWidth="1"/>
    <col min="5641" max="5641" width="22.21875" style="962" bestFit="1" customWidth="1"/>
    <col min="5642" max="5642" width="25.21875" style="962" customWidth="1"/>
    <col min="5643" max="5643" width="25" style="962" bestFit="1" customWidth="1"/>
    <col min="5644" max="5644" width="23.5546875" style="962" bestFit="1" customWidth="1"/>
    <col min="5645" max="5645" width="23.44140625" style="962" bestFit="1" customWidth="1"/>
    <col min="5646" max="5646" width="23.5546875" style="962" bestFit="1" customWidth="1"/>
    <col min="5647" max="5647" width="18.21875" style="962" bestFit="1" customWidth="1"/>
    <col min="5648" max="5648" width="17.77734375" style="962" bestFit="1" customWidth="1"/>
    <col min="5649" max="5649" width="15.77734375" style="962" bestFit="1" customWidth="1"/>
    <col min="5650" max="5650" width="20.21875" style="962" bestFit="1" customWidth="1"/>
    <col min="5651" max="5651" width="12.21875" style="962" bestFit="1" customWidth="1"/>
    <col min="5652" max="5652" width="21.44140625" style="962" bestFit="1" customWidth="1"/>
    <col min="5653" max="5888" width="9.21875" style="962"/>
    <col min="5889" max="5889" width="14.44140625" style="962" customWidth="1"/>
    <col min="5890" max="5890" width="15.77734375" style="962" bestFit="1" customWidth="1"/>
    <col min="5891" max="5891" width="24.44140625" style="962" bestFit="1" customWidth="1"/>
    <col min="5892" max="5892" width="24.21875" style="962" bestFit="1" customWidth="1"/>
    <col min="5893" max="5893" width="24.5546875" style="962" bestFit="1" customWidth="1"/>
    <col min="5894" max="5894" width="18.44140625" style="962" bestFit="1" customWidth="1"/>
    <col min="5895" max="5895" width="24.77734375" style="962" bestFit="1" customWidth="1"/>
    <col min="5896" max="5896" width="22" style="962" bestFit="1" customWidth="1"/>
    <col min="5897" max="5897" width="22.21875" style="962" bestFit="1" customWidth="1"/>
    <col min="5898" max="5898" width="25.21875" style="962" customWidth="1"/>
    <col min="5899" max="5899" width="25" style="962" bestFit="1" customWidth="1"/>
    <col min="5900" max="5900" width="23.5546875" style="962" bestFit="1" customWidth="1"/>
    <col min="5901" max="5901" width="23.44140625" style="962" bestFit="1" customWidth="1"/>
    <col min="5902" max="5902" width="23.5546875" style="962" bestFit="1" customWidth="1"/>
    <col min="5903" max="5903" width="18.21875" style="962" bestFit="1" customWidth="1"/>
    <col min="5904" max="5904" width="17.77734375" style="962" bestFit="1" customWidth="1"/>
    <col min="5905" max="5905" width="15.77734375" style="962" bestFit="1" customWidth="1"/>
    <col min="5906" max="5906" width="20.21875" style="962" bestFit="1" customWidth="1"/>
    <col min="5907" max="5907" width="12.21875" style="962" bestFit="1" customWidth="1"/>
    <col min="5908" max="5908" width="21.44140625" style="962" bestFit="1" customWidth="1"/>
    <col min="5909" max="6144" width="9.21875" style="962"/>
    <col min="6145" max="6145" width="14.44140625" style="962" customWidth="1"/>
    <col min="6146" max="6146" width="15.77734375" style="962" bestFit="1" customWidth="1"/>
    <col min="6147" max="6147" width="24.44140625" style="962" bestFit="1" customWidth="1"/>
    <col min="6148" max="6148" width="24.21875" style="962" bestFit="1" customWidth="1"/>
    <col min="6149" max="6149" width="24.5546875" style="962" bestFit="1" customWidth="1"/>
    <col min="6150" max="6150" width="18.44140625" style="962" bestFit="1" customWidth="1"/>
    <col min="6151" max="6151" width="24.77734375" style="962" bestFit="1" customWidth="1"/>
    <col min="6152" max="6152" width="22" style="962" bestFit="1" customWidth="1"/>
    <col min="6153" max="6153" width="22.21875" style="962" bestFit="1" customWidth="1"/>
    <col min="6154" max="6154" width="25.21875" style="962" customWidth="1"/>
    <col min="6155" max="6155" width="25" style="962" bestFit="1" customWidth="1"/>
    <col min="6156" max="6156" width="23.5546875" style="962" bestFit="1" customWidth="1"/>
    <col min="6157" max="6157" width="23.44140625" style="962" bestFit="1" customWidth="1"/>
    <col min="6158" max="6158" width="23.5546875" style="962" bestFit="1" customWidth="1"/>
    <col min="6159" max="6159" width="18.21875" style="962" bestFit="1" customWidth="1"/>
    <col min="6160" max="6160" width="17.77734375" style="962" bestFit="1" customWidth="1"/>
    <col min="6161" max="6161" width="15.77734375" style="962" bestFit="1" customWidth="1"/>
    <col min="6162" max="6162" width="20.21875" style="962" bestFit="1" customWidth="1"/>
    <col min="6163" max="6163" width="12.21875" style="962" bestFit="1" customWidth="1"/>
    <col min="6164" max="6164" width="21.44140625" style="962" bestFit="1" customWidth="1"/>
    <col min="6165" max="6400" width="9.21875" style="962"/>
    <col min="6401" max="6401" width="14.44140625" style="962" customWidth="1"/>
    <col min="6402" max="6402" width="15.77734375" style="962" bestFit="1" customWidth="1"/>
    <col min="6403" max="6403" width="24.44140625" style="962" bestFit="1" customWidth="1"/>
    <col min="6404" max="6404" width="24.21875" style="962" bestFit="1" customWidth="1"/>
    <col min="6405" max="6405" width="24.5546875" style="962" bestFit="1" customWidth="1"/>
    <col min="6406" max="6406" width="18.44140625" style="962" bestFit="1" customWidth="1"/>
    <col min="6407" max="6407" width="24.77734375" style="962" bestFit="1" customWidth="1"/>
    <col min="6408" max="6408" width="22" style="962" bestFit="1" customWidth="1"/>
    <col min="6409" max="6409" width="22.21875" style="962" bestFit="1" customWidth="1"/>
    <col min="6410" max="6410" width="25.21875" style="962" customWidth="1"/>
    <col min="6411" max="6411" width="25" style="962" bestFit="1" customWidth="1"/>
    <col min="6412" max="6412" width="23.5546875" style="962" bestFit="1" customWidth="1"/>
    <col min="6413" max="6413" width="23.44140625" style="962" bestFit="1" customWidth="1"/>
    <col min="6414" max="6414" width="23.5546875" style="962" bestFit="1" customWidth="1"/>
    <col min="6415" max="6415" width="18.21875" style="962" bestFit="1" customWidth="1"/>
    <col min="6416" max="6416" width="17.77734375" style="962" bestFit="1" customWidth="1"/>
    <col min="6417" max="6417" width="15.77734375" style="962" bestFit="1" customWidth="1"/>
    <col min="6418" max="6418" width="20.21875" style="962" bestFit="1" customWidth="1"/>
    <col min="6419" max="6419" width="12.21875" style="962" bestFit="1" customWidth="1"/>
    <col min="6420" max="6420" width="21.44140625" style="962" bestFit="1" customWidth="1"/>
    <col min="6421" max="6656" width="9.21875" style="962"/>
    <col min="6657" max="6657" width="14.44140625" style="962" customWidth="1"/>
    <col min="6658" max="6658" width="15.77734375" style="962" bestFit="1" customWidth="1"/>
    <col min="6659" max="6659" width="24.44140625" style="962" bestFit="1" customWidth="1"/>
    <col min="6660" max="6660" width="24.21875" style="962" bestFit="1" customWidth="1"/>
    <col min="6661" max="6661" width="24.5546875" style="962" bestFit="1" customWidth="1"/>
    <col min="6662" max="6662" width="18.44140625" style="962" bestFit="1" customWidth="1"/>
    <col min="6663" max="6663" width="24.77734375" style="962" bestFit="1" customWidth="1"/>
    <col min="6664" max="6664" width="22" style="962" bestFit="1" customWidth="1"/>
    <col min="6665" max="6665" width="22.21875" style="962" bestFit="1" customWidth="1"/>
    <col min="6666" max="6666" width="25.21875" style="962" customWidth="1"/>
    <col min="6667" max="6667" width="25" style="962" bestFit="1" customWidth="1"/>
    <col min="6668" max="6668" width="23.5546875" style="962" bestFit="1" customWidth="1"/>
    <col min="6669" max="6669" width="23.44140625" style="962" bestFit="1" customWidth="1"/>
    <col min="6670" max="6670" width="23.5546875" style="962" bestFit="1" customWidth="1"/>
    <col min="6671" max="6671" width="18.21875" style="962" bestFit="1" customWidth="1"/>
    <col min="6672" max="6672" width="17.77734375" style="962" bestFit="1" customWidth="1"/>
    <col min="6673" max="6673" width="15.77734375" style="962" bestFit="1" customWidth="1"/>
    <col min="6674" max="6674" width="20.21875" style="962" bestFit="1" customWidth="1"/>
    <col min="6675" max="6675" width="12.21875" style="962" bestFit="1" customWidth="1"/>
    <col min="6676" max="6676" width="21.44140625" style="962" bestFit="1" customWidth="1"/>
    <col min="6677" max="6912" width="9.21875" style="962"/>
    <col min="6913" max="6913" width="14.44140625" style="962" customWidth="1"/>
    <col min="6914" max="6914" width="15.77734375" style="962" bestFit="1" customWidth="1"/>
    <col min="6915" max="6915" width="24.44140625" style="962" bestFit="1" customWidth="1"/>
    <col min="6916" max="6916" width="24.21875" style="962" bestFit="1" customWidth="1"/>
    <col min="6917" max="6917" width="24.5546875" style="962" bestFit="1" customWidth="1"/>
    <col min="6918" max="6918" width="18.44140625" style="962" bestFit="1" customWidth="1"/>
    <col min="6919" max="6919" width="24.77734375" style="962" bestFit="1" customWidth="1"/>
    <col min="6920" max="6920" width="22" style="962" bestFit="1" customWidth="1"/>
    <col min="6921" max="6921" width="22.21875" style="962" bestFit="1" customWidth="1"/>
    <col min="6922" max="6922" width="25.21875" style="962" customWidth="1"/>
    <col min="6923" max="6923" width="25" style="962" bestFit="1" customWidth="1"/>
    <col min="6924" max="6924" width="23.5546875" style="962" bestFit="1" customWidth="1"/>
    <col min="6925" max="6925" width="23.44140625" style="962" bestFit="1" customWidth="1"/>
    <col min="6926" max="6926" width="23.5546875" style="962" bestFit="1" customWidth="1"/>
    <col min="6927" max="6927" width="18.21875" style="962" bestFit="1" customWidth="1"/>
    <col min="6928" max="6928" width="17.77734375" style="962" bestFit="1" customWidth="1"/>
    <col min="6929" max="6929" width="15.77734375" style="962" bestFit="1" customWidth="1"/>
    <col min="6930" max="6930" width="20.21875" style="962" bestFit="1" customWidth="1"/>
    <col min="6931" max="6931" width="12.21875" style="962" bestFit="1" customWidth="1"/>
    <col min="6932" max="6932" width="21.44140625" style="962" bestFit="1" customWidth="1"/>
    <col min="6933" max="7168" width="9.21875" style="962"/>
    <col min="7169" max="7169" width="14.44140625" style="962" customWidth="1"/>
    <col min="7170" max="7170" width="15.77734375" style="962" bestFit="1" customWidth="1"/>
    <col min="7171" max="7171" width="24.44140625" style="962" bestFit="1" customWidth="1"/>
    <col min="7172" max="7172" width="24.21875" style="962" bestFit="1" customWidth="1"/>
    <col min="7173" max="7173" width="24.5546875" style="962" bestFit="1" customWidth="1"/>
    <col min="7174" max="7174" width="18.44140625" style="962" bestFit="1" customWidth="1"/>
    <col min="7175" max="7175" width="24.77734375" style="962" bestFit="1" customWidth="1"/>
    <col min="7176" max="7176" width="22" style="962" bestFit="1" customWidth="1"/>
    <col min="7177" max="7177" width="22.21875" style="962" bestFit="1" customWidth="1"/>
    <col min="7178" max="7178" width="25.21875" style="962" customWidth="1"/>
    <col min="7179" max="7179" width="25" style="962" bestFit="1" customWidth="1"/>
    <col min="7180" max="7180" width="23.5546875" style="962" bestFit="1" customWidth="1"/>
    <col min="7181" max="7181" width="23.44140625" style="962" bestFit="1" customWidth="1"/>
    <col min="7182" max="7182" width="23.5546875" style="962" bestFit="1" customWidth="1"/>
    <col min="7183" max="7183" width="18.21875" style="962" bestFit="1" customWidth="1"/>
    <col min="7184" max="7184" width="17.77734375" style="962" bestFit="1" customWidth="1"/>
    <col min="7185" max="7185" width="15.77734375" style="962" bestFit="1" customWidth="1"/>
    <col min="7186" max="7186" width="20.21875" style="962" bestFit="1" customWidth="1"/>
    <col min="7187" max="7187" width="12.21875" style="962" bestFit="1" customWidth="1"/>
    <col min="7188" max="7188" width="21.44140625" style="962" bestFit="1" customWidth="1"/>
    <col min="7189" max="7424" width="9.21875" style="962"/>
    <col min="7425" max="7425" width="14.44140625" style="962" customWidth="1"/>
    <col min="7426" max="7426" width="15.77734375" style="962" bestFit="1" customWidth="1"/>
    <col min="7427" max="7427" width="24.44140625" style="962" bestFit="1" customWidth="1"/>
    <col min="7428" max="7428" width="24.21875" style="962" bestFit="1" customWidth="1"/>
    <col min="7429" max="7429" width="24.5546875" style="962" bestFit="1" customWidth="1"/>
    <col min="7430" max="7430" width="18.44140625" style="962" bestFit="1" customWidth="1"/>
    <col min="7431" max="7431" width="24.77734375" style="962" bestFit="1" customWidth="1"/>
    <col min="7432" max="7432" width="22" style="962" bestFit="1" customWidth="1"/>
    <col min="7433" max="7433" width="22.21875" style="962" bestFit="1" customWidth="1"/>
    <col min="7434" max="7434" width="25.21875" style="962" customWidth="1"/>
    <col min="7435" max="7435" width="25" style="962" bestFit="1" customWidth="1"/>
    <col min="7436" max="7436" width="23.5546875" style="962" bestFit="1" customWidth="1"/>
    <col min="7437" max="7437" width="23.44140625" style="962" bestFit="1" customWidth="1"/>
    <col min="7438" max="7438" width="23.5546875" style="962" bestFit="1" customWidth="1"/>
    <col min="7439" max="7439" width="18.21875" style="962" bestFit="1" customWidth="1"/>
    <col min="7440" max="7440" width="17.77734375" style="962" bestFit="1" customWidth="1"/>
    <col min="7441" max="7441" width="15.77734375" style="962" bestFit="1" customWidth="1"/>
    <col min="7442" max="7442" width="20.21875" style="962" bestFit="1" customWidth="1"/>
    <col min="7443" max="7443" width="12.21875" style="962" bestFit="1" customWidth="1"/>
    <col min="7444" max="7444" width="21.44140625" style="962" bestFit="1" customWidth="1"/>
    <col min="7445" max="7680" width="9.21875" style="962"/>
    <col min="7681" max="7681" width="14.44140625" style="962" customWidth="1"/>
    <col min="7682" max="7682" width="15.77734375" style="962" bestFit="1" customWidth="1"/>
    <col min="7683" max="7683" width="24.44140625" style="962" bestFit="1" customWidth="1"/>
    <col min="7684" max="7684" width="24.21875" style="962" bestFit="1" customWidth="1"/>
    <col min="7685" max="7685" width="24.5546875" style="962" bestFit="1" customWidth="1"/>
    <col min="7686" max="7686" width="18.44140625" style="962" bestFit="1" customWidth="1"/>
    <col min="7687" max="7687" width="24.77734375" style="962" bestFit="1" customWidth="1"/>
    <col min="7688" max="7688" width="22" style="962" bestFit="1" customWidth="1"/>
    <col min="7689" max="7689" width="22.21875" style="962" bestFit="1" customWidth="1"/>
    <col min="7690" max="7690" width="25.21875" style="962" customWidth="1"/>
    <col min="7691" max="7691" width="25" style="962" bestFit="1" customWidth="1"/>
    <col min="7692" max="7692" width="23.5546875" style="962" bestFit="1" customWidth="1"/>
    <col min="7693" max="7693" width="23.44140625" style="962" bestFit="1" customWidth="1"/>
    <col min="7694" max="7694" width="23.5546875" style="962" bestFit="1" customWidth="1"/>
    <col min="7695" max="7695" width="18.21875" style="962" bestFit="1" customWidth="1"/>
    <col min="7696" max="7696" width="17.77734375" style="962" bestFit="1" customWidth="1"/>
    <col min="7697" max="7697" width="15.77734375" style="962" bestFit="1" customWidth="1"/>
    <col min="7698" max="7698" width="20.21875" style="962" bestFit="1" customWidth="1"/>
    <col min="7699" max="7699" width="12.21875" style="962" bestFit="1" customWidth="1"/>
    <col min="7700" max="7700" width="21.44140625" style="962" bestFit="1" customWidth="1"/>
    <col min="7701" max="7936" width="9.21875" style="962"/>
    <col min="7937" max="7937" width="14.44140625" style="962" customWidth="1"/>
    <col min="7938" max="7938" width="15.77734375" style="962" bestFit="1" customWidth="1"/>
    <col min="7939" max="7939" width="24.44140625" style="962" bestFit="1" customWidth="1"/>
    <col min="7940" max="7940" width="24.21875" style="962" bestFit="1" customWidth="1"/>
    <col min="7941" max="7941" width="24.5546875" style="962" bestFit="1" customWidth="1"/>
    <col min="7942" max="7942" width="18.44140625" style="962" bestFit="1" customWidth="1"/>
    <col min="7943" max="7943" width="24.77734375" style="962" bestFit="1" customWidth="1"/>
    <col min="7944" max="7944" width="22" style="962" bestFit="1" customWidth="1"/>
    <col min="7945" max="7945" width="22.21875" style="962" bestFit="1" customWidth="1"/>
    <col min="7946" max="7946" width="25.21875" style="962" customWidth="1"/>
    <col min="7947" max="7947" width="25" style="962" bestFit="1" customWidth="1"/>
    <col min="7948" max="7948" width="23.5546875" style="962" bestFit="1" customWidth="1"/>
    <col min="7949" max="7949" width="23.44140625" style="962" bestFit="1" customWidth="1"/>
    <col min="7950" max="7950" width="23.5546875" style="962" bestFit="1" customWidth="1"/>
    <col min="7951" max="7951" width="18.21875" style="962" bestFit="1" customWidth="1"/>
    <col min="7952" max="7952" width="17.77734375" style="962" bestFit="1" customWidth="1"/>
    <col min="7953" max="7953" width="15.77734375" style="962" bestFit="1" customWidth="1"/>
    <col min="7954" max="7954" width="20.21875" style="962" bestFit="1" customWidth="1"/>
    <col min="7955" max="7955" width="12.21875" style="962" bestFit="1" customWidth="1"/>
    <col min="7956" max="7956" width="21.44140625" style="962" bestFit="1" customWidth="1"/>
    <col min="7957" max="8192" width="9.21875" style="962"/>
    <col min="8193" max="8193" width="14.44140625" style="962" customWidth="1"/>
    <col min="8194" max="8194" width="15.77734375" style="962" bestFit="1" customWidth="1"/>
    <col min="8195" max="8195" width="24.44140625" style="962" bestFit="1" customWidth="1"/>
    <col min="8196" max="8196" width="24.21875" style="962" bestFit="1" customWidth="1"/>
    <col min="8197" max="8197" width="24.5546875" style="962" bestFit="1" customWidth="1"/>
    <col min="8198" max="8198" width="18.44140625" style="962" bestFit="1" customWidth="1"/>
    <col min="8199" max="8199" width="24.77734375" style="962" bestFit="1" customWidth="1"/>
    <col min="8200" max="8200" width="22" style="962" bestFit="1" customWidth="1"/>
    <col min="8201" max="8201" width="22.21875" style="962" bestFit="1" customWidth="1"/>
    <col min="8202" max="8202" width="25.21875" style="962" customWidth="1"/>
    <col min="8203" max="8203" width="25" style="962" bestFit="1" customWidth="1"/>
    <col min="8204" max="8204" width="23.5546875" style="962" bestFit="1" customWidth="1"/>
    <col min="8205" max="8205" width="23.44140625" style="962" bestFit="1" customWidth="1"/>
    <col min="8206" max="8206" width="23.5546875" style="962" bestFit="1" customWidth="1"/>
    <col min="8207" max="8207" width="18.21875" style="962" bestFit="1" customWidth="1"/>
    <col min="8208" max="8208" width="17.77734375" style="962" bestFit="1" customWidth="1"/>
    <col min="8209" max="8209" width="15.77734375" style="962" bestFit="1" customWidth="1"/>
    <col min="8210" max="8210" width="20.21875" style="962" bestFit="1" customWidth="1"/>
    <col min="8211" max="8211" width="12.21875" style="962" bestFit="1" customWidth="1"/>
    <col min="8212" max="8212" width="21.44140625" style="962" bestFit="1" customWidth="1"/>
    <col min="8213" max="8448" width="9.21875" style="962"/>
    <col min="8449" max="8449" width="14.44140625" style="962" customWidth="1"/>
    <col min="8450" max="8450" width="15.77734375" style="962" bestFit="1" customWidth="1"/>
    <col min="8451" max="8451" width="24.44140625" style="962" bestFit="1" customWidth="1"/>
    <col min="8452" max="8452" width="24.21875" style="962" bestFit="1" customWidth="1"/>
    <col min="8453" max="8453" width="24.5546875" style="962" bestFit="1" customWidth="1"/>
    <col min="8454" max="8454" width="18.44140625" style="962" bestFit="1" customWidth="1"/>
    <col min="8455" max="8455" width="24.77734375" style="962" bestFit="1" customWidth="1"/>
    <col min="8456" max="8456" width="22" style="962" bestFit="1" customWidth="1"/>
    <col min="8457" max="8457" width="22.21875" style="962" bestFit="1" customWidth="1"/>
    <col min="8458" max="8458" width="25.21875" style="962" customWidth="1"/>
    <col min="8459" max="8459" width="25" style="962" bestFit="1" customWidth="1"/>
    <col min="8460" max="8460" width="23.5546875" style="962" bestFit="1" customWidth="1"/>
    <col min="8461" max="8461" width="23.44140625" style="962" bestFit="1" customWidth="1"/>
    <col min="8462" max="8462" width="23.5546875" style="962" bestFit="1" customWidth="1"/>
    <col min="8463" max="8463" width="18.21875" style="962" bestFit="1" customWidth="1"/>
    <col min="8464" max="8464" width="17.77734375" style="962" bestFit="1" customWidth="1"/>
    <col min="8465" max="8465" width="15.77734375" style="962" bestFit="1" customWidth="1"/>
    <col min="8466" max="8466" width="20.21875" style="962" bestFit="1" customWidth="1"/>
    <col min="8467" max="8467" width="12.21875" style="962" bestFit="1" customWidth="1"/>
    <col min="8468" max="8468" width="21.44140625" style="962" bestFit="1" customWidth="1"/>
    <col min="8469" max="8704" width="9.21875" style="962"/>
    <col min="8705" max="8705" width="14.44140625" style="962" customWidth="1"/>
    <col min="8706" max="8706" width="15.77734375" style="962" bestFit="1" customWidth="1"/>
    <col min="8707" max="8707" width="24.44140625" style="962" bestFit="1" customWidth="1"/>
    <col min="8708" max="8708" width="24.21875" style="962" bestFit="1" customWidth="1"/>
    <col min="8709" max="8709" width="24.5546875" style="962" bestFit="1" customWidth="1"/>
    <col min="8710" max="8710" width="18.44140625" style="962" bestFit="1" customWidth="1"/>
    <col min="8711" max="8711" width="24.77734375" style="962" bestFit="1" customWidth="1"/>
    <col min="8712" max="8712" width="22" style="962" bestFit="1" customWidth="1"/>
    <col min="8713" max="8713" width="22.21875" style="962" bestFit="1" customWidth="1"/>
    <col min="8714" max="8714" width="25.21875" style="962" customWidth="1"/>
    <col min="8715" max="8715" width="25" style="962" bestFit="1" customWidth="1"/>
    <col min="8716" max="8716" width="23.5546875" style="962" bestFit="1" customWidth="1"/>
    <col min="8717" max="8717" width="23.44140625" style="962" bestFit="1" customWidth="1"/>
    <col min="8718" max="8718" width="23.5546875" style="962" bestFit="1" customWidth="1"/>
    <col min="8719" max="8719" width="18.21875" style="962" bestFit="1" customWidth="1"/>
    <col min="8720" max="8720" width="17.77734375" style="962" bestFit="1" customWidth="1"/>
    <col min="8721" max="8721" width="15.77734375" style="962" bestFit="1" customWidth="1"/>
    <col min="8722" max="8722" width="20.21875" style="962" bestFit="1" customWidth="1"/>
    <col min="8723" max="8723" width="12.21875" style="962" bestFit="1" customWidth="1"/>
    <col min="8724" max="8724" width="21.44140625" style="962" bestFit="1" customWidth="1"/>
    <col min="8725" max="8960" width="9.21875" style="962"/>
    <col min="8961" max="8961" width="14.44140625" style="962" customWidth="1"/>
    <col min="8962" max="8962" width="15.77734375" style="962" bestFit="1" customWidth="1"/>
    <col min="8963" max="8963" width="24.44140625" style="962" bestFit="1" customWidth="1"/>
    <col min="8964" max="8964" width="24.21875" style="962" bestFit="1" customWidth="1"/>
    <col min="8965" max="8965" width="24.5546875" style="962" bestFit="1" customWidth="1"/>
    <col min="8966" max="8966" width="18.44140625" style="962" bestFit="1" customWidth="1"/>
    <col min="8967" max="8967" width="24.77734375" style="962" bestFit="1" customWidth="1"/>
    <col min="8968" max="8968" width="22" style="962" bestFit="1" customWidth="1"/>
    <col min="8969" max="8969" width="22.21875" style="962" bestFit="1" customWidth="1"/>
    <col min="8970" max="8970" width="25.21875" style="962" customWidth="1"/>
    <col min="8971" max="8971" width="25" style="962" bestFit="1" customWidth="1"/>
    <col min="8972" max="8972" width="23.5546875" style="962" bestFit="1" customWidth="1"/>
    <col min="8973" max="8973" width="23.44140625" style="962" bestFit="1" customWidth="1"/>
    <col min="8974" max="8974" width="23.5546875" style="962" bestFit="1" customWidth="1"/>
    <col min="8975" max="8975" width="18.21875" style="962" bestFit="1" customWidth="1"/>
    <col min="8976" max="8976" width="17.77734375" style="962" bestFit="1" customWidth="1"/>
    <col min="8977" max="8977" width="15.77734375" style="962" bestFit="1" customWidth="1"/>
    <col min="8978" max="8978" width="20.21875" style="962" bestFit="1" customWidth="1"/>
    <col min="8979" max="8979" width="12.21875" style="962" bestFit="1" customWidth="1"/>
    <col min="8980" max="8980" width="21.44140625" style="962" bestFit="1" customWidth="1"/>
    <col min="8981" max="9216" width="9.21875" style="962"/>
    <col min="9217" max="9217" width="14.44140625" style="962" customWidth="1"/>
    <col min="9218" max="9218" width="15.77734375" style="962" bestFit="1" customWidth="1"/>
    <col min="9219" max="9219" width="24.44140625" style="962" bestFit="1" customWidth="1"/>
    <col min="9220" max="9220" width="24.21875" style="962" bestFit="1" customWidth="1"/>
    <col min="9221" max="9221" width="24.5546875" style="962" bestFit="1" customWidth="1"/>
    <col min="9222" max="9222" width="18.44140625" style="962" bestFit="1" customWidth="1"/>
    <col min="9223" max="9223" width="24.77734375" style="962" bestFit="1" customWidth="1"/>
    <col min="9224" max="9224" width="22" style="962" bestFit="1" customWidth="1"/>
    <col min="9225" max="9225" width="22.21875" style="962" bestFit="1" customWidth="1"/>
    <col min="9226" max="9226" width="25.21875" style="962" customWidth="1"/>
    <col min="9227" max="9227" width="25" style="962" bestFit="1" customWidth="1"/>
    <col min="9228" max="9228" width="23.5546875" style="962" bestFit="1" customWidth="1"/>
    <col min="9229" max="9229" width="23.44140625" style="962" bestFit="1" customWidth="1"/>
    <col min="9230" max="9230" width="23.5546875" style="962" bestFit="1" customWidth="1"/>
    <col min="9231" max="9231" width="18.21875" style="962" bestFit="1" customWidth="1"/>
    <col min="9232" max="9232" width="17.77734375" style="962" bestFit="1" customWidth="1"/>
    <col min="9233" max="9233" width="15.77734375" style="962" bestFit="1" customWidth="1"/>
    <col min="9234" max="9234" width="20.21875" style="962" bestFit="1" customWidth="1"/>
    <col min="9235" max="9235" width="12.21875" style="962" bestFit="1" customWidth="1"/>
    <col min="9236" max="9236" width="21.44140625" style="962" bestFit="1" customWidth="1"/>
    <col min="9237" max="9472" width="9.21875" style="962"/>
    <col min="9473" max="9473" width="14.44140625" style="962" customWidth="1"/>
    <col min="9474" max="9474" width="15.77734375" style="962" bestFit="1" customWidth="1"/>
    <col min="9475" max="9475" width="24.44140625" style="962" bestFit="1" customWidth="1"/>
    <col min="9476" max="9476" width="24.21875" style="962" bestFit="1" customWidth="1"/>
    <col min="9477" max="9477" width="24.5546875" style="962" bestFit="1" customWidth="1"/>
    <col min="9478" max="9478" width="18.44140625" style="962" bestFit="1" customWidth="1"/>
    <col min="9479" max="9479" width="24.77734375" style="962" bestFit="1" customWidth="1"/>
    <col min="9480" max="9480" width="22" style="962" bestFit="1" customWidth="1"/>
    <col min="9481" max="9481" width="22.21875" style="962" bestFit="1" customWidth="1"/>
    <col min="9482" max="9482" width="25.21875" style="962" customWidth="1"/>
    <col min="9483" max="9483" width="25" style="962" bestFit="1" customWidth="1"/>
    <col min="9484" max="9484" width="23.5546875" style="962" bestFit="1" customWidth="1"/>
    <col min="9485" max="9485" width="23.44140625" style="962" bestFit="1" customWidth="1"/>
    <col min="9486" max="9486" width="23.5546875" style="962" bestFit="1" customWidth="1"/>
    <col min="9487" max="9487" width="18.21875" style="962" bestFit="1" customWidth="1"/>
    <col min="9488" max="9488" width="17.77734375" style="962" bestFit="1" customWidth="1"/>
    <col min="9489" max="9489" width="15.77734375" style="962" bestFit="1" customWidth="1"/>
    <col min="9490" max="9490" width="20.21875" style="962" bestFit="1" customWidth="1"/>
    <col min="9491" max="9491" width="12.21875" style="962" bestFit="1" customWidth="1"/>
    <col min="9492" max="9492" width="21.44140625" style="962" bestFit="1" customWidth="1"/>
    <col min="9493" max="9728" width="9.21875" style="962"/>
    <col min="9729" max="9729" width="14.44140625" style="962" customWidth="1"/>
    <col min="9730" max="9730" width="15.77734375" style="962" bestFit="1" customWidth="1"/>
    <col min="9731" max="9731" width="24.44140625" style="962" bestFit="1" customWidth="1"/>
    <col min="9732" max="9732" width="24.21875" style="962" bestFit="1" customWidth="1"/>
    <col min="9733" max="9733" width="24.5546875" style="962" bestFit="1" customWidth="1"/>
    <col min="9734" max="9734" width="18.44140625" style="962" bestFit="1" customWidth="1"/>
    <col min="9735" max="9735" width="24.77734375" style="962" bestFit="1" customWidth="1"/>
    <col min="9736" max="9736" width="22" style="962" bestFit="1" customWidth="1"/>
    <col min="9737" max="9737" width="22.21875" style="962" bestFit="1" customWidth="1"/>
    <col min="9738" max="9738" width="25.21875" style="962" customWidth="1"/>
    <col min="9739" max="9739" width="25" style="962" bestFit="1" customWidth="1"/>
    <col min="9740" max="9740" width="23.5546875" style="962" bestFit="1" customWidth="1"/>
    <col min="9741" max="9741" width="23.44140625" style="962" bestFit="1" customWidth="1"/>
    <col min="9742" max="9742" width="23.5546875" style="962" bestFit="1" customWidth="1"/>
    <col min="9743" max="9743" width="18.21875" style="962" bestFit="1" customWidth="1"/>
    <col min="9744" max="9744" width="17.77734375" style="962" bestFit="1" customWidth="1"/>
    <col min="9745" max="9745" width="15.77734375" style="962" bestFit="1" customWidth="1"/>
    <col min="9746" max="9746" width="20.21875" style="962" bestFit="1" customWidth="1"/>
    <col min="9747" max="9747" width="12.21875" style="962" bestFit="1" customWidth="1"/>
    <col min="9748" max="9748" width="21.44140625" style="962" bestFit="1" customWidth="1"/>
    <col min="9749" max="9984" width="9.21875" style="962"/>
    <col min="9985" max="9985" width="14.44140625" style="962" customWidth="1"/>
    <col min="9986" max="9986" width="15.77734375" style="962" bestFit="1" customWidth="1"/>
    <col min="9987" max="9987" width="24.44140625" style="962" bestFit="1" customWidth="1"/>
    <col min="9988" max="9988" width="24.21875" style="962" bestFit="1" customWidth="1"/>
    <col min="9989" max="9989" width="24.5546875" style="962" bestFit="1" customWidth="1"/>
    <col min="9990" max="9990" width="18.44140625" style="962" bestFit="1" customWidth="1"/>
    <col min="9991" max="9991" width="24.77734375" style="962" bestFit="1" customWidth="1"/>
    <col min="9992" max="9992" width="22" style="962" bestFit="1" customWidth="1"/>
    <col min="9993" max="9993" width="22.21875" style="962" bestFit="1" customWidth="1"/>
    <col min="9994" max="9994" width="25.21875" style="962" customWidth="1"/>
    <col min="9995" max="9995" width="25" style="962" bestFit="1" customWidth="1"/>
    <col min="9996" max="9996" width="23.5546875" style="962" bestFit="1" customWidth="1"/>
    <col min="9997" max="9997" width="23.44140625" style="962" bestFit="1" customWidth="1"/>
    <col min="9998" max="9998" width="23.5546875" style="962" bestFit="1" customWidth="1"/>
    <col min="9999" max="9999" width="18.21875" style="962" bestFit="1" customWidth="1"/>
    <col min="10000" max="10000" width="17.77734375" style="962" bestFit="1" customWidth="1"/>
    <col min="10001" max="10001" width="15.77734375" style="962" bestFit="1" customWidth="1"/>
    <col min="10002" max="10002" width="20.21875" style="962" bestFit="1" customWidth="1"/>
    <col min="10003" max="10003" width="12.21875" style="962" bestFit="1" customWidth="1"/>
    <col min="10004" max="10004" width="21.44140625" style="962" bestFit="1" customWidth="1"/>
    <col min="10005" max="10240" width="9.21875" style="962"/>
    <col min="10241" max="10241" width="14.44140625" style="962" customWidth="1"/>
    <col min="10242" max="10242" width="15.77734375" style="962" bestFit="1" customWidth="1"/>
    <col min="10243" max="10243" width="24.44140625" style="962" bestFit="1" customWidth="1"/>
    <col min="10244" max="10244" width="24.21875" style="962" bestFit="1" customWidth="1"/>
    <col min="10245" max="10245" width="24.5546875" style="962" bestFit="1" customWidth="1"/>
    <col min="10246" max="10246" width="18.44140625" style="962" bestFit="1" customWidth="1"/>
    <col min="10247" max="10247" width="24.77734375" style="962" bestFit="1" customWidth="1"/>
    <col min="10248" max="10248" width="22" style="962" bestFit="1" customWidth="1"/>
    <col min="10249" max="10249" width="22.21875" style="962" bestFit="1" customWidth="1"/>
    <col min="10250" max="10250" width="25.21875" style="962" customWidth="1"/>
    <col min="10251" max="10251" width="25" style="962" bestFit="1" customWidth="1"/>
    <col min="10252" max="10252" width="23.5546875" style="962" bestFit="1" customWidth="1"/>
    <col min="10253" max="10253" width="23.44140625" style="962" bestFit="1" customWidth="1"/>
    <col min="10254" max="10254" width="23.5546875" style="962" bestFit="1" customWidth="1"/>
    <col min="10255" max="10255" width="18.21875" style="962" bestFit="1" customWidth="1"/>
    <col min="10256" max="10256" width="17.77734375" style="962" bestFit="1" customWidth="1"/>
    <col min="10257" max="10257" width="15.77734375" style="962" bestFit="1" customWidth="1"/>
    <col min="10258" max="10258" width="20.21875" style="962" bestFit="1" customWidth="1"/>
    <col min="10259" max="10259" width="12.21875" style="962" bestFit="1" customWidth="1"/>
    <col min="10260" max="10260" width="21.44140625" style="962" bestFit="1" customWidth="1"/>
    <col min="10261" max="10496" width="9.21875" style="962"/>
    <col min="10497" max="10497" width="14.44140625" style="962" customWidth="1"/>
    <col min="10498" max="10498" width="15.77734375" style="962" bestFit="1" customWidth="1"/>
    <col min="10499" max="10499" width="24.44140625" style="962" bestFit="1" customWidth="1"/>
    <col min="10500" max="10500" width="24.21875" style="962" bestFit="1" customWidth="1"/>
    <col min="10501" max="10501" width="24.5546875" style="962" bestFit="1" customWidth="1"/>
    <col min="10502" max="10502" width="18.44140625" style="962" bestFit="1" customWidth="1"/>
    <col min="10503" max="10503" width="24.77734375" style="962" bestFit="1" customWidth="1"/>
    <col min="10504" max="10504" width="22" style="962" bestFit="1" customWidth="1"/>
    <col min="10505" max="10505" width="22.21875" style="962" bestFit="1" customWidth="1"/>
    <col min="10506" max="10506" width="25.21875" style="962" customWidth="1"/>
    <col min="10507" max="10507" width="25" style="962" bestFit="1" customWidth="1"/>
    <col min="10508" max="10508" width="23.5546875" style="962" bestFit="1" customWidth="1"/>
    <col min="10509" max="10509" width="23.44140625" style="962" bestFit="1" customWidth="1"/>
    <col min="10510" max="10510" width="23.5546875" style="962" bestFit="1" customWidth="1"/>
    <col min="10511" max="10511" width="18.21875" style="962" bestFit="1" customWidth="1"/>
    <col min="10512" max="10512" width="17.77734375" style="962" bestFit="1" customWidth="1"/>
    <col min="10513" max="10513" width="15.77734375" style="962" bestFit="1" customWidth="1"/>
    <col min="10514" max="10514" width="20.21875" style="962" bestFit="1" customWidth="1"/>
    <col min="10515" max="10515" width="12.21875" style="962" bestFit="1" customWidth="1"/>
    <col min="10516" max="10516" width="21.44140625" style="962" bestFit="1" customWidth="1"/>
    <col min="10517" max="10752" width="9.21875" style="962"/>
    <col min="10753" max="10753" width="14.44140625" style="962" customWidth="1"/>
    <col min="10754" max="10754" width="15.77734375" style="962" bestFit="1" customWidth="1"/>
    <col min="10755" max="10755" width="24.44140625" style="962" bestFit="1" customWidth="1"/>
    <col min="10756" max="10756" width="24.21875" style="962" bestFit="1" customWidth="1"/>
    <col min="10757" max="10757" width="24.5546875" style="962" bestFit="1" customWidth="1"/>
    <col min="10758" max="10758" width="18.44140625" style="962" bestFit="1" customWidth="1"/>
    <col min="10759" max="10759" width="24.77734375" style="962" bestFit="1" customWidth="1"/>
    <col min="10760" max="10760" width="22" style="962" bestFit="1" customWidth="1"/>
    <col min="10761" max="10761" width="22.21875" style="962" bestFit="1" customWidth="1"/>
    <col min="10762" max="10762" width="25.21875" style="962" customWidth="1"/>
    <col min="10763" max="10763" width="25" style="962" bestFit="1" customWidth="1"/>
    <col min="10764" max="10764" width="23.5546875" style="962" bestFit="1" customWidth="1"/>
    <col min="10765" max="10765" width="23.44140625" style="962" bestFit="1" customWidth="1"/>
    <col min="10766" max="10766" width="23.5546875" style="962" bestFit="1" customWidth="1"/>
    <col min="10767" max="10767" width="18.21875" style="962" bestFit="1" customWidth="1"/>
    <col min="10768" max="10768" width="17.77734375" style="962" bestFit="1" customWidth="1"/>
    <col min="10769" max="10769" width="15.77734375" style="962" bestFit="1" customWidth="1"/>
    <col min="10770" max="10770" width="20.21875" style="962" bestFit="1" customWidth="1"/>
    <col min="10771" max="10771" width="12.21875" style="962" bestFit="1" customWidth="1"/>
    <col min="10772" max="10772" width="21.44140625" style="962" bestFit="1" customWidth="1"/>
    <col min="10773" max="11008" width="9.21875" style="962"/>
    <col min="11009" max="11009" width="14.44140625" style="962" customWidth="1"/>
    <col min="11010" max="11010" width="15.77734375" style="962" bestFit="1" customWidth="1"/>
    <col min="11011" max="11011" width="24.44140625" style="962" bestFit="1" customWidth="1"/>
    <col min="11012" max="11012" width="24.21875" style="962" bestFit="1" customWidth="1"/>
    <col min="11013" max="11013" width="24.5546875" style="962" bestFit="1" customWidth="1"/>
    <col min="11014" max="11014" width="18.44140625" style="962" bestFit="1" customWidth="1"/>
    <col min="11015" max="11015" width="24.77734375" style="962" bestFit="1" customWidth="1"/>
    <col min="11016" max="11016" width="22" style="962" bestFit="1" customWidth="1"/>
    <col min="11017" max="11017" width="22.21875" style="962" bestFit="1" customWidth="1"/>
    <col min="11018" max="11018" width="25.21875" style="962" customWidth="1"/>
    <col min="11019" max="11019" width="25" style="962" bestFit="1" customWidth="1"/>
    <col min="11020" max="11020" width="23.5546875" style="962" bestFit="1" customWidth="1"/>
    <col min="11021" max="11021" width="23.44140625" style="962" bestFit="1" customWidth="1"/>
    <col min="11022" max="11022" width="23.5546875" style="962" bestFit="1" customWidth="1"/>
    <col min="11023" max="11023" width="18.21875" style="962" bestFit="1" customWidth="1"/>
    <col min="11024" max="11024" width="17.77734375" style="962" bestFit="1" customWidth="1"/>
    <col min="11025" max="11025" width="15.77734375" style="962" bestFit="1" customWidth="1"/>
    <col min="11026" max="11026" width="20.21875" style="962" bestFit="1" customWidth="1"/>
    <col min="11027" max="11027" width="12.21875" style="962" bestFit="1" customWidth="1"/>
    <col min="11028" max="11028" width="21.44140625" style="962" bestFit="1" customWidth="1"/>
    <col min="11029" max="11264" width="9.21875" style="962"/>
    <col min="11265" max="11265" width="14.44140625" style="962" customWidth="1"/>
    <col min="11266" max="11266" width="15.77734375" style="962" bestFit="1" customWidth="1"/>
    <col min="11267" max="11267" width="24.44140625" style="962" bestFit="1" customWidth="1"/>
    <col min="11268" max="11268" width="24.21875" style="962" bestFit="1" customWidth="1"/>
    <col min="11269" max="11269" width="24.5546875" style="962" bestFit="1" customWidth="1"/>
    <col min="11270" max="11270" width="18.44140625" style="962" bestFit="1" customWidth="1"/>
    <col min="11271" max="11271" width="24.77734375" style="962" bestFit="1" customWidth="1"/>
    <col min="11272" max="11272" width="22" style="962" bestFit="1" customWidth="1"/>
    <col min="11273" max="11273" width="22.21875" style="962" bestFit="1" customWidth="1"/>
    <col min="11274" max="11274" width="25.21875" style="962" customWidth="1"/>
    <col min="11275" max="11275" width="25" style="962" bestFit="1" customWidth="1"/>
    <col min="11276" max="11276" width="23.5546875" style="962" bestFit="1" customWidth="1"/>
    <col min="11277" max="11277" width="23.44140625" style="962" bestFit="1" customWidth="1"/>
    <col min="11278" max="11278" width="23.5546875" style="962" bestFit="1" customWidth="1"/>
    <col min="11279" max="11279" width="18.21875" style="962" bestFit="1" customWidth="1"/>
    <col min="11280" max="11280" width="17.77734375" style="962" bestFit="1" customWidth="1"/>
    <col min="11281" max="11281" width="15.77734375" style="962" bestFit="1" customWidth="1"/>
    <col min="11282" max="11282" width="20.21875" style="962" bestFit="1" customWidth="1"/>
    <col min="11283" max="11283" width="12.21875" style="962" bestFit="1" customWidth="1"/>
    <col min="11284" max="11284" width="21.44140625" style="962" bestFit="1" customWidth="1"/>
    <col min="11285" max="11520" width="9.21875" style="962"/>
    <col min="11521" max="11521" width="14.44140625" style="962" customWidth="1"/>
    <col min="11522" max="11522" width="15.77734375" style="962" bestFit="1" customWidth="1"/>
    <col min="11523" max="11523" width="24.44140625" style="962" bestFit="1" customWidth="1"/>
    <col min="11524" max="11524" width="24.21875" style="962" bestFit="1" customWidth="1"/>
    <col min="11525" max="11525" width="24.5546875" style="962" bestFit="1" customWidth="1"/>
    <col min="11526" max="11526" width="18.44140625" style="962" bestFit="1" customWidth="1"/>
    <col min="11527" max="11527" width="24.77734375" style="962" bestFit="1" customWidth="1"/>
    <col min="11528" max="11528" width="22" style="962" bestFit="1" customWidth="1"/>
    <col min="11529" max="11529" width="22.21875" style="962" bestFit="1" customWidth="1"/>
    <col min="11530" max="11530" width="25.21875" style="962" customWidth="1"/>
    <col min="11531" max="11531" width="25" style="962" bestFit="1" customWidth="1"/>
    <col min="11532" max="11532" width="23.5546875" style="962" bestFit="1" customWidth="1"/>
    <col min="11533" max="11533" width="23.44140625" style="962" bestFit="1" customWidth="1"/>
    <col min="11534" max="11534" width="23.5546875" style="962" bestFit="1" customWidth="1"/>
    <col min="11535" max="11535" width="18.21875" style="962" bestFit="1" customWidth="1"/>
    <col min="11536" max="11536" width="17.77734375" style="962" bestFit="1" customWidth="1"/>
    <col min="11537" max="11537" width="15.77734375" style="962" bestFit="1" customWidth="1"/>
    <col min="11538" max="11538" width="20.21875" style="962" bestFit="1" customWidth="1"/>
    <col min="11539" max="11539" width="12.21875" style="962" bestFit="1" customWidth="1"/>
    <col min="11540" max="11540" width="21.44140625" style="962" bestFit="1" customWidth="1"/>
    <col min="11541" max="11776" width="9.21875" style="962"/>
    <col min="11777" max="11777" width="14.44140625" style="962" customWidth="1"/>
    <col min="11778" max="11778" width="15.77734375" style="962" bestFit="1" customWidth="1"/>
    <col min="11779" max="11779" width="24.44140625" style="962" bestFit="1" customWidth="1"/>
    <col min="11780" max="11780" width="24.21875" style="962" bestFit="1" customWidth="1"/>
    <col min="11781" max="11781" width="24.5546875" style="962" bestFit="1" customWidth="1"/>
    <col min="11782" max="11782" width="18.44140625" style="962" bestFit="1" customWidth="1"/>
    <col min="11783" max="11783" width="24.77734375" style="962" bestFit="1" customWidth="1"/>
    <col min="11784" max="11784" width="22" style="962" bestFit="1" customWidth="1"/>
    <col min="11785" max="11785" width="22.21875" style="962" bestFit="1" customWidth="1"/>
    <col min="11786" max="11786" width="25.21875" style="962" customWidth="1"/>
    <col min="11787" max="11787" width="25" style="962" bestFit="1" customWidth="1"/>
    <col min="11788" max="11788" width="23.5546875" style="962" bestFit="1" customWidth="1"/>
    <col min="11789" max="11789" width="23.44140625" style="962" bestFit="1" customWidth="1"/>
    <col min="11790" max="11790" width="23.5546875" style="962" bestFit="1" customWidth="1"/>
    <col min="11791" max="11791" width="18.21875" style="962" bestFit="1" customWidth="1"/>
    <col min="11792" max="11792" width="17.77734375" style="962" bestFit="1" customWidth="1"/>
    <col min="11793" max="11793" width="15.77734375" style="962" bestFit="1" customWidth="1"/>
    <col min="11794" max="11794" width="20.21875" style="962" bestFit="1" customWidth="1"/>
    <col min="11795" max="11795" width="12.21875" style="962" bestFit="1" customWidth="1"/>
    <col min="11796" max="11796" width="21.44140625" style="962" bestFit="1" customWidth="1"/>
    <col min="11797" max="12032" width="9.21875" style="962"/>
    <col min="12033" max="12033" width="14.44140625" style="962" customWidth="1"/>
    <col min="12034" max="12034" width="15.77734375" style="962" bestFit="1" customWidth="1"/>
    <col min="12035" max="12035" width="24.44140625" style="962" bestFit="1" customWidth="1"/>
    <col min="12036" max="12036" width="24.21875" style="962" bestFit="1" customWidth="1"/>
    <col min="12037" max="12037" width="24.5546875" style="962" bestFit="1" customWidth="1"/>
    <col min="12038" max="12038" width="18.44140625" style="962" bestFit="1" customWidth="1"/>
    <col min="12039" max="12039" width="24.77734375" style="962" bestFit="1" customWidth="1"/>
    <col min="12040" max="12040" width="22" style="962" bestFit="1" customWidth="1"/>
    <col min="12041" max="12041" width="22.21875" style="962" bestFit="1" customWidth="1"/>
    <col min="12042" max="12042" width="25.21875" style="962" customWidth="1"/>
    <col min="12043" max="12043" width="25" style="962" bestFit="1" customWidth="1"/>
    <col min="12044" max="12044" width="23.5546875" style="962" bestFit="1" customWidth="1"/>
    <col min="12045" max="12045" width="23.44140625" style="962" bestFit="1" customWidth="1"/>
    <col min="12046" max="12046" width="23.5546875" style="962" bestFit="1" customWidth="1"/>
    <col min="12047" max="12047" width="18.21875" style="962" bestFit="1" customWidth="1"/>
    <col min="12048" max="12048" width="17.77734375" style="962" bestFit="1" customWidth="1"/>
    <col min="12049" max="12049" width="15.77734375" style="962" bestFit="1" customWidth="1"/>
    <col min="12050" max="12050" width="20.21875" style="962" bestFit="1" customWidth="1"/>
    <col min="12051" max="12051" width="12.21875" style="962" bestFit="1" customWidth="1"/>
    <col min="12052" max="12052" width="21.44140625" style="962" bestFit="1" customWidth="1"/>
    <col min="12053" max="12288" width="9.21875" style="962"/>
    <col min="12289" max="12289" width="14.44140625" style="962" customWidth="1"/>
    <col min="12290" max="12290" width="15.77734375" style="962" bestFit="1" customWidth="1"/>
    <col min="12291" max="12291" width="24.44140625" style="962" bestFit="1" customWidth="1"/>
    <col min="12292" max="12292" width="24.21875" style="962" bestFit="1" customWidth="1"/>
    <col min="12293" max="12293" width="24.5546875" style="962" bestFit="1" customWidth="1"/>
    <col min="12294" max="12294" width="18.44140625" style="962" bestFit="1" customWidth="1"/>
    <col min="12295" max="12295" width="24.77734375" style="962" bestFit="1" customWidth="1"/>
    <col min="12296" max="12296" width="22" style="962" bestFit="1" customWidth="1"/>
    <col min="12297" max="12297" width="22.21875" style="962" bestFit="1" customWidth="1"/>
    <col min="12298" max="12298" width="25.21875" style="962" customWidth="1"/>
    <col min="12299" max="12299" width="25" style="962" bestFit="1" customWidth="1"/>
    <col min="12300" max="12300" width="23.5546875" style="962" bestFit="1" customWidth="1"/>
    <col min="12301" max="12301" width="23.44140625" style="962" bestFit="1" customWidth="1"/>
    <col min="12302" max="12302" width="23.5546875" style="962" bestFit="1" customWidth="1"/>
    <col min="12303" max="12303" width="18.21875" style="962" bestFit="1" customWidth="1"/>
    <col min="12304" max="12304" width="17.77734375" style="962" bestFit="1" customWidth="1"/>
    <col min="12305" max="12305" width="15.77734375" style="962" bestFit="1" customWidth="1"/>
    <col min="12306" max="12306" width="20.21875" style="962" bestFit="1" customWidth="1"/>
    <col min="12307" max="12307" width="12.21875" style="962" bestFit="1" customWidth="1"/>
    <col min="12308" max="12308" width="21.44140625" style="962" bestFit="1" customWidth="1"/>
    <col min="12309" max="12544" width="9.21875" style="962"/>
    <col min="12545" max="12545" width="14.44140625" style="962" customWidth="1"/>
    <col min="12546" max="12546" width="15.77734375" style="962" bestFit="1" customWidth="1"/>
    <col min="12547" max="12547" width="24.44140625" style="962" bestFit="1" customWidth="1"/>
    <col min="12548" max="12548" width="24.21875" style="962" bestFit="1" customWidth="1"/>
    <col min="12549" max="12549" width="24.5546875" style="962" bestFit="1" customWidth="1"/>
    <col min="12550" max="12550" width="18.44140625" style="962" bestFit="1" customWidth="1"/>
    <col min="12551" max="12551" width="24.77734375" style="962" bestFit="1" customWidth="1"/>
    <col min="12552" max="12552" width="22" style="962" bestFit="1" customWidth="1"/>
    <col min="12553" max="12553" width="22.21875" style="962" bestFit="1" customWidth="1"/>
    <col min="12554" max="12554" width="25.21875" style="962" customWidth="1"/>
    <col min="12555" max="12555" width="25" style="962" bestFit="1" customWidth="1"/>
    <col min="12556" max="12556" width="23.5546875" style="962" bestFit="1" customWidth="1"/>
    <col min="12557" max="12557" width="23.44140625" style="962" bestFit="1" customWidth="1"/>
    <col min="12558" max="12558" width="23.5546875" style="962" bestFit="1" customWidth="1"/>
    <col min="12559" max="12559" width="18.21875" style="962" bestFit="1" customWidth="1"/>
    <col min="12560" max="12560" width="17.77734375" style="962" bestFit="1" customWidth="1"/>
    <col min="12561" max="12561" width="15.77734375" style="962" bestFit="1" customWidth="1"/>
    <col min="12562" max="12562" width="20.21875" style="962" bestFit="1" customWidth="1"/>
    <col min="12563" max="12563" width="12.21875" style="962" bestFit="1" customWidth="1"/>
    <col min="12564" max="12564" width="21.44140625" style="962" bestFit="1" customWidth="1"/>
    <col min="12565" max="12800" width="9.21875" style="962"/>
    <col min="12801" max="12801" width="14.44140625" style="962" customWidth="1"/>
    <col min="12802" max="12802" width="15.77734375" style="962" bestFit="1" customWidth="1"/>
    <col min="12803" max="12803" width="24.44140625" style="962" bestFit="1" customWidth="1"/>
    <col min="12804" max="12804" width="24.21875" style="962" bestFit="1" customWidth="1"/>
    <col min="12805" max="12805" width="24.5546875" style="962" bestFit="1" customWidth="1"/>
    <col min="12806" max="12806" width="18.44140625" style="962" bestFit="1" customWidth="1"/>
    <col min="12807" max="12807" width="24.77734375" style="962" bestFit="1" customWidth="1"/>
    <col min="12808" max="12808" width="22" style="962" bestFit="1" customWidth="1"/>
    <col min="12809" max="12809" width="22.21875" style="962" bestFit="1" customWidth="1"/>
    <col min="12810" max="12810" width="25.21875" style="962" customWidth="1"/>
    <col min="12811" max="12811" width="25" style="962" bestFit="1" customWidth="1"/>
    <col min="12812" max="12812" width="23.5546875" style="962" bestFit="1" customWidth="1"/>
    <col min="12813" max="12813" width="23.44140625" style="962" bestFit="1" customWidth="1"/>
    <col min="12814" max="12814" width="23.5546875" style="962" bestFit="1" customWidth="1"/>
    <col min="12815" max="12815" width="18.21875" style="962" bestFit="1" customWidth="1"/>
    <col min="12816" max="12816" width="17.77734375" style="962" bestFit="1" customWidth="1"/>
    <col min="12817" max="12817" width="15.77734375" style="962" bestFit="1" customWidth="1"/>
    <col min="12818" max="12818" width="20.21875" style="962" bestFit="1" customWidth="1"/>
    <col min="12819" max="12819" width="12.21875" style="962" bestFit="1" customWidth="1"/>
    <col min="12820" max="12820" width="21.44140625" style="962" bestFit="1" customWidth="1"/>
    <col min="12821" max="13056" width="9.21875" style="962"/>
    <col min="13057" max="13057" width="14.44140625" style="962" customWidth="1"/>
    <col min="13058" max="13058" width="15.77734375" style="962" bestFit="1" customWidth="1"/>
    <col min="13059" max="13059" width="24.44140625" style="962" bestFit="1" customWidth="1"/>
    <col min="13060" max="13060" width="24.21875" style="962" bestFit="1" customWidth="1"/>
    <col min="13061" max="13061" width="24.5546875" style="962" bestFit="1" customWidth="1"/>
    <col min="13062" max="13062" width="18.44140625" style="962" bestFit="1" customWidth="1"/>
    <col min="13063" max="13063" width="24.77734375" style="962" bestFit="1" customWidth="1"/>
    <col min="13064" max="13064" width="22" style="962" bestFit="1" customWidth="1"/>
    <col min="13065" max="13065" width="22.21875" style="962" bestFit="1" customWidth="1"/>
    <col min="13066" max="13066" width="25.21875" style="962" customWidth="1"/>
    <col min="13067" max="13067" width="25" style="962" bestFit="1" customWidth="1"/>
    <col min="13068" max="13068" width="23.5546875" style="962" bestFit="1" customWidth="1"/>
    <col min="13069" max="13069" width="23.44140625" style="962" bestFit="1" customWidth="1"/>
    <col min="13070" max="13070" width="23.5546875" style="962" bestFit="1" customWidth="1"/>
    <col min="13071" max="13071" width="18.21875" style="962" bestFit="1" customWidth="1"/>
    <col min="13072" max="13072" width="17.77734375" style="962" bestFit="1" customWidth="1"/>
    <col min="13073" max="13073" width="15.77734375" style="962" bestFit="1" customWidth="1"/>
    <col min="13074" max="13074" width="20.21875" style="962" bestFit="1" customWidth="1"/>
    <col min="13075" max="13075" width="12.21875" style="962" bestFit="1" customWidth="1"/>
    <col min="13076" max="13076" width="21.44140625" style="962" bestFit="1" customWidth="1"/>
    <col min="13077" max="13312" width="9.21875" style="962"/>
    <col min="13313" max="13313" width="14.44140625" style="962" customWidth="1"/>
    <col min="13314" max="13314" width="15.77734375" style="962" bestFit="1" customWidth="1"/>
    <col min="13315" max="13315" width="24.44140625" style="962" bestFit="1" customWidth="1"/>
    <col min="13316" max="13316" width="24.21875" style="962" bestFit="1" customWidth="1"/>
    <col min="13317" max="13317" width="24.5546875" style="962" bestFit="1" customWidth="1"/>
    <col min="13318" max="13318" width="18.44140625" style="962" bestFit="1" customWidth="1"/>
    <col min="13319" max="13319" width="24.77734375" style="962" bestFit="1" customWidth="1"/>
    <col min="13320" max="13320" width="22" style="962" bestFit="1" customWidth="1"/>
    <col min="13321" max="13321" width="22.21875" style="962" bestFit="1" customWidth="1"/>
    <col min="13322" max="13322" width="25.21875" style="962" customWidth="1"/>
    <col min="13323" max="13323" width="25" style="962" bestFit="1" customWidth="1"/>
    <col min="13324" max="13324" width="23.5546875" style="962" bestFit="1" customWidth="1"/>
    <col min="13325" max="13325" width="23.44140625" style="962" bestFit="1" customWidth="1"/>
    <col min="13326" max="13326" width="23.5546875" style="962" bestFit="1" customWidth="1"/>
    <col min="13327" max="13327" width="18.21875" style="962" bestFit="1" customWidth="1"/>
    <col min="13328" max="13328" width="17.77734375" style="962" bestFit="1" customWidth="1"/>
    <col min="13329" max="13329" width="15.77734375" style="962" bestFit="1" customWidth="1"/>
    <col min="13330" max="13330" width="20.21875" style="962" bestFit="1" customWidth="1"/>
    <col min="13331" max="13331" width="12.21875" style="962" bestFit="1" customWidth="1"/>
    <col min="13332" max="13332" width="21.44140625" style="962" bestFit="1" customWidth="1"/>
    <col min="13333" max="13568" width="9.21875" style="962"/>
    <col min="13569" max="13569" width="14.44140625" style="962" customWidth="1"/>
    <col min="13570" max="13570" width="15.77734375" style="962" bestFit="1" customWidth="1"/>
    <col min="13571" max="13571" width="24.44140625" style="962" bestFit="1" customWidth="1"/>
    <col min="13572" max="13572" width="24.21875" style="962" bestFit="1" customWidth="1"/>
    <col min="13573" max="13573" width="24.5546875" style="962" bestFit="1" customWidth="1"/>
    <col min="13574" max="13574" width="18.44140625" style="962" bestFit="1" customWidth="1"/>
    <col min="13575" max="13575" width="24.77734375" style="962" bestFit="1" customWidth="1"/>
    <col min="13576" max="13576" width="22" style="962" bestFit="1" customWidth="1"/>
    <col min="13577" max="13577" width="22.21875" style="962" bestFit="1" customWidth="1"/>
    <col min="13578" max="13578" width="25.21875" style="962" customWidth="1"/>
    <col min="13579" max="13579" width="25" style="962" bestFit="1" customWidth="1"/>
    <col min="13580" max="13580" width="23.5546875" style="962" bestFit="1" customWidth="1"/>
    <col min="13581" max="13581" width="23.44140625" style="962" bestFit="1" customWidth="1"/>
    <col min="13582" max="13582" width="23.5546875" style="962" bestFit="1" customWidth="1"/>
    <col min="13583" max="13583" width="18.21875" style="962" bestFit="1" customWidth="1"/>
    <col min="13584" max="13584" width="17.77734375" style="962" bestFit="1" customWidth="1"/>
    <col min="13585" max="13585" width="15.77734375" style="962" bestFit="1" customWidth="1"/>
    <col min="13586" max="13586" width="20.21875" style="962" bestFit="1" customWidth="1"/>
    <col min="13587" max="13587" width="12.21875" style="962" bestFit="1" customWidth="1"/>
    <col min="13588" max="13588" width="21.44140625" style="962" bestFit="1" customWidth="1"/>
    <col min="13589" max="13824" width="9.21875" style="962"/>
    <col min="13825" max="13825" width="14.44140625" style="962" customWidth="1"/>
    <col min="13826" max="13826" width="15.77734375" style="962" bestFit="1" customWidth="1"/>
    <col min="13827" max="13827" width="24.44140625" style="962" bestFit="1" customWidth="1"/>
    <col min="13828" max="13828" width="24.21875" style="962" bestFit="1" customWidth="1"/>
    <col min="13829" max="13829" width="24.5546875" style="962" bestFit="1" customWidth="1"/>
    <col min="13830" max="13830" width="18.44140625" style="962" bestFit="1" customWidth="1"/>
    <col min="13831" max="13831" width="24.77734375" style="962" bestFit="1" customWidth="1"/>
    <col min="13832" max="13832" width="22" style="962" bestFit="1" customWidth="1"/>
    <col min="13833" max="13833" width="22.21875" style="962" bestFit="1" customWidth="1"/>
    <col min="13834" max="13834" width="25.21875" style="962" customWidth="1"/>
    <col min="13835" max="13835" width="25" style="962" bestFit="1" customWidth="1"/>
    <col min="13836" max="13836" width="23.5546875" style="962" bestFit="1" customWidth="1"/>
    <col min="13837" max="13837" width="23.44140625" style="962" bestFit="1" customWidth="1"/>
    <col min="13838" max="13838" width="23.5546875" style="962" bestFit="1" customWidth="1"/>
    <col min="13839" max="13839" width="18.21875" style="962" bestFit="1" customWidth="1"/>
    <col min="13840" max="13840" width="17.77734375" style="962" bestFit="1" customWidth="1"/>
    <col min="13841" max="13841" width="15.77734375" style="962" bestFit="1" customWidth="1"/>
    <col min="13842" max="13842" width="20.21875" style="962" bestFit="1" customWidth="1"/>
    <col min="13843" max="13843" width="12.21875" style="962" bestFit="1" customWidth="1"/>
    <col min="13844" max="13844" width="21.44140625" style="962" bestFit="1" customWidth="1"/>
    <col min="13845" max="14080" width="9.21875" style="962"/>
    <col min="14081" max="14081" width="14.44140625" style="962" customWidth="1"/>
    <col min="14082" max="14082" width="15.77734375" style="962" bestFit="1" customWidth="1"/>
    <col min="14083" max="14083" width="24.44140625" style="962" bestFit="1" customWidth="1"/>
    <col min="14084" max="14084" width="24.21875" style="962" bestFit="1" customWidth="1"/>
    <col min="14085" max="14085" width="24.5546875" style="962" bestFit="1" customWidth="1"/>
    <col min="14086" max="14086" width="18.44140625" style="962" bestFit="1" customWidth="1"/>
    <col min="14087" max="14087" width="24.77734375" style="962" bestFit="1" customWidth="1"/>
    <col min="14088" max="14088" width="22" style="962" bestFit="1" customWidth="1"/>
    <col min="14089" max="14089" width="22.21875" style="962" bestFit="1" customWidth="1"/>
    <col min="14090" max="14090" width="25.21875" style="962" customWidth="1"/>
    <col min="14091" max="14091" width="25" style="962" bestFit="1" customWidth="1"/>
    <col min="14092" max="14092" width="23.5546875" style="962" bestFit="1" customWidth="1"/>
    <col min="14093" max="14093" width="23.44140625" style="962" bestFit="1" customWidth="1"/>
    <col min="14094" max="14094" width="23.5546875" style="962" bestFit="1" customWidth="1"/>
    <col min="14095" max="14095" width="18.21875" style="962" bestFit="1" customWidth="1"/>
    <col min="14096" max="14096" width="17.77734375" style="962" bestFit="1" customWidth="1"/>
    <col min="14097" max="14097" width="15.77734375" style="962" bestFit="1" customWidth="1"/>
    <col min="14098" max="14098" width="20.21875" style="962" bestFit="1" customWidth="1"/>
    <col min="14099" max="14099" width="12.21875" style="962" bestFit="1" customWidth="1"/>
    <col min="14100" max="14100" width="21.44140625" style="962" bestFit="1" customWidth="1"/>
    <col min="14101" max="14336" width="9.21875" style="962"/>
    <col min="14337" max="14337" width="14.44140625" style="962" customWidth="1"/>
    <col min="14338" max="14338" width="15.77734375" style="962" bestFit="1" customWidth="1"/>
    <col min="14339" max="14339" width="24.44140625" style="962" bestFit="1" customWidth="1"/>
    <col min="14340" max="14340" width="24.21875" style="962" bestFit="1" customWidth="1"/>
    <col min="14341" max="14341" width="24.5546875" style="962" bestFit="1" customWidth="1"/>
    <col min="14342" max="14342" width="18.44140625" style="962" bestFit="1" customWidth="1"/>
    <col min="14343" max="14343" width="24.77734375" style="962" bestFit="1" customWidth="1"/>
    <col min="14344" max="14344" width="22" style="962" bestFit="1" customWidth="1"/>
    <col min="14345" max="14345" width="22.21875" style="962" bestFit="1" customWidth="1"/>
    <col min="14346" max="14346" width="25.21875" style="962" customWidth="1"/>
    <col min="14347" max="14347" width="25" style="962" bestFit="1" customWidth="1"/>
    <col min="14348" max="14348" width="23.5546875" style="962" bestFit="1" customWidth="1"/>
    <col min="14349" max="14349" width="23.44140625" style="962" bestFit="1" customWidth="1"/>
    <col min="14350" max="14350" width="23.5546875" style="962" bestFit="1" customWidth="1"/>
    <col min="14351" max="14351" width="18.21875" style="962" bestFit="1" customWidth="1"/>
    <col min="14352" max="14352" width="17.77734375" style="962" bestFit="1" customWidth="1"/>
    <col min="14353" max="14353" width="15.77734375" style="962" bestFit="1" customWidth="1"/>
    <col min="14354" max="14354" width="20.21875" style="962" bestFit="1" customWidth="1"/>
    <col min="14355" max="14355" width="12.21875" style="962" bestFit="1" customWidth="1"/>
    <col min="14356" max="14356" width="21.44140625" style="962" bestFit="1" customWidth="1"/>
    <col min="14357" max="14592" width="9.21875" style="962"/>
    <col min="14593" max="14593" width="14.44140625" style="962" customWidth="1"/>
    <col min="14594" max="14594" width="15.77734375" style="962" bestFit="1" customWidth="1"/>
    <col min="14595" max="14595" width="24.44140625" style="962" bestFit="1" customWidth="1"/>
    <col min="14596" max="14596" width="24.21875" style="962" bestFit="1" customWidth="1"/>
    <col min="14597" max="14597" width="24.5546875" style="962" bestFit="1" customWidth="1"/>
    <col min="14598" max="14598" width="18.44140625" style="962" bestFit="1" customWidth="1"/>
    <col min="14599" max="14599" width="24.77734375" style="962" bestFit="1" customWidth="1"/>
    <col min="14600" max="14600" width="22" style="962" bestFit="1" customWidth="1"/>
    <col min="14601" max="14601" width="22.21875" style="962" bestFit="1" customWidth="1"/>
    <col min="14602" max="14602" width="25.21875" style="962" customWidth="1"/>
    <col min="14603" max="14603" width="25" style="962" bestFit="1" customWidth="1"/>
    <col min="14604" max="14604" width="23.5546875" style="962" bestFit="1" customWidth="1"/>
    <col min="14605" max="14605" width="23.44140625" style="962" bestFit="1" customWidth="1"/>
    <col min="14606" max="14606" width="23.5546875" style="962" bestFit="1" customWidth="1"/>
    <col min="14607" max="14607" width="18.21875" style="962" bestFit="1" customWidth="1"/>
    <col min="14608" max="14608" width="17.77734375" style="962" bestFit="1" customWidth="1"/>
    <col min="14609" max="14609" width="15.77734375" style="962" bestFit="1" customWidth="1"/>
    <col min="14610" max="14610" width="20.21875" style="962" bestFit="1" customWidth="1"/>
    <col min="14611" max="14611" width="12.21875" style="962" bestFit="1" customWidth="1"/>
    <col min="14612" max="14612" width="21.44140625" style="962" bestFit="1" customWidth="1"/>
    <col min="14613" max="14848" width="9.21875" style="962"/>
    <col min="14849" max="14849" width="14.44140625" style="962" customWidth="1"/>
    <col min="14850" max="14850" width="15.77734375" style="962" bestFit="1" customWidth="1"/>
    <col min="14851" max="14851" width="24.44140625" style="962" bestFit="1" customWidth="1"/>
    <col min="14852" max="14852" width="24.21875" style="962" bestFit="1" customWidth="1"/>
    <col min="14853" max="14853" width="24.5546875" style="962" bestFit="1" customWidth="1"/>
    <col min="14854" max="14854" width="18.44140625" style="962" bestFit="1" customWidth="1"/>
    <col min="14855" max="14855" width="24.77734375" style="962" bestFit="1" customWidth="1"/>
    <col min="14856" max="14856" width="22" style="962" bestFit="1" customWidth="1"/>
    <col min="14857" max="14857" width="22.21875" style="962" bestFit="1" customWidth="1"/>
    <col min="14858" max="14858" width="25.21875" style="962" customWidth="1"/>
    <col min="14859" max="14859" width="25" style="962" bestFit="1" customWidth="1"/>
    <col min="14860" max="14860" width="23.5546875" style="962" bestFit="1" customWidth="1"/>
    <col min="14861" max="14861" width="23.44140625" style="962" bestFit="1" customWidth="1"/>
    <col min="14862" max="14862" width="23.5546875" style="962" bestFit="1" customWidth="1"/>
    <col min="14863" max="14863" width="18.21875" style="962" bestFit="1" customWidth="1"/>
    <col min="14864" max="14864" width="17.77734375" style="962" bestFit="1" customWidth="1"/>
    <col min="14865" max="14865" width="15.77734375" style="962" bestFit="1" customWidth="1"/>
    <col min="14866" max="14866" width="20.21875" style="962" bestFit="1" customWidth="1"/>
    <col min="14867" max="14867" width="12.21875" style="962" bestFit="1" customWidth="1"/>
    <col min="14868" max="14868" width="21.44140625" style="962" bestFit="1" customWidth="1"/>
    <col min="14869" max="15104" width="9.21875" style="962"/>
    <col min="15105" max="15105" width="14.44140625" style="962" customWidth="1"/>
    <col min="15106" max="15106" width="15.77734375" style="962" bestFit="1" customWidth="1"/>
    <col min="15107" max="15107" width="24.44140625" style="962" bestFit="1" customWidth="1"/>
    <col min="15108" max="15108" width="24.21875" style="962" bestFit="1" customWidth="1"/>
    <col min="15109" max="15109" width="24.5546875" style="962" bestFit="1" customWidth="1"/>
    <col min="15110" max="15110" width="18.44140625" style="962" bestFit="1" customWidth="1"/>
    <col min="15111" max="15111" width="24.77734375" style="962" bestFit="1" customWidth="1"/>
    <col min="15112" max="15112" width="22" style="962" bestFit="1" customWidth="1"/>
    <col min="15113" max="15113" width="22.21875" style="962" bestFit="1" customWidth="1"/>
    <col min="15114" max="15114" width="25.21875" style="962" customWidth="1"/>
    <col min="15115" max="15115" width="25" style="962" bestFit="1" customWidth="1"/>
    <col min="15116" max="15116" width="23.5546875" style="962" bestFit="1" customWidth="1"/>
    <col min="15117" max="15117" width="23.44140625" style="962" bestFit="1" customWidth="1"/>
    <col min="15118" max="15118" width="23.5546875" style="962" bestFit="1" customWidth="1"/>
    <col min="15119" max="15119" width="18.21875" style="962" bestFit="1" customWidth="1"/>
    <col min="15120" max="15120" width="17.77734375" style="962" bestFit="1" customWidth="1"/>
    <col min="15121" max="15121" width="15.77734375" style="962" bestFit="1" customWidth="1"/>
    <col min="15122" max="15122" width="20.21875" style="962" bestFit="1" customWidth="1"/>
    <col min="15123" max="15123" width="12.21875" style="962" bestFit="1" customWidth="1"/>
    <col min="15124" max="15124" width="21.44140625" style="962" bestFit="1" customWidth="1"/>
    <col min="15125" max="15360" width="9.21875" style="962"/>
    <col min="15361" max="15361" width="14.44140625" style="962" customWidth="1"/>
    <col min="15362" max="15362" width="15.77734375" style="962" bestFit="1" customWidth="1"/>
    <col min="15363" max="15363" width="24.44140625" style="962" bestFit="1" customWidth="1"/>
    <col min="15364" max="15364" width="24.21875" style="962" bestFit="1" customWidth="1"/>
    <col min="15365" max="15365" width="24.5546875" style="962" bestFit="1" customWidth="1"/>
    <col min="15366" max="15366" width="18.44140625" style="962" bestFit="1" customWidth="1"/>
    <col min="15367" max="15367" width="24.77734375" style="962" bestFit="1" customWidth="1"/>
    <col min="15368" max="15368" width="22" style="962" bestFit="1" customWidth="1"/>
    <col min="15369" max="15369" width="22.21875" style="962" bestFit="1" customWidth="1"/>
    <col min="15370" max="15370" width="25.21875" style="962" customWidth="1"/>
    <col min="15371" max="15371" width="25" style="962" bestFit="1" customWidth="1"/>
    <col min="15372" max="15372" width="23.5546875" style="962" bestFit="1" customWidth="1"/>
    <col min="15373" max="15373" width="23.44140625" style="962" bestFit="1" customWidth="1"/>
    <col min="15374" max="15374" width="23.5546875" style="962" bestFit="1" customWidth="1"/>
    <col min="15375" max="15375" width="18.21875" style="962" bestFit="1" customWidth="1"/>
    <col min="15376" max="15376" width="17.77734375" style="962" bestFit="1" customWidth="1"/>
    <col min="15377" max="15377" width="15.77734375" style="962" bestFit="1" customWidth="1"/>
    <col min="15378" max="15378" width="20.21875" style="962" bestFit="1" customWidth="1"/>
    <col min="15379" max="15379" width="12.21875" style="962" bestFit="1" customWidth="1"/>
    <col min="15380" max="15380" width="21.44140625" style="962" bestFit="1" customWidth="1"/>
    <col min="15381" max="15616" width="9.21875" style="962"/>
    <col min="15617" max="15617" width="14.44140625" style="962" customWidth="1"/>
    <col min="15618" max="15618" width="15.77734375" style="962" bestFit="1" customWidth="1"/>
    <col min="15619" max="15619" width="24.44140625" style="962" bestFit="1" customWidth="1"/>
    <col min="15620" max="15620" width="24.21875" style="962" bestFit="1" customWidth="1"/>
    <col min="15621" max="15621" width="24.5546875" style="962" bestFit="1" customWidth="1"/>
    <col min="15622" max="15622" width="18.44140625" style="962" bestFit="1" customWidth="1"/>
    <col min="15623" max="15623" width="24.77734375" style="962" bestFit="1" customWidth="1"/>
    <col min="15624" max="15624" width="22" style="962" bestFit="1" customWidth="1"/>
    <col min="15625" max="15625" width="22.21875" style="962" bestFit="1" customWidth="1"/>
    <col min="15626" max="15626" width="25.21875" style="962" customWidth="1"/>
    <col min="15627" max="15627" width="25" style="962" bestFit="1" customWidth="1"/>
    <col min="15628" max="15628" width="23.5546875" style="962" bestFit="1" customWidth="1"/>
    <col min="15629" max="15629" width="23.44140625" style="962" bestFit="1" customWidth="1"/>
    <col min="15630" max="15630" width="23.5546875" style="962" bestFit="1" customWidth="1"/>
    <col min="15631" max="15631" width="18.21875" style="962" bestFit="1" customWidth="1"/>
    <col min="15632" max="15632" width="17.77734375" style="962" bestFit="1" customWidth="1"/>
    <col min="15633" max="15633" width="15.77734375" style="962" bestFit="1" customWidth="1"/>
    <col min="15634" max="15634" width="20.21875" style="962" bestFit="1" customWidth="1"/>
    <col min="15635" max="15635" width="12.21875" style="962" bestFit="1" customWidth="1"/>
    <col min="15636" max="15636" width="21.44140625" style="962" bestFit="1" customWidth="1"/>
    <col min="15637" max="15872" width="9.21875" style="962"/>
    <col min="15873" max="15873" width="14.44140625" style="962" customWidth="1"/>
    <col min="15874" max="15874" width="15.77734375" style="962" bestFit="1" customWidth="1"/>
    <col min="15875" max="15875" width="24.44140625" style="962" bestFit="1" customWidth="1"/>
    <col min="15876" max="15876" width="24.21875" style="962" bestFit="1" customWidth="1"/>
    <col min="15877" max="15877" width="24.5546875" style="962" bestFit="1" customWidth="1"/>
    <col min="15878" max="15878" width="18.44140625" style="962" bestFit="1" customWidth="1"/>
    <col min="15879" max="15879" width="24.77734375" style="962" bestFit="1" customWidth="1"/>
    <col min="15880" max="15880" width="22" style="962" bestFit="1" customWidth="1"/>
    <col min="15881" max="15881" width="22.21875" style="962" bestFit="1" customWidth="1"/>
    <col min="15882" max="15882" width="25.21875" style="962" customWidth="1"/>
    <col min="15883" max="15883" width="25" style="962" bestFit="1" customWidth="1"/>
    <col min="15884" max="15884" width="23.5546875" style="962" bestFit="1" customWidth="1"/>
    <col min="15885" max="15885" width="23.44140625" style="962" bestFit="1" customWidth="1"/>
    <col min="15886" max="15886" width="23.5546875" style="962" bestFit="1" customWidth="1"/>
    <col min="15887" max="15887" width="18.21875" style="962" bestFit="1" customWidth="1"/>
    <col min="15888" max="15888" width="17.77734375" style="962" bestFit="1" customWidth="1"/>
    <col min="15889" max="15889" width="15.77734375" style="962" bestFit="1" customWidth="1"/>
    <col min="15890" max="15890" width="20.21875" style="962" bestFit="1" customWidth="1"/>
    <col min="15891" max="15891" width="12.21875" style="962" bestFit="1" customWidth="1"/>
    <col min="15892" max="15892" width="21.44140625" style="962" bestFit="1" customWidth="1"/>
    <col min="15893" max="16128" width="9.21875" style="962"/>
    <col min="16129" max="16129" width="14.44140625" style="962" customWidth="1"/>
    <col min="16130" max="16130" width="15.77734375" style="962" bestFit="1" customWidth="1"/>
    <col min="16131" max="16131" width="24.44140625" style="962" bestFit="1" customWidth="1"/>
    <col min="16132" max="16132" width="24.21875" style="962" bestFit="1" customWidth="1"/>
    <col min="16133" max="16133" width="24.5546875" style="962" bestFit="1" customWidth="1"/>
    <col min="16134" max="16134" width="18.44140625" style="962" bestFit="1" customWidth="1"/>
    <col min="16135" max="16135" width="24.77734375" style="962" bestFit="1" customWidth="1"/>
    <col min="16136" max="16136" width="22" style="962" bestFit="1" customWidth="1"/>
    <col min="16137" max="16137" width="22.21875" style="962" bestFit="1" customWidth="1"/>
    <col min="16138" max="16138" width="25.21875" style="962" customWidth="1"/>
    <col min="16139" max="16139" width="25" style="962" bestFit="1" customWidth="1"/>
    <col min="16140" max="16140" width="23.5546875" style="962" bestFit="1" customWidth="1"/>
    <col min="16141" max="16141" width="23.44140625" style="962" bestFit="1" customWidth="1"/>
    <col min="16142" max="16142" width="23.5546875" style="962" bestFit="1" customWidth="1"/>
    <col min="16143" max="16143" width="18.21875" style="962" bestFit="1" customWidth="1"/>
    <col min="16144" max="16144" width="17.77734375" style="962" bestFit="1" customWidth="1"/>
    <col min="16145" max="16145" width="15.77734375" style="962" bestFit="1" customWidth="1"/>
    <col min="16146" max="16146" width="20.21875" style="962" bestFit="1" customWidth="1"/>
    <col min="16147" max="16147" width="12.21875" style="962" bestFit="1" customWidth="1"/>
    <col min="16148" max="16148" width="21.44140625" style="962" bestFit="1" customWidth="1"/>
    <col min="16149" max="16384" width="9.21875" style="962"/>
  </cols>
  <sheetData>
    <row r="1" spans="1:20" s="961" customFormat="1" ht="51" customHeight="1">
      <c r="A1" s="961" t="str">
        <f>'Data Entry - SOF'!B2</f>
        <v>000-000</v>
      </c>
      <c r="B1" s="971" t="s">
        <v>8053</v>
      </c>
      <c r="C1" s="971" t="s">
        <v>8054</v>
      </c>
      <c r="D1" s="971" t="s">
        <v>7781</v>
      </c>
      <c r="E1" s="971" t="s">
        <v>7782</v>
      </c>
      <c r="F1" s="971" t="s">
        <v>8055</v>
      </c>
      <c r="G1" s="971" t="s">
        <v>7783</v>
      </c>
      <c r="H1" s="971" t="s">
        <v>7784</v>
      </c>
      <c r="I1" s="971" t="s">
        <v>7785</v>
      </c>
      <c r="J1" s="971" t="s">
        <v>7786</v>
      </c>
      <c r="K1" s="971" t="s">
        <v>7787</v>
      </c>
      <c r="L1" s="971" t="s">
        <v>7788</v>
      </c>
      <c r="M1" s="971" t="s">
        <v>7789</v>
      </c>
      <c r="N1" s="971" t="s">
        <v>7790</v>
      </c>
      <c r="O1" s="971" t="s">
        <v>7791</v>
      </c>
      <c r="P1" s="971" t="s">
        <v>7792</v>
      </c>
      <c r="Q1" s="971" t="s">
        <v>8056</v>
      </c>
      <c r="R1" s="961" t="s">
        <v>7793</v>
      </c>
      <c r="T1" s="971" t="s">
        <v>8057</v>
      </c>
    </row>
    <row r="2" spans="1:20" ht="13.8" thickBot="1">
      <c r="B2" s="972" t="s">
        <v>8058</v>
      </c>
      <c r="C2" s="972" t="s">
        <v>8059</v>
      </c>
      <c r="D2" s="972" t="s">
        <v>8060</v>
      </c>
      <c r="E2" s="972" t="s">
        <v>8061</v>
      </c>
      <c r="F2" s="972" t="s">
        <v>8062</v>
      </c>
      <c r="G2" s="972" t="s">
        <v>8063</v>
      </c>
      <c r="H2" s="972" t="s">
        <v>8064</v>
      </c>
      <c r="I2" s="972" t="s">
        <v>8065</v>
      </c>
      <c r="J2" s="972" t="s">
        <v>8066</v>
      </c>
      <c r="K2" s="972" t="s">
        <v>8067</v>
      </c>
      <c r="L2" s="972" t="s">
        <v>8068</v>
      </c>
      <c r="M2" s="972" t="s">
        <v>8069</v>
      </c>
      <c r="N2" s="972" t="s">
        <v>8070</v>
      </c>
      <c r="O2" s="972" t="s">
        <v>8071</v>
      </c>
      <c r="P2" s="972" t="s">
        <v>8072</v>
      </c>
      <c r="Q2" s="972" t="s">
        <v>8073</v>
      </c>
      <c r="R2" s="962" t="s">
        <v>8074</v>
      </c>
      <c r="S2" s="962" t="s">
        <v>8075</v>
      </c>
      <c r="T2" s="972" t="s">
        <v>8076</v>
      </c>
    </row>
    <row r="3" spans="1:20" s="471" customFormat="1" ht="13.8" thickBot="1">
      <c r="A3" s="973" t="e">
        <f>VLOOKUP($A$1,$A$4:A1250,1,FALSE)</f>
        <v>#N/A</v>
      </c>
      <c r="B3" s="974" t="e">
        <f>VLOOKUP($A$1,$A$4:B1250,2,FALSE)</f>
        <v>#N/A</v>
      </c>
      <c r="C3" s="974" t="e">
        <f>VLOOKUP($A$1,$A$4:C1250,3,FALSE)</f>
        <v>#N/A</v>
      </c>
      <c r="D3" s="974" t="e">
        <f>VLOOKUP($A$1,$A$4:D1250,4,FALSE)</f>
        <v>#N/A</v>
      </c>
      <c r="E3" s="974" t="e">
        <f>VLOOKUP($A$1,$A$4:E1250,5,FALSE)</f>
        <v>#N/A</v>
      </c>
      <c r="F3" s="974" t="e">
        <f>VLOOKUP($A$1,$A$4:F1250,6,FALSE)</f>
        <v>#N/A</v>
      </c>
      <c r="G3" s="974" t="e">
        <f>VLOOKUP($A$1,$A$4:G1250,7,FALSE)</f>
        <v>#N/A</v>
      </c>
      <c r="H3" s="974" t="e">
        <f>VLOOKUP($A$1,$A$4:H1250,8,FALSE)</f>
        <v>#N/A</v>
      </c>
      <c r="I3" s="974" t="e">
        <f>VLOOKUP($A$1,$A$4:I1250,9,FALSE)</f>
        <v>#N/A</v>
      </c>
      <c r="J3" s="974" t="e">
        <f>VLOOKUP($A$1,$A$4:J1250,10,FALSE)</f>
        <v>#N/A</v>
      </c>
      <c r="K3" s="974" t="e">
        <f>VLOOKUP($A$1,$A$4:K1250,11,FALSE)</f>
        <v>#N/A</v>
      </c>
      <c r="L3" s="974" t="e">
        <f>VLOOKUP($A$1,$A$4:L1250,12,FALSE)</f>
        <v>#N/A</v>
      </c>
      <c r="M3" s="974" t="e">
        <f>VLOOKUP($A$1,$A$4:M1250,13,FALSE)</f>
        <v>#N/A</v>
      </c>
      <c r="N3" s="974" t="e">
        <f>VLOOKUP($A$1,$A$4:N1250,14,FALSE)</f>
        <v>#N/A</v>
      </c>
      <c r="O3" s="974" t="e">
        <f>VLOOKUP($A$1,$A$4:O1250,15,FALSE)</f>
        <v>#N/A</v>
      </c>
      <c r="P3" s="974" t="e">
        <f>VLOOKUP($A$1,$A$4:P1250,16,FALSE)</f>
        <v>#N/A</v>
      </c>
      <c r="Q3" s="974" t="e">
        <f>VLOOKUP($A$1,$A$4:Q1250,17,FALSE)</f>
        <v>#N/A</v>
      </c>
      <c r="R3" s="974" t="e">
        <f>VLOOKUP($A$1,$A$4:R1250,18,FALSE)</f>
        <v>#N/A</v>
      </c>
      <c r="S3" s="974" t="e">
        <f>VLOOKUP($A$1,$A$4:S1250,19,FALSE)</f>
        <v>#N/A</v>
      </c>
      <c r="T3" s="975" t="e">
        <f>VLOOKUP($A$1,$A$4:T1250,20,FALSE)</f>
        <v>#N/A</v>
      </c>
    </row>
    <row r="4" spans="1:20">
      <c r="A4" s="962" t="s">
        <v>3890</v>
      </c>
      <c r="B4" s="972">
        <v>576.61699999999996</v>
      </c>
      <c r="C4" s="972">
        <v>2.508</v>
      </c>
      <c r="D4" s="972">
        <v>0</v>
      </c>
      <c r="E4" s="972">
        <v>15.083</v>
      </c>
      <c r="F4" s="972">
        <v>0.79100000000000004</v>
      </c>
      <c r="G4" s="972">
        <v>0</v>
      </c>
      <c r="H4" s="972">
        <v>0</v>
      </c>
      <c r="I4" s="972">
        <v>19.774000000000001</v>
      </c>
      <c r="J4" s="972">
        <v>3.7290000000000001</v>
      </c>
      <c r="K4" s="972">
        <v>0</v>
      </c>
      <c r="L4" s="972">
        <v>1.6579999999999999</v>
      </c>
      <c r="M4" s="972">
        <v>0</v>
      </c>
      <c r="N4" s="972">
        <v>0</v>
      </c>
      <c r="O4" s="972">
        <v>25.95</v>
      </c>
      <c r="P4" s="972">
        <v>22.742999999999999</v>
      </c>
      <c r="Q4" s="972">
        <v>527.92399999999998</v>
      </c>
      <c r="R4" s="962">
        <v>68</v>
      </c>
      <c r="S4" s="962" t="s">
        <v>4940</v>
      </c>
      <c r="T4" s="972">
        <v>176.47416666666669</v>
      </c>
    </row>
    <row r="5" spans="1:20">
      <c r="A5" s="962" t="s">
        <v>694</v>
      </c>
      <c r="B5" s="972">
        <v>1267.1079999999999</v>
      </c>
      <c r="C5" s="972">
        <v>9.2029999999999994</v>
      </c>
      <c r="D5" s="972">
        <v>0</v>
      </c>
      <c r="E5" s="972">
        <v>30.222000000000001</v>
      </c>
      <c r="F5" s="972">
        <v>1.3859999999999999</v>
      </c>
      <c r="G5" s="972">
        <v>0</v>
      </c>
      <c r="H5" s="972">
        <v>0</v>
      </c>
      <c r="I5" s="972">
        <v>18.251000000000001</v>
      </c>
      <c r="J5" s="972">
        <v>9.4459999999999997</v>
      </c>
      <c r="K5" s="972">
        <v>0</v>
      </c>
      <c r="L5" s="972">
        <v>7.2720000000000002</v>
      </c>
      <c r="M5" s="972">
        <v>0</v>
      </c>
      <c r="N5" s="972">
        <v>0</v>
      </c>
      <c r="O5" s="972">
        <v>36.354999999999997</v>
      </c>
      <c r="P5" s="972">
        <v>64.375</v>
      </c>
      <c r="Q5" s="972">
        <v>1166.3779999999999</v>
      </c>
      <c r="R5" s="962">
        <v>61</v>
      </c>
      <c r="S5" s="962" t="s">
        <v>4940</v>
      </c>
      <c r="T5" s="972">
        <v>340.2743333333334</v>
      </c>
    </row>
    <row r="6" spans="1:20">
      <c r="A6" s="962" t="s">
        <v>696</v>
      </c>
      <c r="B6" s="972">
        <v>731.41499999999996</v>
      </c>
      <c r="C6" s="972">
        <v>26.405000000000001</v>
      </c>
      <c r="D6" s="972">
        <v>0.45400000000000001</v>
      </c>
      <c r="E6" s="972">
        <v>10.813000000000001</v>
      </c>
      <c r="F6" s="972">
        <v>1.083</v>
      </c>
      <c r="G6" s="972">
        <v>7.0000000000000007E-2</v>
      </c>
      <c r="H6" s="972">
        <v>0</v>
      </c>
      <c r="I6" s="972">
        <v>20.555</v>
      </c>
      <c r="J6" s="972">
        <v>4.0790000000000006</v>
      </c>
      <c r="K6" s="972">
        <v>0</v>
      </c>
      <c r="L6" s="972">
        <v>1.859</v>
      </c>
      <c r="M6" s="972">
        <v>0</v>
      </c>
      <c r="N6" s="972">
        <v>0.37</v>
      </c>
      <c r="O6" s="972">
        <v>28.015999999999998</v>
      </c>
      <c r="P6" s="972">
        <v>75.924999999999997</v>
      </c>
      <c r="Q6" s="972">
        <v>627.47400000000005</v>
      </c>
      <c r="R6" s="962">
        <v>51</v>
      </c>
      <c r="S6" s="962" t="s">
        <v>4940</v>
      </c>
      <c r="T6" s="972">
        <v>214.94233333333338</v>
      </c>
    </row>
    <row r="7" spans="1:20">
      <c r="A7" s="962" t="s">
        <v>698</v>
      </c>
      <c r="B7" s="972">
        <v>357.14100000000002</v>
      </c>
      <c r="C7" s="972">
        <v>3.8279999999999998</v>
      </c>
      <c r="D7" s="972">
        <v>8.3000000000000004E-2</v>
      </c>
      <c r="E7" s="972">
        <v>12.381</v>
      </c>
      <c r="F7" s="972">
        <v>0.61099999999999999</v>
      </c>
      <c r="G7" s="972">
        <v>0</v>
      </c>
      <c r="H7" s="972">
        <v>0</v>
      </c>
      <c r="I7" s="972">
        <v>10.192</v>
      </c>
      <c r="J7" s="972">
        <v>0</v>
      </c>
      <c r="K7" s="972">
        <v>0</v>
      </c>
      <c r="L7" s="972">
        <v>2.52</v>
      </c>
      <c r="M7" s="972">
        <v>0</v>
      </c>
      <c r="N7" s="972">
        <v>0</v>
      </c>
      <c r="O7" s="972">
        <v>13.321999999999999</v>
      </c>
      <c r="P7" s="972">
        <v>10.222</v>
      </c>
      <c r="Q7" s="972">
        <v>333.59699999999998</v>
      </c>
      <c r="R7" s="962">
        <v>35</v>
      </c>
      <c r="S7" s="962" t="s">
        <v>4940</v>
      </c>
      <c r="T7" s="972">
        <v>81.3215</v>
      </c>
    </row>
    <row r="8" spans="1:20">
      <c r="A8" s="962" t="s">
        <v>700</v>
      </c>
      <c r="B8" s="972">
        <v>3000.8969999999999</v>
      </c>
      <c r="C8" s="972">
        <v>319.16699999999997</v>
      </c>
      <c r="D8" s="972">
        <v>2.5390000000000001</v>
      </c>
      <c r="E8" s="972">
        <v>52.908000000000001</v>
      </c>
      <c r="F8" s="972">
        <v>2.8290000000000002</v>
      </c>
      <c r="G8" s="972">
        <v>0.36199999999999999</v>
      </c>
      <c r="H8" s="972">
        <v>0.55400000000000005</v>
      </c>
      <c r="I8" s="972">
        <v>23.86</v>
      </c>
      <c r="J8" s="972">
        <v>16.258000000000003</v>
      </c>
      <c r="K8" s="972">
        <v>0</v>
      </c>
      <c r="L8" s="972">
        <v>5.008</v>
      </c>
      <c r="M8" s="972">
        <v>0</v>
      </c>
      <c r="N8" s="972">
        <v>3.1070000000000002</v>
      </c>
      <c r="O8" s="972">
        <v>51.975999999999999</v>
      </c>
      <c r="P8" s="972">
        <v>121.261</v>
      </c>
      <c r="Q8" s="972">
        <v>2827.6610000000001</v>
      </c>
      <c r="R8" s="962">
        <v>124</v>
      </c>
      <c r="S8" s="962" t="s">
        <v>4940</v>
      </c>
      <c r="T8" s="972">
        <v>759.6436666666666</v>
      </c>
    </row>
    <row r="9" spans="1:20">
      <c r="A9" s="962" t="s">
        <v>1491</v>
      </c>
      <c r="B9" s="972">
        <v>1644.4559999999999</v>
      </c>
      <c r="C9" s="972">
        <v>62.847000000000001</v>
      </c>
      <c r="D9" s="972">
        <v>0.36399999999999999</v>
      </c>
      <c r="E9" s="972">
        <v>48.05</v>
      </c>
      <c r="F9" s="972">
        <v>1.633</v>
      </c>
      <c r="G9" s="972">
        <v>0.23799999999999999</v>
      </c>
      <c r="H9" s="972">
        <v>0</v>
      </c>
      <c r="I9" s="972">
        <v>29.681000000000001</v>
      </c>
      <c r="J9" s="972">
        <v>9.1050000000000004</v>
      </c>
      <c r="K9" s="972">
        <v>0</v>
      </c>
      <c r="L9" s="972">
        <v>2.766</v>
      </c>
      <c r="M9" s="972">
        <v>0</v>
      </c>
      <c r="N9" s="972">
        <v>1.647</v>
      </c>
      <c r="O9" s="972">
        <v>45.069000000000003</v>
      </c>
      <c r="P9" s="972">
        <v>64.542000000000002</v>
      </c>
      <c r="Q9" s="972">
        <v>1534.845</v>
      </c>
      <c r="R9" s="962">
        <v>71</v>
      </c>
      <c r="S9" s="962" t="s">
        <v>4940</v>
      </c>
      <c r="T9" s="972">
        <v>431.09116666666665</v>
      </c>
    </row>
    <row r="10" spans="1:20">
      <c r="A10" s="962" t="s">
        <v>6212</v>
      </c>
      <c r="B10" s="972">
        <v>388.64100000000002</v>
      </c>
      <c r="C10" s="972">
        <v>2.9449999999999998</v>
      </c>
      <c r="D10" s="972">
        <v>9.5000000000000001E-2</v>
      </c>
      <c r="E10" s="972">
        <v>4.2720000000000002</v>
      </c>
      <c r="F10" s="972">
        <v>0.32900000000000001</v>
      </c>
      <c r="G10" s="972">
        <v>8.4000000000000005E-2</v>
      </c>
      <c r="H10" s="972">
        <v>0</v>
      </c>
      <c r="I10" s="972">
        <v>13.079000000000001</v>
      </c>
      <c r="J10" s="972">
        <v>2.0270000000000001</v>
      </c>
      <c r="K10" s="972">
        <v>0</v>
      </c>
      <c r="L10" s="972">
        <v>2.2730000000000001</v>
      </c>
      <c r="M10" s="972">
        <v>0</v>
      </c>
      <c r="N10" s="972">
        <v>0</v>
      </c>
      <c r="O10" s="972">
        <v>17.791</v>
      </c>
      <c r="P10" s="972">
        <v>30.044</v>
      </c>
      <c r="Q10" s="972">
        <v>340.80599999999998</v>
      </c>
      <c r="R10" s="962">
        <v>24</v>
      </c>
      <c r="S10" s="962" t="s">
        <v>4940</v>
      </c>
      <c r="T10" s="972">
        <v>101.295</v>
      </c>
    </row>
    <row r="11" spans="1:20">
      <c r="A11" s="962" t="s">
        <v>2753</v>
      </c>
      <c r="B11" s="972">
        <v>2976.6329999999998</v>
      </c>
      <c r="C11" s="972">
        <v>220.047</v>
      </c>
      <c r="D11" s="972">
        <v>0.189</v>
      </c>
      <c r="E11" s="972">
        <v>7.3339999999999996</v>
      </c>
      <c r="F11" s="972">
        <v>2.9550000000000001</v>
      </c>
      <c r="G11" s="972">
        <v>0.35299999999999998</v>
      </c>
      <c r="H11" s="972">
        <v>5.2999999999999999E-2</v>
      </c>
      <c r="I11" s="972">
        <v>76.210999999999999</v>
      </c>
      <c r="J11" s="972">
        <v>14.345000000000001</v>
      </c>
      <c r="K11" s="972">
        <v>0</v>
      </c>
      <c r="L11" s="972">
        <v>10.215999999999999</v>
      </c>
      <c r="M11" s="972">
        <v>0</v>
      </c>
      <c r="N11" s="972">
        <v>0</v>
      </c>
      <c r="O11" s="972">
        <v>104.13500000000001</v>
      </c>
      <c r="P11" s="972">
        <v>140.40100000000001</v>
      </c>
      <c r="Q11" s="972">
        <v>2732.098</v>
      </c>
      <c r="R11" s="962">
        <v>136</v>
      </c>
      <c r="S11" s="962" t="s">
        <v>4940</v>
      </c>
      <c r="T11" s="972">
        <v>808.46366666666677</v>
      </c>
    </row>
    <row r="12" spans="1:20">
      <c r="A12" s="962" t="s">
        <v>2840</v>
      </c>
      <c r="B12" s="972">
        <v>427.40300000000002</v>
      </c>
      <c r="C12" s="972">
        <v>0</v>
      </c>
      <c r="D12" s="972">
        <v>0</v>
      </c>
      <c r="E12" s="972">
        <v>21.427</v>
      </c>
      <c r="F12" s="972">
        <v>0.82199999999999995</v>
      </c>
      <c r="G12" s="972">
        <v>0</v>
      </c>
      <c r="H12" s="972">
        <v>0</v>
      </c>
      <c r="I12" s="972">
        <v>2.52</v>
      </c>
      <c r="J12" s="972">
        <v>0</v>
      </c>
      <c r="K12" s="972">
        <v>0</v>
      </c>
      <c r="L12" s="972">
        <v>0</v>
      </c>
      <c r="M12" s="972">
        <v>0</v>
      </c>
      <c r="N12" s="972">
        <v>0</v>
      </c>
      <c r="O12" s="972">
        <v>3.3420000000000001</v>
      </c>
      <c r="P12" s="972">
        <v>3.351</v>
      </c>
      <c r="Q12" s="972">
        <v>420.71</v>
      </c>
      <c r="R12" s="962">
        <v>0</v>
      </c>
      <c r="S12" s="962" t="s">
        <v>4940</v>
      </c>
      <c r="T12" s="972">
        <v>45.853833333333341</v>
      </c>
    </row>
    <row r="13" spans="1:20">
      <c r="A13" s="962" t="s">
        <v>3080</v>
      </c>
      <c r="B13" s="972">
        <v>2487.8890000000001</v>
      </c>
      <c r="C13" s="972">
        <v>150.58600000000001</v>
      </c>
      <c r="D13" s="972">
        <v>0.59</v>
      </c>
      <c r="E13" s="972">
        <v>69.433999999999997</v>
      </c>
      <c r="F13" s="972">
        <v>2.0659999999999998</v>
      </c>
      <c r="G13" s="972">
        <v>5.6000000000000001E-2</v>
      </c>
      <c r="H13" s="972">
        <v>0</v>
      </c>
      <c r="I13" s="972">
        <v>32.938000000000002</v>
      </c>
      <c r="J13" s="972">
        <v>11.713000000000001</v>
      </c>
      <c r="K13" s="972">
        <v>0.28799999999999998</v>
      </c>
      <c r="L13" s="972">
        <v>0</v>
      </c>
      <c r="M13" s="972">
        <v>0</v>
      </c>
      <c r="N13" s="972">
        <v>0</v>
      </c>
      <c r="O13" s="972">
        <v>47.061</v>
      </c>
      <c r="P13" s="972">
        <v>124.26900000000001</v>
      </c>
      <c r="Q13" s="972">
        <v>2316.56</v>
      </c>
      <c r="R13" s="962">
        <v>164</v>
      </c>
      <c r="S13" s="962" t="s">
        <v>4940</v>
      </c>
      <c r="T13" s="972">
        <v>698.2688333333333</v>
      </c>
    </row>
    <row r="14" spans="1:20">
      <c r="A14" s="962" t="s">
        <v>2842</v>
      </c>
      <c r="B14" s="972">
        <v>8162.93</v>
      </c>
      <c r="C14" s="972">
        <v>1289.905</v>
      </c>
      <c r="D14" s="972">
        <v>6.2039999999999997</v>
      </c>
      <c r="E14" s="972">
        <v>103.188</v>
      </c>
      <c r="F14" s="972">
        <v>7.7279999999999998</v>
      </c>
      <c r="G14" s="972">
        <v>0.82599999999999996</v>
      </c>
      <c r="H14" s="972">
        <v>0</v>
      </c>
      <c r="I14" s="972">
        <v>247.02500000000001</v>
      </c>
      <c r="J14" s="972">
        <v>115.572</v>
      </c>
      <c r="K14" s="972">
        <v>0</v>
      </c>
      <c r="L14" s="972">
        <v>7.9630000000000001</v>
      </c>
      <c r="M14" s="972">
        <v>4.0830000000000002</v>
      </c>
      <c r="N14" s="972">
        <v>26.882000000000001</v>
      </c>
      <c r="O14" s="972">
        <v>410.07900000000001</v>
      </c>
      <c r="P14" s="972">
        <v>381.1</v>
      </c>
      <c r="Q14" s="972">
        <v>7371.7510000000002</v>
      </c>
      <c r="R14" s="962">
        <v>974</v>
      </c>
      <c r="S14" s="962" t="s">
        <v>4940</v>
      </c>
      <c r="T14" s="972">
        <v>2095.5786666666663</v>
      </c>
    </row>
    <row r="15" spans="1:20">
      <c r="A15" s="962" t="s">
        <v>1874</v>
      </c>
      <c r="B15" s="972">
        <v>1611.625</v>
      </c>
      <c r="C15" s="972">
        <v>16.582999999999998</v>
      </c>
      <c r="D15" s="972">
        <v>0.96399999999999997</v>
      </c>
      <c r="E15" s="972">
        <v>42.97</v>
      </c>
      <c r="F15" s="972">
        <v>1.4970000000000001</v>
      </c>
      <c r="G15" s="972">
        <v>0</v>
      </c>
      <c r="H15" s="972">
        <v>0</v>
      </c>
      <c r="I15" s="972">
        <v>39.219000000000001</v>
      </c>
      <c r="J15" s="972">
        <v>9.2349999999999994</v>
      </c>
      <c r="K15" s="972">
        <v>0</v>
      </c>
      <c r="L15" s="972">
        <v>0.625</v>
      </c>
      <c r="M15" s="972">
        <v>0</v>
      </c>
      <c r="N15" s="972">
        <v>0</v>
      </c>
      <c r="O15" s="972">
        <v>50.576999999999998</v>
      </c>
      <c r="P15" s="972">
        <v>76.36</v>
      </c>
      <c r="Q15" s="972">
        <v>1484.6880000000001</v>
      </c>
      <c r="R15" s="962">
        <v>124</v>
      </c>
      <c r="S15" s="962" t="s">
        <v>4940</v>
      </c>
      <c r="T15" s="972">
        <v>483.56816666666668</v>
      </c>
    </row>
    <row r="16" spans="1:20">
      <c r="A16" s="962" t="s">
        <v>2844</v>
      </c>
      <c r="B16" s="972">
        <v>1784.5719999999999</v>
      </c>
      <c r="C16" s="972">
        <v>234.13399999999999</v>
      </c>
      <c r="D16" s="972">
        <v>0.97599999999999998</v>
      </c>
      <c r="E16" s="972">
        <v>79.171999999999997</v>
      </c>
      <c r="F16" s="972">
        <v>2.0150000000000001</v>
      </c>
      <c r="G16" s="972">
        <v>0</v>
      </c>
      <c r="H16" s="972">
        <v>0</v>
      </c>
      <c r="I16" s="972">
        <v>23.265999999999998</v>
      </c>
      <c r="J16" s="972">
        <v>6.2410000000000005</v>
      </c>
      <c r="K16" s="972">
        <v>1.9550000000000001</v>
      </c>
      <c r="L16" s="972">
        <v>4.4370000000000003</v>
      </c>
      <c r="M16" s="972">
        <v>0</v>
      </c>
      <c r="N16" s="972">
        <v>0</v>
      </c>
      <c r="O16" s="972">
        <v>37.912999999999997</v>
      </c>
      <c r="P16" s="972">
        <v>149.34399999999999</v>
      </c>
      <c r="Q16" s="972">
        <v>1597.3150000000001</v>
      </c>
      <c r="R16" s="962">
        <v>81</v>
      </c>
      <c r="S16" s="962" t="s">
        <v>4940</v>
      </c>
      <c r="T16" s="972">
        <v>466.2861666666667</v>
      </c>
    </row>
    <row r="17" spans="1:20">
      <c r="A17" s="962" t="s">
        <v>2846</v>
      </c>
      <c r="B17" s="972">
        <v>427.23700000000002</v>
      </c>
      <c r="C17" s="972">
        <v>0</v>
      </c>
      <c r="D17" s="972">
        <v>0.218</v>
      </c>
      <c r="E17" s="972">
        <v>12.593999999999999</v>
      </c>
      <c r="F17" s="972">
        <v>0.30399999999999999</v>
      </c>
      <c r="G17" s="972">
        <v>3.9E-2</v>
      </c>
      <c r="H17" s="972">
        <v>0</v>
      </c>
      <c r="I17" s="972">
        <v>16.411000000000001</v>
      </c>
      <c r="J17" s="972">
        <v>0.89600000000000002</v>
      </c>
      <c r="K17" s="972">
        <v>0</v>
      </c>
      <c r="L17" s="972">
        <v>0</v>
      </c>
      <c r="M17" s="972">
        <v>0</v>
      </c>
      <c r="N17" s="972">
        <v>0</v>
      </c>
      <c r="O17" s="972">
        <v>17.651</v>
      </c>
      <c r="P17" s="972">
        <v>29.645</v>
      </c>
      <c r="Q17" s="972">
        <v>379.94099999999997</v>
      </c>
      <c r="R17" s="962">
        <v>27</v>
      </c>
      <c r="S17" s="962" t="s">
        <v>4940</v>
      </c>
      <c r="T17" s="972">
        <v>107.35166666666666</v>
      </c>
    </row>
    <row r="18" spans="1:20">
      <c r="A18" s="962" t="s">
        <v>2848</v>
      </c>
      <c r="B18" s="972">
        <v>1447.7339999999999</v>
      </c>
      <c r="C18" s="972">
        <v>37.732999999999997</v>
      </c>
      <c r="D18" s="972">
        <v>0.11799999999999999</v>
      </c>
      <c r="E18" s="972">
        <v>75.418999999999997</v>
      </c>
      <c r="F18" s="972">
        <v>1.512</v>
      </c>
      <c r="G18" s="972">
        <v>0</v>
      </c>
      <c r="H18" s="972">
        <v>0</v>
      </c>
      <c r="I18" s="972">
        <v>18.148</v>
      </c>
      <c r="J18" s="972">
        <v>8.3979999999999997</v>
      </c>
      <c r="K18" s="972">
        <v>1.0169999999999999</v>
      </c>
      <c r="L18" s="972">
        <v>4.1980000000000004</v>
      </c>
      <c r="M18" s="972">
        <v>0</v>
      </c>
      <c r="N18" s="972">
        <v>1.806</v>
      </c>
      <c r="O18" s="972">
        <v>35.078000000000003</v>
      </c>
      <c r="P18" s="972">
        <v>99.991</v>
      </c>
      <c r="Q18" s="972">
        <v>1312.665</v>
      </c>
      <c r="R18" s="962">
        <v>78</v>
      </c>
      <c r="S18" s="962" t="s">
        <v>4940</v>
      </c>
      <c r="T18" s="972">
        <v>437.44483333333329</v>
      </c>
    </row>
    <row r="19" spans="1:20">
      <c r="A19" s="962" t="s">
        <v>1225</v>
      </c>
      <c r="B19" s="972">
        <v>2847.7020000000002</v>
      </c>
      <c r="C19" s="972">
        <v>118.91500000000001</v>
      </c>
      <c r="D19" s="972">
        <v>0.66300000000000003</v>
      </c>
      <c r="E19" s="972">
        <v>156.78</v>
      </c>
      <c r="F19" s="972">
        <v>2.8940000000000001</v>
      </c>
      <c r="G19" s="972">
        <v>3.5999999999999997E-2</v>
      </c>
      <c r="H19" s="972">
        <v>0</v>
      </c>
      <c r="I19" s="972">
        <v>18.440000000000001</v>
      </c>
      <c r="J19" s="972">
        <v>15.181000000000001</v>
      </c>
      <c r="K19" s="972">
        <v>0</v>
      </c>
      <c r="L19" s="972">
        <v>0.76100000000000001</v>
      </c>
      <c r="M19" s="972">
        <v>0</v>
      </c>
      <c r="N19" s="972">
        <v>3.5179999999999998</v>
      </c>
      <c r="O19" s="972">
        <v>40.829000000000001</v>
      </c>
      <c r="P19" s="972">
        <v>176.94900000000001</v>
      </c>
      <c r="Q19" s="972">
        <v>2629.9229999999998</v>
      </c>
      <c r="R19" s="962">
        <v>140</v>
      </c>
      <c r="S19" s="962" t="s">
        <v>4940</v>
      </c>
      <c r="T19" s="972">
        <v>844.83699999999999</v>
      </c>
    </row>
    <row r="20" spans="1:20">
      <c r="A20" s="962" t="s">
        <v>1227</v>
      </c>
      <c r="B20" s="972">
        <v>471.815</v>
      </c>
      <c r="C20" s="972">
        <v>0</v>
      </c>
      <c r="D20" s="972">
        <v>0</v>
      </c>
      <c r="E20" s="972">
        <v>17.968</v>
      </c>
      <c r="F20" s="972">
        <v>0.66900000000000004</v>
      </c>
      <c r="G20" s="972">
        <v>0</v>
      </c>
      <c r="H20" s="972">
        <v>0</v>
      </c>
      <c r="I20" s="972">
        <v>7.984</v>
      </c>
      <c r="J20" s="972">
        <v>3.1389999999999998</v>
      </c>
      <c r="K20" s="972">
        <v>0</v>
      </c>
      <c r="L20" s="972">
        <v>3.4000000000000002E-2</v>
      </c>
      <c r="M20" s="972">
        <v>0</v>
      </c>
      <c r="N20" s="972">
        <v>0.99099999999999999</v>
      </c>
      <c r="O20" s="972">
        <v>12.816000000000001</v>
      </c>
      <c r="P20" s="972">
        <v>20.012</v>
      </c>
      <c r="Q20" s="972">
        <v>438.98700000000002</v>
      </c>
      <c r="R20" s="962">
        <v>34</v>
      </c>
      <c r="S20" s="962" t="s">
        <v>4940</v>
      </c>
      <c r="T20" s="972">
        <v>144.78883333333334</v>
      </c>
    </row>
    <row r="21" spans="1:20">
      <c r="A21" s="962" t="s">
        <v>1229</v>
      </c>
      <c r="B21" s="972">
        <v>858.92600000000004</v>
      </c>
      <c r="C21" s="972">
        <v>1.536</v>
      </c>
      <c r="D21" s="972">
        <v>0</v>
      </c>
      <c r="E21" s="972">
        <v>38.31</v>
      </c>
      <c r="F21" s="972">
        <v>1.181</v>
      </c>
      <c r="G21" s="972">
        <v>0</v>
      </c>
      <c r="H21" s="972">
        <v>0</v>
      </c>
      <c r="I21" s="972">
        <v>8.2829999999999995</v>
      </c>
      <c r="J21" s="972">
        <v>4.4260000000000002</v>
      </c>
      <c r="K21" s="972">
        <v>7.3999999999999996E-2</v>
      </c>
      <c r="L21" s="972">
        <v>0</v>
      </c>
      <c r="M21" s="972">
        <v>0</v>
      </c>
      <c r="N21" s="972">
        <v>0</v>
      </c>
      <c r="O21" s="972">
        <v>13.964</v>
      </c>
      <c r="P21" s="972">
        <v>42.787999999999997</v>
      </c>
      <c r="Q21" s="972">
        <v>802.17399999999998</v>
      </c>
      <c r="R21" s="962">
        <v>46</v>
      </c>
      <c r="S21" s="962" t="s">
        <v>4940</v>
      </c>
      <c r="T21" s="972">
        <v>263.75200000000001</v>
      </c>
    </row>
    <row r="22" spans="1:20">
      <c r="A22" s="962" t="s">
        <v>2360</v>
      </c>
      <c r="B22" s="972">
        <v>447.84800000000001</v>
      </c>
      <c r="C22" s="972">
        <v>52.362000000000002</v>
      </c>
      <c r="D22" s="972">
        <v>7.8E-2</v>
      </c>
      <c r="E22" s="972">
        <v>1.127</v>
      </c>
      <c r="F22" s="972">
        <v>0.53500000000000003</v>
      </c>
      <c r="G22" s="972">
        <v>0</v>
      </c>
      <c r="H22" s="972">
        <v>0</v>
      </c>
      <c r="I22" s="972">
        <v>10.984999999999999</v>
      </c>
      <c r="J22" s="972">
        <v>2.7410000000000001</v>
      </c>
      <c r="K22" s="972">
        <v>0</v>
      </c>
      <c r="L22" s="972">
        <v>0</v>
      </c>
      <c r="M22" s="972">
        <v>0</v>
      </c>
      <c r="N22" s="972">
        <v>0</v>
      </c>
      <c r="O22" s="972">
        <v>14.26</v>
      </c>
      <c r="P22" s="972">
        <v>40.673999999999999</v>
      </c>
      <c r="Q22" s="972">
        <v>392.91500000000002</v>
      </c>
      <c r="R22" s="962">
        <v>40</v>
      </c>
      <c r="S22" s="962" t="s">
        <v>4940</v>
      </c>
      <c r="T22" s="972">
        <v>146.50916666666666</v>
      </c>
    </row>
    <row r="23" spans="1:20">
      <c r="A23" s="962" t="s">
        <v>1233</v>
      </c>
      <c r="B23" s="972">
        <v>334.95299999999997</v>
      </c>
      <c r="C23" s="972">
        <v>3.6459999999999999</v>
      </c>
      <c r="D23" s="972">
        <v>0</v>
      </c>
      <c r="E23" s="972">
        <v>26.623000000000001</v>
      </c>
      <c r="F23" s="972">
        <v>0.54700000000000004</v>
      </c>
      <c r="G23" s="972">
        <v>0</v>
      </c>
      <c r="H23" s="972">
        <v>0</v>
      </c>
      <c r="I23" s="972">
        <v>3.0630000000000002</v>
      </c>
      <c r="J23" s="972">
        <v>0</v>
      </c>
      <c r="K23" s="972">
        <v>0</v>
      </c>
      <c r="L23" s="972">
        <v>0</v>
      </c>
      <c r="M23" s="972">
        <v>0</v>
      </c>
      <c r="N23" s="972">
        <v>0</v>
      </c>
      <c r="O23" s="972">
        <v>3.6110000000000002</v>
      </c>
      <c r="P23" s="972">
        <v>32.685000000000002</v>
      </c>
      <c r="Q23" s="972">
        <v>298.65699999999998</v>
      </c>
      <c r="R23" s="962">
        <v>20</v>
      </c>
      <c r="S23" s="962" t="s">
        <v>4940</v>
      </c>
      <c r="T23" s="972">
        <v>107.16533333333332</v>
      </c>
    </row>
    <row r="24" spans="1:20">
      <c r="A24" s="962" t="s">
        <v>3081</v>
      </c>
      <c r="B24" s="972">
        <v>489.96800000000002</v>
      </c>
      <c r="C24" s="972">
        <v>26.614999999999998</v>
      </c>
      <c r="D24" s="972">
        <v>0</v>
      </c>
      <c r="E24" s="972">
        <v>0.81599999999999995</v>
      </c>
      <c r="F24" s="972">
        <v>0.27600000000000002</v>
      </c>
      <c r="G24" s="972">
        <v>0</v>
      </c>
      <c r="H24" s="972">
        <v>0</v>
      </c>
      <c r="I24" s="972">
        <v>10.366</v>
      </c>
      <c r="J24" s="972">
        <v>0.42399999999999999</v>
      </c>
      <c r="K24" s="972">
        <v>2.9889999999999999</v>
      </c>
      <c r="L24" s="972">
        <v>0</v>
      </c>
      <c r="M24" s="972">
        <v>0</v>
      </c>
      <c r="N24" s="972">
        <v>0</v>
      </c>
      <c r="O24" s="972">
        <v>14.055999999999999</v>
      </c>
      <c r="P24" s="972">
        <v>29.687999999999999</v>
      </c>
      <c r="Q24" s="972">
        <v>446.22399999999999</v>
      </c>
      <c r="R24" s="962">
        <v>23</v>
      </c>
      <c r="S24" s="962" t="s">
        <v>4940</v>
      </c>
      <c r="T24" s="972">
        <v>134.5865</v>
      </c>
    </row>
    <row r="25" spans="1:20">
      <c r="A25" s="962" t="s">
        <v>1235</v>
      </c>
      <c r="B25" s="972">
        <v>1272.24</v>
      </c>
      <c r="C25" s="972">
        <v>18.271000000000001</v>
      </c>
      <c r="D25" s="972">
        <v>0.34799999999999998</v>
      </c>
      <c r="E25" s="972">
        <v>6.0449999999999999</v>
      </c>
      <c r="F25" s="972">
        <v>1.1100000000000001</v>
      </c>
      <c r="G25" s="972">
        <v>6.4000000000000001E-2</v>
      </c>
      <c r="H25" s="972">
        <v>0</v>
      </c>
      <c r="I25" s="972">
        <v>28.745999999999999</v>
      </c>
      <c r="J25" s="972">
        <v>3.5059999999999998</v>
      </c>
      <c r="K25" s="972">
        <v>7.4180000000000001</v>
      </c>
      <c r="L25" s="972">
        <v>1.224</v>
      </c>
      <c r="M25" s="972">
        <v>0</v>
      </c>
      <c r="N25" s="972">
        <v>0.77500000000000002</v>
      </c>
      <c r="O25" s="972">
        <v>42.843000000000004</v>
      </c>
      <c r="P25" s="972">
        <v>79.866</v>
      </c>
      <c r="Q25" s="972">
        <v>1149.5309999999999</v>
      </c>
      <c r="R25" s="962">
        <v>104</v>
      </c>
      <c r="S25" s="962" t="s">
        <v>4940</v>
      </c>
      <c r="T25" s="972">
        <v>329.05200000000002</v>
      </c>
    </row>
    <row r="26" spans="1:20">
      <c r="A26" s="962" t="s">
        <v>2999</v>
      </c>
      <c r="B26" s="972">
        <v>1612.8820000000001</v>
      </c>
      <c r="C26" s="972">
        <v>99.453000000000003</v>
      </c>
      <c r="D26" s="972">
        <v>0.99</v>
      </c>
      <c r="E26" s="972">
        <v>35.765999999999998</v>
      </c>
      <c r="F26" s="972">
        <v>1.6539999999999999</v>
      </c>
      <c r="G26" s="972">
        <v>0</v>
      </c>
      <c r="H26" s="972">
        <v>0</v>
      </c>
      <c r="I26" s="972">
        <v>17.308</v>
      </c>
      <c r="J26" s="972">
        <v>5.194</v>
      </c>
      <c r="K26" s="972">
        <v>3.92</v>
      </c>
      <c r="L26" s="972">
        <v>1.5920000000000001</v>
      </c>
      <c r="M26" s="972">
        <v>0</v>
      </c>
      <c r="N26" s="972">
        <v>0</v>
      </c>
      <c r="O26" s="972">
        <v>29.667999999999999</v>
      </c>
      <c r="P26" s="972">
        <v>75.906000000000006</v>
      </c>
      <c r="Q26" s="972">
        <v>1507.308</v>
      </c>
      <c r="R26" s="962">
        <v>87</v>
      </c>
      <c r="S26" s="962" t="s">
        <v>4940</v>
      </c>
      <c r="T26" s="972">
        <v>471.08966666666663</v>
      </c>
    </row>
    <row r="27" spans="1:20">
      <c r="A27" s="962" t="s">
        <v>5127</v>
      </c>
      <c r="B27" s="972">
        <v>3203.4659999999999</v>
      </c>
      <c r="C27" s="972">
        <v>72.734999999999999</v>
      </c>
      <c r="D27" s="972">
        <v>2.0510000000000002</v>
      </c>
      <c r="E27" s="972">
        <v>6.7750000000000004</v>
      </c>
      <c r="F27" s="972">
        <v>2.3460000000000001</v>
      </c>
      <c r="G27" s="972">
        <v>0.76300000000000001</v>
      </c>
      <c r="H27" s="972">
        <v>0</v>
      </c>
      <c r="I27" s="972">
        <v>84.263000000000005</v>
      </c>
      <c r="J27" s="972">
        <v>24.314</v>
      </c>
      <c r="K27" s="972">
        <v>4.2910000000000004</v>
      </c>
      <c r="L27" s="972">
        <v>2.052</v>
      </c>
      <c r="M27" s="972">
        <v>0</v>
      </c>
      <c r="N27" s="972">
        <v>1.08</v>
      </c>
      <c r="O27" s="972">
        <v>119.107</v>
      </c>
      <c r="P27" s="972">
        <v>202.22300000000001</v>
      </c>
      <c r="Q27" s="972">
        <v>2882.1350000000002</v>
      </c>
      <c r="R27" s="962">
        <v>199</v>
      </c>
      <c r="S27" s="962" t="s">
        <v>4940</v>
      </c>
      <c r="T27" s="972">
        <v>875.17716666666672</v>
      </c>
    </row>
    <row r="28" spans="1:20">
      <c r="A28" s="962" t="s">
        <v>2563</v>
      </c>
      <c r="B28" s="972">
        <v>1611.866</v>
      </c>
      <c r="C28" s="972">
        <v>67.162999999999997</v>
      </c>
      <c r="D28" s="972">
        <v>1.306</v>
      </c>
      <c r="E28" s="972">
        <v>2.7749999999999999</v>
      </c>
      <c r="F28" s="972">
        <v>1.389</v>
      </c>
      <c r="G28" s="972">
        <v>0.311</v>
      </c>
      <c r="H28" s="972">
        <v>0</v>
      </c>
      <c r="I28" s="972">
        <v>34.18</v>
      </c>
      <c r="J28" s="972">
        <v>2.129</v>
      </c>
      <c r="K28" s="972">
        <v>8.57</v>
      </c>
      <c r="L28" s="972">
        <v>1.341</v>
      </c>
      <c r="M28" s="972">
        <v>0</v>
      </c>
      <c r="N28" s="972">
        <v>0</v>
      </c>
      <c r="O28" s="972">
        <v>47.920999999999999</v>
      </c>
      <c r="P28" s="972">
        <v>97.334000000000003</v>
      </c>
      <c r="Q28" s="972">
        <v>1466.6120000000001</v>
      </c>
      <c r="R28" s="962">
        <v>109</v>
      </c>
      <c r="S28" s="962" t="s">
        <v>4940</v>
      </c>
      <c r="T28" s="972">
        <v>455.29366666666664</v>
      </c>
    </row>
    <row r="29" spans="1:20">
      <c r="A29" s="962" t="s">
        <v>1237</v>
      </c>
      <c r="B29" s="972">
        <v>2022.2809999999999</v>
      </c>
      <c r="C29" s="972">
        <v>161.10300000000001</v>
      </c>
      <c r="D29" s="972">
        <v>0.25700000000000001</v>
      </c>
      <c r="E29" s="972">
        <v>92.471999999999994</v>
      </c>
      <c r="F29" s="972">
        <v>2.5179999999999998</v>
      </c>
      <c r="G29" s="972">
        <v>6.3E-2</v>
      </c>
      <c r="H29" s="972">
        <v>0</v>
      </c>
      <c r="I29" s="972">
        <v>28.402000000000001</v>
      </c>
      <c r="J29" s="972">
        <v>9.0350000000000001</v>
      </c>
      <c r="K29" s="972">
        <v>2.7829999999999999</v>
      </c>
      <c r="L29" s="972">
        <v>3.077</v>
      </c>
      <c r="M29" s="972">
        <v>0</v>
      </c>
      <c r="N29" s="972">
        <v>0</v>
      </c>
      <c r="O29" s="972">
        <v>45.877000000000002</v>
      </c>
      <c r="P29" s="972">
        <v>126.499</v>
      </c>
      <c r="Q29" s="972">
        <v>1849.905</v>
      </c>
      <c r="R29" s="962">
        <v>258</v>
      </c>
      <c r="S29" s="962" t="s">
        <v>4940</v>
      </c>
      <c r="T29" s="972">
        <v>636.8218333333333</v>
      </c>
    </row>
    <row r="30" spans="1:20">
      <c r="A30" s="962" t="s">
        <v>1239</v>
      </c>
      <c r="B30" s="972">
        <v>2457.145</v>
      </c>
      <c r="C30" s="972">
        <v>246.60300000000001</v>
      </c>
      <c r="D30" s="972">
        <v>0.45400000000000001</v>
      </c>
      <c r="E30" s="972">
        <v>105.142</v>
      </c>
      <c r="F30" s="972">
        <v>2.3839999999999999</v>
      </c>
      <c r="G30" s="972">
        <v>1.2E-2</v>
      </c>
      <c r="H30" s="972">
        <v>0</v>
      </c>
      <c r="I30" s="972">
        <v>21.884</v>
      </c>
      <c r="J30" s="972">
        <v>14.266999999999999</v>
      </c>
      <c r="K30" s="972">
        <v>0</v>
      </c>
      <c r="L30" s="972">
        <v>1.722</v>
      </c>
      <c r="M30" s="972">
        <v>0</v>
      </c>
      <c r="N30" s="972">
        <v>0.20899999999999999</v>
      </c>
      <c r="O30" s="972">
        <v>40.478000000000002</v>
      </c>
      <c r="P30" s="972">
        <v>167.732</v>
      </c>
      <c r="Q30" s="972">
        <v>2248.9349999999999</v>
      </c>
      <c r="R30" s="962">
        <v>155</v>
      </c>
      <c r="S30" s="962" t="s">
        <v>4940</v>
      </c>
      <c r="T30" s="972">
        <v>732.07083333333333</v>
      </c>
    </row>
    <row r="31" spans="1:20">
      <c r="A31" s="962" t="s">
        <v>1241</v>
      </c>
      <c r="B31" s="972">
        <v>785.86800000000005</v>
      </c>
      <c r="C31" s="972">
        <v>72.370999999999995</v>
      </c>
      <c r="D31" s="972">
        <v>1.7000000000000001E-2</v>
      </c>
      <c r="E31" s="972">
        <v>19.513999999999999</v>
      </c>
      <c r="F31" s="972">
        <v>0.49</v>
      </c>
      <c r="G31" s="972">
        <v>0</v>
      </c>
      <c r="H31" s="972">
        <v>0</v>
      </c>
      <c r="I31" s="972">
        <v>9.9339999999999993</v>
      </c>
      <c r="J31" s="972">
        <v>1.7629999999999999</v>
      </c>
      <c r="K31" s="972">
        <v>8.4000000000000005E-2</v>
      </c>
      <c r="L31" s="972">
        <v>0</v>
      </c>
      <c r="M31" s="972">
        <v>0</v>
      </c>
      <c r="N31" s="972">
        <v>0</v>
      </c>
      <c r="O31" s="972">
        <v>12.272</v>
      </c>
      <c r="P31" s="972">
        <v>46.790999999999997</v>
      </c>
      <c r="Q31" s="972">
        <v>726.80499999999995</v>
      </c>
      <c r="R31" s="962">
        <v>15</v>
      </c>
      <c r="S31" s="962" t="s">
        <v>4940</v>
      </c>
      <c r="T31" s="972">
        <v>227.2955</v>
      </c>
    </row>
    <row r="32" spans="1:20">
      <c r="A32" s="962" t="s">
        <v>1243</v>
      </c>
      <c r="B32" s="972">
        <v>1376.3309999999999</v>
      </c>
      <c r="C32" s="972">
        <v>183.89599999999999</v>
      </c>
      <c r="D32" s="972">
        <v>1.1890000000000001</v>
      </c>
      <c r="E32" s="972">
        <v>32.457999999999998</v>
      </c>
      <c r="F32" s="972">
        <v>3.2949999999999999</v>
      </c>
      <c r="G32" s="972">
        <v>0.33400000000000002</v>
      </c>
      <c r="H32" s="972">
        <v>0</v>
      </c>
      <c r="I32" s="972">
        <v>29.405000000000001</v>
      </c>
      <c r="J32" s="972">
        <v>7.202</v>
      </c>
      <c r="K32" s="972">
        <v>0</v>
      </c>
      <c r="L32" s="972">
        <v>0</v>
      </c>
      <c r="M32" s="972">
        <v>0</v>
      </c>
      <c r="N32" s="972">
        <v>1.3640000000000001</v>
      </c>
      <c r="O32" s="972">
        <v>41.598999999999997</v>
      </c>
      <c r="P32" s="972">
        <v>68.84</v>
      </c>
      <c r="Q32" s="972">
        <v>1265.8920000000001</v>
      </c>
      <c r="R32" s="962">
        <v>64</v>
      </c>
      <c r="S32" s="962" t="s">
        <v>3902</v>
      </c>
      <c r="T32" s="972">
        <v>331.39475000000004</v>
      </c>
    </row>
    <row r="33" spans="1:20">
      <c r="A33" s="962" t="s">
        <v>1245</v>
      </c>
      <c r="B33" s="972">
        <v>285.42399999999998</v>
      </c>
      <c r="C33" s="972">
        <v>11.757</v>
      </c>
      <c r="D33" s="972">
        <v>0</v>
      </c>
      <c r="E33" s="972">
        <v>4.0229999999999997</v>
      </c>
      <c r="F33" s="972">
        <v>0.60099999999999998</v>
      </c>
      <c r="G33" s="972">
        <v>0</v>
      </c>
      <c r="H33" s="972">
        <v>0</v>
      </c>
      <c r="I33" s="972">
        <v>10.218</v>
      </c>
      <c r="J33" s="972">
        <v>1.8819999999999999</v>
      </c>
      <c r="K33" s="972">
        <v>0</v>
      </c>
      <c r="L33" s="972">
        <v>0.17299999999999999</v>
      </c>
      <c r="M33" s="972">
        <v>0</v>
      </c>
      <c r="N33" s="972">
        <v>4.9740000000000002</v>
      </c>
      <c r="O33" s="972">
        <v>17.847000000000001</v>
      </c>
      <c r="P33" s="972">
        <v>22.449000000000002</v>
      </c>
      <c r="Q33" s="972">
        <v>245.12899999999999</v>
      </c>
      <c r="R33" s="962">
        <v>30</v>
      </c>
      <c r="S33" s="962" t="s">
        <v>4940</v>
      </c>
      <c r="T33" s="972">
        <v>105.04716666666667</v>
      </c>
    </row>
    <row r="34" spans="1:20">
      <c r="A34" s="962" t="s">
        <v>2361</v>
      </c>
      <c r="B34" s="972">
        <v>2259.759</v>
      </c>
      <c r="C34" s="972">
        <v>89.203000000000003</v>
      </c>
      <c r="D34" s="972">
        <v>0.68400000000000005</v>
      </c>
      <c r="E34" s="972">
        <v>84.594999999999999</v>
      </c>
      <c r="F34" s="972">
        <v>4.0460000000000003</v>
      </c>
      <c r="G34" s="972">
        <v>0.112</v>
      </c>
      <c r="H34" s="972">
        <v>0</v>
      </c>
      <c r="I34" s="972">
        <v>48.566000000000003</v>
      </c>
      <c r="J34" s="972">
        <v>13.860999999999999</v>
      </c>
      <c r="K34" s="972">
        <v>0</v>
      </c>
      <c r="L34" s="972">
        <v>7.4729999999999999</v>
      </c>
      <c r="M34" s="972">
        <v>0</v>
      </c>
      <c r="N34" s="972">
        <v>1.86</v>
      </c>
      <c r="O34" s="972">
        <v>75.917000000000002</v>
      </c>
      <c r="P34" s="972">
        <v>177.46600000000001</v>
      </c>
      <c r="Q34" s="972">
        <v>2006.376</v>
      </c>
      <c r="R34" s="962">
        <v>223</v>
      </c>
      <c r="S34" s="962" t="s">
        <v>4940</v>
      </c>
      <c r="T34" s="972">
        <v>726.49049999999988</v>
      </c>
    </row>
    <row r="35" spans="1:20">
      <c r="A35" s="962" t="s">
        <v>948</v>
      </c>
      <c r="B35" s="972">
        <v>8406.8469999999998</v>
      </c>
      <c r="C35" s="972">
        <v>1244.7639999999999</v>
      </c>
      <c r="D35" s="972">
        <v>2.86</v>
      </c>
      <c r="E35" s="972">
        <v>268.07499999999999</v>
      </c>
      <c r="F35" s="972">
        <v>16.495000000000001</v>
      </c>
      <c r="G35" s="972">
        <v>0.438</v>
      </c>
      <c r="H35" s="972">
        <v>7.3999999999999996E-2</v>
      </c>
      <c r="I35" s="972">
        <v>190.85</v>
      </c>
      <c r="J35" s="972">
        <v>58.037999999999997</v>
      </c>
      <c r="K35" s="972">
        <v>0</v>
      </c>
      <c r="L35" s="972">
        <v>9.0980000000000008</v>
      </c>
      <c r="M35" s="972">
        <v>0</v>
      </c>
      <c r="N35" s="972">
        <v>9.8960000000000008</v>
      </c>
      <c r="O35" s="972">
        <v>284.88299999999998</v>
      </c>
      <c r="P35" s="972">
        <v>327.27100000000002</v>
      </c>
      <c r="Q35" s="972">
        <v>7794.6930000000002</v>
      </c>
      <c r="R35" s="962">
        <v>903</v>
      </c>
      <c r="S35" s="962" t="s">
        <v>4940</v>
      </c>
      <c r="T35" s="972">
        <v>2256.0058333333336</v>
      </c>
    </row>
    <row r="36" spans="1:20">
      <c r="A36" s="962" t="s">
        <v>1522</v>
      </c>
      <c r="B36" s="972">
        <v>3638.7890000000002</v>
      </c>
      <c r="C36" s="972">
        <v>654.55899999999997</v>
      </c>
      <c r="D36" s="972">
        <v>1.212</v>
      </c>
      <c r="E36" s="972">
        <v>129.196</v>
      </c>
      <c r="F36" s="972">
        <v>6.0279999999999996</v>
      </c>
      <c r="G36" s="972">
        <v>0</v>
      </c>
      <c r="H36" s="972">
        <v>0</v>
      </c>
      <c r="I36" s="972">
        <v>49.375</v>
      </c>
      <c r="J36" s="972">
        <v>18.678000000000001</v>
      </c>
      <c r="K36" s="972">
        <v>0</v>
      </c>
      <c r="L36" s="972">
        <v>0</v>
      </c>
      <c r="M36" s="972">
        <v>0</v>
      </c>
      <c r="N36" s="972">
        <v>8.4269999999999996</v>
      </c>
      <c r="O36" s="972">
        <v>82.506</v>
      </c>
      <c r="P36" s="972">
        <v>183.68100000000001</v>
      </c>
      <c r="Q36" s="972">
        <v>3372.6019999999999</v>
      </c>
      <c r="R36" s="962">
        <v>355</v>
      </c>
      <c r="S36" s="962" t="s">
        <v>4940</v>
      </c>
      <c r="T36" s="972">
        <v>1035.3188333333333</v>
      </c>
    </row>
    <row r="37" spans="1:20">
      <c r="A37" s="962" t="s">
        <v>438</v>
      </c>
      <c r="B37" s="972">
        <v>1638.029</v>
      </c>
      <c r="C37" s="972">
        <v>57.238</v>
      </c>
      <c r="D37" s="972">
        <v>0.35899999999999999</v>
      </c>
      <c r="E37" s="972">
        <v>52.057000000000002</v>
      </c>
      <c r="F37" s="972">
        <v>3.1219999999999999</v>
      </c>
      <c r="G37" s="972">
        <v>9.2999999999999999E-2</v>
      </c>
      <c r="H37" s="972">
        <v>0</v>
      </c>
      <c r="I37" s="972">
        <v>35.168999999999997</v>
      </c>
      <c r="J37" s="972">
        <v>10.223000000000001</v>
      </c>
      <c r="K37" s="972">
        <v>6.51</v>
      </c>
      <c r="L37" s="972">
        <v>0</v>
      </c>
      <c r="M37" s="972">
        <v>0</v>
      </c>
      <c r="N37" s="972">
        <v>0</v>
      </c>
      <c r="O37" s="972">
        <v>55.116999999999997</v>
      </c>
      <c r="P37" s="972">
        <v>107.901</v>
      </c>
      <c r="Q37" s="972">
        <v>1475.0119999999999</v>
      </c>
      <c r="R37" s="962">
        <v>115</v>
      </c>
      <c r="S37" s="962" t="s">
        <v>4940</v>
      </c>
      <c r="T37" s="972">
        <v>498.38166666666666</v>
      </c>
    </row>
    <row r="38" spans="1:20">
      <c r="A38" s="962" t="s">
        <v>2565</v>
      </c>
      <c r="B38" s="972">
        <v>162.78399999999999</v>
      </c>
      <c r="C38" s="972">
        <v>37.271000000000001</v>
      </c>
      <c r="D38" s="972">
        <v>0</v>
      </c>
      <c r="E38" s="972">
        <v>7.444</v>
      </c>
      <c r="F38" s="972">
        <v>0.52400000000000002</v>
      </c>
      <c r="G38" s="972">
        <v>0</v>
      </c>
      <c r="H38" s="972">
        <v>0</v>
      </c>
      <c r="I38" s="972">
        <v>2.4129999999999998</v>
      </c>
      <c r="J38" s="972">
        <v>0</v>
      </c>
      <c r="K38" s="972">
        <v>0</v>
      </c>
      <c r="L38" s="972">
        <v>0</v>
      </c>
      <c r="M38" s="972">
        <v>0</v>
      </c>
      <c r="N38" s="972">
        <v>0</v>
      </c>
      <c r="O38" s="972">
        <v>2.9359999999999999</v>
      </c>
      <c r="P38" s="972">
        <v>0</v>
      </c>
      <c r="Q38" s="972">
        <v>159.84800000000001</v>
      </c>
      <c r="R38" s="962">
        <v>7</v>
      </c>
      <c r="S38" s="962" t="s">
        <v>4940</v>
      </c>
      <c r="T38" s="972">
        <v>0</v>
      </c>
    </row>
    <row r="39" spans="1:20">
      <c r="A39" s="962" t="s">
        <v>1248</v>
      </c>
      <c r="B39" s="972">
        <v>546.404</v>
      </c>
      <c r="C39" s="972">
        <v>1.454</v>
      </c>
      <c r="D39" s="972">
        <v>5.1999999999999998E-2</v>
      </c>
      <c r="E39" s="972">
        <v>5.7240000000000002</v>
      </c>
      <c r="F39" s="972">
        <v>1.127</v>
      </c>
      <c r="G39" s="972">
        <v>1.6E-2</v>
      </c>
      <c r="H39" s="972">
        <v>0</v>
      </c>
      <c r="I39" s="972">
        <v>12.712</v>
      </c>
      <c r="J39" s="972">
        <v>4.9260000000000002</v>
      </c>
      <c r="K39" s="972">
        <v>0</v>
      </c>
      <c r="L39" s="972">
        <v>0</v>
      </c>
      <c r="M39" s="972">
        <v>0</v>
      </c>
      <c r="N39" s="972">
        <v>0</v>
      </c>
      <c r="O39" s="972">
        <v>18.780999999999999</v>
      </c>
      <c r="P39" s="972">
        <v>57.085999999999999</v>
      </c>
      <c r="Q39" s="972">
        <v>470.53699999999998</v>
      </c>
      <c r="R39" s="962">
        <v>25</v>
      </c>
      <c r="S39" s="962" t="s">
        <v>4940</v>
      </c>
      <c r="T39" s="972">
        <v>139.92733333333334</v>
      </c>
    </row>
    <row r="40" spans="1:20">
      <c r="A40" s="962" t="s">
        <v>7182</v>
      </c>
      <c r="B40" s="972">
        <v>342.517</v>
      </c>
      <c r="C40" s="972">
        <v>4.2119999999999997</v>
      </c>
      <c r="D40" s="972">
        <v>0</v>
      </c>
      <c r="E40" s="972">
        <v>8.282</v>
      </c>
      <c r="F40" s="972">
        <v>0.56699999999999995</v>
      </c>
      <c r="G40" s="972">
        <v>7.0999999999999994E-2</v>
      </c>
      <c r="H40" s="972">
        <v>0</v>
      </c>
      <c r="I40" s="972">
        <v>6.8109999999999999</v>
      </c>
      <c r="J40" s="972">
        <v>2.1629999999999998</v>
      </c>
      <c r="K40" s="972">
        <v>0</v>
      </c>
      <c r="L40" s="972">
        <v>0</v>
      </c>
      <c r="M40" s="972">
        <v>0</v>
      </c>
      <c r="N40" s="972">
        <v>0</v>
      </c>
      <c r="O40" s="972">
        <v>9.6129999999999995</v>
      </c>
      <c r="P40" s="972">
        <v>0</v>
      </c>
      <c r="Q40" s="972">
        <v>332.904</v>
      </c>
      <c r="R40" s="962">
        <v>12</v>
      </c>
      <c r="S40" s="962" t="s">
        <v>4940</v>
      </c>
      <c r="T40" s="972">
        <v>0</v>
      </c>
    </row>
    <row r="41" spans="1:20">
      <c r="A41" s="962" t="s">
        <v>439</v>
      </c>
      <c r="B41" s="972">
        <v>3272.41</v>
      </c>
      <c r="C41" s="972">
        <v>74.742999999999995</v>
      </c>
      <c r="D41" s="972">
        <v>2.391</v>
      </c>
      <c r="E41" s="972">
        <v>63.506999999999998</v>
      </c>
      <c r="F41" s="972">
        <v>4.6680000000000001</v>
      </c>
      <c r="G41" s="972">
        <v>0.376</v>
      </c>
      <c r="H41" s="972">
        <v>0</v>
      </c>
      <c r="I41" s="972">
        <v>62.473999999999997</v>
      </c>
      <c r="J41" s="972">
        <v>18.828000000000003</v>
      </c>
      <c r="K41" s="972">
        <v>0.29199999999999998</v>
      </c>
      <c r="L41" s="972">
        <v>0.88900000000000001</v>
      </c>
      <c r="M41" s="972">
        <v>0</v>
      </c>
      <c r="N41" s="972">
        <v>0</v>
      </c>
      <c r="O41" s="972">
        <v>87.527000000000001</v>
      </c>
      <c r="P41" s="972">
        <v>221.04</v>
      </c>
      <c r="Q41" s="972">
        <v>2963.8440000000001</v>
      </c>
      <c r="R41" s="962">
        <v>279</v>
      </c>
      <c r="S41" s="962" t="s">
        <v>4940</v>
      </c>
      <c r="T41" s="972">
        <v>959.51899999999989</v>
      </c>
    </row>
    <row r="42" spans="1:20">
      <c r="A42" s="962" t="s">
        <v>1250</v>
      </c>
      <c r="B42" s="972">
        <v>146.15199999999999</v>
      </c>
      <c r="C42" s="972">
        <v>0.28699999999999998</v>
      </c>
      <c r="D42" s="972">
        <v>0</v>
      </c>
      <c r="E42" s="972">
        <v>6.069</v>
      </c>
      <c r="F42" s="972">
        <v>0.432</v>
      </c>
      <c r="G42" s="972">
        <v>0</v>
      </c>
      <c r="H42" s="972">
        <v>0</v>
      </c>
      <c r="I42" s="972">
        <v>0.46700000000000003</v>
      </c>
      <c r="J42" s="972">
        <v>0</v>
      </c>
      <c r="K42" s="972">
        <v>0</v>
      </c>
      <c r="L42" s="972">
        <v>0</v>
      </c>
      <c r="M42" s="972">
        <v>0</v>
      </c>
      <c r="N42" s="972">
        <v>0</v>
      </c>
      <c r="O42" s="972">
        <v>0.89800000000000002</v>
      </c>
      <c r="P42" s="972">
        <v>0</v>
      </c>
      <c r="Q42" s="972">
        <v>145.25399999999999</v>
      </c>
      <c r="R42" s="962">
        <v>5</v>
      </c>
      <c r="S42" s="962" t="s">
        <v>4940</v>
      </c>
      <c r="T42" s="972">
        <v>0</v>
      </c>
    </row>
    <row r="43" spans="1:20">
      <c r="A43" s="962" t="s">
        <v>1252</v>
      </c>
      <c r="B43" s="972">
        <v>381.84899999999999</v>
      </c>
      <c r="C43" s="972">
        <v>3.21</v>
      </c>
      <c r="D43" s="972">
        <v>2.5000000000000001E-2</v>
      </c>
      <c r="E43" s="972">
        <v>9.2539999999999996</v>
      </c>
      <c r="F43" s="972">
        <v>0.66500000000000004</v>
      </c>
      <c r="G43" s="972">
        <v>0</v>
      </c>
      <c r="H43" s="972">
        <v>0</v>
      </c>
      <c r="I43" s="972">
        <v>8.4779999999999998</v>
      </c>
      <c r="J43" s="972">
        <v>2.2250000000000001</v>
      </c>
      <c r="K43" s="972">
        <v>0</v>
      </c>
      <c r="L43" s="972">
        <v>0</v>
      </c>
      <c r="M43" s="972">
        <v>0</v>
      </c>
      <c r="N43" s="972">
        <v>9.1579999999999995</v>
      </c>
      <c r="O43" s="972">
        <v>20.526</v>
      </c>
      <c r="P43" s="972">
        <v>18.666</v>
      </c>
      <c r="Q43" s="972">
        <v>342.65699999999998</v>
      </c>
      <c r="R43" s="962">
        <v>38</v>
      </c>
      <c r="S43" s="962" t="s">
        <v>4940</v>
      </c>
      <c r="T43" s="972">
        <v>131.55016666666666</v>
      </c>
    </row>
    <row r="44" spans="1:20">
      <c r="A44" s="962" t="s">
        <v>2399</v>
      </c>
      <c r="B44" s="972">
        <v>777.55600000000004</v>
      </c>
      <c r="C44" s="972">
        <v>16.673999999999999</v>
      </c>
      <c r="D44" s="972">
        <v>0</v>
      </c>
      <c r="E44" s="972">
        <v>23.190999999999999</v>
      </c>
      <c r="F44" s="972">
        <v>1.1830000000000001</v>
      </c>
      <c r="G44" s="972">
        <v>0</v>
      </c>
      <c r="H44" s="972">
        <v>0</v>
      </c>
      <c r="I44" s="972">
        <v>12.23</v>
      </c>
      <c r="J44" s="972">
        <v>3.621</v>
      </c>
      <c r="K44" s="972">
        <v>0</v>
      </c>
      <c r="L44" s="972">
        <v>0</v>
      </c>
      <c r="M44" s="972">
        <v>0</v>
      </c>
      <c r="N44" s="972">
        <v>0.93899999999999995</v>
      </c>
      <c r="O44" s="972">
        <v>17.972999999999999</v>
      </c>
      <c r="P44" s="972">
        <v>46.061999999999998</v>
      </c>
      <c r="Q44" s="972">
        <v>713.52099999999996</v>
      </c>
      <c r="R44" s="962">
        <v>50</v>
      </c>
      <c r="S44" s="962" t="s">
        <v>4940</v>
      </c>
      <c r="T44" s="972">
        <v>234.28483333333332</v>
      </c>
    </row>
    <row r="45" spans="1:20">
      <c r="A45" s="962" t="s">
        <v>7184</v>
      </c>
      <c r="B45" s="972">
        <v>142.059</v>
      </c>
      <c r="C45" s="972">
        <v>0</v>
      </c>
      <c r="D45" s="972">
        <v>1.2889999999999999</v>
      </c>
      <c r="E45" s="972">
        <v>25.437999999999999</v>
      </c>
      <c r="F45" s="972">
        <v>0</v>
      </c>
      <c r="G45" s="972">
        <v>0</v>
      </c>
      <c r="H45" s="972">
        <v>0</v>
      </c>
      <c r="I45" s="972">
        <v>0</v>
      </c>
      <c r="J45" s="972">
        <v>0</v>
      </c>
      <c r="K45" s="972">
        <v>0</v>
      </c>
      <c r="L45" s="972">
        <v>0</v>
      </c>
      <c r="M45" s="972">
        <v>0</v>
      </c>
      <c r="N45" s="972">
        <v>0</v>
      </c>
      <c r="O45" s="972">
        <v>0</v>
      </c>
      <c r="P45" s="972">
        <v>11.151999999999999</v>
      </c>
      <c r="Q45" s="972">
        <v>130.90700000000001</v>
      </c>
      <c r="R45" s="962">
        <v>0</v>
      </c>
      <c r="S45" s="962" t="s">
        <v>4940</v>
      </c>
      <c r="T45" s="972">
        <v>142.05566666666667</v>
      </c>
    </row>
    <row r="46" spans="1:20">
      <c r="A46" s="962" t="s">
        <v>7186</v>
      </c>
      <c r="B46" s="972">
        <v>62.146000000000001</v>
      </c>
      <c r="C46" s="972">
        <v>0</v>
      </c>
      <c r="D46" s="972">
        <v>0</v>
      </c>
      <c r="E46" s="972">
        <v>10.048</v>
      </c>
      <c r="F46" s="972">
        <v>0</v>
      </c>
      <c r="G46" s="972">
        <v>0</v>
      </c>
      <c r="H46" s="972">
        <v>0</v>
      </c>
      <c r="I46" s="972">
        <v>0</v>
      </c>
      <c r="J46" s="972">
        <v>0</v>
      </c>
      <c r="K46" s="972">
        <v>0</v>
      </c>
      <c r="L46" s="972">
        <v>0</v>
      </c>
      <c r="M46" s="972">
        <v>0</v>
      </c>
      <c r="N46" s="972">
        <v>0</v>
      </c>
      <c r="O46" s="972">
        <v>0</v>
      </c>
      <c r="P46" s="972">
        <v>3.7909999999999999</v>
      </c>
      <c r="Q46" s="972">
        <v>58.354999999999997</v>
      </c>
      <c r="R46" s="962">
        <v>0</v>
      </c>
      <c r="S46" s="962" t="s">
        <v>4940</v>
      </c>
      <c r="T46" s="972">
        <v>62.143999999999998</v>
      </c>
    </row>
    <row r="47" spans="1:20">
      <c r="A47" s="962" t="s">
        <v>7188</v>
      </c>
      <c r="B47" s="972">
        <v>148.39699999999999</v>
      </c>
      <c r="C47" s="972">
        <v>0</v>
      </c>
      <c r="D47" s="972">
        <v>0</v>
      </c>
      <c r="E47" s="972">
        <v>1.8089999999999999</v>
      </c>
      <c r="F47" s="972">
        <v>0.38700000000000001</v>
      </c>
      <c r="G47" s="972">
        <v>0</v>
      </c>
      <c r="H47" s="972">
        <v>0</v>
      </c>
      <c r="I47" s="972">
        <v>5.931</v>
      </c>
      <c r="J47" s="972">
        <v>0</v>
      </c>
      <c r="K47" s="972">
        <v>0</v>
      </c>
      <c r="L47" s="972">
        <v>0</v>
      </c>
      <c r="M47" s="972">
        <v>0</v>
      </c>
      <c r="N47" s="972">
        <v>0</v>
      </c>
      <c r="O47" s="972">
        <v>6.3179999999999996</v>
      </c>
      <c r="P47" s="972">
        <v>0.154</v>
      </c>
      <c r="Q47" s="972">
        <v>141.92500000000001</v>
      </c>
      <c r="R47" s="962">
        <v>0</v>
      </c>
      <c r="S47" s="962" t="s">
        <v>4940</v>
      </c>
      <c r="T47" s="972">
        <v>38.185333333333332</v>
      </c>
    </row>
    <row r="48" spans="1:20">
      <c r="A48" s="962" t="s">
        <v>7190</v>
      </c>
      <c r="B48" s="972">
        <v>379.666</v>
      </c>
      <c r="C48" s="972">
        <v>0</v>
      </c>
      <c r="D48" s="972">
        <v>0</v>
      </c>
      <c r="E48" s="972">
        <v>7.7359999999999998</v>
      </c>
      <c r="F48" s="972">
        <v>0.30399999999999999</v>
      </c>
      <c r="G48" s="972">
        <v>0</v>
      </c>
      <c r="H48" s="972">
        <v>0.112</v>
      </c>
      <c r="I48" s="972">
        <v>3.585</v>
      </c>
      <c r="J48" s="972">
        <v>9.2999999999999999E-2</v>
      </c>
      <c r="K48" s="972">
        <v>0</v>
      </c>
      <c r="L48" s="972">
        <v>0</v>
      </c>
      <c r="M48" s="972">
        <v>0</v>
      </c>
      <c r="N48" s="972">
        <v>60.170999999999999</v>
      </c>
      <c r="O48" s="972">
        <v>64.265000000000001</v>
      </c>
      <c r="P48" s="972">
        <v>0</v>
      </c>
      <c r="Q48" s="972">
        <v>315.40100000000001</v>
      </c>
      <c r="R48" s="962">
        <v>0</v>
      </c>
      <c r="S48" s="962" t="s">
        <v>4940</v>
      </c>
      <c r="T48" s="972">
        <v>209.80433333333335</v>
      </c>
    </row>
    <row r="49" spans="1:20">
      <c r="A49" s="962" t="s">
        <v>2566</v>
      </c>
      <c r="B49" s="972">
        <v>1051.6199999999999</v>
      </c>
      <c r="C49" s="972">
        <v>28.411000000000001</v>
      </c>
      <c r="D49" s="972">
        <v>0</v>
      </c>
      <c r="E49" s="972">
        <v>36.662999999999997</v>
      </c>
      <c r="F49" s="972">
        <v>1.087</v>
      </c>
      <c r="G49" s="972">
        <v>1.2E-2</v>
      </c>
      <c r="H49" s="972">
        <v>0</v>
      </c>
      <c r="I49" s="972">
        <v>11.275</v>
      </c>
      <c r="J49" s="972">
        <v>5.4989999999999997</v>
      </c>
      <c r="K49" s="972">
        <v>5.968</v>
      </c>
      <c r="L49" s="972">
        <v>0</v>
      </c>
      <c r="M49" s="972">
        <v>0</v>
      </c>
      <c r="N49" s="972">
        <v>0</v>
      </c>
      <c r="O49" s="972">
        <v>23.84</v>
      </c>
      <c r="P49" s="972">
        <v>53.774999999999999</v>
      </c>
      <c r="Q49" s="972">
        <v>974.005</v>
      </c>
      <c r="R49" s="962">
        <v>97</v>
      </c>
      <c r="S49" s="962" t="s">
        <v>4940</v>
      </c>
      <c r="T49" s="972">
        <v>301.9785</v>
      </c>
    </row>
    <row r="50" spans="1:20">
      <c r="A50" s="962" t="s">
        <v>947</v>
      </c>
      <c r="B50" s="972">
        <v>342.935</v>
      </c>
      <c r="C50" s="972">
        <v>49.487000000000002</v>
      </c>
      <c r="D50" s="972">
        <v>0</v>
      </c>
      <c r="E50" s="972">
        <v>14.875999999999999</v>
      </c>
      <c r="F50" s="972">
        <v>0.36499999999999999</v>
      </c>
      <c r="G50" s="972">
        <v>0</v>
      </c>
      <c r="H50" s="972">
        <v>0</v>
      </c>
      <c r="I50" s="972">
        <v>5.1669999999999998</v>
      </c>
      <c r="J50" s="972">
        <v>0.52900000000000003</v>
      </c>
      <c r="K50" s="972">
        <v>2.431</v>
      </c>
      <c r="L50" s="972">
        <v>0</v>
      </c>
      <c r="M50" s="972">
        <v>0</v>
      </c>
      <c r="N50" s="972">
        <v>0.89600000000000002</v>
      </c>
      <c r="O50" s="972">
        <v>9.3859999999999992</v>
      </c>
      <c r="P50" s="972">
        <v>20.248000000000001</v>
      </c>
      <c r="Q50" s="972">
        <v>313.3</v>
      </c>
      <c r="R50" s="962">
        <v>15</v>
      </c>
      <c r="S50" s="962" t="s">
        <v>4940</v>
      </c>
      <c r="T50" s="972">
        <v>100.87916666666668</v>
      </c>
    </row>
    <row r="51" spans="1:20">
      <c r="A51" s="962" t="s">
        <v>950</v>
      </c>
      <c r="B51" s="972">
        <v>8814.1910000000007</v>
      </c>
      <c r="C51" s="972">
        <v>583.51199999999994</v>
      </c>
      <c r="D51" s="972">
        <v>3.0819999999999999</v>
      </c>
      <c r="E51" s="972">
        <v>278.31900000000002</v>
      </c>
      <c r="F51" s="972">
        <v>15.071999999999999</v>
      </c>
      <c r="G51" s="972">
        <v>0.151</v>
      </c>
      <c r="H51" s="972">
        <v>0</v>
      </c>
      <c r="I51" s="972">
        <v>162.86000000000001</v>
      </c>
      <c r="J51" s="972">
        <v>66.569000000000003</v>
      </c>
      <c r="K51" s="972">
        <v>0</v>
      </c>
      <c r="L51" s="972">
        <v>7.5279999999999996</v>
      </c>
      <c r="M51" s="972">
        <v>0</v>
      </c>
      <c r="N51" s="972">
        <v>6.2610000000000001</v>
      </c>
      <c r="O51" s="972">
        <v>258.44200000000001</v>
      </c>
      <c r="P51" s="972">
        <v>413.31599999999997</v>
      </c>
      <c r="Q51" s="972">
        <v>8142.433</v>
      </c>
      <c r="R51" s="962">
        <v>768</v>
      </c>
      <c r="S51" s="962" t="s">
        <v>4940</v>
      </c>
      <c r="T51" s="972">
        <v>2312.6198333333332</v>
      </c>
    </row>
    <row r="52" spans="1:20">
      <c r="A52" s="962" t="s">
        <v>1869</v>
      </c>
      <c r="B52" s="972">
        <v>543.78300000000002</v>
      </c>
      <c r="C52" s="972">
        <v>15.94</v>
      </c>
      <c r="D52" s="972">
        <v>0.495</v>
      </c>
      <c r="E52" s="972">
        <v>13.167999999999999</v>
      </c>
      <c r="F52" s="972">
        <v>0.61299999999999999</v>
      </c>
      <c r="G52" s="972">
        <v>0</v>
      </c>
      <c r="H52" s="972">
        <v>0</v>
      </c>
      <c r="I52" s="972">
        <v>5.3570000000000002</v>
      </c>
      <c r="J52" s="972">
        <v>0.218</v>
      </c>
      <c r="K52" s="972">
        <v>3.1240000000000001</v>
      </c>
      <c r="L52" s="972">
        <v>0</v>
      </c>
      <c r="M52" s="972">
        <v>0</v>
      </c>
      <c r="N52" s="972">
        <v>0</v>
      </c>
      <c r="O52" s="972">
        <v>9.3119999999999994</v>
      </c>
      <c r="P52" s="972">
        <v>19.125</v>
      </c>
      <c r="Q52" s="972">
        <v>515.34699999999998</v>
      </c>
      <c r="R52" s="962">
        <v>59</v>
      </c>
      <c r="S52" s="962" t="s">
        <v>4940</v>
      </c>
      <c r="T52" s="972">
        <v>132.41966666666667</v>
      </c>
    </row>
    <row r="53" spans="1:20">
      <c r="A53" s="962" t="s">
        <v>6033</v>
      </c>
      <c r="B53" s="972">
        <v>37839.027999999998</v>
      </c>
      <c r="C53" s="972">
        <v>2606.0349999999999</v>
      </c>
      <c r="D53" s="972">
        <v>3.0619999999999998</v>
      </c>
      <c r="E53" s="972">
        <v>557.43600000000004</v>
      </c>
      <c r="F53" s="972">
        <v>68.84</v>
      </c>
      <c r="G53" s="972">
        <v>1.0880000000000001</v>
      </c>
      <c r="H53" s="972">
        <v>0.436</v>
      </c>
      <c r="I53" s="972">
        <v>907.78</v>
      </c>
      <c r="J53" s="972">
        <v>381.72700000000003</v>
      </c>
      <c r="K53" s="972">
        <v>3.6429999999999998</v>
      </c>
      <c r="L53" s="972">
        <v>4.8099999999999996</v>
      </c>
      <c r="M53" s="972">
        <v>0</v>
      </c>
      <c r="N53" s="972">
        <v>25.417000000000002</v>
      </c>
      <c r="O53" s="972">
        <v>1393.74</v>
      </c>
      <c r="P53" s="972">
        <v>1110.8679999999999</v>
      </c>
      <c r="Q53" s="972">
        <v>35334.42</v>
      </c>
      <c r="R53" s="962">
        <v>2121</v>
      </c>
      <c r="S53" s="962" t="s">
        <v>4940</v>
      </c>
      <c r="T53" s="972">
        <v>8631.9526666666679</v>
      </c>
    </row>
    <row r="54" spans="1:20">
      <c r="A54" s="962" t="s">
        <v>2309</v>
      </c>
      <c r="B54" s="972">
        <v>849.23400000000004</v>
      </c>
      <c r="C54" s="972">
        <v>29.26</v>
      </c>
      <c r="D54" s="972">
        <v>0</v>
      </c>
      <c r="E54" s="972">
        <v>25.658000000000001</v>
      </c>
      <c r="F54" s="972">
        <v>0.77400000000000002</v>
      </c>
      <c r="G54" s="972">
        <v>0</v>
      </c>
      <c r="H54" s="972">
        <v>0</v>
      </c>
      <c r="I54" s="972">
        <v>13.773999999999999</v>
      </c>
      <c r="J54" s="972">
        <v>0.34300000000000003</v>
      </c>
      <c r="K54" s="972">
        <v>1.994</v>
      </c>
      <c r="L54" s="972">
        <v>0</v>
      </c>
      <c r="M54" s="972">
        <v>0</v>
      </c>
      <c r="N54" s="972">
        <v>0</v>
      </c>
      <c r="O54" s="972">
        <v>16.884</v>
      </c>
      <c r="P54" s="972">
        <v>39.930999999999997</v>
      </c>
      <c r="Q54" s="972">
        <v>792.41899999999998</v>
      </c>
      <c r="R54" s="962">
        <v>95</v>
      </c>
      <c r="S54" s="962" t="s">
        <v>4940</v>
      </c>
      <c r="T54" s="972">
        <v>263.15316666666666</v>
      </c>
    </row>
    <row r="55" spans="1:20">
      <c r="A55" s="962" t="s">
        <v>2384</v>
      </c>
      <c r="B55" s="972">
        <v>1276.576</v>
      </c>
      <c r="C55" s="972">
        <v>89.009</v>
      </c>
      <c r="D55" s="972">
        <v>0</v>
      </c>
      <c r="E55" s="972">
        <v>39.686999999999998</v>
      </c>
      <c r="F55" s="972">
        <v>0.88800000000000001</v>
      </c>
      <c r="G55" s="972">
        <v>0</v>
      </c>
      <c r="H55" s="972">
        <v>0</v>
      </c>
      <c r="I55" s="972">
        <v>12.346</v>
      </c>
      <c r="J55" s="972">
        <v>3.0779999999999998</v>
      </c>
      <c r="K55" s="972">
        <v>6.468</v>
      </c>
      <c r="L55" s="972">
        <v>0</v>
      </c>
      <c r="M55" s="972">
        <v>0</v>
      </c>
      <c r="N55" s="972">
        <v>0</v>
      </c>
      <c r="O55" s="972">
        <v>22.779</v>
      </c>
      <c r="P55" s="972">
        <v>68.617000000000004</v>
      </c>
      <c r="Q55" s="972">
        <v>1185.18</v>
      </c>
      <c r="R55" s="962">
        <v>69</v>
      </c>
      <c r="S55" s="962" t="s">
        <v>4940</v>
      </c>
      <c r="T55" s="972">
        <v>435.20666666666665</v>
      </c>
    </row>
    <row r="56" spans="1:20">
      <c r="A56" s="962" t="s">
        <v>2411</v>
      </c>
      <c r="B56" s="972">
        <v>8081.6310000000003</v>
      </c>
      <c r="C56" s="972">
        <v>588.18799999999999</v>
      </c>
      <c r="D56" s="972">
        <v>1.8839999999999999</v>
      </c>
      <c r="E56" s="972">
        <v>17.545000000000002</v>
      </c>
      <c r="F56" s="972">
        <v>9.3849999999999998</v>
      </c>
      <c r="G56" s="972">
        <v>0.75</v>
      </c>
      <c r="H56" s="972">
        <v>0.73699999999999999</v>
      </c>
      <c r="I56" s="972">
        <v>205.96700000000001</v>
      </c>
      <c r="J56" s="972">
        <v>41.358000000000004</v>
      </c>
      <c r="K56" s="972">
        <v>0</v>
      </c>
      <c r="L56" s="972">
        <v>5.0720000000000001</v>
      </c>
      <c r="M56" s="972">
        <v>0</v>
      </c>
      <c r="N56" s="972">
        <v>3.4220000000000002</v>
      </c>
      <c r="O56" s="972">
        <v>266.68900000000002</v>
      </c>
      <c r="P56" s="972">
        <v>278.62400000000002</v>
      </c>
      <c r="Q56" s="972">
        <v>7536.3180000000002</v>
      </c>
      <c r="R56" s="962">
        <v>836</v>
      </c>
      <c r="S56" s="962" t="s">
        <v>4940</v>
      </c>
      <c r="T56" s="972">
        <v>1889.6558333333332</v>
      </c>
    </row>
    <row r="57" spans="1:20">
      <c r="A57" s="962" t="s">
        <v>2416</v>
      </c>
      <c r="B57" s="972">
        <v>1215.1780000000001</v>
      </c>
      <c r="C57" s="972">
        <v>36.173999999999999</v>
      </c>
      <c r="D57" s="972">
        <v>0</v>
      </c>
      <c r="E57" s="972">
        <v>56.143999999999998</v>
      </c>
      <c r="F57" s="972">
        <v>1.1779999999999999</v>
      </c>
      <c r="G57" s="972">
        <v>6.3E-2</v>
      </c>
      <c r="H57" s="972">
        <v>0</v>
      </c>
      <c r="I57" s="972">
        <v>13.848000000000001</v>
      </c>
      <c r="J57" s="972">
        <v>9.2149999999999999</v>
      </c>
      <c r="K57" s="972">
        <v>0</v>
      </c>
      <c r="L57" s="972">
        <v>0</v>
      </c>
      <c r="M57" s="972">
        <v>0</v>
      </c>
      <c r="N57" s="972">
        <v>1.0980000000000001</v>
      </c>
      <c r="O57" s="972">
        <v>25.4</v>
      </c>
      <c r="P57" s="972">
        <v>65.721999999999994</v>
      </c>
      <c r="Q57" s="972">
        <v>1124.057</v>
      </c>
      <c r="R57" s="962">
        <v>116</v>
      </c>
      <c r="S57" s="962" t="s">
        <v>4940</v>
      </c>
      <c r="T57" s="972">
        <v>354.34900000000005</v>
      </c>
    </row>
    <row r="58" spans="1:20">
      <c r="A58" s="962" t="s">
        <v>1254</v>
      </c>
      <c r="B58" s="972">
        <v>248.32300000000001</v>
      </c>
      <c r="C58" s="972">
        <v>0.755</v>
      </c>
      <c r="D58" s="972">
        <v>1.68</v>
      </c>
      <c r="E58" s="972">
        <v>4.5229999999999997</v>
      </c>
      <c r="F58" s="972">
        <v>0</v>
      </c>
      <c r="G58" s="972">
        <v>3.3000000000000002E-2</v>
      </c>
      <c r="H58" s="972">
        <v>0</v>
      </c>
      <c r="I58" s="972">
        <v>16.399999999999999</v>
      </c>
      <c r="J58" s="972">
        <v>0.25</v>
      </c>
      <c r="K58" s="972">
        <v>0</v>
      </c>
      <c r="L58" s="972">
        <v>0</v>
      </c>
      <c r="M58" s="972">
        <v>0</v>
      </c>
      <c r="N58" s="972">
        <v>2.9569999999999999</v>
      </c>
      <c r="O58" s="972">
        <v>19.64</v>
      </c>
      <c r="P58" s="972">
        <v>45.02</v>
      </c>
      <c r="Q58" s="972">
        <v>183.66399999999999</v>
      </c>
      <c r="R58" s="962">
        <v>0</v>
      </c>
      <c r="S58" s="962" t="s">
        <v>4940</v>
      </c>
      <c r="T58" s="972">
        <v>248.31766666666664</v>
      </c>
    </row>
    <row r="59" spans="1:20">
      <c r="A59" s="962" t="s">
        <v>7193</v>
      </c>
      <c r="B59" s="972">
        <v>1267.019</v>
      </c>
      <c r="C59" s="972">
        <v>89.811000000000007</v>
      </c>
      <c r="D59" s="972">
        <v>1.762</v>
      </c>
      <c r="E59" s="972">
        <v>16.904</v>
      </c>
      <c r="F59" s="972">
        <v>0.433</v>
      </c>
      <c r="G59" s="972">
        <v>0</v>
      </c>
      <c r="H59" s="972">
        <v>0</v>
      </c>
      <c r="I59" s="972">
        <v>4.45</v>
      </c>
      <c r="J59" s="972">
        <v>0</v>
      </c>
      <c r="K59" s="972">
        <v>0</v>
      </c>
      <c r="L59" s="972">
        <v>0</v>
      </c>
      <c r="M59" s="972">
        <v>0</v>
      </c>
      <c r="N59" s="972">
        <v>0</v>
      </c>
      <c r="O59" s="972">
        <v>4.8819999999999997</v>
      </c>
      <c r="P59" s="972">
        <v>2.2509999999999999</v>
      </c>
      <c r="Q59" s="972">
        <v>1259.8869999999999</v>
      </c>
      <c r="R59" s="962">
        <v>30</v>
      </c>
      <c r="S59" s="962" t="s">
        <v>4940</v>
      </c>
      <c r="T59" s="972">
        <v>170.77416666666667</v>
      </c>
    </row>
    <row r="60" spans="1:20">
      <c r="A60" s="962" t="s">
        <v>7195</v>
      </c>
      <c r="B60" s="972">
        <v>447.48</v>
      </c>
      <c r="C60" s="972">
        <v>36.622999999999998</v>
      </c>
      <c r="D60" s="972">
        <v>0</v>
      </c>
      <c r="E60" s="972">
        <v>20.783999999999999</v>
      </c>
      <c r="F60" s="972">
        <v>0.49299999999999999</v>
      </c>
      <c r="G60" s="972">
        <v>0</v>
      </c>
      <c r="H60" s="972">
        <v>0</v>
      </c>
      <c r="I60" s="972">
        <v>0</v>
      </c>
      <c r="J60" s="972">
        <v>0</v>
      </c>
      <c r="K60" s="972">
        <v>0</v>
      </c>
      <c r="L60" s="972">
        <v>0</v>
      </c>
      <c r="M60" s="972">
        <v>0</v>
      </c>
      <c r="N60" s="972">
        <v>0</v>
      </c>
      <c r="O60" s="972">
        <v>0.49299999999999999</v>
      </c>
      <c r="P60" s="972">
        <v>0</v>
      </c>
      <c r="Q60" s="972">
        <v>446.98700000000002</v>
      </c>
      <c r="R60" s="962">
        <v>0</v>
      </c>
      <c r="S60" s="962" t="s">
        <v>4940</v>
      </c>
      <c r="T60" s="972">
        <v>22.574333333333332</v>
      </c>
    </row>
    <row r="61" spans="1:20">
      <c r="A61" s="962" t="s">
        <v>7197</v>
      </c>
      <c r="B61" s="972">
        <v>584.09900000000005</v>
      </c>
      <c r="C61" s="972">
        <v>47.581000000000003</v>
      </c>
      <c r="D61" s="972">
        <v>0</v>
      </c>
      <c r="E61" s="972">
        <v>32.591999999999999</v>
      </c>
      <c r="F61" s="972">
        <v>1.1080000000000001</v>
      </c>
      <c r="G61" s="972">
        <v>7.6999999999999999E-2</v>
      </c>
      <c r="H61" s="972">
        <v>0</v>
      </c>
      <c r="I61" s="972">
        <v>5.0090000000000003</v>
      </c>
      <c r="J61" s="972">
        <v>1.135</v>
      </c>
      <c r="K61" s="972">
        <v>0</v>
      </c>
      <c r="L61" s="972">
        <v>0</v>
      </c>
      <c r="M61" s="972">
        <v>0</v>
      </c>
      <c r="N61" s="972">
        <v>0</v>
      </c>
      <c r="O61" s="972">
        <v>7.3280000000000003</v>
      </c>
      <c r="P61" s="972">
        <v>0</v>
      </c>
      <c r="Q61" s="972">
        <v>576.77099999999996</v>
      </c>
      <c r="R61" s="962">
        <v>0</v>
      </c>
      <c r="S61" s="962" t="s">
        <v>4940</v>
      </c>
      <c r="T61" s="972">
        <v>0</v>
      </c>
    </row>
    <row r="62" spans="1:20">
      <c r="A62" s="962" t="s">
        <v>1256</v>
      </c>
      <c r="B62" s="972">
        <v>1537.259</v>
      </c>
      <c r="C62" s="972">
        <v>169.46</v>
      </c>
      <c r="D62" s="972">
        <v>0</v>
      </c>
      <c r="E62" s="972">
        <v>67.332999999999998</v>
      </c>
      <c r="F62" s="972">
        <v>2.1920000000000002</v>
      </c>
      <c r="G62" s="972">
        <v>0</v>
      </c>
      <c r="H62" s="972">
        <v>0</v>
      </c>
      <c r="I62" s="972">
        <v>18.82</v>
      </c>
      <c r="J62" s="972">
        <v>0.83799999999999997</v>
      </c>
      <c r="K62" s="972">
        <v>0</v>
      </c>
      <c r="L62" s="972">
        <v>0</v>
      </c>
      <c r="M62" s="972">
        <v>0</v>
      </c>
      <c r="N62" s="972">
        <v>0</v>
      </c>
      <c r="O62" s="972">
        <v>21.849</v>
      </c>
      <c r="P62" s="972">
        <v>39.158000000000001</v>
      </c>
      <c r="Q62" s="972">
        <v>1476.252</v>
      </c>
      <c r="R62" s="962">
        <v>0</v>
      </c>
      <c r="S62" s="962" t="s">
        <v>4940</v>
      </c>
      <c r="T62" s="972">
        <v>213.19033333333334</v>
      </c>
    </row>
    <row r="63" spans="1:20">
      <c r="A63" s="962" t="s">
        <v>7200</v>
      </c>
      <c r="B63" s="972">
        <v>562.88800000000003</v>
      </c>
      <c r="C63" s="972">
        <v>3.5139999999999998</v>
      </c>
      <c r="D63" s="972">
        <v>2.9009999999999998</v>
      </c>
      <c r="E63" s="972">
        <v>18.577999999999999</v>
      </c>
      <c r="F63" s="972">
        <v>1.0999999999999999E-2</v>
      </c>
      <c r="G63" s="972">
        <v>0.10100000000000001</v>
      </c>
      <c r="H63" s="972">
        <v>0</v>
      </c>
      <c r="I63" s="972">
        <v>28.390999999999998</v>
      </c>
      <c r="J63" s="972">
        <v>0.56200000000000006</v>
      </c>
      <c r="K63" s="972">
        <v>0</v>
      </c>
      <c r="L63" s="972">
        <v>0</v>
      </c>
      <c r="M63" s="972">
        <v>0</v>
      </c>
      <c r="N63" s="972">
        <v>0</v>
      </c>
      <c r="O63" s="972">
        <v>29.065000000000001</v>
      </c>
      <c r="P63" s="972">
        <v>68.364999999999995</v>
      </c>
      <c r="Q63" s="972">
        <v>465.45800000000003</v>
      </c>
      <c r="R63" s="962">
        <v>0</v>
      </c>
      <c r="S63" s="962" t="s">
        <v>4940</v>
      </c>
      <c r="T63" s="972">
        <v>562.88066666666668</v>
      </c>
    </row>
    <row r="64" spans="1:20">
      <c r="A64" s="962" t="s">
        <v>7202</v>
      </c>
      <c r="B64" s="972">
        <v>557.27700000000004</v>
      </c>
      <c r="C64" s="972">
        <v>16.545999999999999</v>
      </c>
      <c r="D64" s="972">
        <v>0</v>
      </c>
      <c r="E64" s="972">
        <v>0</v>
      </c>
      <c r="F64" s="972">
        <v>0.92</v>
      </c>
      <c r="G64" s="972">
        <v>0</v>
      </c>
      <c r="H64" s="972">
        <v>0</v>
      </c>
      <c r="I64" s="972">
        <v>0</v>
      </c>
      <c r="J64" s="972">
        <v>0</v>
      </c>
      <c r="K64" s="972">
        <v>0</v>
      </c>
      <c r="L64" s="972">
        <v>2.1000000000000001E-2</v>
      </c>
      <c r="M64" s="972">
        <v>0</v>
      </c>
      <c r="N64" s="972">
        <v>217.636</v>
      </c>
      <c r="O64" s="972">
        <v>218.577</v>
      </c>
      <c r="P64" s="972">
        <v>0</v>
      </c>
      <c r="Q64" s="972">
        <v>338.7</v>
      </c>
      <c r="R64" s="962">
        <v>0</v>
      </c>
      <c r="S64" s="962" t="s">
        <v>4940</v>
      </c>
      <c r="T64" s="972">
        <v>385.14116666666666</v>
      </c>
    </row>
    <row r="65" spans="1:20">
      <c r="A65" s="962" t="s">
        <v>7204</v>
      </c>
      <c r="B65" s="972">
        <v>470.86900000000003</v>
      </c>
      <c r="C65" s="972">
        <v>89.730999999999995</v>
      </c>
      <c r="D65" s="972">
        <v>0</v>
      </c>
      <c r="E65" s="972">
        <v>0</v>
      </c>
      <c r="F65" s="972">
        <v>0.85499999999999998</v>
      </c>
      <c r="G65" s="972">
        <v>6.0999999999999999E-2</v>
      </c>
      <c r="H65" s="972">
        <v>0</v>
      </c>
      <c r="I65" s="972">
        <v>6.1310000000000002</v>
      </c>
      <c r="J65" s="972">
        <v>0.14799999999999999</v>
      </c>
      <c r="K65" s="972">
        <v>0</v>
      </c>
      <c r="L65" s="972">
        <v>0</v>
      </c>
      <c r="M65" s="972">
        <v>0</v>
      </c>
      <c r="N65" s="972">
        <v>0</v>
      </c>
      <c r="O65" s="972">
        <v>7.1950000000000003</v>
      </c>
      <c r="P65" s="972">
        <v>0</v>
      </c>
      <c r="Q65" s="972">
        <v>463.67399999999998</v>
      </c>
      <c r="R65" s="962">
        <v>0</v>
      </c>
      <c r="S65" s="962" t="s">
        <v>4940</v>
      </c>
      <c r="T65" s="972">
        <v>0</v>
      </c>
    </row>
    <row r="66" spans="1:20">
      <c r="A66" s="962" t="s">
        <v>7210</v>
      </c>
      <c r="B66" s="972">
        <v>63.448999999999998</v>
      </c>
      <c r="C66" s="972">
        <v>3.903</v>
      </c>
      <c r="D66" s="972">
        <v>0.36599999999999999</v>
      </c>
      <c r="E66" s="972">
        <v>7.0309999999999997</v>
      </c>
      <c r="F66" s="972">
        <v>0</v>
      </c>
      <c r="G66" s="972">
        <v>0</v>
      </c>
      <c r="H66" s="972">
        <v>0</v>
      </c>
      <c r="I66" s="972">
        <v>1.6639999999999999</v>
      </c>
      <c r="J66" s="972">
        <v>0</v>
      </c>
      <c r="K66" s="972">
        <v>0</v>
      </c>
      <c r="L66" s="972">
        <v>0</v>
      </c>
      <c r="M66" s="972">
        <v>0</v>
      </c>
      <c r="N66" s="972">
        <v>0.70899999999999996</v>
      </c>
      <c r="O66" s="972">
        <v>2.3740000000000001</v>
      </c>
      <c r="P66" s="972">
        <v>7.3390000000000004</v>
      </c>
      <c r="Q66" s="972">
        <v>53.737000000000002</v>
      </c>
      <c r="R66" s="962">
        <v>0</v>
      </c>
      <c r="S66" s="962" t="s">
        <v>4940</v>
      </c>
      <c r="T66" s="972">
        <v>63.38966666666667</v>
      </c>
    </row>
    <row r="67" spans="1:20">
      <c r="A67" s="962" t="s">
        <v>7214</v>
      </c>
      <c r="B67" s="972">
        <v>114.57</v>
      </c>
      <c r="C67" s="972">
        <v>0</v>
      </c>
      <c r="D67" s="972">
        <v>0</v>
      </c>
      <c r="E67" s="972">
        <v>7.1</v>
      </c>
      <c r="F67" s="972">
        <v>0</v>
      </c>
      <c r="G67" s="972">
        <v>0</v>
      </c>
      <c r="H67" s="972">
        <v>0</v>
      </c>
      <c r="I67" s="972">
        <v>0</v>
      </c>
      <c r="J67" s="972">
        <v>0</v>
      </c>
      <c r="K67" s="972">
        <v>0</v>
      </c>
      <c r="L67" s="972">
        <v>0</v>
      </c>
      <c r="M67" s="972">
        <v>0</v>
      </c>
      <c r="N67" s="972">
        <v>0</v>
      </c>
      <c r="O67" s="972">
        <v>0</v>
      </c>
      <c r="P67" s="972">
        <v>0.40100000000000002</v>
      </c>
      <c r="Q67" s="972">
        <v>114.169</v>
      </c>
      <c r="R67" s="962">
        <v>0</v>
      </c>
      <c r="S67" s="962" t="s">
        <v>4940</v>
      </c>
      <c r="T67" s="972">
        <v>114.56766666666667</v>
      </c>
    </row>
    <row r="68" spans="1:20">
      <c r="A68" s="962" t="s">
        <v>7216</v>
      </c>
      <c r="B68" s="972">
        <v>762.85299999999995</v>
      </c>
      <c r="C68" s="972">
        <v>86.111000000000004</v>
      </c>
      <c r="D68" s="972">
        <v>0</v>
      </c>
      <c r="E68" s="972">
        <v>33.517000000000003</v>
      </c>
      <c r="F68" s="972">
        <v>0.63300000000000001</v>
      </c>
      <c r="G68" s="972">
        <v>0</v>
      </c>
      <c r="H68" s="972">
        <v>0</v>
      </c>
      <c r="I68" s="972">
        <v>3.5150000000000001</v>
      </c>
      <c r="J68" s="972">
        <v>0.114</v>
      </c>
      <c r="K68" s="972">
        <v>0</v>
      </c>
      <c r="L68" s="972">
        <v>0</v>
      </c>
      <c r="M68" s="972">
        <v>0</v>
      </c>
      <c r="N68" s="972">
        <v>0</v>
      </c>
      <c r="O68" s="972">
        <v>4.2619999999999996</v>
      </c>
      <c r="P68" s="972">
        <v>17.372</v>
      </c>
      <c r="Q68" s="972">
        <v>741.21900000000005</v>
      </c>
      <c r="R68" s="962">
        <v>0</v>
      </c>
      <c r="S68" s="962" t="s">
        <v>4940</v>
      </c>
      <c r="T68" s="972">
        <v>149.24333333333331</v>
      </c>
    </row>
    <row r="69" spans="1:20">
      <c r="A69" s="962" t="s">
        <v>7218</v>
      </c>
      <c r="B69" s="972">
        <v>127.848</v>
      </c>
      <c r="C69" s="972">
        <v>10.343999999999999</v>
      </c>
      <c r="D69" s="972">
        <v>4.7E-2</v>
      </c>
      <c r="E69" s="972">
        <v>8.8970000000000002</v>
      </c>
      <c r="F69" s="972">
        <v>0.373</v>
      </c>
      <c r="G69" s="972">
        <v>0</v>
      </c>
      <c r="H69" s="972">
        <v>0</v>
      </c>
      <c r="I69" s="972">
        <v>3.343</v>
      </c>
      <c r="J69" s="972">
        <v>0.45800000000000002</v>
      </c>
      <c r="K69" s="972">
        <v>0</v>
      </c>
      <c r="L69" s="972">
        <v>0</v>
      </c>
      <c r="M69" s="972">
        <v>0</v>
      </c>
      <c r="N69" s="972">
        <v>0</v>
      </c>
      <c r="O69" s="972">
        <v>4.173</v>
      </c>
      <c r="P69" s="972">
        <v>49.301000000000002</v>
      </c>
      <c r="Q69" s="972">
        <v>74.373999999999995</v>
      </c>
      <c r="R69" s="962">
        <v>2</v>
      </c>
      <c r="S69" s="962" t="s">
        <v>4940</v>
      </c>
      <c r="T69" s="972">
        <v>127.84550000000002</v>
      </c>
    </row>
    <row r="70" spans="1:20">
      <c r="A70" s="962" t="s">
        <v>7220</v>
      </c>
      <c r="B70" s="972">
        <v>298.08199999999999</v>
      </c>
      <c r="C70" s="972">
        <v>32.026000000000003</v>
      </c>
      <c r="D70" s="972">
        <v>0</v>
      </c>
      <c r="E70" s="972">
        <v>39.94</v>
      </c>
      <c r="F70" s="972">
        <v>0</v>
      </c>
      <c r="G70" s="972">
        <v>4.5999999999999999E-2</v>
      </c>
      <c r="H70" s="972">
        <v>0</v>
      </c>
      <c r="I70" s="972">
        <v>0</v>
      </c>
      <c r="J70" s="972">
        <v>0</v>
      </c>
      <c r="K70" s="972">
        <v>0</v>
      </c>
      <c r="L70" s="972">
        <v>0</v>
      </c>
      <c r="M70" s="972">
        <v>0</v>
      </c>
      <c r="N70" s="972">
        <v>0</v>
      </c>
      <c r="O70" s="972">
        <v>4.5999999999999999E-2</v>
      </c>
      <c r="P70" s="972">
        <v>16.692</v>
      </c>
      <c r="Q70" s="972">
        <v>281.34300000000002</v>
      </c>
      <c r="R70" s="962">
        <v>0</v>
      </c>
      <c r="S70" s="962" t="s">
        <v>4940</v>
      </c>
      <c r="T70" s="972">
        <v>298.08</v>
      </c>
    </row>
    <row r="71" spans="1:20">
      <c r="A71" s="962" t="s">
        <v>7223</v>
      </c>
      <c r="B71" s="972">
        <v>969.471</v>
      </c>
      <c r="C71" s="972">
        <v>63.485999999999997</v>
      </c>
      <c r="D71" s="972">
        <v>0</v>
      </c>
      <c r="E71" s="972">
        <v>36.195</v>
      </c>
      <c r="F71" s="972">
        <v>1.167</v>
      </c>
      <c r="G71" s="972">
        <v>7.0999999999999994E-2</v>
      </c>
      <c r="H71" s="972">
        <v>0</v>
      </c>
      <c r="I71" s="972">
        <v>8.2420000000000009</v>
      </c>
      <c r="J71" s="972">
        <v>2.5000000000000001E-2</v>
      </c>
      <c r="K71" s="972">
        <v>0</v>
      </c>
      <c r="L71" s="972">
        <v>0</v>
      </c>
      <c r="M71" s="972">
        <v>0</v>
      </c>
      <c r="N71" s="972">
        <v>0</v>
      </c>
      <c r="O71" s="972">
        <v>9.5039999999999996</v>
      </c>
      <c r="P71" s="972">
        <v>23.928000000000001</v>
      </c>
      <c r="Q71" s="972">
        <v>936.03899999999999</v>
      </c>
      <c r="R71" s="962">
        <v>0</v>
      </c>
      <c r="S71" s="962" t="s">
        <v>4940</v>
      </c>
      <c r="T71" s="972">
        <v>162.28533333333331</v>
      </c>
    </row>
    <row r="72" spans="1:20">
      <c r="A72" s="962" t="s">
        <v>7225</v>
      </c>
      <c r="B72" s="972">
        <v>356.55900000000003</v>
      </c>
      <c r="C72" s="972">
        <v>0</v>
      </c>
      <c r="D72" s="972">
        <v>0.65800000000000003</v>
      </c>
      <c r="E72" s="972">
        <v>45.19</v>
      </c>
      <c r="F72" s="972">
        <v>0.44400000000000001</v>
      </c>
      <c r="G72" s="972">
        <v>0</v>
      </c>
      <c r="H72" s="972">
        <v>0</v>
      </c>
      <c r="I72" s="972">
        <v>0.76700000000000002</v>
      </c>
      <c r="J72" s="972">
        <v>1.339</v>
      </c>
      <c r="K72" s="972">
        <v>0</v>
      </c>
      <c r="L72" s="972">
        <v>0</v>
      </c>
      <c r="M72" s="972">
        <v>0</v>
      </c>
      <c r="N72" s="972">
        <v>0</v>
      </c>
      <c r="O72" s="972">
        <v>2.5489999999999999</v>
      </c>
      <c r="P72" s="972">
        <v>85.82</v>
      </c>
      <c r="Q72" s="972">
        <v>268.19</v>
      </c>
      <c r="R72" s="962">
        <v>0</v>
      </c>
      <c r="S72" s="962" t="s">
        <v>4940</v>
      </c>
      <c r="T72" s="972">
        <v>136.32466666666667</v>
      </c>
    </row>
    <row r="73" spans="1:20">
      <c r="A73" s="962" t="s">
        <v>7227</v>
      </c>
      <c r="B73" s="972">
        <v>893.12699999999995</v>
      </c>
      <c r="C73" s="972">
        <v>128.48400000000001</v>
      </c>
      <c r="D73" s="972">
        <v>0</v>
      </c>
      <c r="E73" s="972">
        <v>5.758</v>
      </c>
      <c r="F73" s="972">
        <v>0.78900000000000003</v>
      </c>
      <c r="G73" s="972">
        <v>0</v>
      </c>
      <c r="H73" s="972">
        <v>0</v>
      </c>
      <c r="I73" s="972">
        <v>18.975999999999999</v>
      </c>
      <c r="J73" s="972">
        <v>0.56999999999999995</v>
      </c>
      <c r="K73" s="972">
        <v>0</v>
      </c>
      <c r="L73" s="972">
        <v>0</v>
      </c>
      <c r="M73" s="972">
        <v>0</v>
      </c>
      <c r="N73" s="972">
        <v>0.11600000000000001</v>
      </c>
      <c r="O73" s="972">
        <v>20.451000000000001</v>
      </c>
      <c r="P73" s="972">
        <v>0</v>
      </c>
      <c r="Q73" s="972">
        <v>872.67600000000004</v>
      </c>
      <c r="R73" s="962">
        <v>18</v>
      </c>
      <c r="S73" s="962" t="s">
        <v>4940</v>
      </c>
      <c r="T73" s="972">
        <v>152.56649999999999</v>
      </c>
    </row>
    <row r="74" spans="1:20">
      <c r="A74" s="962" t="s">
        <v>7229</v>
      </c>
      <c r="B74" s="972">
        <v>68.875</v>
      </c>
      <c r="C74" s="972">
        <v>0</v>
      </c>
      <c r="D74" s="972">
        <v>0</v>
      </c>
      <c r="E74" s="972">
        <v>1.6970000000000001</v>
      </c>
      <c r="F74" s="972">
        <v>0</v>
      </c>
      <c r="G74" s="972">
        <v>0</v>
      </c>
      <c r="H74" s="972">
        <v>0</v>
      </c>
      <c r="I74" s="972">
        <v>3.5710000000000002</v>
      </c>
      <c r="J74" s="972">
        <v>0</v>
      </c>
      <c r="K74" s="972">
        <v>0</v>
      </c>
      <c r="L74" s="972">
        <v>0</v>
      </c>
      <c r="M74" s="972">
        <v>0</v>
      </c>
      <c r="N74" s="972">
        <v>0</v>
      </c>
      <c r="O74" s="972">
        <v>3.5710000000000002</v>
      </c>
      <c r="P74" s="972">
        <v>5.2720000000000002</v>
      </c>
      <c r="Q74" s="972">
        <v>60.031999999999996</v>
      </c>
      <c r="R74" s="962">
        <v>0</v>
      </c>
      <c r="S74" s="962" t="s">
        <v>4940</v>
      </c>
      <c r="T74" s="972">
        <v>68.873000000000005</v>
      </c>
    </row>
    <row r="75" spans="1:20">
      <c r="A75" s="962" t="s">
        <v>7231</v>
      </c>
      <c r="B75" s="972">
        <v>627.70799999999997</v>
      </c>
      <c r="C75" s="972">
        <v>39.859000000000002</v>
      </c>
      <c r="D75" s="972">
        <v>0</v>
      </c>
      <c r="E75" s="972">
        <v>14.893000000000001</v>
      </c>
      <c r="F75" s="972">
        <v>0.52</v>
      </c>
      <c r="G75" s="972">
        <v>0</v>
      </c>
      <c r="H75" s="972">
        <v>0</v>
      </c>
      <c r="I75" s="972">
        <v>0</v>
      </c>
      <c r="J75" s="972">
        <v>0</v>
      </c>
      <c r="K75" s="972">
        <v>0</v>
      </c>
      <c r="L75" s="972">
        <v>0</v>
      </c>
      <c r="M75" s="972">
        <v>0</v>
      </c>
      <c r="N75" s="972">
        <v>0</v>
      </c>
      <c r="O75" s="972">
        <v>0.52</v>
      </c>
      <c r="P75" s="972">
        <v>1.859</v>
      </c>
      <c r="Q75" s="972">
        <v>625.32899999999995</v>
      </c>
      <c r="R75" s="962">
        <v>0</v>
      </c>
      <c r="S75" s="962" t="s">
        <v>4940</v>
      </c>
      <c r="T75" s="972">
        <v>87.754499999999993</v>
      </c>
    </row>
    <row r="76" spans="1:20">
      <c r="A76" s="962" t="s">
        <v>7233</v>
      </c>
      <c r="B76" s="972">
        <v>190.233</v>
      </c>
      <c r="C76" s="972">
        <v>24.399000000000001</v>
      </c>
      <c r="D76" s="972">
        <v>0</v>
      </c>
      <c r="E76" s="972">
        <v>3.4590000000000001</v>
      </c>
      <c r="F76" s="972">
        <v>0.23100000000000001</v>
      </c>
      <c r="G76" s="972">
        <v>0</v>
      </c>
      <c r="H76" s="972">
        <v>0</v>
      </c>
      <c r="I76" s="972">
        <v>4.7069999999999999</v>
      </c>
      <c r="J76" s="972">
        <v>0</v>
      </c>
      <c r="K76" s="972">
        <v>0</v>
      </c>
      <c r="L76" s="972">
        <v>0</v>
      </c>
      <c r="M76" s="972">
        <v>0</v>
      </c>
      <c r="N76" s="972">
        <v>0</v>
      </c>
      <c r="O76" s="972">
        <v>4.9379999999999997</v>
      </c>
      <c r="P76" s="972">
        <v>0</v>
      </c>
      <c r="Q76" s="972">
        <v>185.29499999999999</v>
      </c>
      <c r="R76" s="962">
        <v>2</v>
      </c>
      <c r="S76" s="962" t="s">
        <v>4940</v>
      </c>
      <c r="T76" s="972">
        <v>0</v>
      </c>
    </row>
    <row r="77" spans="1:20">
      <c r="A77" s="962" t="s">
        <v>7235</v>
      </c>
      <c r="B77" s="972">
        <v>699.09500000000003</v>
      </c>
      <c r="C77" s="972">
        <v>122.831</v>
      </c>
      <c r="D77" s="972">
        <v>0</v>
      </c>
      <c r="E77" s="972">
        <v>18.547999999999998</v>
      </c>
      <c r="F77" s="972">
        <v>0.24399999999999999</v>
      </c>
      <c r="G77" s="972">
        <v>0</v>
      </c>
      <c r="H77" s="972">
        <v>0</v>
      </c>
      <c r="I77" s="972">
        <v>17.120999999999999</v>
      </c>
      <c r="J77" s="972">
        <v>1.381</v>
      </c>
      <c r="K77" s="972">
        <v>0</v>
      </c>
      <c r="L77" s="972">
        <v>0</v>
      </c>
      <c r="M77" s="972">
        <v>0</v>
      </c>
      <c r="N77" s="972">
        <v>0</v>
      </c>
      <c r="O77" s="972">
        <v>18.745999999999999</v>
      </c>
      <c r="P77" s="972">
        <v>0</v>
      </c>
      <c r="Q77" s="972">
        <v>680.34900000000005</v>
      </c>
      <c r="R77" s="962">
        <v>0</v>
      </c>
      <c r="S77" s="962" t="s">
        <v>4940</v>
      </c>
      <c r="T77" s="972">
        <v>176.26599999999999</v>
      </c>
    </row>
    <row r="78" spans="1:20">
      <c r="A78" s="962" t="s">
        <v>7237</v>
      </c>
      <c r="B78" s="972">
        <v>707.79399999999998</v>
      </c>
      <c r="C78" s="972">
        <v>11.08</v>
      </c>
      <c r="D78" s="972">
        <v>0</v>
      </c>
      <c r="E78" s="972">
        <v>6.1879999999999997</v>
      </c>
      <c r="F78" s="972">
        <v>0.19400000000000001</v>
      </c>
      <c r="G78" s="972">
        <v>0</v>
      </c>
      <c r="H78" s="972">
        <v>0</v>
      </c>
      <c r="I78" s="972">
        <v>1.373</v>
      </c>
      <c r="J78" s="972">
        <v>0</v>
      </c>
      <c r="K78" s="972">
        <v>0</v>
      </c>
      <c r="L78" s="972">
        <v>0</v>
      </c>
      <c r="M78" s="972">
        <v>0</v>
      </c>
      <c r="N78" s="972">
        <v>0</v>
      </c>
      <c r="O78" s="972">
        <v>1.5669999999999999</v>
      </c>
      <c r="P78" s="972">
        <v>0</v>
      </c>
      <c r="Q78" s="972">
        <v>706.22699999999998</v>
      </c>
      <c r="R78" s="962">
        <v>54</v>
      </c>
      <c r="S78" s="962" t="s">
        <v>4940</v>
      </c>
      <c r="T78" s="972">
        <v>178.2295</v>
      </c>
    </row>
    <row r="79" spans="1:20">
      <c r="A79" s="962" t="s">
        <v>161</v>
      </c>
      <c r="B79" s="972">
        <v>863.70799999999997</v>
      </c>
      <c r="C79" s="972">
        <v>38.457000000000001</v>
      </c>
      <c r="D79" s="972">
        <v>0</v>
      </c>
      <c r="E79" s="972">
        <v>15.236000000000001</v>
      </c>
      <c r="F79" s="972">
        <v>0.76500000000000001</v>
      </c>
      <c r="G79" s="972">
        <v>0</v>
      </c>
      <c r="H79" s="972">
        <v>0</v>
      </c>
      <c r="I79" s="972">
        <v>4.5519999999999996</v>
      </c>
      <c r="J79" s="972">
        <v>9.2999999999999999E-2</v>
      </c>
      <c r="K79" s="972">
        <v>0</v>
      </c>
      <c r="L79" s="972">
        <v>0</v>
      </c>
      <c r="M79" s="972">
        <v>0</v>
      </c>
      <c r="N79" s="972">
        <v>0</v>
      </c>
      <c r="O79" s="972">
        <v>5.41</v>
      </c>
      <c r="P79" s="972">
        <v>5.7750000000000004</v>
      </c>
      <c r="Q79" s="972">
        <v>852.52300000000002</v>
      </c>
      <c r="R79" s="962">
        <v>54</v>
      </c>
      <c r="S79" s="962" t="s">
        <v>4940</v>
      </c>
      <c r="T79" s="972">
        <v>122.49866666666667</v>
      </c>
    </row>
    <row r="80" spans="1:20">
      <c r="A80" s="962" t="s">
        <v>162</v>
      </c>
      <c r="B80" s="972">
        <v>669.66399999999999</v>
      </c>
      <c r="C80" s="972">
        <v>6.9530000000000003</v>
      </c>
      <c r="D80" s="972">
        <v>0</v>
      </c>
      <c r="E80" s="972">
        <v>4.9240000000000004</v>
      </c>
      <c r="F80" s="972">
        <v>0.106</v>
      </c>
      <c r="G80" s="972">
        <v>0</v>
      </c>
      <c r="H80" s="972">
        <v>0</v>
      </c>
      <c r="I80" s="972">
        <v>9.7449999999999992</v>
      </c>
      <c r="J80" s="972">
        <v>0</v>
      </c>
      <c r="K80" s="972">
        <v>0</v>
      </c>
      <c r="L80" s="972">
        <v>0</v>
      </c>
      <c r="M80" s="972">
        <v>0</v>
      </c>
      <c r="N80" s="972">
        <v>0.122</v>
      </c>
      <c r="O80" s="972">
        <v>9.9730000000000008</v>
      </c>
      <c r="P80" s="972">
        <v>2.5099999999999998</v>
      </c>
      <c r="Q80" s="972">
        <v>657.18</v>
      </c>
      <c r="R80" s="962">
        <v>118</v>
      </c>
      <c r="S80" s="962" t="s">
        <v>4940</v>
      </c>
      <c r="T80" s="972">
        <v>249.54799999999997</v>
      </c>
    </row>
    <row r="81" spans="1:20">
      <c r="A81" s="962" t="s">
        <v>7794</v>
      </c>
      <c r="B81" s="972">
        <v>344.286</v>
      </c>
      <c r="C81" s="972">
        <v>4.3159999999999998</v>
      </c>
      <c r="D81" s="972">
        <v>0</v>
      </c>
      <c r="E81" s="972">
        <v>0.83399999999999996</v>
      </c>
      <c r="F81" s="972">
        <v>0.16900000000000001</v>
      </c>
      <c r="G81" s="972">
        <v>0</v>
      </c>
      <c r="H81" s="972">
        <v>0</v>
      </c>
      <c r="I81" s="972">
        <v>3.3940000000000001</v>
      </c>
      <c r="J81" s="972">
        <v>0</v>
      </c>
      <c r="K81" s="972">
        <v>0</v>
      </c>
      <c r="L81" s="972">
        <v>0</v>
      </c>
      <c r="M81" s="972">
        <v>0</v>
      </c>
      <c r="N81" s="972">
        <v>0</v>
      </c>
      <c r="O81" s="972">
        <v>3.5630000000000002</v>
      </c>
      <c r="P81" s="972">
        <v>0</v>
      </c>
      <c r="Q81" s="972">
        <v>340.72199999999998</v>
      </c>
      <c r="R81" s="962">
        <v>14</v>
      </c>
      <c r="S81" s="962" t="s">
        <v>4940</v>
      </c>
      <c r="T81" s="972">
        <v>0</v>
      </c>
    </row>
    <row r="82" spans="1:20">
      <c r="A82" s="962" t="s">
        <v>7919</v>
      </c>
      <c r="B82" s="972">
        <v>116.152</v>
      </c>
      <c r="C82" s="972">
        <v>7.742</v>
      </c>
      <c r="D82" s="972">
        <v>0</v>
      </c>
      <c r="E82" s="972">
        <v>4.58</v>
      </c>
      <c r="F82" s="972">
        <v>7.0000000000000001E-3</v>
      </c>
      <c r="G82" s="972">
        <v>0</v>
      </c>
      <c r="H82" s="972">
        <v>0</v>
      </c>
      <c r="I82" s="972">
        <v>0.441</v>
      </c>
      <c r="J82" s="972">
        <v>6.8000000000000005E-2</v>
      </c>
      <c r="K82" s="972">
        <v>0</v>
      </c>
      <c r="L82" s="972">
        <v>0</v>
      </c>
      <c r="M82" s="972">
        <v>0</v>
      </c>
      <c r="N82" s="972">
        <v>0</v>
      </c>
      <c r="O82" s="972">
        <v>0.51700000000000002</v>
      </c>
      <c r="P82" s="972">
        <v>3.76</v>
      </c>
      <c r="Q82" s="972">
        <v>111.875</v>
      </c>
      <c r="R82" s="962">
        <v>10</v>
      </c>
      <c r="S82" s="962" t="s">
        <v>4940</v>
      </c>
      <c r="T82" s="972">
        <v>36.354666666666667</v>
      </c>
    </row>
    <row r="83" spans="1:20">
      <c r="A83" s="962" t="s">
        <v>7921</v>
      </c>
      <c r="B83" s="972">
        <v>134.99799999999999</v>
      </c>
      <c r="C83" s="972">
        <v>0</v>
      </c>
      <c r="D83" s="972">
        <v>0.122</v>
      </c>
      <c r="E83" s="972">
        <v>13.404999999999999</v>
      </c>
      <c r="F83" s="972">
        <v>0</v>
      </c>
      <c r="G83" s="972">
        <v>0</v>
      </c>
      <c r="H83" s="972">
        <v>0</v>
      </c>
      <c r="I83" s="972">
        <v>0</v>
      </c>
      <c r="J83" s="972">
        <v>0</v>
      </c>
      <c r="K83" s="972">
        <v>0</v>
      </c>
      <c r="L83" s="972">
        <v>0</v>
      </c>
      <c r="M83" s="972">
        <v>0</v>
      </c>
      <c r="N83" s="972">
        <v>0</v>
      </c>
      <c r="O83" s="972">
        <v>0</v>
      </c>
      <c r="P83" s="972">
        <v>0</v>
      </c>
      <c r="Q83" s="972">
        <v>134.99799999999999</v>
      </c>
      <c r="R83" s="962">
        <v>0</v>
      </c>
      <c r="S83" s="962" t="s">
        <v>4940</v>
      </c>
      <c r="T83" s="972">
        <v>134.99683333333331</v>
      </c>
    </row>
    <row r="84" spans="1:20">
      <c r="A84" s="962" t="s">
        <v>37</v>
      </c>
      <c r="B84" s="972">
        <v>4483.66</v>
      </c>
      <c r="C84" s="972">
        <v>202.63499999999999</v>
      </c>
      <c r="D84" s="972">
        <v>0.499</v>
      </c>
      <c r="E84" s="972">
        <v>71.989999999999995</v>
      </c>
      <c r="F84" s="972">
        <v>6.7370000000000001</v>
      </c>
      <c r="G84" s="972">
        <v>0.247</v>
      </c>
      <c r="H84" s="972">
        <v>0</v>
      </c>
      <c r="I84" s="972">
        <v>40.57</v>
      </c>
      <c r="J84" s="972">
        <v>21.247</v>
      </c>
      <c r="K84" s="972">
        <v>5.7629999999999999</v>
      </c>
      <c r="L84" s="972">
        <v>2.919</v>
      </c>
      <c r="M84" s="972">
        <v>0</v>
      </c>
      <c r="N84" s="972">
        <v>0</v>
      </c>
      <c r="O84" s="972">
        <v>77.481999999999999</v>
      </c>
      <c r="P84" s="972">
        <v>53.58</v>
      </c>
      <c r="Q84" s="972">
        <v>4352.598</v>
      </c>
      <c r="R84" s="962">
        <v>838</v>
      </c>
      <c r="S84" s="962" t="s">
        <v>4940</v>
      </c>
      <c r="T84" s="972">
        <v>1438.41</v>
      </c>
    </row>
    <row r="85" spans="1:20">
      <c r="A85" s="962" t="s">
        <v>1860</v>
      </c>
      <c r="B85" s="972">
        <v>13598.625</v>
      </c>
      <c r="C85" s="972">
        <v>1931.346</v>
      </c>
      <c r="D85" s="972">
        <v>7.0860000000000003</v>
      </c>
      <c r="E85" s="972">
        <v>653.69899999999996</v>
      </c>
      <c r="F85" s="972">
        <v>20.957999999999998</v>
      </c>
      <c r="G85" s="972">
        <v>0.89400000000000002</v>
      </c>
      <c r="H85" s="972">
        <v>0</v>
      </c>
      <c r="I85" s="972">
        <v>80.754000000000005</v>
      </c>
      <c r="J85" s="972">
        <v>69.570999999999998</v>
      </c>
      <c r="K85" s="972">
        <v>19.193999999999999</v>
      </c>
      <c r="L85" s="972">
        <v>0</v>
      </c>
      <c r="M85" s="972">
        <v>0</v>
      </c>
      <c r="N85" s="972">
        <v>42.835999999999999</v>
      </c>
      <c r="O85" s="972">
        <v>234.20699999999999</v>
      </c>
      <c r="P85" s="972">
        <v>532.70500000000004</v>
      </c>
      <c r="Q85" s="972">
        <v>12831.713</v>
      </c>
      <c r="R85" s="962">
        <v>897</v>
      </c>
      <c r="S85" s="962" t="s">
        <v>4940</v>
      </c>
      <c r="T85" s="972">
        <v>3512.618833333333</v>
      </c>
    </row>
    <row r="86" spans="1:20">
      <c r="A86" s="962" t="s">
        <v>1520</v>
      </c>
      <c r="B86" s="972">
        <v>11126.996999999999</v>
      </c>
      <c r="C86" s="972">
        <v>1964.518</v>
      </c>
      <c r="D86" s="972">
        <v>8.202</v>
      </c>
      <c r="E86" s="972">
        <v>309.88499999999999</v>
      </c>
      <c r="F86" s="972">
        <v>21.15</v>
      </c>
      <c r="G86" s="972">
        <v>1.2410000000000001</v>
      </c>
      <c r="H86" s="972">
        <v>0</v>
      </c>
      <c r="I86" s="972">
        <v>185.69399999999999</v>
      </c>
      <c r="J86" s="972">
        <v>73.10799999999999</v>
      </c>
      <c r="K86" s="972">
        <v>0</v>
      </c>
      <c r="L86" s="972">
        <v>1.147</v>
      </c>
      <c r="M86" s="972">
        <v>0</v>
      </c>
      <c r="N86" s="972">
        <v>3.2000000000000001E-2</v>
      </c>
      <c r="O86" s="972">
        <v>282.37099999999998</v>
      </c>
      <c r="P86" s="972">
        <v>352.42500000000001</v>
      </c>
      <c r="Q86" s="972">
        <v>10492.200999999999</v>
      </c>
      <c r="R86" s="962">
        <v>957</v>
      </c>
      <c r="S86" s="962" t="s">
        <v>4940</v>
      </c>
      <c r="T86" s="972">
        <v>2325.0804999999996</v>
      </c>
    </row>
    <row r="87" spans="1:20">
      <c r="A87" s="962" t="s">
        <v>39</v>
      </c>
      <c r="B87" s="972">
        <v>1123.1690000000001</v>
      </c>
      <c r="C87" s="972">
        <v>1.8660000000000001</v>
      </c>
      <c r="D87" s="972">
        <v>0</v>
      </c>
      <c r="E87" s="972">
        <v>18.190000000000001</v>
      </c>
      <c r="F87" s="972">
        <v>1.7589999999999999</v>
      </c>
      <c r="G87" s="972">
        <v>0</v>
      </c>
      <c r="H87" s="972">
        <v>0</v>
      </c>
      <c r="I87" s="972">
        <v>13.967000000000001</v>
      </c>
      <c r="J87" s="972">
        <v>4.8570000000000002</v>
      </c>
      <c r="K87" s="972">
        <v>0.252</v>
      </c>
      <c r="L87" s="972">
        <v>0</v>
      </c>
      <c r="M87" s="972">
        <v>0</v>
      </c>
      <c r="N87" s="972">
        <v>0</v>
      </c>
      <c r="O87" s="972">
        <v>20.835000000000001</v>
      </c>
      <c r="P87" s="972">
        <v>11.427</v>
      </c>
      <c r="Q87" s="972">
        <v>1090.9069999999999</v>
      </c>
      <c r="R87" s="962">
        <v>118</v>
      </c>
      <c r="S87" s="962" t="s">
        <v>4940</v>
      </c>
      <c r="T87" s="972">
        <v>312.62983333333329</v>
      </c>
    </row>
    <row r="88" spans="1:20">
      <c r="A88" s="962" t="s">
        <v>2386</v>
      </c>
      <c r="B88" s="972">
        <v>48849.45</v>
      </c>
      <c r="C88" s="972">
        <v>7606.1239999999998</v>
      </c>
      <c r="D88" s="972">
        <v>35.512</v>
      </c>
      <c r="E88" s="972">
        <v>1784.5889999999999</v>
      </c>
      <c r="F88" s="972">
        <v>84.674999999999997</v>
      </c>
      <c r="G88" s="972">
        <v>4.508</v>
      </c>
      <c r="H88" s="972">
        <v>21.879000000000001</v>
      </c>
      <c r="I88" s="972">
        <v>618.92600000000004</v>
      </c>
      <c r="J88" s="972">
        <v>401.94499999999999</v>
      </c>
      <c r="K88" s="972">
        <v>27.777000000000001</v>
      </c>
      <c r="L88" s="972">
        <v>88.337000000000003</v>
      </c>
      <c r="M88" s="972">
        <v>0</v>
      </c>
      <c r="N88" s="972">
        <v>45.085999999999999</v>
      </c>
      <c r="O88" s="972">
        <v>1293.134</v>
      </c>
      <c r="P88" s="972">
        <v>2344.0459999999998</v>
      </c>
      <c r="Q88" s="972">
        <v>45212.27</v>
      </c>
      <c r="R88" s="962">
        <v>3165</v>
      </c>
      <c r="S88" s="962" t="s">
        <v>4940</v>
      </c>
      <c r="T88" s="972">
        <v>11524.151999999998</v>
      </c>
    </row>
    <row r="89" spans="1:20">
      <c r="A89" s="962" t="s">
        <v>2403</v>
      </c>
      <c r="B89" s="972">
        <v>9140.7749999999996</v>
      </c>
      <c r="C89" s="972">
        <v>1337.1569999999999</v>
      </c>
      <c r="D89" s="972">
        <v>4.3970000000000002</v>
      </c>
      <c r="E89" s="972">
        <v>244.47800000000001</v>
      </c>
      <c r="F89" s="972">
        <v>11.576000000000001</v>
      </c>
      <c r="G89" s="972">
        <v>0.48399999999999999</v>
      </c>
      <c r="H89" s="972">
        <v>0</v>
      </c>
      <c r="I89" s="972">
        <v>67.683999999999997</v>
      </c>
      <c r="J89" s="972">
        <v>56.475000000000001</v>
      </c>
      <c r="K89" s="972">
        <v>0</v>
      </c>
      <c r="L89" s="972">
        <v>0.224</v>
      </c>
      <c r="M89" s="972">
        <v>0</v>
      </c>
      <c r="N89" s="972">
        <v>32.347999999999999</v>
      </c>
      <c r="O89" s="972">
        <v>168.79</v>
      </c>
      <c r="P89" s="972">
        <v>396.21300000000002</v>
      </c>
      <c r="Q89" s="972">
        <v>8575.7720000000008</v>
      </c>
      <c r="R89" s="962">
        <v>503</v>
      </c>
      <c r="S89" s="962" t="s">
        <v>4940</v>
      </c>
      <c r="T89" s="972">
        <v>2048.1393333333335</v>
      </c>
    </row>
    <row r="90" spans="1:20">
      <c r="A90" s="962" t="s">
        <v>2402</v>
      </c>
      <c r="B90" s="972">
        <v>3474.297</v>
      </c>
      <c r="C90" s="972">
        <v>320.09899999999999</v>
      </c>
      <c r="D90" s="972">
        <v>1.3919999999999999</v>
      </c>
      <c r="E90" s="972">
        <v>90.19</v>
      </c>
      <c r="F90" s="972">
        <v>4.923</v>
      </c>
      <c r="G90" s="972">
        <v>0.29199999999999998</v>
      </c>
      <c r="H90" s="972">
        <v>0</v>
      </c>
      <c r="I90" s="972">
        <v>41.101999999999997</v>
      </c>
      <c r="J90" s="972">
        <v>35.438000000000002</v>
      </c>
      <c r="K90" s="972">
        <v>0</v>
      </c>
      <c r="L90" s="972">
        <v>0.64400000000000002</v>
      </c>
      <c r="M90" s="972">
        <v>0</v>
      </c>
      <c r="N90" s="972">
        <v>0</v>
      </c>
      <c r="O90" s="972">
        <v>82.397000000000006</v>
      </c>
      <c r="P90" s="972">
        <v>164.26499999999999</v>
      </c>
      <c r="Q90" s="972">
        <v>3227.6350000000002</v>
      </c>
      <c r="R90" s="962">
        <v>191</v>
      </c>
      <c r="S90" s="962" t="s">
        <v>4940</v>
      </c>
      <c r="T90" s="972">
        <v>878.86699999999985</v>
      </c>
    </row>
    <row r="91" spans="1:20">
      <c r="A91" s="962" t="s">
        <v>6183</v>
      </c>
      <c r="B91" s="972">
        <v>62697.767999999996</v>
      </c>
      <c r="C91" s="972">
        <v>4888.3549999999996</v>
      </c>
      <c r="D91" s="972">
        <v>10.285</v>
      </c>
      <c r="E91" s="972">
        <v>2711.7550000000001</v>
      </c>
      <c r="F91" s="972">
        <v>106.247</v>
      </c>
      <c r="G91" s="972">
        <v>1.214</v>
      </c>
      <c r="H91" s="972">
        <v>2.1819999999999999</v>
      </c>
      <c r="I91" s="972">
        <v>650.21100000000001</v>
      </c>
      <c r="J91" s="972">
        <v>347.49299999999999</v>
      </c>
      <c r="K91" s="972">
        <v>0.55500000000000005</v>
      </c>
      <c r="L91" s="972">
        <v>4.4349999999999996</v>
      </c>
      <c r="M91" s="972">
        <v>0</v>
      </c>
      <c r="N91" s="972">
        <v>14.269</v>
      </c>
      <c r="O91" s="972">
        <v>1126.606</v>
      </c>
      <c r="P91" s="972">
        <v>1970.7159999999999</v>
      </c>
      <c r="Q91" s="972">
        <v>59600.446000000004</v>
      </c>
      <c r="R91" s="962">
        <v>5131</v>
      </c>
      <c r="S91" s="962" t="s">
        <v>4940</v>
      </c>
      <c r="T91" s="972">
        <v>18542.080333333332</v>
      </c>
    </row>
    <row r="92" spans="1:20">
      <c r="A92" s="962" t="s">
        <v>1517</v>
      </c>
      <c r="B92" s="972">
        <v>8914.4279999999999</v>
      </c>
      <c r="C92" s="972">
        <v>550.34900000000005</v>
      </c>
      <c r="D92" s="972">
        <v>1.8520000000000001</v>
      </c>
      <c r="E92" s="972">
        <v>246.34899999999999</v>
      </c>
      <c r="F92" s="972">
        <v>17.672999999999998</v>
      </c>
      <c r="G92" s="972">
        <v>0.90700000000000003</v>
      </c>
      <c r="H92" s="972">
        <v>0.61699999999999999</v>
      </c>
      <c r="I92" s="972">
        <v>146.739</v>
      </c>
      <c r="J92" s="972">
        <v>82.899000000000001</v>
      </c>
      <c r="K92" s="972">
        <v>0</v>
      </c>
      <c r="L92" s="972">
        <v>4.5519999999999996</v>
      </c>
      <c r="M92" s="972">
        <v>0</v>
      </c>
      <c r="N92" s="972">
        <v>35.735999999999997</v>
      </c>
      <c r="O92" s="972">
        <v>289.12299999999999</v>
      </c>
      <c r="P92" s="972">
        <v>327.892</v>
      </c>
      <c r="Q92" s="972">
        <v>8297.4140000000007</v>
      </c>
      <c r="R92" s="962">
        <v>602</v>
      </c>
      <c r="S92" s="962" t="s">
        <v>4940</v>
      </c>
      <c r="T92" s="972">
        <v>2451.5981666666667</v>
      </c>
    </row>
    <row r="93" spans="1:20">
      <c r="A93" s="962" t="s">
        <v>3082</v>
      </c>
      <c r="B93" s="972">
        <v>11012.217000000001</v>
      </c>
      <c r="C93" s="972">
        <v>1315.3489999999999</v>
      </c>
      <c r="D93" s="972">
        <v>3.7770000000000001</v>
      </c>
      <c r="E93" s="972">
        <v>603.26900000000001</v>
      </c>
      <c r="F93" s="972">
        <v>18.298999999999999</v>
      </c>
      <c r="G93" s="972">
        <v>0.64600000000000002</v>
      </c>
      <c r="H93" s="972">
        <v>0</v>
      </c>
      <c r="I93" s="972">
        <v>85.305000000000007</v>
      </c>
      <c r="J93" s="972">
        <v>64.635000000000005</v>
      </c>
      <c r="K93" s="972">
        <v>0</v>
      </c>
      <c r="L93" s="972">
        <v>0</v>
      </c>
      <c r="M93" s="972">
        <v>0</v>
      </c>
      <c r="N93" s="972">
        <v>17.416</v>
      </c>
      <c r="O93" s="972">
        <v>186.3</v>
      </c>
      <c r="P93" s="972">
        <v>535.34100000000001</v>
      </c>
      <c r="Q93" s="972">
        <v>10290.575999999999</v>
      </c>
      <c r="R93" s="962">
        <v>519</v>
      </c>
      <c r="S93" s="962" t="s">
        <v>4940</v>
      </c>
      <c r="T93" s="972">
        <v>2812.5931666666665</v>
      </c>
    </row>
    <row r="94" spans="1:20">
      <c r="A94" s="962" t="s">
        <v>41</v>
      </c>
      <c r="B94" s="972">
        <v>947.83</v>
      </c>
      <c r="C94" s="972">
        <v>18.283999999999999</v>
      </c>
      <c r="D94" s="972">
        <v>0</v>
      </c>
      <c r="E94" s="972">
        <v>24.558</v>
      </c>
      <c r="F94" s="972">
        <v>2.5499999999999998</v>
      </c>
      <c r="G94" s="972">
        <v>3.1E-2</v>
      </c>
      <c r="H94" s="972">
        <v>0</v>
      </c>
      <c r="I94" s="972">
        <v>12.35</v>
      </c>
      <c r="J94" s="972">
        <v>5.5270000000000001</v>
      </c>
      <c r="K94" s="972">
        <v>0.89</v>
      </c>
      <c r="L94" s="972">
        <v>0</v>
      </c>
      <c r="M94" s="972">
        <v>0</v>
      </c>
      <c r="N94" s="972">
        <v>0</v>
      </c>
      <c r="O94" s="972">
        <v>21.347999999999999</v>
      </c>
      <c r="P94" s="972">
        <v>17.317</v>
      </c>
      <c r="Q94" s="972">
        <v>909.16600000000005</v>
      </c>
      <c r="R94" s="962">
        <v>67</v>
      </c>
      <c r="S94" s="962" t="s">
        <v>4940</v>
      </c>
      <c r="T94" s="972">
        <v>139.40966666666665</v>
      </c>
    </row>
    <row r="95" spans="1:20">
      <c r="A95" s="962" t="s">
        <v>43</v>
      </c>
      <c r="B95" s="972">
        <v>1299.52</v>
      </c>
      <c r="C95" s="972">
        <v>47.585999999999999</v>
      </c>
      <c r="D95" s="972">
        <v>0</v>
      </c>
      <c r="E95" s="972">
        <v>54.783000000000001</v>
      </c>
      <c r="F95" s="972">
        <v>3.177</v>
      </c>
      <c r="G95" s="972">
        <v>0.48299999999999998</v>
      </c>
      <c r="H95" s="972">
        <v>0</v>
      </c>
      <c r="I95" s="972">
        <v>21.817</v>
      </c>
      <c r="J95" s="972">
        <v>6.7869999999999999</v>
      </c>
      <c r="K95" s="972">
        <v>3.5569999999999999</v>
      </c>
      <c r="L95" s="972">
        <v>3.6339999999999999</v>
      </c>
      <c r="M95" s="972">
        <v>0</v>
      </c>
      <c r="N95" s="972">
        <v>0.22900000000000001</v>
      </c>
      <c r="O95" s="972">
        <v>39.683</v>
      </c>
      <c r="P95" s="972">
        <v>25.356000000000002</v>
      </c>
      <c r="Q95" s="972">
        <v>1234.482</v>
      </c>
      <c r="R95" s="962">
        <v>103</v>
      </c>
      <c r="S95" s="962" t="s">
        <v>4940</v>
      </c>
      <c r="T95" s="972">
        <v>318.92666666666668</v>
      </c>
    </row>
    <row r="96" spans="1:20">
      <c r="A96" s="962" t="s">
        <v>6185</v>
      </c>
      <c r="B96" s="972">
        <v>88580.581000000006</v>
      </c>
      <c r="C96" s="972">
        <v>5594.3639999999996</v>
      </c>
      <c r="D96" s="972">
        <v>21.596</v>
      </c>
      <c r="E96" s="972">
        <v>3950.4340000000002</v>
      </c>
      <c r="F96" s="972">
        <v>213.441</v>
      </c>
      <c r="G96" s="972">
        <v>10.662000000000001</v>
      </c>
      <c r="H96" s="972">
        <v>4.3650000000000002</v>
      </c>
      <c r="I96" s="972">
        <v>1120.29</v>
      </c>
      <c r="J96" s="972">
        <v>613.98099999999999</v>
      </c>
      <c r="K96" s="972">
        <v>69.486000000000004</v>
      </c>
      <c r="L96" s="972">
        <v>46.582999999999998</v>
      </c>
      <c r="M96" s="972">
        <v>0</v>
      </c>
      <c r="N96" s="972">
        <v>96.28</v>
      </c>
      <c r="O96" s="972">
        <v>2175.0839999999998</v>
      </c>
      <c r="P96" s="972">
        <v>3257.1379999999999</v>
      </c>
      <c r="Q96" s="972">
        <v>83148.358999999997</v>
      </c>
      <c r="R96" s="962">
        <v>11314</v>
      </c>
      <c r="S96" s="962" t="s">
        <v>4940</v>
      </c>
      <c r="T96" s="972">
        <v>24813.373666666666</v>
      </c>
    </row>
    <row r="97" spans="1:20">
      <c r="A97" s="962" t="s">
        <v>6026</v>
      </c>
      <c r="B97" s="972">
        <v>20576.326000000001</v>
      </c>
      <c r="C97" s="972">
        <v>1363.577</v>
      </c>
      <c r="D97" s="972">
        <v>7.16</v>
      </c>
      <c r="E97" s="972">
        <v>708.11699999999996</v>
      </c>
      <c r="F97" s="972">
        <v>30.175999999999998</v>
      </c>
      <c r="G97" s="972">
        <v>2.4569999999999999</v>
      </c>
      <c r="H97" s="972">
        <v>0</v>
      </c>
      <c r="I97" s="972">
        <v>256.91800000000001</v>
      </c>
      <c r="J97" s="972">
        <v>173.67700000000002</v>
      </c>
      <c r="K97" s="972">
        <v>19.303999999999998</v>
      </c>
      <c r="L97" s="972">
        <v>13.622999999999999</v>
      </c>
      <c r="M97" s="972">
        <v>0</v>
      </c>
      <c r="N97" s="972">
        <v>37.131</v>
      </c>
      <c r="O97" s="972">
        <v>533.28499999999997</v>
      </c>
      <c r="P97" s="972">
        <v>720.22500000000002</v>
      </c>
      <c r="Q97" s="972">
        <v>19322.815999999999</v>
      </c>
      <c r="R97" s="962">
        <v>2086</v>
      </c>
      <c r="S97" s="962" t="s">
        <v>4940</v>
      </c>
      <c r="T97" s="972">
        <v>5676.7359999999999</v>
      </c>
    </row>
    <row r="98" spans="1:20">
      <c r="A98" s="962" t="s">
        <v>2404</v>
      </c>
      <c r="B98" s="972">
        <v>4965.0119999999997</v>
      </c>
      <c r="C98" s="972">
        <v>576.78599999999994</v>
      </c>
      <c r="D98" s="972">
        <v>1.097</v>
      </c>
      <c r="E98" s="972">
        <v>155.934</v>
      </c>
      <c r="F98" s="972">
        <v>9.0220000000000002</v>
      </c>
      <c r="G98" s="972">
        <v>0.97499999999999998</v>
      </c>
      <c r="H98" s="972">
        <v>0</v>
      </c>
      <c r="I98" s="972">
        <v>58.021000000000001</v>
      </c>
      <c r="J98" s="972">
        <v>41.192999999999998</v>
      </c>
      <c r="K98" s="972">
        <v>13.037000000000001</v>
      </c>
      <c r="L98" s="972">
        <v>0</v>
      </c>
      <c r="M98" s="972">
        <v>0</v>
      </c>
      <c r="N98" s="972">
        <v>0</v>
      </c>
      <c r="O98" s="972">
        <v>122.248</v>
      </c>
      <c r="P98" s="972">
        <v>280.31700000000001</v>
      </c>
      <c r="Q98" s="972">
        <v>4562.4480000000003</v>
      </c>
      <c r="R98" s="962">
        <v>369</v>
      </c>
      <c r="S98" s="962" t="s">
        <v>4940</v>
      </c>
      <c r="T98" s="972">
        <v>1279.0286666666666</v>
      </c>
    </row>
    <row r="99" spans="1:20">
      <c r="A99" s="962" t="s">
        <v>45</v>
      </c>
      <c r="B99" s="972">
        <v>675.72299999999996</v>
      </c>
      <c r="C99" s="972">
        <v>39.362000000000002</v>
      </c>
      <c r="D99" s="972">
        <v>0</v>
      </c>
      <c r="E99" s="972">
        <v>32.317</v>
      </c>
      <c r="F99" s="972">
        <v>1.1619999999999999</v>
      </c>
      <c r="G99" s="972">
        <v>0.08</v>
      </c>
      <c r="H99" s="972">
        <v>0</v>
      </c>
      <c r="I99" s="972">
        <v>15.124000000000001</v>
      </c>
      <c r="J99" s="972">
        <v>3.085</v>
      </c>
      <c r="K99" s="972">
        <v>0</v>
      </c>
      <c r="L99" s="972">
        <v>0</v>
      </c>
      <c r="M99" s="972">
        <v>0</v>
      </c>
      <c r="N99" s="972">
        <v>0.63700000000000001</v>
      </c>
      <c r="O99" s="972">
        <v>20.088000000000001</v>
      </c>
      <c r="P99" s="972">
        <v>24.687000000000001</v>
      </c>
      <c r="Q99" s="972">
        <v>630.94799999999998</v>
      </c>
      <c r="R99" s="962">
        <v>56</v>
      </c>
      <c r="S99" s="962" t="s">
        <v>4940</v>
      </c>
      <c r="T99" s="972">
        <v>188.03316666666669</v>
      </c>
    </row>
    <row r="100" spans="1:20">
      <c r="A100" s="962" t="s">
        <v>952</v>
      </c>
      <c r="B100" s="972">
        <v>909.34100000000001</v>
      </c>
      <c r="C100" s="972">
        <v>43.405000000000001</v>
      </c>
      <c r="D100" s="972">
        <v>0.95199999999999996</v>
      </c>
      <c r="E100" s="972">
        <v>36.06</v>
      </c>
      <c r="F100" s="972">
        <v>1.1140000000000001</v>
      </c>
      <c r="G100" s="972">
        <v>0</v>
      </c>
      <c r="H100" s="972">
        <v>0</v>
      </c>
      <c r="I100" s="972">
        <v>13.505000000000001</v>
      </c>
      <c r="J100" s="972">
        <v>1.2370000000000001</v>
      </c>
      <c r="K100" s="972">
        <v>0</v>
      </c>
      <c r="L100" s="972">
        <v>0</v>
      </c>
      <c r="M100" s="972">
        <v>0</v>
      </c>
      <c r="N100" s="972">
        <v>0</v>
      </c>
      <c r="O100" s="972">
        <v>15.855</v>
      </c>
      <c r="P100" s="972">
        <v>48.808</v>
      </c>
      <c r="Q100" s="972">
        <v>844.67899999999997</v>
      </c>
      <c r="R100" s="962">
        <v>118</v>
      </c>
      <c r="S100" s="962" t="s">
        <v>3902</v>
      </c>
      <c r="T100" s="972">
        <v>288.23099999999999</v>
      </c>
    </row>
    <row r="101" spans="1:20">
      <c r="A101" s="962" t="s">
        <v>47</v>
      </c>
      <c r="B101" s="972">
        <v>216.06800000000001</v>
      </c>
      <c r="C101" s="972">
        <v>4.4829999999999997</v>
      </c>
      <c r="D101" s="972">
        <v>0</v>
      </c>
      <c r="E101" s="972">
        <v>4.3179999999999996</v>
      </c>
      <c r="F101" s="972">
        <v>0.189</v>
      </c>
      <c r="G101" s="972">
        <v>0</v>
      </c>
      <c r="H101" s="972">
        <v>0</v>
      </c>
      <c r="I101" s="972">
        <v>0.86199999999999999</v>
      </c>
      <c r="J101" s="972">
        <v>0.47099999999999997</v>
      </c>
      <c r="K101" s="972">
        <v>0</v>
      </c>
      <c r="L101" s="972">
        <v>0</v>
      </c>
      <c r="M101" s="972">
        <v>0</v>
      </c>
      <c r="N101" s="972">
        <v>0</v>
      </c>
      <c r="O101" s="972">
        <v>1.5209999999999999</v>
      </c>
      <c r="P101" s="972">
        <v>15.026</v>
      </c>
      <c r="Q101" s="972">
        <v>199.52</v>
      </c>
      <c r="R101" s="962">
        <v>17</v>
      </c>
      <c r="S101" s="962" t="s">
        <v>4940</v>
      </c>
      <c r="T101" s="972">
        <v>61.476833333333332</v>
      </c>
    </row>
    <row r="102" spans="1:20">
      <c r="A102" s="962" t="s">
        <v>740</v>
      </c>
      <c r="B102" s="972">
        <v>1051.5229999999999</v>
      </c>
      <c r="C102" s="972">
        <v>70.299000000000007</v>
      </c>
      <c r="D102" s="972">
        <v>0</v>
      </c>
      <c r="E102" s="972">
        <v>2.7709999999999999</v>
      </c>
      <c r="F102" s="972">
        <v>2.3290000000000002</v>
      </c>
      <c r="G102" s="972">
        <v>9.8000000000000004E-2</v>
      </c>
      <c r="H102" s="972">
        <v>0</v>
      </c>
      <c r="I102" s="972">
        <v>40.613</v>
      </c>
      <c r="J102" s="972">
        <v>5.5749999999999993</v>
      </c>
      <c r="K102" s="972">
        <v>0</v>
      </c>
      <c r="L102" s="972">
        <v>0</v>
      </c>
      <c r="M102" s="972">
        <v>0</v>
      </c>
      <c r="N102" s="972">
        <v>0.89700000000000002</v>
      </c>
      <c r="O102" s="972">
        <v>49.511000000000003</v>
      </c>
      <c r="P102" s="972">
        <v>59.088999999999999</v>
      </c>
      <c r="Q102" s="972">
        <v>942.923</v>
      </c>
      <c r="R102" s="962">
        <v>61</v>
      </c>
      <c r="S102" s="962" t="s">
        <v>4940</v>
      </c>
      <c r="T102" s="972">
        <v>305.76550000000003</v>
      </c>
    </row>
    <row r="103" spans="1:20">
      <c r="A103" s="962" t="s">
        <v>49</v>
      </c>
      <c r="B103" s="972">
        <v>490.75400000000002</v>
      </c>
      <c r="C103" s="972">
        <v>37.203000000000003</v>
      </c>
      <c r="D103" s="972">
        <v>0</v>
      </c>
      <c r="E103" s="972">
        <v>4.258</v>
      </c>
      <c r="F103" s="972">
        <v>0.89800000000000002</v>
      </c>
      <c r="G103" s="972">
        <v>0</v>
      </c>
      <c r="H103" s="972">
        <v>0</v>
      </c>
      <c r="I103" s="972">
        <v>13.856</v>
      </c>
      <c r="J103" s="972">
        <v>0</v>
      </c>
      <c r="K103" s="972">
        <v>6.6950000000000003</v>
      </c>
      <c r="L103" s="972">
        <v>1.3720000000000001</v>
      </c>
      <c r="M103" s="972">
        <v>0</v>
      </c>
      <c r="N103" s="972">
        <v>0</v>
      </c>
      <c r="O103" s="972">
        <v>22.82</v>
      </c>
      <c r="P103" s="972">
        <v>30.675000000000001</v>
      </c>
      <c r="Q103" s="972">
        <v>437.25799999999998</v>
      </c>
      <c r="R103" s="962">
        <v>51</v>
      </c>
      <c r="S103" s="962" t="s">
        <v>4940</v>
      </c>
      <c r="T103" s="972">
        <v>136.17433333333332</v>
      </c>
    </row>
    <row r="104" spans="1:20">
      <c r="A104" s="962" t="s">
        <v>1337</v>
      </c>
      <c r="B104" s="972">
        <v>112.01300000000001</v>
      </c>
      <c r="C104" s="972">
        <v>10.071999999999999</v>
      </c>
      <c r="D104" s="972">
        <v>0</v>
      </c>
      <c r="E104" s="972">
        <v>9.9109999999999996</v>
      </c>
      <c r="F104" s="972">
        <v>0.26600000000000001</v>
      </c>
      <c r="G104" s="972">
        <v>0</v>
      </c>
      <c r="H104" s="972">
        <v>0</v>
      </c>
      <c r="I104" s="972">
        <v>0.53300000000000003</v>
      </c>
      <c r="J104" s="972">
        <v>0</v>
      </c>
      <c r="K104" s="972">
        <v>2.4660000000000002</v>
      </c>
      <c r="L104" s="972">
        <v>0.83399999999999996</v>
      </c>
      <c r="M104" s="972">
        <v>0</v>
      </c>
      <c r="N104" s="972">
        <v>0</v>
      </c>
      <c r="O104" s="972">
        <v>4.0970000000000004</v>
      </c>
      <c r="P104" s="972">
        <v>4.9340000000000002</v>
      </c>
      <c r="Q104" s="972">
        <v>102.982</v>
      </c>
      <c r="R104" s="962">
        <v>4</v>
      </c>
      <c r="S104" s="962" t="s">
        <v>4940</v>
      </c>
      <c r="T104" s="972">
        <v>40.187166666666663</v>
      </c>
    </row>
    <row r="105" spans="1:20">
      <c r="A105" s="962" t="s">
        <v>1339</v>
      </c>
      <c r="B105" s="972">
        <v>593.96100000000001</v>
      </c>
      <c r="C105" s="972">
        <v>35.552999999999997</v>
      </c>
      <c r="D105" s="972">
        <v>0</v>
      </c>
      <c r="E105" s="972">
        <v>9.8469999999999995</v>
      </c>
      <c r="F105" s="972">
        <v>1.153</v>
      </c>
      <c r="G105" s="972">
        <v>4.4999999999999998E-2</v>
      </c>
      <c r="H105" s="972">
        <v>5.0999999999999997E-2</v>
      </c>
      <c r="I105" s="972">
        <v>20.465</v>
      </c>
      <c r="J105" s="972">
        <v>5.1999999999999998E-2</v>
      </c>
      <c r="K105" s="972">
        <v>5.4580000000000002</v>
      </c>
      <c r="L105" s="972">
        <v>1.2490000000000001</v>
      </c>
      <c r="M105" s="972">
        <v>0</v>
      </c>
      <c r="N105" s="972">
        <v>0</v>
      </c>
      <c r="O105" s="972">
        <v>28.472999999999999</v>
      </c>
      <c r="P105" s="972">
        <v>26.911000000000001</v>
      </c>
      <c r="Q105" s="972">
        <v>538.577</v>
      </c>
      <c r="R105" s="962">
        <v>34</v>
      </c>
      <c r="S105" s="962" t="s">
        <v>4940</v>
      </c>
      <c r="T105" s="972">
        <v>182.98733333333331</v>
      </c>
    </row>
    <row r="106" spans="1:20">
      <c r="A106" s="962" t="s">
        <v>2474</v>
      </c>
      <c r="B106" s="972">
        <v>186.273</v>
      </c>
      <c r="C106" s="972">
        <v>26.459</v>
      </c>
      <c r="D106" s="972">
        <v>0</v>
      </c>
      <c r="E106" s="972">
        <v>1.8089999999999999</v>
      </c>
      <c r="F106" s="972">
        <v>0.11700000000000001</v>
      </c>
      <c r="G106" s="972">
        <v>0</v>
      </c>
      <c r="H106" s="972">
        <v>0</v>
      </c>
      <c r="I106" s="972">
        <v>4.8869999999999996</v>
      </c>
      <c r="J106" s="972">
        <v>0.63300000000000001</v>
      </c>
      <c r="K106" s="972">
        <v>6.1689999999999996</v>
      </c>
      <c r="L106" s="972">
        <v>0</v>
      </c>
      <c r="M106" s="972">
        <v>0</v>
      </c>
      <c r="N106" s="972">
        <v>0</v>
      </c>
      <c r="O106" s="972">
        <v>11.805999999999999</v>
      </c>
      <c r="P106" s="972">
        <v>12.24</v>
      </c>
      <c r="Q106" s="972">
        <v>162.22800000000001</v>
      </c>
      <c r="R106" s="962">
        <v>33</v>
      </c>
      <c r="S106" s="962" t="s">
        <v>4940</v>
      </c>
      <c r="T106" s="972">
        <v>51.975000000000001</v>
      </c>
    </row>
    <row r="107" spans="1:20">
      <c r="A107" s="962" t="s">
        <v>1341</v>
      </c>
      <c r="B107" s="972">
        <v>126.053</v>
      </c>
      <c r="C107" s="972">
        <v>1.819</v>
      </c>
      <c r="D107" s="972">
        <v>0</v>
      </c>
      <c r="E107" s="972">
        <v>1.5409999999999999</v>
      </c>
      <c r="F107" s="972">
        <v>0.125</v>
      </c>
      <c r="G107" s="972">
        <v>0</v>
      </c>
      <c r="H107" s="972">
        <v>0</v>
      </c>
      <c r="I107" s="972">
        <v>2.5870000000000002</v>
      </c>
      <c r="J107" s="972">
        <v>0.45500000000000002</v>
      </c>
      <c r="K107" s="972">
        <v>1.393</v>
      </c>
      <c r="L107" s="972">
        <v>0</v>
      </c>
      <c r="M107" s="972">
        <v>0</v>
      </c>
      <c r="N107" s="972">
        <v>0</v>
      </c>
      <c r="O107" s="972">
        <v>4.5590000000000002</v>
      </c>
      <c r="P107" s="972">
        <v>9.0329999999999995</v>
      </c>
      <c r="Q107" s="972">
        <v>112.461</v>
      </c>
      <c r="R107" s="962">
        <v>0</v>
      </c>
      <c r="S107" s="962" t="s">
        <v>4940</v>
      </c>
      <c r="T107" s="972">
        <v>36.463499999999996</v>
      </c>
    </row>
    <row r="108" spans="1:20">
      <c r="A108" s="962" t="s">
        <v>1343</v>
      </c>
      <c r="B108" s="972">
        <v>229.23400000000001</v>
      </c>
      <c r="C108" s="972">
        <v>3.1789999999999998</v>
      </c>
      <c r="D108" s="972">
        <v>0</v>
      </c>
      <c r="E108" s="972">
        <v>3.13</v>
      </c>
      <c r="F108" s="972">
        <v>0.26700000000000002</v>
      </c>
      <c r="G108" s="972">
        <v>0</v>
      </c>
      <c r="H108" s="972">
        <v>0</v>
      </c>
      <c r="I108" s="972">
        <v>6.585</v>
      </c>
      <c r="J108" s="972">
        <v>0.81699999999999995</v>
      </c>
      <c r="K108" s="972">
        <v>2.68</v>
      </c>
      <c r="L108" s="972">
        <v>0</v>
      </c>
      <c r="M108" s="972">
        <v>0</v>
      </c>
      <c r="N108" s="972">
        <v>0</v>
      </c>
      <c r="O108" s="972">
        <v>10.35</v>
      </c>
      <c r="P108" s="972">
        <v>19.489000000000001</v>
      </c>
      <c r="Q108" s="972">
        <v>199.39500000000001</v>
      </c>
      <c r="R108" s="962">
        <v>7</v>
      </c>
      <c r="S108" s="962" t="s">
        <v>4940</v>
      </c>
      <c r="T108" s="972">
        <v>68.350499999999997</v>
      </c>
    </row>
    <row r="109" spans="1:20">
      <c r="A109" s="962" t="s">
        <v>1345</v>
      </c>
      <c r="B109" s="972">
        <v>106.274</v>
      </c>
      <c r="C109" s="972">
        <v>5.6059999999999999</v>
      </c>
      <c r="D109" s="972">
        <v>0</v>
      </c>
      <c r="E109" s="972">
        <v>1.373</v>
      </c>
      <c r="F109" s="972">
        <v>7.5999999999999998E-2</v>
      </c>
      <c r="G109" s="972">
        <v>0</v>
      </c>
      <c r="H109" s="972">
        <v>0</v>
      </c>
      <c r="I109" s="972">
        <v>1.617</v>
      </c>
      <c r="J109" s="972">
        <v>0</v>
      </c>
      <c r="K109" s="972">
        <v>0.67300000000000004</v>
      </c>
      <c r="L109" s="972">
        <v>0</v>
      </c>
      <c r="M109" s="972">
        <v>0</v>
      </c>
      <c r="N109" s="972">
        <v>0</v>
      </c>
      <c r="O109" s="972">
        <v>2.367</v>
      </c>
      <c r="P109" s="972">
        <v>8.5259999999999998</v>
      </c>
      <c r="Q109" s="972">
        <v>95.382000000000005</v>
      </c>
      <c r="R109" s="962">
        <v>0</v>
      </c>
      <c r="S109" s="962" t="s">
        <v>4940</v>
      </c>
      <c r="T109" s="972">
        <v>30.057166666666671</v>
      </c>
    </row>
    <row r="110" spans="1:20">
      <c r="A110" s="962" t="s">
        <v>963</v>
      </c>
      <c r="B110" s="972">
        <v>744.46299999999997</v>
      </c>
      <c r="C110" s="972">
        <v>13.712</v>
      </c>
      <c r="D110" s="972">
        <v>0.36499999999999999</v>
      </c>
      <c r="E110" s="972">
        <v>29.515000000000001</v>
      </c>
      <c r="F110" s="972">
        <v>1.413</v>
      </c>
      <c r="G110" s="972">
        <v>0.19400000000000001</v>
      </c>
      <c r="H110" s="972">
        <v>0</v>
      </c>
      <c r="I110" s="972">
        <v>13.483000000000001</v>
      </c>
      <c r="J110" s="972">
        <v>0.91300000000000003</v>
      </c>
      <c r="K110" s="972">
        <v>5.4980000000000002</v>
      </c>
      <c r="L110" s="972">
        <v>0</v>
      </c>
      <c r="M110" s="972">
        <v>0</v>
      </c>
      <c r="N110" s="972">
        <v>0</v>
      </c>
      <c r="O110" s="972">
        <v>21.498999999999999</v>
      </c>
      <c r="P110" s="972">
        <v>87.813999999999993</v>
      </c>
      <c r="Q110" s="972">
        <v>635.15099999999995</v>
      </c>
      <c r="R110" s="962">
        <v>50</v>
      </c>
      <c r="S110" s="962" t="s">
        <v>4940</v>
      </c>
      <c r="T110" s="972">
        <v>238.06900000000002</v>
      </c>
    </row>
    <row r="111" spans="1:20">
      <c r="A111" s="962" t="s">
        <v>3083</v>
      </c>
      <c r="B111" s="972">
        <v>892.33399999999995</v>
      </c>
      <c r="C111" s="972">
        <v>18.853000000000002</v>
      </c>
      <c r="D111" s="972">
        <v>0.84499999999999997</v>
      </c>
      <c r="E111" s="972">
        <v>25.581</v>
      </c>
      <c r="F111" s="972">
        <v>1.28</v>
      </c>
      <c r="G111" s="972">
        <v>0</v>
      </c>
      <c r="H111" s="972">
        <v>0</v>
      </c>
      <c r="I111" s="972">
        <v>19.907</v>
      </c>
      <c r="J111" s="972">
        <v>4.8310000000000004</v>
      </c>
      <c r="K111" s="972">
        <v>9.7189999999999994</v>
      </c>
      <c r="L111" s="972">
        <v>2.3E-2</v>
      </c>
      <c r="M111" s="972">
        <v>0</v>
      </c>
      <c r="N111" s="972">
        <v>0</v>
      </c>
      <c r="O111" s="972">
        <v>35.759</v>
      </c>
      <c r="P111" s="972">
        <v>86.710999999999999</v>
      </c>
      <c r="Q111" s="972">
        <v>769.86500000000001</v>
      </c>
      <c r="R111" s="962">
        <v>61</v>
      </c>
      <c r="S111" s="962" t="s">
        <v>4940</v>
      </c>
      <c r="T111" s="972">
        <v>328.45266666666669</v>
      </c>
    </row>
    <row r="112" spans="1:20">
      <c r="A112" s="962" t="s">
        <v>2568</v>
      </c>
      <c r="B112" s="972">
        <v>477.363</v>
      </c>
      <c r="C112" s="972">
        <v>0</v>
      </c>
      <c r="D112" s="972">
        <v>4.5999999999999999E-2</v>
      </c>
      <c r="E112" s="972">
        <v>17.385000000000002</v>
      </c>
      <c r="F112" s="972">
        <v>0.97199999999999998</v>
      </c>
      <c r="G112" s="972">
        <v>0.26900000000000002</v>
      </c>
      <c r="H112" s="972">
        <v>0</v>
      </c>
      <c r="I112" s="972">
        <v>8.0380000000000003</v>
      </c>
      <c r="J112" s="972">
        <v>6.657</v>
      </c>
      <c r="K112" s="972">
        <v>1.863</v>
      </c>
      <c r="L112" s="972">
        <v>0.27100000000000002</v>
      </c>
      <c r="M112" s="972">
        <v>0</v>
      </c>
      <c r="N112" s="972">
        <v>0</v>
      </c>
      <c r="O112" s="972">
        <v>18.068000000000001</v>
      </c>
      <c r="P112" s="972">
        <v>42.255000000000003</v>
      </c>
      <c r="Q112" s="972">
        <v>417.04</v>
      </c>
      <c r="R112" s="962">
        <v>26</v>
      </c>
      <c r="S112" s="962" t="s">
        <v>4940</v>
      </c>
      <c r="T112" s="972">
        <v>145.90683333333334</v>
      </c>
    </row>
    <row r="113" spans="1:20">
      <c r="A113" s="962" t="s">
        <v>1349</v>
      </c>
      <c r="B113" s="972">
        <v>1287.569</v>
      </c>
      <c r="C113" s="972">
        <v>13.148999999999999</v>
      </c>
      <c r="D113" s="972">
        <v>0.77600000000000002</v>
      </c>
      <c r="E113" s="972">
        <v>57.365000000000002</v>
      </c>
      <c r="F113" s="972">
        <v>1.2490000000000001</v>
      </c>
      <c r="G113" s="972">
        <v>0.15</v>
      </c>
      <c r="H113" s="972">
        <v>0</v>
      </c>
      <c r="I113" s="972">
        <v>24.033999999999999</v>
      </c>
      <c r="J113" s="972">
        <v>14.290000000000001</v>
      </c>
      <c r="K113" s="972">
        <v>0</v>
      </c>
      <c r="L113" s="972">
        <v>2.5819999999999999</v>
      </c>
      <c r="M113" s="972">
        <v>0</v>
      </c>
      <c r="N113" s="972">
        <v>0</v>
      </c>
      <c r="O113" s="972">
        <v>42.304000000000002</v>
      </c>
      <c r="P113" s="972">
        <v>109.834</v>
      </c>
      <c r="Q113" s="972">
        <v>1135.431</v>
      </c>
      <c r="R113" s="962">
        <v>86</v>
      </c>
      <c r="S113" s="962" t="s">
        <v>4940</v>
      </c>
      <c r="T113" s="972">
        <v>371.87900000000002</v>
      </c>
    </row>
    <row r="114" spans="1:20">
      <c r="A114" s="962" t="s">
        <v>6083</v>
      </c>
      <c r="B114" s="972">
        <v>1040.9490000000001</v>
      </c>
      <c r="C114" s="972">
        <v>3.274</v>
      </c>
      <c r="D114" s="972">
        <v>0</v>
      </c>
      <c r="E114" s="972">
        <v>35.703000000000003</v>
      </c>
      <c r="F114" s="972">
        <v>1.306</v>
      </c>
      <c r="G114" s="972">
        <v>0.11600000000000001</v>
      </c>
      <c r="H114" s="972">
        <v>0</v>
      </c>
      <c r="I114" s="972">
        <v>20.635000000000002</v>
      </c>
      <c r="J114" s="972">
        <v>5.274</v>
      </c>
      <c r="K114" s="972">
        <v>1.409</v>
      </c>
      <c r="L114" s="972">
        <v>0.77500000000000002</v>
      </c>
      <c r="M114" s="972">
        <v>0</v>
      </c>
      <c r="N114" s="972">
        <v>0</v>
      </c>
      <c r="O114" s="972">
        <v>29.515999999999998</v>
      </c>
      <c r="P114" s="972">
        <v>123.693</v>
      </c>
      <c r="Q114" s="972">
        <v>887.74</v>
      </c>
      <c r="R114" s="962">
        <v>117</v>
      </c>
      <c r="S114" s="962" t="s">
        <v>4940</v>
      </c>
      <c r="T114" s="972">
        <v>337.47316666666666</v>
      </c>
    </row>
    <row r="115" spans="1:20">
      <c r="A115" s="962" t="s">
        <v>6085</v>
      </c>
      <c r="B115" s="972">
        <v>6481.915</v>
      </c>
      <c r="C115" s="972">
        <v>244.21100000000001</v>
      </c>
      <c r="D115" s="972">
        <v>0.625</v>
      </c>
      <c r="E115" s="972">
        <v>236.17699999999999</v>
      </c>
      <c r="F115" s="972">
        <v>9.4779999999999998</v>
      </c>
      <c r="G115" s="972">
        <v>0.56499999999999995</v>
      </c>
      <c r="H115" s="972">
        <v>0</v>
      </c>
      <c r="I115" s="972">
        <v>130.63300000000001</v>
      </c>
      <c r="J115" s="972">
        <v>84.844999999999999</v>
      </c>
      <c r="K115" s="972">
        <v>0</v>
      </c>
      <c r="L115" s="972">
        <v>7.077</v>
      </c>
      <c r="M115" s="972">
        <v>0</v>
      </c>
      <c r="N115" s="972">
        <v>1.4259999999999999</v>
      </c>
      <c r="O115" s="972">
        <v>234.023</v>
      </c>
      <c r="P115" s="972">
        <v>425.483</v>
      </c>
      <c r="Q115" s="972">
        <v>5822.4089999999997</v>
      </c>
      <c r="R115" s="962">
        <v>507</v>
      </c>
      <c r="S115" s="962" t="s">
        <v>4940</v>
      </c>
      <c r="T115" s="972">
        <v>1806.9606666666666</v>
      </c>
    </row>
    <row r="116" spans="1:20">
      <c r="A116" s="962" t="s">
        <v>1998</v>
      </c>
      <c r="B116" s="972">
        <v>2660.1260000000002</v>
      </c>
      <c r="C116" s="972">
        <v>30.573</v>
      </c>
      <c r="D116" s="972">
        <v>1.903</v>
      </c>
      <c r="E116" s="972">
        <v>31.808</v>
      </c>
      <c r="F116" s="972">
        <v>2.637</v>
      </c>
      <c r="G116" s="972">
        <v>0.85</v>
      </c>
      <c r="H116" s="972">
        <v>0</v>
      </c>
      <c r="I116" s="972">
        <v>90.343999999999994</v>
      </c>
      <c r="J116" s="972">
        <v>37.543999999999997</v>
      </c>
      <c r="K116" s="972">
        <v>0</v>
      </c>
      <c r="L116" s="972">
        <v>0</v>
      </c>
      <c r="M116" s="972">
        <v>0</v>
      </c>
      <c r="N116" s="972">
        <v>0</v>
      </c>
      <c r="O116" s="972">
        <v>131.374</v>
      </c>
      <c r="P116" s="972">
        <v>175.54400000000001</v>
      </c>
      <c r="Q116" s="972">
        <v>2353.2069999999999</v>
      </c>
      <c r="R116" s="962">
        <v>237</v>
      </c>
      <c r="S116" s="962" t="s">
        <v>4940</v>
      </c>
      <c r="T116" s="972">
        <v>691.41983333333326</v>
      </c>
    </row>
    <row r="117" spans="1:20">
      <c r="A117" s="962" t="s">
        <v>2570</v>
      </c>
      <c r="B117" s="972">
        <v>499.25900000000001</v>
      </c>
      <c r="C117" s="972">
        <v>0</v>
      </c>
      <c r="D117" s="972">
        <v>0.251</v>
      </c>
      <c r="E117" s="972">
        <v>32.380000000000003</v>
      </c>
      <c r="F117" s="972">
        <v>0.81699999999999995</v>
      </c>
      <c r="G117" s="972">
        <v>2.1999999999999999E-2</v>
      </c>
      <c r="H117" s="972">
        <v>0</v>
      </c>
      <c r="I117" s="972">
        <v>12.561</v>
      </c>
      <c r="J117" s="972">
        <v>0.82399999999999995</v>
      </c>
      <c r="K117" s="972">
        <v>7.6029999999999998</v>
      </c>
      <c r="L117" s="972">
        <v>0</v>
      </c>
      <c r="M117" s="972">
        <v>0</v>
      </c>
      <c r="N117" s="972">
        <v>0</v>
      </c>
      <c r="O117" s="972">
        <v>21.826000000000001</v>
      </c>
      <c r="P117" s="972">
        <v>53.11</v>
      </c>
      <c r="Q117" s="972">
        <v>424.32400000000001</v>
      </c>
      <c r="R117" s="962">
        <v>30</v>
      </c>
      <c r="S117" s="962" t="s">
        <v>4940</v>
      </c>
      <c r="T117" s="972">
        <v>188.57783333333333</v>
      </c>
    </row>
    <row r="118" spans="1:20">
      <c r="A118" s="962" t="s">
        <v>4076</v>
      </c>
      <c r="B118" s="972">
        <v>115.715</v>
      </c>
      <c r="C118" s="972">
        <v>0</v>
      </c>
      <c r="D118" s="972">
        <v>0</v>
      </c>
      <c r="E118" s="972">
        <v>1.407</v>
      </c>
      <c r="F118" s="972">
        <v>0.187</v>
      </c>
      <c r="G118" s="972">
        <v>0</v>
      </c>
      <c r="H118" s="972">
        <v>0</v>
      </c>
      <c r="I118" s="972">
        <v>3.2570000000000001</v>
      </c>
      <c r="J118" s="972">
        <v>0</v>
      </c>
      <c r="K118" s="972">
        <v>0.27400000000000002</v>
      </c>
      <c r="L118" s="972">
        <v>0</v>
      </c>
      <c r="M118" s="972">
        <v>0</v>
      </c>
      <c r="N118" s="972">
        <v>0</v>
      </c>
      <c r="O118" s="972">
        <v>3.718</v>
      </c>
      <c r="P118" s="972">
        <v>0</v>
      </c>
      <c r="Q118" s="972">
        <v>111.997</v>
      </c>
      <c r="R118" s="962">
        <v>9</v>
      </c>
      <c r="S118" s="962" t="s">
        <v>4940</v>
      </c>
      <c r="T118" s="972">
        <v>0</v>
      </c>
    </row>
    <row r="119" spans="1:20">
      <c r="A119" s="962" t="s">
        <v>1963</v>
      </c>
      <c r="B119" s="972">
        <v>450.23200000000003</v>
      </c>
      <c r="C119" s="972">
        <v>0</v>
      </c>
      <c r="D119" s="972">
        <v>0</v>
      </c>
      <c r="E119" s="972">
        <v>8.2409999999999997</v>
      </c>
      <c r="F119" s="972">
        <v>0.749</v>
      </c>
      <c r="G119" s="972">
        <v>0</v>
      </c>
      <c r="H119" s="972">
        <v>0</v>
      </c>
      <c r="I119" s="972">
        <v>5.7510000000000003</v>
      </c>
      <c r="J119" s="972">
        <v>0</v>
      </c>
      <c r="K119" s="972">
        <v>2.06</v>
      </c>
      <c r="L119" s="972">
        <v>0</v>
      </c>
      <c r="M119" s="972">
        <v>0</v>
      </c>
      <c r="N119" s="972">
        <v>0</v>
      </c>
      <c r="O119" s="972">
        <v>8.5589999999999993</v>
      </c>
      <c r="P119" s="972">
        <v>0</v>
      </c>
      <c r="Q119" s="972">
        <v>441.673</v>
      </c>
      <c r="R119" s="962">
        <v>79</v>
      </c>
      <c r="S119" s="962" t="s">
        <v>4940</v>
      </c>
      <c r="T119" s="972">
        <v>0</v>
      </c>
    </row>
    <row r="120" spans="1:20">
      <c r="A120" s="962" t="s">
        <v>2000</v>
      </c>
      <c r="B120" s="972">
        <v>1850.0060000000001</v>
      </c>
      <c r="C120" s="972">
        <v>53.149000000000001</v>
      </c>
      <c r="D120" s="972">
        <v>0.22</v>
      </c>
      <c r="E120" s="972">
        <v>34.308999999999997</v>
      </c>
      <c r="F120" s="972">
        <v>1.2609999999999999</v>
      </c>
      <c r="G120" s="972">
        <v>8.0000000000000002E-3</v>
      </c>
      <c r="H120" s="972">
        <v>0</v>
      </c>
      <c r="I120" s="972">
        <v>26.971</v>
      </c>
      <c r="J120" s="972">
        <v>10.766999999999999</v>
      </c>
      <c r="K120" s="972">
        <v>0</v>
      </c>
      <c r="L120" s="972">
        <v>1.9590000000000001</v>
      </c>
      <c r="M120" s="972">
        <v>0</v>
      </c>
      <c r="N120" s="972">
        <v>0.10299999999999999</v>
      </c>
      <c r="O120" s="972">
        <v>41.067999999999998</v>
      </c>
      <c r="P120" s="972">
        <v>120.661</v>
      </c>
      <c r="Q120" s="972">
        <v>1688.278</v>
      </c>
      <c r="R120" s="962">
        <v>418</v>
      </c>
      <c r="S120" s="962" t="s">
        <v>4940</v>
      </c>
      <c r="T120" s="972">
        <v>576.4373333333333</v>
      </c>
    </row>
    <row r="121" spans="1:20">
      <c r="A121" s="962" t="s">
        <v>2002</v>
      </c>
      <c r="B121" s="972">
        <v>93.534999999999997</v>
      </c>
      <c r="C121" s="972">
        <v>2.7309999999999999</v>
      </c>
      <c r="D121" s="972">
        <v>0</v>
      </c>
      <c r="E121" s="972">
        <v>0.41399999999999998</v>
      </c>
      <c r="F121" s="972">
        <v>0.158</v>
      </c>
      <c r="G121" s="972">
        <v>0</v>
      </c>
      <c r="H121" s="972">
        <v>0</v>
      </c>
      <c r="I121" s="972">
        <v>1.2410000000000001</v>
      </c>
      <c r="J121" s="972">
        <v>0</v>
      </c>
      <c r="K121" s="972">
        <v>0.32</v>
      </c>
      <c r="L121" s="972">
        <v>0</v>
      </c>
      <c r="M121" s="972">
        <v>0</v>
      </c>
      <c r="N121" s="972">
        <v>0</v>
      </c>
      <c r="O121" s="972">
        <v>1.7190000000000001</v>
      </c>
      <c r="P121" s="972">
        <v>0</v>
      </c>
      <c r="Q121" s="972">
        <v>91.816000000000003</v>
      </c>
      <c r="R121" s="962">
        <v>3</v>
      </c>
      <c r="S121" s="962" t="s">
        <v>4940</v>
      </c>
      <c r="T121" s="972">
        <v>0</v>
      </c>
    </row>
    <row r="122" spans="1:20">
      <c r="A122" s="962" t="s">
        <v>1964</v>
      </c>
      <c r="B122" s="972">
        <v>104.126</v>
      </c>
      <c r="C122" s="972">
        <v>0</v>
      </c>
      <c r="D122" s="972">
        <v>0</v>
      </c>
      <c r="E122" s="972">
        <v>8.4819999999999993</v>
      </c>
      <c r="F122" s="972">
        <v>8.2000000000000003E-2</v>
      </c>
      <c r="G122" s="972">
        <v>0</v>
      </c>
      <c r="H122" s="972">
        <v>0</v>
      </c>
      <c r="I122" s="972">
        <v>1.3720000000000001</v>
      </c>
      <c r="J122" s="972">
        <v>0</v>
      </c>
      <c r="K122" s="972">
        <v>0.65500000000000003</v>
      </c>
      <c r="L122" s="972">
        <v>0</v>
      </c>
      <c r="M122" s="972">
        <v>0</v>
      </c>
      <c r="N122" s="972">
        <v>0</v>
      </c>
      <c r="O122" s="972">
        <v>2.109</v>
      </c>
      <c r="P122" s="972">
        <v>0</v>
      </c>
      <c r="Q122" s="972">
        <v>102.018</v>
      </c>
      <c r="R122" s="962">
        <v>0</v>
      </c>
      <c r="S122" s="962" t="s">
        <v>4940</v>
      </c>
      <c r="T122" s="972">
        <v>0</v>
      </c>
    </row>
    <row r="123" spans="1:20">
      <c r="A123" s="962" t="s">
        <v>2136</v>
      </c>
      <c r="B123" s="972">
        <v>16077</v>
      </c>
      <c r="C123" s="972">
        <v>2078.2159999999999</v>
      </c>
      <c r="D123" s="972">
        <v>4.0389999999999997</v>
      </c>
      <c r="E123" s="972">
        <v>593.52700000000004</v>
      </c>
      <c r="F123" s="972">
        <v>24.004999999999999</v>
      </c>
      <c r="G123" s="972">
        <v>1.2270000000000001</v>
      </c>
      <c r="H123" s="972">
        <v>0</v>
      </c>
      <c r="I123" s="972">
        <v>166.77799999999999</v>
      </c>
      <c r="J123" s="972">
        <v>84.285000000000011</v>
      </c>
      <c r="K123" s="972">
        <v>0</v>
      </c>
      <c r="L123" s="972">
        <v>15.403</v>
      </c>
      <c r="M123" s="972">
        <v>0</v>
      </c>
      <c r="N123" s="972">
        <v>27.658999999999999</v>
      </c>
      <c r="O123" s="972">
        <v>319.35700000000003</v>
      </c>
      <c r="P123" s="972">
        <v>520.30399999999997</v>
      </c>
      <c r="Q123" s="972">
        <v>15237.339</v>
      </c>
      <c r="R123" s="962">
        <v>1609</v>
      </c>
      <c r="S123" s="962" t="s">
        <v>4940</v>
      </c>
      <c r="T123" s="972">
        <v>4151.5371666666661</v>
      </c>
    </row>
    <row r="124" spans="1:20">
      <c r="A124" s="962" t="s">
        <v>2966</v>
      </c>
      <c r="B124" s="972">
        <v>5959.4989999999998</v>
      </c>
      <c r="C124" s="972">
        <v>400.226</v>
      </c>
      <c r="D124" s="972">
        <v>1.7869999999999999</v>
      </c>
      <c r="E124" s="972">
        <v>234.95</v>
      </c>
      <c r="F124" s="972">
        <v>9.1170000000000009</v>
      </c>
      <c r="G124" s="972">
        <v>0.71799999999999997</v>
      </c>
      <c r="H124" s="972">
        <v>0</v>
      </c>
      <c r="I124" s="972">
        <v>48.491</v>
      </c>
      <c r="J124" s="972">
        <v>48.858000000000004</v>
      </c>
      <c r="K124" s="972">
        <v>0</v>
      </c>
      <c r="L124" s="972">
        <v>0</v>
      </c>
      <c r="M124" s="972">
        <v>0</v>
      </c>
      <c r="N124" s="972">
        <v>0</v>
      </c>
      <c r="O124" s="972">
        <v>107.18300000000001</v>
      </c>
      <c r="P124" s="972">
        <v>291.93599999999998</v>
      </c>
      <c r="Q124" s="972">
        <v>5560.38</v>
      </c>
      <c r="R124" s="962">
        <v>368</v>
      </c>
      <c r="S124" s="962" t="s">
        <v>4940</v>
      </c>
      <c r="T124" s="972">
        <v>1720.0848333333333</v>
      </c>
    </row>
    <row r="125" spans="1:20">
      <c r="A125" s="962" t="s">
        <v>3084</v>
      </c>
      <c r="B125" s="972">
        <v>723.19299999999998</v>
      </c>
      <c r="C125" s="972">
        <v>21.600999999999999</v>
      </c>
      <c r="D125" s="972">
        <v>0</v>
      </c>
      <c r="E125" s="972">
        <v>26.14</v>
      </c>
      <c r="F125" s="972">
        <v>1.1519999999999999</v>
      </c>
      <c r="G125" s="972">
        <v>0</v>
      </c>
      <c r="H125" s="972">
        <v>0</v>
      </c>
      <c r="I125" s="972">
        <v>9.7110000000000003</v>
      </c>
      <c r="J125" s="972">
        <v>2.8460000000000001</v>
      </c>
      <c r="K125" s="972">
        <v>0</v>
      </c>
      <c r="L125" s="972">
        <v>0</v>
      </c>
      <c r="M125" s="972">
        <v>0</v>
      </c>
      <c r="N125" s="972">
        <v>0.29799999999999999</v>
      </c>
      <c r="O125" s="972">
        <v>14.007999999999999</v>
      </c>
      <c r="P125" s="972">
        <v>47.518000000000001</v>
      </c>
      <c r="Q125" s="972">
        <v>661.66700000000003</v>
      </c>
      <c r="R125" s="962">
        <v>79</v>
      </c>
      <c r="S125" s="962" t="s">
        <v>4940</v>
      </c>
      <c r="T125" s="972">
        <v>221.94433333333333</v>
      </c>
    </row>
    <row r="126" spans="1:20">
      <c r="A126" s="962" t="s">
        <v>6252</v>
      </c>
      <c r="B126" s="972">
        <v>11706.578</v>
      </c>
      <c r="C126" s="972">
        <v>849.46199999999999</v>
      </c>
      <c r="D126" s="972">
        <v>4.0709999999999997</v>
      </c>
      <c r="E126" s="972">
        <v>352.06700000000001</v>
      </c>
      <c r="F126" s="972">
        <v>7.9130000000000003</v>
      </c>
      <c r="G126" s="972">
        <v>0.56399999999999995</v>
      </c>
      <c r="H126" s="972">
        <v>0</v>
      </c>
      <c r="I126" s="972">
        <v>186.84800000000001</v>
      </c>
      <c r="J126" s="972">
        <v>105.02799999999999</v>
      </c>
      <c r="K126" s="972">
        <v>0</v>
      </c>
      <c r="L126" s="972">
        <v>31.436</v>
      </c>
      <c r="M126" s="972">
        <v>0</v>
      </c>
      <c r="N126" s="972">
        <v>7.056</v>
      </c>
      <c r="O126" s="972">
        <v>338.84399999999999</v>
      </c>
      <c r="P126" s="972">
        <v>316.48399999999998</v>
      </c>
      <c r="Q126" s="972">
        <v>11051.25</v>
      </c>
      <c r="R126" s="962">
        <v>1036</v>
      </c>
      <c r="S126" s="962" t="s">
        <v>4940</v>
      </c>
      <c r="T126" s="972">
        <v>3380.3681666666666</v>
      </c>
    </row>
    <row r="127" spans="1:20">
      <c r="A127" s="962" t="s">
        <v>6254</v>
      </c>
      <c r="B127" s="972">
        <v>1855.682</v>
      </c>
      <c r="C127" s="972">
        <v>29.303999999999998</v>
      </c>
      <c r="D127" s="972">
        <v>0</v>
      </c>
      <c r="E127" s="972">
        <v>102.917</v>
      </c>
      <c r="F127" s="972">
        <v>1.514</v>
      </c>
      <c r="G127" s="972">
        <v>4.8000000000000001E-2</v>
      </c>
      <c r="H127" s="972">
        <v>0</v>
      </c>
      <c r="I127" s="972">
        <v>8.2569999999999997</v>
      </c>
      <c r="J127" s="972">
        <v>10.032999999999999</v>
      </c>
      <c r="K127" s="972">
        <v>0</v>
      </c>
      <c r="L127" s="972">
        <v>0.90200000000000002</v>
      </c>
      <c r="M127" s="972">
        <v>0</v>
      </c>
      <c r="N127" s="972">
        <v>0</v>
      </c>
      <c r="O127" s="972">
        <v>20.753</v>
      </c>
      <c r="P127" s="972">
        <v>71.216999999999999</v>
      </c>
      <c r="Q127" s="972">
        <v>1763.713</v>
      </c>
      <c r="R127" s="962">
        <v>142</v>
      </c>
      <c r="S127" s="962" t="s">
        <v>4940</v>
      </c>
      <c r="T127" s="972">
        <v>572.06483333333335</v>
      </c>
    </row>
    <row r="128" spans="1:20">
      <c r="A128" s="962" t="s">
        <v>233</v>
      </c>
      <c r="B128" s="972">
        <v>2910.587</v>
      </c>
      <c r="C128" s="972">
        <v>107.905</v>
      </c>
      <c r="D128" s="972">
        <v>1.6870000000000001</v>
      </c>
      <c r="E128" s="972">
        <v>172.291</v>
      </c>
      <c r="F128" s="972">
        <v>5.2060000000000004</v>
      </c>
      <c r="G128" s="972">
        <v>2.8000000000000001E-2</v>
      </c>
      <c r="H128" s="972">
        <v>0</v>
      </c>
      <c r="I128" s="972">
        <v>19.821000000000002</v>
      </c>
      <c r="J128" s="972">
        <v>15.81</v>
      </c>
      <c r="K128" s="972">
        <v>0</v>
      </c>
      <c r="L128" s="972">
        <v>7.4740000000000002</v>
      </c>
      <c r="M128" s="972">
        <v>0</v>
      </c>
      <c r="N128" s="972">
        <v>1.786</v>
      </c>
      <c r="O128" s="972">
        <v>50.122999999999998</v>
      </c>
      <c r="P128" s="972">
        <v>143.96299999999999</v>
      </c>
      <c r="Q128" s="972">
        <v>2716.5010000000002</v>
      </c>
      <c r="R128" s="962">
        <v>126</v>
      </c>
      <c r="S128" s="962" t="s">
        <v>4940</v>
      </c>
      <c r="T128" s="972">
        <v>773.48466666666661</v>
      </c>
    </row>
    <row r="129" spans="1:20">
      <c r="A129" s="962" t="s">
        <v>6195</v>
      </c>
      <c r="B129" s="972">
        <v>17825.253000000001</v>
      </c>
      <c r="C129" s="972">
        <v>1085.134</v>
      </c>
      <c r="D129" s="972">
        <v>3.012</v>
      </c>
      <c r="E129" s="972">
        <v>727.65099999999995</v>
      </c>
      <c r="F129" s="972">
        <v>21.366</v>
      </c>
      <c r="G129" s="972">
        <v>0.92900000000000005</v>
      </c>
      <c r="H129" s="972">
        <v>0</v>
      </c>
      <c r="I129" s="972">
        <v>191.67599999999999</v>
      </c>
      <c r="J129" s="972">
        <v>116.18299999999999</v>
      </c>
      <c r="K129" s="972">
        <v>1.3859999999999999</v>
      </c>
      <c r="L129" s="972">
        <v>12.006</v>
      </c>
      <c r="M129" s="972">
        <v>0</v>
      </c>
      <c r="N129" s="972">
        <v>16.323</v>
      </c>
      <c r="O129" s="972">
        <v>359.86799999999999</v>
      </c>
      <c r="P129" s="972">
        <v>650.78200000000004</v>
      </c>
      <c r="Q129" s="972">
        <v>16814.603999999999</v>
      </c>
      <c r="R129" s="962">
        <v>1581</v>
      </c>
      <c r="S129" s="962" t="s">
        <v>4940</v>
      </c>
      <c r="T129" s="972">
        <v>4950.5250000000005</v>
      </c>
    </row>
    <row r="130" spans="1:20">
      <c r="A130" s="962" t="s">
        <v>6256</v>
      </c>
      <c r="B130" s="972">
        <v>164.09200000000001</v>
      </c>
      <c r="C130" s="972">
        <v>26.023</v>
      </c>
      <c r="D130" s="972">
        <v>0</v>
      </c>
      <c r="E130" s="972">
        <v>8.07</v>
      </c>
      <c r="F130" s="972">
        <v>0.44800000000000001</v>
      </c>
      <c r="G130" s="972">
        <v>0</v>
      </c>
      <c r="H130" s="972">
        <v>0</v>
      </c>
      <c r="I130" s="972">
        <v>3.331</v>
      </c>
      <c r="J130" s="972">
        <v>0.41899999999999998</v>
      </c>
      <c r="K130" s="972">
        <v>0</v>
      </c>
      <c r="L130" s="972">
        <v>0</v>
      </c>
      <c r="M130" s="972">
        <v>0</v>
      </c>
      <c r="N130" s="972">
        <v>0</v>
      </c>
      <c r="O130" s="972">
        <v>4.1989999999999998</v>
      </c>
      <c r="P130" s="972">
        <v>0</v>
      </c>
      <c r="Q130" s="972">
        <v>159.893</v>
      </c>
      <c r="R130" s="962">
        <v>11</v>
      </c>
      <c r="S130" s="962" t="s">
        <v>4940</v>
      </c>
      <c r="T130" s="972">
        <v>0</v>
      </c>
    </row>
    <row r="131" spans="1:20">
      <c r="A131" s="962" t="s">
        <v>7243</v>
      </c>
      <c r="B131" s="972">
        <v>454.20800000000003</v>
      </c>
      <c r="C131" s="972">
        <v>39.828000000000003</v>
      </c>
      <c r="D131" s="972">
        <v>0.32700000000000001</v>
      </c>
      <c r="E131" s="972">
        <v>7.032</v>
      </c>
      <c r="F131" s="972">
        <v>0.48299999999999998</v>
      </c>
      <c r="G131" s="972">
        <v>0</v>
      </c>
      <c r="H131" s="972">
        <v>0</v>
      </c>
      <c r="I131" s="972">
        <v>13.266999999999999</v>
      </c>
      <c r="J131" s="972">
        <v>0</v>
      </c>
      <c r="K131" s="972">
        <v>0</v>
      </c>
      <c r="L131" s="972">
        <v>0</v>
      </c>
      <c r="M131" s="972">
        <v>0</v>
      </c>
      <c r="N131" s="972">
        <v>0</v>
      </c>
      <c r="O131" s="972">
        <v>13.749000000000001</v>
      </c>
      <c r="P131" s="972">
        <v>37.253</v>
      </c>
      <c r="Q131" s="972">
        <v>403.20499999999998</v>
      </c>
      <c r="R131" s="962">
        <v>0</v>
      </c>
      <c r="S131" s="962" t="s">
        <v>4940</v>
      </c>
      <c r="T131" s="972">
        <v>107.38549999999999</v>
      </c>
    </row>
    <row r="132" spans="1:20">
      <c r="A132" s="962" t="s">
        <v>743</v>
      </c>
      <c r="B132" s="972">
        <v>9815.7090000000007</v>
      </c>
      <c r="C132" s="972">
        <v>547.25900000000001</v>
      </c>
      <c r="D132" s="972">
        <v>0.92700000000000005</v>
      </c>
      <c r="E132" s="972">
        <v>178.28100000000001</v>
      </c>
      <c r="F132" s="972">
        <v>12.926</v>
      </c>
      <c r="G132" s="972">
        <v>0.56699999999999995</v>
      </c>
      <c r="H132" s="972">
        <v>0</v>
      </c>
      <c r="I132" s="972">
        <v>164.01499999999999</v>
      </c>
      <c r="J132" s="972">
        <v>67.337000000000003</v>
      </c>
      <c r="K132" s="972">
        <v>5.0999999999999997E-2</v>
      </c>
      <c r="L132" s="972">
        <v>9.5299999999999994</v>
      </c>
      <c r="M132" s="972">
        <v>0</v>
      </c>
      <c r="N132" s="972">
        <v>0.88300000000000001</v>
      </c>
      <c r="O132" s="972">
        <v>255.30799999999999</v>
      </c>
      <c r="P132" s="972">
        <v>396.63</v>
      </c>
      <c r="Q132" s="972">
        <v>9163.7720000000008</v>
      </c>
      <c r="R132" s="962">
        <v>1309</v>
      </c>
      <c r="S132" s="962" t="s">
        <v>4940</v>
      </c>
      <c r="T132" s="972">
        <v>2659.8040000000001</v>
      </c>
    </row>
    <row r="133" spans="1:20">
      <c r="A133" s="962" t="s">
        <v>960</v>
      </c>
      <c r="B133" s="972">
        <v>14478.482</v>
      </c>
      <c r="C133" s="972">
        <v>2485.663</v>
      </c>
      <c r="D133" s="972">
        <v>2.54</v>
      </c>
      <c r="E133" s="972">
        <v>138.434</v>
      </c>
      <c r="F133" s="972">
        <v>19.975000000000001</v>
      </c>
      <c r="G133" s="972">
        <v>0.38900000000000001</v>
      </c>
      <c r="H133" s="972">
        <v>0</v>
      </c>
      <c r="I133" s="972">
        <v>159.52600000000001</v>
      </c>
      <c r="J133" s="972">
        <v>106.61799999999999</v>
      </c>
      <c r="K133" s="972">
        <v>4.3550000000000004</v>
      </c>
      <c r="L133" s="972">
        <v>22.033999999999999</v>
      </c>
      <c r="M133" s="972">
        <v>0</v>
      </c>
      <c r="N133" s="972">
        <v>18.184999999999999</v>
      </c>
      <c r="O133" s="972">
        <v>331.08</v>
      </c>
      <c r="P133" s="972">
        <v>643.81500000000005</v>
      </c>
      <c r="Q133" s="972">
        <v>13503.587</v>
      </c>
      <c r="R133" s="962">
        <v>1954</v>
      </c>
      <c r="S133" s="962" t="s">
        <v>4940</v>
      </c>
      <c r="T133" s="972">
        <v>3680.136500000001</v>
      </c>
    </row>
    <row r="134" spans="1:20">
      <c r="A134" s="962" t="s">
        <v>6991</v>
      </c>
      <c r="B134" s="972">
        <v>102.392</v>
      </c>
      <c r="C134" s="972">
        <v>33.819000000000003</v>
      </c>
      <c r="D134" s="972">
        <v>0</v>
      </c>
      <c r="E134" s="972">
        <v>6.8819999999999997</v>
      </c>
      <c r="F134" s="972">
        <v>6.5000000000000002E-2</v>
      </c>
      <c r="G134" s="972">
        <v>0</v>
      </c>
      <c r="H134" s="972">
        <v>0</v>
      </c>
      <c r="I134" s="972">
        <v>0.111</v>
      </c>
      <c r="J134" s="972">
        <v>0</v>
      </c>
      <c r="K134" s="972">
        <v>0</v>
      </c>
      <c r="L134" s="972">
        <v>0</v>
      </c>
      <c r="M134" s="972">
        <v>0</v>
      </c>
      <c r="N134" s="972">
        <v>0</v>
      </c>
      <c r="O134" s="972">
        <v>0.17699999999999999</v>
      </c>
      <c r="P134" s="972">
        <v>0.80100000000000005</v>
      </c>
      <c r="Q134" s="972">
        <v>101.414</v>
      </c>
      <c r="R134" s="962">
        <v>9</v>
      </c>
      <c r="S134" s="962" t="s">
        <v>4940</v>
      </c>
      <c r="T134" s="972">
        <v>30.217333333333329</v>
      </c>
    </row>
    <row r="135" spans="1:20">
      <c r="A135" s="962" t="s">
        <v>6262</v>
      </c>
      <c r="B135" s="972">
        <v>1042.5930000000001</v>
      </c>
      <c r="C135" s="972">
        <v>83.433000000000007</v>
      </c>
      <c r="D135" s="972">
        <v>0.19</v>
      </c>
      <c r="E135" s="972">
        <v>21.97</v>
      </c>
      <c r="F135" s="972">
        <v>1.7190000000000001</v>
      </c>
      <c r="G135" s="972">
        <v>0.158</v>
      </c>
      <c r="H135" s="972">
        <v>0</v>
      </c>
      <c r="I135" s="972">
        <v>22.318999999999999</v>
      </c>
      <c r="J135" s="972">
        <v>6.6429999999999998</v>
      </c>
      <c r="K135" s="972">
        <v>0</v>
      </c>
      <c r="L135" s="972">
        <v>2.3620000000000001</v>
      </c>
      <c r="M135" s="972">
        <v>0</v>
      </c>
      <c r="N135" s="972">
        <v>0</v>
      </c>
      <c r="O135" s="972">
        <v>33.200000000000003</v>
      </c>
      <c r="P135" s="972">
        <v>50.366</v>
      </c>
      <c r="Q135" s="972">
        <v>959.02599999999995</v>
      </c>
      <c r="R135" s="962">
        <v>99</v>
      </c>
      <c r="S135" s="962" t="s">
        <v>4940</v>
      </c>
      <c r="T135" s="972">
        <v>288.39366666666666</v>
      </c>
    </row>
    <row r="136" spans="1:20">
      <c r="A136" s="962" t="s">
        <v>6264</v>
      </c>
      <c r="B136" s="972">
        <v>47.610999999999997</v>
      </c>
      <c r="C136" s="972">
        <v>0</v>
      </c>
      <c r="D136" s="972">
        <v>0</v>
      </c>
      <c r="E136" s="972">
        <v>5.94</v>
      </c>
      <c r="F136" s="972">
        <v>4.3999999999999997E-2</v>
      </c>
      <c r="G136" s="972">
        <v>0</v>
      </c>
      <c r="H136" s="972">
        <v>0</v>
      </c>
      <c r="I136" s="972">
        <v>0</v>
      </c>
      <c r="J136" s="972">
        <v>0</v>
      </c>
      <c r="K136" s="972">
        <v>0</v>
      </c>
      <c r="L136" s="972">
        <v>0</v>
      </c>
      <c r="M136" s="972">
        <v>0</v>
      </c>
      <c r="N136" s="972">
        <v>0</v>
      </c>
      <c r="O136" s="972">
        <v>4.3999999999999997E-2</v>
      </c>
      <c r="P136" s="972">
        <v>1.651</v>
      </c>
      <c r="Q136" s="972">
        <v>45.917000000000002</v>
      </c>
      <c r="R136" s="962">
        <v>3</v>
      </c>
      <c r="S136" s="962" t="s">
        <v>4940</v>
      </c>
      <c r="T136" s="972">
        <v>13.111166666666668</v>
      </c>
    </row>
    <row r="137" spans="1:20">
      <c r="A137" s="962" t="s">
        <v>6266</v>
      </c>
      <c r="B137" s="972">
        <v>18.802</v>
      </c>
      <c r="C137" s="972">
        <v>0</v>
      </c>
      <c r="D137" s="972">
        <v>0</v>
      </c>
      <c r="E137" s="972">
        <v>0</v>
      </c>
      <c r="F137" s="972">
        <v>0.03</v>
      </c>
      <c r="G137" s="972">
        <v>0</v>
      </c>
      <c r="H137" s="972">
        <v>0</v>
      </c>
      <c r="I137" s="972">
        <v>0</v>
      </c>
      <c r="J137" s="972">
        <v>0</v>
      </c>
      <c r="K137" s="972">
        <v>0</v>
      </c>
      <c r="L137" s="972">
        <v>0</v>
      </c>
      <c r="M137" s="972">
        <v>0</v>
      </c>
      <c r="N137" s="972">
        <v>0</v>
      </c>
      <c r="O137" s="972">
        <v>0.03</v>
      </c>
      <c r="P137" s="972">
        <v>0</v>
      </c>
      <c r="Q137" s="972">
        <v>18.771999999999998</v>
      </c>
      <c r="R137" s="962">
        <v>0</v>
      </c>
      <c r="S137" s="962" t="s">
        <v>4940</v>
      </c>
      <c r="T137" s="972">
        <v>0</v>
      </c>
    </row>
    <row r="138" spans="1:20">
      <c r="A138" s="962" t="s">
        <v>6268</v>
      </c>
      <c r="B138" s="972">
        <v>167.84800000000001</v>
      </c>
      <c r="C138" s="972">
        <v>11.641999999999999</v>
      </c>
      <c r="D138" s="972">
        <v>0</v>
      </c>
      <c r="E138" s="972">
        <v>0</v>
      </c>
      <c r="F138" s="972">
        <v>0.307</v>
      </c>
      <c r="G138" s="972">
        <v>0</v>
      </c>
      <c r="H138" s="972">
        <v>0</v>
      </c>
      <c r="I138" s="972">
        <v>5.7930000000000001</v>
      </c>
      <c r="J138" s="972">
        <v>0.52200000000000002</v>
      </c>
      <c r="K138" s="972">
        <v>0</v>
      </c>
      <c r="L138" s="972">
        <v>0</v>
      </c>
      <c r="M138" s="972">
        <v>0</v>
      </c>
      <c r="N138" s="972">
        <v>0.67200000000000004</v>
      </c>
      <c r="O138" s="972">
        <v>7.2930000000000001</v>
      </c>
      <c r="P138" s="972">
        <v>10.037000000000001</v>
      </c>
      <c r="Q138" s="972">
        <v>150.518</v>
      </c>
      <c r="R138" s="962">
        <v>5</v>
      </c>
      <c r="S138" s="962" t="s">
        <v>4940</v>
      </c>
      <c r="T138" s="972">
        <v>43.104833333333332</v>
      </c>
    </row>
    <row r="139" spans="1:20">
      <c r="A139" s="962" t="s">
        <v>7247</v>
      </c>
      <c r="B139" s="972">
        <v>30.943999999999999</v>
      </c>
      <c r="C139" s="972">
        <v>0</v>
      </c>
      <c r="D139" s="972">
        <v>0</v>
      </c>
      <c r="E139" s="972">
        <v>0</v>
      </c>
      <c r="F139" s="972">
        <v>0</v>
      </c>
      <c r="G139" s="972">
        <v>0</v>
      </c>
      <c r="H139" s="972">
        <v>0</v>
      </c>
      <c r="I139" s="972">
        <v>0</v>
      </c>
      <c r="J139" s="972">
        <v>0</v>
      </c>
      <c r="K139" s="972">
        <v>0</v>
      </c>
      <c r="L139" s="972">
        <v>0</v>
      </c>
      <c r="M139" s="972">
        <v>0</v>
      </c>
      <c r="N139" s="972">
        <v>0</v>
      </c>
      <c r="O139" s="972">
        <v>0</v>
      </c>
      <c r="P139" s="972">
        <v>0</v>
      </c>
      <c r="Q139" s="972">
        <v>30.943999999999999</v>
      </c>
      <c r="R139" s="962">
        <v>0</v>
      </c>
      <c r="S139" s="962" t="s">
        <v>4940</v>
      </c>
      <c r="T139" s="972">
        <v>0</v>
      </c>
    </row>
    <row r="140" spans="1:20">
      <c r="A140" s="962" t="s">
        <v>6270</v>
      </c>
      <c r="B140" s="972">
        <v>1364.0119999999999</v>
      </c>
      <c r="C140" s="972">
        <v>36.81</v>
      </c>
      <c r="D140" s="972">
        <v>0.77700000000000002</v>
      </c>
      <c r="E140" s="972">
        <v>23.844999999999999</v>
      </c>
      <c r="F140" s="972">
        <v>1.944</v>
      </c>
      <c r="G140" s="972">
        <v>0.42299999999999999</v>
      </c>
      <c r="H140" s="972">
        <v>0</v>
      </c>
      <c r="I140" s="972">
        <v>37.853000000000002</v>
      </c>
      <c r="J140" s="972">
        <v>4.38</v>
      </c>
      <c r="K140" s="972">
        <v>0</v>
      </c>
      <c r="L140" s="972">
        <v>0</v>
      </c>
      <c r="M140" s="972">
        <v>0</v>
      </c>
      <c r="N140" s="972">
        <v>0</v>
      </c>
      <c r="O140" s="972">
        <v>44.598999999999997</v>
      </c>
      <c r="P140" s="972">
        <v>60.768000000000001</v>
      </c>
      <c r="Q140" s="972">
        <v>1258.645</v>
      </c>
      <c r="R140" s="962">
        <v>93</v>
      </c>
      <c r="S140" s="962" t="s">
        <v>4940</v>
      </c>
      <c r="T140" s="972">
        <v>350.38733333333334</v>
      </c>
    </row>
    <row r="141" spans="1:20">
      <c r="A141" s="962" t="s">
        <v>6272</v>
      </c>
      <c r="B141" s="972">
        <v>1020.684</v>
      </c>
      <c r="C141" s="972">
        <v>8.8670000000000009</v>
      </c>
      <c r="D141" s="972">
        <v>0</v>
      </c>
      <c r="E141" s="972">
        <v>24.643000000000001</v>
      </c>
      <c r="F141" s="972">
        <v>1.857</v>
      </c>
      <c r="G141" s="972">
        <v>0</v>
      </c>
      <c r="H141" s="972">
        <v>0</v>
      </c>
      <c r="I141" s="972">
        <v>20.956</v>
      </c>
      <c r="J141" s="972">
        <v>4.4749999999999996</v>
      </c>
      <c r="K141" s="972">
        <v>1.37</v>
      </c>
      <c r="L141" s="972">
        <v>2.6030000000000002</v>
      </c>
      <c r="M141" s="972">
        <v>0</v>
      </c>
      <c r="N141" s="972">
        <v>6.26</v>
      </c>
      <c r="O141" s="972">
        <v>37.521000000000001</v>
      </c>
      <c r="P141" s="972">
        <v>66.742999999999995</v>
      </c>
      <c r="Q141" s="972">
        <v>916.42</v>
      </c>
      <c r="R141" s="962">
        <v>77</v>
      </c>
      <c r="S141" s="962" t="s">
        <v>4940</v>
      </c>
      <c r="T141" s="972">
        <v>320.08133333333342</v>
      </c>
    </row>
    <row r="142" spans="1:20">
      <c r="A142" s="962" t="s">
        <v>2291</v>
      </c>
      <c r="B142" s="972">
        <v>3380.63</v>
      </c>
      <c r="C142" s="972">
        <v>67.343999999999994</v>
      </c>
      <c r="D142" s="972">
        <v>0.20899999999999999</v>
      </c>
      <c r="E142" s="972">
        <v>84.531999999999996</v>
      </c>
      <c r="F142" s="972">
        <v>3.95</v>
      </c>
      <c r="G142" s="972">
        <v>0.11700000000000001</v>
      </c>
      <c r="H142" s="972">
        <v>0</v>
      </c>
      <c r="I142" s="972">
        <v>45.46</v>
      </c>
      <c r="J142" s="972">
        <v>22.297000000000001</v>
      </c>
      <c r="K142" s="972">
        <v>0</v>
      </c>
      <c r="L142" s="972">
        <v>3.0609999999999999</v>
      </c>
      <c r="M142" s="972">
        <v>0</v>
      </c>
      <c r="N142" s="972">
        <v>24.536999999999999</v>
      </c>
      <c r="O142" s="972">
        <v>99.421000000000006</v>
      </c>
      <c r="P142" s="972">
        <v>205.63300000000001</v>
      </c>
      <c r="Q142" s="972">
        <v>3075.576</v>
      </c>
      <c r="R142" s="962">
        <v>244</v>
      </c>
      <c r="S142" s="962" t="s">
        <v>4940</v>
      </c>
      <c r="T142" s="972">
        <v>880.27983333333327</v>
      </c>
    </row>
    <row r="143" spans="1:20">
      <c r="A143" s="962" t="s">
        <v>954</v>
      </c>
      <c r="B143" s="972">
        <v>199.19499999999999</v>
      </c>
      <c r="C143" s="972">
        <v>4.1909999999999998</v>
      </c>
      <c r="D143" s="972">
        <v>0</v>
      </c>
      <c r="E143" s="972">
        <v>11.7</v>
      </c>
      <c r="F143" s="972">
        <v>0.14299999999999999</v>
      </c>
      <c r="G143" s="972">
        <v>0</v>
      </c>
      <c r="H143" s="972">
        <v>0</v>
      </c>
      <c r="I143" s="972">
        <v>0.20899999999999999</v>
      </c>
      <c r="J143" s="972">
        <v>0</v>
      </c>
      <c r="K143" s="972">
        <v>0.72799999999999998</v>
      </c>
      <c r="L143" s="972">
        <v>0.85299999999999998</v>
      </c>
      <c r="M143" s="972">
        <v>0</v>
      </c>
      <c r="N143" s="972">
        <v>7.1669999999999998</v>
      </c>
      <c r="O143" s="972">
        <v>9.1</v>
      </c>
      <c r="P143" s="972">
        <v>14.419</v>
      </c>
      <c r="Q143" s="972">
        <v>175.67599999999999</v>
      </c>
      <c r="R143" s="962">
        <v>13</v>
      </c>
      <c r="S143" s="962" t="s">
        <v>4940</v>
      </c>
      <c r="T143" s="972">
        <v>52.986000000000004</v>
      </c>
    </row>
    <row r="144" spans="1:20">
      <c r="A144" s="962" t="s">
        <v>6166</v>
      </c>
      <c r="B144" s="972">
        <v>252.61600000000001</v>
      </c>
      <c r="C144" s="972">
        <v>7.17</v>
      </c>
      <c r="D144" s="972">
        <v>0</v>
      </c>
      <c r="E144" s="972">
        <v>6.5940000000000003</v>
      </c>
      <c r="F144" s="972">
        <v>0.495</v>
      </c>
      <c r="G144" s="972">
        <v>0</v>
      </c>
      <c r="H144" s="972">
        <v>0</v>
      </c>
      <c r="I144" s="972">
        <v>4.4390000000000001</v>
      </c>
      <c r="J144" s="972">
        <v>1.5289999999999999</v>
      </c>
      <c r="K144" s="972">
        <v>1.3959999999999999</v>
      </c>
      <c r="L144" s="972">
        <v>0</v>
      </c>
      <c r="M144" s="972">
        <v>0</v>
      </c>
      <c r="N144" s="972">
        <v>1.3260000000000001</v>
      </c>
      <c r="O144" s="972">
        <v>9.1850000000000005</v>
      </c>
      <c r="P144" s="972">
        <v>16.053999999999998</v>
      </c>
      <c r="Q144" s="972">
        <v>227.37700000000001</v>
      </c>
      <c r="R144" s="962">
        <v>15</v>
      </c>
      <c r="S144" s="962" t="s">
        <v>4940</v>
      </c>
      <c r="T144" s="972">
        <v>70.850166666666667</v>
      </c>
    </row>
    <row r="145" spans="1:20">
      <c r="A145" s="962" t="s">
        <v>864</v>
      </c>
      <c r="B145" s="972">
        <v>190.916</v>
      </c>
      <c r="C145" s="972">
        <v>0</v>
      </c>
      <c r="D145" s="972">
        <v>0.26700000000000002</v>
      </c>
      <c r="E145" s="972">
        <v>0.46300000000000002</v>
      </c>
      <c r="F145" s="972">
        <v>0.159</v>
      </c>
      <c r="G145" s="972">
        <v>0</v>
      </c>
      <c r="H145" s="972">
        <v>0</v>
      </c>
      <c r="I145" s="972">
        <v>5.2279999999999998</v>
      </c>
      <c r="J145" s="972">
        <v>0.39500000000000002</v>
      </c>
      <c r="K145" s="972">
        <v>0.77900000000000003</v>
      </c>
      <c r="L145" s="972">
        <v>0</v>
      </c>
      <c r="M145" s="972">
        <v>0</v>
      </c>
      <c r="N145" s="972">
        <v>0</v>
      </c>
      <c r="O145" s="972">
        <v>6.56</v>
      </c>
      <c r="P145" s="972">
        <v>15.712</v>
      </c>
      <c r="Q145" s="972">
        <v>168.64400000000001</v>
      </c>
      <c r="R145" s="962">
        <v>13</v>
      </c>
      <c r="S145" s="962" t="s">
        <v>4940</v>
      </c>
      <c r="T145" s="972">
        <v>56.035666666666671</v>
      </c>
    </row>
    <row r="146" spans="1:20">
      <c r="A146" s="962" t="s">
        <v>3085</v>
      </c>
      <c r="B146" s="972">
        <v>155.02099999999999</v>
      </c>
      <c r="C146" s="972">
        <v>0.96099999999999997</v>
      </c>
      <c r="D146" s="972">
        <v>0</v>
      </c>
      <c r="E146" s="972">
        <v>5.81</v>
      </c>
      <c r="F146" s="972">
        <v>0.22</v>
      </c>
      <c r="G146" s="972">
        <v>0</v>
      </c>
      <c r="H146" s="972">
        <v>0</v>
      </c>
      <c r="I146" s="972">
        <v>2.323</v>
      </c>
      <c r="J146" s="972">
        <v>0</v>
      </c>
      <c r="K146" s="972">
        <v>0.48</v>
      </c>
      <c r="L146" s="972">
        <v>0</v>
      </c>
      <c r="M146" s="972">
        <v>0</v>
      </c>
      <c r="N146" s="972">
        <v>2.5459999999999998</v>
      </c>
      <c r="O146" s="972">
        <v>5.569</v>
      </c>
      <c r="P146" s="972">
        <v>3.3530000000000002</v>
      </c>
      <c r="Q146" s="972">
        <v>146.09899999999999</v>
      </c>
      <c r="R146" s="962">
        <v>11</v>
      </c>
      <c r="S146" s="962" t="s">
        <v>4940</v>
      </c>
      <c r="T146" s="972">
        <v>39.331166666666668</v>
      </c>
    </row>
    <row r="147" spans="1:20">
      <c r="A147" s="962" t="s">
        <v>1518</v>
      </c>
      <c r="B147" s="972">
        <v>1208.817</v>
      </c>
      <c r="C147" s="972">
        <v>17.472999999999999</v>
      </c>
      <c r="D147" s="972">
        <v>3.5000000000000003E-2</v>
      </c>
      <c r="E147" s="972">
        <v>7.2729999999999997</v>
      </c>
      <c r="F147" s="972">
        <v>1.7330000000000001</v>
      </c>
      <c r="G147" s="972">
        <v>0</v>
      </c>
      <c r="H147" s="972">
        <v>0</v>
      </c>
      <c r="I147" s="972">
        <v>31.202000000000002</v>
      </c>
      <c r="J147" s="972">
        <v>6.0129999999999999</v>
      </c>
      <c r="K147" s="972">
        <v>0</v>
      </c>
      <c r="L147" s="972">
        <v>0.56699999999999995</v>
      </c>
      <c r="M147" s="972">
        <v>0</v>
      </c>
      <c r="N147" s="972">
        <v>9.2119999999999997</v>
      </c>
      <c r="O147" s="972">
        <v>48.726999999999997</v>
      </c>
      <c r="P147" s="972">
        <v>91.298000000000002</v>
      </c>
      <c r="Q147" s="972">
        <v>1068.7919999999999</v>
      </c>
      <c r="R147" s="962">
        <v>100</v>
      </c>
      <c r="S147" s="962" t="s">
        <v>4940</v>
      </c>
      <c r="T147" s="972">
        <v>325.95833333333331</v>
      </c>
    </row>
    <row r="148" spans="1:20">
      <c r="A148" s="962" t="s">
        <v>7249</v>
      </c>
      <c r="B148" s="972">
        <v>108.879</v>
      </c>
      <c r="C148" s="972">
        <v>1.633</v>
      </c>
      <c r="D148" s="972">
        <v>0</v>
      </c>
      <c r="E148" s="972">
        <v>9.4789999999999992</v>
      </c>
      <c r="F148" s="972">
        <v>4.2999999999999997E-2</v>
      </c>
      <c r="G148" s="972">
        <v>0</v>
      </c>
      <c r="H148" s="972">
        <v>0</v>
      </c>
      <c r="I148" s="972">
        <v>9.516</v>
      </c>
      <c r="J148" s="972">
        <v>2.6</v>
      </c>
      <c r="K148" s="972">
        <v>0</v>
      </c>
      <c r="L148" s="972">
        <v>0</v>
      </c>
      <c r="M148" s="972">
        <v>0</v>
      </c>
      <c r="N148" s="972">
        <v>0</v>
      </c>
      <c r="O148" s="972">
        <v>12.157999999999999</v>
      </c>
      <c r="P148" s="972">
        <v>0</v>
      </c>
      <c r="Q148" s="972">
        <v>96.721000000000004</v>
      </c>
      <c r="R148" s="962">
        <v>0</v>
      </c>
      <c r="S148" s="962" t="s">
        <v>4940</v>
      </c>
      <c r="T148" s="972">
        <v>0</v>
      </c>
    </row>
    <row r="149" spans="1:20">
      <c r="A149" s="962" t="s">
        <v>7251</v>
      </c>
      <c r="B149" s="972">
        <v>68.686999999999998</v>
      </c>
      <c r="C149" s="972">
        <v>5.47</v>
      </c>
      <c r="D149" s="972">
        <v>0</v>
      </c>
      <c r="E149" s="972">
        <v>13.582000000000001</v>
      </c>
      <c r="F149" s="972">
        <v>2.7E-2</v>
      </c>
      <c r="G149" s="972">
        <v>0</v>
      </c>
      <c r="H149" s="972">
        <v>0</v>
      </c>
      <c r="I149" s="972">
        <v>4.5739999999999998</v>
      </c>
      <c r="J149" s="972">
        <v>0.38200000000000001</v>
      </c>
      <c r="K149" s="972">
        <v>0</v>
      </c>
      <c r="L149" s="972">
        <v>0</v>
      </c>
      <c r="M149" s="972">
        <v>0</v>
      </c>
      <c r="N149" s="972">
        <v>0</v>
      </c>
      <c r="O149" s="972">
        <v>4.9820000000000002</v>
      </c>
      <c r="P149" s="972">
        <v>0</v>
      </c>
      <c r="Q149" s="972">
        <v>63.704999999999998</v>
      </c>
      <c r="R149" s="962">
        <v>0</v>
      </c>
      <c r="S149" s="962" t="s">
        <v>4940</v>
      </c>
      <c r="T149" s="972">
        <v>0</v>
      </c>
    </row>
    <row r="150" spans="1:20">
      <c r="A150" s="962" t="s">
        <v>2293</v>
      </c>
      <c r="B150" s="972">
        <v>1752.934</v>
      </c>
      <c r="C150" s="972">
        <v>163.72300000000001</v>
      </c>
      <c r="D150" s="972">
        <v>0.26300000000000001</v>
      </c>
      <c r="E150" s="972">
        <v>62.753999999999998</v>
      </c>
      <c r="F150" s="972">
        <v>1.381</v>
      </c>
      <c r="G150" s="972">
        <v>5.3999999999999999E-2</v>
      </c>
      <c r="H150" s="972">
        <v>0</v>
      </c>
      <c r="I150" s="972">
        <v>24.774999999999999</v>
      </c>
      <c r="J150" s="972">
        <v>10.420999999999999</v>
      </c>
      <c r="K150" s="972">
        <v>0</v>
      </c>
      <c r="L150" s="972">
        <v>0</v>
      </c>
      <c r="M150" s="972">
        <v>0</v>
      </c>
      <c r="N150" s="972">
        <v>0</v>
      </c>
      <c r="O150" s="972">
        <v>36.631</v>
      </c>
      <c r="P150" s="972">
        <v>111.4</v>
      </c>
      <c r="Q150" s="972">
        <v>1604.903</v>
      </c>
      <c r="R150" s="962">
        <v>168</v>
      </c>
      <c r="S150" s="962" t="s">
        <v>4940</v>
      </c>
      <c r="T150" s="972">
        <v>505.36599999999993</v>
      </c>
    </row>
    <row r="151" spans="1:20">
      <c r="A151" s="962" t="s">
        <v>2295</v>
      </c>
      <c r="B151" s="972">
        <v>439.68700000000001</v>
      </c>
      <c r="C151" s="972">
        <v>27.917000000000002</v>
      </c>
      <c r="D151" s="972">
        <v>9.5000000000000001E-2</v>
      </c>
      <c r="E151" s="972">
        <v>43.588000000000001</v>
      </c>
      <c r="F151" s="972">
        <v>0.72599999999999998</v>
      </c>
      <c r="G151" s="972">
        <v>0</v>
      </c>
      <c r="H151" s="972">
        <v>0</v>
      </c>
      <c r="I151" s="972">
        <v>5.8869999999999996</v>
      </c>
      <c r="J151" s="972">
        <v>1.0269999999999999</v>
      </c>
      <c r="K151" s="972">
        <v>0</v>
      </c>
      <c r="L151" s="972">
        <v>0</v>
      </c>
      <c r="M151" s="972">
        <v>0</v>
      </c>
      <c r="N151" s="972">
        <v>0</v>
      </c>
      <c r="O151" s="972">
        <v>7.6390000000000002</v>
      </c>
      <c r="P151" s="972">
        <v>12.297000000000001</v>
      </c>
      <c r="Q151" s="972">
        <v>419.75</v>
      </c>
      <c r="R151" s="962">
        <v>42</v>
      </c>
      <c r="S151" s="962" t="s">
        <v>4940</v>
      </c>
      <c r="T151" s="972">
        <v>135.17499999999998</v>
      </c>
    </row>
    <row r="152" spans="1:20">
      <c r="A152" s="962" t="s">
        <v>2297</v>
      </c>
      <c r="B152" s="972">
        <v>490.60199999999998</v>
      </c>
      <c r="C152" s="972">
        <v>15.066000000000001</v>
      </c>
      <c r="D152" s="972">
        <v>0</v>
      </c>
      <c r="E152" s="972">
        <v>17.291</v>
      </c>
      <c r="F152" s="972">
        <v>0.437</v>
      </c>
      <c r="G152" s="972">
        <v>2.7E-2</v>
      </c>
      <c r="H152" s="972">
        <v>0</v>
      </c>
      <c r="I152" s="972">
        <v>8.6039999999999992</v>
      </c>
      <c r="J152" s="972">
        <v>1.7609999999999999</v>
      </c>
      <c r="K152" s="972">
        <v>0</v>
      </c>
      <c r="L152" s="972">
        <v>0</v>
      </c>
      <c r="M152" s="972">
        <v>0</v>
      </c>
      <c r="N152" s="972">
        <v>0.61699999999999999</v>
      </c>
      <c r="O152" s="972">
        <v>11.446</v>
      </c>
      <c r="P152" s="972">
        <v>21.588999999999999</v>
      </c>
      <c r="Q152" s="972">
        <v>457.56700000000001</v>
      </c>
      <c r="R152" s="962">
        <v>54</v>
      </c>
      <c r="S152" s="962" t="s">
        <v>4940</v>
      </c>
      <c r="T152" s="972">
        <v>112.006</v>
      </c>
    </row>
    <row r="153" spans="1:20">
      <c r="A153" s="962" t="s">
        <v>978</v>
      </c>
      <c r="B153" s="972">
        <v>3128.5549999999998</v>
      </c>
      <c r="C153" s="972">
        <v>196.3</v>
      </c>
      <c r="D153" s="972">
        <v>1.0860000000000001</v>
      </c>
      <c r="E153" s="972">
        <v>101.396</v>
      </c>
      <c r="F153" s="972">
        <v>5.36</v>
      </c>
      <c r="G153" s="972">
        <v>9.2999999999999999E-2</v>
      </c>
      <c r="H153" s="972">
        <v>0</v>
      </c>
      <c r="I153" s="972">
        <v>74.043999999999997</v>
      </c>
      <c r="J153" s="972">
        <v>17.736000000000001</v>
      </c>
      <c r="K153" s="972">
        <v>0</v>
      </c>
      <c r="L153" s="972">
        <v>5.907</v>
      </c>
      <c r="M153" s="972">
        <v>0</v>
      </c>
      <c r="N153" s="972">
        <v>3.48</v>
      </c>
      <c r="O153" s="972">
        <v>106.61799999999999</v>
      </c>
      <c r="P153" s="972">
        <v>186.405</v>
      </c>
      <c r="Q153" s="972">
        <v>2835.5320000000002</v>
      </c>
      <c r="R153" s="962">
        <v>170</v>
      </c>
      <c r="S153" s="962" t="s">
        <v>4940</v>
      </c>
      <c r="T153" s="972">
        <v>912.89199999999994</v>
      </c>
    </row>
    <row r="154" spans="1:20">
      <c r="A154" s="962" t="s">
        <v>3003</v>
      </c>
      <c r="B154" s="972">
        <v>3750.9290000000001</v>
      </c>
      <c r="C154" s="972">
        <v>418.161</v>
      </c>
      <c r="D154" s="972">
        <v>1.2270000000000001</v>
      </c>
      <c r="E154" s="972">
        <v>87.781999999999996</v>
      </c>
      <c r="F154" s="972">
        <v>6.4829999999999997</v>
      </c>
      <c r="G154" s="972">
        <v>0.16200000000000001</v>
      </c>
      <c r="H154" s="972">
        <v>0</v>
      </c>
      <c r="I154" s="972">
        <v>98.700999999999993</v>
      </c>
      <c r="J154" s="972">
        <v>17.042999999999999</v>
      </c>
      <c r="K154" s="972">
        <v>0</v>
      </c>
      <c r="L154" s="972">
        <v>9.1579999999999995</v>
      </c>
      <c r="M154" s="972">
        <v>0</v>
      </c>
      <c r="N154" s="972">
        <v>0</v>
      </c>
      <c r="O154" s="972">
        <v>131.547</v>
      </c>
      <c r="P154" s="972">
        <v>177.91399999999999</v>
      </c>
      <c r="Q154" s="972">
        <v>3441.4690000000001</v>
      </c>
      <c r="R154" s="962">
        <v>322</v>
      </c>
      <c r="S154" s="962" t="s">
        <v>4940</v>
      </c>
      <c r="T154" s="972">
        <v>1062.999</v>
      </c>
    </row>
    <row r="155" spans="1:20">
      <c r="A155" s="962" t="s">
        <v>2993</v>
      </c>
      <c r="B155" s="972">
        <v>4321.942</v>
      </c>
      <c r="C155" s="972">
        <v>352.97800000000001</v>
      </c>
      <c r="D155" s="972">
        <v>2.367</v>
      </c>
      <c r="E155" s="972">
        <v>53.84</v>
      </c>
      <c r="F155" s="972">
        <v>7.9370000000000003</v>
      </c>
      <c r="G155" s="972">
        <v>0.27900000000000003</v>
      </c>
      <c r="H155" s="972">
        <v>0</v>
      </c>
      <c r="I155" s="972">
        <v>150.65299999999999</v>
      </c>
      <c r="J155" s="972">
        <v>28.842000000000002</v>
      </c>
      <c r="K155" s="972">
        <v>0</v>
      </c>
      <c r="L155" s="972">
        <v>0</v>
      </c>
      <c r="M155" s="972">
        <v>0</v>
      </c>
      <c r="N155" s="972">
        <v>12.595000000000001</v>
      </c>
      <c r="O155" s="972">
        <v>200.304</v>
      </c>
      <c r="P155" s="972">
        <v>302.87599999999998</v>
      </c>
      <c r="Q155" s="972">
        <v>3818.7620000000002</v>
      </c>
      <c r="R155" s="962">
        <v>395</v>
      </c>
      <c r="S155" s="962" t="s">
        <v>4940</v>
      </c>
      <c r="T155" s="972">
        <v>1220.3985</v>
      </c>
    </row>
    <row r="156" spans="1:20">
      <c r="A156" s="962" t="s">
        <v>518</v>
      </c>
      <c r="B156" s="972">
        <v>1320.2909999999999</v>
      </c>
      <c r="C156" s="972">
        <v>163.66200000000001</v>
      </c>
      <c r="D156" s="972">
        <v>0.61499999999999999</v>
      </c>
      <c r="E156" s="972">
        <v>46.784999999999997</v>
      </c>
      <c r="F156" s="972">
        <v>2.31</v>
      </c>
      <c r="G156" s="972">
        <v>3.9E-2</v>
      </c>
      <c r="H156" s="972">
        <v>0</v>
      </c>
      <c r="I156" s="972">
        <v>19.707000000000001</v>
      </c>
      <c r="J156" s="972">
        <v>1.704</v>
      </c>
      <c r="K156" s="972">
        <v>0</v>
      </c>
      <c r="L156" s="972">
        <v>0</v>
      </c>
      <c r="M156" s="972">
        <v>0</v>
      </c>
      <c r="N156" s="972">
        <v>0</v>
      </c>
      <c r="O156" s="972">
        <v>23.76</v>
      </c>
      <c r="P156" s="972">
        <v>62.488999999999997</v>
      </c>
      <c r="Q156" s="972">
        <v>1234.0429999999999</v>
      </c>
      <c r="R156" s="962">
        <v>124</v>
      </c>
      <c r="S156" s="962" t="s">
        <v>4940</v>
      </c>
      <c r="T156" s="972">
        <v>368.65083333333331</v>
      </c>
    </row>
    <row r="157" spans="1:20">
      <c r="A157" s="962" t="s">
        <v>2299</v>
      </c>
      <c r="B157" s="972">
        <v>212.87700000000001</v>
      </c>
      <c r="C157" s="972">
        <v>5.7869999999999999</v>
      </c>
      <c r="D157" s="972">
        <v>0</v>
      </c>
      <c r="E157" s="972">
        <v>9.5129999999999999</v>
      </c>
      <c r="F157" s="972">
        <v>0.60199999999999998</v>
      </c>
      <c r="G157" s="972">
        <v>0</v>
      </c>
      <c r="H157" s="972">
        <v>0</v>
      </c>
      <c r="I157" s="972">
        <v>3.6669999999999998</v>
      </c>
      <c r="J157" s="972">
        <v>0</v>
      </c>
      <c r="K157" s="972">
        <v>0</v>
      </c>
      <c r="L157" s="972">
        <v>0</v>
      </c>
      <c r="M157" s="972">
        <v>0</v>
      </c>
      <c r="N157" s="972">
        <v>0</v>
      </c>
      <c r="O157" s="972">
        <v>4.2690000000000001</v>
      </c>
      <c r="P157" s="972">
        <v>7.2539999999999996</v>
      </c>
      <c r="Q157" s="972">
        <v>201.35400000000001</v>
      </c>
      <c r="R157" s="962">
        <v>27</v>
      </c>
      <c r="S157" s="962" t="s">
        <v>4940</v>
      </c>
      <c r="T157" s="972">
        <v>49.435166666666667</v>
      </c>
    </row>
    <row r="158" spans="1:20">
      <c r="A158" s="962" t="s">
        <v>3971</v>
      </c>
      <c r="B158" s="972">
        <v>3862.42</v>
      </c>
      <c r="C158" s="972">
        <v>372.85399999999998</v>
      </c>
      <c r="D158" s="972">
        <v>2.34</v>
      </c>
      <c r="E158" s="972">
        <v>123.352</v>
      </c>
      <c r="F158" s="972">
        <v>5.0910000000000002</v>
      </c>
      <c r="G158" s="972">
        <v>0.29899999999999999</v>
      </c>
      <c r="H158" s="972">
        <v>0</v>
      </c>
      <c r="I158" s="972">
        <v>87.69</v>
      </c>
      <c r="J158" s="972">
        <v>48.269999999999996</v>
      </c>
      <c r="K158" s="972">
        <v>0</v>
      </c>
      <c r="L158" s="972">
        <v>9.3490000000000002</v>
      </c>
      <c r="M158" s="972">
        <v>0</v>
      </c>
      <c r="N158" s="972">
        <v>1.407</v>
      </c>
      <c r="O158" s="972">
        <v>152.10400000000001</v>
      </c>
      <c r="P158" s="972">
        <v>202.578</v>
      </c>
      <c r="Q158" s="972">
        <v>3507.7379999999998</v>
      </c>
      <c r="R158" s="962">
        <v>379</v>
      </c>
      <c r="S158" s="962" t="s">
        <v>4940</v>
      </c>
      <c r="T158" s="972">
        <v>1095.7379999999998</v>
      </c>
    </row>
    <row r="159" spans="1:20">
      <c r="A159" s="962" t="s">
        <v>2161</v>
      </c>
      <c r="B159" s="972">
        <v>334.92200000000003</v>
      </c>
      <c r="C159" s="972">
        <v>5.8719999999999999</v>
      </c>
      <c r="D159" s="972">
        <v>0</v>
      </c>
      <c r="E159" s="972">
        <v>5.8970000000000002</v>
      </c>
      <c r="F159" s="972">
        <v>0.51900000000000002</v>
      </c>
      <c r="G159" s="972">
        <v>0</v>
      </c>
      <c r="H159" s="972">
        <v>0</v>
      </c>
      <c r="I159" s="972">
        <v>5.1180000000000003</v>
      </c>
      <c r="J159" s="972">
        <v>1.3280000000000001</v>
      </c>
      <c r="K159" s="972">
        <v>0.13400000000000001</v>
      </c>
      <c r="L159" s="972">
        <v>0</v>
      </c>
      <c r="M159" s="972">
        <v>0</v>
      </c>
      <c r="N159" s="972">
        <v>0</v>
      </c>
      <c r="O159" s="972">
        <v>7.0990000000000002</v>
      </c>
      <c r="P159" s="972">
        <v>32.154000000000003</v>
      </c>
      <c r="Q159" s="972">
        <v>295.67</v>
      </c>
      <c r="R159" s="962">
        <v>36</v>
      </c>
      <c r="S159" s="962" t="s">
        <v>4940</v>
      </c>
      <c r="T159" s="972">
        <v>98.956500000000005</v>
      </c>
    </row>
    <row r="160" spans="1:20">
      <c r="A160" s="962" t="s">
        <v>3086</v>
      </c>
      <c r="B160" s="972">
        <v>1379.854</v>
      </c>
      <c r="C160" s="972">
        <v>9.7550000000000008</v>
      </c>
      <c r="D160" s="972">
        <v>0.13</v>
      </c>
      <c r="E160" s="972">
        <v>67.510000000000005</v>
      </c>
      <c r="F160" s="972">
        <v>1.4730000000000001</v>
      </c>
      <c r="G160" s="972">
        <v>1.2E-2</v>
      </c>
      <c r="H160" s="972">
        <v>0</v>
      </c>
      <c r="I160" s="972">
        <v>21.47</v>
      </c>
      <c r="J160" s="972">
        <v>4.2759999999999998</v>
      </c>
      <c r="K160" s="972">
        <v>0</v>
      </c>
      <c r="L160" s="972">
        <v>0.29899999999999999</v>
      </c>
      <c r="M160" s="972">
        <v>0</v>
      </c>
      <c r="N160" s="972">
        <v>3.5529999999999999</v>
      </c>
      <c r="O160" s="972">
        <v>31.081</v>
      </c>
      <c r="P160" s="972">
        <v>86.174000000000007</v>
      </c>
      <c r="Q160" s="972">
        <v>1262.598</v>
      </c>
      <c r="R160" s="962">
        <v>94</v>
      </c>
      <c r="S160" s="962" t="s">
        <v>4940</v>
      </c>
      <c r="T160" s="972">
        <v>396.77583333333331</v>
      </c>
    </row>
    <row r="161" spans="1:20">
      <c r="A161" s="962" t="s">
        <v>2605</v>
      </c>
      <c r="B161" s="972">
        <v>280.58999999999997</v>
      </c>
      <c r="C161" s="972">
        <v>0</v>
      </c>
      <c r="D161" s="972">
        <v>0</v>
      </c>
      <c r="E161" s="972">
        <v>25.038</v>
      </c>
      <c r="F161" s="972">
        <v>0.34699999999999998</v>
      </c>
      <c r="G161" s="972">
        <v>0</v>
      </c>
      <c r="H161" s="972">
        <v>0</v>
      </c>
      <c r="I161" s="972">
        <v>0.9</v>
      </c>
      <c r="J161" s="972">
        <v>1.7559999999999998</v>
      </c>
      <c r="K161" s="972">
        <v>0</v>
      </c>
      <c r="L161" s="972">
        <v>0.105</v>
      </c>
      <c r="M161" s="972">
        <v>0</v>
      </c>
      <c r="N161" s="972">
        <v>0</v>
      </c>
      <c r="O161" s="972">
        <v>3.1070000000000002</v>
      </c>
      <c r="P161" s="972">
        <v>26.744</v>
      </c>
      <c r="Q161" s="972">
        <v>250.739</v>
      </c>
      <c r="R161" s="962">
        <v>11</v>
      </c>
      <c r="S161" s="962" t="s">
        <v>4940</v>
      </c>
      <c r="T161" s="972">
        <v>95.069166666666675</v>
      </c>
    </row>
    <row r="162" spans="1:20">
      <c r="A162" s="962" t="s">
        <v>4181</v>
      </c>
      <c r="B162" s="972">
        <v>362.036</v>
      </c>
      <c r="C162" s="972">
        <v>1.8819999999999999</v>
      </c>
      <c r="D162" s="972">
        <v>0.22500000000000001</v>
      </c>
      <c r="E162" s="972">
        <v>13.420999999999999</v>
      </c>
      <c r="F162" s="972">
        <v>0.622</v>
      </c>
      <c r="G162" s="972">
        <v>0</v>
      </c>
      <c r="H162" s="972">
        <v>0</v>
      </c>
      <c r="I162" s="972">
        <v>7.6760000000000002</v>
      </c>
      <c r="J162" s="972">
        <v>1.31</v>
      </c>
      <c r="K162" s="972">
        <v>0</v>
      </c>
      <c r="L162" s="972">
        <v>0</v>
      </c>
      <c r="M162" s="972">
        <v>0</v>
      </c>
      <c r="N162" s="972">
        <v>1.3009999999999999</v>
      </c>
      <c r="O162" s="972">
        <v>10.907999999999999</v>
      </c>
      <c r="P162" s="972">
        <v>22.18</v>
      </c>
      <c r="Q162" s="972">
        <v>328.94799999999998</v>
      </c>
      <c r="R162" s="962">
        <v>22</v>
      </c>
      <c r="S162" s="962" t="s">
        <v>4940</v>
      </c>
      <c r="T162" s="972">
        <v>100.72000000000001</v>
      </c>
    </row>
    <row r="163" spans="1:20">
      <c r="A163" s="962" t="s">
        <v>7795</v>
      </c>
      <c r="B163" s="972">
        <v>385.99</v>
      </c>
      <c r="C163" s="972">
        <v>27.574000000000002</v>
      </c>
      <c r="D163" s="972">
        <v>0</v>
      </c>
      <c r="E163" s="972">
        <v>2.0339999999999998</v>
      </c>
      <c r="F163" s="972">
        <v>4.9000000000000002E-2</v>
      </c>
      <c r="G163" s="972">
        <v>0</v>
      </c>
      <c r="H163" s="972">
        <v>0</v>
      </c>
      <c r="I163" s="972">
        <v>3</v>
      </c>
      <c r="J163" s="972">
        <v>0</v>
      </c>
      <c r="K163" s="972">
        <v>0</v>
      </c>
      <c r="L163" s="972">
        <v>0</v>
      </c>
      <c r="M163" s="972">
        <v>0</v>
      </c>
      <c r="N163" s="972">
        <v>0</v>
      </c>
      <c r="O163" s="972">
        <v>3.05</v>
      </c>
      <c r="P163" s="972">
        <v>2.278</v>
      </c>
      <c r="Q163" s="972">
        <v>380.66199999999998</v>
      </c>
      <c r="R163" s="962">
        <v>27</v>
      </c>
      <c r="S163" s="962" t="s">
        <v>4940</v>
      </c>
      <c r="T163" s="972">
        <v>24.955833333333338</v>
      </c>
    </row>
    <row r="164" spans="1:20">
      <c r="A164" s="962" t="s">
        <v>959</v>
      </c>
      <c r="B164" s="972">
        <v>47177.951000000001</v>
      </c>
      <c r="C164" s="972">
        <v>14764.75</v>
      </c>
      <c r="D164" s="972">
        <v>28.087</v>
      </c>
      <c r="E164" s="972">
        <v>372.92599999999999</v>
      </c>
      <c r="F164" s="972">
        <v>50.536999999999999</v>
      </c>
      <c r="G164" s="972">
        <v>8.0730000000000004</v>
      </c>
      <c r="H164" s="972">
        <v>0</v>
      </c>
      <c r="I164" s="972">
        <v>1510.79</v>
      </c>
      <c r="J164" s="972">
        <v>455.22799999999995</v>
      </c>
      <c r="K164" s="972">
        <v>0</v>
      </c>
      <c r="L164" s="972">
        <v>29.477</v>
      </c>
      <c r="M164" s="972">
        <v>0</v>
      </c>
      <c r="N164" s="972">
        <v>4.4119999999999999</v>
      </c>
      <c r="O164" s="972">
        <v>2058.5129999999999</v>
      </c>
      <c r="P164" s="972">
        <v>2478.029</v>
      </c>
      <c r="Q164" s="972">
        <v>42641.41</v>
      </c>
      <c r="R164" s="962">
        <v>4699</v>
      </c>
      <c r="S164" s="962" t="s">
        <v>4940</v>
      </c>
      <c r="T164" s="972">
        <v>12031.359333333334</v>
      </c>
    </row>
    <row r="165" spans="1:20">
      <c r="A165" s="962" t="s">
        <v>1861</v>
      </c>
      <c r="B165" s="972">
        <v>17075.521000000001</v>
      </c>
      <c r="C165" s="972">
        <v>2148.4740000000002</v>
      </c>
      <c r="D165" s="972">
        <v>8.7070000000000007</v>
      </c>
      <c r="E165" s="972">
        <v>455.75900000000001</v>
      </c>
      <c r="F165" s="972">
        <v>16.946999999999999</v>
      </c>
      <c r="G165" s="972">
        <v>1.581</v>
      </c>
      <c r="H165" s="972">
        <v>5.9269999999999996</v>
      </c>
      <c r="I165" s="972">
        <v>202.976</v>
      </c>
      <c r="J165" s="972">
        <v>148.88900000000001</v>
      </c>
      <c r="K165" s="972">
        <v>0</v>
      </c>
      <c r="L165" s="972">
        <v>7.3319999999999999</v>
      </c>
      <c r="M165" s="972">
        <v>0</v>
      </c>
      <c r="N165" s="972">
        <v>6.22</v>
      </c>
      <c r="O165" s="972">
        <v>389.87</v>
      </c>
      <c r="P165" s="972">
        <v>773.553</v>
      </c>
      <c r="Q165" s="972">
        <v>15912.098</v>
      </c>
      <c r="R165" s="962">
        <v>1412</v>
      </c>
      <c r="S165" s="962" t="s">
        <v>3902</v>
      </c>
      <c r="T165" s="972">
        <v>4691.9977499999995</v>
      </c>
    </row>
    <row r="166" spans="1:20">
      <c r="A166" s="962" t="s">
        <v>6037</v>
      </c>
      <c r="B166" s="972">
        <v>3376.913</v>
      </c>
      <c r="C166" s="972">
        <v>432.49</v>
      </c>
      <c r="D166" s="972">
        <v>0.56699999999999995</v>
      </c>
      <c r="E166" s="972">
        <v>98.522999999999996</v>
      </c>
      <c r="F166" s="972">
        <v>3.4569999999999999</v>
      </c>
      <c r="G166" s="972">
        <v>0.17</v>
      </c>
      <c r="H166" s="972">
        <v>0</v>
      </c>
      <c r="I166" s="972">
        <v>22.114000000000001</v>
      </c>
      <c r="J166" s="972">
        <v>14.058</v>
      </c>
      <c r="K166" s="972">
        <v>0</v>
      </c>
      <c r="L166" s="972">
        <v>0</v>
      </c>
      <c r="M166" s="972">
        <v>0</v>
      </c>
      <c r="N166" s="972">
        <v>2.7120000000000002</v>
      </c>
      <c r="O166" s="972">
        <v>42.508000000000003</v>
      </c>
      <c r="P166" s="972">
        <v>226.322</v>
      </c>
      <c r="Q166" s="972">
        <v>3108.0830000000001</v>
      </c>
      <c r="R166" s="962">
        <v>182</v>
      </c>
      <c r="S166" s="962" t="s">
        <v>4940</v>
      </c>
      <c r="T166" s="972">
        <v>875.31149999999991</v>
      </c>
    </row>
    <row r="167" spans="1:20">
      <c r="A167" s="962" t="s">
        <v>2995</v>
      </c>
      <c r="B167" s="972">
        <v>9199.134</v>
      </c>
      <c r="C167" s="972">
        <v>1718.2260000000001</v>
      </c>
      <c r="D167" s="972">
        <v>2.6629999999999998</v>
      </c>
      <c r="E167" s="972">
        <v>42.161999999999999</v>
      </c>
      <c r="F167" s="972">
        <v>9.0950000000000006</v>
      </c>
      <c r="G167" s="972">
        <v>0.623</v>
      </c>
      <c r="H167" s="972">
        <v>0</v>
      </c>
      <c r="I167" s="972">
        <v>158.40100000000001</v>
      </c>
      <c r="J167" s="972">
        <v>62.831000000000003</v>
      </c>
      <c r="K167" s="972">
        <v>0</v>
      </c>
      <c r="L167" s="972">
        <v>0</v>
      </c>
      <c r="M167" s="972">
        <v>0</v>
      </c>
      <c r="N167" s="972">
        <v>12.617000000000001</v>
      </c>
      <c r="O167" s="972">
        <v>243.566</v>
      </c>
      <c r="P167" s="972">
        <v>556.81600000000003</v>
      </c>
      <c r="Q167" s="972">
        <v>8398.7520000000004</v>
      </c>
      <c r="R167" s="962">
        <v>918</v>
      </c>
      <c r="S167" s="962" t="s">
        <v>4940</v>
      </c>
      <c r="T167" s="972">
        <v>2456.4118333333336</v>
      </c>
    </row>
    <row r="168" spans="1:20">
      <c r="A168" s="962" t="s">
        <v>7643</v>
      </c>
      <c r="B168" s="972">
        <v>2317.4380000000001</v>
      </c>
      <c r="C168" s="972">
        <v>662.81</v>
      </c>
      <c r="D168" s="972">
        <v>2.9060000000000001</v>
      </c>
      <c r="E168" s="972">
        <v>46.41</v>
      </c>
      <c r="F168" s="972">
        <v>2.536</v>
      </c>
      <c r="G168" s="972">
        <v>2.8000000000000001E-2</v>
      </c>
      <c r="H168" s="972">
        <v>0</v>
      </c>
      <c r="I168" s="972">
        <v>44.728999999999999</v>
      </c>
      <c r="J168" s="972">
        <v>18.030999999999999</v>
      </c>
      <c r="K168" s="972">
        <v>0</v>
      </c>
      <c r="L168" s="972">
        <v>0</v>
      </c>
      <c r="M168" s="972">
        <v>0</v>
      </c>
      <c r="N168" s="972">
        <v>0.66400000000000003</v>
      </c>
      <c r="O168" s="972">
        <v>65.988</v>
      </c>
      <c r="P168" s="972">
        <v>146.12899999999999</v>
      </c>
      <c r="Q168" s="972">
        <v>2105.3220000000001</v>
      </c>
      <c r="R168" s="962">
        <v>207</v>
      </c>
      <c r="S168" s="962" t="s">
        <v>4940</v>
      </c>
      <c r="T168" s="972">
        <v>576.12549999999999</v>
      </c>
    </row>
    <row r="169" spans="1:20">
      <c r="A169" s="962" t="s">
        <v>3087</v>
      </c>
      <c r="B169" s="972">
        <v>2160.7249999999999</v>
      </c>
      <c r="C169" s="972">
        <v>303.995</v>
      </c>
      <c r="D169" s="972">
        <v>5.0000000000000001E-3</v>
      </c>
      <c r="E169" s="972">
        <v>47.665999999999997</v>
      </c>
      <c r="F169" s="972">
        <v>1.31</v>
      </c>
      <c r="G169" s="972">
        <v>0.20499999999999999</v>
      </c>
      <c r="H169" s="972">
        <v>0</v>
      </c>
      <c r="I169" s="972">
        <v>38.03</v>
      </c>
      <c r="J169" s="972">
        <v>9.8040000000000003</v>
      </c>
      <c r="K169" s="972">
        <v>0</v>
      </c>
      <c r="L169" s="972">
        <v>0</v>
      </c>
      <c r="M169" s="972">
        <v>0</v>
      </c>
      <c r="N169" s="972">
        <v>0</v>
      </c>
      <c r="O169" s="972">
        <v>49.347000000000001</v>
      </c>
      <c r="P169" s="972">
        <v>148.47800000000001</v>
      </c>
      <c r="Q169" s="972">
        <v>1962.9010000000001</v>
      </c>
      <c r="R169" s="962">
        <v>111</v>
      </c>
      <c r="S169" s="962" t="s">
        <v>3902</v>
      </c>
      <c r="T169" s="972">
        <v>583.18125000000009</v>
      </c>
    </row>
    <row r="170" spans="1:20">
      <c r="A170" s="962" t="s">
        <v>2387</v>
      </c>
      <c r="B170" s="972">
        <v>10275.423000000001</v>
      </c>
      <c r="C170" s="972">
        <v>2049.0749999999998</v>
      </c>
      <c r="D170" s="972">
        <v>4.5410000000000004</v>
      </c>
      <c r="E170" s="972">
        <v>194.16399999999999</v>
      </c>
      <c r="F170" s="972">
        <v>11.534000000000001</v>
      </c>
      <c r="G170" s="972">
        <v>1.4039999999999999</v>
      </c>
      <c r="H170" s="972">
        <v>6.524</v>
      </c>
      <c r="I170" s="972">
        <v>148.51599999999999</v>
      </c>
      <c r="J170" s="972">
        <v>54.55</v>
      </c>
      <c r="K170" s="972">
        <v>0</v>
      </c>
      <c r="L170" s="972">
        <v>1.6E-2</v>
      </c>
      <c r="M170" s="972">
        <v>0</v>
      </c>
      <c r="N170" s="972">
        <v>17.626000000000001</v>
      </c>
      <c r="O170" s="972">
        <v>240.16900000000001</v>
      </c>
      <c r="P170" s="972">
        <v>683.11199999999997</v>
      </c>
      <c r="Q170" s="972">
        <v>9352.1419999999998</v>
      </c>
      <c r="R170" s="962">
        <v>532</v>
      </c>
      <c r="S170" s="962" t="s">
        <v>3902</v>
      </c>
      <c r="T170" s="972">
        <v>2629.1254999999996</v>
      </c>
    </row>
    <row r="171" spans="1:20">
      <c r="A171" s="962" t="s">
        <v>3088</v>
      </c>
      <c r="B171" s="972">
        <v>635.12599999999998</v>
      </c>
      <c r="C171" s="972">
        <v>273.61099999999999</v>
      </c>
      <c r="D171" s="972">
        <v>5.2999999999999999E-2</v>
      </c>
      <c r="E171" s="972">
        <v>17.178999999999998</v>
      </c>
      <c r="F171" s="972">
        <v>0.28999999999999998</v>
      </c>
      <c r="G171" s="972">
        <v>0</v>
      </c>
      <c r="H171" s="972">
        <v>0</v>
      </c>
      <c r="I171" s="972">
        <v>3.7010000000000001</v>
      </c>
      <c r="J171" s="972">
        <v>2.3119999999999998</v>
      </c>
      <c r="K171" s="972">
        <v>0</v>
      </c>
      <c r="L171" s="972">
        <v>0</v>
      </c>
      <c r="M171" s="972">
        <v>0</v>
      </c>
      <c r="N171" s="972">
        <v>0</v>
      </c>
      <c r="O171" s="972">
        <v>6.3019999999999996</v>
      </c>
      <c r="P171" s="972">
        <v>25</v>
      </c>
      <c r="Q171" s="972">
        <v>603.82500000000005</v>
      </c>
      <c r="R171" s="962">
        <v>18</v>
      </c>
      <c r="S171" s="962" t="s">
        <v>3902</v>
      </c>
      <c r="T171" s="972">
        <v>149.70599999999999</v>
      </c>
    </row>
    <row r="172" spans="1:20">
      <c r="A172" s="962" t="s">
        <v>2393</v>
      </c>
      <c r="B172" s="972">
        <v>1139.741</v>
      </c>
      <c r="C172" s="972">
        <v>135.953</v>
      </c>
      <c r="D172" s="972">
        <v>0</v>
      </c>
      <c r="E172" s="972">
        <v>6.3</v>
      </c>
      <c r="F172" s="972">
        <v>0.84</v>
      </c>
      <c r="G172" s="972">
        <v>0.15</v>
      </c>
      <c r="H172" s="972">
        <v>0</v>
      </c>
      <c r="I172" s="972">
        <v>30.039000000000001</v>
      </c>
      <c r="J172" s="972">
        <v>5.9109999999999996</v>
      </c>
      <c r="K172" s="972">
        <v>0</v>
      </c>
      <c r="L172" s="972">
        <v>0</v>
      </c>
      <c r="M172" s="972">
        <v>0</v>
      </c>
      <c r="N172" s="972">
        <v>0</v>
      </c>
      <c r="O172" s="972">
        <v>36.938000000000002</v>
      </c>
      <c r="P172" s="972">
        <v>69.790999999999997</v>
      </c>
      <c r="Q172" s="972">
        <v>1033.0129999999999</v>
      </c>
      <c r="R172" s="962">
        <v>56</v>
      </c>
      <c r="S172" s="962" t="s">
        <v>3902</v>
      </c>
      <c r="T172" s="972">
        <v>339.60374999999999</v>
      </c>
    </row>
    <row r="173" spans="1:20">
      <c r="A173" s="962" t="s">
        <v>7645</v>
      </c>
      <c r="B173" s="972">
        <v>3020.1289999999999</v>
      </c>
      <c r="C173" s="972">
        <v>41.234999999999999</v>
      </c>
      <c r="D173" s="972">
        <v>0</v>
      </c>
      <c r="E173" s="972">
        <v>34.808999999999997</v>
      </c>
      <c r="F173" s="972">
        <v>0.18099999999999999</v>
      </c>
      <c r="G173" s="972">
        <v>0.27500000000000002</v>
      </c>
      <c r="H173" s="972">
        <v>0</v>
      </c>
      <c r="I173" s="972">
        <v>3.74</v>
      </c>
      <c r="J173" s="972">
        <v>0</v>
      </c>
      <c r="K173" s="972">
        <v>0</v>
      </c>
      <c r="L173" s="972">
        <v>0</v>
      </c>
      <c r="M173" s="972">
        <v>0</v>
      </c>
      <c r="N173" s="972">
        <v>0</v>
      </c>
      <c r="O173" s="972">
        <v>4.1959999999999997</v>
      </c>
      <c r="P173" s="972">
        <v>665.14499999999998</v>
      </c>
      <c r="Q173" s="972">
        <v>2350.788</v>
      </c>
      <c r="R173" s="962">
        <v>762</v>
      </c>
      <c r="S173" s="962" t="s">
        <v>4940</v>
      </c>
      <c r="T173" s="972">
        <v>2497.3693333333331</v>
      </c>
    </row>
    <row r="174" spans="1:20">
      <c r="A174" s="962" t="s">
        <v>7647</v>
      </c>
      <c r="B174" s="972">
        <v>2328.5219999999999</v>
      </c>
      <c r="C174" s="972">
        <v>348.02600000000001</v>
      </c>
      <c r="D174" s="972">
        <v>1.379</v>
      </c>
      <c r="E174" s="972">
        <v>122.88</v>
      </c>
      <c r="F174" s="972">
        <v>4.9480000000000004</v>
      </c>
      <c r="G174" s="972">
        <v>0.26</v>
      </c>
      <c r="H174" s="972">
        <v>0</v>
      </c>
      <c r="I174" s="972">
        <v>33.372999999999998</v>
      </c>
      <c r="J174" s="972">
        <v>19.207000000000001</v>
      </c>
      <c r="K174" s="972">
        <v>0.69899999999999995</v>
      </c>
      <c r="L174" s="972">
        <v>0</v>
      </c>
      <c r="M174" s="972">
        <v>0</v>
      </c>
      <c r="N174" s="972">
        <v>0</v>
      </c>
      <c r="O174" s="972">
        <v>58.487000000000002</v>
      </c>
      <c r="P174" s="972">
        <v>167.21700000000001</v>
      </c>
      <c r="Q174" s="972">
        <v>2102.8180000000002</v>
      </c>
      <c r="R174" s="962">
        <v>106</v>
      </c>
      <c r="S174" s="962" t="s">
        <v>4940</v>
      </c>
      <c r="T174" s="972">
        <v>612.86633333333339</v>
      </c>
    </row>
    <row r="175" spans="1:20">
      <c r="A175" s="962" t="s">
        <v>7649</v>
      </c>
      <c r="B175" s="972">
        <v>123.157</v>
      </c>
      <c r="C175" s="972">
        <v>0</v>
      </c>
      <c r="D175" s="972">
        <v>0</v>
      </c>
      <c r="E175" s="972">
        <v>2.6930000000000001</v>
      </c>
      <c r="F175" s="972">
        <v>0.27</v>
      </c>
      <c r="G175" s="972">
        <v>0</v>
      </c>
      <c r="H175" s="972">
        <v>0</v>
      </c>
      <c r="I175" s="972">
        <v>1.6359999999999999</v>
      </c>
      <c r="J175" s="972">
        <v>0.622</v>
      </c>
      <c r="K175" s="972">
        <v>0.33700000000000002</v>
      </c>
      <c r="L175" s="972">
        <v>0</v>
      </c>
      <c r="M175" s="972">
        <v>0</v>
      </c>
      <c r="N175" s="972">
        <v>0</v>
      </c>
      <c r="O175" s="972">
        <v>2.863</v>
      </c>
      <c r="P175" s="972">
        <v>5.0659999999999998</v>
      </c>
      <c r="Q175" s="972">
        <v>115.22799999999999</v>
      </c>
      <c r="R175" s="962">
        <v>18</v>
      </c>
      <c r="S175" s="962" t="s">
        <v>4940</v>
      </c>
      <c r="T175" s="972">
        <v>30.710333333333335</v>
      </c>
    </row>
    <row r="176" spans="1:20">
      <c r="A176" s="962" t="s">
        <v>1786</v>
      </c>
      <c r="B176" s="972">
        <v>633.20699999999999</v>
      </c>
      <c r="C176" s="972">
        <v>1.9690000000000001</v>
      </c>
      <c r="D176" s="972">
        <v>0</v>
      </c>
      <c r="E176" s="972">
        <v>14.413</v>
      </c>
      <c r="F176" s="972">
        <v>0.80500000000000005</v>
      </c>
      <c r="G176" s="972">
        <v>0</v>
      </c>
      <c r="H176" s="972">
        <v>0</v>
      </c>
      <c r="I176" s="972">
        <v>14.438000000000001</v>
      </c>
      <c r="J176" s="972">
        <v>4.32</v>
      </c>
      <c r="K176" s="972">
        <v>0</v>
      </c>
      <c r="L176" s="972">
        <v>0.68600000000000005</v>
      </c>
      <c r="M176" s="972">
        <v>0</v>
      </c>
      <c r="N176" s="972">
        <v>0</v>
      </c>
      <c r="O176" s="972">
        <v>20.248000000000001</v>
      </c>
      <c r="P176" s="972">
        <v>33.06</v>
      </c>
      <c r="Q176" s="972">
        <v>579.899</v>
      </c>
      <c r="R176" s="962">
        <v>61</v>
      </c>
      <c r="S176" s="962" t="s">
        <v>4940</v>
      </c>
      <c r="T176" s="972">
        <v>201.54050000000001</v>
      </c>
    </row>
    <row r="177" spans="1:20">
      <c r="A177" s="962" t="s">
        <v>1788</v>
      </c>
      <c r="B177" s="972">
        <v>353.77499999999998</v>
      </c>
      <c r="C177" s="972">
        <v>0</v>
      </c>
      <c r="D177" s="972">
        <v>0</v>
      </c>
      <c r="E177" s="972">
        <v>13.558999999999999</v>
      </c>
      <c r="F177" s="972">
        <v>0.23499999999999999</v>
      </c>
      <c r="G177" s="972">
        <v>0</v>
      </c>
      <c r="H177" s="972">
        <v>0</v>
      </c>
      <c r="I177" s="972">
        <v>9.2170000000000005</v>
      </c>
      <c r="J177" s="972">
        <v>0</v>
      </c>
      <c r="K177" s="972">
        <v>0</v>
      </c>
      <c r="L177" s="972">
        <v>1.155</v>
      </c>
      <c r="M177" s="972">
        <v>0</v>
      </c>
      <c r="N177" s="972">
        <v>0</v>
      </c>
      <c r="O177" s="972">
        <v>10.606</v>
      </c>
      <c r="P177" s="972">
        <v>32.773000000000003</v>
      </c>
      <c r="Q177" s="972">
        <v>310.39600000000002</v>
      </c>
      <c r="R177" s="962">
        <v>29</v>
      </c>
      <c r="S177" s="962" t="s">
        <v>4940</v>
      </c>
      <c r="T177" s="972">
        <v>109.60566666666668</v>
      </c>
    </row>
    <row r="178" spans="1:20">
      <c r="A178" s="962" t="s">
        <v>1790</v>
      </c>
      <c r="B178" s="972">
        <v>1646.8</v>
      </c>
      <c r="C178" s="972">
        <v>24.143999999999998</v>
      </c>
      <c r="D178" s="972">
        <v>0.86899999999999999</v>
      </c>
      <c r="E178" s="972">
        <v>79.200999999999993</v>
      </c>
      <c r="F178" s="972">
        <v>2.8420000000000001</v>
      </c>
      <c r="G178" s="972">
        <v>0.187</v>
      </c>
      <c r="H178" s="972">
        <v>0</v>
      </c>
      <c r="I178" s="972">
        <v>22.032</v>
      </c>
      <c r="J178" s="972">
        <v>14.561</v>
      </c>
      <c r="K178" s="972">
        <v>0</v>
      </c>
      <c r="L178" s="972">
        <v>0.48899999999999999</v>
      </c>
      <c r="M178" s="972">
        <v>0</v>
      </c>
      <c r="N178" s="972">
        <v>0</v>
      </c>
      <c r="O178" s="972">
        <v>40.109000000000002</v>
      </c>
      <c r="P178" s="972">
        <v>100.92</v>
      </c>
      <c r="Q178" s="972">
        <v>1505.771</v>
      </c>
      <c r="R178" s="962">
        <v>155</v>
      </c>
      <c r="S178" s="962" t="s">
        <v>4940</v>
      </c>
      <c r="T178" s="972">
        <v>487.65583333333336</v>
      </c>
    </row>
    <row r="179" spans="1:20">
      <c r="A179" s="962" t="s">
        <v>1792</v>
      </c>
      <c r="B179" s="972">
        <v>128.36000000000001</v>
      </c>
      <c r="C179" s="972">
        <v>0</v>
      </c>
      <c r="D179" s="972">
        <v>0</v>
      </c>
      <c r="E179" s="972">
        <v>5.2930000000000001</v>
      </c>
      <c r="F179" s="972">
        <v>0.16300000000000001</v>
      </c>
      <c r="G179" s="972">
        <v>5.8000000000000003E-2</v>
      </c>
      <c r="H179" s="972">
        <v>0</v>
      </c>
      <c r="I179" s="972">
        <v>3.3010000000000002</v>
      </c>
      <c r="J179" s="972">
        <v>0.433</v>
      </c>
      <c r="K179" s="972">
        <v>0</v>
      </c>
      <c r="L179" s="972">
        <v>0</v>
      </c>
      <c r="M179" s="972">
        <v>0</v>
      </c>
      <c r="N179" s="972">
        <v>0</v>
      </c>
      <c r="O179" s="972">
        <v>3.9550000000000001</v>
      </c>
      <c r="P179" s="972">
        <v>14.715</v>
      </c>
      <c r="Q179" s="972">
        <v>109.68899999999999</v>
      </c>
      <c r="R179" s="962">
        <v>13</v>
      </c>
      <c r="S179" s="962" t="s">
        <v>4940</v>
      </c>
      <c r="T179" s="972">
        <v>41.62083333333333</v>
      </c>
    </row>
    <row r="180" spans="1:20">
      <c r="A180" s="962" t="s">
        <v>2982</v>
      </c>
      <c r="B180" s="972">
        <v>1032.473</v>
      </c>
      <c r="C180" s="972">
        <v>30.337</v>
      </c>
      <c r="D180" s="972">
        <v>0</v>
      </c>
      <c r="E180" s="972">
        <v>17.510000000000002</v>
      </c>
      <c r="F180" s="972">
        <v>1.6539999999999999</v>
      </c>
      <c r="G180" s="972">
        <v>0</v>
      </c>
      <c r="H180" s="972">
        <v>0</v>
      </c>
      <c r="I180" s="972">
        <v>14.186</v>
      </c>
      <c r="J180" s="972">
        <v>3.92</v>
      </c>
      <c r="K180" s="972">
        <v>0.216</v>
      </c>
      <c r="L180" s="972">
        <v>0.26900000000000002</v>
      </c>
      <c r="M180" s="972">
        <v>0</v>
      </c>
      <c r="N180" s="972">
        <v>0</v>
      </c>
      <c r="O180" s="972">
        <v>20.245999999999999</v>
      </c>
      <c r="P180" s="972">
        <v>93.501000000000005</v>
      </c>
      <c r="Q180" s="972">
        <v>918.72699999999998</v>
      </c>
      <c r="R180" s="962">
        <v>76</v>
      </c>
      <c r="S180" s="962" t="s">
        <v>4940</v>
      </c>
      <c r="T180" s="972">
        <v>276.27483333333333</v>
      </c>
    </row>
    <row r="181" spans="1:20">
      <c r="A181" s="962" t="s">
        <v>2984</v>
      </c>
      <c r="B181" s="972">
        <v>733.23299999999995</v>
      </c>
      <c r="C181" s="972">
        <v>13.507</v>
      </c>
      <c r="D181" s="972">
        <v>0.113</v>
      </c>
      <c r="E181" s="972">
        <v>20.74</v>
      </c>
      <c r="F181" s="972">
        <v>1.4470000000000001</v>
      </c>
      <c r="G181" s="972">
        <v>1.2999999999999999E-2</v>
      </c>
      <c r="H181" s="972">
        <v>0</v>
      </c>
      <c r="I181" s="972">
        <v>19.913</v>
      </c>
      <c r="J181" s="972">
        <v>6.8859999999999992</v>
      </c>
      <c r="K181" s="972">
        <v>0</v>
      </c>
      <c r="L181" s="972">
        <v>0.84899999999999998</v>
      </c>
      <c r="M181" s="972">
        <v>0</v>
      </c>
      <c r="N181" s="972">
        <v>0</v>
      </c>
      <c r="O181" s="972">
        <v>29.106999999999999</v>
      </c>
      <c r="P181" s="972">
        <v>80.497</v>
      </c>
      <c r="Q181" s="972">
        <v>623.62800000000004</v>
      </c>
      <c r="R181" s="962">
        <v>25</v>
      </c>
      <c r="S181" s="962" t="s">
        <v>4940</v>
      </c>
      <c r="T181" s="972">
        <v>248.08349999999999</v>
      </c>
    </row>
    <row r="182" spans="1:20">
      <c r="A182" s="962" t="s">
        <v>965</v>
      </c>
      <c r="B182" s="972">
        <v>416.73700000000002</v>
      </c>
      <c r="C182" s="972">
        <v>0</v>
      </c>
      <c r="D182" s="972">
        <v>0</v>
      </c>
      <c r="E182" s="972">
        <v>21.494</v>
      </c>
      <c r="F182" s="972">
        <v>0.58499999999999996</v>
      </c>
      <c r="G182" s="972">
        <v>0</v>
      </c>
      <c r="H182" s="972">
        <v>0</v>
      </c>
      <c r="I182" s="972">
        <v>4.8860000000000001</v>
      </c>
      <c r="J182" s="972">
        <v>1.33</v>
      </c>
      <c r="K182" s="972">
        <v>0</v>
      </c>
      <c r="L182" s="972">
        <v>2.7240000000000002</v>
      </c>
      <c r="M182" s="972">
        <v>0</v>
      </c>
      <c r="N182" s="972">
        <v>0</v>
      </c>
      <c r="O182" s="972">
        <v>9.5239999999999991</v>
      </c>
      <c r="P182" s="972">
        <v>30.689</v>
      </c>
      <c r="Q182" s="972">
        <v>376.524</v>
      </c>
      <c r="R182" s="962">
        <v>22</v>
      </c>
      <c r="S182" s="962" t="s">
        <v>4940</v>
      </c>
      <c r="T182" s="972">
        <v>132.70583333333335</v>
      </c>
    </row>
    <row r="183" spans="1:20">
      <c r="A183" s="962" t="s">
        <v>6704</v>
      </c>
      <c r="B183" s="972">
        <v>996.96500000000003</v>
      </c>
      <c r="C183" s="972">
        <v>1.288</v>
      </c>
      <c r="D183" s="972">
        <v>3.5000000000000003E-2</v>
      </c>
      <c r="E183" s="972">
        <v>36.344000000000001</v>
      </c>
      <c r="F183" s="972">
        <v>1.2490000000000001</v>
      </c>
      <c r="G183" s="972">
        <v>0</v>
      </c>
      <c r="H183" s="972">
        <v>0</v>
      </c>
      <c r="I183" s="972">
        <v>22.72</v>
      </c>
      <c r="J183" s="972">
        <v>1.772</v>
      </c>
      <c r="K183" s="972">
        <v>0</v>
      </c>
      <c r="L183" s="972">
        <v>5.3819999999999997</v>
      </c>
      <c r="M183" s="972">
        <v>0</v>
      </c>
      <c r="N183" s="972">
        <v>0</v>
      </c>
      <c r="O183" s="972">
        <v>31.120999999999999</v>
      </c>
      <c r="P183" s="972">
        <v>92.956000000000003</v>
      </c>
      <c r="Q183" s="972">
        <v>872.88900000000001</v>
      </c>
      <c r="R183" s="962">
        <v>61</v>
      </c>
      <c r="S183" s="962" t="s">
        <v>4940</v>
      </c>
      <c r="T183" s="972">
        <v>306.29900000000004</v>
      </c>
    </row>
    <row r="184" spans="1:20">
      <c r="A184" s="962" t="s">
        <v>690</v>
      </c>
      <c r="B184" s="972">
        <v>248.55099999999999</v>
      </c>
      <c r="C184" s="972">
        <v>0</v>
      </c>
      <c r="D184" s="972">
        <v>0</v>
      </c>
      <c r="E184" s="972">
        <v>15.811</v>
      </c>
      <c r="F184" s="972">
        <v>0.442</v>
      </c>
      <c r="G184" s="972">
        <v>4.4999999999999998E-2</v>
      </c>
      <c r="H184" s="972">
        <v>0</v>
      </c>
      <c r="I184" s="972">
        <v>2.8519999999999999</v>
      </c>
      <c r="J184" s="972">
        <v>0</v>
      </c>
      <c r="K184" s="972">
        <v>0.55500000000000005</v>
      </c>
      <c r="L184" s="972">
        <v>1.1399999999999999</v>
      </c>
      <c r="M184" s="972">
        <v>0</v>
      </c>
      <c r="N184" s="972">
        <v>0</v>
      </c>
      <c r="O184" s="972">
        <v>5.0330000000000004</v>
      </c>
      <c r="P184" s="972">
        <v>19.027000000000001</v>
      </c>
      <c r="Q184" s="972">
        <v>224.49</v>
      </c>
      <c r="R184" s="962">
        <v>17</v>
      </c>
      <c r="S184" s="962" t="s">
        <v>4940</v>
      </c>
      <c r="T184" s="972">
        <v>82.731999999999999</v>
      </c>
    </row>
    <row r="185" spans="1:20">
      <c r="A185" s="962" t="s">
        <v>692</v>
      </c>
      <c r="B185" s="972">
        <v>1145.6949999999999</v>
      </c>
      <c r="C185" s="972">
        <v>181.08</v>
      </c>
      <c r="D185" s="972">
        <v>1.7709999999999999</v>
      </c>
      <c r="E185" s="972">
        <v>19.920000000000002</v>
      </c>
      <c r="F185" s="972">
        <v>1.4279999999999999</v>
      </c>
      <c r="G185" s="972">
        <v>2.3E-2</v>
      </c>
      <c r="H185" s="972">
        <v>0</v>
      </c>
      <c r="I185" s="972">
        <v>14.8</v>
      </c>
      <c r="J185" s="972">
        <v>4.0629999999999997</v>
      </c>
      <c r="K185" s="972">
        <v>0</v>
      </c>
      <c r="L185" s="972">
        <v>0</v>
      </c>
      <c r="M185" s="972">
        <v>0</v>
      </c>
      <c r="N185" s="972">
        <v>0</v>
      </c>
      <c r="O185" s="972">
        <v>20.312999999999999</v>
      </c>
      <c r="P185" s="972">
        <v>90.852000000000004</v>
      </c>
      <c r="Q185" s="972">
        <v>1034.53</v>
      </c>
      <c r="R185" s="962">
        <v>24</v>
      </c>
      <c r="S185" s="962" t="s">
        <v>4940</v>
      </c>
      <c r="T185" s="972">
        <v>278.99133333333333</v>
      </c>
    </row>
    <row r="186" spans="1:20">
      <c r="A186" s="962" t="s">
        <v>895</v>
      </c>
      <c r="B186" s="972">
        <v>267.28500000000003</v>
      </c>
      <c r="C186" s="972">
        <v>9.2789999999999999</v>
      </c>
      <c r="D186" s="972">
        <v>0.45200000000000001</v>
      </c>
      <c r="E186" s="972">
        <v>7.7409999999999997</v>
      </c>
      <c r="F186" s="972">
        <v>0.49</v>
      </c>
      <c r="G186" s="972">
        <v>0</v>
      </c>
      <c r="H186" s="972">
        <v>0</v>
      </c>
      <c r="I186" s="972">
        <v>4.532</v>
      </c>
      <c r="J186" s="972">
        <v>2.1999999999999999E-2</v>
      </c>
      <c r="K186" s="972">
        <v>0</v>
      </c>
      <c r="L186" s="972">
        <v>0</v>
      </c>
      <c r="M186" s="972">
        <v>0</v>
      </c>
      <c r="N186" s="972">
        <v>0</v>
      </c>
      <c r="O186" s="972">
        <v>5.0449999999999999</v>
      </c>
      <c r="P186" s="972">
        <v>9.7620000000000005</v>
      </c>
      <c r="Q186" s="972">
        <v>252.47800000000001</v>
      </c>
      <c r="R186" s="962">
        <v>12</v>
      </c>
      <c r="S186" s="962" t="s">
        <v>4940</v>
      </c>
      <c r="T186" s="972">
        <v>64.849166666666662</v>
      </c>
    </row>
    <row r="187" spans="1:20">
      <c r="A187" s="962" t="s">
        <v>6177</v>
      </c>
      <c r="B187" s="972">
        <v>234.631</v>
      </c>
      <c r="C187" s="972">
        <v>2.6949999999999998</v>
      </c>
      <c r="D187" s="972">
        <v>5.3999999999999999E-2</v>
      </c>
      <c r="E187" s="972">
        <v>2.927</v>
      </c>
      <c r="F187" s="972">
        <v>0.55500000000000005</v>
      </c>
      <c r="G187" s="972">
        <v>0</v>
      </c>
      <c r="H187" s="972">
        <v>0</v>
      </c>
      <c r="I187" s="972">
        <v>1.429</v>
      </c>
      <c r="J187" s="972">
        <v>0</v>
      </c>
      <c r="K187" s="972">
        <v>0</v>
      </c>
      <c r="L187" s="972">
        <v>0</v>
      </c>
      <c r="M187" s="972">
        <v>0</v>
      </c>
      <c r="N187" s="972">
        <v>0</v>
      </c>
      <c r="O187" s="972">
        <v>1.9850000000000001</v>
      </c>
      <c r="P187" s="972">
        <v>18.693000000000001</v>
      </c>
      <c r="Q187" s="972">
        <v>213.95400000000001</v>
      </c>
      <c r="R187" s="962">
        <v>7</v>
      </c>
      <c r="S187" s="962" t="s">
        <v>4940</v>
      </c>
      <c r="T187" s="972">
        <v>64.916499999999999</v>
      </c>
    </row>
    <row r="188" spans="1:20">
      <c r="A188" s="962" t="s">
        <v>265</v>
      </c>
      <c r="B188" s="972">
        <v>1164.798</v>
      </c>
      <c r="C188" s="972">
        <v>86.635999999999996</v>
      </c>
      <c r="D188" s="972">
        <v>0</v>
      </c>
      <c r="E188" s="972">
        <v>11.654999999999999</v>
      </c>
      <c r="F188" s="972">
        <v>1.8120000000000001</v>
      </c>
      <c r="G188" s="972">
        <v>0.155</v>
      </c>
      <c r="H188" s="972">
        <v>0</v>
      </c>
      <c r="I188" s="972">
        <v>26.108000000000001</v>
      </c>
      <c r="J188" s="972">
        <v>4.9609999999999994</v>
      </c>
      <c r="K188" s="972">
        <v>0.64200000000000002</v>
      </c>
      <c r="L188" s="972">
        <v>2.2309999999999999</v>
      </c>
      <c r="M188" s="972">
        <v>0</v>
      </c>
      <c r="N188" s="972">
        <v>0</v>
      </c>
      <c r="O188" s="972">
        <v>35.906999999999996</v>
      </c>
      <c r="P188" s="972">
        <v>64.685000000000002</v>
      </c>
      <c r="Q188" s="972">
        <v>1064.2070000000001</v>
      </c>
      <c r="R188" s="962">
        <v>130</v>
      </c>
      <c r="S188" s="962" t="s">
        <v>4940</v>
      </c>
      <c r="T188" s="972">
        <v>350.68433333333337</v>
      </c>
    </row>
    <row r="189" spans="1:20">
      <c r="A189" s="962" t="s">
        <v>897</v>
      </c>
      <c r="B189" s="972">
        <v>3989.4250000000002</v>
      </c>
      <c r="C189" s="972">
        <v>83.320999999999998</v>
      </c>
      <c r="D189" s="972">
        <v>0.34599999999999997</v>
      </c>
      <c r="E189" s="972">
        <v>59.079000000000001</v>
      </c>
      <c r="F189" s="972">
        <v>5.7729999999999997</v>
      </c>
      <c r="G189" s="972">
        <v>0.122</v>
      </c>
      <c r="H189" s="972">
        <v>0</v>
      </c>
      <c r="I189" s="972">
        <v>27.614000000000001</v>
      </c>
      <c r="J189" s="972">
        <v>19.291999999999998</v>
      </c>
      <c r="K189" s="972">
        <v>0.17299999999999999</v>
      </c>
      <c r="L189" s="972">
        <v>1.9530000000000001</v>
      </c>
      <c r="M189" s="972">
        <v>0</v>
      </c>
      <c r="N189" s="972">
        <v>0</v>
      </c>
      <c r="O189" s="972">
        <v>54.926000000000002</v>
      </c>
      <c r="P189" s="972">
        <v>117.97</v>
      </c>
      <c r="Q189" s="972">
        <v>3816.53</v>
      </c>
      <c r="R189" s="962">
        <v>173</v>
      </c>
      <c r="S189" s="962" t="s">
        <v>4940</v>
      </c>
      <c r="T189" s="972">
        <v>1142.6210000000001</v>
      </c>
    </row>
    <row r="190" spans="1:20">
      <c r="A190" s="962" t="s">
        <v>899</v>
      </c>
      <c r="B190" s="972">
        <v>1242.4770000000001</v>
      </c>
      <c r="C190" s="972">
        <v>201.58600000000001</v>
      </c>
      <c r="D190" s="972">
        <v>0</v>
      </c>
      <c r="E190" s="972">
        <v>4.6630000000000003</v>
      </c>
      <c r="F190" s="972">
        <v>2.1</v>
      </c>
      <c r="G190" s="972">
        <v>0.16300000000000001</v>
      </c>
      <c r="H190" s="972">
        <v>0</v>
      </c>
      <c r="I190" s="972">
        <v>33.274000000000001</v>
      </c>
      <c r="J190" s="972">
        <v>11.706</v>
      </c>
      <c r="K190" s="972">
        <v>3.2370000000000001</v>
      </c>
      <c r="L190" s="972">
        <v>0</v>
      </c>
      <c r="M190" s="972">
        <v>0</v>
      </c>
      <c r="N190" s="972">
        <v>0</v>
      </c>
      <c r="O190" s="972">
        <v>50.478999999999999</v>
      </c>
      <c r="P190" s="972">
        <v>69.509</v>
      </c>
      <c r="Q190" s="972">
        <v>1122.489</v>
      </c>
      <c r="R190" s="962">
        <v>54</v>
      </c>
      <c r="S190" s="962" t="s">
        <v>4940</v>
      </c>
      <c r="T190" s="972">
        <v>365.98383333333334</v>
      </c>
    </row>
    <row r="191" spans="1:20">
      <c r="A191" s="962" t="s">
        <v>901</v>
      </c>
      <c r="B191" s="972">
        <v>631.26499999999999</v>
      </c>
      <c r="C191" s="972">
        <v>81.603999999999999</v>
      </c>
      <c r="D191" s="972">
        <v>0</v>
      </c>
      <c r="E191" s="972">
        <v>7.0030000000000001</v>
      </c>
      <c r="F191" s="972">
        <v>0.61</v>
      </c>
      <c r="G191" s="972">
        <v>2E-3</v>
      </c>
      <c r="H191" s="972">
        <v>0</v>
      </c>
      <c r="I191" s="972">
        <v>16.09</v>
      </c>
      <c r="J191" s="972">
        <v>0.63400000000000001</v>
      </c>
      <c r="K191" s="972">
        <v>0.27200000000000002</v>
      </c>
      <c r="L191" s="972">
        <v>0.35699999999999998</v>
      </c>
      <c r="M191" s="972">
        <v>0</v>
      </c>
      <c r="N191" s="972">
        <v>0</v>
      </c>
      <c r="O191" s="972">
        <v>17.963999999999999</v>
      </c>
      <c r="P191" s="972">
        <v>34.207999999999998</v>
      </c>
      <c r="Q191" s="972">
        <v>579.09299999999996</v>
      </c>
      <c r="R191" s="962">
        <v>36</v>
      </c>
      <c r="S191" s="962" t="s">
        <v>4940</v>
      </c>
      <c r="T191" s="972">
        <v>156.227</v>
      </c>
    </row>
    <row r="192" spans="1:20">
      <c r="A192" s="962" t="s">
        <v>6023</v>
      </c>
      <c r="B192" s="972">
        <v>4699.49</v>
      </c>
      <c r="C192" s="972">
        <v>1023.222</v>
      </c>
      <c r="D192" s="972">
        <v>1.9670000000000001</v>
      </c>
      <c r="E192" s="972">
        <v>123.783</v>
      </c>
      <c r="F192" s="972">
        <v>6.6719999999999997</v>
      </c>
      <c r="G192" s="972">
        <v>0.216</v>
      </c>
      <c r="H192" s="972">
        <v>1.1040000000000001</v>
      </c>
      <c r="I192" s="972">
        <v>83.197999999999993</v>
      </c>
      <c r="J192" s="972">
        <v>39.453000000000003</v>
      </c>
      <c r="K192" s="972">
        <v>0</v>
      </c>
      <c r="L192" s="972">
        <v>6.867</v>
      </c>
      <c r="M192" s="972">
        <v>0</v>
      </c>
      <c r="N192" s="972">
        <v>6.6289999999999996</v>
      </c>
      <c r="O192" s="972">
        <v>144.13999999999999</v>
      </c>
      <c r="P192" s="972">
        <v>234.51400000000001</v>
      </c>
      <c r="Q192" s="972">
        <v>4320.8360000000002</v>
      </c>
      <c r="R192" s="962">
        <v>258</v>
      </c>
      <c r="S192" s="962" t="s">
        <v>4940</v>
      </c>
      <c r="T192" s="972">
        <v>1043.6566666666665</v>
      </c>
    </row>
    <row r="193" spans="1:20">
      <c r="A193" s="962" t="s">
        <v>2383</v>
      </c>
      <c r="B193" s="972">
        <v>2034.307</v>
      </c>
      <c r="C193" s="972">
        <v>96.305000000000007</v>
      </c>
      <c r="D193" s="972">
        <v>0.749</v>
      </c>
      <c r="E193" s="972">
        <v>13.535</v>
      </c>
      <c r="F193" s="972">
        <v>3.4510000000000001</v>
      </c>
      <c r="G193" s="972">
        <v>5.0999999999999997E-2</v>
      </c>
      <c r="H193" s="972">
        <v>0</v>
      </c>
      <c r="I193" s="972">
        <v>56.575000000000003</v>
      </c>
      <c r="J193" s="972">
        <v>15.436999999999999</v>
      </c>
      <c r="K193" s="972">
        <v>0</v>
      </c>
      <c r="L193" s="972">
        <v>1.833</v>
      </c>
      <c r="M193" s="972">
        <v>0</v>
      </c>
      <c r="N193" s="972">
        <v>0</v>
      </c>
      <c r="O193" s="972">
        <v>77.346000000000004</v>
      </c>
      <c r="P193" s="972">
        <v>76.739000000000004</v>
      </c>
      <c r="Q193" s="972">
        <v>1880.223</v>
      </c>
      <c r="R193" s="962">
        <v>123</v>
      </c>
      <c r="S193" s="962" t="s">
        <v>4940</v>
      </c>
      <c r="T193" s="972">
        <v>510.51550000000003</v>
      </c>
    </row>
    <row r="194" spans="1:20">
      <c r="A194" s="962" t="s">
        <v>6180</v>
      </c>
      <c r="B194" s="972">
        <v>459.51600000000002</v>
      </c>
      <c r="C194" s="972">
        <v>143.233</v>
      </c>
      <c r="D194" s="972">
        <v>3.4000000000000002E-2</v>
      </c>
      <c r="E194" s="972">
        <v>7.048</v>
      </c>
      <c r="F194" s="972">
        <v>0.71199999999999997</v>
      </c>
      <c r="G194" s="972">
        <v>0</v>
      </c>
      <c r="H194" s="972">
        <v>0</v>
      </c>
      <c r="I194" s="972">
        <v>10.978999999999999</v>
      </c>
      <c r="J194" s="972">
        <v>1.5840000000000001</v>
      </c>
      <c r="K194" s="972">
        <v>0</v>
      </c>
      <c r="L194" s="972">
        <v>0</v>
      </c>
      <c r="M194" s="972">
        <v>0</v>
      </c>
      <c r="N194" s="972">
        <v>0</v>
      </c>
      <c r="O194" s="972">
        <v>13.273999999999999</v>
      </c>
      <c r="P194" s="972">
        <v>28.68</v>
      </c>
      <c r="Q194" s="972">
        <v>417.56099999999998</v>
      </c>
      <c r="R194" s="962">
        <v>7</v>
      </c>
      <c r="S194" s="962" t="s">
        <v>4940</v>
      </c>
      <c r="T194" s="972">
        <v>126.29849999999999</v>
      </c>
    </row>
    <row r="195" spans="1:20">
      <c r="A195" s="962" t="s">
        <v>903</v>
      </c>
      <c r="B195" s="972">
        <v>307.262</v>
      </c>
      <c r="C195" s="972">
        <v>6.9080000000000004</v>
      </c>
      <c r="D195" s="972">
        <v>0</v>
      </c>
      <c r="E195" s="972">
        <v>11.422000000000001</v>
      </c>
      <c r="F195" s="972">
        <v>0.48099999999999998</v>
      </c>
      <c r="G195" s="972">
        <v>2.9000000000000001E-2</v>
      </c>
      <c r="H195" s="972">
        <v>0</v>
      </c>
      <c r="I195" s="972">
        <v>5.9820000000000002</v>
      </c>
      <c r="J195" s="972">
        <v>1.2689999999999999</v>
      </c>
      <c r="K195" s="972">
        <v>0.13300000000000001</v>
      </c>
      <c r="L195" s="972">
        <v>0.38700000000000001</v>
      </c>
      <c r="M195" s="972">
        <v>0</v>
      </c>
      <c r="N195" s="972">
        <v>0</v>
      </c>
      <c r="O195" s="972">
        <v>8.2810000000000006</v>
      </c>
      <c r="P195" s="972">
        <v>17.068999999999999</v>
      </c>
      <c r="Q195" s="972">
        <v>281.91199999999998</v>
      </c>
      <c r="R195" s="962">
        <v>16</v>
      </c>
      <c r="S195" s="962" t="s">
        <v>4940</v>
      </c>
      <c r="T195" s="972">
        <v>95.530166666666659</v>
      </c>
    </row>
    <row r="196" spans="1:20">
      <c r="A196" s="962" t="s">
        <v>736</v>
      </c>
      <c r="B196" s="972">
        <v>1049.1310000000001</v>
      </c>
      <c r="C196" s="972">
        <v>25.247</v>
      </c>
      <c r="D196" s="972">
        <v>9.7000000000000003E-2</v>
      </c>
      <c r="E196" s="972">
        <v>15.759</v>
      </c>
      <c r="F196" s="972">
        <v>1.37</v>
      </c>
      <c r="G196" s="972">
        <v>0.21299999999999999</v>
      </c>
      <c r="H196" s="972">
        <v>0</v>
      </c>
      <c r="I196" s="972">
        <v>32.994</v>
      </c>
      <c r="J196" s="972">
        <v>5.5</v>
      </c>
      <c r="K196" s="972">
        <v>0</v>
      </c>
      <c r="L196" s="972">
        <v>2.181</v>
      </c>
      <c r="M196" s="972">
        <v>0</v>
      </c>
      <c r="N196" s="972">
        <v>0</v>
      </c>
      <c r="O196" s="972">
        <v>42.259</v>
      </c>
      <c r="P196" s="972">
        <v>78.313999999999993</v>
      </c>
      <c r="Q196" s="972">
        <v>928.55899999999997</v>
      </c>
      <c r="R196" s="962">
        <v>109</v>
      </c>
      <c r="S196" s="962" t="s">
        <v>4940</v>
      </c>
      <c r="T196" s="972">
        <v>265.08216666666669</v>
      </c>
    </row>
    <row r="197" spans="1:20">
      <c r="A197" s="962" t="s">
        <v>5336</v>
      </c>
      <c r="B197" s="972">
        <v>70.977000000000004</v>
      </c>
      <c r="C197" s="972">
        <v>0</v>
      </c>
      <c r="D197" s="972">
        <v>0</v>
      </c>
      <c r="E197" s="972">
        <v>3.7639999999999998</v>
      </c>
      <c r="F197" s="972">
        <v>8.1000000000000003E-2</v>
      </c>
      <c r="G197" s="972">
        <v>0</v>
      </c>
      <c r="H197" s="972">
        <v>0</v>
      </c>
      <c r="I197" s="972">
        <v>0.50900000000000001</v>
      </c>
      <c r="J197" s="972">
        <v>0</v>
      </c>
      <c r="K197" s="972">
        <v>0</v>
      </c>
      <c r="L197" s="972">
        <v>0</v>
      </c>
      <c r="M197" s="972">
        <v>0</v>
      </c>
      <c r="N197" s="972">
        <v>0</v>
      </c>
      <c r="O197" s="972">
        <v>0.58899999999999997</v>
      </c>
      <c r="P197" s="972">
        <v>7.6070000000000002</v>
      </c>
      <c r="Q197" s="972">
        <v>62.780999999999999</v>
      </c>
      <c r="R197" s="962">
        <v>9</v>
      </c>
      <c r="S197" s="962" t="s">
        <v>4940</v>
      </c>
      <c r="T197" s="972">
        <v>31.634833333333336</v>
      </c>
    </row>
    <row r="198" spans="1:20">
      <c r="A198" s="962" t="s">
        <v>2117</v>
      </c>
      <c r="B198" s="972">
        <v>908.447</v>
      </c>
      <c r="C198" s="972">
        <v>2.427</v>
      </c>
      <c r="D198" s="972">
        <v>0.16500000000000001</v>
      </c>
      <c r="E198" s="972">
        <v>36.515999999999998</v>
      </c>
      <c r="F198" s="972">
        <v>1.625</v>
      </c>
      <c r="G198" s="972">
        <v>0</v>
      </c>
      <c r="H198" s="972">
        <v>0</v>
      </c>
      <c r="I198" s="972">
        <v>14.782</v>
      </c>
      <c r="J198" s="972">
        <v>1.635</v>
      </c>
      <c r="K198" s="972">
        <v>0</v>
      </c>
      <c r="L198" s="972">
        <v>0</v>
      </c>
      <c r="M198" s="972">
        <v>0</v>
      </c>
      <c r="N198" s="972">
        <v>3.004</v>
      </c>
      <c r="O198" s="972">
        <v>21.045000000000002</v>
      </c>
      <c r="P198" s="972">
        <v>67.081000000000003</v>
      </c>
      <c r="Q198" s="972">
        <v>820.32100000000003</v>
      </c>
      <c r="R198" s="962">
        <v>47</v>
      </c>
      <c r="S198" s="962" t="s">
        <v>4940</v>
      </c>
      <c r="T198" s="972">
        <v>267.26366666666667</v>
      </c>
    </row>
    <row r="199" spans="1:20">
      <c r="A199" s="962" t="s">
        <v>3089</v>
      </c>
      <c r="B199" s="972">
        <v>440.87799999999999</v>
      </c>
      <c r="C199" s="972">
        <v>3.9119999999999999</v>
      </c>
      <c r="D199" s="972">
        <v>0.13700000000000001</v>
      </c>
      <c r="E199" s="972">
        <v>17.527999999999999</v>
      </c>
      <c r="F199" s="972">
        <v>0.69099999999999995</v>
      </c>
      <c r="G199" s="972">
        <v>7.0000000000000001E-3</v>
      </c>
      <c r="H199" s="972">
        <v>0</v>
      </c>
      <c r="I199" s="972">
        <v>7.1669999999999998</v>
      </c>
      <c r="J199" s="972">
        <v>0</v>
      </c>
      <c r="K199" s="972">
        <v>0</v>
      </c>
      <c r="L199" s="972">
        <v>0</v>
      </c>
      <c r="M199" s="972">
        <v>0</v>
      </c>
      <c r="N199" s="972">
        <v>0</v>
      </c>
      <c r="O199" s="972">
        <v>7.8650000000000002</v>
      </c>
      <c r="P199" s="972">
        <v>51.095999999999997</v>
      </c>
      <c r="Q199" s="972">
        <v>381.91699999999997</v>
      </c>
      <c r="R199" s="962">
        <v>36</v>
      </c>
      <c r="S199" s="962" t="s">
        <v>4940</v>
      </c>
      <c r="T199" s="972">
        <v>131.18216666666666</v>
      </c>
    </row>
    <row r="200" spans="1:20">
      <c r="A200" s="962" t="s">
        <v>2119</v>
      </c>
      <c r="B200" s="972">
        <v>170.762</v>
      </c>
      <c r="C200" s="972">
        <v>2.8559999999999999</v>
      </c>
      <c r="D200" s="972">
        <v>0</v>
      </c>
      <c r="E200" s="972">
        <v>0.59599999999999997</v>
      </c>
      <c r="F200" s="972">
        <v>0.22600000000000001</v>
      </c>
      <c r="G200" s="972">
        <v>0</v>
      </c>
      <c r="H200" s="972">
        <v>0</v>
      </c>
      <c r="I200" s="972">
        <v>5.4269999999999996</v>
      </c>
      <c r="J200" s="972">
        <v>0.64400000000000002</v>
      </c>
      <c r="K200" s="972">
        <v>0</v>
      </c>
      <c r="L200" s="972">
        <v>0.89700000000000002</v>
      </c>
      <c r="M200" s="972">
        <v>0</v>
      </c>
      <c r="N200" s="972">
        <v>0</v>
      </c>
      <c r="O200" s="972">
        <v>7.194</v>
      </c>
      <c r="P200" s="972">
        <v>11.529</v>
      </c>
      <c r="Q200" s="972">
        <v>152.03899999999999</v>
      </c>
      <c r="R200" s="962">
        <v>4</v>
      </c>
      <c r="S200" s="962" t="s">
        <v>4940</v>
      </c>
      <c r="T200" s="972">
        <v>56.139333333333326</v>
      </c>
    </row>
    <row r="201" spans="1:20">
      <c r="A201" s="962" t="s">
        <v>2121</v>
      </c>
      <c r="B201" s="972">
        <v>98.462000000000003</v>
      </c>
      <c r="C201" s="972">
        <v>0</v>
      </c>
      <c r="D201" s="972">
        <v>0</v>
      </c>
      <c r="E201" s="972">
        <v>4.1609999999999996</v>
      </c>
      <c r="F201" s="972">
        <v>5.8000000000000003E-2</v>
      </c>
      <c r="G201" s="972">
        <v>0</v>
      </c>
      <c r="H201" s="972">
        <v>0</v>
      </c>
      <c r="I201" s="972">
        <v>4.4779999999999998</v>
      </c>
      <c r="J201" s="972">
        <v>0.43</v>
      </c>
      <c r="K201" s="972">
        <v>0</v>
      </c>
      <c r="L201" s="972">
        <v>0</v>
      </c>
      <c r="M201" s="972">
        <v>0</v>
      </c>
      <c r="N201" s="972">
        <v>0</v>
      </c>
      <c r="O201" s="972">
        <v>4.9669999999999996</v>
      </c>
      <c r="P201" s="972">
        <v>11.218999999999999</v>
      </c>
      <c r="Q201" s="972">
        <v>82.277000000000001</v>
      </c>
      <c r="R201" s="962">
        <v>2</v>
      </c>
      <c r="S201" s="962" t="s">
        <v>4940</v>
      </c>
      <c r="T201" s="972">
        <v>40.809333333333335</v>
      </c>
    </row>
    <row r="202" spans="1:20">
      <c r="A202" s="962" t="s">
        <v>2123</v>
      </c>
      <c r="B202" s="972">
        <v>417.46</v>
      </c>
      <c r="C202" s="972">
        <v>65.619</v>
      </c>
      <c r="D202" s="972">
        <v>0.28699999999999998</v>
      </c>
      <c r="E202" s="972">
        <v>6.2190000000000003</v>
      </c>
      <c r="F202" s="972">
        <v>0.437</v>
      </c>
      <c r="G202" s="972">
        <v>0</v>
      </c>
      <c r="H202" s="972">
        <v>0</v>
      </c>
      <c r="I202" s="972">
        <v>13.975</v>
      </c>
      <c r="J202" s="972">
        <v>0</v>
      </c>
      <c r="K202" s="972">
        <v>0</v>
      </c>
      <c r="L202" s="972">
        <v>0</v>
      </c>
      <c r="M202" s="972">
        <v>0</v>
      </c>
      <c r="N202" s="972">
        <v>0</v>
      </c>
      <c r="O202" s="972">
        <v>14.412000000000001</v>
      </c>
      <c r="P202" s="972">
        <v>28.783000000000001</v>
      </c>
      <c r="Q202" s="972">
        <v>374.26499999999999</v>
      </c>
      <c r="R202" s="962">
        <v>17</v>
      </c>
      <c r="S202" s="962" t="s">
        <v>3902</v>
      </c>
      <c r="T202" s="972">
        <v>110.50975000000001</v>
      </c>
    </row>
    <row r="203" spans="1:20">
      <c r="A203" s="962" t="s">
        <v>3130</v>
      </c>
      <c r="B203" s="972">
        <v>264.49400000000003</v>
      </c>
      <c r="C203" s="972">
        <v>8.24</v>
      </c>
      <c r="D203" s="972">
        <v>0</v>
      </c>
      <c r="E203" s="972">
        <v>7.9080000000000004</v>
      </c>
      <c r="F203" s="972">
        <v>0.34699999999999998</v>
      </c>
      <c r="G203" s="972">
        <v>0</v>
      </c>
      <c r="H203" s="972">
        <v>0</v>
      </c>
      <c r="I203" s="972">
        <v>6.3360000000000003</v>
      </c>
      <c r="J203" s="972">
        <v>3.5999999999999997E-2</v>
      </c>
      <c r="K203" s="972">
        <v>0</v>
      </c>
      <c r="L203" s="972">
        <v>0</v>
      </c>
      <c r="M203" s="972">
        <v>0</v>
      </c>
      <c r="N203" s="972">
        <v>0.66100000000000003</v>
      </c>
      <c r="O203" s="972">
        <v>7.3789999999999996</v>
      </c>
      <c r="P203" s="972">
        <v>24.158999999999999</v>
      </c>
      <c r="Q203" s="972">
        <v>232.95599999999999</v>
      </c>
      <c r="R203" s="962">
        <v>16</v>
      </c>
      <c r="S203" s="962" t="s">
        <v>4940</v>
      </c>
      <c r="T203" s="972">
        <v>81.370166666666677</v>
      </c>
    </row>
    <row r="204" spans="1:20">
      <c r="A204" s="962" t="s">
        <v>3132</v>
      </c>
      <c r="B204" s="972">
        <v>286.303</v>
      </c>
      <c r="C204" s="972">
        <v>12.654999999999999</v>
      </c>
      <c r="D204" s="972">
        <v>0</v>
      </c>
      <c r="E204" s="972">
        <v>4.7750000000000004</v>
      </c>
      <c r="F204" s="972">
        <v>0.39300000000000002</v>
      </c>
      <c r="G204" s="972">
        <v>0.13200000000000001</v>
      </c>
      <c r="H204" s="972">
        <v>0</v>
      </c>
      <c r="I204" s="972">
        <v>8.2810000000000006</v>
      </c>
      <c r="J204" s="972">
        <v>0.877</v>
      </c>
      <c r="K204" s="972">
        <v>0.622</v>
      </c>
      <c r="L204" s="972">
        <v>0.91700000000000004</v>
      </c>
      <c r="M204" s="972">
        <v>0</v>
      </c>
      <c r="N204" s="972">
        <v>0</v>
      </c>
      <c r="O204" s="972">
        <v>11.222</v>
      </c>
      <c r="P204" s="972">
        <v>12.127000000000001</v>
      </c>
      <c r="Q204" s="972">
        <v>262.95400000000001</v>
      </c>
      <c r="R204" s="962">
        <v>33</v>
      </c>
      <c r="S204" s="962" t="s">
        <v>4940</v>
      </c>
      <c r="T204" s="972">
        <v>93.579499999999996</v>
      </c>
    </row>
    <row r="205" spans="1:20">
      <c r="A205" s="962" t="s">
        <v>1322</v>
      </c>
      <c r="B205" s="972">
        <v>225.63900000000001</v>
      </c>
      <c r="C205" s="972">
        <v>8.84</v>
      </c>
      <c r="D205" s="972">
        <v>0</v>
      </c>
      <c r="E205" s="972">
        <v>8.6280000000000001</v>
      </c>
      <c r="F205" s="972">
        <v>0.315</v>
      </c>
      <c r="G205" s="972">
        <v>8.6999999999999994E-2</v>
      </c>
      <c r="H205" s="972">
        <v>0</v>
      </c>
      <c r="I205" s="972">
        <v>2.2450000000000001</v>
      </c>
      <c r="J205" s="972">
        <v>0.46600000000000003</v>
      </c>
      <c r="K205" s="972">
        <v>4.57</v>
      </c>
      <c r="L205" s="972">
        <v>0</v>
      </c>
      <c r="M205" s="972">
        <v>0</v>
      </c>
      <c r="N205" s="972">
        <v>0</v>
      </c>
      <c r="O205" s="972">
        <v>7.6820000000000004</v>
      </c>
      <c r="P205" s="972">
        <v>22.439</v>
      </c>
      <c r="Q205" s="972">
        <v>195.517</v>
      </c>
      <c r="R205" s="962">
        <v>9</v>
      </c>
      <c r="S205" s="962" t="s">
        <v>4940</v>
      </c>
      <c r="T205" s="972">
        <v>69.683666666666653</v>
      </c>
    </row>
    <row r="206" spans="1:20">
      <c r="A206" s="962" t="s">
        <v>742</v>
      </c>
      <c r="B206" s="972">
        <v>836.44</v>
      </c>
      <c r="C206" s="972">
        <v>27.593</v>
      </c>
      <c r="D206" s="972">
        <v>0.64800000000000002</v>
      </c>
      <c r="E206" s="972">
        <v>31.265999999999998</v>
      </c>
      <c r="F206" s="972">
        <v>1.0509999999999999</v>
      </c>
      <c r="G206" s="972">
        <v>0</v>
      </c>
      <c r="H206" s="972">
        <v>0</v>
      </c>
      <c r="I206" s="972">
        <v>7.06</v>
      </c>
      <c r="J206" s="972">
        <v>4.9770000000000003</v>
      </c>
      <c r="K206" s="972">
        <v>0</v>
      </c>
      <c r="L206" s="972">
        <v>0</v>
      </c>
      <c r="M206" s="972">
        <v>0</v>
      </c>
      <c r="N206" s="972">
        <v>2.4830000000000001</v>
      </c>
      <c r="O206" s="972">
        <v>15.57</v>
      </c>
      <c r="P206" s="972">
        <v>46.866</v>
      </c>
      <c r="Q206" s="972">
        <v>774.00300000000004</v>
      </c>
      <c r="R206" s="962">
        <v>30</v>
      </c>
      <c r="S206" s="962" t="s">
        <v>4940</v>
      </c>
      <c r="T206" s="972">
        <v>216.67850000000001</v>
      </c>
    </row>
    <row r="207" spans="1:20">
      <c r="A207" s="962" t="s">
        <v>440</v>
      </c>
      <c r="B207" s="972">
        <v>255.55699999999999</v>
      </c>
      <c r="C207" s="972">
        <v>0.53600000000000003</v>
      </c>
      <c r="D207" s="972">
        <v>0.05</v>
      </c>
      <c r="E207" s="972">
        <v>6.96</v>
      </c>
      <c r="F207" s="972">
        <v>0.33</v>
      </c>
      <c r="G207" s="972">
        <v>0</v>
      </c>
      <c r="H207" s="972">
        <v>0</v>
      </c>
      <c r="I207" s="972">
        <v>5.4930000000000003</v>
      </c>
      <c r="J207" s="972">
        <v>0</v>
      </c>
      <c r="K207" s="972">
        <v>2.7669999999999999</v>
      </c>
      <c r="L207" s="972">
        <v>0.82399999999999995</v>
      </c>
      <c r="M207" s="972">
        <v>0</v>
      </c>
      <c r="N207" s="972">
        <v>1.2290000000000001</v>
      </c>
      <c r="O207" s="972">
        <v>10.643000000000001</v>
      </c>
      <c r="P207" s="972">
        <v>13.82</v>
      </c>
      <c r="Q207" s="972">
        <v>231.09399999999999</v>
      </c>
      <c r="R207" s="962">
        <v>23</v>
      </c>
      <c r="S207" s="962" t="s">
        <v>4940</v>
      </c>
      <c r="T207" s="972">
        <v>71.285499999999999</v>
      </c>
    </row>
    <row r="208" spans="1:20">
      <c r="A208" s="962" t="s">
        <v>1324</v>
      </c>
      <c r="B208" s="972">
        <v>152.93199999999999</v>
      </c>
      <c r="C208" s="972">
        <v>7.8179999999999996</v>
      </c>
      <c r="D208" s="972">
        <v>0.112</v>
      </c>
      <c r="E208" s="972">
        <v>4.2169999999999996</v>
      </c>
      <c r="F208" s="972">
        <v>0.155</v>
      </c>
      <c r="G208" s="972">
        <v>0</v>
      </c>
      <c r="H208" s="972">
        <v>0</v>
      </c>
      <c r="I208" s="972">
        <v>5.0640000000000001</v>
      </c>
      <c r="J208" s="972">
        <v>0.45100000000000001</v>
      </c>
      <c r="K208" s="972">
        <v>0</v>
      </c>
      <c r="L208" s="972">
        <v>0</v>
      </c>
      <c r="M208" s="972">
        <v>0</v>
      </c>
      <c r="N208" s="972">
        <v>0</v>
      </c>
      <c r="O208" s="972">
        <v>5.67</v>
      </c>
      <c r="P208" s="972">
        <v>12.222</v>
      </c>
      <c r="Q208" s="972">
        <v>135.04</v>
      </c>
      <c r="R208" s="962">
        <v>5</v>
      </c>
      <c r="S208" s="962" t="s">
        <v>4940</v>
      </c>
      <c r="T208" s="972">
        <v>46.043333333333329</v>
      </c>
    </row>
    <row r="209" spans="1:20">
      <c r="A209" s="962" t="s">
        <v>1326</v>
      </c>
      <c r="B209" s="972">
        <v>79.293000000000006</v>
      </c>
      <c r="C209" s="972">
        <v>0</v>
      </c>
      <c r="D209" s="972">
        <v>3.5999999999999997E-2</v>
      </c>
      <c r="E209" s="972">
        <v>4.2779999999999996</v>
      </c>
      <c r="F209" s="972">
        <v>0.14099999999999999</v>
      </c>
      <c r="G209" s="972">
        <v>0</v>
      </c>
      <c r="H209" s="972">
        <v>0</v>
      </c>
      <c r="I209" s="972">
        <v>1.4550000000000001</v>
      </c>
      <c r="J209" s="972">
        <v>0</v>
      </c>
      <c r="K209" s="972">
        <v>1.212</v>
      </c>
      <c r="L209" s="972">
        <v>0</v>
      </c>
      <c r="M209" s="972">
        <v>0</v>
      </c>
      <c r="N209" s="972">
        <v>0</v>
      </c>
      <c r="O209" s="972">
        <v>2.8090000000000002</v>
      </c>
      <c r="P209" s="972">
        <v>1.833</v>
      </c>
      <c r="Q209" s="972">
        <v>74.652000000000001</v>
      </c>
      <c r="R209" s="962">
        <v>7</v>
      </c>
      <c r="S209" s="962" t="s">
        <v>4940</v>
      </c>
      <c r="T209" s="972">
        <v>22.0885</v>
      </c>
    </row>
    <row r="210" spans="1:20">
      <c r="A210" s="962" t="s">
        <v>818</v>
      </c>
      <c r="B210" s="972">
        <v>18142.931</v>
      </c>
      <c r="C210" s="972">
        <v>1255.9490000000001</v>
      </c>
      <c r="D210" s="972">
        <v>3.383</v>
      </c>
      <c r="E210" s="972">
        <v>482.74700000000001</v>
      </c>
      <c r="F210" s="972">
        <v>38.636000000000003</v>
      </c>
      <c r="G210" s="972">
        <v>0.7</v>
      </c>
      <c r="H210" s="972">
        <v>0</v>
      </c>
      <c r="I210" s="972">
        <v>378.20299999999997</v>
      </c>
      <c r="J210" s="972">
        <v>116.34899999999999</v>
      </c>
      <c r="K210" s="972">
        <v>0</v>
      </c>
      <c r="L210" s="972">
        <v>1.204</v>
      </c>
      <c r="M210" s="972">
        <v>0</v>
      </c>
      <c r="N210" s="972">
        <v>1.593</v>
      </c>
      <c r="O210" s="972">
        <v>536.68499999999995</v>
      </c>
      <c r="P210" s="972">
        <v>607.875</v>
      </c>
      <c r="Q210" s="972">
        <v>16998.371999999999</v>
      </c>
      <c r="R210" s="962">
        <v>2916</v>
      </c>
      <c r="S210" s="962" t="s">
        <v>4940</v>
      </c>
      <c r="T210" s="972">
        <v>5025.708333333333</v>
      </c>
    </row>
    <row r="211" spans="1:20">
      <c r="A211" s="962" t="s">
        <v>266</v>
      </c>
      <c r="B211" s="972">
        <v>2168.8020000000001</v>
      </c>
      <c r="C211" s="972">
        <v>150.57400000000001</v>
      </c>
      <c r="D211" s="972">
        <v>0</v>
      </c>
      <c r="E211" s="972">
        <v>38.368000000000002</v>
      </c>
      <c r="F211" s="972">
        <v>2.9849999999999999</v>
      </c>
      <c r="G211" s="972">
        <v>7.2999999999999995E-2</v>
      </c>
      <c r="H211" s="972">
        <v>0</v>
      </c>
      <c r="I211" s="972">
        <v>53.718000000000004</v>
      </c>
      <c r="J211" s="972">
        <v>16.631999999999998</v>
      </c>
      <c r="K211" s="972">
        <v>0.17199999999999999</v>
      </c>
      <c r="L211" s="972">
        <v>0</v>
      </c>
      <c r="M211" s="972">
        <v>0</v>
      </c>
      <c r="N211" s="972">
        <v>0.19600000000000001</v>
      </c>
      <c r="O211" s="972">
        <v>73.775000000000006</v>
      </c>
      <c r="P211" s="972">
        <v>84.207999999999998</v>
      </c>
      <c r="Q211" s="972">
        <v>2010.818</v>
      </c>
      <c r="R211" s="962">
        <v>70</v>
      </c>
      <c r="S211" s="962" t="s">
        <v>4940</v>
      </c>
      <c r="T211" s="972">
        <v>545.7838333333334</v>
      </c>
    </row>
    <row r="212" spans="1:20">
      <c r="A212" s="962" t="s">
        <v>441</v>
      </c>
      <c r="B212" s="972">
        <v>1873.14</v>
      </c>
      <c r="C212" s="972">
        <v>95.034999999999997</v>
      </c>
      <c r="D212" s="972">
        <v>0.11899999999999999</v>
      </c>
      <c r="E212" s="972">
        <v>71.466999999999999</v>
      </c>
      <c r="F212" s="972">
        <v>1.895</v>
      </c>
      <c r="G212" s="972">
        <v>7.0000000000000007E-2</v>
      </c>
      <c r="H212" s="972">
        <v>0</v>
      </c>
      <c r="I212" s="972">
        <v>32.491999999999997</v>
      </c>
      <c r="J212" s="972">
        <v>3.202</v>
      </c>
      <c r="K212" s="972">
        <v>4.3440000000000003</v>
      </c>
      <c r="L212" s="972">
        <v>0</v>
      </c>
      <c r="M212" s="972">
        <v>0</v>
      </c>
      <c r="N212" s="972">
        <v>0</v>
      </c>
      <c r="O212" s="972">
        <v>42.002000000000002</v>
      </c>
      <c r="P212" s="972">
        <v>127.211</v>
      </c>
      <c r="Q212" s="972">
        <v>1703.9269999999999</v>
      </c>
      <c r="R212" s="962">
        <v>118</v>
      </c>
      <c r="S212" s="962" t="s">
        <v>4940</v>
      </c>
      <c r="T212" s="972">
        <v>532.05433333333337</v>
      </c>
    </row>
    <row r="213" spans="1:20">
      <c r="A213" s="962" t="s">
        <v>1526</v>
      </c>
      <c r="B213" s="972">
        <v>1393.354</v>
      </c>
      <c r="C213" s="972">
        <v>78.704999999999998</v>
      </c>
      <c r="D213" s="972">
        <v>0.20200000000000001</v>
      </c>
      <c r="E213" s="972">
        <v>25.707000000000001</v>
      </c>
      <c r="F213" s="972">
        <v>2.3580000000000001</v>
      </c>
      <c r="G213" s="972">
        <v>2.7E-2</v>
      </c>
      <c r="H213" s="972">
        <v>0</v>
      </c>
      <c r="I213" s="972">
        <v>22.73</v>
      </c>
      <c r="J213" s="972">
        <v>6.53</v>
      </c>
      <c r="K213" s="972">
        <v>1.94</v>
      </c>
      <c r="L213" s="972">
        <v>0</v>
      </c>
      <c r="M213" s="972">
        <v>0</v>
      </c>
      <c r="N213" s="972">
        <v>0</v>
      </c>
      <c r="O213" s="972">
        <v>33.584000000000003</v>
      </c>
      <c r="P213" s="972">
        <v>27.981999999999999</v>
      </c>
      <c r="Q213" s="972">
        <v>1331.788</v>
      </c>
      <c r="R213" s="962">
        <v>67</v>
      </c>
      <c r="S213" s="962" t="s">
        <v>4940</v>
      </c>
      <c r="T213" s="972">
        <v>413.17799999999994</v>
      </c>
    </row>
    <row r="214" spans="1:20">
      <c r="A214" s="962" t="s">
        <v>1312</v>
      </c>
      <c r="B214" s="972">
        <v>35891.614999999998</v>
      </c>
      <c r="C214" s="972">
        <v>1587.289</v>
      </c>
      <c r="D214" s="972">
        <v>2.5630000000000002</v>
      </c>
      <c r="E214" s="972">
        <v>527.495</v>
      </c>
      <c r="F214" s="972">
        <v>83.448999999999998</v>
      </c>
      <c r="G214" s="972">
        <v>0.61499999999999999</v>
      </c>
      <c r="H214" s="972">
        <v>0</v>
      </c>
      <c r="I214" s="972">
        <v>615.79100000000005</v>
      </c>
      <c r="J214" s="972">
        <v>161.81</v>
      </c>
      <c r="K214" s="972">
        <v>0</v>
      </c>
      <c r="L214" s="972">
        <v>6.5010000000000003</v>
      </c>
      <c r="M214" s="972">
        <v>0</v>
      </c>
      <c r="N214" s="972">
        <v>0</v>
      </c>
      <c r="O214" s="972">
        <v>868.16600000000005</v>
      </c>
      <c r="P214" s="972">
        <v>920.27499999999998</v>
      </c>
      <c r="Q214" s="972">
        <v>34103.173999999999</v>
      </c>
      <c r="R214" s="962">
        <v>2631</v>
      </c>
      <c r="S214" s="962" t="s">
        <v>4940</v>
      </c>
      <c r="T214" s="972">
        <v>8061.3463333333339</v>
      </c>
    </row>
    <row r="215" spans="1:20">
      <c r="A215" s="962" t="s">
        <v>6168</v>
      </c>
      <c r="B215" s="972">
        <v>23086.859</v>
      </c>
      <c r="C215" s="972">
        <v>2133.11</v>
      </c>
      <c r="D215" s="972">
        <v>4.1239999999999997</v>
      </c>
      <c r="E215" s="972">
        <v>469.899</v>
      </c>
      <c r="F215" s="972">
        <v>42.716999999999999</v>
      </c>
      <c r="G215" s="972">
        <v>0.80800000000000005</v>
      </c>
      <c r="H215" s="972">
        <v>2.0910000000000002</v>
      </c>
      <c r="I215" s="972">
        <v>309.40300000000002</v>
      </c>
      <c r="J215" s="972">
        <v>168.92699999999999</v>
      </c>
      <c r="K215" s="972">
        <v>0</v>
      </c>
      <c r="L215" s="972">
        <v>22.760999999999999</v>
      </c>
      <c r="M215" s="972">
        <v>0</v>
      </c>
      <c r="N215" s="972">
        <v>26.228999999999999</v>
      </c>
      <c r="O215" s="972">
        <v>572.93100000000004</v>
      </c>
      <c r="P215" s="972">
        <v>710.21199999999999</v>
      </c>
      <c r="Q215" s="972">
        <v>21803.717000000001</v>
      </c>
      <c r="R215" s="962">
        <v>1743</v>
      </c>
      <c r="S215" s="962" t="s">
        <v>4940</v>
      </c>
      <c r="T215" s="972">
        <v>6282.3721666666661</v>
      </c>
    </row>
    <row r="216" spans="1:20">
      <c r="A216" s="962" t="s">
        <v>5913</v>
      </c>
      <c r="B216" s="972">
        <v>1376.16</v>
      </c>
      <c r="C216" s="972">
        <v>44.131999999999998</v>
      </c>
      <c r="D216" s="972">
        <v>0</v>
      </c>
      <c r="E216" s="972">
        <v>35.252000000000002</v>
      </c>
      <c r="F216" s="972">
        <v>1.6739999999999999</v>
      </c>
      <c r="G216" s="972">
        <v>2.1000000000000001E-2</v>
      </c>
      <c r="H216" s="972">
        <v>0</v>
      </c>
      <c r="I216" s="972">
        <v>33.616999999999997</v>
      </c>
      <c r="J216" s="972">
        <v>4.7960000000000003</v>
      </c>
      <c r="K216" s="972">
        <v>2.351</v>
      </c>
      <c r="L216" s="972">
        <v>0</v>
      </c>
      <c r="M216" s="972">
        <v>0</v>
      </c>
      <c r="N216" s="972">
        <v>0</v>
      </c>
      <c r="O216" s="972">
        <v>42.457999999999998</v>
      </c>
      <c r="P216" s="972">
        <v>2.5840000000000001</v>
      </c>
      <c r="Q216" s="972">
        <v>1331.1179999999999</v>
      </c>
      <c r="R216" s="962">
        <v>149</v>
      </c>
      <c r="S216" s="962" t="s">
        <v>4940</v>
      </c>
      <c r="T216" s="972">
        <v>383.13783333333333</v>
      </c>
    </row>
    <row r="217" spans="1:20">
      <c r="A217" s="962" t="s">
        <v>3546</v>
      </c>
      <c r="B217" s="972">
        <v>52413.603999999999</v>
      </c>
      <c r="C217" s="972">
        <v>5841.2129999999997</v>
      </c>
      <c r="D217" s="972">
        <v>6.6349999999999998</v>
      </c>
      <c r="E217" s="972">
        <v>1391.0809999999999</v>
      </c>
      <c r="F217" s="972">
        <v>130.815</v>
      </c>
      <c r="G217" s="972">
        <v>3.8849999999999998</v>
      </c>
      <c r="H217" s="972">
        <v>0</v>
      </c>
      <c r="I217" s="972">
        <v>892.476</v>
      </c>
      <c r="J217" s="972">
        <v>444.161</v>
      </c>
      <c r="K217" s="972">
        <v>6.3959999999999999</v>
      </c>
      <c r="L217" s="972">
        <v>31.137</v>
      </c>
      <c r="M217" s="972">
        <v>0</v>
      </c>
      <c r="N217" s="972">
        <v>1.0209999999999999</v>
      </c>
      <c r="O217" s="972">
        <v>1509.8910000000001</v>
      </c>
      <c r="P217" s="972">
        <v>1434.2529999999999</v>
      </c>
      <c r="Q217" s="972">
        <v>49469.46</v>
      </c>
      <c r="R217" s="962">
        <v>8680</v>
      </c>
      <c r="S217" s="962" t="s">
        <v>4940</v>
      </c>
      <c r="T217" s="972">
        <v>15237.418499999998</v>
      </c>
    </row>
    <row r="218" spans="1:20">
      <c r="A218" s="962" t="s">
        <v>5132</v>
      </c>
      <c r="B218" s="972">
        <v>2951.3270000000002</v>
      </c>
      <c r="C218" s="972">
        <v>350.62900000000002</v>
      </c>
      <c r="D218" s="972">
        <v>0.91800000000000004</v>
      </c>
      <c r="E218" s="972">
        <v>88.665999999999997</v>
      </c>
      <c r="F218" s="972">
        <v>5.2050000000000001</v>
      </c>
      <c r="G218" s="972">
        <v>0.50900000000000001</v>
      </c>
      <c r="H218" s="972">
        <v>0</v>
      </c>
      <c r="I218" s="972">
        <v>65.739999999999995</v>
      </c>
      <c r="J218" s="972">
        <v>21.119</v>
      </c>
      <c r="K218" s="972">
        <v>9.4730000000000008</v>
      </c>
      <c r="L218" s="972">
        <v>0</v>
      </c>
      <c r="M218" s="972">
        <v>0</v>
      </c>
      <c r="N218" s="972">
        <v>0</v>
      </c>
      <c r="O218" s="972">
        <v>102.04600000000001</v>
      </c>
      <c r="P218" s="972">
        <v>143.67099999999999</v>
      </c>
      <c r="Q218" s="972">
        <v>2705.6109999999999</v>
      </c>
      <c r="R218" s="962">
        <v>151</v>
      </c>
      <c r="S218" s="962" t="s">
        <v>4940</v>
      </c>
      <c r="T218" s="972">
        <v>789.70450000000005</v>
      </c>
    </row>
    <row r="219" spans="1:20">
      <c r="A219" s="962" t="s">
        <v>649</v>
      </c>
      <c r="B219" s="972">
        <v>4118.3419999999996</v>
      </c>
      <c r="C219" s="972">
        <v>192.38300000000001</v>
      </c>
      <c r="D219" s="972">
        <v>0</v>
      </c>
      <c r="E219" s="972">
        <v>9.4659999999999993</v>
      </c>
      <c r="F219" s="972">
        <v>3.823</v>
      </c>
      <c r="G219" s="972">
        <v>0.372</v>
      </c>
      <c r="H219" s="972">
        <v>0</v>
      </c>
      <c r="I219" s="972">
        <v>61.466000000000001</v>
      </c>
      <c r="J219" s="972">
        <v>22.538</v>
      </c>
      <c r="K219" s="972">
        <v>0</v>
      </c>
      <c r="L219" s="972">
        <v>0</v>
      </c>
      <c r="M219" s="972">
        <v>0</v>
      </c>
      <c r="N219" s="972">
        <v>0</v>
      </c>
      <c r="O219" s="972">
        <v>88.197999999999993</v>
      </c>
      <c r="P219" s="972">
        <v>184.47900000000001</v>
      </c>
      <c r="Q219" s="972">
        <v>3845.665</v>
      </c>
      <c r="R219" s="962">
        <v>311</v>
      </c>
      <c r="S219" s="962" t="s">
        <v>4940</v>
      </c>
      <c r="T219" s="972">
        <v>1037.0526666666667</v>
      </c>
    </row>
    <row r="220" spans="1:20">
      <c r="A220" s="962" t="s">
        <v>861</v>
      </c>
      <c r="B220" s="972">
        <v>11929.739</v>
      </c>
      <c r="C220" s="972">
        <v>1007.735</v>
      </c>
      <c r="D220" s="972">
        <v>1.3520000000000001</v>
      </c>
      <c r="E220" s="972">
        <v>296.57499999999999</v>
      </c>
      <c r="F220" s="972">
        <v>19.111999999999998</v>
      </c>
      <c r="G220" s="972">
        <v>0.88400000000000001</v>
      </c>
      <c r="H220" s="972">
        <v>0</v>
      </c>
      <c r="I220" s="972">
        <v>138.34899999999999</v>
      </c>
      <c r="J220" s="972">
        <v>62.962000000000003</v>
      </c>
      <c r="K220" s="972">
        <v>0</v>
      </c>
      <c r="L220" s="972">
        <v>2.9350000000000001</v>
      </c>
      <c r="M220" s="972">
        <v>0</v>
      </c>
      <c r="N220" s="972">
        <v>0</v>
      </c>
      <c r="O220" s="972">
        <v>224.24100000000001</v>
      </c>
      <c r="P220" s="972">
        <v>322.70699999999999</v>
      </c>
      <c r="Q220" s="972">
        <v>11382.790999999999</v>
      </c>
      <c r="R220" s="962">
        <v>1267</v>
      </c>
      <c r="S220" s="962" t="s">
        <v>4940</v>
      </c>
      <c r="T220" s="972">
        <v>3057.3643333333334</v>
      </c>
    </row>
    <row r="221" spans="1:20">
      <c r="A221" s="962" t="s">
        <v>956</v>
      </c>
      <c r="B221" s="972">
        <v>597.17600000000004</v>
      </c>
      <c r="C221" s="972">
        <v>32.802999999999997</v>
      </c>
      <c r="D221" s="972">
        <v>0</v>
      </c>
      <c r="E221" s="972">
        <v>0.64600000000000002</v>
      </c>
      <c r="F221" s="972">
        <v>0.55400000000000005</v>
      </c>
      <c r="G221" s="972">
        <v>0</v>
      </c>
      <c r="H221" s="972">
        <v>0</v>
      </c>
      <c r="I221" s="972">
        <v>22.600999999999999</v>
      </c>
      <c r="J221" s="972">
        <v>3.133</v>
      </c>
      <c r="K221" s="972">
        <v>0</v>
      </c>
      <c r="L221" s="972">
        <v>0</v>
      </c>
      <c r="M221" s="972">
        <v>0</v>
      </c>
      <c r="N221" s="972">
        <v>0</v>
      </c>
      <c r="O221" s="972">
        <v>26.286999999999999</v>
      </c>
      <c r="P221" s="972">
        <v>42.706000000000003</v>
      </c>
      <c r="Q221" s="972">
        <v>528.18299999999999</v>
      </c>
      <c r="R221" s="962">
        <v>53</v>
      </c>
      <c r="S221" s="962" t="s">
        <v>4940</v>
      </c>
      <c r="T221" s="972">
        <v>169.11366666666666</v>
      </c>
    </row>
    <row r="222" spans="1:20">
      <c r="A222" s="962" t="s">
        <v>236</v>
      </c>
      <c r="B222" s="972">
        <v>1527.9659999999999</v>
      </c>
      <c r="C222" s="972">
        <v>88</v>
      </c>
      <c r="D222" s="972">
        <v>0</v>
      </c>
      <c r="E222" s="972">
        <v>37.371000000000002</v>
      </c>
      <c r="F222" s="972">
        <v>1.45</v>
      </c>
      <c r="G222" s="972">
        <v>0.33300000000000002</v>
      </c>
      <c r="H222" s="972">
        <v>0</v>
      </c>
      <c r="I222" s="972">
        <v>28.481999999999999</v>
      </c>
      <c r="J222" s="972">
        <v>6.5830000000000002</v>
      </c>
      <c r="K222" s="972">
        <v>0</v>
      </c>
      <c r="L222" s="972">
        <v>0</v>
      </c>
      <c r="M222" s="972">
        <v>0</v>
      </c>
      <c r="N222" s="972">
        <v>0</v>
      </c>
      <c r="O222" s="972">
        <v>36.847000000000001</v>
      </c>
      <c r="P222" s="972">
        <v>114.05200000000001</v>
      </c>
      <c r="Q222" s="972">
        <v>1377.067</v>
      </c>
      <c r="R222" s="962">
        <v>96</v>
      </c>
      <c r="S222" s="962" t="s">
        <v>4940</v>
      </c>
      <c r="T222" s="972">
        <v>437.84866666666665</v>
      </c>
    </row>
    <row r="223" spans="1:20">
      <c r="A223" s="962" t="s">
        <v>3548</v>
      </c>
      <c r="B223" s="972">
        <v>3276.2930000000001</v>
      </c>
      <c r="C223" s="972">
        <v>24.375</v>
      </c>
      <c r="D223" s="972">
        <v>0</v>
      </c>
      <c r="E223" s="972">
        <v>54.895000000000003</v>
      </c>
      <c r="F223" s="972">
        <v>5.4219999999999997</v>
      </c>
      <c r="G223" s="972">
        <v>0</v>
      </c>
      <c r="H223" s="972">
        <v>0</v>
      </c>
      <c r="I223" s="972">
        <v>40.905999999999999</v>
      </c>
      <c r="J223" s="972">
        <v>12.728</v>
      </c>
      <c r="K223" s="972">
        <v>0.312</v>
      </c>
      <c r="L223" s="972">
        <v>0</v>
      </c>
      <c r="M223" s="972">
        <v>0</v>
      </c>
      <c r="N223" s="972">
        <v>0</v>
      </c>
      <c r="O223" s="972">
        <v>59.366999999999997</v>
      </c>
      <c r="P223" s="972">
        <v>116.735</v>
      </c>
      <c r="Q223" s="972">
        <v>3100.1909999999998</v>
      </c>
      <c r="R223" s="962">
        <v>682</v>
      </c>
      <c r="S223" s="962" t="s">
        <v>4940</v>
      </c>
      <c r="T223" s="972">
        <v>1014.8495</v>
      </c>
    </row>
    <row r="224" spans="1:20">
      <c r="A224" s="962" t="s">
        <v>3550</v>
      </c>
      <c r="B224" s="972">
        <v>498.65800000000002</v>
      </c>
      <c r="C224" s="972">
        <v>50.063000000000002</v>
      </c>
      <c r="D224" s="972">
        <v>0</v>
      </c>
      <c r="E224" s="972">
        <v>28.991</v>
      </c>
      <c r="F224" s="972">
        <v>0.89</v>
      </c>
      <c r="G224" s="972">
        <v>0</v>
      </c>
      <c r="H224" s="972">
        <v>0</v>
      </c>
      <c r="I224" s="972">
        <v>11.801</v>
      </c>
      <c r="J224" s="972">
        <v>1.4410000000000001</v>
      </c>
      <c r="K224" s="972">
        <v>0</v>
      </c>
      <c r="L224" s="972">
        <v>0</v>
      </c>
      <c r="M224" s="972">
        <v>0</v>
      </c>
      <c r="N224" s="972">
        <v>0</v>
      </c>
      <c r="O224" s="972">
        <v>14.132999999999999</v>
      </c>
      <c r="P224" s="972">
        <v>28.207000000000001</v>
      </c>
      <c r="Q224" s="972">
        <v>456.31799999999998</v>
      </c>
      <c r="R224" s="962">
        <v>26</v>
      </c>
      <c r="S224" s="962" t="s">
        <v>3902</v>
      </c>
      <c r="T224" s="972">
        <v>146.86374999999998</v>
      </c>
    </row>
    <row r="225" spans="1:20">
      <c r="A225" s="962" t="s">
        <v>206</v>
      </c>
      <c r="B225" s="972">
        <v>56.378</v>
      </c>
      <c r="C225" s="972">
        <v>0</v>
      </c>
      <c r="D225" s="972">
        <v>0.01</v>
      </c>
      <c r="E225" s="972">
        <v>6.3719999999999999</v>
      </c>
      <c r="F225" s="972">
        <v>0.125</v>
      </c>
      <c r="G225" s="972">
        <v>0</v>
      </c>
      <c r="H225" s="972">
        <v>0</v>
      </c>
      <c r="I225" s="972">
        <v>1.599</v>
      </c>
      <c r="J225" s="972">
        <v>9.0999999999999998E-2</v>
      </c>
      <c r="K225" s="972">
        <v>0</v>
      </c>
      <c r="L225" s="972">
        <v>0</v>
      </c>
      <c r="M225" s="972">
        <v>0</v>
      </c>
      <c r="N225" s="972">
        <v>0</v>
      </c>
      <c r="O225" s="972">
        <v>1.8140000000000001</v>
      </c>
      <c r="P225" s="972">
        <v>4.3499999999999996</v>
      </c>
      <c r="Q225" s="972">
        <v>50.215000000000003</v>
      </c>
      <c r="R225" s="962">
        <v>0</v>
      </c>
      <c r="S225" s="962" t="s">
        <v>4940</v>
      </c>
      <c r="T225" s="972">
        <v>20.442499999999999</v>
      </c>
    </row>
    <row r="226" spans="1:20">
      <c r="A226" s="962" t="s">
        <v>234</v>
      </c>
      <c r="B226" s="972">
        <v>1456.366</v>
      </c>
      <c r="C226" s="972">
        <v>120.56100000000001</v>
      </c>
      <c r="D226" s="972">
        <v>0.44900000000000001</v>
      </c>
      <c r="E226" s="972">
        <v>65.328000000000003</v>
      </c>
      <c r="F226" s="972">
        <v>1.2450000000000001</v>
      </c>
      <c r="G226" s="972">
        <v>0</v>
      </c>
      <c r="H226" s="972">
        <v>0</v>
      </c>
      <c r="I226" s="972">
        <v>18.567</v>
      </c>
      <c r="J226" s="972">
        <v>8.2390000000000008</v>
      </c>
      <c r="K226" s="972">
        <v>0</v>
      </c>
      <c r="L226" s="972">
        <v>0</v>
      </c>
      <c r="M226" s="972">
        <v>0</v>
      </c>
      <c r="N226" s="972">
        <v>6.9000000000000006E-2</v>
      </c>
      <c r="O226" s="972">
        <v>28.117999999999999</v>
      </c>
      <c r="P226" s="972">
        <v>133.87899999999999</v>
      </c>
      <c r="Q226" s="972">
        <v>1294.3689999999999</v>
      </c>
      <c r="R226" s="962">
        <v>52</v>
      </c>
      <c r="S226" s="962" t="s">
        <v>4940</v>
      </c>
      <c r="T226" s="972">
        <v>481.52649999999994</v>
      </c>
    </row>
    <row r="227" spans="1:20">
      <c r="A227" s="962" t="s">
        <v>208</v>
      </c>
      <c r="B227" s="972">
        <v>1201.558</v>
      </c>
      <c r="C227" s="972">
        <v>105.964</v>
      </c>
      <c r="D227" s="972">
        <v>0.54800000000000004</v>
      </c>
      <c r="E227" s="972">
        <v>53.59</v>
      </c>
      <c r="F227" s="972">
        <v>1.5129999999999999</v>
      </c>
      <c r="G227" s="972">
        <v>0.314</v>
      </c>
      <c r="H227" s="972">
        <v>0</v>
      </c>
      <c r="I227" s="972">
        <v>19.771000000000001</v>
      </c>
      <c r="J227" s="972">
        <v>4.1420000000000003</v>
      </c>
      <c r="K227" s="972">
        <v>4.3109999999999999</v>
      </c>
      <c r="L227" s="972">
        <v>1.19</v>
      </c>
      <c r="M227" s="972">
        <v>0</v>
      </c>
      <c r="N227" s="972">
        <v>0</v>
      </c>
      <c r="O227" s="972">
        <v>31.24</v>
      </c>
      <c r="P227" s="972">
        <v>88.147999999999996</v>
      </c>
      <c r="Q227" s="972">
        <v>1082.17</v>
      </c>
      <c r="R227" s="962">
        <v>67</v>
      </c>
      <c r="S227" s="962" t="s">
        <v>4940</v>
      </c>
      <c r="T227" s="972">
        <v>324.35766666666666</v>
      </c>
    </row>
    <row r="228" spans="1:20">
      <c r="A228" s="962" t="s">
        <v>210</v>
      </c>
      <c r="B228" s="972">
        <v>522.33100000000002</v>
      </c>
      <c r="C228" s="972">
        <v>72.262</v>
      </c>
      <c r="D228" s="972">
        <v>5.1999999999999998E-2</v>
      </c>
      <c r="E228" s="972">
        <v>9.5630000000000006</v>
      </c>
      <c r="F228" s="972">
        <v>1.0329999999999999</v>
      </c>
      <c r="G228" s="972">
        <v>0</v>
      </c>
      <c r="H228" s="972">
        <v>0</v>
      </c>
      <c r="I228" s="972">
        <v>12.06</v>
      </c>
      <c r="J228" s="972">
        <v>3.0630000000000002</v>
      </c>
      <c r="K228" s="972">
        <v>0</v>
      </c>
      <c r="L228" s="972">
        <v>0</v>
      </c>
      <c r="M228" s="972">
        <v>0</v>
      </c>
      <c r="N228" s="972">
        <v>0</v>
      </c>
      <c r="O228" s="972">
        <v>16.155999999999999</v>
      </c>
      <c r="P228" s="972">
        <v>52.048999999999999</v>
      </c>
      <c r="Q228" s="972">
        <v>454.12599999999998</v>
      </c>
      <c r="R228" s="962">
        <v>44</v>
      </c>
      <c r="S228" s="962" t="s">
        <v>4940</v>
      </c>
      <c r="T228" s="972">
        <v>194.83150000000003</v>
      </c>
    </row>
    <row r="229" spans="1:20">
      <c r="A229" s="962" t="s">
        <v>7256</v>
      </c>
      <c r="B229" s="972">
        <v>243.636</v>
      </c>
      <c r="C229" s="972">
        <v>2.2269999999999999</v>
      </c>
      <c r="D229" s="972">
        <v>0</v>
      </c>
      <c r="E229" s="972">
        <v>0</v>
      </c>
      <c r="F229" s="972">
        <v>0.13100000000000001</v>
      </c>
      <c r="G229" s="972">
        <v>0</v>
      </c>
      <c r="H229" s="972">
        <v>5.6269999999999998</v>
      </c>
      <c r="I229" s="972">
        <v>0</v>
      </c>
      <c r="J229" s="972">
        <v>0</v>
      </c>
      <c r="K229" s="972">
        <v>0</v>
      </c>
      <c r="L229" s="972">
        <v>0</v>
      </c>
      <c r="M229" s="972">
        <v>0</v>
      </c>
      <c r="N229" s="972">
        <v>119.749</v>
      </c>
      <c r="O229" s="972">
        <v>125.50700000000001</v>
      </c>
      <c r="P229" s="972">
        <v>0</v>
      </c>
      <c r="Q229" s="972">
        <v>118.129</v>
      </c>
      <c r="R229" s="962">
        <v>0</v>
      </c>
      <c r="S229" s="962" t="s">
        <v>4940</v>
      </c>
      <c r="T229" s="972">
        <v>123.66466666666666</v>
      </c>
    </row>
    <row r="230" spans="1:20">
      <c r="A230" s="962" t="s">
        <v>212</v>
      </c>
      <c r="B230" s="972">
        <v>7429.7</v>
      </c>
      <c r="C230" s="972">
        <v>598.64599999999996</v>
      </c>
      <c r="D230" s="972">
        <v>4.6260000000000003</v>
      </c>
      <c r="E230" s="972">
        <v>22.757999999999999</v>
      </c>
      <c r="F230" s="972">
        <v>9.5410000000000004</v>
      </c>
      <c r="G230" s="972">
        <v>0.316</v>
      </c>
      <c r="H230" s="972">
        <v>0.15</v>
      </c>
      <c r="I230" s="972">
        <v>169.608</v>
      </c>
      <c r="J230" s="972">
        <v>32.830999999999996</v>
      </c>
      <c r="K230" s="972">
        <v>6.2060000000000004</v>
      </c>
      <c r="L230" s="972">
        <v>2.1179999999999999</v>
      </c>
      <c r="M230" s="972">
        <v>0</v>
      </c>
      <c r="N230" s="972">
        <v>4.5190000000000001</v>
      </c>
      <c r="O230" s="972">
        <v>225.28800000000001</v>
      </c>
      <c r="P230" s="972">
        <v>242.23500000000001</v>
      </c>
      <c r="Q230" s="972">
        <v>6962.1769999999997</v>
      </c>
      <c r="R230" s="962">
        <v>479</v>
      </c>
      <c r="S230" s="962" t="s">
        <v>4940</v>
      </c>
      <c r="T230" s="972">
        <v>2059.8379999999997</v>
      </c>
    </row>
    <row r="231" spans="1:20">
      <c r="A231" s="962" t="s">
        <v>214</v>
      </c>
      <c r="B231" s="972">
        <v>16310.253000000001</v>
      </c>
      <c r="C231" s="972">
        <v>754.46900000000005</v>
      </c>
      <c r="D231" s="972">
        <v>4.6470000000000002</v>
      </c>
      <c r="E231" s="972">
        <v>378.50099999999998</v>
      </c>
      <c r="F231" s="972">
        <v>24.79</v>
      </c>
      <c r="G231" s="972">
        <v>1.5569999999999999</v>
      </c>
      <c r="H231" s="972">
        <v>0</v>
      </c>
      <c r="I231" s="972">
        <v>271.41300000000001</v>
      </c>
      <c r="J231" s="972">
        <v>96.915999999999997</v>
      </c>
      <c r="K231" s="972">
        <v>11.935</v>
      </c>
      <c r="L231" s="972">
        <v>19.948</v>
      </c>
      <c r="M231" s="972">
        <v>0</v>
      </c>
      <c r="N231" s="972">
        <v>15.218</v>
      </c>
      <c r="O231" s="972">
        <v>441.77600000000001</v>
      </c>
      <c r="P231" s="972">
        <v>677.86</v>
      </c>
      <c r="Q231" s="972">
        <v>15190.618</v>
      </c>
      <c r="R231" s="962">
        <v>2205</v>
      </c>
      <c r="S231" s="962" t="s">
        <v>4940</v>
      </c>
      <c r="T231" s="972">
        <v>4686.5139999999992</v>
      </c>
    </row>
    <row r="232" spans="1:20">
      <c r="A232" s="962" t="s">
        <v>2714</v>
      </c>
      <c r="B232" s="972">
        <v>1125.2139999999999</v>
      </c>
      <c r="C232" s="972">
        <v>111.59699999999999</v>
      </c>
      <c r="D232" s="972">
        <v>5.7000000000000002E-2</v>
      </c>
      <c r="E232" s="972">
        <v>8.5549999999999997</v>
      </c>
      <c r="F232" s="972">
        <v>1.849</v>
      </c>
      <c r="G232" s="972">
        <v>0</v>
      </c>
      <c r="H232" s="972">
        <v>0</v>
      </c>
      <c r="I232" s="972">
        <v>14.286</v>
      </c>
      <c r="J232" s="972">
        <v>15.646000000000001</v>
      </c>
      <c r="K232" s="972">
        <v>0.92200000000000004</v>
      </c>
      <c r="L232" s="972">
        <v>0</v>
      </c>
      <c r="M232" s="972">
        <v>0</v>
      </c>
      <c r="N232" s="972">
        <v>2.0760000000000001</v>
      </c>
      <c r="O232" s="972">
        <v>34.777999999999999</v>
      </c>
      <c r="P232" s="972">
        <v>70.772999999999996</v>
      </c>
      <c r="Q232" s="972">
        <v>1019.663</v>
      </c>
      <c r="R232" s="962">
        <v>96</v>
      </c>
      <c r="S232" s="962" t="s">
        <v>4940</v>
      </c>
      <c r="T232" s="972">
        <v>314.58433333333329</v>
      </c>
    </row>
    <row r="233" spans="1:20">
      <c r="A233" s="962" t="s">
        <v>250</v>
      </c>
      <c r="B233" s="972">
        <v>652.68799999999999</v>
      </c>
      <c r="C233" s="972">
        <v>21.382000000000001</v>
      </c>
      <c r="D233" s="972">
        <v>0.47499999999999998</v>
      </c>
      <c r="E233" s="972">
        <v>7.8710000000000004</v>
      </c>
      <c r="F233" s="972">
        <v>0.79900000000000004</v>
      </c>
      <c r="G233" s="972">
        <v>0</v>
      </c>
      <c r="H233" s="972">
        <v>0</v>
      </c>
      <c r="I233" s="972">
        <v>12.257</v>
      </c>
      <c r="J233" s="972">
        <v>2.4359999999999999</v>
      </c>
      <c r="K233" s="972">
        <v>0</v>
      </c>
      <c r="L233" s="972">
        <v>0</v>
      </c>
      <c r="M233" s="972">
        <v>0</v>
      </c>
      <c r="N233" s="972">
        <v>0</v>
      </c>
      <c r="O233" s="972">
        <v>15.491</v>
      </c>
      <c r="P233" s="972">
        <v>34.643999999999998</v>
      </c>
      <c r="Q233" s="972">
        <v>602.553</v>
      </c>
      <c r="R233" s="962">
        <v>40</v>
      </c>
      <c r="S233" s="962" t="s">
        <v>4940</v>
      </c>
      <c r="T233" s="972">
        <v>166.87316666666666</v>
      </c>
    </row>
    <row r="234" spans="1:20">
      <c r="A234" s="962" t="s">
        <v>2162</v>
      </c>
      <c r="B234" s="972">
        <v>207.21899999999999</v>
      </c>
      <c r="C234" s="972">
        <v>49.646999999999998</v>
      </c>
      <c r="D234" s="972">
        <v>0.13100000000000001</v>
      </c>
      <c r="E234" s="972">
        <v>3.9039999999999999</v>
      </c>
      <c r="F234" s="972">
        <v>0.27800000000000002</v>
      </c>
      <c r="G234" s="972">
        <v>0.153</v>
      </c>
      <c r="H234" s="972">
        <v>0</v>
      </c>
      <c r="I234" s="972">
        <v>3.258</v>
      </c>
      <c r="J234" s="972">
        <v>0</v>
      </c>
      <c r="K234" s="972">
        <v>0</v>
      </c>
      <c r="L234" s="972">
        <v>0</v>
      </c>
      <c r="M234" s="972">
        <v>0</v>
      </c>
      <c r="N234" s="972">
        <v>3.302</v>
      </c>
      <c r="O234" s="972">
        <v>6.99</v>
      </c>
      <c r="P234" s="972">
        <v>7.0209999999999999</v>
      </c>
      <c r="Q234" s="972">
        <v>193.208</v>
      </c>
      <c r="R234" s="962">
        <v>7</v>
      </c>
      <c r="S234" s="962" t="s">
        <v>4940</v>
      </c>
      <c r="T234" s="972">
        <v>59.165666666666667</v>
      </c>
    </row>
    <row r="235" spans="1:20">
      <c r="A235" s="962" t="s">
        <v>2716</v>
      </c>
      <c r="B235" s="972">
        <v>107.758</v>
      </c>
      <c r="C235" s="972">
        <v>0</v>
      </c>
      <c r="D235" s="972">
        <v>0</v>
      </c>
      <c r="E235" s="972">
        <v>2.7010000000000001</v>
      </c>
      <c r="F235" s="972">
        <v>9.7000000000000003E-2</v>
      </c>
      <c r="G235" s="972">
        <v>0</v>
      </c>
      <c r="H235" s="972">
        <v>0</v>
      </c>
      <c r="I235" s="972">
        <v>1.901</v>
      </c>
      <c r="J235" s="972">
        <v>0.14299999999999999</v>
      </c>
      <c r="K235" s="972">
        <v>0</v>
      </c>
      <c r="L235" s="972">
        <v>0</v>
      </c>
      <c r="M235" s="972">
        <v>0</v>
      </c>
      <c r="N235" s="972">
        <v>0</v>
      </c>
      <c r="O235" s="972">
        <v>2.141</v>
      </c>
      <c r="P235" s="972">
        <v>1.87</v>
      </c>
      <c r="Q235" s="972">
        <v>103.747</v>
      </c>
      <c r="R235" s="962">
        <v>14</v>
      </c>
      <c r="S235" s="962" t="s">
        <v>4940</v>
      </c>
      <c r="T235" s="972">
        <v>31.601833333333332</v>
      </c>
    </row>
    <row r="236" spans="1:20">
      <c r="A236" s="962" t="s">
        <v>2718</v>
      </c>
      <c r="B236" s="972">
        <v>243.51499999999999</v>
      </c>
      <c r="C236" s="972">
        <v>4.2240000000000002</v>
      </c>
      <c r="D236" s="972">
        <v>0.44700000000000001</v>
      </c>
      <c r="E236" s="972">
        <v>7.8559999999999999</v>
      </c>
      <c r="F236" s="972">
        <v>0.36899999999999999</v>
      </c>
      <c r="G236" s="972">
        <v>0</v>
      </c>
      <c r="H236" s="972">
        <v>0</v>
      </c>
      <c r="I236" s="972">
        <v>2.423</v>
      </c>
      <c r="J236" s="972">
        <v>0</v>
      </c>
      <c r="K236" s="972">
        <v>2.222</v>
      </c>
      <c r="L236" s="972">
        <v>0</v>
      </c>
      <c r="M236" s="972">
        <v>0</v>
      </c>
      <c r="N236" s="972">
        <v>7.0000000000000007E-2</v>
      </c>
      <c r="O236" s="972">
        <v>5.0830000000000002</v>
      </c>
      <c r="P236" s="972">
        <v>20.603999999999999</v>
      </c>
      <c r="Q236" s="972">
        <v>217.827</v>
      </c>
      <c r="R236" s="962">
        <v>8</v>
      </c>
      <c r="S236" s="962" t="s">
        <v>4940</v>
      </c>
      <c r="T236" s="972">
        <v>70.155000000000001</v>
      </c>
    </row>
    <row r="237" spans="1:20">
      <c r="A237" s="962" t="s">
        <v>2720</v>
      </c>
      <c r="B237" s="972">
        <v>131.64599999999999</v>
      </c>
      <c r="C237" s="972">
        <v>6.077</v>
      </c>
      <c r="D237" s="972">
        <v>0.19600000000000001</v>
      </c>
      <c r="E237" s="972">
        <v>2.9889999999999999</v>
      </c>
      <c r="F237" s="972">
        <v>0.15</v>
      </c>
      <c r="G237" s="972">
        <v>0</v>
      </c>
      <c r="H237" s="972">
        <v>0</v>
      </c>
      <c r="I237" s="972">
        <v>1</v>
      </c>
      <c r="J237" s="972">
        <v>0</v>
      </c>
      <c r="K237" s="972">
        <v>2.0840000000000001</v>
      </c>
      <c r="L237" s="972">
        <v>0</v>
      </c>
      <c r="M237" s="972">
        <v>0</v>
      </c>
      <c r="N237" s="972">
        <v>0</v>
      </c>
      <c r="O237" s="972">
        <v>3.234</v>
      </c>
      <c r="P237" s="972">
        <v>3.48</v>
      </c>
      <c r="Q237" s="972">
        <v>124.932</v>
      </c>
      <c r="R237" s="962">
        <v>11</v>
      </c>
      <c r="S237" s="962" t="s">
        <v>4940</v>
      </c>
      <c r="T237" s="972">
        <v>43.7455</v>
      </c>
    </row>
    <row r="238" spans="1:20">
      <c r="A238" s="962" t="s">
        <v>1314</v>
      </c>
      <c r="B238" s="972">
        <v>2526.5340000000001</v>
      </c>
      <c r="C238" s="972">
        <v>469.36</v>
      </c>
      <c r="D238" s="972">
        <v>0.56499999999999995</v>
      </c>
      <c r="E238" s="972">
        <v>44.598999999999997</v>
      </c>
      <c r="F238" s="972">
        <v>4.4690000000000003</v>
      </c>
      <c r="G238" s="972">
        <v>0.14799999999999999</v>
      </c>
      <c r="H238" s="972">
        <v>0</v>
      </c>
      <c r="I238" s="972">
        <v>59.103000000000002</v>
      </c>
      <c r="J238" s="972">
        <v>10.723000000000001</v>
      </c>
      <c r="K238" s="972">
        <v>0</v>
      </c>
      <c r="L238" s="972">
        <v>0</v>
      </c>
      <c r="M238" s="972">
        <v>0</v>
      </c>
      <c r="N238" s="972">
        <v>0</v>
      </c>
      <c r="O238" s="972">
        <v>74.441000000000003</v>
      </c>
      <c r="P238" s="972">
        <v>85.135000000000005</v>
      </c>
      <c r="Q238" s="972">
        <v>2366.9580000000001</v>
      </c>
      <c r="R238" s="962">
        <v>246</v>
      </c>
      <c r="S238" s="962" t="s">
        <v>4940</v>
      </c>
      <c r="T238" s="972">
        <v>620.13166666666666</v>
      </c>
    </row>
    <row r="239" spans="1:20">
      <c r="A239" s="962" t="s">
        <v>2722</v>
      </c>
      <c r="B239" s="972">
        <v>437.25099999999998</v>
      </c>
      <c r="C239" s="972">
        <v>5.4779999999999998</v>
      </c>
      <c r="D239" s="972">
        <v>0</v>
      </c>
      <c r="E239" s="972">
        <v>6.4550000000000001</v>
      </c>
      <c r="F239" s="972">
        <v>0.68600000000000005</v>
      </c>
      <c r="G239" s="972">
        <v>0</v>
      </c>
      <c r="H239" s="972">
        <v>0</v>
      </c>
      <c r="I239" s="972">
        <v>16.024000000000001</v>
      </c>
      <c r="J239" s="972">
        <v>0</v>
      </c>
      <c r="K239" s="972">
        <v>0.35399999999999998</v>
      </c>
      <c r="L239" s="972">
        <v>2.5739999999999998</v>
      </c>
      <c r="M239" s="972">
        <v>0</v>
      </c>
      <c r="N239" s="972">
        <v>0</v>
      </c>
      <c r="O239" s="972">
        <v>19.638000000000002</v>
      </c>
      <c r="P239" s="972">
        <v>48.353000000000002</v>
      </c>
      <c r="Q239" s="972">
        <v>369.26</v>
      </c>
      <c r="R239" s="962">
        <v>32</v>
      </c>
      <c r="S239" s="962" t="s">
        <v>4940</v>
      </c>
      <c r="T239" s="972">
        <v>141.5275</v>
      </c>
    </row>
    <row r="240" spans="1:20">
      <c r="A240" s="962" t="s">
        <v>442</v>
      </c>
      <c r="B240" s="972">
        <v>613.048</v>
      </c>
      <c r="C240" s="972">
        <v>25.25</v>
      </c>
      <c r="D240" s="972">
        <v>0.109</v>
      </c>
      <c r="E240" s="972">
        <v>18.059000000000001</v>
      </c>
      <c r="F240" s="972">
        <v>0.93100000000000005</v>
      </c>
      <c r="G240" s="972">
        <v>1.6E-2</v>
      </c>
      <c r="H240" s="972">
        <v>0</v>
      </c>
      <c r="I240" s="972">
        <v>13.2</v>
      </c>
      <c r="J240" s="972">
        <v>0.372</v>
      </c>
      <c r="K240" s="972">
        <v>4.399</v>
      </c>
      <c r="L240" s="972">
        <v>0</v>
      </c>
      <c r="M240" s="972">
        <v>0</v>
      </c>
      <c r="N240" s="972">
        <v>0</v>
      </c>
      <c r="O240" s="972">
        <v>18.917000000000002</v>
      </c>
      <c r="P240" s="972">
        <v>46.624000000000002</v>
      </c>
      <c r="Q240" s="972">
        <v>547.50699999999995</v>
      </c>
      <c r="R240" s="962">
        <v>33</v>
      </c>
      <c r="S240" s="962" t="s">
        <v>4940</v>
      </c>
      <c r="T240" s="972">
        <v>178.24866666666665</v>
      </c>
    </row>
    <row r="241" spans="1:20">
      <c r="A241" s="962" t="s">
        <v>7258</v>
      </c>
      <c r="B241" s="972">
        <v>214.44300000000001</v>
      </c>
      <c r="C241" s="972">
        <v>7.73</v>
      </c>
      <c r="D241" s="972">
        <v>0</v>
      </c>
      <c r="E241" s="972">
        <v>33.761000000000003</v>
      </c>
      <c r="F241" s="972">
        <v>8.0000000000000002E-3</v>
      </c>
      <c r="G241" s="972">
        <v>0</v>
      </c>
      <c r="H241" s="972">
        <v>0</v>
      </c>
      <c r="I241" s="972">
        <v>17.864000000000001</v>
      </c>
      <c r="J241" s="972">
        <v>0.23</v>
      </c>
      <c r="K241" s="972">
        <v>0</v>
      </c>
      <c r="L241" s="972">
        <v>0</v>
      </c>
      <c r="M241" s="972">
        <v>0</v>
      </c>
      <c r="N241" s="972">
        <v>0</v>
      </c>
      <c r="O241" s="972">
        <v>18.100999999999999</v>
      </c>
      <c r="P241" s="972">
        <v>0</v>
      </c>
      <c r="Q241" s="972">
        <v>196.34200000000001</v>
      </c>
      <c r="R241" s="962">
        <v>0</v>
      </c>
      <c r="S241" s="962" t="s">
        <v>4940</v>
      </c>
      <c r="T241" s="972">
        <v>0</v>
      </c>
    </row>
    <row r="242" spans="1:20">
      <c r="A242" s="962" t="s">
        <v>2724</v>
      </c>
      <c r="B242" s="972">
        <v>1105.7619999999999</v>
      </c>
      <c r="C242" s="972">
        <v>17.936</v>
      </c>
      <c r="D242" s="972">
        <v>6.9000000000000006E-2</v>
      </c>
      <c r="E242" s="972">
        <v>21.44</v>
      </c>
      <c r="F242" s="972">
        <v>1.0589999999999999</v>
      </c>
      <c r="G242" s="972">
        <v>0</v>
      </c>
      <c r="H242" s="972">
        <v>0</v>
      </c>
      <c r="I242" s="972">
        <v>25.806000000000001</v>
      </c>
      <c r="J242" s="972">
        <v>3.1459999999999999</v>
      </c>
      <c r="K242" s="972">
        <v>7.3970000000000002</v>
      </c>
      <c r="L242" s="972">
        <v>0.56699999999999995</v>
      </c>
      <c r="M242" s="972">
        <v>0</v>
      </c>
      <c r="N242" s="972">
        <v>0</v>
      </c>
      <c r="O242" s="972">
        <v>37.975000000000001</v>
      </c>
      <c r="P242" s="972">
        <v>77.84</v>
      </c>
      <c r="Q242" s="972">
        <v>989.947</v>
      </c>
      <c r="R242" s="962">
        <v>68</v>
      </c>
      <c r="S242" s="962" t="s">
        <v>4940</v>
      </c>
      <c r="T242" s="972">
        <v>325.08566666666673</v>
      </c>
    </row>
    <row r="243" spans="1:20">
      <c r="A243" s="962" t="s">
        <v>5321</v>
      </c>
      <c r="B243" s="972">
        <v>411.70800000000003</v>
      </c>
      <c r="C243" s="972">
        <v>5.61</v>
      </c>
      <c r="D243" s="972">
        <v>0</v>
      </c>
      <c r="E243" s="972">
        <v>7.024</v>
      </c>
      <c r="F243" s="972">
        <v>0.64100000000000001</v>
      </c>
      <c r="G243" s="972">
        <v>0</v>
      </c>
      <c r="H243" s="972">
        <v>0</v>
      </c>
      <c r="I243" s="972">
        <v>6.8959999999999999</v>
      </c>
      <c r="J243" s="972">
        <v>1.7809999999999999</v>
      </c>
      <c r="K243" s="972">
        <v>0.34100000000000003</v>
      </c>
      <c r="L243" s="972">
        <v>0</v>
      </c>
      <c r="M243" s="972">
        <v>0</v>
      </c>
      <c r="N243" s="972">
        <v>0</v>
      </c>
      <c r="O243" s="972">
        <v>9.6590000000000007</v>
      </c>
      <c r="P243" s="972">
        <v>30.637</v>
      </c>
      <c r="Q243" s="972">
        <v>371.41300000000001</v>
      </c>
      <c r="R243" s="962">
        <v>28</v>
      </c>
      <c r="S243" s="962" t="s">
        <v>4940</v>
      </c>
      <c r="T243" s="972">
        <v>117.56033333333333</v>
      </c>
    </row>
    <row r="244" spans="1:20">
      <c r="A244" s="962" t="s">
        <v>5323</v>
      </c>
      <c r="B244" s="972">
        <v>526.71600000000001</v>
      </c>
      <c r="C244" s="972">
        <v>0</v>
      </c>
      <c r="D244" s="972">
        <v>0.114</v>
      </c>
      <c r="E244" s="972">
        <v>3.2890000000000001</v>
      </c>
      <c r="F244" s="972">
        <v>0.36199999999999999</v>
      </c>
      <c r="G244" s="972">
        <v>5.3999999999999999E-2</v>
      </c>
      <c r="H244" s="972">
        <v>0</v>
      </c>
      <c r="I244" s="972">
        <v>2.992</v>
      </c>
      <c r="J244" s="972">
        <v>0.46899999999999997</v>
      </c>
      <c r="K244" s="972">
        <v>0.22</v>
      </c>
      <c r="L244" s="972">
        <v>0.64200000000000002</v>
      </c>
      <c r="M244" s="972">
        <v>0</v>
      </c>
      <c r="N244" s="972">
        <v>0</v>
      </c>
      <c r="O244" s="972">
        <v>4.7380000000000004</v>
      </c>
      <c r="P244" s="972">
        <v>33.659999999999997</v>
      </c>
      <c r="Q244" s="972">
        <v>488.31799999999998</v>
      </c>
      <c r="R244" s="962">
        <v>48</v>
      </c>
      <c r="S244" s="962" t="s">
        <v>4940</v>
      </c>
      <c r="T244" s="972">
        <v>163.65816666666666</v>
      </c>
    </row>
    <row r="245" spans="1:20">
      <c r="A245" s="962" t="s">
        <v>5325</v>
      </c>
      <c r="B245" s="972">
        <v>59.753</v>
      </c>
      <c r="C245" s="972">
        <v>0</v>
      </c>
      <c r="D245" s="972">
        <v>0</v>
      </c>
      <c r="E245" s="972">
        <v>2.3809999999999998</v>
      </c>
      <c r="F245" s="972">
        <v>0.157</v>
      </c>
      <c r="G245" s="972">
        <v>0</v>
      </c>
      <c r="H245" s="972">
        <v>0</v>
      </c>
      <c r="I245" s="972">
        <v>0.45500000000000002</v>
      </c>
      <c r="J245" s="972">
        <v>0</v>
      </c>
      <c r="K245" s="972">
        <v>0</v>
      </c>
      <c r="L245" s="972">
        <v>0</v>
      </c>
      <c r="M245" s="972">
        <v>0</v>
      </c>
      <c r="N245" s="972">
        <v>0</v>
      </c>
      <c r="O245" s="972">
        <v>0.61099999999999999</v>
      </c>
      <c r="P245" s="972">
        <v>0</v>
      </c>
      <c r="Q245" s="972">
        <v>59.140999999999998</v>
      </c>
      <c r="R245" s="962">
        <v>3</v>
      </c>
      <c r="S245" s="962" t="s">
        <v>4940</v>
      </c>
      <c r="T245" s="972">
        <v>0</v>
      </c>
    </row>
    <row r="246" spans="1:20">
      <c r="A246" s="962" t="s">
        <v>5327</v>
      </c>
      <c r="B246" s="972">
        <v>60.113</v>
      </c>
      <c r="C246" s="972">
        <v>0</v>
      </c>
      <c r="D246" s="972">
        <v>0</v>
      </c>
      <c r="E246" s="972">
        <v>0.95</v>
      </c>
      <c r="F246" s="972">
        <v>9.1999999999999998E-2</v>
      </c>
      <c r="G246" s="972">
        <v>0</v>
      </c>
      <c r="H246" s="972">
        <v>0</v>
      </c>
      <c r="I246" s="972">
        <v>1.49</v>
      </c>
      <c r="J246" s="972">
        <v>0</v>
      </c>
      <c r="K246" s="972">
        <v>0</v>
      </c>
      <c r="L246" s="972">
        <v>0</v>
      </c>
      <c r="M246" s="972">
        <v>0</v>
      </c>
      <c r="N246" s="972">
        <v>0</v>
      </c>
      <c r="O246" s="972">
        <v>1.581</v>
      </c>
      <c r="P246" s="972">
        <v>0</v>
      </c>
      <c r="Q246" s="972">
        <v>58.533000000000001</v>
      </c>
      <c r="R246" s="962">
        <v>3</v>
      </c>
      <c r="S246" s="962" t="s">
        <v>4940</v>
      </c>
      <c r="T246" s="972">
        <v>0</v>
      </c>
    </row>
    <row r="247" spans="1:20">
      <c r="A247" s="962" t="s">
        <v>5329</v>
      </c>
      <c r="B247" s="972">
        <v>217.14500000000001</v>
      </c>
      <c r="C247" s="972">
        <v>11.57</v>
      </c>
      <c r="D247" s="972">
        <v>0</v>
      </c>
      <c r="E247" s="972">
        <v>8.9600000000000009</v>
      </c>
      <c r="F247" s="972">
        <v>0.18099999999999999</v>
      </c>
      <c r="G247" s="972">
        <v>0</v>
      </c>
      <c r="H247" s="972">
        <v>0</v>
      </c>
      <c r="I247" s="972">
        <v>4.8140000000000001</v>
      </c>
      <c r="J247" s="972">
        <v>0</v>
      </c>
      <c r="K247" s="972">
        <v>0</v>
      </c>
      <c r="L247" s="972">
        <v>0</v>
      </c>
      <c r="M247" s="972">
        <v>0</v>
      </c>
      <c r="N247" s="972">
        <v>0</v>
      </c>
      <c r="O247" s="972">
        <v>4.9950000000000001</v>
      </c>
      <c r="P247" s="972">
        <v>7.633</v>
      </c>
      <c r="Q247" s="972">
        <v>204.517</v>
      </c>
      <c r="R247" s="962">
        <v>7</v>
      </c>
      <c r="S247" s="962" t="s">
        <v>4940</v>
      </c>
      <c r="T247" s="972">
        <v>69.486166666666676</v>
      </c>
    </row>
    <row r="248" spans="1:20">
      <c r="A248" s="962" t="s">
        <v>5331</v>
      </c>
      <c r="B248" s="972">
        <v>2698.18</v>
      </c>
      <c r="C248" s="972">
        <v>87.05</v>
      </c>
      <c r="D248" s="972">
        <v>1.048</v>
      </c>
      <c r="E248" s="972">
        <v>111.426</v>
      </c>
      <c r="F248" s="972">
        <v>5.9279999999999999</v>
      </c>
      <c r="G248" s="972">
        <v>6.2E-2</v>
      </c>
      <c r="H248" s="972">
        <v>0</v>
      </c>
      <c r="I248" s="972">
        <v>72.094999999999999</v>
      </c>
      <c r="J248" s="972">
        <v>20.288</v>
      </c>
      <c r="K248" s="972">
        <v>0.88900000000000001</v>
      </c>
      <c r="L248" s="972">
        <v>4.1029999999999998</v>
      </c>
      <c r="M248" s="972">
        <v>0</v>
      </c>
      <c r="N248" s="972">
        <v>0</v>
      </c>
      <c r="O248" s="972">
        <v>103.363</v>
      </c>
      <c r="P248" s="972">
        <v>113.807</v>
      </c>
      <c r="Q248" s="972">
        <v>2481.0100000000002</v>
      </c>
      <c r="R248" s="962">
        <v>173</v>
      </c>
      <c r="S248" s="962" t="s">
        <v>4940</v>
      </c>
      <c r="T248" s="972">
        <v>733.5184999999999</v>
      </c>
    </row>
    <row r="249" spans="1:20">
      <c r="A249" s="962" t="s">
        <v>585</v>
      </c>
      <c r="B249" s="972">
        <v>145.697</v>
      </c>
      <c r="C249" s="972">
        <v>0</v>
      </c>
      <c r="D249" s="972">
        <v>0</v>
      </c>
      <c r="E249" s="972">
        <v>7.125</v>
      </c>
      <c r="F249" s="972">
        <v>0.253</v>
      </c>
      <c r="G249" s="972">
        <v>0</v>
      </c>
      <c r="H249" s="972">
        <v>0</v>
      </c>
      <c r="I249" s="972">
        <v>0.496</v>
      </c>
      <c r="J249" s="972">
        <v>0</v>
      </c>
      <c r="K249" s="972">
        <v>0</v>
      </c>
      <c r="L249" s="972">
        <v>1.0780000000000001</v>
      </c>
      <c r="M249" s="972">
        <v>0</v>
      </c>
      <c r="N249" s="972">
        <v>0</v>
      </c>
      <c r="O249" s="972">
        <v>1.8280000000000001</v>
      </c>
      <c r="P249" s="972">
        <v>13.273</v>
      </c>
      <c r="Q249" s="972">
        <v>130.59700000000001</v>
      </c>
      <c r="R249" s="962">
        <v>4</v>
      </c>
      <c r="S249" s="962" t="s">
        <v>4940</v>
      </c>
      <c r="T249" s="972">
        <v>47.328666666666663</v>
      </c>
    </row>
    <row r="250" spans="1:20">
      <c r="A250" s="962" t="s">
        <v>5333</v>
      </c>
      <c r="B250" s="972">
        <v>129.447</v>
      </c>
      <c r="C250" s="972">
        <v>1.9910000000000001</v>
      </c>
      <c r="D250" s="972">
        <v>0</v>
      </c>
      <c r="E250" s="972">
        <v>2.0510000000000002</v>
      </c>
      <c r="F250" s="972">
        <v>0.21099999999999999</v>
      </c>
      <c r="G250" s="972">
        <v>0</v>
      </c>
      <c r="H250" s="972">
        <v>0</v>
      </c>
      <c r="I250" s="972">
        <v>2.9489999999999998</v>
      </c>
      <c r="J250" s="972">
        <v>0</v>
      </c>
      <c r="K250" s="972">
        <v>0</v>
      </c>
      <c r="L250" s="972">
        <v>0</v>
      </c>
      <c r="M250" s="972">
        <v>0</v>
      </c>
      <c r="N250" s="972">
        <v>0</v>
      </c>
      <c r="O250" s="972">
        <v>3.16</v>
      </c>
      <c r="P250" s="972">
        <v>9.8930000000000007</v>
      </c>
      <c r="Q250" s="972">
        <v>116.393</v>
      </c>
      <c r="R250" s="962">
        <v>5</v>
      </c>
      <c r="S250" s="962" t="s">
        <v>4940</v>
      </c>
      <c r="T250" s="972">
        <v>51.584500000000006</v>
      </c>
    </row>
    <row r="251" spans="1:20">
      <c r="A251" s="962" t="s">
        <v>239</v>
      </c>
      <c r="B251" s="972">
        <v>7745.97</v>
      </c>
      <c r="C251" s="972">
        <v>107.5</v>
      </c>
      <c r="D251" s="972">
        <v>1.2210000000000001</v>
      </c>
      <c r="E251" s="972">
        <v>215.072</v>
      </c>
      <c r="F251" s="972">
        <v>10.568</v>
      </c>
      <c r="G251" s="972">
        <v>0.34200000000000003</v>
      </c>
      <c r="H251" s="972">
        <v>0</v>
      </c>
      <c r="I251" s="972">
        <v>92.893000000000001</v>
      </c>
      <c r="J251" s="972">
        <v>39.073</v>
      </c>
      <c r="K251" s="972">
        <v>0</v>
      </c>
      <c r="L251" s="972">
        <v>2.09</v>
      </c>
      <c r="M251" s="972">
        <v>0</v>
      </c>
      <c r="N251" s="972">
        <v>6.7789999999999999</v>
      </c>
      <c r="O251" s="972">
        <v>151.744</v>
      </c>
      <c r="P251" s="972">
        <v>369.20100000000002</v>
      </c>
      <c r="Q251" s="972">
        <v>7225.0240000000003</v>
      </c>
      <c r="R251" s="962">
        <v>514</v>
      </c>
      <c r="S251" s="962" t="s">
        <v>4940</v>
      </c>
      <c r="T251" s="972">
        <v>1985.4768333333334</v>
      </c>
    </row>
    <row r="252" spans="1:20">
      <c r="A252" s="962" t="s">
        <v>5335</v>
      </c>
      <c r="B252" s="972">
        <v>217.73400000000001</v>
      </c>
      <c r="C252" s="972">
        <v>0</v>
      </c>
      <c r="D252" s="972">
        <v>0</v>
      </c>
      <c r="E252" s="972">
        <v>12.284000000000001</v>
      </c>
      <c r="F252" s="972">
        <v>0.245</v>
      </c>
      <c r="G252" s="972">
        <v>0</v>
      </c>
      <c r="H252" s="972">
        <v>0</v>
      </c>
      <c r="I252" s="972">
        <v>3.532</v>
      </c>
      <c r="J252" s="972">
        <v>0.55900000000000005</v>
      </c>
      <c r="K252" s="972">
        <v>0</v>
      </c>
      <c r="L252" s="972">
        <v>1.9219999999999999</v>
      </c>
      <c r="M252" s="972">
        <v>0</v>
      </c>
      <c r="N252" s="972">
        <v>0</v>
      </c>
      <c r="O252" s="972">
        <v>6.258</v>
      </c>
      <c r="P252" s="972">
        <v>23.247</v>
      </c>
      <c r="Q252" s="972">
        <v>188.22800000000001</v>
      </c>
      <c r="R252" s="962">
        <v>3</v>
      </c>
      <c r="S252" s="962" t="s">
        <v>4940</v>
      </c>
      <c r="T252" s="972">
        <v>68.524333333333345</v>
      </c>
    </row>
    <row r="253" spans="1:20">
      <c r="A253" s="962" t="s">
        <v>2450</v>
      </c>
      <c r="B253" s="972">
        <v>903.49699999999996</v>
      </c>
      <c r="C253" s="972">
        <v>75.364999999999995</v>
      </c>
      <c r="D253" s="972">
        <v>0.69799999999999995</v>
      </c>
      <c r="E253" s="972">
        <v>31.260999999999999</v>
      </c>
      <c r="F253" s="972">
        <v>0.90900000000000003</v>
      </c>
      <c r="G253" s="972">
        <v>0.21</v>
      </c>
      <c r="H253" s="972">
        <v>0</v>
      </c>
      <c r="I253" s="972">
        <v>10.15</v>
      </c>
      <c r="J253" s="972">
        <v>1.81</v>
      </c>
      <c r="K253" s="972">
        <v>0</v>
      </c>
      <c r="L253" s="972">
        <v>0</v>
      </c>
      <c r="M253" s="972">
        <v>0</v>
      </c>
      <c r="N253" s="972">
        <v>0</v>
      </c>
      <c r="O253" s="972">
        <v>13.077999999999999</v>
      </c>
      <c r="P253" s="972">
        <v>30.324999999999999</v>
      </c>
      <c r="Q253" s="972">
        <v>860.09500000000003</v>
      </c>
      <c r="R253" s="962">
        <v>69</v>
      </c>
      <c r="S253" s="962" t="s">
        <v>4940</v>
      </c>
      <c r="T253" s="972">
        <v>261.16649999999998</v>
      </c>
    </row>
    <row r="254" spans="1:20">
      <c r="A254" s="962" t="s">
        <v>5685</v>
      </c>
      <c r="B254" s="972">
        <v>693.20399999999995</v>
      </c>
      <c r="C254" s="972">
        <v>90.367999999999995</v>
      </c>
      <c r="D254" s="972">
        <v>0.90600000000000003</v>
      </c>
      <c r="E254" s="972">
        <v>29.385000000000002</v>
      </c>
      <c r="F254" s="972">
        <v>0.879</v>
      </c>
      <c r="G254" s="972">
        <v>0</v>
      </c>
      <c r="H254" s="972">
        <v>0</v>
      </c>
      <c r="I254" s="972">
        <v>4.673</v>
      </c>
      <c r="J254" s="972">
        <v>2.367</v>
      </c>
      <c r="K254" s="972">
        <v>0</v>
      </c>
      <c r="L254" s="972">
        <v>0</v>
      </c>
      <c r="M254" s="972">
        <v>0</v>
      </c>
      <c r="N254" s="972">
        <v>0</v>
      </c>
      <c r="O254" s="972">
        <v>7.9189999999999996</v>
      </c>
      <c r="P254" s="972">
        <v>44.034999999999997</v>
      </c>
      <c r="Q254" s="972">
        <v>641.25</v>
      </c>
      <c r="R254" s="962">
        <v>33</v>
      </c>
      <c r="S254" s="962" t="s">
        <v>4940</v>
      </c>
      <c r="T254" s="972">
        <v>182.11749999999998</v>
      </c>
    </row>
    <row r="255" spans="1:20">
      <c r="A255" s="962" t="s">
        <v>2454</v>
      </c>
      <c r="B255" s="972">
        <v>388.46199999999999</v>
      </c>
      <c r="C255" s="972">
        <v>3.8660000000000001</v>
      </c>
      <c r="D255" s="972">
        <v>0.55300000000000005</v>
      </c>
      <c r="E255" s="972">
        <v>6.7610000000000001</v>
      </c>
      <c r="F255" s="972">
        <v>0.55500000000000005</v>
      </c>
      <c r="G255" s="972">
        <v>0</v>
      </c>
      <c r="H255" s="972">
        <v>0</v>
      </c>
      <c r="I255" s="972">
        <v>8.4529999999999994</v>
      </c>
      <c r="J255" s="972">
        <v>0</v>
      </c>
      <c r="K255" s="972">
        <v>2.387</v>
      </c>
      <c r="L255" s="972">
        <v>0</v>
      </c>
      <c r="M255" s="972">
        <v>0</v>
      </c>
      <c r="N255" s="972">
        <v>0</v>
      </c>
      <c r="O255" s="972">
        <v>11.394</v>
      </c>
      <c r="P255" s="972">
        <v>34.790999999999997</v>
      </c>
      <c r="Q255" s="972">
        <v>342.27699999999999</v>
      </c>
      <c r="R255" s="962">
        <v>27</v>
      </c>
      <c r="S255" s="962" t="s">
        <v>3902</v>
      </c>
      <c r="T255" s="972">
        <v>109.37575000000001</v>
      </c>
    </row>
    <row r="256" spans="1:20">
      <c r="A256" s="962" t="s">
        <v>2456</v>
      </c>
      <c r="B256" s="972">
        <v>284.637</v>
      </c>
      <c r="C256" s="972">
        <v>24.611999999999998</v>
      </c>
      <c r="D256" s="972">
        <v>0.88900000000000001</v>
      </c>
      <c r="E256" s="972">
        <v>7.7240000000000002</v>
      </c>
      <c r="F256" s="972">
        <v>0.45400000000000001</v>
      </c>
      <c r="G256" s="972">
        <v>2.5000000000000001E-2</v>
      </c>
      <c r="H256" s="972">
        <v>0</v>
      </c>
      <c r="I256" s="972">
        <v>14.176</v>
      </c>
      <c r="J256" s="972">
        <v>1.107</v>
      </c>
      <c r="K256" s="972">
        <v>0</v>
      </c>
      <c r="L256" s="972">
        <v>0</v>
      </c>
      <c r="M256" s="972">
        <v>0</v>
      </c>
      <c r="N256" s="972">
        <v>0</v>
      </c>
      <c r="O256" s="972">
        <v>15.76</v>
      </c>
      <c r="P256" s="972">
        <v>17.731000000000002</v>
      </c>
      <c r="Q256" s="972">
        <v>251.14699999999999</v>
      </c>
      <c r="R256" s="962">
        <v>14</v>
      </c>
      <c r="S256" s="962" t="s">
        <v>3902</v>
      </c>
      <c r="T256" s="972">
        <v>71.252250000000004</v>
      </c>
    </row>
    <row r="257" spans="1:20">
      <c r="A257" s="962" t="s">
        <v>2458</v>
      </c>
      <c r="B257" s="972">
        <v>514.47900000000004</v>
      </c>
      <c r="C257" s="972">
        <v>4.1550000000000002</v>
      </c>
      <c r="D257" s="972">
        <v>0.72399999999999998</v>
      </c>
      <c r="E257" s="972">
        <v>4.9359999999999999</v>
      </c>
      <c r="F257" s="972">
        <v>1.39</v>
      </c>
      <c r="G257" s="972">
        <v>0</v>
      </c>
      <c r="H257" s="972">
        <v>0</v>
      </c>
      <c r="I257" s="972">
        <v>22.187999999999999</v>
      </c>
      <c r="J257" s="972">
        <v>0</v>
      </c>
      <c r="K257" s="972">
        <v>4.4329999999999998</v>
      </c>
      <c r="L257" s="972">
        <v>0</v>
      </c>
      <c r="M257" s="972">
        <v>0</v>
      </c>
      <c r="N257" s="972">
        <v>0</v>
      </c>
      <c r="O257" s="972">
        <v>28.010999999999999</v>
      </c>
      <c r="P257" s="972">
        <v>29.411999999999999</v>
      </c>
      <c r="Q257" s="972">
        <v>457.05700000000002</v>
      </c>
      <c r="R257" s="962">
        <v>24</v>
      </c>
      <c r="S257" s="962" t="s">
        <v>3902</v>
      </c>
      <c r="T257" s="972">
        <v>128.42574999999999</v>
      </c>
    </row>
    <row r="258" spans="1:20">
      <c r="A258" s="962" t="s">
        <v>2460</v>
      </c>
      <c r="B258" s="972">
        <v>413.06200000000001</v>
      </c>
      <c r="C258" s="972">
        <v>29.056999999999999</v>
      </c>
      <c r="D258" s="972">
        <v>9.9000000000000005E-2</v>
      </c>
      <c r="E258" s="972">
        <v>16.972999999999999</v>
      </c>
      <c r="F258" s="972">
        <v>0.216</v>
      </c>
      <c r="G258" s="972">
        <v>5.0999999999999997E-2</v>
      </c>
      <c r="H258" s="972">
        <v>0</v>
      </c>
      <c r="I258" s="972">
        <v>0.79200000000000004</v>
      </c>
      <c r="J258" s="972">
        <v>0.50800000000000001</v>
      </c>
      <c r="K258" s="972">
        <v>0</v>
      </c>
      <c r="L258" s="972">
        <v>0</v>
      </c>
      <c r="M258" s="972">
        <v>0</v>
      </c>
      <c r="N258" s="972">
        <v>0</v>
      </c>
      <c r="O258" s="972">
        <v>1.5660000000000001</v>
      </c>
      <c r="P258" s="972">
        <v>7.8319999999999999</v>
      </c>
      <c r="Q258" s="972">
        <v>403.66399999999999</v>
      </c>
      <c r="R258" s="962">
        <v>32</v>
      </c>
      <c r="S258" s="962" t="s">
        <v>4940</v>
      </c>
      <c r="T258" s="972">
        <v>133.209</v>
      </c>
    </row>
    <row r="259" spans="1:20">
      <c r="A259" s="962" t="s">
        <v>2462</v>
      </c>
      <c r="B259" s="972">
        <v>1527.739</v>
      </c>
      <c r="C259" s="972">
        <v>86.650999999999996</v>
      </c>
      <c r="D259" s="972">
        <v>0.441</v>
      </c>
      <c r="E259" s="972">
        <v>47.54</v>
      </c>
      <c r="F259" s="972">
        <v>2.48</v>
      </c>
      <c r="G259" s="972">
        <v>9.5000000000000001E-2</v>
      </c>
      <c r="H259" s="972">
        <v>0</v>
      </c>
      <c r="I259" s="972">
        <v>30.207999999999998</v>
      </c>
      <c r="J259" s="972">
        <v>5.6739999999999995</v>
      </c>
      <c r="K259" s="972">
        <v>7.0000000000000001E-3</v>
      </c>
      <c r="L259" s="972">
        <v>0.41299999999999998</v>
      </c>
      <c r="M259" s="972">
        <v>0</v>
      </c>
      <c r="N259" s="972">
        <v>0</v>
      </c>
      <c r="O259" s="972">
        <v>38.875999999999998</v>
      </c>
      <c r="P259" s="972">
        <v>99.525000000000006</v>
      </c>
      <c r="Q259" s="972">
        <v>1389.338</v>
      </c>
      <c r="R259" s="962">
        <v>32</v>
      </c>
      <c r="S259" s="962" t="s">
        <v>4940</v>
      </c>
      <c r="T259" s="972">
        <v>448.9468333333333</v>
      </c>
    </row>
    <row r="260" spans="1:20">
      <c r="A260" s="962" t="s">
        <v>2464</v>
      </c>
      <c r="B260" s="972">
        <v>158.52600000000001</v>
      </c>
      <c r="C260" s="972">
        <v>21.091999999999999</v>
      </c>
      <c r="D260" s="972">
        <v>0.13300000000000001</v>
      </c>
      <c r="E260" s="972">
        <v>4.8000000000000001E-2</v>
      </c>
      <c r="F260" s="972">
        <v>0.36</v>
      </c>
      <c r="G260" s="972">
        <v>0</v>
      </c>
      <c r="H260" s="972">
        <v>0</v>
      </c>
      <c r="I260" s="972">
        <v>6.1859999999999999</v>
      </c>
      <c r="J260" s="972">
        <v>0</v>
      </c>
      <c r="K260" s="972">
        <v>0</v>
      </c>
      <c r="L260" s="972">
        <v>0</v>
      </c>
      <c r="M260" s="972">
        <v>0</v>
      </c>
      <c r="N260" s="972">
        <v>0</v>
      </c>
      <c r="O260" s="972">
        <v>6.5460000000000003</v>
      </c>
      <c r="P260" s="972">
        <v>12.644</v>
      </c>
      <c r="Q260" s="972">
        <v>139.33500000000001</v>
      </c>
      <c r="R260" s="962">
        <v>15</v>
      </c>
      <c r="S260" s="962" t="s">
        <v>4940</v>
      </c>
      <c r="T260" s="972">
        <v>41.903166666666671</v>
      </c>
    </row>
    <row r="261" spans="1:20">
      <c r="A261" s="962" t="s">
        <v>2466</v>
      </c>
      <c r="B261" s="972">
        <v>510.80599999999998</v>
      </c>
      <c r="C261" s="972">
        <v>132.72900000000001</v>
      </c>
      <c r="D261" s="972">
        <v>0</v>
      </c>
      <c r="E261" s="972">
        <v>36.741</v>
      </c>
      <c r="F261" s="972">
        <v>0.317</v>
      </c>
      <c r="G261" s="972">
        <v>0</v>
      </c>
      <c r="H261" s="972">
        <v>0</v>
      </c>
      <c r="I261" s="972">
        <v>4.8970000000000002</v>
      </c>
      <c r="J261" s="972">
        <v>0</v>
      </c>
      <c r="K261" s="972">
        <v>0</v>
      </c>
      <c r="L261" s="972">
        <v>0</v>
      </c>
      <c r="M261" s="972">
        <v>0</v>
      </c>
      <c r="N261" s="972">
        <v>0</v>
      </c>
      <c r="O261" s="972">
        <v>5.2140000000000004</v>
      </c>
      <c r="P261" s="972">
        <v>0</v>
      </c>
      <c r="Q261" s="972">
        <v>505.59100000000001</v>
      </c>
      <c r="R261" s="962">
        <v>0</v>
      </c>
      <c r="S261" s="962" t="s">
        <v>4940</v>
      </c>
      <c r="T261" s="972">
        <v>156.32283333333334</v>
      </c>
    </row>
    <row r="262" spans="1:20">
      <c r="A262" s="962" t="s">
        <v>5303</v>
      </c>
      <c r="B262" s="972">
        <v>1319.731</v>
      </c>
      <c r="C262" s="972">
        <v>33.988999999999997</v>
      </c>
      <c r="D262" s="972">
        <v>0</v>
      </c>
      <c r="E262" s="972">
        <v>19.596</v>
      </c>
      <c r="F262" s="972">
        <v>0.75900000000000001</v>
      </c>
      <c r="G262" s="972">
        <v>0</v>
      </c>
      <c r="H262" s="972">
        <v>0</v>
      </c>
      <c r="I262" s="972">
        <v>10.996</v>
      </c>
      <c r="J262" s="972">
        <v>0</v>
      </c>
      <c r="K262" s="972">
        <v>0</v>
      </c>
      <c r="L262" s="972">
        <v>0</v>
      </c>
      <c r="M262" s="972">
        <v>0</v>
      </c>
      <c r="N262" s="972">
        <v>0</v>
      </c>
      <c r="O262" s="972">
        <v>11.755000000000001</v>
      </c>
      <c r="P262" s="972">
        <v>0</v>
      </c>
      <c r="Q262" s="972">
        <v>1307.9760000000001</v>
      </c>
      <c r="R262" s="962">
        <v>0</v>
      </c>
      <c r="S262" s="962" t="s">
        <v>4940</v>
      </c>
      <c r="T262" s="972">
        <v>395.01883333333336</v>
      </c>
    </row>
    <row r="263" spans="1:20">
      <c r="A263" s="962" t="s">
        <v>7262</v>
      </c>
      <c r="B263" s="972">
        <v>1627.722</v>
      </c>
      <c r="C263" s="972">
        <v>238.31700000000001</v>
      </c>
      <c r="D263" s="972">
        <v>0</v>
      </c>
      <c r="E263" s="972">
        <v>214.94900000000001</v>
      </c>
      <c r="F263" s="972">
        <v>2.5999999999999999E-2</v>
      </c>
      <c r="G263" s="972">
        <v>0</v>
      </c>
      <c r="H263" s="972">
        <v>0</v>
      </c>
      <c r="I263" s="972">
        <v>0.378</v>
      </c>
      <c r="J263" s="972">
        <v>0</v>
      </c>
      <c r="K263" s="972">
        <v>0</v>
      </c>
      <c r="L263" s="972">
        <v>0</v>
      </c>
      <c r="M263" s="972">
        <v>0</v>
      </c>
      <c r="N263" s="972">
        <v>0</v>
      </c>
      <c r="O263" s="972">
        <v>0.40400000000000003</v>
      </c>
      <c r="P263" s="972">
        <v>86.653999999999996</v>
      </c>
      <c r="Q263" s="972">
        <v>1540.664</v>
      </c>
      <c r="R263" s="962">
        <v>0</v>
      </c>
      <c r="S263" s="962" t="s">
        <v>4940</v>
      </c>
      <c r="T263" s="972">
        <v>1627.7171666666663</v>
      </c>
    </row>
    <row r="264" spans="1:20">
      <c r="A264" s="962" t="s">
        <v>7264</v>
      </c>
      <c r="B264" s="972">
        <v>142.47200000000001</v>
      </c>
      <c r="C264" s="972">
        <v>55.152999999999999</v>
      </c>
      <c r="D264" s="972">
        <v>0</v>
      </c>
      <c r="E264" s="972">
        <v>0</v>
      </c>
      <c r="F264" s="972">
        <v>0.67400000000000004</v>
      </c>
      <c r="G264" s="972">
        <v>0</v>
      </c>
      <c r="H264" s="972">
        <v>0</v>
      </c>
      <c r="I264" s="972">
        <v>1.514</v>
      </c>
      <c r="J264" s="972">
        <v>0</v>
      </c>
      <c r="K264" s="972">
        <v>0</v>
      </c>
      <c r="L264" s="972">
        <v>0</v>
      </c>
      <c r="M264" s="972">
        <v>0</v>
      </c>
      <c r="N264" s="972">
        <v>0</v>
      </c>
      <c r="O264" s="972">
        <v>2.1880000000000002</v>
      </c>
      <c r="P264" s="972">
        <v>0</v>
      </c>
      <c r="Q264" s="972">
        <v>140.28399999999999</v>
      </c>
      <c r="R264" s="962">
        <v>0</v>
      </c>
      <c r="S264" s="962" t="s">
        <v>4940</v>
      </c>
      <c r="T264" s="972">
        <v>0</v>
      </c>
    </row>
    <row r="265" spans="1:20">
      <c r="A265" s="962" t="s">
        <v>5305</v>
      </c>
      <c r="B265" s="972">
        <v>1343.768</v>
      </c>
      <c r="C265" s="972">
        <v>183.34299999999999</v>
      </c>
      <c r="D265" s="972">
        <v>0</v>
      </c>
      <c r="E265" s="972">
        <v>9.3469999999999995</v>
      </c>
      <c r="F265" s="972">
        <v>1.548</v>
      </c>
      <c r="G265" s="972">
        <v>0</v>
      </c>
      <c r="H265" s="972">
        <v>0</v>
      </c>
      <c r="I265" s="972">
        <v>36.618000000000002</v>
      </c>
      <c r="J265" s="972">
        <v>0.39</v>
      </c>
      <c r="K265" s="972">
        <v>0</v>
      </c>
      <c r="L265" s="972">
        <v>0</v>
      </c>
      <c r="M265" s="972">
        <v>0</v>
      </c>
      <c r="N265" s="972">
        <v>0</v>
      </c>
      <c r="O265" s="972">
        <v>38.555</v>
      </c>
      <c r="P265" s="972">
        <v>43.893000000000001</v>
      </c>
      <c r="Q265" s="972">
        <v>1261.3209999999999</v>
      </c>
      <c r="R265" s="962">
        <v>0</v>
      </c>
      <c r="S265" s="962" t="s">
        <v>4940</v>
      </c>
      <c r="T265" s="972">
        <v>215.61049999999997</v>
      </c>
    </row>
    <row r="266" spans="1:20">
      <c r="A266" s="962" t="s">
        <v>7266</v>
      </c>
      <c r="B266" s="972">
        <v>3547.9090000000001</v>
      </c>
      <c r="C266" s="972">
        <v>236.91300000000001</v>
      </c>
      <c r="D266" s="972">
        <v>0</v>
      </c>
      <c r="E266" s="972">
        <v>8.4280000000000008</v>
      </c>
      <c r="F266" s="972">
        <v>3.9220000000000002</v>
      </c>
      <c r="G266" s="972">
        <v>0.17299999999999999</v>
      </c>
      <c r="H266" s="972">
        <v>0</v>
      </c>
      <c r="I266" s="972">
        <v>79.599999999999994</v>
      </c>
      <c r="J266" s="972">
        <v>4.032</v>
      </c>
      <c r="K266" s="972">
        <v>0</v>
      </c>
      <c r="L266" s="972">
        <v>0</v>
      </c>
      <c r="M266" s="972">
        <v>0</v>
      </c>
      <c r="N266" s="972">
        <v>0</v>
      </c>
      <c r="O266" s="972">
        <v>87.727000000000004</v>
      </c>
      <c r="P266" s="972">
        <v>56.094999999999999</v>
      </c>
      <c r="Q266" s="972">
        <v>3404.0880000000002</v>
      </c>
      <c r="R266" s="962">
        <v>91</v>
      </c>
      <c r="S266" s="962" t="s">
        <v>4940</v>
      </c>
      <c r="T266" s="972">
        <v>521.23666666666668</v>
      </c>
    </row>
    <row r="267" spans="1:20">
      <c r="A267" s="962" t="s">
        <v>7268</v>
      </c>
      <c r="B267" s="972">
        <v>1416.1079999999999</v>
      </c>
      <c r="C267" s="972">
        <v>306.005</v>
      </c>
      <c r="D267" s="972">
        <v>0</v>
      </c>
      <c r="E267" s="972">
        <v>3.64</v>
      </c>
      <c r="F267" s="972">
        <v>0.40300000000000002</v>
      </c>
      <c r="G267" s="972">
        <v>0</v>
      </c>
      <c r="H267" s="972">
        <v>0</v>
      </c>
      <c r="I267" s="972">
        <v>7.01</v>
      </c>
      <c r="J267" s="972">
        <v>0.20399999999999999</v>
      </c>
      <c r="K267" s="972">
        <v>0</v>
      </c>
      <c r="L267" s="972">
        <v>0</v>
      </c>
      <c r="M267" s="972">
        <v>0</v>
      </c>
      <c r="N267" s="972">
        <v>0</v>
      </c>
      <c r="O267" s="972">
        <v>7.6159999999999997</v>
      </c>
      <c r="P267" s="972">
        <v>11.728999999999999</v>
      </c>
      <c r="Q267" s="972">
        <v>1396.7629999999999</v>
      </c>
      <c r="R267" s="962">
        <v>54</v>
      </c>
      <c r="S267" s="962" t="s">
        <v>4940</v>
      </c>
      <c r="T267" s="972">
        <v>92.918833333333325</v>
      </c>
    </row>
    <row r="268" spans="1:20">
      <c r="A268" s="962" t="s">
        <v>7270</v>
      </c>
      <c r="B268" s="972">
        <v>205.18799999999999</v>
      </c>
      <c r="C268" s="972">
        <v>88.653000000000006</v>
      </c>
      <c r="D268" s="972">
        <v>0</v>
      </c>
      <c r="E268" s="972">
        <v>0</v>
      </c>
      <c r="F268" s="972">
        <v>0.32300000000000001</v>
      </c>
      <c r="G268" s="972">
        <v>0</v>
      </c>
      <c r="H268" s="972">
        <v>0</v>
      </c>
      <c r="I268" s="972">
        <v>1.371</v>
      </c>
      <c r="J268" s="972">
        <v>0</v>
      </c>
      <c r="K268" s="972">
        <v>0</v>
      </c>
      <c r="L268" s="972">
        <v>0</v>
      </c>
      <c r="M268" s="972">
        <v>0</v>
      </c>
      <c r="N268" s="972">
        <v>0</v>
      </c>
      <c r="O268" s="972">
        <v>1.694</v>
      </c>
      <c r="P268" s="972">
        <v>0</v>
      </c>
      <c r="Q268" s="972">
        <v>203.494</v>
      </c>
      <c r="R268" s="962">
        <v>0</v>
      </c>
      <c r="S268" s="962" t="s">
        <v>4940</v>
      </c>
      <c r="T268" s="972">
        <v>0</v>
      </c>
    </row>
    <row r="269" spans="1:20">
      <c r="A269" s="962" t="s">
        <v>7272</v>
      </c>
      <c r="B269" s="972">
        <v>462.84</v>
      </c>
      <c r="C269" s="972">
        <v>20.821000000000002</v>
      </c>
      <c r="D269" s="972">
        <v>0</v>
      </c>
      <c r="E269" s="972">
        <v>0.39800000000000002</v>
      </c>
      <c r="F269" s="972">
        <v>0.83899999999999997</v>
      </c>
      <c r="G269" s="972">
        <v>0</v>
      </c>
      <c r="H269" s="972">
        <v>0</v>
      </c>
      <c r="I269" s="972">
        <v>6.4219999999999997</v>
      </c>
      <c r="J269" s="972">
        <v>0</v>
      </c>
      <c r="K269" s="972">
        <v>0</v>
      </c>
      <c r="L269" s="972">
        <v>0</v>
      </c>
      <c r="M269" s="972">
        <v>0</v>
      </c>
      <c r="N269" s="972">
        <v>0</v>
      </c>
      <c r="O269" s="972">
        <v>7.2610000000000001</v>
      </c>
      <c r="P269" s="972">
        <v>0</v>
      </c>
      <c r="Q269" s="972">
        <v>455.57900000000001</v>
      </c>
      <c r="R269" s="962">
        <v>0</v>
      </c>
      <c r="S269" s="962" t="s">
        <v>4940</v>
      </c>
      <c r="T269" s="972">
        <v>0</v>
      </c>
    </row>
    <row r="270" spans="1:20">
      <c r="A270" s="962" t="s">
        <v>5307</v>
      </c>
      <c r="B270" s="972">
        <v>363.11</v>
      </c>
      <c r="C270" s="972">
        <v>0</v>
      </c>
      <c r="D270" s="972">
        <v>0</v>
      </c>
      <c r="E270" s="972">
        <v>32.209000000000003</v>
      </c>
      <c r="F270" s="972">
        <v>0</v>
      </c>
      <c r="G270" s="972">
        <v>0</v>
      </c>
      <c r="H270" s="972">
        <v>0</v>
      </c>
      <c r="I270" s="972">
        <v>0</v>
      </c>
      <c r="J270" s="972">
        <v>0</v>
      </c>
      <c r="K270" s="972">
        <v>0</v>
      </c>
      <c r="L270" s="972">
        <v>0</v>
      </c>
      <c r="M270" s="972">
        <v>0</v>
      </c>
      <c r="N270" s="972">
        <v>0</v>
      </c>
      <c r="O270" s="972">
        <v>0</v>
      </c>
      <c r="P270" s="972">
        <v>0</v>
      </c>
      <c r="Q270" s="972">
        <v>363.11</v>
      </c>
      <c r="R270" s="962">
        <v>0</v>
      </c>
      <c r="S270" s="962" t="s">
        <v>4940</v>
      </c>
      <c r="T270" s="972">
        <v>0</v>
      </c>
    </row>
    <row r="271" spans="1:20">
      <c r="A271" s="962" t="s">
        <v>7275</v>
      </c>
      <c r="B271" s="972">
        <v>1235.896</v>
      </c>
      <c r="C271" s="972">
        <v>511.81700000000001</v>
      </c>
      <c r="D271" s="972">
        <v>6.6000000000000003E-2</v>
      </c>
      <c r="E271" s="972">
        <v>18.855</v>
      </c>
      <c r="F271" s="972">
        <v>0.224</v>
      </c>
      <c r="G271" s="972">
        <v>0.111</v>
      </c>
      <c r="H271" s="972">
        <v>0</v>
      </c>
      <c r="I271" s="972">
        <v>6.4450000000000003</v>
      </c>
      <c r="J271" s="972">
        <v>0</v>
      </c>
      <c r="K271" s="972">
        <v>0</v>
      </c>
      <c r="L271" s="972">
        <v>0</v>
      </c>
      <c r="M271" s="972">
        <v>0</v>
      </c>
      <c r="N271" s="972">
        <v>0</v>
      </c>
      <c r="O271" s="972">
        <v>6.7789999999999999</v>
      </c>
      <c r="P271" s="972">
        <v>0</v>
      </c>
      <c r="Q271" s="972">
        <v>1229.117</v>
      </c>
      <c r="R271" s="962">
        <v>0</v>
      </c>
      <c r="S271" s="962" t="s">
        <v>4940</v>
      </c>
      <c r="T271" s="972">
        <v>94.321833333333345</v>
      </c>
    </row>
    <row r="272" spans="1:20">
      <c r="A272" s="962" t="s">
        <v>7277</v>
      </c>
      <c r="B272" s="972">
        <v>565.84100000000001</v>
      </c>
      <c r="C272" s="972">
        <v>51.569000000000003</v>
      </c>
      <c r="D272" s="972">
        <v>0</v>
      </c>
      <c r="E272" s="972">
        <v>8.3539999999999992</v>
      </c>
      <c r="F272" s="972">
        <v>0.25800000000000001</v>
      </c>
      <c r="G272" s="972">
        <v>0</v>
      </c>
      <c r="H272" s="972">
        <v>78.501000000000005</v>
      </c>
      <c r="I272" s="972">
        <v>2.4430000000000001</v>
      </c>
      <c r="J272" s="972">
        <v>0</v>
      </c>
      <c r="K272" s="972">
        <v>0</v>
      </c>
      <c r="L272" s="972">
        <v>0</v>
      </c>
      <c r="M272" s="972">
        <v>0</v>
      </c>
      <c r="N272" s="972">
        <v>1.51</v>
      </c>
      <c r="O272" s="972">
        <v>82.710999999999999</v>
      </c>
      <c r="P272" s="972">
        <v>17.07</v>
      </c>
      <c r="Q272" s="972">
        <v>466.06</v>
      </c>
      <c r="R272" s="962">
        <v>0</v>
      </c>
      <c r="S272" s="962" t="s">
        <v>4940</v>
      </c>
      <c r="T272" s="972">
        <v>405.61616666666669</v>
      </c>
    </row>
    <row r="273" spans="1:20">
      <c r="A273" s="962" t="s">
        <v>3254</v>
      </c>
      <c r="B273" s="972">
        <v>1267.088</v>
      </c>
      <c r="C273" s="972">
        <v>587.68299999999999</v>
      </c>
      <c r="D273" s="972">
        <v>0</v>
      </c>
      <c r="E273" s="972">
        <v>15.815</v>
      </c>
      <c r="F273" s="972">
        <v>1.6220000000000001</v>
      </c>
      <c r="G273" s="972">
        <v>0</v>
      </c>
      <c r="H273" s="972">
        <v>0</v>
      </c>
      <c r="I273" s="972">
        <v>22.468</v>
      </c>
      <c r="J273" s="972">
        <v>2.9809999999999999</v>
      </c>
      <c r="K273" s="972">
        <v>0</v>
      </c>
      <c r="L273" s="972">
        <v>0</v>
      </c>
      <c r="M273" s="972">
        <v>0</v>
      </c>
      <c r="N273" s="972">
        <v>0</v>
      </c>
      <c r="O273" s="972">
        <v>27.07</v>
      </c>
      <c r="P273" s="972">
        <v>30.202999999999999</v>
      </c>
      <c r="Q273" s="972">
        <v>1209.8150000000001</v>
      </c>
      <c r="R273" s="962">
        <v>57</v>
      </c>
      <c r="S273" s="962" t="s">
        <v>4940</v>
      </c>
      <c r="T273" s="972">
        <v>166.31433333333334</v>
      </c>
    </row>
    <row r="274" spans="1:20">
      <c r="A274" s="962" t="s">
        <v>5309</v>
      </c>
      <c r="B274" s="972">
        <v>1249.5119999999999</v>
      </c>
      <c r="C274" s="972">
        <v>13.848000000000001</v>
      </c>
      <c r="D274" s="972">
        <v>0</v>
      </c>
      <c r="E274" s="972">
        <v>1.619</v>
      </c>
      <c r="F274" s="972">
        <v>1.7270000000000001</v>
      </c>
      <c r="G274" s="972">
        <v>0</v>
      </c>
      <c r="H274" s="972">
        <v>0</v>
      </c>
      <c r="I274" s="972">
        <v>35.999000000000002</v>
      </c>
      <c r="J274" s="972">
        <v>0</v>
      </c>
      <c r="K274" s="972">
        <v>0</v>
      </c>
      <c r="L274" s="972">
        <v>0</v>
      </c>
      <c r="M274" s="972">
        <v>0</v>
      </c>
      <c r="N274" s="972">
        <v>0</v>
      </c>
      <c r="O274" s="972">
        <v>37.725000000000001</v>
      </c>
      <c r="P274" s="972">
        <v>0</v>
      </c>
      <c r="Q274" s="972">
        <v>1211.787</v>
      </c>
      <c r="R274" s="962">
        <v>1</v>
      </c>
      <c r="S274" s="962" t="s">
        <v>4940</v>
      </c>
      <c r="T274" s="972">
        <v>0</v>
      </c>
    </row>
    <row r="275" spans="1:20">
      <c r="A275" s="962" t="s">
        <v>5311</v>
      </c>
      <c r="B275" s="972">
        <v>656.37599999999998</v>
      </c>
      <c r="C275" s="972">
        <v>17.314</v>
      </c>
      <c r="D275" s="972">
        <v>0</v>
      </c>
      <c r="E275" s="972">
        <v>141.40600000000001</v>
      </c>
      <c r="F275" s="972">
        <v>1.585</v>
      </c>
      <c r="G275" s="972">
        <v>0</v>
      </c>
      <c r="H275" s="972">
        <v>0</v>
      </c>
      <c r="I275" s="972">
        <v>11.885</v>
      </c>
      <c r="J275" s="972">
        <v>0</v>
      </c>
      <c r="K275" s="972">
        <v>0</v>
      </c>
      <c r="L275" s="972">
        <v>0</v>
      </c>
      <c r="M275" s="972">
        <v>0</v>
      </c>
      <c r="N275" s="972">
        <v>0</v>
      </c>
      <c r="O275" s="972">
        <v>13.47</v>
      </c>
      <c r="P275" s="972">
        <v>0</v>
      </c>
      <c r="Q275" s="972">
        <v>642.90599999999995</v>
      </c>
      <c r="R275" s="962">
        <v>0</v>
      </c>
      <c r="S275" s="962" t="s">
        <v>4940</v>
      </c>
      <c r="T275" s="972">
        <v>21.540500000000002</v>
      </c>
    </row>
    <row r="276" spans="1:20">
      <c r="A276" s="962" t="s">
        <v>5315</v>
      </c>
      <c r="B276" s="972">
        <v>104.066</v>
      </c>
      <c r="C276" s="972">
        <v>38.457000000000001</v>
      </c>
      <c r="D276" s="972">
        <v>0.35</v>
      </c>
      <c r="E276" s="972">
        <v>11.643000000000001</v>
      </c>
      <c r="F276" s="972">
        <v>0.26200000000000001</v>
      </c>
      <c r="G276" s="972">
        <v>0</v>
      </c>
      <c r="H276" s="972">
        <v>0</v>
      </c>
      <c r="I276" s="972">
        <v>5.0960000000000001</v>
      </c>
      <c r="J276" s="972">
        <v>0</v>
      </c>
      <c r="K276" s="972">
        <v>0</v>
      </c>
      <c r="L276" s="972">
        <v>0</v>
      </c>
      <c r="M276" s="972">
        <v>0</v>
      </c>
      <c r="N276" s="972">
        <v>0</v>
      </c>
      <c r="O276" s="972">
        <v>5.3579999999999997</v>
      </c>
      <c r="P276" s="972">
        <v>2.4780000000000002</v>
      </c>
      <c r="Q276" s="972">
        <v>96.23</v>
      </c>
      <c r="R276" s="962">
        <v>0</v>
      </c>
      <c r="S276" s="962" t="s">
        <v>4940</v>
      </c>
      <c r="T276" s="972">
        <v>21.654833333333332</v>
      </c>
    </row>
    <row r="277" spans="1:20">
      <c r="A277" s="962" t="s">
        <v>2098</v>
      </c>
      <c r="B277" s="972">
        <v>941.45899999999995</v>
      </c>
      <c r="C277" s="972">
        <v>3.907</v>
      </c>
      <c r="D277" s="972">
        <v>3.8940000000000001</v>
      </c>
      <c r="E277" s="972">
        <v>31.939</v>
      </c>
      <c r="F277" s="972">
        <v>0.75</v>
      </c>
      <c r="G277" s="972">
        <v>0</v>
      </c>
      <c r="H277" s="972">
        <v>0</v>
      </c>
      <c r="I277" s="972">
        <v>19.501000000000001</v>
      </c>
      <c r="J277" s="972">
        <v>0</v>
      </c>
      <c r="K277" s="972">
        <v>0</v>
      </c>
      <c r="L277" s="972">
        <v>0</v>
      </c>
      <c r="M277" s="972">
        <v>0</v>
      </c>
      <c r="N277" s="972">
        <v>0</v>
      </c>
      <c r="O277" s="972">
        <v>20.251000000000001</v>
      </c>
      <c r="P277" s="972">
        <v>61.348999999999997</v>
      </c>
      <c r="Q277" s="972">
        <v>859.85900000000004</v>
      </c>
      <c r="R277" s="962">
        <v>0</v>
      </c>
      <c r="S277" s="962" t="s">
        <v>4940</v>
      </c>
      <c r="T277" s="972">
        <v>316.68099999999998</v>
      </c>
    </row>
    <row r="278" spans="1:20">
      <c r="A278" s="962" t="s">
        <v>2100</v>
      </c>
      <c r="B278" s="972">
        <v>252.815</v>
      </c>
      <c r="C278" s="972">
        <v>71.293000000000006</v>
      </c>
      <c r="D278" s="972">
        <v>0</v>
      </c>
      <c r="E278" s="972">
        <v>0.995</v>
      </c>
      <c r="F278" s="972">
        <v>0.36499999999999999</v>
      </c>
      <c r="G278" s="972">
        <v>0</v>
      </c>
      <c r="H278" s="972">
        <v>0</v>
      </c>
      <c r="I278" s="972">
        <v>7.3959999999999999</v>
      </c>
      <c r="J278" s="972">
        <v>0</v>
      </c>
      <c r="K278" s="972">
        <v>0</v>
      </c>
      <c r="L278" s="972">
        <v>0</v>
      </c>
      <c r="M278" s="972">
        <v>0</v>
      </c>
      <c r="N278" s="972">
        <v>0</v>
      </c>
      <c r="O278" s="972">
        <v>7.7610000000000001</v>
      </c>
      <c r="P278" s="972">
        <v>0</v>
      </c>
      <c r="Q278" s="972">
        <v>245.054</v>
      </c>
      <c r="R278" s="962">
        <v>0</v>
      </c>
      <c r="S278" s="962" t="s">
        <v>4940</v>
      </c>
      <c r="T278" s="972">
        <v>0</v>
      </c>
    </row>
    <row r="279" spans="1:20">
      <c r="A279" s="962" t="s">
        <v>3260</v>
      </c>
      <c r="B279" s="972">
        <v>1225.184</v>
      </c>
      <c r="C279" s="972">
        <v>80.082999999999998</v>
      </c>
      <c r="D279" s="972">
        <v>7.4989999999999997</v>
      </c>
      <c r="E279" s="972">
        <v>126.06699999999999</v>
      </c>
      <c r="F279" s="972">
        <v>0.111</v>
      </c>
      <c r="G279" s="972">
        <v>2.4E-2</v>
      </c>
      <c r="H279" s="972">
        <v>0</v>
      </c>
      <c r="I279" s="972">
        <v>3.278</v>
      </c>
      <c r="J279" s="972">
        <v>0</v>
      </c>
      <c r="K279" s="972">
        <v>0</v>
      </c>
      <c r="L279" s="972">
        <v>0</v>
      </c>
      <c r="M279" s="972">
        <v>0</v>
      </c>
      <c r="N279" s="972">
        <v>0</v>
      </c>
      <c r="O279" s="972">
        <v>3.4129999999999998</v>
      </c>
      <c r="P279" s="972">
        <v>168.28299999999999</v>
      </c>
      <c r="Q279" s="972">
        <v>1053.4880000000001</v>
      </c>
      <c r="R279" s="962">
        <v>0</v>
      </c>
      <c r="S279" s="962" t="s">
        <v>4940</v>
      </c>
      <c r="T279" s="972">
        <v>1225.1651666666667</v>
      </c>
    </row>
    <row r="280" spans="1:20">
      <c r="A280" s="962" t="s">
        <v>3262</v>
      </c>
      <c r="B280" s="972">
        <v>962.51199999999994</v>
      </c>
      <c r="C280" s="972">
        <v>320.327</v>
      </c>
      <c r="D280" s="972">
        <v>0</v>
      </c>
      <c r="E280" s="972">
        <v>17.884</v>
      </c>
      <c r="F280" s="972">
        <v>1.296</v>
      </c>
      <c r="G280" s="972">
        <v>0</v>
      </c>
      <c r="H280" s="972">
        <v>0</v>
      </c>
      <c r="I280" s="972">
        <v>15.948</v>
      </c>
      <c r="J280" s="972">
        <v>5.8949999999999996</v>
      </c>
      <c r="K280" s="972">
        <v>0</v>
      </c>
      <c r="L280" s="972">
        <v>0</v>
      </c>
      <c r="M280" s="972">
        <v>0</v>
      </c>
      <c r="N280" s="972">
        <v>0</v>
      </c>
      <c r="O280" s="972">
        <v>23.138999999999999</v>
      </c>
      <c r="P280" s="972">
        <v>32.093000000000004</v>
      </c>
      <c r="Q280" s="972">
        <v>907.28</v>
      </c>
      <c r="R280" s="962">
        <v>49</v>
      </c>
      <c r="S280" s="962" t="s">
        <v>4940</v>
      </c>
      <c r="T280" s="972">
        <v>260.15866666666665</v>
      </c>
    </row>
    <row r="281" spans="1:20">
      <c r="A281" s="962" t="s">
        <v>3264</v>
      </c>
      <c r="B281" s="972">
        <v>871.90899999999999</v>
      </c>
      <c r="C281" s="972">
        <v>267.92</v>
      </c>
      <c r="D281" s="972">
        <v>0</v>
      </c>
      <c r="E281" s="972">
        <v>12.37</v>
      </c>
      <c r="F281" s="972">
        <v>1.0329999999999999</v>
      </c>
      <c r="G281" s="972">
        <v>0</v>
      </c>
      <c r="H281" s="972">
        <v>0</v>
      </c>
      <c r="I281" s="972">
        <v>13.662000000000001</v>
      </c>
      <c r="J281" s="972">
        <v>2.637</v>
      </c>
      <c r="K281" s="972">
        <v>0</v>
      </c>
      <c r="L281" s="972">
        <v>0</v>
      </c>
      <c r="M281" s="972">
        <v>0</v>
      </c>
      <c r="N281" s="972">
        <v>0</v>
      </c>
      <c r="O281" s="972">
        <v>17.332000000000001</v>
      </c>
      <c r="P281" s="972">
        <v>0</v>
      </c>
      <c r="Q281" s="972">
        <v>854.577</v>
      </c>
      <c r="R281" s="962">
        <v>0</v>
      </c>
      <c r="S281" s="962" t="s">
        <v>4940</v>
      </c>
      <c r="T281" s="972">
        <v>0</v>
      </c>
    </row>
    <row r="282" spans="1:20">
      <c r="A282" s="962" t="s">
        <v>3266</v>
      </c>
      <c r="B282" s="972">
        <v>755.45299999999997</v>
      </c>
      <c r="C282" s="972">
        <v>6.5970000000000004</v>
      </c>
      <c r="D282" s="972">
        <v>4.9000000000000002E-2</v>
      </c>
      <c r="E282" s="972">
        <v>7.7469999999999999</v>
      </c>
      <c r="F282" s="972">
        <v>1.002</v>
      </c>
      <c r="G282" s="972">
        <v>0</v>
      </c>
      <c r="H282" s="972">
        <v>0</v>
      </c>
      <c r="I282" s="972">
        <v>14.045</v>
      </c>
      <c r="J282" s="972">
        <v>0.47699999999999998</v>
      </c>
      <c r="K282" s="972">
        <v>0</v>
      </c>
      <c r="L282" s="972">
        <v>0</v>
      </c>
      <c r="M282" s="972">
        <v>0</v>
      </c>
      <c r="N282" s="972">
        <v>0</v>
      </c>
      <c r="O282" s="972">
        <v>15.523</v>
      </c>
      <c r="P282" s="972">
        <v>11.548</v>
      </c>
      <c r="Q282" s="972">
        <v>728.38199999999995</v>
      </c>
      <c r="R282" s="962">
        <v>27</v>
      </c>
      <c r="S282" s="962" t="s">
        <v>4940</v>
      </c>
      <c r="T282" s="972">
        <v>154.04866666666669</v>
      </c>
    </row>
    <row r="283" spans="1:20">
      <c r="A283" s="962" t="s">
        <v>2102</v>
      </c>
      <c r="B283" s="972">
        <v>149.43</v>
      </c>
      <c r="C283" s="972">
        <v>5.6</v>
      </c>
      <c r="D283" s="972">
        <v>0</v>
      </c>
      <c r="E283" s="972">
        <v>7.2450000000000001</v>
      </c>
      <c r="F283" s="972">
        <v>0.30299999999999999</v>
      </c>
      <c r="G283" s="972">
        <v>0</v>
      </c>
      <c r="H283" s="972">
        <v>0</v>
      </c>
      <c r="I283" s="972">
        <v>4.6360000000000001</v>
      </c>
      <c r="J283" s="972">
        <v>6.7000000000000004E-2</v>
      </c>
      <c r="K283" s="972">
        <v>0</v>
      </c>
      <c r="L283" s="972">
        <v>0</v>
      </c>
      <c r="M283" s="972">
        <v>0</v>
      </c>
      <c r="N283" s="972">
        <v>0</v>
      </c>
      <c r="O283" s="972">
        <v>5.0060000000000002</v>
      </c>
      <c r="P283" s="972">
        <v>3.2210000000000001</v>
      </c>
      <c r="Q283" s="972">
        <v>141.203</v>
      </c>
      <c r="R283" s="962">
        <v>0</v>
      </c>
      <c r="S283" s="962" t="s">
        <v>4940</v>
      </c>
      <c r="T283" s="972">
        <v>74.053333333333342</v>
      </c>
    </row>
    <row r="284" spans="1:20">
      <c r="A284" s="962" t="s">
        <v>3268</v>
      </c>
      <c r="B284" s="972">
        <v>203.78399999999999</v>
      </c>
      <c r="C284" s="972">
        <v>2.7090000000000001</v>
      </c>
      <c r="D284" s="972">
        <v>0</v>
      </c>
      <c r="E284" s="972">
        <v>3.79</v>
      </c>
      <c r="F284" s="972">
        <v>0.34799999999999998</v>
      </c>
      <c r="G284" s="972">
        <v>0</v>
      </c>
      <c r="H284" s="972">
        <v>0</v>
      </c>
      <c r="I284" s="972">
        <v>2.7090000000000001</v>
      </c>
      <c r="J284" s="972">
        <v>0</v>
      </c>
      <c r="K284" s="972">
        <v>0</v>
      </c>
      <c r="L284" s="972">
        <v>0</v>
      </c>
      <c r="M284" s="972">
        <v>0</v>
      </c>
      <c r="N284" s="972">
        <v>0</v>
      </c>
      <c r="O284" s="972">
        <v>3.0579999999999998</v>
      </c>
      <c r="P284" s="972">
        <v>0</v>
      </c>
      <c r="Q284" s="972">
        <v>200.726</v>
      </c>
      <c r="R284" s="962">
        <v>4</v>
      </c>
      <c r="S284" s="962" t="s">
        <v>4940</v>
      </c>
      <c r="T284" s="972">
        <v>0</v>
      </c>
    </row>
    <row r="285" spans="1:20">
      <c r="A285" s="962" t="s">
        <v>3270</v>
      </c>
      <c r="B285" s="972">
        <v>273.08600000000001</v>
      </c>
      <c r="C285" s="972">
        <v>14.8</v>
      </c>
      <c r="D285" s="972">
        <v>2.9420000000000002</v>
      </c>
      <c r="E285" s="972">
        <v>7.78</v>
      </c>
      <c r="F285" s="972">
        <v>0.125</v>
      </c>
      <c r="G285" s="972">
        <v>0</v>
      </c>
      <c r="H285" s="972">
        <v>0</v>
      </c>
      <c r="I285" s="972">
        <v>17.334</v>
      </c>
      <c r="J285" s="972">
        <v>0</v>
      </c>
      <c r="K285" s="972">
        <v>0</v>
      </c>
      <c r="L285" s="972">
        <v>0</v>
      </c>
      <c r="M285" s="972">
        <v>0</v>
      </c>
      <c r="N285" s="972">
        <v>0</v>
      </c>
      <c r="O285" s="972">
        <v>17.459</v>
      </c>
      <c r="P285" s="972">
        <v>25.189</v>
      </c>
      <c r="Q285" s="972">
        <v>230.43799999999999</v>
      </c>
      <c r="R285" s="962">
        <v>0</v>
      </c>
      <c r="S285" s="962" t="s">
        <v>4940</v>
      </c>
      <c r="T285" s="972">
        <v>273.08449999999999</v>
      </c>
    </row>
    <row r="286" spans="1:20">
      <c r="A286" s="962" t="s">
        <v>3272</v>
      </c>
      <c r="B286" s="972">
        <v>667.21400000000006</v>
      </c>
      <c r="C286" s="972">
        <v>260.14699999999999</v>
      </c>
      <c r="D286" s="972">
        <v>0</v>
      </c>
      <c r="E286" s="972">
        <v>2.7789999999999999</v>
      </c>
      <c r="F286" s="972">
        <v>0.35799999999999998</v>
      </c>
      <c r="G286" s="972">
        <v>0</v>
      </c>
      <c r="H286" s="972">
        <v>0</v>
      </c>
      <c r="I286" s="972">
        <v>10.5</v>
      </c>
      <c r="J286" s="972">
        <v>2.2679999999999998</v>
      </c>
      <c r="K286" s="972">
        <v>0</v>
      </c>
      <c r="L286" s="972">
        <v>0</v>
      </c>
      <c r="M286" s="972">
        <v>0</v>
      </c>
      <c r="N286" s="972">
        <v>0</v>
      </c>
      <c r="O286" s="972">
        <v>13.125999999999999</v>
      </c>
      <c r="P286" s="972">
        <v>0</v>
      </c>
      <c r="Q286" s="972">
        <v>654.08799999999997</v>
      </c>
      <c r="R286" s="962">
        <v>0</v>
      </c>
      <c r="S286" s="962" t="s">
        <v>4940</v>
      </c>
      <c r="T286" s="972">
        <v>0</v>
      </c>
    </row>
    <row r="287" spans="1:20">
      <c r="A287" s="962" t="s">
        <v>3274</v>
      </c>
      <c r="B287" s="972">
        <v>277.05500000000001</v>
      </c>
      <c r="C287" s="972">
        <v>0</v>
      </c>
      <c r="D287" s="972">
        <v>0</v>
      </c>
      <c r="E287" s="972">
        <v>0.65300000000000002</v>
      </c>
      <c r="F287" s="972">
        <v>0.183</v>
      </c>
      <c r="G287" s="972">
        <v>0</v>
      </c>
      <c r="H287" s="972">
        <v>0</v>
      </c>
      <c r="I287" s="972">
        <v>4.7919999999999998</v>
      </c>
      <c r="J287" s="972">
        <v>0</v>
      </c>
      <c r="K287" s="972">
        <v>0</v>
      </c>
      <c r="L287" s="972">
        <v>0</v>
      </c>
      <c r="M287" s="972">
        <v>0</v>
      </c>
      <c r="N287" s="972">
        <v>0</v>
      </c>
      <c r="O287" s="972">
        <v>4.9740000000000002</v>
      </c>
      <c r="P287" s="972">
        <v>0</v>
      </c>
      <c r="Q287" s="972">
        <v>272.08</v>
      </c>
      <c r="R287" s="962">
        <v>23</v>
      </c>
      <c r="S287" s="962" t="s">
        <v>4940</v>
      </c>
      <c r="T287" s="972">
        <v>0</v>
      </c>
    </row>
    <row r="288" spans="1:20">
      <c r="A288" s="962" t="s">
        <v>3276</v>
      </c>
      <c r="B288" s="972">
        <v>284.12099999999998</v>
      </c>
      <c r="C288" s="972">
        <v>32.817</v>
      </c>
      <c r="D288" s="972">
        <v>0</v>
      </c>
      <c r="E288" s="972">
        <v>20.408999999999999</v>
      </c>
      <c r="F288" s="972">
        <v>0.155</v>
      </c>
      <c r="G288" s="972">
        <v>0</v>
      </c>
      <c r="H288" s="972">
        <v>0</v>
      </c>
      <c r="I288" s="972">
        <v>0</v>
      </c>
      <c r="J288" s="972">
        <v>0</v>
      </c>
      <c r="K288" s="972">
        <v>0</v>
      </c>
      <c r="L288" s="972">
        <v>0</v>
      </c>
      <c r="M288" s="972">
        <v>0</v>
      </c>
      <c r="N288" s="972">
        <v>0</v>
      </c>
      <c r="O288" s="972">
        <v>0.155</v>
      </c>
      <c r="P288" s="972">
        <v>0</v>
      </c>
      <c r="Q288" s="972">
        <v>283.96600000000001</v>
      </c>
      <c r="R288" s="962">
        <v>0</v>
      </c>
      <c r="S288" s="962" t="s">
        <v>4940</v>
      </c>
      <c r="T288" s="972">
        <v>0</v>
      </c>
    </row>
    <row r="289" spans="1:20">
      <c r="A289" s="962" t="s">
        <v>3278</v>
      </c>
      <c r="B289" s="972">
        <v>1053.0429999999999</v>
      </c>
      <c r="C289" s="972">
        <v>166.18199999999999</v>
      </c>
      <c r="D289" s="972">
        <v>0</v>
      </c>
      <c r="E289" s="972">
        <v>33.866</v>
      </c>
      <c r="F289" s="972">
        <v>0.76200000000000001</v>
      </c>
      <c r="G289" s="972">
        <v>0</v>
      </c>
      <c r="H289" s="972">
        <v>0</v>
      </c>
      <c r="I289" s="972">
        <v>10.573</v>
      </c>
      <c r="J289" s="972">
        <v>0.32600000000000001</v>
      </c>
      <c r="K289" s="972">
        <v>0</v>
      </c>
      <c r="L289" s="972">
        <v>0</v>
      </c>
      <c r="M289" s="972">
        <v>0</v>
      </c>
      <c r="N289" s="972">
        <v>0</v>
      </c>
      <c r="O289" s="972">
        <v>11.661</v>
      </c>
      <c r="P289" s="972">
        <v>0</v>
      </c>
      <c r="Q289" s="972">
        <v>1041.3820000000001</v>
      </c>
      <c r="R289" s="962">
        <v>0</v>
      </c>
      <c r="S289" s="962" t="s">
        <v>4940</v>
      </c>
      <c r="T289" s="972">
        <v>241.77483333333333</v>
      </c>
    </row>
    <row r="290" spans="1:20">
      <c r="A290" s="962" t="s">
        <v>164</v>
      </c>
      <c r="B290" s="972">
        <v>461.24099999999999</v>
      </c>
      <c r="C290" s="972">
        <v>254.37700000000001</v>
      </c>
      <c r="D290" s="972">
        <v>0</v>
      </c>
      <c r="E290" s="972">
        <v>19.917999999999999</v>
      </c>
      <c r="F290" s="972">
        <v>1.099</v>
      </c>
      <c r="G290" s="972">
        <v>0</v>
      </c>
      <c r="H290" s="972">
        <v>0</v>
      </c>
      <c r="I290" s="972">
        <v>3.867</v>
      </c>
      <c r="J290" s="972">
        <v>0.35199999999999998</v>
      </c>
      <c r="K290" s="972">
        <v>0</v>
      </c>
      <c r="L290" s="972">
        <v>0</v>
      </c>
      <c r="M290" s="972">
        <v>0</v>
      </c>
      <c r="N290" s="972">
        <v>0</v>
      </c>
      <c r="O290" s="972">
        <v>5.3170000000000002</v>
      </c>
      <c r="P290" s="972">
        <v>0</v>
      </c>
      <c r="Q290" s="972">
        <v>455.92399999999998</v>
      </c>
      <c r="R290" s="962">
        <v>0</v>
      </c>
      <c r="S290" s="962" t="s">
        <v>4940</v>
      </c>
      <c r="T290" s="972">
        <v>0</v>
      </c>
    </row>
    <row r="291" spans="1:20">
      <c r="A291" s="962" t="s">
        <v>165</v>
      </c>
      <c r="B291" s="972">
        <v>379.733</v>
      </c>
      <c r="C291" s="972">
        <v>0</v>
      </c>
      <c r="D291" s="972">
        <v>0</v>
      </c>
      <c r="E291" s="972">
        <v>0</v>
      </c>
      <c r="F291" s="972">
        <v>0</v>
      </c>
      <c r="G291" s="972">
        <v>0</v>
      </c>
      <c r="H291" s="972">
        <v>0</v>
      </c>
      <c r="I291" s="972">
        <v>0.16800000000000001</v>
      </c>
      <c r="J291" s="972">
        <v>0</v>
      </c>
      <c r="K291" s="972">
        <v>0</v>
      </c>
      <c r="L291" s="972">
        <v>0</v>
      </c>
      <c r="M291" s="972">
        <v>0</v>
      </c>
      <c r="N291" s="972">
        <v>0</v>
      </c>
      <c r="O291" s="972">
        <v>0.16800000000000001</v>
      </c>
      <c r="P291" s="972">
        <v>38.966999999999999</v>
      </c>
      <c r="Q291" s="972">
        <v>340.59800000000001</v>
      </c>
      <c r="R291" s="962">
        <v>0</v>
      </c>
      <c r="S291" s="962" t="s">
        <v>4940</v>
      </c>
      <c r="T291" s="972">
        <v>379.73233333333332</v>
      </c>
    </row>
    <row r="292" spans="1:20">
      <c r="A292" s="962" t="s">
        <v>166</v>
      </c>
      <c r="B292" s="972">
        <v>144.70599999999999</v>
      </c>
      <c r="C292" s="972">
        <v>81.997</v>
      </c>
      <c r="D292" s="972">
        <v>0</v>
      </c>
      <c r="E292" s="972">
        <v>6.2E-2</v>
      </c>
      <c r="F292" s="972">
        <v>0.19800000000000001</v>
      </c>
      <c r="G292" s="972">
        <v>0</v>
      </c>
      <c r="H292" s="972">
        <v>0</v>
      </c>
      <c r="I292" s="972">
        <v>0.33300000000000002</v>
      </c>
      <c r="J292" s="972">
        <v>0</v>
      </c>
      <c r="K292" s="972">
        <v>0</v>
      </c>
      <c r="L292" s="972">
        <v>0</v>
      </c>
      <c r="M292" s="972">
        <v>0</v>
      </c>
      <c r="N292" s="972">
        <v>0</v>
      </c>
      <c r="O292" s="972">
        <v>0.53</v>
      </c>
      <c r="P292" s="972">
        <v>0</v>
      </c>
      <c r="Q292" s="972">
        <v>144.17599999999999</v>
      </c>
      <c r="R292" s="962">
        <v>0</v>
      </c>
      <c r="S292" s="962" t="s">
        <v>4940</v>
      </c>
      <c r="T292" s="972">
        <v>0</v>
      </c>
    </row>
    <row r="293" spans="1:20">
      <c r="A293" s="962" t="s">
        <v>7796</v>
      </c>
      <c r="B293" s="972">
        <v>877.57100000000003</v>
      </c>
      <c r="C293" s="972">
        <v>357.47300000000001</v>
      </c>
      <c r="D293" s="972">
        <v>0</v>
      </c>
      <c r="E293" s="972">
        <v>14.829000000000001</v>
      </c>
      <c r="F293" s="972">
        <v>0.56000000000000005</v>
      </c>
      <c r="G293" s="972">
        <v>0</v>
      </c>
      <c r="H293" s="972">
        <v>0</v>
      </c>
      <c r="I293" s="972">
        <v>5.45</v>
      </c>
      <c r="J293" s="972">
        <v>0.93400000000000005</v>
      </c>
      <c r="K293" s="972">
        <v>0</v>
      </c>
      <c r="L293" s="972">
        <v>0</v>
      </c>
      <c r="M293" s="972">
        <v>0</v>
      </c>
      <c r="N293" s="972">
        <v>0</v>
      </c>
      <c r="O293" s="972">
        <v>6.9429999999999996</v>
      </c>
      <c r="P293" s="972">
        <v>0</v>
      </c>
      <c r="Q293" s="972">
        <v>870.62900000000002</v>
      </c>
      <c r="R293" s="962">
        <v>0</v>
      </c>
      <c r="S293" s="962" t="s">
        <v>4940</v>
      </c>
      <c r="T293" s="972">
        <v>239.86133333333333</v>
      </c>
    </row>
    <row r="294" spans="1:20">
      <c r="A294" s="962" t="s">
        <v>7797</v>
      </c>
      <c r="B294" s="972">
        <v>661.68399999999997</v>
      </c>
      <c r="C294" s="972">
        <v>25.190999999999999</v>
      </c>
      <c r="D294" s="972">
        <v>0</v>
      </c>
      <c r="E294" s="972">
        <v>33.375999999999998</v>
      </c>
      <c r="F294" s="972">
        <v>0.158</v>
      </c>
      <c r="G294" s="972">
        <v>0</v>
      </c>
      <c r="H294" s="972">
        <v>0</v>
      </c>
      <c r="I294" s="972">
        <v>3.722</v>
      </c>
      <c r="J294" s="972">
        <v>0</v>
      </c>
      <c r="K294" s="972">
        <v>0</v>
      </c>
      <c r="L294" s="972">
        <v>0</v>
      </c>
      <c r="M294" s="972">
        <v>0</v>
      </c>
      <c r="N294" s="972">
        <v>0</v>
      </c>
      <c r="O294" s="972">
        <v>3.88</v>
      </c>
      <c r="P294" s="972">
        <v>0</v>
      </c>
      <c r="Q294" s="972">
        <v>657.80399999999997</v>
      </c>
      <c r="R294" s="962">
        <v>0</v>
      </c>
      <c r="S294" s="962" t="s">
        <v>4940</v>
      </c>
      <c r="T294" s="972">
        <v>194.21949999999998</v>
      </c>
    </row>
    <row r="295" spans="1:20">
      <c r="A295" s="962" t="s">
        <v>7945</v>
      </c>
      <c r="B295" s="972">
        <v>341.72399999999999</v>
      </c>
      <c r="C295" s="972">
        <v>113.664</v>
      </c>
      <c r="D295" s="972">
        <v>0</v>
      </c>
      <c r="E295" s="972">
        <v>1.6739999999999999</v>
      </c>
      <c r="F295" s="972">
        <v>0.27800000000000002</v>
      </c>
      <c r="G295" s="972">
        <v>0</v>
      </c>
      <c r="H295" s="972">
        <v>0</v>
      </c>
      <c r="I295" s="972">
        <v>4.9820000000000002</v>
      </c>
      <c r="J295" s="972">
        <v>0.27900000000000003</v>
      </c>
      <c r="K295" s="972">
        <v>0</v>
      </c>
      <c r="L295" s="972">
        <v>0</v>
      </c>
      <c r="M295" s="972">
        <v>0</v>
      </c>
      <c r="N295" s="972">
        <v>0</v>
      </c>
      <c r="O295" s="972">
        <v>5.5389999999999997</v>
      </c>
      <c r="P295" s="972">
        <v>0</v>
      </c>
      <c r="Q295" s="972">
        <v>336.185</v>
      </c>
      <c r="R295" s="962">
        <v>0</v>
      </c>
      <c r="S295" s="962" t="s">
        <v>4940</v>
      </c>
      <c r="T295" s="972">
        <v>0</v>
      </c>
    </row>
    <row r="296" spans="1:20">
      <c r="A296" s="962" t="s">
        <v>2104</v>
      </c>
      <c r="B296" s="972">
        <v>24456.707999999999</v>
      </c>
      <c r="C296" s="972">
        <v>5280.0789999999997</v>
      </c>
      <c r="D296" s="972">
        <v>10.451000000000001</v>
      </c>
      <c r="E296" s="972">
        <v>86.162999999999997</v>
      </c>
      <c r="F296" s="972">
        <v>49.582000000000001</v>
      </c>
      <c r="G296" s="972">
        <v>0.34399999999999997</v>
      </c>
      <c r="H296" s="972">
        <v>0</v>
      </c>
      <c r="I296" s="972">
        <v>592.48599999999999</v>
      </c>
      <c r="J296" s="972">
        <v>238.74100000000001</v>
      </c>
      <c r="K296" s="972">
        <v>0</v>
      </c>
      <c r="L296" s="972">
        <v>9.1210000000000004</v>
      </c>
      <c r="M296" s="972">
        <v>0</v>
      </c>
      <c r="N296" s="972">
        <v>3.5750000000000002</v>
      </c>
      <c r="O296" s="972">
        <v>893.84799999999996</v>
      </c>
      <c r="P296" s="972">
        <v>843.45500000000004</v>
      </c>
      <c r="Q296" s="972">
        <v>22719.404999999999</v>
      </c>
      <c r="R296" s="962">
        <v>2696</v>
      </c>
      <c r="S296" s="962" t="s">
        <v>4940</v>
      </c>
      <c r="T296" s="972">
        <v>6967.6965</v>
      </c>
    </row>
    <row r="297" spans="1:20">
      <c r="A297" s="962" t="s">
        <v>2106</v>
      </c>
      <c r="B297" s="972">
        <v>7697.5339999999997</v>
      </c>
      <c r="C297" s="972">
        <v>326.59199999999998</v>
      </c>
      <c r="D297" s="972">
        <v>2.7469999999999999</v>
      </c>
      <c r="E297" s="972">
        <v>6.0330000000000004</v>
      </c>
      <c r="F297" s="972">
        <v>10.96</v>
      </c>
      <c r="G297" s="972">
        <v>0.42799999999999999</v>
      </c>
      <c r="H297" s="972">
        <v>0</v>
      </c>
      <c r="I297" s="972">
        <v>200.82900000000001</v>
      </c>
      <c r="J297" s="972">
        <v>46.026000000000003</v>
      </c>
      <c r="K297" s="972">
        <v>0.10199999999999999</v>
      </c>
      <c r="L297" s="972">
        <v>0</v>
      </c>
      <c r="M297" s="972">
        <v>0</v>
      </c>
      <c r="N297" s="972">
        <v>26.831</v>
      </c>
      <c r="O297" s="972">
        <v>285.17399999999998</v>
      </c>
      <c r="P297" s="972">
        <v>395.274</v>
      </c>
      <c r="Q297" s="972">
        <v>7017.0860000000002</v>
      </c>
      <c r="R297" s="962">
        <v>344</v>
      </c>
      <c r="S297" s="962" t="s">
        <v>4940</v>
      </c>
      <c r="T297" s="972">
        <v>2442.5464999999999</v>
      </c>
    </row>
    <row r="298" spans="1:20">
      <c r="A298" s="962" t="s">
        <v>2108</v>
      </c>
      <c r="B298" s="972">
        <v>144286.68900000001</v>
      </c>
      <c r="C298" s="972">
        <v>49366.48</v>
      </c>
      <c r="D298" s="972">
        <v>76.204999999999998</v>
      </c>
      <c r="E298" s="972">
        <v>5049.2849999999999</v>
      </c>
      <c r="F298" s="972">
        <v>157.41999999999999</v>
      </c>
      <c r="G298" s="972">
        <v>5.59</v>
      </c>
      <c r="H298" s="972">
        <v>12.03</v>
      </c>
      <c r="I298" s="972">
        <v>1422.432</v>
      </c>
      <c r="J298" s="972">
        <v>728.49200000000008</v>
      </c>
      <c r="K298" s="972">
        <v>5.2949999999999999</v>
      </c>
      <c r="L298" s="972">
        <v>29.562000000000001</v>
      </c>
      <c r="M298" s="972">
        <v>0</v>
      </c>
      <c r="N298" s="972">
        <v>19.815999999999999</v>
      </c>
      <c r="O298" s="972">
        <v>2380.627</v>
      </c>
      <c r="P298" s="972">
        <v>5813.607</v>
      </c>
      <c r="Q298" s="972">
        <v>136092.45499999999</v>
      </c>
      <c r="R298" s="962">
        <v>20119</v>
      </c>
      <c r="S298" s="962" t="s">
        <v>4940</v>
      </c>
      <c r="T298" s="972">
        <v>33930.925000000017</v>
      </c>
    </row>
    <row r="299" spans="1:20">
      <c r="A299" s="962" t="s">
        <v>2110</v>
      </c>
      <c r="B299" s="972">
        <v>8572.0439999999999</v>
      </c>
      <c r="C299" s="972">
        <v>490.09899999999999</v>
      </c>
      <c r="D299" s="972">
        <v>2.2290000000000001</v>
      </c>
      <c r="E299" s="972">
        <v>37.585000000000001</v>
      </c>
      <c r="F299" s="972">
        <v>15.231999999999999</v>
      </c>
      <c r="G299" s="972">
        <v>0.41199999999999998</v>
      </c>
      <c r="H299" s="972">
        <v>0</v>
      </c>
      <c r="I299" s="972">
        <v>269.286</v>
      </c>
      <c r="J299" s="972">
        <v>60.512</v>
      </c>
      <c r="K299" s="972">
        <v>0.874</v>
      </c>
      <c r="L299" s="972">
        <v>0</v>
      </c>
      <c r="M299" s="972">
        <v>0</v>
      </c>
      <c r="N299" s="972">
        <v>54.137</v>
      </c>
      <c r="O299" s="972">
        <v>400.45299999999997</v>
      </c>
      <c r="P299" s="972">
        <v>392.98</v>
      </c>
      <c r="Q299" s="972">
        <v>7778.6109999999999</v>
      </c>
      <c r="R299" s="962">
        <v>923</v>
      </c>
      <c r="S299" s="962" t="s">
        <v>4940</v>
      </c>
      <c r="T299" s="972">
        <v>2619.3095000000003</v>
      </c>
    </row>
    <row r="300" spans="1:20">
      <c r="A300" s="962" t="s">
        <v>2112</v>
      </c>
      <c r="B300" s="972">
        <v>12058.324000000001</v>
      </c>
      <c r="C300" s="972">
        <v>1461.317</v>
      </c>
      <c r="D300" s="972">
        <v>4.8550000000000004</v>
      </c>
      <c r="E300" s="972">
        <v>22.564</v>
      </c>
      <c r="F300" s="972">
        <v>17.887</v>
      </c>
      <c r="G300" s="972">
        <v>0.48699999999999999</v>
      </c>
      <c r="H300" s="972">
        <v>0</v>
      </c>
      <c r="I300" s="972">
        <v>361.64299999999997</v>
      </c>
      <c r="J300" s="972">
        <v>92.444999999999993</v>
      </c>
      <c r="K300" s="972">
        <v>0</v>
      </c>
      <c r="L300" s="972">
        <v>0.85899999999999999</v>
      </c>
      <c r="M300" s="972">
        <v>0</v>
      </c>
      <c r="N300" s="972">
        <v>19.026</v>
      </c>
      <c r="O300" s="972">
        <v>492.34699999999998</v>
      </c>
      <c r="P300" s="972">
        <v>848.51700000000005</v>
      </c>
      <c r="Q300" s="972">
        <v>10717.46</v>
      </c>
      <c r="R300" s="962">
        <v>972</v>
      </c>
      <c r="S300" s="962" t="s">
        <v>4940</v>
      </c>
      <c r="T300" s="972">
        <v>3565.4361666666664</v>
      </c>
    </row>
    <row r="301" spans="1:20">
      <c r="A301" s="962" t="s">
        <v>1317</v>
      </c>
      <c r="B301" s="972">
        <v>54375.42</v>
      </c>
      <c r="C301" s="972">
        <v>10836.017</v>
      </c>
      <c r="D301" s="972">
        <v>23.35</v>
      </c>
      <c r="E301" s="972">
        <v>1075.2829999999999</v>
      </c>
      <c r="F301" s="972">
        <v>97.036000000000001</v>
      </c>
      <c r="G301" s="972">
        <v>1.5329999999999999</v>
      </c>
      <c r="H301" s="972">
        <v>0</v>
      </c>
      <c r="I301" s="972">
        <v>1179.6410000000001</v>
      </c>
      <c r="J301" s="972">
        <v>314.03400000000005</v>
      </c>
      <c r="K301" s="972">
        <v>20.327000000000002</v>
      </c>
      <c r="L301" s="972">
        <v>2.645</v>
      </c>
      <c r="M301" s="972">
        <v>0</v>
      </c>
      <c r="N301" s="972">
        <v>27.219000000000001</v>
      </c>
      <c r="O301" s="972">
        <v>1642.4359999999999</v>
      </c>
      <c r="P301" s="972">
        <v>3095.9949999999999</v>
      </c>
      <c r="Q301" s="972">
        <v>49636.989000000001</v>
      </c>
      <c r="R301" s="962">
        <v>4494</v>
      </c>
      <c r="S301" s="962" t="s">
        <v>4940</v>
      </c>
      <c r="T301" s="972">
        <v>16128.551166666664</v>
      </c>
    </row>
    <row r="302" spans="1:20">
      <c r="A302" s="962" t="s">
        <v>587</v>
      </c>
      <c r="B302" s="972">
        <v>24583.666000000001</v>
      </c>
      <c r="C302" s="972">
        <v>5703.5529999999999</v>
      </c>
      <c r="D302" s="972">
        <v>13.366</v>
      </c>
      <c r="E302" s="972">
        <v>902.87099999999998</v>
      </c>
      <c r="F302" s="972">
        <v>42.393999999999998</v>
      </c>
      <c r="G302" s="972">
        <v>0.86499999999999999</v>
      </c>
      <c r="H302" s="972">
        <v>0</v>
      </c>
      <c r="I302" s="972">
        <v>245.03700000000001</v>
      </c>
      <c r="J302" s="972">
        <v>177.09799999999998</v>
      </c>
      <c r="K302" s="972">
        <v>0</v>
      </c>
      <c r="L302" s="972">
        <v>3.74</v>
      </c>
      <c r="M302" s="972">
        <v>0</v>
      </c>
      <c r="N302" s="972">
        <v>1.579</v>
      </c>
      <c r="O302" s="972">
        <v>470.71</v>
      </c>
      <c r="P302" s="972">
        <v>1038.222</v>
      </c>
      <c r="Q302" s="972">
        <v>23074.734</v>
      </c>
      <c r="R302" s="962">
        <v>2353</v>
      </c>
      <c r="S302" s="962" t="s">
        <v>4940</v>
      </c>
      <c r="T302" s="972">
        <v>6821.34</v>
      </c>
    </row>
    <row r="303" spans="1:20">
      <c r="A303" s="962" t="s">
        <v>4569</v>
      </c>
      <c r="B303" s="972">
        <v>6454.174</v>
      </c>
      <c r="C303" s="972">
        <v>30.847000000000001</v>
      </c>
      <c r="D303" s="972">
        <v>0</v>
      </c>
      <c r="E303" s="972">
        <v>123.724</v>
      </c>
      <c r="F303" s="972">
        <v>12.760999999999999</v>
      </c>
      <c r="G303" s="972">
        <v>8.3000000000000004E-2</v>
      </c>
      <c r="H303" s="972">
        <v>0.68799999999999994</v>
      </c>
      <c r="I303" s="972">
        <v>73.375</v>
      </c>
      <c r="J303" s="972">
        <v>34.906999999999996</v>
      </c>
      <c r="K303" s="972">
        <v>0</v>
      </c>
      <c r="L303" s="972">
        <v>1.046</v>
      </c>
      <c r="M303" s="972">
        <v>0</v>
      </c>
      <c r="N303" s="972">
        <v>0</v>
      </c>
      <c r="O303" s="972">
        <v>122.86</v>
      </c>
      <c r="P303" s="972">
        <v>63.582999999999998</v>
      </c>
      <c r="Q303" s="972">
        <v>6267.7309999999998</v>
      </c>
      <c r="R303" s="962">
        <v>869</v>
      </c>
      <c r="S303" s="962" t="s">
        <v>4940</v>
      </c>
      <c r="T303" s="972">
        <v>1953.2143333333336</v>
      </c>
    </row>
    <row r="304" spans="1:20">
      <c r="A304" s="962" t="s">
        <v>6021</v>
      </c>
      <c r="B304" s="972">
        <v>31489.464</v>
      </c>
      <c r="C304" s="972">
        <v>11826.982</v>
      </c>
      <c r="D304" s="972">
        <v>15.712999999999999</v>
      </c>
      <c r="E304" s="972">
        <v>854.11</v>
      </c>
      <c r="F304" s="972">
        <v>47.540999999999997</v>
      </c>
      <c r="G304" s="972">
        <v>2.137</v>
      </c>
      <c r="H304" s="972">
        <v>0.14299999999999999</v>
      </c>
      <c r="I304" s="972">
        <v>398.858</v>
      </c>
      <c r="J304" s="972">
        <v>227.97899999999998</v>
      </c>
      <c r="K304" s="972">
        <v>24.045000000000002</v>
      </c>
      <c r="L304" s="972">
        <v>9.3670000000000009</v>
      </c>
      <c r="M304" s="972">
        <v>0</v>
      </c>
      <c r="N304" s="972">
        <v>12.433999999999999</v>
      </c>
      <c r="O304" s="972">
        <v>722.50099999999998</v>
      </c>
      <c r="P304" s="972">
        <v>1802.7550000000001</v>
      </c>
      <c r="Q304" s="972">
        <v>28964.208999999999</v>
      </c>
      <c r="R304" s="962">
        <v>4545</v>
      </c>
      <c r="S304" s="962" t="s">
        <v>4940</v>
      </c>
      <c r="T304" s="972">
        <v>8428.2561666666661</v>
      </c>
    </row>
    <row r="305" spans="1:20">
      <c r="A305" s="962" t="s">
        <v>4571</v>
      </c>
      <c r="B305" s="972">
        <v>5927.46</v>
      </c>
      <c r="C305" s="972">
        <v>426.47</v>
      </c>
      <c r="D305" s="972">
        <v>1.585</v>
      </c>
      <c r="E305" s="972">
        <v>2.145</v>
      </c>
      <c r="F305" s="972">
        <v>7.3849999999999998</v>
      </c>
      <c r="G305" s="972">
        <v>1.4999999999999999E-2</v>
      </c>
      <c r="H305" s="972">
        <v>0</v>
      </c>
      <c r="I305" s="972">
        <v>198.35</v>
      </c>
      <c r="J305" s="972">
        <v>40.959000000000003</v>
      </c>
      <c r="K305" s="972">
        <v>0</v>
      </c>
      <c r="L305" s="972">
        <v>9.5470000000000006</v>
      </c>
      <c r="M305" s="972">
        <v>0</v>
      </c>
      <c r="N305" s="972">
        <v>0</v>
      </c>
      <c r="O305" s="972">
        <v>256.25599999999997</v>
      </c>
      <c r="P305" s="972">
        <v>269.73700000000002</v>
      </c>
      <c r="Q305" s="972">
        <v>5401.4679999999998</v>
      </c>
      <c r="R305" s="962">
        <v>584</v>
      </c>
      <c r="S305" s="962" t="s">
        <v>4940</v>
      </c>
      <c r="T305" s="972">
        <v>1618.1353333333329</v>
      </c>
    </row>
    <row r="306" spans="1:20">
      <c r="A306" s="962" t="s">
        <v>6171</v>
      </c>
      <c r="B306" s="972">
        <v>35908.107000000004</v>
      </c>
      <c r="C306" s="972">
        <v>6435.527</v>
      </c>
      <c r="D306" s="972">
        <v>14.997</v>
      </c>
      <c r="E306" s="972">
        <v>366.18900000000002</v>
      </c>
      <c r="F306" s="972">
        <v>59.158999999999999</v>
      </c>
      <c r="G306" s="972">
        <v>1.071</v>
      </c>
      <c r="H306" s="972">
        <v>0</v>
      </c>
      <c r="I306" s="972">
        <v>1151.5429999999999</v>
      </c>
      <c r="J306" s="972">
        <v>325.34699999999998</v>
      </c>
      <c r="K306" s="972">
        <v>0</v>
      </c>
      <c r="L306" s="972">
        <v>3.9390000000000001</v>
      </c>
      <c r="M306" s="972">
        <v>0</v>
      </c>
      <c r="N306" s="972">
        <v>14.867000000000001</v>
      </c>
      <c r="O306" s="972">
        <v>1555.925</v>
      </c>
      <c r="P306" s="972">
        <v>2007.4559999999999</v>
      </c>
      <c r="Q306" s="972">
        <v>32344.725999999999</v>
      </c>
      <c r="R306" s="962">
        <v>2161</v>
      </c>
      <c r="S306" s="962" t="s">
        <v>4940</v>
      </c>
      <c r="T306" s="972">
        <v>10480.610499999997</v>
      </c>
    </row>
    <row r="307" spans="1:20">
      <c r="A307" s="962" t="s">
        <v>4573</v>
      </c>
      <c r="B307" s="972">
        <v>33667.983999999997</v>
      </c>
      <c r="C307" s="972">
        <v>7342.018</v>
      </c>
      <c r="D307" s="972">
        <v>10.792</v>
      </c>
      <c r="E307" s="972">
        <v>977.82100000000003</v>
      </c>
      <c r="F307" s="972">
        <v>98.775000000000006</v>
      </c>
      <c r="G307" s="972">
        <v>1.8380000000000001</v>
      </c>
      <c r="H307" s="972">
        <v>0</v>
      </c>
      <c r="I307" s="972">
        <v>695.74800000000005</v>
      </c>
      <c r="J307" s="972">
        <v>219.905</v>
      </c>
      <c r="K307" s="972">
        <v>7.16</v>
      </c>
      <c r="L307" s="972">
        <v>15.276</v>
      </c>
      <c r="M307" s="972">
        <v>0</v>
      </c>
      <c r="N307" s="972">
        <v>0.90700000000000003</v>
      </c>
      <c r="O307" s="972">
        <v>1039.6079999999999</v>
      </c>
      <c r="P307" s="972">
        <v>1019.3680000000001</v>
      </c>
      <c r="Q307" s="972">
        <v>31609.008000000002</v>
      </c>
      <c r="R307" s="962">
        <v>3744</v>
      </c>
      <c r="S307" s="962" t="s">
        <v>4940</v>
      </c>
      <c r="T307" s="972">
        <v>8979.8216666666667</v>
      </c>
    </row>
    <row r="308" spans="1:20">
      <c r="A308" s="962" t="s">
        <v>4575</v>
      </c>
      <c r="B308" s="972">
        <v>1106.0540000000001</v>
      </c>
      <c r="C308" s="972">
        <v>31.983000000000001</v>
      </c>
      <c r="D308" s="972">
        <v>0</v>
      </c>
      <c r="E308" s="972">
        <v>0.52800000000000002</v>
      </c>
      <c r="F308" s="972">
        <v>1.821</v>
      </c>
      <c r="G308" s="972">
        <v>2.9000000000000001E-2</v>
      </c>
      <c r="H308" s="972">
        <v>0</v>
      </c>
      <c r="I308" s="972">
        <v>21.538</v>
      </c>
      <c r="J308" s="972">
        <v>4.827</v>
      </c>
      <c r="K308" s="972">
        <v>0</v>
      </c>
      <c r="L308" s="972">
        <v>0.91300000000000003</v>
      </c>
      <c r="M308" s="972">
        <v>0</v>
      </c>
      <c r="N308" s="972">
        <v>0</v>
      </c>
      <c r="O308" s="972">
        <v>29.126999999999999</v>
      </c>
      <c r="P308" s="972">
        <v>88.966999999999999</v>
      </c>
      <c r="Q308" s="972">
        <v>987.96</v>
      </c>
      <c r="R308" s="962">
        <v>106</v>
      </c>
      <c r="S308" s="962" t="s">
        <v>4940</v>
      </c>
      <c r="T308" s="972">
        <v>329.07650000000001</v>
      </c>
    </row>
    <row r="309" spans="1:20">
      <c r="A309" s="962" t="s">
        <v>4579</v>
      </c>
      <c r="B309" s="972">
        <v>9814.9490000000005</v>
      </c>
      <c r="C309" s="972">
        <v>693.08399999999995</v>
      </c>
      <c r="D309" s="972">
        <v>0</v>
      </c>
      <c r="E309" s="972">
        <v>61.244</v>
      </c>
      <c r="F309" s="972">
        <v>13.282</v>
      </c>
      <c r="G309" s="972">
        <v>0.05</v>
      </c>
      <c r="H309" s="972">
        <v>0</v>
      </c>
      <c r="I309" s="972">
        <v>114.443</v>
      </c>
      <c r="J309" s="972">
        <v>53.393000000000001</v>
      </c>
      <c r="K309" s="972">
        <v>0</v>
      </c>
      <c r="L309" s="972">
        <v>0</v>
      </c>
      <c r="M309" s="972">
        <v>0</v>
      </c>
      <c r="N309" s="972">
        <v>0</v>
      </c>
      <c r="O309" s="972">
        <v>181.17099999999999</v>
      </c>
      <c r="P309" s="972">
        <v>340.322</v>
      </c>
      <c r="Q309" s="972">
        <v>9293.4560000000001</v>
      </c>
      <c r="R309" s="962">
        <v>2610</v>
      </c>
      <c r="S309" s="962" t="s">
        <v>4940</v>
      </c>
      <c r="T309" s="972">
        <v>3034.9295000000002</v>
      </c>
    </row>
    <row r="310" spans="1:20">
      <c r="A310" s="962" t="s">
        <v>4581</v>
      </c>
      <c r="B310" s="972">
        <v>141.44999999999999</v>
      </c>
      <c r="C310" s="972">
        <v>8.3469999999999995</v>
      </c>
      <c r="D310" s="972">
        <v>0</v>
      </c>
      <c r="E310" s="972">
        <v>3.32</v>
      </c>
      <c r="F310" s="972">
        <v>0.17399999999999999</v>
      </c>
      <c r="G310" s="972">
        <v>0</v>
      </c>
      <c r="H310" s="972">
        <v>0</v>
      </c>
      <c r="I310" s="972">
        <v>1.3959999999999999</v>
      </c>
      <c r="J310" s="972">
        <v>0</v>
      </c>
      <c r="K310" s="972">
        <v>0</v>
      </c>
      <c r="L310" s="972">
        <v>0</v>
      </c>
      <c r="M310" s="972">
        <v>0</v>
      </c>
      <c r="N310" s="972">
        <v>0</v>
      </c>
      <c r="O310" s="972">
        <v>1.569</v>
      </c>
      <c r="P310" s="972">
        <v>11.994</v>
      </c>
      <c r="Q310" s="972">
        <v>127.887</v>
      </c>
      <c r="R310" s="962">
        <v>17</v>
      </c>
      <c r="S310" s="962" t="s">
        <v>3902</v>
      </c>
      <c r="T310" s="972">
        <v>50.59975</v>
      </c>
    </row>
    <row r="311" spans="1:20">
      <c r="A311" s="962" t="s">
        <v>4582</v>
      </c>
      <c r="B311" s="972">
        <v>218.566</v>
      </c>
      <c r="C311" s="972">
        <v>24.53</v>
      </c>
      <c r="D311" s="972">
        <v>0</v>
      </c>
      <c r="E311" s="972">
        <v>0.222</v>
      </c>
      <c r="F311" s="972">
        <v>0.314</v>
      </c>
      <c r="G311" s="972">
        <v>0</v>
      </c>
      <c r="H311" s="972">
        <v>0</v>
      </c>
      <c r="I311" s="972">
        <v>3.2149999999999999</v>
      </c>
      <c r="J311" s="972">
        <v>1.071</v>
      </c>
      <c r="K311" s="972">
        <v>0</v>
      </c>
      <c r="L311" s="972">
        <v>0</v>
      </c>
      <c r="M311" s="972">
        <v>0</v>
      </c>
      <c r="N311" s="972">
        <v>0</v>
      </c>
      <c r="O311" s="972">
        <v>4.5999999999999996</v>
      </c>
      <c r="P311" s="972">
        <v>11.103999999999999</v>
      </c>
      <c r="Q311" s="972">
        <v>202.86199999999999</v>
      </c>
      <c r="R311" s="962">
        <v>39</v>
      </c>
      <c r="S311" s="962" t="s">
        <v>4940</v>
      </c>
      <c r="T311" s="972">
        <v>66.206500000000005</v>
      </c>
    </row>
    <row r="312" spans="1:20">
      <c r="A312" s="962" t="s">
        <v>4584</v>
      </c>
      <c r="B312" s="972">
        <v>1765.2570000000001</v>
      </c>
      <c r="C312" s="972">
        <v>89.424999999999997</v>
      </c>
      <c r="D312" s="972">
        <v>1.4390000000000001</v>
      </c>
      <c r="E312" s="972">
        <v>48.046999999999997</v>
      </c>
      <c r="F312" s="972">
        <v>1.9179999999999999</v>
      </c>
      <c r="G312" s="972">
        <v>0</v>
      </c>
      <c r="H312" s="972">
        <v>0</v>
      </c>
      <c r="I312" s="972">
        <v>25.481000000000002</v>
      </c>
      <c r="J312" s="972">
        <v>10.025</v>
      </c>
      <c r="K312" s="972">
        <v>0</v>
      </c>
      <c r="L312" s="972">
        <v>7.4089999999999998</v>
      </c>
      <c r="M312" s="972">
        <v>0</v>
      </c>
      <c r="N312" s="972">
        <v>0</v>
      </c>
      <c r="O312" s="972">
        <v>44.832000000000001</v>
      </c>
      <c r="P312" s="972">
        <v>102.264</v>
      </c>
      <c r="Q312" s="972">
        <v>1618.1610000000001</v>
      </c>
      <c r="R312" s="962">
        <v>163</v>
      </c>
      <c r="S312" s="962" t="s">
        <v>3902</v>
      </c>
      <c r="T312" s="972">
        <v>418.19849999999997</v>
      </c>
    </row>
    <row r="313" spans="1:20">
      <c r="A313" s="962" t="s">
        <v>4586</v>
      </c>
      <c r="B313" s="972">
        <v>217.89500000000001</v>
      </c>
      <c r="C313" s="972">
        <v>48.682000000000002</v>
      </c>
      <c r="D313" s="972">
        <v>0</v>
      </c>
      <c r="E313" s="972">
        <v>8.5690000000000008</v>
      </c>
      <c r="F313" s="972">
        <v>0.30199999999999999</v>
      </c>
      <c r="G313" s="972">
        <v>0</v>
      </c>
      <c r="H313" s="972">
        <v>0</v>
      </c>
      <c r="I313" s="972">
        <v>2.15</v>
      </c>
      <c r="J313" s="972">
        <v>0</v>
      </c>
      <c r="K313" s="972">
        <v>0</v>
      </c>
      <c r="L313" s="972">
        <v>0</v>
      </c>
      <c r="M313" s="972">
        <v>0</v>
      </c>
      <c r="N313" s="972">
        <v>6.5270000000000001</v>
      </c>
      <c r="O313" s="972">
        <v>8.98</v>
      </c>
      <c r="P313" s="972">
        <v>7.1849999999999996</v>
      </c>
      <c r="Q313" s="972">
        <v>201.73099999999999</v>
      </c>
      <c r="R313" s="962">
        <v>4</v>
      </c>
      <c r="S313" s="962" t="s">
        <v>3902</v>
      </c>
      <c r="T313" s="972">
        <v>58.124750000000006</v>
      </c>
    </row>
    <row r="314" spans="1:20">
      <c r="A314" s="962" t="s">
        <v>1865</v>
      </c>
      <c r="B314" s="972">
        <v>4028.4650000000001</v>
      </c>
      <c r="C314" s="972">
        <v>633.65800000000002</v>
      </c>
      <c r="D314" s="972">
        <v>3.6829999999999998</v>
      </c>
      <c r="E314" s="972">
        <v>52.848999999999997</v>
      </c>
      <c r="F314" s="972">
        <v>3.589</v>
      </c>
      <c r="G314" s="972">
        <v>0.53900000000000003</v>
      </c>
      <c r="H314" s="972">
        <v>0.20200000000000001</v>
      </c>
      <c r="I314" s="972">
        <v>105.967</v>
      </c>
      <c r="J314" s="972">
        <v>11.66</v>
      </c>
      <c r="K314" s="972">
        <v>0</v>
      </c>
      <c r="L314" s="972">
        <v>11.874000000000001</v>
      </c>
      <c r="M314" s="972">
        <v>0</v>
      </c>
      <c r="N314" s="972">
        <v>0.193</v>
      </c>
      <c r="O314" s="972">
        <v>134.02199999999999</v>
      </c>
      <c r="P314" s="972">
        <v>232.76400000000001</v>
      </c>
      <c r="Q314" s="972">
        <v>3661.6790000000001</v>
      </c>
      <c r="R314" s="962">
        <v>135</v>
      </c>
      <c r="S314" s="962" t="s">
        <v>3902</v>
      </c>
      <c r="T314" s="972">
        <v>1069.076</v>
      </c>
    </row>
    <row r="315" spans="1:20">
      <c r="A315" s="962" t="s">
        <v>5018</v>
      </c>
      <c r="B315" s="972">
        <v>119.199</v>
      </c>
      <c r="C315" s="972">
        <v>17.981999999999999</v>
      </c>
      <c r="D315" s="972">
        <v>0</v>
      </c>
      <c r="E315" s="972">
        <v>0</v>
      </c>
      <c r="F315" s="972">
        <v>0.189</v>
      </c>
      <c r="G315" s="972">
        <v>0</v>
      </c>
      <c r="H315" s="972">
        <v>0</v>
      </c>
      <c r="I315" s="972">
        <v>1.85</v>
      </c>
      <c r="J315" s="972">
        <v>0</v>
      </c>
      <c r="K315" s="972">
        <v>0</v>
      </c>
      <c r="L315" s="972">
        <v>0</v>
      </c>
      <c r="M315" s="972">
        <v>0</v>
      </c>
      <c r="N315" s="972">
        <v>0</v>
      </c>
      <c r="O315" s="972">
        <v>2.04</v>
      </c>
      <c r="P315" s="972">
        <v>0</v>
      </c>
      <c r="Q315" s="972">
        <v>117.15900000000001</v>
      </c>
      <c r="R315" s="962">
        <v>3</v>
      </c>
      <c r="S315" s="962" t="s">
        <v>4940</v>
      </c>
      <c r="T315" s="972">
        <v>0</v>
      </c>
    </row>
    <row r="316" spans="1:20">
      <c r="A316" s="962" t="s">
        <v>5020</v>
      </c>
      <c r="B316" s="972">
        <v>758.83199999999999</v>
      </c>
      <c r="C316" s="972">
        <v>14.294</v>
      </c>
      <c r="D316" s="972">
        <v>0.436</v>
      </c>
      <c r="E316" s="972">
        <v>25.259</v>
      </c>
      <c r="F316" s="972">
        <v>0.80600000000000005</v>
      </c>
      <c r="G316" s="972">
        <v>0</v>
      </c>
      <c r="H316" s="972">
        <v>0</v>
      </c>
      <c r="I316" s="972">
        <v>12.875999999999999</v>
      </c>
      <c r="J316" s="972">
        <v>5.8129999999999997</v>
      </c>
      <c r="K316" s="972">
        <v>0.78900000000000003</v>
      </c>
      <c r="L316" s="972">
        <v>1.798</v>
      </c>
      <c r="M316" s="972">
        <v>0</v>
      </c>
      <c r="N316" s="972">
        <v>0</v>
      </c>
      <c r="O316" s="972">
        <v>22.082999999999998</v>
      </c>
      <c r="P316" s="972">
        <v>72.287000000000006</v>
      </c>
      <c r="Q316" s="972">
        <v>664.46199999999999</v>
      </c>
      <c r="R316" s="962">
        <v>96</v>
      </c>
      <c r="S316" s="962" t="s">
        <v>4940</v>
      </c>
      <c r="T316" s="972">
        <v>232.31416666666667</v>
      </c>
    </row>
    <row r="317" spans="1:20">
      <c r="A317" s="962" t="s">
        <v>589</v>
      </c>
      <c r="B317" s="972">
        <v>168.232</v>
      </c>
      <c r="C317" s="972">
        <v>0</v>
      </c>
      <c r="D317" s="972">
        <v>5.0000000000000001E-3</v>
      </c>
      <c r="E317" s="972">
        <v>0</v>
      </c>
      <c r="F317" s="972">
        <v>0.30499999999999999</v>
      </c>
      <c r="G317" s="972">
        <v>0</v>
      </c>
      <c r="H317" s="972">
        <v>0</v>
      </c>
      <c r="I317" s="972">
        <v>11.609</v>
      </c>
      <c r="J317" s="972">
        <v>5.0999999999999997E-2</v>
      </c>
      <c r="K317" s="972">
        <v>1.9590000000000001</v>
      </c>
      <c r="L317" s="972">
        <v>2.7440000000000002</v>
      </c>
      <c r="M317" s="972">
        <v>0</v>
      </c>
      <c r="N317" s="972">
        <v>0</v>
      </c>
      <c r="O317" s="972">
        <v>16.667999999999999</v>
      </c>
      <c r="P317" s="972">
        <v>13.092000000000001</v>
      </c>
      <c r="Q317" s="972">
        <v>138.47200000000001</v>
      </c>
      <c r="R317" s="962">
        <v>5</v>
      </c>
      <c r="S317" s="962" t="s">
        <v>4940</v>
      </c>
      <c r="T317" s="972">
        <v>48.717999999999996</v>
      </c>
    </row>
    <row r="318" spans="1:20">
      <c r="A318" s="962" t="s">
        <v>3283</v>
      </c>
      <c r="B318" s="972">
        <v>612.87</v>
      </c>
      <c r="C318" s="972">
        <v>28.556999999999999</v>
      </c>
      <c r="D318" s="972">
        <v>0</v>
      </c>
      <c r="E318" s="972">
        <v>23.923999999999999</v>
      </c>
      <c r="F318" s="972">
        <v>1.302</v>
      </c>
      <c r="G318" s="972">
        <v>0</v>
      </c>
      <c r="H318" s="972">
        <v>0</v>
      </c>
      <c r="I318" s="972">
        <v>29.16</v>
      </c>
      <c r="J318" s="972">
        <v>0.51800000000000002</v>
      </c>
      <c r="K318" s="972">
        <v>0</v>
      </c>
      <c r="L318" s="972">
        <v>0</v>
      </c>
      <c r="M318" s="972">
        <v>0</v>
      </c>
      <c r="N318" s="972">
        <v>0</v>
      </c>
      <c r="O318" s="972">
        <v>30.98</v>
      </c>
      <c r="P318" s="972">
        <v>0.08</v>
      </c>
      <c r="Q318" s="972">
        <v>581.81100000000004</v>
      </c>
      <c r="R318" s="962">
        <v>0</v>
      </c>
      <c r="S318" s="962" t="s">
        <v>4940</v>
      </c>
      <c r="T318" s="972">
        <v>178.38133333333334</v>
      </c>
    </row>
    <row r="319" spans="1:20">
      <c r="A319" s="962" t="s">
        <v>7947</v>
      </c>
      <c r="B319" s="972">
        <v>58.115000000000002</v>
      </c>
      <c r="C319" s="972">
        <v>0</v>
      </c>
      <c r="D319" s="972">
        <v>0</v>
      </c>
      <c r="E319" s="972">
        <v>10.571</v>
      </c>
      <c r="F319" s="972">
        <v>4.1000000000000002E-2</v>
      </c>
      <c r="G319" s="972">
        <v>3.3000000000000002E-2</v>
      </c>
      <c r="H319" s="972">
        <v>0</v>
      </c>
      <c r="I319" s="972">
        <v>0</v>
      </c>
      <c r="J319" s="972">
        <v>0</v>
      </c>
      <c r="K319" s="972">
        <v>0</v>
      </c>
      <c r="L319" s="972">
        <v>0</v>
      </c>
      <c r="M319" s="972">
        <v>0</v>
      </c>
      <c r="N319" s="972">
        <v>0</v>
      </c>
      <c r="O319" s="972">
        <v>7.2999999999999995E-2</v>
      </c>
      <c r="P319" s="972">
        <v>0</v>
      </c>
      <c r="Q319" s="972">
        <v>58.042000000000002</v>
      </c>
      <c r="R319" s="962">
        <v>0</v>
      </c>
      <c r="S319" s="962" t="s">
        <v>4940</v>
      </c>
      <c r="T319" s="972">
        <v>37.480833333333329</v>
      </c>
    </row>
    <row r="320" spans="1:20">
      <c r="A320" s="962" t="s">
        <v>5022</v>
      </c>
      <c r="B320" s="972">
        <v>22446.582999999999</v>
      </c>
      <c r="C320" s="972">
        <v>3095.7759999999998</v>
      </c>
      <c r="D320" s="972">
        <v>8.2509999999999994</v>
      </c>
      <c r="E320" s="972">
        <v>911.40700000000004</v>
      </c>
      <c r="F320" s="972">
        <v>62.188000000000002</v>
      </c>
      <c r="G320" s="972">
        <v>1.1259999999999999</v>
      </c>
      <c r="H320" s="972">
        <v>1.6679999999999999</v>
      </c>
      <c r="I320" s="972">
        <v>241.565</v>
      </c>
      <c r="J320" s="972">
        <v>131.476</v>
      </c>
      <c r="K320" s="972">
        <v>0.77900000000000003</v>
      </c>
      <c r="L320" s="972">
        <v>2.585</v>
      </c>
      <c r="M320" s="972">
        <v>0.85599999999999998</v>
      </c>
      <c r="N320" s="972">
        <v>22.617999999999999</v>
      </c>
      <c r="O320" s="972">
        <v>464.86</v>
      </c>
      <c r="P320" s="972">
        <v>1004.369</v>
      </c>
      <c r="Q320" s="972">
        <v>20977.355</v>
      </c>
      <c r="R320" s="962">
        <v>2509</v>
      </c>
      <c r="S320" s="962" t="s">
        <v>4940</v>
      </c>
      <c r="T320" s="972">
        <v>5648.6786666666676</v>
      </c>
    </row>
    <row r="321" spans="1:20">
      <c r="A321" s="962" t="s">
        <v>2989</v>
      </c>
      <c r="B321" s="972">
        <v>48876.517999999996</v>
      </c>
      <c r="C321" s="972">
        <v>5726.2929999999997</v>
      </c>
      <c r="D321" s="972">
        <v>8.7970000000000006</v>
      </c>
      <c r="E321" s="972">
        <v>652.35900000000004</v>
      </c>
      <c r="F321" s="972">
        <v>83.756</v>
      </c>
      <c r="G321" s="972">
        <v>2.0790000000000002</v>
      </c>
      <c r="H321" s="972">
        <v>0</v>
      </c>
      <c r="I321" s="972">
        <v>1152.501</v>
      </c>
      <c r="J321" s="972">
        <v>371.584</v>
      </c>
      <c r="K321" s="972">
        <v>10.958</v>
      </c>
      <c r="L321" s="972">
        <v>19.135999999999999</v>
      </c>
      <c r="M321" s="972">
        <v>0</v>
      </c>
      <c r="N321" s="972">
        <v>8.7010000000000005</v>
      </c>
      <c r="O321" s="972">
        <v>1648.713</v>
      </c>
      <c r="P321" s="972">
        <v>1775.0309999999999</v>
      </c>
      <c r="Q321" s="972">
        <v>45452.773999999998</v>
      </c>
      <c r="R321" s="962">
        <v>5258</v>
      </c>
      <c r="S321" s="962" t="s">
        <v>4940</v>
      </c>
      <c r="T321" s="972">
        <v>14156.888833333334</v>
      </c>
    </row>
    <row r="322" spans="1:20">
      <c r="A322" s="962" t="s">
        <v>5126</v>
      </c>
      <c r="B322" s="972">
        <v>1451.941</v>
      </c>
      <c r="C322" s="972">
        <v>285.23200000000003</v>
      </c>
      <c r="D322" s="972">
        <v>0</v>
      </c>
      <c r="E322" s="972">
        <v>27.425999999999998</v>
      </c>
      <c r="F322" s="972">
        <v>1.82</v>
      </c>
      <c r="G322" s="972">
        <v>0</v>
      </c>
      <c r="H322" s="972">
        <v>0</v>
      </c>
      <c r="I322" s="972">
        <v>33.674999999999997</v>
      </c>
      <c r="J322" s="972">
        <v>1.4119999999999999</v>
      </c>
      <c r="K322" s="972">
        <v>5.08</v>
      </c>
      <c r="L322" s="972">
        <v>0</v>
      </c>
      <c r="M322" s="972">
        <v>0</v>
      </c>
      <c r="N322" s="972">
        <v>0</v>
      </c>
      <c r="O322" s="972">
        <v>41.984999999999999</v>
      </c>
      <c r="P322" s="972">
        <v>69.64</v>
      </c>
      <c r="Q322" s="972">
        <v>1340.316</v>
      </c>
      <c r="R322" s="962">
        <v>87</v>
      </c>
      <c r="S322" s="962" t="s">
        <v>4940</v>
      </c>
      <c r="T322" s="972">
        <v>401.23916666666668</v>
      </c>
    </row>
    <row r="323" spans="1:20">
      <c r="A323" s="962" t="s">
        <v>3090</v>
      </c>
      <c r="B323" s="972">
        <v>1607.4269999999999</v>
      </c>
      <c r="C323" s="972">
        <v>108.04300000000001</v>
      </c>
      <c r="D323" s="972">
        <v>0</v>
      </c>
      <c r="E323" s="972">
        <v>32.808999999999997</v>
      </c>
      <c r="F323" s="972">
        <v>3.6890000000000001</v>
      </c>
      <c r="G323" s="972">
        <v>0</v>
      </c>
      <c r="H323" s="972">
        <v>0</v>
      </c>
      <c r="I323" s="972">
        <v>34.957000000000001</v>
      </c>
      <c r="J323" s="972">
        <v>3.2250000000000001</v>
      </c>
      <c r="K323" s="972">
        <v>7.09</v>
      </c>
      <c r="L323" s="972">
        <v>3.2000000000000001E-2</v>
      </c>
      <c r="M323" s="972">
        <v>0</v>
      </c>
      <c r="N323" s="972">
        <v>0</v>
      </c>
      <c r="O323" s="972">
        <v>48.994</v>
      </c>
      <c r="P323" s="972">
        <v>73.558000000000007</v>
      </c>
      <c r="Q323" s="972">
        <v>1484.876</v>
      </c>
      <c r="R323" s="962">
        <v>80</v>
      </c>
      <c r="S323" s="962" t="s">
        <v>4940</v>
      </c>
      <c r="T323" s="972">
        <v>399.99700000000001</v>
      </c>
    </row>
    <row r="324" spans="1:20">
      <c r="A324" s="962" t="s">
        <v>5128</v>
      </c>
      <c r="B324" s="972">
        <v>1157.23</v>
      </c>
      <c r="C324" s="972">
        <v>33.072000000000003</v>
      </c>
      <c r="D324" s="972">
        <v>0</v>
      </c>
      <c r="E324" s="972">
        <v>35.792000000000002</v>
      </c>
      <c r="F324" s="972">
        <v>3.0630000000000002</v>
      </c>
      <c r="G324" s="972">
        <v>1.4999999999999999E-2</v>
      </c>
      <c r="H324" s="972">
        <v>0</v>
      </c>
      <c r="I324" s="972">
        <v>26.337</v>
      </c>
      <c r="J324" s="972">
        <v>5.0709999999999997</v>
      </c>
      <c r="K324" s="972">
        <v>5.1630000000000003</v>
      </c>
      <c r="L324" s="972">
        <v>0</v>
      </c>
      <c r="M324" s="972">
        <v>0</v>
      </c>
      <c r="N324" s="972">
        <v>1.68</v>
      </c>
      <c r="O324" s="972">
        <v>41.329000000000001</v>
      </c>
      <c r="P324" s="972">
        <v>60.423999999999999</v>
      </c>
      <c r="Q324" s="972">
        <v>1055.4760000000001</v>
      </c>
      <c r="R324" s="962">
        <v>116</v>
      </c>
      <c r="S324" s="962" t="s">
        <v>4940</v>
      </c>
      <c r="T324" s="972">
        <v>318.19116666666662</v>
      </c>
    </row>
    <row r="325" spans="1:20">
      <c r="A325" s="962" t="s">
        <v>270</v>
      </c>
      <c r="B325" s="972">
        <v>1784.1389999999999</v>
      </c>
      <c r="C325" s="972">
        <v>89.224000000000004</v>
      </c>
      <c r="D325" s="972">
        <v>0</v>
      </c>
      <c r="E325" s="972">
        <v>64.727000000000004</v>
      </c>
      <c r="F325" s="972">
        <v>3.1709999999999998</v>
      </c>
      <c r="G325" s="972">
        <v>0</v>
      </c>
      <c r="H325" s="972">
        <v>0</v>
      </c>
      <c r="I325" s="972">
        <v>27.231999999999999</v>
      </c>
      <c r="J325" s="972">
        <v>0</v>
      </c>
      <c r="K325" s="972">
        <v>5.1970000000000001</v>
      </c>
      <c r="L325" s="972">
        <v>0</v>
      </c>
      <c r="M325" s="972">
        <v>0</v>
      </c>
      <c r="N325" s="972">
        <v>1.83</v>
      </c>
      <c r="O325" s="972">
        <v>37.429000000000002</v>
      </c>
      <c r="P325" s="972">
        <v>93.915999999999997</v>
      </c>
      <c r="Q325" s="972">
        <v>1652.7950000000001</v>
      </c>
      <c r="R325" s="962">
        <v>144</v>
      </c>
      <c r="S325" s="962" t="s">
        <v>4940</v>
      </c>
      <c r="T325" s="972">
        <v>488.37683333333331</v>
      </c>
    </row>
    <row r="326" spans="1:20">
      <c r="A326" s="962" t="s">
        <v>2391</v>
      </c>
      <c r="B326" s="972">
        <v>2438.5140000000001</v>
      </c>
      <c r="C326" s="972">
        <v>131.05699999999999</v>
      </c>
      <c r="D326" s="972">
        <v>0.40300000000000002</v>
      </c>
      <c r="E326" s="972">
        <v>55.494999999999997</v>
      </c>
      <c r="F326" s="972">
        <v>4.8920000000000003</v>
      </c>
      <c r="G326" s="972">
        <v>0.13200000000000001</v>
      </c>
      <c r="H326" s="972">
        <v>0</v>
      </c>
      <c r="I326" s="972">
        <v>45.454000000000001</v>
      </c>
      <c r="J326" s="972">
        <v>12.396000000000001</v>
      </c>
      <c r="K326" s="972">
        <v>9.077</v>
      </c>
      <c r="L326" s="972">
        <v>0</v>
      </c>
      <c r="M326" s="972">
        <v>0</v>
      </c>
      <c r="N326" s="972">
        <v>1.5149999999999999</v>
      </c>
      <c r="O326" s="972">
        <v>73.465999999999994</v>
      </c>
      <c r="P326" s="972">
        <v>109.833</v>
      </c>
      <c r="Q326" s="972">
        <v>2255.2139999999999</v>
      </c>
      <c r="R326" s="962">
        <v>94</v>
      </c>
      <c r="S326" s="962" t="s">
        <v>4940</v>
      </c>
      <c r="T326" s="972">
        <v>684.95100000000002</v>
      </c>
    </row>
    <row r="327" spans="1:20">
      <c r="A327" s="962" t="s">
        <v>2746</v>
      </c>
      <c r="B327" s="972">
        <v>1737.1780000000001</v>
      </c>
      <c r="C327" s="972">
        <v>54.475999999999999</v>
      </c>
      <c r="D327" s="972">
        <v>0</v>
      </c>
      <c r="E327" s="972">
        <v>59.993000000000002</v>
      </c>
      <c r="F327" s="972">
        <v>4.1630000000000003</v>
      </c>
      <c r="G327" s="972">
        <v>0</v>
      </c>
      <c r="H327" s="972">
        <v>0</v>
      </c>
      <c r="I327" s="972">
        <v>16.209</v>
      </c>
      <c r="J327" s="972">
        <v>6.0709999999999997</v>
      </c>
      <c r="K327" s="972">
        <v>0.69299999999999995</v>
      </c>
      <c r="L327" s="972">
        <v>0.86799999999999999</v>
      </c>
      <c r="M327" s="972">
        <v>0</v>
      </c>
      <c r="N327" s="972">
        <v>0.32700000000000001</v>
      </c>
      <c r="O327" s="972">
        <v>28.332000000000001</v>
      </c>
      <c r="P327" s="972">
        <v>66.676000000000002</v>
      </c>
      <c r="Q327" s="972">
        <v>1642.17</v>
      </c>
      <c r="R327" s="962">
        <v>230</v>
      </c>
      <c r="S327" s="962" t="s">
        <v>4940</v>
      </c>
      <c r="T327" s="972">
        <v>624.19766666666658</v>
      </c>
    </row>
    <row r="328" spans="1:20">
      <c r="A328" s="962" t="s">
        <v>6186</v>
      </c>
      <c r="B328" s="972">
        <v>14588.584000000001</v>
      </c>
      <c r="C328" s="972">
        <v>677.10799999999995</v>
      </c>
      <c r="D328" s="972">
        <v>1.635</v>
      </c>
      <c r="E328" s="972">
        <v>59.527000000000001</v>
      </c>
      <c r="F328" s="972">
        <v>16.582999999999998</v>
      </c>
      <c r="G328" s="972">
        <v>0.45400000000000001</v>
      </c>
      <c r="H328" s="972">
        <v>0</v>
      </c>
      <c r="I328" s="972">
        <v>376.46699999999998</v>
      </c>
      <c r="J328" s="972">
        <v>65.219000000000008</v>
      </c>
      <c r="K328" s="972">
        <v>0</v>
      </c>
      <c r="L328" s="972">
        <v>3.5009999999999999</v>
      </c>
      <c r="M328" s="972">
        <v>0</v>
      </c>
      <c r="N328" s="972">
        <v>12.661</v>
      </c>
      <c r="O328" s="972">
        <v>474.88499999999999</v>
      </c>
      <c r="P328" s="972">
        <v>487.69</v>
      </c>
      <c r="Q328" s="972">
        <v>13626.01</v>
      </c>
      <c r="R328" s="962">
        <v>1222</v>
      </c>
      <c r="S328" s="962" t="s">
        <v>4940</v>
      </c>
      <c r="T328" s="972">
        <v>3750.989</v>
      </c>
    </row>
    <row r="329" spans="1:20">
      <c r="A329" s="962" t="s">
        <v>6041</v>
      </c>
      <c r="B329" s="972">
        <v>3877.26</v>
      </c>
      <c r="C329" s="972">
        <v>202.23599999999999</v>
      </c>
      <c r="D329" s="972">
        <v>0</v>
      </c>
      <c r="E329" s="972">
        <v>75.143000000000001</v>
      </c>
      <c r="F329" s="972">
        <v>7.5970000000000004</v>
      </c>
      <c r="G329" s="972">
        <v>3.7999999999999999E-2</v>
      </c>
      <c r="H329" s="972">
        <v>0.35799999999999998</v>
      </c>
      <c r="I329" s="972">
        <v>79.122</v>
      </c>
      <c r="J329" s="972">
        <v>34.635999999999996</v>
      </c>
      <c r="K329" s="972">
        <v>0</v>
      </c>
      <c r="L329" s="972">
        <v>1.613</v>
      </c>
      <c r="M329" s="972">
        <v>0</v>
      </c>
      <c r="N329" s="972">
        <v>2.0379999999999998</v>
      </c>
      <c r="O329" s="972">
        <v>125.40300000000001</v>
      </c>
      <c r="P329" s="972">
        <v>175.96199999999999</v>
      </c>
      <c r="Q329" s="972">
        <v>3575.895</v>
      </c>
      <c r="R329" s="962">
        <v>326</v>
      </c>
      <c r="S329" s="962" t="s">
        <v>4940</v>
      </c>
      <c r="T329" s="972">
        <v>1117.1103333333333</v>
      </c>
    </row>
    <row r="330" spans="1:20">
      <c r="A330" s="962" t="s">
        <v>591</v>
      </c>
      <c r="B330" s="972">
        <v>5955.4970000000003</v>
      </c>
      <c r="C330" s="972">
        <v>976.56200000000001</v>
      </c>
      <c r="D330" s="972">
        <v>0.57699999999999996</v>
      </c>
      <c r="E330" s="972">
        <v>50.692</v>
      </c>
      <c r="F330" s="972">
        <v>13.11</v>
      </c>
      <c r="G330" s="972">
        <v>4.7E-2</v>
      </c>
      <c r="H330" s="972">
        <v>0</v>
      </c>
      <c r="I330" s="972">
        <v>154.21799999999999</v>
      </c>
      <c r="J330" s="972">
        <v>34.592999999999996</v>
      </c>
      <c r="K330" s="972">
        <v>0</v>
      </c>
      <c r="L330" s="972">
        <v>1.26</v>
      </c>
      <c r="M330" s="972">
        <v>0</v>
      </c>
      <c r="N330" s="972">
        <v>4.968</v>
      </c>
      <c r="O330" s="972">
        <v>208.19499999999999</v>
      </c>
      <c r="P330" s="972">
        <v>224.048</v>
      </c>
      <c r="Q330" s="972">
        <v>5523.2550000000001</v>
      </c>
      <c r="R330" s="962">
        <v>331</v>
      </c>
      <c r="S330" s="962" t="s">
        <v>4940</v>
      </c>
      <c r="T330" s="972">
        <v>1463.2931666666668</v>
      </c>
    </row>
    <row r="331" spans="1:20">
      <c r="A331" s="962" t="s">
        <v>443</v>
      </c>
      <c r="B331" s="972">
        <v>1736.7180000000001</v>
      </c>
      <c r="C331" s="972">
        <v>37.247</v>
      </c>
      <c r="D331" s="972">
        <v>2.0430000000000001</v>
      </c>
      <c r="E331" s="972">
        <v>56.173999999999999</v>
      </c>
      <c r="F331" s="972">
        <v>1.6639999999999999</v>
      </c>
      <c r="G331" s="972">
        <v>0.66400000000000003</v>
      </c>
      <c r="H331" s="972">
        <v>0</v>
      </c>
      <c r="I331" s="972">
        <v>20.542000000000002</v>
      </c>
      <c r="J331" s="972">
        <v>13.589</v>
      </c>
      <c r="K331" s="972">
        <v>0.27500000000000002</v>
      </c>
      <c r="L331" s="972">
        <v>3.02</v>
      </c>
      <c r="M331" s="972">
        <v>0</v>
      </c>
      <c r="N331" s="972">
        <v>0</v>
      </c>
      <c r="O331" s="972">
        <v>39.753999999999998</v>
      </c>
      <c r="P331" s="972">
        <v>71.700999999999993</v>
      </c>
      <c r="Q331" s="972">
        <v>1625.2639999999999</v>
      </c>
      <c r="R331" s="962">
        <v>79</v>
      </c>
      <c r="S331" s="962" t="s">
        <v>4940</v>
      </c>
      <c r="T331" s="972">
        <v>519.54583333333335</v>
      </c>
    </row>
    <row r="332" spans="1:20">
      <c r="A332" s="962" t="s">
        <v>2748</v>
      </c>
      <c r="B332" s="972">
        <v>98.716999999999999</v>
      </c>
      <c r="C332" s="972">
        <v>0</v>
      </c>
      <c r="D332" s="972">
        <v>0.20499999999999999</v>
      </c>
      <c r="E332" s="972">
        <v>6.508</v>
      </c>
      <c r="F332" s="972">
        <v>0.08</v>
      </c>
      <c r="G332" s="972">
        <v>0</v>
      </c>
      <c r="H332" s="972">
        <v>0</v>
      </c>
      <c r="I332" s="972">
        <v>2.9020000000000001</v>
      </c>
      <c r="J332" s="972">
        <v>0</v>
      </c>
      <c r="K332" s="972">
        <v>0</v>
      </c>
      <c r="L332" s="972">
        <v>0</v>
      </c>
      <c r="M332" s="972">
        <v>0</v>
      </c>
      <c r="N332" s="972">
        <v>0</v>
      </c>
      <c r="O332" s="972">
        <v>2.9820000000000002</v>
      </c>
      <c r="P332" s="972">
        <v>4.593</v>
      </c>
      <c r="Q332" s="972">
        <v>91.141999999999996</v>
      </c>
      <c r="R332" s="962">
        <v>6</v>
      </c>
      <c r="S332" s="962" t="s">
        <v>4940</v>
      </c>
      <c r="T332" s="972">
        <v>25.220166666666668</v>
      </c>
    </row>
    <row r="333" spans="1:20">
      <c r="A333" s="962" t="s">
        <v>862</v>
      </c>
      <c r="B333" s="972">
        <v>1474.337</v>
      </c>
      <c r="C333" s="972">
        <v>172.92500000000001</v>
      </c>
      <c r="D333" s="972">
        <v>0.30199999999999999</v>
      </c>
      <c r="E333" s="972">
        <v>61.296999999999997</v>
      </c>
      <c r="F333" s="972">
        <v>2.0750000000000002</v>
      </c>
      <c r="G333" s="972">
        <v>0.33100000000000002</v>
      </c>
      <c r="H333" s="972">
        <v>0</v>
      </c>
      <c r="I333" s="972">
        <v>18.506</v>
      </c>
      <c r="J333" s="972">
        <v>1.48</v>
      </c>
      <c r="K333" s="972">
        <v>16.797999999999998</v>
      </c>
      <c r="L333" s="972">
        <v>0.94899999999999995</v>
      </c>
      <c r="M333" s="972">
        <v>0</v>
      </c>
      <c r="N333" s="972">
        <v>0</v>
      </c>
      <c r="O333" s="972">
        <v>40.137999999999998</v>
      </c>
      <c r="P333" s="972">
        <v>71.825000000000003</v>
      </c>
      <c r="Q333" s="972">
        <v>1362.375</v>
      </c>
      <c r="R333" s="962">
        <v>90</v>
      </c>
      <c r="S333" s="962" t="s">
        <v>4940</v>
      </c>
      <c r="T333" s="972">
        <v>437.89549999999997</v>
      </c>
    </row>
    <row r="334" spans="1:20">
      <c r="A334" s="962" t="s">
        <v>2750</v>
      </c>
      <c r="B334" s="972">
        <v>520.15300000000002</v>
      </c>
      <c r="C334" s="972">
        <v>2.4769999999999999</v>
      </c>
      <c r="D334" s="972">
        <v>0.22900000000000001</v>
      </c>
      <c r="E334" s="972">
        <v>42.325000000000003</v>
      </c>
      <c r="F334" s="972">
        <v>0.90800000000000003</v>
      </c>
      <c r="G334" s="972">
        <v>0</v>
      </c>
      <c r="H334" s="972">
        <v>0</v>
      </c>
      <c r="I334" s="972">
        <v>3.7519999999999998</v>
      </c>
      <c r="J334" s="972">
        <v>0</v>
      </c>
      <c r="K334" s="972">
        <v>5.79</v>
      </c>
      <c r="L334" s="972">
        <v>0</v>
      </c>
      <c r="M334" s="972">
        <v>0</v>
      </c>
      <c r="N334" s="972">
        <v>0</v>
      </c>
      <c r="O334" s="972">
        <v>10.45</v>
      </c>
      <c r="P334" s="972">
        <v>29.207999999999998</v>
      </c>
      <c r="Q334" s="972">
        <v>480.495</v>
      </c>
      <c r="R334" s="962">
        <v>14</v>
      </c>
      <c r="S334" s="962" t="s">
        <v>4940</v>
      </c>
      <c r="T334" s="972">
        <v>171.45566666666667</v>
      </c>
    </row>
    <row r="335" spans="1:20">
      <c r="A335" s="962" t="s">
        <v>3899</v>
      </c>
      <c r="B335" s="972">
        <v>39.484000000000002</v>
      </c>
      <c r="C335" s="972">
        <v>1.863</v>
      </c>
      <c r="D335" s="972">
        <v>0</v>
      </c>
      <c r="E335" s="972">
        <v>1.333</v>
      </c>
      <c r="F335" s="972">
        <v>7.0000000000000007E-2</v>
      </c>
      <c r="G335" s="972">
        <v>0</v>
      </c>
      <c r="H335" s="972">
        <v>0</v>
      </c>
      <c r="I335" s="972">
        <v>0</v>
      </c>
      <c r="J335" s="972">
        <v>0</v>
      </c>
      <c r="K335" s="972">
        <v>0.49</v>
      </c>
      <c r="L335" s="972">
        <v>0</v>
      </c>
      <c r="M335" s="972">
        <v>0</v>
      </c>
      <c r="N335" s="972">
        <v>0</v>
      </c>
      <c r="O335" s="972">
        <v>0.56100000000000005</v>
      </c>
      <c r="P335" s="972">
        <v>0</v>
      </c>
      <c r="Q335" s="972">
        <v>38.923000000000002</v>
      </c>
      <c r="R335" s="962">
        <v>11</v>
      </c>
      <c r="S335" s="962" t="s">
        <v>4940</v>
      </c>
      <c r="T335" s="972">
        <v>0</v>
      </c>
    </row>
    <row r="336" spans="1:20">
      <c r="A336" s="962" t="s">
        <v>3604</v>
      </c>
      <c r="B336" s="972">
        <v>151.46700000000001</v>
      </c>
      <c r="C336" s="972">
        <v>1</v>
      </c>
      <c r="D336" s="972">
        <v>0</v>
      </c>
      <c r="E336" s="972">
        <v>7.2850000000000001</v>
      </c>
      <c r="F336" s="972">
        <v>0.13100000000000001</v>
      </c>
      <c r="G336" s="972">
        <v>0</v>
      </c>
      <c r="H336" s="972">
        <v>0</v>
      </c>
      <c r="I336" s="972">
        <v>2.6429999999999998</v>
      </c>
      <c r="J336" s="972">
        <v>0</v>
      </c>
      <c r="K336" s="972">
        <v>0</v>
      </c>
      <c r="L336" s="972">
        <v>0</v>
      </c>
      <c r="M336" s="972">
        <v>0</v>
      </c>
      <c r="N336" s="972">
        <v>0</v>
      </c>
      <c r="O336" s="972">
        <v>2.774</v>
      </c>
      <c r="P336" s="972">
        <v>0</v>
      </c>
      <c r="Q336" s="972">
        <v>148.69300000000001</v>
      </c>
      <c r="R336" s="962">
        <v>7</v>
      </c>
      <c r="S336" s="962" t="s">
        <v>4940</v>
      </c>
      <c r="T336" s="972">
        <v>0</v>
      </c>
    </row>
    <row r="337" spans="1:20">
      <c r="A337" s="962" t="s">
        <v>3166</v>
      </c>
      <c r="B337" s="972">
        <v>273.32900000000001</v>
      </c>
      <c r="C337" s="972">
        <v>0</v>
      </c>
      <c r="D337" s="972">
        <v>0</v>
      </c>
      <c r="E337" s="972">
        <v>7.6639999999999997</v>
      </c>
      <c r="F337" s="972">
        <v>0.50900000000000001</v>
      </c>
      <c r="G337" s="972">
        <v>0</v>
      </c>
      <c r="H337" s="972">
        <v>0</v>
      </c>
      <c r="I337" s="972">
        <v>5.6669999999999998</v>
      </c>
      <c r="J337" s="972">
        <v>1.288</v>
      </c>
      <c r="K337" s="972">
        <v>0</v>
      </c>
      <c r="L337" s="972">
        <v>0</v>
      </c>
      <c r="M337" s="972">
        <v>0</v>
      </c>
      <c r="N337" s="972">
        <v>0</v>
      </c>
      <c r="O337" s="972">
        <v>7.4630000000000001</v>
      </c>
      <c r="P337" s="972">
        <v>21.789000000000001</v>
      </c>
      <c r="Q337" s="972">
        <v>244.07599999999999</v>
      </c>
      <c r="R337" s="962">
        <v>21</v>
      </c>
      <c r="S337" s="962" t="s">
        <v>4940</v>
      </c>
      <c r="T337" s="972">
        <v>77.132166666666677</v>
      </c>
    </row>
    <row r="338" spans="1:20">
      <c r="A338" s="962" t="s">
        <v>3168</v>
      </c>
      <c r="B338" s="972">
        <v>83.97</v>
      </c>
      <c r="C338" s="972">
        <v>0</v>
      </c>
      <c r="D338" s="972">
        <v>0</v>
      </c>
      <c r="E338" s="972">
        <v>10.927</v>
      </c>
      <c r="F338" s="972">
        <v>0.187</v>
      </c>
      <c r="G338" s="972">
        <v>0</v>
      </c>
      <c r="H338" s="972">
        <v>0</v>
      </c>
      <c r="I338" s="972">
        <v>9.5000000000000001E-2</v>
      </c>
      <c r="J338" s="972">
        <v>0</v>
      </c>
      <c r="K338" s="972">
        <v>0</v>
      </c>
      <c r="L338" s="972">
        <v>0</v>
      </c>
      <c r="M338" s="972">
        <v>0</v>
      </c>
      <c r="N338" s="972">
        <v>0</v>
      </c>
      <c r="O338" s="972">
        <v>0.28100000000000003</v>
      </c>
      <c r="P338" s="972">
        <v>6.2869999999999999</v>
      </c>
      <c r="Q338" s="972">
        <v>77.400999999999996</v>
      </c>
      <c r="R338" s="962">
        <v>7</v>
      </c>
      <c r="S338" s="962" t="s">
        <v>4940</v>
      </c>
      <c r="T338" s="972">
        <v>19.879666666666665</v>
      </c>
    </row>
    <row r="339" spans="1:20">
      <c r="A339" s="962" t="s">
        <v>3091</v>
      </c>
      <c r="B339" s="972">
        <v>2214.8029999999999</v>
      </c>
      <c r="C339" s="972">
        <v>136.28700000000001</v>
      </c>
      <c r="D339" s="972">
        <v>1.548</v>
      </c>
      <c r="E339" s="972">
        <v>89.45</v>
      </c>
      <c r="F339" s="972">
        <v>3.1619999999999999</v>
      </c>
      <c r="G339" s="972">
        <v>0.13200000000000001</v>
      </c>
      <c r="H339" s="972">
        <v>0</v>
      </c>
      <c r="I339" s="972">
        <v>18.050999999999998</v>
      </c>
      <c r="J339" s="972">
        <v>7.2470000000000008</v>
      </c>
      <c r="K339" s="972">
        <v>0</v>
      </c>
      <c r="L339" s="972">
        <v>6.2690000000000001</v>
      </c>
      <c r="M339" s="972">
        <v>0</v>
      </c>
      <c r="N339" s="972">
        <v>0</v>
      </c>
      <c r="O339" s="972">
        <v>34.860999999999997</v>
      </c>
      <c r="P339" s="972">
        <v>112.658</v>
      </c>
      <c r="Q339" s="972">
        <v>2067.2840000000001</v>
      </c>
      <c r="R339" s="962">
        <v>181</v>
      </c>
      <c r="S339" s="962" t="s">
        <v>3902</v>
      </c>
      <c r="T339" s="972">
        <v>556.21799999999996</v>
      </c>
    </row>
    <row r="340" spans="1:20">
      <c r="A340" s="962" t="s">
        <v>3171</v>
      </c>
      <c r="B340" s="972">
        <v>471.89499999999998</v>
      </c>
      <c r="C340" s="972">
        <v>4.6159999999999997</v>
      </c>
      <c r="D340" s="972">
        <v>0.158</v>
      </c>
      <c r="E340" s="972">
        <v>15.869</v>
      </c>
      <c r="F340" s="972">
        <v>0.79100000000000004</v>
      </c>
      <c r="G340" s="972">
        <v>2.1000000000000001E-2</v>
      </c>
      <c r="H340" s="972">
        <v>0</v>
      </c>
      <c r="I340" s="972">
        <v>8.0449999999999999</v>
      </c>
      <c r="J340" s="972">
        <v>3.9</v>
      </c>
      <c r="K340" s="972">
        <v>0</v>
      </c>
      <c r="L340" s="972">
        <v>0.84299999999999997</v>
      </c>
      <c r="M340" s="972">
        <v>0</v>
      </c>
      <c r="N340" s="972">
        <v>0</v>
      </c>
      <c r="O340" s="972">
        <v>13.598000000000001</v>
      </c>
      <c r="P340" s="972">
        <v>34.192</v>
      </c>
      <c r="Q340" s="972">
        <v>424.10500000000002</v>
      </c>
      <c r="R340" s="962">
        <v>36</v>
      </c>
      <c r="S340" s="962" t="s">
        <v>4940</v>
      </c>
      <c r="T340" s="972">
        <v>164.03683333333333</v>
      </c>
    </row>
    <row r="341" spans="1:20">
      <c r="A341" s="962" t="s">
        <v>593</v>
      </c>
      <c r="B341" s="972">
        <v>121.616</v>
      </c>
      <c r="C341" s="972">
        <v>2.3610000000000002</v>
      </c>
      <c r="D341" s="972">
        <v>0</v>
      </c>
      <c r="E341" s="972">
        <v>3.4870000000000001</v>
      </c>
      <c r="F341" s="972">
        <v>0.153</v>
      </c>
      <c r="G341" s="972">
        <v>0</v>
      </c>
      <c r="H341" s="972">
        <v>0</v>
      </c>
      <c r="I341" s="972">
        <v>1.9510000000000001</v>
      </c>
      <c r="J341" s="972">
        <v>0.94599999999999995</v>
      </c>
      <c r="K341" s="972">
        <v>0</v>
      </c>
      <c r="L341" s="972">
        <v>0</v>
      </c>
      <c r="M341" s="972">
        <v>0</v>
      </c>
      <c r="N341" s="972">
        <v>0</v>
      </c>
      <c r="O341" s="972">
        <v>3.0489999999999999</v>
      </c>
      <c r="P341" s="972">
        <v>13.744999999999999</v>
      </c>
      <c r="Q341" s="972">
        <v>104.822</v>
      </c>
      <c r="R341" s="962">
        <v>7</v>
      </c>
      <c r="S341" s="962" t="s">
        <v>4940</v>
      </c>
      <c r="T341" s="972">
        <v>52.320666666666668</v>
      </c>
    </row>
    <row r="342" spans="1:20">
      <c r="A342" s="962" t="s">
        <v>5786</v>
      </c>
      <c r="B342" s="972">
        <v>37.005000000000003</v>
      </c>
      <c r="C342" s="972">
        <v>18.879000000000001</v>
      </c>
      <c r="D342" s="972">
        <v>0</v>
      </c>
      <c r="E342" s="972">
        <v>0</v>
      </c>
      <c r="F342" s="972">
        <v>3.6999999999999998E-2</v>
      </c>
      <c r="G342" s="972">
        <v>0</v>
      </c>
      <c r="H342" s="972">
        <v>0</v>
      </c>
      <c r="I342" s="972">
        <v>0.42399999999999999</v>
      </c>
      <c r="J342" s="972">
        <v>0</v>
      </c>
      <c r="K342" s="972">
        <v>0</v>
      </c>
      <c r="L342" s="972">
        <v>0</v>
      </c>
      <c r="M342" s="972">
        <v>0</v>
      </c>
      <c r="N342" s="972">
        <v>0</v>
      </c>
      <c r="O342" s="972">
        <v>0.46100000000000002</v>
      </c>
      <c r="P342" s="972">
        <v>0</v>
      </c>
      <c r="Q342" s="972">
        <v>36.545000000000002</v>
      </c>
      <c r="R342" s="962">
        <v>1</v>
      </c>
      <c r="S342" s="962" t="s">
        <v>3902</v>
      </c>
      <c r="T342" s="972">
        <v>0</v>
      </c>
    </row>
    <row r="343" spans="1:20">
      <c r="A343" s="962" t="s">
        <v>3175</v>
      </c>
      <c r="B343" s="972">
        <v>365.03199999999998</v>
      </c>
      <c r="C343" s="972">
        <v>25.559000000000001</v>
      </c>
      <c r="D343" s="972">
        <v>0</v>
      </c>
      <c r="E343" s="972">
        <v>11.207000000000001</v>
      </c>
      <c r="F343" s="972">
        <v>0.65</v>
      </c>
      <c r="G343" s="972">
        <v>0.16700000000000001</v>
      </c>
      <c r="H343" s="972">
        <v>0</v>
      </c>
      <c r="I343" s="972">
        <v>3.3220000000000001</v>
      </c>
      <c r="J343" s="972">
        <v>0.56299999999999994</v>
      </c>
      <c r="K343" s="972">
        <v>0</v>
      </c>
      <c r="L343" s="972">
        <v>0</v>
      </c>
      <c r="M343" s="972">
        <v>0</v>
      </c>
      <c r="N343" s="972">
        <v>0</v>
      </c>
      <c r="O343" s="972">
        <v>4.702</v>
      </c>
      <c r="P343" s="972">
        <v>29.183</v>
      </c>
      <c r="Q343" s="972">
        <v>331.14800000000002</v>
      </c>
      <c r="R343" s="962">
        <v>33</v>
      </c>
      <c r="S343" s="962" t="s">
        <v>4940</v>
      </c>
      <c r="T343" s="972">
        <v>117.55616666666667</v>
      </c>
    </row>
    <row r="344" spans="1:20">
      <c r="A344" s="962" t="s">
        <v>3092</v>
      </c>
      <c r="B344" s="972">
        <v>1243.5999999999999</v>
      </c>
      <c r="C344" s="972">
        <v>48.588000000000001</v>
      </c>
      <c r="D344" s="972">
        <v>0</v>
      </c>
      <c r="E344" s="972">
        <v>17.568000000000001</v>
      </c>
      <c r="F344" s="972">
        <v>0.96299999999999997</v>
      </c>
      <c r="G344" s="972">
        <v>0.32</v>
      </c>
      <c r="H344" s="972">
        <v>0</v>
      </c>
      <c r="I344" s="972">
        <v>21.626000000000001</v>
      </c>
      <c r="J344" s="972">
        <v>2.1659999999999999</v>
      </c>
      <c r="K344" s="972">
        <v>0</v>
      </c>
      <c r="L344" s="972">
        <v>0</v>
      </c>
      <c r="M344" s="972">
        <v>0</v>
      </c>
      <c r="N344" s="972">
        <v>6.3120000000000003</v>
      </c>
      <c r="O344" s="972">
        <v>31.385000000000002</v>
      </c>
      <c r="P344" s="972">
        <v>56.171999999999997</v>
      </c>
      <c r="Q344" s="972">
        <v>1156.0429999999999</v>
      </c>
      <c r="R344" s="962">
        <v>129</v>
      </c>
      <c r="S344" s="962" t="s">
        <v>4940</v>
      </c>
      <c r="T344" s="972">
        <v>372.26049999999998</v>
      </c>
    </row>
    <row r="345" spans="1:20">
      <c r="A345" s="962" t="s">
        <v>673</v>
      </c>
      <c r="B345" s="972">
        <v>769.32</v>
      </c>
      <c r="C345" s="972">
        <v>34.645000000000003</v>
      </c>
      <c r="D345" s="972">
        <v>0.44700000000000001</v>
      </c>
      <c r="E345" s="972">
        <v>15.583</v>
      </c>
      <c r="F345" s="972">
        <v>1.1160000000000001</v>
      </c>
      <c r="G345" s="972">
        <v>5.8000000000000003E-2</v>
      </c>
      <c r="H345" s="972">
        <v>0</v>
      </c>
      <c r="I345" s="972">
        <v>13.592000000000001</v>
      </c>
      <c r="J345" s="972">
        <v>3.6320000000000001</v>
      </c>
      <c r="K345" s="972">
        <v>0</v>
      </c>
      <c r="L345" s="972">
        <v>0</v>
      </c>
      <c r="M345" s="972">
        <v>0</v>
      </c>
      <c r="N345" s="972">
        <v>0</v>
      </c>
      <c r="O345" s="972">
        <v>18.396999999999998</v>
      </c>
      <c r="P345" s="972">
        <v>60.645000000000003</v>
      </c>
      <c r="Q345" s="972">
        <v>690.27800000000002</v>
      </c>
      <c r="R345" s="962">
        <v>37</v>
      </c>
      <c r="S345" s="962" t="s">
        <v>4940</v>
      </c>
      <c r="T345" s="972">
        <v>226.71033333333332</v>
      </c>
    </row>
    <row r="346" spans="1:20">
      <c r="A346" s="962" t="s">
        <v>322</v>
      </c>
      <c r="B346" s="972">
        <v>774.16600000000005</v>
      </c>
      <c r="C346" s="972">
        <v>11.106999999999999</v>
      </c>
      <c r="D346" s="972">
        <v>0.52600000000000002</v>
      </c>
      <c r="E346" s="972">
        <v>25.608000000000001</v>
      </c>
      <c r="F346" s="972">
        <v>1.268</v>
      </c>
      <c r="G346" s="972">
        <v>0.19900000000000001</v>
      </c>
      <c r="H346" s="972">
        <v>0</v>
      </c>
      <c r="I346" s="972">
        <v>20.898</v>
      </c>
      <c r="J346" s="972">
        <v>5.923</v>
      </c>
      <c r="K346" s="972">
        <v>0</v>
      </c>
      <c r="L346" s="972">
        <v>0.74</v>
      </c>
      <c r="M346" s="972">
        <v>0</v>
      </c>
      <c r="N346" s="972">
        <v>2.7069999999999999</v>
      </c>
      <c r="O346" s="972">
        <v>31.733000000000001</v>
      </c>
      <c r="P346" s="972">
        <v>55.286999999999999</v>
      </c>
      <c r="Q346" s="972">
        <v>687.14700000000005</v>
      </c>
      <c r="R346" s="962">
        <v>75</v>
      </c>
      <c r="S346" s="962" t="s">
        <v>4940</v>
      </c>
      <c r="T346" s="972">
        <v>234.56899999999999</v>
      </c>
    </row>
    <row r="347" spans="1:20">
      <c r="A347" s="962" t="s">
        <v>675</v>
      </c>
      <c r="B347" s="972">
        <v>1059.461</v>
      </c>
      <c r="C347" s="972">
        <v>84.198999999999998</v>
      </c>
      <c r="D347" s="972">
        <v>0.14899999999999999</v>
      </c>
      <c r="E347" s="972">
        <v>31.561</v>
      </c>
      <c r="F347" s="972">
        <v>1.593</v>
      </c>
      <c r="G347" s="972">
        <v>4.2999999999999997E-2</v>
      </c>
      <c r="H347" s="972">
        <v>1.2999999999999999E-2</v>
      </c>
      <c r="I347" s="972">
        <v>22.971</v>
      </c>
      <c r="J347" s="972">
        <v>6.6400000000000006</v>
      </c>
      <c r="K347" s="972">
        <v>0.68899999999999995</v>
      </c>
      <c r="L347" s="972">
        <v>1.496</v>
      </c>
      <c r="M347" s="972">
        <v>0</v>
      </c>
      <c r="N347" s="972">
        <v>3.181</v>
      </c>
      <c r="O347" s="972">
        <v>36.625999999999998</v>
      </c>
      <c r="P347" s="972">
        <v>60.555</v>
      </c>
      <c r="Q347" s="972">
        <v>962.28</v>
      </c>
      <c r="R347" s="962">
        <v>45</v>
      </c>
      <c r="S347" s="962" t="s">
        <v>4940</v>
      </c>
      <c r="T347" s="972">
        <v>294.40733333333338</v>
      </c>
    </row>
    <row r="348" spans="1:20">
      <c r="A348" s="962" t="s">
        <v>677</v>
      </c>
      <c r="B348" s="972">
        <v>326.928</v>
      </c>
      <c r="C348" s="972">
        <v>13.909000000000001</v>
      </c>
      <c r="D348" s="972">
        <v>0</v>
      </c>
      <c r="E348" s="972">
        <v>12.499000000000001</v>
      </c>
      <c r="F348" s="972">
        <v>0.29599999999999999</v>
      </c>
      <c r="G348" s="972">
        <v>0</v>
      </c>
      <c r="H348" s="972">
        <v>0</v>
      </c>
      <c r="I348" s="972">
        <v>5.9470000000000001</v>
      </c>
      <c r="J348" s="972">
        <v>2.266</v>
      </c>
      <c r="K348" s="972">
        <v>0</v>
      </c>
      <c r="L348" s="972">
        <v>0</v>
      </c>
      <c r="M348" s="972">
        <v>0</v>
      </c>
      <c r="N348" s="972">
        <v>0</v>
      </c>
      <c r="O348" s="972">
        <v>8.5069999999999997</v>
      </c>
      <c r="P348" s="972">
        <v>24.312999999999999</v>
      </c>
      <c r="Q348" s="972">
        <v>294.108</v>
      </c>
      <c r="R348" s="962">
        <v>20</v>
      </c>
      <c r="S348" s="962" t="s">
        <v>4940</v>
      </c>
      <c r="T348" s="972">
        <v>90.63600000000001</v>
      </c>
    </row>
    <row r="349" spans="1:20">
      <c r="A349" s="962" t="s">
        <v>679</v>
      </c>
      <c r="B349" s="972">
        <v>437.10700000000003</v>
      </c>
      <c r="C349" s="972">
        <v>6.9740000000000002</v>
      </c>
      <c r="D349" s="972">
        <v>0.17299999999999999</v>
      </c>
      <c r="E349" s="972">
        <v>16.577000000000002</v>
      </c>
      <c r="F349" s="972">
        <v>0.53900000000000003</v>
      </c>
      <c r="G349" s="972">
        <v>0</v>
      </c>
      <c r="H349" s="972">
        <v>0</v>
      </c>
      <c r="I349" s="972">
        <v>11.314</v>
      </c>
      <c r="J349" s="972">
        <v>0.77100000000000002</v>
      </c>
      <c r="K349" s="972">
        <v>0</v>
      </c>
      <c r="L349" s="972">
        <v>0.878</v>
      </c>
      <c r="M349" s="972">
        <v>0</v>
      </c>
      <c r="N349" s="972">
        <v>1.1000000000000001</v>
      </c>
      <c r="O349" s="972">
        <v>14.602</v>
      </c>
      <c r="P349" s="972">
        <v>16.34</v>
      </c>
      <c r="Q349" s="972">
        <v>406.16500000000002</v>
      </c>
      <c r="R349" s="962">
        <v>47</v>
      </c>
      <c r="S349" s="962" t="s">
        <v>4940</v>
      </c>
      <c r="T349" s="972">
        <v>108.89500000000001</v>
      </c>
    </row>
    <row r="350" spans="1:20">
      <c r="A350" s="962" t="s">
        <v>2960</v>
      </c>
      <c r="B350" s="972">
        <v>199.893</v>
      </c>
      <c r="C350" s="972">
        <v>7.0910000000000002</v>
      </c>
      <c r="D350" s="972">
        <v>0</v>
      </c>
      <c r="E350" s="972">
        <v>4.3479999999999999</v>
      </c>
      <c r="F350" s="972">
        <v>0.437</v>
      </c>
      <c r="G350" s="972">
        <v>0</v>
      </c>
      <c r="H350" s="972">
        <v>0</v>
      </c>
      <c r="I350" s="972">
        <v>2.9540000000000002</v>
      </c>
      <c r="J350" s="972">
        <v>0.91400000000000003</v>
      </c>
      <c r="K350" s="972">
        <v>0</v>
      </c>
      <c r="L350" s="972">
        <v>0.90700000000000003</v>
      </c>
      <c r="M350" s="972">
        <v>0</v>
      </c>
      <c r="N350" s="972">
        <v>3.2879999999999998</v>
      </c>
      <c r="O350" s="972">
        <v>8.5</v>
      </c>
      <c r="P350" s="972">
        <v>16.382000000000001</v>
      </c>
      <c r="Q350" s="972">
        <v>175.012</v>
      </c>
      <c r="R350" s="962">
        <v>14</v>
      </c>
      <c r="S350" s="962" t="s">
        <v>4940</v>
      </c>
      <c r="T350" s="972">
        <v>54.811333333333344</v>
      </c>
    </row>
    <row r="351" spans="1:20">
      <c r="A351" s="962" t="s">
        <v>3285</v>
      </c>
      <c r="B351" s="972">
        <v>449.053</v>
      </c>
      <c r="C351" s="972">
        <v>0</v>
      </c>
      <c r="D351" s="972">
        <v>6.1029999999999998</v>
      </c>
      <c r="E351" s="972">
        <v>50.908000000000001</v>
      </c>
      <c r="F351" s="972">
        <v>8.2000000000000003E-2</v>
      </c>
      <c r="G351" s="972">
        <v>0</v>
      </c>
      <c r="H351" s="972">
        <v>0</v>
      </c>
      <c r="I351" s="972">
        <v>0</v>
      </c>
      <c r="J351" s="972">
        <v>0</v>
      </c>
      <c r="K351" s="972">
        <v>0</v>
      </c>
      <c r="L351" s="972">
        <v>0</v>
      </c>
      <c r="M351" s="972">
        <v>0</v>
      </c>
      <c r="N351" s="972">
        <v>0</v>
      </c>
      <c r="O351" s="972">
        <v>8.2000000000000003E-2</v>
      </c>
      <c r="P351" s="972">
        <v>23.797999999999998</v>
      </c>
      <c r="Q351" s="972">
        <v>425.17399999999998</v>
      </c>
      <c r="R351" s="962">
        <v>0</v>
      </c>
      <c r="S351" s="962" t="s">
        <v>4940</v>
      </c>
      <c r="T351" s="972">
        <v>449.04383333333334</v>
      </c>
    </row>
    <row r="352" spans="1:20">
      <c r="A352" s="962" t="s">
        <v>1994</v>
      </c>
      <c r="B352" s="972">
        <v>25546.435000000001</v>
      </c>
      <c r="C352" s="972">
        <v>2712.431</v>
      </c>
      <c r="D352" s="972">
        <v>7.444</v>
      </c>
      <c r="E352" s="972">
        <v>660.95500000000004</v>
      </c>
      <c r="F352" s="972">
        <v>29.859000000000002</v>
      </c>
      <c r="G352" s="972">
        <v>3.331</v>
      </c>
      <c r="H352" s="972">
        <v>0</v>
      </c>
      <c r="I352" s="972">
        <v>375.43700000000001</v>
      </c>
      <c r="J352" s="972">
        <v>164.33699999999999</v>
      </c>
      <c r="K352" s="972">
        <v>0</v>
      </c>
      <c r="L352" s="972">
        <v>1.4590000000000001</v>
      </c>
      <c r="M352" s="972">
        <v>0</v>
      </c>
      <c r="N352" s="972">
        <v>0</v>
      </c>
      <c r="O352" s="972">
        <v>574.42200000000003</v>
      </c>
      <c r="P352" s="972">
        <v>588.14499999999998</v>
      </c>
      <c r="Q352" s="972">
        <v>24383.867999999999</v>
      </c>
      <c r="R352" s="962">
        <v>1657</v>
      </c>
      <c r="S352" s="962" t="s">
        <v>4940</v>
      </c>
      <c r="T352" s="972">
        <v>6186.5479999999989</v>
      </c>
    </row>
    <row r="353" spans="1:20">
      <c r="A353" s="962" t="s">
        <v>2735</v>
      </c>
      <c r="B353" s="972">
        <v>276.35399999999998</v>
      </c>
      <c r="C353" s="972">
        <v>17.431999999999999</v>
      </c>
      <c r="D353" s="972">
        <v>0</v>
      </c>
      <c r="E353" s="972">
        <v>0</v>
      </c>
      <c r="F353" s="972">
        <v>0.246</v>
      </c>
      <c r="G353" s="972">
        <v>0</v>
      </c>
      <c r="H353" s="972">
        <v>0</v>
      </c>
      <c r="I353" s="972">
        <v>9.2189999999999994</v>
      </c>
      <c r="J353" s="972">
        <v>0.88900000000000001</v>
      </c>
      <c r="K353" s="972">
        <v>0</v>
      </c>
      <c r="L353" s="972">
        <v>0</v>
      </c>
      <c r="M353" s="972">
        <v>0</v>
      </c>
      <c r="N353" s="972">
        <v>0</v>
      </c>
      <c r="O353" s="972">
        <v>10.355</v>
      </c>
      <c r="P353" s="972">
        <v>16.739999999999998</v>
      </c>
      <c r="Q353" s="972">
        <v>249.26</v>
      </c>
      <c r="R353" s="962">
        <v>16</v>
      </c>
      <c r="S353" s="962" t="s">
        <v>4940</v>
      </c>
      <c r="T353" s="972">
        <v>85.924666666666681</v>
      </c>
    </row>
    <row r="354" spans="1:20">
      <c r="A354" s="962" t="s">
        <v>2737</v>
      </c>
      <c r="B354" s="972">
        <v>265.98700000000002</v>
      </c>
      <c r="C354" s="972">
        <v>0</v>
      </c>
      <c r="D354" s="972">
        <v>0</v>
      </c>
      <c r="E354" s="972">
        <v>26.765999999999998</v>
      </c>
      <c r="F354" s="972">
        <v>0.497</v>
      </c>
      <c r="G354" s="972">
        <v>0</v>
      </c>
      <c r="H354" s="972">
        <v>0</v>
      </c>
      <c r="I354" s="972">
        <v>2.706</v>
      </c>
      <c r="J354" s="972">
        <v>0.67400000000000004</v>
      </c>
      <c r="K354" s="972">
        <v>0</v>
      </c>
      <c r="L354" s="972">
        <v>0</v>
      </c>
      <c r="M354" s="972">
        <v>0</v>
      </c>
      <c r="N354" s="972">
        <v>0</v>
      </c>
      <c r="O354" s="972">
        <v>3.8759999999999999</v>
      </c>
      <c r="P354" s="972">
        <v>19.884</v>
      </c>
      <c r="Q354" s="972">
        <v>242.227</v>
      </c>
      <c r="R354" s="962">
        <v>13</v>
      </c>
      <c r="S354" s="962" t="s">
        <v>4940</v>
      </c>
      <c r="T354" s="972">
        <v>92.501666666666665</v>
      </c>
    </row>
    <row r="355" spans="1:20">
      <c r="A355" s="962" t="s">
        <v>3646</v>
      </c>
      <c r="B355" s="972">
        <v>212.81299999999999</v>
      </c>
      <c r="C355" s="972">
        <v>8.657</v>
      </c>
      <c r="D355" s="972">
        <v>0</v>
      </c>
      <c r="E355" s="972">
        <v>1.909</v>
      </c>
      <c r="F355" s="972">
        <v>0.38900000000000001</v>
      </c>
      <c r="G355" s="972">
        <v>0</v>
      </c>
      <c r="H355" s="972">
        <v>0</v>
      </c>
      <c r="I355" s="972">
        <v>4.2270000000000003</v>
      </c>
      <c r="J355" s="972">
        <v>0</v>
      </c>
      <c r="K355" s="972">
        <v>0</v>
      </c>
      <c r="L355" s="972">
        <v>0</v>
      </c>
      <c r="M355" s="972">
        <v>0</v>
      </c>
      <c r="N355" s="972">
        <v>0</v>
      </c>
      <c r="O355" s="972">
        <v>4.6159999999999997</v>
      </c>
      <c r="P355" s="972">
        <v>3.984</v>
      </c>
      <c r="Q355" s="972">
        <v>204.214</v>
      </c>
      <c r="R355" s="962">
        <v>0</v>
      </c>
      <c r="S355" s="962" t="s">
        <v>4940</v>
      </c>
      <c r="T355" s="972">
        <v>52.005666666666663</v>
      </c>
    </row>
    <row r="356" spans="1:20">
      <c r="A356" s="962" t="s">
        <v>1976</v>
      </c>
      <c r="B356" s="972">
        <v>282.34699999999998</v>
      </c>
      <c r="C356" s="972">
        <v>16.495999999999999</v>
      </c>
      <c r="D356" s="972">
        <v>0</v>
      </c>
      <c r="E356" s="972">
        <v>1.8049999999999999</v>
      </c>
      <c r="F356" s="972">
        <v>0.39300000000000002</v>
      </c>
      <c r="G356" s="972">
        <v>0</v>
      </c>
      <c r="H356" s="972">
        <v>0</v>
      </c>
      <c r="I356" s="972">
        <v>8.3659999999999997</v>
      </c>
      <c r="J356" s="972">
        <v>2.012</v>
      </c>
      <c r="K356" s="972">
        <v>0.57299999999999995</v>
      </c>
      <c r="L356" s="972">
        <v>0.90700000000000003</v>
      </c>
      <c r="M356" s="972">
        <v>0</v>
      </c>
      <c r="N356" s="972">
        <v>0</v>
      </c>
      <c r="O356" s="972">
        <v>12.250999999999999</v>
      </c>
      <c r="P356" s="972">
        <v>11.682</v>
      </c>
      <c r="Q356" s="972">
        <v>258.41399999999999</v>
      </c>
      <c r="R356" s="962">
        <v>15</v>
      </c>
      <c r="S356" s="962" t="s">
        <v>4940</v>
      </c>
      <c r="T356" s="972">
        <v>72.701833333333326</v>
      </c>
    </row>
    <row r="357" spans="1:20">
      <c r="A357" s="962" t="s">
        <v>3648</v>
      </c>
      <c r="B357" s="972">
        <v>5552.93</v>
      </c>
      <c r="C357" s="972">
        <v>732.99300000000005</v>
      </c>
      <c r="D357" s="972">
        <v>2.577</v>
      </c>
      <c r="E357" s="972">
        <v>29.15</v>
      </c>
      <c r="F357" s="972">
        <v>9.6880000000000006</v>
      </c>
      <c r="G357" s="972">
        <v>1.232</v>
      </c>
      <c r="H357" s="972">
        <v>0</v>
      </c>
      <c r="I357" s="972">
        <v>191.749</v>
      </c>
      <c r="J357" s="972">
        <v>33.896000000000001</v>
      </c>
      <c r="K357" s="972">
        <v>0</v>
      </c>
      <c r="L357" s="972">
        <v>0</v>
      </c>
      <c r="M357" s="972">
        <v>0</v>
      </c>
      <c r="N357" s="972">
        <v>0</v>
      </c>
      <c r="O357" s="972">
        <v>236.565</v>
      </c>
      <c r="P357" s="972">
        <v>323.56</v>
      </c>
      <c r="Q357" s="972">
        <v>4992.8050000000003</v>
      </c>
      <c r="R357" s="962">
        <v>520</v>
      </c>
      <c r="S357" s="962" t="s">
        <v>4940</v>
      </c>
      <c r="T357" s="972">
        <v>1426.8791666666666</v>
      </c>
    </row>
    <row r="358" spans="1:20">
      <c r="A358" s="962" t="s">
        <v>3650</v>
      </c>
      <c r="B358" s="972">
        <v>2253.8040000000001</v>
      </c>
      <c r="C358" s="972">
        <v>485.30200000000002</v>
      </c>
      <c r="D358" s="972">
        <v>0.251</v>
      </c>
      <c r="E358" s="972">
        <v>0</v>
      </c>
      <c r="F358" s="972">
        <v>3.3290000000000002</v>
      </c>
      <c r="G358" s="972">
        <v>0.11700000000000001</v>
      </c>
      <c r="H358" s="972">
        <v>0</v>
      </c>
      <c r="I358" s="972">
        <v>82.692999999999998</v>
      </c>
      <c r="J358" s="972">
        <v>11.231999999999999</v>
      </c>
      <c r="K358" s="972">
        <v>0.23599999999999999</v>
      </c>
      <c r="L358" s="972">
        <v>0</v>
      </c>
      <c r="M358" s="972">
        <v>0</v>
      </c>
      <c r="N358" s="972">
        <v>0</v>
      </c>
      <c r="O358" s="972">
        <v>97.606999999999999</v>
      </c>
      <c r="P358" s="972">
        <v>115.964</v>
      </c>
      <c r="Q358" s="972">
        <v>2040.2339999999999</v>
      </c>
      <c r="R358" s="962">
        <v>117</v>
      </c>
      <c r="S358" s="962" t="s">
        <v>4940</v>
      </c>
      <c r="T358" s="972">
        <v>631.37683333333337</v>
      </c>
    </row>
    <row r="359" spans="1:20">
      <c r="A359" s="962" t="s">
        <v>3093</v>
      </c>
      <c r="B359" s="972">
        <v>571.96100000000001</v>
      </c>
      <c r="C359" s="972">
        <v>42.328000000000003</v>
      </c>
      <c r="D359" s="972">
        <v>0</v>
      </c>
      <c r="E359" s="972">
        <v>7.6989999999999998</v>
      </c>
      <c r="F359" s="972">
        <v>0.83699999999999997</v>
      </c>
      <c r="G359" s="972">
        <v>0</v>
      </c>
      <c r="H359" s="972">
        <v>0</v>
      </c>
      <c r="I359" s="972">
        <v>8.9730000000000008</v>
      </c>
      <c r="J359" s="972">
        <v>4.1500000000000004</v>
      </c>
      <c r="K359" s="972">
        <v>0</v>
      </c>
      <c r="L359" s="972">
        <v>0</v>
      </c>
      <c r="M359" s="972">
        <v>0</v>
      </c>
      <c r="N359" s="972">
        <v>0</v>
      </c>
      <c r="O359" s="972">
        <v>13.96</v>
      </c>
      <c r="P359" s="972">
        <v>28.23</v>
      </c>
      <c r="Q359" s="972">
        <v>529.77099999999996</v>
      </c>
      <c r="R359" s="962">
        <v>46</v>
      </c>
      <c r="S359" s="962" t="s">
        <v>4940</v>
      </c>
      <c r="T359" s="972">
        <v>185.27483333333331</v>
      </c>
    </row>
    <row r="360" spans="1:20">
      <c r="A360" s="962" t="s">
        <v>7734</v>
      </c>
      <c r="B360" s="972">
        <v>7192.9780000000001</v>
      </c>
      <c r="C360" s="972">
        <v>227.233</v>
      </c>
      <c r="D360" s="972">
        <v>0.69199999999999995</v>
      </c>
      <c r="E360" s="972">
        <v>29.844999999999999</v>
      </c>
      <c r="F360" s="972">
        <v>14.879</v>
      </c>
      <c r="G360" s="972">
        <v>0.45500000000000002</v>
      </c>
      <c r="H360" s="972">
        <v>0</v>
      </c>
      <c r="I360" s="972">
        <v>206.298</v>
      </c>
      <c r="J360" s="972">
        <v>36.380000000000003</v>
      </c>
      <c r="K360" s="972">
        <v>7.016</v>
      </c>
      <c r="L360" s="972">
        <v>1.6919999999999999</v>
      </c>
      <c r="M360" s="972">
        <v>0</v>
      </c>
      <c r="N360" s="972">
        <v>12.755000000000001</v>
      </c>
      <c r="O360" s="972">
        <v>279.47500000000002</v>
      </c>
      <c r="P360" s="972">
        <v>315.13299999999998</v>
      </c>
      <c r="Q360" s="972">
        <v>6598.37</v>
      </c>
      <c r="R360" s="962">
        <v>492</v>
      </c>
      <c r="S360" s="962" t="s">
        <v>4940</v>
      </c>
      <c r="T360" s="972">
        <v>2223.4946666666665</v>
      </c>
    </row>
    <row r="361" spans="1:20">
      <c r="A361" s="962" t="s">
        <v>915</v>
      </c>
      <c r="B361" s="972">
        <v>233.459</v>
      </c>
      <c r="C361" s="972">
        <v>17.908000000000001</v>
      </c>
      <c r="D361" s="972">
        <v>0.11799999999999999</v>
      </c>
      <c r="E361" s="972">
        <v>9.2149999999999999</v>
      </c>
      <c r="F361" s="972">
        <v>0.46100000000000002</v>
      </c>
      <c r="G361" s="972">
        <v>0</v>
      </c>
      <c r="H361" s="972">
        <v>0</v>
      </c>
      <c r="I361" s="972">
        <v>4.6289999999999996</v>
      </c>
      <c r="J361" s="972">
        <v>0</v>
      </c>
      <c r="K361" s="972">
        <v>2.2480000000000002</v>
      </c>
      <c r="L361" s="972">
        <v>0</v>
      </c>
      <c r="M361" s="972">
        <v>0</v>
      </c>
      <c r="N361" s="972">
        <v>0</v>
      </c>
      <c r="O361" s="972">
        <v>7.3380000000000001</v>
      </c>
      <c r="P361" s="972">
        <v>7.5060000000000002</v>
      </c>
      <c r="Q361" s="972">
        <v>218.61600000000001</v>
      </c>
      <c r="R361" s="962">
        <v>6</v>
      </c>
      <c r="S361" s="962" t="s">
        <v>4940</v>
      </c>
      <c r="T361" s="972">
        <v>61.580500000000001</v>
      </c>
    </row>
    <row r="362" spans="1:20">
      <c r="A362" s="962" t="s">
        <v>1978</v>
      </c>
      <c r="B362" s="972">
        <v>1041.6880000000001</v>
      </c>
      <c r="C362" s="972">
        <v>84.245999999999995</v>
      </c>
      <c r="D362" s="972">
        <v>4.1000000000000002E-2</v>
      </c>
      <c r="E362" s="972">
        <v>60.823999999999998</v>
      </c>
      <c r="F362" s="972">
        <v>1.51</v>
      </c>
      <c r="G362" s="972">
        <v>0</v>
      </c>
      <c r="H362" s="972">
        <v>0</v>
      </c>
      <c r="I362" s="972">
        <v>22.814</v>
      </c>
      <c r="J362" s="972">
        <v>5.3389999999999995</v>
      </c>
      <c r="K362" s="972">
        <v>1.262</v>
      </c>
      <c r="L362" s="972">
        <v>0</v>
      </c>
      <c r="M362" s="972">
        <v>0</v>
      </c>
      <c r="N362" s="972">
        <v>0</v>
      </c>
      <c r="O362" s="972">
        <v>30.925000000000001</v>
      </c>
      <c r="P362" s="972">
        <v>67.486999999999995</v>
      </c>
      <c r="Q362" s="972">
        <v>943.27599999999995</v>
      </c>
      <c r="R362" s="962">
        <v>56</v>
      </c>
      <c r="S362" s="962" t="s">
        <v>4940</v>
      </c>
      <c r="T362" s="972">
        <v>308.19499999999999</v>
      </c>
    </row>
    <row r="363" spans="1:20">
      <c r="A363" s="962" t="s">
        <v>2767</v>
      </c>
      <c r="B363" s="972">
        <v>5234.009</v>
      </c>
      <c r="C363" s="972">
        <v>273.44299999999998</v>
      </c>
      <c r="D363" s="972">
        <v>0.95499999999999996</v>
      </c>
      <c r="E363" s="972">
        <v>123.771</v>
      </c>
      <c r="F363" s="972">
        <v>8.2550000000000008</v>
      </c>
      <c r="G363" s="972">
        <v>0.52700000000000002</v>
      </c>
      <c r="H363" s="972">
        <v>0</v>
      </c>
      <c r="I363" s="972">
        <v>100.68600000000001</v>
      </c>
      <c r="J363" s="972">
        <v>57.944000000000003</v>
      </c>
      <c r="K363" s="972">
        <v>3.4540000000000002</v>
      </c>
      <c r="L363" s="972">
        <v>0</v>
      </c>
      <c r="M363" s="972">
        <v>0</v>
      </c>
      <c r="N363" s="972">
        <v>3.7650000000000001</v>
      </c>
      <c r="O363" s="972">
        <v>174.631</v>
      </c>
      <c r="P363" s="972">
        <v>408.70499999999998</v>
      </c>
      <c r="Q363" s="972">
        <v>4650.6729999999998</v>
      </c>
      <c r="R363" s="962">
        <v>493</v>
      </c>
      <c r="S363" s="962" t="s">
        <v>4940</v>
      </c>
      <c r="T363" s="972">
        <v>1763.1491666666668</v>
      </c>
    </row>
    <row r="364" spans="1:20">
      <c r="A364" s="962" t="s">
        <v>3555</v>
      </c>
      <c r="B364" s="972">
        <v>6952.1090000000004</v>
      </c>
      <c r="C364" s="972">
        <v>357.48899999999998</v>
      </c>
      <c r="D364" s="972">
        <v>4.0019999999999998</v>
      </c>
      <c r="E364" s="972">
        <v>145.18600000000001</v>
      </c>
      <c r="F364" s="972">
        <v>15.79</v>
      </c>
      <c r="G364" s="972">
        <v>0.42399999999999999</v>
      </c>
      <c r="H364" s="972">
        <v>0</v>
      </c>
      <c r="I364" s="972">
        <v>137.441</v>
      </c>
      <c r="J364" s="972">
        <v>50.826999999999998</v>
      </c>
      <c r="K364" s="972">
        <v>0.70799999999999996</v>
      </c>
      <c r="L364" s="972">
        <v>1.407</v>
      </c>
      <c r="M364" s="972">
        <v>0</v>
      </c>
      <c r="N364" s="972">
        <v>12.704000000000001</v>
      </c>
      <c r="O364" s="972">
        <v>219.29900000000001</v>
      </c>
      <c r="P364" s="972">
        <v>488.04899999999998</v>
      </c>
      <c r="Q364" s="972">
        <v>6244.7610000000004</v>
      </c>
      <c r="R364" s="962">
        <v>436</v>
      </c>
      <c r="S364" s="962" t="s">
        <v>4940</v>
      </c>
      <c r="T364" s="972">
        <v>2024.4378333333334</v>
      </c>
    </row>
    <row r="365" spans="1:20">
      <c r="A365" s="962" t="s">
        <v>3094</v>
      </c>
      <c r="B365" s="972">
        <v>1005.956</v>
      </c>
      <c r="C365" s="972">
        <v>45.341999999999999</v>
      </c>
      <c r="D365" s="972">
        <v>0</v>
      </c>
      <c r="E365" s="972">
        <v>44.371000000000002</v>
      </c>
      <c r="F365" s="972">
        <v>1.62</v>
      </c>
      <c r="G365" s="972">
        <v>0</v>
      </c>
      <c r="H365" s="972">
        <v>0</v>
      </c>
      <c r="I365" s="972">
        <v>35.030999999999999</v>
      </c>
      <c r="J365" s="972">
        <v>4.351</v>
      </c>
      <c r="K365" s="972">
        <v>3.2429999999999999</v>
      </c>
      <c r="L365" s="972">
        <v>0</v>
      </c>
      <c r="M365" s="972">
        <v>0</v>
      </c>
      <c r="N365" s="972">
        <v>0</v>
      </c>
      <c r="O365" s="972">
        <v>44.243000000000002</v>
      </c>
      <c r="P365" s="972">
        <v>101.54900000000001</v>
      </c>
      <c r="Q365" s="972">
        <v>860.16300000000001</v>
      </c>
      <c r="R365" s="962">
        <v>55</v>
      </c>
      <c r="S365" s="962" t="s">
        <v>4940</v>
      </c>
      <c r="T365" s="972">
        <v>307.62349999999998</v>
      </c>
    </row>
    <row r="366" spans="1:20">
      <c r="A366" s="962" t="s">
        <v>1781</v>
      </c>
      <c r="B366" s="972">
        <v>836.90099999999995</v>
      </c>
      <c r="C366" s="972">
        <v>135.78700000000001</v>
      </c>
      <c r="D366" s="972">
        <v>0</v>
      </c>
      <c r="E366" s="972">
        <v>19.103000000000002</v>
      </c>
      <c r="F366" s="972">
        <v>1.0029999999999999</v>
      </c>
      <c r="G366" s="972">
        <v>0</v>
      </c>
      <c r="H366" s="972">
        <v>0</v>
      </c>
      <c r="I366" s="972">
        <v>5.3609999999999998</v>
      </c>
      <c r="J366" s="972">
        <v>0</v>
      </c>
      <c r="K366" s="972">
        <v>0</v>
      </c>
      <c r="L366" s="972">
        <v>0</v>
      </c>
      <c r="M366" s="972">
        <v>0</v>
      </c>
      <c r="N366" s="972">
        <v>0</v>
      </c>
      <c r="O366" s="972">
        <v>6.3630000000000004</v>
      </c>
      <c r="P366" s="972">
        <v>0</v>
      </c>
      <c r="Q366" s="972">
        <v>830.53700000000003</v>
      </c>
      <c r="R366" s="962">
        <v>0</v>
      </c>
      <c r="S366" s="962" t="s">
        <v>4940</v>
      </c>
      <c r="T366" s="972">
        <v>100.83050000000001</v>
      </c>
    </row>
    <row r="367" spans="1:20">
      <c r="A367" s="962" t="s">
        <v>3289</v>
      </c>
      <c r="B367" s="972">
        <v>313.22399999999999</v>
      </c>
      <c r="C367" s="972">
        <v>27.684000000000001</v>
      </c>
      <c r="D367" s="972">
        <v>2.0880000000000001</v>
      </c>
      <c r="E367" s="972">
        <v>17.902000000000001</v>
      </c>
      <c r="F367" s="972">
        <v>0</v>
      </c>
      <c r="G367" s="972">
        <v>0</v>
      </c>
      <c r="H367" s="972">
        <v>0</v>
      </c>
      <c r="I367" s="972">
        <v>0</v>
      </c>
      <c r="J367" s="972">
        <v>0</v>
      </c>
      <c r="K367" s="972">
        <v>0</v>
      </c>
      <c r="L367" s="972">
        <v>0</v>
      </c>
      <c r="M367" s="972">
        <v>0</v>
      </c>
      <c r="N367" s="972">
        <v>0</v>
      </c>
      <c r="O367" s="972">
        <v>0</v>
      </c>
      <c r="P367" s="972">
        <v>7.3890000000000002</v>
      </c>
      <c r="Q367" s="972">
        <v>305.83499999999998</v>
      </c>
      <c r="R367" s="962">
        <v>0</v>
      </c>
      <c r="S367" s="962" t="s">
        <v>4940</v>
      </c>
      <c r="T367" s="972">
        <v>313.21916666666664</v>
      </c>
    </row>
    <row r="368" spans="1:20">
      <c r="A368" s="962" t="s">
        <v>3291</v>
      </c>
      <c r="B368" s="972">
        <v>369.16500000000002</v>
      </c>
      <c r="C368" s="972">
        <v>17.538</v>
      </c>
      <c r="D368" s="972">
        <v>2.7010000000000001</v>
      </c>
      <c r="E368" s="972">
        <v>11.694000000000001</v>
      </c>
      <c r="F368" s="972">
        <v>0.10100000000000001</v>
      </c>
      <c r="G368" s="972">
        <v>0.19600000000000001</v>
      </c>
      <c r="H368" s="972">
        <v>0</v>
      </c>
      <c r="I368" s="972">
        <v>7.5010000000000003</v>
      </c>
      <c r="J368" s="972">
        <v>0</v>
      </c>
      <c r="K368" s="972">
        <v>0</v>
      </c>
      <c r="L368" s="972">
        <v>0</v>
      </c>
      <c r="M368" s="972">
        <v>0</v>
      </c>
      <c r="N368" s="972">
        <v>0</v>
      </c>
      <c r="O368" s="972">
        <v>7.7969999999999997</v>
      </c>
      <c r="P368" s="972">
        <v>20.373999999999999</v>
      </c>
      <c r="Q368" s="972">
        <v>340.995</v>
      </c>
      <c r="R368" s="962">
        <v>2</v>
      </c>
      <c r="S368" s="962" t="s">
        <v>4940</v>
      </c>
      <c r="T368" s="972">
        <v>369.16199999999998</v>
      </c>
    </row>
    <row r="369" spans="1:20">
      <c r="A369" s="962" t="s">
        <v>167</v>
      </c>
      <c r="B369" s="972">
        <v>1138.7339999999999</v>
      </c>
      <c r="C369" s="972">
        <v>110.119</v>
      </c>
      <c r="D369" s="972">
        <v>0</v>
      </c>
      <c r="E369" s="972">
        <v>14.472</v>
      </c>
      <c r="F369" s="972">
        <v>0.29199999999999998</v>
      </c>
      <c r="G369" s="972">
        <v>0</v>
      </c>
      <c r="H369" s="972">
        <v>0</v>
      </c>
      <c r="I369" s="972">
        <v>4.32</v>
      </c>
      <c r="J369" s="972">
        <v>0</v>
      </c>
      <c r="K369" s="972">
        <v>0</v>
      </c>
      <c r="L369" s="972">
        <v>0</v>
      </c>
      <c r="M369" s="972">
        <v>0</v>
      </c>
      <c r="N369" s="972">
        <v>0</v>
      </c>
      <c r="O369" s="972">
        <v>4.6120000000000001</v>
      </c>
      <c r="P369" s="972">
        <v>5.5209999999999999</v>
      </c>
      <c r="Q369" s="972">
        <v>1128.6020000000001</v>
      </c>
      <c r="R369" s="962">
        <v>82</v>
      </c>
      <c r="S369" s="962" t="s">
        <v>4940</v>
      </c>
      <c r="T369" s="972">
        <v>191.50983333333335</v>
      </c>
    </row>
    <row r="370" spans="1:20">
      <c r="A370" s="962" t="s">
        <v>168</v>
      </c>
      <c r="B370" s="972">
        <v>175.86099999999999</v>
      </c>
      <c r="C370" s="972">
        <v>133.66399999999999</v>
      </c>
      <c r="D370" s="972">
        <v>0</v>
      </c>
      <c r="E370" s="972">
        <v>0</v>
      </c>
      <c r="F370" s="972">
        <v>0.41799999999999998</v>
      </c>
      <c r="G370" s="972">
        <v>0</v>
      </c>
      <c r="H370" s="972">
        <v>0</v>
      </c>
      <c r="I370" s="972">
        <v>3.7269999999999999</v>
      </c>
      <c r="J370" s="972">
        <v>0</v>
      </c>
      <c r="K370" s="972">
        <v>0</v>
      </c>
      <c r="L370" s="972">
        <v>0</v>
      </c>
      <c r="M370" s="972">
        <v>0</v>
      </c>
      <c r="N370" s="972">
        <v>0</v>
      </c>
      <c r="O370" s="972">
        <v>4.1449999999999996</v>
      </c>
      <c r="P370" s="972">
        <v>0</v>
      </c>
      <c r="Q370" s="972">
        <v>171.71600000000001</v>
      </c>
      <c r="R370" s="962">
        <v>0</v>
      </c>
      <c r="S370" s="962" t="s">
        <v>4940</v>
      </c>
      <c r="T370" s="972">
        <v>0</v>
      </c>
    </row>
    <row r="371" spans="1:20">
      <c r="A371" s="962" t="s">
        <v>8039</v>
      </c>
      <c r="B371" s="972">
        <v>109.075</v>
      </c>
      <c r="C371" s="972">
        <v>52.164999999999999</v>
      </c>
      <c r="D371" s="972">
        <v>0</v>
      </c>
      <c r="E371" s="972">
        <v>2.4020000000000001</v>
      </c>
      <c r="F371" s="972">
        <v>8.5000000000000006E-2</v>
      </c>
      <c r="G371" s="972">
        <v>0</v>
      </c>
      <c r="H371" s="972">
        <v>0</v>
      </c>
      <c r="I371" s="972">
        <v>0.68400000000000005</v>
      </c>
      <c r="J371" s="972">
        <v>0</v>
      </c>
      <c r="K371" s="972">
        <v>0</v>
      </c>
      <c r="L371" s="972">
        <v>0</v>
      </c>
      <c r="M371" s="972">
        <v>0</v>
      </c>
      <c r="N371" s="972">
        <v>0</v>
      </c>
      <c r="O371" s="972">
        <v>0.76900000000000002</v>
      </c>
      <c r="P371" s="972">
        <v>0</v>
      </c>
      <c r="Q371" s="972">
        <v>108.306</v>
      </c>
      <c r="R371" s="962">
        <v>0</v>
      </c>
      <c r="S371" s="962" t="s">
        <v>4940</v>
      </c>
      <c r="T371" s="972">
        <v>0</v>
      </c>
    </row>
    <row r="372" spans="1:20">
      <c r="A372" s="962" t="s">
        <v>741</v>
      </c>
      <c r="B372" s="972">
        <v>10806.951999999999</v>
      </c>
      <c r="C372" s="972">
        <v>3445.8490000000002</v>
      </c>
      <c r="D372" s="972">
        <v>5.5380000000000003</v>
      </c>
      <c r="E372" s="972">
        <v>73.991</v>
      </c>
      <c r="F372" s="972">
        <v>16.632000000000001</v>
      </c>
      <c r="G372" s="972">
        <v>0.78200000000000003</v>
      </c>
      <c r="H372" s="972">
        <v>0</v>
      </c>
      <c r="I372" s="972">
        <v>131.30500000000001</v>
      </c>
      <c r="J372" s="972">
        <v>82.521999999999991</v>
      </c>
      <c r="K372" s="972">
        <v>0</v>
      </c>
      <c r="L372" s="972">
        <v>0</v>
      </c>
      <c r="M372" s="972">
        <v>0</v>
      </c>
      <c r="N372" s="972">
        <v>0</v>
      </c>
      <c r="O372" s="972">
        <v>231.24100000000001</v>
      </c>
      <c r="P372" s="972">
        <v>452.27300000000002</v>
      </c>
      <c r="Q372" s="972">
        <v>10123.438</v>
      </c>
      <c r="R372" s="962">
        <v>447</v>
      </c>
      <c r="S372" s="962" t="s">
        <v>4940</v>
      </c>
      <c r="T372" s="972">
        <v>2790.1813333333334</v>
      </c>
    </row>
    <row r="373" spans="1:20">
      <c r="A373" s="962" t="s">
        <v>4035</v>
      </c>
      <c r="B373" s="972">
        <v>59343.516000000003</v>
      </c>
      <c r="C373" s="972">
        <v>12295.459000000001</v>
      </c>
      <c r="D373" s="972">
        <v>28.158999999999999</v>
      </c>
      <c r="E373" s="972">
        <v>1605.673</v>
      </c>
      <c r="F373" s="972">
        <v>107.355</v>
      </c>
      <c r="G373" s="972">
        <v>3.6859999999999999</v>
      </c>
      <c r="H373" s="972">
        <v>8.5999999999999993E-2</v>
      </c>
      <c r="I373" s="972">
        <v>670.84400000000005</v>
      </c>
      <c r="J373" s="972">
        <v>434.78300000000002</v>
      </c>
      <c r="K373" s="972">
        <v>0</v>
      </c>
      <c r="L373" s="972">
        <v>0.16300000000000001</v>
      </c>
      <c r="M373" s="972">
        <v>0</v>
      </c>
      <c r="N373" s="972">
        <v>41.149000000000001</v>
      </c>
      <c r="O373" s="972">
        <v>1258.0609999999999</v>
      </c>
      <c r="P373" s="972">
        <v>2624.1880000000001</v>
      </c>
      <c r="Q373" s="972">
        <v>55461.267</v>
      </c>
      <c r="R373" s="962">
        <v>7672</v>
      </c>
      <c r="S373" s="962" t="s">
        <v>4940</v>
      </c>
      <c r="T373" s="972">
        <v>17781.443333333329</v>
      </c>
    </row>
    <row r="374" spans="1:20">
      <c r="A374" s="962" t="s">
        <v>1524</v>
      </c>
      <c r="B374" s="972">
        <v>2342.1819999999998</v>
      </c>
      <c r="C374" s="972">
        <v>689.16800000000001</v>
      </c>
      <c r="D374" s="972">
        <v>2.016</v>
      </c>
      <c r="E374" s="972">
        <v>83.382000000000005</v>
      </c>
      <c r="F374" s="972">
        <v>5.7610000000000001</v>
      </c>
      <c r="G374" s="972">
        <v>7.1999999999999995E-2</v>
      </c>
      <c r="H374" s="972">
        <v>0</v>
      </c>
      <c r="I374" s="972">
        <v>39.037999999999997</v>
      </c>
      <c r="J374" s="972">
        <v>27.158000000000001</v>
      </c>
      <c r="K374" s="972">
        <v>0</v>
      </c>
      <c r="L374" s="972">
        <v>0</v>
      </c>
      <c r="M374" s="972">
        <v>0</v>
      </c>
      <c r="N374" s="972">
        <v>0</v>
      </c>
      <c r="O374" s="972">
        <v>72.028999999999996</v>
      </c>
      <c r="P374" s="972">
        <v>133.41800000000001</v>
      </c>
      <c r="Q374" s="972">
        <v>2136.7350000000001</v>
      </c>
      <c r="R374" s="962">
        <v>207</v>
      </c>
      <c r="S374" s="962" t="s">
        <v>3902</v>
      </c>
      <c r="T374" s="972">
        <v>709.75150000000008</v>
      </c>
    </row>
    <row r="375" spans="1:20">
      <c r="A375" s="962" t="s">
        <v>2388</v>
      </c>
      <c r="B375" s="972">
        <v>3769.3980000000001</v>
      </c>
      <c r="C375" s="972">
        <v>1541.3879999999999</v>
      </c>
      <c r="D375" s="972">
        <v>2.7629999999999999</v>
      </c>
      <c r="E375" s="972">
        <v>46.262</v>
      </c>
      <c r="F375" s="972">
        <v>6.9749999999999996</v>
      </c>
      <c r="G375" s="972">
        <v>0.185</v>
      </c>
      <c r="H375" s="972">
        <v>0</v>
      </c>
      <c r="I375" s="972">
        <v>65.900999999999996</v>
      </c>
      <c r="J375" s="972">
        <v>21.436</v>
      </c>
      <c r="K375" s="972">
        <v>0</v>
      </c>
      <c r="L375" s="972">
        <v>0</v>
      </c>
      <c r="M375" s="972">
        <v>0</v>
      </c>
      <c r="N375" s="972">
        <v>0</v>
      </c>
      <c r="O375" s="972">
        <v>94.497</v>
      </c>
      <c r="P375" s="972">
        <v>171.589</v>
      </c>
      <c r="Q375" s="972">
        <v>3503.3110000000001</v>
      </c>
      <c r="R375" s="962">
        <v>204</v>
      </c>
      <c r="S375" s="962" t="s">
        <v>4940</v>
      </c>
      <c r="T375" s="972">
        <v>1008.3591666666667</v>
      </c>
    </row>
    <row r="376" spans="1:20">
      <c r="A376" s="962" t="s">
        <v>863</v>
      </c>
      <c r="B376" s="972">
        <v>41347.548999999999</v>
      </c>
      <c r="C376" s="972">
        <v>9054.9369999999999</v>
      </c>
      <c r="D376" s="972">
        <v>19.748000000000001</v>
      </c>
      <c r="E376" s="972">
        <v>1403.4770000000001</v>
      </c>
      <c r="F376" s="972">
        <v>23.931999999999999</v>
      </c>
      <c r="G376" s="972">
        <v>4.6879999999999997</v>
      </c>
      <c r="H376" s="972">
        <v>0.98099999999999998</v>
      </c>
      <c r="I376" s="972">
        <v>590.97199999999998</v>
      </c>
      <c r="J376" s="972">
        <v>390.22899999999998</v>
      </c>
      <c r="K376" s="972">
        <v>0</v>
      </c>
      <c r="L376" s="972">
        <v>23.864000000000001</v>
      </c>
      <c r="M376" s="972">
        <v>0</v>
      </c>
      <c r="N376" s="972">
        <v>12.927</v>
      </c>
      <c r="O376" s="972">
        <v>1047.5899999999999</v>
      </c>
      <c r="P376" s="972">
        <v>2010.2760000000001</v>
      </c>
      <c r="Q376" s="972">
        <v>38289.682000000001</v>
      </c>
      <c r="R376" s="962">
        <v>4107</v>
      </c>
      <c r="S376" s="962" t="s">
        <v>4940</v>
      </c>
      <c r="T376" s="972">
        <v>12384.494833333334</v>
      </c>
    </row>
    <row r="377" spans="1:20">
      <c r="A377" s="962" t="s">
        <v>268</v>
      </c>
      <c r="B377" s="972">
        <v>772.76700000000005</v>
      </c>
      <c r="C377" s="972">
        <v>135.94499999999999</v>
      </c>
      <c r="D377" s="972">
        <v>7.4999999999999997E-2</v>
      </c>
      <c r="E377" s="972">
        <v>27.341999999999999</v>
      </c>
      <c r="F377" s="972">
        <v>1.446</v>
      </c>
      <c r="G377" s="972">
        <v>0</v>
      </c>
      <c r="H377" s="972">
        <v>0</v>
      </c>
      <c r="I377" s="972">
        <v>3.7330000000000001</v>
      </c>
      <c r="J377" s="972">
        <v>2.0329999999999999</v>
      </c>
      <c r="K377" s="972">
        <v>0</v>
      </c>
      <c r="L377" s="972">
        <v>0</v>
      </c>
      <c r="M377" s="972">
        <v>0</v>
      </c>
      <c r="N377" s="972">
        <v>0</v>
      </c>
      <c r="O377" s="972">
        <v>7.2119999999999997</v>
      </c>
      <c r="P377" s="972">
        <v>18.262</v>
      </c>
      <c r="Q377" s="972">
        <v>747.29399999999998</v>
      </c>
      <c r="R377" s="962">
        <v>43</v>
      </c>
      <c r="S377" s="962" t="s">
        <v>4940</v>
      </c>
      <c r="T377" s="972">
        <v>199.03150000000002</v>
      </c>
    </row>
    <row r="378" spans="1:20">
      <c r="A378" s="962" t="s">
        <v>981</v>
      </c>
      <c r="B378" s="972">
        <v>5518.152</v>
      </c>
      <c r="C378" s="972">
        <v>1552.548</v>
      </c>
      <c r="D378" s="972">
        <v>3.01</v>
      </c>
      <c r="E378" s="972">
        <v>85.524000000000001</v>
      </c>
      <c r="F378" s="972">
        <v>9.4879999999999995</v>
      </c>
      <c r="G378" s="972">
        <v>0.69899999999999995</v>
      </c>
      <c r="H378" s="972">
        <v>0</v>
      </c>
      <c r="I378" s="972">
        <v>79.275000000000006</v>
      </c>
      <c r="J378" s="972">
        <v>38.246000000000002</v>
      </c>
      <c r="K378" s="972">
        <v>0</v>
      </c>
      <c r="L378" s="972">
        <v>0.27400000000000002</v>
      </c>
      <c r="M378" s="972">
        <v>0</v>
      </c>
      <c r="N378" s="972">
        <v>2.02</v>
      </c>
      <c r="O378" s="972">
        <v>130.001</v>
      </c>
      <c r="P378" s="972">
        <v>442.59300000000002</v>
      </c>
      <c r="Q378" s="972">
        <v>4945.558</v>
      </c>
      <c r="R378" s="962">
        <v>428</v>
      </c>
      <c r="S378" s="962" t="s">
        <v>3902</v>
      </c>
      <c r="T378" s="972">
        <v>1656.1395000000002</v>
      </c>
    </row>
    <row r="379" spans="1:20">
      <c r="A379" s="962" t="s">
        <v>2414</v>
      </c>
      <c r="B379" s="972">
        <v>1247.431</v>
      </c>
      <c r="C379" s="972">
        <v>306.31599999999997</v>
      </c>
      <c r="D379" s="972">
        <v>0</v>
      </c>
      <c r="E379" s="972">
        <v>9.4079999999999995</v>
      </c>
      <c r="F379" s="972">
        <v>1.2050000000000001</v>
      </c>
      <c r="G379" s="972">
        <v>0</v>
      </c>
      <c r="H379" s="972">
        <v>0</v>
      </c>
      <c r="I379" s="972">
        <v>15.677</v>
      </c>
      <c r="J379" s="972">
        <v>1.9730000000000001</v>
      </c>
      <c r="K379" s="972">
        <v>0</v>
      </c>
      <c r="L379" s="972">
        <v>0</v>
      </c>
      <c r="M379" s="972">
        <v>0</v>
      </c>
      <c r="N379" s="972">
        <v>0</v>
      </c>
      <c r="O379" s="972">
        <v>18.855</v>
      </c>
      <c r="P379" s="972">
        <v>59.966999999999999</v>
      </c>
      <c r="Q379" s="972">
        <v>1168.6089999999999</v>
      </c>
      <c r="R379" s="962">
        <v>98</v>
      </c>
      <c r="S379" s="962" t="s">
        <v>3902</v>
      </c>
      <c r="T379" s="972">
        <v>328.65375</v>
      </c>
    </row>
    <row r="380" spans="1:20">
      <c r="A380" s="962" t="s">
        <v>2401</v>
      </c>
      <c r="B380" s="972">
        <v>39610.618999999999</v>
      </c>
      <c r="C380" s="972">
        <v>7332.2749999999996</v>
      </c>
      <c r="D380" s="972">
        <v>14.092000000000001</v>
      </c>
      <c r="E380" s="972">
        <v>952.56</v>
      </c>
      <c r="F380" s="972">
        <v>58.835999999999999</v>
      </c>
      <c r="G380" s="972">
        <v>4.5579999999999998</v>
      </c>
      <c r="H380" s="972">
        <v>0</v>
      </c>
      <c r="I380" s="972">
        <v>336.428</v>
      </c>
      <c r="J380" s="972">
        <v>270.88200000000001</v>
      </c>
      <c r="K380" s="972">
        <v>14.374000000000001</v>
      </c>
      <c r="L380" s="972">
        <v>24.96</v>
      </c>
      <c r="M380" s="972">
        <v>0</v>
      </c>
      <c r="N380" s="972">
        <v>21.96</v>
      </c>
      <c r="O380" s="972">
        <v>731.99699999999996</v>
      </c>
      <c r="P380" s="972">
        <v>2431.9160000000002</v>
      </c>
      <c r="Q380" s="972">
        <v>36446.707000000002</v>
      </c>
      <c r="R380" s="962">
        <v>2992</v>
      </c>
      <c r="S380" s="962" t="s">
        <v>4940</v>
      </c>
      <c r="T380" s="972">
        <v>11883.702166666666</v>
      </c>
    </row>
    <row r="381" spans="1:20">
      <c r="A381" s="962" t="s">
        <v>3297</v>
      </c>
      <c r="B381" s="972">
        <v>161.447</v>
      </c>
      <c r="C381" s="972">
        <v>0</v>
      </c>
      <c r="D381" s="972">
        <v>3.7999999999999999E-2</v>
      </c>
      <c r="E381" s="972">
        <v>19.672999999999998</v>
      </c>
      <c r="F381" s="972">
        <v>0</v>
      </c>
      <c r="G381" s="972">
        <v>0</v>
      </c>
      <c r="H381" s="972">
        <v>0</v>
      </c>
      <c r="I381" s="972">
        <v>2.3359999999999999</v>
      </c>
      <c r="J381" s="972">
        <v>0</v>
      </c>
      <c r="K381" s="972">
        <v>0</v>
      </c>
      <c r="L381" s="972">
        <v>0.34200000000000003</v>
      </c>
      <c r="M381" s="972">
        <v>0</v>
      </c>
      <c r="N381" s="972">
        <v>2.669</v>
      </c>
      <c r="O381" s="972">
        <v>5.3470000000000004</v>
      </c>
      <c r="P381" s="972">
        <v>7.5220000000000002</v>
      </c>
      <c r="Q381" s="972">
        <v>148.578</v>
      </c>
      <c r="R381" s="962">
        <v>0</v>
      </c>
      <c r="S381" s="962" t="s">
        <v>4940</v>
      </c>
      <c r="T381" s="972">
        <v>138.53033333333335</v>
      </c>
    </row>
    <row r="382" spans="1:20">
      <c r="A382" s="962" t="s">
        <v>169</v>
      </c>
      <c r="B382" s="972">
        <v>149.345</v>
      </c>
      <c r="C382" s="972">
        <v>4.66</v>
      </c>
      <c r="D382" s="972">
        <v>1.2130000000000001</v>
      </c>
      <c r="E382" s="972">
        <v>6.3330000000000002</v>
      </c>
      <c r="F382" s="972">
        <v>1.2E-2</v>
      </c>
      <c r="G382" s="972">
        <v>0</v>
      </c>
      <c r="H382" s="972">
        <v>0.20599999999999999</v>
      </c>
      <c r="I382" s="972">
        <v>1.492</v>
      </c>
      <c r="J382" s="972">
        <v>0</v>
      </c>
      <c r="K382" s="972">
        <v>0</v>
      </c>
      <c r="L382" s="972">
        <v>0</v>
      </c>
      <c r="M382" s="972">
        <v>0</v>
      </c>
      <c r="N382" s="972">
        <v>10.929</v>
      </c>
      <c r="O382" s="972">
        <v>12.638999999999999</v>
      </c>
      <c r="P382" s="972">
        <v>13.805999999999999</v>
      </c>
      <c r="Q382" s="972">
        <v>122.9</v>
      </c>
      <c r="R382" s="962">
        <v>0</v>
      </c>
      <c r="S382" s="962" t="s">
        <v>4940</v>
      </c>
      <c r="T382" s="972">
        <v>132.34333333333333</v>
      </c>
    </row>
    <row r="383" spans="1:20">
      <c r="A383" s="962" t="s">
        <v>4037</v>
      </c>
      <c r="B383" s="972">
        <v>60.088999999999999</v>
      </c>
      <c r="C383" s="972">
        <v>12.782</v>
      </c>
      <c r="D383" s="972">
        <v>0</v>
      </c>
      <c r="E383" s="972">
        <v>1.9119999999999999</v>
      </c>
      <c r="F383" s="972">
        <v>0.04</v>
      </c>
      <c r="G383" s="972">
        <v>0</v>
      </c>
      <c r="H383" s="972">
        <v>0</v>
      </c>
      <c r="I383" s="972">
        <v>0.46200000000000002</v>
      </c>
      <c r="J383" s="972">
        <v>0</v>
      </c>
      <c r="K383" s="972">
        <v>0</v>
      </c>
      <c r="L383" s="972">
        <v>0</v>
      </c>
      <c r="M383" s="972">
        <v>0</v>
      </c>
      <c r="N383" s="972">
        <v>0</v>
      </c>
      <c r="O383" s="972">
        <v>0.502</v>
      </c>
      <c r="P383" s="972">
        <v>0</v>
      </c>
      <c r="Q383" s="972">
        <v>59.587000000000003</v>
      </c>
      <c r="R383" s="962">
        <v>0</v>
      </c>
      <c r="S383" s="962" t="s">
        <v>4940</v>
      </c>
      <c r="T383" s="972">
        <v>0</v>
      </c>
    </row>
    <row r="384" spans="1:20">
      <c r="A384" s="962" t="s">
        <v>2140</v>
      </c>
      <c r="B384" s="972">
        <v>1152.7829999999999</v>
      </c>
      <c r="C384" s="972">
        <v>204.69200000000001</v>
      </c>
      <c r="D384" s="972">
        <v>0</v>
      </c>
      <c r="E384" s="972">
        <v>31.975999999999999</v>
      </c>
      <c r="F384" s="972">
        <v>1.369</v>
      </c>
      <c r="G384" s="972">
        <v>0</v>
      </c>
      <c r="H384" s="972">
        <v>0</v>
      </c>
      <c r="I384" s="972">
        <v>7.7510000000000003</v>
      </c>
      <c r="J384" s="972">
        <v>7.8940000000000001</v>
      </c>
      <c r="K384" s="972">
        <v>0</v>
      </c>
      <c r="L384" s="972">
        <v>0</v>
      </c>
      <c r="M384" s="972">
        <v>0</v>
      </c>
      <c r="N384" s="972">
        <v>0</v>
      </c>
      <c r="O384" s="972">
        <v>17.013000000000002</v>
      </c>
      <c r="P384" s="972">
        <v>72.498999999999995</v>
      </c>
      <c r="Q384" s="972">
        <v>1063.271</v>
      </c>
      <c r="R384" s="962">
        <v>142</v>
      </c>
      <c r="S384" s="962" t="s">
        <v>4940</v>
      </c>
      <c r="T384" s="972">
        <v>281.28666666666663</v>
      </c>
    </row>
    <row r="385" spans="1:20">
      <c r="A385" s="962" t="s">
        <v>2408</v>
      </c>
      <c r="B385" s="972">
        <v>3386.6289999999999</v>
      </c>
      <c r="C385" s="972">
        <v>265.78399999999999</v>
      </c>
      <c r="D385" s="972">
        <v>0.57099999999999995</v>
      </c>
      <c r="E385" s="972">
        <v>45.154000000000003</v>
      </c>
      <c r="F385" s="972">
        <v>5.6870000000000003</v>
      </c>
      <c r="G385" s="972">
        <v>0.14399999999999999</v>
      </c>
      <c r="H385" s="972">
        <v>0</v>
      </c>
      <c r="I385" s="972">
        <v>52.320999999999998</v>
      </c>
      <c r="J385" s="972">
        <v>16.911999999999999</v>
      </c>
      <c r="K385" s="972">
        <v>0.72699999999999998</v>
      </c>
      <c r="L385" s="972">
        <v>0</v>
      </c>
      <c r="M385" s="972">
        <v>0</v>
      </c>
      <c r="N385" s="972">
        <v>12.552</v>
      </c>
      <c r="O385" s="972">
        <v>88.343000000000004</v>
      </c>
      <c r="P385" s="972">
        <v>173.46899999999999</v>
      </c>
      <c r="Q385" s="972">
        <v>3124.8180000000002</v>
      </c>
      <c r="R385" s="962">
        <v>215</v>
      </c>
      <c r="S385" s="962" t="s">
        <v>4940</v>
      </c>
      <c r="T385" s="972">
        <v>1021.7626666666665</v>
      </c>
    </row>
    <row r="386" spans="1:20">
      <c r="A386" s="962" t="s">
        <v>2700</v>
      </c>
      <c r="B386" s="972">
        <v>90.472999999999999</v>
      </c>
      <c r="C386" s="972">
        <v>1.974</v>
      </c>
      <c r="D386" s="972">
        <v>0</v>
      </c>
      <c r="E386" s="972">
        <v>0.98899999999999999</v>
      </c>
      <c r="F386" s="972">
        <v>0.122</v>
      </c>
      <c r="G386" s="972">
        <v>0</v>
      </c>
      <c r="H386" s="972">
        <v>0</v>
      </c>
      <c r="I386" s="972">
        <v>0.46</v>
      </c>
      <c r="J386" s="972">
        <v>0</v>
      </c>
      <c r="K386" s="972">
        <v>0</v>
      </c>
      <c r="L386" s="972">
        <v>0</v>
      </c>
      <c r="M386" s="972">
        <v>0</v>
      </c>
      <c r="N386" s="972">
        <v>0</v>
      </c>
      <c r="O386" s="972">
        <v>0.58199999999999996</v>
      </c>
      <c r="P386" s="972">
        <v>0</v>
      </c>
      <c r="Q386" s="972">
        <v>89.891000000000005</v>
      </c>
      <c r="R386" s="962">
        <v>5</v>
      </c>
      <c r="S386" s="962" t="s">
        <v>4940</v>
      </c>
      <c r="T386" s="972">
        <v>0</v>
      </c>
    </row>
    <row r="387" spans="1:20">
      <c r="A387" s="962" t="s">
        <v>2702</v>
      </c>
      <c r="B387" s="972">
        <v>186.25399999999999</v>
      </c>
      <c r="C387" s="972">
        <v>3.8490000000000002</v>
      </c>
      <c r="D387" s="972">
        <v>0</v>
      </c>
      <c r="E387" s="972">
        <v>7.6859999999999999</v>
      </c>
      <c r="F387" s="972">
        <v>8.8999999999999996E-2</v>
      </c>
      <c r="G387" s="972">
        <v>2.1999999999999999E-2</v>
      </c>
      <c r="H387" s="972">
        <v>0</v>
      </c>
      <c r="I387" s="972">
        <v>1.016</v>
      </c>
      <c r="J387" s="972">
        <v>0</v>
      </c>
      <c r="K387" s="972">
        <v>0</v>
      </c>
      <c r="L387" s="972">
        <v>0</v>
      </c>
      <c r="M387" s="972">
        <v>0</v>
      </c>
      <c r="N387" s="972">
        <v>0</v>
      </c>
      <c r="O387" s="972">
        <v>1.127</v>
      </c>
      <c r="P387" s="972">
        <v>8.9320000000000004</v>
      </c>
      <c r="Q387" s="972">
        <v>176.196</v>
      </c>
      <c r="R387" s="962">
        <v>9</v>
      </c>
      <c r="S387" s="962" t="s">
        <v>4940</v>
      </c>
      <c r="T387" s="972">
        <v>58.49733333333333</v>
      </c>
    </row>
    <row r="388" spans="1:20">
      <c r="A388" s="962" t="s">
        <v>2828</v>
      </c>
      <c r="B388" s="972">
        <v>219.09200000000001</v>
      </c>
      <c r="C388" s="972">
        <v>43.762999999999998</v>
      </c>
      <c r="D388" s="972">
        <v>0</v>
      </c>
      <c r="E388" s="972">
        <v>6.4480000000000004</v>
      </c>
      <c r="F388" s="972">
        <v>7.6999999999999999E-2</v>
      </c>
      <c r="G388" s="972">
        <v>0</v>
      </c>
      <c r="H388" s="972">
        <v>0</v>
      </c>
      <c r="I388" s="972">
        <v>1.468</v>
      </c>
      <c r="J388" s="972">
        <v>0</v>
      </c>
      <c r="K388" s="972">
        <v>0</v>
      </c>
      <c r="L388" s="972">
        <v>0</v>
      </c>
      <c r="M388" s="972">
        <v>0</v>
      </c>
      <c r="N388" s="972">
        <v>0</v>
      </c>
      <c r="O388" s="972">
        <v>1.5449999999999999</v>
      </c>
      <c r="P388" s="972">
        <v>15.542999999999999</v>
      </c>
      <c r="Q388" s="972">
        <v>202.005</v>
      </c>
      <c r="R388" s="962">
        <v>18</v>
      </c>
      <c r="S388" s="962" t="s">
        <v>4940</v>
      </c>
      <c r="T388" s="972">
        <v>58.152166666666673</v>
      </c>
    </row>
    <row r="389" spans="1:20">
      <c r="A389" s="962" t="s">
        <v>2704</v>
      </c>
      <c r="B389" s="972">
        <v>110.227</v>
      </c>
      <c r="C389" s="972">
        <v>2.0449999999999999</v>
      </c>
      <c r="D389" s="972">
        <v>0</v>
      </c>
      <c r="E389" s="972">
        <v>0</v>
      </c>
      <c r="F389" s="972">
        <v>0.16400000000000001</v>
      </c>
      <c r="G389" s="972">
        <v>0</v>
      </c>
      <c r="H389" s="972">
        <v>0</v>
      </c>
      <c r="I389" s="972">
        <v>1.2430000000000001</v>
      </c>
      <c r="J389" s="972">
        <v>0</v>
      </c>
      <c r="K389" s="972">
        <v>0</v>
      </c>
      <c r="L389" s="972">
        <v>0</v>
      </c>
      <c r="M389" s="972">
        <v>0</v>
      </c>
      <c r="N389" s="972">
        <v>0</v>
      </c>
      <c r="O389" s="972">
        <v>1.4059999999999999</v>
      </c>
      <c r="P389" s="972">
        <v>0</v>
      </c>
      <c r="Q389" s="972">
        <v>108.821</v>
      </c>
      <c r="R389" s="962">
        <v>13</v>
      </c>
      <c r="S389" s="962" t="s">
        <v>4940</v>
      </c>
      <c r="T389" s="972">
        <v>0</v>
      </c>
    </row>
    <row r="390" spans="1:20">
      <c r="A390" s="962" t="s">
        <v>2706</v>
      </c>
      <c r="B390" s="972">
        <v>457.74400000000003</v>
      </c>
      <c r="C390" s="972">
        <v>75.417000000000002</v>
      </c>
      <c r="D390" s="972">
        <v>0</v>
      </c>
      <c r="E390" s="972">
        <v>32.253</v>
      </c>
      <c r="F390" s="972">
        <v>0.77800000000000002</v>
      </c>
      <c r="G390" s="972">
        <v>0</v>
      </c>
      <c r="H390" s="972">
        <v>0</v>
      </c>
      <c r="I390" s="972">
        <v>9.1869999999999994</v>
      </c>
      <c r="J390" s="972">
        <v>0.95299999999999996</v>
      </c>
      <c r="K390" s="972">
        <v>0.39800000000000002</v>
      </c>
      <c r="L390" s="972">
        <v>4.4249999999999998</v>
      </c>
      <c r="M390" s="972">
        <v>0</v>
      </c>
      <c r="N390" s="972">
        <v>0</v>
      </c>
      <c r="O390" s="972">
        <v>15.742000000000001</v>
      </c>
      <c r="P390" s="972">
        <v>31.015000000000001</v>
      </c>
      <c r="Q390" s="972">
        <v>410.98700000000002</v>
      </c>
      <c r="R390" s="962">
        <v>34</v>
      </c>
      <c r="S390" s="962" t="s">
        <v>4940</v>
      </c>
      <c r="T390" s="972">
        <v>140.72533333333334</v>
      </c>
    </row>
    <row r="391" spans="1:20">
      <c r="A391" s="962" t="s">
        <v>6162</v>
      </c>
      <c r="B391" s="972">
        <v>1001.867</v>
      </c>
      <c r="C391" s="972">
        <v>98.376000000000005</v>
      </c>
      <c r="D391" s="972">
        <v>0.64800000000000002</v>
      </c>
      <c r="E391" s="972">
        <v>50.021999999999998</v>
      </c>
      <c r="F391" s="972">
        <v>3.6139999999999999</v>
      </c>
      <c r="G391" s="972">
        <v>1.9E-2</v>
      </c>
      <c r="H391" s="972">
        <v>0</v>
      </c>
      <c r="I391" s="972">
        <v>32.145000000000003</v>
      </c>
      <c r="J391" s="972">
        <v>8.2969999999999988</v>
      </c>
      <c r="K391" s="972">
        <v>1.768</v>
      </c>
      <c r="L391" s="972">
        <v>9.84</v>
      </c>
      <c r="M391" s="972">
        <v>0</v>
      </c>
      <c r="N391" s="972">
        <v>0</v>
      </c>
      <c r="O391" s="972">
        <v>55.682000000000002</v>
      </c>
      <c r="P391" s="972">
        <v>72.822000000000003</v>
      </c>
      <c r="Q391" s="972">
        <v>873.36300000000006</v>
      </c>
      <c r="R391" s="962">
        <v>67</v>
      </c>
      <c r="S391" s="962" t="s">
        <v>4940</v>
      </c>
      <c r="T391" s="972">
        <v>283.28466666666668</v>
      </c>
    </row>
    <row r="392" spans="1:20">
      <c r="A392" s="962" t="s">
        <v>967</v>
      </c>
      <c r="B392" s="972">
        <v>150.65700000000001</v>
      </c>
      <c r="C392" s="972">
        <v>2.8839999999999999</v>
      </c>
      <c r="D392" s="972">
        <v>0</v>
      </c>
      <c r="E392" s="972">
        <v>3.2909999999999999</v>
      </c>
      <c r="F392" s="972">
        <v>0.75900000000000001</v>
      </c>
      <c r="G392" s="972">
        <v>0</v>
      </c>
      <c r="H392" s="972">
        <v>0</v>
      </c>
      <c r="I392" s="972">
        <v>3.8919999999999999</v>
      </c>
      <c r="J392" s="972">
        <v>0</v>
      </c>
      <c r="K392" s="972">
        <v>0</v>
      </c>
      <c r="L392" s="972">
        <v>0</v>
      </c>
      <c r="M392" s="972">
        <v>0</v>
      </c>
      <c r="N392" s="972">
        <v>0</v>
      </c>
      <c r="O392" s="972">
        <v>4.6509999999999998</v>
      </c>
      <c r="P392" s="972">
        <v>0</v>
      </c>
      <c r="Q392" s="972">
        <v>146.006</v>
      </c>
      <c r="R392" s="962">
        <v>4</v>
      </c>
      <c r="S392" s="962" t="s">
        <v>4940</v>
      </c>
      <c r="T392" s="972">
        <v>0</v>
      </c>
    </row>
    <row r="393" spans="1:20">
      <c r="A393" s="962" t="s">
        <v>2708</v>
      </c>
      <c r="B393" s="972">
        <v>710.38800000000003</v>
      </c>
      <c r="C393" s="972">
        <v>13.015000000000001</v>
      </c>
      <c r="D393" s="972">
        <v>0.41299999999999998</v>
      </c>
      <c r="E393" s="972">
        <v>46.262999999999998</v>
      </c>
      <c r="F393" s="972">
        <v>2.181</v>
      </c>
      <c r="G393" s="972">
        <v>0.10299999999999999</v>
      </c>
      <c r="H393" s="972">
        <v>0</v>
      </c>
      <c r="I393" s="972">
        <v>8.6470000000000002</v>
      </c>
      <c r="J393" s="972">
        <v>2.7709999999999999</v>
      </c>
      <c r="K393" s="972">
        <v>0.69</v>
      </c>
      <c r="L393" s="972">
        <v>2.2770000000000001</v>
      </c>
      <c r="M393" s="972">
        <v>0</v>
      </c>
      <c r="N393" s="972">
        <v>0</v>
      </c>
      <c r="O393" s="972">
        <v>16.669</v>
      </c>
      <c r="P393" s="972">
        <v>48.366999999999997</v>
      </c>
      <c r="Q393" s="972">
        <v>645.35199999999998</v>
      </c>
      <c r="R393" s="962">
        <v>62</v>
      </c>
      <c r="S393" s="962" t="s">
        <v>4940</v>
      </c>
      <c r="T393" s="972">
        <v>230.52700000000002</v>
      </c>
    </row>
    <row r="394" spans="1:20">
      <c r="A394" s="962" t="s">
        <v>2710</v>
      </c>
      <c r="B394" s="972">
        <v>1755.0619999999999</v>
      </c>
      <c r="C394" s="972">
        <v>113.76</v>
      </c>
      <c r="D394" s="972">
        <v>0.254</v>
      </c>
      <c r="E394" s="972">
        <v>7.9779999999999998</v>
      </c>
      <c r="F394" s="972">
        <v>3.7890000000000001</v>
      </c>
      <c r="G394" s="972">
        <v>0.16300000000000001</v>
      </c>
      <c r="H394" s="972">
        <v>0</v>
      </c>
      <c r="I394" s="972">
        <v>65.971999999999994</v>
      </c>
      <c r="J394" s="972">
        <v>11.645999999999999</v>
      </c>
      <c r="K394" s="972">
        <v>6.0019999999999998</v>
      </c>
      <c r="L394" s="972">
        <v>6.6840000000000002</v>
      </c>
      <c r="M394" s="972">
        <v>0</v>
      </c>
      <c r="N394" s="972">
        <v>2.5999999999999999E-2</v>
      </c>
      <c r="O394" s="972">
        <v>94.281000000000006</v>
      </c>
      <c r="P394" s="972">
        <v>77.864000000000004</v>
      </c>
      <c r="Q394" s="972">
        <v>1582.9169999999999</v>
      </c>
      <c r="R394" s="962">
        <v>95</v>
      </c>
      <c r="S394" s="962" t="s">
        <v>4940</v>
      </c>
      <c r="T394" s="972">
        <v>461.33933333333334</v>
      </c>
    </row>
    <row r="395" spans="1:20">
      <c r="A395" s="962" t="s">
        <v>2830</v>
      </c>
      <c r="B395" s="972">
        <v>298.214</v>
      </c>
      <c r="C395" s="972">
        <v>2.456</v>
      </c>
      <c r="D395" s="972">
        <v>0.02</v>
      </c>
      <c r="E395" s="972">
        <v>0</v>
      </c>
      <c r="F395" s="972">
        <v>0.36499999999999999</v>
      </c>
      <c r="G395" s="972">
        <v>0</v>
      </c>
      <c r="H395" s="972">
        <v>0</v>
      </c>
      <c r="I395" s="972">
        <v>9.6340000000000003</v>
      </c>
      <c r="J395" s="972">
        <v>0</v>
      </c>
      <c r="K395" s="972">
        <v>0.80300000000000005</v>
      </c>
      <c r="L395" s="972">
        <v>0</v>
      </c>
      <c r="M395" s="972">
        <v>0</v>
      </c>
      <c r="N395" s="972">
        <v>0</v>
      </c>
      <c r="O395" s="972">
        <v>10.803000000000001</v>
      </c>
      <c r="P395" s="972">
        <v>10.474</v>
      </c>
      <c r="Q395" s="972">
        <v>276.93799999999999</v>
      </c>
      <c r="R395" s="962">
        <v>7</v>
      </c>
      <c r="S395" s="962" t="s">
        <v>4940</v>
      </c>
      <c r="T395" s="972">
        <v>63.012500000000003</v>
      </c>
    </row>
    <row r="396" spans="1:20">
      <c r="A396" s="962" t="s">
        <v>3095</v>
      </c>
      <c r="B396" s="972">
        <v>254.042</v>
      </c>
      <c r="C396" s="972">
        <v>2.9620000000000002</v>
      </c>
      <c r="D396" s="972">
        <v>8.5000000000000006E-2</v>
      </c>
      <c r="E396" s="972">
        <v>0</v>
      </c>
      <c r="F396" s="972">
        <v>0.41799999999999998</v>
      </c>
      <c r="G396" s="972">
        <v>0</v>
      </c>
      <c r="H396" s="972">
        <v>0</v>
      </c>
      <c r="I396" s="972">
        <v>14.459</v>
      </c>
      <c r="J396" s="972">
        <v>0.77800000000000002</v>
      </c>
      <c r="K396" s="972">
        <v>0.70799999999999996</v>
      </c>
      <c r="L396" s="972">
        <v>0</v>
      </c>
      <c r="M396" s="972">
        <v>0</v>
      </c>
      <c r="N396" s="972">
        <v>0</v>
      </c>
      <c r="O396" s="972">
        <v>16.364000000000001</v>
      </c>
      <c r="P396" s="972">
        <v>17.437000000000001</v>
      </c>
      <c r="Q396" s="972">
        <v>220.24100000000001</v>
      </c>
      <c r="R396" s="962">
        <v>22</v>
      </c>
      <c r="S396" s="962" t="s">
        <v>4940</v>
      </c>
      <c r="T396" s="972">
        <v>83.013166666666677</v>
      </c>
    </row>
    <row r="397" spans="1:20">
      <c r="A397" s="962" t="s">
        <v>2712</v>
      </c>
      <c r="B397" s="972">
        <v>561.28499999999997</v>
      </c>
      <c r="C397" s="972">
        <v>25.887</v>
      </c>
      <c r="D397" s="972">
        <v>0.247</v>
      </c>
      <c r="E397" s="972">
        <v>0.96699999999999997</v>
      </c>
      <c r="F397" s="972">
        <v>1.012</v>
      </c>
      <c r="G397" s="972">
        <v>2.1999999999999999E-2</v>
      </c>
      <c r="H397" s="972">
        <v>0</v>
      </c>
      <c r="I397" s="972">
        <v>16.651</v>
      </c>
      <c r="J397" s="972">
        <v>0.22800000000000001</v>
      </c>
      <c r="K397" s="972">
        <v>2.125</v>
      </c>
      <c r="L397" s="972">
        <v>9.468</v>
      </c>
      <c r="M397" s="972">
        <v>0</v>
      </c>
      <c r="N397" s="972">
        <v>0</v>
      </c>
      <c r="O397" s="972">
        <v>29.504999999999999</v>
      </c>
      <c r="P397" s="972">
        <v>39.164000000000001</v>
      </c>
      <c r="Q397" s="972">
        <v>492.61599999999999</v>
      </c>
      <c r="R397" s="962">
        <v>48</v>
      </c>
      <c r="S397" s="962" t="s">
        <v>4940</v>
      </c>
      <c r="T397" s="972">
        <v>174.19016666666667</v>
      </c>
    </row>
    <row r="398" spans="1:20">
      <c r="A398" s="962" t="s">
        <v>2424</v>
      </c>
      <c r="B398" s="972">
        <v>868.67100000000005</v>
      </c>
      <c r="C398" s="972">
        <v>31.370999999999999</v>
      </c>
      <c r="D398" s="972">
        <v>0.121</v>
      </c>
      <c r="E398" s="972">
        <v>1.135</v>
      </c>
      <c r="F398" s="972">
        <v>1.415</v>
      </c>
      <c r="G398" s="972">
        <v>0</v>
      </c>
      <c r="H398" s="972">
        <v>0</v>
      </c>
      <c r="I398" s="972">
        <v>34.341000000000001</v>
      </c>
      <c r="J398" s="972">
        <v>0.90200000000000002</v>
      </c>
      <c r="K398" s="972">
        <v>4.202</v>
      </c>
      <c r="L398" s="972">
        <v>10.863</v>
      </c>
      <c r="M398" s="972">
        <v>0</v>
      </c>
      <c r="N398" s="972">
        <v>0</v>
      </c>
      <c r="O398" s="972">
        <v>51.720999999999997</v>
      </c>
      <c r="P398" s="972">
        <v>43.362000000000002</v>
      </c>
      <c r="Q398" s="972">
        <v>773.58699999999999</v>
      </c>
      <c r="R398" s="962">
        <v>47</v>
      </c>
      <c r="S398" s="962" t="s">
        <v>4940</v>
      </c>
      <c r="T398" s="972">
        <v>266.03666666666663</v>
      </c>
    </row>
    <row r="399" spans="1:20">
      <c r="A399" s="962" t="s">
        <v>2426</v>
      </c>
      <c r="B399" s="972">
        <v>287.36099999999999</v>
      </c>
      <c r="C399" s="972">
        <v>0</v>
      </c>
      <c r="D399" s="972">
        <v>0</v>
      </c>
      <c r="E399" s="972">
        <v>0.115</v>
      </c>
      <c r="F399" s="972">
        <v>0.53300000000000003</v>
      </c>
      <c r="G399" s="972">
        <v>0</v>
      </c>
      <c r="H399" s="972">
        <v>0</v>
      </c>
      <c r="I399" s="972">
        <v>13.167999999999999</v>
      </c>
      <c r="J399" s="972">
        <v>0.35699999999999998</v>
      </c>
      <c r="K399" s="972">
        <v>2.0179999999999998</v>
      </c>
      <c r="L399" s="972">
        <v>0</v>
      </c>
      <c r="M399" s="972">
        <v>0</v>
      </c>
      <c r="N399" s="972">
        <v>0</v>
      </c>
      <c r="O399" s="972">
        <v>16.076000000000001</v>
      </c>
      <c r="P399" s="972">
        <v>23.876999999999999</v>
      </c>
      <c r="Q399" s="972">
        <v>247.40700000000001</v>
      </c>
      <c r="R399" s="962">
        <v>22</v>
      </c>
      <c r="S399" s="962" t="s">
        <v>4940</v>
      </c>
      <c r="T399" s="972">
        <v>96.38366666666667</v>
      </c>
    </row>
    <row r="400" spans="1:20">
      <c r="A400" s="962" t="s">
        <v>2428</v>
      </c>
      <c r="B400" s="972">
        <v>521.33199999999999</v>
      </c>
      <c r="C400" s="972">
        <v>9.0009999999999994</v>
      </c>
      <c r="D400" s="972">
        <v>0</v>
      </c>
      <c r="E400" s="972">
        <v>0.88</v>
      </c>
      <c r="F400" s="972">
        <v>0.71299999999999997</v>
      </c>
      <c r="G400" s="972">
        <v>0</v>
      </c>
      <c r="H400" s="972">
        <v>0</v>
      </c>
      <c r="I400" s="972">
        <v>16.125</v>
      </c>
      <c r="J400" s="972">
        <v>2.9670000000000001</v>
      </c>
      <c r="K400" s="972">
        <v>0.98699999999999999</v>
      </c>
      <c r="L400" s="972">
        <v>0</v>
      </c>
      <c r="M400" s="972">
        <v>0</v>
      </c>
      <c r="N400" s="972">
        <v>0</v>
      </c>
      <c r="O400" s="972">
        <v>20.791</v>
      </c>
      <c r="P400" s="972">
        <v>33.286999999999999</v>
      </c>
      <c r="Q400" s="972">
        <v>467.25299999999999</v>
      </c>
      <c r="R400" s="962">
        <v>22</v>
      </c>
      <c r="S400" s="962" t="s">
        <v>4940</v>
      </c>
      <c r="T400" s="972">
        <v>167.19866666666667</v>
      </c>
    </row>
    <row r="401" spans="1:20">
      <c r="A401" s="962" t="s">
        <v>2832</v>
      </c>
      <c r="B401" s="972">
        <v>414.83800000000002</v>
      </c>
      <c r="C401" s="972">
        <v>8.6519999999999992</v>
      </c>
      <c r="D401" s="972">
        <v>0</v>
      </c>
      <c r="E401" s="972">
        <v>0</v>
      </c>
      <c r="F401" s="972">
        <v>0.69099999999999995</v>
      </c>
      <c r="G401" s="972">
        <v>1.2999999999999999E-2</v>
      </c>
      <c r="H401" s="972">
        <v>0</v>
      </c>
      <c r="I401" s="972">
        <v>15.648</v>
      </c>
      <c r="J401" s="972">
        <v>0.70599999999999996</v>
      </c>
      <c r="K401" s="972">
        <v>1.1970000000000001</v>
      </c>
      <c r="L401" s="972">
        <v>0</v>
      </c>
      <c r="M401" s="972">
        <v>0</v>
      </c>
      <c r="N401" s="972">
        <v>0</v>
      </c>
      <c r="O401" s="972">
        <v>18.254999999999999</v>
      </c>
      <c r="P401" s="972">
        <v>26.834</v>
      </c>
      <c r="Q401" s="972">
        <v>369.74799999999999</v>
      </c>
      <c r="R401" s="962">
        <v>3</v>
      </c>
      <c r="S401" s="962" t="s">
        <v>4940</v>
      </c>
      <c r="T401" s="972">
        <v>131.05100000000002</v>
      </c>
    </row>
    <row r="402" spans="1:20">
      <c r="A402" s="962" t="s">
        <v>4923</v>
      </c>
      <c r="B402" s="972">
        <v>534.27700000000004</v>
      </c>
      <c r="C402" s="972">
        <v>76.956000000000003</v>
      </c>
      <c r="D402" s="972">
        <v>0</v>
      </c>
      <c r="E402" s="972">
        <v>9.98</v>
      </c>
      <c r="F402" s="972">
        <v>0.72399999999999998</v>
      </c>
      <c r="G402" s="972">
        <v>2.1999999999999999E-2</v>
      </c>
      <c r="H402" s="972">
        <v>0</v>
      </c>
      <c r="I402" s="972">
        <v>9.9440000000000008</v>
      </c>
      <c r="J402" s="972">
        <v>1.4259999999999999</v>
      </c>
      <c r="K402" s="972">
        <v>1.637</v>
      </c>
      <c r="L402" s="972">
        <v>0</v>
      </c>
      <c r="M402" s="972">
        <v>0</v>
      </c>
      <c r="N402" s="972">
        <v>0</v>
      </c>
      <c r="O402" s="972">
        <v>13.753</v>
      </c>
      <c r="P402" s="972">
        <v>21.41</v>
      </c>
      <c r="Q402" s="972">
        <v>499.11500000000001</v>
      </c>
      <c r="R402" s="962">
        <v>41</v>
      </c>
      <c r="S402" s="962" t="s">
        <v>3902</v>
      </c>
      <c r="T402" s="972">
        <v>159.6525</v>
      </c>
    </row>
    <row r="403" spans="1:20">
      <c r="A403" s="962" t="s">
        <v>4925</v>
      </c>
      <c r="B403" s="972">
        <v>1789.1890000000001</v>
      </c>
      <c r="C403" s="972">
        <v>182.49700000000001</v>
      </c>
      <c r="D403" s="972">
        <v>0.161</v>
      </c>
      <c r="E403" s="972">
        <v>71.733000000000004</v>
      </c>
      <c r="F403" s="972">
        <v>2.1989999999999998</v>
      </c>
      <c r="G403" s="972">
        <v>5.6000000000000001E-2</v>
      </c>
      <c r="H403" s="972">
        <v>0</v>
      </c>
      <c r="I403" s="972">
        <v>21.47</v>
      </c>
      <c r="J403" s="972">
        <v>4.258</v>
      </c>
      <c r="K403" s="972">
        <v>1.506</v>
      </c>
      <c r="L403" s="972">
        <v>1.2130000000000001</v>
      </c>
      <c r="M403" s="972">
        <v>0</v>
      </c>
      <c r="N403" s="972">
        <v>0</v>
      </c>
      <c r="O403" s="972">
        <v>30.701000000000001</v>
      </c>
      <c r="P403" s="972">
        <v>86.317999999999998</v>
      </c>
      <c r="Q403" s="972">
        <v>1672.17</v>
      </c>
      <c r="R403" s="962">
        <v>134</v>
      </c>
      <c r="S403" s="962" t="s">
        <v>4940</v>
      </c>
      <c r="T403" s="972">
        <v>596.22950000000003</v>
      </c>
    </row>
    <row r="404" spans="1:20">
      <c r="A404" s="962" t="s">
        <v>4927</v>
      </c>
      <c r="B404" s="972">
        <v>692.81</v>
      </c>
      <c r="C404" s="972">
        <v>66.016000000000005</v>
      </c>
      <c r="D404" s="972">
        <v>0.122</v>
      </c>
      <c r="E404" s="972">
        <v>1.613</v>
      </c>
      <c r="F404" s="972">
        <v>0.91200000000000003</v>
      </c>
      <c r="G404" s="972">
        <v>0</v>
      </c>
      <c r="H404" s="972">
        <v>0</v>
      </c>
      <c r="I404" s="972">
        <v>17.895</v>
      </c>
      <c r="J404" s="972">
        <v>3.7949999999999999</v>
      </c>
      <c r="K404" s="972">
        <v>0</v>
      </c>
      <c r="L404" s="972">
        <v>0</v>
      </c>
      <c r="M404" s="972">
        <v>0</v>
      </c>
      <c r="N404" s="972">
        <v>0</v>
      </c>
      <c r="O404" s="972">
        <v>22.603000000000002</v>
      </c>
      <c r="P404" s="972">
        <v>53.935000000000002</v>
      </c>
      <c r="Q404" s="972">
        <v>616.27300000000002</v>
      </c>
      <c r="R404" s="962">
        <v>58</v>
      </c>
      <c r="S404" s="962" t="s">
        <v>4940</v>
      </c>
      <c r="T404" s="972">
        <v>204.09516666666667</v>
      </c>
    </row>
    <row r="405" spans="1:20">
      <c r="A405" s="962" t="s">
        <v>4929</v>
      </c>
      <c r="B405" s="972">
        <v>203.84399999999999</v>
      </c>
      <c r="C405" s="972">
        <v>1.92</v>
      </c>
      <c r="D405" s="972">
        <v>0</v>
      </c>
      <c r="E405" s="972">
        <v>6.3949999999999996</v>
      </c>
      <c r="F405" s="972">
        <v>0.25600000000000001</v>
      </c>
      <c r="G405" s="972">
        <v>0</v>
      </c>
      <c r="H405" s="972">
        <v>0</v>
      </c>
      <c r="I405" s="972">
        <v>2.782</v>
      </c>
      <c r="J405" s="972">
        <v>0</v>
      </c>
      <c r="K405" s="972">
        <v>0</v>
      </c>
      <c r="L405" s="972">
        <v>0</v>
      </c>
      <c r="M405" s="972">
        <v>0</v>
      </c>
      <c r="N405" s="972">
        <v>0</v>
      </c>
      <c r="O405" s="972">
        <v>3.0379999999999998</v>
      </c>
      <c r="P405" s="972">
        <v>10.427</v>
      </c>
      <c r="Q405" s="972">
        <v>190.38</v>
      </c>
      <c r="R405" s="962">
        <v>6</v>
      </c>
      <c r="S405" s="962" t="s">
        <v>4940</v>
      </c>
      <c r="T405" s="972">
        <v>66.728166666666667</v>
      </c>
    </row>
    <row r="406" spans="1:20">
      <c r="A406" s="962" t="s">
        <v>4931</v>
      </c>
      <c r="B406" s="972">
        <v>235.51900000000001</v>
      </c>
      <c r="C406" s="972">
        <v>12.968999999999999</v>
      </c>
      <c r="D406" s="972">
        <v>0</v>
      </c>
      <c r="E406" s="972">
        <v>4.0720000000000001</v>
      </c>
      <c r="F406" s="972">
        <v>0.40400000000000003</v>
      </c>
      <c r="G406" s="972">
        <v>0</v>
      </c>
      <c r="H406" s="972">
        <v>0</v>
      </c>
      <c r="I406" s="972">
        <v>6.7460000000000004</v>
      </c>
      <c r="J406" s="972">
        <v>0.32800000000000001</v>
      </c>
      <c r="K406" s="972">
        <v>0</v>
      </c>
      <c r="L406" s="972">
        <v>0</v>
      </c>
      <c r="M406" s="972">
        <v>0</v>
      </c>
      <c r="N406" s="972">
        <v>0</v>
      </c>
      <c r="O406" s="972">
        <v>7.4779999999999998</v>
      </c>
      <c r="P406" s="972">
        <v>10.435</v>
      </c>
      <c r="Q406" s="972">
        <v>217.60599999999999</v>
      </c>
      <c r="R406" s="962">
        <v>9</v>
      </c>
      <c r="S406" s="962" t="s">
        <v>4940</v>
      </c>
      <c r="T406" s="972">
        <v>52.959666666666664</v>
      </c>
    </row>
    <row r="407" spans="1:20">
      <c r="A407" s="962" t="s">
        <v>4933</v>
      </c>
      <c r="B407" s="972">
        <v>272.30799999999999</v>
      </c>
      <c r="C407" s="972">
        <v>4.008</v>
      </c>
      <c r="D407" s="972">
        <v>0.28599999999999998</v>
      </c>
      <c r="E407" s="972">
        <v>15.702999999999999</v>
      </c>
      <c r="F407" s="972">
        <v>0.45100000000000001</v>
      </c>
      <c r="G407" s="972">
        <v>0</v>
      </c>
      <c r="H407" s="972">
        <v>0</v>
      </c>
      <c r="I407" s="972">
        <v>0.78100000000000003</v>
      </c>
      <c r="J407" s="972">
        <v>2.02</v>
      </c>
      <c r="K407" s="972">
        <v>0</v>
      </c>
      <c r="L407" s="972">
        <v>0</v>
      </c>
      <c r="M407" s="972">
        <v>0</v>
      </c>
      <c r="N407" s="972">
        <v>0</v>
      </c>
      <c r="O407" s="972">
        <v>3.2519999999999998</v>
      </c>
      <c r="P407" s="972">
        <v>21.864000000000001</v>
      </c>
      <c r="Q407" s="972">
        <v>247.19200000000001</v>
      </c>
      <c r="R407" s="962">
        <v>11</v>
      </c>
      <c r="S407" s="962" t="s">
        <v>3902</v>
      </c>
      <c r="T407" s="972">
        <v>96.490000000000009</v>
      </c>
    </row>
    <row r="408" spans="1:20">
      <c r="A408" s="962" t="s">
        <v>444</v>
      </c>
      <c r="B408" s="972">
        <v>285.02</v>
      </c>
      <c r="C408" s="972">
        <v>4.8810000000000002</v>
      </c>
      <c r="D408" s="972">
        <v>0</v>
      </c>
      <c r="E408" s="972">
        <v>20.553999999999998</v>
      </c>
      <c r="F408" s="972">
        <v>0.49</v>
      </c>
      <c r="G408" s="972">
        <v>0</v>
      </c>
      <c r="H408" s="972">
        <v>0</v>
      </c>
      <c r="I408" s="972">
        <v>2.363</v>
      </c>
      <c r="J408" s="972">
        <v>2.4700000000000002</v>
      </c>
      <c r="K408" s="972">
        <v>0</v>
      </c>
      <c r="L408" s="972">
        <v>0.623</v>
      </c>
      <c r="M408" s="972">
        <v>0</v>
      </c>
      <c r="N408" s="972">
        <v>0</v>
      </c>
      <c r="O408" s="972">
        <v>5.9450000000000003</v>
      </c>
      <c r="P408" s="972">
        <v>33.177</v>
      </c>
      <c r="Q408" s="972">
        <v>245.898</v>
      </c>
      <c r="R408" s="962">
        <v>23</v>
      </c>
      <c r="S408" s="962" t="s">
        <v>4940</v>
      </c>
      <c r="T408" s="972">
        <v>102.05250000000001</v>
      </c>
    </row>
    <row r="409" spans="1:20">
      <c r="A409" s="962" t="s">
        <v>3558</v>
      </c>
      <c r="B409" s="972">
        <v>803.65499999999997</v>
      </c>
      <c r="C409" s="972">
        <v>66.16</v>
      </c>
      <c r="D409" s="972">
        <v>0.48</v>
      </c>
      <c r="E409" s="972">
        <v>4.4669999999999996</v>
      </c>
      <c r="F409" s="972">
        <v>0.89</v>
      </c>
      <c r="G409" s="972">
        <v>0.01</v>
      </c>
      <c r="H409" s="972">
        <v>0.46899999999999997</v>
      </c>
      <c r="I409" s="972">
        <v>24.146999999999998</v>
      </c>
      <c r="J409" s="972">
        <v>3.3260000000000001</v>
      </c>
      <c r="K409" s="972">
        <v>0</v>
      </c>
      <c r="L409" s="972">
        <v>0</v>
      </c>
      <c r="M409" s="972">
        <v>0</v>
      </c>
      <c r="N409" s="972">
        <v>2.0710000000000002</v>
      </c>
      <c r="O409" s="972">
        <v>30.911999999999999</v>
      </c>
      <c r="P409" s="972">
        <v>65.584999999999994</v>
      </c>
      <c r="Q409" s="972">
        <v>707.15800000000002</v>
      </c>
      <c r="R409" s="962">
        <v>46</v>
      </c>
      <c r="S409" s="962" t="s">
        <v>3902</v>
      </c>
      <c r="T409" s="972">
        <v>215.023</v>
      </c>
    </row>
    <row r="410" spans="1:20">
      <c r="A410" s="962" t="s">
        <v>3560</v>
      </c>
      <c r="B410" s="972">
        <v>523.096</v>
      </c>
      <c r="C410" s="972">
        <v>14.696999999999999</v>
      </c>
      <c r="D410" s="972">
        <v>0.53500000000000003</v>
      </c>
      <c r="E410" s="972">
        <v>7.9160000000000004</v>
      </c>
      <c r="F410" s="972">
        <v>0.99299999999999999</v>
      </c>
      <c r="G410" s="972">
        <v>0</v>
      </c>
      <c r="H410" s="972">
        <v>0</v>
      </c>
      <c r="I410" s="972">
        <v>19.981000000000002</v>
      </c>
      <c r="J410" s="972">
        <v>0</v>
      </c>
      <c r="K410" s="972">
        <v>2.5289999999999999</v>
      </c>
      <c r="L410" s="972">
        <v>0</v>
      </c>
      <c r="M410" s="972">
        <v>0</v>
      </c>
      <c r="N410" s="972">
        <v>0</v>
      </c>
      <c r="O410" s="972">
        <v>23.501999999999999</v>
      </c>
      <c r="P410" s="972">
        <v>37.207999999999998</v>
      </c>
      <c r="Q410" s="972">
        <v>462.38600000000002</v>
      </c>
      <c r="R410" s="962">
        <v>26</v>
      </c>
      <c r="S410" s="962" t="s">
        <v>4940</v>
      </c>
      <c r="T410" s="972">
        <v>156.30466666666666</v>
      </c>
    </row>
    <row r="411" spans="1:20">
      <c r="A411" s="962" t="s">
        <v>3562</v>
      </c>
      <c r="B411" s="972">
        <v>217.267</v>
      </c>
      <c r="C411" s="972">
        <v>0</v>
      </c>
      <c r="D411" s="972">
        <v>0.10100000000000001</v>
      </c>
      <c r="E411" s="972">
        <v>19.882000000000001</v>
      </c>
      <c r="F411" s="972">
        <v>0.42299999999999999</v>
      </c>
      <c r="G411" s="972">
        <v>0</v>
      </c>
      <c r="H411" s="972">
        <v>0</v>
      </c>
      <c r="I411" s="972">
        <v>3.6890000000000001</v>
      </c>
      <c r="J411" s="972">
        <v>0.84399999999999997</v>
      </c>
      <c r="K411" s="972">
        <v>0</v>
      </c>
      <c r="L411" s="972">
        <v>0</v>
      </c>
      <c r="M411" s="972">
        <v>0</v>
      </c>
      <c r="N411" s="972">
        <v>0</v>
      </c>
      <c r="O411" s="972">
        <v>4.9560000000000004</v>
      </c>
      <c r="P411" s="972">
        <v>26.204000000000001</v>
      </c>
      <c r="Q411" s="972">
        <v>186.108</v>
      </c>
      <c r="R411" s="962">
        <v>32</v>
      </c>
      <c r="S411" s="962" t="s">
        <v>4940</v>
      </c>
      <c r="T411" s="972">
        <v>82.332166666666666</v>
      </c>
    </row>
    <row r="412" spans="1:20">
      <c r="A412" s="962" t="s">
        <v>3564</v>
      </c>
      <c r="B412" s="972">
        <v>23017.011999999999</v>
      </c>
      <c r="C412" s="972">
        <v>3137.654</v>
      </c>
      <c r="D412" s="972">
        <v>7.0990000000000002</v>
      </c>
      <c r="E412" s="972">
        <v>574.34799999999996</v>
      </c>
      <c r="F412" s="972">
        <v>38.049999999999997</v>
      </c>
      <c r="G412" s="972">
        <v>1.635</v>
      </c>
      <c r="H412" s="972">
        <v>7.5469999999999997</v>
      </c>
      <c r="I412" s="972">
        <v>403.577</v>
      </c>
      <c r="J412" s="972">
        <v>135.89599999999999</v>
      </c>
      <c r="K412" s="972">
        <v>8.0519999999999996</v>
      </c>
      <c r="L412" s="972">
        <v>2.246</v>
      </c>
      <c r="M412" s="972">
        <v>0</v>
      </c>
      <c r="N412" s="972">
        <v>21.29</v>
      </c>
      <c r="O412" s="972">
        <v>618.29399999999998</v>
      </c>
      <c r="P412" s="972">
        <v>757.90899999999999</v>
      </c>
      <c r="Q412" s="972">
        <v>21640.81</v>
      </c>
      <c r="R412" s="962">
        <v>2391</v>
      </c>
      <c r="S412" s="962" t="s">
        <v>4940</v>
      </c>
      <c r="T412" s="972">
        <v>5801.0663333333332</v>
      </c>
    </row>
    <row r="413" spans="1:20">
      <c r="A413" s="962" t="s">
        <v>6179</v>
      </c>
      <c r="B413" s="972">
        <v>2474.2809999999999</v>
      </c>
      <c r="C413" s="972">
        <v>224.46600000000001</v>
      </c>
      <c r="D413" s="972">
        <v>0</v>
      </c>
      <c r="E413" s="972">
        <v>82.001000000000005</v>
      </c>
      <c r="F413" s="972">
        <v>3.274</v>
      </c>
      <c r="G413" s="972">
        <v>0.22900000000000001</v>
      </c>
      <c r="H413" s="972">
        <v>0</v>
      </c>
      <c r="I413" s="972">
        <v>25.928000000000001</v>
      </c>
      <c r="J413" s="972">
        <v>21.725999999999999</v>
      </c>
      <c r="K413" s="972">
        <v>0</v>
      </c>
      <c r="L413" s="972">
        <v>8.3130000000000006</v>
      </c>
      <c r="M413" s="972">
        <v>0</v>
      </c>
      <c r="N413" s="972">
        <v>2.4569999999999999</v>
      </c>
      <c r="O413" s="972">
        <v>61.926000000000002</v>
      </c>
      <c r="P413" s="972">
        <v>181.07300000000001</v>
      </c>
      <c r="Q413" s="972">
        <v>2231.2829999999999</v>
      </c>
      <c r="R413" s="962">
        <v>89</v>
      </c>
      <c r="S413" s="962" t="s">
        <v>4940</v>
      </c>
      <c r="T413" s="972">
        <v>752.97500000000002</v>
      </c>
    </row>
    <row r="414" spans="1:20">
      <c r="A414" s="962" t="s">
        <v>1309</v>
      </c>
      <c r="B414" s="972">
        <v>65906.448999999993</v>
      </c>
      <c r="C414" s="972">
        <v>7917.509</v>
      </c>
      <c r="D414" s="972">
        <v>10.492000000000001</v>
      </c>
      <c r="E414" s="972">
        <v>568.83799999999997</v>
      </c>
      <c r="F414" s="972">
        <v>67.212000000000003</v>
      </c>
      <c r="G414" s="972">
        <v>3.12</v>
      </c>
      <c r="H414" s="972">
        <v>0</v>
      </c>
      <c r="I414" s="972">
        <v>799.13800000000003</v>
      </c>
      <c r="J414" s="972">
        <v>484.97500000000002</v>
      </c>
      <c r="K414" s="972">
        <v>4.9829999999999997</v>
      </c>
      <c r="L414" s="972">
        <v>26.119</v>
      </c>
      <c r="M414" s="972">
        <v>0</v>
      </c>
      <c r="N414" s="972">
        <v>69.462000000000003</v>
      </c>
      <c r="O414" s="972">
        <v>1455.0060000000001</v>
      </c>
      <c r="P414" s="972">
        <v>2601.7640000000001</v>
      </c>
      <c r="Q414" s="972">
        <v>61849.678999999996</v>
      </c>
      <c r="R414" s="962">
        <v>5240</v>
      </c>
      <c r="S414" s="962" t="s">
        <v>4940</v>
      </c>
      <c r="T414" s="972">
        <v>20851.396500000003</v>
      </c>
    </row>
    <row r="415" spans="1:20">
      <c r="A415" s="962" t="s">
        <v>3568</v>
      </c>
      <c r="B415" s="972">
        <v>3027.335</v>
      </c>
      <c r="C415" s="972">
        <v>382.82799999999997</v>
      </c>
      <c r="D415" s="972">
        <v>0.22800000000000001</v>
      </c>
      <c r="E415" s="972">
        <v>48.057000000000002</v>
      </c>
      <c r="F415" s="972">
        <v>3.6280000000000001</v>
      </c>
      <c r="G415" s="972">
        <v>0.121</v>
      </c>
      <c r="H415" s="972">
        <v>0</v>
      </c>
      <c r="I415" s="972">
        <v>54.372999999999998</v>
      </c>
      <c r="J415" s="972">
        <v>18.974</v>
      </c>
      <c r="K415" s="972">
        <v>0.44500000000000001</v>
      </c>
      <c r="L415" s="972">
        <v>0.41399999999999998</v>
      </c>
      <c r="M415" s="972">
        <v>0</v>
      </c>
      <c r="N415" s="972">
        <v>0.80500000000000005</v>
      </c>
      <c r="O415" s="972">
        <v>78.757999999999996</v>
      </c>
      <c r="P415" s="972">
        <v>179.542</v>
      </c>
      <c r="Q415" s="972">
        <v>2769.0349999999999</v>
      </c>
      <c r="R415" s="962">
        <v>189</v>
      </c>
      <c r="S415" s="962" t="s">
        <v>4940</v>
      </c>
      <c r="T415" s="972">
        <v>879.90049999999985</v>
      </c>
    </row>
    <row r="416" spans="1:20">
      <c r="A416" s="962" t="s">
        <v>1607</v>
      </c>
      <c r="B416" s="972">
        <v>1501.15</v>
      </c>
      <c r="C416" s="972">
        <v>119.842</v>
      </c>
      <c r="D416" s="972">
        <v>0.21</v>
      </c>
      <c r="E416" s="972">
        <v>61.798000000000002</v>
      </c>
      <c r="F416" s="972">
        <v>1.002</v>
      </c>
      <c r="G416" s="972">
        <v>2.8000000000000001E-2</v>
      </c>
      <c r="H416" s="972">
        <v>0</v>
      </c>
      <c r="I416" s="972">
        <v>35.423999999999999</v>
      </c>
      <c r="J416" s="972">
        <v>7.681</v>
      </c>
      <c r="K416" s="972">
        <v>0</v>
      </c>
      <c r="L416" s="972">
        <v>0</v>
      </c>
      <c r="M416" s="972">
        <v>0</v>
      </c>
      <c r="N416" s="972">
        <v>1.802</v>
      </c>
      <c r="O416" s="972">
        <v>45.936</v>
      </c>
      <c r="P416" s="972">
        <v>94.302999999999997</v>
      </c>
      <c r="Q416" s="972">
        <v>1360.9110000000001</v>
      </c>
      <c r="R416" s="962">
        <v>102</v>
      </c>
      <c r="S416" s="962" t="s">
        <v>4940</v>
      </c>
      <c r="T416" s="972">
        <v>404.94249999999994</v>
      </c>
    </row>
    <row r="417" spans="1:20">
      <c r="A417" s="962" t="s">
        <v>2482</v>
      </c>
      <c r="B417" s="972">
        <v>1684.1220000000001</v>
      </c>
      <c r="C417" s="972">
        <v>107.375</v>
      </c>
      <c r="D417" s="972">
        <v>0</v>
      </c>
      <c r="E417" s="972">
        <v>72.403000000000006</v>
      </c>
      <c r="F417" s="972">
        <v>1.776</v>
      </c>
      <c r="G417" s="972">
        <v>5.2999999999999999E-2</v>
      </c>
      <c r="H417" s="972">
        <v>0</v>
      </c>
      <c r="I417" s="972">
        <v>23.59</v>
      </c>
      <c r="J417" s="972">
        <v>6.1819999999999995</v>
      </c>
      <c r="K417" s="972">
        <v>0</v>
      </c>
      <c r="L417" s="972">
        <v>4.7919999999999998</v>
      </c>
      <c r="M417" s="972">
        <v>0</v>
      </c>
      <c r="N417" s="972">
        <v>2.2909999999999999</v>
      </c>
      <c r="O417" s="972">
        <v>38.683999999999997</v>
      </c>
      <c r="P417" s="972">
        <v>78.019000000000005</v>
      </c>
      <c r="Q417" s="972">
        <v>1567.4190000000001</v>
      </c>
      <c r="R417" s="962">
        <v>108</v>
      </c>
      <c r="S417" s="962" t="s">
        <v>4940</v>
      </c>
      <c r="T417" s="972">
        <v>482.00933333333336</v>
      </c>
    </row>
    <row r="418" spans="1:20">
      <c r="A418" s="962" t="s">
        <v>2484</v>
      </c>
      <c r="B418" s="972">
        <v>1161.92</v>
      </c>
      <c r="C418" s="972">
        <v>65.349000000000004</v>
      </c>
      <c r="D418" s="972">
        <v>0</v>
      </c>
      <c r="E418" s="972">
        <v>27.172000000000001</v>
      </c>
      <c r="F418" s="972">
        <v>0.88100000000000001</v>
      </c>
      <c r="G418" s="972">
        <v>4.7E-2</v>
      </c>
      <c r="H418" s="972">
        <v>0</v>
      </c>
      <c r="I418" s="972">
        <v>13.715</v>
      </c>
      <c r="J418" s="972">
        <v>6.8209999999999997</v>
      </c>
      <c r="K418" s="972">
        <v>0</v>
      </c>
      <c r="L418" s="972">
        <v>3.94</v>
      </c>
      <c r="M418" s="972">
        <v>0</v>
      </c>
      <c r="N418" s="972">
        <v>0</v>
      </c>
      <c r="O418" s="972">
        <v>25.405000000000001</v>
      </c>
      <c r="P418" s="972">
        <v>50.192</v>
      </c>
      <c r="Q418" s="972">
        <v>1086.3230000000001</v>
      </c>
      <c r="R418" s="962">
        <v>115</v>
      </c>
      <c r="S418" s="962" t="s">
        <v>4940</v>
      </c>
      <c r="T418" s="972">
        <v>306.63416666666672</v>
      </c>
    </row>
    <row r="419" spans="1:20">
      <c r="A419" s="962" t="s">
        <v>2486</v>
      </c>
      <c r="B419" s="972">
        <v>474.036</v>
      </c>
      <c r="C419" s="972">
        <v>13.564</v>
      </c>
      <c r="D419" s="972">
        <v>0</v>
      </c>
      <c r="E419" s="972">
        <v>26.452000000000002</v>
      </c>
      <c r="F419" s="972">
        <v>0.35899999999999999</v>
      </c>
      <c r="G419" s="972">
        <v>4.2999999999999997E-2</v>
      </c>
      <c r="H419" s="972">
        <v>0</v>
      </c>
      <c r="I419" s="972">
        <v>4.8600000000000003</v>
      </c>
      <c r="J419" s="972">
        <v>0.57099999999999995</v>
      </c>
      <c r="K419" s="972">
        <v>0</v>
      </c>
      <c r="L419" s="972">
        <v>0</v>
      </c>
      <c r="M419" s="972">
        <v>0</v>
      </c>
      <c r="N419" s="972">
        <v>0</v>
      </c>
      <c r="O419" s="972">
        <v>5.8319999999999999</v>
      </c>
      <c r="P419" s="972">
        <v>46.527999999999999</v>
      </c>
      <c r="Q419" s="972">
        <v>421.67599999999999</v>
      </c>
      <c r="R419" s="962">
        <v>39</v>
      </c>
      <c r="S419" s="962" t="s">
        <v>4940</v>
      </c>
      <c r="T419" s="972">
        <v>153.68316666666666</v>
      </c>
    </row>
    <row r="420" spans="1:20">
      <c r="A420" s="962" t="s">
        <v>2488</v>
      </c>
      <c r="B420" s="972">
        <v>146.47499999999999</v>
      </c>
      <c r="C420" s="972">
        <v>2.351</v>
      </c>
      <c r="D420" s="972">
        <v>0</v>
      </c>
      <c r="E420" s="972">
        <v>5.8000000000000003E-2</v>
      </c>
      <c r="F420" s="972">
        <v>0.123</v>
      </c>
      <c r="G420" s="972">
        <v>0</v>
      </c>
      <c r="H420" s="972">
        <v>0</v>
      </c>
      <c r="I420" s="972">
        <v>2.2240000000000002</v>
      </c>
      <c r="J420" s="972">
        <v>0.46100000000000002</v>
      </c>
      <c r="K420" s="972">
        <v>0</v>
      </c>
      <c r="L420" s="972">
        <v>0</v>
      </c>
      <c r="M420" s="972">
        <v>0</v>
      </c>
      <c r="N420" s="972">
        <v>0</v>
      </c>
      <c r="O420" s="972">
        <v>2.8079999999999998</v>
      </c>
      <c r="P420" s="972">
        <v>0</v>
      </c>
      <c r="Q420" s="972">
        <v>143.667</v>
      </c>
      <c r="R420" s="962">
        <v>7</v>
      </c>
      <c r="S420" s="962" t="s">
        <v>4940</v>
      </c>
      <c r="T420" s="972">
        <v>0</v>
      </c>
    </row>
    <row r="421" spans="1:20">
      <c r="A421" s="962" t="s">
        <v>2834</v>
      </c>
      <c r="B421" s="972">
        <v>839.327</v>
      </c>
      <c r="C421" s="972">
        <v>24.256</v>
      </c>
      <c r="D421" s="972">
        <v>0</v>
      </c>
      <c r="E421" s="972">
        <v>34.698999999999998</v>
      </c>
      <c r="F421" s="972">
        <v>1.145</v>
      </c>
      <c r="G421" s="972">
        <v>0</v>
      </c>
      <c r="H421" s="972">
        <v>0</v>
      </c>
      <c r="I421" s="972">
        <v>14.468999999999999</v>
      </c>
      <c r="J421" s="972">
        <v>3.7130000000000001</v>
      </c>
      <c r="K421" s="972">
        <v>0</v>
      </c>
      <c r="L421" s="972">
        <v>0</v>
      </c>
      <c r="M421" s="972">
        <v>0</v>
      </c>
      <c r="N421" s="972">
        <v>3.8420000000000001</v>
      </c>
      <c r="O421" s="972">
        <v>23.169</v>
      </c>
      <c r="P421" s="972">
        <v>40.648000000000003</v>
      </c>
      <c r="Q421" s="972">
        <v>775.51099999999997</v>
      </c>
      <c r="R421" s="962">
        <v>76</v>
      </c>
      <c r="S421" s="962" t="s">
        <v>3902</v>
      </c>
      <c r="T421" s="972">
        <v>222.35175000000001</v>
      </c>
    </row>
    <row r="422" spans="1:20">
      <c r="A422" s="962" t="s">
        <v>445</v>
      </c>
      <c r="B422" s="972">
        <v>2051.1660000000002</v>
      </c>
      <c r="C422" s="972">
        <v>104.441</v>
      </c>
      <c r="D422" s="972">
        <v>2.5459999999999998</v>
      </c>
      <c r="E422" s="972">
        <v>62.198</v>
      </c>
      <c r="F422" s="972">
        <v>1.88</v>
      </c>
      <c r="G422" s="972">
        <v>4.9000000000000002E-2</v>
      </c>
      <c r="H422" s="972">
        <v>0</v>
      </c>
      <c r="I422" s="972">
        <v>14.904</v>
      </c>
      <c r="J422" s="972">
        <v>13.926</v>
      </c>
      <c r="K422" s="972">
        <v>0</v>
      </c>
      <c r="L422" s="972">
        <v>4.6920000000000002</v>
      </c>
      <c r="M422" s="972">
        <v>0</v>
      </c>
      <c r="N422" s="972">
        <v>2.17</v>
      </c>
      <c r="O422" s="972">
        <v>37.621000000000002</v>
      </c>
      <c r="P422" s="972">
        <v>133.96600000000001</v>
      </c>
      <c r="Q422" s="972">
        <v>1879.58</v>
      </c>
      <c r="R422" s="962">
        <v>153</v>
      </c>
      <c r="S422" s="962" t="s">
        <v>4940</v>
      </c>
      <c r="T422" s="972">
        <v>543.42849999999999</v>
      </c>
    </row>
    <row r="423" spans="1:20">
      <c r="A423" s="962" t="s">
        <v>2490</v>
      </c>
      <c r="B423" s="972">
        <v>550.84900000000005</v>
      </c>
      <c r="C423" s="972">
        <v>53.463999999999999</v>
      </c>
      <c r="D423" s="972">
        <v>0.434</v>
      </c>
      <c r="E423" s="972">
        <v>20.687999999999999</v>
      </c>
      <c r="F423" s="972">
        <v>0.91400000000000003</v>
      </c>
      <c r="G423" s="972">
        <v>0.17299999999999999</v>
      </c>
      <c r="H423" s="972">
        <v>0</v>
      </c>
      <c r="I423" s="972">
        <v>7.4829999999999997</v>
      </c>
      <c r="J423" s="972">
        <v>3.79</v>
      </c>
      <c r="K423" s="972">
        <v>6.4779999999999998</v>
      </c>
      <c r="L423" s="972">
        <v>0</v>
      </c>
      <c r="M423" s="972">
        <v>0</v>
      </c>
      <c r="N423" s="972">
        <v>0</v>
      </c>
      <c r="O423" s="972">
        <v>18.835999999999999</v>
      </c>
      <c r="P423" s="972">
        <v>23.413</v>
      </c>
      <c r="Q423" s="972">
        <v>508.6</v>
      </c>
      <c r="R423" s="962">
        <v>55</v>
      </c>
      <c r="S423" s="962" t="s">
        <v>3902</v>
      </c>
      <c r="T423" s="972">
        <v>142.89875000000001</v>
      </c>
    </row>
    <row r="424" spans="1:20">
      <c r="A424" s="962" t="s">
        <v>2492</v>
      </c>
      <c r="B424" s="972">
        <v>111.413</v>
      </c>
      <c r="C424" s="972">
        <v>6.1369999999999996</v>
      </c>
      <c r="D424" s="972">
        <v>0</v>
      </c>
      <c r="E424" s="972">
        <v>6.0590000000000002</v>
      </c>
      <c r="F424" s="972">
        <v>0.13500000000000001</v>
      </c>
      <c r="G424" s="972">
        <v>0</v>
      </c>
      <c r="H424" s="972">
        <v>0</v>
      </c>
      <c r="I424" s="972">
        <v>0.90200000000000002</v>
      </c>
      <c r="J424" s="972">
        <v>0</v>
      </c>
      <c r="K424" s="972">
        <v>0.68799999999999994</v>
      </c>
      <c r="L424" s="972">
        <v>0</v>
      </c>
      <c r="M424" s="972">
        <v>0</v>
      </c>
      <c r="N424" s="972">
        <v>0</v>
      </c>
      <c r="O424" s="972">
        <v>1.7250000000000001</v>
      </c>
      <c r="P424" s="972">
        <v>10.238</v>
      </c>
      <c r="Q424" s="972">
        <v>99.448999999999998</v>
      </c>
      <c r="R424" s="962">
        <v>10</v>
      </c>
      <c r="S424" s="962" t="s">
        <v>4940</v>
      </c>
      <c r="T424" s="972">
        <v>42.05533333333333</v>
      </c>
    </row>
    <row r="425" spans="1:20">
      <c r="A425" s="962" t="s">
        <v>2494</v>
      </c>
      <c r="B425" s="972">
        <v>2336.16</v>
      </c>
      <c r="C425" s="972">
        <v>239.07499999999999</v>
      </c>
      <c r="D425" s="972">
        <v>1.272</v>
      </c>
      <c r="E425" s="972">
        <v>57.499000000000002</v>
      </c>
      <c r="F425" s="972">
        <v>3.141</v>
      </c>
      <c r="G425" s="972">
        <v>7.1999999999999995E-2</v>
      </c>
      <c r="H425" s="972">
        <v>0</v>
      </c>
      <c r="I425" s="972">
        <v>41.636000000000003</v>
      </c>
      <c r="J425" s="972">
        <v>19.885000000000002</v>
      </c>
      <c r="K425" s="972">
        <v>0</v>
      </c>
      <c r="L425" s="972">
        <v>0</v>
      </c>
      <c r="M425" s="972">
        <v>0</v>
      </c>
      <c r="N425" s="972">
        <v>0</v>
      </c>
      <c r="O425" s="972">
        <v>64.734999999999999</v>
      </c>
      <c r="P425" s="972">
        <v>150.84399999999999</v>
      </c>
      <c r="Q425" s="972">
        <v>2120.5819999999999</v>
      </c>
      <c r="R425" s="962">
        <v>154</v>
      </c>
      <c r="S425" s="962" t="s">
        <v>4940</v>
      </c>
      <c r="T425" s="972">
        <v>595.80916666666667</v>
      </c>
    </row>
    <row r="426" spans="1:20">
      <c r="A426" s="962" t="s">
        <v>3303</v>
      </c>
      <c r="B426" s="972">
        <v>414.53300000000002</v>
      </c>
      <c r="C426" s="972">
        <v>0</v>
      </c>
      <c r="D426" s="972">
        <v>0</v>
      </c>
      <c r="E426" s="972">
        <v>2</v>
      </c>
      <c r="F426" s="972">
        <v>5.0000000000000001E-3</v>
      </c>
      <c r="G426" s="972">
        <v>0</v>
      </c>
      <c r="H426" s="972">
        <v>0</v>
      </c>
      <c r="I426" s="972">
        <v>0</v>
      </c>
      <c r="J426" s="972">
        <v>0</v>
      </c>
      <c r="K426" s="972">
        <v>0</v>
      </c>
      <c r="L426" s="972">
        <v>0</v>
      </c>
      <c r="M426" s="972">
        <v>0</v>
      </c>
      <c r="N426" s="972">
        <v>0</v>
      </c>
      <c r="O426" s="972">
        <v>5.0000000000000001E-3</v>
      </c>
      <c r="P426" s="972">
        <v>0</v>
      </c>
      <c r="Q426" s="972">
        <v>414.52800000000002</v>
      </c>
      <c r="R426" s="962">
        <v>50</v>
      </c>
      <c r="S426" s="962" t="s">
        <v>4940</v>
      </c>
      <c r="T426" s="972">
        <v>0</v>
      </c>
    </row>
    <row r="427" spans="1:20">
      <c r="A427" s="962" t="s">
        <v>2496</v>
      </c>
      <c r="B427" s="972">
        <v>555.86099999999999</v>
      </c>
      <c r="C427" s="972">
        <v>140.41399999999999</v>
      </c>
      <c r="D427" s="972">
        <v>0</v>
      </c>
      <c r="E427" s="972">
        <v>4.859</v>
      </c>
      <c r="F427" s="972">
        <v>0.47099999999999997</v>
      </c>
      <c r="G427" s="972">
        <v>0</v>
      </c>
      <c r="H427" s="972">
        <v>0</v>
      </c>
      <c r="I427" s="972">
        <v>8.3539999999999992</v>
      </c>
      <c r="J427" s="972">
        <v>0.69399999999999995</v>
      </c>
      <c r="K427" s="972">
        <v>0</v>
      </c>
      <c r="L427" s="972">
        <v>0</v>
      </c>
      <c r="M427" s="972">
        <v>0</v>
      </c>
      <c r="N427" s="972">
        <v>0</v>
      </c>
      <c r="O427" s="972">
        <v>9.5190000000000001</v>
      </c>
      <c r="P427" s="972">
        <v>0</v>
      </c>
      <c r="Q427" s="972">
        <v>546.34299999999996</v>
      </c>
      <c r="R427" s="962">
        <v>0</v>
      </c>
      <c r="S427" s="962" t="s">
        <v>4940</v>
      </c>
      <c r="T427" s="972">
        <v>0</v>
      </c>
    </row>
    <row r="428" spans="1:20">
      <c r="A428" s="962" t="s">
        <v>170</v>
      </c>
      <c r="B428" s="972">
        <v>229.137</v>
      </c>
      <c r="C428" s="972">
        <v>0</v>
      </c>
      <c r="D428" s="972">
        <v>0</v>
      </c>
      <c r="E428" s="972">
        <v>0</v>
      </c>
      <c r="F428" s="972">
        <v>0.21</v>
      </c>
      <c r="G428" s="972">
        <v>0</v>
      </c>
      <c r="H428" s="972">
        <v>0</v>
      </c>
      <c r="I428" s="972">
        <v>6.093</v>
      </c>
      <c r="J428" s="972">
        <v>0</v>
      </c>
      <c r="K428" s="972">
        <v>0</v>
      </c>
      <c r="L428" s="972">
        <v>0</v>
      </c>
      <c r="M428" s="972">
        <v>0</v>
      </c>
      <c r="N428" s="972">
        <v>0</v>
      </c>
      <c r="O428" s="972">
        <v>6.3029999999999999</v>
      </c>
      <c r="P428" s="972">
        <v>0</v>
      </c>
      <c r="Q428" s="972">
        <v>222.833</v>
      </c>
      <c r="R428" s="962">
        <v>14</v>
      </c>
      <c r="S428" s="962" t="s">
        <v>4940</v>
      </c>
      <c r="T428" s="972">
        <v>0</v>
      </c>
    </row>
    <row r="429" spans="1:20">
      <c r="A429" s="962" t="s">
        <v>2498</v>
      </c>
      <c r="B429" s="972">
        <v>8382.8169999999991</v>
      </c>
      <c r="C429" s="972">
        <v>723.947</v>
      </c>
      <c r="D429" s="972">
        <v>3.3570000000000002</v>
      </c>
      <c r="E429" s="972">
        <v>353.31599999999997</v>
      </c>
      <c r="F429" s="972">
        <v>11.826000000000001</v>
      </c>
      <c r="G429" s="972">
        <v>6.6000000000000003E-2</v>
      </c>
      <c r="H429" s="972">
        <v>0</v>
      </c>
      <c r="I429" s="972">
        <v>55.771000000000001</v>
      </c>
      <c r="J429" s="972">
        <v>82.691999999999993</v>
      </c>
      <c r="K429" s="972">
        <v>0</v>
      </c>
      <c r="L429" s="972">
        <v>2.8530000000000002</v>
      </c>
      <c r="M429" s="972">
        <v>0</v>
      </c>
      <c r="N429" s="972">
        <v>3.613</v>
      </c>
      <c r="O429" s="972">
        <v>156.82</v>
      </c>
      <c r="P429" s="972">
        <v>269.75200000000001</v>
      </c>
      <c r="Q429" s="972">
        <v>7956.2460000000001</v>
      </c>
      <c r="R429" s="962">
        <v>557</v>
      </c>
      <c r="S429" s="962" t="s">
        <v>4940</v>
      </c>
      <c r="T429" s="972">
        <v>2121.4998333333328</v>
      </c>
    </row>
    <row r="430" spans="1:20">
      <c r="A430" s="962" t="s">
        <v>1670</v>
      </c>
      <c r="B430" s="972">
        <v>5930.9960000000001</v>
      </c>
      <c r="C430" s="972">
        <v>913.072</v>
      </c>
      <c r="D430" s="972">
        <v>2.9460000000000002</v>
      </c>
      <c r="E430" s="972">
        <v>150.58500000000001</v>
      </c>
      <c r="F430" s="972">
        <v>6.5549999999999997</v>
      </c>
      <c r="G430" s="972">
        <v>0.14000000000000001</v>
      </c>
      <c r="H430" s="972">
        <v>0</v>
      </c>
      <c r="I430" s="972">
        <v>57.296999999999997</v>
      </c>
      <c r="J430" s="972">
        <v>33.063000000000002</v>
      </c>
      <c r="K430" s="972">
        <v>0</v>
      </c>
      <c r="L430" s="972">
        <v>7.73</v>
      </c>
      <c r="M430" s="972">
        <v>0</v>
      </c>
      <c r="N430" s="972">
        <v>0.69099999999999995</v>
      </c>
      <c r="O430" s="972">
        <v>105.476</v>
      </c>
      <c r="P430" s="972">
        <v>299.24299999999999</v>
      </c>
      <c r="Q430" s="972">
        <v>5526.277</v>
      </c>
      <c r="R430" s="962">
        <v>386</v>
      </c>
      <c r="S430" s="962" t="s">
        <v>4940</v>
      </c>
      <c r="T430" s="972">
        <v>1715.2308333333335</v>
      </c>
    </row>
    <row r="431" spans="1:20">
      <c r="A431" s="962" t="s">
        <v>1867</v>
      </c>
      <c r="B431" s="972">
        <v>168.10499999999999</v>
      </c>
      <c r="C431" s="972">
        <v>1.923</v>
      </c>
      <c r="D431" s="972">
        <v>0</v>
      </c>
      <c r="E431" s="972">
        <v>6.27</v>
      </c>
      <c r="F431" s="972">
        <v>0.16500000000000001</v>
      </c>
      <c r="G431" s="972">
        <v>0</v>
      </c>
      <c r="H431" s="972">
        <v>0</v>
      </c>
      <c r="I431" s="972">
        <v>2.222</v>
      </c>
      <c r="J431" s="972">
        <v>0</v>
      </c>
      <c r="K431" s="972">
        <v>0</v>
      </c>
      <c r="L431" s="972">
        <v>0</v>
      </c>
      <c r="M431" s="972">
        <v>0</v>
      </c>
      <c r="N431" s="972">
        <v>0</v>
      </c>
      <c r="O431" s="972">
        <v>2.387</v>
      </c>
      <c r="P431" s="972">
        <v>11.587999999999999</v>
      </c>
      <c r="Q431" s="972">
        <v>154.131</v>
      </c>
      <c r="R431" s="962">
        <v>3</v>
      </c>
      <c r="S431" s="962" t="s">
        <v>4940</v>
      </c>
      <c r="T431" s="972">
        <v>78.122</v>
      </c>
    </row>
    <row r="432" spans="1:20">
      <c r="A432" s="962" t="s">
        <v>1672</v>
      </c>
      <c r="B432" s="972">
        <v>2724.181</v>
      </c>
      <c r="C432" s="972">
        <v>120.586</v>
      </c>
      <c r="D432" s="972">
        <v>1.35</v>
      </c>
      <c r="E432" s="972">
        <v>119.625</v>
      </c>
      <c r="F432" s="972">
        <v>4.234</v>
      </c>
      <c r="G432" s="972">
        <v>8.6999999999999994E-2</v>
      </c>
      <c r="H432" s="972">
        <v>0</v>
      </c>
      <c r="I432" s="972">
        <v>30.661999999999999</v>
      </c>
      <c r="J432" s="972">
        <v>33.198999999999998</v>
      </c>
      <c r="K432" s="972">
        <v>0</v>
      </c>
      <c r="L432" s="972">
        <v>0</v>
      </c>
      <c r="M432" s="972">
        <v>0</v>
      </c>
      <c r="N432" s="972">
        <v>0</v>
      </c>
      <c r="O432" s="972">
        <v>68.180999999999997</v>
      </c>
      <c r="P432" s="972">
        <v>85.703000000000003</v>
      </c>
      <c r="Q432" s="972">
        <v>2570.297</v>
      </c>
      <c r="R432" s="962">
        <v>174</v>
      </c>
      <c r="S432" s="962" t="s">
        <v>4940</v>
      </c>
      <c r="T432" s="972">
        <v>679.79399999999998</v>
      </c>
    </row>
    <row r="433" spans="1:20">
      <c r="A433" s="962" t="s">
        <v>1674</v>
      </c>
      <c r="B433" s="972">
        <v>5422.6559999999999</v>
      </c>
      <c r="C433" s="972">
        <v>344.15</v>
      </c>
      <c r="D433" s="972">
        <v>3.69</v>
      </c>
      <c r="E433" s="972">
        <v>170.184</v>
      </c>
      <c r="F433" s="972">
        <v>7.22</v>
      </c>
      <c r="G433" s="972">
        <v>0.124</v>
      </c>
      <c r="H433" s="972">
        <v>0</v>
      </c>
      <c r="I433" s="972">
        <v>47.621000000000002</v>
      </c>
      <c r="J433" s="972">
        <v>40.268000000000001</v>
      </c>
      <c r="K433" s="972">
        <v>0.79</v>
      </c>
      <c r="L433" s="972">
        <v>1.2689999999999999</v>
      </c>
      <c r="M433" s="972">
        <v>0</v>
      </c>
      <c r="N433" s="972">
        <v>0</v>
      </c>
      <c r="O433" s="972">
        <v>97.292000000000002</v>
      </c>
      <c r="P433" s="972">
        <v>238.095</v>
      </c>
      <c r="Q433" s="972">
        <v>5087.2700000000004</v>
      </c>
      <c r="R433" s="962">
        <v>335</v>
      </c>
      <c r="S433" s="962" t="s">
        <v>4940</v>
      </c>
      <c r="T433" s="972">
        <v>1496.3528333333334</v>
      </c>
    </row>
    <row r="434" spans="1:20">
      <c r="A434" s="962" t="s">
        <v>5048</v>
      </c>
      <c r="B434" s="972">
        <v>1144.8499999999999</v>
      </c>
      <c r="C434" s="972">
        <v>63.68</v>
      </c>
      <c r="D434" s="972">
        <v>0.98099999999999998</v>
      </c>
      <c r="E434" s="972">
        <v>36.601999999999997</v>
      </c>
      <c r="F434" s="972">
        <v>1.4079999999999999</v>
      </c>
      <c r="G434" s="972">
        <v>0</v>
      </c>
      <c r="H434" s="972">
        <v>0</v>
      </c>
      <c r="I434" s="972">
        <v>18.547999999999998</v>
      </c>
      <c r="J434" s="972">
        <v>9.0740000000000016</v>
      </c>
      <c r="K434" s="972">
        <v>0</v>
      </c>
      <c r="L434" s="972">
        <v>0</v>
      </c>
      <c r="M434" s="972">
        <v>0</v>
      </c>
      <c r="N434" s="972">
        <v>0</v>
      </c>
      <c r="O434" s="972">
        <v>29.029</v>
      </c>
      <c r="P434" s="972">
        <v>39.271999999999998</v>
      </c>
      <c r="Q434" s="972">
        <v>1076.55</v>
      </c>
      <c r="R434" s="962">
        <v>45</v>
      </c>
      <c r="S434" s="962" t="s">
        <v>4940</v>
      </c>
      <c r="T434" s="972">
        <v>268.78133333333335</v>
      </c>
    </row>
    <row r="435" spans="1:20">
      <c r="A435" s="962" t="s">
        <v>2392</v>
      </c>
      <c r="B435" s="972">
        <v>4214.7659999999996</v>
      </c>
      <c r="C435" s="972">
        <v>86.242000000000004</v>
      </c>
      <c r="D435" s="972">
        <v>0.28999999999999998</v>
      </c>
      <c r="E435" s="972">
        <v>193.35499999999999</v>
      </c>
      <c r="F435" s="972">
        <v>9.468</v>
      </c>
      <c r="G435" s="972">
        <v>0.19500000000000001</v>
      </c>
      <c r="H435" s="972">
        <v>0</v>
      </c>
      <c r="I435" s="972">
        <v>17.407</v>
      </c>
      <c r="J435" s="972">
        <v>23.63</v>
      </c>
      <c r="K435" s="972">
        <v>0.52100000000000002</v>
      </c>
      <c r="L435" s="972">
        <v>0</v>
      </c>
      <c r="M435" s="972">
        <v>0</v>
      </c>
      <c r="N435" s="972">
        <v>0</v>
      </c>
      <c r="O435" s="972">
        <v>51.220999999999997</v>
      </c>
      <c r="P435" s="972">
        <v>207.404</v>
      </c>
      <c r="Q435" s="972">
        <v>3956.1419999999998</v>
      </c>
      <c r="R435" s="962">
        <v>214</v>
      </c>
      <c r="S435" s="962" t="s">
        <v>4940</v>
      </c>
      <c r="T435" s="972">
        <v>1266.7891666666667</v>
      </c>
    </row>
    <row r="436" spans="1:20">
      <c r="A436" s="962" t="s">
        <v>5050</v>
      </c>
      <c r="B436" s="972">
        <v>36385.135000000002</v>
      </c>
      <c r="C436" s="972">
        <v>2495.0680000000002</v>
      </c>
      <c r="D436" s="972">
        <v>7.8869999999999996</v>
      </c>
      <c r="E436" s="972">
        <v>1051.183</v>
      </c>
      <c r="F436" s="972">
        <v>61.264000000000003</v>
      </c>
      <c r="G436" s="972">
        <v>0.30199999999999999</v>
      </c>
      <c r="H436" s="972">
        <v>0</v>
      </c>
      <c r="I436" s="972">
        <v>541.29</v>
      </c>
      <c r="J436" s="972">
        <v>274.63499999999999</v>
      </c>
      <c r="K436" s="972">
        <v>4.8170000000000002</v>
      </c>
      <c r="L436" s="972">
        <v>1.258</v>
      </c>
      <c r="M436" s="972">
        <v>0</v>
      </c>
      <c r="N436" s="972">
        <v>2.5369999999999999</v>
      </c>
      <c r="O436" s="972">
        <v>886.09799999999996</v>
      </c>
      <c r="P436" s="972">
        <v>1649.1780000000001</v>
      </c>
      <c r="Q436" s="972">
        <v>33849.858999999997</v>
      </c>
      <c r="R436" s="962">
        <v>3453</v>
      </c>
      <c r="S436" s="962" t="s">
        <v>4940</v>
      </c>
      <c r="T436" s="972">
        <v>11053.404666666665</v>
      </c>
    </row>
    <row r="437" spans="1:20">
      <c r="A437" s="962" t="s">
        <v>1311</v>
      </c>
      <c r="B437" s="972">
        <v>5710.6819999999998</v>
      </c>
      <c r="C437" s="972">
        <v>105.423</v>
      </c>
      <c r="D437" s="972">
        <v>0</v>
      </c>
      <c r="E437" s="972">
        <v>138.85300000000001</v>
      </c>
      <c r="F437" s="972">
        <v>8.9260000000000002</v>
      </c>
      <c r="G437" s="972">
        <v>0.70299999999999996</v>
      </c>
      <c r="H437" s="972">
        <v>0</v>
      </c>
      <c r="I437" s="972">
        <v>82.677000000000007</v>
      </c>
      <c r="J437" s="972">
        <v>20.581</v>
      </c>
      <c r="K437" s="972">
        <v>1.2390000000000001</v>
      </c>
      <c r="L437" s="972">
        <v>3.1920000000000002</v>
      </c>
      <c r="M437" s="972">
        <v>0</v>
      </c>
      <c r="N437" s="972">
        <v>0</v>
      </c>
      <c r="O437" s="972">
        <v>117.318</v>
      </c>
      <c r="P437" s="972">
        <v>241.803</v>
      </c>
      <c r="Q437" s="972">
        <v>5351.5609999999997</v>
      </c>
      <c r="R437" s="962">
        <v>670</v>
      </c>
      <c r="S437" s="962" t="s">
        <v>4940</v>
      </c>
      <c r="T437" s="972">
        <v>1914.38</v>
      </c>
    </row>
    <row r="438" spans="1:20">
      <c r="A438" s="962" t="s">
        <v>3222</v>
      </c>
      <c r="B438" s="972">
        <v>730.971</v>
      </c>
      <c r="C438" s="972">
        <v>57.835000000000001</v>
      </c>
      <c r="D438" s="972">
        <v>0.46200000000000002</v>
      </c>
      <c r="E438" s="972">
        <v>0.35599999999999998</v>
      </c>
      <c r="F438" s="972">
        <v>1.2390000000000001</v>
      </c>
      <c r="G438" s="972">
        <v>0</v>
      </c>
      <c r="H438" s="972">
        <v>0</v>
      </c>
      <c r="I438" s="972">
        <v>23.524000000000001</v>
      </c>
      <c r="J438" s="972">
        <v>3.1280000000000001</v>
      </c>
      <c r="K438" s="972">
        <v>0</v>
      </c>
      <c r="L438" s="972">
        <v>4.5880000000000001</v>
      </c>
      <c r="M438" s="972">
        <v>0</v>
      </c>
      <c r="N438" s="972">
        <v>0</v>
      </c>
      <c r="O438" s="972">
        <v>32.479999999999997</v>
      </c>
      <c r="P438" s="972">
        <v>52.039000000000001</v>
      </c>
      <c r="Q438" s="972">
        <v>646.45299999999997</v>
      </c>
      <c r="R438" s="962">
        <v>9</v>
      </c>
      <c r="S438" s="962" t="s">
        <v>4940</v>
      </c>
      <c r="T438" s="972">
        <v>203.91266666666667</v>
      </c>
    </row>
    <row r="439" spans="1:20">
      <c r="A439" s="962" t="s">
        <v>3224</v>
      </c>
      <c r="B439" s="972">
        <v>145.6</v>
      </c>
      <c r="C439" s="972">
        <v>1.7130000000000001</v>
      </c>
      <c r="D439" s="972">
        <v>0</v>
      </c>
      <c r="E439" s="972">
        <v>5.1769999999999996</v>
      </c>
      <c r="F439" s="972">
        <v>0.16</v>
      </c>
      <c r="G439" s="972">
        <v>0</v>
      </c>
      <c r="H439" s="972">
        <v>0</v>
      </c>
      <c r="I439" s="972">
        <v>1.837</v>
      </c>
      <c r="J439" s="972">
        <v>0.98099999999999998</v>
      </c>
      <c r="K439" s="972">
        <v>0</v>
      </c>
      <c r="L439" s="972">
        <v>0</v>
      </c>
      <c r="M439" s="972">
        <v>0</v>
      </c>
      <c r="N439" s="972">
        <v>0</v>
      </c>
      <c r="O439" s="972">
        <v>2.9780000000000002</v>
      </c>
      <c r="P439" s="972">
        <v>13.099</v>
      </c>
      <c r="Q439" s="972">
        <v>129.523</v>
      </c>
      <c r="R439" s="962">
        <v>9</v>
      </c>
      <c r="S439" s="962" t="s">
        <v>4940</v>
      </c>
      <c r="T439" s="972">
        <v>43.9375</v>
      </c>
    </row>
    <row r="440" spans="1:20">
      <c r="A440" s="962" t="s">
        <v>6218</v>
      </c>
      <c r="B440" s="972">
        <v>21.422999999999998</v>
      </c>
      <c r="C440" s="972">
        <v>0</v>
      </c>
      <c r="D440" s="972">
        <v>0</v>
      </c>
      <c r="E440" s="972">
        <v>0</v>
      </c>
      <c r="F440" s="972">
        <v>0</v>
      </c>
      <c r="G440" s="972">
        <v>0</v>
      </c>
      <c r="H440" s="972">
        <v>0</v>
      </c>
      <c r="I440" s="972">
        <v>0</v>
      </c>
      <c r="J440" s="972">
        <v>0</v>
      </c>
      <c r="K440" s="972">
        <v>1.381</v>
      </c>
      <c r="L440" s="972">
        <v>0</v>
      </c>
      <c r="M440" s="972">
        <v>0</v>
      </c>
      <c r="N440" s="972">
        <v>0</v>
      </c>
      <c r="O440" s="972">
        <v>1.381</v>
      </c>
      <c r="P440" s="972">
        <v>0</v>
      </c>
      <c r="Q440" s="972">
        <v>20.042000000000002</v>
      </c>
      <c r="R440" s="962">
        <v>0</v>
      </c>
      <c r="S440" s="962" t="s">
        <v>4940</v>
      </c>
      <c r="T440" s="972">
        <v>0</v>
      </c>
    </row>
    <row r="441" spans="1:20">
      <c r="A441" s="962" t="s">
        <v>3228</v>
      </c>
      <c r="B441" s="972">
        <v>2794.15</v>
      </c>
      <c r="C441" s="972">
        <v>273.51799999999997</v>
      </c>
      <c r="D441" s="972">
        <v>1.036</v>
      </c>
      <c r="E441" s="972">
        <v>15.02</v>
      </c>
      <c r="F441" s="972">
        <v>2.5990000000000002</v>
      </c>
      <c r="G441" s="972">
        <v>0.104</v>
      </c>
      <c r="H441" s="972">
        <v>0</v>
      </c>
      <c r="I441" s="972">
        <v>75.296000000000006</v>
      </c>
      <c r="J441" s="972">
        <v>22.988999999999997</v>
      </c>
      <c r="K441" s="972">
        <v>0</v>
      </c>
      <c r="L441" s="972">
        <v>0.79</v>
      </c>
      <c r="M441" s="972">
        <v>0</v>
      </c>
      <c r="N441" s="972">
        <v>2.5409999999999999</v>
      </c>
      <c r="O441" s="972">
        <v>104.319</v>
      </c>
      <c r="P441" s="972">
        <v>235.67400000000001</v>
      </c>
      <c r="Q441" s="972">
        <v>2454.1570000000002</v>
      </c>
      <c r="R441" s="962">
        <v>229</v>
      </c>
      <c r="S441" s="962" t="s">
        <v>4940</v>
      </c>
      <c r="T441" s="972">
        <v>945.17933333333326</v>
      </c>
    </row>
    <row r="442" spans="1:20">
      <c r="A442" s="962" t="s">
        <v>3230</v>
      </c>
      <c r="B442" s="972">
        <v>567.33100000000002</v>
      </c>
      <c r="C442" s="972">
        <v>6.8410000000000002</v>
      </c>
      <c r="D442" s="972">
        <v>0</v>
      </c>
      <c r="E442" s="972">
        <v>0.17799999999999999</v>
      </c>
      <c r="F442" s="972">
        <v>0.54800000000000004</v>
      </c>
      <c r="G442" s="972">
        <v>0</v>
      </c>
      <c r="H442" s="972">
        <v>0</v>
      </c>
      <c r="I442" s="972">
        <v>25.28</v>
      </c>
      <c r="J442" s="972">
        <v>0.72899999999999998</v>
      </c>
      <c r="K442" s="972">
        <v>1.661</v>
      </c>
      <c r="L442" s="972">
        <v>1.6879999999999999</v>
      </c>
      <c r="M442" s="972">
        <v>0</v>
      </c>
      <c r="N442" s="972">
        <v>1.266</v>
      </c>
      <c r="O442" s="972">
        <v>31.172000000000001</v>
      </c>
      <c r="P442" s="972">
        <v>32.381999999999998</v>
      </c>
      <c r="Q442" s="972">
        <v>503.77699999999999</v>
      </c>
      <c r="R442" s="962">
        <v>51</v>
      </c>
      <c r="S442" s="962" t="s">
        <v>4940</v>
      </c>
      <c r="T442" s="972">
        <v>193.70333333333329</v>
      </c>
    </row>
    <row r="443" spans="1:20">
      <c r="A443" s="962" t="s">
        <v>3232</v>
      </c>
      <c r="B443" s="972">
        <v>265.767</v>
      </c>
      <c r="C443" s="972">
        <v>23.059000000000001</v>
      </c>
      <c r="D443" s="972">
        <v>0</v>
      </c>
      <c r="E443" s="972">
        <v>8.8179999999999996</v>
      </c>
      <c r="F443" s="972">
        <v>0.28699999999999998</v>
      </c>
      <c r="G443" s="972">
        <v>0</v>
      </c>
      <c r="H443" s="972">
        <v>0</v>
      </c>
      <c r="I443" s="972">
        <v>4.3719999999999999</v>
      </c>
      <c r="J443" s="972">
        <v>0</v>
      </c>
      <c r="K443" s="972">
        <v>0</v>
      </c>
      <c r="L443" s="972">
        <v>0</v>
      </c>
      <c r="M443" s="972">
        <v>0</v>
      </c>
      <c r="N443" s="972">
        <v>0</v>
      </c>
      <c r="O443" s="972">
        <v>4.6589999999999998</v>
      </c>
      <c r="P443" s="972">
        <v>16.661999999999999</v>
      </c>
      <c r="Q443" s="972">
        <v>244.44499999999999</v>
      </c>
      <c r="R443" s="962">
        <v>12</v>
      </c>
      <c r="S443" s="962" t="s">
        <v>4940</v>
      </c>
      <c r="T443" s="972">
        <v>78.021333333333331</v>
      </c>
    </row>
    <row r="444" spans="1:20">
      <c r="A444" s="962" t="s">
        <v>1899</v>
      </c>
      <c r="B444" s="972">
        <v>1299.3879999999999</v>
      </c>
      <c r="C444" s="972">
        <v>39.494999999999997</v>
      </c>
      <c r="D444" s="972">
        <v>0.58799999999999997</v>
      </c>
      <c r="E444" s="972">
        <v>28.103999999999999</v>
      </c>
      <c r="F444" s="972">
        <v>2.1840000000000002</v>
      </c>
      <c r="G444" s="972">
        <v>0.13100000000000001</v>
      </c>
      <c r="H444" s="972">
        <v>0</v>
      </c>
      <c r="I444" s="972">
        <v>29.785</v>
      </c>
      <c r="J444" s="972">
        <v>3.8639999999999999</v>
      </c>
      <c r="K444" s="972">
        <v>0</v>
      </c>
      <c r="L444" s="972">
        <v>0</v>
      </c>
      <c r="M444" s="972">
        <v>0</v>
      </c>
      <c r="N444" s="972">
        <v>3.4209999999999998</v>
      </c>
      <c r="O444" s="972">
        <v>39.383000000000003</v>
      </c>
      <c r="P444" s="972">
        <v>83.912999999999997</v>
      </c>
      <c r="Q444" s="972">
        <v>1176.0920000000001</v>
      </c>
      <c r="R444" s="962">
        <v>151</v>
      </c>
      <c r="S444" s="962" t="s">
        <v>4940</v>
      </c>
      <c r="T444" s="972">
        <v>402.59300000000007</v>
      </c>
    </row>
    <row r="445" spans="1:20">
      <c r="A445" s="962" t="s">
        <v>1853</v>
      </c>
      <c r="B445" s="972">
        <v>2468.127</v>
      </c>
      <c r="C445" s="972">
        <v>306.47500000000002</v>
      </c>
      <c r="D445" s="972">
        <v>1.4750000000000001</v>
      </c>
      <c r="E445" s="972">
        <v>62.36</v>
      </c>
      <c r="F445" s="972">
        <v>2.4950000000000001</v>
      </c>
      <c r="G445" s="972">
        <v>6.8000000000000005E-2</v>
      </c>
      <c r="H445" s="972">
        <v>0</v>
      </c>
      <c r="I445" s="972">
        <v>32.064999999999998</v>
      </c>
      <c r="J445" s="972">
        <v>15.842000000000001</v>
      </c>
      <c r="K445" s="972">
        <v>0</v>
      </c>
      <c r="L445" s="972">
        <v>0.372</v>
      </c>
      <c r="M445" s="972">
        <v>0</v>
      </c>
      <c r="N445" s="972">
        <v>0</v>
      </c>
      <c r="O445" s="972">
        <v>50.841000000000001</v>
      </c>
      <c r="P445" s="972">
        <v>173.44800000000001</v>
      </c>
      <c r="Q445" s="972">
        <v>2243.8380000000002</v>
      </c>
      <c r="R445" s="962">
        <v>212</v>
      </c>
      <c r="S445" s="962" t="s">
        <v>4940</v>
      </c>
      <c r="T445" s="972">
        <v>621.27199999999993</v>
      </c>
    </row>
    <row r="446" spans="1:20">
      <c r="A446" s="962" t="s">
        <v>1901</v>
      </c>
      <c r="B446" s="972">
        <v>954.46799999999996</v>
      </c>
      <c r="C446" s="972">
        <v>95.994</v>
      </c>
      <c r="D446" s="972">
        <v>0.33500000000000002</v>
      </c>
      <c r="E446" s="972">
        <v>41.006</v>
      </c>
      <c r="F446" s="972">
        <v>1.91</v>
      </c>
      <c r="G446" s="972">
        <v>0</v>
      </c>
      <c r="H446" s="972">
        <v>0</v>
      </c>
      <c r="I446" s="972">
        <v>13.808</v>
      </c>
      <c r="J446" s="972">
        <v>4.266</v>
      </c>
      <c r="K446" s="972">
        <v>0.83299999999999996</v>
      </c>
      <c r="L446" s="972">
        <v>0</v>
      </c>
      <c r="M446" s="972">
        <v>0</v>
      </c>
      <c r="N446" s="972">
        <v>0.86199999999999999</v>
      </c>
      <c r="O446" s="972">
        <v>21.68</v>
      </c>
      <c r="P446" s="972">
        <v>40.933999999999997</v>
      </c>
      <c r="Q446" s="972">
        <v>891.85400000000004</v>
      </c>
      <c r="R446" s="962">
        <v>55</v>
      </c>
      <c r="S446" s="962" t="s">
        <v>4940</v>
      </c>
      <c r="T446" s="972">
        <v>251.64966666666669</v>
      </c>
    </row>
    <row r="447" spans="1:20">
      <c r="A447" s="962" t="s">
        <v>1903</v>
      </c>
      <c r="B447" s="972">
        <v>238.66200000000001</v>
      </c>
      <c r="C447" s="972">
        <v>42.293999999999997</v>
      </c>
      <c r="D447" s="972">
        <v>0</v>
      </c>
      <c r="E447" s="972">
        <v>7.6719999999999997</v>
      </c>
      <c r="F447" s="972">
        <v>0.39300000000000002</v>
      </c>
      <c r="G447" s="972">
        <v>0</v>
      </c>
      <c r="H447" s="972">
        <v>0</v>
      </c>
      <c r="I447" s="972">
        <v>2.456</v>
      </c>
      <c r="J447" s="972">
        <v>2.1469999999999998</v>
      </c>
      <c r="K447" s="972">
        <v>0</v>
      </c>
      <c r="L447" s="972">
        <v>0</v>
      </c>
      <c r="M447" s="972">
        <v>0</v>
      </c>
      <c r="N447" s="972">
        <v>0</v>
      </c>
      <c r="O447" s="972">
        <v>4.9960000000000004</v>
      </c>
      <c r="P447" s="972">
        <v>5.1159999999999997</v>
      </c>
      <c r="Q447" s="972">
        <v>228.55099999999999</v>
      </c>
      <c r="R447" s="962">
        <v>6</v>
      </c>
      <c r="S447" s="962" t="s">
        <v>3902</v>
      </c>
      <c r="T447" s="972">
        <v>49.630500000000005</v>
      </c>
    </row>
    <row r="448" spans="1:20">
      <c r="A448" s="962" t="s">
        <v>52</v>
      </c>
      <c r="B448" s="972">
        <v>158.65899999999999</v>
      </c>
      <c r="C448" s="972">
        <v>2.8759999999999999</v>
      </c>
      <c r="D448" s="972">
        <v>0</v>
      </c>
      <c r="E448" s="972">
        <v>4.4000000000000004</v>
      </c>
      <c r="F448" s="972">
        <v>0.19600000000000001</v>
      </c>
      <c r="G448" s="972">
        <v>0</v>
      </c>
      <c r="H448" s="972">
        <v>0</v>
      </c>
      <c r="I448" s="972">
        <v>0.38100000000000001</v>
      </c>
      <c r="J448" s="972">
        <v>0</v>
      </c>
      <c r="K448" s="972">
        <v>0</v>
      </c>
      <c r="L448" s="972">
        <v>0</v>
      </c>
      <c r="M448" s="972">
        <v>0</v>
      </c>
      <c r="N448" s="972">
        <v>0</v>
      </c>
      <c r="O448" s="972">
        <v>0.57599999999999996</v>
      </c>
      <c r="P448" s="972">
        <v>10.874000000000001</v>
      </c>
      <c r="Q448" s="972">
        <v>147.209</v>
      </c>
      <c r="R448" s="962">
        <v>10</v>
      </c>
      <c r="S448" s="962" t="s">
        <v>4940</v>
      </c>
      <c r="T448" s="972">
        <v>42.438666666666663</v>
      </c>
    </row>
    <row r="449" spans="1:20">
      <c r="A449" s="962" t="s">
        <v>54</v>
      </c>
      <c r="B449" s="972">
        <v>200.45099999999999</v>
      </c>
      <c r="C449" s="972">
        <v>2.4769999999999999</v>
      </c>
      <c r="D449" s="972">
        <v>0</v>
      </c>
      <c r="E449" s="972">
        <v>5.5190000000000001</v>
      </c>
      <c r="F449" s="972">
        <v>0.15</v>
      </c>
      <c r="G449" s="972">
        <v>0</v>
      </c>
      <c r="H449" s="972">
        <v>0</v>
      </c>
      <c r="I449" s="972">
        <v>1.5609999999999999</v>
      </c>
      <c r="J449" s="972">
        <v>0</v>
      </c>
      <c r="K449" s="972">
        <v>0</v>
      </c>
      <c r="L449" s="972">
        <v>0</v>
      </c>
      <c r="M449" s="972">
        <v>0</v>
      </c>
      <c r="N449" s="972">
        <v>0</v>
      </c>
      <c r="O449" s="972">
        <v>1.7110000000000001</v>
      </c>
      <c r="P449" s="972">
        <v>11.013999999999999</v>
      </c>
      <c r="Q449" s="972">
        <v>187.727</v>
      </c>
      <c r="R449" s="962">
        <v>0</v>
      </c>
      <c r="S449" s="962" t="s">
        <v>4940</v>
      </c>
      <c r="T449" s="972">
        <v>62.036000000000001</v>
      </c>
    </row>
    <row r="450" spans="1:20">
      <c r="A450" s="962" t="s">
        <v>6191</v>
      </c>
      <c r="B450" s="972">
        <v>3180.6979999999999</v>
      </c>
      <c r="C450" s="972">
        <v>329.24400000000003</v>
      </c>
      <c r="D450" s="972">
        <v>1.6539999999999999</v>
      </c>
      <c r="E450" s="972">
        <v>181.98599999999999</v>
      </c>
      <c r="F450" s="972">
        <v>4.1900000000000004</v>
      </c>
      <c r="G450" s="972">
        <v>1.6E-2</v>
      </c>
      <c r="H450" s="972">
        <v>0.114</v>
      </c>
      <c r="I450" s="972">
        <v>21.084</v>
      </c>
      <c r="J450" s="972">
        <v>20.527000000000001</v>
      </c>
      <c r="K450" s="972">
        <v>0.59399999999999997</v>
      </c>
      <c r="L450" s="972">
        <v>3.2970000000000002</v>
      </c>
      <c r="M450" s="972">
        <v>0</v>
      </c>
      <c r="N450" s="972">
        <v>0.26200000000000001</v>
      </c>
      <c r="O450" s="972">
        <v>50.082999999999998</v>
      </c>
      <c r="P450" s="972">
        <v>114.39100000000001</v>
      </c>
      <c r="Q450" s="972">
        <v>3016.2240000000002</v>
      </c>
      <c r="R450" s="962">
        <v>241</v>
      </c>
      <c r="S450" s="962" t="s">
        <v>4940</v>
      </c>
      <c r="T450" s="972">
        <v>880.33566666666661</v>
      </c>
    </row>
    <row r="451" spans="1:20">
      <c r="A451" s="962" t="s">
        <v>732</v>
      </c>
      <c r="B451" s="972">
        <v>46.046999999999997</v>
      </c>
      <c r="C451" s="972">
        <v>0</v>
      </c>
      <c r="D451" s="972">
        <v>0</v>
      </c>
      <c r="E451" s="972">
        <v>0</v>
      </c>
      <c r="F451" s="972">
        <v>0</v>
      </c>
      <c r="G451" s="972">
        <v>0</v>
      </c>
      <c r="H451" s="972">
        <v>0</v>
      </c>
      <c r="I451" s="972">
        <v>0</v>
      </c>
      <c r="J451" s="972">
        <v>0</v>
      </c>
      <c r="K451" s="972">
        <v>0</v>
      </c>
      <c r="L451" s="972">
        <v>0</v>
      </c>
      <c r="M451" s="972">
        <v>0</v>
      </c>
      <c r="N451" s="972">
        <v>0</v>
      </c>
      <c r="O451" s="972">
        <v>0</v>
      </c>
      <c r="P451" s="972">
        <v>0</v>
      </c>
      <c r="Q451" s="972">
        <v>46.046999999999997</v>
      </c>
      <c r="R451" s="962">
        <v>0</v>
      </c>
      <c r="S451" s="962" t="s">
        <v>4940</v>
      </c>
      <c r="T451" s="972">
        <v>0</v>
      </c>
    </row>
    <row r="452" spans="1:20">
      <c r="A452" s="962" t="s">
        <v>949</v>
      </c>
      <c r="B452" s="972">
        <v>707.45899999999995</v>
      </c>
      <c r="C452" s="972">
        <v>0</v>
      </c>
      <c r="D452" s="972">
        <v>0</v>
      </c>
      <c r="E452" s="972">
        <v>17.209</v>
      </c>
      <c r="F452" s="972">
        <v>1.395</v>
      </c>
      <c r="G452" s="972">
        <v>3.1E-2</v>
      </c>
      <c r="H452" s="972">
        <v>0</v>
      </c>
      <c r="I452" s="972">
        <v>16.081</v>
      </c>
      <c r="J452" s="972">
        <v>0.52600000000000002</v>
      </c>
      <c r="K452" s="972">
        <v>5.1989999999999998</v>
      </c>
      <c r="L452" s="972">
        <v>2.0070000000000001</v>
      </c>
      <c r="M452" s="972">
        <v>0</v>
      </c>
      <c r="N452" s="972">
        <v>0</v>
      </c>
      <c r="O452" s="972">
        <v>25.236999999999998</v>
      </c>
      <c r="P452" s="972">
        <v>47.765999999999998</v>
      </c>
      <c r="Q452" s="972">
        <v>634.45600000000002</v>
      </c>
      <c r="R452" s="962">
        <v>47</v>
      </c>
      <c r="S452" s="962" t="s">
        <v>4940</v>
      </c>
      <c r="T452" s="972">
        <v>213.13899999999998</v>
      </c>
    </row>
    <row r="453" spans="1:20">
      <c r="A453" s="962" t="s">
        <v>3980</v>
      </c>
      <c r="B453" s="972">
        <v>504.31299999999999</v>
      </c>
      <c r="C453" s="972">
        <v>17.617999999999999</v>
      </c>
      <c r="D453" s="972">
        <v>0</v>
      </c>
      <c r="E453" s="972">
        <v>22.134</v>
      </c>
      <c r="F453" s="972">
        <v>0.58599999999999997</v>
      </c>
      <c r="G453" s="972">
        <v>0</v>
      </c>
      <c r="H453" s="972">
        <v>0</v>
      </c>
      <c r="I453" s="972">
        <v>4.5620000000000003</v>
      </c>
      <c r="J453" s="972">
        <v>0</v>
      </c>
      <c r="K453" s="972">
        <v>2.3279999999999998</v>
      </c>
      <c r="L453" s="972">
        <v>0.90100000000000002</v>
      </c>
      <c r="M453" s="972">
        <v>0</v>
      </c>
      <c r="N453" s="972">
        <v>0</v>
      </c>
      <c r="O453" s="972">
        <v>8.3770000000000007</v>
      </c>
      <c r="P453" s="972">
        <v>43.14</v>
      </c>
      <c r="Q453" s="972">
        <v>452.79700000000003</v>
      </c>
      <c r="R453" s="962">
        <v>24</v>
      </c>
      <c r="S453" s="962" t="s">
        <v>4940</v>
      </c>
      <c r="T453" s="972">
        <v>148.64883333333336</v>
      </c>
    </row>
    <row r="454" spans="1:20">
      <c r="A454" s="962" t="s">
        <v>3982</v>
      </c>
      <c r="B454" s="972">
        <v>4163.4740000000002</v>
      </c>
      <c r="C454" s="972">
        <v>173.52199999999999</v>
      </c>
      <c r="D454" s="972">
        <v>0.371</v>
      </c>
      <c r="E454" s="972">
        <v>101.89700000000001</v>
      </c>
      <c r="F454" s="972">
        <v>9.0869999999999997</v>
      </c>
      <c r="G454" s="972">
        <v>1.6519999999999999</v>
      </c>
      <c r="H454" s="972">
        <v>0</v>
      </c>
      <c r="I454" s="972">
        <v>153.31700000000001</v>
      </c>
      <c r="J454" s="972">
        <v>44.106000000000002</v>
      </c>
      <c r="K454" s="972">
        <v>0</v>
      </c>
      <c r="L454" s="972">
        <v>9.3759999999999994</v>
      </c>
      <c r="M454" s="972">
        <v>0</v>
      </c>
      <c r="N454" s="972">
        <v>1.919</v>
      </c>
      <c r="O454" s="972">
        <v>219.45500000000001</v>
      </c>
      <c r="P454" s="972">
        <v>253.96199999999999</v>
      </c>
      <c r="Q454" s="972">
        <v>3690.0569999999998</v>
      </c>
      <c r="R454" s="962">
        <v>143</v>
      </c>
      <c r="S454" s="962" t="s">
        <v>4940</v>
      </c>
      <c r="T454" s="972">
        <v>1228.2535</v>
      </c>
    </row>
    <row r="455" spans="1:20">
      <c r="A455" s="962" t="s">
        <v>1871</v>
      </c>
      <c r="B455" s="972">
        <v>949.28399999999999</v>
      </c>
      <c r="C455" s="972">
        <v>45.088000000000001</v>
      </c>
      <c r="D455" s="972">
        <v>0</v>
      </c>
      <c r="E455" s="972">
        <v>31.57</v>
      </c>
      <c r="F455" s="972">
        <v>1.56</v>
      </c>
      <c r="G455" s="972">
        <v>0.26200000000000001</v>
      </c>
      <c r="H455" s="972">
        <v>0</v>
      </c>
      <c r="I455" s="972">
        <v>16.760000000000002</v>
      </c>
      <c r="J455" s="972">
        <v>1.855</v>
      </c>
      <c r="K455" s="972">
        <v>3.6920000000000002</v>
      </c>
      <c r="L455" s="972">
        <v>4.2000000000000003E-2</v>
      </c>
      <c r="M455" s="972">
        <v>0</v>
      </c>
      <c r="N455" s="972">
        <v>0</v>
      </c>
      <c r="O455" s="972">
        <v>24.172000000000001</v>
      </c>
      <c r="P455" s="972">
        <v>73.623000000000005</v>
      </c>
      <c r="Q455" s="972">
        <v>851.48900000000003</v>
      </c>
      <c r="R455" s="962">
        <v>45</v>
      </c>
      <c r="S455" s="962" t="s">
        <v>4940</v>
      </c>
      <c r="T455" s="972">
        <v>287.50716666666665</v>
      </c>
    </row>
    <row r="456" spans="1:20">
      <c r="A456" s="962" t="s">
        <v>3116</v>
      </c>
      <c r="B456" s="972">
        <v>6236.3010000000004</v>
      </c>
      <c r="C456" s="972">
        <v>906.80200000000002</v>
      </c>
      <c r="D456" s="972">
        <v>1.7110000000000001</v>
      </c>
      <c r="E456" s="972">
        <v>95.885000000000005</v>
      </c>
      <c r="F456" s="972">
        <v>11.896000000000001</v>
      </c>
      <c r="G456" s="972">
        <v>0.98499999999999999</v>
      </c>
      <c r="H456" s="972">
        <v>1.4259999999999999</v>
      </c>
      <c r="I456" s="972">
        <v>177.989</v>
      </c>
      <c r="J456" s="972">
        <v>68.955000000000013</v>
      </c>
      <c r="K456" s="972">
        <v>0.59399999999999997</v>
      </c>
      <c r="L456" s="972">
        <v>1.345</v>
      </c>
      <c r="M456" s="972">
        <v>0</v>
      </c>
      <c r="N456" s="972">
        <v>12.388</v>
      </c>
      <c r="O456" s="972">
        <v>275.57400000000001</v>
      </c>
      <c r="P456" s="972">
        <v>200.95</v>
      </c>
      <c r="Q456" s="972">
        <v>5759.777</v>
      </c>
      <c r="R456" s="962">
        <v>818</v>
      </c>
      <c r="S456" s="962" t="s">
        <v>4940</v>
      </c>
      <c r="T456" s="972">
        <v>1557.2540000000001</v>
      </c>
    </row>
    <row r="457" spans="1:20">
      <c r="A457" s="962" t="s">
        <v>3118</v>
      </c>
      <c r="B457" s="972">
        <v>126.524</v>
      </c>
      <c r="C457" s="972">
        <v>16.641999999999999</v>
      </c>
      <c r="D457" s="972">
        <v>0</v>
      </c>
      <c r="E457" s="972">
        <v>0.98699999999999999</v>
      </c>
      <c r="F457" s="972">
        <v>0.23899999999999999</v>
      </c>
      <c r="G457" s="972">
        <v>0.13400000000000001</v>
      </c>
      <c r="H457" s="972">
        <v>0</v>
      </c>
      <c r="I457" s="972">
        <v>2.2509999999999999</v>
      </c>
      <c r="J457" s="972">
        <v>0.187</v>
      </c>
      <c r="K457" s="972">
        <v>1.3580000000000001</v>
      </c>
      <c r="L457" s="972">
        <v>0</v>
      </c>
      <c r="M457" s="972">
        <v>0</v>
      </c>
      <c r="N457" s="972">
        <v>0</v>
      </c>
      <c r="O457" s="972">
        <v>4.1689999999999996</v>
      </c>
      <c r="P457" s="972">
        <v>0</v>
      </c>
      <c r="Q457" s="972">
        <v>122.355</v>
      </c>
      <c r="R457" s="962">
        <v>1</v>
      </c>
      <c r="S457" s="962" t="s">
        <v>4940</v>
      </c>
      <c r="T457" s="972">
        <v>0</v>
      </c>
    </row>
    <row r="458" spans="1:20">
      <c r="A458" s="962" t="s">
        <v>2836</v>
      </c>
      <c r="B458" s="972">
        <v>1286.2529999999999</v>
      </c>
      <c r="C458" s="972">
        <v>25.678000000000001</v>
      </c>
      <c r="D458" s="972">
        <v>0.04</v>
      </c>
      <c r="E458" s="972">
        <v>36.475000000000001</v>
      </c>
      <c r="F458" s="972">
        <v>1.512</v>
      </c>
      <c r="G458" s="972">
        <v>0.13400000000000001</v>
      </c>
      <c r="H458" s="972">
        <v>0</v>
      </c>
      <c r="I458" s="972">
        <v>22.248000000000001</v>
      </c>
      <c r="J458" s="972">
        <v>1.0109999999999999</v>
      </c>
      <c r="K458" s="972">
        <v>3.8420000000000001</v>
      </c>
      <c r="L458" s="972">
        <v>1.6279999999999999</v>
      </c>
      <c r="M458" s="972">
        <v>0</v>
      </c>
      <c r="N458" s="972">
        <v>0</v>
      </c>
      <c r="O458" s="972">
        <v>30.373999999999999</v>
      </c>
      <c r="P458" s="972">
        <v>83.606999999999999</v>
      </c>
      <c r="Q458" s="972">
        <v>1172.2719999999999</v>
      </c>
      <c r="R458" s="962">
        <v>111</v>
      </c>
      <c r="S458" s="962" t="s">
        <v>4940</v>
      </c>
      <c r="T458" s="972">
        <v>405.30466666666661</v>
      </c>
    </row>
    <row r="459" spans="1:20">
      <c r="A459" s="962" t="s">
        <v>2838</v>
      </c>
      <c r="B459" s="972">
        <v>1422.9059999999999</v>
      </c>
      <c r="C459" s="972">
        <v>29.001999999999999</v>
      </c>
      <c r="D459" s="972">
        <v>0.16200000000000001</v>
      </c>
      <c r="E459" s="972">
        <v>28.204000000000001</v>
      </c>
      <c r="F459" s="972">
        <v>3.17</v>
      </c>
      <c r="G459" s="972">
        <v>7.9000000000000001E-2</v>
      </c>
      <c r="H459" s="972">
        <v>0</v>
      </c>
      <c r="I459" s="972">
        <v>41.337000000000003</v>
      </c>
      <c r="J459" s="972">
        <v>5.5119999999999996</v>
      </c>
      <c r="K459" s="972">
        <v>4.1219999999999999</v>
      </c>
      <c r="L459" s="972">
        <v>1.9379999999999999</v>
      </c>
      <c r="M459" s="972">
        <v>0</v>
      </c>
      <c r="N459" s="972">
        <v>0</v>
      </c>
      <c r="O459" s="972">
        <v>56.16</v>
      </c>
      <c r="P459" s="972">
        <v>48.728999999999999</v>
      </c>
      <c r="Q459" s="972">
        <v>1318.018</v>
      </c>
      <c r="R459" s="962">
        <v>78</v>
      </c>
      <c r="S459" s="962" t="s">
        <v>4940</v>
      </c>
      <c r="T459" s="972">
        <v>382.00466666666671</v>
      </c>
    </row>
    <row r="460" spans="1:20">
      <c r="A460" s="962" t="s">
        <v>5220</v>
      </c>
      <c r="B460" s="972">
        <v>713.25900000000001</v>
      </c>
      <c r="C460" s="972">
        <v>11.834</v>
      </c>
      <c r="D460" s="972">
        <v>0.40500000000000003</v>
      </c>
      <c r="E460" s="972">
        <v>2.5910000000000002</v>
      </c>
      <c r="F460" s="972">
        <v>1.0409999999999999</v>
      </c>
      <c r="G460" s="972">
        <v>0</v>
      </c>
      <c r="H460" s="972">
        <v>0</v>
      </c>
      <c r="I460" s="972">
        <v>25.495999999999999</v>
      </c>
      <c r="J460" s="972">
        <v>0</v>
      </c>
      <c r="K460" s="972">
        <v>2.3359999999999999</v>
      </c>
      <c r="L460" s="972">
        <v>1.8009999999999999</v>
      </c>
      <c r="M460" s="972">
        <v>0</v>
      </c>
      <c r="N460" s="972">
        <v>0</v>
      </c>
      <c r="O460" s="972">
        <v>30.673999999999999</v>
      </c>
      <c r="P460" s="972">
        <v>48.225999999999999</v>
      </c>
      <c r="Q460" s="972">
        <v>634.35799999999995</v>
      </c>
      <c r="R460" s="962">
        <v>54</v>
      </c>
      <c r="S460" s="962" t="s">
        <v>4940</v>
      </c>
      <c r="T460" s="972">
        <v>206.65749999999997</v>
      </c>
    </row>
    <row r="461" spans="1:20">
      <c r="A461" s="962" t="s">
        <v>5129</v>
      </c>
      <c r="B461" s="972">
        <v>1200.8579999999999</v>
      </c>
      <c r="C461" s="972">
        <v>2.25</v>
      </c>
      <c r="D461" s="972">
        <v>0</v>
      </c>
      <c r="E461" s="972">
        <v>28.872</v>
      </c>
      <c r="F461" s="972">
        <v>2.66</v>
      </c>
      <c r="G461" s="972">
        <v>7.8E-2</v>
      </c>
      <c r="H461" s="972">
        <v>0</v>
      </c>
      <c r="I461" s="972">
        <v>23.678999999999998</v>
      </c>
      <c r="J461" s="972">
        <v>6.7220000000000004</v>
      </c>
      <c r="K461" s="972">
        <v>1.4530000000000001</v>
      </c>
      <c r="L461" s="972">
        <v>2.7170000000000001</v>
      </c>
      <c r="M461" s="972">
        <v>0</v>
      </c>
      <c r="N461" s="972">
        <v>0</v>
      </c>
      <c r="O461" s="972">
        <v>37.308999999999997</v>
      </c>
      <c r="P461" s="972">
        <v>67.626000000000005</v>
      </c>
      <c r="Q461" s="972">
        <v>1095.923</v>
      </c>
      <c r="R461" s="962">
        <v>71</v>
      </c>
      <c r="S461" s="962" t="s">
        <v>4940</v>
      </c>
      <c r="T461" s="972">
        <v>320.58249999999998</v>
      </c>
    </row>
    <row r="462" spans="1:20">
      <c r="A462" s="962" t="s">
        <v>5222</v>
      </c>
      <c r="B462" s="972">
        <v>768.23599999999999</v>
      </c>
      <c r="C462" s="972">
        <v>19.977</v>
      </c>
      <c r="D462" s="972">
        <v>0</v>
      </c>
      <c r="E462" s="972">
        <v>7.367</v>
      </c>
      <c r="F462" s="972">
        <v>1.0209999999999999</v>
      </c>
      <c r="G462" s="972">
        <v>0</v>
      </c>
      <c r="H462" s="972">
        <v>0</v>
      </c>
      <c r="I462" s="972">
        <v>19.158999999999999</v>
      </c>
      <c r="J462" s="972">
        <v>0.98</v>
      </c>
      <c r="K462" s="972">
        <v>6.4089999999999998</v>
      </c>
      <c r="L462" s="972">
        <v>3.3780000000000001</v>
      </c>
      <c r="M462" s="972">
        <v>0</v>
      </c>
      <c r="N462" s="972">
        <v>0</v>
      </c>
      <c r="O462" s="972">
        <v>30.946000000000002</v>
      </c>
      <c r="P462" s="972">
        <v>49.488999999999997</v>
      </c>
      <c r="Q462" s="972">
        <v>687.80100000000004</v>
      </c>
      <c r="R462" s="962">
        <v>41</v>
      </c>
      <c r="S462" s="962" t="s">
        <v>4940</v>
      </c>
      <c r="T462" s="972">
        <v>251.04683333333335</v>
      </c>
    </row>
    <row r="463" spans="1:20">
      <c r="A463" s="962" t="s">
        <v>1858</v>
      </c>
      <c r="B463" s="972">
        <v>754.62199999999996</v>
      </c>
      <c r="C463" s="972">
        <v>27.489000000000001</v>
      </c>
      <c r="D463" s="972">
        <v>3.5000000000000003E-2</v>
      </c>
      <c r="E463" s="972">
        <v>14.586</v>
      </c>
      <c r="F463" s="972">
        <v>1.046</v>
      </c>
      <c r="G463" s="972">
        <v>0</v>
      </c>
      <c r="H463" s="972">
        <v>0</v>
      </c>
      <c r="I463" s="972">
        <v>17.794</v>
      </c>
      <c r="J463" s="972">
        <v>1.399</v>
      </c>
      <c r="K463" s="972">
        <v>3.4169999999999998</v>
      </c>
      <c r="L463" s="972">
        <v>6.5510000000000002</v>
      </c>
      <c r="M463" s="972">
        <v>0</v>
      </c>
      <c r="N463" s="972">
        <v>0</v>
      </c>
      <c r="O463" s="972">
        <v>30.206</v>
      </c>
      <c r="P463" s="972">
        <v>50.65</v>
      </c>
      <c r="Q463" s="972">
        <v>673.76599999999996</v>
      </c>
      <c r="R463" s="962">
        <v>69</v>
      </c>
      <c r="S463" s="962" t="s">
        <v>4940</v>
      </c>
      <c r="T463" s="972">
        <v>257.18200000000002</v>
      </c>
    </row>
    <row r="464" spans="1:20">
      <c r="A464" s="962" t="s">
        <v>5224</v>
      </c>
      <c r="B464" s="972">
        <v>744.36300000000006</v>
      </c>
      <c r="C464" s="972">
        <v>1.484</v>
      </c>
      <c r="D464" s="972">
        <v>0</v>
      </c>
      <c r="E464" s="972">
        <v>33.048999999999999</v>
      </c>
      <c r="F464" s="972">
        <v>1.2230000000000001</v>
      </c>
      <c r="G464" s="972">
        <v>0</v>
      </c>
      <c r="H464" s="972">
        <v>0</v>
      </c>
      <c r="I464" s="972">
        <v>16.091000000000001</v>
      </c>
      <c r="J464" s="972">
        <v>0</v>
      </c>
      <c r="K464" s="972">
        <v>5.1660000000000004</v>
      </c>
      <c r="L464" s="972">
        <v>0.13900000000000001</v>
      </c>
      <c r="M464" s="972">
        <v>0</v>
      </c>
      <c r="N464" s="972">
        <v>4.734</v>
      </c>
      <c r="O464" s="972">
        <v>27.353999999999999</v>
      </c>
      <c r="P464" s="972">
        <v>60.588999999999999</v>
      </c>
      <c r="Q464" s="972">
        <v>656.42100000000005</v>
      </c>
      <c r="R464" s="962">
        <v>52</v>
      </c>
      <c r="S464" s="962" t="s">
        <v>4940</v>
      </c>
      <c r="T464" s="972">
        <v>244.68533333333335</v>
      </c>
    </row>
    <row r="465" spans="1:20">
      <c r="A465" s="962" t="s">
        <v>5226</v>
      </c>
      <c r="B465" s="972">
        <v>144.90600000000001</v>
      </c>
      <c r="C465" s="972">
        <v>0</v>
      </c>
      <c r="D465" s="972">
        <v>0.13500000000000001</v>
      </c>
      <c r="E465" s="972">
        <v>11.766</v>
      </c>
      <c r="F465" s="972">
        <v>0</v>
      </c>
      <c r="G465" s="972">
        <v>0</v>
      </c>
      <c r="H465" s="972">
        <v>0</v>
      </c>
      <c r="I465" s="972">
        <v>0</v>
      </c>
      <c r="J465" s="972">
        <v>0</v>
      </c>
      <c r="K465" s="972">
        <v>0</v>
      </c>
      <c r="L465" s="972">
        <v>0</v>
      </c>
      <c r="M465" s="972">
        <v>0</v>
      </c>
      <c r="N465" s="972">
        <v>0</v>
      </c>
      <c r="O465" s="972">
        <v>0</v>
      </c>
      <c r="P465" s="972">
        <v>25.559000000000001</v>
      </c>
      <c r="Q465" s="972">
        <v>119.346</v>
      </c>
      <c r="R465" s="962">
        <v>0</v>
      </c>
      <c r="S465" s="962" t="s">
        <v>4940</v>
      </c>
      <c r="T465" s="972">
        <v>144.90350000000001</v>
      </c>
    </row>
    <row r="466" spans="1:20">
      <c r="A466" s="962" t="s">
        <v>5228</v>
      </c>
      <c r="B466" s="972">
        <v>1873.7840000000001</v>
      </c>
      <c r="C466" s="972">
        <v>55.302</v>
      </c>
      <c r="D466" s="972">
        <v>0.70099999999999996</v>
      </c>
      <c r="E466" s="972">
        <v>37.606999999999999</v>
      </c>
      <c r="F466" s="972">
        <v>3.4390000000000001</v>
      </c>
      <c r="G466" s="972">
        <v>0.187</v>
      </c>
      <c r="H466" s="972">
        <v>16.167999999999999</v>
      </c>
      <c r="I466" s="972">
        <v>36.161000000000001</v>
      </c>
      <c r="J466" s="972">
        <v>16.963999999999999</v>
      </c>
      <c r="K466" s="972">
        <v>7.4489999999999998</v>
      </c>
      <c r="L466" s="972">
        <v>3.419</v>
      </c>
      <c r="M466" s="972">
        <v>0</v>
      </c>
      <c r="N466" s="972">
        <v>18.966000000000001</v>
      </c>
      <c r="O466" s="972">
        <v>102.752</v>
      </c>
      <c r="P466" s="972">
        <v>122.373</v>
      </c>
      <c r="Q466" s="972">
        <v>1648.66</v>
      </c>
      <c r="R466" s="962">
        <v>155</v>
      </c>
      <c r="S466" s="962" t="s">
        <v>4940</v>
      </c>
      <c r="T466" s="972">
        <v>525.1438333333333</v>
      </c>
    </row>
    <row r="467" spans="1:20">
      <c r="A467" s="962" t="s">
        <v>5230</v>
      </c>
      <c r="B467" s="972">
        <v>3671.1219999999998</v>
      </c>
      <c r="C467" s="972">
        <v>407.83100000000002</v>
      </c>
      <c r="D467" s="972">
        <v>1.95</v>
      </c>
      <c r="E467" s="972">
        <v>10.291</v>
      </c>
      <c r="F467" s="972">
        <v>4.8259999999999996</v>
      </c>
      <c r="G467" s="972">
        <v>0.27700000000000002</v>
      </c>
      <c r="H467" s="972">
        <v>0</v>
      </c>
      <c r="I467" s="972">
        <v>102.096</v>
      </c>
      <c r="J467" s="972">
        <v>21.79</v>
      </c>
      <c r="K467" s="972">
        <v>6.06</v>
      </c>
      <c r="L467" s="972">
        <v>0</v>
      </c>
      <c r="M467" s="972">
        <v>0</v>
      </c>
      <c r="N467" s="972">
        <v>0.14299999999999999</v>
      </c>
      <c r="O467" s="972">
        <v>135.19200000000001</v>
      </c>
      <c r="P467" s="972">
        <v>126.86</v>
      </c>
      <c r="Q467" s="972">
        <v>3409.07</v>
      </c>
      <c r="R467" s="962">
        <v>198</v>
      </c>
      <c r="S467" s="962" t="s">
        <v>4940</v>
      </c>
      <c r="T467" s="972">
        <v>881.65949999999987</v>
      </c>
    </row>
    <row r="468" spans="1:20">
      <c r="A468" s="962" t="s">
        <v>2994</v>
      </c>
      <c r="B468" s="972">
        <v>7874.3509999999997</v>
      </c>
      <c r="C468" s="972">
        <v>1092.2950000000001</v>
      </c>
      <c r="D468" s="972">
        <v>2.5</v>
      </c>
      <c r="E468" s="972">
        <v>286.81299999999999</v>
      </c>
      <c r="F468" s="972">
        <v>10.913</v>
      </c>
      <c r="G468" s="972">
        <v>0.17399999999999999</v>
      </c>
      <c r="H468" s="972">
        <v>0.7</v>
      </c>
      <c r="I468" s="972">
        <v>82.97</v>
      </c>
      <c r="J468" s="972">
        <v>62.225000000000001</v>
      </c>
      <c r="K468" s="972">
        <v>4.3780000000000001</v>
      </c>
      <c r="L468" s="972">
        <v>0</v>
      </c>
      <c r="M468" s="972">
        <v>0</v>
      </c>
      <c r="N468" s="972">
        <v>6.3789999999999996</v>
      </c>
      <c r="O468" s="972">
        <v>167.74</v>
      </c>
      <c r="P468" s="972">
        <v>440.25200000000001</v>
      </c>
      <c r="Q468" s="972">
        <v>7266.36</v>
      </c>
      <c r="R468" s="962">
        <v>510</v>
      </c>
      <c r="S468" s="962" t="s">
        <v>4940</v>
      </c>
      <c r="T468" s="972">
        <v>1864.1578333333332</v>
      </c>
    </row>
    <row r="469" spans="1:20">
      <c r="A469" s="962" t="s">
        <v>7723</v>
      </c>
      <c r="B469" s="972">
        <v>4329.5600000000004</v>
      </c>
      <c r="C469" s="972">
        <v>439.42</v>
      </c>
      <c r="D469" s="972">
        <v>1.8420000000000001</v>
      </c>
      <c r="E469" s="972">
        <v>6.8890000000000002</v>
      </c>
      <c r="F469" s="972">
        <v>7.5060000000000002</v>
      </c>
      <c r="G469" s="972">
        <v>0.17699999999999999</v>
      </c>
      <c r="H469" s="972">
        <v>0</v>
      </c>
      <c r="I469" s="972">
        <v>104.063</v>
      </c>
      <c r="J469" s="972">
        <v>24.783999999999999</v>
      </c>
      <c r="K469" s="972">
        <v>0</v>
      </c>
      <c r="L469" s="972">
        <v>0</v>
      </c>
      <c r="M469" s="972">
        <v>0</v>
      </c>
      <c r="N469" s="972">
        <v>9.0139999999999993</v>
      </c>
      <c r="O469" s="972">
        <v>145.54400000000001</v>
      </c>
      <c r="P469" s="972">
        <v>233.42400000000001</v>
      </c>
      <c r="Q469" s="972">
        <v>3950.5920000000001</v>
      </c>
      <c r="R469" s="962">
        <v>323</v>
      </c>
      <c r="S469" s="962" t="s">
        <v>4940</v>
      </c>
      <c r="T469" s="972">
        <v>1176.0328333333334</v>
      </c>
    </row>
    <row r="470" spans="1:20">
      <c r="A470" s="962" t="s">
        <v>221</v>
      </c>
      <c r="B470" s="972">
        <v>1228.8389999999999</v>
      </c>
      <c r="C470" s="972">
        <v>88.932000000000002</v>
      </c>
      <c r="D470" s="972">
        <v>0.05</v>
      </c>
      <c r="E470" s="972">
        <v>34.923000000000002</v>
      </c>
      <c r="F470" s="972">
        <v>1.1539999999999999</v>
      </c>
      <c r="G470" s="972">
        <v>1.0999999999999999E-2</v>
      </c>
      <c r="H470" s="972">
        <v>0</v>
      </c>
      <c r="I470" s="972">
        <v>13.631</v>
      </c>
      <c r="J470" s="972">
        <v>8.5739999999999998</v>
      </c>
      <c r="K470" s="972">
        <v>1.6240000000000001</v>
      </c>
      <c r="L470" s="972">
        <v>0</v>
      </c>
      <c r="M470" s="972">
        <v>0</v>
      </c>
      <c r="N470" s="972">
        <v>2.7080000000000002</v>
      </c>
      <c r="O470" s="972">
        <v>27.702999999999999</v>
      </c>
      <c r="P470" s="972">
        <v>72.522999999999996</v>
      </c>
      <c r="Q470" s="972">
        <v>1128.614</v>
      </c>
      <c r="R470" s="962">
        <v>111</v>
      </c>
      <c r="S470" s="962" t="s">
        <v>4940</v>
      </c>
      <c r="T470" s="972">
        <v>342.9231666666667</v>
      </c>
    </row>
    <row r="471" spans="1:20">
      <c r="A471" s="962" t="s">
        <v>2406</v>
      </c>
      <c r="B471" s="972">
        <v>1777.999</v>
      </c>
      <c r="C471" s="972">
        <v>64.587999999999994</v>
      </c>
      <c r="D471" s="972">
        <v>0</v>
      </c>
      <c r="E471" s="972">
        <v>28.72</v>
      </c>
      <c r="F471" s="972">
        <v>1.39</v>
      </c>
      <c r="G471" s="972">
        <v>0.26900000000000002</v>
      </c>
      <c r="H471" s="972">
        <v>0</v>
      </c>
      <c r="I471" s="972">
        <v>16.954000000000001</v>
      </c>
      <c r="J471" s="972">
        <v>7.0540000000000003</v>
      </c>
      <c r="K471" s="972">
        <v>2.0699999999999998</v>
      </c>
      <c r="L471" s="972">
        <v>0</v>
      </c>
      <c r="M471" s="972">
        <v>0</v>
      </c>
      <c r="N471" s="972">
        <v>0</v>
      </c>
      <c r="O471" s="972">
        <v>27.736999999999998</v>
      </c>
      <c r="P471" s="972">
        <v>91.881</v>
      </c>
      <c r="Q471" s="972">
        <v>1658.3810000000001</v>
      </c>
      <c r="R471" s="962">
        <v>109</v>
      </c>
      <c r="S471" s="962" t="s">
        <v>4940</v>
      </c>
      <c r="T471" s="972">
        <v>494.76516666666663</v>
      </c>
    </row>
    <row r="472" spans="1:20">
      <c r="A472" s="962" t="s">
        <v>223</v>
      </c>
      <c r="B472" s="972">
        <v>1374.23</v>
      </c>
      <c r="C472" s="972">
        <v>11.476000000000001</v>
      </c>
      <c r="D472" s="972">
        <v>0</v>
      </c>
      <c r="E472" s="972">
        <v>18.728999999999999</v>
      </c>
      <c r="F472" s="972">
        <v>1.492</v>
      </c>
      <c r="G472" s="972">
        <v>0.17699999999999999</v>
      </c>
      <c r="H472" s="972">
        <v>0</v>
      </c>
      <c r="I472" s="972">
        <v>22.574000000000002</v>
      </c>
      <c r="J472" s="972">
        <v>1.3110000000000002</v>
      </c>
      <c r="K472" s="972">
        <v>4.4349999999999996</v>
      </c>
      <c r="L472" s="972">
        <v>0.79400000000000004</v>
      </c>
      <c r="M472" s="972">
        <v>0</v>
      </c>
      <c r="N472" s="972">
        <v>0</v>
      </c>
      <c r="O472" s="972">
        <v>30.780999999999999</v>
      </c>
      <c r="P472" s="972">
        <v>63.895000000000003</v>
      </c>
      <c r="Q472" s="972">
        <v>1279.5530000000001</v>
      </c>
      <c r="R472" s="962">
        <v>112</v>
      </c>
      <c r="S472" s="962" t="s">
        <v>4940</v>
      </c>
      <c r="T472" s="972">
        <v>409.30883333333333</v>
      </c>
    </row>
    <row r="473" spans="1:20">
      <c r="A473" s="962" t="s">
        <v>225</v>
      </c>
      <c r="B473" s="972">
        <v>681.75599999999997</v>
      </c>
      <c r="C473" s="972">
        <v>30.638000000000002</v>
      </c>
      <c r="D473" s="972">
        <v>0</v>
      </c>
      <c r="E473" s="972">
        <v>25.651</v>
      </c>
      <c r="F473" s="972">
        <v>0.75700000000000001</v>
      </c>
      <c r="G473" s="972">
        <v>0</v>
      </c>
      <c r="H473" s="972">
        <v>0</v>
      </c>
      <c r="I473" s="972">
        <v>7.6619999999999999</v>
      </c>
      <c r="J473" s="972">
        <v>1.869</v>
      </c>
      <c r="K473" s="972">
        <v>0</v>
      </c>
      <c r="L473" s="972">
        <v>0</v>
      </c>
      <c r="M473" s="972">
        <v>0</v>
      </c>
      <c r="N473" s="972">
        <v>0</v>
      </c>
      <c r="O473" s="972">
        <v>10.289</v>
      </c>
      <c r="P473" s="972">
        <v>44.055</v>
      </c>
      <c r="Q473" s="972">
        <v>627.41300000000001</v>
      </c>
      <c r="R473" s="962">
        <v>58</v>
      </c>
      <c r="S473" s="962" t="s">
        <v>4940</v>
      </c>
      <c r="T473" s="972">
        <v>212.48633333333333</v>
      </c>
    </row>
    <row r="474" spans="1:20">
      <c r="A474" s="962" t="s">
        <v>227</v>
      </c>
      <c r="B474" s="972">
        <v>461.50299999999999</v>
      </c>
      <c r="C474" s="972">
        <v>3.246</v>
      </c>
      <c r="D474" s="972">
        <v>0</v>
      </c>
      <c r="E474" s="972">
        <v>14.603999999999999</v>
      </c>
      <c r="F474" s="972">
        <v>0.36699999999999999</v>
      </c>
      <c r="G474" s="972">
        <v>0</v>
      </c>
      <c r="H474" s="972">
        <v>0</v>
      </c>
      <c r="I474" s="972">
        <v>3.9780000000000002</v>
      </c>
      <c r="J474" s="972">
        <v>1.2629999999999999</v>
      </c>
      <c r="K474" s="972">
        <v>0</v>
      </c>
      <c r="L474" s="972">
        <v>0</v>
      </c>
      <c r="M474" s="972">
        <v>0</v>
      </c>
      <c r="N474" s="972">
        <v>0</v>
      </c>
      <c r="O474" s="972">
        <v>5.6070000000000002</v>
      </c>
      <c r="P474" s="972">
        <v>29.306999999999999</v>
      </c>
      <c r="Q474" s="972">
        <v>426.59</v>
      </c>
      <c r="R474" s="962">
        <v>11</v>
      </c>
      <c r="S474" s="962" t="s">
        <v>4940</v>
      </c>
      <c r="T474" s="972">
        <v>144.29266666666669</v>
      </c>
    </row>
    <row r="475" spans="1:20">
      <c r="A475" s="962" t="s">
        <v>229</v>
      </c>
      <c r="B475" s="972">
        <v>2754.922</v>
      </c>
      <c r="C475" s="972">
        <v>424.09</v>
      </c>
      <c r="D475" s="972">
        <v>2.419</v>
      </c>
      <c r="E475" s="972">
        <v>26.170999999999999</v>
      </c>
      <c r="F475" s="972">
        <v>3.319</v>
      </c>
      <c r="G475" s="972">
        <v>1.4E-2</v>
      </c>
      <c r="H475" s="972">
        <v>0</v>
      </c>
      <c r="I475" s="972">
        <v>43.970999999999997</v>
      </c>
      <c r="J475" s="972">
        <v>11.255000000000001</v>
      </c>
      <c r="K475" s="972">
        <v>0</v>
      </c>
      <c r="L475" s="972">
        <v>2.2999999999999998</v>
      </c>
      <c r="M475" s="972">
        <v>0</v>
      </c>
      <c r="N475" s="972">
        <v>0</v>
      </c>
      <c r="O475" s="972">
        <v>60.857999999999997</v>
      </c>
      <c r="P475" s="972">
        <v>221.34299999999999</v>
      </c>
      <c r="Q475" s="972">
        <v>2472.721</v>
      </c>
      <c r="R475" s="962">
        <v>102</v>
      </c>
      <c r="S475" s="962" t="s">
        <v>4940</v>
      </c>
      <c r="T475" s="972">
        <v>732.37683333333325</v>
      </c>
    </row>
    <row r="476" spans="1:20">
      <c r="A476" s="962" t="s">
        <v>4039</v>
      </c>
      <c r="B476" s="972">
        <v>139.79499999999999</v>
      </c>
      <c r="C476" s="972">
        <v>0</v>
      </c>
      <c r="D476" s="972">
        <v>0</v>
      </c>
      <c r="E476" s="972">
        <v>5.593</v>
      </c>
      <c r="F476" s="972">
        <v>0.11899999999999999</v>
      </c>
      <c r="G476" s="972">
        <v>0</v>
      </c>
      <c r="H476" s="972">
        <v>0</v>
      </c>
      <c r="I476" s="972">
        <v>2.15</v>
      </c>
      <c r="J476" s="972">
        <v>0</v>
      </c>
      <c r="K476" s="972">
        <v>0</v>
      </c>
      <c r="L476" s="972">
        <v>0</v>
      </c>
      <c r="M476" s="972">
        <v>0</v>
      </c>
      <c r="N476" s="972">
        <v>0</v>
      </c>
      <c r="O476" s="972">
        <v>2.2690000000000001</v>
      </c>
      <c r="P476" s="972">
        <v>4.9489999999999998</v>
      </c>
      <c r="Q476" s="972">
        <v>132.578</v>
      </c>
      <c r="R476" s="962">
        <v>0</v>
      </c>
      <c r="S476" s="962" t="s">
        <v>4940</v>
      </c>
      <c r="T476" s="972">
        <v>30.417999999999996</v>
      </c>
    </row>
    <row r="477" spans="1:20">
      <c r="A477" s="962" t="s">
        <v>2396</v>
      </c>
      <c r="B477" s="972">
        <v>6834.674</v>
      </c>
      <c r="C477" s="972">
        <v>576.75</v>
      </c>
      <c r="D477" s="972">
        <v>5.6639999999999997</v>
      </c>
      <c r="E477" s="972">
        <v>363.70100000000002</v>
      </c>
      <c r="F477" s="972">
        <v>5.8929999999999998</v>
      </c>
      <c r="G477" s="972">
        <v>0.245</v>
      </c>
      <c r="H477" s="972">
        <v>3.0000000000000001E-3</v>
      </c>
      <c r="I477" s="972">
        <v>62.371000000000002</v>
      </c>
      <c r="J477" s="972">
        <v>51.674999999999997</v>
      </c>
      <c r="K477" s="972">
        <v>6.7350000000000003</v>
      </c>
      <c r="L477" s="972">
        <v>6.4930000000000003</v>
      </c>
      <c r="M477" s="972">
        <v>0</v>
      </c>
      <c r="N477" s="972">
        <v>5.1079999999999997</v>
      </c>
      <c r="O477" s="972">
        <v>138.524</v>
      </c>
      <c r="P477" s="972">
        <v>400.53</v>
      </c>
      <c r="Q477" s="972">
        <v>6295.62</v>
      </c>
      <c r="R477" s="962">
        <v>573</v>
      </c>
      <c r="S477" s="962" t="s">
        <v>4940</v>
      </c>
      <c r="T477" s="972">
        <v>1857.1226666666669</v>
      </c>
    </row>
    <row r="478" spans="1:20">
      <c r="A478" s="962" t="s">
        <v>2394</v>
      </c>
      <c r="B478" s="972">
        <v>11793.066999999999</v>
      </c>
      <c r="C478" s="972">
        <v>323.42</v>
      </c>
      <c r="D478" s="972">
        <v>1.6140000000000001</v>
      </c>
      <c r="E478" s="972">
        <v>445.31099999999998</v>
      </c>
      <c r="F478" s="972">
        <v>20.946000000000002</v>
      </c>
      <c r="G478" s="972">
        <v>2.0230000000000001</v>
      </c>
      <c r="H478" s="972">
        <v>0</v>
      </c>
      <c r="I478" s="972">
        <v>103.908</v>
      </c>
      <c r="J478" s="972">
        <v>83.688000000000002</v>
      </c>
      <c r="K478" s="972">
        <v>13.106</v>
      </c>
      <c r="L478" s="972">
        <v>5.8230000000000004</v>
      </c>
      <c r="M478" s="972">
        <v>0</v>
      </c>
      <c r="N478" s="972">
        <v>3.1080000000000001</v>
      </c>
      <c r="O478" s="972">
        <v>232.6</v>
      </c>
      <c r="P478" s="972">
        <v>474.315</v>
      </c>
      <c r="Q478" s="972">
        <v>11086.152</v>
      </c>
      <c r="R478" s="962">
        <v>642</v>
      </c>
      <c r="S478" s="962" t="s">
        <v>4940</v>
      </c>
      <c r="T478" s="972">
        <v>3632.0053333333331</v>
      </c>
    </row>
    <row r="479" spans="1:20">
      <c r="A479" s="962" t="s">
        <v>4042</v>
      </c>
      <c r="B479" s="972">
        <v>1466.1849999999999</v>
      </c>
      <c r="C479" s="972">
        <v>30.013000000000002</v>
      </c>
      <c r="D479" s="972">
        <v>0.30099999999999999</v>
      </c>
      <c r="E479" s="972">
        <v>64.796999999999997</v>
      </c>
      <c r="F479" s="972">
        <v>2.948</v>
      </c>
      <c r="G479" s="972">
        <v>1.2E-2</v>
      </c>
      <c r="H479" s="972">
        <v>0</v>
      </c>
      <c r="I479" s="972">
        <v>15.958</v>
      </c>
      <c r="J479" s="972">
        <v>6.8000000000000005E-2</v>
      </c>
      <c r="K479" s="972">
        <v>0</v>
      </c>
      <c r="L479" s="972">
        <v>0</v>
      </c>
      <c r="M479" s="972">
        <v>0</v>
      </c>
      <c r="N479" s="972">
        <v>0</v>
      </c>
      <c r="O479" s="972">
        <v>18.986000000000001</v>
      </c>
      <c r="P479" s="972">
        <v>80.885999999999996</v>
      </c>
      <c r="Q479" s="972">
        <v>1366.3119999999999</v>
      </c>
      <c r="R479" s="962">
        <v>127</v>
      </c>
      <c r="S479" s="962" t="s">
        <v>4940</v>
      </c>
      <c r="T479" s="972">
        <v>443.02866666666665</v>
      </c>
    </row>
    <row r="480" spans="1:20">
      <c r="A480" s="962" t="s">
        <v>3004</v>
      </c>
      <c r="B480" s="972">
        <v>1261.8620000000001</v>
      </c>
      <c r="C480" s="972">
        <v>49.595999999999997</v>
      </c>
      <c r="D480" s="972">
        <v>0.13600000000000001</v>
      </c>
      <c r="E480" s="972">
        <v>19.754000000000001</v>
      </c>
      <c r="F480" s="972">
        <v>1.879</v>
      </c>
      <c r="G480" s="972">
        <v>3.2000000000000001E-2</v>
      </c>
      <c r="H480" s="972">
        <v>0</v>
      </c>
      <c r="I480" s="972">
        <v>16.974</v>
      </c>
      <c r="J480" s="972">
        <v>10.297000000000001</v>
      </c>
      <c r="K480" s="972">
        <v>0</v>
      </c>
      <c r="L480" s="972">
        <v>0</v>
      </c>
      <c r="M480" s="972">
        <v>0</v>
      </c>
      <c r="N480" s="972">
        <v>0</v>
      </c>
      <c r="O480" s="972">
        <v>29.181999999999999</v>
      </c>
      <c r="P480" s="972">
        <v>37.631999999999998</v>
      </c>
      <c r="Q480" s="972">
        <v>1195.048</v>
      </c>
      <c r="R480" s="962">
        <v>108</v>
      </c>
      <c r="S480" s="962" t="s">
        <v>4940</v>
      </c>
      <c r="T480" s="972">
        <v>367.22866666666664</v>
      </c>
    </row>
    <row r="481" spans="1:20">
      <c r="A481" s="962" t="s">
        <v>4044</v>
      </c>
      <c r="B481" s="972">
        <v>733.42100000000005</v>
      </c>
      <c r="C481" s="972">
        <v>13.8</v>
      </c>
      <c r="D481" s="972">
        <v>0</v>
      </c>
      <c r="E481" s="972">
        <v>25.684000000000001</v>
      </c>
      <c r="F481" s="972">
        <v>1.5029999999999999</v>
      </c>
      <c r="G481" s="972">
        <v>0</v>
      </c>
      <c r="H481" s="972">
        <v>0</v>
      </c>
      <c r="I481" s="972">
        <v>10.37</v>
      </c>
      <c r="J481" s="972">
        <v>0.78400000000000003</v>
      </c>
      <c r="K481" s="972">
        <v>4.5350000000000001</v>
      </c>
      <c r="L481" s="972">
        <v>3.01</v>
      </c>
      <c r="M481" s="972">
        <v>0</v>
      </c>
      <c r="N481" s="972">
        <v>0</v>
      </c>
      <c r="O481" s="972">
        <v>20.201000000000001</v>
      </c>
      <c r="P481" s="972">
        <v>46.314</v>
      </c>
      <c r="Q481" s="972">
        <v>666.90599999999995</v>
      </c>
      <c r="R481" s="962">
        <v>66</v>
      </c>
      <c r="S481" s="962" t="s">
        <v>3902</v>
      </c>
      <c r="T481" s="972">
        <v>200.0865</v>
      </c>
    </row>
    <row r="482" spans="1:20">
      <c r="A482" s="962" t="s">
        <v>4046</v>
      </c>
      <c r="B482" s="972">
        <v>112.1</v>
      </c>
      <c r="C482" s="972">
        <v>7.5949999999999998</v>
      </c>
      <c r="D482" s="972">
        <v>3.5000000000000003E-2</v>
      </c>
      <c r="E482" s="972">
        <v>7.9139999999999997</v>
      </c>
      <c r="F482" s="972">
        <v>0.13900000000000001</v>
      </c>
      <c r="G482" s="972">
        <v>1.4E-2</v>
      </c>
      <c r="H482" s="972">
        <v>0</v>
      </c>
      <c r="I482" s="972">
        <v>1.502</v>
      </c>
      <c r="J482" s="972">
        <v>0.34499999999999997</v>
      </c>
      <c r="K482" s="972">
        <v>0</v>
      </c>
      <c r="L482" s="972">
        <v>0</v>
      </c>
      <c r="M482" s="972">
        <v>0</v>
      </c>
      <c r="N482" s="972">
        <v>0</v>
      </c>
      <c r="O482" s="972">
        <v>1.9990000000000001</v>
      </c>
      <c r="P482" s="972">
        <v>8.66</v>
      </c>
      <c r="Q482" s="972">
        <v>101.441</v>
      </c>
      <c r="R482" s="962">
        <v>6</v>
      </c>
      <c r="S482" s="962" t="s">
        <v>4940</v>
      </c>
      <c r="T482" s="972">
        <v>33.977499999999999</v>
      </c>
    </row>
    <row r="483" spans="1:20">
      <c r="A483" s="962" t="s">
        <v>5402</v>
      </c>
      <c r="B483" s="972">
        <v>615.31500000000005</v>
      </c>
      <c r="C483" s="972">
        <v>35.527000000000001</v>
      </c>
      <c r="D483" s="972">
        <v>0.27600000000000002</v>
      </c>
      <c r="E483" s="972">
        <v>8.2439999999999998</v>
      </c>
      <c r="F483" s="972">
        <v>1.121</v>
      </c>
      <c r="G483" s="972">
        <v>0</v>
      </c>
      <c r="H483" s="972">
        <v>0</v>
      </c>
      <c r="I483" s="972">
        <v>21.18</v>
      </c>
      <c r="J483" s="972">
        <v>0</v>
      </c>
      <c r="K483" s="972">
        <v>3.5289999999999999</v>
      </c>
      <c r="L483" s="972">
        <v>0.22900000000000001</v>
      </c>
      <c r="M483" s="972">
        <v>0</v>
      </c>
      <c r="N483" s="972">
        <v>0</v>
      </c>
      <c r="O483" s="972">
        <v>26.059000000000001</v>
      </c>
      <c r="P483" s="972">
        <v>54.195999999999998</v>
      </c>
      <c r="Q483" s="972">
        <v>535.05899999999997</v>
      </c>
      <c r="R483" s="962">
        <v>59</v>
      </c>
      <c r="S483" s="962" t="s">
        <v>3902</v>
      </c>
      <c r="T483" s="972">
        <v>161.85</v>
      </c>
    </row>
    <row r="484" spans="1:20">
      <c r="A484" s="962" t="s">
        <v>5404</v>
      </c>
      <c r="B484" s="972">
        <v>259.80099999999999</v>
      </c>
      <c r="C484" s="972">
        <v>27.463000000000001</v>
      </c>
      <c r="D484" s="972">
        <v>0.109</v>
      </c>
      <c r="E484" s="972">
        <v>2.581</v>
      </c>
      <c r="F484" s="972">
        <v>0.61299999999999999</v>
      </c>
      <c r="G484" s="972">
        <v>0</v>
      </c>
      <c r="H484" s="972">
        <v>0</v>
      </c>
      <c r="I484" s="972">
        <v>4.8209999999999997</v>
      </c>
      <c r="J484" s="972">
        <v>0.11</v>
      </c>
      <c r="K484" s="972">
        <v>1.4319999999999999</v>
      </c>
      <c r="L484" s="972">
        <v>0</v>
      </c>
      <c r="M484" s="972">
        <v>0</v>
      </c>
      <c r="N484" s="972">
        <v>0</v>
      </c>
      <c r="O484" s="972">
        <v>6.9770000000000003</v>
      </c>
      <c r="P484" s="972">
        <v>15.11</v>
      </c>
      <c r="Q484" s="972">
        <v>237.714</v>
      </c>
      <c r="R484" s="962">
        <v>22</v>
      </c>
      <c r="S484" s="962" t="s">
        <v>4940</v>
      </c>
      <c r="T484" s="972">
        <v>75.726833333333332</v>
      </c>
    </row>
    <row r="485" spans="1:20">
      <c r="A485" s="962" t="s">
        <v>423</v>
      </c>
      <c r="B485" s="972">
        <v>5337.5630000000001</v>
      </c>
      <c r="C485" s="972">
        <v>384.54300000000001</v>
      </c>
      <c r="D485" s="972">
        <v>3.3740000000000001</v>
      </c>
      <c r="E485" s="972">
        <v>55.491999999999997</v>
      </c>
      <c r="F485" s="972">
        <v>11.742000000000001</v>
      </c>
      <c r="G485" s="972">
        <v>0.39100000000000001</v>
      </c>
      <c r="H485" s="972">
        <v>0</v>
      </c>
      <c r="I485" s="972">
        <v>181.048</v>
      </c>
      <c r="J485" s="972">
        <v>35.543999999999997</v>
      </c>
      <c r="K485" s="972">
        <v>0</v>
      </c>
      <c r="L485" s="972">
        <v>3.718</v>
      </c>
      <c r="M485" s="972">
        <v>0</v>
      </c>
      <c r="N485" s="972">
        <v>4.0449999999999999</v>
      </c>
      <c r="O485" s="972">
        <v>236.488</v>
      </c>
      <c r="P485" s="972">
        <v>271.25099999999998</v>
      </c>
      <c r="Q485" s="972">
        <v>4829.8239999999996</v>
      </c>
      <c r="R485" s="962">
        <v>409</v>
      </c>
      <c r="S485" s="962" t="s">
        <v>4940</v>
      </c>
      <c r="T485" s="972">
        <v>1300.3328333333334</v>
      </c>
    </row>
    <row r="486" spans="1:20">
      <c r="A486" s="962" t="s">
        <v>425</v>
      </c>
      <c r="B486" s="972">
        <v>499.32400000000001</v>
      </c>
      <c r="C486" s="972">
        <v>56.573</v>
      </c>
      <c r="D486" s="972">
        <v>9.0999999999999998E-2</v>
      </c>
      <c r="E486" s="972">
        <v>47.646000000000001</v>
      </c>
      <c r="F486" s="972">
        <v>0.72399999999999998</v>
      </c>
      <c r="G486" s="972">
        <v>2.4E-2</v>
      </c>
      <c r="H486" s="972">
        <v>0</v>
      </c>
      <c r="I486" s="972">
        <v>4.4210000000000003</v>
      </c>
      <c r="J486" s="972">
        <v>0</v>
      </c>
      <c r="K486" s="972">
        <v>0</v>
      </c>
      <c r="L486" s="972">
        <v>3.347</v>
      </c>
      <c r="M486" s="972">
        <v>0</v>
      </c>
      <c r="N486" s="972">
        <v>0.89400000000000002</v>
      </c>
      <c r="O486" s="972">
        <v>9.41</v>
      </c>
      <c r="P486" s="972">
        <v>35.337000000000003</v>
      </c>
      <c r="Q486" s="972">
        <v>454.577</v>
      </c>
      <c r="R486" s="962">
        <v>43</v>
      </c>
      <c r="S486" s="962" t="s">
        <v>4940</v>
      </c>
      <c r="T486" s="972">
        <v>144.30950000000001</v>
      </c>
    </row>
    <row r="487" spans="1:20">
      <c r="A487" s="962" t="s">
        <v>427</v>
      </c>
      <c r="B487" s="972">
        <v>204.012</v>
      </c>
      <c r="C487" s="972">
        <v>15.451000000000001</v>
      </c>
      <c r="D487" s="972">
        <v>0</v>
      </c>
      <c r="E487" s="972">
        <v>9.8469999999999995</v>
      </c>
      <c r="F487" s="972">
        <v>0.17899999999999999</v>
      </c>
      <c r="G487" s="972">
        <v>0</v>
      </c>
      <c r="H487" s="972">
        <v>0</v>
      </c>
      <c r="I487" s="972">
        <v>0.20799999999999999</v>
      </c>
      <c r="J487" s="972">
        <v>0.93300000000000005</v>
      </c>
      <c r="K487" s="972">
        <v>0</v>
      </c>
      <c r="L487" s="972">
        <v>0.89500000000000002</v>
      </c>
      <c r="M487" s="972">
        <v>0</v>
      </c>
      <c r="N487" s="972">
        <v>0</v>
      </c>
      <c r="O487" s="972">
        <v>2.214</v>
      </c>
      <c r="P487" s="972">
        <v>22.195</v>
      </c>
      <c r="Q487" s="972">
        <v>179.60300000000001</v>
      </c>
      <c r="R487" s="962">
        <v>12</v>
      </c>
      <c r="S487" s="962" t="s">
        <v>4940</v>
      </c>
      <c r="T487" s="972">
        <v>75.861166666666662</v>
      </c>
    </row>
    <row r="488" spans="1:20">
      <c r="A488" s="962" t="s">
        <v>429</v>
      </c>
      <c r="B488" s="972">
        <v>761.399</v>
      </c>
      <c r="C488" s="972">
        <v>27.577999999999999</v>
      </c>
      <c r="D488" s="972">
        <v>0.17799999999999999</v>
      </c>
      <c r="E488" s="972">
        <v>4.6890000000000001</v>
      </c>
      <c r="F488" s="972">
        <v>2.0459999999999998</v>
      </c>
      <c r="G488" s="972">
        <v>0</v>
      </c>
      <c r="H488" s="972">
        <v>0</v>
      </c>
      <c r="I488" s="972">
        <v>25.917000000000002</v>
      </c>
      <c r="J488" s="972">
        <v>5.7770000000000001</v>
      </c>
      <c r="K488" s="972">
        <v>0</v>
      </c>
      <c r="L488" s="972">
        <v>0</v>
      </c>
      <c r="M488" s="972">
        <v>0</v>
      </c>
      <c r="N488" s="972">
        <v>0</v>
      </c>
      <c r="O488" s="972">
        <v>33.74</v>
      </c>
      <c r="P488" s="972">
        <v>49.395000000000003</v>
      </c>
      <c r="Q488" s="972">
        <v>678.26400000000001</v>
      </c>
      <c r="R488" s="962">
        <v>45</v>
      </c>
      <c r="S488" s="962" t="s">
        <v>4940</v>
      </c>
      <c r="T488" s="972">
        <v>213.51150000000001</v>
      </c>
    </row>
    <row r="489" spans="1:20">
      <c r="A489" s="962" t="s">
        <v>446</v>
      </c>
      <c r="B489" s="972">
        <v>561.35799999999995</v>
      </c>
      <c r="C489" s="972">
        <v>34.427999999999997</v>
      </c>
      <c r="D489" s="972">
        <v>0</v>
      </c>
      <c r="E489" s="972">
        <v>2.9209999999999998</v>
      </c>
      <c r="F489" s="972">
        <v>0.72</v>
      </c>
      <c r="G489" s="972">
        <v>0</v>
      </c>
      <c r="H489" s="972">
        <v>0</v>
      </c>
      <c r="I489" s="972">
        <v>19.134</v>
      </c>
      <c r="J489" s="972">
        <v>2.4409999999999998</v>
      </c>
      <c r="K489" s="972">
        <v>0</v>
      </c>
      <c r="L489" s="972">
        <v>0</v>
      </c>
      <c r="M489" s="972">
        <v>0</v>
      </c>
      <c r="N489" s="972">
        <v>0</v>
      </c>
      <c r="O489" s="972">
        <v>22.294</v>
      </c>
      <c r="P489" s="972">
        <v>41.691000000000003</v>
      </c>
      <c r="Q489" s="972">
        <v>497.37200000000001</v>
      </c>
      <c r="R489" s="962">
        <v>39</v>
      </c>
      <c r="S489" s="962" t="s">
        <v>4940</v>
      </c>
      <c r="T489" s="972">
        <v>185.18066666666667</v>
      </c>
    </row>
    <row r="490" spans="1:20">
      <c r="A490" s="962" t="s">
        <v>431</v>
      </c>
      <c r="B490" s="972">
        <v>392.82499999999999</v>
      </c>
      <c r="C490" s="972">
        <v>81.156999999999996</v>
      </c>
      <c r="D490" s="972">
        <v>5.8000000000000003E-2</v>
      </c>
      <c r="E490" s="972">
        <v>17.856999999999999</v>
      </c>
      <c r="F490" s="972">
        <v>0.23599999999999999</v>
      </c>
      <c r="G490" s="972">
        <v>0</v>
      </c>
      <c r="H490" s="972">
        <v>0</v>
      </c>
      <c r="I490" s="972">
        <v>3.8010000000000002</v>
      </c>
      <c r="J490" s="972">
        <v>0.41199999999999998</v>
      </c>
      <c r="K490" s="972">
        <v>0</v>
      </c>
      <c r="L490" s="972">
        <v>0</v>
      </c>
      <c r="M490" s="972">
        <v>0</v>
      </c>
      <c r="N490" s="972">
        <v>0</v>
      </c>
      <c r="O490" s="972">
        <v>4.4489999999999998</v>
      </c>
      <c r="P490" s="972">
        <v>28.294</v>
      </c>
      <c r="Q490" s="972">
        <v>360.08300000000003</v>
      </c>
      <c r="R490" s="962">
        <v>28</v>
      </c>
      <c r="S490" s="962" t="s">
        <v>4940</v>
      </c>
      <c r="T490" s="972">
        <v>126.0805</v>
      </c>
    </row>
    <row r="491" spans="1:20">
      <c r="A491" s="962" t="s">
        <v>4945</v>
      </c>
      <c r="B491" s="972">
        <v>109.45099999999999</v>
      </c>
      <c r="C491" s="972">
        <v>13.946</v>
      </c>
      <c r="D491" s="972">
        <v>0</v>
      </c>
      <c r="E491" s="972">
        <v>3.923</v>
      </c>
      <c r="F491" s="972">
        <v>0.121</v>
      </c>
      <c r="G491" s="972">
        <v>0</v>
      </c>
      <c r="H491" s="972">
        <v>0</v>
      </c>
      <c r="I491" s="972">
        <v>3.907</v>
      </c>
      <c r="J491" s="972">
        <v>0.90300000000000002</v>
      </c>
      <c r="K491" s="972">
        <v>0</v>
      </c>
      <c r="L491" s="972">
        <v>0</v>
      </c>
      <c r="M491" s="972">
        <v>0</v>
      </c>
      <c r="N491" s="972">
        <v>0</v>
      </c>
      <c r="O491" s="972">
        <v>4.9320000000000004</v>
      </c>
      <c r="P491" s="972">
        <v>0</v>
      </c>
      <c r="Q491" s="972">
        <v>104.52</v>
      </c>
      <c r="R491" s="962">
        <v>3</v>
      </c>
      <c r="S491" s="962" t="s">
        <v>3902</v>
      </c>
      <c r="T491" s="972">
        <v>0</v>
      </c>
    </row>
    <row r="492" spans="1:20">
      <c r="A492" s="962" t="s">
        <v>4947</v>
      </c>
      <c r="B492" s="972">
        <v>778.84699999999998</v>
      </c>
      <c r="C492" s="972">
        <v>156.334</v>
      </c>
      <c r="D492" s="972">
        <v>0</v>
      </c>
      <c r="E492" s="972">
        <v>1.149</v>
      </c>
      <c r="F492" s="972">
        <v>0.35199999999999998</v>
      </c>
      <c r="G492" s="972">
        <v>0</v>
      </c>
      <c r="H492" s="972">
        <v>0</v>
      </c>
      <c r="I492" s="972">
        <v>23.853000000000002</v>
      </c>
      <c r="J492" s="972">
        <v>2.2650000000000001</v>
      </c>
      <c r="K492" s="972">
        <v>0</v>
      </c>
      <c r="L492" s="972">
        <v>0.91200000000000003</v>
      </c>
      <c r="M492" s="972">
        <v>0</v>
      </c>
      <c r="N492" s="972">
        <v>0</v>
      </c>
      <c r="O492" s="972">
        <v>27.382000000000001</v>
      </c>
      <c r="P492" s="972">
        <v>36.573</v>
      </c>
      <c r="Q492" s="972">
        <v>714.89300000000003</v>
      </c>
      <c r="R492" s="962">
        <v>53</v>
      </c>
      <c r="S492" s="962" t="s">
        <v>4940</v>
      </c>
      <c r="T492" s="972">
        <v>224.67366666666666</v>
      </c>
    </row>
    <row r="493" spans="1:20">
      <c r="A493" s="962" t="s">
        <v>4949</v>
      </c>
      <c r="B493" s="972">
        <v>190.07300000000001</v>
      </c>
      <c r="C493" s="972">
        <v>15.458</v>
      </c>
      <c r="D493" s="972">
        <v>0.252</v>
      </c>
      <c r="E493" s="972">
        <v>12.276</v>
      </c>
      <c r="F493" s="972">
        <v>0.26200000000000001</v>
      </c>
      <c r="G493" s="972">
        <v>0</v>
      </c>
      <c r="H493" s="972">
        <v>0</v>
      </c>
      <c r="I493" s="972">
        <v>3.9089999999999998</v>
      </c>
      <c r="J493" s="972">
        <v>0</v>
      </c>
      <c r="K493" s="972">
        <v>0</v>
      </c>
      <c r="L493" s="972">
        <v>0</v>
      </c>
      <c r="M493" s="972">
        <v>0</v>
      </c>
      <c r="N493" s="972">
        <v>0</v>
      </c>
      <c r="O493" s="972">
        <v>4.1710000000000003</v>
      </c>
      <c r="P493" s="972">
        <v>19.844000000000001</v>
      </c>
      <c r="Q493" s="972">
        <v>166.05799999999999</v>
      </c>
      <c r="R493" s="962">
        <v>18</v>
      </c>
      <c r="S493" s="962" t="s">
        <v>4940</v>
      </c>
      <c r="T493" s="972">
        <v>65.238833333333346</v>
      </c>
    </row>
    <row r="494" spans="1:20">
      <c r="A494" s="962" t="s">
        <v>4951</v>
      </c>
      <c r="B494" s="972">
        <v>508.77199999999999</v>
      </c>
      <c r="C494" s="972">
        <v>5.4329999999999998</v>
      </c>
      <c r="D494" s="972">
        <v>5.8999999999999997E-2</v>
      </c>
      <c r="E494" s="972">
        <v>23.358000000000001</v>
      </c>
      <c r="F494" s="972">
        <v>0.45600000000000002</v>
      </c>
      <c r="G494" s="972">
        <v>7.1999999999999995E-2</v>
      </c>
      <c r="H494" s="972">
        <v>0</v>
      </c>
      <c r="I494" s="972">
        <v>13.625</v>
      </c>
      <c r="J494" s="972">
        <v>1.3380000000000001</v>
      </c>
      <c r="K494" s="972">
        <v>0</v>
      </c>
      <c r="L494" s="972">
        <v>0.73</v>
      </c>
      <c r="M494" s="972">
        <v>0</v>
      </c>
      <c r="N494" s="972">
        <v>0</v>
      </c>
      <c r="O494" s="972">
        <v>16.22</v>
      </c>
      <c r="P494" s="972">
        <v>58.622999999999998</v>
      </c>
      <c r="Q494" s="972">
        <v>433.92899999999997</v>
      </c>
      <c r="R494" s="962">
        <v>39</v>
      </c>
      <c r="S494" s="962" t="s">
        <v>4940</v>
      </c>
      <c r="T494" s="972">
        <v>151.22266666666667</v>
      </c>
    </row>
    <row r="495" spans="1:20">
      <c r="A495" s="962" t="s">
        <v>1560</v>
      </c>
      <c r="B495" s="972">
        <v>1266.241</v>
      </c>
      <c r="C495" s="972">
        <v>12.776999999999999</v>
      </c>
      <c r="D495" s="972">
        <v>0.47199999999999998</v>
      </c>
      <c r="E495" s="972">
        <v>6.234</v>
      </c>
      <c r="F495" s="972">
        <v>2.016</v>
      </c>
      <c r="G495" s="972">
        <v>0.26</v>
      </c>
      <c r="H495" s="972">
        <v>0</v>
      </c>
      <c r="I495" s="972">
        <v>32.031999999999996</v>
      </c>
      <c r="J495" s="972">
        <v>7.83</v>
      </c>
      <c r="K495" s="972">
        <v>0.626</v>
      </c>
      <c r="L495" s="972">
        <v>0</v>
      </c>
      <c r="M495" s="972">
        <v>0</v>
      </c>
      <c r="N495" s="972">
        <v>0</v>
      </c>
      <c r="O495" s="972">
        <v>42.762</v>
      </c>
      <c r="P495" s="972">
        <v>101.34399999999999</v>
      </c>
      <c r="Q495" s="972">
        <v>1122.135</v>
      </c>
      <c r="R495" s="962">
        <v>129</v>
      </c>
      <c r="S495" s="962" t="s">
        <v>4940</v>
      </c>
      <c r="T495" s="972">
        <v>384.65016666666668</v>
      </c>
    </row>
    <row r="496" spans="1:20">
      <c r="A496" s="962" t="s">
        <v>2398</v>
      </c>
      <c r="B496" s="972">
        <v>2668.7649999999999</v>
      </c>
      <c r="C496" s="972">
        <v>43.697000000000003</v>
      </c>
      <c r="D496" s="972">
        <v>0.56799999999999995</v>
      </c>
      <c r="E496" s="972">
        <v>90.61</v>
      </c>
      <c r="F496" s="972">
        <v>4.306</v>
      </c>
      <c r="G496" s="972">
        <v>1.0880000000000001</v>
      </c>
      <c r="H496" s="972">
        <v>0</v>
      </c>
      <c r="I496" s="972">
        <v>48.002000000000002</v>
      </c>
      <c r="J496" s="972">
        <v>39.598999999999997</v>
      </c>
      <c r="K496" s="972">
        <v>0</v>
      </c>
      <c r="L496" s="972">
        <v>5.9390000000000001</v>
      </c>
      <c r="M496" s="972">
        <v>0</v>
      </c>
      <c r="N496" s="972">
        <v>0</v>
      </c>
      <c r="O496" s="972">
        <v>98.933999999999997</v>
      </c>
      <c r="P496" s="972">
        <v>199.75200000000001</v>
      </c>
      <c r="Q496" s="972">
        <v>2370.0790000000002</v>
      </c>
      <c r="R496" s="962">
        <v>219</v>
      </c>
      <c r="S496" s="962" t="s">
        <v>4940</v>
      </c>
      <c r="T496" s="972">
        <v>766.27099999999996</v>
      </c>
    </row>
    <row r="497" spans="1:20">
      <c r="A497" s="962" t="s">
        <v>1562</v>
      </c>
      <c r="B497" s="972">
        <v>1895.4380000000001</v>
      </c>
      <c r="C497" s="972">
        <v>42.247999999999998</v>
      </c>
      <c r="D497" s="972">
        <v>0.29899999999999999</v>
      </c>
      <c r="E497" s="972">
        <v>52.643999999999998</v>
      </c>
      <c r="F497" s="972">
        <v>1.806</v>
      </c>
      <c r="G497" s="972">
        <v>0.152</v>
      </c>
      <c r="H497" s="972">
        <v>0</v>
      </c>
      <c r="I497" s="972">
        <v>25.026</v>
      </c>
      <c r="J497" s="972">
        <v>4.5389999999999997</v>
      </c>
      <c r="K497" s="972">
        <v>0</v>
      </c>
      <c r="L497" s="972">
        <v>0.875</v>
      </c>
      <c r="M497" s="972">
        <v>0</v>
      </c>
      <c r="N497" s="972">
        <v>4.2720000000000002</v>
      </c>
      <c r="O497" s="972">
        <v>36.668999999999997</v>
      </c>
      <c r="P497" s="972">
        <v>109.107</v>
      </c>
      <c r="Q497" s="972">
        <v>1749.663</v>
      </c>
      <c r="R497" s="962">
        <v>112</v>
      </c>
      <c r="S497" s="962" t="s">
        <v>4940</v>
      </c>
      <c r="T497" s="972">
        <v>524.88733333333334</v>
      </c>
    </row>
    <row r="498" spans="1:20">
      <c r="A498" s="962" t="s">
        <v>2997</v>
      </c>
      <c r="B498" s="972">
        <v>3726.4090000000001</v>
      </c>
      <c r="C498" s="972">
        <v>23.306999999999999</v>
      </c>
      <c r="D498" s="972">
        <v>0.46700000000000003</v>
      </c>
      <c r="E498" s="972">
        <v>18.608000000000001</v>
      </c>
      <c r="F498" s="972">
        <v>6.4080000000000004</v>
      </c>
      <c r="G498" s="972">
        <v>1.9E-2</v>
      </c>
      <c r="H498" s="972">
        <v>0</v>
      </c>
      <c r="I498" s="972">
        <v>90.141999999999996</v>
      </c>
      <c r="J498" s="972">
        <v>19.228000000000002</v>
      </c>
      <c r="K498" s="972">
        <v>0.374</v>
      </c>
      <c r="L498" s="972">
        <v>2.67</v>
      </c>
      <c r="M498" s="972">
        <v>0</v>
      </c>
      <c r="N498" s="972">
        <v>0</v>
      </c>
      <c r="O498" s="972">
        <v>118.84</v>
      </c>
      <c r="P498" s="972">
        <v>236.86099999999999</v>
      </c>
      <c r="Q498" s="972">
        <v>3370.7080000000001</v>
      </c>
      <c r="R498" s="962">
        <v>192</v>
      </c>
      <c r="S498" s="962" t="s">
        <v>4940</v>
      </c>
      <c r="T498" s="972">
        <v>1011.3463333333333</v>
      </c>
    </row>
    <row r="499" spans="1:20">
      <c r="A499" s="962" t="s">
        <v>856</v>
      </c>
      <c r="B499" s="972">
        <v>563.24900000000002</v>
      </c>
      <c r="C499" s="972">
        <v>1.9690000000000001</v>
      </c>
      <c r="D499" s="972">
        <v>0</v>
      </c>
      <c r="E499" s="972">
        <v>5.2210000000000001</v>
      </c>
      <c r="F499" s="972">
        <v>0.71899999999999997</v>
      </c>
      <c r="G499" s="972">
        <v>9.2999999999999999E-2</v>
      </c>
      <c r="H499" s="972">
        <v>0</v>
      </c>
      <c r="I499" s="972">
        <v>16.635000000000002</v>
      </c>
      <c r="J499" s="972">
        <v>2.56</v>
      </c>
      <c r="K499" s="972">
        <v>0</v>
      </c>
      <c r="L499" s="972">
        <v>0</v>
      </c>
      <c r="M499" s="972">
        <v>0</v>
      </c>
      <c r="N499" s="972">
        <v>0</v>
      </c>
      <c r="O499" s="972">
        <v>20.007000000000001</v>
      </c>
      <c r="P499" s="972">
        <v>49.05</v>
      </c>
      <c r="Q499" s="972">
        <v>494.19200000000001</v>
      </c>
      <c r="R499" s="962">
        <v>44</v>
      </c>
      <c r="S499" s="962" t="s">
        <v>4940</v>
      </c>
      <c r="T499" s="972">
        <v>146.77466666666666</v>
      </c>
    </row>
    <row r="500" spans="1:20">
      <c r="A500" s="962" t="s">
        <v>1021</v>
      </c>
      <c r="B500" s="972">
        <v>168.863</v>
      </c>
      <c r="C500" s="972">
        <v>20.756</v>
      </c>
      <c r="D500" s="972">
        <v>0</v>
      </c>
      <c r="E500" s="972">
        <v>0.98899999999999999</v>
      </c>
      <c r="F500" s="972">
        <v>8.2000000000000003E-2</v>
      </c>
      <c r="G500" s="972">
        <v>0</v>
      </c>
      <c r="H500" s="972">
        <v>0</v>
      </c>
      <c r="I500" s="972">
        <v>2.0649999999999999</v>
      </c>
      <c r="J500" s="972">
        <v>0</v>
      </c>
      <c r="K500" s="972">
        <v>0</v>
      </c>
      <c r="L500" s="972">
        <v>0</v>
      </c>
      <c r="M500" s="972">
        <v>0</v>
      </c>
      <c r="N500" s="972">
        <v>0</v>
      </c>
      <c r="O500" s="972">
        <v>2.1480000000000001</v>
      </c>
      <c r="P500" s="972">
        <v>0</v>
      </c>
      <c r="Q500" s="972">
        <v>166.715</v>
      </c>
      <c r="R500" s="962">
        <v>15</v>
      </c>
      <c r="S500" s="962" t="s">
        <v>4940</v>
      </c>
      <c r="T500" s="972">
        <v>0</v>
      </c>
    </row>
    <row r="501" spans="1:20">
      <c r="A501" s="962" t="s">
        <v>1023</v>
      </c>
      <c r="B501" s="972">
        <v>575.19000000000005</v>
      </c>
      <c r="C501" s="972">
        <v>509.447</v>
      </c>
      <c r="D501" s="972">
        <v>0</v>
      </c>
      <c r="E501" s="972">
        <v>0.98899999999999999</v>
      </c>
      <c r="F501" s="972">
        <v>0.623</v>
      </c>
      <c r="G501" s="972">
        <v>0</v>
      </c>
      <c r="H501" s="972">
        <v>0</v>
      </c>
      <c r="I501" s="972">
        <v>2.492</v>
      </c>
      <c r="J501" s="972">
        <v>0</v>
      </c>
      <c r="K501" s="972">
        <v>0</v>
      </c>
      <c r="L501" s="972">
        <v>0</v>
      </c>
      <c r="M501" s="972">
        <v>0</v>
      </c>
      <c r="N501" s="972">
        <v>0</v>
      </c>
      <c r="O501" s="972">
        <v>3.1139999999999999</v>
      </c>
      <c r="P501" s="972">
        <v>0</v>
      </c>
      <c r="Q501" s="972">
        <v>572.07600000000002</v>
      </c>
      <c r="R501" s="962">
        <v>0</v>
      </c>
      <c r="S501" s="962" t="s">
        <v>4940</v>
      </c>
      <c r="T501" s="972">
        <v>0</v>
      </c>
    </row>
    <row r="502" spans="1:20">
      <c r="A502" s="962" t="s">
        <v>1025</v>
      </c>
      <c r="B502" s="972">
        <v>285.065</v>
      </c>
      <c r="C502" s="972">
        <v>0</v>
      </c>
      <c r="D502" s="972">
        <v>0</v>
      </c>
      <c r="E502" s="972">
        <v>9.07</v>
      </c>
      <c r="F502" s="972">
        <v>0.69</v>
      </c>
      <c r="G502" s="972">
        <v>0</v>
      </c>
      <c r="H502" s="972">
        <v>0</v>
      </c>
      <c r="I502" s="972">
        <v>2.0030000000000001</v>
      </c>
      <c r="J502" s="972">
        <v>5.8000000000000003E-2</v>
      </c>
      <c r="K502" s="972">
        <v>0</v>
      </c>
      <c r="L502" s="972">
        <v>0</v>
      </c>
      <c r="M502" s="972">
        <v>0</v>
      </c>
      <c r="N502" s="972">
        <v>0</v>
      </c>
      <c r="O502" s="972">
        <v>2.7509999999999999</v>
      </c>
      <c r="P502" s="972">
        <v>0</v>
      </c>
      <c r="Q502" s="972">
        <v>282.31400000000002</v>
      </c>
      <c r="R502" s="962">
        <v>0</v>
      </c>
      <c r="S502" s="962" t="s">
        <v>4940</v>
      </c>
      <c r="T502" s="972">
        <v>0</v>
      </c>
    </row>
    <row r="503" spans="1:20">
      <c r="A503" s="962" t="s">
        <v>1027</v>
      </c>
      <c r="B503" s="972">
        <v>552.16600000000005</v>
      </c>
      <c r="C503" s="972">
        <v>135.59200000000001</v>
      </c>
      <c r="D503" s="972">
        <v>3.8319999999999999</v>
      </c>
      <c r="E503" s="972">
        <v>19.378</v>
      </c>
      <c r="F503" s="972">
        <v>3.9E-2</v>
      </c>
      <c r="G503" s="972">
        <v>0.10299999999999999</v>
      </c>
      <c r="H503" s="972">
        <v>0</v>
      </c>
      <c r="I503" s="972">
        <v>7.5359999999999996</v>
      </c>
      <c r="J503" s="972">
        <v>0</v>
      </c>
      <c r="K503" s="972">
        <v>0</v>
      </c>
      <c r="L503" s="972">
        <v>1.107</v>
      </c>
      <c r="M503" s="972">
        <v>0</v>
      </c>
      <c r="N503" s="972">
        <v>1.2190000000000001</v>
      </c>
      <c r="O503" s="972">
        <v>10.004</v>
      </c>
      <c r="P503" s="972">
        <v>61.298999999999999</v>
      </c>
      <c r="Q503" s="972">
        <v>480.86200000000002</v>
      </c>
      <c r="R503" s="962">
        <v>0</v>
      </c>
      <c r="S503" s="962" t="s">
        <v>4940</v>
      </c>
      <c r="T503" s="972">
        <v>418.38383333333337</v>
      </c>
    </row>
    <row r="504" spans="1:20">
      <c r="A504" s="962" t="s">
        <v>1564</v>
      </c>
      <c r="B504" s="972">
        <v>708.11599999999999</v>
      </c>
      <c r="C504" s="972">
        <v>7.056</v>
      </c>
      <c r="D504" s="972">
        <v>0.33900000000000002</v>
      </c>
      <c r="E504" s="972">
        <v>57.121000000000002</v>
      </c>
      <c r="F504" s="972">
        <v>0.70699999999999996</v>
      </c>
      <c r="G504" s="972">
        <v>0.16200000000000001</v>
      </c>
      <c r="H504" s="972">
        <v>0</v>
      </c>
      <c r="I504" s="972">
        <v>2.1619999999999999</v>
      </c>
      <c r="J504" s="972">
        <v>0</v>
      </c>
      <c r="K504" s="972">
        <v>0</v>
      </c>
      <c r="L504" s="972">
        <v>0</v>
      </c>
      <c r="M504" s="972">
        <v>0</v>
      </c>
      <c r="N504" s="972">
        <v>0</v>
      </c>
      <c r="O504" s="972">
        <v>3.0310000000000001</v>
      </c>
      <c r="P504" s="972">
        <v>19.850000000000001</v>
      </c>
      <c r="Q504" s="972">
        <v>685.23599999999999</v>
      </c>
      <c r="R504" s="962">
        <v>0</v>
      </c>
      <c r="S504" s="962" t="s">
        <v>4940</v>
      </c>
      <c r="T504" s="972">
        <v>139.06200000000001</v>
      </c>
    </row>
    <row r="505" spans="1:20">
      <c r="A505" s="962" t="s">
        <v>1030</v>
      </c>
      <c r="B505" s="972">
        <v>1193.5119999999999</v>
      </c>
      <c r="C505" s="972">
        <v>558.58299999999997</v>
      </c>
      <c r="D505" s="972">
        <v>0</v>
      </c>
      <c r="E505" s="972">
        <v>33.786000000000001</v>
      </c>
      <c r="F505" s="972">
        <v>0.55400000000000005</v>
      </c>
      <c r="G505" s="972">
        <v>2.1000000000000001E-2</v>
      </c>
      <c r="H505" s="972">
        <v>0</v>
      </c>
      <c r="I505" s="972">
        <v>28.536999999999999</v>
      </c>
      <c r="J505" s="972">
        <v>0.89900000000000002</v>
      </c>
      <c r="K505" s="972">
        <v>0</v>
      </c>
      <c r="L505" s="972">
        <v>0.41899999999999998</v>
      </c>
      <c r="M505" s="972">
        <v>0</v>
      </c>
      <c r="N505" s="972">
        <v>0.66400000000000003</v>
      </c>
      <c r="O505" s="972">
        <v>31.094000000000001</v>
      </c>
      <c r="P505" s="972">
        <v>6.1280000000000001</v>
      </c>
      <c r="Q505" s="972">
        <v>1156.29</v>
      </c>
      <c r="R505" s="962">
        <v>0</v>
      </c>
      <c r="S505" s="962" t="s">
        <v>4940</v>
      </c>
      <c r="T505" s="972">
        <v>265.01083333333332</v>
      </c>
    </row>
    <row r="506" spans="1:20">
      <c r="A506" s="962" t="s">
        <v>1032</v>
      </c>
      <c r="B506" s="972">
        <v>129.84899999999999</v>
      </c>
      <c r="C506" s="972">
        <v>3.794</v>
      </c>
      <c r="D506" s="972">
        <v>0</v>
      </c>
      <c r="E506" s="972">
        <v>1.054</v>
      </c>
      <c r="F506" s="972">
        <v>0.36499999999999999</v>
      </c>
      <c r="G506" s="972">
        <v>0</v>
      </c>
      <c r="H506" s="972">
        <v>0</v>
      </c>
      <c r="I506" s="972">
        <v>2.5150000000000001</v>
      </c>
      <c r="J506" s="972">
        <v>0</v>
      </c>
      <c r="K506" s="972">
        <v>0</v>
      </c>
      <c r="L506" s="972">
        <v>0</v>
      </c>
      <c r="M506" s="972">
        <v>0</v>
      </c>
      <c r="N506" s="972">
        <v>0</v>
      </c>
      <c r="O506" s="972">
        <v>2.879</v>
      </c>
      <c r="P506" s="972">
        <v>0</v>
      </c>
      <c r="Q506" s="972">
        <v>126.97</v>
      </c>
      <c r="R506" s="962">
        <v>0</v>
      </c>
      <c r="S506" s="962" t="s">
        <v>4940</v>
      </c>
      <c r="T506" s="972">
        <v>0</v>
      </c>
    </row>
    <row r="507" spans="1:20">
      <c r="A507" s="962" t="s">
        <v>1566</v>
      </c>
      <c r="B507" s="972">
        <v>304.75799999999998</v>
      </c>
      <c r="C507" s="972">
        <v>18.172000000000001</v>
      </c>
      <c r="D507" s="972">
        <v>3.5000000000000003E-2</v>
      </c>
      <c r="E507" s="972">
        <v>0.51900000000000002</v>
      </c>
      <c r="F507" s="972">
        <v>0.78700000000000003</v>
      </c>
      <c r="G507" s="972">
        <v>0</v>
      </c>
      <c r="H507" s="972">
        <v>0</v>
      </c>
      <c r="I507" s="972">
        <v>18.917999999999999</v>
      </c>
      <c r="J507" s="972">
        <v>0</v>
      </c>
      <c r="K507" s="972">
        <v>0</v>
      </c>
      <c r="L507" s="972">
        <v>0</v>
      </c>
      <c r="M507" s="972">
        <v>0</v>
      </c>
      <c r="N507" s="972">
        <v>0</v>
      </c>
      <c r="O507" s="972">
        <v>19.704999999999998</v>
      </c>
      <c r="P507" s="972">
        <v>3.1589999999999998</v>
      </c>
      <c r="Q507" s="972">
        <v>281.89299999999997</v>
      </c>
      <c r="R507" s="962">
        <v>9</v>
      </c>
      <c r="S507" s="962" t="s">
        <v>4940</v>
      </c>
      <c r="T507" s="972">
        <v>66.354666666666674</v>
      </c>
    </row>
    <row r="508" spans="1:20">
      <c r="A508" s="962" t="s">
        <v>1034</v>
      </c>
      <c r="B508" s="972">
        <v>408.76</v>
      </c>
      <c r="C508" s="972">
        <v>230.55799999999999</v>
      </c>
      <c r="D508" s="972">
        <v>0</v>
      </c>
      <c r="E508" s="972">
        <v>6.0650000000000004</v>
      </c>
      <c r="F508" s="972">
        <v>0.04</v>
      </c>
      <c r="G508" s="972">
        <v>0</v>
      </c>
      <c r="H508" s="972">
        <v>0</v>
      </c>
      <c r="I508" s="972">
        <v>0</v>
      </c>
      <c r="J508" s="972">
        <v>0</v>
      </c>
      <c r="K508" s="972">
        <v>0</v>
      </c>
      <c r="L508" s="972">
        <v>0</v>
      </c>
      <c r="M508" s="972">
        <v>0</v>
      </c>
      <c r="N508" s="972">
        <v>0</v>
      </c>
      <c r="O508" s="972">
        <v>0.04</v>
      </c>
      <c r="P508" s="972">
        <v>0</v>
      </c>
      <c r="Q508" s="972">
        <v>408.72</v>
      </c>
      <c r="R508" s="962">
        <v>0</v>
      </c>
      <c r="S508" s="962" t="s">
        <v>4940</v>
      </c>
      <c r="T508" s="972">
        <v>0</v>
      </c>
    </row>
    <row r="509" spans="1:20">
      <c r="A509" s="962" t="s">
        <v>1036</v>
      </c>
      <c r="B509" s="972">
        <v>465.76400000000001</v>
      </c>
      <c r="C509" s="972">
        <v>43.79</v>
      </c>
      <c r="D509" s="972">
        <v>0</v>
      </c>
      <c r="E509" s="972">
        <v>0</v>
      </c>
      <c r="F509" s="972">
        <v>0.11</v>
      </c>
      <c r="G509" s="972">
        <v>0</v>
      </c>
      <c r="H509" s="972">
        <v>8.0739999999999998</v>
      </c>
      <c r="I509" s="972">
        <v>0</v>
      </c>
      <c r="J509" s="972">
        <v>0</v>
      </c>
      <c r="K509" s="972">
        <v>0</v>
      </c>
      <c r="L509" s="972">
        <v>0</v>
      </c>
      <c r="M509" s="972">
        <v>0</v>
      </c>
      <c r="N509" s="972">
        <v>70.242000000000004</v>
      </c>
      <c r="O509" s="972">
        <v>78.426000000000002</v>
      </c>
      <c r="P509" s="972">
        <v>0</v>
      </c>
      <c r="Q509" s="972">
        <v>387.33800000000002</v>
      </c>
      <c r="R509" s="962">
        <v>0</v>
      </c>
      <c r="S509" s="962" t="s">
        <v>4940</v>
      </c>
      <c r="T509" s="972">
        <v>353.49033333333335</v>
      </c>
    </row>
    <row r="510" spans="1:20">
      <c r="A510" s="962" t="s">
        <v>1038</v>
      </c>
      <c r="B510" s="972">
        <v>570.36</v>
      </c>
      <c r="C510" s="972">
        <v>29.53</v>
      </c>
      <c r="D510" s="972">
        <v>0</v>
      </c>
      <c r="E510" s="972">
        <v>99.906000000000006</v>
      </c>
      <c r="F510" s="972">
        <v>1.4999999999999999E-2</v>
      </c>
      <c r="G510" s="972">
        <v>3.3000000000000002E-2</v>
      </c>
      <c r="H510" s="972">
        <v>0</v>
      </c>
      <c r="I510" s="972">
        <v>0</v>
      </c>
      <c r="J510" s="972">
        <v>0</v>
      </c>
      <c r="K510" s="972">
        <v>0</v>
      </c>
      <c r="L510" s="972">
        <v>0</v>
      </c>
      <c r="M510" s="972">
        <v>0</v>
      </c>
      <c r="N510" s="972">
        <v>0</v>
      </c>
      <c r="O510" s="972">
        <v>4.8000000000000001E-2</v>
      </c>
      <c r="P510" s="972">
        <v>23.896000000000001</v>
      </c>
      <c r="Q510" s="972">
        <v>546.41700000000003</v>
      </c>
      <c r="R510" s="962">
        <v>0</v>
      </c>
      <c r="S510" s="962" t="s">
        <v>4940</v>
      </c>
      <c r="T510" s="972">
        <v>570.35649999999987</v>
      </c>
    </row>
    <row r="511" spans="1:20">
      <c r="A511" s="962" t="s">
        <v>1040</v>
      </c>
      <c r="B511" s="972">
        <v>4483.701</v>
      </c>
      <c r="C511" s="972">
        <v>1531.3119999999999</v>
      </c>
      <c r="D511" s="972">
        <v>0</v>
      </c>
      <c r="E511" s="972">
        <v>61.15</v>
      </c>
      <c r="F511" s="972">
        <v>2.38</v>
      </c>
      <c r="G511" s="972">
        <v>0</v>
      </c>
      <c r="H511" s="972">
        <v>0</v>
      </c>
      <c r="I511" s="972">
        <v>24.594999999999999</v>
      </c>
      <c r="J511" s="972">
        <v>0</v>
      </c>
      <c r="K511" s="972">
        <v>0</v>
      </c>
      <c r="L511" s="972">
        <v>0</v>
      </c>
      <c r="M511" s="972">
        <v>0</v>
      </c>
      <c r="N511" s="972">
        <v>0</v>
      </c>
      <c r="O511" s="972">
        <v>26.975000000000001</v>
      </c>
      <c r="P511" s="972">
        <v>0</v>
      </c>
      <c r="Q511" s="972">
        <v>4456.7259999999997</v>
      </c>
      <c r="R511" s="962">
        <v>28</v>
      </c>
      <c r="S511" s="962" t="s">
        <v>4940</v>
      </c>
      <c r="T511" s="972">
        <v>510.3458333333333</v>
      </c>
    </row>
    <row r="512" spans="1:20">
      <c r="A512" s="962" t="s">
        <v>1568</v>
      </c>
      <c r="B512" s="972">
        <v>1467.9280000000001</v>
      </c>
      <c r="C512" s="972">
        <v>352.762</v>
      </c>
      <c r="D512" s="972">
        <v>0</v>
      </c>
      <c r="E512" s="972">
        <v>0</v>
      </c>
      <c r="F512" s="972">
        <v>1.04</v>
      </c>
      <c r="G512" s="972">
        <v>0</v>
      </c>
      <c r="H512" s="972">
        <v>0</v>
      </c>
      <c r="I512" s="972">
        <v>6.7309999999999999</v>
      </c>
      <c r="J512" s="972">
        <v>0</v>
      </c>
      <c r="K512" s="972">
        <v>0</v>
      </c>
      <c r="L512" s="972">
        <v>0</v>
      </c>
      <c r="M512" s="972">
        <v>0</v>
      </c>
      <c r="N512" s="972">
        <v>0</v>
      </c>
      <c r="O512" s="972">
        <v>7.7709999999999999</v>
      </c>
      <c r="P512" s="972">
        <v>0</v>
      </c>
      <c r="Q512" s="972">
        <v>1460.1569999999999</v>
      </c>
      <c r="R512" s="962">
        <v>16</v>
      </c>
      <c r="S512" s="962" t="s">
        <v>4940</v>
      </c>
      <c r="T512" s="972">
        <v>0</v>
      </c>
    </row>
    <row r="513" spans="1:20">
      <c r="A513" s="962" t="s">
        <v>1570</v>
      </c>
      <c r="B513" s="972">
        <v>200.37200000000001</v>
      </c>
      <c r="C513" s="972">
        <v>129.61199999999999</v>
      </c>
      <c r="D513" s="972">
        <v>0</v>
      </c>
      <c r="E513" s="972">
        <v>1.155</v>
      </c>
      <c r="F513" s="972">
        <v>0.27400000000000002</v>
      </c>
      <c r="G513" s="972">
        <v>0</v>
      </c>
      <c r="H513" s="972">
        <v>0</v>
      </c>
      <c r="I513" s="972">
        <v>0</v>
      </c>
      <c r="J513" s="972">
        <v>0</v>
      </c>
      <c r="K513" s="972">
        <v>0</v>
      </c>
      <c r="L513" s="972">
        <v>0</v>
      </c>
      <c r="M513" s="972">
        <v>0</v>
      </c>
      <c r="N513" s="972">
        <v>0</v>
      </c>
      <c r="O513" s="972">
        <v>0.27400000000000002</v>
      </c>
      <c r="P513" s="972">
        <v>0</v>
      </c>
      <c r="Q513" s="972">
        <v>200.09800000000001</v>
      </c>
      <c r="R513" s="962">
        <v>0</v>
      </c>
      <c r="S513" s="962" t="s">
        <v>4940</v>
      </c>
      <c r="T513" s="972">
        <v>0</v>
      </c>
    </row>
    <row r="514" spans="1:20">
      <c r="A514" s="962" t="s">
        <v>1046</v>
      </c>
      <c r="B514" s="972">
        <v>453.57400000000001</v>
      </c>
      <c r="C514" s="972">
        <v>403.846</v>
      </c>
      <c r="D514" s="972">
        <v>0</v>
      </c>
      <c r="E514" s="972">
        <v>8.016</v>
      </c>
      <c r="F514" s="972">
        <v>0.92600000000000005</v>
      </c>
      <c r="G514" s="972">
        <v>0</v>
      </c>
      <c r="H514" s="972">
        <v>0</v>
      </c>
      <c r="I514" s="972">
        <v>0.35499999999999998</v>
      </c>
      <c r="J514" s="972">
        <v>0</v>
      </c>
      <c r="K514" s="972">
        <v>0</v>
      </c>
      <c r="L514" s="972">
        <v>0</v>
      </c>
      <c r="M514" s="972">
        <v>0</v>
      </c>
      <c r="N514" s="972">
        <v>0</v>
      </c>
      <c r="O514" s="972">
        <v>1.2809999999999999</v>
      </c>
      <c r="P514" s="972">
        <v>0</v>
      </c>
      <c r="Q514" s="972">
        <v>452.29300000000001</v>
      </c>
      <c r="R514" s="962">
        <v>0</v>
      </c>
      <c r="S514" s="962" t="s">
        <v>4940</v>
      </c>
      <c r="T514" s="972">
        <v>0</v>
      </c>
    </row>
    <row r="515" spans="1:20">
      <c r="A515" s="962" t="s">
        <v>1050</v>
      </c>
      <c r="B515" s="972">
        <v>182.29599999999999</v>
      </c>
      <c r="C515" s="972">
        <v>0</v>
      </c>
      <c r="D515" s="972">
        <v>0</v>
      </c>
      <c r="E515" s="972">
        <v>9.8249999999999993</v>
      </c>
      <c r="F515" s="972">
        <v>0.17899999999999999</v>
      </c>
      <c r="G515" s="972">
        <v>0</v>
      </c>
      <c r="H515" s="972">
        <v>0</v>
      </c>
      <c r="I515" s="972">
        <v>8.9529999999999994</v>
      </c>
      <c r="J515" s="972">
        <v>0</v>
      </c>
      <c r="K515" s="972">
        <v>0</v>
      </c>
      <c r="L515" s="972">
        <v>1.7350000000000001</v>
      </c>
      <c r="M515" s="972">
        <v>0</v>
      </c>
      <c r="N515" s="972">
        <v>0</v>
      </c>
      <c r="O515" s="972">
        <v>10.867000000000001</v>
      </c>
      <c r="P515" s="972">
        <v>27.52</v>
      </c>
      <c r="Q515" s="972">
        <v>143.90899999999999</v>
      </c>
      <c r="R515" s="962">
        <v>1</v>
      </c>
      <c r="S515" s="962" t="s">
        <v>4940</v>
      </c>
      <c r="T515" s="972">
        <v>182.29383333333334</v>
      </c>
    </row>
    <row r="516" spans="1:20">
      <c r="A516" s="962" t="s">
        <v>1052</v>
      </c>
      <c r="B516" s="972">
        <v>116.539</v>
      </c>
      <c r="C516" s="972">
        <v>0</v>
      </c>
      <c r="D516" s="972">
        <v>0</v>
      </c>
      <c r="E516" s="972">
        <v>3.8340000000000001</v>
      </c>
      <c r="F516" s="972">
        <v>0.157</v>
      </c>
      <c r="G516" s="972">
        <v>0</v>
      </c>
      <c r="H516" s="972">
        <v>0</v>
      </c>
      <c r="I516" s="972">
        <v>4.1399999999999997</v>
      </c>
      <c r="J516" s="972">
        <v>0.89800000000000002</v>
      </c>
      <c r="K516" s="972">
        <v>0</v>
      </c>
      <c r="L516" s="972">
        <v>0</v>
      </c>
      <c r="M516" s="972">
        <v>0</v>
      </c>
      <c r="N516" s="972">
        <v>27.295999999999999</v>
      </c>
      <c r="O516" s="972">
        <v>32.491</v>
      </c>
      <c r="P516" s="972">
        <v>4.6079999999999997</v>
      </c>
      <c r="Q516" s="972">
        <v>79.44</v>
      </c>
      <c r="R516" s="962">
        <v>0</v>
      </c>
      <c r="S516" s="962" t="s">
        <v>4940</v>
      </c>
      <c r="T516" s="972">
        <v>70.259666666666661</v>
      </c>
    </row>
    <row r="517" spans="1:20">
      <c r="A517" s="962" t="s">
        <v>5109</v>
      </c>
      <c r="B517" s="972">
        <v>340.678</v>
      </c>
      <c r="C517" s="972">
        <v>0</v>
      </c>
      <c r="D517" s="972">
        <v>0</v>
      </c>
      <c r="E517" s="972">
        <v>18.917000000000002</v>
      </c>
      <c r="F517" s="972">
        <v>0</v>
      </c>
      <c r="G517" s="972">
        <v>0</v>
      </c>
      <c r="H517" s="972">
        <v>0</v>
      </c>
      <c r="I517" s="972">
        <v>6.9409999999999998</v>
      </c>
      <c r="J517" s="972">
        <v>0</v>
      </c>
      <c r="K517" s="972">
        <v>0</v>
      </c>
      <c r="L517" s="972">
        <v>0</v>
      </c>
      <c r="M517" s="972">
        <v>0</v>
      </c>
      <c r="N517" s="972">
        <v>0</v>
      </c>
      <c r="O517" s="972">
        <v>6.9409999999999998</v>
      </c>
      <c r="P517" s="972">
        <v>0</v>
      </c>
      <c r="Q517" s="972">
        <v>333.73700000000002</v>
      </c>
      <c r="R517" s="962">
        <v>0</v>
      </c>
      <c r="S517" s="962" t="s">
        <v>4940</v>
      </c>
      <c r="T517" s="972">
        <v>0</v>
      </c>
    </row>
    <row r="518" spans="1:20">
      <c r="A518" s="962" t="s">
        <v>1057</v>
      </c>
      <c r="B518" s="972">
        <v>885.01400000000001</v>
      </c>
      <c r="C518" s="972">
        <v>276.63499999999999</v>
      </c>
      <c r="D518" s="972">
        <v>0</v>
      </c>
      <c r="E518" s="972">
        <v>26.309000000000001</v>
      </c>
      <c r="F518" s="972">
        <v>0.78700000000000003</v>
      </c>
      <c r="G518" s="972">
        <v>0</v>
      </c>
      <c r="H518" s="972">
        <v>0</v>
      </c>
      <c r="I518" s="972">
        <v>8.0000000000000002E-3</v>
      </c>
      <c r="J518" s="972">
        <v>3.0089999999999999</v>
      </c>
      <c r="K518" s="972">
        <v>0</v>
      </c>
      <c r="L518" s="972">
        <v>0</v>
      </c>
      <c r="M518" s="972">
        <v>0</v>
      </c>
      <c r="N518" s="972">
        <v>0</v>
      </c>
      <c r="O518" s="972">
        <v>3.8039999999999998</v>
      </c>
      <c r="P518" s="972">
        <v>3.1440000000000001</v>
      </c>
      <c r="Q518" s="972">
        <v>878.06600000000003</v>
      </c>
      <c r="R518" s="962">
        <v>0</v>
      </c>
      <c r="S518" s="962" t="s">
        <v>4940</v>
      </c>
      <c r="T518" s="972">
        <v>88.972833333333341</v>
      </c>
    </row>
    <row r="519" spans="1:20">
      <c r="A519" s="962" t="s">
        <v>1059</v>
      </c>
      <c r="B519" s="972">
        <v>86.447000000000003</v>
      </c>
      <c r="C519" s="972">
        <v>25.056000000000001</v>
      </c>
      <c r="D519" s="972">
        <v>0</v>
      </c>
      <c r="E519" s="972">
        <v>2.8660000000000001</v>
      </c>
      <c r="F519" s="972">
        <v>0</v>
      </c>
      <c r="G519" s="972">
        <v>0</v>
      </c>
      <c r="H519" s="972">
        <v>0</v>
      </c>
      <c r="I519" s="972">
        <v>0.93</v>
      </c>
      <c r="J519" s="972">
        <v>0</v>
      </c>
      <c r="K519" s="972">
        <v>0</v>
      </c>
      <c r="L519" s="972">
        <v>0</v>
      </c>
      <c r="M519" s="972">
        <v>0</v>
      </c>
      <c r="N519" s="972">
        <v>0</v>
      </c>
      <c r="O519" s="972">
        <v>0.93</v>
      </c>
      <c r="P519" s="972">
        <v>0</v>
      </c>
      <c r="Q519" s="972">
        <v>85.518000000000001</v>
      </c>
      <c r="R519" s="962">
        <v>0</v>
      </c>
      <c r="S519" s="962" t="s">
        <v>4940</v>
      </c>
      <c r="T519" s="972">
        <v>0</v>
      </c>
    </row>
    <row r="520" spans="1:20">
      <c r="A520" s="962" t="s">
        <v>1063</v>
      </c>
      <c r="B520" s="972">
        <v>263.53300000000002</v>
      </c>
      <c r="C520" s="972">
        <v>160.00700000000001</v>
      </c>
      <c r="D520" s="972">
        <v>0</v>
      </c>
      <c r="E520" s="972">
        <v>2.206</v>
      </c>
      <c r="F520" s="972">
        <v>0.159</v>
      </c>
      <c r="G520" s="972">
        <v>5.8999999999999997E-2</v>
      </c>
      <c r="H520" s="972">
        <v>0</v>
      </c>
      <c r="I520" s="972">
        <v>0</v>
      </c>
      <c r="J520" s="972">
        <v>0</v>
      </c>
      <c r="K520" s="972">
        <v>0</v>
      </c>
      <c r="L520" s="972">
        <v>0</v>
      </c>
      <c r="M520" s="972">
        <v>0</v>
      </c>
      <c r="N520" s="972">
        <v>0</v>
      </c>
      <c r="O520" s="972">
        <v>0.217</v>
      </c>
      <c r="P520" s="972">
        <v>0</v>
      </c>
      <c r="Q520" s="972">
        <v>263.31599999999997</v>
      </c>
      <c r="R520" s="962">
        <v>0</v>
      </c>
      <c r="S520" s="962" t="s">
        <v>4940</v>
      </c>
      <c r="T520" s="972">
        <v>0</v>
      </c>
    </row>
    <row r="521" spans="1:20">
      <c r="A521" s="962" t="s">
        <v>5113</v>
      </c>
      <c r="B521" s="972">
        <v>245.863</v>
      </c>
      <c r="C521" s="972">
        <v>0</v>
      </c>
      <c r="D521" s="972">
        <v>0.114</v>
      </c>
      <c r="E521" s="972">
        <v>22.584</v>
      </c>
      <c r="F521" s="972">
        <v>0.27200000000000002</v>
      </c>
      <c r="G521" s="972">
        <v>0</v>
      </c>
      <c r="H521" s="972">
        <v>0</v>
      </c>
      <c r="I521" s="972">
        <v>0</v>
      </c>
      <c r="J521" s="972">
        <v>0</v>
      </c>
      <c r="K521" s="972">
        <v>0</v>
      </c>
      <c r="L521" s="972">
        <v>0</v>
      </c>
      <c r="M521" s="972">
        <v>0</v>
      </c>
      <c r="N521" s="972">
        <v>0</v>
      </c>
      <c r="O521" s="972">
        <v>0.27200000000000002</v>
      </c>
      <c r="P521" s="972">
        <v>36.694000000000003</v>
      </c>
      <c r="Q521" s="972">
        <v>208.89699999999999</v>
      </c>
      <c r="R521" s="962">
        <v>0</v>
      </c>
      <c r="S521" s="962" t="s">
        <v>4940</v>
      </c>
      <c r="T521" s="972">
        <v>193.41533333333336</v>
      </c>
    </row>
    <row r="522" spans="1:20">
      <c r="A522" s="962" t="s">
        <v>1070</v>
      </c>
      <c r="B522" s="972">
        <v>1186.0060000000001</v>
      </c>
      <c r="C522" s="972">
        <v>412.738</v>
      </c>
      <c r="D522" s="972">
        <v>0.66700000000000004</v>
      </c>
      <c r="E522" s="972">
        <v>47.317999999999998</v>
      </c>
      <c r="F522" s="972">
        <v>0.82499999999999996</v>
      </c>
      <c r="G522" s="972">
        <v>0</v>
      </c>
      <c r="H522" s="972">
        <v>0</v>
      </c>
      <c r="I522" s="972">
        <v>0.40300000000000002</v>
      </c>
      <c r="J522" s="972">
        <v>0</v>
      </c>
      <c r="K522" s="972">
        <v>0</v>
      </c>
      <c r="L522" s="972">
        <v>0</v>
      </c>
      <c r="M522" s="972">
        <v>0</v>
      </c>
      <c r="N522" s="972">
        <v>65.036000000000001</v>
      </c>
      <c r="O522" s="972">
        <v>66.263999999999996</v>
      </c>
      <c r="P522" s="972">
        <v>9.9659999999999993</v>
      </c>
      <c r="Q522" s="972">
        <v>1109.777</v>
      </c>
      <c r="R522" s="962">
        <v>0</v>
      </c>
      <c r="S522" s="962" t="s">
        <v>4940</v>
      </c>
      <c r="T522" s="972">
        <v>410.33116666666672</v>
      </c>
    </row>
    <row r="523" spans="1:20">
      <c r="A523" s="962" t="s">
        <v>1982</v>
      </c>
      <c r="B523" s="972">
        <v>379.97800000000001</v>
      </c>
      <c r="C523" s="972">
        <v>16.010999999999999</v>
      </c>
      <c r="D523" s="972">
        <v>0</v>
      </c>
      <c r="E523" s="972">
        <v>4.1879999999999997</v>
      </c>
      <c r="F523" s="972">
        <v>0.38300000000000001</v>
      </c>
      <c r="G523" s="972">
        <v>0</v>
      </c>
      <c r="H523" s="972">
        <v>0</v>
      </c>
      <c r="I523" s="972">
        <v>2.7170000000000001</v>
      </c>
      <c r="J523" s="972">
        <v>0</v>
      </c>
      <c r="K523" s="972">
        <v>0</v>
      </c>
      <c r="L523" s="972">
        <v>0</v>
      </c>
      <c r="M523" s="972">
        <v>0</v>
      </c>
      <c r="N523" s="972">
        <v>0</v>
      </c>
      <c r="O523" s="972">
        <v>3.1</v>
      </c>
      <c r="P523" s="972">
        <v>0</v>
      </c>
      <c r="Q523" s="972">
        <v>376.87799999999999</v>
      </c>
      <c r="R523" s="962">
        <v>21</v>
      </c>
      <c r="S523" s="962" t="s">
        <v>4940</v>
      </c>
      <c r="T523" s="972">
        <v>0</v>
      </c>
    </row>
    <row r="524" spans="1:20">
      <c r="A524" s="962" t="s">
        <v>1984</v>
      </c>
      <c r="B524" s="972">
        <v>82.771000000000001</v>
      </c>
      <c r="C524" s="972">
        <v>1.123</v>
      </c>
      <c r="D524" s="972">
        <v>0.54100000000000004</v>
      </c>
      <c r="E524" s="972">
        <v>5.5179999999999998</v>
      </c>
      <c r="F524" s="972">
        <v>0</v>
      </c>
      <c r="G524" s="972">
        <v>0</v>
      </c>
      <c r="H524" s="972">
        <v>0</v>
      </c>
      <c r="I524" s="972">
        <v>0</v>
      </c>
      <c r="J524" s="972">
        <v>0</v>
      </c>
      <c r="K524" s="972">
        <v>0</v>
      </c>
      <c r="L524" s="972">
        <v>0</v>
      </c>
      <c r="M524" s="972">
        <v>0</v>
      </c>
      <c r="N524" s="972">
        <v>0</v>
      </c>
      <c r="O524" s="972">
        <v>0</v>
      </c>
      <c r="P524" s="972">
        <v>50.731999999999999</v>
      </c>
      <c r="Q524" s="972">
        <v>32.037999999999997</v>
      </c>
      <c r="R524" s="962">
        <v>0</v>
      </c>
      <c r="S524" s="962" t="s">
        <v>4940</v>
      </c>
      <c r="T524" s="972">
        <v>76.368499999999997</v>
      </c>
    </row>
    <row r="525" spans="1:20">
      <c r="A525" s="962" t="s">
        <v>1076</v>
      </c>
      <c r="B525" s="972">
        <v>3936.6849999999999</v>
      </c>
      <c r="C525" s="972">
        <v>539.21900000000005</v>
      </c>
      <c r="D525" s="972">
        <v>0.41799999999999998</v>
      </c>
      <c r="E525" s="972">
        <v>19.536999999999999</v>
      </c>
      <c r="F525" s="972">
        <v>1.0509999999999999</v>
      </c>
      <c r="G525" s="972">
        <v>0</v>
      </c>
      <c r="H525" s="972">
        <v>0</v>
      </c>
      <c r="I525" s="972">
        <v>81.305999999999997</v>
      </c>
      <c r="J525" s="972">
        <v>0</v>
      </c>
      <c r="K525" s="972">
        <v>0</v>
      </c>
      <c r="L525" s="972">
        <v>0</v>
      </c>
      <c r="M525" s="972">
        <v>0</v>
      </c>
      <c r="N525" s="972">
        <v>0</v>
      </c>
      <c r="O525" s="972">
        <v>82.355999999999995</v>
      </c>
      <c r="P525" s="972">
        <v>0</v>
      </c>
      <c r="Q525" s="972">
        <v>3854.328</v>
      </c>
      <c r="R525" s="962">
        <v>0</v>
      </c>
      <c r="S525" s="962" t="s">
        <v>4940</v>
      </c>
      <c r="T525" s="972">
        <v>1345.5494999999996</v>
      </c>
    </row>
    <row r="526" spans="1:20">
      <c r="A526" s="962" t="s">
        <v>1986</v>
      </c>
      <c r="B526" s="972">
        <v>2561.1320000000001</v>
      </c>
      <c r="C526" s="972">
        <v>240.899</v>
      </c>
      <c r="D526" s="972">
        <v>0</v>
      </c>
      <c r="E526" s="972">
        <v>21.789000000000001</v>
      </c>
      <c r="F526" s="972">
        <v>0.93300000000000005</v>
      </c>
      <c r="G526" s="972">
        <v>0</v>
      </c>
      <c r="H526" s="972">
        <v>0</v>
      </c>
      <c r="I526" s="972">
        <v>11.930999999999999</v>
      </c>
      <c r="J526" s="972">
        <v>5.7000000000000002E-2</v>
      </c>
      <c r="K526" s="972">
        <v>0</v>
      </c>
      <c r="L526" s="972">
        <v>0</v>
      </c>
      <c r="M526" s="972">
        <v>0</v>
      </c>
      <c r="N526" s="972">
        <v>0</v>
      </c>
      <c r="O526" s="972">
        <v>12.922000000000001</v>
      </c>
      <c r="P526" s="972">
        <v>3.3250000000000002</v>
      </c>
      <c r="Q526" s="972">
        <v>2544.886</v>
      </c>
      <c r="R526" s="962">
        <v>219</v>
      </c>
      <c r="S526" s="962" t="s">
        <v>4940</v>
      </c>
      <c r="T526" s="972">
        <v>443.10433333333339</v>
      </c>
    </row>
    <row r="527" spans="1:20">
      <c r="A527" s="962" t="s">
        <v>1078</v>
      </c>
      <c r="B527" s="972">
        <v>416.48399999999998</v>
      </c>
      <c r="C527" s="972">
        <v>0</v>
      </c>
      <c r="D527" s="972">
        <v>0</v>
      </c>
      <c r="E527" s="972">
        <v>24.283999999999999</v>
      </c>
      <c r="F527" s="972">
        <v>0.26300000000000001</v>
      </c>
      <c r="G527" s="972">
        <v>0</v>
      </c>
      <c r="H527" s="972">
        <v>0</v>
      </c>
      <c r="I527" s="972">
        <v>0</v>
      </c>
      <c r="J527" s="972">
        <v>0</v>
      </c>
      <c r="K527" s="972">
        <v>0</v>
      </c>
      <c r="L527" s="972">
        <v>0</v>
      </c>
      <c r="M527" s="972">
        <v>0</v>
      </c>
      <c r="N527" s="972">
        <v>0</v>
      </c>
      <c r="O527" s="972">
        <v>0.26300000000000001</v>
      </c>
      <c r="P527" s="972">
        <v>0</v>
      </c>
      <c r="Q527" s="972">
        <v>416.221</v>
      </c>
      <c r="R527" s="962">
        <v>0</v>
      </c>
      <c r="S527" s="962" t="s">
        <v>4940</v>
      </c>
      <c r="T527" s="972">
        <v>0</v>
      </c>
    </row>
    <row r="528" spans="1:20">
      <c r="A528" s="962" t="s">
        <v>1080</v>
      </c>
      <c r="B528" s="972">
        <v>281.34199999999998</v>
      </c>
      <c r="C528" s="972">
        <v>0</v>
      </c>
      <c r="D528" s="972">
        <v>0</v>
      </c>
      <c r="E528" s="972">
        <v>0.155</v>
      </c>
      <c r="F528" s="972">
        <v>0.53100000000000003</v>
      </c>
      <c r="G528" s="972">
        <v>0</v>
      </c>
      <c r="H528" s="972">
        <v>0</v>
      </c>
      <c r="I528" s="972">
        <v>6.782</v>
      </c>
      <c r="J528" s="972">
        <v>1.879</v>
      </c>
      <c r="K528" s="972">
        <v>0</v>
      </c>
      <c r="L528" s="972">
        <v>0</v>
      </c>
      <c r="M528" s="972">
        <v>0</v>
      </c>
      <c r="N528" s="972">
        <v>27.571999999999999</v>
      </c>
      <c r="O528" s="972">
        <v>36.762999999999998</v>
      </c>
      <c r="P528" s="972">
        <v>0</v>
      </c>
      <c r="Q528" s="972">
        <v>244.57900000000001</v>
      </c>
      <c r="R528" s="962">
        <v>0</v>
      </c>
      <c r="S528" s="962" t="s">
        <v>4940</v>
      </c>
      <c r="T528" s="972">
        <v>0</v>
      </c>
    </row>
    <row r="529" spans="1:20">
      <c r="A529" s="962" t="s">
        <v>1082</v>
      </c>
      <c r="B529" s="972">
        <v>219.286</v>
      </c>
      <c r="C529" s="972">
        <v>64.786000000000001</v>
      </c>
      <c r="D529" s="972">
        <v>0</v>
      </c>
      <c r="E529" s="972">
        <v>5.6269999999999998</v>
      </c>
      <c r="F529" s="972">
        <v>0.34699999999999998</v>
      </c>
      <c r="G529" s="972">
        <v>0</v>
      </c>
      <c r="H529" s="972">
        <v>0</v>
      </c>
      <c r="I529" s="972">
        <v>7.7960000000000003</v>
      </c>
      <c r="J529" s="972">
        <v>0.443</v>
      </c>
      <c r="K529" s="972">
        <v>0</v>
      </c>
      <c r="L529" s="972">
        <v>0</v>
      </c>
      <c r="M529" s="972">
        <v>0</v>
      </c>
      <c r="N529" s="972">
        <v>0</v>
      </c>
      <c r="O529" s="972">
        <v>8.5860000000000003</v>
      </c>
      <c r="P529" s="972">
        <v>0</v>
      </c>
      <c r="Q529" s="972">
        <v>210.70099999999999</v>
      </c>
      <c r="R529" s="962">
        <v>0</v>
      </c>
      <c r="S529" s="962" t="s">
        <v>4940</v>
      </c>
      <c r="T529" s="972">
        <v>0</v>
      </c>
    </row>
    <row r="530" spans="1:20">
      <c r="A530" s="962" t="s">
        <v>1084</v>
      </c>
      <c r="B530" s="972">
        <v>443.67700000000002</v>
      </c>
      <c r="C530" s="972">
        <v>0</v>
      </c>
      <c r="D530" s="972">
        <v>0</v>
      </c>
      <c r="E530" s="972">
        <v>8.7479999999999993</v>
      </c>
      <c r="F530" s="972">
        <v>0.39100000000000001</v>
      </c>
      <c r="G530" s="972">
        <v>0</v>
      </c>
      <c r="H530" s="972">
        <v>0</v>
      </c>
      <c r="I530" s="972">
        <v>10.632</v>
      </c>
      <c r="J530" s="972">
        <v>9.6000000000000002E-2</v>
      </c>
      <c r="K530" s="972">
        <v>0</v>
      </c>
      <c r="L530" s="972">
        <v>0</v>
      </c>
      <c r="M530" s="972">
        <v>0</v>
      </c>
      <c r="N530" s="972">
        <v>0</v>
      </c>
      <c r="O530" s="972">
        <v>11.121</v>
      </c>
      <c r="P530" s="972">
        <v>0</v>
      </c>
      <c r="Q530" s="972">
        <v>432.55599999999998</v>
      </c>
      <c r="R530" s="962">
        <v>0</v>
      </c>
      <c r="S530" s="962" t="s">
        <v>4940</v>
      </c>
      <c r="T530" s="972">
        <v>0</v>
      </c>
    </row>
    <row r="531" spans="1:20">
      <c r="A531" s="962" t="s">
        <v>1086</v>
      </c>
      <c r="B531" s="972">
        <v>139.762</v>
      </c>
      <c r="C531" s="972">
        <v>34.526000000000003</v>
      </c>
      <c r="D531" s="972">
        <v>0</v>
      </c>
      <c r="E531" s="972">
        <v>7.5659999999999998</v>
      </c>
      <c r="F531" s="972">
        <v>7.0000000000000007E-2</v>
      </c>
      <c r="G531" s="972">
        <v>0</v>
      </c>
      <c r="H531" s="972">
        <v>4.0629999999999997</v>
      </c>
      <c r="I531" s="972">
        <v>0</v>
      </c>
      <c r="J531" s="972">
        <v>0</v>
      </c>
      <c r="K531" s="972">
        <v>0</v>
      </c>
      <c r="L531" s="972">
        <v>0</v>
      </c>
      <c r="M531" s="972">
        <v>0</v>
      </c>
      <c r="N531" s="972">
        <v>0</v>
      </c>
      <c r="O531" s="972">
        <v>4.133</v>
      </c>
      <c r="P531" s="972">
        <v>0</v>
      </c>
      <c r="Q531" s="972">
        <v>135.62899999999999</v>
      </c>
      <c r="R531" s="962">
        <v>0</v>
      </c>
      <c r="S531" s="962" t="s">
        <v>4940</v>
      </c>
      <c r="T531" s="972">
        <v>10.187333333333331</v>
      </c>
    </row>
    <row r="532" spans="1:20">
      <c r="A532" s="962" t="s">
        <v>1088</v>
      </c>
      <c r="B532" s="972">
        <v>59.128999999999998</v>
      </c>
      <c r="C532" s="972">
        <v>2.5609999999999999</v>
      </c>
      <c r="D532" s="972">
        <v>0</v>
      </c>
      <c r="E532" s="972">
        <v>4.5389999999999997</v>
      </c>
      <c r="F532" s="972">
        <v>3.7999999999999999E-2</v>
      </c>
      <c r="G532" s="972">
        <v>0</v>
      </c>
      <c r="H532" s="972">
        <v>0</v>
      </c>
      <c r="I532" s="972">
        <v>0</v>
      </c>
      <c r="J532" s="972">
        <v>0</v>
      </c>
      <c r="K532" s="972">
        <v>0</v>
      </c>
      <c r="L532" s="972">
        <v>0</v>
      </c>
      <c r="M532" s="972">
        <v>0</v>
      </c>
      <c r="N532" s="972">
        <v>0</v>
      </c>
      <c r="O532" s="972">
        <v>3.7999999999999999E-2</v>
      </c>
      <c r="P532" s="972">
        <v>3.4940000000000002</v>
      </c>
      <c r="Q532" s="972">
        <v>55.597000000000001</v>
      </c>
      <c r="R532" s="962">
        <v>0</v>
      </c>
      <c r="S532" s="962" t="s">
        <v>4940</v>
      </c>
      <c r="T532" s="972">
        <v>31.588333333333335</v>
      </c>
    </row>
    <row r="533" spans="1:20">
      <c r="A533" s="962" t="s">
        <v>1090</v>
      </c>
      <c r="B533" s="972">
        <v>1090.6500000000001</v>
      </c>
      <c r="C533" s="972">
        <v>573.68200000000002</v>
      </c>
      <c r="D533" s="972">
        <v>0</v>
      </c>
      <c r="E533" s="972">
        <v>3.831</v>
      </c>
      <c r="F533" s="972">
        <v>2.6379999999999999</v>
      </c>
      <c r="G533" s="972">
        <v>0</v>
      </c>
      <c r="H533" s="972">
        <v>0</v>
      </c>
      <c r="I533" s="972">
        <v>5.72</v>
      </c>
      <c r="J533" s="972">
        <v>0.124</v>
      </c>
      <c r="K533" s="972">
        <v>0</v>
      </c>
      <c r="L533" s="972">
        <v>0</v>
      </c>
      <c r="M533" s="972">
        <v>0</v>
      </c>
      <c r="N533" s="972">
        <v>0</v>
      </c>
      <c r="O533" s="972">
        <v>8.4819999999999993</v>
      </c>
      <c r="P533" s="972">
        <v>0</v>
      </c>
      <c r="Q533" s="972">
        <v>1082.1679999999999</v>
      </c>
      <c r="R533" s="962">
        <v>0</v>
      </c>
      <c r="S533" s="962" t="s">
        <v>4940</v>
      </c>
      <c r="T533" s="972">
        <v>0</v>
      </c>
    </row>
    <row r="534" spans="1:20">
      <c r="A534" s="962" t="s">
        <v>1092</v>
      </c>
      <c r="B534" s="972">
        <v>163.68100000000001</v>
      </c>
      <c r="C534" s="972">
        <v>0</v>
      </c>
      <c r="D534" s="972">
        <v>1.865</v>
      </c>
      <c r="E534" s="972">
        <v>11.781000000000001</v>
      </c>
      <c r="F534" s="972">
        <v>0</v>
      </c>
      <c r="G534" s="972">
        <v>0</v>
      </c>
      <c r="H534" s="972">
        <v>0</v>
      </c>
      <c r="I534" s="972">
        <v>0</v>
      </c>
      <c r="J534" s="972">
        <v>0</v>
      </c>
      <c r="K534" s="972">
        <v>0</v>
      </c>
      <c r="L534" s="972">
        <v>0</v>
      </c>
      <c r="M534" s="972">
        <v>0</v>
      </c>
      <c r="N534" s="972">
        <v>0</v>
      </c>
      <c r="O534" s="972">
        <v>0</v>
      </c>
      <c r="P534" s="972">
        <v>9.0649999999999995</v>
      </c>
      <c r="Q534" s="972">
        <v>154.61600000000001</v>
      </c>
      <c r="R534" s="962">
        <v>0</v>
      </c>
      <c r="S534" s="962" t="s">
        <v>4940</v>
      </c>
      <c r="T534" s="972">
        <v>163.67733333333334</v>
      </c>
    </row>
    <row r="535" spans="1:20">
      <c r="A535" s="962" t="s">
        <v>1094</v>
      </c>
      <c r="B535" s="972">
        <v>180.60400000000001</v>
      </c>
      <c r="C535" s="972">
        <v>0</v>
      </c>
      <c r="D535" s="972">
        <v>0</v>
      </c>
      <c r="E535" s="972">
        <v>0.82699999999999996</v>
      </c>
      <c r="F535" s="972">
        <v>0.27600000000000002</v>
      </c>
      <c r="G535" s="972">
        <v>0</v>
      </c>
      <c r="H535" s="972">
        <v>0</v>
      </c>
      <c r="I535" s="972">
        <v>2.7490000000000001</v>
      </c>
      <c r="J535" s="972">
        <v>0</v>
      </c>
      <c r="K535" s="972">
        <v>0</v>
      </c>
      <c r="L535" s="972">
        <v>0</v>
      </c>
      <c r="M535" s="972">
        <v>0</v>
      </c>
      <c r="N535" s="972">
        <v>0</v>
      </c>
      <c r="O535" s="972">
        <v>3.024</v>
      </c>
      <c r="P535" s="972">
        <v>0</v>
      </c>
      <c r="Q535" s="972">
        <v>177.57900000000001</v>
      </c>
      <c r="R535" s="962">
        <v>0</v>
      </c>
      <c r="S535" s="962" t="s">
        <v>4940</v>
      </c>
      <c r="T535" s="972">
        <v>0</v>
      </c>
    </row>
    <row r="536" spans="1:20">
      <c r="A536" s="962" t="s">
        <v>1096</v>
      </c>
      <c r="B536" s="972">
        <v>260.05799999999999</v>
      </c>
      <c r="C536" s="972">
        <v>200.58600000000001</v>
      </c>
      <c r="D536" s="972">
        <v>0</v>
      </c>
      <c r="E536" s="972">
        <v>0</v>
      </c>
      <c r="F536" s="972">
        <v>0.21199999999999999</v>
      </c>
      <c r="G536" s="972">
        <v>0</v>
      </c>
      <c r="H536" s="972">
        <v>0</v>
      </c>
      <c r="I536" s="972">
        <v>4.6639999999999997</v>
      </c>
      <c r="J536" s="972">
        <v>0</v>
      </c>
      <c r="K536" s="972">
        <v>0</v>
      </c>
      <c r="L536" s="972">
        <v>0</v>
      </c>
      <c r="M536" s="972">
        <v>0</v>
      </c>
      <c r="N536" s="972">
        <v>0</v>
      </c>
      <c r="O536" s="972">
        <v>4.8769999999999998</v>
      </c>
      <c r="P536" s="972">
        <v>0</v>
      </c>
      <c r="Q536" s="972">
        <v>255.18199999999999</v>
      </c>
      <c r="R536" s="962">
        <v>6</v>
      </c>
      <c r="S536" s="962" t="s">
        <v>4940</v>
      </c>
      <c r="T536" s="972">
        <v>0</v>
      </c>
    </row>
    <row r="537" spans="1:20">
      <c r="A537" s="962" t="s">
        <v>171</v>
      </c>
      <c r="B537" s="972">
        <v>2632.692</v>
      </c>
      <c r="C537" s="972">
        <v>188.44499999999999</v>
      </c>
      <c r="D537" s="972">
        <v>0</v>
      </c>
      <c r="E537" s="972">
        <v>26.949000000000002</v>
      </c>
      <c r="F537" s="972">
        <v>1.359</v>
      </c>
      <c r="G537" s="972">
        <v>0</v>
      </c>
      <c r="H537" s="972">
        <v>0</v>
      </c>
      <c r="I537" s="972">
        <v>6.1820000000000004</v>
      </c>
      <c r="J537" s="972">
        <v>0.36499999999999999</v>
      </c>
      <c r="K537" s="972">
        <v>0</v>
      </c>
      <c r="L537" s="972">
        <v>0</v>
      </c>
      <c r="M537" s="972">
        <v>0</v>
      </c>
      <c r="N537" s="972">
        <v>0</v>
      </c>
      <c r="O537" s="972">
        <v>7.9039999999999999</v>
      </c>
      <c r="P537" s="972">
        <v>0</v>
      </c>
      <c r="Q537" s="972">
        <v>2624.7869999999998</v>
      </c>
      <c r="R537" s="962">
        <v>334</v>
      </c>
      <c r="S537" s="962" t="s">
        <v>4940</v>
      </c>
      <c r="T537" s="972">
        <v>293.07283333333334</v>
      </c>
    </row>
    <row r="538" spans="1:20">
      <c r="A538" s="962" t="s">
        <v>172</v>
      </c>
      <c r="B538" s="972">
        <v>229.48</v>
      </c>
      <c r="C538" s="972">
        <v>93.88</v>
      </c>
      <c r="D538" s="972">
        <v>0</v>
      </c>
      <c r="E538" s="972">
        <v>8.6579999999999995</v>
      </c>
      <c r="F538" s="972">
        <v>0.184</v>
      </c>
      <c r="G538" s="972">
        <v>0</v>
      </c>
      <c r="H538" s="972">
        <v>0</v>
      </c>
      <c r="I538" s="972">
        <v>5.7889999999999997</v>
      </c>
      <c r="J538" s="972">
        <v>0</v>
      </c>
      <c r="K538" s="972">
        <v>0</v>
      </c>
      <c r="L538" s="972">
        <v>0</v>
      </c>
      <c r="M538" s="972">
        <v>0</v>
      </c>
      <c r="N538" s="972">
        <v>0</v>
      </c>
      <c r="O538" s="972">
        <v>5.9729999999999999</v>
      </c>
      <c r="P538" s="972">
        <v>0</v>
      </c>
      <c r="Q538" s="972">
        <v>223.50700000000001</v>
      </c>
      <c r="R538" s="962">
        <v>0</v>
      </c>
      <c r="S538" s="962" t="s">
        <v>4940</v>
      </c>
      <c r="T538" s="972">
        <v>0</v>
      </c>
    </row>
    <row r="539" spans="1:20">
      <c r="A539" s="962" t="s">
        <v>173</v>
      </c>
      <c r="B539" s="972">
        <v>988.82299999999998</v>
      </c>
      <c r="C539" s="972">
        <v>50.075000000000003</v>
      </c>
      <c r="D539" s="972">
        <v>0</v>
      </c>
      <c r="E539" s="972">
        <v>32.054000000000002</v>
      </c>
      <c r="F539" s="972">
        <v>0.34100000000000003</v>
      </c>
      <c r="G539" s="972">
        <v>0</v>
      </c>
      <c r="H539" s="972">
        <v>0</v>
      </c>
      <c r="I539" s="972">
        <v>6.274</v>
      </c>
      <c r="J539" s="972">
        <v>0</v>
      </c>
      <c r="K539" s="972">
        <v>0</v>
      </c>
      <c r="L539" s="972">
        <v>0</v>
      </c>
      <c r="M539" s="972">
        <v>0</v>
      </c>
      <c r="N539" s="972">
        <v>0</v>
      </c>
      <c r="O539" s="972">
        <v>6.6150000000000002</v>
      </c>
      <c r="P539" s="972">
        <v>0</v>
      </c>
      <c r="Q539" s="972">
        <v>982.20799999999997</v>
      </c>
      <c r="R539" s="962">
        <v>0</v>
      </c>
      <c r="S539" s="962" t="s">
        <v>4940</v>
      </c>
      <c r="T539" s="972">
        <v>122.68133333333334</v>
      </c>
    </row>
    <row r="540" spans="1:20">
      <c r="A540" s="962" t="s">
        <v>174</v>
      </c>
      <c r="B540" s="972">
        <v>262.84800000000001</v>
      </c>
      <c r="C540" s="972">
        <v>0</v>
      </c>
      <c r="D540" s="972">
        <v>0</v>
      </c>
      <c r="E540" s="972">
        <v>0.93799999999999994</v>
      </c>
      <c r="F540" s="972">
        <v>0.77600000000000002</v>
      </c>
      <c r="G540" s="972">
        <v>0</v>
      </c>
      <c r="H540" s="972">
        <v>0</v>
      </c>
      <c r="I540" s="972">
        <v>2.34</v>
      </c>
      <c r="J540" s="972">
        <v>0</v>
      </c>
      <c r="K540" s="972">
        <v>0</v>
      </c>
      <c r="L540" s="972">
        <v>0</v>
      </c>
      <c r="M540" s="972">
        <v>0</v>
      </c>
      <c r="N540" s="972">
        <v>0</v>
      </c>
      <c r="O540" s="972">
        <v>3.1160000000000001</v>
      </c>
      <c r="P540" s="972">
        <v>0</v>
      </c>
      <c r="Q540" s="972">
        <v>259.73200000000003</v>
      </c>
      <c r="R540" s="962">
        <v>70</v>
      </c>
      <c r="S540" s="962" t="s">
        <v>4940</v>
      </c>
      <c r="T540" s="972">
        <v>0</v>
      </c>
    </row>
    <row r="541" spans="1:20">
      <c r="A541" s="962" t="s">
        <v>7798</v>
      </c>
      <c r="B541" s="972">
        <v>597.34199999999998</v>
      </c>
      <c r="C541" s="972">
        <v>43.456000000000003</v>
      </c>
      <c r="D541" s="972">
        <v>0</v>
      </c>
      <c r="E541" s="972">
        <v>1.9490000000000001</v>
      </c>
      <c r="F541" s="972">
        <v>0.221</v>
      </c>
      <c r="G541" s="972">
        <v>0</v>
      </c>
      <c r="H541" s="972">
        <v>0</v>
      </c>
      <c r="I541" s="972">
        <v>0.32900000000000001</v>
      </c>
      <c r="J541" s="972">
        <v>0</v>
      </c>
      <c r="K541" s="972">
        <v>0</v>
      </c>
      <c r="L541" s="972">
        <v>0</v>
      </c>
      <c r="M541" s="972">
        <v>0</v>
      </c>
      <c r="N541" s="972">
        <v>0</v>
      </c>
      <c r="O541" s="972">
        <v>0.54900000000000004</v>
      </c>
      <c r="P541" s="972">
        <v>0</v>
      </c>
      <c r="Q541" s="972">
        <v>596.79300000000001</v>
      </c>
      <c r="R541" s="962">
        <v>45</v>
      </c>
      <c r="S541" s="962" t="s">
        <v>4940</v>
      </c>
      <c r="T541" s="972">
        <v>0</v>
      </c>
    </row>
    <row r="542" spans="1:20">
      <c r="A542" s="962" t="s">
        <v>8045</v>
      </c>
      <c r="B542" s="972">
        <v>49.44</v>
      </c>
      <c r="C542" s="972">
        <v>0.96699999999999997</v>
      </c>
      <c r="D542" s="972">
        <v>0</v>
      </c>
      <c r="E542" s="972">
        <v>0</v>
      </c>
      <c r="F542" s="972">
        <v>0</v>
      </c>
      <c r="G542" s="972">
        <v>0</v>
      </c>
      <c r="H542" s="972">
        <v>0</v>
      </c>
      <c r="I542" s="972">
        <v>0</v>
      </c>
      <c r="J542" s="972">
        <v>0</v>
      </c>
      <c r="K542" s="972">
        <v>0</v>
      </c>
      <c r="L542" s="972">
        <v>0</v>
      </c>
      <c r="M542" s="972">
        <v>0</v>
      </c>
      <c r="N542" s="972">
        <v>0</v>
      </c>
      <c r="O542" s="972">
        <v>0</v>
      </c>
      <c r="P542" s="972">
        <v>0</v>
      </c>
      <c r="Q542" s="972">
        <v>49.44</v>
      </c>
      <c r="R542" s="962">
        <v>0</v>
      </c>
      <c r="S542" s="962" t="s">
        <v>4940</v>
      </c>
      <c r="T542" s="972">
        <v>0</v>
      </c>
    </row>
    <row r="543" spans="1:20">
      <c r="A543" s="962" t="s">
        <v>8077</v>
      </c>
      <c r="B543" s="972">
        <v>223.12799999999999</v>
      </c>
      <c r="C543" s="972">
        <v>2.581</v>
      </c>
      <c r="D543" s="972">
        <v>0.308</v>
      </c>
      <c r="E543" s="972">
        <v>9.3819999999999997</v>
      </c>
      <c r="F543" s="972">
        <v>4.3999999999999997E-2</v>
      </c>
      <c r="G543" s="972">
        <v>0</v>
      </c>
      <c r="H543" s="972">
        <v>0</v>
      </c>
      <c r="I543" s="972">
        <v>6.1769999999999996</v>
      </c>
      <c r="J543" s="972">
        <v>0.44500000000000001</v>
      </c>
      <c r="K543" s="972">
        <v>0</v>
      </c>
      <c r="L543" s="972">
        <v>0</v>
      </c>
      <c r="M543" s="972">
        <v>0</v>
      </c>
      <c r="N543" s="972">
        <v>0</v>
      </c>
      <c r="O543" s="972">
        <v>6.6660000000000004</v>
      </c>
      <c r="P543" s="972">
        <v>5.1609999999999996</v>
      </c>
      <c r="Q543" s="972">
        <v>211.30199999999999</v>
      </c>
      <c r="R543" s="962">
        <v>0</v>
      </c>
      <c r="S543" s="962" t="s">
        <v>4940</v>
      </c>
      <c r="T543" s="972">
        <v>104.9075</v>
      </c>
    </row>
    <row r="544" spans="1:20">
      <c r="A544" s="962" t="s">
        <v>819</v>
      </c>
      <c r="B544" s="972">
        <v>57552.356</v>
      </c>
      <c r="C544" s="972">
        <v>16877.493999999999</v>
      </c>
      <c r="D544" s="972">
        <v>24.277999999999999</v>
      </c>
      <c r="E544" s="972">
        <v>1745.07</v>
      </c>
      <c r="F544" s="972">
        <v>61.713999999999999</v>
      </c>
      <c r="G544" s="972">
        <v>1.766</v>
      </c>
      <c r="H544" s="972">
        <v>0</v>
      </c>
      <c r="I544" s="972">
        <v>344.71899999999999</v>
      </c>
      <c r="J544" s="972">
        <v>331.89400000000001</v>
      </c>
      <c r="K544" s="972">
        <v>50.015000000000001</v>
      </c>
      <c r="L544" s="972">
        <v>2.73</v>
      </c>
      <c r="M544" s="972">
        <v>0</v>
      </c>
      <c r="N544" s="972">
        <v>35.959000000000003</v>
      </c>
      <c r="O544" s="972">
        <v>828.79399999999998</v>
      </c>
      <c r="P544" s="972">
        <v>2353.2840000000001</v>
      </c>
      <c r="Q544" s="972">
        <v>54370.279000000002</v>
      </c>
      <c r="R544" s="962">
        <v>2930</v>
      </c>
      <c r="S544" s="962" t="s">
        <v>4940</v>
      </c>
      <c r="T544" s="972">
        <v>13666.258666666665</v>
      </c>
    </row>
    <row r="545" spans="1:20">
      <c r="A545" s="962" t="s">
        <v>3887</v>
      </c>
      <c r="B545" s="972">
        <v>41995.555</v>
      </c>
      <c r="C545" s="972">
        <v>14774.74</v>
      </c>
      <c r="D545" s="972">
        <v>16.187999999999999</v>
      </c>
      <c r="E545" s="972">
        <v>1008.1319999999999</v>
      </c>
      <c r="F545" s="972">
        <v>60.165999999999997</v>
      </c>
      <c r="G545" s="972">
        <v>2.157</v>
      </c>
      <c r="H545" s="972">
        <v>1.0449999999999999</v>
      </c>
      <c r="I545" s="972">
        <v>468.80200000000002</v>
      </c>
      <c r="J545" s="972">
        <v>343.245</v>
      </c>
      <c r="K545" s="972">
        <v>16.138999999999999</v>
      </c>
      <c r="L545" s="972">
        <v>33.01</v>
      </c>
      <c r="M545" s="972">
        <v>0</v>
      </c>
      <c r="N545" s="972">
        <v>14.45</v>
      </c>
      <c r="O545" s="972">
        <v>939.01199999999994</v>
      </c>
      <c r="P545" s="972">
        <v>1279.0650000000001</v>
      </c>
      <c r="Q545" s="972">
        <v>39777.478000000003</v>
      </c>
      <c r="R545" s="962">
        <v>2081</v>
      </c>
      <c r="S545" s="962" t="s">
        <v>4940</v>
      </c>
      <c r="T545" s="972">
        <v>11094.412166666669</v>
      </c>
    </row>
    <row r="546" spans="1:20">
      <c r="A546" s="962" t="s">
        <v>1988</v>
      </c>
      <c r="B546" s="972">
        <v>8058.6629999999996</v>
      </c>
      <c r="C546" s="972">
        <v>1895.5239999999999</v>
      </c>
      <c r="D546" s="972">
        <v>4.2889999999999997</v>
      </c>
      <c r="E546" s="972">
        <v>185.77500000000001</v>
      </c>
      <c r="F546" s="972">
        <v>10.840999999999999</v>
      </c>
      <c r="G546" s="972">
        <v>1.3580000000000001</v>
      </c>
      <c r="H546" s="972">
        <v>0</v>
      </c>
      <c r="I546" s="972">
        <v>122.377</v>
      </c>
      <c r="J546" s="972">
        <v>53.752000000000002</v>
      </c>
      <c r="K546" s="972">
        <v>3.7130000000000001</v>
      </c>
      <c r="L546" s="972">
        <v>12.444000000000001</v>
      </c>
      <c r="M546" s="972">
        <v>0</v>
      </c>
      <c r="N546" s="972">
        <v>2.3919999999999999</v>
      </c>
      <c r="O546" s="972">
        <v>206.87299999999999</v>
      </c>
      <c r="P546" s="972">
        <v>349.66399999999999</v>
      </c>
      <c r="Q546" s="972">
        <v>7502.125</v>
      </c>
      <c r="R546" s="962">
        <v>332</v>
      </c>
      <c r="S546" s="962" t="s">
        <v>4940</v>
      </c>
      <c r="T546" s="972">
        <v>2108.2374999999997</v>
      </c>
    </row>
    <row r="547" spans="1:20">
      <c r="A547" s="962" t="s">
        <v>245</v>
      </c>
      <c r="B547" s="972">
        <v>4730.277</v>
      </c>
      <c r="C547" s="972">
        <v>178.417</v>
      </c>
      <c r="D547" s="972">
        <v>0</v>
      </c>
      <c r="E547" s="972">
        <v>148.25299999999999</v>
      </c>
      <c r="F547" s="972">
        <v>5.2709999999999999</v>
      </c>
      <c r="G547" s="972">
        <v>0.26700000000000002</v>
      </c>
      <c r="H547" s="972">
        <v>0</v>
      </c>
      <c r="I547" s="972">
        <v>55.014000000000003</v>
      </c>
      <c r="J547" s="972">
        <v>30.186</v>
      </c>
      <c r="K547" s="972">
        <v>2.2989999999999999</v>
      </c>
      <c r="L547" s="972">
        <v>2.4969999999999999</v>
      </c>
      <c r="M547" s="972">
        <v>0</v>
      </c>
      <c r="N547" s="972">
        <v>8.6999999999999994E-2</v>
      </c>
      <c r="O547" s="972">
        <v>95.619</v>
      </c>
      <c r="P547" s="972">
        <v>147.06299999999999</v>
      </c>
      <c r="Q547" s="972">
        <v>4487.5950000000003</v>
      </c>
      <c r="R547" s="962">
        <v>207</v>
      </c>
      <c r="S547" s="962" t="s">
        <v>4940</v>
      </c>
      <c r="T547" s="972">
        <v>1365.9871666666668</v>
      </c>
    </row>
    <row r="548" spans="1:20">
      <c r="A548" s="962" t="s">
        <v>1990</v>
      </c>
      <c r="B548" s="972">
        <v>99504.205000000002</v>
      </c>
      <c r="C548" s="972">
        <v>14834.915000000001</v>
      </c>
      <c r="D548" s="972">
        <v>22.123000000000001</v>
      </c>
      <c r="E548" s="972">
        <v>2554.5709999999999</v>
      </c>
      <c r="F548" s="972">
        <v>160.87</v>
      </c>
      <c r="G548" s="972">
        <v>5.0270000000000001</v>
      </c>
      <c r="H548" s="972">
        <v>0</v>
      </c>
      <c r="I548" s="972">
        <v>723.55899999999997</v>
      </c>
      <c r="J548" s="972">
        <v>747.27399999999989</v>
      </c>
      <c r="K548" s="972">
        <v>38.965000000000003</v>
      </c>
      <c r="L548" s="972">
        <v>38.470999999999997</v>
      </c>
      <c r="M548" s="972">
        <v>0</v>
      </c>
      <c r="N548" s="972">
        <v>17.856000000000002</v>
      </c>
      <c r="O548" s="972">
        <v>1732.021</v>
      </c>
      <c r="P548" s="972">
        <v>3238.6439999999998</v>
      </c>
      <c r="Q548" s="972">
        <v>94533.540999999997</v>
      </c>
      <c r="R548" s="962">
        <v>4745</v>
      </c>
      <c r="S548" s="962" t="s">
        <v>4940</v>
      </c>
      <c r="T548" s="972">
        <v>27894.297000000006</v>
      </c>
    </row>
    <row r="549" spans="1:20">
      <c r="A549" s="962" t="s">
        <v>2115</v>
      </c>
      <c r="B549" s="972">
        <v>11805.504000000001</v>
      </c>
      <c r="C549" s="972">
        <v>1115.5909999999999</v>
      </c>
      <c r="D549" s="972">
        <v>3.3279999999999998</v>
      </c>
      <c r="E549" s="972">
        <v>471.11900000000003</v>
      </c>
      <c r="F549" s="972">
        <v>19.956</v>
      </c>
      <c r="G549" s="972">
        <v>0.54400000000000004</v>
      </c>
      <c r="H549" s="972">
        <v>0</v>
      </c>
      <c r="I549" s="972">
        <v>202.11</v>
      </c>
      <c r="J549" s="972">
        <v>68.411999999999992</v>
      </c>
      <c r="K549" s="972">
        <v>2.7559999999999998</v>
      </c>
      <c r="L549" s="972">
        <v>3.01</v>
      </c>
      <c r="M549" s="972">
        <v>0</v>
      </c>
      <c r="N549" s="972">
        <v>0</v>
      </c>
      <c r="O549" s="972">
        <v>296.786</v>
      </c>
      <c r="P549" s="972">
        <v>461.21899999999999</v>
      </c>
      <c r="Q549" s="972">
        <v>11047.499</v>
      </c>
      <c r="R549" s="962">
        <v>869</v>
      </c>
      <c r="S549" s="962" t="s">
        <v>4940</v>
      </c>
      <c r="T549" s="972">
        <v>3514.8075000000003</v>
      </c>
    </row>
    <row r="550" spans="1:20">
      <c r="A550" s="962" t="s">
        <v>6184</v>
      </c>
      <c r="B550" s="972">
        <v>6963.4179999999997</v>
      </c>
      <c r="C550" s="972">
        <v>942.24900000000002</v>
      </c>
      <c r="D550" s="972">
        <v>2.778</v>
      </c>
      <c r="E550" s="972">
        <v>160.751</v>
      </c>
      <c r="F550" s="972">
        <v>9.2170000000000005</v>
      </c>
      <c r="G550" s="972">
        <v>1.292</v>
      </c>
      <c r="H550" s="972">
        <v>0</v>
      </c>
      <c r="I550" s="972">
        <v>82.950999999999993</v>
      </c>
      <c r="J550" s="972">
        <v>65.967999999999989</v>
      </c>
      <c r="K550" s="972">
        <v>7.3620000000000001</v>
      </c>
      <c r="L550" s="972">
        <v>0</v>
      </c>
      <c r="M550" s="972">
        <v>0</v>
      </c>
      <c r="N550" s="972">
        <v>3.077</v>
      </c>
      <c r="O550" s="972">
        <v>169.86500000000001</v>
      </c>
      <c r="P550" s="972">
        <v>214.553</v>
      </c>
      <c r="Q550" s="972">
        <v>6579.0010000000002</v>
      </c>
      <c r="R550" s="962">
        <v>229</v>
      </c>
      <c r="S550" s="962" t="s">
        <v>4940</v>
      </c>
      <c r="T550" s="972">
        <v>1296.672</v>
      </c>
    </row>
    <row r="551" spans="1:20">
      <c r="A551" s="962" t="s">
        <v>1315</v>
      </c>
      <c r="B551" s="972">
        <v>20118.934000000001</v>
      </c>
      <c r="C551" s="972">
        <v>5337.2960000000003</v>
      </c>
      <c r="D551" s="972">
        <v>11.44</v>
      </c>
      <c r="E551" s="972">
        <v>662.21199999999999</v>
      </c>
      <c r="F551" s="972">
        <v>20.797000000000001</v>
      </c>
      <c r="G551" s="972">
        <v>1.841</v>
      </c>
      <c r="H551" s="972">
        <v>0</v>
      </c>
      <c r="I551" s="972">
        <v>243.917</v>
      </c>
      <c r="J551" s="972">
        <v>120.398</v>
      </c>
      <c r="K551" s="972">
        <v>2.246</v>
      </c>
      <c r="L551" s="972">
        <v>54.543999999999997</v>
      </c>
      <c r="M551" s="972">
        <v>0</v>
      </c>
      <c r="N551" s="972">
        <v>0</v>
      </c>
      <c r="O551" s="972">
        <v>443.74299999999999</v>
      </c>
      <c r="P551" s="972">
        <v>1379.1679999999999</v>
      </c>
      <c r="Q551" s="972">
        <v>18296.023000000001</v>
      </c>
      <c r="R551" s="962">
        <v>1288</v>
      </c>
      <c r="S551" s="962" t="s">
        <v>4940</v>
      </c>
      <c r="T551" s="972">
        <v>5821.5516666666672</v>
      </c>
    </row>
    <row r="552" spans="1:20">
      <c r="A552" s="962" t="s">
        <v>5622</v>
      </c>
      <c r="B552" s="972">
        <v>19744.383999999998</v>
      </c>
      <c r="C552" s="972">
        <v>2037.9290000000001</v>
      </c>
      <c r="D552" s="972">
        <v>9.8629999999999995</v>
      </c>
      <c r="E552" s="972">
        <v>740.49699999999996</v>
      </c>
      <c r="F552" s="972">
        <v>30.084</v>
      </c>
      <c r="G552" s="972">
        <v>1.587</v>
      </c>
      <c r="H552" s="972">
        <v>0</v>
      </c>
      <c r="I552" s="972">
        <v>201.16499999999999</v>
      </c>
      <c r="J552" s="972">
        <v>169.22300000000001</v>
      </c>
      <c r="K552" s="972">
        <v>0.50800000000000001</v>
      </c>
      <c r="L552" s="972">
        <v>12.978</v>
      </c>
      <c r="M552" s="972">
        <v>0</v>
      </c>
      <c r="N552" s="972">
        <v>2.698</v>
      </c>
      <c r="O552" s="972">
        <v>418.24</v>
      </c>
      <c r="P552" s="972">
        <v>979.35</v>
      </c>
      <c r="Q552" s="972">
        <v>18346.794000000002</v>
      </c>
      <c r="R552" s="962">
        <v>1426</v>
      </c>
      <c r="S552" s="962" t="s">
        <v>3902</v>
      </c>
      <c r="T552" s="972">
        <v>5462.3732499999996</v>
      </c>
    </row>
    <row r="553" spans="1:20">
      <c r="A553" s="962" t="s">
        <v>5624</v>
      </c>
      <c r="B553" s="972">
        <v>185773.033</v>
      </c>
      <c r="C553" s="972">
        <v>51558.175999999999</v>
      </c>
      <c r="D553" s="972">
        <v>58.125999999999998</v>
      </c>
      <c r="E553" s="972">
        <v>4140.4989999999998</v>
      </c>
      <c r="F553" s="972">
        <v>198.28100000000001</v>
      </c>
      <c r="G553" s="972">
        <v>1.93</v>
      </c>
      <c r="H553" s="972">
        <v>12.327</v>
      </c>
      <c r="I553" s="972">
        <v>2503.6909999999998</v>
      </c>
      <c r="J553" s="972">
        <v>1586.183</v>
      </c>
      <c r="K553" s="972">
        <v>42.993000000000002</v>
      </c>
      <c r="L553" s="972">
        <v>62.061999999999998</v>
      </c>
      <c r="M553" s="972">
        <v>0</v>
      </c>
      <c r="N553" s="972">
        <v>44.834000000000003</v>
      </c>
      <c r="O553" s="972">
        <v>4452.2960000000003</v>
      </c>
      <c r="P553" s="972">
        <v>6457.6260000000002</v>
      </c>
      <c r="Q553" s="972">
        <v>174863.11199999999</v>
      </c>
      <c r="R553" s="962">
        <v>31735</v>
      </c>
      <c r="S553" s="962" t="s">
        <v>4940</v>
      </c>
      <c r="T553" s="972">
        <v>43637.283500000012</v>
      </c>
    </row>
    <row r="554" spans="1:20">
      <c r="A554" s="962" t="s">
        <v>1873</v>
      </c>
      <c r="B554" s="972">
        <v>33176.101999999999</v>
      </c>
      <c r="C554" s="972">
        <v>2631.57</v>
      </c>
      <c r="D554" s="972">
        <v>8.1479999999999997</v>
      </c>
      <c r="E554" s="972">
        <v>846.46600000000001</v>
      </c>
      <c r="F554" s="972">
        <v>75.113</v>
      </c>
      <c r="G554" s="972">
        <v>0.61099999999999999</v>
      </c>
      <c r="H554" s="972">
        <v>0</v>
      </c>
      <c r="I554" s="972">
        <v>376.589</v>
      </c>
      <c r="J554" s="972">
        <v>272.18799999999999</v>
      </c>
      <c r="K554" s="972">
        <v>17.614999999999998</v>
      </c>
      <c r="L554" s="972">
        <v>8.0500000000000007</v>
      </c>
      <c r="M554" s="972">
        <v>0</v>
      </c>
      <c r="N554" s="972">
        <v>6.2370000000000001</v>
      </c>
      <c r="O554" s="972">
        <v>756.399</v>
      </c>
      <c r="P554" s="972">
        <v>982.51400000000001</v>
      </c>
      <c r="Q554" s="972">
        <v>31437.188999999998</v>
      </c>
      <c r="R554" s="962">
        <v>3002</v>
      </c>
      <c r="S554" s="962" t="s">
        <v>4940</v>
      </c>
      <c r="T554" s="972">
        <v>9754.2801666666674</v>
      </c>
    </row>
    <row r="555" spans="1:20">
      <c r="A555" s="962" t="s">
        <v>6028</v>
      </c>
      <c r="B555" s="972">
        <v>57679.790999999997</v>
      </c>
      <c r="C555" s="972">
        <v>7376.2950000000001</v>
      </c>
      <c r="D555" s="972">
        <v>9.7729999999999997</v>
      </c>
      <c r="E555" s="972">
        <v>1492.376</v>
      </c>
      <c r="F555" s="972">
        <v>84.293000000000006</v>
      </c>
      <c r="G555" s="972">
        <v>1.6180000000000001</v>
      </c>
      <c r="H555" s="972">
        <v>0</v>
      </c>
      <c r="I555" s="972">
        <v>561.72299999999996</v>
      </c>
      <c r="J555" s="972">
        <v>427.226</v>
      </c>
      <c r="K555" s="972">
        <v>0</v>
      </c>
      <c r="L555" s="972">
        <v>0</v>
      </c>
      <c r="M555" s="972">
        <v>0</v>
      </c>
      <c r="N555" s="972">
        <v>13.667999999999999</v>
      </c>
      <c r="O555" s="972">
        <v>1088.5219999999999</v>
      </c>
      <c r="P555" s="972">
        <v>1274.819</v>
      </c>
      <c r="Q555" s="972">
        <v>55316.45</v>
      </c>
      <c r="R555" s="962">
        <v>4111</v>
      </c>
      <c r="S555" s="962" t="s">
        <v>4940</v>
      </c>
      <c r="T555" s="972">
        <v>16857.470333333335</v>
      </c>
    </row>
    <row r="556" spans="1:20">
      <c r="A556" s="962" t="s">
        <v>6035</v>
      </c>
      <c r="B556" s="972">
        <v>42613.434000000001</v>
      </c>
      <c r="C556" s="972">
        <v>4977.3630000000003</v>
      </c>
      <c r="D556" s="972">
        <v>8.7870000000000008</v>
      </c>
      <c r="E556" s="972">
        <v>327.64100000000002</v>
      </c>
      <c r="F556" s="972">
        <v>44.667999999999999</v>
      </c>
      <c r="G556" s="972">
        <v>2.5819999999999999</v>
      </c>
      <c r="H556" s="972">
        <v>0</v>
      </c>
      <c r="I556" s="972">
        <v>876.41499999999996</v>
      </c>
      <c r="J556" s="972">
        <v>276.512</v>
      </c>
      <c r="K556" s="972">
        <v>11.881</v>
      </c>
      <c r="L556" s="972">
        <v>9.9499999999999993</v>
      </c>
      <c r="M556" s="972">
        <v>0</v>
      </c>
      <c r="N556" s="972">
        <v>118.935</v>
      </c>
      <c r="O556" s="972">
        <v>1340.94</v>
      </c>
      <c r="P556" s="972">
        <v>1889.347</v>
      </c>
      <c r="Q556" s="972">
        <v>39383.146999999997</v>
      </c>
      <c r="R556" s="962">
        <v>3095</v>
      </c>
      <c r="S556" s="962" t="s">
        <v>4940</v>
      </c>
      <c r="T556" s="972">
        <v>12739.752</v>
      </c>
    </row>
    <row r="557" spans="1:20">
      <c r="A557" s="962" t="s">
        <v>5626</v>
      </c>
      <c r="B557" s="972">
        <v>7335.4470000000001</v>
      </c>
      <c r="C557" s="972">
        <v>529.4</v>
      </c>
      <c r="D557" s="972">
        <v>1.849</v>
      </c>
      <c r="E557" s="972">
        <v>317.60199999999998</v>
      </c>
      <c r="F557" s="972">
        <v>9.9190000000000005</v>
      </c>
      <c r="G557" s="972">
        <v>0.81499999999999995</v>
      </c>
      <c r="H557" s="972">
        <v>0</v>
      </c>
      <c r="I557" s="972">
        <v>96.718999999999994</v>
      </c>
      <c r="J557" s="972">
        <v>29.831</v>
      </c>
      <c r="K557" s="972">
        <v>3.4060000000000001</v>
      </c>
      <c r="L557" s="972">
        <v>1.3089999999999999</v>
      </c>
      <c r="M557" s="972">
        <v>0</v>
      </c>
      <c r="N557" s="972">
        <v>3.1339999999999999</v>
      </c>
      <c r="O557" s="972">
        <v>145.131</v>
      </c>
      <c r="P557" s="972">
        <v>279.52600000000001</v>
      </c>
      <c r="Q557" s="972">
        <v>6910.79</v>
      </c>
      <c r="R557" s="962">
        <v>743</v>
      </c>
      <c r="S557" s="962" t="s">
        <v>4940</v>
      </c>
      <c r="T557" s="972">
        <v>2082.1528333333331</v>
      </c>
    </row>
    <row r="558" spans="1:20">
      <c r="A558" s="962" t="s">
        <v>6194</v>
      </c>
      <c r="B558" s="972">
        <v>48356.125999999997</v>
      </c>
      <c r="C558" s="972">
        <v>11530.856</v>
      </c>
      <c r="D558" s="972">
        <v>21.062000000000001</v>
      </c>
      <c r="E558" s="972">
        <v>1119.0550000000001</v>
      </c>
      <c r="F558" s="972">
        <v>71.430000000000007</v>
      </c>
      <c r="G558" s="972">
        <v>2.1480000000000001</v>
      </c>
      <c r="H558" s="972">
        <v>0.21</v>
      </c>
      <c r="I558" s="972">
        <v>592.01400000000001</v>
      </c>
      <c r="J558" s="972">
        <v>368.99799999999999</v>
      </c>
      <c r="K558" s="972">
        <v>6.1630000000000003</v>
      </c>
      <c r="L558" s="972">
        <v>8.4410000000000007</v>
      </c>
      <c r="M558" s="972">
        <v>0</v>
      </c>
      <c r="N558" s="972">
        <v>0.40899999999999997</v>
      </c>
      <c r="O558" s="972">
        <v>1049.81</v>
      </c>
      <c r="P558" s="972">
        <v>1852.732</v>
      </c>
      <c r="Q558" s="972">
        <v>45453.584000000003</v>
      </c>
      <c r="R558" s="962">
        <v>3134</v>
      </c>
      <c r="S558" s="962" t="s">
        <v>4940</v>
      </c>
      <c r="T558" s="972">
        <v>12516.379499999999</v>
      </c>
    </row>
    <row r="559" spans="1:20">
      <c r="A559" s="962" t="s">
        <v>1539</v>
      </c>
      <c r="B559" s="972">
        <v>33499.142</v>
      </c>
      <c r="C559" s="972">
        <v>5239.759</v>
      </c>
      <c r="D559" s="972">
        <v>9.7089999999999996</v>
      </c>
      <c r="E559" s="972">
        <v>1251.7470000000001</v>
      </c>
      <c r="F559" s="972">
        <v>36.350999999999999</v>
      </c>
      <c r="G559" s="972">
        <v>2.4300000000000002</v>
      </c>
      <c r="H559" s="972">
        <v>0</v>
      </c>
      <c r="I559" s="972">
        <v>204.41</v>
      </c>
      <c r="J559" s="972">
        <v>221.49599999999998</v>
      </c>
      <c r="K559" s="972">
        <v>12.305999999999999</v>
      </c>
      <c r="L559" s="972">
        <v>1.329</v>
      </c>
      <c r="M559" s="972">
        <v>0</v>
      </c>
      <c r="N559" s="972">
        <v>81.471999999999994</v>
      </c>
      <c r="O559" s="972">
        <v>559.79399999999998</v>
      </c>
      <c r="P559" s="972">
        <v>1738.992</v>
      </c>
      <c r="Q559" s="972">
        <v>31200.357</v>
      </c>
      <c r="R559" s="962">
        <v>5886</v>
      </c>
      <c r="S559" s="962" t="s">
        <v>4940</v>
      </c>
      <c r="T559" s="972">
        <v>8710.5526666666683</v>
      </c>
    </row>
    <row r="560" spans="1:20">
      <c r="A560" s="962" t="s">
        <v>911</v>
      </c>
      <c r="B560" s="972">
        <v>31097.378000000001</v>
      </c>
      <c r="C560" s="972">
        <v>10183.181</v>
      </c>
      <c r="D560" s="972">
        <v>10.53</v>
      </c>
      <c r="E560" s="972">
        <v>862.60799999999995</v>
      </c>
      <c r="F560" s="972">
        <v>48.18</v>
      </c>
      <c r="G560" s="972">
        <v>1.8460000000000001</v>
      </c>
      <c r="H560" s="972">
        <v>0</v>
      </c>
      <c r="I560" s="972">
        <v>372.20600000000002</v>
      </c>
      <c r="J560" s="972">
        <v>172.422</v>
      </c>
      <c r="K560" s="972">
        <v>4.5540000000000003</v>
      </c>
      <c r="L560" s="972">
        <v>4.444</v>
      </c>
      <c r="M560" s="972">
        <v>0</v>
      </c>
      <c r="N560" s="972">
        <v>4.165</v>
      </c>
      <c r="O560" s="972">
        <v>607.81500000000005</v>
      </c>
      <c r="P560" s="972">
        <v>926.84100000000001</v>
      </c>
      <c r="Q560" s="972">
        <v>29562.722000000002</v>
      </c>
      <c r="R560" s="962">
        <v>1914</v>
      </c>
      <c r="S560" s="962" t="s">
        <v>4940</v>
      </c>
      <c r="T560" s="972">
        <v>8275.3753333333316</v>
      </c>
    </row>
    <row r="561" spans="1:20">
      <c r="A561" s="962" t="s">
        <v>1428</v>
      </c>
      <c r="B561" s="972">
        <v>10065.588</v>
      </c>
      <c r="C561" s="972">
        <v>965.01900000000001</v>
      </c>
      <c r="D561" s="972">
        <v>1.7669999999999999</v>
      </c>
      <c r="E561" s="972">
        <v>241.01599999999999</v>
      </c>
      <c r="F561" s="972">
        <v>12.287000000000001</v>
      </c>
      <c r="G561" s="972">
        <v>0.1</v>
      </c>
      <c r="H561" s="972">
        <v>0</v>
      </c>
      <c r="I561" s="972">
        <v>84.138000000000005</v>
      </c>
      <c r="J561" s="972">
        <v>45.140999999999998</v>
      </c>
      <c r="K561" s="972">
        <v>2.4590000000000001</v>
      </c>
      <c r="L561" s="972">
        <v>5.6870000000000003</v>
      </c>
      <c r="M561" s="972">
        <v>0</v>
      </c>
      <c r="N561" s="972">
        <v>5.1390000000000002</v>
      </c>
      <c r="O561" s="972">
        <v>154.95099999999999</v>
      </c>
      <c r="P561" s="972">
        <v>405.36</v>
      </c>
      <c r="Q561" s="972">
        <v>9505.277</v>
      </c>
      <c r="R561" s="962">
        <v>997</v>
      </c>
      <c r="S561" s="962" t="s">
        <v>4940</v>
      </c>
      <c r="T561" s="972">
        <v>2845.0338333333334</v>
      </c>
    </row>
    <row r="562" spans="1:20">
      <c r="A562" s="962" t="s">
        <v>1430</v>
      </c>
      <c r="B562" s="972">
        <v>6306.8389999999999</v>
      </c>
      <c r="C562" s="972">
        <v>1733.5070000000001</v>
      </c>
      <c r="D562" s="972">
        <v>2.8959999999999999</v>
      </c>
      <c r="E562" s="972">
        <v>146.38800000000001</v>
      </c>
      <c r="F562" s="972">
        <v>8.35</v>
      </c>
      <c r="G562" s="972">
        <v>0.42</v>
      </c>
      <c r="H562" s="972">
        <v>0</v>
      </c>
      <c r="I562" s="972">
        <v>47.746000000000002</v>
      </c>
      <c r="J562" s="972">
        <v>20.945</v>
      </c>
      <c r="K562" s="972">
        <v>0.85099999999999998</v>
      </c>
      <c r="L562" s="972">
        <v>3.0030000000000001</v>
      </c>
      <c r="M562" s="972">
        <v>0</v>
      </c>
      <c r="N562" s="972">
        <v>0</v>
      </c>
      <c r="O562" s="972">
        <v>81.314999999999998</v>
      </c>
      <c r="P562" s="972">
        <v>177.88200000000001</v>
      </c>
      <c r="Q562" s="972">
        <v>6047.643</v>
      </c>
      <c r="R562" s="962">
        <v>337</v>
      </c>
      <c r="S562" s="962" t="s">
        <v>4940</v>
      </c>
      <c r="T562" s="972">
        <v>1580.6401666666666</v>
      </c>
    </row>
    <row r="563" spans="1:20">
      <c r="A563" s="962" t="s">
        <v>4971</v>
      </c>
      <c r="B563" s="972">
        <v>2990.7869999999998</v>
      </c>
      <c r="C563" s="972">
        <v>112.27500000000001</v>
      </c>
      <c r="D563" s="972">
        <v>0.105</v>
      </c>
      <c r="E563" s="972">
        <v>87.227000000000004</v>
      </c>
      <c r="F563" s="972">
        <v>1.7090000000000001</v>
      </c>
      <c r="G563" s="972">
        <v>2.1999999999999999E-2</v>
      </c>
      <c r="H563" s="972">
        <v>0</v>
      </c>
      <c r="I563" s="972">
        <v>34.207000000000001</v>
      </c>
      <c r="J563" s="972">
        <v>21.905999999999999</v>
      </c>
      <c r="K563" s="972">
        <v>0</v>
      </c>
      <c r="L563" s="972">
        <v>0</v>
      </c>
      <c r="M563" s="972">
        <v>0</v>
      </c>
      <c r="N563" s="972">
        <v>0</v>
      </c>
      <c r="O563" s="972">
        <v>57.843000000000004</v>
      </c>
      <c r="P563" s="972">
        <v>201.726</v>
      </c>
      <c r="Q563" s="972">
        <v>2731.2170000000001</v>
      </c>
      <c r="R563" s="962">
        <v>225</v>
      </c>
      <c r="S563" s="962" t="s">
        <v>4940</v>
      </c>
      <c r="T563" s="972">
        <v>880.85633333333328</v>
      </c>
    </row>
    <row r="564" spans="1:20">
      <c r="A564" s="962" t="s">
        <v>1432</v>
      </c>
      <c r="B564" s="972">
        <v>196.06399999999999</v>
      </c>
      <c r="C564" s="972">
        <v>12.802</v>
      </c>
      <c r="D564" s="972">
        <v>0</v>
      </c>
      <c r="E564" s="972">
        <v>3.4180000000000001</v>
      </c>
      <c r="F564" s="972">
        <v>0.39400000000000002</v>
      </c>
      <c r="G564" s="972">
        <v>0</v>
      </c>
      <c r="H564" s="972">
        <v>0</v>
      </c>
      <c r="I564" s="972">
        <v>7.5759999999999996</v>
      </c>
      <c r="J564" s="972">
        <v>0.92900000000000005</v>
      </c>
      <c r="K564" s="972">
        <v>0</v>
      </c>
      <c r="L564" s="972">
        <v>0</v>
      </c>
      <c r="M564" s="972">
        <v>0</v>
      </c>
      <c r="N564" s="972">
        <v>0</v>
      </c>
      <c r="O564" s="972">
        <v>8.8989999999999991</v>
      </c>
      <c r="P564" s="972">
        <v>8.2840000000000007</v>
      </c>
      <c r="Q564" s="972">
        <v>178.881</v>
      </c>
      <c r="R564" s="962">
        <v>46</v>
      </c>
      <c r="S564" s="962" t="s">
        <v>4940</v>
      </c>
      <c r="T564" s="972">
        <v>43.297166666666669</v>
      </c>
    </row>
    <row r="565" spans="1:20">
      <c r="A565" s="962" t="s">
        <v>1434</v>
      </c>
      <c r="B565" s="972">
        <v>5393.25</v>
      </c>
      <c r="C565" s="972">
        <v>662.99599999999998</v>
      </c>
      <c r="D565" s="972">
        <v>3.407</v>
      </c>
      <c r="E565" s="972">
        <v>143.40799999999999</v>
      </c>
      <c r="F565" s="972">
        <v>4.99</v>
      </c>
      <c r="G565" s="972">
        <v>0.99</v>
      </c>
      <c r="H565" s="972">
        <v>3.891</v>
      </c>
      <c r="I565" s="972">
        <v>62.802999999999997</v>
      </c>
      <c r="J565" s="972">
        <v>31.155999999999999</v>
      </c>
      <c r="K565" s="972">
        <v>14.885999999999999</v>
      </c>
      <c r="L565" s="972">
        <v>3.653</v>
      </c>
      <c r="M565" s="972">
        <v>0</v>
      </c>
      <c r="N565" s="972">
        <v>12.664</v>
      </c>
      <c r="O565" s="972">
        <v>135.03399999999999</v>
      </c>
      <c r="P565" s="972">
        <v>241.54</v>
      </c>
      <c r="Q565" s="972">
        <v>5016.6760000000004</v>
      </c>
      <c r="R565" s="962">
        <v>966</v>
      </c>
      <c r="S565" s="962" t="s">
        <v>4940</v>
      </c>
      <c r="T565" s="972">
        <v>1415.1883333333333</v>
      </c>
    </row>
    <row r="566" spans="1:20">
      <c r="A566" s="962" t="s">
        <v>1436</v>
      </c>
      <c r="B566" s="972">
        <v>734.66200000000003</v>
      </c>
      <c r="C566" s="972">
        <v>75.918999999999997</v>
      </c>
      <c r="D566" s="972">
        <v>0</v>
      </c>
      <c r="E566" s="972">
        <v>55.398000000000003</v>
      </c>
      <c r="F566" s="972">
        <v>1.27</v>
      </c>
      <c r="G566" s="972">
        <v>1.6E-2</v>
      </c>
      <c r="H566" s="972">
        <v>0</v>
      </c>
      <c r="I566" s="972">
        <v>8.2729999999999997</v>
      </c>
      <c r="J566" s="972">
        <v>3.95</v>
      </c>
      <c r="K566" s="972">
        <v>0</v>
      </c>
      <c r="L566" s="972">
        <v>0</v>
      </c>
      <c r="M566" s="972">
        <v>0</v>
      </c>
      <c r="N566" s="972">
        <v>0</v>
      </c>
      <c r="O566" s="972">
        <v>13.509</v>
      </c>
      <c r="P566" s="972">
        <v>67.483000000000004</v>
      </c>
      <c r="Q566" s="972">
        <v>653.66999999999996</v>
      </c>
      <c r="R566" s="962">
        <v>38</v>
      </c>
      <c r="S566" s="962" t="s">
        <v>4940</v>
      </c>
      <c r="T566" s="972">
        <v>208.86633333333333</v>
      </c>
    </row>
    <row r="567" spans="1:20">
      <c r="A567" s="962" t="s">
        <v>1438</v>
      </c>
      <c r="B567" s="972">
        <v>4099.5519999999997</v>
      </c>
      <c r="C567" s="972">
        <v>98.682000000000002</v>
      </c>
      <c r="D567" s="972">
        <v>0.27300000000000002</v>
      </c>
      <c r="E567" s="972">
        <v>179.95099999999999</v>
      </c>
      <c r="F567" s="972">
        <v>6.8639999999999999</v>
      </c>
      <c r="G567" s="972">
        <v>0.52800000000000002</v>
      </c>
      <c r="H567" s="972">
        <v>0</v>
      </c>
      <c r="I567" s="972">
        <v>54.218000000000004</v>
      </c>
      <c r="J567" s="972">
        <v>16.867000000000001</v>
      </c>
      <c r="K567" s="972">
        <v>0.92900000000000005</v>
      </c>
      <c r="L567" s="972">
        <v>0.89700000000000002</v>
      </c>
      <c r="M567" s="972">
        <v>0</v>
      </c>
      <c r="N567" s="972">
        <v>0.72399999999999998</v>
      </c>
      <c r="O567" s="972">
        <v>81.025999999999996</v>
      </c>
      <c r="P567" s="972">
        <v>312.18</v>
      </c>
      <c r="Q567" s="972">
        <v>3706.346</v>
      </c>
      <c r="R567" s="962">
        <v>338</v>
      </c>
      <c r="S567" s="962" t="s">
        <v>4940</v>
      </c>
      <c r="T567" s="972">
        <v>1178.1881666666668</v>
      </c>
    </row>
    <row r="568" spans="1:20">
      <c r="A568" s="962" t="s">
        <v>2580</v>
      </c>
      <c r="B568" s="972">
        <v>700.15899999999999</v>
      </c>
      <c r="C568" s="972">
        <v>6.8019999999999996</v>
      </c>
      <c r="D568" s="972">
        <v>0</v>
      </c>
      <c r="E568" s="972">
        <v>35.347999999999999</v>
      </c>
      <c r="F568" s="972">
        <v>1.1859999999999999</v>
      </c>
      <c r="G568" s="972">
        <v>0</v>
      </c>
      <c r="H568" s="972">
        <v>0</v>
      </c>
      <c r="I568" s="972">
        <v>14.936</v>
      </c>
      <c r="J568" s="972">
        <v>0.13100000000000001</v>
      </c>
      <c r="K568" s="972">
        <v>0</v>
      </c>
      <c r="L568" s="972">
        <v>0</v>
      </c>
      <c r="M568" s="972">
        <v>0</v>
      </c>
      <c r="N568" s="972">
        <v>0</v>
      </c>
      <c r="O568" s="972">
        <v>16.251999999999999</v>
      </c>
      <c r="P568" s="972">
        <v>39.746000000000002</v>
      </c>
      <c r="Q568" s="972">
        <v>644.16099999999994</v>
      </c>
      <c r="R568" s="962">
        <v>46</v>
      </c>
      <c r="S568" s="962" t="s">
        <v>4940</v>
      </c>
      <c r="T568" s="972">
        <v>190.28883333333332</v>
      </c>
    </row>
    <row r="569" spans="1:20">
      <c r="A569" s="962" t="s">
        <v>2582</v>
      </c>
      <c r="B569" s="972">
        <v>979.83399999999995</v>
      </c>
      <c r="C569" s="972">
        <v>11.082000000000001</v>
      </c>
      <c r="D569" s="972">
        <v>0</v>
      </c>
      <c r="E569" s="972">
        <v>20.513000000000002</v>
      </c>
      <c r="F569" s="972">
        <v>1.8680000000000001</v>
      </c>
      <c r="G569" s="972">
        <v>0.17799999999999999</v>
      </c>
      <c r="H569" s="972">
        <v>0</v>
      </c>
      <c r="I569" s="972">
        <v>38.353000000000002</v>
      </c>
      <c r="J569" s="972">
        <v>2.8639999999999999</v>
      </c>
      <c r="K569" s="972">
        <v>0</v>
      </c>
      <c r="L569" s="972">
        <v>0.755</v>
      </c>
      <c r="M569" s="972">
        <v>0</v>
      </c>
      <c r="N569" s="972">
        <v>0</v>
      </c>
      <c r="O569" s="972">
        <v>44.017000000000003</v>
      </c>
      <c r="P569" s="972">
        <v>65.685000000000002</v>
      </c>
      <c r="Q569" s="972">
        <v>870.13300000000004</v>
      </c>
      <c r="R569" s="962">
        <v>56</v>
      </c>
      <c r="S569" s="962" t="s">
        <v>4940</v>
      </c>
      <c r="T569" s="972">
        <v>248.81600000000003</v>
      </c>
    </row>
    <row r="570" spans="1:20">
      <c r="A570" s="962" t="s">
        <v>2584</v>
      </c>
      <c r="B570" s="972">
        <v>151.084</v>
      </c>
      <c r="C570" s="972">
        <v>6.617</v>
      </c>
      <c r="D570" s="972">
        <v>0</v>
      </c>
      <c r="E570" s="972">
        <v>0</v>
      </c>
      <c r="F570" s="972">
        <v>0.23599999999999999</v>
      </c>
      <c r="G570" s="972">
        <v>0</v>
      </c>
      <c r="H570" s="972">
        <v>0</v>
      </c>
      <c r="I570" s="972">
        <v>4.5570000000000004</v>
      </c>
      <c r="J570" s="972">
        <v>0</v>
      </c>
      <c r="K570" s="972">
        <v>0</v>
      </c>
      <c r="L570" s="972">
        <v>0</v>
      </c>
      <c r="M570" s="972">
        <v>0</v>
      </c>
      <c r="N570" s="972">
        <v>0.88500000000000001</v>
      </c>
      <c r="O570" s="972">
        <v>5.6779999999999999</v>
      </c>
      <c r="P570" s="972">
        <v>11.497</v>
      </c>
      <c r="Q570" s="972">
        <v>133.90899999999999</v>
      </c>
      <c r="R570" s="962">
        <v>8</v>
      </c>
      <c r="S570" s="962" t="s">
        <v>4940</v>
      </c>
      <c r="T570" s="972">
        <v>40.254833333333337</v>
      </c>
    </row>
    <row r="571" spans="1:20">
      <c r="A571" s="962" t="s">
        <v>1578</v>
      </c>
      <c r="B571" s="972">
        <v>178.82499999999999</v>
      </c>
      <c r="C571" s="972">
        <v>56.610999999999997</v>
      </c>
      <c r="D571" s="972">
        <v>0</v>
      </c>
      <c r="E571" s="972">
        <v>1.103</v>
      </c>
      <c r="F571" s="972">
        <v>0.253</v>
      </c>
      <c r="G571" s="972">
        <v>0</v>
      </c>
      <c r="H571" s="972">
        <v>0</v>
      </c>
      <c r="I571" s="972">
        <v>3.004</v>
      </c>
      <c r="J571" s="972">
        <v>0.46500000000000002</v>
      </c>
      <c r="K571" s="972">
        <v>0</v>
      </c>
      <c r="L571" s="972">
        <v>0</v>
      </c>
      <c r="M571" s="972">
        <v>0</v>
      </c>
      <c r="N571" s="972">
        <v>0</v>
      </c>
      <c r="O571" s="972">
        <v>3.7210000000000001</v>
      </c>
      <c r="P571" s="972">
        <v>12.88</v>
      </c>
      <c r="Q571" s="972">
        <v>162.22399999999999</v>
      </c>
      <c r="R571" s="962">
        <v>11</v>
      </c>
      <c r="S571" s="962" t="s">
        <v>4940</v>
      </c>
      <c r="T571" s="972">
        <v>49.197166666666668</v>
      </c>
    </row>
    <row r="572" spans="1:20">
      <c r="A572" s="962" t="s">
        <v>1580</v>
      </c>
      <c r="B572" s="972">
        <v>592.97799999999995</v>
      </c>
      <c r="C572" s="972">
        <v>6.7720000000000002</v>
      </c>
      <c r="D572" s="972">
        <v>0.16500000000000001</v>
      </c>
      <c r="E572" s="972">
        <v>23.574000000000002</v>
      </c>
      <c r="F572" s="972">
        <v>1.6679999999999999</v>
      </c>
      <c r="G572" s="972">
        <v>0</v>
      </c>
      <c r="H572" s="972">
        <v>0</v>
      </c>
      <c r="I572" s="972">
        <v>15.542</v>
      </c>
      <c r="J572" s="972">
        <v>2.6179999999999999</v>
      </c>
      <c r="K572" s="972">
        <v>0</v>
      </c>
      <c r="L572" s="972">
        <v>2.3860000000000001</v>
      </c>
      <c r="M572" s="972">
        <v>0</v>
      </c>
      <c r="N572" s="972">
        <v>0</v>
      </c>
      <c r="O572" s="972">
        <v>22.213000000000001</v>
      </c>
      <c r="P572" s="972">
        <v>39.640999999999998</v>
      </c>
      <c r="Q572" s="972">
        <v>531.125</v>
      </c>
      <c r="R572" s="962">
        <v>21</v>
      </c>
      <c r="S572" s="962" t="s">
        <v>4940</v>
      </c>
      <c r="T572" s="972">
        <v>176.27083333333331</v>
      </c>
    </row>
    <row r="573" spans="1:20">
      <c r="A573" s="962" t="s">
        <v>1582</v>
      </c>
      <c r="B573" s="972">
        <v>125.51900000000001</v>
      </c>
      <c r="C573" s="972">
        <v>10.284000000000001</v>
      </c>
      <c r="D573" s="972">
        <v>0</v>
      </c>
      <c r="E573" s="972">
        <v>4.6239999999999997</v>
      </c>
      <c r="F573" s="972">
        <v>0.25700000000000001</v>
      </c>
      <c r="G573" s="972">
        <v>0</v>
      </c>
      <c r="H573" s="972">
        <v>0</v>
      </c>
      <c r="I573" s="972">
        <v>1.1279999999999999</v>
      </c>
      <c r="J573" s="972">
        <v>2E-3</v>
      </c>
      <c r="K573" s="972">
        <v>0</v>
      </c>
      <c r="L573" s="972">
        <v>0</v>
      </c>
      <c r="M573" s="972">
        <v>0</v>
      </c>
      <c r="N573" s="972">
        <v>0</v>
      </c>
      <c r="O573" s="972">
        <v>1.387</v>
      </c>
      <c r="P573" s="972">
        <v>8.0259999999999998</v>
      </c>
      <c r="Q573" s="972">
        <v>116.10599999999999</v>
      </c>
      <c r="R573" s="962">
        <v>8</v>
      </c>
      <c r="S573" s="962" t="s">
        <v>4940</v>
      </c>
      <c r="T573" s="972">
        <v>36.067999999999998</v>
      </c>
    </row>
    <row r="574" spans="1:20">
      <c r="A574" s="962" t="s">
        <v>1584</v>
      </c>
      <c r="B574" s="972">
        <v>153.958</v>
      </c>
      <c r="C574" s="972">
        <v>2.972</v>
      </c>
      <c r="D574" s="972">
        <v>0.123</v>
      </c>
      <c r="E574" s="972">
        <v>7.0170000000000003</v>
      </c>
      <c r="F574" s="972">
        <v>0.19900000000000001</v>
      </c>
      <c r="G574" s="972">
        <v>0</v>
      </c>
      <c r="H574" s="972">
        <v>0</v>
      </c>
      <c r="I574" s="972">
        <v>0</v>
      </c>
      <c r="J574" s="972">
        <v>0</v>
      </c>
      <c r="K574" s="972">
        <v>0</v>
      </c>
      <c r="L574" s="972">
        <v>0.54800000000000004</v>
      </c>
      <c r="M574" s="972">
        <v>0</v>
      </c>
      <c r="N574" s="972">
        <v>0</v>
      </c>
      <c r="O574" s="972">
        <v>0.747</v>
      </c>
      <c r="P574" s="972">
        <v>20.791</v>
      </c>
      <c r="Q574" s="972">
        <v>132.41999999999999</v>
      </c>
      <c r="R574" s="962">
        <v>12</v>
      </c>
      <c r="S574" s="962" t="s">
        <v>4940</v>
      </c>
      <c r="T574" s="972">
        <v>46.502333333333333</v>
      </c>
    </row>
    <row r="575" spans="1:20">
      <c r="A575" s="962" t="s">
        <v>1586</v>
      </c>
      <c r="B575" s="972">
        <v>125.18899999999999</v>
      </c>
      <c r="C575" s="972">
        <v>0</v>
      </c>
      <c r="D575" s="972">
        <v>0</v>
      </c>
      <c r="E575" s="972">
        <v>11.522</v>
      </c>
      <c r="F575" s="972">
        <v>0</v>
      </c>
      <c r="G575" s="972">
        <v>0</v>
      </c>
      <c r="H575" s="972">
        <v>0</v>
      </c>
      <c r="I575" s="972">
        <v>0</v>
      </c>
      <c r="J575" s="972">
        <v>0</v>
      </c>
      <c r="K575" s="972">
        <v>0</v>
      </c>
      <c r="L575" s="972">
        <v>0</v>
      </c>
      <c r="M575" s="972">
        <v>0</v>
      </c>
      <c r="N575" s="972">
        <v>0</v>
      </c>
      <c r="O575" s="972">
        <v>0</v>
      </c>
      <c r="P575" s="972">
        <v>20.913</v>
      </c>
      <c r="Q575" s="972">
        <v>104.276</v>
      </c>
      <c r="R575" s="962">
        <v>0</v>
      </c>
      <c r="S575" s="962" t="s">
        <v>4940</v>
      </c>
      <c r="T575" s="972">
        <v>125.18783333333334</v>
      </c>
    </row>
    <row r="576" spans="1:20">
      <c r="A576" s="962" t="s">
        <v>1102</v>
      </c>
      <c r="B576" s="972">
        <v>133.82</v>
      </c>
      <c r="C576" s="972">
        <v>0</v>
      </c>
      <c r="D576" s="972">
        <v>0</v>
      </c>
      <c r="E576" s="972">
        <v>7.016</v>
      </c>
      <c r="F576" s="972">
        <v>0.19900000000000001</v>
      </c>
      <c r="G576" s="972">
        <v>0</v>
      </c>
      <c r="H576" s="972">
        <v>0</v>
      </c>
      <c r="I576" s="972">
        <v>0</v>
      </c>
      <c r="J576" s="972">
        <v>0</v>
      </c>
      <c r="K576" s="972">
        <v>0</v>
      </c>
      <c r="L576" s="972">
        <v>0</v>
      </c>
      <c r="M576" s="972">
        <v>0</v>
      </c>
      <c r="N576" s="972">
        <v>0</v>
      </c>
      <c r="O576" s="972">
        <v>0.19900000000000001</v>
      </c>
      <c r="P576" s="972">
        <v>0</v>
      </c>
      <c r="Q576" s="972">
        <v>133.62100000000001</v>
      </c>
      <c r="R576" s="962">
        <v>0</v>
      </c>
      <c r="S576" s="962" t="s">
        <v>4940</v>
      </c>
      <c r="T576" s="972">
        <v>0</v>
      </c>
    </row>
    <row r="577" spans="1:20">
      <c r="A577" s="962" t="s">
        <v>1588</v>
      </c>
      <c r="B577" s="972">
        <v>6683.652</v>
      </c>
      <c r="C577" s="972">
        <v>553.71600000000001</v>
      </c>
      <c r="D577" s="972">
        <v>4.1210000000000004</v>
      </c>
      <c r="E577" s="972">
        <v>229.744</v>
      </c>
      <c r="F577" s="972">
        <v>12.948</v>
      </c>
      <c r="G577" s="972">
        <v>0</v>
      </c>
      <c r="H577" s="972">
        <v>1.2609999999999999</v>
      </c>
      <c r="I577" s="972">
        <v>92.078999999999994</v>
      </c>
      <c r="J577" s="972">
        <v>44.448999999999998</v>
      </c>
      <c r="K577" s="972">
        <v>5.5060000000000002</v>
      </c>
      <c r="L577" s="972">
        <v>0.51500000000000001</v>
      </c>
      <c r="M577" s="972">
        <v>0</v>
      </c>
      <c r="N577" s="972">
        <v>1.982</v>
      </c>
      <c r="O577" s="972">
        <v>158.74100000000001</v>
      </c>
      <c r="P577" s="972">
        <v>351.17899999999997</v>
      </c>
      <c r="Q577" s="972">
        <v>6173.7330000000002</v>
      </c>
      <c r="R577" s="962">
        <v>768</v>
      </c>
      <c r="S577" s="962" t="s">
        <v>4940</v>
      </c>
      <c r="T577" s="972">
        <v>1896.3666666666666</v>
      </c>
    </row>
    <row r="578" spans="1:20">
      <c r="A578" s="962" t="s">
        <v>1292</v>
      </c>
      <c r="B578" s="972">
        <v>4256.5280000000002</v>
      </c>
      <c r="C578" s="972">
        <v>160.423</v>
      </c>
      <c r="D578" s="972">
        <v>0</v>
      </c>
      <c r="E578" s="972">
        <v>115.32</v>
      </c>
      <c r="F578" s="972">
        <v>6.7370000000000001</v>
      </c>
      <c r="G578" s="972">
        <v>4.4999999999999998E-2</v>
      </c>
      <c r="H578" s="972">
        <v>0</v>
      </c>
      <c r="I578" s="972">
        <v>78.703999999999994</v>
      </c>
      <c r="J578" s="972">
        <v>26.167999999999999</v>
      </c>
      <c r="K578" s="972">
        <v>0</v>
      </c>
      <c r="L578" s="972">
        <v>0</v>
      </c>
      <c r="M578" s="972">
        <v>0</v>
      </c>
      <c r="N578" s="972">
        <v>1.367</v>
      </c>
      <c r="O578" s="972">
        <v>113.02</v>
      </c>
      <c r="P578" s="972">
        <v>84.281000000000006</v>
      </c>
      <c r="Q578" s="972">
        <v>4059.2280000000001</v>
      </c>
      <c r="R578" s="962">
        <v>301</v>
      </c>
      <c r="S578" s="962" t="s">
        <v>4940</v>
      </c>
      <c r="T578" s="972">
        <v>1231.5989999999999</v>
      </c>
    </row>
    <row r="579" spans="1:20">
      <c r="A579" s="962" t="s">
        <v>1590</v>
      </c>
      <c r="B579" s="972">
        <v>1909.8009999999999</v>
      </c>
      <c r="C579" s="972">
        <v>109.922</v>
      </c>
      <c r="D579" s="972">
        <v>0.31</v>
      </c>
      <c r="E579" s="972">
        <v>41.287999999999997</v>
      </c>
      <c r="F579" s="972">
        <v>2.8330000000000002</v>
      </c>
      <c r="G579" s="972">
        <v>8.3000000000000004E-2</v>
      </c>
      <c r="H579" s="972">
        <v>0</v>
      </c>
      <c r="I579" s="972">
        <v>32.44</v>
      </c>
      <c r="J579" s="972">
        <v>13.103999999999999</v>
      </c>
      <c r="K579" s="972">
        <v>0</v>
      </c>
      <c r="L579" s="972">
        <v>0</v>
      </c>
      <c r="M579" s="972">
        <v>0</v>
      </c>
      <c r="N579" s="972">
        <v>0</v>
      </c>
      <c r="O579" s="972">
        <v>48.460999999999999</v>
      </c>
      <c r="P579" s="972">
        <v>72.451999999999998</v>
      </c>
      <c r="Q579" s="972">
        <v>1788.8869999999999</v>
      </c>
      <c r="R579" s="962">
        <v>108</v>
      </c>
      <c r="S579" s="962" t="s">
        <v>4940</v>
      </c>
      <c r="T579" s="972">
        <v>638.83733333333328</v>
      </c>
    </row>
    <row r="580" spans="1:20">
      <c r="A580" s="962" t="s">
        <v>1864</v>
      </c>
      <c r="B580" s="972">
        <v>14379.187</v>
      </c>
      <c r="C580" s="972">
        <v>1917.9269999999999</v>
      </c>
      <c r="D580" s="972">
        <v>5.4740000000000002</v>
      </c>
      <c r="E580" s="972">
        <v>335.964</v>
      </c>
      <c r="F580" s="972">
        <v>23.231999999999999</v>
      </c>
      <c r="G580" s="972">
        <v>0.371</v>
      </c>
      <c r="H580" s="972">
        <v>0</v>
      </c>
      <c r="I580" s="972">
        <v>208.82499999999999</v>
      </c>
      <c r="J580" s="972">
        <v>89.346000000000004</v>
      </c>
      <c r="K580" s="972">
        <v>0</v>
      </c>
      <c r="L580" s="972">
        <v>13.145</v>
      </c>
      <c r="M580" s="972">
        <v>0</v>
      </c>
      <c r="N580" s="972">
        <v>0.81599999999999995</v>
      </c>
      <c r="O580" s="972">
        <v>335.73500000000001</v>
      </c>
      <c r="P580" s="972">
        <v>545.19899999999996</v>
      </c>
      <c r="Q580" s="972">
        <v>13498.253000000001</v>
      </c>
      <c r="R580" s="962">
        <v>1373</v>
      </c>
      <c r="S580" s="962" t="s">
        <v>4940</v>
      </c>
      <c r="T580" s="972">
        <v>3774.0049999999997</v>
      </c>
    </row>
    <row r="581" spans="1:20">
      <c r="A581" s="962" t="s">
        <v>1592</v>
      </c>
      <c r="B581" s="972">
        <v>774.09400000000005</v>
      </c>
      <c r="C581" s="972">
        <v>104.187</v>
      </c>
      <c r="D581" s="972">
        <v>4.0000000000000001E-3</v>
      </c>
      <c r="E581" s="972">
        <v>14.420999999999999</v>
      </c>
      <c r="F581" s="972">
        <v>0.55500000000000005</v>
      </c>
      <c r="G581" s="972">
        <v>0</v>
      </c>
      <c r="H581" s="972">
        <v>0</v>
      </c>
      <c r="I581" s="972">
        <v>11.179</v>
      </c>
      <c r="J581" s="972">
        <v>1.339</v>
      </c>
      <c r="K581" s="972">
        <v>0</v>
      </c>
      <c r="L581" s="972">
        <v>0</v>
      </c>
      <c r="M581" s="972">
        <v>0</v>
      </c>
      <c r="N581" s="972">
        <v>0</v>
      </c>
      <c r="O581" s="972">
        <v>13.074</v>
      </c>
      <c r="P581" s="972">
        <v>25.89</v>
      </c>
      <c r="Q581" s="972">
        <v>735.13099999999997</v>
      </c>
      <c r="R581" s="962">
        <v>33</v>
      </c>
      <c r="S581" s="962" t="s">
        <v>4940</v>
      </c>
      <c r="T581" s="972">
        <v>199.31733333333335</v>
      </c>
    </row>
    <row r="582" spans="1:20">
      <c r="A582" s="962" t="s">
        <v>1594</v>
      </c>
      <c r="B582" s="972">
        <v>3242.5880000000002</v>
      </c>
      <c r="C582" s="972">
        <v>623.70399999999995</v>
      </c>
      <c r="D582" s="972">
        <v>0.86099999999999999</v>
      </c>
      <c r="E582" s="972">
        <v>5.8620000000000001</v>
      </c>
      <c r="F582" s="972">
        <v>5.6079999999999997</v>
      </c>
      <c r="G582" s="972">
        <v>0.53300000000000003</v>
      </c>
      <c r="H582" s="972">
        <v>0.72</v>
      </c>
      <c r="I582" s="972">
        <v>80.650000000000006</v>
      </c>
      <c r="J582" s="972">
        <v>21.495999999999999</v>
      </c>
      <c r="K582" s="972">
        <v>0</v>
      </c>
      <c r="L582" s="972">
        <v>1.1419999999999999</v>
      </c>
      <c r="M582" s="972">
        <v>0</v>
      </c>
      <c r="N582" s="972">
        <v>1.1439999999999999</v>
      </c>
      <c r="O582" s="972">
        <v>111.292</v>
      </c>
      <c r="P582" s="972">
        <v>202.94</v>
      </c>
      <c r="Q582" s="972">
        <v>2928.3560000000002</v>
      </c>
      <c r="R582" s="962">
        <v>185</v>
      </c>
      <c r="S582" s="962" t="s">
        <v>4940</v>
      </c>
      <c r="T582" s="972">
        <v>822.83799999999997</v>
      </c>
    </row>
    <row r="583" spans="1:20">
      <c r="A583" s="962" t="s">
        <v>1596</v>
      </c>
      <c r="B583" s="972">
        <v>2692.5419999999999</v>
      </c>
      <c r="C583" s="972">
        <v>74.944000000000003</v>
      </c>
      <c r="D583" s="972">
        <v>0.371</v>
      </c>
      <c r="E583" s="972">
        <v>12.43</v>
      </c>
      <c r="F583" s="972">
        <v>4.1070000000000002</v>
      </c>
      <c r="G583" s="972">
        <v>0.50800000000000001</v>
      </c>
      <c r="H583" s="972">
        <v>0</v>
      </c>
      <c r="I583" s="972">
        <v>87.391999999999996</v>
      </c>
      <c r="J583" s="972">
        <v>12.837</v>
      </c>
      <c r="K583" s="972">
        <v>0</v>
      </c>
      <c r="L583" s="972">
        <v>1.1830000000000001</v>
      </c>
      <c r="M583" s="972">
        <v>0</v>
      </c>
      <c r="N583" s="972">
        <v>0</v>
      </c>
      <c r="O583" s="972">
        <v>106.027</v>
      </c>
      <c r="P583" s="972">
        <v>238.279</v>
      </c>
      <c r="Q583" s="972">
        <v>2348.2359999999999</v>
      </c>
      <c r="R583" s="962">
        <v>140</v>
      </c>
      <c r="S583" s="962" t="s">
        <v>4940</v>
      </c>
      <c r="T583" s="972">
        <v>827.21566666666672</v>
      </c>
    </row>
    <row r="584" spans="1:20">
      <c r="A584" s="962" t="s">
        <v>1598</v>
      </c>
      <c r="B584" s="972">
        <v>582.42100000000005</v>
      </c>
      <c r="C584" s="972">
        <v>3.8839999999999999</v>
      </c>
      <c r="D584" s="972">
        <v>0</v>
      </c>
      <c r="E584" s="972">
        <v>22.69</v>
      </c>
      <c r="F584" s="972">
        <v>1.202</v>
      </c>
      <c r="G584" s="972">
        <v>0</v>
      </c>
      <c r="H584" s="972">
        <v>0</v>
      </c>
      <c r="I584" s="972">
        <v>12.28</v>
      </c>
      <c r="J584" s="972">
        <v>0.23300000000000001</v>
      </c>
      <c r="K584" s="972">
        <v>3.3660000000000001</v>
      </c>
      <c r="L584" s="972">
        <v>0</v>
      </c>
      <c r="M584" s="972">
        <v>0</v>
      </c>
      <c r="N584" s="972">
        <v>0</v>
      </c>
      <c r="O584" s="972">
        <v>17.079999999999998</v>
      </c>
      <c r="P584" s="972">
        <v>51.122999999999998</v>
      </c>
      <c r="Q584" s="972">
        <v>514.21799999999996</v>
      </c>
      <c r="R584" s="962">
        <v>36</v>
      </c>
      <c r="S584" s="962" t="s">
        <v>4940</v>
      </c>
      <c r="T584" s="972">
        <v>182.93816666666666</v>
      </c>
    </row>
    <row r="585" spans="1:20">
      <c r="A585" s="962" t="s">
        <v>1600</v>
      </c>
      <c r="B585" s="972">
        <v>1410.943</v>
      </c>
      <c r="C585" s="972">
        <v>9.0540000000000003</v>
      </c>
      <c r="D585" s="972">
        <v>0</v>
      </c>
      <c r="E585" s="972">
        <v>42.44</v>
      </c>
      <c r="F585" s="972">
        <v>3.1920000000000002</v>
      </c>
      <c r="G585" s="972">
        <v>0.01</v>
      </c>
      <c r="H585" s="972">
        <v>0</v>
      </c>
      <c r="I585" s="972">
        <v>34.35</v>
      </c>
      <c r="J585" s="972">
        <v>3.5950000000000002</v>
      </c>
      <c r="K585" s="972">
        <v>4.7140000000000004</v>
      </c>
      <c r="L585" s="972">
        <v>1.284</v>
      </c>
      <c r="M585" s="972">
        <v>0</v>
      </c>
      <c r="N585" s="972">
        <v>0</v>
      </c>
      <c r="O585" s="972">
        <v>47.145000000000003</v>
      </c>
      <c r="P585" s="972">
        <v>55.844999999999999</v>
      </c>
      <c r="Q585" s="972">
        <v>1307.953</v>
      </c>
      <c r="R585" s="962">
        <v>57</v>
      </c>
      <c r="S585" s="962" t="s">
        <v>4940</v>
      </c>
      <c r="T585" s="972">
        <v>399.23583333333335</v>
      </c>
    </row>
    <row r="586" spans="1:20">
      <c r="A586" s="962" t="s">
        <v>5260</v>
      </c>
      <c r="B586" s="972">
        <v>1190.46</v>
      </c>
      <c r="C586" s="972">
        <v>52.731000000000002</v>
      </c>
      <c r="D586" s="972">
        <v>0</v>
      </c>
      <c r="E586" s="972">
        <v>18.010000000000002</v>
      </c>
      <c r="F586" s="972">
        <v>2.9449999999999998</v>
      </c>
      <c r="G586" s="972">
        <v>3.4000000000000002E-2</v>
      </c>
      <c r="H586" s="972">
        <v>0</v>
      </c>
      <c r="I586" s="972">
        <v>42.162999999999997</v>
      </c>
      <c r="J586" s="972">
        <v>7.6290000000000004</v>
      </c>
      <c r="K586" s="972">
        <v>0.503</v>
      </c>
      <c r="L586" s="972">
        <v>0</v>
      </c>
      <c r="M586" s="972">
        <v>0</v>
      </c>
      <c r="N586" s="972">
        <v>1.119</v>
      </c>
      <c r="O586" s="972">
        <v>54.392000000000003</v>
      </c>
      <c r="P586" s="972">
        <v>79.727999999999994</v>
      </c>
      <c r="Q586" s="972">
        <v>1056.3409999999999</v>
      </c>
      <c r="R586" s="962">
        <v>68</v>
      </c>
      <c r="S586" s="962" t="s">
        <v>4940</v>
      </c>
      <c r="T586" s="972">
        <v>296.90233333333333</v>
      </c>
    </row>
    <row r="587" spans="1:20">
      <c r="A587" s="962" t="s">
        <v>2415</v>
      </c>
      <c r="B587" s="972">
        <v>161.12200000000001</v>
      </c>
      <c r="C587" s="972">
        <v>2.91</v>
      </c>
      <c r="D587" s="972">
        <v>0</v>
      </c>
      <c r="E587" s="972">
        <v>11.446</v>
      </c>
      <c r="F587" s="972">
        <v>0.35899999999999999</v>
      </c>
      <c r="G587" s="972">
        <v>3.5999999999999997E-2</v>
      </c>
      <c r="H587" s="972">
        <v>0</v>
      </c>
      <c r="I587" s="972">
        <v>3.089</v>
      </c>
      <c r="J587" s="972">
        <v>0.17</v>
      </c>
      <c r="K587" s="972">
        <v>0</v>
      </c>
      <c r="L587" s="972">
        <v>0</v>
      </c>
      <c r="M587" s="972">
        <v>0</v>
      </c>
      <c r="N587" s="972">
        <v>0.59899999999999998</v>
      </c>
      <c r="O587" s="972">
        <v>4.2530000000000001</v>
      </c>
      <c r="P587" s="972">
        <v>9.1910000000000007</v>
      </c>
      <c r="Q587" s="972">
        <v>147.678</v>
      </c>
      <c r="R587" s="962">
        <v>17</v>
      </c>
      <c r="S587" s="962" t="s">
        <v>4940</v>
      </c>
      <c r="T587" s="972">
        <v>45.344500000000004</v>
      </c>
    </row>
    <row r="588" spans="1:20">
      <c r="A588" s="962" t="s">
        <v>4973</v>
      </c>
      <c r="B588" s="972">
        <v>126.14400000000001</v>
      </c>
      <c r="C588" s="972">
        <v>15.333</v>
      </c>
      <c r="D588" s="972">
        <v>0</v>
      </c>
      <c r="E588" s="972">
        <v>5.0789999999999997</v>
      </c>
      <c r="F588" s="972">
        <v>0.42499999999999999</v>
      </c>
      <c r="G588" s="972">
        <v>0</v>
      </c>
      <c r="H588" s="972">
        <v>0</v>
      </c>
      <c r="I588" s="972">
        <v>4.2699999999999996</v>
      </c>
      <c r="J588" s="972">
        <v>0</v>
      </c>
      <c r="K588" s="972">
        <v>0.63800000000000001</v>
      </c>
      <c r="L588" s="972">
        <v>0</v>
      </c>
      <c r="M588" s="972">
        <v>0</v>
      </c>
      <c r="N588" s="972">
        <v>0</v>
      </c>
      <c r="O588" s="972">
        <v>5.3330000000000002</v>
      </c>
      <c r="P588" s="972">
        <v>0</v>
      </c>
      <c r="Q588" s="972">
        <v>120.812</v>
      </c>
      <c r="R588" s="962">
        <v>8</v>
      </c>
      <c r="S588" s="962" t="s">
        <v>4940</v>
      </c>
      <c r="T588" s="972">
        <v>0</v>
      </c>
    </row>
    <row r="589" spans="1:20">
      <c r="A589" s="962" t="s">
        <v>5262</v>
      </c>
      <c r="B589" s="972">
        <v>425.83600000000001</v>
      </c>
      <c r="C589" s="972">
        <v>7.234</v>
      </c>
      <c r="D589" s="972">
        <v>0</v>
      </c>
      <c r="E589" s="972">
        <v>4.95</v>
      </c>
      <c r="F589" s="972">
        <v>0.73599999999999999</v>
      </c>
      <c r="G589" s="972">
        <v>5.0000000000000001E-3</v>
      </c>
      <c r="H589" s="972">
        <v>0</v>
      </c>
      <c r="I589" s="972">
        <v>12.657999999999999</v>
      </c>
      <c r="J589" s="972">
        <v>1.714</v>
      </c>
      <c r="K589" s="972">
        <v>2.7389999999999999</v>
      </c>
      <c r="L589" s="972">
        <v>0</v>
      </c>
      <c r="M589" s="972">
        <v>0</v>
      </c>
      <c r="N589" s="972">
        <v>0</v>
      </c>
      <c r="O589" s="972">
        <v>17.852</v>
      </c>
      <c r="P589" s="972">
        <v>22.337</v>
      </c>
      <c r="Q589" s="972">
        <v>385.64699999999999</v>
      </c>
      <c r="R589" s="962">
        <v>17</v>
      </c>
      <c r="S589" s="962" t="s">
        <v>4940</v>
      </c>
      <c r="T589" s="972">
        <v>128.94033333333334</v>
      </c>
    </row>
    <row r="590" spans="1:20">
      <c r="A590" s="962" t="s">
        <v>1104</v>
      </c>
      <c r="B590" s="972">
        <v>473.65499999999997</v>
      </c>
      <c r="C590" s="972">
        <v>109.31699999999999</v>
      </c>
      <c r="D590" s="972">
        <v>2.1080000000000001</v>
      </c>
      <c r="E590" s="972">
        <v>4.1849999999999996</v>
      </c>
      <c r="F590" s="972">
        <v>3.9E-2</v>
      </c>
      <c r="G590" s="972">
        <v>0.16700000000000001</v>
      </c>
      <c r="H590" s="972">
        <v>5.8000000000000003E-2</v>
      </c>
      <c r="I590" s="972">
        <v>17.888000000000002</v>
      </c>
      <c r="J590" s="972">
        <v>0.10199999999999999</v>
      </c>
      <c r="K590" s="972">
        <v>0</v>
      </c>
      <c r="L590" s="972">
        <v>0</v>
      </c>
      <c r="M590" s="972">
        <v>0</v>
      </c>
      <c r="N590" s="972">
        <v>0</v>
      </c>
      <c r="O590" s="972">
        <v>18.253</v>
      </c>
      <c r="P590" s="972">
        <v>24.356999999999999</v>
      </c>
      <c r="Q590" s="972">
        <v>431.04500000000002</v>
      </c>
      <c r="R590" s="962">
        <v>0</v>
      </c>
      <c r="S590" s="962" t="s">
        <v>4940</v>
      </c>
      <c r="T590" s="972">
        <v>288.92666666666668</v>
      </c>
    </row>
    <row r="591" spans="1:20">
      <c r="A591" s="962" t="s">
        <v>5264</v>
      </c>
      <c r="B591" s="972">
        <v>673.82899999999995</v>
      </c>
      <c r="C591" s="972">
        <v>142.714</v>
      </c>
      <c r="D591" s="972">
        <v>0</v>
      </c>
      <c r="E591" s="972">
        <v>8.8140000000000001</v>
      </c>
      <c r="F591" s="972">
        <v>0.97499999999999998</v>
      </c>
      <c r="G591" s="972">
        <v>0</v>
      </c>
      <c r="H591" s="972">
        <v>0</v>
      </c>
      <c r="I591" s="972">
        <v>5.01</v>
      </c>
      <c r="J591" s="972">
        <v>9.6000000000000002E-2</v>
      </c>
      <c r="K591" s="972">
        <v>0</v>
      </c>
      <c r="L591" s="972">
        <v>0</v>
      </c>
      <c r="M591" s="972">
        <v>0</v>
      </c>
      <c r="N591" s="972">
        <v>0</v>
      </c>
      <c r="O591" s="972">
        <v>6.0810000000000004</v>
      </c>
      <c r="P591" s="972">
        <v>0</v>
      </c>
      <c r="Q591" s="972">
        <v>667.74800000000005</v>
      </c>
      <c r="R591" s="962">
        <v>0</v>
      </c>
      <c r="S591" s="962" t="s">
        <v>4940</v>
      </c>
      <c r="T591" s="972">
        <v>0</v>
      </c>
    </row>
    <row r="592" spans="1:20">
      <c r="A592" s="962" t="s">
        <v>1107</v>
      </c>
      <c r="B592" s="972">
        <v>327.14</v>
      </c>
      <c r="C592" s="972">
        <v>14.978</v>
      </c>
      <c r="D592" s="972">
        <v>3.4489999999999998</v>
      </c>
      <c r="E592" s="972">
        <v>11.438000000000001</v>
      </c>
      <c r="F592" s="972">
        <v>4.4999999999999998E-2</v>
      </c>
      <c r="G592" s="972">
        <v>0</v>
      </c>
      <c r="H592" s="972">
        <v>0</v>
      </c>
      <c r="I592" s="972">
        <v>6.6970000000000001</v>
      </c>
      <c r="J592" s="972">
        <v>0</v>
      </c>
      <c r="K592" s="972">
        <v>0</v>
      </c>
      <c r="L592" s="972">
        <v>0</v>
      </c>
      <c r="M592" s="972">
        <v>0</v>
      </c>
      <c r="N592" s="972">
        <v>0</v>
      </c>
      <c r="O592" s="972">
        <v>6.7409999999999997</v>
      </c>
      <c r="P592" s="972">
        <v>4.7450000000000001</v>
      </c>
      <c r="Q592" s="972">
        <v>315.654</v>
      </c>
      <c r="R592" s="962">
        <v>0</v>
      </c>
      <c r="S592" s="962" t="s">
        <v>4940</v>
      </c>
      <c r="T592" s="972">
        <v>327.12983333333329</v>
      </c>
    </row>
    <row r="593" spans="1:20">
      <c r="A593" s="962" t="s">
        <v>778</v>
      </c>
      <c r="B593" s="972">
        <v>6678.643</v>
      </c>
      <c r="C593" s="972">
        <v>1485.193</v>
      </c>
      <c r="D593" s="972">
        <v>0</v>
      </c>
      <c r="E593" s="972">
        <v>137.86099999999999</v>
      </c>
      <c r="F593" s="972">
        <v>4.976</v>
      </c>
      <c r="G593" s="972">
        <v>0.16500000000000001</v>
      </c>
      <c r="H593" s="972">
        <v>0</v>
      </c>
      <c r="I593" s="972">
        <v>34.774000000000001</v>
      </c>
      <c r="J593" s="972">
        <v>3.089</v>
      </c>
      <c r="K593" s="972">
        <v>0</v>
      </c>
      <c r="L593" s="972">
        <v>0</v>
      </c>
      <c r="M593" s="972">
        <v>0</v>
      </c>
      <c r="N593" s="972">
        <v>0</v>
      </c>
      <c r="O593" s="972">
        <v>43.003</v>
      </c>
      <c r="P593" s="972">
        <v>0</v>
      </c>
      <c r="Q593" s="972">
        <v>6635.6409999999996</v>
      </c>
      <c r="R593" s="962">
        <v>7</v>
      </c>
      <c r="S593" s="962" t="s">
        <v>4940</v>
      </c>
      <c r="T593" s="972">
        <v>1639.2633333333333</v>
      </c>
    </row>
    <row r="594" spans="1:20">
      <c r="A594" s="962" t="s">
        <v>1113</v>
      </c>
      <c r="B594" s="972">
        <v>1039.415</v>
      </c>
      <c r="C594" s="972">
        <v>269.72699999999998</v>
      </c>
      <c r="D594" s="972">
        <v>0</v>
      </c>
      <c r="E594" s="972">
        <v>3.649</v>
      </c>
      <c r="F594" s="972">
        <v>0.40400000000000003</v>
      </c>
      <c r="G594" s="972">
        <v>0</v>
      </c>
      <c r="H594" s="972">
        <v>0</v>
      </c>
      <c r="I594" s="972">
        <v>6.25</v>
      </c>
      <c r="J594" s="972">
        <v>0.46100000000000002</v>
      </c>
      <c r="K594" s="972">
        <v>0</v>
      </c>
      <c r="L594" s="972">
        <v>0</v>
      </c>
      <c r="M594" s="972">
        <v>0</v>
      </c>
      <c r="N594" s="972">
        <v>0</v>
      </c>
      <c r="O594" s="972">
        <v>7.1139999999999999</v>
      </c>
      <c r="P594" s="972">
        <v>0</v>
      </c>
      <c r="Q594" s="972">
        <v>1032.3009999999999</v>
      </c>
      <c r="R594" s="962">
        <v>0</v>
      </c>
      <c r="S594" s="962" t="s">
        <v>4940</v>
      </c>
      <c r="T594" s="972">
        <v>40.477333333333327</v>
      </c>
    </row>
    <row r="595" spans="1:20">
      <c r="A595" s="962" t="s">
        <v>2054</v>
      </c>
      <c r="B595" s="972">
        <v>14307.293</v>
      </c>
      <c r="C595" s="972">
        <v>7161.1840000000002</v>
      </c>
      <c r="D595" s="972">
        <v>10.634</v>
      </c>
      <c r="E595" s="972">
        <v>541.15</v>
      </c>
      <c r="F595" s="972">
        <v>8.8840000000000003</v>
      </c>
      <c r="G595" s="972">
        <v>1.151</v>
      </c>
      <c r="H595" s="972">
        <v>0</v>
      </c>
      <c r="I595" s="972">
        <v>49.652999999999999</v>
      </c>
      <c r="J595" s="972">
        <v>76.016000000000005</v>
      </c>
      <c r="K595" s="972">
        <v>0</v>
      </c>
      <c r="L595" s="972">
        <v>0</v>
      </c>
      <c r="M595" s="972">
        <v>0</v>
      </c>
      <c r="N595" s="972">
        <v>0</v>
      </c>
      <c r="O595" s="972">
        <v>135.703</v>
      </c>
      <c r="P595" s="972">
        <v>516.46900000000005</v>
      </c>
      <c r="Q595" s="972">
        <v>13655.121999999999</v>
      </c>
      <c r="R595" s="962">
        <v>1847</v>
      </c>
      <c r="S595" s="962" t="s">
        <v>3902</v>
      </c>
      <c r="T595" s="972">
        <v>2996.1312499999995</v>
      </c>
    </row>
    <row r="596" spans="1:20">
      <c r="A596" s="962" t="s">
        <v>1519</v>
      </c>
      <c r="B596" s="972">
        <v>4946.835</v>
      </c>
      <c r="C596" s="972">
        <v>1880.056</v>
      </c>
      <c r="D596" s="972">
        <v>5.0869999999999997</v>
      </c>
      <c r="E596" s="972">
        <v>127.575</v>
      </c>
      <c r="F596" s="972">
        <v>5.742</v>
      </c>
      <c r="G596" s="972">
        <v>0.54200000000000004</v>
      </c>
      <c r="H596" s="972">
        <v>0</v>
      </c>
      <c r="I596" s="972">
        <v>40.078000000000003</v>
      </c>
      <c r="J596" s="972">
        <v>41.198999999999998</v>
      </c>
      <c r="K596" s="972">
        <v>0</v>
      </c>
      <c r="L596" s="972">
        <v>0</v>
      </c>
      <c r="M596" s="972">
        <v>0</v>
      </c>
      <c r="N596" s="972">
        <v>0</v>
      </c>
      <c r="O596" s="972">
        <v>87.558999999999997</v>
      </c>
      <c r="P596" s="972">
        <v>226.82400000000001</v>
      </c>
      <c r="Q596" s="972">
        <v>4632.4520000000002</v>
      </c>
      <c r="R596" s="962">
        <v>724</v>
      </c>
      <c r="S596" s="962" t="s">
        <v>3902</v>
      </c>
      <c r="T596" s="972">
        <v>1285.54575</v>
      </c>
    </row>
    <row r="597" spans="1:20">
      <c r="A597" s="962" t="s">
        <v>1521</v>
      </c>
      <c r="B597" s="972">
        <v>30835.274000000001</v>
      </c>
      <c r="C597" s="972">
        <v>8836.4110000000001</v>
      </c>
      <c r="D597" s="972">
        <v>15.364000000000001</v>
      </c>
      <c r="E597" s="972">
        <v>920.14200000000005</v>
      </c>
      <c r="F597" s="972">
        <v>30.995999999999999</v>
      </c>
      <c r="G597" s="972">
        <v>11.464</v>
      </c>
      <c r="H597" s="972">
        <v>1.246</v>
      </c>
      <c r="I597" s="972">
        <v>309.79300000000001</v>
      </c>
      <c r="J597" s="972">
        <v>199.80100000000002</v>
      </c>
      <c r="K597" s="972">
        <v>0.17100000000000001</v>
      </c>
      <c r="L597" s="972">
        <v>0.28199999999999997</v>
      </c>
      <c r="M597" s="972">
        <v>0</v>
      </c>
      <c r="N597" s="972">
        <v>7.6059999999999999</v>
      </c>
      <c r="O597" s="972">
        <v>561.35599999999999</v>
      </c>
      <c r="P597" s="972">
        <v>1522.6959999999999</v>
      </c>
      <c r="Q597" s="972">
        <v>28751.222000000002</v>
      </c>
      <c r="R597" s="962">
        <v>2262</v>
      </c>
      <c r="S597" s="962" t="s">
        <v>3902</v>
      </c>
      <c r="T597" s="972">
        <v>7982.9942500000006</v>
      </c>
    </row>
    <row r="598" spans="1:20">
      <c r="A598" s="962" t="s">
        <v>1866</v>
      </c>
      <c r="B598" s="972">
        <v>3239.8449999999998</v>
      </c>
      <c r="C598" s="972">
        <v>1667.0509999999999</v>
      </c>
      <c r="D598" s="972">
        <v>1.4039999999999999</v>
      </c>
      <c r="E598" s="972">
        <v>23.669</v>
      </c>
      <c r="F598" s="972">
        <v>3.8460000000000001</v>
      </c>
      <c r="G598" s="972">
        <v>0.107</v>
      </c>
      <c r="H598" s="972">
        <v>0</v>
      </c>
      <c r="I598" s="972">
        <v>27.923999999999999</v>
      </c>
      <c r="J598" s="972">
        <v>20.52</v>
      </c>
      <c r="K598" s="972">
        <v>0</v>
      </c>
      <c r="L598" s="972">
        <v>0</v>
      </c>
      <c r="M598" s="972">
        <v>0</v>
      </c>
      <c r="N598" s="972">
        <v>0</v>
      </c>
      <c r="O598" s="972">
        <v>52.396000000000001</v>
      </c>
      <c r="P598" s="972">
        <v>270.75</v>
      </c>
      <c r="Q598" s="972">
        <v>2916.6990000000001</v>
      </c>
      <c r="R598" s="962">
        <v>332</v>
      </c>
      <c r="S598" s="962" t="s">
        <v>3902</v>
      </c>
      <c r="T598" s="972">
        <v>924.52299999999991</v>
      </c>
    </row>
    <row r="599" spans="1:20">
      <c r="A599" s="962" t="s">
        <v>6167</v>
      </c>
      <c r="B599" s="972">
        <v>24198.562999999998</v>
      </c>
      <c r="C599" s="972">
        <v>6519.3130000000001</v>
      </c>
      <c r="D599" s="972">
        <v>6.5359999999999996</v>
      </c>
      <c r="E599" s="972">
        <v>334.62</v>
      </c>
      <c r="F599" s="972">
        <v>34.112000000000002</v>
      </c>
      <c r="G599" s="972">
        <v>3.536</v>
      </c>
      <c r="H599" s="972">
        <v>0</v>
      </c>
      <c r="I599" s="972">
        <v>303.52600000000001</v>
      </c>
      <c r="J599" s="972">
        <v>189.65899999999999</v>
      </c>
      <c r="K599" s="972">
        <v>0</v>
      </c>
      <c r="L599" s="972">
        <v>9.7200000000000006</v>
      </c>
      <c r="M599" s="972">
        <v>0</v>
      </c>
      <c r="N599" s="972">
        <v>11.292</v>
      </c>
      <c r="O599" s="972">
        <v>551.84400000000005</v>
      </c>
      <c r="P599" s="972">
        <v>1298.9970000000001</v>
      </c>
      <c r="Q599" s="972">
        <v>22347.722000000002</v>
      </c>
      <c r="R599" s="962">
        <v>2815</v>
      </c>
      <c r="S599" s="962" t="s">
        <v>4940</v>
      </c>
      <c r="T599" s="972">
        <v>6239.9044999999996</v>
      </c>
    </row>
    <row r="600" spans="1:20">
      <c r="A600" s="962" t="s">
        <v>6170</v>
      </c>
      <c r="B600" s="972">
        <v>5292.5290000000005</v>
      </c>
      <c r="C600" s="972">
        <v>1327.039</v>
      </c>
      <c r="D600" s="972">
        <v>3.8679999999999999</v>
      </c>
      <c r="E600" s="972">
        <v>135.28200000000001</v>
      </c>
      <c r="F600" s="972">
        <v>4.3689999999999998</v>
      </c>
      <c r="G600" s="972">
        <v>0.45100000000000001</v>
      </c>
      <c r="H600" s="972">
        <v>0</v>
      </c>
      <c r="I600" s="972">
        <v>34.237000000000002</v>
      </c>
      <c r="J600" s="972">
        <v>21.129000000000001</v>
      </c>
      <c r="K600" s="972">
        <v>0</v>
      </c>
      <c r="L600" s="972">
        <v>0</v>
      </c>
      <c r="M600" s="972">
        <v>0</v>
      </c>
      <c r="N600" s="972">
        <v>0.51200000000000001</v>
      </c>
      <c r="O600" s="972">
        <v>60.695</v>
      </c>
      <c r="P600" s="972">
        <v>228.393</v>
      </c>
      <c r="Q600" s="972">
        <v>5003.4409999999998</v>
      </c>
      <c r="R600" s="962">
        <v>722</v>
      </c>
      <c r="S600" s="962" t="s">
        <v>3902</v>
      </c>
      <c r="T600" s="972">
        <v>1355.4370000000001</v>
      </c>
    </row>
    <row r="601" spans="1:20">
      <c r="A601" s="962" t="s">
        <v>6176</v>
      </c>
      <c r="B601" s="972">
        <v>14510.734</v>
      </c>
      <c r="C601" s="972">
        <v>4314.0919999999996</v>
      </c>
      <c r="D601" s="972">
        <v>4.2460000000000004</v>
      </c>
      <c r="E601" s="972">
        <v>583.73299999999995</v>
      </c>
      <c r="F601" s="972">
        <v>6.89</v>
      </c>
      <c r="G601" s="972">
        <v>1.5760000000000001</v>
      </c>
      <c r="H601" s="972">
        <v>0</v>
      </c>
      <c r="I601" s="972">
        <v>154.726</v>
      </c>
      <c r="J601" s="972">
        <v>87.328000000000003</v>
      </c>
      <c r="K601" s="972">
        <v>0</v>
      </c>
      <c r="L601" s="972">
        <v>3.1219999999999999</v>
      </c>
      <c r="M601" s="972">
        <v>0</v>
      </c>
      <c r="N601" s="972">
        <v>0.48799999999999999</v>
      </c>
      <c r="O601" s="972">
        <v>254.12799999999999</v>
      </c>
      <c r="P601" s="972">
        <v>948.58299999999997</v>
      </c>
      <c r="Q601" s="972">
        <v>13308.022999999999</v>
      </c>
      <c r="R601" s="962">
        <v>1275</v>
      </c>
      <c r="S601" s="962" t="s">
        <v>3902</v>
      </c>
      <c r="T601" s="972">
        <v>3651.5439999999999</v>
      </c>
    </row>
    <row r="602" spans="1:20">
      <c r="A602" s="962" t="s">
        <v>5125</v>
      </c>
      <c r="B602" s="972">
        <v>29459.960999999999</v>
      </c>
      <c r="C602" s="972">
        <v>11491.692999999999</v>
      </c>
      <c r="D602" s="972">
        <v>8.2119999999999997</v>
      </c>
      <c r="E602" s="972">
        <v>614.14400000000001</v>
      </c>
      <c r="F602" s="972">
        <v>33.746000000000002</v>
      </c>
      <c r="G602" s="972">
        <v>4.7919999999999998</v>
      </c>
      <c r="H602" s="972">
        <v>0</v>
      </c>
      <c r="I602" s="972">
        <v>313.64999999999998</v>
      </c>
      <c r="J602" s="972">
        <v>128.68299999999999</v>
      </c>
      <c r="K602" s="972">
        <v>0</v>
      </c>
      <c r="L602" s="972">
        <v>5.9779999999999998</v>
      </c>
      <c r="M602" s="972">
        <v>0</v>
      </c>
      <c r="N602" s="972">
        <v>4.1000000000000002E-2</v>
      </c>
      <c r="O602" s="972">
        <v>486.887</v>
      </c>
      <c r="P602" s="972">
        <v>1836.578</v>
      </c>
      <c r="Q602" s="972">
        <v>27136.496999999999</v>
      </c>
      <c r="R602" s="962">
        <v>2654</v>
      </c>
      <c r="S602" s="962" t="s">
        <v>3902</v>
      </c>
      <c r="T602" s="972">
        <v>7068.2957499999993</v>
      </c>
    </row>
    <row r="603" spans="1:20">
      <c r="A603" s="962" t="s">
        <v>648</v>
      </c>
      <c r="B603" s="972">
        <v>2130.9290000000001</v>
      </c>
      <c r="C603" s="972">
        <v>1228.9359999999999</v>
      </c>
      <c r="D603" s="972">
        <v>1.431</v>
      </c>
      <c r="E603" s="972">
        <v>54.378</v>
      </c>
      <c r="F603" s="972">
        <v>1.617</v>
      </c>
      <c r="G603" s="972">
        <v>0.16400000000000001</v>
      </c>
      <c r="H603" s="972">
        <v>0</v>
      </c>
      <c r="I603" s="972">
        <v>15.237</v>
      </c>
      <c r="J603" s="972">
        <v>7.5030000000000001</v>
      </c>
      <c r="K603" s="972">
        <v>0</v>
      </c>
      <c r="L603" s="972">
        <v>0</v>
      </c>
      <c r="M603" s="972">
        <v>0</v>
      </c>
      <c r="N603" s="972">
        <v>0</v>
      </c>
      <c r="O603" s="972">
        <v>24.52</v>
      </c>
      <c r="P603" s="972">
        <v>70.855999999999995</v>
      </c>
      <c r="Q603" s="972">
        <v>2035.5519999999999</v>
      </c>
      <c r="R603" s="962">
        <v>111</v>
      </c>
      <c r="S603" s="962" t="s">
        <v>3902</v>
      </c>
      <c r="T603" s="972">
        <v>484.13874999999996</v>
      </c>
    </row>
    <row r="604" spans="1:20">
      <c r="A604" s="962" t="s">
        <v>780</v>
      </c>
      <c r="B604" s="972">
        <v>9466.1679999999997</v>
      </c>
      <c r="C604" s="972">
        <v>2503.0940000000001</v>
      </c>
      <c r="D604" s="972">
        <v>1.099</v>
      </c>
      <c r="E604" s="972">
        <v>128.244</v>
      </c>
      <c r="F604" s="972">
        <v>8.39</v>
      </c>
      <c r="G604" s="972">
        <v>1.371</v>
      </c>
      <c r="H604" s="972">
        <v>0</v>
      </c>
      <c r="I604" s="972">
        <v>116.113</v>
      </c>
      <c r="J604" s="972">
        <v>43.220000000000006</v>
      </c>
      <c r="K604" s="972">
        <v>0</v>
      </c>
      <c r="L604" s="972">
        <v>0</v>
      </c>
      <c r="M604" s="972">
        <v>0</v>
      </c>
      <c r="N604" s="972">
        <v>3.778</v>
      </c>
      <c r="O604" s="972">
        <v>172.87</v>
      </c>
      <c r="P604" s="972">
        <v>691.95699999999999</v>
      </c>
      <c r="Q604" s="972">
        <v>8601.3420000000006</v>
      </c>
      <c r="R604" s="962">
        <v>937</v>
      </c>
      <c r="S604" s="962" t="s">
        <v>4940</v>
      </c>
      <c r="T604" s="972">
        <v>2791.9629999999997</v>
      </c>
    </row>
    <row r="605" spans="1:20">
      <c r="A605" s="962" t="s">
        <v>6038</v>
      </c>
      <c r="B605" s="972">
        <v>26682.597000000002</v>
      </c>
      <c r="C605" s="972">
        <v>11887.225</v>
      </c>
      <c r="D605" s="972">
        <v>13.395</v>
      </c>
      <c r="E605" s="972">
        <v>279.85300000000001</v>
      </c>
      <c r="F605" s="972">
        <v>28.295000000000002</v>
      </c>
      <c r="G605" s="972">
        <v>7.1859999999999999</v>
      </c>
      <c r="H605" s="972">
        <v>0</v>
      </c>
      <c r="I605" s="972">
        <v>357.94499999999999</v>
      </c>
      <c r="J605" s="972">
        <v>129.69800000000001</v>
      </c>
      <c r="K605" s="972">
        <v>0</v>
      </c>
      <c r="L605" s="972">
        <v>0.155</v>
      </c>
      <c r="M605" s="972">
        <v>0</v>
      </c>
      <c r="N605" s="972">
        <v>0.32300000000000001</v>
      </c>
      <c r="O605" s="972">
        <v>523.59900000000005</v>
      </c>
      <c r="P605" s="972">
        <v>925.03700000000003</v>
      </c>
      <c r="Q605" s="972">
        <v>25233.960999999999</v>
      </c>
      <c r="R605" s="962">
        <v>2809</v>
      </c>
      <c r="S605" s="962" t="s">
        <v>3902</v>
      </c>
      <c r="T605" s="972">
        <v>6081.1807499999995</v>
      </c>
    </row>
    <row r="606" spans="1:20">
      <c r="A606" s="962" t="s">
        <v>3096</v>
      </c>
      <c r="B606" s="972">
        <v>16426.579000000002</v>
      </c>
      <c r="C606" s="972">
        <v>3956.6860000000001</v>
      </c>
      <c r="D606" s="972">
        <v>2.2639999999999998</v>
      </c>
      <c r="E606" s="972">
        <v>544.197</v>
      </c>
      <c r="F606" s="972">
        <v>22.818000000000001</v>
      </c>
      <c r="G606" s="972">
        <v>3.08</v>
      </c>
      <c r="H606" s="972">
        <v>2.0760000000000001</v>
      </c>
      <c r="I606" s="972">
        <v>221.161</v>
      </c>
      <c r="J606" s="972">
        <v>114.35900000000001</v>
      </c>
      <c r="K606" s="972">
        <v>0</v>
      </c>
      <c r="L606" s="972">
        <v>0</v>
      </c>
      <c r="M606" s="972">
        <v>0</v>
      </c>
      <c r="N606" s="972">
        <v>2.7629999999999999</v>
      </c>
      <c r="O606" s="972">
        <v>366.25599999999997</v>
      </c>
      <c r="P606" s="972">
        <v>969.87599999999998</v>
      </c>
      <c r="Q606" s="972">
        <v>15090.447</v>
      </c>
      <c r="R606" s="962">
        <v>1146</v>
      </c>
      <c r="S606" s="962" t="s">
        <v>3902</v>
      </c>
      <c r="T606" s="972">
        <v>4328.4447499999997</v>
      </c>
    </row>
    <row r="607" spans="1:20">
      <c r="A607" s="962" t="s">
        <v>6040</v>
      </c>
      <c r="B607" s="972">
        <v>602.41800000000001</v>
      </c>
      <c r="C607" s="972">
        <v>139.5</v>
      </c>
      <c r="D607" s="972">
        <v>0.84399999999999997</v>
      </c>
      <c r="E607" s="972">
        <v>24.126999999999999</v>
      </c>
      <c r="F607" s="972">
        <v>0.49099999999999999</v>
      </c>
      <c r="G607" s="972">
        <v>3.1E-2</v>
      </c>
      <c r="H607" s="972">
        <v>0</v>
      </c>
      <c r="I607" s="972">
        <v>5.8819999999999997</v>
      </c>
      <c r="J607" s="972">
        <v>0</v>
      </c>
      <c r="K607" s="972">
        <v>0</v>
      </c>
      <c r="L607" s="972">
        <v>0</v>
      </c>
      <c r="M607" s="972">
        <v>0</v>
      </c>
      <c r="N607" s="972">
        <v>0</v>
      </c>
      <c r="O607" s="972">
        <v>6.4039999999999999</v>
      </c>
      <c r="P607" s="972">
        <v>44.215000000000003</v>
      </c>
      <c r="Q607" s="972">
        <v>551.79899999999998</v>
      </c>
      <c r="R607" s="962">
        <v>67</v>
      </c>
      <c r="S607" s="962" t="s">
        <v>3902</v>
      </c>
      <c r="T607" s="972">
        <v>155.38225</v>
      </c>
    </row>
    <row r="608" spans="1:20">
      <c r="A608" s="962" t="s">
        <v>3097</v>
      </c>
      <c r="B608" s="972">
        <v>905.89499999999998</v>
      </c>
      <c r="C608" s="972">
        <v>332.46199999999999</v>
      </c>
      <c r="D608" s="972">
        <v>0</v>
      </c>
      <c r="E608" s="972">
        <v>25.303999999999998</v>
      </c>
      <c r="F608" s="972">
        <v>0.63100000000000001</v>
      </c>
      <c r="G608" s="972">
        <v>0</v>
      </c>
      <c r="H608" s="972">
        <v>0</v>
      </c>
      <c r="I608" s="972">
        <v>10.436999999999999</v>
      </c>
      <c r="J608" s="972">
        <v>0.35</v>
      </c>
      <c r="K608" s="972">
        <v>0</v>
      </c>
      <c r="L608" s="972">
        <v>0</v>
      </c>
      <c r="M608" s="972">
        <v>0</v>
      </c>
      <c r="N608" s="972">
        <v>0</v>
      </c>
      <c r="O608" s="972">
        <v>11.417</v>
      </c>
      <c r="P608" s="972">
        <v>20.088999999999999</v>
      </c>
      <c r="Q608" s="972">
        <v>874.38900000000001</v>
      </c>
      <c r="R608" s="962">
        <v>40</v>
      </c>
      <c r="S608" s="962" t="s">
        <v>3902</v>
      </c>
      <c r="T608" s="972">
        <v>92.770499999999998</v>
      </c>
    </row>
    <row r="609" spans="1:20">
      <c r="A609" s="962" t="s">
        <v>2419</v>
      </c>
      <c r="B609" s="972">
        <v>4518.6480000000001</v>
      </c>
      <c r="C609" s="972">
        <v>2559.12</v>
      </c>
      <c r="D609" s="972">
        <v>1.296</v>
      </c>
      <c r="E609" s="972">
        <v>80.698999999999998</v>
      </c>
      <c r="F609" s="972">
        <v>4.0960000000000001</v>
      </c>
      <c r="G609" s="972">
        <v>0.59799999999999998</v>
      </c>
      <c r="H609" s="972">
        <v>0</v>
      </c>
      <c r="I609" s="972">
        <v>44.387999999999998</v>
      </c>
      <c r="J609" s="972">
        <v>22.818999999999999</v>
      </c>
      <c r="K609" s="972">
        <v>0</v>
      </c>
      <c r="L609" s="972">
        <v>0</v>
      </c>
      <c r="M609" s="972">
        <v>0</v>
      </c>
      <c r="N609" s="972">
        <v>0</v>
      </c>
      <c r="O609" s="972">
        <v>71.902000000000001</v>
      </c>
      <c r="P609" s="972">
        <v>246.012</v>
      </c>
      <c r="Q609" s="972">
        <v>4200.7340000000004</v>
      </c>
      <c r="R609" s="962">
        <v>296</v>
      </c>
      <c r="S609" s="962" t="s">
        <v>4940</v>
      </c>
      <c r="T609" s="972">
        <v>1194.0735</v>
      </c>
    </row>
    <row r="610" spans="1:20">
      <c r="A610" s="962" t="s">
        <v>1115</v>
      </c>
      <c r="B610" s="972">
        <v>97.688999999999993</v>
      </c>
      <c r="C610" s="972">
        <v>16.658000000000001</v>
      </c>
      <c r="D610" s="972">
        <v>0</v>
      </c>
      <c r="E610" s="972">
        <v>18.440999999999999</v>
      </c>
      <c r="F610" s="972">
        <v>5.0999999999999997E-2</v>
      </c>
      <c r="G610" s="972">
        <v>0</v>
      </c>
      <c r="H610" s="972">
        <v>0</v>
      </c>
      <c r="I610" s="972">
        <v>6.601</v>
      </c>
      <c r="J610" s="972">
        <v>0.251</v>
      </c>
      <c r="K610" s="972">
        <v>0</v>
      </c>
      <c r="L610" s="972">
        <v>0</v>
      </c>
      <c r="M610" s="972">
        <v>0</v>
      </c>
      <c r="N610" s="972">
        <v>0</v>
      </c>
      <c r="O610" s="972">
        <v>6.9020000000000001</v>
      </c>
      <c r="P610" s="972">
        <v>0</v>
      </c>
      <c r="Q610" s="972">
        <v>90.787999999999997</v>
      </c>
      <c r="R610" s="962">
        <v>0</v>
      </c>
      <c r="S610" s="962" t="s">
        <v>4940</v>
      </c>
      <c r="T610" s="972">
        <v>0</v>
      </c>
    </row>
    <row r="611" spans="1:20">
      <c r="A611" s="962" t="s">
        <v>2608</v>
      </c>
      <c r="B611" s="972">
        <v>276.858</v>
      </c>
      <c r="C611" s="972">
        <v>0.93100000000000005</v>
      </c>
      <c r="D611" s="972">
        <v>0</v>
      </c>
      <c r="E611" s="972">
        <v>4.3609999999999998</v>
      </c>
      <c r="F611" s="972">
        <v>0.45800000000000002</v>
      </c>
      <c r="G611" s="972">
        <v>0</v>
      </c>
      <c r="H611" s="972">
        <v>0</v>
      </c>
      <c r="I611" s="972">
        <v>7.4690000000000003</v>
      </c>
      <c r="J611" s="972">
        <v>0.47099999999999997</v>
      </c>
      <c r="K611" s="972">
        <v>0</v>
      </c>
      <c r="L611" s="972">
        <v>0</v>
      </c>
      <c r="M611" s="972">
        <v>0</v>
      </c>
      <c r="N611" s="972">
        <v>0</v>
      </c>
      <c r="O611" s="972">
        <v>8.3970000000000002</v>
      </c>
      <c r="P611" s="972">
        <v>18.873999999999999</v>
      </c>
      <c r="Q611" s="972">
        <v>249.58600000000001</v>
      </c>
      <c r="R611" s="962">
        <v>11</v>
      </c>
      <c r="S611" s="962" t="s">
        <v>4940</v>
      </c>
      <c r="T611" s="972">
        <v>83.271999999999991</v>
      </c>
    </row>
    <row r="612" spans="1:20">
      <c r="A612" s="962" t="s">
        <v>448</v>
      </c>
      <c r="B612" s="972">
        <v>232.054</v>
      </c>
      <c r="C612" s="972">
        <v>4.6280000000000001</v>
      </c>
      <c r="D612" s="972">
        <v>0</v>
      </c>
      <c r="E612" s="972">
        <v>10.673</v>
      </c>
      <c r="F612" s="972">
        <v>0.66800000000000004</v>
      </c>
      <c r="G612" s="972">
        <v>0</v>
      </c>
      <c r="H612" s="972">
        <v>0</v>
      </c>
      <c r="I612" s="972">
        <v>5.9050000000000002</v>
      </c>
      <c r="J612" s="972">
        <v>2.7160000000000002</v>
      </c>
      <c r="K612" s="972">
        <v>0</v>
      </c>
      <c r="L612" s="972">
        <v>0</v>
      </c>
      <c r="M612" s="972">
        <v>0</v>
      </c>
      <c r="N612" s="972">
        <v>0</v>
      </c>
      <c r="O612" s="972">
        <v>9.2889999999999997</v>
      </c>
      <c r="P612" s="972">
        <v>20.901</v>
      </c>
      <c r="Q612" s="972">
        <v>201.863</v>
      </c>
      <c r="R612" s="962">
        <v>14</v>
      </c>
      <c r="S612" s="962" t="s">
        <v>4940</v>
      </c>
      <c r="T612" s="972">
        <v>72.89266666666667</v>
      </c>
    </row>
    <row r="613" spans="1:20">
      <c r="A613" s="962" t="s">
        <v>243</v>
      </c>
      <c r="B613" s="972">
        <v>260.39400000000001</v>
      </c>
      <c r="C613" s="972">
        <v>2.3559999999999999</v>
      </c>
      <c r="D613" s="972">
        <v>0</v>
      </c>
      <c r="E613" s="972">
        <v>12.404</v>
      </c>
      <c r="F613" s="972">
        <v>0.45300000000000001</v>
      </c>
      <c r="G613" s="972">
        <v>0</v>
      </c>
      <c r="H613" s="972">
        <v>0</v>
      </c>
      <c r="I613" s="972">
        <v>3.8279999999999998</v>
      </c>
      <c r="J613" s="972">
        <v>1.093</v>
      </c>
      <c r="K613" s="972">
        <v>0.67400000000000004</v>
      </c>
      <c r="L613" s="972">
        <v>0</v>
      </c>
      <c r="M613" s="972">
        <v>0</v>
      </c>
      <c r="N613" s="972">
        <v>0</v>
      </c>
      <c r="O613" s="972">
        <v>6.0469999999999997</v>
      </c>
      <c r="P613" s="972">
        <v>21.317</v>
      </c>
      <c r="Q613" s="972">
        <v>233.03100000000001</v>
      </c>
      <c r="R613" s="962">
        <v>26</v>
      </c>
      <c r="S613" s="962" t="s">
        <v>4940</v>
      </c>
      <c r="T613" s="972">
        <v>75.203666666666663</v>
      </c>
    </row>
    <row r="614" spans="1:20">
      <c r="A614" s="962" t="s">
        <v>1868</v>
      </c>
      <c r="B614" s="972">
        <v>1736.9749999999999</v>
      </c>
      <c r="C614" s="972">
        <v>289.55799999999999</v>
      </c>
      <c r="D614" s="972">
        <v>0.38500000000000001</v>
      </c>
      <c r="E614" s="972">
        <v>59</v>
      </c>
      <c r="F614" s="972">
        <v>2.694</v>
      </c>
      <c r="G614" s="972">
        <v>0.15</v>
      </c>
      <c r="H614" s="972">
        <v>0</v>
      </c>
      <c r="I614" s="972">
        <v>48.103999999999999</v>
      </c>
      <c r="J614" s="972">
        <v>15.32</v>
      </c>
      <c r="K614" s="972">
        <v>0</v>
      </c>
      <c r="L614" s="972">
        <v>0.92900000000000005</v>
      </c>
      <c r="M614" s="972">
        <v>0</v>
      </c>
      <c r="N614" s="972">
        <v>0</v>
      </c>
      <c r="O614" s="972">
        <v>67.195999999999998</v>
      </c>
      <c r="P614" s="972">
        <v>87.805000000000007</v>
      </c>
      <c r="Q614" s="972">
        <v>1581.9739999999999</v>
      </c>
      <c r="R614" s="962">
        <v>127</v>
      </c>
      <c r="S614" s="962" t="s">
        <v>4940</v>
      </c>
      <c r="T614" s="972">
        <v>417.43616666666674</v>
      </c>
    </row>
    <row r="615" spans="1:20">
      <c r="A615" s="962" t="s">
        <v>3098</v>
      </c>
      <c r="B615" s="972">
        <v>392.81</v>
      </c>
      <c r="C615" s="972">
        <v>2</v>
      </c>
      <c r="D615" s="972">
        <v>0</v>
      </c>
      <c r="E615" s="972">
        <v>13.132</v>
      </c>
      <c r="F615" s="972">
        <v>0.59599999999999997</v>
      </c>
      <c r="G615" s="972">
        <v>0.17799999999999999</v>
      </c>
      <c r="H615" s="972">
        <v>0</v>
      </c>
      <c r="I615" s="972">
        <v>11.087999999999999</v>
      </c>
      <c r="J615" s="972">
        <v>1.5</v>
      </c>
      <c r="K615" s="972">
        <v>0</v>
      </c>
      <c r="L615" s="972">
        <v>1.2050000000000001</v>
      </c>
      <c r="M615" s="972">
        <v>0</v>
      </c>
      <c r="N615" s="972">
        <v>0</v>
      </c>
      <c r="O615" s="972">
        <v>14.567</v>
      </c>
      <c r="P615" s="972">
        <v>34.459000000000003</v>
      </c>
      <c r="Q615" s="972">
        <v>343.78399999999999</v>
      </c>
      <c r="R615" s="962">
        <v>43</v>
      </c>
      <c r="S615" s="962" t="s">
        <v>4940</v>
      </c>
      <c r="T615" s="972">
        <v>137.4265</v>
      </c>
    </row>
    <row r="616" spans="1:20">
      <c r="A616" s="962" t="s">
        <v>6022</v>
      </c>
      <c r="B616" s="972">
        <v>679.39700000000005</v>
      </c>
      <c r="C616" s="972">
        <v>42.786999999999999</v>
      </c>
      <c r="D616" s="972">
        <v>0.23</v>
      </c>
      <c r="E616" s="972">
        <v>6.0519999999999996</v>
      </c>
      <c r="F616" s="972">
        <v>0.84</v>
      </c>
      <c r="G616" s="972">
        <v>5.1999999999999998E-2</v>
      </c>
      <c r="H616" s="972">
        <v>0</v>
      </c>
      <c r="I616" s="972">
        <v>23.992999999999999</v>
      </c>
      <c r="J616" s="972">
        <v>4.234</v>
      </c>
      <c r="K616" s="972">
        <v>0.51900000000000002</v>
      </c>
      <c r="L616" s="972">
        <v>0</v>
      </c>
      <c r="M616" s="972">
        <v>0</v>
      </c>
      <c r="N616" s="972">
        <v>5.6920000000000002</v>
      </c>
      <c r="O616" s="972">
        <v>35.33</v>
      </c>
      <c r="P616" s="972">
        <v>46.024999999999999</v>
      </c>
      <c r="Q616" s="972">
        <v>598.04300000000001</v>
      </c>
      <c r="R616" s="962">
        <v>40</v>
      </c>
      <c r="S616" s="962" t="s">
        <v>4940</v>
      </c>
      <c r="T616" s="972">
        <v>199.31400000000002</v>
      </c>
    </row>
    <row r="617" spans="1:20">
      <c r="A617" s="962" t="s">
        <v>2610</v>
      </c>
      <c r="B617" s="972">
        <v>93.626000000000005</v>
      </c>
      <c r="C617" s="972">
        <v>8.44</v>
      </c>
      <c r="D617" s="972">
        <v>0</v>
      </c>
      <c r="E617" s="972">
        <v>0.61299999999999999</v>
      </c>
      <c r="F617" s="972">
        <v>0.23699999999999999</v>
      </c>
      <c r="G617" s="972">
        <v>0</v>
      </c>
      <c r="H617" s="972">
        <v>0</v>
      </c>
      <c r="I617" s="972">
        <v>3.23</v>
      </c>
      <c r="J617" s="972">
        <v>0</v>
      </c>
      <c r="K617" s="972">
        <v>0</v>
      </c>
      <c r="L617" s="972">
        <v>0</v>
      </c>
      <c r="M617" s="972">
        <v>0</v>
      </c>
      <c r="N617" s="972">
        <v>0</v>
      </c>
      <c r="O617" s="972">
        <v>3.4670000000000001</v>
      </c>
      <c r="P617" s="972">
        <v>0</v>
      </c>
      <c r="Q617" s="972">
        <v>90.16</v>
      </c>
      <c r="R617" s="962">
        <v>8</v>
      </c>
      <c r="S617" s="962" t="s">
        <v>4940</v>
      </c>
      <c r="T617" s="972">
        <v>0</v>
      </c>
    </row>
    <row r="618" spans="1:20">
      <c r="A618" s="962" t="s">
        <v>2612</v>
      </c>
      <c r="B618" s="972">
        <v>157.54300000000001</v>
      </c>
      <c r="C618" s="972">
        <v>6.7830000000000004</v>
      </c>
      <c r="D618" s="972">
        <v>0</v>
      </c>
      <c r="E618" s="972">
        <v>9.7050000000000001</v>
      </c>
      <c r="F618" s="972">
        <v>0.497</v>
      </c>
      <c r="G618" s="972">
        <v>0</v>
      </c>
      <c r="H618" s="972">
        <v>0</v>
      </c>
      <c r="I618" s="972">
        <v>3.7290000000000001</v>
      </c>
      <c r="J618" s="972">
        <v>0</v>
      </c>
      <c r="K618" s="972">
        <v>0</v>
      </c>
      <c r="L618" s="972">
        <v>0</v>
      </c>
      <c r="M618" s="972">
        <v>0</v>
      </c>
      <c r="N618" s="972">
        <v>0</v>
      </c>
      <c r="O618" s="972">
        <v>4.2249999999999996</v>
      </c>
      <c r="P618" s="972">
        <v>2.77</v>
      </c>
      <c r="Q618" s="972">
        <v>150.548</v>
      </c>
      <c r="R618" s="962">
        <v>4</v>
      </c>
      <c r="S618" s="962" t="s">
        <v>4940</v>
      </c>
      <c r="T618" s="972">
        <v>24.051833333333335</v>
      </c>
    </row>
    <row r="619" spans="1:20">
      <c r="A619" s="962" t="s">
        <v>782</v>
      </c>
      <c r="B619" s="972">
        <v>1414.164</v>
      </c>
      <c r="C619" s="972">
        <v>51.555</v>
      </c>
      <c r="D619" s="972">
        <v>0.68100000000000005</v>
      </c>
      <c r="E619" s="972">
        <v>34.485999999999997</v>
      </c>
      <c r="F619" s="972">
        <v>3.0209999999999999</v>
      </c>
      <c r="G619" s="972">
        <v>1.7000000000000001E-2</v>
      </c>
      <c r="H619" s="972">
        <v>0</v>
      </c>
      <c r="I619" s="972">
        <v>27.495999999999999</v>
      </c>
      <c r="J619" s="972">
        <v>14.074999999999999</v>
      </c>
      <c r="K619" s="972">
        <v>0</v>
      </c>
      <c r="L619" s="972">
        <v>0</v>
      </c>
      <c r="M619" s="972">
        <v>0</v>
      </c>
      <c r="N619" s="972">
        <v>1.4419999999999999</v>
      </c>
      <c r="O619" s="972">
        <v>46.051000000000002</v>
      </c>
      <c r="P619" s="972">
        <v>69.052000000000007</v>
      </c>
      <c r="Q619" s="972">
        <v>1299.0609999999999</v>
      </c>
      <c r="R619" s="962">
        <v>140</v>
      </c>
      <c r="S619" s="962" t="s">
        <v>4940</v>
      </c>
      <c r="T619" s="972">
        <v>375.36</v>
      </c>
    </row>
    <row r="620" spans="1:20">
      <c r="A620" s="962" t="s">
        <v>2614</v>
      </c>
      <c r="B620" s="972">
        <v>241.74799999999999</v>
      </c>
      <c r="C620" s="972">
        <v>6.3140000000000001</v>
      </c>
      <c r="D620" s="972">
        <v>0.44</v>
      </c>
      <c r="E620" s="972">
        <v>11.23</v>
      </c>
      <c r="F620" s="972">
        <v>0.35399999999999998</v>
      </c>
      <c r="G620" s="972">
        <v>0</v>
      </c>
      <c r="H620" s="972">
        <v>0</v>
      </c>
      <c r="I620" s="972">
        <v>1.9990000000000001</v>
      </c>
      <c r="J620" s="972">
        <v>0.05</v>
      </c>
      <c r="K620" s="972">
        <v>0</v>
      </c>
      <c r="L620" s="972">
        <v>0</v>
      </c>
      <c r="M620" s="972">
        <v>0</v>
      </c>
      <c r="N620" s="972">
        <v>0</v>
      </c>
      <c r="O620" s="972">
        <v>2.403</v>
      </c>
      <c r="P620" s="972">
        <v>11.135</v>
      </c>
      <c r="Q620" s="972">
        <v>228.21</v>
      </c>
      <c r="R620" s="962">
        <v>11</v>
      </c>
      <c r="S620" s="962" t="s">
        <v>4940</v>
      </c>
      <c r="T620" s="972">
        <v>75.373833333333337</v>
      </c>
    </row>
    <row r="621" spans="1:20">
      <c r="A621" s="962" t="s">
        <v>2468</v>
      </c>
      <c r="B621" s="972">
        <v>343.517</v>
      </c>
      <c r="C621" s="972">
        <v>9.6</v>
      </c>
      <c r="D621" s="972">
        <v>5.1999999999999998E-2</v>
      </c>
      <c r="E621" s="972">
        <v>20.120999999999999</v>
      </c>
      <c r="F621" s="972">
        <v>0.72499999999999998</v>
      </c>
      <c r="G621" s="972">
        <v>0</v>
      </c>
      <c r="H621" s="972">
        <v>0</v>
      </c>
      <c r="I621" s="972">
        <v>5.8250000000000002</v>
      </c>
      <c r="J621" s="972">
        <v>0.51500000000000001</v>
      </c>
      <c r="K621" s="972">
        <v>0.69599999999999995</v>
      </c>
      <c r="L621" s="972">
        <v>0.189</v>
      </c>
      <c r="M621" s="972">
        <v>0</v>
      </c>
      <c r="N621" s="972">
        <v>0</v>
      </c>
      <c r="O621" s="972">
        <v>7.95</v>
      </c>
      <c r="P621" s="972">
        <v>23.213999999999999</v>
      </c>
      <c r="Q621" s="972">
        <v>312.35399999999998</v>
      </c>
      <c r="R621" s="962">
        <v>46</v>
      </c>
      <c r="S621" s="962" t="s">
        <v>4940</v>
      </c>
      <c r="T621" s="972">
        <v>95.562666666666672</v>
      </c>
    </row>
    <row r="622" spans="1:20">
      <c r="A622" s="962" t="s">
        <v>2616</v>
      </c>
      <c r="B622" s="972">
        <v>172.07400000000001</v>
      </c>
      <c r="C622" s="972">
        <v>16.597999999999999</v>
      </c>
      <c r="D622" s="972">
        <v>0.42599999999999999</v>
      </c>
      <c r="E622" s="972">
        <v>10.695</v>
      </c>
      <c r="F622" s="972">
        <v>0.22</v>
      </c>
      <c r="G622" s="972">
        <v>0</v>
      </c>
      <c r="H622" s="972">
        <v>0</v>
      </c>
      <c r="I622" s="972">
        <v>2.88</v>
      </c>
      <c r="J622" s="972">
        <v>1.06</v>
      </c>
      <c r="K622" s="972">
        <v>0</v>
      </c>
      <c r="L622" s="972">
        <v>0</v>
      </c>
      <c r="M622" s="972">
        <v>0</v>
      </c>
      <c r="N622" s="972">
        <v>0</v>
      </c>
      <c r="O622" s="972">
        <v>4.16</v>
      </c>
      <c r="P622" s="972">
        <v>16.739999999999998</v>
      </c>
      <c r="Q622" s="972">
        <v>151.17500000000001</v>
      </c>
      <c r="R622" s="962">
        <v>10</v>
      </c>
      <c r="S622" s="962" t="s">
        <v>4940</v>
      </c>
      <c r="T622" s="972">
        <v>70.781499999999994</v>
      </c>
    </row>
    <row r="623" spans="1:20">
      <c r="A623" s="962" t="s">
        <v>784</v>
      </c>
      <c r="B623" s="972">
        <v>227.73699999999999</v>
      </c>
      <c r="C623" s="972">
        <v>7.1859999999999999</v>
      </c>
      <c r="D623" s="972">
        <v>6.5000000000000002E-2</v>
      </c>
      <c r="E623" s="972">
        <v>2.23</v>
      </c>
      <c r="F623" s="972">
        <v>0.34399999999999997</v>
      </c>
      <c r="G623" s="972">
        <v>0</v>
      </c>
      <c r="H623" s="972">
        <v>0</v>
      </c>
      <c r="I623" s="972">
        <v>7.9909999999999997</v>
      </c>
      <c r="J623" s="972">
        <v>0</v>
      </c>
      <c r="K623" s="972">
        <v>0</v>
      </c>
      <c r="L623" s="972">
        <v>0</v>
      </c>
      <c r="M623" s="972">
        <v>0</v>
      </c>
      <c r="N623" s="972">
        <v>0</v>
      </c>
      <c r="O623" s="972">
        <v>8.3360000000000003</v>
      </c>
      <c r="P623" s="972">
        <v>24.401</v>
      </c>
      <c r="Q623" s="972">
        <v>195.001</v>
      </c>
      <c r="R623" s="962">
        <v>19</v>
      </c>
      <c r="S623" s="962" t="s">
        <v>4940</v>
      </c>
      <c r="T623" s="972">
        <v>75.421999999999997</v>
      </c>
    </row>
    <row r="624" spans="1:20">
      <c r="A624" s="962" t="s">
        <v>786</v>
      </c>
      <c r="B624" s="972">
        <v>2719.9270000000001</v>
      </c>
      <c r="C624" s="972">
        <v>130.22200000000001</v>
      </c>
      <c r="D624" s="972">
        <v>2.2330000000000001</v>
      </c>
      <c r="E624" s="972">
        <v>26.859000000000002</v>
      </c>
      <c r="F624" s="972">
        <v>4.2510000000000003</v>
      </c>
      <c r="G624" s="972">
        <v>0.159</v>
      </c>
      <c r="H624" s="972">
        <v>0</v>
      </c>
      <c r="I624" s="972">
        <v>97.576999999999998</v>
      </c>
      <c r="J624" s="972">
        <v>21.347999999999999</v>
      </c>
      <c r="K624" s="972">
        <v>0</v>
      </c>
      <c r="L624" s="972">
        <v>5.5019999999999998</v>
      </c>
      <c r="M624" s="972">
        <v>0</v>
      </c>
      <c r="N624" s="972">
        <v>23.419</v>
      </c>
      <c r="O624" s="972">
        <v>152.255</v>
      </c>
      <c r="P624" s="972">
        <v>164.374</v>
      </c>
      <c r="Q624" s="972">
        <v>2403.2979999999998</v>
      </c>
      <c r="R624" s="962">
        <v>238</v>
      </c>
      <c r="S624" s="962" t="s">
        <v>4940</v>
      </c>
      <c r="T624" s="972">
        <v>702.06849999999997</v>
      </c>
    </row>
    <row r="625" spans="1:20">
      <c r="A625" s="962" t="s">
        <v>788</v>
      </c>
      <c r="B625" s="972">
        <v>301.56</v>
      </c>
      <c r="C625" s="972">
        <v>9.8450000000000006</v>
      </c>
      <c r="D625" s="972">
        <v>1.7999999999999999E-2</v>
      </c>
      <c r="E625" s="972">
        <v>1.52</v>
      </c>
      <c r="F625" s="972">
        <v>0.28999999999999998</v>
      </c>
      <c r="G625" s="972">
        <v>0</v>
      </c>
      <c r="H625" s="972">
        <v>0</v>
      </c>
      <c r="I625" s="972">
        <v>9.8109999999999999</v>
      </c>
      <c r="J625" s="972">
        <v>0</v>
      </c>
      <c r="K625" s="972">
        <v>0</v>
      </c>
      <c r="L625" s="972">
        <v>0</v>
      </c>
      <c r="M625" s="972">
        <v>0</v>
      </c>
      <c r="N625" s="972">
        <v>0</v>
      </c>
      <c r="O625" s="972">
        <v>10.101000000000001</v>
      </c>
      <c r="P625" s="972">
        <v>25.576000000000001</v>
      </c>
      <c r="Q625" s="972">
        <v>265.88299999999998</v>
      </c>
      <c r="R625" s="962">
        <v>30</v>
      </c>
      <c r="S625" s="962" t="s">
        <v>4940</v>
      </c>
      <c r="T625" s="972">
        <v>91.000999999999991</v>
      </c>
    </row>
    <row r="626" spans="1:20">
      <c r="A626" s="962" t="s">
        <v>969</v>
      </c>
      <c r="B626" s="972">
        <v>347.988</v>
      </c>
      <c r="C626" s="972">
        <v>9.109</v>
      </c>
      <c r="D626" s="972">
        <v>0</v>
      </c>
      <c r="E626" s="972">
        <v>14.763999999999999</v>
      </c>
      <c r="F626" s="972">
        <v>0.67200000000000004</v>
      </c>
      <c r="G626" s="972">
        <v>0</v>
      </c>
      <c r="H626" s="972">
        <v>0</v>
      </c>
      <c r="I626" s="972">
        <v>14.882</v>
      </c>
      <c r="J626" s="972">
        <v>0</v>
      </c>
      <c r="K626" s="972">
        <v>0</v>
      </c>
      <c r="L626" s="972">
        <v>0</v>
      </c>
      <c r="M626" s="972">
        <v>0</v>
      </c>
      <c r="N626" s="972">
        <v>0</v>
      </c>
      <c r="O626" s="972">
        <v>15.555</v>
      </c>
      <c r="P626" s="972">
        <v>18.207000000000001</v>
      </c>
      <c r="Q626" s="972">
        <v>314.22699999999998</v>
      </c>
      <c r="R626" s="962">
        <v>19</v>
      </c>
      <c r="S626" s="962" t="s">
        <v>4940</v>
      </c>
      <c r="T626" s="972">
        <v>91.601166666666657</v>
      </c>
    </row>
    <row r="627" spans="1:20">
      <c r="A627" s="962" t="s">
        <v>790</v>
      </c>
      <c r="B627" s="972">
        <v>579.81200000000001</v>
      </c>
      <c r="C627" s="972">
        <v>10.224</v>
      </c>
      <c r="D627" s="972">
        <v>0.186</v>
      </c>
      <c r="E627" s="972">
        <v>8.6980000000000004</v>
      </c>
      <c r="F627" s="972">
        <v>0.878</v>
      </c>
      <c r="G627" s="972">
        <v>0</v>
      </c>
      <c r="H627" s="972">
        <v>0</v>
      </c>
      <c r="I627" s="972">
        <v>11.051</v>
      </c>
      <c r="J627" s="972">
        <v>0</v>
      </c>
      <c r="K627" s="972">
        <v>0</v>
      </c>
      <c r="L627" s="972">
        <v>0</v>
      </c>
      <c r="M627" s="972">
        <v>0</v>
      </c>
      <c r="N627" s="972">
        <v>0</v>
      </c>
      <c r="O627" s="972">
        <v>11.93</v>
      </c>
      <c r="P627" s="972">
        <v>29.263000000000002</v>
      </c>
      <c r="Q627" s="972">
        <v>538.61900000000003</v>
      </c>
      <c r="R627" s="962">
        <v>63</v>
      </c>
      <c r="S627" s="962" t="s">
        <v>4940</v>
      </c>
      <c r="T627" s="972">
        <v>157.12233333333333</v>
      </c>
    </row>
    <row r="628" spans="1:20">
      <c r="A628" s="962" t="s">
        <v>792</v>
      </c>
      <c r="B628" s="972">
        <v>183.27500000000001</v>
      </c>
      <c r="C628" s="972">
        <v>3.5979999999999999</v>
      </c>
      <c r="D628" s="972">
        <v>0</v>
      </c>
      <c r="E628" s="972">
        <v>2.427</v>
      </c>
      <c r="F628" s="972">
        <v>0.14000000000000001</v>
      </c>
      <c r="G628" s="972">
        <v>0</v>
      </c>
      <c r="H628" s="972">
        <v>0</v>
      </c>
      <c r="I628" s="972">
        <v>7.3760000000000003</v>
      </c>
      <c r="J628" s="972">
        <v>0</v>
      </c>
      <c r="K628" s="972">
        <v>0</v>
      </c>
      <c r="L628" s="972">
        <v>0</v>
      </c>
      <c r="M628" s="972">
        <v>0</v>
      </c>
      <c r="N628" s="972">
        <v>0</v>
      </c>
      <c r="O628" s="972">
        <v>7.516</v>
      </c>
      <c r="P628" s="972">
        <v>12.002000000000001</v>
      </c>
      <c r="Q628" s="972">
        <v>163.75700000000001</v>
      </c>
      <c r="R628" s="962">
        <v>11</v>
      </c>
      <c r="S628" s="962" t="s">
        <v>4940</v>
      </c>
      <c r="T628" s="972">
        <v>46.00783333333333</v>
      </c>
    </row>
    <row r="629" spans="1:20">
      <c r="A629" s="962" t="s">
        <v>794</v>
      </c>
      <c r="B629" s="972">
        <v>6130.4840000000004</v>
      </c>
      <c r="C629" s="972">
        <v>421.82100000000003</v>
      </c>
      <c r="D629" s="972">
        <v>0.80600000000000005</v>
      </c>
      <c r="E629" s="972">
        <v>217.874</v>
      </c>
      <c r="F629" s="972">
        <v>12.654999999999999</v>
      </c>
      <c r="G629" s="972">
        <v>0.38200000000000001</v>
      </c>
      <c r="H629" s="972">
        <v>7.8E-2</v>
      </c>
      <c r="I629" s="972">
        <v>91.171999999999997</v>
      </c>
      <c r="J629" s="972">
        <v>53.421999999999997</v>
      </c>
      <c r="K629" s="972">
        <v>0</v>
      </c>
      <c r="L629" s="972">
        <v>1.9390000000000001</v>
      </c>
      <c r="M629" s="972">
        <v>0</v>
      </c>
      <c r="N629" s="972">
        <v>4.62</v>
      </c>
      <c r="O629" s="972">
        <v>164.26599999999999</v>
      </c>
      <c r="P629" s="972">
        <v>279.173</v>
      </c>
      <c r="Q629" s="972">
        <v>5687.0439999999999</v>
      </c>
      <c r="R629" s="962">
        <v>444</v>
      </c>
      <c r="S629" s="962" t="s">
        <v>4940</v>
      </c>
      <c r="T629" s="972">
        <v>1679.5538333333334</v>
      </c>
    </row>
    <row r="630" spans="1:20">
      <c r="A630" s="962" t="s">
        <v>2991</v>
      </c>
      <c r="B630" s="972">
        <v>257.20299999999997</v>
      </c>
      <c r="C630" s="972">
        <v>5.806</v>
      </c>
      <c r="D630" s="972">
        <v>7.4999999999999997E-2</v>
      </c>
      <c r="E630" s="972">
        <v>3.7530000000000001</v>
      </c>
      <c r="F630" s="972">
        <v>0.373</v>
      </c>
      <c r="G630" s="972">
        <v>0</v>
      </c>
      <c r="H630" s="972">
        <v>0</v>
      </c>
      <c r="I630" s="972">
        <v>1.57</v>
      </c>
      <c r="J630" s="972">
        <v>6.6000000000000003E-2</v>
      </c>
      <c r="K630" s="972">
        <v>2.1309999999999998</v>
      </c>
      <c r="L630" s="972">
        <v>0.36299999999999999</v>
      </c>
      <c r="M630" s="972">
        <v>0</v>
      </c>
      <c r="N630" s="972">
        <v>0</v>
      </c>
      <c r="O630" s="972">
        <v>4.5030000000000001</v>
      </c>
      <c r="P630" s="972">
        <v>13.446</v>
      </c>
      <c r="Q630" s="972">
        <v>239.25399999999999</v>
      </c>
      <c r="R630" s="962">
        <v>21</v>
      </c>
      <c r="S630" s="962" t="s">
        <v>4940</v>
      </c>
      <c r="T630" s="972">
        <v>71.513500000000008</v>
      </c>
    </row>
    <row r="631" spans="1:20">
      <c r="A631" s="962" t="s">
        <v>2413</v>
      </c>
      <c r="B631" s="972">
        <v>591.26499999999999</v>
      </c>
      <c r="C631" s="972">
        <v>13.398999999999999</v>
      </c>
      <c r="D631" s="972">
        <v>0</v>
      </c>
      <c r="E631" s="972">
        <v>28.934999999999999</v>
      </c>
      <c r="F631" s="972">
        <v>0.63900000000000001</v>
      </c>
      <c r="G631" s="972">
        <v>0</v>
      </c>
      <c r="H631" s="972">
        <v>0</v>
      </c>
      <c r="I631" s="972">
        <v>8.5679999999999996</v>
      </c>
      <c r="J631" s="972">
        <v>0</v>
      </c>
      <c r="K631" s="972">
        <v>5.532</v>
      </c>
      <c r="L631" s="972">
        <v>0</v>
      </c>
      <c r="M631" s="972">
        <v>0</v>
      </c>
      <c r="N631" s="972">
        <v>0.88300000000000001</v>
      </c>
      <c r="O631" s="972">
        <v>15.622</v>
      </c>
      <c r="P631" s="972">
        <v>56.945999999999998</v>
      </c>
      <c r="Q631" s="972">
        <v>518.697</v>
      </c>
      <c r="R631" s="962">
        <v>37</v>
      </c>
      <c r="S631" s="962" t="s">
        <v>4940</v>
      </c>
      <c r="T631" s="972">
        <v>212.60266666666666</v>
      </c>
    </row>
    <row r="632" spans="1:20">
      <c r="A632" s="962" t="s">
        <v>796</v>
      </c>
      <c r="B632" s="972">
        <v>3960.4430000000002</v>
      </c>
      <c r="C632" s="972">
        <v>322.98700000000002</v>
      </c>
      <c r="D632" s="972">
        <v>2.4060000000000001</v>
      </c>
      <c r="E632" s="972">
        <v>134.035</v>
      </c>
      <c r="F632" s="972">
        <v>3.3570000000000002</v>
      </c>
      <c r="G632" s="972">
        <v>1.266</v>
      </c>
      <c r="H632" s="972">
        <v>0</v>
      </c>
      <c r="I632" s="972">
        <v>45.054000000000002</v>
      </c>
      <c r="J632" s="972">
        <v>20.948</v>
      </c>
      <c r="K632" s="972">
        <v>2.028</v>
      </c>
      <c r="L632" s="972">
        <v>0</v>
      </c>
      <c r="M632" s="972">
        <v>0</v>
      </c>
      <c r="N632" s="972">
        <v>0</v>
      </c>
      <c r="O632" s="972">
        <v>72.652000000000001</v>
      </c>
      <c r="P632" s="972">
        <v>188.358</v>
      </c>
      <c r="Q632" s="972">
        <v>3699.4319999999998</v>
      </c>
      <c r="R632" s="962">
        <v>201</v>
      </c>
      <c r="S632" s="962" t="s">
        <v>4940</v>
      </c>
      <c r="T632" s="972">
        <v>1042.0123333333336</v>
      </c>
    </row>
    <row r="633" spans="1:20">
      <c r="A633" s="962" t="s">
        <v>2044</v>
      </c>
      <c r="B633" s="972">
        <v>389.14400000000001</v>
      </c>
      <c r="C633" s="972">
        <v>10.143000000000001</v>
      </c>
      <c r="D633" s="972">
        <v>0</v>
      </c>
      <c r="E633" s="972">
        <v>6.9930000000000003</v>
      </c>
      <c r="F633" s="972">
        <v>0.66700000000000004</v>
      </c>
      <c r="G633" s="972">
        <v>0</v>
      </c>
      <c r="H633" s="972">
        <v>0</v>
      </c>
      <c r="I633" s="972">
        <v>14.054</v>
      </c>
      <c r="J633" s="972">
        <v>0.45200000000000001</v>
      </c>
      <c r="K633" s="972">
        <v>0</v>
      </c>
      <c r="L633" s="972">
        <v>4.0880000000000001</v>
      </c>
      <c r="M633" s="972">
        <v>0</v>
      </c>
      <c r="N633" s="972">
        <v>0</v>
      </c>
      <c r="O633" s="972">
        <v>19.262</v>
      </c>
      <c r="P633" s="972">
        <v>23.934999999999999</v>
      </c>
      <c r="Q633" s="972">
        <v>345.94799999999998</v>
      </c>
      <c r="R633" s="962">
        <v>45</v>
      </c>
      <c r="S633" s="962" t="s">
        <v>4940</v>
      </c>
      <c r="T633" s="972">
        <v>119.85266666666668</v>
      </c>
    </row>
    <row r="634" spans="1:20">
      <c r="A634" s="962" t="s">
        <v>798</v>
      </c>
      <c r="B634" s="972">
        <v>397.69799999999998</v>
      </c>
      <c r="C634" s="972">
        <v>42.174999999999997</v>
      </c>
      <c r="D634" s="972">
        <v>0</v>
      </c>
      <c r="E634" s="972">
        <v>28.22</v>
      </c>
      <c r="F634" s="972">
        <v>0.82199999999999995</v>
      </c>
      <c r="G634" s="972">
        <v>0.182</v>
      </c>
      <c r="H634" s="972">
        <v>0</v>
      </c>
      <c r="I634" s="972">
        <v>9.6750000000000007</v>
      </c>
      <c r="J634" s="972">
        <v>1.956</v>
      </c>
      <c r="K634" s="972">
        <v>0.70499999999999996</v>
      </c>
      <c r="L634" s="972">
        <v>0.34799999999999998</v>
      </c>
      <c r="M634" s="972">
        <v>0</v>
      </c>
      <c r="N634" s="972">
        <v>0</v>
      </c>
      <c r="O634" s="972">
        <v>13.686</v>
      </c>
      <c r="P634" s="972">
        <v>28.106000000000002</v>
      </c>
      <c r="Q634" s="972">
        <v>355.90600000000001</v>
      </c>
      <c r="R634" s="962">
        <v>2</v>
      </c>
      <c r="S634" s="962" t="s">
        <v>4940</v>
      </c>
      <c r="T634" s="972">
        <v>114.70866666666666</v>
      </c>
    </row>
    <row r="635" spans="1:20">
      <c r="A635" s="962" t="s">
        <v>2358</v>
      </c>
      <c r="B635" s="972">
        <v>236.286</v>
      </c>
      <c r="C635" s="972">
        <v>27.141999999999999</v>
      </c>
      <c r="D635" s="972">
        <v>0.51600000000000001</v>
      </c>
      <c r="E635" s="972">
        <v>15.125</v>
      </c>
      <c r="F635" s="972">
        <v>0.39800000000000002</v>
      </c>
      <c r="G635" s="972">
        <v>4.4999999999999998E-2</v>
      </c>
      <c r="H635" s="972">
        <v>0</v>
      </c>
      <c r="I635" s="972">
        <v>4.1970000000000001</v>
      </c>
      <c r="J635" s="972">
        <v>0.38200000000000001</v>
      </c>
      <c r="K635" s="972">
        <v>0</v>
      </c>
      <c r="L635" s="972">
        <v>0.82299999999999995</v>
      </c>
      <c r="M635" s="972">
        <v>0</v>
      </c>
      <c r="N635" s="972">
        <v>0</v>
      </c>
      <c r="O635" s="972">
        <v>5.8449999999999998</v>
      </c>
      <c r="P635" s="972">
        <v>21.38</v>
      </c>
      <c r="Q635" s="972">
        <v>209.06</v>
      </c>
      <c r="R635" s="962">
        <v>5</v>
      </c>
      <c r="S635" s="962" t="s">
        <v>4940</v>
      </c>
      <c r="T635" s="972">
        <v>79.301666666666662</v>
      </c>
    </row>
    <row r="636" spans="1:20">
      <c r="A636" s="962" t="s">
        <v>800</v>
      </c>
      <c r="B636" s="972">
        <v>759.88599999999997</v>
      </c>
      <c r="C636" s="972">
        <v>124.32599999999999</v>
      </c>
      <c r="D636" s="972">
        <v>9.1999999999999998E-2</v>
      </c>
      <c r="E636" s="972">
        <v>21.04</v>
      </c>
      <c r="F636" s="972">
        <v>0.89800000000000002</v>
      </c>
      <c r="G636" s="972">
        <v>0.16700000000000001</v>
      </c>
      <c r="H636" s="972">
        <v>0</v>
      </c>
      <c r="I636" s="972">
        <v>14.192</v>
      </c>
      <c r="J636" s="972">
        <v>6.0030000000000001</v>
      </c>
      <c r="K636" s="972">
        <v>0</v>
      </c>
      <c r="L636" s="972">
        <v>0.20399999999999999</v>
      </c>
      <c r="M636" s="972">
        <v>0</v>
      </c>
      <c r="N636" s="972">
        <v>0.183</v>
      </c>
      <c r="O636" s="972">
        <v>21.646000000000001</v>
      </c>
      <c r="P636" s="972">
        <v>69.944999999999993</v>
      </c>
      <c r="Q636" s="972">
        <v>668.29499999999996</v>
      </c>
      <c r="R636" s="962">
        <v>70</v>
      </c>
      <c r="S636" s="962" t="s">
        <v>4940</v>
      </c>
      <c r="T636" s="972">
        <v>226.82850000000002</v>
      </c>
    </row>
    <row r="637" spans="1:20">
      <c r="A637" s="962" t="s">
        <v>802</v>
      </c>
      <c r="B637" s="972">
        <v>248.38</v>
      </c>
      <c r="C637" s="972">
        <v>17.975000000000001</v>
      </c>
      <c r="D637" s="972">
        <v>0</v>
      </c>
      <c r="E637" s="972">
        <v>23.475000000000001</v>
      </c>
      <c r="F637" s="972">
        <v>0.36699999999999999</v>
      </c>
      <c r="G637" s="972">
        <v>0</v>
      </c>
      <c r="H637" s="972">
        <v>0</v>
      </c>
      <c r="I637" s="972">
        <v>5.4779999999999998</v>
      </c>
      <c r="J637" s="972">
        <v>0.18</v>
      </c>
      <c r="K637" s="972">
        <v>1.2589999999999999</v>
      </c>
      <c r="L637" s="972">
        <v>0</v>
      </c>
      <c r="M637" s="972">
        <v>0</v>
      </c>
      <c r="N637" s="972">
        <v>0</v>
      </c>
      <c r="O637" s="972">
        <v>7.2830000000000004</v>
      </c>
      <c r="P637" s="972">
        <v>17.594000000000001</v>
      </c>
      <c r="Q637" s="972">
        <v>223.50200000000001</v>
      </c>
      <c r="R637" s="962">
        <v>17</v>
      </c>
      <c r="S637" s="962" t="s">
        <v>4940</v>
      </c>
      <c r="T637" s="972">
        <v>73.964333333333329</v>
      </c>
    </row>
    <row r="638" spans="1:20">
      <c r="A638" s="962" t="s">
        <v>2046</v>
      </c>
      <c r="B638" s="972">
        <v>216.30199999999999</v>
      </c>
      <c r="C638" s="972">
        <v>4.9489999999999998</v>
      </c>
      <c r="D638" s="972">
        <v>0</v>
      </c>
      <c r="E638" s="972">
        <v>13.473000000000001</v>
      </c>
      <c r="F638" s="972">
        <v>0.47</v>
      </c>
      <c r="G638" s="972">
        <v>0</v>
      </c>
      <c r="H638" s="972">
        <v>0</v>
      </c>
      <c r="I638" s="972">
        <v>0</v>
      </c>
      <c r="J638" s="972">
        <v>0</v>
      </c>
      <c r="K638" s="972">
        <v>1.6160000000000001</v>
      </c>
      <c r="L638" s="972">
        <v>1.9E-2</v>
      </c>
      <c r="M638" s="972">
        <v>0</v>
      </c>
      <c r="N638" s="972">
        <v>0</v>
      </c>
      <c r="O638" s="972">
        <v>2.105</v>
      </c>
      <c r="P638" s="972">
        <v>21.934999999999999</v>
      </c>
      <c r="Q638" s="972">
        <v>192.262</v>
      </c>
      <c r="R638" s="962">
        <v>10</v>
      </c>
      <c r="S638" s="962" t="s">
        <v>4940</v>
      </c>
      <c r="T638" s="972">
        <v>78.715999999999994</v>
      </c>
    </row>
    <row r="639" spans="1:20">
      <c r="A639" s="962" t="s">
        <v>804</v>
      </c>
      <c r="B639" s="972">
        <v>1351.835</v>
      </c>
      <c r="C639" s="972">
        <v>153.875</v>
      </c>
      <c r="D639" s="972">
        <v>0.28999999999999998</v>
      </c>
      <c r="E639" s="972">
        <v>51.23</v>
      </c>
      <c r="F639" s="972">
        <v>1.3049999999999999</v>
      </c>
      <c r="G639" s="972">
        <v>0.16700000000000001</v>
      </c>
      <c r="H639" s="972">
        <v>0</v>
      </c>
      <c r="I639" s="972">
        <v>14.35</v>
      </c>
      <c r="J639" s="972">
        <v>6.2119999999999997</v>
      </c>
      <c r="K639" s="972">
        <v>0</v>
      </c>
      <c r="L639" s="972">
        <v>0.58799999999999997</v>
      </c>
      <c r="M639" s="972">
        <v>0</v>
      </c>
      <c r="N639" s="972">
        <v>0.59599999999999997</v>
      </c>
      <c r="O639" s="972">
        <v>23.219000000000001</v>
      </c>
      <c r="P639" s="972">
        <v>52.33</v>
      </c>
      <c r="Q639" s="972">
        <v>1276.2860000000001</v>
      </c>
      <c r="R639" s="962">
        <v>55</v>
      </c>
      <c r="S639" s="962" t="s">
        <v>4940</v>
      </c>
      <c r="T639" s="972">
        <v>338.65683333333328</v>
      </c>
    </row>
    <row r="640" spans="1:20">
      <c r="A640" s="962" t="s">
        <v>806</v>
      </c>
      <c r="B640" s="972">
        <v>463.96899999999999</v>
      </c>
      <c r="C640" s="972">
        <v>2.4220000000000002</v>
      </c>
      <c r="D640" s="972">
        <v>0</v>
      </c>
      <c r="E640" s="972">
        <v>19.274999999999999</v>
      </c>
      <c r="F640" s="972">
        <v>0.65800000000000003</v>
      </c>
      <c r="G640" s="972">
        <v>0</v>
      </c>
      <c r="H640" s="972">
        <v>0</v>
      </c>
      <c r="I640" s="972">
        <v>9.0380000000000003</v>
      </c>
      <c r="J640" s="972">
        <v>0.35</v>
      </c>
      <c r="K640" s="972">
        <v>0</v>
      </c>
      <c r="L640" s="972">
        <v>0</v>
      </c>
      <c r="M640" s="972">
        <v>0</v>
      </c>
      <c r="N640" s="972">
        <v>0</v>
      </c>
      <c r="O640" s="972">
        <v>10.045</v>
      </c>
      <c r="P640" s="972">
        <v>28.613</v>
      </c>
      <c r="Q640" s="972">
        <v>425.31099999999998</v>
      </c>
      <c r="R640" s="962">
        <v>36</v>
      </c>
      <c r="S640" s="962" t="s">
        <v>4940</v>
      </c>
      <c r="T640" s="972">
        <v>150.7526666666667</v>
      </c>
    </row>
    <row r="641" spans="1:20">
      <c r="A641" s="962" t="s">
        <v>808</v>
      </c>
      <c r="B641" s="972">
        <v>476.14299999999997</v>
      </c>
      <c r="C641" s="972">
        <v>5.1820000000000004</v>
      </c>
      <c r="D641" s="972">
        <v>0</v>
      </c>
      <c r="E641" s="972">
        <v>0.995</v>
      </c>
      <c r="F641" s="972">
        <v>0.68500000000000005</v>
      </c>
      <c r="G641" s="972">
        <v>0</v>
      </c>
      <c r="H641" s="972">
        <v>0</v>
      </c>
      <c r="I641" s="972">
        <v>15.65</v>
      </c>
      <c r="J641" s="972">
        <v>0.495</v>
      </c>
      <c r="K641" s="972">
        <v>0</v>
      </c>
      <c r="L641" s="972">
        <v>0</v>
      </c>
      <c r="M641" s="972">
        <v>0</v>
      </c>
      <c r="N641" s="972">
        <v>0</v>
      </c>
      <c r="O641" s="972">
        <v>16.831</v>
      </c>
      <c r="P641" s="972">
        <v>38.844999999999999</v>
      </c>
      <c r="Q641" s="972">
        <v>420.46699999999998</v>
      </c>
      <c r="R641" s="962">
        <v>36</v>
      </c>
      <c r="S641" s="962" t="s">
        <v>4940</v>
      </c>
      <c r="T641" s="972">
        <v>144.89033333333333</v>
      </c>
    </row>
    <row r="642" spans="1:20">
      <c r="A642" s="962" t="s">
        <v>1119</v>
      </c>
      <c r="B642" s="972">
        <v>112.872</v>
      </c>
      <c r="C642" s="972">
        <v>4.7549999999999999</v>
      </c>
      <c r="D642" s="972">
        <v>0</v>
      </c>
      <c r="E642" s="972">
        <v>45.509</v>
      </c>
      <c r="F642" s="972">
        <v>4.4999999999999998E-2</v>
      </c>
      <c r="G642" s="972">
        <v>0</v>
      </c>
      <c r="H642" s="972">
        <v>0</v>
      </c>
      <c r="I642" s="972">
        <v>0.95399999999999996</v>
      </c>
      <c r="J642" s="972">
        <v>0.183</v>
      </c>
      <c r="K642" s="972">
        <v>0</v>
      </c>
      <c r="L642" s="972">
        <v>0</v>
      </c>
      <c r="M642" s="972">
        <v>0</v>
      </c>
      <c r="N642" s="972">
        <v>0</v>
      </c>
      <c r="O642" s="972">
        <v>1.181</v>
      </c>
      <c r="P642" s="972">
        <v>0</v>
      </c>
      <c r="Q642" s="972">
        <v>111.691</v>
      </c>
      <c r="R642" s="962">
        <v>0</v>
      </c>
      <c r="S642" s="962" t="s">
        <v>4940</v>
      </c>
      <c r="T642" s="972">
        <v>0</v>
      </c>
    </row>
    <row r="643" spans="1:20">
      <c r="A643" s="962" t="s">
        <v>810</v>
      </c>
      <c r="B643" s="972">
        <v>421.24400000000003</v>
      </c>
      <c r="C643" s="972">
        <v>1.988</v>
      </c>
      <c r="D643" s="972">
        <v>0</v>
      </c>
      <c r="E643" s="972">
        <v>12.083</v>
      </c>
      <c r="F643" s="972">
        <v>0.93</v>
      </c>
      <c r="G643" s="972">
        <v>0</v>
      </c>
      <c r="H643" s="972">
        <v>0</v>
      </c>
      <c r="I643" s="972">
        <v>7.9340000000000002</v>
      </c>
      <c r="J643" s="972">
        <v>4.0309999999999997</v>
      </c>
      <c r="K643" s="972">
        <v>0</v>
      </c>
      <c r="L643" s="972">
        <v>0</v>
      </c>
      <c r="M643" s="972">
        <v>0</v>
      </c>
      <c r="N643" s="972">
        <v>0</v>
      </c>
      <c r="O643" s="972">
        <v>12.895</v>
      </c>
      <c r="P643" s="972">
        <v>25.446999999999999</v>
      </c>
      <c r="Q643" s="972">
        <v>382.90199999999999</v>
      </c>
      <c r="R643" s="962">
        <v>44</v>
      </c>
      <c r="S643" s="962" t="s">
        <v>4940</v>
      </c>
      <c r="T643" s="972">
        <v>126.09433333333334</v>
      </c>
    </row>
    <row r="644" spans="1:20">
      <c r="A644" s="962" t="s">
        <v>667</v>
      </c>
      <c r="B644" s="972">
        <v>293.80700000000002</v>
      </c>
      <c r="C644" s="972">
        <v>0.51600000000000001</v>
      </c>
      <c r="D644" s="972">
        <v>0</v>
      </c>
      <c r="E644" s="972">
        <v>14.414999999999999</v>
      </c>
      <c r="F644" s="972">
        <v>0.57299999999999995</v>
      </c>
      <c r="G644" s="972">
        <v>0</v>
      </c>
      <c r="H644" s="972">
        <v>0</v>
      </c>
      <c r="I644" s="972">
        <v>7.3360000000000003</v>
      </c>
      <c r="J644" s="972">
        <v>0.86899999999999999</v>
      </c>
      <c r="K644" s="972">
        <v>0</v>
      </c>
      <c r="L644" s="972">
        <v>0</v>
      </c>
      <c r="M644" s="972">
        <v>0</v>
      </c>
      <c r="N644" s="972">
        <v>0</v>
      </c>
      <c r="O644" s="972">
        <v>8.7789999999999999</v>
      </c>
      <c r="P644" s="972">
        <v>26.013000000000002</v>
      </c>
      <c r="Q644" s="972">
        <v>259.01499999999999</v>
      </c>
      <c r="R644" s="962">
        <v>29</v>
      </c>
      <c r="S644" s="962" t="s">
        <v>4940</v>
      </c>
      <c r="T644" s="972">
        <v>83.215833333333322</v>
      </c>
    </row>
    <row r="645" spans="1:20">
      <c r="A645" s="962" t="s">
        <v>1707</v>
      </c>
      <c r="B645" s="972">
        <v>3609.3739999999998</v>
      </c>
      <c r="C645" s="972">
        <v>62.69</v>
      </c>
      <c r="D645" s="972">
        <v>2.323</v>
      </c>
      <c r="E645" s="972">
        <v>118.64700000000001</v>
      </c>
      <c r="F645" s="972">
        <v>6.6980000000000004</v>
      </c>
      <c r="G645" s="972">
        <v>0.17599999999999999</v>
      </c>
      <c r="H645" s="972">
        <v>0</v>
      </c>
      <c r="I645" s="972">
        <v>58.149000000000001</v>
      </c>
      <c r="J645" s="972">
        <v>17.579999999999998</v>
      </c>
      <c r="K645" s="972">
        <v>0</v>
      </c>
      <c r="L645" s="972">
        <v>6.4630000000000001</v>
      </c>
      <c r="M645" s="972">
        <v>0</v>
      </c>
      <c r="N645" s="972">
        <v>0.88800000000000001</v>
      </c>
      <c r="O645" s="972">
        <v>89.953000000000003</v>
      </c>
      <c r="P645" s="972">
        <v>126.498</v>
      </c>
      <c r="Q645" s="972">
        <v>3392.9229999999998</v>
      </c>
      <c r="R645" s="962">
        <v>162</v>
      </c>
      <c r="S645" s="962" t="s">
        <v>4940</v>
      </c>
      <c r="T645" s="972">
        <v>922.11450000000002</v>
      </c>
    </row>
    <row r="646" spans="1:20">
      <c r="A646" s="962" t="s">
        <v>1709</v>
      </c>
      <c r="B646" s="972">
        <v>735.12099999999998</v>
      </c>
      <c r="C646" s="972">
        <v>5.7060000000000004</v>
      </c>
      <c r="D646" s="972">
        <v>0</v>
      </c>
      <c r="E646" s="972">
        <v>25.501999999999999</v>
      </c>
      <c r="F646" s="972">
        <v>0.94799999999999995</v>
      </c>
      <c r="G646" s="972">
        <v>0</v>
      </c>
      <c r="H646" s="972">
        <v>0</v>
      </c>
      <c r="I646" s="972">
        <v>6.8250000000000002</v>
      </c>
      <c r="J646" s="972">
        <v>0</v>
      </c>
      <c r="K646" s="972">
        <v>5.173</v>
      </c>
      <c r="L646" s="972">
        <v>0.88800000000000001</v>
      </c>
      <c r="M646" s="972">
        <v>0</v>
      </c>
      <c r="N646" s="972">
        <v>0</v>
      </c>
      <c r="O646" s="972">
        <v>13.834</v>
      </c>
      <c r="P646" s="972">
        <v>56.954999999999998</v>
      </c>
      <c r="Q646" s="972">
        <v>664.33299999999997</v>
      </c>
      <c r="R646" s="962">
        <v>111</v>
      </c>
      <c r="S646" s="962" t="s">
        <v>4940</v>
      </c>
      <c r="T646" s="972">
        <v>206.05583333333331</v>
      </c>
    </row>
    <row r="647" spans="1:20">
      <c r="A647" s="962" t="s">
        <v>1711</v>
      </c>
      <c r="B647" s="972">
        <v>653.58600000000001</v>
      </c>
      <c r="C647" s="972">
        <v>0.98899999999999999</v>
      </c>
      <c r="D647" s="972">
        <v>0</v>
      </c>
      <c r="E647" s="972">
        <v>16.108000000000001</v>
      </c>
      <c r="F647" s="972">
        <v>0.56999999999999995</v>
      </c>
      <c r="G647" s="972">
        <v>6.0999999999999999E-2</v>
      </c>
      <c r="H647" s="972">
        <v>0</v>
      </c>
      <c r="I647" s="972">
        <v>4.4729999999999999</v>
      </c>
      <c r="J647" s="972">
        <v>0.38100000000000001</v>
      </c>
      <c r="K647" s="972">
        <v>2.2690000000000001</v>
      </c>
      <c r="L647" s="972">
        <v>0.107</v>
      </c>
      <c r="M647" s="972">
        <v>0</v>
      </c>
      <c r="N647" s="972">
        <v>0</v>
      </c>
      <c r="O647" s="972">
        <v>7.859</v>
      </c>
      <c r="P647" s="972">
        <v>42.286999999999999</v>
      </c>
      <c r="Q647" s="972">
        <v>603.44000000000005</v>
      </c>
      <c r="R647" s="962">
        <v>67</v>
      </c>
      <c r="S647" s="962" t="s">
        <v>4940</v>
      </c>
      <c r="T647" s="972">
        <v>185.05100000000002</v>
      </c>
    </row>
    <row r="648" spans="1:20">
      <c r="A648" s="962" t="s">
        <v>1713</v>
      </c>
      <c r="B648" s="972">
        <v>493.108</v>
      </c>
      <c r="C648" s="972">
        <v>246.82</v>
      </c>
      <c r="D648" s="972">
        <v>4.3999999999999997E-2</v>
      </c>
      <c r="E648" s="972">
        <v>0.60299999999999998</v>
      </c>
      <c r="F648" s="972">
        <v>0.42099999999999999</v>
      </c>
      <c r="G648" s="972">
        <v>6.5000000000000002E-2</v>
      </c>
      <c r="H648" s="972">
        <v>0</v>
      </c>
      <c r="I648" s="972">
        <v>6.7789999999999999</v>
      </c>
      <c r="J648" s="972">
        <v>0.70599999999999996</v>
      </c>
      <c r="K648" s="972">
        <v>0</v>
      </c>
      <c r="L648" s="972">
        <v>0</v>
      </c>
      <c r="M648" s="972">
        <v>0</v>
      </c>
      <c r="N648" s="972">
        <v>0</v>
      </c>
      <c r="O648" s="972">
        <v>7.9710000000000001</v>
      </c>
      <c r="P648" s="972">
        <v>25.140999999999998</v>
      </c>
      <c r="Q648" s="972">
        <v>459.99599999999998</v>
      </c>
      <c r="R648" s="962">
        <v>52</v>
      </c>
      <c r="S648" s="962" t="s">
        <v>3902</v>
      </c>
      <c r="T648" s="972">
        <v>167.08974999999998</v>
      </c>
    </row>
    <row r="649" spans="1:20">
      <c r="A649" s="962" t="s">
        <v>1330</v>
      </c>
      <c r="B649" s="972">
        <v>141.69999999999999</v>
      </c>
      <c r="C649" s="972">
        <v>3.0550000000000002</v>
      </c>
      <c r="D649" s="972">
        <v>0</v>
      </c>
      <c r="E649" s="972">
        <v>9.4879999999999995</v>
      </c>
      <c r="F649" s="972">
        <v>0.215</v>
      </c>
      <c r="G649" s="972">
        <v>0</v>
      </c>
      <c r="H649" s="972">
        <v>0</v>
      </c>
      <c r="I649" s="972">
        <v>0.875</v>
      </c>
      <c r="J649" s="972">
        <v>0</v>
      </c>
      <c r="K649" s="972">
        <v>0</v>
      </c>
      <c r="L649" s="972">
        <v>0</v>
      </c>
      <c r="M649" s="972">
        <v>0</v>
      </c>
      <c r="N649" s="972">
        <v>0</v>
      </c>
      <c r="O649" s="972">
        <v>1.089</v>
      </c>
      <c r="P649" s="972">
        <v>9.1050000000000004</v>
      </c>
      <c r="Q649" s="972">
        <v>131.506</v>
      </c>
      <c r="R649" s="962">
        <v>24</v>
      </c>
      <c r="S649" s="962" t="s">
        <v>4940</v>
      </c>
      <c r="T649" s="972">
        <v>41.151499999999999</v>
      </c>
    </row>
    <row r="650" spans="1:20">
      <c r="A650" s="962" t="s">
        <v>1332</v>
      </c>
      <c r="B650" s="972">
        <v>88.6</v>
      </c>
      <c r="C650" s="972">
        <v>11.195</v>
      </c>
      <c r="D650" s="972">
        <v>0</v>
      </c>
      <c r="E650" s="972">
        <v>4.5759999999999996</v>
      </c>
      <c r="F650" s="972">
        <v>0.214</v>
      </c>
      <c r="G650" s="972">
        <v>0</v>
      </c>
      <c r="H650" s="972">
        <v>0</v>
      </c>
      <c r="I650" s="972">
        <v>0</v>
      </c>
      <c r="J650" s="972">
        <v>6.6000000000000003E-2</v>
      </c>
      <c r="K650" s="972">
        <v>0</v>
      </c>
      <c r="L650" s="972">
        <v>0</v>
      </c>
      <c r="M650" s="972">
        <v>0</v>
      </c>
      <c r="N650" s="972">
        <v>0</v>
      </c>
      <c r="O650" s="972">
        <v>0.28000000000000003</v>
      </c>
      <c r="P650" s="972">
        <v>4.7009999999999996</v>
      </c>
      <c r="Q650" s="972">
        <v>83.617999999999995</v>
      </c>
      <c r="R650" s="962">
        <v>4</v>
      </c>
      <c r="S650" s="962" t="s">
        <v>4940</v>
      </c>
      <c r="T650" s="972">
        <v>26.128166666666665</v>
      </c>
    </row>
    <row r="651" spans="1:20">
      <c r="A651" s="962" t="s">
        <v>1121</v>
      </c>
      <c r="B651" s="972">
        <v>436.57400000000001</v>
      </c>
      <c r="C651" s="972">
        <v>34.779000000000003</v>
      </c>
      <c r="D651" s="972">
        <v>0</v>
      </c>
      <c r="E651" s="972">
        <v>15.651</v>
      </c>
      <c r="F651" s="972">
        <v>0.874</v>
      </c>
      <c r="G651" s="972">
        <v>0</v>
      </c>
      <c r="H651" s="972">
        <v>0</v>
      </c>
      <c r="I651" s="972">
        <v>10.829000000000001</v>
      </c>
      <c r="J651" s="972">
        <v>0.26800000000000002</v>
      </c>
      <c r="K651" s="972">
        <v>0</v>
      </c>
      <c r="L651" s="972">
        <v>0</v>
      </c>
      <c r="M651" s="972">
        <v>0</v>
      </c>
      <c r="N651" s="972">
        <v>0</v>
      </c>
      <c r="O651" s="972">
        <v>11.971</v>
      </c>
      <c r="P651" s="972">
        <v>4.7960000000000003</v>
      </c>
      <c r="Q651" s="972">
        <v>419.80700000000002</v>
      </c>
      <c r="R651" s="962">
        <v>41</v>
      </c>
      <c r="S651" s="962" t="s">
        <v>4940</v>
      </c>
      <c r="T651" s="972">
        <v>79.795333333333332</v>
      </c>
    </row>
    <row r="652" spans="1:20">
      <c r="A652" s="962" t="s">
        <v>979</v>
      </c>
      <c r="B652" s="972">
        <v>1428.713</v>
      </c>
      <c r="C652" s="972">
        <v>32.634</v>
      </c>
      <c r="D652" s="972">
        <v>0.23899999999999999</v>
      </c>
      <c r="E652" s="972">
        <v>5.3410000000000002</v>
      </c>
      <c r="F652" s="972">
        <v>1.6919999999999999</v>
      </c>
      <c r="G652" s="972">
        <v>4.4999999999999998E-2</v>
      </c>
      <c r="H652" s="972">
        <v>0</v>
      </c>
      <c r="I652" s="972">
        <v>48.320999999999998</v>
      </c>
      <c r="J652" s="972">
        <v>6.7639999999999993</v>
      </c>
      <c r="K652" s="972">
        <v>3.18</v>
      </c>
      <c r="L652" s="972">
        <v>3.4870000000000001</v>
      </c>
      <c r="M652" s="972">
        <v>0</v>
      </c>
      <c r="N652" s="972">
        <v>0</v>
      </c>
      <c r="O652" s="972">
        <v>63.488</v>
      </c>
      <c r="P652" s="972">
        <v>121.02</v>
      </c>
      <c r="Q652" s="972">
        <v>1244.204</v>
      </c>
      <c r="R652" s="962">
        <v>112</v>
      </c>
      <c r="S652" s="962" t="s">
        <v>4940</v>
      </c>
      <c r="T652" s="972">
        <v>431.1225</v>
      </c>
    </row>
    <row r="653" spans="1:20">
      <c r="A653" s="962" t="s">
        <v>1334</v>
      </c>
      <c r="B653" s="972">
        <v>456.47899999999998</v>
      </c>
      <c r="C653" s="972">
        <v>5.8330000000000002</v>
      </c>
      <c r="D653" s="972">
        <v>0</v>
      </c>
      <c r="E653" s="972">
        <v>4.7039999999999997</v>
      </c>
      <c r="F653" s="972">
        <v>0.443</v>
      </c>
      <c r="G653" s="972">
        <v>0.16700000000000001</v>
      </c>
      <c r="H653" s="972">
        <v>0</v>
      </c>
      <c r="I653" s="972">
        <v>22.843</v>
      </c>
      <c r="J653" s="972">
        <v>1.4330000000000001</v>
      </c>
      <c r="K653" s="972">
        <v>0</v>
      </c>
      <c r="L653" s="972">
        <v>2.6749999999999998</v>
      </c>
      <c r="M653" s="972">
        <v>0</v>
      </c>
      <c r="N653" s="972">
        <v>0</v>
      </c>
      <c r="O653" s="972">
        <v>27.56</v>
      </c>
      <c r="P653" s="972">
        <v>38.404000000000003</v>
      </c>
      <c r="Q653" s="972">
        <v>390.51499999999999</v>
      </c>
      <c r="R653" s="962">
        <v>35</v>
      </c>
      <c r="S653" s="962" t="s">
        <v>4940</v>
      </c>
      <c r="T653" s="972">
        <v>146.96333333333334</v>
      </c>
    </row>
    <row r="654" spans="1:20">
      <c r="A654" s="962" t="s">
        <v>235</v>
      </c>
      <c r="B654" s="972">
        <v>1482.6569999999999</v>
      </c>
      <c r="C654" s="972">
        <v>100.53400000000001</v>
      </c>
      <c r="D654" s="972">
        <v>0.42499999999999999</v>
      </c>
      <c r="E654" s="972">
        <v>50.466000000000001</v>
      </c>
      <c r="F654" s="972">
        <v>2.069</v>
      </c>
      <c r="G654" s="972">
        <v>0.161</v>
      </c>
      <c r="H654" s="972">
        <v>0</v>
      </c>
      <c r="I654" s="972">
        <v>24.96</v>
      </c>
      <c r="J654" s="972">
        <v>17.397000000000002</v>
      </c>
      <c r="K654" s="972">
        <v>1.843</v>
      </c>
      <c r="L654" s="972">
        <v>1.873</v>
      </c>
      <c r="M654" s="972">
        <v>0</v>
      </c>
      <c r="N654" s="972">
        <v>0</v>
      </c>
      <c r="O654" s="972">
        <v>48.304000000000002</v>
      </c>
      <c r="P654" s="972">
        <v>109.194</v>
      </c>
      <c r="Q654" s="972">
        <v>1325.1590000000001</v>
      </c>
      <c r="R654" s="962">
        <v>72</v>
      </c>
      <c r="S654" s="962" t="s">
        <v>4940</v>
      </c>
      <c r="T654" s="972">
        <v>427.66899999999998</v>
      </c>
    </row>
    <row r="655" spans="1:20">
      <c r="A655" s="962" t="s">
        <v>3961</v>
      </c>
      <c r="B655" s="972">
        <v>4529.8649999999998</v>
      </c>
      <c r="C655" s="972">
        <v>719.04</v>
      </c>
      <c r="D655" s="972">
        <v>2.8809999999999998</v>
      </c>
      <c r="E655" s="972">
        <v>20.588999999999999</v>
      </c>
      <c r="F655" s="972">
        <v>7.8250000000000002</v>
      </c>
      <c r="G655" s="972">
        <v>0.375</v>
      </c>
      <c r="H655" s="972">
        <v>0</v>
      </c>
      <c r="I655" s="972">
        <v>106.97199999999999</v>
      </c>
      <c r="J655" s="972">
        <v>42.937999999999995</v>
      </c>
      <c r="K655" s="972">
        <v>0.21199999999999999</v>
      </c>
      <c r="L655" s="972">
        <v>8.4000000000000005E-2</v>
      </c>
      <c r="M655" s="972">
        <v>0</v>
      </c>
      <c r="N655" s="972">
        <v>1.9910000000000001</v>
      </c>
      <c r="O655" s="972">
        <v>160.39599999999999</v>
      </c>
      <c r="P655" s="972">
        <v>225.143</v>
      </c>
      <c r="Q655" s="972">
        <v>4144.326</v>
      </c>
      <c r="R655" s="962">
        <v>347</v>
      </c>
      <c r="S655" s="962" t="s">
        <v>4940</v>
      </c>
      <c r="T655" s="972">
        <v>1118.5611666666668</v>
      </c>
    </row>
    <row r="656" spans="1:20">
      <c r="A656" s="962" t="s">
        <v>2359</v>
      </c>
      <c r="B656" s="972">
        <v>840.06500000000005</v>
      </c>
      <c r="C656" s="972">
        <v>8.9090000000000007</v>
      </c>
      <c r="D656" s="972">
        <v>0</v>
      </c>
      <c r="E656" s="972">
        <v>7.1449999999999996</v>
      </c>
      <c r="F656" s="972">
        <v>1.246</v>
      </c>
      <c r="G656" s="972">
        <v>2.1999999999999999E-2</v>
      </c>
      <c r="H656" s="972">
        <v>0</v>
      </c>
      <c r="I656" s="972">
        <v>29.227</v>
      </c>
      <c r="J656" s="972">
        <v>3.1379999999999999</v>
      </c>
      <c r="K656" s="972">
        <v>9.8000000000000004E-2</v>
      </c>
      <c r="L656" s="972">
        <v>1.5640000000000001</v>
      </c>
      <c r="M656" s="972">
        <v>0</v>
      </c>
      <c r="N656" s="972">
        <v>12.180999999999999</v>
      </c>
      <c r="O656" s="972">
        <v>47.475999999999999</v>
      </c>
      <c r="P656" s="972">
        <v>56.545000000000002</v>
      </c>
      <c r="Q656" s="972">
        <v>736.04399999999998</v>
      </c>
      <c r="R656" s="962">
        <v>95</v>
      </c>
      <c r="S656" s="962" t="s">
        <v>4940</v>
      </c>
      <c r="T656" s="972">
        <v>264.6465</v>
      </c>
    </row>
    <row r="657" spans="1:20">
      <c r="A657" s="962" t="s">
        <v>650</v>
      </c>
      <c r="B657" s="972">
        <v>2334.9059999999999</v>
      </c>
      <c r="C657" s="972">
        <v>148.94499999999999</v>
      </c>
      <c r="D657" s="972">
        <v>0.39600000000000002</v>
      </c>
      <c r="E657" s="972">
        <v>34.734000000000002</v>
      </c>
      <c r="F657" s="972">
        <v>5.3810000000000002</v>
      </c>
      <c r="G657" s="972">
        <v>0.14799999999999999</v>
      </c>
      <c r="H657" s="972">
        <v>0</v>
      </c>
      <c r="I657" s="972">
        <v>63.987000000000002</v>
      </c>
      <c r="J657" s="972">
        <v>25.317</v>
      </c>
      <c r="K657" s="972">
        <v>0</v>
      </c>
      <c r="L657" s="972">
        <v>0</v>
      </c>
      <c r="M657" s="972">
        <v>0</v>
      </c>
      <c r="N657" s="972">
        <v>3.1219999999999999</v>
      </c>
      <c r="O657" s="972">
        <v>97.953999999999994</v>
      </c>
      <c r="P657" s="972">
        <v>194.43899999999999</v>
      </c>
      <c r="Q657" s="972">
        <v>2042.5129999999999</v>
      </c>
      <c r="R657" s="962">
        <v>144</v>
      </c>
      <c r="S657" s="962" t="s">
        <v>4940</v>
      </c>
      <c r="T657" s="972">
        <v>634.46883333333335</v>
      </c>
    </row>
    <row r="658" spans="1:20">
      <c r="A658" s="962" t="s">
        <v>2127</v>
      </c>
      <c r="B658" s="972">
        <v>588.31100000000004</v>
      </c>
      <c r="C658" s="972">
        <v>44.557000000000002</v>
      </c>
      <c r="D658" s="972">
        <v>0</v>
      </c>
      <c r="E658" s="972">
        <v>23.832999999999998</v>
      </c>
      <c r="F658" s="972">
        <v>1.2390000000000001</v>
      </c>
      <c r="G658" s="972">
        <v>0</v>
      </c>
      <c r="H658" s="972">
        <v>0</v>
      </c>
      <c r="I658" s="972">
        <v>6.944</v>
      </c>
      <c r="J658" s="972">
        <v>2.7549999999999999</v>
      </c>
      <c r="K658" s="972">
        <v>0</v>
      </c>
      <c r="L658" s="972">
        <v>0</v>
      </c>
      <c r="M658" s="972">
        <v>0</v>
      </c>
      <c r="N658" s="972">
        <v>0.58199999999999996</v>
      </c>
      <c r="O658" s="972">
        <v>11.522</v>
      </c>
      <c r="P658" s="972">
        <v>45.738</v>
      </c>
      <c r="Q658" s="972">
        <v>531.05100000000004</v>
      </c>
      <c r="R658" s="962">
        <v>42</v>
      </c>
      <c r="S658" s="962" t="s">
        <v>4940</v>
      </c>
      <c r="T658" s="972">
        <v>163.452</v>
      </c>
    </row>
    <row r="659" spans="1:20">
      <c r="A659" s="962" t="s">
        <v>3963</v>
      </c>
      <c r="B659" s="972">
        <v>378.99900000000002</v>
      </c>
      <c r="C659" s="972">
        <v>31.024000000000001</v>
      </c>
      <c r="D659" s="972">
        <v>0</v>
      </c>
      <c r="E659" s="972">
        <v>1.8340000000000001</v>
      </c>
      <c r="F659" s="972">
        <v>0.64</v>
      </c>
      <c r="G659" s="972">
        <v>0</v>
      </c>
      <c r="H659" s="972">
        <v>0</v>
      </c>
      <c r="I659" s="972">
        <v>8.81</v>
      </c>
      <c r="J659" s="972">
        <v>2.1970000000000001</v>
      </c>
      <c r="K659" s="972">
        <v>0.53900000000000003</v>
      </c>
      <c r="L659" s="972">
        <v>3.4860000000000002</v>
      </c>
      <c r="M659" s="972">
        <v>0</v>
      </c>
      <c r="N659" s="972">
        <v>1.111</v>
      </c>
      <c r="O659" s="972">
        <v>16.780999999999999</v>
      </c>
      <c r="P659" s="972">
        <v>37.229999999999997</v>
      </c>
      <c r="Q659" s="972">
        <v>324.988</v>
      </c>
      <c r="R659" s="962">
        <v>28</v>
      </c>
      <c r="S659" s="962" t="s">
        <v>4940</v>
      </c>
      <c r="T659" s="972">
        <v>96.188000000000002</v>
      </c>
    </row>
    <row r="660" spans="1:20">
      <c r="A660" s="962" t="s">
        <v>953</v>
      </c>
      <c r="B660" s="972">
        <v>562.20000000000005</v>
      </c>
      <c r="C660" s="972">
        <v>45.851999999999997</v>
      </c>
      <c r="D660" s="972">
        <v>7.4999999999999997E-2</v>
      </c>
      <c r="E660" s="972">
        <v>1.472</v>
      </c>
      <c r="F660" s="972">
        <v>0.71599999999999997</v>
      </c>
      <c r="G660" s="972">
        <v>0.13</v>
      </c>
      <c r="H660" s="972">
        <v>0</v>
      </c>
      <c r="I660" s="972">
        <v>13.619</v>
      </c>
      <c r="J660" s="972">
        <v>3.5829999999999997</v>
      </c>
      <c r="K660" s="972">
        <v>0.60599999999999998</v>
      </c>
      <c r="L660" s="972">
        <v>0</v>
      </c>
      <c r="M660" s="972">
        <v>0</v>
      </c>
      <c r="N660" s="972">
        <v>0</v>
      </c>
      <c r="O660" s="972">
        <v>18.655000000000001</v>
      </c>
      <c r="P660" s="972">
        <v>20.888999999999999</v>
      </c>
      <c r="Q660" s="972">
        <v>522.65599999999995</v>
      </c>
      <c r="R660" s="962">
        <v>45</v>
      </c>
      <c r="S660" s="962" t="s">
        <v>4940</v>
      </c>
      <c r="T660" s="972">
        <v>161.57333333333332</v>
      </c>
    </row>
    <row r="661" spans="1:20">
      <c r="A661" s="962" t="s">
        <v>971</v>
      </c>
      <c r="B661" s="972">
        <v>495.31</v>
      </c>
      <c r="C661" s="972">
        <v>0</v>
      </c>
      <c r="D661" s="972">
        <v>0</v>
      </c>
      <c r="E661" s="972">
        <v>3.0939999999999999</v>
      </c>
      <c r="F661" s="972">
        <v>0.63100000000000001</v>
      </c>
      <c r="G661" s="972">
        <v>1.2E-2</v>
      </c>
      <c r="H661" s="972">
        <v>0</v>
      </c>
      <c r="I661" s="972">
        <v>18.234000000000002</v>
      </c>
      <c r="J661" s="972">
        <v>0</v>
      </c>
      <c r="K661" s="972">
        <v>0</v>
      </c>
      <c r="L661" s="972">
        <v>1.829</v>
      </c>
      <c r="M661" s="972">
        <v>0</v>
      </c>
      <c r="N661" s="972">
        <v>5.508</v>
      </c>
      <c r="O661" s="972">
        <v>26.213999999999999</v>
      </c>
      <c r="P661" s="972">
        <v>24.800999999999998</v>
      </c>
      <c r="Q661" s="972">
        <v>444.29599999999999</v>
      </c>
      <c r="R661" s="962">
        <v>67</v>
      </c>
      <c r="S661" s="962" t="s">
        <v>4940</v>
      </c>
      <c r="T661" s="972">
        <v>154.91083333333333</v>
      </c>
    </row>
    <row r="662" spans="1:20">
      <c r="A662" s="962" t="s">
        <v>3965</v>
      </c>
      <c r="B662" s="972">
        <v>2514.9250000000002</v>
      </c>
      <c r="C662" s="972">
        <v>230.97300000000001</v>
      </c>
      <c r="D662" s="972">
        <v>1.375</v>
      </c>
      <c r="E662" s="972">
        <v>90.56</v>
      </c>
      <c r="F662" s="972">
        <v>2.4820000000000002</v>
      </c>
      <c r="G662" s="972">
        <v>0.39100000000000001</v>
      </c>
      <c r="H662" s="972">
        <v>0</v>
      </c>
      <c r="I662" s="972">
        <v>58.284999999999997</v>
      </c>
      <c r="J662" s="972">
        <v>14.335999999999999</v>
      </c>
      <c r="K662" s="972">
        <v>0</v>
      </c>
      <c r="L662" s="972">
        <v>0.56999999999999995</v>
      </c>
      <c r="M662" s="972">
        <v>0</v>
      </c>
      <c r="N662" s="972">
        <v>0</v>
      </c>
      <c r="O662" s="972">
        <v>76.063999999999993</v>
      </c>
      <c r="P662" s="972">
        <v>119.51600000000001</v>
      </c>
      <c r="Q662" s="972">
        <v>2319.346</v>
      </c>
      <c r="R662" s="962">
        <v>168</v>
      </c>
      <c r="S662" s="962" t="s">
        <v>4940</v>
      </c>
      <c r="T662" s="972">
        <v>694.11466666666661</v>
      </c>
    </row>
    <row r="663" spans="1:20">
      <c r="A663" s="962" t="s">
        <v>3967</v>
      </c>
      <c r="B663" s="972">
        <v>752.09500000000003</v>
      </c>
      <c r="C663" s="972">
        <v>1.4850000000000001</v>
      </c>
      <c r="D663" s="972">
        <v>0.55000000000000004</v>
      </c>
      <c r="E663" s="972">
        <v>31.683</v>
      </c>
      <c r="F663" s="972">
        <v>1.4870000000000001</v>
      </c>
      <c r="G663" s="972">
        <v>0</v>
      </c>
      <c r="H663" s="972">
        <v>0</v>
      </c>
      <c r="I663" s="972">
        <v>19.766999999999999</v>
      </c>
      <c r="J663" s="972">
        <v>4.3070000000000004</v>
      </c>
      <c r="K663" s="972">
        <v>0</v>
      </c>
      <c r="L663" s="972">
        <v>0.85799999999999998</v>
      </c>
      <c r="M663" s="972">
        <v>0</v>
      </c>
      <c r="N663" s="972">
        <v>4.0890000000000004</v>
      </c>
      <c r="O663" s="972">
        <v>30.507000000000001</v>
      </c>
      <c r="P663" s="972">
        <v>28.094000000000001</v>
      </c>
      <c r="Q663" s="972">
        <v>693.49400000000003</v>
      </c>
      <c r="R663" s="962">
        <v>39</v>
      </c>
      <c r="S663" s="962" t="s">
        <v>4940</v>
      </c>
      <c r="T663" s="972">
        <v>201.44733333333332</v>
      </c>
    </row>
    <row r="664" spans="1:20">
      <c r="A664" s="962" t="s">
        <v>3969</v>
      </c>
      <c r="B664" s="972">
        <v>566.13</v>
      </c>
      <c r="C664" s="972">
        <v>6.5730000000000004</v>
      </c>
      <c r="D664" s="972">
        <v>0</v>
      </c>
      <c r="E664" s="972">
        <v>34.531999999999996</v>
      </c>
      <c r="F664" s="972">
        <v>0.60899999999999999</v>
      </c>
      <c r="G664" s="972">
        <v>0</v>
      </c>
      <c r="H664" s="972">
        <v>0</v>
      </c>
      <c r="I664" s="972">
        <v>13.365</v>
      </c>
      <c r="J664" s="972">
        <v>3.609</v>
      </c>
      <c r="K664" s="972">
        <v>0</v>
      </c>
      <c r="L664" s="972">
        <v>0</v>
      </c>
      <c r="M664" s="972">
        <v>0</v>
      </c>
      <c r="N664" s="972">
        <v>0</v>
      </c>
      <c r="O664" s="972">
        <v>17.582000000000001</v>
      </c>
      <c r="P664" s="972">
        <v>25.788</v>
      </c>
      <c r="Q664" s="972">
        <v>522.76</v>
      </c>
      <c r="R664" s="962">
        <v>42</v>
      </c>
      <c r="S664" s="962" t="s">
        <v>4940</v>
      </c>
      <c r="T664" s="972">
        <v>163.15533333333332</v>
      </c>
    </row>
    <row r="665" spans="1:20">
      <c r="A665" s="962" t="s">
        <v>757</v>
      </c>
      <c r="B665" s="972">
        <v>76.694999999999993</v>
      </c>
      <c r="C665" s="972">
        <v>4.6669999999999998</v>
      </c>
      <c r="D665" s="972">
        <v>0</v>
      </c>
      <c r="E665" s="972">
        <v>5.4169999999999998</v>
      </c>
      <c r="F665" s="972">
        <v>4.1000000000000002E-2</v>
      </c>
      <c r="G665" s="972">
        <v>0</v>
      </c>
      <c r="H665" s="972">
        <v>0</v>
      </c>
      <c r="I665" s="972">
        <v>0.48499999999999999</v>
      </c>
      <c r="J665" s="972">
        <v>0</v>
      </c>
      <c r="K665" s="972">
        <v>0</v>
      </c>
      <c r="L665" s="972">
        <v>0</v>
      </c>
      <c r="M665" s="972">
        <v>0</v>
      </c>
      <c r="N665" s="972">
        <v>0</v>
      </c>
      <c r="O665" s="972">
        <v>0.52700000000000002</v>
      </c>
      <c r="P665" s="972">
        <v>0</v>
      </c>
      <c r="Q665" s="972">
        <v>76.168999999999997</v>
      </c>
      <c r="R665" s="962">
        <v>3</v>
      </c>
      <c r="S665" s="962" t="s">
        <v>4940</v>
      </c>
      <c r="T665" s="972">
        <v>0</v>
      </c>
    </row>
    <row r="666" spans="1:20">
      <c r="A666" s="962" t="s">
        <v>759</v>
      </c>
      <c r="B666" s="972">
        <v>323.62</v>
      </c>
      <c r="C666" s="972">
        <v>0</v>
      </c>
      <c r="D666" s="972">
        <v>0.20899999999999999</v>
      </c>
      <c r="E666" s="972">
        <v>4.8639999999999999</v>
      </c>
      <c r="F666" s="972">
        <v>0.25700000000000001</v>
      </c>
      <c r="G666" s="972">
        <v>0</v>
      </c>
      <c r="H666" s="972">
        <v>0</v>
      </c>
      <c r="I666" s="972">
        <v>3.5419999999999998</v>
      </c>
      <c r="J666" s="972">
        <v>1.1659999999999999</v>
      </c>
      <c r="K666" s="972">
        <v>0</v>
      </c>
      <c r="L666" s="972">
        <v>0.67900000000000005</v>
      </c>
      <c r="M666" s="972">
        <v>0</v>
      </c>
      <c r="N666" s="972">
        <v>1.51</v>
      </c>
      <c r="O666" s="972">
        <v>7.1529999999999996</v>
      </c>
      <c r="P666" s="972">
        <v>18.838000000000001</v>
      </c>
      <c r="Q666" s="972">
        <v>297.63</v>
      </c>
      <c r="R666" s="962">
        <v>30</v>
      </c>
      <c r="S666" s="962" t="s">
        <v>4940</v>
      </c>
      <c r="T666" s="972">
        <v>116.4695</v>
      </c>
    </row>
    <row r="667" spans="1:20">
      <c r="A667" s="962" t="s">
        <v>69</v>
      </c>
      <c r="B667" s="972">
        <v>185.99700000000001</v>
      </c>
      <c r="C667" s="972">
        <v>3.3919999999999999</v>
      </c>
      <c r="D667" s="972">
        <v>0</v>
      </c>
      <c r="E667" s="972">
        <v>5.6020000000000003</v>
      </c>
      <c r="F667" s="972">
        <v>0.27</v>
      </c>
      <c r="G667" s="972">
        <v>0</v>
      </c>
      <c r="H667" s="972">
        <v>0</v>
      </c>
      <c r="I667" s="972">
        <v>5.6689999999999996</v>
      </c>
      <c r="J667" s="972">
        <v>0</v>
      </c>
      <c r="K667" s="972">
        <v>0</v>
      </c>
      <c r="L667" s="972">
        <v>0</v>
      </c>
      <c r="M667" s="972">
        <v>0</v>
      </c>
      <c r="N667" s="972">
        <v>0</v>
      </c>
      <c r="O667" s="972">
        <v>5.9379999999999997</v>
      </c>
      <c r="P667" s="972">
        <v>13.679</v>
      </c>
      <c r="Q667" s="972">
        <v>166.38</v>
      </c>
      <c r="R667" s="962">
        <v>13</v>
      </c>
      <c r="S667" s="962" t="s">
        <v>4940</v>
      </c>
      <c r="T667" s="972">
        <v>51.899500000000003</v>
      </c>
    </row>
    <row r="668" spans="1:20">
      <c r="A668" s="962" t="s">
        <v>71</v>
      </c>
      <c r="B668" s="972">
        <v>888.024</v>
      </c>
      <c r="C668" s="972">
        <v>72.972999999999999</v>
      </c>
      <c r="D668" s="972">
        <v>0</v>
      </c>
      <c r="E668" s="972">
        <v>20.184999999999999</v>
      </c>
      <c r="F668" s="972">
        <v>1.5860000000000001</v>
      </c>
      <c r="G668" s="972">
        <v>0</v>
      </c>
      <c r="H668" s="972">
        <v>0</v>
      </c>
      <c r="I668" s="972">
        <v>16.763000000000002</v>
      </c>
      <c r="J668" s="972">
        <v>8.3899999999999988</v>
      </c>
      <c r="K668" s="972">
        <v>0</v>
      </c>
      <c r="L668" s="972">
        <v>0</v>
      </c>
      <c r="M668" s="972">
        <v>0</v>
      </c>
      <c r="N668" s="972">
        <v>0</v>
      </c>
      <c r="O668" s="972">
        <v>26.74</v>
      </c>
      <c r="P668" s="972">
        <v>62.375999999999998</v>
      </c>
      <c r="Q668" s="972">
        <v>798.90800000000002</v>
      </c>
      <c r="R668" s="962">
        <v>63</v>
      </c>
      <c r="S668" s="962" t="s">
        <v>4940</v>
      </c>
      <c r="T668" s="972">
        <v>244.85350000000003</v>
      </c>
    </row>
    <row r="669" spans="1:20">
      <c r="A669" s="962" t="s">
        <v>73</v>
      </c>
      <c r="B669" s="972">
        <v>347.61</v>
      </c>
      <c r="C669" s="972">
        <v>25.672000000000001</v>
      </c>
      <c r="D669" s="972">
        <v>0</v>
      </c>
      <c r="E669" s="972">
        <v>5.0339999999999998</v>
      </c>
      <c r="F669" s="972">
        <v>0.30599999999999999</v>
      </c>
      <c r="G669" s="972">
        <v>0</v>
      </c>
      <c r="H669" s="972">
        <v>0</v>
      </c>
      <c r="I669" s="972">
        <v>15.590999999999999</v>
      </c>
      <c r="J669" s="972">
        <v>0.47</v>
      </c>
      <c r="K669" s="972">
        <v>0</v>
      </c>
      <c r="L669" s="972">
        <v>0</v>
      </c>
      <c r="M669" s="972">
        <v>0</v>
      </c>
      <c r="N669" s="972">
        <v>0</v>
      </c>
      <c r="O669" s="972">
        <v>16.366</v>
      </c>
      <c r="P669" s="972">
        <v>13.108000000000001</v>
      </c>
      <c r="Q669" s="972">
        <v>318.13600000000002</v>
      </c>
      <c r="R669" s="962">
        <v>46</v>
      </c>
      <c r="S669" s="962" t="s">
        <v>4940</v>
      </c>
      <c r="T669" s="972">
        <v>111.58183333333332</v>
      </c>
    </row>
    <row r="670" spans="1:20">
      <c r="A670" s="962" t="s">
        <v>75</v>
      </c>
      <c r="B670" s="972">
        <v>1298.4739999999999</v>
      </c>
      <c r="C670" s="972">
        <v>86.625</v>
      </c>
      <c r="D670" s="972">
        <v>0.41399999999999998</v>
      </c>
      <c r="E670" s="972">
        <v>31.417999999999999</v>
      </c>
      <c r="F670" s="972">
        <v>2.0640000000000001</v>
      </c>
      <c r="G670" s="972">
        <v>4.3999999999999997E-2</v>
      </c>
      <c r="H670" s="972">
        <v>0</v>
      </c>
      <c r="I670" s="972">
        <v>31.989000000000001</v>
      </c>
      <c r="J670" s="972">
        <v>4.5129999999999999</v>
      </c>
      <c r="K670" s="972">
        <v>3.286</v>
      </c>
      <c r="L670" s="972">
        <v>0.41699999999999998</v>
      </c>
      <c r="M670" s="972">
        <v>0</v>
      </c>
      <c r="N670" s="972">
        <v>0</v>
      </c>
      <c r="O670" s="972">
        <v>42.314999999999998</v>
      </c>
      <c r="P670" s="972">
        <v>43.667000000000002</v>
      </c>
      <c r="Q670" s="972">
        <v>1212.492</v>
      </c>
      <c r="R670" s="962">
        <v>86</v>
      </c>
      <c r="S670" s="962" t="s">
        <v>4940</v>
      </c>
      <c r="T670" s="972">
        <v>387.04250000000002</v>
      </c>
    </row>
    <row r="671" spans="1:20">
      <c r="A671" s="962" t="s">
        <v>1316</v>
      </c>
      <c r="B671" s="972">
        <v>628.16200000000003</v>
      </c>
      <c r="C671" s="972">
        <v>51.151000000000003</v>
      </c>
      <c r="D671" s="972">
        <v>0.34</v>
      </c>
      <c r="E671" s="972">
        <v>12.573</v>
      </c>
      <c r="F671" s="972">
        <v>0.94099999999999995</v>
      </c>
      <c r="G671" s="972">
        <v>0</v>
      </c>
      <c r="H671" s="972">
        <v>0</v>
      </c>
      <c r="I671" s="972">
        <v>12.141999999999999</v>
      </c>
      <c r="J671" s="972">
        <v>1.32</v>
      </c>
      <c r="K671" s="972">
        <v>2.2349999999999999</v>
      </c>
      <c r="L671" s="972">
        <v>0</v>
      </c>
      <c r="M671" s="972">
        <v>0</v>
      </c>
      <c r="N671" s="972">
        <v>0</v>
      </c>
      <c r="O671" s="972">
        <v>16.637</v>
      </c>
      <c r="P671" s="972">
        <v>32.590000000000003</v>
      </c>
      <c r="Q671" s="972">
        <v>578.93499999999995</v>
      </c>
      <c r="R671" s="962">
        <v>22</v>
      </c>
      <c r="S671" s="962" t="s">
        <v>4940</v>
      </c>
      <c r="T671" s="972">
        <v>166.96483333333333</v>
      </c>
    </row>
    <row r="672" spans="1:20">
      <c r="A672" s="962" t="s">
        <v>2600</v>
      </c>
      <c r="B672" s="972">
        <v>1074.8989999999999</v>
      </c>
      <c r="C672" s="972">
        <v>25.855</v>
      </c>
      <c r="D672" s="972">
        <v>9.1999999999999998E-2</v>
      </c>
      <c r="E672" s="972">
        <v>8.9969999999999999</v>
      </c>
      <c r="F672" s="972">
        <v>2.1139999999999999</v>
      </c>
      <c r="G672" s="972">
        <v>0</v>
      </c>
      <c r="H672" s="972">
        <v>0</v>
      </c>
      <c r="I672" s="972">
        <v>22.992000000000001</v>
      </c>
      <c r="J672" s="972">
        <v>3.411</v>
      </c>
      <c r="K672" s="972">
        <v>2.8340000000000001</v>
      </c>
      <c r="L672" s="972">
        <v>0.79900000000000004</v>
      </c>
      <c r="M672" s="972">
        <v>0</v>
      </c>
      <c r="N672" s="972">
        <v>0</v>
      </c>
      <c r="O672" s="972">
        <v>32.15</v>
      </c>
      <c r="P672" s="972">
        <v>45.338000000000001</v>
      </c>
      <c r="Q672" s="972">
        <v>997.41099999999994</v>
      </c>
      <c r="R672" s="962">
        <v>68</v>
      </c>
      <c r="S672" s="962" t="s">
        <v>4940</v>
      </c>
      <c r="T672" s="972">
        <v>305.62783333333334</v>
      </c>
    </row>
    <row r="673" spans="1:20">
      <c r="A673" s="962" t="s">
        <v>7133</v>
      </c>
      <c r="B673" s="972">
        <v>383.66199999999998</v>
      </c>
      <c r="C673" s="972">
        <v>0</v>
      </c>
      <c r="D673" s="972">
        <v>8.7999999999999995E-2</v>
      </c>
      <c r="E673" s="972">
        <v>8.2409999999999997</v>
      </c>
      <c r="F673" s="972">
        <v>0.73399999999999999</v>
      </c>
      <c r="G673" s="972">
        <v>0</v>
      </c>
      <c r="H673" s="972">
        <v>0</v>
      </c>
      <c r="I673" s="972">
        <v>9.5609999999999999</v>
      </c>
      <c r="J673" s="972">
        <v>1.016</v>
      </c>
      <c r="K673" s="972">
        <v>0.7</v>
      </c>
      <c r="L673" s="972">
        <v>0.78200000000000003</v>
      </c>
      <c r="M673" s="972">
        <v>0</v>
      </c>
      <c r="N673" s="972">
        <v>0</v>
      </c>
      <c r="O673" s="972">
        <v>12.792999999999999</v>
      </c>
      <c r="P673" s="972">
        <v>25.404</v>
      </c>
      <c r="Q673" s="972">
        <v>345.464</v>
      </c>
      <c r="R673" s="962">
        <v>21</v>
      </c>
      <c r="S673" s="962" t="s">
        <v>4940</v>
      </c>
      <c r="T673" s="972">
        <v>107.74549999999998</v>
      </c>
    </row>
    <row r="674" spans="1:20">
      <c r="A674" s="962" t="s">
        <v>961</v>
      </c>
      <c r="B674" s="972">
        <v>1439.999</v>
      </c>
      <c r="C674" s="972">
        <v>4.3959999999999999</v>
      </c>
      <c r="D674" s="972">
        <v>0.249</v>
      </c>
      <c r="E674" s="972">
        <v>9.1560000000000006</v>
      </c>
      <c r="F674" s="972">
        <v>2.2890000000000001</v>
      </c>
      <c r="G674" s="972">
        <v>0.13300000000000001</v>
      </c>
      <c r="H674" s="972">
        <v>0</v>
      </c>
      <c r="I674" s="972">
        <v>39.945999999999998</v>
      </c>
      <c r="J674" s="972">
        <v>0.40200000000000002</v>
      </c>
      <c r="K674" s="972">
        <v>12.09</v>
      </c>
      <c r="L674" s="972">
        <v>0</v>
      </c>
      <c r="M674" s="972">
        <v>0</v>
      </c>
      <c r="N674" s="972">
        <v>0</v>
      </c>
      <c r="O674" s="972">
        <v>54.856999999999999</v>
      </c>
      <c r="P674" s="972">
        <v>128.67699999999999</v>
      </c>
      <c r="Q674" s="972">
        <v>1256.4649999999999</v>
      </c>
      <c r="R674" s="962">
        <v>81</v>
      </c>
      <c r="S674" s="962" t="s">
        <v>4940</v>
      </c>
      <c r="T674" s="972">
        <v>420.14066666666662</v>
      </c>
    </row>
    <row r="675" spans="1:20">
      <c r="A675" s="962" t="s">
        <v>6024</v>
      </c>
      <c r="B675" s="972">
        <v>2625.3319999999999</v>
      </c>
      <c r="C675" s="972">
        <v>155.94800000000001</v>
      </c>
      <c r="D675" s="972">
        <v>1.319</v>
      </c>
      <c r="E675" s="972">
        <v>82.135000000000005</v>
      </c>
      <c r="F675" s="972">
        <v>2.7989999999999999</v>
      </c>
      <c r="G675" s="972">
        <v>0.45200000000000001</v>
      </c>
      <c r="H675" s="972">
        <v>0</v>
      </c>
      <c r="I675" s="972">
        <v>63.866</v>
      </c>
      <c r="J675" s="972">
        <v>19.190999999999999</v>
      </c>
      <c r="K675" s="972">
        <v>0</v>
      </c>
      <c r="L675" s="972">
        <v>4.1689999999999996</v>
      </c>
      <c r="M675" s="972">
        <v>0</v>
      </c>
      <c r="N675" s="972">
        <v>0</v>
      </c>
      <c r="O675" s="972">
        <v>90.477000000000004</v>
      </c>
      <c r="P675" s="972">
        <v>124.996</v>
      </c>
      <c r="Q675" s="972">
        <v>2409.8589999999999</v>
      </c>
      <c r="R675" s="962">
        <v>194</v>
      </c>
      <c r="S675" s="962" t="s">
        <v>4940</v>
      </c>
      <c r="T675" s="972">
        <v>695.15883333333329</v>
      </c>
    </row>
    <row r="676" spans="1:20">
      <c r="A676" s="962" t="s">
        <v>6034</v>
      </c>
      <c r="B676" s="972">
        <v>1372.8389999999999</v>
      </c>
      <c r="C676" s="972">
        <v>23.864000000000001</v>
      </c>
      <c r="D676" s="972">
        <v>0.84599999999999997</v>
      </c>
      <c r="E676" s="972">
        <v>64.156999999999996</v>
      </c>
      <c r="F676" s="972">
        <v>1.893</v>
      </c>
      <c r="G676" s="972">
        <v>0.107</v>
      </c>
      <c r="H676" s="972">
        <v>0</v>
      </c>
      <c r="I676" s="972">
        <v>17.23</v>
      </c>
      <c r="J676" s="972">
        <v>10.067</v>
      </c>
      <c r="K676" s="972">
        <v>0</v>
      </c>
      <c r="L676" s="972">
        <v>0</v>
      </c>
      <c r="M676" s="972">
        <v>0</v>
      </c>
      <c r="N676" s="972">
        <v>0</v>
      </c>
      <c r="O676" s="972">
        <v>29.297000000000001</v>
      </c>
      <c r="P676" s="972">
        <v>137.714</v>
      </c>
      <c r="Q676" s="972">
        <v>1205.828</v>
      </c>
      <c r="R676" s="962">
        <v>47</v>
      </c>
      <c r="S676" s="962" t="s">
        <v>4940</v>
      </c>
      <c r="T676" s="972">
        <v>396.06983333333335</v>
      </c>
    </row>
    <row r="677" spans="1:20">
      <c r="A677" s="962" t="s">
        <v>7135</v>
      </c>
      <c r="B677" s="972">
        <v>397.99400000000003</v>
      </c>
      <c r="C677" s="972">
        <v>0</v>
      </c>
      <c r="D677" s="972">
        <v>0</v>
      </c>
      <c r="E677" s="972">
        <v>8.1890000000000001</v>
      </c>
      <c r="F677" s="972">
        <v>1.151</v>
      </c>
      <c r="G677" s="972">
        <v>0</v>
      </c>
      <c r="H677" s="972">
        <v>0</v>
      </c>
      <c r="I677" s="972">
        <v>6.93</v>
      </c>
      <c r="J677" s="972">
        <v>4.1020000000000003</v>
      </c>
      <c r="K677" s="972">
        <v>0</v>
      </c>
      <c r="L677" s="972">
        <v>0.23899999999999999</v>
      </c>
      <c r="M677" s="972">
        <v>0</v>
      </c>
      <c r="N677" s="972">
        <v>0</v>
      </c>
      <c r="O677" s="972">
        <v>12.422000000000001</v>
      </c>
      <c r="P677" s="972">
        <v>27.887</v>
      </c>
      <c r="Q677" s="972">
        <v>357.685</v>
      </c>
      <c r="R677" s="962">
        <v>5</v>
      </c>
      <c r="S677" s="962" t="s">
        <v>4940</v>
      </c>
      <c r="T677" s="972">
        <v>127.41550000000001</v>
      </c>
    </row>
    <row r="678" spans="1:20">
      <c r="A678" s="962" t="s">
        <v>7137</v>
      </c>
      <c r="B678" s="972">
        <v>283.67</v>
      </c>
      <c r="C678" s="972">
        <v>34.338999999999999</v>
      </c>
      <c r="D678" s="972">
        <v>0</v>
      </c>
      <c r="E678" s="972">
        <v>8.5850000000000009</v>
      </c>
      <c r="F678" s="972">
        <v>0.307</v>
      </c>
      <c r="G678" s="972">
        <v>1.4E-2</v>
      </c>
      <c r="H678" s="972">
        <v>0</v>
      </c>
      <c r="I678" s="972">
        <v>4.28</v>
      </c>
      <c r="J678" s="972">
        <v>0.53</v>
      </c>
      <c r="K678" s="972">
        <v>0</v>
      </c>
      <c r="L678" s="972">
        <v>0</v>
      </c>
      <c r="M678" s="972">
        <v>0</v>
      </c>
      <c r="N678" s="972">
        <v>19.481000000000002</v>
      </c>
      <c r="O678" s="972">
        <v>24.611000000000001</v>
      </c>
      <c r="P678" s="972">
        <v>7.5970000000000004</v>
      </c>
      <c r="Q678" s="972">
        <v>251.46199999999999</v>
      </c>
      <c r="R678" s="962">
        <v>29</v>
      </c>
      <c r="S678" s="962" t="s">
        <v>4940</v>
      </c>
      <c r="T678" s="972">
        <v>126.12099999999998</v>
      </c>
    </row>
    <row r="679" spans="1:20">
      <c r="A679" s="962" t="s">
        <v>7139</v>
      </c>
      <c r="B679" s="972">
        <v>47.045000000000002</v>
      </c>
      <c r="C679" s="972">
        <v>7.4640000000000004</v>
      </c>
      <c r="D679" s="972">
        <v>0</v>
      </c>
      <c r="E679" s="972">
        <v>1.28</v>
      </c>
      <c r="F679" s="972">
        <v>0.11899999999999999</v>
      </c>
      <c r="G679" s="972">
        <v>0</v>
      </c>
      <c r="H679" s="972">
        <v>0</v>
      </c>
      <c r="I679" s="972">
        <v>0</v>
      </c>
      <c r="J679" s="972">
        <v>0</v>
      </c>
      <c r="K679" s="972">
        <v>0</v>
      </c>
      <c r="L679" s="972">
        <v>0</v>
      </c>
      <c r="M679" s="972">
        <v>0</v>
      </c>
      <c r="N679" s="972">
        <v>0</v>
      </c>
      <c r="O679" s="972">
        <v>0.11899999999999999</v>
      </c>
      <c r="P679" s="972">
        <v>0.96099999999999997</v>
      </c>
      <c r="Q679" s="972">
        <v>45.965000000000003</v>
      </c>
      <c r="R679" s="962">
        <v>1</v>
      </c>
      <c r="S679" s="962" t="s">
        <v>4940</v>
      </c>
      <c r="T679" s="972">
        <v>14.788999999999998</v>
      </c>
    </row>
    <row r="680" spans="1:20">
      <c r="A680" s="962" t="s">
        <v>7143</v>
      </c>
      <c r="B680" s="972">
        <v>461.12299999999999</v>
      </c>
      <c r="C680" s="972">
        <v>0</v>
      </c>
      <c r="D680" s="972">
        <v>0</v>
      </c>
      <c r="E680" s="972">
        <v>10.648999999999999</v>
      </c>
      <c r="F680" s="972">
        <v>0.24299999999999999</v>
      </c>
      <c r="G680" s="972">
        <v>0</v>
      </c>
      <c r="H680" s="972">
        <v>0</v>
      </c>
      <c r="I680" s="972">
        <v>6.0430000000000001</v>
      </c>
      <c r="J680" s="972">
        <v>0.46600000000000003</v>
      </c>
      <c r="K680" s="972">
        <v>0</v>
      </c>
      <c r="L680" s="972">
        <v>0</v>
      </c>
      <c r="M680" s="972">
        <v>0</v>
      </c>
      <c r="N680" s="972">
        <v>0</v>
      </c>
      <c r="O680" s="972">
        <v>6.75</v>
      </c>
      <c r="P680" s="972">
        <v>0</v>
      </c>
      <c r="Q680" s="972">
        <v>454.37299999999999</v>
      </c>
      <c r="R680" s="962">
        <v>0</v>
      </c>
      <c r="S680" s="962" t="s">
        <v>4940</v>
      </c>
      <c r="T680" s="972">
        <v>57.2485</v>
      </c>
    </row>
    <row r="681" spans="1:20">
      <c r="A681" s="962" t="s">
        <v>1131</v>
      </c>
      <c r="B681" s="972">
        <v>191.636</v>
      </c>
      <c r="C681" s="972">
        <v>24.507000000000001</v>
      </c>
      <c r="D681" s="972">
        <v>0</v>
      </c>
      <c r="E681" s="972">
        <v>8.0220000000000002</v>
      </c>
      <c r="F681" s="972">
        <v>0.14399999999999999</v>
      </c>
      <c r="G681" s="972">
        <v>0</v>
      </c>
      <c r="H681" s="972">
        <v>0</v>
      </c>
      <c r="I681" s="972">
        <v>0</v>
      </c>
      <c r="J681" s="972">
        <v>0</v>
      </c>
      <c r="K681" s="972">
        <v>0</v>
      </c>
      <c r="L681" s="972">
        <v>0</v>
      </c>
      <c r="M681" s="972">
        <v>0</v>
      </c>
      <c r="N681" s="972">
        <v>0.92500000000000004</v>
      </c>
      <c r="O681" s="972">
        <v>1.07</v>
      </c>
      <c r="P681" s="972">
        <v>0</v>
      </c>
      <c r="Q681" s="972">
        <v>190.56700000000001</v>
      </c>
      <c r="R681" s="962">
        <v>0</v>
      </c>
      <c r="S681" s="962" t="s">
        <v>4940</v>
      </c>
      <c r="T681" s="972">
        <v>0</v>
      </c>
    </row>
    <row r="682" spans="1:20">
      <c r="A682" s="962" t="s">
        <v>8048</v>
      </c>
      <c r="B682" s="972">
        <v>195.44</v>
      </c>
      <c r="C682" s="972">
        <v>13.365</v>
      </c>
      <c r="D682" s="972">
        <v>0</v>
      </c>
      <c r="E682" s="972">
        <v>0.91500000000000004</v>
      </c>
      <c r="F682" s="972">
        <v>3.9E-2</v>
      </c>
      <c r="G682" s="972">
        <v>0</v>
      </c>
      <c r="H682" s="972">
        <v>0</v>
      </c>
      <c r="I682" s="972">
        <v>4.4740000000000002</v>
      </c>
      <c r="J682" s="972">
        <v>0</v>
      </c>
      <c r="K682" s="972">
        <v>1.3480000000000001</v>
      </c>
      <c r="L682" s="972">
        <v>0</v>
      </c>
      <c r="M682" s="972">
        <v>0</v>
      </c>
      <c r="N682" s="972">
        <v>13.901999999999999</v>
      </c>
      <c r="O682" s="972">
        <v>19.762</v>
      </c>
      <c r="P682" s="972">
        <v>8.06</v>
      </c>
      <c r="Q682" s="972">
        <v>167.619</v>
      </c>
      <c r="R682" s="962">
        <v>0</v>
      </c>
      <c r="S682" s="962" t="s">
        <v>4940</v>
      </c>
      <c r="T682" s="972">
        <v>68.641999999999996</v>
      </c>
    </row>
    <row r="683" spans="1:20">
      <c r="A683" s="962" t="s">
        <v>6178</v>
      </c>
      <c r="B683" s="972">
        <v>4727.0010000000002</v>
      </c>
      <c r="C683" s="972">
        <v>241.86199999999999</v>
      </c>
      <c r="D683" s="972">
        <v>0.78300000000000003</v>
      </c>
      <c r="E683" s="972">
        <v>68.349999999999994</v>
      </c>
      <c r="F683" s="972">
        <v>8.2200000000000006</v>
      </c>
      <c r="G683" s="972">
        <v>0.61799999999999999</v>
      </c>
      <c r="H683" s="972">
        <v>0</v>
      </c>
      <c r="I683" s="972">
        <v>114.813</v>
      </c>
      <c r="J683" s="972">
        <v>40.625999999999998</v>
      </c>
      <c r="K683" s="972">
        <v>0.152</v>
      </c>
      <c r="L683" s="972">
        <v>1.746</v>
      </c>
      <c r="M683" s="972">
        <v>0</v>
      </c>
      <c r="N683" s="972">
        <v>0</v>
      </c>
      <c r="O683" s="972">
        <v>166.173</v>
      </c>
      <c r="P683" s="972">
        <v>244.12899999999999</v>
      </c>
      <c r="Q683" s="972">
        <v>4316.6989999999996</v>
      </c>
      <c r="R683" s="962">
        <v>324</v>
      </c>
      <c r="S683" s="962" t="s">
        <v>4940</v>
      </c>
      <c r="T683" s="972">
        <v>1369.0998333333332</v>
      </c>
    </row>
    <row r="684" spans="1:20">
      <c r="A684" s="962" t="s">
        <v>7145</v>
      </c>
      <c r="B684" s="972">
        <v>7986.0609999999997</v>
      </c>
      <c r="C684" s="972">
        <v>742.40099999999995</v>
      </c>
      <c r="D684" s="972">
        <v>0.41599999999999998</v>
      </c>
      <c r="E684" s="972">
        <v>44.027999999999999</v>
      </c>
      <c r="F684" s="972">
        <v>5.5810000000000004</v>
      </c>
      <c r="G684" s="972">
        <v>0.52700000000000002</v>
      </c>
      <c r="H684" s="972">
        <v>1.4490000000000001</v>
      </c>
      <c r="I684" s="972">
        <v>167.95099999999999</v>
      </c>
      <c r="J684" s="972">
        <v>54.509</v>
      </c>
      <c r="K684" s="972">
        <v>0</v>
      </c>
      <c r="L684" s="972">
        <v>7.2290000000000001</v>
      </c>
      <c r="M684" s="972">
        <v>0</v>
      </c>
      <c r="N684" s="972">
        <v>2.214</v>
      </c>
      <c r="O684" s="972">
        <v>239.46100000000001</v>
      </c>
      <c r="P684" s="972">
        <v>397.24200000000002</v>
      </c>
      <c r="Q684" s="972">
        <v>7349.3590000000004</v>
      </c>
      <c r="R684" s="962">
        <v>228</v>
      </c>
      <c r="S684" s="962" t="s">
        <v>4940</v>
      </c>
      <c r="T684" s="972">
        <v>2026.4193333333333</v>
      </c>
    </row>
    <row r="685" spans="1:20">
      <c r="A685" s="962" t="s">
        <v>7147</v>
      </c>
      <c r="B685" s="972">
        <v>4384.5280000000002</v>
      </c>
      <c r="C685" s="972">
        <v>122.033</v>
      </c>
      <c r="D685" s="972">
        <v>0</v>
      </c>
      <c r="E685" s="972">
        <v>70.379000000000005</v>
      </c>
      <c r="F685" s="972">
        <v>6.9580000000000002</v>
      </c>
      <c r="G685" s="972">
        <v>0.28100000000000003</v>
      </c>
      <c r="H685" s="972">
        <v>0</v>
      </c>
      <c r="I685" s="972">
        <v>67.263000000000005</v>
      </c>
      <c r="J685" s="972">
        <v>43.236000000000004</v>
      </c>
      <c r="K685" s="972">
        <v>0</v>
      </c>
      <c r="L685" s="972">
        <v>0</v>
      </c>
      <c r="M685" s="972">
        <v>0</v>
      </c>
      <c r="N685" s="972">
        <v>0</v>
      </c>
      <c r="O685" s="972">
        <v>117.738</v>
      </c>
      <c r="P685" s="972">
        <v>285.41699999999997</v>
      </c>
      <c r="Q685" s="972">
        <v>3981.3719999999998</v>
      </c>
      <c r="R685" s="962">
        <v>124</v>
      </c>
      <c r="S685" s="962" t="s">
        <v>4940</v>
      </c>
      <c r="T685" s="972">
        <v>1324.0311666666666</v>
      </c>
    </row>
    <row r="686" spans="1:20">
      <c r="A686" s="962" t="s">
        <v>2808</v>
      </c>
      <c r="B686" s="972">
        <v>18798.973999999998</v>
      </c>
      <c r="C686" s="972">
        <v>1292.346</v>
      </c>
      <c r="D686" s="972">
        <v>6.758</v>
      </c>
      <c r="E686" s="972">
        <v>515.89800000000002</v>
      </c>
      <c r="F686" s="972">
        <v>28.016999999999999</v>
      </c>
      <c r="G686" s="972">
        <v>3.0209999999999999</v>
      </c>
      <c r="H686" s="972">
        <v>2.121</v>
      </c>
      <c r="I686" s="972">
        <v>87.891000000000005</v>
      </c>
      <c r="J686" s="972">
        <v>201.23699999999999</v>
      </c>
      <c r="K686" s="972">
        <v>0</v>
      </c>
      <c r="L686" s="972">
        <v>4.2809999999999997</v>
      </c>
      <c r="M686" s="972">
        <v>0</v>
      </c>
      <c r="N686" s="972">
        <v>22.233000000000001</v>
      </c>
      <c r="O686" s="972">
        <v>348.8</v>
      </c>
      <c r="P686" s="972">
        <v>688.45299999999997</v>
      </c>
      <c r="Q686" s="972">
        <v>17761.721000000001</v>
      </c>
      <c r="R686" s="962">
        <v>2073</v>
      </c>
      <c r="S686" s="962" t="s">
        <v>4940</v>
      </c>
      <c r="T686" s="972">
        <v>5074.0451666666668</v>
      </c>
    </row>
    <row r="687" spans="1:20">
      <c r="A687" s="962" t="s">
        <v>2810</v>
      </c>
      <c r="B687" s="972">
        <v>309.101</v>
      </c>
      <c r="C687" s="972">
        <v>0.71899999999999997</v>
      </c>
      <c r="D687" s="972">
        <v>0</v>
      </c>
      <c r="E687" s="972">
        <v>3.3809999999999998</v>
      </c>
      <c r="F687" s="972">
        <v>0.24099999999999999</v>
      </c>
      <c r="G687" s="972">
        <v>0</v>
      </c>
      <c r="H687" s="972">
        <v>0</v>
      </c>
      <c r="I687" s="972">
        <v>1.5680000000000001</v>
      </c>
      <c r="J687" s="972">
        <v>0</v>
      </c>
      <c r="K687" s="972">
        <v>0.63700000000000001</v>
      </c>
      <c r="L687" s="972">
        <v>0</v>
      </c>
      <c r="M687" s="972">
        <v>0</v>
      </c>
      <c r="N687" s="972">
        <v>0</v>
      </c>
      <c r="O687" s="972">
        <v>2.4460000000000002</v>
      </c>
      <c r="P687" s="972">
        <v>13.432</v>
      </c>
      <c r="Q687" s="972">
        <v>293.22399999999999</v>
      </c>
      <c r="R687" s="962">
        <v>16</v>
      </c>
      <c r="S687" s="962" t="s">
        <v>4940</v>
      </c>
      <c r="T687" s="972">
        <v>114.08983333333333</v>
      </c>
    </row>
    <row r="688" spans="1:20">
      <c r="A688" s="962" t="s">
        <v>1859</v>
      </c>
      <c r="B688" s="972">
        <v>1650.5260000000001</v>
      </c>
      <c r="C688" s="972">
        <v>53.796999999999997</v>
      </c>
      <c r="D688" s="972">
        <v>9.4E-2</v>
      </c>
      <c r="E688" s="972">
        <v>14.993</v>
      </c>
      <c r="F688" s="972">
        <v>2.4550000000000001</v>
      </c>
      <c r="G688" s="972">
        <v>0.215</v>
      </c>
      <c r="H688" s="972">
        <v>0</v>
      </c>
      <c r="I688" s="972">
        <v>23.614000000000001</v>
      </c>
      <c r="J688" s="972">
        <v>13.625999999999999</v>
      </c>
      <c r="K688" s="972">
        <v>0</v>
      </c>
      <c r="L688" s="972">
        <v>3.6549999999999998</v>
      </c>
      <c r="M688" s="972">
        <v>0</v>
      </c>
      <c r="N688" s="972">
        <v>0</v>
      </c>
      <c r="O688" s="972">
        <v>43.564999999999998</v>
      </c>
      <c r="P688" s="972">
        <v>114.831</v>
      </c>
      <c r="Q688" s="972">
        <v>1492.13</v>
      </c>
      <c r="R688" s="962">
        <v>141</v>
      </c>
      <c r="S688" s="962" t="s">
        <v>4940</v>
      </c>
      <c r="T688" s="972">
        <v>497.81316666666663</v>
      </c>
    </row>
    <row r="689" spans="1:20">
      <c r="A689" s="962" t="s">
        <v>1133</v>
      </c>
      <c r="B689" s="972">
        <v>117.505</v>
      </c>
      <c r="C689" s="972">
        <v>9.2560000000000002</v>
      </c>
      <c r="D689" s="972">
        <v>0</v>
      </c>
      <c r="E689" s="972">
        <v>20.693000000000001</v>
      </c>
      <c r="F689" s="972">
        <v>2.3E-2</v>
      </c>
      <c r="G689" s="972">
        <v>0</v>
      </c>
      <c r="H689" s="972">
        <v>0</v>
      </c>
      <c r="I689" s="972">
        <v>4.84</v>
      </c>
      <c r="J689" s="972">
        <v>0.09</v>
      </c>
      <c r="K689" s="972">
        <v>0</v>
      </c>
      <c r="L689" s="972">
        <v>0</v>
      </c>
      <c r="M689" s="972">
        <v>0</v>
      </c>
      <c r="N689" s="972">
        <v>0</v>
      </c>
      <c r="O689" s="972">
        <v>4.952</v>
      </c>
      <c r="P689" s="972">
        <v>0</v>
      </c>
      <c r="Q689" s="972">
        <v>112.55200000000001</v>
      </c>
      <c r="R689" s="962">
        <v>0</v>
      </c>
      <c r="S689" s="962" t="s">
        <v>4940</v>
      </c>
      <c r="T689" s="972">
        <v>0</v>
      </c>
    </row>
    <row r="690" spans="1:20">
      <c r="A690" s="962" t="s">
        <v>2812</v>
      </c>
      <c r="B690" s="972">
        <v>1046.4290000000001</v>
      </c>
      <c r="C690" s="972">
        <v>168.82400000000001</v>
      </c>
      <c r="D690" s="972">
        <v>1.4570000000000001</v>
      </c>
      <c r="E690" s="972">
        <v>24.113</v>
      </c>
      <c r="F690" s="972">
        <v>1.014</v>
      </c>
      <c r="G690" s="972">
        <v>0.186</v>
      </c>
      <c r="H690" s="972">
        <v>0</v>
      </c>
      <c r="I690" s="972">
        <v>13.858000000000001</v>
      </c>
      <c r="J690" s="972">
        <v>2.9329999999999998</v>
      </c>
      <c r="K690" s="972">
        <v>0</v>
      </c>
      <c r="L690" s="972">
        <v>0</v>
      </c>
      <c r="M690" s="972">
        <v>0</v>
      </c>
      <c r="N690" s="972">
        <v>0</v>
      </c>
      <c r="O690" s="972">
        <v>17.989999999999998</v>
      </c>
      <c r="P690" s="972">
        <v>43.151000000000003</v>
      </c>
      <c r="Q690" s="972">
        <v>985.28899999999999</v>
      </c>
      <c r="R690" s="962">
        <v>59</v>
      </c>
      <c r="S690" s="962" t="s">
        <v>4940</v>
      </c>
      <c r="T690" s="972">
        <v>273.20083333333332</v>
      </c>
    </row>
    <row r="691" spans="1:20">
      <c r="A691" s="962" t="s">
        <v>820</v>
      </c>
      <c r="B691" s="972">
        <v>4863.6030000000001</v>
      </c>
      <c r="C691" s="972">
        <v>179.13800000000001</v>
      </c>
      <c r="D691" s="972">
        <v>3.6880000000000002</v>
      </c>
      <c r="E691" s="972">
        <v>73.733000000000004</v>
      </c>
      <c r="F691" s="972">
        <v>8.3059999999999992</v>
      </c>
      <c r="G691" s="972">
        <v>0.30599999999999999</v>
      </c>
      <c r="H691" s="972">
        <v>0</v>
      </c>
      <c r="I691" s="972">
        <v>91.694999999999993</v>
      </c>
      <c r="J691" s="972">
        <v>30.573</v>
      </c>
      <c r="K691" s="972">
        <v>0</v>
      </c>
      <c r="L691" s="972">
        <v>0</v>
      </c>
      <c r="M691" s="972">
        <v>0</v>
      </c>
      <c r="N691" s="972">
        <v>0</v>
      </c>
      <c r="O691" s="972">
        <v>130.881</v>
      </c>
      <c r="P691" s="972">
        <v>257.65800000000002</v>
      </c>
      <c r="Q691" s="972">
        <v>4475.0649999999996</v>
      </c>
      <c r="R691" s="962">
        <v>508</v>
      </c>
      <c r="S691" s="962" t="s">
        <v>4940</v>
      </c>
      <c r="T691" s="972">
        <v>1177.4138333333333</v>
      </c>
    </row>
    <row r="692" spans="1:20">
      <c r="A692" s="962" t="s">
        <v>127</v>
      </c>
      <c r="B692" s="972">
        <v>569.51300000000003</v>
      </c>
      <c r="C692" s="972">
        <v>18.994</v>
      </c>
      <c r="D692" s="972">
        <v>0</v>
      </c>
      <c r="E692" s="972">
        <v>34.274000000000001</v>
      </c>
      <c r="F692" s="972">
        <v>1.171</v>
      </c>
      <c r="G692" s="972">
        <v>0</v>
      </c>
      <c r="H692" s="972">
        <v>0</v>
      </c>
      <c r="I692" s="972">
        <v>4.4580000000000002</v>
      </c>
      <c r="J692" s="972">
        <v>1.2629999999999999</v>
      </c>
      <c r="K692" s="972">
        <v>0</v>
      </c>
      <c r="L692" s="972">
        <v>0</v>
      </c>
      <c r="M692" s="972">
        <v>0</v>
      </c>
      <c r="N692" s="972">
        <v>0</v>
      </c>
      <c r="O692" s="972">
        <v>6.8920000000000003</v>
      </c>
      <c r="P692" s="972">
        <v>36.499000000000002</v>
      </c>
      <c r="Q692" s="972">
        <v>526.12199999999996</v>
      </c>
      <c r="R692" s="962">
        <v>16</v>
      </c>
      <c r="S692" s="962" t="s">
        <v>4940</v>
      </c>
      <c r="T692" s="972">
        <v>181.65333333333331</v>
      </c>
    </row>
    <row r="693" spans="1:20">
      <c r="A693" s="962" t="s">
        <v>6189</v>
      </c>
      <c r="B693" s="972">
        <v>1690.5309999999999</v>
      </c>
      <c r="C693" s="972">
        <v>39.366999999999997</v>
      </c>
      <c r="D693" s="972">
        <v>0</v>
      </c>
      <c r="E693" s="972">
        <v>44.268000000000001</v>
      </c>
      <c r="F693" s="972">
        <v>2.6030000000000002</v>
      </c>
      <c r="G693" s="972">
        <v>0</v>
      </c>
      <c r="H693" s="972">
        <v>0</v>
      </c>
      <c r="I693" s="972">
        <v>36.429000000000002</v>
      </c>
      <c r="J693" s="972">
        <v>7.3550000000000004</v>
      </c>
      <c r="K693" s="972">
        <v>0</v>
      </c>
      <c r="L693" s="972">
        <v>0</v>
      </c>
      <c r="M693" s="972">
        <v>0</v>
      </c>
      <c r="N693" s="972">
        <v>0</v>
      </c>
      <c r="O693" s="972">
        <v>46.387</v>
      </c>
      <c r="P693" s="972">
        <v>136.95400000000001</v>
      </c>
      <c r="Q693" s="972">
        <v>1507.191</v>
      </c>
      <c r="R693" s="962">
        <v>171</v>
      </c>
      <c r="S693" s="962" t="s">
        <v>4940</v>
      </c>
      <c r="T693" s="972">
        <v>490.63066666666668</v>
      </c>
    </row>
    <row r="694" spans="1:20">
      <c r="A694" s="962" t="s">
        <v>5130</v>
      </c>
      <c r="B694" s="972">
        <v>545.76499999999999</v>
      </c>
      <c r="C694" s="972">
        <v>39.975999999999999</v>
      </c>
      <c r="D694" s="972">
        <v>0</v>
      </c>
      <c r="E694" s="972">
        <v>35.988999999999997</v>
      </c>
      <c r="F694" s="972">
        <v>0.72699999999999998</v>
      </c>
      <c r="G694" s="972">
        <v>0.129</v>
      </c>
      <c r="H694" s="972">
        <v>0</v>
      </c>
      <c r="I694" s="972">
        <v>4.5810000000000004</v>
      </c>
      <c r="J694" s="972">
        <v>2.5710000000000002</v>
      </c>
      <c r="K694" s="972">
        <v>0</v>
      </c>
      <c r="L694" s="972">
        <v>0</v>
      </c>
      <c r="M694" s="972">
        <v>0</v>
      </c>
      <c r="N694" s="972">
        <v>0</v>
      </c>
      <c r="O694" s="972">
        <v>8.0079999999999991</v>
      </c>
      <c r="P694" s="972">
        <v>40.206000000000003</v>
      </c>
      <c r="Q694" s="972">
        <v>497.55200000000002</v>
      </c>
      <c r="R694" s="962">
        <v>35</v>
      </c>
      <c r="S694" s="962" t="s">
        <v>3902</v>
      </c>
      <c r="T694" s="972">
        <v>182.60325</v>
      </c>
    </row>
    <row r="695" spans="1:20">
      <c r="A695" s="962" t="s">
        <v>2815</v>
      </c>
      <c r="B695" s="972">
        <v>107.69199999999999</v>
      </c>
      <c r="C695" s="972">
        <v>2.8029999999999999</v>
      </c>
      <c r="D695" s="972">
        <v>0</v>
      </c>
      <c r="E695" s="972">
        <v>1.3109999999999999</v>
      </c>
      <c r="F695" s="972">
        <v>0.16400000000000001</v>
      </c>
      <c r="G695" s="972">
        <v>0</v>
      </c>
      <c r="H695" s="972">
        <v>0</v>
      </c>
      <c r="I695" s="972">
        <v>0</v>
      </c>
      <c r="J695" s="972">
        <v>0</v>
      </c>
      <c r="K695" s="972">
        <v>0</v>
      </c>
      <c r="L695" s="972">
        <v>0</v>
      </c>
      <c r="M695" s="972">
        <v>0</v>
      </c>
      <c r="N695" s="972">
        <v>0</v>
      </c>
      <c r="O695" s="972">
        <v>0.16400000000000001</v>
      </c>
      <c r="P695" s="972">
        <v>0</v>
      </c>
      <c r="Q695" s="972">
        <v>107.52800000000001</v>
      </c>
      <c r="R695" s="962">
        <v>22</v>
      </c>
      <c r="S695" s="962" t="s">
        <v>4940</v>
      </c>
      <c r="T695" s="972">
        <v>0</v>
      </c>
    </row>
    <row r="696" spans="1:20">
      <c r="A696" s="962" t="s">
        <v>3888</v>
      </c>
      <c r="B696" s="972">
        <v>3250.3130000000001</v>
      </c>
      <c r="C696" s="972">
        <v>309.65199999999999</v>
      </c>
      <c r="D696" s="972">
        <v>1.04</v>
      </c>
      <c r="E696" s="972">
        <v>141.035</v>
      </c>
      <c r="F696" s="972">
        <v>5.7549999999999999</v>
      </c>
      <c r="G696" s="972">
        <v>0.157</v>
      </c>
      <c r="H696" s="972">
        <v>0</v>
      </c>
      <c r="I696" s="972">
        <v>38.463000000000001</v>
      </c>
      <c r="J696" s="972">
        <v>9.3780000000000001</v>
      </c>
      <c r="K696" s="972">
        <v>0</v>
      </c>
      <c r="L696" s="972">
        <v>0</v>
      </c>
      <c r="M696" s="972">
        <v>0</v>
      </c>
      <c r="N696" s="972">
        <v>0.21199999999999999</v>
      </c>
      <c r="O696" s="972">
        <v>53.963999999999999</v>
      </c>
      <c r="P696" s="972">
        <v>185.63300000000001</v>
      </c>
      <c r="Q696" s="972">
        <v>3010.7159999999999</v>
      </c>
      <c r="R696" s="962">
        <v>250</v>
      </c>
      <c r="S696" s="962" t="s">
        <v>4940</v>
      </c>
      <c r="T696" s="972">
        <v>932.31100000000004</v>
      </c>
    </row>
    <row r="697" spans="1:20">
      <c r="A697" s="962" t="s">
        <v>977</v>
      </c>
      <c r="B697" s="972">
        <v>9396.6759999999995</v>
      </c>
      <c r="C697" s="972">
        <v>271.62400000000002</v>
      </c>
      <c r="D697" s="972">
        <v>1.78</v>
      </c>
      <c r="E697" s="972">
        <v>216.39</v>
      </c>
      <c r="F697" s="972">
        <v>15.808</v>
      </c>
      <c r="G697" s="972">
        <v>0.33800000000000002</v>
      </c>
      <c r="H697" s="972">
        <v>0</v>
      </c>
      <c r="I697" s="972">
        <v>131.851</v>
      </c>
      <c r="J697" s="972">
        <v>43.62</v>
      </c>
      <c r="K697" s="972">
        <v>1.4279999999999999</v>
      </c>
      <c r="L697" s="972">
        <v>1.8180000000000001</v>
      </c>
      <c r="M697" s="972">
        <v>0</v>
      </c>
      <c r="N697" s="972">
        <v>16.071000000000002</v>
      </c>
      <c r="O697" s="972">
        <v>210.934</v>
      </c>
      <c r="P697" s="972">
        <v>268.74</v>
      </c>
      <c r="Q697" s="972">
        <v>8917.0020000000004</v>
      </c>
      <c r="R697" s="962">
        <v>761</v>
      </c>
      <c r="S697" s="962" t="s">
        <v>4940</v>
      </c>
      <c r="T697" s="972">
        <v>2580.9136666666668</v>
      </c>
    </row>
    <row r="698" spans="1:20">
      <c r="A698" s="962" t="s">
        <v>739</v>
      </c>
      <c r="B698" s="972">
        <v>6378.8069999999998</v>
      </c>
      <c r="C698" s="972">
        <v>1053.713</v>
      </c>
      <c r="D698" s="972">
        <v>2.6150000000000002</v>
      </c>
      <c r="E698" s="972">
        <v>277.46300000000002</v>
      </c>
      <c r="F698" s="972">
        <v>9.4529999999999994</v>
      </c>
      <c r="G698" s="972">
        <v>0.25</v>
      </c>
      <c r="H698" s="972">
        <v>4.0000000000000001E-3</v>
      </c>
      <c r="I698" s="972">
        <v>24.882000000000001</v>
      </c>
      <c r="J698" s="972">
        <v>39.580999999999996</v>
      </c>
      <c r="K698" s="972">
        <v>0</v>
      </c>
      <c r="L698" s="972">
        <v>0.80700000000000005</v>
      </c>
      <c r="M698" s="972">
        <v>0</v>
      </c>
      <c r="N698" s="972">
        <v>2.5390000000000001</v>
      </c>
      <c r="O698" s="972">
        <v>77.516000000000005</v>
      </c>
      <c r="P698" s="972">
        <v>342.06900000000002</v>
      </c>
      <c r="Q698" s="972">
        <v>5959.2209999999995</v>
      </c>
      <c r="R698" s="962">
        <v>1191</v>
      </c>
      <c r="S698" s="962" t="s">
        <v>4940</v>
      </c>
      <c r="T698" s="972">
        <v>1656.4699999999998</v>
      </c>
    </row>
    <row r="699" spans="1:20">
      <c r="A699" s="962" t="s">
        <v>1855</v>
      </c>
      <c r="B699" s="972">
        <v>1038.393</v>
      </c>
      <c r="C699" s="972">
        <v>22.504999999999999</v>
      </c>
      <c r="D699" s="972">
        <v>0.308</v>
      </c>
      <c r="E699" s="972">
        <v>29.399000000000001</v>
      </c>
      <c r="F699" s="972">
        <v>1.54</v>
      </c>
      <c r="G699" s="972">
        <v>0</v>
      </c>
      <c r="H699" s="972">
        <v>0</v>
      </c>
      <c r="I699" s="972">
        <v>20.298999999999999</v>
      </c>
      <c r="J699" s="972">
        <v>6.827</v>
      </c>
      <c r="K699" s="972">
        <v>0</v>
      </c>
      <c r="L699" s="972">
        <v>2.66</v>
      </c>
      <c r="M699" s="972">
        <v>0</v>
      </c>
      <c r="N699" s="972">
        <v>8.4000000000000005E-2</v>
      </c>
      <c r="O699" s="972">
        <v>31.408999999999999</v>
      </c>
      <c r="P699" s="972">
        <v>65.673000000000002</v>
      </c>
      <c r="Q699" s="972">
        <v>941.31100000000004</v>
      </c>
      <c r="R699" s="962">
        <v>54</v>
      </c>
      <c r="S699" s="962" t="s">
        <v>4940</v>
      </c>
      <c r="T699" s="972">
        <v>309.46766666666667</v>
      </c>
    </row>
    <row r="700" spans="1:20">
      <c r="A700" s="962" t="s">
        <v>6025</v>
      </c>
      <c r="B700" s="972">
        <v>4593.7110000000002</v>
      </c>
      <c r="C700" s="972">
        <v>250.15799999999999</v>
      </c>
      <c r="D700" s="972">
        <v>1.42</v>
      </c>
      <c r="E700" s="972">
        <v>78.897999999999996</v>
      </c>
      <c r="F700" s="972">
        <v>5.6920000000000002</v>
      </c>
      <c r="G700" s="972">
        <v>2.9000000000000001E-2</v>
      </c>
      <c r="H700" s="972">
        <v>0</v>
      </c>
      <c r="I700" s="972">
        <v>67.308999999999997</v>
      </c>
      <c r="J700" s="972">
        <v>10.415000000000001</v>
      </c>
      <c r="K700" s="972">
        <v>0</v>
      </c>
      <c r="L700" s="972">
        <v>2.2999999999999998</v>
      </c>
      <c r="M700" s="972">
        <v>0</v>
      </c>
      <c r="N700" s="972">
        <v>11.731999999999999</v>
      </c>
      <c r="O700" s="972">
        <v>97.477000000000004</v>
      </c>
      <c r="P700" s="972">
        <v>262.29500000000002</v>
      </c>
      <c r="Q700" s="972">
        <v>4233.9399999999996</v>
      </c>
      <c r="R700" s="962">
        <v>233</v>
      </c>
      <c r="S700" s="962" t="s">
        <v>4940</v>
      </c>
      <c r="T700" s="972">
        <v>1251.6728333333333</v>
      </c>
    </row>
    <row r="701" spans="1:20">
      <c r="A701" s="962" t="s">
        <v>2817</v>
      </c>
      <c r="B701" s="972">
        <v>775.69600000000003</v>
      </c>
      <c r="C701" s="972">
        <v>137.48699999999999</v>
      </c>
      <c r="D701" s="972">
        <v>9.6000000000000002E-2</v>
      </c>
      <c r="E701" s="972">
        <v>31.233000000000001</v>
      </c>
      <c r="F701" s="972">
        <v>1.1830000000000001</v>
      </c>
      <c r="G701" s="972">
        <v>2.8000000000000001E-2</v>
      </c>
      <c r="H701" s="972">
        <v>0</v>
      </c>
      <c r="I701" s="972">
        <v>18.050999999999998</v>
      </c>
      <c r="J701" s="972">
        <v>4.1150000000000002</v>
      </c>
      <c r="K701" s="972">
        <v>0</v>
      </c>
      <c r="L701" s="972">
        <v>0.90100000000000002</v>
      </c>
      <c r="M701" s="972">
        <v>0</v>
      </c>
      <c r="N701" s="972">
        <v>4.7949999999999999</v>
      </c>
      <c r="O701" s="972">
        <v>29.073</v>
      </c>
      <c r="P701" s="972">
        <v>34.44</v>
      </c>
      <c r="Q701" s="972">
        <v>712.18299999999999</v>
      </c>
      <c r="R701" s="962">
        <v>24</v>
      </c>
      <c r="S701" s="962" t="s">
        <v>4940</v>
      </c>
      <c r="T701" s="972">
        <v>208.76083333333332</v>
      </c>
    </row>
    <row r="702" spans="1:20">
      <c r="A702" s="962" t="s">
        <v>128</v>
      </c>
      <c r="B702" s="972">
        <v>825.28099999999995</v>
      </c>
      <c r="C702" s="972">
        <v>33.378999999999998</v>
      </c>
      <c r="D702" s="972">
        <v>0</v>
      </c>
      <c r="E702" s="972">
        <v>17.393999999999998</v>
      </c>
      <c r="F702" s="972">
        <v>1.988</v>
      </c>
      <c r="G702" s="972">
        <v>0.20599999999999999</v>
      </c>
      <c r="H702" s="972">
        <v>0</v>
      </c>
      <c r="I702" s="972">
        <v>26.173999999999999</v>
      </c>
      <c r="J702" s="972">
        <v>7.8419999999999996</v>
      </c>
      <c r="K702" s="972">
        <v>0.11</v>
      </c>
      <c r="L702" s="972">
        <v>0.17899999999999999</v>
      </c>
      <c r="M702" s="972">
        <v>0</v>
      </c>
      <c r="N702" s="972">
        <v>0</v>
      </c>
      <c r="O702" s="972">
        <v>36.497999999999998</v>
      </c>
      <c r="P702" s="972">
        <v>40.759</v>
      </c>
      <c r="Q702" s="972">
        <v>748.024</v>
      </c>
      <c r="R702" s="962">
        <v>101</v>
      </c>
      <c r="S702" s="962" t="s">
        <v>4940</v>
      </c>
      <c r="T702" s="972">
        <v>226.84283333333335</v>
      </c>
    </row>
    <row r="703" spans="1:20">
      <c r="A703" s="962" t="s">
        <v>3551</v>
      </c>
      <c r="B703" s="972">
        <v>1783.7850000000001</v>
      </c>
      <c r="C703" s="972">
        <v>304.142</v>
      </c>
      <c r="D703" s="972">
        <v>0.76700000000000002</v>
      </c>
      <c r="E703" s="972">
        <v>64.936000000000007</v>
      </c>
      <c r="F703" s="972">
        <v>2.4329999999999998</v>
      </c>
      <c r="G703" s="972">
        <v>1.6E-2</v>
      </c>
      <c r="H703" s="972">
        <v>0</v>
      </c>
      <c r="I703" s="972">
        <v>26.922000000000001</v>
      </c>
      <c r="J703" s="972">
        <v>7.1549999999999994</v>
      </c>
      <c r="K703" s="972">
        <v>0</v>
      </c>
      <c r="L703" s="972">
        <v>2.903</v>
      </c>
      <c r="M703" s="972">
        <v>0</v>
      </c>
      <c r="N703" s="972">
        <v>0.14799999999999999</v>
      </c>
      <c r="O703" s="972">
        <v>39.576000000000001</v>
      </c>
      <c r="P703" s="972">
        <v>133.035</v>
      </c>
      <c r="Q703" s="972">
        <v>1611.173</v>
      </c>
      <c r="R703" s="962">
        <v>103</v>
      </c>
      <c r="S703" s="962" t="s">
        <v>4940</v>
      </c>
      <c r="T703" s="972">
        <v>484.75216666666665</v>
      </c>
    </row>
    <row r="704" spans="1:20">
      <c r="A704" s="962" t="s">
        <v>1851</v>
      </c>
      <c r="B704" s="972">
        <v>1500.587</v>
      </c>
      <c r="C704" s="972">
        <v>66.706000000000003</v>
      </c>
      <c r="D704" s="972">
        <v>0.45300000000000001</v>
      </c>
      <c r="E704" s="972">
        <v>68.048000000000002</v>
      </c>
      <c r="F704" s="972">
        <v>2.722</v>
      </c>
      <c r="G704" s="972">
        <v>0.14499999999999999</v>
      </c>
      <c r="H704" s="972">
        <v>0</v>
      </c>
      <c r="I704" s="972">
        <v>23.501000000000001</v>
      </c>
      <c r="J704" s="972">
        <v>15.556999999999999</v>
      </c>
      <c r="K704" s="972">
        <v>0</v>
      </c>
      <c r="L704" s="972">
        <v>0</v>
      </c>
      <c r="M704" s="972">
        <v>0</v>
      </c>
      <c r="N704" s="972">
        <v>6.0439999999999996</v>
      </c>
      <c r="O704" s="972">
        <v>47.97</v>
      </c>
      <c r="P704" s="972">
        <v>96.718000000000004</v>
      </c>
      <c r="Q704" s="972">
        <v>1355.8989999999999</v>
      </c>
      <c r="R704" s="962">
        <v>58</v>
      </c>
      <c r="S704" s="962" t="s">
        <v>4940</v>
      </c>
      <c r="T704" s="972">
        <v>420.05250000000001</v>
      </c>
    </row>
    <row r="705" spans="1:20">
      <c r="A705" s="962" t="s">
        <v>267</v>
      </c>
      <c r="B705" s="972">
        <v>646.30700000000002</v>
      </c>
      <c r="C705" s="972">
        <v>33.331000000000003</v>
      </c>
      <c r="D705" s="972">
        <v>0.58899999999999997</v>
      </c>
      <c r="E705" s="972">
        <v>54.335999999999999</v>
      </c>
      <c r="F705" s="972">
        <v>0.82399999999999995</v>
      </c>
      <c r="G705" s="972">
        <v>3.5999999999999997E-2</v>
      </c>
      <c r="H705" s="972">
        <v>0</v>
      </c>
      <c r="I705" s="972">
        <v>4.8079999999999998</v>
      </c>
      <c r="J705" s="972">
        <v>0.79200000000000004</v>
      </c>
      <c r="K705" s="972">
        <v>0</v>
      </c>
      <c r="L705" s="972">
        <v>5.4640000000000004</v>
      </c>
      <c r="M705" s="972">
        <v>0</v>
      </c>
      <c r="N705" s="972">
        <v>0</v>
      </c>
      <c r="O705" s="972">
        <v>11.923999999999999</v>
      </c>
      <c r="P705" s="972">
        <v>37.554000000000002</v>
      </c>
      <c r="Q705" s="972">
        <v>596.82899999999995</v>
      </c>
      <c r="R705" s="962">
        <v>54</v>
      </c>
      <c r="S705" s="962" t="s">
        <v>4940</v>
      </c>
      <c r="T705" s="972">
        <v>181.36033333333333</v>
      </c>
    </row>
    <row r="706" spans="1:20">
      <c r="A706" s="962" t="s">
        <v>2819</v>
      </c>
      <c r="B706" s="972">
        <v>472.88</v>
      </c>
      <c r="C706" s="972">
        <v>21.946000000000002</v>
      </c>
      <c r="D706" s="972">
        <v>0</v>
      </c>
      <c r="E706" s="972">
        <v>36.956000000000003</v>
      </c>
      <c r="F706" s="972">
        <v>0.49299999999999999</v>
      </c>
      <c r="G706" s="972">
        <v>0</v>
      </c>
      <c r="H706" s="972">
        <v>0</v>
      </c>
      <c r="I706" s="972">
        <v>3.8109999999999999</v>
      </c>
      <c r="J706" s="972">
        <v>0</v>
      </c>
      <c r="K706" s="972">
        <v>0</v>
      </c>
      <c r="L706" s="972">
        <v>1.96</v>
      </c>
      <c r="M706" s="972">
        <v>0</v>
      </c>
      <c r="N706" s="972">
        <v>0</v>
      </c>
      <c r="O706" s="972">
        <v>6.2640000000000002</v>
      </c>
      <c r="P706" s="972">
        <v>32.084000000000003</v>
      </c>
      <c r="Q706" s="972">
        <v>434.53199999999998</v>
      </c>
      <c r="R706" s="962">
        <v>29</v>
      </c>
      <c r="S706" s="962" t="s">
        <v>4940</v>
      </c>
      <c r="T706" s="972">
        <v>123.94316666666667</v>
      </c>
    </row>
    <row r="707" spans="1:20">
      <c r="A707" s="962" t="s">
        <v>1863</v>
      </c>
      <c r="B707" s="972">
        <v>684.07399999999996</v>
      </c>
      <c r="C707" s="972">
        <v>5.3719999999999999</v>
      </c>
      <c r="D707" s="972">
        <v>0.14299999999999999</v>
      </c>
      <c r="E707" s="972">
        <v>42.603000000000002</v>
      </c>
      <c r="F707" s="972">
        <v>0.78</v>
      </c>
      <c r="G707" s="972">
        <v>0</v>
      </c>
      <c r="H707" s="972">
        <v>0</v>
      </c>
      <c r="I707" s="972">
        <v>4.2830000000000004</v>
      </c>
      <c r="J707" s="972">
        <v>3.26</v>
      </c>
      <c r="K707" s="972">
        <v>0</v>
      </c>
      <c r="L707" s="972">
        <v>0</v>
      </c>
      <c r="M707" s="972">
        <v>0</v>
      </c>
      <c r="N707" s="972">
        <v>0</v>
      </c>
      <c r="O707" s="972">
        <v>8.3219999999999992</v>
      </c>
      <c r="P707" s="972">
        <v>40.286999999999999</v>
      </c>
      <c r="Q707" s="972">
        <v>635.46600000000001</v>
      </c>
      <c r="R707" s="962">
        <v>68</v>
      </c>
      <c r="S707" s="962" t="s">
        <v>4940</v>
      </c>
      <c r="T707" s="972">
        <v>217.30533333333332</v>
      </c>
    </row>
    <row r="708" spans="1:20">
      <c r="A708" s="962" t="s">
        <v>449</v>
      </c>
      <c r="B708" s="972">
        <v>109.166</v>
      </c>
      <c r="C708" s="972">
        <v>2.5099999999999998</v>
      </c>
      <c r="D708" s="972">
        <v>0</v>
      </c>
      <c r="E708" s="972">
        <v>2.9060000000000001</v>
      </c>
      <c r="F708" s="972">
        <v>0.13200000000000001</v>
      </c>
      <c r="G708" s="972">
        <v>0</v>
      </c>
      <c r="H708" s="972">
        <v>0</v>
      </c>
      <c r="I708" s="972">
        <v>3.5680000000000001</v>
      </c>
      <c r="J708" s="972">
        <v>0</v>
      </c>
      <c r="K708" s="972">
        <v>0</v>
      </c>
      <c r="L708" s="972">
        <v>0</v>
      </c>
      <c r="M708" s="972">
        <v>0</v>
      </c>
      <c r="N708" s="972">
        <v>0</v>
      </c>
      <c r="O708" s="972">
        <v>3.7</v>
      </c>
      <c r="P708" s="972">
        <v>9.0389999999999997</v>
      </c>
      <c r="Q708" s="972">
        <v>96.427999999999997</v>
      </c>
      <c r="R708" s="962">
        <v>10</v>
      </c>
      <c r="S708" s="962" t="s">
        <v>4940</v>
      </c>
      <c r="T708" s="972">
        <v>30.624166666666667</v>
      </c>
    </row>
    <row r="709" spans="1:20">
      <c r="A709" s="962" t="s">
        <v>5138</v>
      </c>
      <c r="B709" s="972">
        <v>579.26</v>
      </c>
      <c r="C709" s="972">
        <v>15.946999999999999</v>
      </c>
      <c r="D709" s="972">
        <v>0.376</v>
      </c>
      <c r="E709" s="972">
        <v>35.246000000000002</v>
      </c>
      <c r="F709" s="972">
        <v>0.78</v>
      </c>
      <c r="G709" s="972">
        <v>7.5999999999999998E-2</v>
      </c>
      <c r="H709" s="972">
        <v>0</v>
      </c>
      <c r="I709" s="972">
        <v>9.0589999999999993</v>
      </c>
      <c r="J709" s="972">
        <v>0.374</v>
      </c>
      <c r="K709" s="972">
        <v>0</v>
      </c>
      <c r="L709" s="972">
        <v>1.417</v>
      </c>
      <c r="M709" s="972">
        <v>0</v>
      </c>
      <c r="N709" s="972">
        <v>0</v>
      </c>
      <c r="O709" s="972">
        <v>11.705</v>
      </c>
      <c r="P709" s="972">
        <v>43.273000000000003</v>
      </c>
      <c r="Q709" s="972">
        <v>524.28300000000002</v>
      </c>
      <c r="R709" s="962">
        <v>24</v>
      </c>
      <c r="S709" s="962" t="s">
        <v>4940</v>
      </c>
      <c r="T709" s="972">
        <v>166.99316666666667</v>
      </c>
    </row>
    <row r="710" spans="1:20">
      <c r="A710" s="962" t="s">
        <v>6027</v>
      </c>
      <c r="B710" s="972">
        <v>937.94899999999996</v>
      </c>
      <c r="C710" s="972">
        <v>14.67</v>
      </c>
      <c r="D710" s="972">
        <v>0.27800000000000002</v>
      </c>
      <c r="E710" s="972">
        <v>14.435</v>
      </c>
      <c r="F710" s="972">
        <v>1.2110000000000001</v>
      </c>
      <c r="G710" s="972">
        <v>0</v>
      </c>
      <c r="H710" s="972">
        <v>0</v>
      </c>
      <c r="I710" s="972">
        <v>22.395</v>
      </c>
      <c r="J710" s="972">
        <v>1.2190000000000001</v>
      </c>
      <c r="K710" s="972">
        <v>0</v>
      </c>
      <c r="L710" s="972">
        <v>0</v>
      </c>
      <c r="M710" s="972">
        <v>0</v>
      </c>
      <c r="N710" s="972">
        <v>0</v>
      </c>
      <c r="O710" s="972">
        <v>24.824999999999999</v>
      </c>
      <c r="P710" s="972">
        <v>30.776</v>
      </c>
      <c r="Q710" s="972">
        <v>882.34900000000005</v>
      </c>
      <c r="R710" s="962">
        <v>144</v>
      </c>
      <c r="S710" s="962" t="s">
        <v>4940</v>
      </c>
      <c r="T710" s="972">
        <v>242.16033333333334</v>
      </c>
    </row>
    <row r="711" spans="1:20">
      <c r="A711" s="962" t="s">
        <v>450</v>
      </c>
      <c r="B711" s="972">
        <v>602.14300000000003</v>
      </c>
      <c r="C711" s="972">
        <v>6.5590000000000002</v>
      </c>
      <c r="D711" s="972">
        <v>0.42099999999999999</v>
      </c>
      <c r="E711" s="972">
        <v>19.181000000000001</v>
      </c>
      <c r="F711" s="972">
        <v>1.339</v>
      </c>
      <c r="G711" s="972">
        <v>1.9E-2</v>
      </c>
      <c r="H711" s="972">
        <v>0</v>
      </c>
      <c r="I711" s="972">
        <v>10.016999999999999</v>
      </c>
      <c r="J711" s="972">
        <v>6.5519999999999996</v>
      </c>
      <c r="K711" s="972">
        <v>0</v>
      </c>
      <c r="L711" s="972">
        <v>0</v>
      </c>
      <c r="M711" s="972">
        <v>0</v>
      </c>
      <c r="N711" s="972">
        <v>0</v>
      </c>
      <c r="O711" s="972">
        <v>17.928000000000001</v>
      </c>
      <c r="P711" s="972">
        <v>40.146000000000001</v>
      </c>
      <c r="Q711" s="972">
        <v>544.07000000000005</v>
      </c>
      <c r="R711" s="962">
        <v>76</v>
      </c>
      <c r="S711" s="962" t="s">
        <v>4940</v>
      </c>
      <c r="T711" s="972">
        <v>174.35899999999998</v>
      </c>
    </row>
    <row r="712" spans="1:20">
      <c r="A712" s="962" t="s">
        <v>516</v>
      </c>
      <c r="B712" s="972">
        <v>285.88099999999997</v>
      </c>
      <c r="C712" s="972">
        <v>0</v>
      </c>
      <c r="D712" s="972">
        <v>0.108</v>
      </c>
      <c r="E712" s="972">
        <v>14.134</v>
      </c>
      <c r="F712" s="972">
        <v>0.52900000000000003</v>
      </c>
      <c r="G712" s="972">
        <v>0</v>
      </c>
      <c r="H712" s="972">
        <v>0</v>
      </c>
      <c r="I712" s="972">
        <v>1.2769999999999999</v>
      </c>
      <c r="J712" s="972">
        <v>0</v>
      </c>
      <c r="K712" s="972">
        <v>0</v>
      </c>
      <c r="L712" s="972">
        <v>0</v>
      </c>
      <c r="M712" s="972">
        <v>0</v>
      </c>
      <c r="N712" s="972">
        <v>0</v>
      </c>
      <c r="O712" s="972">
        <v>1.806</v>
      </c>
      <c r="P712" s="972">
        <v>20.608000000000001</v>
      </c>
      <c r="Q712" s="972">
        <v>263.46699999999998</v>
      </c>
      <c r="R712" s="962">
        <v>25</v>
      </c>
      <c r="S712" s="962" t="s">
        <v>4940</v>
      </c>
      <c r="T712" s="972">
        <v>89.334000000000003</v>
      </c>
    </row>
    <row r="713" spans="1:20">
      <c r="A713" s="962" t="s">
        <v>1525</v>
      </c>
      <c r="B713" s="972">
        <v>334.43700000000001</v>
      </c>
      <c r="C713" s="972">
        <v>3.8849999999999998</v>
      </c>
      <c r="D713" s="972">
        <v>0</v>
      </c>
      <c r="E713" s="972">
        <v>13.554</v>
      </c>
      <c r="F713" s="972">
        <v>0.46200000000000002</v>
      </c>
      <c r="G713" s="972">
        <v>0</v>
      </c>
      <c r="H713" s="972">
        <v>0</v>
      </c>
      <c r="I713" s="972">
        <v>4.0599999999999996</v>
      </c>
      <c r="J713" s="972">
        <v>1.1359999999999999</v>
      </c>
      <c r="K713" s="972">
        <v>0</v>
      </c>
      <c r="L713" s="972">
        <v>0</v>
      </c>
      <c r="M713" s="972">
        <v>0</v>
      </c>
      <c r="N713" s="972">
        <v>0</v>
      </c>
      <c r="O713" s="972">
        <v>5.657</v>
      </c>
      <c r="P713" s="972">
        <v>17.373000000000001</v>
      </c>
      <c r="Q713" s="972">
        <v>311.40699999999998</v>
      </c>
      <c r="R713" s="962">
        <v>33</v>
      </c>
      <c r="S713" s="962" t="s">
        <v>4940</v>
      </c>
      <c r="T713" s="972">
        <v>121.10183333333333</v>
      </c>
    </row>
    <row r="714" spans="1:20">
      <c r="A714" s="962" t="s">
        <v>244</v>
      </c>
      <c r="B714" s="972">
        <v>2701.9969999999998</v>
      </c>
      <c r="C714" s="972">
        <v>91.352000000000004</v>
      </c>
      <c r="D714" s="972">
        <v>0.79500000000000004</v>
      </c>
      <c r="E714" s="972">
        <v>66.311000000000007</v>
      </c>
      <c r="F714" s="972">
        <v>3.1779999999999999</v>
      </c>
      <c r="G714" s="972">
        <v>0.23599999999999999</v>
      </c>
      <c r="H714" s="972">
        <v>0</v>
      </c>
      <c r="I714" s="972">
        <v>44.304000000000002</v>
      </c>
      <c r="J714" s="972">
        <v>11.030000000000001</v>
      </c>
      <c r="K714" s="972">
        <v>0</v>
      </c>
      <c r="L714" s="972">
        <v>3.0840000000000001</v>
      </c>
      <c r="M714" s="972">
        <v>0</v>
      </c>
      <c r="N714" s="972">
        <v>1.444</v>
      </c>
      <c r="O714" s="972">
        <v>63.276000000000003</v>
      </c>
      <c r="P714" s="972">
        <v>129.52500000000001</v>
      </c>
      <c r="Q714" s="972">
        <v>2509.1970000000001</v>
      </c>
      <c r="R714" s="962">
        <v>61</v>
      </c>
      <c r="S714" s="962" t="s">
        <v>4940</v>
      </c>
      <c r="T714" s="972">
        <v>759.11166666666679</v>
      </c>
    </row>
    <row r="715" spans="1:20">
      <c r="A715" s="962" t="s">
        <v>1308</v>
      </c>
      <c r="B715" s="972">
        <v>7784.2240000000002</v>
      </c>
      <c r="C715" s="972">
        <v>374.74</v>
      </c>
      <c r="D715" s="972">
        <v>0.70699999999999996</v>
      </c>
      <c r="E715" s="972">
        <v>62.784999999999997</v>
      </c>
      <c r="F715" s="972">
        <v>12.214</v>
      </c>
      <c r="G715" s="972">
        <v>0.04</v>
      </c>
      <c r="H715" s="972">
        <v>0</v>
      </c>
      <c r="I715" s="972">
        <v>134.499</v>
      </c>
      <c r="J715" s="972">
        <v>42.961999999999996</v>
      </c>
      <c r="K715" s="972">
        <v>0</v>
      </c>
      <c r="L715" s="972">
        <v>0.216</v>
      </c>
      <c r="M715" s="972">
        <v>0</v>
      </c>
      <c r="N715" s="972">
        <v>5.5659999999999998</v>
      </c>
      <c r="O715" s="972">
        <v>195.495</v>
      </c>
      <c r="P715" s="972">
        <v>429.92700000000002</v>
      </c>
      <c r="Q715" s="972">
        <v>7158.8019999999997</v>
      </c>
      <c r="R715" s="962">
        <v>717</v>
      </c>
      <c r="S715" s="962" t="s">
        <v>4940</v>
      </c>
      <c r="T715" s="972">
        <v>2076.3083333333334</v>
      </c>
    </row>
    <row r="716" spans="1:20">
      <c r="A716" s="962" t="s">
        <v>6029</v>
      </c>
      <c r="B716" s="972">
        <v>3493.12</v>
      </c>
      <c r="C716" s="972">
        <v>455.67599999999999</v>
      </c>
      <c r="D716" s="972">
        <v>1.9390000000000001</v>
      </c>
      <c r="E716" s="972">
        <v>128.86000000000001</v>
      </c>
      <c r="F716" s="972">
        <v>5.0369999999999999</v>
      </c>
      <c r="G716" s="972">
        <v>0.42699999999999999</v>
      </c>
      <c r="H716" s="972">
        <v>0</v>
      </c>
      <c r="I716" s="972">
        <v>51.26</v>
      </c>
      <c r="J716" s="972">
        <v>13.068</v>
      </c>
      <c r="K716" s="972">
        <v>1.0960000000000001</v>
      </c>
      <c r="L716" s="972">
        <v>0.85299999999999998</v>
      </c>
      <c r="M716" s="972">
        <v>0</v>
      </c>
      <c r="N716" s="972">
        <v>2.0179999999999998</v>
      </c>
      <c r="O716" s="972">
        <v>73.757999999999996</v>
      </c>
      <c r="P716" s="972">
        <v>143.428</v>
      </c>
      <c r="Q716" s="972">
        <v>3275.9349999999999</v>
      </c>
      <c r="R716" s="962">
        <v>190</v>
      </c>
      <c r="S716" s="962" t="s">
        <v>4940</v>
      </c>
      <c r="T716" s="972">
        <v>959.23883333333333</v>
      </c>
    </row>
    <row r="717" spans="1:20">
      <c r="A717" s="962" t="s">
        <v>6031</v>
      </c>
      <c r="B717" s="972">
        <v>1442.8789999999999</v>
      </c>
      <c r="C717" s="972">
        <v>54.48</v>
      </c>
      <c r="D717" s="972">
        <v>0.65200000000000002</v>
      </c>
      <c r="E717" s="972">
        <v>22.754999999999999</v>
      </c>
      <c r="F717" s="972">
        <v>2.4169999999999998</v>
      </c>
      <c r="G717" s="972">
        <v>0.44500000000000001</v>
      </c>
      <c r="H717" s="972">
        <v>0</v>
      </c>
      <c r="I717" s="972">
        <v>36.826000000000001</v>
      </c>
      <c r="J717" s="972">
        <v>13.247</v>
      </c>
      <c r="K717" s="972">
        <v>1.1519999999999999</v>
      </c>
      <c r="L717" s="972">
        <v>0</v>
      </c>
      <c r="M717" s="972">
        <v>0</v>
      </c>
      <c r="N717" s="972">
        <v>0</v>
      </c>
      <c r="O717" s="972">
        <v>54.085999999999999</v>
      </c>
      <c r="P717" s="972">
        <v>99.99</v>
      </c>
      <c r="Q717" s="972">
        <v>1288.8030000000001</v>
      </c>
      <c r="R717" s="962">
        <v>79</v>
      </c>
      <c r="S717" s="962" t="s">
        <v>4940</v>
      </c>
      <c r="T717" s="972">
        <v>420.80033333333341</v>
      </c>
    </row>
    <row r="718" spans="1:20">
      <c r="A718" s="962" t="s">
        <v>5628</v>
      </c>
      <c r="B718" s="972">
        <v>3069.212</v>
      </c>
      <c r="C718" s="972">
        <v>61.244</v>
      </c>
      <c r="D718" s="972">
        <v>1.2609999999999999</v>
      </c>
      <c r="E718" s="972">
        <v>35.045999999999999</v>
      </c>
      <c r="F718" s="972">
        <v>5.2380000000000004</v>
      </c>
      <c r="G718" s="972">
        <v>7.2999999999999995E-2</v>
      </c>
      <c r="H718" s="972">
        <v>0</v>
      </c>
      <c r="I718" s="972">
        <v>54.792999999999999</v>
      </c>
      <c r="J718" s="972">
        <v>19.73</v>
      </c>
      <c r="K718" s="972">
        <v>0</v>
      </c>
      <c r="L718" s="972">
        <v>1.085</v>
      </c>
      <c r="M718" s="972">
        <v>0</v>
      </c>
      <c r="N718" s="972">
        <v>0.48099999999999998</v>
      </c>
      <c r="O718" s="972">
        <v>81.399000000000001</v>
      </c>
      <c r="P718" s="972">
        <v>155.85499999999999</v>
      </c>
      <c r="Q718" s="972">
        <v>2831.9580000000001</v>
      </c>
      <c r="R718" s="962">
        <v>327</v>
      </c>
      <c r="S718" s="962" t="s">
        <v>4940</v>
      </c>
      <c r="T718" s="972">
        <v>873.44499999999994</v>
      </c>
    </row>
    <row r="719" spans="1:20">
      <c r="A719" s="962" t="s">
        <v>5630</v>
      </c>
      <c r="B719" s="972">
        <v>3794.8560000000002</v>
      </c>
      <c r="C719" s="972">
        <v>683.49900000000002</v>
      </c>
      <c r="D719" s="972">
        <v>2.0099999999999998</v>
      </c>
      <c r="E719" s="972">
        <v>108.72499999999999</v>
      </c>
      <c r="F719" s="972">
        <v>4.2329999999999997</v>
      </c>
      <c r="G719" s="972">
        <v>0.42799999999999999</v>
      </c>
      <c r="H719" s="972">
        <v>0.46500000000000002</v>
      </c>
      <c r="I719" s="972">
        <v>38.121000000000002</v>
      </c>
      <c r="J719" s="972">
        <v>27.585999999999999</v>
      </c>
      <c r="K719" s="972">
        <v>0</v>
      </c>
      <c r="L719" s="972">
        <v>0</v>
      </c>
      <c r="M719" s="972">
        <v>0</v>
      </c>
      <c r="N719" s="972">
        <v>10.446</v>
      </c>
      <c r="O719" s="972">
        <v>81.278999999999996</v>
      </c>
      <c r="P719" s="972">
        <v>196.607</v>
      </c>
      <c r="Q719" s="972">
        <v>3516.97</v>
      </c>
      <c r="R719" s="962">
        <v>293</v>
      </c>
      <c r="S719" s="962" t="s">
        <v>4940</v>
      </c>
      <c r="T719" s="972">
        <v>984.8601666666666</v>
      </c>
    </row>
    <row r="720" spans="1:20">
      <c r="A720" s="962" t="s">
        <v>2395</v>
      </c>
      <c r="B720" s="972">
        <v>872.00400000000002</v>
      </c>
      <c r="C720" s="972">
        <v>3.024</v>
      </c>
      <c r="D720" s="972">
        <v>0</v>
      </c>
      <c r="E720" s="972">
        <v>50.506</v>
      </c>
      <c r="F720" s="972">
        <v>0.85899999999999999</v>
      </c>
      <c r="G720" s="972">
        <v>2.1999999999999999E-2</v>
      </c>
      <c r="H720" s="972">
        <v>0</v>
      </c>
      <c r="I720" s="972">
        <v>8.6560000000000006</v>
      </c>
      <c r="J720" s="972">
        <v>13.119</v>
      </c>
      <c r="K720" s="972">
        <v>1.0449999999999999</v>
      </c>
      <c r="L720" s="972">
        <v>0</v>
      </c>
      <c r="M720" s="972">
        <v>0</v>
      </c>
      <c r="N720" s="972">
        <v>0</v>
      </c>
      <c r="O720" s="972">
        <v>23.699000000000002</v>
      </c>
      <c r="P720" s="972">
        <v>66.602000000000004</v>
      </c>
      <c r="Q720" s="972">
        <v>781.70299999999997</v>
      </c>
      <c r="R720" s="962">
        <v>49</v>
      </c>
      <c r="S720" s="962" t="s">
        <v>4940</v>
      </c>
      <c r="T720" s="972">
        <v>236.10733333333334</v>
      </c>
    </row>
    <row r="721" spans="1:20">
      <c r="A721" s="962" t="s">
        <v>7799</v>
      </c>
      <c r="B721" s="972">
        <v>51.609000000000002</v>
      </c>
      <c r="C721" s="972">
        <v>0</v>
      </c>
      <c r="D721" s="972">
        <v>0</v>
      </c>
      <c r="E721" s="972">
        <v>1.121</v>
      </c>
      <c r="F721" s="972">
        <v>0.107</v>
      </c>
      <c r="G721" s="972">
        <v>0</v>
      </c>
      <c r="H721" s="972">
        <v>0</v>
      </c>
      <c r="I721" s="972">
        <v>0</v>
      </c>
      <c r="J721" s="972">
        <v>4.9000000000000002E-2</v>
      </c>
      <c r="K721" s="972">
        <v>0</v>
      </c>
      <c r="L721" s="972">
        <v>0</v>
      </c>
      <c r="M721" s="972">
        <v>0</v>
      </c>
      <c r="N721" s="972">
        <v>23.73</v>
      </c>
      <c r="O721" s="972">
        <v>23.885999999999999</v>
      </c>
      <c r="P721" s="972">
        <v>0</v>
      </c>
      <c r="Q721" s="972">
        <v>27.722999999999999</v>
      </c>
      <c r="R721" s="962">
        <v>0</v>
      </c>
      <c r="S721" s="962" t="s">
        <v>4940</v>
      </c>
      <c r="T721" s="972">
        <v>30.305666666666664</v>
      </c>
    </row>
    <row r="722" spans="1:20">
      <c r="A722" s="962" t="s">
        <v>5632</v>
      </c>
      <c r="B722" s="972">
        <v>6354.6289999999999</v>
      </c>
      <c r="C722" s="972">
        <v>199.86600000000001</v>
      </c>
      <c r="D722" s="972">
        <v>0.4</v>
      </c>
      <c r="E722" s="972">
        <v>184.08</v>
      </c>
      <c r="F722" s="972">
        <v>7.5780000000000003</v>
      </c>
      <c r="G722" s="972">
        <v>0.41499999999999998</v>
      </c>
      <c r="H722" s="972">
        <v>9.1229999999999993</v>
      </c>
      <c r="I722" s="972">
        <v>54.002000000000002</v>
      </c>
      <c r="J722" s="972">
        <v>34.971000000000004</v>
      </c>
      <c r="K722" s="972">
        <v>0</v>
      </c>
      <c r="L722" s="972">
        <v>3.8119999999999998</v>
      </c>
      <c r="M722" s="972">
        <v>0</v>
      </c>
      <c r="N722" s="972">
        <v>15.047000000000001</v>
      </c>
      <c r="O722" s="972">
        <v>124.947</v>
      </c>
      <c r="P722" s="972">
        <v>297.161</v>
      </c>
      <c r="Q722" s="972">
        <v>5932.5209999999997</v>
      </c>
      <c r="R722" s="962">
        <v>322</v>
      </c>
      <c r="S722" s="962" t="s">
        <v>4940</v>
      </c>
      <c r="T722" s="972">
        <v>2054.203833333333</v>
      </c>
    </row>
    <row r="723" spans="1:20">
      <c r="A723" s="962" t="s">
        <v>6147</v>
      </c>
      <c r="B723" s="972">
        <v>1087.96</v>
      </c>
      <c r="C723" s="972">
        <v>131.078</v>
      </c>
      <c r="D723" s="972">
        <v>0.47399999999999998</v>
      </c>
      <c r="E723" s="972">
        <v>15.093</v>
      </c>
      <c r="F723" s="972">
        <v>0.94899999999999995</v>
      </c>
      <c r="G723" s="972">
        <v>0.14199999999999999</v>
      </c>
      <c r="H723" s="972">
        <v>0</v>
      </c>
      <c r="I723" s="972">
        <v>42.985999999999997</v>
      </c>
      <c r="J723" s="972">
        <v>5.3289999999999997</v>
      </c>
      <c r="K723" s="972">
        <v>0</v>
      </c>
      <c r="L723" s="972">
        <v>0</v>
      </c>
      <c r="M723" s="972">
        <v>0</v>
      </c>
      <c r="N723" s="972">
        <v>0</v>
      </c>
      <c r="O723" s="972">
        <v>49.405000000000001</v>
      </c>
      <c r="P723" s="972">
        <v>59.994</v>
      </c>
      <c r="Q723" s="972">
        <v>978.56100000000004</v>
      </c>
      <c r="R723" s="962">
        <v>158</v>
      </c>
      <c r="S723" s="962" t="s">
        <v>4940</v>
      </c>
      <c r="T723" s="972">
        <v>328.29583333333335</v>
      </c>
    </row>
    <row r="724" spans="1:20">
      <c r="A724" s="962" t="s">
        <v>5612</v>
      </c>
      <c r="B724" s="972">
        <v>74.813999999999993</v>
      </c>
      <c r="C724" s="972">
        <v>2.9649999999999999</v>
      </c>
      <c r="D724" s="972">
        <v>0</v>
      </c>
      <c r="E724" s="972">
        <v>2.5910000000000002</v>
      </c>
      <c r="F724" s="972">
        <v>0.16</v>
      </c>
      <c r="G724" s="972">
        <v>0</v>
      </c>
      <c r="H724" s="972">
        <v>0</v>
      </c>
      <c r="I724" s="972">
        <v>0.59599999999999997</v>
      </c>
      <c r="J724" s="972">
        <v>0</v>
      </c>
      <c r="K724" s="972">
        <v>0</v>
      </c>
      <c r="L724" s="972">
        <v>0</v>
      </c>
      <c r="M724" s="972">
        <v>0</v>
      </c>
      <c r="N724" s="972">
        <v>0</v>
      </c>
      <c r="O724" s="972">
        <v>0.75600000000000001</v>
      </c>
      <c r="P724" s="972">
        <v>0</v>
      </c>
      <c r="Q724" s="972">
        <v>74.058000000000007</v>
      </c>
      <c r="R724" s="962">
        <v>4</v>
      </c>
      <c r="S724" s="962" t="s">
        <v>3902</v>
      </c>
      <c r="T724" s="972">
        <v>0</v>
      </c>
    </row>
    <row r="725" spans="1:20">
      <c r="A725" s="962" t="s">
        <v>1419</v>
      </c>
      <c r="B725" s="972">
        <v>140.28700000000001</v>
      </c>
      <c r="C725" s="972">
        <v>0</v>
      </c>
      <c r="D725" s="972">
        <v>0</v>
      </c>
      <c r="E725" s="972">
        <v>2.2410000000000001</v>
      </c>
      <c r="F725" s="972">
        <v>0.20799999999999999</v>
      </c>
      <c r="G725" s="972">
        <v>0</v>
      </c>
      <c r="H725" s="972">
        <v>0</v>
      </c>
      <c r="I725" s="972">
        <v>4.0650000000000004</v>
      </c>
      <c r="J725" s="972">
        <v>0.85</v>
      </c>
      <c r="K725" s="972">
        <v>0</v>
      </c>
      <c r="L725" s="972">
        <v>0</v>
      </c>
      <c r="M725" s="972">
        <v>0</v>
      </c>
      <c r="N725" s="972">
        <v>0</v>
      </c>
      <c r="O725" s="972">
        <v>5.1230000000000002</v>
      </c>
      <c r="P725" s="972">
        <v>9.3780000000000001</v>
      </c>
      <c r="Q725" s="972">
        <v>125.78700000000001</v>
      </c>
      <c r="R725" s="962">
        <v>5</v>
      </c>
      <c r="S725" s="962" t="s">
        <v>4940</v>
      </c>
      <c r="T725" s="972">
        <v>42.919333333333334</v>
      </c>
    </row>
    <row r="726" spans="1:20">
      <c r="A726" s="962" t="s">
        <v>2469</v>
      </c>
      <c r="B726" s="972">
        <v>597.40200000000004</v>
      </c>
      <c r="C726" s="972">
        <v>86.486999999999995</v>
      </c>
      <c r="D726" s="972">
        <v>0.17699999999999999</v>
      </c>
      <c r="E726" s="972">
        <v>24.010999999999999</v>
      </c>
      <c r="F726" s="972">
        <v>0.77500000000000002</v>
      </c>
      <c r="G726" s="972">
        <v>0</v>
      </c>
      <c r="H726" s="972">
        <v>0</v>
      </c>
      <c r="I726" s="972">
        <v>6.6870000000000003</v>
      </c>
      <c r="J726" s="972">
        <v>2.6859999999999999</v>
      </c>
      <c r="K726" s="972">
        <v>0</v>
      </c>
      <c r="L726" s="972">
        <v>0</v>
      </c>
      <c r="M726" s="972">
        <v>0</v>
      </c>
      <c r="N726" s="972">
        <v>1.6739999999999999</v>
      </c>
      <c r="O726" s="972">
        <v>11.821999999999999</v>
      </c>
      <c r="P726" s="972">
        <v>30.649000000000001</v>
      </c>
      <c r="Q726" s="972">
        <v>554.93100000000004</v>
      </c>
      <c r="R726" s="962">
        <v>32</v>
      </c>
      <c r="S726" s="962" t="s">
        <v>4940</v>
      </c>
      <c r="T726" s="972">
        <v>176.24783333333335</v>
      </c>
    </row>
    <row r="727" spans="1:20">
      <c r="A727" s="962" t="s">
        <v>1421</v>
      </c>
      <c r="B727" s="972">
        <v>161.61600000000001</v>
      </c>
      <c r="C727" s="972">
        <v>14.227</v>
      </c>
      <c r="D727" s="972">
        <v>0</v>
      </c>
      <c r="E727" s="972">
        <v>0.995</v>
      </c>
      <c r="F727" s="972">
        <v>0.33500000000000002</v>
      </c>
      <c r="G727" s="972">
        <v>0</v>
      </c>
      <c r="H727" s="972">
        <v>0</v>
      </c>
      <c r="I727" s="972">
        <v>3.923</v>
      </c>
      <c r="J727" s="972">
        <v>0</v>
      </c>
      <c r="K727" s="972">
        <v>0</v>
      </c>
      <c r="L727" s="972">
        <v>0</v>
      </c>
      <c r="M727" s="972">
        <v>0</v>
      </c>
      <c r="N727" s="972">
        <v>0</v>
      </c>
      <c r="O727" s="972">
        <v>4.2569999999999997</v>
      </c>
      <c r="P727" s="972">
        <v>0</v>
      </c>
      <c r="Q727" s="972">
        <v>157.358</v>
      </c>
      <c r="R727" s="962">
        <v>13</v>
      </c>
      <c r="S727" s="962" t="s">
        <v>4940</v>
      </c>
      <c r="T727" s="972">
        <v>0</v>
      </c>
    </row>
    <row r="728" spans="1:20">
      <c r="A728" s="962" t="s">
        <v>1423</v>
      </c>
      <c r="B728" s="972">
        <v>4499.3090000000002</v>
      </c>
      <c r="C728" s="972">
        <v>223.36699999999999</v>
      </c>
      <c r="D728" s="972">
        <v>3.7480000000000002</v>
      </c>
      <c r="E728" s="972">
        <v>80.096999999999994</v>
      </c>
      <c r="F728" s="972">
        <v>4.5199999999999996</v>
      </c>
      <c r="G728" s="972">
        <v>0.14099999999999999</v>
      </c>
      <c r="H728" s="972">
        <v>0</v>
      </c>
      <c r="I728" s="972">
        <v>99.828999999999994</v>
      </c>
      <c r="J728" s="972">
        <v>28.609000000000002</v>
      </c>
      <c r="K728" s="972">
        <v>0</v>
      </c>
      <c r="L728" s="972">
        <v>0.50600000000000001</v>
      </c>
      <c r="M728" s="972">
        <v>0</v>
      </c>
      <c r="N728" s="972">
        <v>0</v>
      </c>
      <c r="O728" s="972">
        <v>133.60300000000001</v>
      </c>
      <c r="P728" s="972">
        <v>199.86799999999999</v>
      </c>
      <c r="Q728" s="972">
        <v>4165.8379999999997</v>
      </c>
      <c r="R728" s="962">
        <v>346</v>
      </c>
      <c r="S728" s="962" t="s">
        <v>4940</v>
      </c>
      <c r="T728" s="972">
        <v>1273.4788333333333</v>
      </c>
    </row>
    <row r="729" spans="1:20">
      <c r="A729" s="962" t="s">
        <v>1425</v>
      </c>
      <c r="B729" s="972">
        <v>970.64599999999996</v>
      </c>
      <c r="C729" s="972">
        <v>99.322000000000003</v>
      </c>
      <c r="D729" s="972">
        <v>0.72599999999999998</v>
      </c>
      <c r="E729" s="972">
        <v>10.512</v>
      </c>
      <c r="F729" s="972">
        <v>1.5920000000000001</v>
      </c>
      <c r="G729" s="972">
        <v>0</v>
      </c>
      <c r="H729" s="972">
        <v>0</v>
      </c>
      <c r="I729" s="972">
        <v>12.473000000000001</v>
      </c>
      <c r="J729" s="972">
        <v>7.5110000000000001</v>
      </c>
      <c r="K729" s="972">
        <v>0</v>
      </c>
      <c r="L729" s="972">
        <v>0</v>
      </c>
      <c r="M729" s="972">
        <v>0</v>
      </c>
      <c r="N729" s="972">
        <v>0.496</v>
      </c>
      <c r="O729" s="972">
        <v>22.073</v>
      </c>
      <c r="P729" s="972">
        <v>44.262</v>
      </c>
      <c r="Q729" s="972">
        <v>904.31200000000001</v>
      </c>
      <c r="R729" s="962">
        <v>55</v>
      </c>
      <c r="S729" s="962" t="s">
        <v>4940</v>
      </c>
      <c r="T729" s="972">
        <v>322.7595</v>
      </c>
    </row>
    <row r="730" spans="1:20">
      <c r="A730" s="962" t="s">
        <v>7151</v>
      </c>
      <c r="B730" s="972">
        <v>23.102</v>
      </c>
      <c r="C730" s="972">
        <v>4.95</v>
      </c>
      <c r="D730" s="972">
        <v>0</v>
      </c>
      <c r="E730" s="972">
        <v>0</v>
      </c>
      <c r="F730" s="972">
        <v>0</v>
      </c>
      <c r="G730" s="972">
        <v>0</v>
      </c>
      <c r="H730" s="972">
        <v>0</v>
      </c>
      <c r="I730" s="972">
        <v>0</v>
      </c>
      <c r="J730" s="972">
        <v>0</v>
      </c>
      <c r="K730" s="972">
        <v>0</v>
      </c>
      <c r="L730" s="972">
        <v>0</v>
      </c>
      <c r="M730" s="972">
        <v>0</v>
      </c>
      <c r="N730" s="972">
        <v>0</v>
      </c>
      <c r="O730" s="972">
        <v>0</v>
      </c>
      <c r="P730" s="972">
        <v>0</v>
      </c>
      <c r="Q730" s="972">
        <v>23.102</v>
      </c>
      <c r="R730" s="962">
        <v>0</v>
      </c>
      <c r="S730" s="962" t="s">
        <v>4940</v>
      </c>
      <c r="T730" s="972">
        <v>0</v>
      </c>
    </row>
    <row r="731" spans="1:20">
      <c r="A731" s="962" t="s">
        <v>7153</v>
      </c>
      <c r="B731" s="972">
        <v>638.50800000000004</v>
      </c>
      <c r="C731" s="972">
        <v>14.349</v>
      </c>
      <c r="D731" s="972">
        <v>0.10199999999999999</v>
      </c>
      <c r="E731" s="972">
        <v>14.54</v>
      </c>
      <c r="F731" s="972">
        <v>0.80300000000000005</v>
      </c>
      <c r="G731" s="972">
        <v>0</v>
      </c>
      <c r="H731" s="972">
        <v>0</v>
      </c>
      <c r="I731" s="972">
        <v>15.468999999999999</v>
      </c>
      <c r="J731" s="972">
        <v>3.714</v>
      </c>
      <c r="K731" s="972">
        <v>0</v>
      </c>
      <c r="L731" s="972">
        <v>0.81899999999999995</v>
      </c>
      <c r="M731" s="972">
        <v>0</v>
      </c>
      <c r="N731" s="972">
        <v>0.191</v>
      </c>
      <c r="O731" s="972">
        <v>20.995999999999999</v>
      </c>
      <c r="P731" s="972">
        <v>31.91</v>
      </c>
      <c r="Q731" s="972">
        <v>585.601</v>
      </c>
      <c r="R731" s="962">
        <v>77</v>
      </c>
      <c r="S731" s="962" t="s">
        <v>4940</v>
      </c>
      <c r="T731" s="972">
        <v>208.84866666666667</v>
      </c>
    </row>
    <row r="732" spans="1:20">
      <c r="A732" s="962" t="s">
        <v>6426</v>
      </c>
      <c r="B732" s="972">
        <v>110.48399999999999</v>
      </c>
      <c r="C732" s="972">
        <v>6.915</v>
      </c>
      <c r="D732" s="972">
        <v>0.25700000000000001</v>
      </c>
      <c r="E732" s="972">
        <v>10.292</v>
      </c>
      <c r="F732" s="972">
        <v>0.13400000000000001</v>
      </c>
      <c r="G732" s="972">
        <v>0</v>
      </c>
      <c r="H732" s="972">
        <v>0</v>
      </c>
      <c r="I732" s="972">
        <v>0.78300000000000003</v>
      </c>
      <c r="J732" s="972">
        <v>0</v>
      </c>
      <c r="K732" s="972">
        <v>0</v>
      </c>
      <c r="L732" s="972">
        <v>0</v>
      </c>
      <c r="M732" s="972">
        <v>0</v>
      </c>
      <c r="N732" s="972">
        <v>0</v>
      </c>
      <c r="O732" s="972">
        <v>0.91600000000000004</v>
      </c>
      <c r="P732" s="972">
        <v>8.08</v>
      </c>
      <c r="Q732" s="972">
        <v>101.488</v>
      </c>
      <c r="R732" s="962">
        <v>3</v>
      </c>
      <c r="S732" s="962" t="s">
        <v>4940</v>
      </c>
      <c r="T732" s="972">
        <v>30.362333333333332</v>
      </c>
    </row>
    <row r="733" spans="1:20">
      <c r="A733" s="962" t="s">
        <v>1835</v>
      </c>
      <c r="B733" s="972">
        <v>583.904</v>
      </c>
      <c r="C733" s="972">
        <v>33.279000000000003</v>
      </c>
      <c r="D733" s="972">
        <v>0</v>
      </c>
      <c r="E733" s="972">
        <v>37.677</v>
      </c>
      <c r="F733" s="972">
        <v>1.19</v>
      </c>
      <c r="G733" s="972">
        <v>0</v>
      </c>
      <c r="H733" s="972">
        <v>0</v>
      </c>
      <c r="I733" s="972">
        <v>4.0659999999999998</v>
      </c>
      <c r="J733" s="972">
        <v>1.425</v>
      </c>
      <c r="K733" s="972">
        <v>0</v>
      </c>
      <c r="L733" s="972">
        <v>0.20599999999999999</v>
      </c>
      <c r="M733" s="972">
        <v>0</v>
      </c>
      <c r="N733" s="972">
        <v>0</v>
      </c>
      <c r="O733" s="972">
        <v>6.8860000000000001</v>
      </c>
      <c r="P733" s="972">
        <v>23.934000000000001</v>
      </c>
      <c r="Q733" s="972">
        <v>553.08399999999995</v>
      </c>
      <c r="R733" s="962">
        <v>63</v>
      </c>
      <c r="S733" s="962" t="s">
        <v>3902</v>
      </c>
      <c r="T733" s="972">
        <v>181.87450000000001</v>
      </c>
    </row>
    <row r="734" spans="1:20">
      <c r="A734" s="962" t="s">
        <v>510</v>
      </c>
      <c r="B734" s="972">
        <v>3607</v>
      </c>
      <c r="C734" s="972">
        <v>118.261</v>
      </c>
      <c r="D734" s="972">
        <v>2.8660000000000001</v>
      </c>
      <c r="E734" s="972">
        <v>121.069</v>
      </c>
      <c r="F734" s="972">
        <v>5.2110000000000003</v>
      </c>
      <c r="G734" s="972">
        <v>0.22500000000000001</v>
      </c>
      <c r="H734" s="972">
        <v>0</v>
      </c>
      <c r="I734" s="972">
        <v>26.581</v>
      </c>
      <c r="J734" s="972">
        <v>41.102000000000004</v>
      </c>
      <c r="K734" s="972">
        <v>0</v>
      </c>
      <c r="L734" s="972">
        <v>6.8940000000000001</v>
      </c>
      <c r="M734" s="972">
        <v>0</v>
      </c>
      <c r="N734" s="972">
        <v>0</v>
      </c>
      <c r="O734" s="972">
        <v>80.012</v>
      </c>
      <c r="P734" s="972">
        <v>211.00299999999999</v>
      </c>
      <c r="Q734" s="972">
        <v>3315.9850000000001</v>
      </c>
      <c r="R734" s="962">
        <v>234</v>
      </c>
      <c r="S734" s="962" t="s">
        <v>4940</v>
      </c>
      <c r="T734" s="972">
        <v>899.04800000000012</v>
      </c>
    </row>
    <row r="735" spans="1:20">
      <c r="A735" s="962" t="s">
        <v>3530</v>
      </c>
      <c r="B735" s="972">
        <v>609.65099999999995</v>
      </c>
      <c r="C735" s="972">
        <v>30.908000000000001</v>
      </c>
      <c r="D735" s="972">
        <v>0</v>
      </c>
      <c r="E735" s="972">
        <v>8.2349999999999994</v>
      </c>
      <c r="F735" s="972">
        <v>0.5</v>
      </c>
      <c r="G735" s="972">
        <v>0</v>
      </c>
      <c r="H735" s="972">
        <v>0</v>
      </c>
      <c r="I735" s="972">
        <v>4.899</v>
      </c>
      <c r="J735" s="972">
        <v>0.185</v>
      </c>
      <c r="K735" s="972">
        <v>0</v>
      </c>
      <c r="L735" s="972">
        <v>0</v>
      </c>
      <c r="M735" s="972">
        <v>0</v>
      </c>
      <c r="N735" s="972">
        <v>0</v>
      </c>
      <c r="O735" s="972">
        <v>5.5839999999999996</v>
      </c>
      <c r="P735" s="972">
        <v>0</v>
      </c>
      <c r="Q735" s="972">
        <v>604.06700000000001</v>
      </c>
      <c r="R735" s="962">
        <v>49</v>
      </c>
      <c r="S735" s="962" t="s">
        <v>4940</v>
      </c>
      <c r="T735" s="972">
        <v>0</v>
      </c>
    </row>
    <row r="736" spans="1:20">
      <c r="A736" s="962" t="s">
        <v>3532</v>
      </c>
      <c r="B736" s="972">
        <v>445.19600000000003</v>
      </c>
      <c r="C736" s="972">
        <v>9.4529999999999994</v>
      </c>
      <c r="D736" s="972">
        <v>9.0999999999999998E-2</v>
      </c>
      <c r="E736" s="972">
        <v>18.748999999999999</v>
      </c>
      <c r="F736" s="972">
        <v>0.247</v>
      </c>
      <c r="G736" s="972">
        <v>3.3000000000000002E-2</v>
      </c>
      <c r="H736" s="972">
        <v>0</v>
      </c>
      <c r="I736" s="972">
        <v>2.8380000000000001</v>
      </c>
      <c r="J736" s="972">
        <v>0</v>
      </c>
      <c r="K736" s="972">
        <v>0</v>
      </c>
      <c r="L736" s="972">
        <v>0</v>
      </c>
      <c r="M736" s="972">
        <v>0</v>
      </c>
      <c r="N736" s="972">
        <v>0</v>
      </c>
      <c r="O736" s="972">
        <v>3.1179999999999999</v>
      </c>
      <c r="P736" s="972">
        <v>70.254000000000005</v>
      </c>
      <c r="Q736" s="972">
        <v>371.82400000000001</v>
      </c>
      <c r="R736" s="962">
        <v>24</v>
      </c>
      <c r="S736" s="962" t="s">
        <v>4940</v>
      </c>
      <c r="T736" s="972">
        <v>225.47766666666666</v>
      </c>
    </row>
    <row r="737" spans="1:20">
      <c r="A737" s="962" t="s">
        <v>3534</v>
      </c>
      <c r="B737" s="972">
        <v>368.98</v>
      </c>
      <c r="C737" s="972">
        <v>3.98</v>
      </c>
      <c r="D737" s="972">
        <v>0.312</v>
      </c>
      <c r="E737" s="972">
        <v>13.356</v>
      </c>
      <c r="F737" s="972">
        <v>0.158</v>
      </c>
      <c r="G737" s="972">
        <v>0</v>
      </c>
      <c r="H737" s="972">
        <v>0</v>
      </c>
      <c r="I737" s="972">
        <v>0</v>
      </c>
      <c r="J737" s="972">
        <v>0</v>
      </c>
      <c r="K737" s="972">
        <v>0</v>
      </c>
      <c r="L737" s="972">
        <v>0</v>
      </c>
      <c r="M737" s="972">
        <v>0</v>
      </c>
      <c r="N737" s="972">
        <v>0</v>
      </c>
      <c r="O737" s="972">
        <v>0.158</v>
      </c>
      <c r="P737" s="972">
        <v>30.811</v>
      </c>
      <c r="Q737" s="972">
        <v>338.01100000000002</v>
      </c>
      <c r="R737" s="962">
        <v>91</v>
      </c>
      <c r="S737" s="962" t="s">
        <v>4940</v>
      </c>
      <c r="T737" s="972">
        <v>189.88</v>
      </c>
    </row>
    <row r="738" spans="1:20">
      <c r="A738" s="962" t="s">
        <v>511</v>
      </c>
      <c r="B738" s="972">
        <v>256.38600000000002</v>
      </c>
      <c r="C738" s="972">
        <v>19.591999999999999</v>
      </c>
      <c r="D738" s="972">
        <v>0</v>
      </c>
      <c r="E738" s="972">
        <v>15.836</v>
      </c>
      <c r="F738" s="972">
        <v>0.88300000000000001</v>
      </c>
      <c r="G738" s="972">
        <v>0.153</v>
      </c>
      <c r="H738" s="972">
        <v>0</v>
      </c>
      <c r="I738" s="972">
        <v>4.7320000000000002</v>
      </c>
      <c r="J738" s="972">
        <v>0.98499999999999999</v>
      </c>
      <c r="K738" s="972">
        <v>0.01</v>
      </c>
      <c r="L738" s="972">
        <v>0</v>
      </c>
      <c r="M738" s="972">
        <v>0</v>
      </c>
      <c r="N738" s="972">
        <v>0</v>
      </c>
      <c r="O738" s="972">
        <v>6.7619999999999996</v>
      </c>
      <c r="P738" s="972">
        <v>18.646999999999998</v>
      </c>
      <c r="Q738" s="972">
        <v>230.97800000000001</v>
      </c>
      <c r="R738" s="962">
        <v>12</v>
      </c>
      <c r="S738" s="962" t="s">
        <v>4940</v>
      </c>
      <c r="T738" s="972">
        <v>63.460666666666668</v>
      </c>
    </row>
    <row r="739" spans="1:20">
      <c r="A739" s="962" t="s">
        <v>3539</v>
      </c>
      <c r="B739" s="972">
        <v>339.14299999999997</v>
      </c>
      <c r="C739" s="972">
        <v>26.594000000000001</v>
      </c>
      <c r="D739" s="972">
        <v>0.41</v>
      </c>
      <c r="E739" s="972">
        <v>13.978999999999999</v>
      </c>
      <c r="F739" s="972">
        <v>0.83499999999999996</v>
      </c>
      <c r="G739" s="972">
        <v>0</v>
      </c>
      <c r="H739" s="972">
        <v>0</v>
      </c>
      <c r="I739" s="972">
        <v>3.8239999999999998</v>
      </c>
      <c r="J739" s="972">
        <v>1.0089999999999999</v>
      </c>
      <c r="K739" s="972">
        <v>0</v>
      </c>
      <c r="L739" s="972">
        <v>0.90600000000000003</v>
      </c>
      <c r="M739" s="972">
        <v>0</v>
      </c>
      <c r="N739" s="972">
        <v>0</v>
      </c>
      <c r="O739" s="972">
        <v>6.5720000000000001</v>
      </c>
      <c r="P739" s="972">
        <v>25.452000000000002</v>
      </c>
      <c r="Q739" s="972">
        <v>307.11900000000003</v>
      </c>
      <c r="R739" s="962">
        <v>36</v>
      </c>
      <c r="S739" s="962" t="s">
        <v>4940</v>
      </c>
      <c r="T739" s="972">
        <v>111.62616666666668</v>
      </c>
    </row>
    <row r="740" spans="1:20">
      <c r="A740" s="962" t="s">
        <v>3541</v>
      </c>
      <c r="B740" s="972">
        <v>68.805000000000007</v>
      </c>
      <c r="C740" s="972">
        <v>5.8810000000000002</v>
      </c>
      <c r="D740" s="972">
        <v>0</v>
      </c>
      <c r="E740" s="972">
        <v>3.3679999999999999</v>
      </c>
      <c r="F740" s="972">
        <v>0.14499999999999999</v>
      </c>
      <c r="G740" s="972">
        <v>0</v>
      </c>
      <c r="H740" s="972">
        <v>0</v>
      </c>
      <c r="I740" s="972">
        <v>0.46600000000000003</v>
      </c>
      <c r="J740" s="972">
        <v>0</v>
      </c>
      <c r="K740" s="972">
        <v>0</v>
      </c>
      <c r="L740" s="972">
        <v>0</v>
      </c>
      <c r="M740" s="972">
        <v>0</v>
      </c>
      <c r="N740" s="972">
        <v>0</v>
      </c>
      <c r="O740" s="972">
        <v>0.61</v>
      </c>
      <c r="P740" s="972">
        <v>1.835</v>
      </c>
      <c r="Q740" s="972">
        <v>66.36</v>
      </c>
      <c r="R740" s="962">
        <v>10</v>
      </c>
      <c r="S740" s="962" t="s">
        <v>4940</v>
      </c>
      <c r="T740" s="972">
        <v>12.345833333333331</v>
      </c>
    </row>
    <row r="741" spans="1:20">
      <c r="A741" s="962" t="s">
        <v>3543</v>
      </c>
      <c r="B741" s="972">
        <v>795.83600000000001</v>
      </c>
      <c r="C741" s="972">
        <v>30.120999999999999</v>
      </c>
      <c r="D741" s="972">
        <v>0.16400000000000001</v>
      </c>
      <c r="E741" s="972">
        <v>7.5590000000000002</v>
      </c>
      <c r="F741" s="972">
        <v>1.3380000000000001</v>
      </c>
      <c r="G741" s="972">
        <v>0</v>
      </c>
      <c r="H741" s="972">
        <v>0</v>
      </c>
      <c r="I741" s="972">
        <v>23.53</v>
      </c>
      <c r="J741" s="972">
        <v>0</v>
      </c>
      <c r="K741" s="972">
        <v>8.8160000000000007</v>
      </c>
      <c r="L741" s="972">
        <v>0</v>
      </c>
      <c r="M741" s="972">
        <v>0</v>
      </c>
      <c r="N741" s="972">
        <v>0</v>
      </c>
      <c r="O741" s="972">
        <v>33.683999999999997</v>
      </c>
      <c r="P741" s="972">
        <v>59.225000000000001</v>
      </c>
      <c r="Q741" s="972">
        <v>702.928</v>
      </c>
      <c r="R741" s="962">
        <v>34</v>
      </c>
      <c r="S741" s="962" t="s">
        <v>4940</v>
      </c>
      <c r="T741" s="972">
        <v>240.39400000000001</v>
      </c>
    </row>
    <row r="742" spans="1:20">
      <c r="A742" s="962" t="s">
        <v>129</v>
      </c>
      <c r="B742" s="972">
        <v>181.84200000000001</v>
      </c>
      <c r="C742" s="972">
        <v>0</v>
      </c>
      <c r="D742" s="972">
        <v>2.5999999999999999E-2</v>
      </c>
      <c r="E742" s="972">
        <v>11.384</v>
      </c>
      <c r="F742" s="972">
        <v>0.377</v>
      </c>
      <c r="G742" s="972">
        <v>0</v>
      </c>
      <c r="H742" s="972">
        <v>0</v>
      </c>
      <c r="I742" s="972">
        <v>3.36</v>
      </c>
      <c r="J742" s="972">
        <v>0.34899999999999998</v>
      </c>
      <c r="K742" s="972">
        <v>1.2070000000000001</v>
      </c>
      <c r="L742" s="972">
        <v>0</v>
      </c>
      <c r="M742" s="972">
        <v>0</v>
      </c>
      <c r="N742" s="972">
        <v>0</v>
      </c>
      <c r="O742" s="972">
        <v>5.2930000000000001</v>
      </c>
      <c r="P742" s="972">
        <v>14.198</v>
      </c>
      <c r="Q742" s="972">
        <v>162.351</v>
      </c>
      <c r="R742" s="962">
        <v>29</v>
      </c>
      <c r="S742" s="962" t="s">
        <v>4940</v>
      </c>
      <c r="T742" s="972">
        <v>69.45516666666667</v>
      </c>
    </row>
    <row r="743" spans="1:20">
      <c r="A743" s="962" t="s">
        <v>6193</v>
      </c>
      <c r="B743" s="972">
        <v>3532.4470000000001</v>
      </c>
      <c r="C743" s="972">
        <v>213.97499999999999</v>
      </c>
      <c r="D743" s="972">
        <v>1.8180000000000001</v>
      </c>
      <c r="E743" s="972">
        <v>67.391999999999996</v>
      </c>
      <c r="F743" s="972">
        <v>7.53</v>
      </c>
      <c r="G743" s="972">
        <v>0.186</v>
      </c>
      <c r="H743" s="972">
        <v>0</v>
      </c>
      <c r="I743" s="972">
        <v>72.768000000000001</v>
      </c>
      <c r="J743" s="972">
        <v>20.669999999999998</v>
      </c>
      <c r="K743" s="972">
        <v>0</v>
      </c>
      <c r="L743" s="972">
        <v>1.2430000000000001</v>
      </c>
      <c r="M743" s="972">
        <v>0</v>
      </c>
      <c r="N743" s="972">
        <v>0.313</v>
      </c>
      <c r="O743" s="972">
        <v>102.71</v>
      </c>
      <c r="P743" s="972">
        <v>157.09200000000001</v>
      </c>
      <c r="Q743" s="972">
        <v>3272.645</v>
      </c>
      <c r="R743" s="962">
        <v>405</v>
      </c>
      <c r="S743" s="962" t="s">
        <v>4940</v>
      </c>
      <c r="T743" s="972">
        <v>867.87283333333335</v>
      </c>
    </row>
    <row r="744" spans="1:20">
      <c r="A744" s="962" t="s">
        <v>2674</v>
      </c>
      <c r="B744" s="972">
        <v>2786.9520000000002</v>
      </c>
      <c r="C744" s="972">
        <v>63.177</v>
      </c>
      <c r="D744" s="972">
        <v>1.0840000000000001</v>
      </c>
      <c r="E744" s="972">
        <v>103.685</v>
      </c>
      <c r="F744" s="972">
        <v>5.8849999999999998</v>
      </c>
      <c r="G744" s="972">
        <v>0.25900000000000001</v>
      </c>
      <c r="H744" s="972">
        <v>0</v>
      </c>
      <c r="I744" s="972">
        <v>59.313000000000002</v>
      </c>
      <c r="J744" s="972">
        <v>19.163</v>
      </c>
      <c r="K744" s="972">
        <v>5.1999999999999998E-2</v>
      </c>
      <c r="L744" s="972">
        <v>3.2480000000000002</v>
      </c>
      <c r="M744" s="972">
        <v>0</v>
      </c>
      <c r="N744" s="972">
        <v>3.194</v>
      </c>
      <c r="O744" s="972">
        <v>91.114999999999995</v>
      </c>
      <c r="P744" s="972">
        <v>187.12700000000001</v>
      </c>
      <c r="Q744" s="972">
        <v>2508.7109999999998</v>
      </c>
      <c r="R744" s="962">
        <v>321</v>
      </c>
      <c r="S744" s="962" t="s">
        <v>4940</v>
      </c>
      <c r="T744" s="972">
        <v>817.21733333333339</v>
      </c>
    </row>
    <row r="745" spans="1:20">
      <c r="A745" s="962" t="s">
        <v>512</v>
      </c>
      <c r="B745" s="972">
        <v>1054.3050000000001</v>
      </c>
      <c r="C745" s="972">
        <v>17.46</v>
      </c>
      <c r="D745" s="972">
        <v>0.05</v>
      </c>
      <c r="E745" s="972">
        <v>38.427999999999997</v>
      </c>
      <c r="F745" s="972">
        <v>1.7809999999999999</v>
      </c>
      <c r="G745" s="972">
        <v>0.03</v>
      </c>
      <c r="H745" s="972">
        <v>0</v>
      </c>
      <c r="I745" s="972">
        <v>23.719000000000001</v>
      </c>
      <c r="J745" s="972">
        <v>0</v>
      </c>
      <c r="K745" s="972">
        <v>8.7520000000000007</v>
      </c>
      <c r="L745" s="972">
        <v>0</v>
      </c>
      <c r="M745" s="972">
        <v>0</v>
      </c>
      <c r="N745" s="972">
        <v>0</v>
      </c>
      <c r="O745" s="972">
        <v>34.283000000000001</v>
      </c>
      <c r="P745" s="972">
        <v>108.709</v>
      </c>
      <c r="Q745" s="972">
        <v>911.31399999999996</v>
      </c>
      <c r="R745" s="962">
        <v>112</v>
      </c>
      <c r="S745" s="962" t="s">
        <v>4940</v>
      </c>
      <c r="T745" s="972">
        <v>330.02583333333337</v>
      </c>
    </row>
    <row r="746" spans="1:20">
      <c r="A746" s="962" t="s">
        <v>600</v>
      </c>
      <c r="B746" s="972">
        <v>161.98599999999999</v>
      </c>
      <c r="C746" s="972">
        <v>18.494</v>
      </c>
      <c r="D746" s="972">
        <v>0.28000000000000003</v>
      </c>
      <c r="E746" s="972">
        <v>3.3969999999999998</v>
      </c>
      <c r="F746" s="972">
        <v>0.40500000000000003</v>
      </c>
      <c r="G746" s="972">
        <v>0.11700000000000001</v>
      </c>
      <c r="H746" s="972">
        <v>0</v>
      </c>
      <c r="I746" s="972">
        <v>9.6790000000000003</v>
      </c>
      <c r="J746" s="972">
        <v>0.41299999999999998</v>
      </c>
      <c r="K746" s="972">
        <v>0</v>
      </c>
      <c r="L746" s="972">
        <v>0</v>
      </c>
      <c r="M746" s="972">
        <v>0</v>
      </c>
      <c r="N746" s="972">
        <v>0</v>
      </c>
      <c r="O746" s="972">
        <v>10.614000000000001</v>
      </c>
      <c r="P746" s="972">
        <v>13.315</v>
      </c>
      <c r="Q746" s="972">
        <v>138.05799999999999</v>
      </c>
      <c r="R746" s="962">
        <v>10</v>
      </c>
      <c r="S746" s="962" t="s">
        <v>4940</v>
      </c>
      <c r="T746" s="972">
        <v>51.671333333333337</v>
      </c>
    </row>
    <row r="747" spans="1:20">
      <c r="A747" s="962" t="s">
        <v>602</v>
      </c>
      <c r="B747" s="972">
        <v>1391.711</v>
      </c>
      <c r="C747" s="972">
        <v>65.105000000000004</v>
      </c>
      <c r="D747" s="972">
        <v>2.085</v>
      </c>
      <c r="E747" s="972">
        <v>19.510000000000002</v>
      </c>
      <c r="F747" s="972">
        <v>3.2789999999999999</v>
      </c>
      <c r="G747" s="972">
        <v>0.17599999999999999</v>
      </c>
      <c r="H747" s="972">
        <v>0</v>
      </c>
      <c r="I747" s="972">
        <v>40.451000000000001</v>
      </c>
      <c r="J747" s="972">
        <v>2.9529999999999998</v>
      </c>
      <c r="K747" s="972">
        <v>0</v>
      </c>
      <c r="L747" s="972">
        <v>0</v>
      </c>
      <c r="M747" s="972">
        <v>0</v>
      </c>
      <c r="N747" s="972">
        <v>0</v>
      </c>
      <c r="O747" s="972">
        <v>46.856999999999999</v>
      </c>
      <c r="P747" s="972">
        <v>55.167000000000002</v>
      </c>
      <c r="Q747" s="972">
        <v>1289.6869999999999</v>
      </c>
      <c r="R747" s="962">
        <v>93</v>
      </c>
      <c r="S747" s="962" t="s">
        <v>3902</v>
      </c>
      <c r="T747" s="972">
        <v>355.42925000000002</v>
      </c>
    </row>
    <row r="748" spans="1:20">
      <c r="A748" s="962" t="s">
        <v>6188</v>
      </c>
      <c r="B748" s="972">
        <v>653.38599999999997</v>
      </c>
      <c r="C748" s="972">
        <v>98.941000000000003</v>
      </c>
      <c r="D748" s="972">
        <v>0.32600000000000001</v>
      </c>
      <c r="E748" s="972">
        <v>4.4119999999999999</v>
      </c>
      <c r="F748" s="972">
        <v>1.208</v>
      </c>
      <c r="G748" s="972">
        <v>7.6999999999999999E-2</v>
      </c>
      <c r="H748" s="972">
        <v>0</v>
      </c>
      <c r="I748" s="972">
        <v>21.068000000000001</v>
      </c>
      <c r="J748" s="972">
        <v>2.4980000000000002</v>
      </c>
      <c r="K748" s="972">
        <v>0</v>
      </c>
      <c r="L748" s="972">
        <v>0</v>
      </c>
      <c r="M748" s="972">
        <v>0</v>
      </c>
      <c r="N748" s="972">
        <v>0</v>
      </c>
      <c r="O748" s="972">
        <v>24.850999999999999</v>
      </c>
      <c r="P748" s="972">
        <v>27.478000000000002</v>
      </c>
      <c r="Q748" s="972">
        <v>601.05700000000002</v>
      </c>
      <c r="R748" s="962">
        <v>40</v>
      </c>
      <c r="S748" s="962" t="s">
        <v>3902</v>
      </c>
      <c r="T748" s="972">
        <v>183.822</v>
      </c>
    </row>
    <row r="749" spans="1:20">
      <c r="A749" s="962" t="s">
        <v>2018</v>
      </c>
      <c r="B749" s="972">
        <v>365.65300000000002</v>
      </c>
      <c r="C749" s="972">
        <v>15.175000000000001</v>
      </c>
      <c r="D749" s="972">
        <v>0.51500000000000001</v>
      </c>
      <c r="E749" s="972">
        <v>5.9029999999999996</v>
      </c>
      <c r="F749" s="972">
        <v>0.95599999999999996</v>
      </c>
      <c r="G749" s="972">
        <v>0</v>
      </c>
      <c r="H749" s="972">
        <v>0</v>
      </c>
      <c r="I749" s="972">
        <v>15.88</v>
      </c>
      <c r="J749" s="972">
        <v>1.865</v>
      </c>
      <c r="K749" s="972">
        <v>0</v>
      </c>
      <c r="L749" s="972">
        <v>0</v>
      </c>
      <c r="M749" s="972">
        <v>0</v>
      </c>
      <c r="N749" s="972">
        <v>0</v>
      </c>
      <c r="O749" s="972">
        <v>18.701000000000001</v>
      </c>
      <c r="P749" s="972">
        <v>33.072000000000003</v>
      </c>
      <c r="Q749" s="972">
        <v>313.88</v>
      </c>
      <c r="R749" s="962">
        <v>32</v>
      </c>
      <c r="S749" s="962" t="s">
        <v>3902</v>
      </c>
      <c r="T749" s="972">
        <v>112.18025</v>
      </c>
    </row>
    <row r="750" spans="1:20">
      <c r="A750" s="962" t="s">
        <v>2020</v>
      </c>
      <c r="B750" s="972">
        <v>393.72699999999998</v>
      </c>
      <c r="C750" s="972">
        <v>19.398</v>
      </c>
      <c r="D750" s="972">
        <v>8.9999999999999993E-3</v>
      </c>
      <c r="E750" s="972">
        <v>13.477</v>
      </c>
      <c r="F750" s="972">
        <v>0.435</v>
      </c>
      <c r="G750" s="972">
        <v>0</v>
      </c>
      <c r="H750" s="972">
        <v>0</v>
      </c>
      <c r="I750" s="972">
        <v>8.843</v>
      </c>
      <c r="J750" s="972">
        <v>0.91</v>
      </c>
      <c r="K750" s="972">
        <v>0</v>
      </c>
      <c r="L750" s="972">
        <v>0</v>
      </c>
      <c r="M750" s="972">
        <v>0</v>
      </c>
      <c r="N750" s="972">
        <v>0</v>
      </c>
      <c r="O750" s="972">
        <v>10.188000000000001</v>
      </c>
      <c r="P750" s="972">
        <v>30.434000000000001</v>
      </c>
      <c r="Q750" s="972">
        <v>353.10599999999999</v>
      </c>
      <c r="R750" s="962">
        <v>38</v>
      </c>
      <c r="S750" s="962" t="s">
        <v>4940</v>
      </c>
      <c r="T750" s="972">
        <v>115.54649999999999</v>
      </c>
    </row>
    <row r="751" spans="1:20">
      <c r="A751" s="962" t="s">
        <v>2024</v>
      </c>
      <c r="B751" s="972">
        <v>3170.1709999999998</v>
      </c>
      <c r="C751" s="972">
        <v>104.01300000000001</v>
      </c>
      <c r="D751" s="972">
        <v>1.0049999999999999</v>
      </c>
      <c r="E751" s="972">
        <v>117.169</v>
      </c>
      <c r="F751" s="972">
        <v>4.0919999999999996</v>
      </c>
      <c r="G751" s="972">
        <v>0</v>
      </c>
      <c r="H751" s="972">
        <v>0</v>
      </c>
      <c r="I751" s="972">
        <v>59.118000000000002</v>
      </c>
      <c r="J751" s="972">
        <v>12.317</v>
      </c>
      <c r="K751" s="972">
        <v>0</v>
      </c>
      <c r="L751" s="972">
        <v>1.3859999999999999</v>
      </c>
      <c r="M751" s="972">
        <v>0</v>
      </c>
      <c r="N751" s="972">
        <v>3.6760000000000002</v>
      </c>
      <c r="O751" s="972">
        <v>80.588999999999999</v>
      </c>
      <c r="P751" s="972">
        <v>123.505</v>
      </c>
      <c r="Q751" s="972">
        <v>2966.076</v>
      </c>
      <c r="R751" s="962">
        <v>225</v>
      </c>
      <c r="S751" s="962" t="s">
        <v>4940</v>
      </c>
      <c r="T751" s="972">
        <v>918.64583333333348</v>
      </c>
    </row>
    <row r="752" spans="1:20">
      <c r="A752" s="962" t="s">
        <v>2026</v>
      </c>
      <c r="B752" s="972">
        <v>285.53899999999999</v>
      </c>
      <c r="C752" s="972">
        <v>24.832999999999998</v>
      </c>
      <c r="D752" s="972">
        <v>0.182</v>
      </c>
      <c r="E752" s="972">
        <v>2.9</v>
      </c>
      <c r="F752" s="972">
        <v>0.57199999999999995</v>
      </c>
      <c r="G752" s="972">
        <v>0</v>
      </c>
      <c r="H752" s="972">
        <v>0</v>
      </c>
      <c r="I752" s="972">
        <v>8.1739999999999995</v>
      </c>
      <c r="J752" s="972">
        <v>1.6990000000000001</v>
      </c>
      <c r="K752" s="972">
        <v>0</v>
      </c>
      <c r="L752" s="972">
        <v>0</v>
      </c>
      <c r="M752" s="972">
        <v>0</v>
      </c>
      <c r="N752" s="972">
        <v>5.3239999999999998</v>
      </c>
      <c r="O752" s="972">
        <v>15.769</v>
      </c>
      <c r="P752" s="972">
        <v>21.134</v>
      </c>
      <c r="Q752" s="972">
        <v>248.63499999999999</v>
      </c>
      <c r="R752" s="962">
        <v>29</v>
      </c>
      <c r="S752" s="962" t="s">
        <v>3902</v>
      </c>
      <c r="T752" s="972">
        <v>90.425749999999994</v>
      </c>
    </row>
    <row r="753" spans="1:20">
      <c r="A753" s="962" t="s">
        <v>242</v>
      </c>
      <c r="B753" s="972">
        <v>1117.5319999999999</v>
      </c>
      <c r="C753" s="972">
        <v>96.918000000000006</v>
      </c>
      <c r="D753" s="972">
        <v>0.374</v>
      </c>
      <c r="E753" s="972">
        <v>35.822000000000003</v>
      </c>
      <c r="F753" s="972">
        <v>1.411</v>
      </c>
      <c r="G753" s="972">
        <v>0</v>
      </c>
      <c r="H753" s="972">
        <v>0</v>
      </c>
      <c r="I753" s="972">
        <v>12.718</v>
      </c>
      <c r="J753" s="972">
        <v>4.423</v>
      </c>
      <c r="K753" s="972">
        <v>0</v>
      </c>
      <c r="L753" s="972">
        <v>1.0680000000000001</v>
      </c>
      <c r="M753" s="972">
        <v>0</v>
      </c>
      <c r="N753" s="972">
        <v>0</v>
      </c>
      <c r="O753" s="972">
        <v>19.617999999999999</v>
      </c>
      <c r="P753" s="972">
        <v>44.874000000000002</v>
      </c>
      <c r="Q753" s="972">
        <v>1053.04</v>
      </c>
      <c r="R753" s="962">
        <v>153</v>
      </c>
      <c r="S753" s="962" t="s">
        <v>4940</v>
      </c>
      <c r="T753" s="972">
        <v>249.6215</v>
      </c>
    </row>
    <row r="754" spans="1:20">
      <c r="A754" s="962" t="s">
        <v>2028</v>
      </c>
      <c r="B754" s="972">
        <v>820.05899999999997</v>
      </c>
      <c r="C754" s="972">
        <v>5.593</v>
      </c>
      <c r="D754" s="972">
        <v>0.11600000000000001</v>
      </c>
      <c r="E754" s="972">
        <v>38.624000000000002</v>
      </c>
      <c r="F754" s="972">
        <v>0.72399999999999998</v>
      </c>
      <c r="G754" s="972">
        <v>0.16200000000000001</v>
      </c>
      <c r="H754" s="972">
        <v>0</v>
      </c>
      <c r="I754" s="972">
        <v>19.625</v>
      </c>
      <c r="J754" s="972">
        <v>0.51300000000000001</v>
      </c>
      <c r="K754" s="972">
        <v>7.1980000000000004</v>
      </c>
      <c r="L754" s="972">
        <v>0.80400000000000005</v>
      </c>
      <c r="M754" s="972">
        <v>0</v>
      </c>
      <c r="N754" s="972">
        <v>0</v>
      </c>
      <c r="O754" s="972">
        <v>29.024999999999999</v>
      </c>
      <c r="P754" s="972">
        <v>65.472999999999999</v>
      </c>
      <c r="Q754" s="972">
        <v>725.56200000000001</v>
      </c>
      <c r="R754" s="962">
        <v>48</v>
      </c>
      <c r="S754" s="962" t="s">
        <v>4940</v>
      </c>
      <c r="T754" s="972">
        <v>297.60433333333333</v>
      </c>
    </row>
    <row r="755" spans="1:20">
      <c r="A755" s="962" t="s">
        <v>2030</v>
      </c>
      <c r="B755" s="972">
        <v>295.52100000000002</v>
      </c>
      <c r="C755" s="972">
        <v>20.122</v>
      </c>
      <c r="D755" s="972">
        <v>4.0000000000000001E-3</v>
      </c>
      <c r="E755" s="972">
        <v>9.3670000000000009</v>
      </c>
      <c r="F755" s="972">
        <v>0.28499999999999998</v>
      </c>
      <c r="G755" s="972">
        <v>0</v>
      </c>
      <c r="H755" s="972">
        <v>0</v>
      </c>
      <c r="I755" s="972">
        <v>7.7919999999999998</v>
      </c>
      <c r="J755" s="972">
        <v>0.218</v>
      </c>
      <c r="K755" s="972">
        <v>2.9140000000000001</v>
      </c>
      <c r="L755" s="972">
        <v>0.497</v>
      </c>
      <c r="M755" s="972">
        <v>0</v>
      </c>
      <c r="N755" s="972">
        <v>0</v>
      </c>
      <c r="O755" s="972">
        <v>11.706</v>
      </c>
      <c r="P755" s="972">
        <v>11.231</v>
      </c>
      <c r="Q755" s="972">
        <v>272.584</v>
      </c>
      <c r="R755" s="962">
        <v>14</v>
      </c>
      <c r="S755" s="962" t="s">
        <v>4940</v>
      </c>
      <c r="T755" s="972">
        <v>81.926333333333332</v>
      </c>
    </row>
    <row r="756" spans="1:20">
      <c r="A756" s="962" t="s">
        <v>2032</v>
      </c>
      <c r="B756" s="972">
        <v>547.85799999999995</v>
      </c>
      <c r="C756" s="972">
        <v>13.707000000000001</v>
      </c>
      <c r="D756" s="972">
        <v>0</v>
      </c>
      <c r="E756" s="972">
        <v>9.9459999999999997</v>
      </c>
      <c r="F756" s="972">
        <v>0.63700000000000001</v>
      </c>
      <c r="G756" s="972">
        <v>0</v>
      </c>
      <c r="H756" s="972">
        <v>0</v>
      </c>
      <c r="I756" s="972">
        <v>13.186</v>
      </c>
      <c r="J756" s="972">
        <v>3.484</v>
      </c>
      <c r="K756" s="972">
        <v>2.1589999999999998</v>
      </c>
      <c r="L756" s="972">
        <v>0.91700000000000004</v>
      </c>
      <c r="M756" s="972">
        <v>0</v>
      </c>
      <c r="N756" s="972">
        <v>0</v>
      </c>
      <c r="O756" s="972">
        <v>20.382999999999999</v>
      </c>
      <c r="P756" s="972">
        <v>33.860999999999997</v>
      </c>
      <c r="Q756" s="972">
        <v>493.61399999999998</v>
      </c>
      <c r="R756" s="962">
        <v>32</v>
      </c>
      <c r="S756" s="962" t="s">
        <v>4940</v>
      </c>
      <c r="T756" s="972">
        <v>178.83183333333332</v>
      </c>
    </row>
    <row r="757" spans="1:20">
      <c r="A757" s="962" t="s">
        <v>2034</v>
      </c>
      <c r="B757" s="972">
        <v>88.555000000000007</v>
      </c>
      <c r="C757" s="972">
        <v>0</v>
      </c>
      <c r="D757" s="972">
        <v>0</v>
      </c>
      <c r="E757" s="972">
        <v>1</v>
      </c>
      <c r="F757" s="972">
        <v>0.13600000000000001</v>
      </c>
      <c r="G757" s="972">
        <v>0</v>
      </c>
      <c r="H757" s="972">
        <v>0</v>
      </c>
      <c r="I757" s="972">
        <v>1.6870000000000001</v>
      </c>
      <c r="J757" s="972">
        <v>0</v>
      </c>
      <c r="K757" s="972">
        <v>0.17599999999999999</v>
      </c>
      <c r="L757" s="972">
        <v>0</v>
      </c>
      <c r="M757" s="972">
        <v>0</v>
      </c>
      <c r="N757" s="972">
        <v>0</v>
      </c>
      <c r="O757" s="972">
        <v>2</v>
      </c>
      <c r="P757" s="972">
        <v>0</v>
      </c>
      <c r="Q757" s="972">
        <v>86.555999999999997</v>
      </c>
      <c r="R757" s="962">
        <v>0</v>
      </c>
      <c r="S757" s="962" t="s">
        <v>4940</v>
      </c>
      <c r="T757" s="972">
        <v>0</v>
      </c>
    </row>
    <row r="758" spans="1:20">
      <c r="A758" s="962" t="s">
        <v>2036</v>
      </c>
      <c r="B758" s="972">
        <v>117.58199999999999</v>
      </c>
      <c r="C758" s="972">
        <v>0</v>
      </c>
      <c r="D758" s="972">
        <v>0</v>
      </c>
      <c r="E758" s="972">
        <v>0.96599999999999997</v>
      </c>
      <c r="F758" s="972">
        <v>0.11600000000000001</v>
      </c>
      <c r="G758" s="972">
        <v>0</v>
      </c>
      <c r="H758" s="972">
        <v>0</v>
      </c>
      <c r="I758" s="972">
        <v>0.96899999999999997</v>
      </c>
      <c r="J758" s="972">
        <v>0</v>
      </c>
      <c r="K758" s="972">
        <v>0.48699999999999999</v>
      </c>
      <c r="L758" s="972">
        <v>0</v>
      </c>
      <c r="M758" s="972">
        <v>0</v>
      </c>
      <c r="N758" s="972">
        <v>0</v>
      </c>
      <c r="O758" s="972">
        <v>1.573</v>
      </c>
      <c r="P758" s="972">
        <v>0</v>
      </c>
      <c r="Q758" s="972">
        <v>116.009</v>
      </c>
      <c r="R758" s="962">
        <v>24</v>
      </c>
      <c r="S758" s="962" t="s">
        <v>4940</v>
      </c>
      <c r="T758" s="972">
        <v>0</v>
      </c>
    </row>
    <row r="759" spans="1:20">
      <c r="A759" s="962" t="s">
        <v>308</v>
      </c>
      <c r="B759" s="972">
        <v>56.521000000000001</v>
      </c>
      <c r="C759" s="972">
        <v>0</v>
      </c>
      <c r="D759" s="972">
        <v>0</v>
      </c>
      <c r="E759" s="972">
        <v>0.70299999999999996</v>
      </c>
      <c r="F759" s="972">
        <v>0.08</v>
      </c>
      <c r="G759" s="972">
        <v>0</v>
      </c>
      <c r="H759" s="972">
        <v>0</v>
      </c>
      <c r="I759" s="972">
        <v>2.161</v>
      </c>
      <c r="J759" s="972">
        <v>0</v>
      </c>
      <c r="K759" s="972">
        <v>0.66</v>
      </c>
      <c r="L759" s="972">
        <v>0</v>
      </c>
      <c r="M759" s="972">
        <v>0</v>
      </c>
      <c r="N759" s="972">
        <v>0</v>
      </c>
      <c r="O759" s="972">
        <v>2.9009999999999998</v>
      </c>
      <c r="P759" s="972">
        <v>0</v>
      </c>
      <c r="Q759" s="972">
        <v>53.621000000000002</v>
      </c>
      <c r="R759" s="962">
        <v>7</v>
      </c>
      <c r="S759" s="962" t="s">
        <v>4940</v>
      </c>
      <c r="T759" s="972">
        <v>0</v>
      </c>
    </row>
    <row r="760" spans="1:20">
      <c r="A760" s="962" t="s">
        <v>310</v>
      </c>
      <c r="B760" s="972">
        <v>1801.5070000000001</v>
      </c>
      <c r="C760" s="972">
        <v>226.94900000000001</v>
      </c>
      <c r="D760" s="972">
        <v>1.167</v>
      </c>
      <c r="E760" s="972">
        <v>57.975000000000001</v>
      </c>
      <c r="F760" s="972">
        <v>1.5660000000000001</v>
      </c>
      <c r="G760" s="972">
        <v>0</v>
      </c>
      <c r="H760" s="972">
        <v>0</v>
      </c>
      <c r="I760" s="972">
        <v>14.462999999999999</v>
      </c>
      <c r="J760" s="972">
        <v>5.7119999999999997</v>
      </c>
      <c r="K760" s="972">
        <v>0.11799999999999999</v>
      </c>
      <c r="L760" s="972">
        <v>2.9969999999999999</v>
      </c>
      <c r="M760" s="972">
        <v>0</v>
      </c>
      <c r="N760" s="972">
        <v>5.9649999999999999</v>
      </c>
      <c r="O760" s="972">
        <v>30.821000000000002</v>
      </c>
      <c r="P760" s="972">
        <v>84.900999999999996</v>
      </c>
      <c r="Q760" s="972">
        <v>1685.7850000000001</v>
      </c>
      <c r="R760" s="962">
        <v>83</v>
      </c>
      <c r="S760" s="962" t="s">
        <v>4940</v>
      </c>
      <c r="T760" s="972">
        <v>601.44399999999996</v>
      </c>
    </row>
    <row r="761" spans="1:20">
      <c r="A761" s="962" t="s">
        <v>312</v>
      </c>
      <c r="B761" s="972">
        <v>877.80600000000004</v>
      </c>
      <c r="C761" s="972">
        <v>18.623999999999999</v>
      </c>
      <c r="D761" s="972">
        <v>0</v>
      </c>
      <c r="E761" s="972">
        <v>18.933</v>
      </c>
      <c r="F761" s="972">
        <v>1.1259999999999999</v>
      </c>
      <c r="G761" s="972">
        <v>0</v>
      </c>
      <c r="H761" s="972">
        <v>0</v>
      </c>
      <c r="I761" s="972">
        <v>14.109</v>
      </c>
      <c r="J761" s="972">
        <v>2.4820000000000002</v>
      </c>
      <c r="K761" s="972">
        <v>0</v>
      </c>
      <c r="L761" s="972">
        <v>0.27500000000000002</v>
      </c>
      <c r="M761" s="972">
        <v>0</v>
      </c>
      <c r="N761" s="972">
        <v>3.7589999999999999</v>
      </c>
      <c r="O761" s="972">
        <v>21.748999999999999</v>
      </c>
      <c r="P761" s="972">
        <v>63.006</v>
      </c>
      <c r="Q761" s="972">
        <v>793.05</v>
      </c>
      <c r="R761" s="962">
        <v>58</v>
      </c>
      <c r="S761" s="962" t="s">
        <v>4940</v>
      </c>
      <c r="T761" s="972">
        <v>258.42750000000001</v>
      </c>
    </row>
    <row r="762" spans="1:20">
      <c r="A762" s="962" t="s">
        <v>314</v>
      </c>
      <c r="B762" s="972">
        <v>164.92500000000001</v>
      </c>
      <c r="C762" s="972">
        <v>8.4429999999999996</v>
      </c>
      <c r="D762" s="972">
        <v>0.127</v>
      </c>
      <c r="E762" s="972">
        <v>15.3</v>
      </c>
      <c r="F762" s="972">
        <v>0.48299999999999998</v>
      </c>
      <c r="G762" s="972">
        <v>0</v>
      </c>
      <c r="H762" s="972">
        <v>0</v>
      </c>
      <c r="I762" s="972">
        <v>1.8380000000000001</v>
      </c>
      <c r="J762" s="972">
        <v>0</v>
      </c>
      <c r="K762" s="972">
        <v>0</v>
      </c>
      <c r="L762" s="972">
        <v>0</v>
      </c>
      <c r="M762" s="972">
        <v>0</v>
      </c>
      <c r="N762" s="972">
        <v>4.2149999999999999</v>
      </c>
      <c r="O762" s="972">
        <v>6.5350000000000001</v>
      </c>
      <c r="P762" s="972">
        <v>5.8579999999999997</v>
      </c>
      <c r="Q762" s="972">
        <v>152.53200000000001</v>
      </c>
      <c r="R762" s="962">
        <v>4</v>
      </c>
      <c r="S762" s="962" t="s">
        <v>4940</v>
      </c>
      <c r="T762" s="972">
        <v>40.309666666666665</v>
      </c>
    </row>
    <row r="763" spans="1:20">
      <c r="A763" s="962" t="s">
        <v>1136</v>
      </c>
      <c r="B763" s="972">
        <v>252.83600000000001</v>
      </c>
      <c r="C763" s="972">
        <v>17.059000000000001</v>
      </c>
      <c r="D763" s="972">
        <v>0</v>
      </c>
      <c r="E763" s="972">
        <v>39.066000000000003</v>
      </c>
      <c r="F763" s="972">
        <v>0.18099999999999999</v>
      </c>
      <c r="G763" s="972">
        <v>0</v>
      </c>
      <c r="H763" s="972">
        <v>0</v>
      </c>
      <c r="I763" s="972">
        <v>16.038</v>
      </c>
      <c r="J763" s="972">
        <v>2.3E-2</v>
      </c>
      <c r="K763" s="972">
        <v>0</v>
      </c>
      <c r="L763" s="972">
        <v>0</v>
      </c>
      <c r="M763" s="972">
        <v>0</v>
      </c>
      <c r="N763" s="972">
        <v>0</v>
      </c>
      <c r="O763" s="972">
        <v>16.242000000000001</v>
      </c>
      <c r="P763" s="972">
        <v>0</v>
      </c>
      <c r="Q763" s="972">
        <v>236.59399999999999</v>
      </c>
      <c r="R763" s="962">
        <v>0</v>
      </c>
      <c r="S763" s="962" t="s">
        <v>4940</v>
      </c>
      <c r="T763" s="972">
        <v>0</v>
      </c>
    </row>
    <row r="764" spans="1:20">
      <c r="A764" s="962" t="s">
        <v>316</v>
      </c>
      <c r="B764" s="972">
        <v>843.92</v>
      </c>
      <c r="C764" s="972">
        <v>156.93600000000001</v>
      </c>
      <c r="D764" s="972">
        <v>0</v>
      </c>
      <c r="E764" s="972">
        <v>51.115000000000002</v>
      </c>
      <c r="F764" s="972">
        <v>0.51800000000000002</v>
      </c>
      <c r="G764" s="972">
        <v>0</v>
      </c>
      <c r="H764" s="972">
        <v>0</v>
      </c>
      <c r="I764" s="972">
        <v>1.9119999999999999</v>
      </c>
      <c r="J764" s="972">
        <v>1.994</v>
      </c>
      <c r="K764" s="972">
        <v>0</v>
      </c>
      <c r="L764" s="972">
        <v>3.41</v>
      </c>
      <c r="M764" s="972">
        <v>0</v>
      </c>
      <c r="N764" s="972">
        <v>0</v>
      </c>
      <c r="O764" s="972">
        <v>7.8339999999999996</v>
      </c>
      <c r="P764" s="972">
        <v>62.822000000000003</v>
      </c>
      <c r="Q764" s="972">
        <v>773.26499999999999</v>
      </c>
      <c r="R764" s="962">
        <v>76</v>
      </c>
      <c r="S764" s="962" t="s">
        <v>4940</v>
      </c>
      <c r="T764" s="972">
        <v>241.482</v>
      </c>
    </row>
    <row r="765" spans="1:20">
      <c r="A765" s="962" t="s">
        <v>318</v>
      </c>
      <c r="B765" s="972">
        <v>669.61099999999999</v>
      </c>
      <c r="C765" s="972">
        <v>27.445</v>
      </c>
      <c r="D765" s="972">
        <v>0</v>
      </c>
      <c r="E765" s="972">
        <v>41.116</v>
      </c>
      <c r="F765" s="972">
        <v>0.8</v>
      </c>
      <c r="G765" s="972">
        <v>0</v>
      </c>
      <c r="H765" s="972">
        <v>0</v>
      </c>
      <c r="I765" s="972">
        <v>6.6790000000000003</v>
      </c>
      <c r="J765" s="972">
        <v>2.9540000000000002</v>
      </c>
      <c r="K765" s="972">
        <v>0</v>
      </c>
      <c r="L765" s="972">
        <v>2.0249999999999999</v>
      </c>
      <c r="M765" s="972">
        <v>0</v>
      </c>
      <c r="N765" s="972">
        <v>0</v>
      </c>
      <c r="O765" s="972">
        <v>12.458</v>
      </c>
      <c r="P765" s="972">
        <v>28.311</v>
      </c>
      <c r="Q765" s="972">
        <v>628.84199999999998</v>
      </c>
      <c r="R765" s="962">
        <v>37</v>
      </c>
      <c r="S765" s="962" t="s">
        <v>4940</v>
      </c>
      <c r="T765" s="972">
        <v>195.03216666666665</v>
      </c>
    </row>
    <row r="766" spans="1:20">
      <c r="A766" s="962" t="s">
        <v>320</v>
      </c>
      <c r="B766" s="972">
        <v>476.67500000000001</v>
      </c>
      <c r="C766" s="972">
        <v>12.621</v>
      </c>
      <c r="D766" s="972">
        <v>0</v>
      </c>
      <c r="E766" s="972">
        <v>8.7409999999999997</v>
      </c>
      <c r="F766" s="972">
        <v>0.41899999999999998</v>
      </c>
      <c r="G766" s="972">
        <v>6.8000000000000005E-2</v>
      </c>
      <c r="H766" s="972">
        <v>0</v>
      </c>
      <c r="I766" s="972">
        <v>9.7680000000000007</v>
      </c>
      <c r="J766" s="972">
        <v>1.5549999999999999</v>
      </c>
      <c r="K766" s="972">
        <v>0</v>
      </c>
      <c r="L766" s="972">
        <v>0.82299999999999995</v>
      </c>
      <c r="M766" s="972">
        <v>0</v>
      </c>
      <c r="N766" s="972">
        <v>0</v>
      </c>
      <c r="O766" s="972">
        <v>12.632999999999999</v>
      </c>
      <c r="P766" s="972">
        <v>29.777000000000001</v>
      </c>
      <c r="Q766" s="972">
        <v>434.26499999999999</v>
      </c>
      <c r="R766" s="962">
        <v>59</v>
      </c>
      <c r="S766" s="962" t="s">
        <v>4940</v>
      </c>
      <c r="T766" s="972">
        <v>138.35716666666667</v>
      </c>
    </row>
    <row r="767" spans="1:20">
      <c r="A767" s="962" t="s">
        <v>2319</v>
      </c>
      <c r="B767" s="972">
        <v>191.41</v>
      </c>
      <c r="C767" s="972">
        <v>1.9670000000000001</v>
      </c>
      <c r="D767" s="972">
        <v>0</v>
      </c>
      <c r="E767" s="972">
        <v>11.182</v>
      </c>
      <c r="F767" s="972">
        <v>0.155</v>
      </c>
      <c r="G767" s="972">
        <v>0</v>
      </c>
      <c r="H767" s="972">
        <v>0</v>
      </c>
      <c r="I767" s="972">
        <v>4.1660000000000004</v>
      </c>
      <c r="J767" s="972">
        <v>0.871</v>
      </c>
      <c r="K767" s="972">
        <v>0</v>
      </c>
      <c r="L767" s="972">
        <v>2.0179999999999998</v>
      </c>
      <c r="M767" s="972">
        <v>0</v>
      </c>
      <c r="N767" s="972">
        <v>0</v>
      </c>
      <c r="O767" s="972">
        <v>7.21</v>
      </c>
      <c r="P767" s="972">
        <v>6.7629999999999999</v>
      </c>
      <c r="Q767" s="972">
        <v>177.43700000000001</v>
      </c>
      <c r="R767" s="962">
        <v>10</v>
      </c>
      <c r="S767" s="962" t="s">
        <v>4940</v>
      </c>
      <c r="T767" s="972">
        <v>55.673166666666667</v>
      </c>
    </row>
    <row r="768" spans="1:20">
      <c r="A768" s="962" t="s">
        <v>2321</v>
      </c>
      <c r="B768" s="972">
        <v>706.01700000000005</v>
      </c>
      <c r="C768" s="972">
        <v>68.06</v>
      </c>
      <c r="D768" s="972">
        <v>0</v>
      </c>
      <c r="E768" s="972">
        <v>20.332999999999998</v>
      </c>
      <c r="F768" s="972">
        <v>0.60299999999999998</v>
      </c>
      <c r="G768" s="972">
        <v>0.188</v>
      </c>
      <c r="H768" s="972">
        <v>0</v>
      </c>
      <c r="I768" s="972">
        <v>12.102</v>
      </c>
      <c r="J768" s="972">
        <v>4.6459999999999999</v>
      </c>
      <c r="K768" s="972">
        <v>0</v>
      </c>
      <c r="L768" s="972">
        <v>4.5289999999999999</v>
      </c>
      <c r="M768" s="972">
        <v>0</v>
      </c>
      <c r="N768" s="972">
        <v>0</v>
      </c>
      <c r="O768" s="972">
        <v>22.068000000000001</v>
      </c>
      <c r="P768" s="972">
        <v>45.429000000000002</v>
      </c>
      <c r="Q768" s="972">
        <v>638.52099999999996</v>
      </c>
      <c r="R768" s="962">
        <v>66</v>
      </c>
      <c r="S768" s="962" t="s">
        <v>4940</v>
      </c>
      <c r="T768" s="972">
        <v>201.18700000000001</v>
      </c>
    </row>
    <row r="769" spans="1:20">
      <c r="A769" s="962" t="s">
        <v>3178</v>
      </c>
      <c r="B769" s="972">
        <v>3490.6930000000002</v>
      </c>
      <c r="C769" s="972">
        <v>619.33799999999997</v>
      </c>
      <c r="D769" s="972">
        <v>1.976</v>
      </c>
      <c r="E769" s="972">
        <v>88.316999999999993</v>
      </c>
      <c r="F769" s="972">
        <v>3.9449999999999998</v>
      </c>
      <c r="G769" s="972">
        <v>0.39400000000000002</v>
      </c>
      <c r="H769" s="972">
        <v>0</v>
      </c>
      <c r="I769" s="972">
        <v>42.7</v>
      </c>
      <c r="J769" s="972">
        <v>26.954000000000001</v>
      </c>
      <c r="K769" s="972">
        <v>0.40600000000000003</v>
      </c>
      <c r="L769" s="972">
        <v>0.17799999999999999</v>
      </c>
      <c r="M769" s="972">
        <v>0</v>
      </c>
      <c r="N769" s="972">
        <v>0</v>
      </c>
      <c r="O769" s="972">
        <v>74.575000000000003</v>
      </c>
      <c r="P769" s="972">
        <v>91.212000000000003</v>
      </c>
      <c r="Q769" s="972">
        <v>3324.9059999999999</v>
      </c>
      <c r="R769" s="962">
        <v>130</v>
      </c>
      <c r="S769" s="962" t="s">
        <v>4940</v>
      </c>
      <c r="T769" s="972">
        <v>803.25600000000009</v>
      </c>
    </row>
    <row r="770" spans="1:20">
      <c r="A770" s="962" t="s">
        <v>249</v>
      </c>
      <c r="B770" s="972">
        <v>4561.7839999999997</v>
      </c>
      <c r="C770" s="972">
        <v>483.34100000000001</v>
      </c>
      <c r="D770" s="972">
        <v>1.891</v>
      </c>
      <c r="E770" s="972">
        <v>105.084</v>
      </c>
      <c r="F770" s="972">
        <v>4.7</v>
      </c>
      <c r="G770" s="972">
        <v>0.19600000000000001</v>
      </c>
      <c r="H770" s="972">
        <v>0</v>
      </c>
      <c r="I770" s="972">
        <v>45.161000000000001</v>
      </c>
      <c r="J770" s="972">
        <v>32.710999999999999</v>
      </c>
      <c r="K770" s="972">
        <v>3.2650000000000001</v>
      </c>
      <c r="L770" s="972">
        <v>0</v>
      </c>
      <c r="M770" s="972">
        <v>0</v>
      </c>
      <c r="N770" s="972">
        <v>0</v>
      </c>
      <c r="O770" s="972">
        <v>86.034000000000006</v>
      </c>
      <c r="P770" s="972">
        <v>291.37200000000001</v>
      </c>
      <c r="Q770" s="972">
        <v>4184.3779999999997</v>
      </c>
      <c r="R770" s="962">
        <v>219</v>
      </c>
      <c r="S770" s="962" t="s">
        <v>4940</v>
      </c>
      <c r="T770" s="972">
        <v>1347.0229999999999</v>
      </c>
    </row>
    <row r="771" spans="1:20">
      <c r="A771" s="962" t="s">
        <v>2323</v>
      </c>
      <c r="B771" s="972">
        <v>159.233</v>
      </c>
      <c r="C771" s="972">
        <v>12.058</v>
      </c>
      <c r="D771" s="972">
        <v>0</v>
      </c>
      <c r="E771" s="972">
        <v>0.115</v>
      </c>
      <c r="F771" s="972">
        <v>0.51800000000000002</v>
      </c>
      <c r="G771" s="972">
        <v>0</v>
      </c>
      <c r="H771" s="972">
        <v>0</v>
      </c>
      <c r="I771" s="972">
        <v>2.6989999999999998</v>
      </c>
      <c r="J771" s="972">
        <v>0.222</v>
      </c>
      <c r="K771" s="972">
        <v>0.85099999999999998</v>
      </c>
      <c r="L771" s="972">
        <v>0</v>
      </c>
      <c r="M771" s="972">
        <v>0</v>
      </c>
      <c r="N771" s="972">
        <v>0</v>
      </c>
      <c r="O771" s="972">
        <v>4.2889999999999997</v>
      </c>
      <c r="P771" s="972">
        <v>0</v>
      </c>
      <c r="Q771" s="972">
        <v>154.94399999999999</v>
      </c>
      <c r="R771" s="962">
        <v>9</v>
      </c>
      <c r="S771" s="962" t="s">
        <v>4940</v>
      </c>
      <c r="T771" s="972">
        <v>0</v>
      </c>
    </row>
    <row r="772" spans="1:20">
      <c r="A772" s="962" t="s">
        <v>513</v>
      </c>
      <c r="B772" s="972">
        <v>1157.8489999999999</v>
      </c>
      <c r="C772" s="972">
        <v>26.512</v>
      </c>
      <c r="D772" s="972">
        <v>0.72599999999999998</v>
      </c>
      <c r="E772" s="972">
        <v>35.674999999999997</v>
      </c>
      <c r="F772" s="972">
        <v>1.7090000000000001</v>
      </c>
      <c r="G772" s="972">
        <v>4.7E-2</v>
      </c>
      <c r="H772" s="972">
        <v>0</v>
      </c>
      <c r="I772" s="972">
        <v>8.7590000000000003</v>
      </c>
      <c r="J772" s="972">
        <v>0.28000000000000003</v>
      </c>
      <c r="K772" s="972">
        <v>5.3869999999999996</v>
      </c>
      <c r="L772" s="972">
        <v>0.77</v>
      </c>
      <c r="M772" s="972">
        <v>0</v>
      </c>
      <c r="N772" s="972">
        <v>0.8</v>
      </c>
      <c r="O772" s="972">
        <v>17.751000000000001</v>
      </c>
      <c r="P772" s="972">
        <v>68.373000000000005</v>
      </c>
      <c r="Q772" s="972">
        <v>1071.7260000000001</v>
      </c>
      <c r="R772" s="962">
        <v>34</v>
      </c>
      <c r="S772" s="962" t="s">
        <v>4940</v>
      </c>
      <c r="T772" s="972">
        <v>335.30183333333332</v>
      </c>
    </row>
    <row r="773" spans="1:20">
      <c r="A773" s="962" t="s">
        <v>1872</v>
      </c>
      <c r="B773" s="972">
        <v>466.83800000000002</v>
      </c>
      <c r="C773" s="972">
        <v>2.8980000000000001</v>
      </c>
      <c r="D773" s="972">
        <v>4.4999999999999998E-2</v>
      </c>
      <c r="E773" s="972">
        <v>7.3570000000000002</v>
      </c>
      <c r="F773" s="972">
        <v>1.054</v>
      </c>
      <c r="G773" s="972">
        <v>2.3E-2</v>
      </c>
      <c r="H773" s="972">
        <v>0</v>
      </c>
      <c r="I773" s="972">
        <v>10.669</v>
      </c>
      <c r="J773" s="972">
        <v>0.8</v>
      </c>
      <c r="K773" s="972">
        <v>1.1160000000000001</v>
      </c>
      <c r="L773" s="972">
        <v>0.90700000000000003</v>
      </c>
      <c r="M773" s="972">
        <v>0</v>
      </c>
      <c r="N773" s="972">
        <v>0</v>
      </c>
      <c r="O773" s="972">
        <v>14.568</v>
      </c>
      <c r="P773" s="972">
        <v>29.884</v>
      </c>
      <c r="Q773" s="972">
        <v>422.387</v>
      </c>
      <c r="R773" s="962">
        <v>18</v>
      </c>
      <c r="S773" s="962" t="s">
        <v>4940</v>
      </c>
      <c r="T773" s="972">
        <v>159.50616666666667</v>
      </c>
    </row>
    <row r="774" spans="1:20">
      <c r="A774" s="962" t="s">
        <v>2325</v>
      </c>
      <c r="B774" s="972">
        <v>1990.241</v>
      </c>
      <c r="C774" s="972">
        <v>236.98699999999999</v>
      </c>
      <c r="D774" s="972">
        <v>1.175</v>
      </c>
      <c r="E774" s="972">
        <v>39.411999999999999</v>
      </c>
      <c r="F774" s="972">
        <v>2.7149999999999999</v>
      </c>
      <c r="G774" s="972">
        <v>0</v>
      </c>
      <c r="H774" s="972">
        <v>0</v>
      </c>
      <c r="I774" s="972">
        <v>17.367999999999999</v>
      </c>
      <c r="J774" s="972">
        <v>4.4939999999999998</v>
      </c>
      <c r="K774" s="972">
        <v>2.5230000000000001</v>
      </c>
      <c r="L774" s="972">
        <v>0.51400000000000001</v>
      </c>
      <c r="M774" s="972">
        <v>0</v>
      </c>
      <c r="N774" s="972">
        <v>0</v>
      </c>
      <c r="O774" s="972">
        <v>27.613</v>
      </c>
      <c r="P774" s="972">
        <v>115.627</v>
      </c>
      <c r="Q774" s="972">
        <v>1847.001</v>
      </c>
      <c r="R774" s="962">
        <v>204</v>
      </c>
      <c r="S774" s="962" t="s">
        <v>4940</v>
      </c>
      <c r="T774" s="972">
        <v>549.34966666666674</v>
      </c>
    </row>
    <row r="775" spans="1:20">
      <c r="A775" s="962" t="s">
        <v>2327</v>
      </c>
      <c r="B775" s="972">
        <v>1775.65</v>
      </c>
      <c r="C775" s="972">
        <v>16.731999999999999</v>
      </c>
      <c r="D775" s="972">
        <v>0.54500000000000004</v>
      </c>
      <c r="E775" s="972">
        <v>28.103000000000002</v>
      </c>
      <c r="F775" s="972">
        <v>1.986</v>
      </c>
      <c r="G775" s="972">
        <v>0</v>
      </c>
      <c r="H775" s="972">
        <v>0</v>
      </c>
      <c r="I775" s="972">
        <v>31.47</v>
      </c>
      <c r="J775" s="972">
        <v>4.5940000000000003</v>
      </c>
      <c r="K775" s="972">
        <v>0.65500000000000003</v>
      </c>
      <c r="L775" s="972">
        <v>1.8620000000000001</v>
      </c>
      <c r="M775" s="972">
        <v>0</v>
      </c>
      <c r="N775" s="972">
        <v>0</v>
      </c>
      <c r="O775" s="972">
        <v>40.566000000000003</v>
      </c>
      <c r="P775" s="972">
        <v>93.364000000000004</v>
      </c>
      <c r="Q775" s="972">
        <v>1641.72</v>
      </c>
      <c r="R775" s="962">
        <v>53</v>
      </c>
      <c r="S775" s="962" t="s">
        <v>4940</v>
      </c>
      <c r="T775" s="972">
        <v>557.39266666666663</v>
      </c>
    </row>
    <row r="776" spans="1:20">
      <c r="A776" s="962" t="s">
        <v>5236</v>
      </c>
      <c r="B776" s="972">
        <v>283.584</v>
      </c>
      <c r="C776" s="972">
        <v>37.652000000000001</v>
      </c>
      <c r="D776" s="972">
        <v>0.21099999999999999</v>
      </c>
      <c r="E776" s="972">
        <v>22.146000000000001</v>
      </c>
      <c r="F776" s="972">
        <v>0.30499999999999999</v>
      </c>
      <c r="G776" s="972">
        <v>0.19400000000000001</v>
      </c>
      <c r="H776" s="972">
        <v>0</v>
      </c>
      <c r="I776" s="972">
        <v>9.0020000000000007</v>
      </c>
      <c r="J776" s="972">
        <v>0.90200000000000002</v>
      </c>
      <c r="K776" s="972">
        <v>0</v>
      </c>
      <c r="L776" s="972">
        <v>0.80800000000000005</v>
      </c>
      <c r="M776" s="972">
        <v>0</v>
      </c>
      <c r="N776" s="972">
        <v>0</v>
      </c>
      <c r="O776" s="972">
        <v>11.21</v>
      </c>
      <c r="P776" s="972">
        <v>9.4049999999999994</v>
      </c>
      <c r="Q776" s="972">
        <v>262.96899999999999</v>
      </c>
      <c r="R776" s="962">
        <v>4</v>
      </c>
      <c r="S776" s="962" t="s">
        <v>4940</v>
      </c>
      <c r="T776" s="972">
        <v>63.028333333333336</v>
      </c>
    </row>
    <row r="777" spans="1:20">
      <c r="A777" s="962" t="s">
        <v>7700</v>
      </c>
      <c r="B777" s="972">
        <v>1448.86</v>
      </c>
      <c r="C777" s="972">
        <v>52.006999999999998</v>
      </c>
      <c r="D777" s="972">
        <v>0</v>
      </c>
      <c r="E777" s="972">
        <v>43.935000000000002</v>
      </c>
      <c r="F777" s="972">
        <v>2.6709999999999998</v>
      </c>
      <c r="G777" s="972">
        <v>0.35199999999999998</v>
      </c>
      <c r="H777" s="972">
        <v>0</v>
      </c>
      <c r="I777" s="972">
        <v>41.386000000000003</v>
      </c>
      <c r="J777" s="972">
        <v>12.978000000000002</v>
      </c>
      <c r="K777" s="972">
        <v>0</v>
      </c>
      <c r="L777" s="972">
        <v>1.1930000000000001</v>
      </c>
      <c r="M777" s="972">
        <v>0</v>
      </c>
      <c r="N777" s="972">
        <v>2.399</v>
      </c>
      <c r="O777" s="972">
        <v>60.978000000000002</v>
      </c>
      <c r="P777" s="972">
        <v>63.561</v>
      </c>
      <c r="Q777" s="972">
        <v>1324.3209999999999</v>
      </c>
      <c r="R777" s="962">
        <v>117</v>
      </c>
      <c r="S777" s="962" t="s">
        <v>4940</v>
      </c>
      <c r="T777" s="972">
        <v>431.17883333333339</v>
      </c>
    </row>
    <row r="778" spans="1:20">
      <c r="A778" s="962" t="s">
        <v>7702</v>
      </c>
      <c r="B778" s="972">
        <v>1916.979</v>
      </c>
      <c r="C778" s="972">
        <v>207.33799999999999</v>
      </c>
      <c r="D778" s="972">
        <v>1.2150000000000001</v>
      </c>
      <c r="E778" s="972">
        <v>108.437</v>
      </c>
      <c r="F778" s="972">
        <v>2.4239999999999999</v>
      </c>
      <c r="G778" s="972">
        <v>0.188</v>
      </c>
      <c r="H778" s="972">
        <v>0</v>
      </c>
      <c r="I778" s="972">
        <v>9.141</v>
      </c>
      <c r="J778" s="972">
        <v>14.014999999999999</v>
      </c>
      <c r="K778" s="972">
        <v>0</v>
      </c>
      <c r="L778" s="972">
        <v>0.995</v>
      </c>
      <c r="M778" s="972">
        <v>0.66</v>
      </c>
      <c r="N778" s="972">
        <v>57.710999999999999</v>
      </c>
      <c r="O778" s="972">
        <v>85.132999999999996</v>
      </c>
      <c r="P778" s="972">
        <v>64.308999999999997</v>
      </c>
      <c r="Q778" s="972">
        <v>1767.537</v>
      </c>
      <c r="R778" s="962">
        <v>67</v>
      </c>
      <c r="S778" s="962" t="s">
        <v>4940</v>
      </c>
      <c r="T778" s="972">
        <v>552.4996666666666</v>
      </c>
    </row>
    <row r="779" spans="1:20">
      <c r="A779" s="962" t="s">
        <v>7704</v>
      </c>
      <c r="B779" s="972">
        <v>365.84100000000001</v>
      </c>
      <c r="C779" s="972">
        <v>69.628</v>
      </c>
      <c r="D779" s="972">
        <v>0.23599999999999999</v>
      </c>
      <c r="E779" s="972">
        <v>10.334</v>
      </c>
      <c r="F779" s="972">
        <v>0.27900000000000003</v>
      </c>
      <c r="G779" s="972">
        <v>0</v>
      </c>
      <c r="H779" s="972">
        <v>0</v>
      </c>
      <c r="I779" s="972">
        <v>6.29</v>
      </c>
      <c r="J779" s="972">
        <v>1.9370000000000001</v>
      </c>
      <c r="K779" s="972">
        <v>0</v>
      </c>
      <c r="L779" s="972">
        <v>0</v>
      </c>
      <c r="M779" s="972">
        <v>0</v>
      </c>
      <c r="N779" s="972">
        <v>0</v>
      </c>
      <c r="O779" s="972">
        <v>8.5039999999999996</v>
      </c>
      <c r="P779" s="972">
        <v>26.507999999999999</v>
      </c>
      <c r="Q779" s="972">
        <v>330.83</v>
      </c>
      <c r="R779" s="962">
        <v>42</v>
      </c>
      <c r="S779" s="962" t="s">
        <v>3902</v>
      </c>
      <c r="T779" s="972">
        <v>99.156499999999994</v>
      </c>
    </row>
    <row r="780" spans="1:20">
      <c r="A780" s="962" t="s">
        <v>5634</v>
      </c>
      <c r="B780" s="972">
        <v>154.078</v>
      </c>
      <c r="C780" s="972">
        <v>8.4540000000000006</v>
      </c>
      <c r="D780" s="972">
        <v>0</v>
      </c>
      <c r="E780" s="972">
        <v>0</v>
      </c>
      <c r="F780" s="972">
        <v>0.11</v>
      </c>
      <c r="G780" s="972">
        <v>0</v>
      </c>
      <c r="H780" s="972">
        <v>0</v>
      </c>
      <c r="I780" s="972">
        <v>4.8949999999999996</v>
      </c>
      <c r="J780" s="972">
        <v>0</v>
      </c>
      <c r="K780" s="972">
        <v>0</v>
      </c>
      <c r="L780" s="972">
        <v>0</v>
      </c>
      <c r="M780" s="972">
        <v>0</v>
      </c>
      <c r="N780" s="972">
        <v>0</v>
      </c>
      <c r="O780" s="972">
        <v>5.0049999999999999</v>
      </c>
      <c r="P780" s="972">
        <v>4.7270000000000003</v>
      </c>
      <c r="Q780" s="972">
        <v>144.345</v>
      </c>
      <c r="R780" s="962">
        <v>16</v>
      </c>
      <c r="S780" s="962" t="s">
        <v>4940</v>
      </c>
      <c r="T780" s="972">
        <v>56.607833333333332</v>
      </c>
    </row>
    <row r="781" spans="1:20">
      <c r="A781" s="962" t="s">
        <v>5636</v>
      </c>
      <c r="B781" s="972">
        <v>91.442999999999998</v>
      </c>
      <c r="C781" s="972">
        <v>2.1349999999999998</v>
      </c>
      <c r="D781" s="972">
        <v>0.15</v>
      </c>
      <c r="E781" s="972">
        <v>10.351000000000001</v>
      </c>
      <c r="F781" s="972">
        <v>0.151</v>
      </c>
      <c r="G781" s="972">
        <v>0</v>
      </c>
      <c r="H781" s="972">
        <v>0</v>
      </c>
      <c r="I781" s="972">
        <v>0.90200000000000002</v>
      </c>
      <c r="J781" s="972">
        <v>0</v>
      </c>
      <c r="K781" s="972">
        <v>0</v>
      </c>
      <c r="L781" s="972">
        <v>0</v>
      </c>
      <c r="M781" s="972">
        <v>0</v>
      </c>
      <c r="N781" s="972">
        <v>0</v>
      </c>
      <c r="O781" s="972">
        <v>1.0529999999999999</v>
      </c>
      <c r="P781" s="972">
        <v>4.3479999999999999</v>
      </c>
      <c r="Q781" s="972">
        <v>86.042000000000002</v>
      </c>
      <c r="R781" s="962">
        <v>5</v>
      </c>
      <c r="S781" s="962" t="s">
        <v>4940</v>
      </c>
      <c r="T781" s="972">
        <v>19.055</v>
      </c>
    </row>
    <row r="782" spans="1:20">
      <c r="A782" s="962" t="s">
        <v>4016</v>
      </c>
      <c r="B782" s="972">
        <v>139.47300000000001</v>
      </c>
      <c r="C782" s="972">
        <v>1.0349999999999999</v>
      </c>
      <c r="D782" s="972">
        <v>0</v>
      </c>
      <c r="E782" s="972">
        <v>3.49</v>
      </c>
      <c r="F782" s="972">
        <v>0.17199999999999999</v>
      </c>
      <c r="G782" s="972">
        <v>0</v>
      </c>
      <c r="H782" s="972">
        <v>0</v>
      </c>
      <c r="I782" s="972">
        <v>3.3420000000000001</v>
      </c>
      <c r="J782" s="972">
        <v>0</v>
      </c>
      <c r="K782" s="972">
        <v>0</v>
      </c>
      <c r="L782" s="972">
        <v>0</v>
      </c>
      <c r="M782" s="972">
        <v>0</v>
      </c>
      <c r="N782" s="972">
        <v>0</v>
      </c>
      <c r="O782" s="972">
        <v>3.5139999999999998</v>
      </c>
      <c r="P782" s="972">
        <v>9.8620000000000001</v>
      </c>
      <c r="Q782" s="972">
        <v>126.098</v>
      </c>
      <c r="R782" s="962">
        <v>14</v>
      </c>
      <c r="S782" s="962" t="s">
        <v>4940</v>
      </c>
      <c r="T782" s="972">
        <v>45.341166666666666</v>
      </c>
    </row>
    <row r="783" spans="1:20">
      <c r="A783" s="962" t="s">
        <v>4018</v>
      </c>
      <c r="B783" s="972">
        <v>1013.52</v>
      </c>
      <c r="C783" s="972">
        <v>16.312999999999999</v>
      </c>
      <c r="D783" s="972">
        <v>0.28199999999999997</v>
      </c>
      <c r="E783" s="972">
        <v>4.1639999999999997</v>
      </c>
      <c r="F783" s="972">
        <v>1.37</v>
      </c>
      <c r="G783" s="972">
        <v>0.16700000000000001</v>
      </c>
      <c r="H783" s="972">
        <v>0</v>
      </c>
      <c r="I783" s="972">
        <v>28.157</v>
      </c>
      <c r="J783" s="972">
        <v>3.9009999999999998</v>
      </c>
      <c r="K783" s="972">
        <v>0</v>
      </c>
      <c r="L783" s="972">
        <v>3.8109999999999999</v>
      </c>
      <c r="M783" s="972">
        <v>0</v>
      </c>
      <c r="N783" s="972">
        <v>0</v>
      </c>
      <c r="O783" s="972">
        <v>37.405000000000001</v>
      </c>
      <c r="P783" s="972">
        <v>75.123999999999995</v>
      </c>
      <c r="Q783" s="972">
        <v>900.99099999999999</v>
      </c>
      <c r="R783" s="962">
        <v>117</v>
      </c>
      <c r="S783" s="962" t="s">
        <v>4940</v>
      </c>
      <c r="T783" s="972">
        <v>301.18799999999999</v>
      </c>
    </row>
    <row r="784" spans="1:20">
      <c r="A784" s="962" t="s">
        <v>4020</v>
      </c>
      <c r="B784" s="972">
        <v>575.04</v>
      </c>
      <c r="C784" s="972">
        <v>25.724</v>
      </c>
      <c r="D784" s="972">
        <v>0</v>
      </c>
      <c r="E784" s="972">
        <v>4.3490000000000002</v>
      </c>
      <c r="F784" s="972">
        <v>0.871</v>
      </c>
      <c r="G784" s="972">
        <v>0</v>
      </c>
      <c r="H784" s="972">
        <v>0</v>
      </c>
      <c r="I784" s="972">
        <v>14.16</v>
      </c>
      <c r="J784" s="972">
        <v>3.8170000000000002</v>
      </c>
      <c r="K784" s="972">
        <v>0</v>
      </c>
      <c r="L784" s="972">
        <v>0.108</v>
      </c>
      <c r="M784" s="972">
        <v>0</v>
      </c>
      <c r="N784" s="972">
        <v>0</v>
      </c>
      <c r="O784" s="972">
        <v>18.954000000000001</v>
      </c>
      <c r="P784" s="972">
        <v>48.13</v>
      </c>
      <c r="Q784" s="972">
        <v>507.95699999999999</v>
      </c>
      <c r="R784" s="962">
        <v>57</v>
      </c>
      <c r="S784" s="962" t="s">
        <v>4940</v>
      </c>
      <c r="T784" s="972">
        <v>191.50366666666665</v>
      </c>
    </row>
    <row r="785" spans="1:20">
      <c r="A785" s="962" t="s">
        <v>4022</v>
      </c>
      <c r="B785" s="972">
        <v>1745.2370000000001</v>
      </c>
      <c r="C785" s="972">
        <v>61.326000000000001</v>
      </c>
      <c r="D785" s="972">
        <v>0.09</v>
      </c>
      <c r="E785" s="972">
        <v>33.779000000000003</v>
      </c>
      <c r="F785" s="972">
        <v>2.6219999999999999</v>
      </c>
      <c r="G785" s="972">
        <v>0</v>
      </c>
      <c r="H785" s="972">
        <v>0.255</v>
      </c>
      <c r="I785" s="972">
        <v>42.982999999999997</v>
      </c>
      <c r="J785" s="972">
        <v>10.977</v>
      </c>
      <c r="K785" s="972">
        <v>0</v>
      </c>
      <c r="L785" s="972">
        <v>0</v>
      </c>
      <c r="M785" s="972">
        <v>0</v>
      </c>
      <c r="N785" s="972">
        <v>0.89800000000000002</v>
      </c>
      <c r="O785" s="972">
        <v>57.734000000000002</v>
      </c>
      <c r="P785" s="972">
        <v>130.41800000000001</v>
      </c>
      <c r="Q785" s="972">
        <v>1557.085</v>
      </c>
      <c r="R785" s="962">
        <v>196</v>
      </c>
      <c r="S785" s="962" t="s">
        <v>4940</v>
      </c>
      <c r="T785" s="972">
        <v>476.36500000000001</v>
      </c>
    </row>
    <row r="786" spans="1:20">
      <c r="A786" s="962" t="s">
        <v>4024</v>
      </c>
      <c r="B786" s="972">
        <v>193.25</v>
      </c>
      <c r="C786" s="972">
        <v>0</v>
      </c>
      <c r="D786" s="972">
        <v>0</v>
      </c>
      <c r="E786" s="972">
        <v>0.98899999999999999</v>
      </c>
      <c r="F786" s="972">
        <v>0.83099999999999996</v>
      </c>
      <c r="G786" s="972">
        <v>0</v>
      </c>
      <c r="H786" s="972">
        <v>0</v>
      </c>
      <c r="I786" s="972">
        <v>3.859</v>
      </c>
      <c r="J786" s="972">
        <v>0.79200000000000004</v>
      </c>
      <c r="K786" s="972">
        <v>0</v>
      </c>
      <c r="L786" s="972">
        <v>0</v>
      </c>
      <c r="M786" s="972">
        <v>0</v>
      </c>
      <c r="N786" s="972">
        <v>0</v>
      </c>
      <c r="O786" s="972">
        <v>5.4820000000000002</v>
      </c>
      <c r="P786" s="972">
        <v>0</v>
      </c>
      <c r="Q786" s="972">
        <v>187.76900000000001</v>
      </c>
      <c r="R786" s="962">
        <v>0</v>
      </c>
      <c r="S786" s="962" t="s">
        <v>4940</v>
      </c>
      <c r="T786" s="972">
        <v>0</v>
      </c>
    </row>
    <row r="787" spans="1:20">
      <c r="A787" s="962" t="s">
        <v>1141</v>
      </c>
      <c r="B787" s="972">
        <v>179.58</v>
      </c>
      <c r="C787" s="972">
        <v>0</v>
      </c>
      <c r="D787" s="972">
        <v>3.6389999999999998</v>
      </c>
      <c r="E787" s="972">
        <v>31.527999999999999</v>
      </c>
      <c r="F787" s="972">
        <v>0</v>
      </c>
      <c r="G787" s="972">
        <v>0</v>
      </c>
      <c r="H787" s="972">
        <v>0</v>
      </c>
      <c r="I787" s="972">
        <v>0</v>
      </c>
      <c r="J787" s="972">
        <v>0.29399999999999998</v>
      </c>
      <c r="K787" s="972">
        <v>0</v>
      </c>
      <c r="L787" s="972">
        <v>0</v>
      </c>
      <c r="M787" s="972">
        <v>0</v>
      </c>
      <c r="N787" s="972">
        <v>0</v>
      </c>
      <c r="O787" s="972">
        <v>0.29399999999999998</v>
      </c>
      <c r="P787" s="972">
        <v>14.991</v>
      </c>
      <c r="Q787" s="972">
        <v>164.29599999999999</v>
      </c>
      <c r="R787" s="962">
        <v>0</v>
      </c>
      <c r="S787" s="962" t="s">
        <v>4940</v>
      </c>
      <c r="T787" s="972">
        <v>179.57800000000003</v>
      </c>
    </row>
    <row r="788" spans="1:20">
      <c r="A788" s="962" t="s">
        <v>176</v>
      </c>
      <c r="B788" s="972">
        <v>576.91399999999999</v>
      </c>
      <c r="C788" s="972">
        <v>10.218999999999999</v>
      </c>
      <c r="D788" s="972">
        <v>0</v>
      </c>
      <c r="E788" s="972">
        <v>6.8730000000000002</v>
      </c>
      <c r="F788" s="972">
        <v>0.47699999999999998</v>
      </c>
      <c r="G788" s="972">
        <v>0</v>
      </c>
      <c r="H788" s="972">
        <v>0</v>
      </c>
      <c r="I788" s="972">
        <v>8.6280000000000001</v>
      </c>
      <c r="J788" s="972">
        <v>1.113</v>
      </c>
      <c r="K788" s="972">
        <v>0</v>
      </c>
      <c r="L788" s="972">
        <v>0</v>
      </c>
      <c r="M788" s="972">
        <v>0</v>
      </c>
      <c r="N788" s="972">
        <v>0</v>
      </c>
      <c r="O788" s="972">
        <v>10.218</v>
      </c>
      <c r="P788" s="972">
        <v>0</v>
      </c>
      <c r="Q788" s="972">
        <v>566.69600000000003</v>
      </c>
      <c r="R788" s="962">
        <v>36</v>
      </c>
      <c r="S788" s="962" t="s">
        <v>4940</v>
      </c>
      <c r="T788" s="972">
        <v>42.331333333333333</v>
      </c>
    </row>
    <row r="789" spans="1:20">
      <c r="A789" s="962" t="s">
        <v>2996</v>
      </c>
      <c r="B789" s="972">
        <v>26876.92</v>
      </c>
      <c r="C789" s="972">
        <v>618.40499999999997</v>
      </c>
      <c r="D789" s="972">
        <v>4.3970000000000002</v>
      </c>
      <c r="E789" s="972">
        <v>681.20799999999997</v>
      </c>
      <c r="F789" s="972">
        <v>61.323999999999998</v>
      </c>
      <c r="G789" s="972">
        <v>2.1040000000000001</v>
      </c>
      <c r="H789" s="972">
        <v>11.016</v>
      </c>
      <c r="I789" s="972">
        <v>612.08299999999997</v>
      </c>
      <c r="J789" s="972">
        <v>257.19400000000002</v>
      </c>
      <c r="K789" s="972">
        <v>0</v>
      </c>
      <c r="L789" s="972">
        <v>13.967000000000001</v>
      </c>
      <c r="M789" s="972">
        <v>0</v>
      </c>
      <c r="N789" s="972">
        <v>21.024000000000001</v>
      </c>
      <c r="O789" s="972">
        <v>978.70899999999995</v>
      </c>
      <c r="P789" s="972">
        <v>949.99400000000003</v>
      </c>
      <c r="Q789" s="972">
        <v>24948.217000000001</v>
      </c>
      <c r="R789" s="962">
        <v>926</v>
      </c>
      <c r="S789" s="962" t="s">
        <v>4940</v>
      </c>
      <c r="T789" s="972">
        <v>6599.8393333333333</v>
      </c>
    </row>
    <row r="790" spans="1:20">
      <c r="A790" s="962" t="s">
        <v>4028</v>
      </c>
      <c r="B790" s="972">
        <v>692.63800000000003</v>
      </c>
      <c r="C790" s="972">
        <v>9.6660000000000004</v>
      </c>
      <c r="D790" s="972">
        <v>0.42899999999999999</v>
      </c>
      <c r="E790" s="972">
        <v>43.088999999999999</v>
      </c>
      <c r="F790" s="972">
        <v>1.508</v>
      </c>
      <c r="G790" s="972">
        <v>0</v>
      </c>
      <c r="H790" s="972">
        <v>0</v>
      </c>
      <c r="I790" s="972">
        <v>8.4689999999999994</v>
      </c>
      <c r="J790" s="972">
        <v>0</v>
      </c>
      <c r="K790" s="972">
        <v>9.6359999999999992</v>
      </c>
      <c r="L790" s="972">
        <v>2.1040000000000001</v>
      </c>
      <c r="M790" s="972">
        <v>0</v>
      </c>
      <c r="N790" s="972">
        <v>0</v>
      </c>
      <c r="O790" s="972">
        <v>21.715</v>
      </c>
      <c r="P790" s="972">
        <v>48.267000000000003</v>
      </c>
      <c r="Q790" s="972">
        <v>622.65599999999995</v>
      </c>
      <c r="R790" s="962">
        <v>28</v>
      </c>
      <c r="S790" s="962" t="s">
        <v>4940</v>
      </c>
      <c r="T790" s="972">
        <v>202.34083333333336</v>
      </c>
    </row>
    <row r="791" spans="1:20">
      <c r="A791" s="962" t="s">
        <v>4030</v>
      </c>
      <c r="B791" s="972">
        <v>1196.9469999999999</v>
      </c>
      <c r="C791" s="972">
        <v>51.052999999999997</v>
      </c>
      <c r="D791" s="972">
        <v>0.45500000000000002</v>
      </c>
      <c r="E791" s="972">
        <v>27.39</v>
      </c>
      <c r="F791" s="972">
        <v>2.69</v>
      </c>
      <c r="G791" s="972">
        <v>0.21099999999999999</v>
      </c>
      <c r="H791" s="972">
        <v>0</v>
      </c>
      <c r="I791" s="972">
        <v>30.417999999999999</v>
      </c>
      <c r="J791" s="972">
        <v>8.7859999999999996</v>
      </c>
      <c r="K791" s="972">
        <v>0</v>
      </c>
      <c r="L791" s="972">
        <v>2.54</v>
      </c>
      <c r="M791" s="972">
        <v>0</v>
      </c>
      <c r="N791" s="972">
        <v>0</v>
      </c>
      <c r="O791" s="972">
        <v>44.646000000000001</v>
      </c>
      <c r="P791" s="972">
        <v>80.805000000000007</v>
      </c>
      <c r="Q791" s="972">
        <v>1071.4960000000001</v>
      </c>
      <c r="R791" s="962">
        <v>58</v>
      </c>
      <c r="S791" s="962" t="s">
        <v>4940</v>
      </c>
      <c r="T791" s="972">
        <v>305.88566666666662</v>
      </c>
    </row>
    <row r="792" spans="1:20">
      <c r="A792" s="962" t="s">
        <v>2903</v>
      </c>
      <c r="B792" s="972">
        <v>3840.3470000000002</v>
      </c>
      <c r="C792" s="972">
        <v>126.285</v>
      </c>
      <c r="D792" s="972">
        <v>0.41399999999999998</v>
      </c>
      <c r="E792" s="972">
        <v>61.722000000000001</v>
      </c>
      <c r="F792" s="972">
        <v>4.1059999999999999</v>
      </c>
      <c r="G792" s="972">
        <v>5.6000000000000001E-2</v>
      </c>
      <c r="H792" s="972">
        <v>0</v>
      </c>
      <c r="I792" s="972">
        <v>109.749</v>
      </c>
      <c r="J792" s="972">
        <v>15.592000000000001</v>
      </c>
      <c r="K792" s="972">
        <v>0.106</v>
      </c>
      <c r="L792" s="972">
        <v>8.4329999999999998</v>
      </c>
      <c r="M792" s="972">
        <v>0</v>
      </c>
      <c r="N792" s="972">
        <v>0.127</v>
      </c>
      <c r="O792" s="972">
        <v>138.167</v>
      </c>
      <c r="P792" s="972">
        <v>370.089</v>
      </c>
      <c r="Q792" s="972">
        <v>3332.0909999999999</v>
      </c>
      <c r="R792" s="962">
        <v>125</v>
      </c>
      <c r="S792" s="962" t="s">
        <v>4940</v>
      </c>
      <c r="T792" s="972">
        <v>866.58699999999999</v>
      </c>
    </row>
    <row r="793" spans="1:20">
      <c r="A793" s="962" t="s">
        <v>1310</v>
      </c>
      <c r="B793" s="972">
        <v>7145.1289999999999</v>
      </c>
      <c r="C793" s="972">
        <v>184.28</v>
      </c>
      <c r="D793" s="972">
        <v>1.9630000000000001</v>
      </c>
      <c r="E793" s="972">
        <v>134.56800000000001</v>
      </c>
      <c r="F793" s="972">
        <v>12.510999999999999</v>
      </c>
      <c r="G793" s="972">
        <v>1.2999999999999999E-2</v>
      </c>
      <c r="H793" s="972">
        <v>0</v>
      </c>
      <c r="I793" s="972">
        <v>87.23</v>
      </c>
      <c r="J793" s="972">
        <v>41.912999999999997</v>
      </c>
      <c r="K793" s="972">
        <v>0</v>
      </c>
      <c r="L793" s="972">
        <v>0</v>
      </c>
      <c r="M793" s="972">
        <v>0</v>
      </c>
      <c r="N793" s="972">
        <v>12.766999999999999</v>
      </c>
      <c r="O793" s="972">
        <v>154.43100000000001</v>
      </c>
      <c r="P793" s="972">
        <v>440.88400000000001</v>
      </c>
      <c r="Q793" s="972">
        <v>6549.8140000000003</v>
      </c>
      <c r="R793" s="962">
        <v>679</v>
      </c>
      <c r="S793" s="962" t="s">
        <v>4940</v>
      </c>
      <c r="T793" s="972">
        <v>1795.6571666666666</v>
      </c>
    </row>
    <row r="794" spans="1:20">
      <c r="A794" s="962" t="s">
        <v>4032</v>
      </c>
      <c r="B794" s="972">
        <v>1035.52</v>
      </c>
      <c r="C794" s="972">
        <v>39.097000000000001</v>
      </c>
      <c r="D794" s="972">
        <v>0.14699999999999999</v>
      </c>
      <c r="E794" s="972">
        <v>29.776</v>
      </c>
      <c r="F794" s="972">
        <v>1.573</v>
      </c>
      <c r="G794" s="972">
        <v>0.20300000000000001</v>
      </c>
      <c r="H794" s="972">
        <v>0</v>
      </c>
      <c r="I794" s="972">
        <v>16.795999999999999</v>
      </c>
      <c r="J794" s="972">
        <v>4.1369999999999996</v>
      </c>
      <c r="K794" s="972">
        <v>0</v>
      </c>
      <c r="L794" s="972">
        <v>2.9750000000000001</v>
      </c>
      <c r="M794" s="972">
        <v>0</v>
      </c>
      <c r="N794" s="972">
        <v>11.704000000000001</v>
      </c>
      <c r="O794" s="972">
        <v>37.387999999999998</v>
      </c>
      <c r="P794" s="972">
        <v>82.655000000000001</v>
      </c>
      <c r="Q794" s="972">
        <v>915.47799999999995</v>
      </c>
      <c r="R794" s="962">
        <v>77</v>
      </c>
      <c r="S794" s="962" t="s">
        <v>4940</v>
      </c>
      <c r="T794" s="972">
        <v>284.00749999999999</v>
      </c>
    </row>
    <row r="795" spans="1:20">
      <c r="A795" s="962" t="s">
        <v>2397</v>
      </c>
      <c r="B795" s="972">
        <v>1421.357</v>
      </c>
      <c r="C795" s="972">
        <v>28.956</v>
      </c>
      <c r="D795" s="972">
        <v>0.628</v>
      </c>
      <c r="E795" s="972">
        <v>52.095999999999997</v>
      </c>
      <c r="F795" s="972">
        <v>2.1840000000000002</v>
      </c>
      <c r="G795" s="972">
        <v>0</v>
      </c>
      <c r="H795" s="972">
        <v>0</v>
      </c>
      <c r="I795" s="972">
        <v>22.125</v>
      </c>
      <c r="J795" s="972">
        <v>9.7160000000000011</v>
      </c>
      <c r="K795" s="972">
        <v>0</v>
      </c>
      <c r="L795" s="972">
        <v>1.724</v>
      </c>
      <c r="M795" s="972">
        <v>0</v>
      </c>
      <c r="N795" s="972">
        <v>0</v>
      </c>
      <c r="O795" s="972">
        <v>35.747999999999998</v>
      </c>
      <c r="P795" s="972">
        <v>130.82</v>
      </c>
      <c r="Q795" s="972">
        <v>1254.789</v>
      </c>
      <c r="R795" s="962">
        <v>107</v>
      </c>
      <c r="S795" s="962" t="s">
        <v>4940</v>
      </c>
      <c r="T795" s="972">
        <v>435.52816666666666</v>
      </c>
    </row>
    <row r="796" spans="1:20">
      <c r="A796" s="962" t="s">
        <v>669</v>
      </c>
      <c r="B796" s="972">
        <v>890.55100000000004</v>
      </c>
      <c r="C796" s="972">
        <v>18.629000000000001</v>
      </c>
      <c r="D796" s="972">
        <v>0.28899999999999998</v>
      </c>
      <c r="E796" s="972">
        <v>11.742000000000001</v>
      </c>
      <c r="F796" s="972">
        <v>0.85499999999999998</v>
      </c>
      <c r="G796" s="972">
        <v>0</v>
      </c>
      <c r="H796" s="972">
        <v>0</v>
      </c>
      <c r="I796" s="972">
        <v>15.81</v>
      </c>
      <c r="J796" s="972">
        <v>3.875</v>
      </c>
      <c r="K796" s="972">
        <v>4.2389999999999999</v>
      </c>
      <c r="L796" s="972">
        <v>0</v>
      </c>
      <c r="M796" s="972">
        <v>0</v>
      </c>
      <c r="N796" s="972">
        <v>0</v>
      </c>
      <c r="O796" s="972">
        <v>24.78</v>
      </c>
      <c r="P796" s="972">
        <v>67.224000000000004</v>
      </c>
      <c r="Q796" s="972">
        <v>798.54700000000003</v>
      </c>
      <c r="R796" s="962">
        <v>47</v>
      </c>
      <c r="S796" s="962" t="s">
        <v>4940</v>
      </c>
      <c r="T796" s="972">
        <v>284.60450000000003</v>
      </c>
    </row>
    <row r="797" spans="1:20">
      <c r="A797" s="962" t="s">
        <v>4151</v>
      </c>
      <c r="B797" s="972">
        <v>295.93200000000002</v>
      </c>
      <c r="C797" s="972">
        <v>15.669</v>
      </c>
      <c r="D797" s="972">
        <v>3.5000000000000003E-2</v>
      </c>
      <c r="E797" s="972">
        <v>11.625999999999999</v>
      </c>
      <c r="F797" s="972">
        <v>0.39900000000000002</v>
      </c>
      <c r="G797" s="972">
        <v>0</v>
      </c>
      <c r="H797" s="972">
        <v>0</v>
      </c>
      <c r="I797" s="972">
        <v>2.9710000000000001</v>
      </c>
      <c r="J797" s="972">
        <v>0.22600000000000001</v>
      </c>
      <c r="K797" s="972">
        <v>1.9239999999999999</v>
      </c>
      <c r="L797" s="972">
        <v>0</v>
      </c>
      <c r="M797" s="972">
        <v>0</v>
      </c>
      <c r="N797" s="972">
        <v>0</v>
      </c>
      <c r="O797" s="972">
        <v>5.52</v>
      </c>
      <c r="P797" s="972">
        <v>14.817</v>
      </c>
      <c r="Q797" s="972">
        <v>275.59500000000003</v>
      </c>
      <c r="R797" s="962">
        <v>15</v>
      </c>
      <c r="S797" s="962" t="s">
        <v>4940</v>
      </c>
      <c r="T797" s="972">
        <v>64.542500000000004</v>
      </c>
    </row>
    <row r="798" spans="1:20">
      <c r="A798" s="962" t="s">
        <v>4153</v>
      </c>
      <c r="B798" s="972">
        <v>563.89599999999996</v>
      </c>
      <c r="C798" s="972">
        <v>23.47</v>
      </c>
      <c r="D798" s="972">
        <v>0.108</v>
      </c>
      <c r="E798" s="972">
        <v>34.279000000000003</v>
      </c>
      <c r="F798" s="972">
        <v>0.74399999999999999</v>
      </c>
      <c r="G798" s="972">
        <v>0</v>
      </c>
      <c r="H798" s="972">
        <v>0</v>
      </c>
      <c r="I798" s="972">
        <v>1.9570000000000001</v>
      </c>
      <c r="J798" s="972">
        <v>0</v>
      </c>
      <c r="K798" s="972">
        <v>1.2649999999999999</v>
      </c>
      <c r="L798" s="972">
        <v>0</v>
      </c>
      <c r="M798" s="972">
        <v>0</v>
      </c>
      <c r="N798" s="972">
        <v>0</v>
      </c>
      <c r="O798" s="972">
        <v>3.9649999999999999</v>
      </c>
      <c r="P798" s="972">
        <v>43.186</v>
      </c>
      <c r="Q798" s="972">
        <v>516.745</v>
      </c>
      <c r="R798" s="962">
        <v>57</v>
      </c>
      <c r="S798" s="962" t="s">
        <v>3902</v>
      </c>
      <c r="T798" s="972">
        <v>156.74574999999999</v>
      </c>
    </row>
    <row r="799" spans="1:20">
      <c r="A799" s="962" t="s">
        <v>4155</v>
      </c>
      <c r="B799" s="972">
        <v>179.548</v>
      </c>
      <c r="C799" s="972">
        <v>8.49</v>
      </c>
      <c r="D799" s="972">
        <v>0</v>
      </c>
      <c r="E799" s="972">
        <v>1.2050000000000001</v>
      </c>
      <c r="F799" s="972">
        <v>0.26300000000000001</v>
      </c>
      <c r="G799" s="972">
        <v>0</v>
      </c>
      <c r="H799" s="972">
        <v>0</v>
      </c>
      <c r="I799" s="972">
        <v>5.8520000000000003</v>
      </c>
      <c r="J799" s="972">
        <v>0</v>
      </c>
      <c r="K799" s="972">
        <v>0</v>
      </c>
      <c r="L799" s="972">
        <v>0</v>
      </c>
      <c r="M799" s="972">
        <v>0</v>
      </c>
      <c r="N799" s="972">
        <v>0</v>
      </c>
      <c r="O799" s="972">
        <v>6.1150000000000002</v>
      </c>
      <c r="P799" s="972">
        <v>8.3130000000000006</v>
      </c>
      <c r="Q799" s="972">
        <v>165.12</v>
      </c>
      <c r="R799" s="962">
        <v>0</v>
      </c>
      <c r="S799" s="962" t="s">
        <v>4940</v>
      </c>
      <c r="T799" s="972">
        <v>46.344666666666669</v>
      </c>
    </row>
    <row r="800" spans="1:20">
      <c r="A800" s="962" t="s">
        <v>4157</v>
      </c>
      <c r="B800" s="972">
        <v>117.71599999999999</v>
      </c>
      <c r="C800" s="972">
        <v>13.29</v>
      </c>
      <c r="D800" s="972">
        <v>0.17199999999999999</v>
      </c>
      <c r="E800" s="972">
        <v>4.8369999999999997</v>
      </c>
      <c r="F800" s="972">
        <v>5.5E-2</v>
      </c>
      <c r="G800" s="972">
        <v>0</v>
      </c>
      <c r="H800" s="972">
        <v>0</v>
      </c>
      <c r="I800" s="972">
        <v>3.6070000000000002</v>
      </c>
      <c r="J800" s="972">
        <v>0.56100000000000005</v>
      </c>
      <c r="K800" s="972">
        <v>0</v>
      </c>
      <c r="L800" s="972">
        <v>0</v>
      </c>
      <c r="M800" s="972">
        <v>0</v>
      </c>
      <c r="N800" s="972">
        <v>0</v>
      </c>
      <c r="O800" s="972">
        <v>4.2229999999999999</v>
      </c>
      <c r="P800" s="972">
        <v>5.4420000000000002</v>
      </c>
      <c r="Q800" s="972">
        <v>108.05200000000001</v>
      </c>
      <c r="R800" s="962">
        <v>1</v>
      </c>
      <c r="S800" s="962" t="s">
        <v>3902</v>
      </c>
      <c r="T800" s="972">
        <v>37.982500000000002</v>
      </c>
    </row>
    <row r="801" spans="1:20">
      <c r="A801" s="962" t="s">
        <v>3000</v>
      </c>
      <c r="B801" s="972">
        <v>2147.1019999999999</v>
      </c>
      <c r="C801" s="972">
        <v>241.43899999999999</v>
      </c>
      <c r="D801" s="972">
        <v>0.872</v>
      </c>
      <c r="E801" s="972">
        <v>72.831000000000003</v>
      </c>
      <c r="F801" s="972">
        <v>1.6220000000000001</v>
      </c>
      <c r="G801" s="972">
        <v>0.104</v>
      </c>
      <c r="H801" s="972">
        <v>0</v>
      </c>
      <c r="I801" s="972">
        <v>26.404</v>
      </c>
      <c r="J801" s="972">
        <v>5.4710000000000001</v>
      </c>
      <c r="K801" s="972">
        <v>0</v>
      </c>
      <c r="L801" s="972">
        <v>2.258</v>
      </c>
      <c r="M801" s="972">
        <v>0</v>
      </c>
      <c r="N801" s="972">
        <v>0</v>
      </c>
      <c r="O801" s="972">
        <v>35.856999999999999</v>
      </c>
      <c r="P801" s="972">
        <v>201.98400000000001</v>
      </c>
      <c r="Q801" s="972">
        <v>1909.26</v>
      </c>
      <c r="R801" s="962">
        <v>61</v>
      </c>
      <c r="S801" s="962" t="s">
        <v>4940</v>
      </c>
      <c r="T801" s="972">
        <v>603.37116666666668</v>
      </c>
    </row>
    <row r="802" spans="1:20">
      <c r="A802" s="962" t="s">
        <v>4159</v>
      </c>
      <c r="B802" s="972">
        <v>333.255</v>
      </c>
      <c r="C802" s="972">
        <v>10.548</v>
      </c>
      <c r="D802" s="972">
        <v>9.0999999999999998E-2</v>
      </c>
      <c r="E802" s="972">
        <v>7.7560000000000002</v>
      </c>
      <c r="F802" s="972">
        <v>0.436</v>
      </c>
      <c r="G802" s="972">
        <v>0</v>
      </c>
      <c r="H802" s="972">
        <v>0</v>
      </c>
      <c r="I802" s="972">
        <v>6.258</v>
      </c>
      <c r="J802" s="972">
        <v>1.077</v>
      </c>
      <c r="K802" s="972">
        <v>0</v>
      </c>
      <c r="L802" s="972">
        <v>0.626</v>
      </c>
      <c r="M802" s="972">
        <v>0</v>
      </c>
      <c r="N802" s="972">
        <v>0</v>
      </c>
      <c r="O802" s="972">
        <v>8.3960000000000008</v>
      </c>
      <c r="P802" s="972">
        <v>29.756</v>
      </c>
      <c r="Q802" s="972">
        <v>295.10399999999998</v>
      </c>
      <c r="R802" s="962">
        <v>10</v>
      </c>
      <c r="S802" s="962" t="s">
        <v>4940</v>
      </c>
      <c r="T802" s="972">
        <v>87.481166666666681</v>
      </c>
    </row>
    <row r="803" spans="1:20">
      <c r="A803" s="962" t="s">
        <v>4161</v>
      </c>
      <c r="B803" s="972">
        <v>1167.962</v>
      </c>
      <c r="C803" s="972">
        <v>18.501000000000001</v>
      </c>
      <c r="D803" s="972">
        <v>0.215</v>
      </c>
      <c r="E803" s="972">
        <v>24.798999999999999</v>
      </c>
      <c r="F803" s="972">
        <v>1.554</v>
      </c>
      <c r="G803" s="972">
        <v>0.22</v>
      </c>
      <c r="H803" s="972">
        <v>0</v>
      </c>
      <c r="I803" s="972">
        <v>34.402999999999999</v>
      </c>
      <c r="J803" s="972">
        <v>5.3979999999999997</v>
      </c>
      <c r="K803" s="972">
        <v>0</v>
      </c>
      <c r="L803" s="972">
        <v>1.9930000000000001</v>
      </c>
      <c r="M803" s="972">
        <v>0</v>
      </c>
      <c r="N803" s="972">
        <v>0</v>
      </c>
      <c r="O803" s="972">
        <v>43.567</v>
      </c>
      <c r="P803" s="972">
        <v>76.650999999999996</v>
      </c>
      <c r="Q803" s="972">
        <v>1047.7449999999999</v>
      </c>
      <c r="R803" s="962">
        <v>79</v>
      </c>
      <c r="S803" s="962" t="s">
        <v>4940</v>
      </c>
      <c r="T803" s="972">
        <v>337.79633333333339</v>
      </c>
    </row>
    <row r="804" spans="1:20">
      <c r="A804" s="962" t="s">
        <v>4163</v>
      </c>
      <c r="B804" s="972">
        <v>729.40599999999995</v>
      </c>
      <c r="C804" s="972">
        <v>34.006999999999998</v>
      </c>
      <c r="D804" s="972">
        <v>0</v>
      </c>
      <c r="E804" s="972">
        <v>19.059000000000001</v>
      </c>
      <c r="F804" s="972">
        <v>0.56299999999999994</v>
      </c>
      <c r="G804" s="972">
        <v>0.13800000000000001</v>
      </c>
      <c r="H804" s="972">
        <v>0</v>
      </c>
      <c r="I804" s="972">
        <v>10.503</v>
      </c>
      <c r="J804" s="972">
        <v>1.9850000000000001</v>
      </c>
      <c r="K804" s="972">
        <v>0.64100000000000001</v>
      </c>
      <c r="L804" s="972">
        <v>0</v>
      </c>
      <c r="M804" s="972">
        <v>0</v>
      </c>
      <c r="N804" s="972">
        <v>0</v>
      </c>
      <c r="O804" s="972">
        <v>13.83</v>
      </c>
      <c r="P804" s="972">
        <v>51.375999999999998</v>
      </c>
      <c r="Q804" s="972">
        <v>664.20100000000002</v>
      </c>
      <c r="R804" s="962">
        <v>33</v>
      </c>
      <c r="S804" s="962" t="s">
        <v>4940</v>
      </c>
      <c r="T804" s="972">
        <v>199.08549999999997</v>
      </c>
    </row>
    <row r="805" spans="1:20">
      <c r="A805" s="962" t="s">
        <v>4165</v>
      </c>
      <c r="B805" s="972">
        <v>214.36600000000001</v>
      </c>
      <c r="C805" s="972">
        <v>19.042999999999999</v>
      </c>
      <c r="D805" s="972">
        <v>0</v>
      </c>
      <c r="E805" s="972">
        <v>5.0599999999999996</v>
      </c>
      <c r="F805" s="972">
        <v>7.3999999999999996E-2</v>
      </c>
      <c r="G805" s="972">
        <v>0</v>
      </c>
      <c r="H805" s="972">
        <v>0</v>
      </c>
      <c r="I805" s="972">
        <v>1.381</v>
      </c>
      <c r="J805" s="972">
        <v>0</v>
      </c>
      <c r="K805" s="972">
        <v>0</v>
      </c>
      <c r="L805" s="972">
        <v>0</v>
      </c>
      <c r="M805" s="972">
        <v>0</v>
      </c>
      <c r="N805" s="972">
        <v>0</v>
      </c>
      <c r="O805" s="972">
        <v>1.4550000000000001</v>
      </c>
      <c r="P805" s="972">
        <v>11.675000000000001</v>
      </c>
      <c r="Q805" s="972">
        <v>201.23599999999999</v>
      </c>
      <c r="R805" s="962">
        <v>8</v>
      </c>
      <c r="S805" s="962" t="s">
        <v>4940</v>
      </c>
      <c r="T805" s="972">
        <v>70.754166666666663</v>
      </c>
    </row>
    <row r="806" spans="1:20">
      <c r="A806" s="962" t="s">
        <v>4167</v>
      </c>
      <c r="B806" s="972">
        <v>620.85</v>
      </c>
      <c r="C806" s="972">
        <v>35.613999999999997</v>
      </c>
      <c r="D806" s="972">
        <v>0.378</v>
      </c>
      <c r="E806" s="972">
        <v>22.776</v>
      </c>
      <c r="F806" s="972">
        <v>0.26</v>
      </c>
      <c r="G806" s="972">
        <v>8.9999999999999993E-3</v>
      </c>
      <c r="H806" s="972">
        <v>0</v>
      </c>
      <c r="I806" s="972">
        <v>14.27</v>
      </c>
      <c r="J806" s="972">
        <v>1.5530000000000002</v>
      </c>
      <c r="K806" s="972">
        <v>0</v>
      </c>
      <c r="L806" s="972">
        <v>0.432</v>
      </c>
      <c r="M806" s="972">
        <v>0</v>
      </c>
      <c r="N806" s="972">
        <v>0</v>
      </c>
      <c r="O806" s="972">
        <v>16.524000000000001</v>
      </c>
      <c r="P806" s="972">
        <v>45.552999999999997</v>
      </c>
      <c r="Q806" s="972">
        <v>558.77300000000002</v>
      </c>
      <c r="R806" s="962">
        <v>67</v>
      </c>
      <c r="S806" s="962" t="s">
        <v>4940</v>
      </c>
      <c r="T806" s="972">
        <v>190.82233333333335</v>
      </c>
    </row>
    <row r="807" spans="1:20">
      <c r="A807" s="962" t="s">
        <v>4169</v>
      </c>
      <c r="B807" s="972">
        <v>3469.11</v>
      </c>
      <c r="C807" s="972">
        <v>214.755</v>
      </c>
      <c r="D807" s="972">
        <v>2.5859999999999999</v>
      </c>
      <c r="E807" s="972">
        <v>98.673000000000002</v>
      </c>
      <c r="F807" s="972">
        <v>4.984</v>
      </c>
      <c r="G807" s="972">
        <v>0.33200000000000002</v>
      </c>
      <c r="H807" s="972">
        <v>0</v>
      </c>
      <c r="I807" s="972">
        <v>51.216000000000001</v>
      </c>
      <c r="J807" s="972">
        <v>24.937999999999999</v>
      </c>
      <c r="K807" s="972">
        <v>1.7430000000000001</v>
      </c>
      <c r="L807" s="972">
        <v>0.185</v>
      </c>
      <c r="M807" s="972">
        <v>0</v>
      </c>
      <c r="N807" s="972">
        <v>9.4E-2</v>
      </c>
      <c r="O807" s="972">
        <v>83.49</v>
      </c>
      <c r="P807" s="972">
        <v>230.13499999999999</v>
      </c>
      <c r="Q807" s="972">
        <v>3155.4859999999999</v>
      </c>
      <c r="R807" s="962">
        <v>192</v>
      </c>
      <c r="S807" s="962" t="s">
        <v>4940</v>
      </c>
      <c r="T807" s="972">
        <v>985.31366666666668</v>
      </c>
    </row>
    <row r="808" spans="1:20">
      <c r="A808" s="962" t="s">
        <v>4171</v>
      </c>
      <c r="B808" s="972">
        <v>752.51099999999997</v>
      </c>
      <c r="C808" s="972">
        <v>52.878</v>
      </c>
      <c r="D808" s="972">
        <v>5.8999999999999997E-2</v>
      </c>
      <c r="E808" s="972">
        <v>25.763999999999999</v>
      </c>
      <c r="F808" s="972">
        <v>1.103</v>
      </c>
      <c r="G808" s="972">
        <v>0</v>
      </c>
      <c r="H808" s="972">
        <v>0</v>
      </c>
      <c r="I808" s="972">
        <v>4.2469999999999999</v>
      </c>
      <c r="J808" s="972">
        <v>1.8839999999999999</v>
      </c>
      <c r="K808" s="972">
        <v>0</v>
      </c>
      <c r="L808" s="972">
        <v>0</v>
      </c>
      <c r="M808" s="972">
        <v>0</v>
      </c>
      <c r="N808" s="972">
        <v>0</v>
      </c>
      <c r="O808" s="972">
        <v>7.234</v>
      </c>
      <c r="P808" s="972">
        <v>58.737000000000002</v>
      </c>
      <c r="Q808" s="972">
        <v>686.54</v>
      </c>
      <c r="R808" s="962">
        <v>70</v>
      </c>
      <c r="S808" s="962" t="s">
        <v>4940</v>
      </c>
      <c r="T808" s="972">
        <v>208.8603333333333</v>
      </c>
    </row>
    <row r="809" spans="1:20">
      <c r="A809" s="962" t="s">
        <v>2055</v>
      </c>
      <c r="B809" s="972">
        <v>92.533000000000001</v>
      </c>
      <c r="C809" s="972">
        <v>3.8660000000000001</v>
      </c>
      <c r="D809" s="972">
        <v>0</v>
      </c>
      <c r="E809" s="972">
        <v>2.9830000000000001</v>
      </c>
      <c r="F809" s="972">
        <v>0.183</v>
      </c>
      <c r="G809" s="972">
        <v>0</v>
      </c>
      <c r="H809" s="972">
        <v>0</v>
      </c>
      <c r="I809" s="972">
        <v>0.39400000000000002</v>
      </c>
      <c r="J809" s="972">
        <v>0</v>
      </c>
      <c r="K809" s="972">
        <v>0</v>
      </c>
      <c r="L809" s="972">
        <v>0</v>
      </c>
      <c r="M809" s="972">
        <v>0</v>
      </c>
      <c r="N809" s="972">
        <v>0</v>
      </c>
      <c r="O809" s="972">
        <v>0.57699999999999996</v>
      </c>
      <c r="P809" s="972">
        <v>0</v>
      </c>
      <c r="Q809" s="972">
        <v>91.956000000000003</v>
      </c>
      <c r="R809" s="962">
        <v>21</v>
      </c>
      <c r="S809" s="962" t="s">
        <v>4940</v>
      </c>
      <c r="T809" s="972">
        <v>0</v>
      </c>
    </row>
    <row r="810" spans="1:20">
      <c r="A810" s="962" t="s">
        <v>2057</v>
      </c>
      <c r="B810" s="972">
        <v>1420.9860000000001</v>
      </c>
      <c r="C810" s="972">
        <v>194.053</v>
      </c>
      <c r="D810" s="972">
        <v>0.91200000000000003</v>
      </c>
      <c r="E810" s="972">
        <v>48.64</v>
      </c>
      <c r="F810" s="972">
        <v>1.5109999999999999</v>
      </c>
      <c r="G810" s="972">
        <v>0</v>
      </c>
      <c r="H810" s="972">
        <v>0</v>
      </c>
      <c r="I810" s="972">
        <v>13.79</v>
      </c>
      <c r="J810" s="972">
        <v>6.71</v>
      </c>
      <c r="K810" s="972">
        <v>0</v>
      </c>
      <c r="L810" s="972">
        <v>0</v>
      </c>
      <c r="M810" s="972">
        <v>0</v>
      </c>
      <c r="N810" s="972">
        <v>0</v>
      </c>
      <c r="O810" s="972">
        <v>22.010999999999999</v>
      </c>
      <c r="P810" s="972">
        <v>85.113</v>
      </c>
      <c r="Q810" s="972">
        <v>1313.8630000000001</v>
      </c>
      <c r="R810" s="962">
        <v>100</v>
      </c>
      <c r="S810" s="962" t="s">
        <v>4940</v>
      </c>
      <c r="T810" s="972">
        <v>435.20733333333334</v>
      </c>
    </row>
    <row r="811" spans="1:20">
      <c r="A811" s="962" t="s">
        <v>2059</v>
      </c>
      <c r="B811" s="972">
        <v>913.75800000000004</v>
      </c>
      <c r="C811" s="972">
        <v>6.556</v>
      </c>
      <c r="D811" s="972">
        <v>0.60199999999999998</v>
      </c>
      <c r="E811" s="972">
        <v>9.8529999999999998</v>
      </c>
      <c r="F811" s="972">
        <v>1.482</v>
      </c>
      <c r="G811" s="972">
        <v>0</v>
      </c>
      <c r="H811" s="972">
        <v>0</v>
      </c>
      <c r="I811" s="972">
        <v>26.045000000000002</v>
      </c>
      <c r="J811" s="972">
        <v>8.7189999999999994</v>
      </c>
      <c r="K811" s="972">
        <v>0</v>
      </c>
      <c r="L811" s="972">
        <v>0</v>
      </c>
      <c r="M811" s="972">
        <v>0</v>
      </c>
      <c r="N811" s="972">
        <v>0</v>
      </c>
      <c r="O811" s="972">
        <v>36.246000000000002</v>
      </c>
      <c r="P811" s="972">
        <v>68.343000000000004</v>
      </c>
      <c r="Q811" s="972">
        <v>809.16800000000001</v>
      </c>
      <c r="R811" s="962">
        <v>95</v>
      </c>
      <c r="S811" s="962" t="s">
        <v>4940</v>
      </c>
      <c r="T811" s="972">
        <v>278.96266666666668</v>
      </c>
    </row>
    <row r="812" spans="1:20">
      <c r="A812" s="962" t="s">
        <v>1814</v>
      </c>
      <c r="B812" s="972">
        <v>13766.409</v>
      </c>
      <c r="C812" s="972">
        <v>4346.1790000000001</v>
      </c>
      <c r="D812" s="972">
        <v>7.0679999999999996</v>
      </c>
      <c r="E812" s="972">
        <v>294.721</v>
      </c>
      <c r="F812" s="972">
        <v>14.021000000000001</v>
      </c>
      <c r="G812" s="972">
        <v>1.78</v>
      </c>
      <c r="H812" s="972">
        <v>0</v>
      </c>
      <c r="I812" s="972">
        <v>180.89500000000001</v>
      </c>
      <c r="J812" s="972">
        <v>88.358999999999995</v>
      </c>
      <c r="K812" s="972">
        <v>0</v>
      </c>
      <c r="L812" s="972">
        <v>20.096</v>
      </c>
      <c r="M812" s="972">
        <v>0</v>
      </c>
      <c r="N812" s="972">
        <v>0</v>
      </c>
      <c r="O812" s="972">
        <v>305.14999999999998</v>
      </c>
      <c r="P812" s="972">
        <v>717.47299999999996</v>
      </c>
      <c r="Q812" s="972">
        <v>12743.785</v>
      </c>
      <c r="R812" s="962">
        <v>1591</v>
      </c>
      <c r="S812" s="962" t="s">
        <v>3902</v>
      </c>
      <c r="T812" s="972">
        <v>3952.2579999999998</v>
      </c>
    </row>
    <row r="813" spans="1:20">
      <c r="A813" s="962" t="s">
        <v>958</v>
      </c>
      <c r="B813" s="972">
        <v>1161.6849999999999</v>
      </c>
      <c r="C813" s="972">
        <v>32.781999999999996</v>
      </c>
      <c r="D813" s="972">
        <v>0.78400000000000003</v>
      </c>
      <c r="E813" s="972">
        <v>11.881</v>
      </c>
      <c r="F813" s="972">
        <v>2.6070000000000002</v>
      </c>
      <c r="G813" s="972">
        <v>0.155</v>
      </c>
      <c r="H813" s="972">
        <v>0</v>
      </c>
      <c r="I813" s="972">
        <v>40.642000000000003</v>
      </c>
      <c r="J813" s="972">
        <v>12.071999999999999</v>
      </c>
      <c r="K813" s="972">
        <v>0</v>
      </c>
      <c r="L813" s="972">
        <v>0.41099999999999998</v>
      </c>
      <c r="M813" s="972">
        <v>0</v>
      </c>
      <c r="N813" s="972">
        <v>4.3460000000000001</v>
      </c>
      <c r="O813" s="972">
        <v>60.232999999999997</v>
      </c>
      <c r="P813" s="972">
        <v>81.366</v>
      </c>
      <c r="Q813" s="972">
        <v>1020.086</v>
      </c>
      <c r="R813" s="962">
        <v>56</v>
      </c>
      <c r="S813" s="962" t="s">
        <v>4940</v>
      </c>
      <c r="T813" s="972">
        <v>311.23766666666666</v>
      </c>
    </row>
    <row r="814" spans="1:20">
      <c r="A814" s="962" t="s">
        <v>2061</v>
      </c>
      <c r="B814" s="972">
        <v>192.47200000000001</v>
      </c>
      <c r="C814" s="972">
        <v>1</v>
      </c>
      <c r="D814" s="972">
        <v>0</v>
      </c>
      <c r="E814" s="972">
        <v>0</v>
      </c>
      <c r="F814" s="972">
        <v>0.22900000000000001</v>
      </c>
      <c r="G814" s="972">
        <v>0</v>
      </c>
      <c r="H814" s="972">
        <v>0</v>
      </c>
      <c r="I814" s="972">
        <v>6.569</v>
      </c>
      <c r="J814" s="972">
        <v>0</v>
      </c>
      <c r="K814" s="972">
        <v>0</v>
      </c>
      <c r="L814" s="972">
        <v>0</v>
      </c>
      <c r="M814" s="972">
        <v>0</v>
      </c>
      <c r="N814" s="972">
        <v>0</v>
      </c>
      <c r="O814" s="972">
        <v>6.7969999999999997</v>
      </c>
      <c r="P814" s="972">
        <v>15.635999999999999</v>
      </c>
      <c r="Q814" s="972">
        <v>170.03899999999999</v>
      </c>
      <c r="R814" s="962">
        <v>3</v>
      </c>
      <c r="S814" s="962" t="s">
        <v>4940</v>
      </c>
      <c r="T814" s="972">
        <v>66.554666666666662</v>
      </c>
    </row>
    <row r="815" spans="1:20">
      <c r="A815" s="962" t="s">
        <v>1845</v>
      </c>
      <c r="B815" s="972">
        <v>100.05500000000001</v>
      </c>
      <c r="C815" s="972">
        <v>0</v>
      </c>
      <c r="D815" s="972">
        <v>0</v>
      </c>
      <c r="E815" s="972">
        <v>4.9130000000000003</v>
      </c>
      <c r="F815" s="972">
        <v>0.16900000000000001</v>
      </c>
      <c r="G815" s="972">
        <v>0</v>
      </c>
      <c r="H815" s="972">
        <v>0</v>
      </c>
      <c r="I815" s="972">
        <v>4.1280000000000001</v>
      </c>
      <c r="J815" s="972">
        <v>0.47</v>
      </c>
      <c r="K815" s="972">
        <v>0</v>
      </c>
      <c r="L815" s="972">
        <v>0.80100000000000005</v>
      </c>
      <c r="M815" s="972">
        <v>0</v>
      </c>
      <c r="N815" s="972">
        <v>0</v>
      </c>
      <c r="O815" s="972">
        <v>5.5670000000000002</v>
      </c>
      <c r="P815" s="972">
        <v>13.475</v>
      </c>
      <c r="Q815" s="972">
        <v>81.013000000000005</v>
      </c>
      <c r="R815" s="962">
        <v>6</v>
      </c>
      <c r="S815" s="962" t="s">
        <v>4940</v>
      </c>
      <c r="T815" s="972">
        <v>40.997500000000002</v>
      </c>
    </row>
    <row r="816" spans="1:20">
      <c r="A816" s="962" t="s">
        <v>1146</v>
      </c>
      <c r="B816" s="972">
        <v>227.56399999999999</v>
      </c>
      <c r="C816" s="972">
        <v>70.747</v>
      </c>
      <c r="D816" s="972">
        <v>0</v>
      </c>
      <c r="E816" s="972">
        <v>1.2310000000000001</v>
      </c>
      <c r="F816" s="972">
        <v>0.65800000000000003</v>
      </c>
      <c r="G816" s="972">
        <v>0</v>
      </c>
      <c r="H816" s="972">
        <v>0</v>
      </c>
      <c r="I816" s="972">
        <v>5.8029999999999999</v>
      </c>
      <c r="J816" s="972">
        <v>0</v>
      </c>
      <c r="K816" s="972">
        <v>0</v>
      </c>
      <c r="L816" s="972">
        <v>0</v>
      </c>
      <c r="M816" s="972">
        <v>0</v>
      </c>
      <c r="N816" s="972">
        <v>0</v>
      </c>
      <c r="O816" s="972">
        <v>6.4610000000000003</v>
      </c>
      <c r="P816" s="972">
        <v>0</v>
      </c>
      <c r="Q816" s="972">
        <v>221.10400000000001</v>
      </c>
      <c r="R816" s="962">
        <v>0</v>
      </c>
      <c r="S816" s="962" t="s">
        <v>4940</v>
      </c>
      <c r="T816" s="972">
        <v>0</v>
      </c>
    </row>
    <row r="817" spans="1:20">
      <c r="A817" s="962" t="s">
        <v>1148</v>
      </c>
      <c r="B817" s="972">
        <v>378.22800000000001</v>
      </c>
      <c r="C817" s="972">
        <v>0.93500000000000005</v>
      </c>
      <c r="D817" s="972">
        <v>0</v>
      </c>
      <c r="E817" s="972">
        <v>3.11</v>
      </c>
      <c r="F817" s="972">
        <v>0.54500000000000004</v>
      </c>
      <c r="G817" s="972">
        <v>0</v>
      </c>
      <c r="H817" s="972">
        <v>0</v>
      </c>
      <c r="I817" s="972">
        <v>5.883</v>
      </c>
      <c r="J817" s="972">
        <v>0</v>
      </c>
      <c r="K817" s="972">
        <v>0</v>
      </c>
      <c r="L817" s="972">
        <v>0</v>
      </c>
      <c r="M817" s="972">
        <v>0</v>
      </c>
      <c r="N817" s="972">
        <v>0</v>
      </c>
      <c r="O817" s="972">
        <v>6.4279999999999999</v>
      </c>
      <c r="P817" s="972">
        <v>8.1170000000000009</v>
      </c>
      <c r="Q817" s="972">
        <v>363.68299999999999</v>
      </c>
      <c r="R817" s="962">
        <v>0</v>
      </c>
      <c r="S817" s="962" t="s">
        <v>4940</v>
      </c>
      <c r="T817" s="972">
        <v>93.61</v>
      </c>
    </row>
    <row r="818" spans="1:20">
      <c r="A818" s="962" t="s">
        <v>177</v>
      </c>
      <c r="B818" s="972">
        <v>2349.66</v>
      </c>
      <c r="C818" s="972">
        <v>223.55099999999999</v>
      </c>
      <c r="D818" s="972">
        <v>0</v>
      </c>
      <c r="E818" s="972">
        <v>18.984999999999999</v>
      </c>
      <c r="F818" s="972">
        <v>1.1379999999999999</v>
      </c>
      <c r="G818" s="972">
        <v>0</v>
      </c>
      <c r="H818" s="972">
        <v>0</v>
      </c>
      <c r="I818" s="972">
        <v>12.16</v>
      </c>
      <c r="J818" s="972">
        <v>6.9000000000000006E-2</v>
      </c>
      <c r="K818" s="972">
        <v>0</v>
      </c>
      <c r="L818" s="972">
        <v>0</v>
      </c>
      <c r="M818" s="972">
        <v>0</v>
      </c>
      <c r="N818" s="972">
        <v>0</v>
      </c>
      <c r="O818" s="972">
        <v>13.368</v>
      </c>
      <c r="P818" s="972">
        <v>8.1319999999999997</v>
      </c>
      <c r="Q818" s="972">
        <v>2328.1610000000001</v>
      </c>
      <c r="R818" s="962">
        <v>220</v>
      </c>
      <c r="S818" s="962" t="s">
        <v>4940</v>
      </c>
      <c r="T818" s="972">
        <v>304.47450000000003</v>
      </c>
    </row>
    <row r="819" spans="1:20">
      <c r="A819" s="962" t="s">
        <v>5237</v>
      </c>
      <c r="B819" s="972">
        <v>576.75599999999997</v>
      </c>
      <c r="C819" s="972">
        <v>4.7359999999999998</v>
      </c>
      <c r="D819" s="972">
        <v>0</v>
      </c>
      <c r="E819" s="972">
        <v>3.6389999999999998</v>
      </c>
      <c r="F819" s="972">
        <v>0.64500000000000002</v>
      </c>
      <c r="G819" s="972">
        <v>0</v>
      </c>
      <c r="H819" s="972">
        <v>0</v>
      </c>
      <c r="I819" s="972">
        <v>17.959</v>
      </c>
      <c r="J819" s="972">
        <v>0</v>
      </c>
      <c r="K819" s="972">
        <v>1.2589999999999999</v>
      </c>
      <c r="L819" s="972">
        <v>0</v>
      </c>
      <c r="M819" s="972">
        <v>0</v>
      </c>
      <c r="N819" s="972">
        <v>0</v>
      </c>
      <c r="O819" s="972">
        <v>19.863</v>
      </c>
      <c r="P819" s="972">
        <v>40.158000000000001</v>
      </c>
      <c r="Q819" s="972">
        <v>516.73500000000001</v>
      </c>
      <c r="R819" s="962">
        <v>32</v>
      </c>
      <c r="S819" s="962" t="s">
        <v>4940</v>
      </c>
      <c r="T819" s="972">
        <v>203.02283333333332</v>
      </c>
    </row>
    <row r="820" spans="1:20">
      <c r="A820" s="962" t="s">
        <v>2065</v>
      </c>
      <c r="B820" s="972">
        <v>6834.8040000000001</v>
      </c>
      <c r="C820" s="972">
        <v>181.45699999999999</v>
      </c>
      <c r="D820" s="972">
        <v>1.2769999999999999</v>
      </c>
      <c r="E820" s="972">
        <v>134.029</v>
      </c>
      <c r="F820" s="972">
        <v>8.9979999999999993</v>
      </c>
      <c r="G820" s="972">
        <v>0.39</v>
      </c>
      <c r="H820" s="972">
        <v>0</v>
      </c>
      <c r="I820" s="972">
        <v>92.83</v>
      </c>
      <c r="J820" s="972">
        <v>54.701000000000001</v>
      </c>
      <c r="K820" s="972">
        <v>0</v>
      </c>
      <c r="L820" s="972">
        <v>3.431</v>
      </c>
      <c r="M820" s="972">
        <v>0</v>
      </c>
      <c r="N820" s="972">
        <v>4.4779999999999998</v>
      </c>
      <c r="O820" s="972">
        <v>164.827</v>
      </c>
      <c r="P820" s="972">
        <v>261.529</v>
      </c>
      <c r="Q820" s="972">
        <v>6408.4480000000003</v>
      </c>
      <c r="R820" s="962">
        <v>979</v>
      </c>
      <c r="S820" s="962" t="s">
        <v>4940</v>
      </c>
      <c r="T820" s="972">
        <v>2004.4065000000001</v>
      </c>
    </row>
    <row r="821" spans="1:20">
      <c r="A821" s="962" t="s">
        <v>2905</v>
      </c>
      <c r="B821" s="972">
        <v>2653.027</v>
      </c>
      <c r="C821" s="972">
        <v>494.27</v>
      </c>
      <c r="D821" s="972">
        <v>1.262</v>
      </c>
      <c r="E821" s="972">
        <v>50.295999999999999</v>
      </c>
      <c r="F821" s="972">
        <v>4.2359999999999998</v>
      </c>
      <c r="G821" s="972">
        <v>2.5999999999999999E-2</v>
      </c>
      <c r="H821" s="972">
        <v>0</v>
      </c>
      <c r="I821" s="972">
        <v>44.088999999999999</v>
      </c>
      <c r="J821" s="972">
        <v>15.545999999999999</v>
      </c>
      <c r="K821" s="972">
        <v>0</v>
      </c>
      <c r="L821" s="972">
        <v>0</v>
      </c>
      <c r="M821" s="972">
        <v>0</v>
      </c>
      <c r="N821" s="972">
        <v>1.373</v>
      </c>
      <c r="O821" s="972">
        <v>65.27</v>
      </c>
      <c r="P821" s="972">
        <v>122.437</v>
      </c>
      <c r="Q821" s="972">
        <v>2465.3209999999999</v>
      </c>
      <c r="R821" s="962">
        <v>86</v>
      </c>
      <c r="S821" s="962" t="s">
        <v>4940</v>
      </c>
      <c r="T821" s="972">
        <v>678.54183333333333</v>
      </c>
    </row>
    <row r="822" spans="1:20">
      <c r="A822" s="962" t="s">
        <v>5238</v>
      </c>
      <c r="B822" s="972">
        <v>1523.758</v>
      </c>
      <c r="C822" s="972">
        <v>22.532</v>
      </c>
      <c r="D822" s="972">
        <v>2.5000000000000001E-2</v>
      </c>
      <c r="E822" s="972">
        <v>28.826000000000001</v>
      </c>
      <c r="F822" s="972">
        <v>1.94</v>
      </c>
      <c r="G822" s="972">
        <v>8.7999999999999995E-2</v>
      </c>
      <c r="H822" s="972">
        <v>0</v>
      </c>
      <c r="I822" s="972">
        <v>39.020000000000003</v>
      </c>
      <c r="J822" s="972">
        <v>4.569</v>
      </c>
      <c r="K822" s="972">
        <v>2.2850000000000001</v>
      </c>
      <c r="L822" s="972">
        <v>0</v>
      </c>
      <c r="M822" s="972">
        <v>0</v>
      </c>
      <c r="N822" s="972">
        <v>0</v>
      </c>
      <c r="O822" s="972">
        <v>47.902999999999999</v>
      </c>
      <c r="P822" s="972">
        <v>88.697000000000003</v>
      </c>
      <c r="Q822" s="972">
        <v>1387.1590000000001</v>
      </c>
      <c r="R822" s="962">
        <v>129</v>
      </c>
      <c r="S822" s="962" t="s">
        <v>4940</v>
      </c>
      <c r="T822" s="972">
        <v>459.34516666666667</v>
      </c>
    </row>
    <row r="823" spans="1:20">
      <c r="A823" s="962" t="s">
        <v>6163</v>
      </c>
      <c r="B823" s="972">
        <v>537.98</v>
      </c>
      <c r="C823" s="972">
        <v>8.3680000000000003</v>
      </c>
      <c r="D823" s="972">
        <v>0.59499999999999997</v>
      </c>
      <c r="E823" s="972">
        <v>35.073</v>
      </c>
      <c r="F823" s="972">
        <v>1.3</v>
      </c>
      <c r="G823" s="972">
        <v>0</v>
      </c>
      <c r="H823" s="972">
        <v>0</v>
      </c>
      <c r="I823" s="972">
        <v>5.8789999999999996</v>
      </c>
      <c r="J823" s="972">
        <v>2.1150000000000002</v>
      </c>
      <c r="K823" s="972">
        <v>4.0000000000000001E-3</v>
      </c>
      <c r="L823" s="972">
        <v>2.371</v>
      </c>
      <c r="M823" s="972">
        <v>0</v>
      </c>
      <c r="N823" s="972">
        <v>0</v>
      </c>
      <c r="O823" s="972">
        <v>11.670999999999999</v>
      </c>
      <c r="P823" s="972">
        <v>49.875</v>
      </c>
      <c r="Q823" s="972">
        <v>476.435</v>
      </c>
      <c r="R823" s="962">
        <v>37</v>
      </c>
      <c r="S823" s="962" t="s">
        <v>4940</v>
      </c>
      <c r="T823" s="972">
        <v>181.43566666666669</v>
      </c>
    </row>
    <row r="824" spans="1:20">
      <c r="A824" s="962" t="s">
        <v>2470</v>
      </c>
      <c r="B824" s="972">
        <v>1242.413</v>
      </c>
      <c r="C824" s="972">
        <v>170.91800000000001</v>
      </c>
      <c r="D824" s="972">
        <v>0.38800000000000001</v>
      </c>
      <c r="E824" s="972">
        <v>25.440999999999999</v>
      </c>
      <c r="F824" s="972">
        <v>1.764</v>
      </c>
      <c r="G824" s="972">
        <v>0.16700000000000001</v>
      </c>
      <c r="H824" s="972">
        <v>0</v>
      </c>
      <c r="I824" s="972">
        <v>26.268000000000001</v>
      </c>
      <c r="J824" s="972">
        <v>1.776</v>
      </c>
      <c r="K824" s="972">
        <v>2.0790000000000002</v>
      </c>
      <c r="L824" s="972">
        <v>4.0590000000000002</v>
      </c>
      <c r="M824" s="972">
        <v>0</v>
      </c>
      <c r="N824" s="972">
        <v>2.5630000000000002</v>
      </c>
      <c r="O824" s="972">
        <v>38.676000000000002</v>
      </c>
      <c r="P824" s="972">
        <v>48.588000000000001</v>
      </c>
      <c r="Q824" s="972">
        <v>1155.1489999999999</v>
      </c>
      <c r="R824" s="962">
        <v>128</v>
      </c>
      <c r="S824" s="962" t="s">
        <v>4940</v>
      </c>
      <c r="T824" s="972">
        <v>331.94899999999996</v>
      </c>
    </row>
    <row r="825" spans="1:20">
      <c r="A825" s="962" t="s">
        <v>973</v>
      </c>
      <c r="B825" s="972">
        <v>644.23099999999999</v>
      </c>
      <c r="C825" s="972">
        <v>21.905000000000001</v>
      </c>
      <c r="D825" s="972">
        <v>0.13100000000000001</v>
      </c>
      <c r="E825" s="972">
        <v>9.2780000000000005</v>
      </c>
      <c r="F825" s="972">
        <v>1.0720000000000001</v>
      </c>
      <c r="G825" s="972">
        <v>0</v>
      </c>
      <c r="H825" s="972">
        <v>0</v>
      </c>
      <c r="I825" s="972">
        <v>30.164999999999999</v>
      </c>
      <c r="J825" s="972">
        <v>0.253</v>
      </c>
      <c r="K825" s="972">
        <v>4.4029999999999996</v>
      </c>
      <c r="L825" s="972">
        <v>1.7529999999999999</v>
      </c>
      <c r="M825" s="972">
        <v>0</v>
      </c>
      <c r="N825" s="972">
        <v>0</v>
      </c>
      <c r="O825" s="972">
        <v>37.645000000000003</v>
      </c>
      <c r="P825" s="972">
        <v>32.597999999999999</v>
      </c>
      <c r="Q825" s="972">
        <v>573.98800000000006</v>
      </c>
      <c r="R825" s="962">
        <v>29</v>
      </c>
      <c r="S825" s="962" t="s">
        <v>4940</v>
      </c>
      <c r="T825" s="972">
        <v>183.46300000000002</v>
      </c>
    </row>
    <row r="826" spans="1:20">
      <c r="A826" s="962" t="s">
        <v>2769</v>
      </c>
      <c r="B826" s="972">
        <v>557.03499999999997</v>
      </c>
      <c r="C826" s="972">
        <v>8.8789999999999996</v>
      </c>
      <c r="D826" s="972">
        <v>0</v>
      </c>
      <c r="E826" s="972">
        <v>42.843000000000004</v>
      </c>
      <c r="F826" s="972">
        <v>0.85</v>
      </c>
      <c r="G826" s="972">
        <v>0</v>
      </c>
      <c r="H826" s="972">
        <v>0</v>
      </c>
      <c r="I826" s="972">
        <v>5.0810000000000004</v>
      </c>
      <c r="J826" s="972">
        <v>0.90200000000000002</v>
      </c>
      <c r="K826" s="972">
        <v>9.9000000000000005E-2</v>
      </c>
      <c r="L826" s="972">
        <v>3.1259999999999999</v>
      </c>
      <c r="M826" s="972">
        <v>0</v>
      </c>
      <c r="N826" s="972">
        <v>0</v>
      </c>
      <c r="O826" s="972">
        <v>10.057</v>
      </c>
      <c r="P826" s="972">
        <v>33.984000000000002</v>
      </c>
      <c r="Q826" s="972">
        <v>512.99400000000003</v>
      </c>
      <c r="R826" s="962">
        <v>57</v>
      </c>
      <c r="S826" s="962" t="s">
        <v>4940</v>
      </c>
      <c r="T826" s="972">
        <v>200.25149999999996</v>
      </c>
    </row>
    <row r="827" spans="1:20">
      <c r="A827" s="962" t="s">
        <v>3553</v>
      </c>
      <c r="B827" s="972">
        <v>14222.483</v>
      </c>
      <c r="C827" s="972">
        <v>2371.8409999999999</v>
      </c>
      <c r="D827" s="972">
        <v>13.531000000000001</v>
      </c>
      <c r="E827" s="972">
        <v>504.596</v>
      </c>
      <c r="F827" s="972">
        <v>20.431000000000001</v>
      </c>
      <c r="G827" s="972">
        <v>1.542</v>
      </c>
      <c r="H827" s="972">
        <v>0</v>
      </c>
      <c r="I827" s="972">
        <v>247.29499999999999</v>
      </c>
      <c r="J827" s="972">
        <v>138.93299999999999</v>
      </c>
      <c r="K827" s="972">
        <v>3.3639999999999999</v>
      </c>
      <c r="L827" s="972">
        <v>3.6739999999999999</v>
      </c>
      <c r="M827" s="972">
        <v>0</v>
      </c>
      <c r="N827" s="972">
        <v>2.6560000000000001</v>
      </c>
      <c r="O827" s="972">
        <v>417.89400000000001</v>
      </c>
      <c r="P827" s="972">
        <v>946.447</v>
      </c>
      <c r="Q827" s="972">
        <v>12858.143</v>
      </c>
      <c r="R827" s="962">
        <v>1428</v>
      </c>
      <c r="S827" s="962" t="s">
        <v>4940</v>
      </c>
      <c r="T827" s="972">
        <v>3266.8036666666667</v>
      </c>
    </row>
    <row r="828" spans="1:20">
      <c r="A828" s="962" t="s">
        <v>3556</v>
      </c>
      <c r="B828" s="972">
        <v>1410.0229999999999</v>
      </c>
      <c r="C828" s="972">
        <v>49.875</v>
      </c>
      <c r="D828" s="972">
        <v>0.11600000000000001</v>
      </c>
      <c r="E828" s="972">
        <v>41.026000000000003</v>
      </c>
      <c r="F828" s="972">
        <v>2.0350000000000001</v>
      </c>
      <c r="G828" s="972">
        <v>0</v>
      </c>
      <c r="H828" s="972">
        <v>0</v>
      </c>
      <c r="I828" s="972">
        <v>15.505000000000001</v>
      </c>
      <c r="J828" s="972">
        <v>2.1970000000000001</v>
      </c>
      <c r="K828" s="972">
        <v>1.9330000000000001</v>
      </c>
      <c r="L828" s="972">
        <v>0</v>
      </c>
      <c r="M828" s="972">
        <v>0</v>
      </c>
      <c r="N828" s="972">
        <v>17.599</v>
      </c>
      <c r="O828" s="972">
        <v>39.268000000000001</v>
      </c>
      <c r="P828" s="972">
        <v>115.077</v>
      </c>
      <c r="Q828" s="972">
        <v>1255.6790000000001</v>
      </c>
      <c r="R828" s="962">
        <v>72</v>
      </c>
      <c r="S828" s="962" t="s">
        <v>4940</v>
      </c>
      <c r="T828" s="972">
        <v>486.23733333333337</v>
      </c>
    </row>
    <row r="829" spans="1:20">
      <c r="A829" s="962" t="s">
        <v>5052</v>
      </c>
      <c r="B829" s="972">
        <v>742.625</v>
      </c>
      <c r="C829" s="972">
        <v>3.1480000000000001</v>
      </c>
      <c r="D829" s="972">
        <v>0</v>
      </c>
      <c r="E829" s="972">
        <v>20.798999999999999</v>
      </c>
      <c r="F829" s="972">
        <v>1.2430000000000001</v>
      </c>
      <c r="G829" s="972">
        <v>0</v>
      </c>
      <c r="H829" s="972">
        <v>0</v>
      </c>
      <c r="I829" s="972">
        <v>13.941000000000001</v>
      </c>
      <c r="J829" s="972">
        <v>2.4279999999999999</v>
      </c>
      <c r="K829" s="972">
        <v>0</v>
      </c>
      <c r="L829" s="972">
        <v>0</v>
      </c>
      <c r="M829" s="972">
        <v>0</v>
      </c>
      <c r="N829" s="972">
        <v>53.820999999999998</v>
      </c>
      <c r="O829" s="972">
        <v>71.432000000000002</v>
      </c>
      <c r="P829" s="972">
        <v>43.326999999999998</v>
      </c>
      <c r="Q829" s="972">
        <v>627.86599999999999</v>
      </c>
      <c r="R829" s="962">
        <v>29</v>
      </c>
      <c r="S829" s="962" t="s">
        <v>4940</v>
      </c>
      <c r="T829" s="972">
        <v>246.63466666666673</v>
      </c>
    </row>
    <row r="830" spans="1:20">
      <c r="A830" s="962" t="s">
        <v>5054</v>
      </c>
      <c r="B830" s="972">
        <v>805.11699999999996</v>
      </c>
      <c r="C830" s="972">
        <v>19.353999999999999</v>
      </c>
      <c r="D830" s="972">
        <v>0</v>
      </c>
      <c r="E830" s="972">
        <v>29.352</v>
      </c>
      <c r="F830" s="972">
        <v>1.2889999999999999</v>
      </c>
      <c r="G830" s="972">
        <v>0</v>
      </c>
      <c r="H830" s="972">
        <v>0</v>
      </c>
      <c r="I830" s="972">
        <v>15.808</v>
      </c>
      <c r="J830" s="972">
        <v>7.1720000000000006</v>
      </c>
      <c r="K830" s="972">
        <v>0</v>
      </c>
      <c r="L830" s="972">
        <v>0</v>
      </c>
      <c r="M830" s="972">
        <v>0</v>
      </c>
      <c r="N830" s="972">
        <v>11.448</v>
      </c>
      <c r="O830" s="972">
        <v>35.718000000000004</v>
      </c>
      <c r="P830" s="972">
        <v>62.091000000000001</v>
      </c>
      <c r="Q830" s="972">
        <v>707.30799999999999</v>
      </c>
      <c r="R830" s="962">
        <v>97</v>
      </c>
      <c r="S830" s="962" t="s">
        <v>4940</v>
      </c>
      <c r="T830" s="972">
        <v>247.07233333333335</v>
      </c>
    </row>
    <row r="831" spans="1:20">
      <c r="A831" s="962" t="s">
        <v>737</v>
      </c>
      <c r="B831" s="972">
        <v>2236.6280000000002</v>
      </c>
      <c r="C831" s="972">
        <v>25.643999999999998</v>
      </c>
      <c r="D831" s="972">
        <v>0.216</v>
      </c>
      <c r="E831" s="972">
        <v>15.429</v>
      </c>
      <c r="F831" s="972">
        <v>3.6589999999999998</v>
      </c>
      <c r="G831" s="972">
        <v>8.0000000000000002E-3</v>
      </c>
      <c r="H831" s="972">
        <v>0</v>
      </c>
      <c r="I831" s="972">
        <v>54.131</v>
      </c>
      <c r="J831" s="972">
        <v>7.32</v>
      </c>
      <c r="K831" s="972">
        <v>5.5540000000000003</v>
      </c>
      <c r="L831" s="972">
        <v>0</v>
      </c>
      <c r="M831" s="972">
        <v>0</v>
      </c>
      <c r="N831" s="972">
        <v>0</v>
      </c>
      <c r="O831" s="972">
        <v>70.67</v>
      </c>
      <c r="P831" s="972">
        <v>103.042</v>
      </c>
      <c r="Q831" s="972">
        <v>2062.9169999999999</v>
      </c>
      <c r="R831" s="962">
        <v>211</v>
      </c>
      <c r="S831" s="962" t="s">
        <v>4940</v>
      </c>
      <c r="T831" s="972">
        <v>667.18550000000005</v>
      </c>
    </row>
    <row r="832" spans="1:20">
      <c r="A832" s="962" t="s">
        <v>237</v>
      </c>
      <c r="B832" s="972">
        <v>2320.6640000000002</v>
      </c>
      <c r="C832" s="972">
        <v>152.19399999999999</v>
      </c>
      <c r="D832" s="972">
        <v>0.93899999999999995</v>
      </c>
      <c r="E832" s="972">
        <v>58.286000000000001</v>
      </c>
      <c r="F832" s="972">
        <v>3.9329999999999998</v>
      </c>
      <c r="G832" s="972">
        <v>3.5999999999999997E-2</v>
      </c>
      <c r="H832" s="972">
        <v>0</v>
      </c>
      <c r="I832" s="972">
        <v>60.011000000000003</v>
      </c>
      <c r="J832" s="972">
        <v>12.454000000000001</v>
      </c>
      <c r="K832" s="972">
        <v>0</v>
      </c>
      <c r="L832" s="972">
        <v>0</v>
      </c>
      <c r="M832" s="972">
        <v>0</v>
      </c>
      <c r="N832" s="972">
        <v>0.89200000000000002</v>
      </c>
      <c r="O832" s="972">
        <v>77.325999999999993</v>
      </c>
      <c r="P832" s="972">
        <v>137.452</v>
      </c>
      <c r="Q832" s="972">
        <v>2105.886</v>
      </c>
      <c r="R832" s="962">
        <v>108</v>
      </c>
      <c r="S832" s="962" t="s">
        <v>4940</v>
      </c>
      <c r="T832" s="972">
        <v>594.45933333333335</v>
      </c>
    </row>
    <row r="833" spans="1:20">
      <c r="A833" s="962" t="s">
        <v>2307</v>
      </c>
      <c r="B833" s="972">
        <v>2059.7359999999999</v>
      </c>
      <c r="C833" s="972">
        <v>18.881</v>
      </c>
      <c r="D833" s="972">
        <v>1.2090000000000001</v>
      </c>
      <c r="E833" s="972">
        <v>56.058</v>
      </c>
      <c r="F833" s="972">
        <v>3.3530000000000002</v>
      </c>
      <c r="G833" s="972">
        <v>0.157</v>
      </c>
      <c r="H833" s="972">
        <v>0</v>
      </c>
      <c r="I833" s="972">
        <v>53.683999999999997</v>
      </c>
      <c r="J833" s="972">
        <v>19.14</v>
      </c>
      <c r="K833" s="972">
        <v>0</v>
      </c>
      <c r="L833" s="972">
        <v>0</v>
      </c>
      <c r="M833" s="972">
        <v>0</v>
      </c>
      <c r="N833" s="972">
        <v>0</v>
      </c>
      <c r="O833" s="972">
        <v>76.332999999999998</v>
      </c>
      <c r="P833" s="972">
        <v>125.139</v>
      </c>
      <c r="Q833" s="972">
        <v>1858.2650000000001</v>
      </c>
      <c r="R833" s="962">
        <v>145</v>
      </c>
      <c r="S833" s="962" t="s">
        <v>4940</v>
      </c>
      <c r="T833" s="972">
        <v>627.08766666666668</v>
      </c>
    </row>
    <row r="834" spans="1:20">
      <c r="A834" s="962" t="s">
        <v>957</v>
      </c>
      <c r="B834" s="972">
        <v>544.65700000000004</v>
      </c>
      <c r="C834" s="972">
        <v>23.806999999999999</v>
      </c>
      <c r="D834" s="972">
        <v>8.6999999999999994E-2</v>
      </c>
      <c r="E834" s="972">
        <v>9.83</v>
      </c>
      <c r="F834" s="972">
        <v>0.72899999999999998</v>
      </c>
      <c r="G834" s="972">
        <v>0</v>
      </c>
      <c r="H834" s="972">
        <v>0</v>
      </c>
      <c r="I834" s="972">
        <v>13.776</v>
      </c>
      <c r="J834" s="972">
        <v>0.30199999999999999</v>
      </c>
      <c r="K834" s="972">
        <v>0</v>
      </c>
      <c r="L834" s="972">
        <v>0.41</v>
      </c>
      <c r="M834" s="972">
        <v>0</v>
      </c>
      <c r="N834" s="972">
        <v>0</v>
      </c>
      <c r="O834" s="972">
        <v>15.217000000000001</v>
      </c>
      <c r="P834" s="972">
        <v>40</v>
      </c>
      <c r="Q834" s="972">
        <v>489.44</v>
      </c>
      <c r="R834" s="962">
        <v>32</v>
      </c>
      <c r="S834" s="962" t="s">
        <v>4940</v>
      </c>
      <c r="T834" s="972">
        <v>162.00266666666664</v>
      </c>
    </row>
    <row r="835" spans="1:20">
      <c r="A835" s="962" t="s">
        <v>5056</v>
      </c>
      <c r="B835" s="972">
        <v>96.293999999999997</v>
      </c>
      <c r="C835" s="972">
        <v>3.6720000000000002</v>
      </c>
      <c r="D835" s="972">
        <v>0</v>
      </c>
      <c r="E835" s="972">
        <v>1.022</v>
      </c>
      <c r="F835" s="972">
        <v>0.251</v>
      </c>
      <c r="G835" s="972">
        <v>0</v>
      </c>
      <c r="H835" s="972">
        <v>0</v>
      </c>
      <c r="I835" s="972">
        <v>0.90400000000000003</v>
      </c>
      <c r="J835" s="972">
        <v>0</v>
      </c>
      <c r="K835" s="972">
        <v>0.68799999999999994</v>
      </c>
      <c r="L835" s="972">
        <v>0</v>
      </c>
      <c r="M835" s="972">
        <v>0</v>
      </c>
      <c r="N835" s="972">
        <v>0</v>
      </c>
      <c r="O835" s="972">
        <v>1.843</v>
      </c>
      <c r="P835" s="972">
        <v>0.217</v>
      </c>
      <c r="Q835" s="972">
        <v>94.233000000000004</v>
      </c>
      <c r="R835" s="962">
        <v>13</v>
      </c>
      <c r="S835" s="962" t="s">
        <v>4940</v>
      </c>
      <c r="T835" s="972">
        <v>3.1924999999999999</v>
      </c>
    </row>
    <row r="836" spans="1:20">
      <c r="A836" s="962" t="s">
        <v>5137</v>
      </c>
      <c r="B836" s="972">
        <v>136.554</v>
      </c>
      <c r="C836" s="972">
        <v>3.76</v>
      </c>
      <c r="D836" s="972">
        <v>0</v>
      </c>
      <c r="E836" s="972">
        <v>0</v>
      </c>
      <c r="F836" s="972">
        <v>8.8999999999999996E-2</v>
      </c>
      <c r="G836" s="972">
        <v>0</v>
      </c>
      <c r="H836" s="972">
        <v>0</v>
      </c>
      <c r="I836" s="972">
        <v>5.5220000000000002</v>
      </c>
      <c r="J836" s="972">
        <v>0</v>
      </c>
      <c r="K836" s="972">
        <v>0</v>
      </c>
      <c r="L836" s="972">
        <v>0</v>
      </c>
      <c r="M836" s="972">
        <v>0</v>
      </c>
      <c r="N836" s="972">
        <v>0</v>
      </c>
      <c r="O836" s="972">
        <v>5.6109999999999998</v>
      </c>
      <c r="P836" s="972">
        <v>0</v>
      </c>
      <c r="Q836" s="972">
        <v>130.94300000000001</v>
      </c>
      <c r="R836" s="962">
        <v>8</v>
      </c>
      <c r="S836" s="962" t="s">
        <v>4940</v>
      </c>
      <c r="T836" s="972">
        <v>0</v>
      </c>
    </row>
    <row r="837" spans="1:20">
      <c r="A837" s="962" t="s">
        <v>1151</v>
      </c>
      <c r="B837" s="972">
        <v>93.057000000000002</v>
      </c>
      <c r="C837" s="972">
        <v>3.99</v>
      </c>
      <c r="D837" s="972">
        <v>0</v>
      </c>
      <c r="E837" s="972">
        <v>7.3410000000000002</v>
      </c>
      <c r="F837" s="972">
        <v>1.4E-2</v>
      </c>
      <c r="G837" s="972">
        <v>0</v>
      </c>
      <c r="H837" s="972">
        <v>0</v>
      </c>
      <c r="I837" s="972">
        <v>2.742</v>
      </c>
      <c r="J837" s="972">
        <v>0.55500000000000005</v>
      </c>
      <c r="K837" s="972">
        <v>0</v>
      </c>
      <c r="L837" s="972">
        <v>0</v>
      </c>
      <c r="M837" s="972">
        <v>0</v>
      </c>
      <c r="N837" s="972">
        <v>0</v>
      </c>
      <c r="O837" s="972">
        <v>3.3109999999999999</v>
      </c>
      <c r="P837" s="972">
        <v>0</v>
      </c>
      <c r="Q837" s="972">
        <v>89.747</v>
      </c>
      <c r="R837" s="962">
        <v>0</v>
      </c>
      <c r="S837" s="962" t="s">
        <v>4940</v>
      </c>
      <c r="T837" s="972">
        <v>0</v>
      </c>
    </row>
    <row r="838" spans="1:20">
      <c r="A838" s="962" t="s">
        <v>1153</v>
      </c>
      <c r="B838" s="972">
        <v>176.95099999999999</v>
      </c>
      <c r="C838" s="972">
        <v>7.8019999999999996</v>
      </c>
      <c r="D838" s="972">
        <v>0</v>
      </c>
      <c r="E838" s="972">
        <v>37.378999999999998</v>
      </c>
      <c r="F838" s="972">
        <v>4.2000000000000003E-2</v>
      </c>
      <c r="G838" s="972">
        <v>0</v>
      </c>
      <c r="H838" s="972">
        <v>0</v>
      </c>
      <c r="I838" s="972">
        <v>15.196</v>
      </c>
      <c r="J838" s="972">
        <v>0.21199999999999999</v>
      </c>
      <c r="K838" s="972">
        <v>0</v>
      </c>
      <c r="L838" s="972">
        <v>0</v>
      </c>
      <c r="M838" s="972">
        <v>0</v>
      </c>
      <c r="N838" s="972">
        <v>0</v>
      </c>
      <c r="O838" s="972">
        <v>15.448</v>
      </c>
      <c r="P838" s="972">
        <v>0</v>
      </c>
      <c r="Q838" s="972">
        <v>161.50299999999999</v>
      </c>
      <c r="R838" s="962">
        <v>0</v>
      </c>
      <c r="S838" s="962" t="s">
        <v>4940</v>
      </c>
      <c r="T838" s="972">
        <v>0</v>
      </c>
    </row>
    <row r="839" spans="1:20">
      <c r="A839" s="962" t="s">
        <v>4568</v>
      </c>
      <c r="B839" s="972">
        <v>164.38399999999999</v>
      </c>
      <c r="C839" s="972">
        <v>0.66</v>
      </c>
      <c r="D839" s="972">
        <v>0</v>
      </c>
      <c r="E839" s="972">
        <v>0.69399999999999995</v>
      </c>
      <c r="F839" s="972">
        <v>0.20899999999999999</v>
      </c>
      <c r="G839" s="972">
        <v>0</v>
      </c>
      <c r="H839" s="972">
        <v>0</v>
      </c>
      <c r="I839" s="972">
        <v>2.9340000000000002</v>
      </c>
      <c r="J839" s="972">
        <v>7.0999999999999994E-2</v>
      </c>
      <c r="K839" s="972">
        <v>0.68899999999999995</v>
      </c>
      <c r="L839" s="972">
        <v>0.88300000000000001</v>
      </c>
      <c r="M839" s="972">
        <v>0</v>
      </c>
      <c r="N839" s="972">
        <v>0</v>
      </c>
      <c r="O839" s="972">
        <v>4.7859999999999996</v>
      </c>
      <c r="P839" s="972">
        <v>8.1660000000000004</v>
      </c>
      <c r="Q839" s="972">
        <v>151.43299999999999</v>
      </c>
      <c r="R839" s="962">
        <v>10</v>
      </c>
      <c r="S839" s="962" t="s">
        <v>4940</v>
      </c>
      <c r="T839" s="972">
        <v>49.098000000000006</v>
      </c>
    </row>
    <row r="840" spans="1:20">
      <c r="A840" s="962" t="s">
        <v>2053</v>
      </c>
      <c r="B840" s="972">
        <v>1824.83</v>
      </c>
      <c r="C840" s="972">
        <v>57.386000000000003</v>
      </c>
      <c r="D840" s="972">
        <v>0.39</v>
      </c>
      <c r="E840" s="972">
        <v>25.026</v>
      </c>
      <c r="F840" s="972">
        <v>3.6110000000000002</v>
      </c>
      <c r="G840" s="972">
        <v>5.0999999999999997E-2</v>
      </c>
      <c r="H840" s="972">
        <v>0</v>
      </c>
      <c r="I840" s="972">
        <v>44.558999999999997</v>
      </c>
      <c r="J840" s="972">
        <v>11.545999999999999</v>
      </c>
      <c r="K840" s="972">
        <v>1.413</v>
      </c>
      <c r="L840" s="972">
        <v>0</v>
      </c>
      <c r="M840" s="972">
        <v>0</v>
      </c>
      <c r="N840" s="972">
        <v>3.6429999999999998</v>
      </c>
      <c r="O840" s="972">
        <v>64.823999999999998</v>
      </c>
      <c r="P840" s="972">
        <v>163.74299999999999</v>
      </c>
      <c r="Q840" s="972">
        <v>1596.2629999999999</v>
      </c>
      <c r="R840" s="962">
        <v>123</v>
      </c>
      <c r="S840" s="962" t="s">
        <v>4940</v>
      </c>
      <c r="T840" s="972">
        <v>543.5868333333334</v>
      </c>
    </row>
    <row r="841" spans="1:20">
      <c r="A841" s="962" t="s">
        <v>1846</v>
      </c>
      <c r="B841" s="972">
        <v>304.267</v>
      </c>
      <c r="C841" s="972">
        <v>5.9109999999999996</v>
      </c>
      <c r="D841" s="972">
        <v>0</v>
      </c>
      <c r="E841" s="972">
        <v>9.48</v>
      </c>
      <c r="F841" s="972">
        <v>0.52400000000000002</v>
      </c>
      <c r="G841" s="972">
        <v>0</v>
      </c>
      <c r="H841" s="972">
        <v>0</v>
      </c>
      <c r="I841" s="972">
        <v>3.6949999999999998</v>
      </c>
      <c r="J841" s="972">
        <v>0.94</v>
      </c>
      <c r="K841" s="972">
        <v>0</v>
      </c>
      <c r="L841" s="972">
        <v>0</v>
      </c>
      <c r="M841" s="972">
        <v>0</v>
      </c>
      <c r="N841" s="972">
        <v>3.09</v>
      </c>
      <c r="O841" s="972">
        <v>8.2490000000000006</v>
      </c>
      <c r="P841" s="972">
        <v>24.774000000000001</v>
      </c>
      <c r="Q841" s="972">
        <v>271.245</v>
      </c>
      <c r="R841" s="962">
        <v>40</v>
      </c>
      <c r="S841" s="962" t="s">
        <v>4940</v>
      </c>
      <c r="T841" s="972">
        <v>93.960000000000008</v>
      </c>
    </row>
    <row r="842" spans="1:20">
      <c r="A842" s="962" t="s">
        <v>5239</v>
      </c>
      <c r="B842" s="972">
        <v>981.31399999999996</v>
      </c>
      <c r="C842" s="972">
        <v>40.783999999999999</v>
      </c>
      <c r="D842" s="972">
        <v>0.251</v>
      </c>
      <c r="E842" s="972">
        <v>23.706</v>
      </c>
      <c r="F842" s="972">
        <v>1.2689999999999999</v>
      </c>
      <c r="G842" s="972">
        <v>0</v>
      </c>
      <c r="H842" s="972">
        <v>0</v>
      </c>
      <c r="I842" s="972">
        <v>19.640999999999998</v>
      </c>
      <c r="J842" s="972">
        <v>3.899</v>
      </c>
      <c r="K842" s="972">
        <v>0</v>
      </c>
      <c r="L842" s="972">
        <v>0</v>
      </c>
      <c r="M842" s="972">
        <v>0</v>
      </c>
      <c r="N842" s="972">
        <v>0</v>
      </c>
      <c r="O842" s="972">
        <v>24.806999999999999</v>
      </c>
      <c r="P842" s="972">
        <v>30.963000000000001</v>
      </c>
      <c r="Q842" s="972">
        <v>925.54300000000001</v>
      </c>
      <c r="R842" s="962">
        <v>90</v>
      </c>
      <c r="S842" s="962" t="s">
        <v>4940</v>
      </c>
      <c r="T842" s="972">
        <v>258.13116666666667</v>
      </c>
    </row>
    <row r="843" spans="1:20">
      <c r="A843" s="962" t="s">
        <v>1870</v>
      </c>
      <c r="B843" s="972">
        <v>2053.8620000000001</v>
      </c>
      <c r="C843" s="972">
        <v>35.956000000000003</v>
      </c>
      <c r="D843" s="972">
        <v>0</v>
      </c>
      <c r="E843" s="972">
        <v>30.61</v>
      </c>
      <c r="F843" s="972">
        <v>2.8359999999999999</v>
      </c>
      <c r="G843" s="972">
        <v>8.1000000000000003E-2</v>
      </c>
      <c r="H843" s="972">
        <v>0</v>
      </c>
      <c r="I843" s="972">
        <v>31.867999999999999</v>
      </c>
      <c r="J843" s="972">
        <v>8.5440000000000005</v>
      </c>
      <c r="K843" s="972">
        <v>0</v>
      </c>
      <c r="L843" s="972">
        <v>2.0529999999999999</v>
      </c>
      <c r="M843" s="972">
        <v>0</v>
      </c>
      <c r="N843" s="972">
        <v>8.66</v>
      </c>
      <c r="O843" s="972">
        <v>54.040999999999997</v>
      </c>
      <c r="P843" s="972">
        <v>117.92</v>
      </c>
      <c r="Q843" s="972">
        <v>1881.9010000000001</v>
      </c>
      <c r="R843" s="962">
        <v>225</v>
      </c>
      <c r="S843" s="962" t="s">
        <v>4940</v>
      </c>
      <c r="T843" s="972">
        <v>591.08416666666676</v>
      </c>
    </row>
    <row r="844" spans="1:20">
      <c r="A844" s="962" t="s">
        <v>6169</v>
      </c>
      <c r="B844" s="972">
        <v>3280.1610000000001</v>
      </c>
      <c r="C844" s="972">
        <v>139.584</v>
      </c>
      <c r="D844" s="972">
        <v>1.0229999999999999</v>
      </c>
      <c r="E844" s="972">
        <v>106.324</v>
      </c>
      <c r="F844" s="972">
        <v>5.9850000000000003</v>
      </c>
      <c r="G844" s="972">
        <v>0.58299999999999996</v>
      </c>
      <c r="H844" s="972">
        <v>0</v>
      </c>
      <c r="I844" s="972">
        <v>38.773000000000003</v>
      </c>
      <c r="J844" s="972">
        <v>23.789000000000001</v>
      </c>
      <c r="K844" s="972">
        <v>0</v>
      </c>
      <c r="L844" s="972">
        <v>4.5259999999999998</v>
      </c>
      <c r="M844" s="972">
        <v>0</v>
      </c>
      <c r="N844" s="972">
        <v>1.7909999999999999</v>
      </c>
      <c r="O844" s="972">
        <v>75.447000000000003</v>
      </c>
      <c r="P844" s="972">
        <v>182.57599999999999</v>
      </c>
      <c r="Q844" s="972">
        <v>3022.1379999999999</v>
      </c>
      <c r="R844" s="962">
        <v>166</v>
      </c>
      <c r="S844" s="962" t="s">
        <v>4940</v>
      </c>
      <c r="T844" s="972">
        <v>973.6451666666668</v>
      </c>
    </row>
    <row r="845" spans="1:20">
      <c r="A845" s="962" t="s">
        <v>574</v>
      </c>
      <c r="B845" s="972">
        <v>300.714</v>
      </c>
      <c r="C845" s="972">
        <v>10.586</v>
      </c>
      <c r="D845" s="972">
        <v>0</v>
      </c>
      <c r="E845" s="972">
        <v>10.978999999999999</v>
      </c>
      <c r="F845" s="972">
        <v>0.123</v>
      </c>
      <c r="G845" s="972">
        <v>0</v>
      </c>
      <c r="H845" s="972">
        <v>0</v>
      </c>
      <c r="I845" s="972">
        <v>7.2450000000000001</v>
      </c>
      <c r="J845" s="972">
        <v>0.115</v>
      </c>
      <c r="K845" s="972">
        <v>0</v>
      </c>
      <c r="L845" s="972">
        <v>0.65900000000000003</v>
      </c>
      <c r="M845" s="972">
        <v>0</v>
      </c>
      <c r="N845" s="972">
        <v>0</v>
      </c>
      <c r="O845" s="972">
        <v>8.1430000000000007</v>
      </c>
      <c r="P845" s="972">
        <v>16.728000000000002</v>
      </c>
      <c r="Q845" s="972">
        <v>275.84399999999999</v>
      </c>
      <c r="R845" s="962">
        <v>21</v>
      </c>
      <c r="S845" s="962" t="s">
        <v>4940</v>
      </c>
      <c r="T845" s="972">
        <v>97.172833333333315</v>
      </c>
    </row>
    <row r="846" spans="1:20">
      <c r="A846" s="962" t="s">
        <v>1158</v>
      </c>
      <c r="B846" s="972">
        <v>466.072</v>
      </c>
      <c r="C846" s="972">
        <v>45.845999999999997</v>
      </c>
      <c r="D846" s="972">
        <v>0</v>
      </c>
      <c r="E846" s="972">
        <v>10.474</v>
      </c>
      <c r="F846" s="972">
        <v>1.1970000000000001</v>
      </c>
      <c r="G846" s="972">
        <v>0</v>
      </c>
      <c r="H846" s="972">
        <v>0</v>
      </c>
      <c r="I846" s="972">
        <v>3.0960000000000001</v>
      </c>
      <c r="J846" s="972">
        <v>0.33700000000000002</v>
      </c>
      <c r="K846" s="972">
        <v>0</v>
      </c>
      <c r="L846" s="972">
        <v>0</v>
      </c>
      <c r="M846" s="972">
        <v>0</v>
      </c>
      <c r="N846" s="972">
        <v>0</v>
      </c>
      <c r="O846" s="972">
        <v>4.6289999999999996</v>
      </c>
      <c r="P846" s="972">
        <v>0</v>
      </c>
      <c r="Q846" s="972">
        <v>461.44299999999998</v>
      </c>
      <c r="R846" s="962">
        <v>4</v>
      </c>
      <c r="S846" s="962" t="s">
        <v>4940</v>
      </c>
      <c r="T846" s="972">
        <v>17.396166666666666</v>
      </c>
    </row>
    <row r="847" spans="1:20">
      <c r="A847" s="962" t="s">
        <v>6172</v>
      </c>
      <c r="B847" s="972">
        <v>20069.477999999999</v>
      </c>
      <c r="C847" s="972">
        <v>1523.3209999999999</v>
      </c>
      <c r="D847" s="972">
        <v>12.911</v>
      </c>
      <c r="E847" s="972">
        <v>436.41399999999999</v>
      </c>
      <c r="F847" s="972">
        <v>23.224</v>
      </c>
      <c r="G847" s="972">
        <v>0.27900000000000003</v>
      </c>
      <c r="H847" s="972">
        <v>0</v>
      </c>
      <c r="I847" s="972">
        <v>180.476</v>
      </c>
      <c r="J847" s="972">
        <v>82.56</v>
      </c>
      <c r="K847" s="972">
        <v>7.2469999999999999</v>
      </c>
      <c r="L847" s="972">
        <v>12.172000000000001</v>
      </c>
      <c r="M847" s="972">
        <v>0</v>
      </c>
      <c r="N847" s="972">
        <v>7.0919999999999996</v>
      </c>
      <c r="O847" s="972">
        <v>313.048</v>
      </c>
      <c r="P847" s="972">
        <v>612.19100000000003</v>
      </c>
      <c r="Q847" s="972">
        <v>19144.238000000001</v>
      </c>
      <c r="R847" s="962">
        <v>1550</v>
      </c>
      <c r="S847" s="962" t="s">
        <v>4940</v>
      </c>
      <c r="T847" s="972">
        <v>5412.1901666666672</v>
      </c>
    </row>
    <row r="848" spans="1:20">
      <c r="A848" s="962" t="s">
        <v>578</v>
      </c>
      <c r="B848" s="972">
        <v>1609.8920000000001</v>
      </c>
      <c r="C848" s="972">
        <v>60.521999999999998</v>
      </c>
      <c r="D848" s="972">
        <v>0</v>
      </c>
      <c r="E848" s="972">
        <v>21.286000000000001</v>
      </c>
      <c r="F848" s="972">
        <v>1.409</v>
      </c>
      <c r="G848" s="972">
        <v>0.25600000000000001</v>
      </c>
      <c r="H848" s="972">
        <v>0</v>
      </c>
      <c r="I848" s="972">
        <v>18.963999999999999</v>
      </c>
      <c r="J848" s="972">
        <v>1.8559999999999999</v>
      </c>
      <c r="K848" s="972">
        <v>0.217</v>
      </c>
      <c r="L848" s="972">
        <v>0</v>
      </c>
      <c r="M848" s="972">
        <v>0</v>
      </c>
      <c r="N848" s="972">
        <v>0</v>
      </c>
      <c r="O848" s="972">
        <v>22.702000000000002</v>
      </c>
      <c r="P848" s="972">
        <v>66.281999999999996</v>
      </c>
      <c r="Q848" s="972">
        <v>1520.9079999999999</v>
      </c>
      <c r="R848" s="962">
        <v>84</v>
      </c>
      <c r="S848" s="962" t="s">
        <v>4940</v>
      </c>
      <c r="T848" s="972">
        <v>487.87200000000007</v>
      </c>
    </row>
    <row r="849" spans="1:20">
      <c r="A849" s="962" t="s">
        <v>980</v>
      </c>
      <c r="B849" s="972">
        <v>1475.1510000000001</v>
      </c>
      <c r="C849" s="972">
        <v>107.616</v>
      </c>
      <c r="D849" s="972">
        <v>0</v>
      </c>
      <c r="E849" s="972">
        <v>73.956999999999994</v>
      </c>
      <c r="F849" s="972">
        <v>2.0979999999999999</v>
      </c>
      <c r="G849" s="972">
        <v>7.8E-2</v>
      </c>
      <c r="H849" s="972">
        <v>0</v>
      </c>
      <c r="I849" s="972">
        <v>16.212</v>
      </c>
      <c r="J849" s="972">
        <v>2.887</v>
      </c>
      <c r="K849" s="972">
        <v>0</v>
      </c>
      <c r="L849" s="972">
        <v>0</v>
      </c>
      <c r="M849" s="972">
        <v>0</v>
      </c>
      <c r="N849" s="972">
        <v>0</v>
      </c>
      <c r="O849" s="972">
        <v>21.274000000000001</v>
      </c>
      <c r="P849" s="972">
        <v>103.721</v>
      </c>
      <c r="Q849" s="972">
        <v>1350.1569999999999</v>
      </c>
      <c r="R849" s="962">
        <v>77</v>
      </c>
      <c r="S849" s="962" t="s">
        <v>4940</v>
      </c>
      <c r="T849" s="972">
        <v>386.39133333333331</v>
      </c>
    </row>
    <row r="850" spans="1:20">
      <c r="A850" s="962" t="s">
        <v>3972</v>
      </c>
      <c r="B850" s="972">
        <v>162.40100000000001</v>
      </c>
      <c r="C850" s="972">
        <v>2.3849999999999998</v>
      </c>
      <c r="D850" s="972">
        <v>0</v>
      </c>
      <c r="E850" s="972">
        <v>11.852</v>
      </c>
      <c r="F850" s="972">
        <v>0.156</v>
      </c>
      <c r="G850" s="972">
        <v>1E-3</v>
      </c>
      <c r="H850" s="972">
        <v>0</v>
      </c>
      <c r="I850" s="972">
        <v>0</v>
      </c>
      <c r="J850" s="972">
        <v>0.33</v>
      </c>
      <c r="K850" s="972">
        <v>0</v>
      </c>
      <c r="L850" s="972">
        <v>0</v>
      </c>
      <c r="M850" s="972">
        <v>0</v>
      </c>
      <c r="N850" s="972">
        <v>0</v>
      </c>
      <c r="O850" s="972">
        <v>0.48599999999999999</v>
      </c>
      <c r="P850" s="972">
        <v>0</v>
      </c>
      <c r="Q850" s="972">
        <v>161.91499999999999</v>
      </c>
      <c r="R850" s="962">
        <v>11</v>
      </c>
      <c r="S850" s="962" t="s">
        <v>4940</v>
      </c>
      <c r="T850" s="972">
        <v>0</v>
      </c>
    </row>
    <row r="851" spans="1:20">
      <c r="A851" s="962" t="s">
        <v>6173</v>
      </c>
      <c r="B851" s="972">
        <v>376.64800000000002</v>
      </c>
      <c r="C851" s="972">
        <v>23.446000000000002</v>
      </c>
      <c r="D851" s="972">
        <v>0.21</v>
      </c>
      <c r="E851" s="972">
        <v>16.827999999999999</v>
      </c>
      <c r="F851" s="972">
        <v>0.58299999999999996</v>
      </c>
      <c r="G851" s="972">
        <v>0</v>
      </c>
      <c r="H851" s="972">
        <v>0</v>
      </c>
      <c r="I851" s="972">
        <v>8.8569999999999993</v>
      </c>
      <c r="J851" s="972">
        <v>4.7439999999999998</v>
      </c>
      <c r="K851" s="972">
        <v>0</v>
      </c>
      <c r="L851" s="972">
        <v>0</v>
      </c>
      <c r="M851" s="972">
        <v>0</v>
      </c>
      <c r="N851" s="972">
        <v>0</v>
      </c>
      <c r="O851" s="972">
        <v>14.183999999999999</v>
      </c>
      <c r="P851" s="972">
        <v>34.853000000000002</v>
      </c>
      <c r="Q851" s="972">
        <v>327.61099999999999</v>
      </c>
      <c r="R851" s="962">
        <v>19</v>
      </c>
      <c r="S851" s="962" t="s">
        <v>4940</v>
      </c>
      <c r="T851" s="972">
        <v>128.60266666666666</v>
      </c>
    </row>
    <row r="852" spans="1:20">
      <c r="A852" s="962" t="s">
        <v>3974</v>
      </c>
      <c r="B852" s="972">
        <v>1598.885</v>
      </c>
      <c r="C852" s="972">
        <v>82.388000000000005</v>
      </c>
      <c r="D852" s="972">
        <v>1.135</v>
      </c>
      <c r="E852" s="972">
        <v>63.582999999999998</v>
      </c>
      <c r="F852" s="972">
        <v>2.3969999999999998</v>
      </c>
      <c r="G852" s="972">
        <v>0</v>
      </c>
      <c r="H852" s="972">
        <v>0</v>
      </c>
      <c r="I852" s="972">
        <v>29.670999999999999</v>
      </c>
      <c r="J852" s="972">
        <v>10.817</v>
      </c>
      <c r="K852" s="972">
        <v>0</v>
      </c>
      <c r="L852" s="972">
        <v>0</v>
      </c>
      <c r="M852" s="972">
        <v>0</v>
      </c>
      <c r="N852" s="972">
        <v>0.123</v>
      </c>
      <c r="O852" s="972">
        <v>43.006999999999998</v>
      </c>
      <c r="P852" s="972">
        <v>137.095</v>
      </c>
      <c r="Q852" s="972">
        <v>1418.7829999999999</v>
      </c>
      <c r="R852" s="962">
        <v>103</v>
      </c>
      <c r="S852" s="962" t="s">
        <v>4940</v>
      </c>
      <c r="T852" s="972">
        <v>479.47783333333336</v>
      </c>
    </row>
    <row r="853" spans="1:20">
      <c r="A853" s="962" t="s">
        <v>814</v>
      </c>
      <c r="B853" s="972">
        <v>517.73299999999995</v>
      </c>
      <c r="C853" s="972">
        <v>23.405000000000001</v>
      </c>
      <c r="D853" s="972">
        <v>0.105</v>
      </c>
      <c r="E853" s="972">
        <v>24.11</v>
      </c>
      <c r="F853" s="972">
        <v>0.63900000000000001</v>
      </c>
      <c r="G853" s="972">
        <v>0</v>
      </c>
      <c r="H853" s="972">
        <v>0</v>
      </c>
      <c r="I853" s="972">
        <v>9.5609999999999999</v>
      </c>
      <c r="J853" s="972">
        <v>1.694</v>
      </c>
      <c r="K853" s="972">
        <v>0</v>
      </c>
      <c r="L853" s="972">
        <v>0</v>
      </c>
      <c r="M853" s="972">
        <v>0</v>
      </c>
      <c r="N853" s="972">
        <v>0</v>
      </c>
      <c r="O853" s="972">
        <v>11.893000000000001</v>
      </c>
      <c r="P853" s="972">
        <v>49.863999999999997</v>
      </c>
      <c r="Q853" s="972">
        <v>455.97500000000002</v>
      </c>
      <c r="R853" s="962">
        <v>72</v>
      </c>
      <c r="S853" s="962" t="s">
        <v>4940</v>
      </c>
      <c r="T853" s="972">
        <v>192.34</v>
      </c>
    </row>
    <row r="854" spans="1:20">
      <c r="A854" s="962" t="s">
        <v>4587</v>
      </c>
      <c r="B854" s="972">
        <v>164.09100000000001</v>
      </c>
      <c r="C854" s="972">
        <v>5.4809999999999999</v>
      </c>
      <c r="D854" s="972">
        <v>0</v>
      </c>
      <c r="E854" s="972">
        <v>11.196</v>
      </c>
      <c r="F854" s="972">
        <v>5.6000000000000001E-2</v>
      </c>
      <c r="G854" s="972">
        <v>0</v>
      </c>
      <c r="H854" s="972">
        <v>0</v>
      </c>
      <c r="I854" s="972">
        <v>0.40100000000000002</v>
      </c>
      <c r="J854" s="972">
        <v>0</v>
      </c>
      <c r="K854" s="972">
        <v>0</v>
      </c>
      <c r="L854" s="972">
        <v>0</v>
      </c>
      <c r="M854" s="972">
        <v>0</v>
      </c>
      <c r="N854" s="972">
        <v>0</v>
      </c>
      <c r="O854" s="972">
        <v>0.45700000000000002</v>
      </c>
      <c r="P854" s="972">
        <v>14.284000000000001</v>
      </c>
      <c r="Q854" s="972">
        <v>149.35</v>
      </c>
      <c r="R854" s="962">
        <v>10</v>
      </c>
      <c r="S854" s="962" t="s">
        <v>4940</v>
      </c>
      <c r="T854" s="972">
        <v>49.968666666666664</v>
      </c>
    </row>
    <row r="855" spans="1:20">
      <c r="A855" s="962" t="s">
        <v>1852</v>
      </c>
      <c r="B855" s="972">
        <v>566.68899999999996</v>
      </c>
      <c r="C855" s="972">
        <v>20.969000000000001</v>
      </c>
      <c r="D855" s="972">
        <v>0.155</v>
      </c>
      <c r="E855" s="972">
        <v>3.198</v>
      </c>
      <c r="F855" s="972">
        <v>0.76100000000000001</v>
      </c>
      <c r="G855" s="972">
        <v>0</v>
      </c>
      <c r="H855" s="972">
        <v>0</v>
      </c>
      <c r="I855" s="972">
        <v>12.483000000000001</v>
      </c>
      <c r="J855" s="972">
        <v>2.008</v>
      </c>
      <c r="K855" s="972">
        <v>0</v>
      </c>
      <c r="L855" s="972">
        <v>0</v>
      </c>
      <c r="M855" s="972">
        <v>0</v>
      </c>
      <c r="N855" s="972">
        <v>2.492</v>
      </c>
      <c r="O855" s="972">
        <v>17.742999999999999</v>
      </c>
      <c r="P855" s="972">
        <v>54.512</v>
      </c>
      <c r="Q855" s="972">
        <v>494.43400000000003</v>
      </c>
      <c r="R855" s="962">
        <v>31</v>
      </c>
      <c r="S855" s="962" t="s">
        <v>4940</v>
      </c>
      <c r="T855" s="972">
        <v>174.05116666666666</v>
      </c>
    </row>
    <row r="856" spans="1:20">
      <c r="A856" s="962" t="s">
        <v>141</v>
      </c>
      <c r="B856" s="972">
        <v>92.412999999999997</v>
      </c>
      <c r="C856" s="972">
        <v>3.7949999999999999</v>
      </c>
      <c r="D856" s="972">
        <v>0</v>
      </c>
      <c r="E856" s="972">
        <v>1</v>
      </c>
      <c r="F856" s="972">
        <v>0.20699999999999999</v>
      </c>
      <c r="G856" s="972">
        <v>0</v>
      </c>
      <c r="H856" s="972">
        <v>0</v>
      </c>
      <c r="I856" s="972">
        <v>4.0919999999999996</v>
      </c>
      <c r="J856" s="972">
        <v>0</v>
      </c>
      <c r="K856" s="972">
        <v>0</v>
      </c>
      <c r="L856" s="972">
        <v>0</v>
      </c>
      <c r="M856" s="972">
        <v>0</v>
      </c>
      <c r="N856" s="972">
        <v>7.4690000000000003</v>
      </c>
      <c r="O856" s="972">
        <v>11.768000000000001</v>
      </c>
      <c r="P856" s="972">
        <v>2.6179999999999999</v>
      </c>
      <c r="Q856" s="972">
        <v>78.027000000000001</v>
      </c>
      <c r="R856" s="962">
        <v>4</v>
      </c>
      <c r="S856" s="962" t="s">
        <v>4940</v>
      </c>
      <c r="T856" s="972">
        <v>36.933166666666665</v>
      </c>
    </row>
    <row r="857" spans="1:20">
      <c r="A857" s="962" t="s">
        <v>143</v>
      </c>
      <c r="B857" s="972">
        <v>58.26</v>
      </c>
      <c r="C857" s="972">
        <v>8.2059999999999995</v>
      </c>
      <c r="D857" s="972">
        <v>0</v>
      </c>
      <c r="E857" s="972">
        <v>4.2770000000000001</v>
      </c>
      <c r="F857" s="972">
        <v>0.107</v>
      </c>
      <c r="G857" s="972">
        <v>0</v>
      </c>
      <c r="H857" s="972">
        <v>0</v>
      </c>
      <c r="I857" s="972">
        <v>0.41599999999999998</v>
      </c>
      <c r="J857" s="972">
        <v>0</v>
      </c>
      <c r="K857" s="972">
        <v>0</v>
      </c>
      <c r="L857" s="972">
        <v>0</v>
      </c>
      <c r="M857" s="972">
        <v>0</v>
      </c>
      <c r="N857" s="972">
        <v>2.8090000000000002</v>
      </c>
      <c r="O857" s="972">
        <v>3.331</v>
      </c>
      <c r="P857" s="972">
        <v>7.8769999999999998</v>
      </c>
      <c r="Q857" s="972">
        <v>47.052</v>
      </c>
      <c r="R857" s="962">
        <v>3</v>
      </c>
      <c r="S857" s="962" t="s">
        <v>3902</v>
      </c>
      <c r="T857" s="972">
        <v>27.511000000000003</v>
      </c>
    </row>
    <row r="858" spans="1:20">
      <c r="A858" s="962" t="s">
        <v>1847</v>
      </c>
      <c r="B858" s="972">
        <v>100.321</v>
      </c>
      <c r="C858" s="972">
        <v>2.9319999999999999</v>
      </c>
      <c r="D858" s="972">
        <v>0</v>
      </c>
      <c r="E858" s="972">
        <v>2.88</v>
      </c>
      <c r="F858" s="972">
        <v>0.29299999999999998</v>
      </c>
      <c r="G858" s="972">
        <v>0</v>
      </c>
      <c r="H858" s="972">
        <v>0</v>
      </c>
      <c r="I858" s="972">
        <v>2.242</v>
      </c>
      <c r="J858" s="972">
        <v>0</v>
      </c>
      <c r="K858" s="972">
        <v>0</v>
      </c>
      <c r="L858" s="972">
        <v>0</v>
      </c>
      <c r="M858" s="972">
        <v>0</v>
      </c>
      <c r="N858" s="972">
        <v>1.9490000000000001</v>
      </c>
      <c r="O858" s="972">
        <v>4.4829999999999997</v>
      </c>
      <c r="P858" s="972">
        <v>8.4550000000000001</v>
      </c>
      <c r="Q858" s="972">
        <v>87.382999999999996</v>
      </c>
      <c r="R858" s="962">
        <v>10</v>
      </c>
      <c r="S858" s="962" t="s">
        <v>3902</v>
      </c>
      <c r="T858" s="972">
        <v>26.183500000000002</v>
      </c>
    </row>
    <row r="859" spans="1:20">
      <c r="A859" s="962" t="s">
        <v>145</v>
      </c>
      <c r="B859" s="972">
        <v>984.05</v>
      </c>
      <c r="C859" s="972">
        <v>21.763999999999999</v>
      </c>
      <c r="D859" s="972">
        <v>0.40899999999999997</v>
      </c>
      <c r="E859" s="972">
        <v>14.278</v>
      </c>
      <c r="F859" s="972">
        <v>1.149</v>
      </c>
      <c r="G859" s="972">
        <v>0.02</v>
      </c>
      <c r="H859" s="972">
        <v>0.36399999999999999</v>
      </c>
      <c r="I859" s="972">
        <v>24.678000000000001</v>
      </c>
      <c r="J859" s="972">
        <v>7.843</v>
      </c>
      <c r="K859" s="972">
        <v>0</v>
      </c>
      <c r="L859" s="972">
        <v>0</v>
      </c>
      <c r="M859" s="972">
        <v>0</v>
      </c>
      <c r="N859" s="972">
        <v>0</v>
      </c>
      <c r="O859" s="972">
        <v>34.052999999999997</v>
      </c>
      <c r="P859" s="972">
        <v>70.608999999999995</v>
      </c>
      <c r="Q859" s="972">
        <v>879.38699999999994</v>
      </c>
      <c r="R859" s="962">
        <v>90</v>
      </c>
      <c r="S859" s="962" t="s">
        <v>4940</v>
      </c>
      <c r="T859" s="972">
        <v>277.565</v>
      </c>
    </row>
    <row r="860" spans="1:20">
      <c r="A860" s="962" t="s">
        <v>147</v>
      </c>
      <c r="B860" s="972">
        <v>141.17400000000001</v>
      </c>
      <c r="C860" s="972">
        <v>1.875</v>
      </c>
      <c r="D860" s="972">
        <v>0</v>
      </c>
      <c r="E860" s="972">
        <v>14.446</v>
      </c>
      <c r="F860" s="972">
        <v>5.1999999999999998E-2</v>
      </c>
      <c r="G860" s="972">
        <v>0</v>
      </c>
      <c r="H860" s="972">
        <v>0</v>
      </c>
      <c r="I860" s="972">
        <v>0.42599999999999999</v>
      </c>
      <c r="J860" s="972">
        <v>0</v>
      </c>
      <c r="K860" s="972">
        <v>0</v>
      </c>
      <c r="L860" s="972">
        <v>0.68799999999999994</v>
      </c>
      <c r="M860" s="972">
        <v>0</v>
      </c>
      <c r="N860" s="972">
        <v>0</v>
      </c>
      <c r="O860" s="972">
        <v>1.167</v>
      </c>
      <c r="P860" s="972">
        <v>8.08</v>
      </c>
      <c r="Q860" s="972">
        <v>131.92699999999999</v>
      </c>
      <c r="R860" s="962">
        <v>5</v>
      </c>
      <c r="S860" s="962" t="s">
        <v>4940</v>
      </c>
      <c r="T860" s="972">
        <v>48.947999999999993</v>
      </c>
    </row>
    <row r="861" spans="1:20">
      <c r="A861" s="962" t="s">
        <v>149</v>
      </c>
      <c r="B861" s="972">
        <v>192.495</v>
      </c>
      <c r="C861" s="972">
        <v>0.84699999999999998</v>
      </c>
      <c r="D861" s="972">
        <v>0</v>
      </c>
      <c r="E861" s="972">
        <v>1.6679999999999999</v>
      </c>
      <c r="F861" s="972">
        <v>0.48099999999999998</v>
      </c>
      <c r="G861" s="972">
        <v>0</v>
      </c>
      <c r="H861" s="972">
        <v>0</v>
      </c>
      <c r="I861" s="972">
        <v>5.5190000000000001</v>
      </c>
      <c r="J861" s="972">
        <v>0.57699999999999996</v>
      </c>
      <c r="K861" s="972">
        <v>0</v>
      </c>
      <c r="L861" s="972">
        <v>0</v>
      </c>
      <c r="M861" s="972">
        <v>0</v>
      </c>
      <c r="N861" s="972">
        <v>0</v>
      </c>
      <c r="O861" s="972">
        <v>6.5780000000000003</v>
      </c>
      <c r="P861" s="972">
        <v>9.1080000000000005</v>
      </c>
      <c r="Q861" s="972">
        <v>176.809</v>
      </c>
      <c r="R861" s="962">
        <v>4</v>
      </c>
      <c r="S861" s="962" t="s">
        <v>4940</v>
      </c>
      <c r="T861" s="972">
        <v>48.572500000000005</v>
      </c>
    </row>
    <row r="862" spans="1:20">
      <c r="A862" s="962" t="s">
        <v>1956</v>
      </c>
      <c r="B862" s="972">
        <v>1580.7860000000001</v>
      </c>
      <c r="C862" s="972">
        <v>82.777000000000001</v>
      </c>
      <c r="D862" s="972">
        <v>0.79500000000000004</v>
      </c>
      <c r="E862" s="972">
        <v>60.295999999999999</v>
      </c>
      <c r="F862" s="972">
        <v>1.7569999999999999</v>
      </c>
      <c r="G862" s="972">
        <v>0</v>
      </c>
      <c r="H862" s="972">
        <v>0</v>
      </c>
      <c r="I862" s="972">
        <v>20.856999999999999</v>
      </c>
      <c r="J862" s="972">
        <v>10.67</v>
      </c>
      <c r="K862" s="972">
        <v>0</v>
      </c>
      <c r="L862" s="972">
        <v>4.22</v>
      </c>
      <c r="M862" s="972">
        <v>0</v>
      </c>
      <c r="N862" s="972">
        <v>0</v>
      </c>
      <c r="O862" s="972">
        <v>37.503</v>
      </c>
      <c r="P862" s="972">
        <v>77.221000000000004</v>
      </c>
      <c r="Q862" s="972">
        <v>1466.0630000000001</v>
      </c>
      <c r="R862" s="962">
        <v>94</v>
      </c>
      <c r="S862" s="962" t="s">
        <v>4940</v>
      </c>
      <c r="T862" s="972">
        <v>406.13200000000001</v>
      </c>
    </row>
    <row r="863" spans="1:20">
      <c r="A863" s="962" t="s">
        <v>1958</v>
      </c>
      <c r="B863" s="972">
        <v>761.27</v>
      </c>
      <c r="C863" s="972">
        <v>68.811000000000007</v>
      </c>
      <c r="D863" s="972">
        <v>0.08</v>
      </c>
      <c r="E863" s="972">
        <v>23.757999999999999</v>
      </c>
      <c r="F863" s="972">
        <v>0.97099999999999997</v>
      </c>
      <c r="G863" s="972">
        <v>0</v>
      </c>
      <c r="H863" s="972">
        <v>0</v>
      </c>
      <c r="I863" s="972">
        <v>22.951000000000001</v>
      </c>
      <c r="J863" s="972">
        <v>6.468</v>
      </c>
      <c r="K863" s="972">
        <v>0</v>
      </c>
      <c r="L863" s="972">
        <v>0.74199999999999999</v>
      </c>
      <c r="M863" s="972">
        <v>0</v>
      </c>
      <c r="N863" s="972">
        <v>0</v>
      </c>
      <c r="O863" s="972">
        <v>31.132000000000001</v>
      </c>
      <c r="P863" s="972">
        <v>59.618000000000002</v>
      </c>
      <c r="Q863" s="972">
        <v>670.52</v>
      </c>
      <c r="R863" s="962">
        <v>50</v>
      </c>
      <c r="S863" s="962" t="s">
        <v>4940</v>
      </c>
      <c r="T863" s="972">
        <v>225.56383333333332</v>
      </c>
    </row>
    <row r="864" spans="1:20">
      <c r="A864" s="962" t="s">
        <v>1960</v>
      </c>
      <c r="B864" s="972">
        <v>100.074</v>
      </c>
      <c r="C864" s="972">
        <v>0</v>
      </c>
      <c r="D864" s="972">
        <v>0</v>
      </c>
      <c r="E864" s="972">
        <v>5.6790000000000003</v>
      </c>
      <c r="F864" s="972">
        <v>8.3000000000000004E-2</v>
      </c>
      <c r="G864" s="972">
        <v>0</v>
      </c>
      <c r="H864" s="972">
        <v>0</v>
      </c>
      <c r="I864" s="972">
        <v>0</v>
      </c>
      <c r="J864" s="972">
        <v>0</v>
      </c>
      <c r="K864" s="972">
        <v>0</v>
      </c>
      <c r="L864" s="972">
        <v>0.83399999999999996</v>
      </c>
      <c r="M864" s="972">
        <v>0</v>
      </c>
      <c r="N864" s="972">
        <v>0</v>
      </c>
      <c r="O864" s="972">
        <v>0.91700000000000004</v>
      </c>
      <c r="P864" s="972">
        <v>10.586</v>
      </c>
      <c r="Q864" s="972">
        <v>88.57</v>
      </c>
      <c r="R864" s="962">
        <v>4</v>
      </c>
      <c r="S864" s="962" t="s">
        <v>4940</v>
      </c>
      <c r="T864" s="972">
        <v>51.462166666666661</v>
      </c>
    </row>
    <row r="865" spans="1:20">
      <c r="A865" s="962" t="s">
        <v>2039</v>
      </c>
      <c r="B865" s="972">
        <v>91.067999999999998</v>
      </c>
      <c r="C865" s="972">
        <v>0</v>
      </c>
      <c r="D865" s="972">
        <v>0</v>
      </c>
      <c r="E865" s="972">
        <v>4.8369999999999997</v>
      </c>
      <c r="F865" s="972">
        <v>0.12</v>
      </c>
      <c r="G865" s="972">
        <v>0</v>
      </c>
      <c r="H865" s="972">
        <v>0</v>
      </c>
      <c r="I865" s="972">
        <v>1.27</v>
      </c>
      <c r="J865" s="972">
        <v>0.182</v>
      </c>
      <c r="K865" s="972">
        <v>0</v>
      </c>
      <c r="L865" s="972">
        <v>0</v>
      </c>
      <c r="M865" s="972">
        <v>0</v>
      </c>
      <c r="N865" s="972">
        <v>0</v>
      </c>
      <c r="O865" s="972">
        <v>1.5720000000000001</v>
      </c>
      <c r="P865" s="972">
        <v>0</v>
      </c>
      <c r="Q865" s="972">
        <v>89.495999999999995</v>
      </c>
      <c r="R865" s="962">
        <v>3</v>
      </c>
      <c r="S865" s="962" t="s">
        <v>4940</v>
      </c>
      <c r="T865" s="972">
        <v>0</v>
      </c>
    </row>
    <row r="866" spans="1:20">
      <c r="A866" s="962" t="s">
        <v>2041</v>
      </c>
      <c r="B866" s="972">
        <v>133.63300000000001</v>
      </c>
      <c r="C866" s="972">
        <v>1.71</v>
      </c>
      <c r="D866" s="972">
        <v>7.4999999999999997E-2</v>
      </c>
      <c r="E866" s="972">
        <v>4.8339999999999996</v>
      </c>
      <c r="F866" s="972">
        <v>0.191</v>
      </c>
      <c r="G866" s="972">
        <v>0</v>
      </c>
      <c r="H866" s="972">
        <v>0</v>
      </c>
      <c r="I866" s="972">
        <v>3.2679999999999998</v>
      </c>
      <c r="J866" s="972">
        <v>0</v>
      </c>
      <c r="K866" s="972">
        <v>0</v>
      </c>
      <c r="L866" s="972">
        <v>0.74299999999999999</v>
      </c>
      <c r="M866" s="972">
        <v>0</v>
      </c>
      <c r="N866" s="972">
        <v>0</v>
      </c>
      <c r="O866" s="972">
        <v>4.202</v>
      </c>
      <c r="P866" s="972">
        <v>9.3919999999999995</v>
      </c>
      <c r="Q866" s="972">
        <v>120.039</v>
      </c>
      <c r="R866" s="962">
        <v>2</v>
      </c>
      <c r="S866" s="962" t="s">
        <v>4940</v>
      </c>
      <c r="T866" s="972">
        <v>35.81066666666667</v>
      </c>
    </row>
    <row r="867" spans="1:20">
      <c r="A867" s="962" t="s">
        <v>1825</v>
      </c>
      <c r="B867" s="972">
        <v>204.62899999999999</v>
      </c>
      <c r="C867" s="972">
        <v>0</v>
      </c>
      <c r="D867" s="972">
        <v>0</v>
      </c>
      <c r="E867" s="972">
        <v>13.981</v>
      </c>
      <c r="F867" s="972">
        <v>0.19800000000000001</v>
      </c>
      <c r="G867" s="972">
        <v>0</v>
      </c>
      <c r="H867" s="972">
        <v>0</v>
      </c>
      <c r="I867" s="972">
        <v>0.86099999999999999</v>
      </c>
      <c r="J867" s="972">
        <v>0</v>
      </c>
      <c r="K867" s="972">
        <v>0</v>
      </c>
      <c r="L867" s="972">
        <v>1.2070000000000001</v>
      </c>
      <c r="M867" s="972">
        <v>0</v>
      </c>
      <c r="N867" s="972">
        <v>0</v>
      </c>
      <c r="O867" s="972">
        <v>2.2669999999999999</v>
      </c>
      <c r="P867" s="972">
        <v>16.297000000000001</v>
      </c>
      <c r="Q867" s="972">
        <v>186.066</v>
      </c>
      <c r="R867" s="962">
        <v>2</v>
      </c>
      <c r="S867" s="962" t="s">
        <v>4940</v>
      </c>
      <c r="T867" s="972">
        <v>46.012999999999991</v>
      </c>
    </row>
    <row r="868" spans="1:20">
      <c r="A868" s="962" t="s">
        <v>1827</v>
      </c>
      <c r="B868" s="972">
        <v>270.17399999999998</v>
      </c>
      <c r="C868" s="972">
        <v>0.25</v>
      </c>
      <c r="D868" s="972">
        <v>0</v>
      </c>
      <c r="E868" s="972">
        <v>13.617000000000001</v>
      </c>
      <c r="F868" s="972">
        <v>0.503</v>
      </c>
      <c r="G868" s="972">
        <v>0</v>
      </c>
      <c r="H868" s="972">
        <v>0</v>
      </c>
      <c r="I868" s="972">
        <v>3.5150000000000001</v>
      </c>
      <c r="J868" s="972">
        <v>3.0720000000000001</v>
      </c>
      <c r="K868" s="972">
        <v>0.90700000000000003</v>
      </c>
      <c r="L868" s="972">
        <v>0</v>
      </c>
      <c r="M868" s="972">
        <v>0</v>
      </c>
      <c r="N868" s="972">
        <v>0</v>
      </c>
      <c r="O868" s="972">
        <v>7.9969999999999999</v>
      </c>
      <c r="P868" s="972">
        <v>20.204000000000001</v>
      </c>
      <c r="Q868" s="972">
        <v>241.97300000000001</v>
      </c>
      <c r="R868" s="962">
        <v>22</v>
      </c>
      <c r="S868" s="962" t="s">
        <v>4940</v>
      </c>
      <c r="T868" s="972">
        <v>76.745500000000007</v>
      </c>
    </row>
    <row r="869" spans="1:20">
      <c r="A869" s="962" t="s">
        <v>1163</v>
      </c>
      <c r="B869" s="972">
        <v>379.78399999999999</v>
      </c>
      <c r="C869" s="972">
        <v>49.268000000000001</v>
      </c>
      <c r="D869" s="972">
        <v>0</v>
      </c>
      <c r="E869" s="972">
        <v>2.5619999999999998</v>
      </c>
      <c r="F869" s="972">
        <v>0.25800000000000001</v>
      </c>
      <c r="G869" s="972">
        <v>0</v>
      </c>
      <c r="H869" s="972">
        <v>0</v>
      </c>
      <c r="I869" s="972">
        <v>7.5419999999999998</v>
      </c>
      <c r="J869" s="972">
        <v>1.0999999999999999E-2</v>
      </c>
      <c r="K869" s="972">
        <v>0</v>
      </c>
      <c r="L869" s="972">
        <v>0</v>
      </c>
      <c r="M869" s="972">
        <v>0</v>
      </c>
      <c r="N869" s="972">
        <v>0</v>
      </c>
      <c r="O869" s="972">
        <v>7.8109999999999999</v>
      </c>
      <c r="P869" s="972">
        <v>0</v>
      </c>
      <c r="Q869" s="972">
        <v>371.97300000000001</v>
      </c>
      <c r="R869" s="962">
        <v>0</v>
      </c>
      <c r="S869" s="962" t="s">
        <v>4940</v>
      </c>
      <c r="T869" s="972">
        <v>0</v>
      </c>
    </row>
    <row r="870" spans="1:20">
      <c r="A870" s="962" t="s">
        <v>238</v>
      </c>
      <c r="B870" s="972">
        <v>47888.474000000002</v>
      </c>
      <c r="C870" s="972">
        <v>5033.4539999999997</v>
      </c>
      <c r="D870" s="972">
        <v>13.135999999999999</v>
      </c>
      <c r="E870" s="972">
        <v>1150.2329999999999</v>
      </c>
      <c r="F870" s="972">
        <v>68.102999999999994</v>
      </c>
      <c r="G870" s="972">
        <v>1.5409999999999999</v>
      </c>
      <c r="H870" s="972">
        <v>1.9419999999999999</v>
      </c>
      <c r="I870" s="972">
        <v>429.31900000000002</v>
      </c>
      <c r="J870" s="972">
        <v>321.35000000000002</v>
      </c>
      <c r="K870" s="972">
        <v>3.2189999999999999</v>
      </c>
      <c r="L870" s="972">
        <v>7.6360000000000001</v>
      </c>
      <c r="M870" s="972">
        <v>0</v>
      </c>
      <c r="N870" s="972">
        <v>4.9219999999999997</v>
      </c>
      <c r="O870" s="972">
        <v>838.029</v>
      </c>
      <c r="P870" s="972">
        <v>1651.992</v>
      </c>
      <c r="Q870" s="972">
        <v>45398.453000000001</v>
      </c>
      <c r="R870" s="962">
        <v>3590</v>
      </c>
      <c r="S870" s="962" t="s">
        <v>4940</v>
      </c>
      <c r="T870" s="972">
        <v>13289.959833333334</v>
      </c>
    </row>
    <row r="871" spans="1:20">
      <c r="A871" s="962" t="s">
        <v>1829</v>
      </c>
      <c r="B871" s="972">
        <v>6539.9030000000002</v>
      </c>
      <c r="C871" s="972">
        <v>143.75299999999999</v>
      </c>
      <c r="D871" s="972">
        <v>0.40500000000000003</v>
      </c>
      <c r="E871" s="972">
        <v>161.268</v>
      </c>
      <c r="F871" s="972">
        <v>7.1559999999999997</v>
      </c>
      <c r="G871" s="972">
        <v>0.22800000000000001</v>
      </c>
      <c r="H871" s="972">
        <v>0</v>
      </c>
      <c r="I871" s="972">
        <v>91.447999999999993</v>
      </c>
      <c r="J871" s="972">
        <v>33.472000000000001</v>
      </c>
      <c r="K871" s="972">
        <v>0</v>
      </c>
      <c r="L871" s="972">
        <v>1.647</v>
      </c>
      <c r="M871" s="972">
        <v>0</v>
      </c>
      <c r="N871" s="972">
        <v>4.5369999999999999</v>
      </c>
      <c r="O871" s="972">
        <v>138.48699999999999</v>
      </c>
      <c r="P871" s="972">
        <v>349.14600000000002</v>
      </c>
      <c r="Q871" s="972">
        <v>6052.2690000000002</v>
      </c>
      <c r="R871" s="962">
        <v>306</v>
      </c>
      <c r="S871" s="962" t="s">
        <v>4940</v>
      </c>
      <c r="T871" s="972">
        <v>1868.8461666666667</v>
      </c>
    </row>
    <row r="872" spans="1:20">
      <c r="A872" s="962" t="s">
        <v>859</v>
      </c>
      <c r="B872" s="972">
        <v>5941.2179999999998</v>
      </c>
      <c r="C872" s="972">
        <v>849.87300000000005</v>
      </c>
      <c r="D872" s="972">
        <v>2.742</v>
      </c>
      <c r="E872" s="972">
        <v>119.81399999999999</v>
      </c>
      <c r="F872" s="972">
        <v>2.782</v>
      </c>
      <c r="G872" s="972">
        <v>0.6</v>
      </c>
      <c r="H872" s="972">
        <v>0</v>
      </c>
      <c r="I872" s="972">
        <v>77.960999999999999</v>
      </c>
      <c r="J872" s="972">
        <v>42.317</v>
      </c>
      <c r="K872" s="972">
        <v>0</v>
      </c>
      <c r="L872" s="972">
        <v>7</v>
      </c>
      <c r="M872" s="972">
        <v>0</v>
      </c>
      <c r="N872" s="972">
        <v>1.244</v>
      </c>
      <c r="O872" s="972">
        <v>131.90299999999999</v>
      </c>
      <c r="P872" s="972">
        <v>382.55599999999998</v>
      </c>
      <c r="Q872" s="972">
        <v>5426.7579999999998</v>
      </c>
      <c r="R872" s="962">
        <v>251</v>
      </c>
      <c r="S872" s="962" t="s">
        <v>4940</v>
      </c>
      <c r="T872" s="972">
        <v>1594.4744999999998</v>
      </c>
    </row>
    <row r="873" spans="1:20">
      <c r="A873" s="962" t="s">
        <v>3001</v>
      </c>
      <c r="B873" s="972">
        <v>11064.287</v>
      </c>
      <c r="C873" s="972">
        <v>1064.0409999999999</v>
      </c>
      <c r="D873" s="972">
        <v>0</v>
      </c>
      <c r="E873" s="972">
        <v>441.84699999999998</v>
      </c>
      <c r="F873" s="972">
        <v>17.106000000000002</v>
      </c>
      <c r="G873" s="972">
        <v>0.91300000000000003</v>
      </c>
      <c r="H873" s="972">
        <v>0</v>
      </c>
      <c r="I873" s="972">
        <v>152.45699999999999</v>
      </c>
      <c r="J873" s="972">
        <v>110.605</v>
      </c>
      <c r="K873" s="972">
        <v>6.2E-2</v>
      </c>
      <c r="L873" s="972">
        <v>5.0419999999999998</v>
      </c>
      <c r="M873" s="972">
        <v>0</v>
      </c>
      <c r="N873" s="972">
        <v>1.577</v>
      </c>
      <c r="O873" s="972">
        <v>287.762</v>
      </c>
      <c r="P873" s="972">
        <v>465.346</v>
      </c>
      <c r="Q873" s="972">
        <v>10311.179</v>
      </c>
      <c r="R873" s="962">
        <v>906</v>
      </c>
      <c r="S873" s="962" t="s">
        <v>4940</v>
      </c>
      <c r="T873" s="972">
        <v>3238.3793333333333</v>
      </c>
    </row>
    <row r="874" spans="1:20">
      <c r="A874" s="962" t="s">
        <v>2405</v>
      </c>
      <c r="B874" s="972">
        <v>3266.2060000000001</v>
      </c>
      <c r="C874" s="972">
        <v>250.45500000000001</v>
      </c>
      <c r="D874" s="972">
        <v>0.95899999999999996</v>
      </c>
      <c r="E874" s="972">
        <v>126.54300000000001</v>
      </c>
      <c r="F874" s="972">
        <v>4.1360000000000001</v>
      </c>
      <c r="G874" s="972">
        <v>0.40699999999999997</v>
      </c>
      <c r="H874" s="972">
        <v>0</v>
      </c>
      <c r="I874" s="972">
        <v>20.855</v>
      </c>
      <c r="J874" s="972">
        <v>17.154</v>
      </c>
      <c r="K874" s="972">
        <v>0.107</v>
      </c>
      <c r="L874" s="972">
        <v>0.313</v>
      </c>
      <c r="M874" s="972">
        <v>0</v>
      </c>
      <c r="N874" s="972">
        <v>0</v>
      </c>
      <c r="O874" s="972">
        <v>42.972000000000001</v>
      </c>
      <c r="P874" s="972">
        <v>249.49299999999999</v>
      </c>
      <c r="Q874" s="972">
        <v>2973.741</v>
      </c>
      <c r="R874" s="962">
        <v>199</v>
      </c>
      <c r="S874" s="962" t="s">
        <v>4940</v>
      </c>
      <c r="T874" s="972">
        <v>898.81416666666678</v>
      </c>
    </row>
    <row r="875" spans="1:20">
      <c r="A875" s="962" t="s">
        <v>2907</v>
      </c>
      <c r="B875" s="972">
        <v>9482.7350000000006</v>
      </c>
      <c r="C875" s="972">
        <v>1637.9970000000001</v>
      </c>
      <c r="D875" s="972">
        <v>3.1880000000000002</v>
      </c>
      <c r="E875" s="972">
        <v>270.822</v>
      </c>
      <c r="F875" s="972">
        <v>8.4870000000000001</v>
      </c>
      <c r="G875" s="972">
        <v>0.77400000000000002</v>
      </c>
      <c r="H875" s="972">
        <v>0</v>
      </c>
      <c r="I875" s="972">
        <v>185.89</v>
      </c>
      <c r="J875" s="972">
        <v>64.185000000000002</v>
      </c>
      <c r="K875" s="972">
        <v>12.972</v>
      </c>
      <c r="L875" s="972">
        <v>0</v>
      </c>
      <c r="M875" s="972">
        <v>0</v>
      </c>
      <c r="N875" s="972">
        <v>4.4989999999999997</v>
      </c>
      <c r="O875" s="972">
        <v>276.80399999999997</v>
      </c>
      <c r="P875" s="972">
        <v>688.93700000000001</v>
      </c>
      <c r="Q875" s="972">
        <v>8516.9940000000006</v>
      </c>
      <c r="R875" s="962">
        <v>596</v>
      </c>
      <c r="S875" s="962" t="s">
        <v>4940</v>
      </c>
      <c r="T875" s="972">
        <v>2363.7294999999999</v>
      </c>
    </row>
    <row r="876" spans="1:20">
      <c r="A876" s="962" t="s">
        <v>1222</v>
      </c>
      <c r="B876" s="972">
        <v>4197.4790000000003</v>
      </c>
      <c r="C876" s="972">
        <v>1226.575</v>
      </c>
      <c r="D876" s="972">
        <v>2.0950000000000002</v>
      </c>
      <c r="E876" s="972">
        <v>87.188000000000002</v>
      </c>
      <c r="F876" s="972">
        <v>4.0869999999999997</v>
      </c>
      <c r="G876" s="972">
        <v>0.373</v>
      </c>
      <c r="H876" s="972">
        <v>0</v>
      </c>
      <c r="I876" s="972">
        <v>85.813000000000002</v>
      </c>
      <c r="J876" s="972">
        <v>19.048999999999999</v>
      </c>
      <c r="K876" s="972">
        <v>0</v>
      </c>
      <c r="L876" s="972">
        <v>0.23100000000000001</v>
      </c>
      <c r="M876" s="972">
        <v>0</v>
      </c>
      <c r="N876" s="972">
        <v>0</v>
      </c>
      <c r="O876" s="972">
        <v>109.55</v>
      </c>
      <c r="P876" s="972">
        <v>175.33799999999999</v>
      </c>
      <c r="Q876" s="972">
        <v>3912.5909999999999</v>
      </c>
      <c r="R876" s="962">
        <v>241</v>
      </c>
      <c r="S876" s="962" t="s">
        <v>4940</v>
      </c>
      <c r="T876" s="972">
        <v>1070.8411666666666</v>
      </c>
    </row>
    <row r="877" spans="1:20">
      <c r="A877" s="962" t="s">
        <v>1224</v>
      </c>
      <c r="B877" s="972">
        <v>496.02800000000002</v>
      </c>
      <c r="C877" s="972">
        <v>81.147000000000006</v>
      </c>
      <c r="D877" s="972">
        <v>0</v>
      </c>
      <c r="E877" s="972">
        <v>3.875</v>
      </c>
      <c r="F877" s="972">
        <v>0.43</v>
      </c>
      <c r="G877" s="972">
        <v>0</v>
      </c>
      <c r="H877" s="972">
        <v>0</v>
      </c>
      <c r="I877" s="972">
        <v>11.784000000000001</v>
      </c>
      <c r="J877" s="972">
        <v>2.3159999999999998</v>
      </c>
      <c r="K877" s="972">
        <v>0</v>
      </c>
      <c r="L877" s="972">
        <v>0</v>
      </c>
      <c r="M877" s="972">
        <v>0</v>
      </c>
      <c r="N877" s="972">
        <v>0</v>
      </c>
      <c r="O877" s="972">
        <v>14.529</v>
      </c>
      <c r="P877" s="972">
        <v>32.774000000000001</v>
      </c>
      <c r="Q877" s="972">
        <v>448.72399999999999</v>
      </c>
      <c r="R877" s="962">
        <v>43</v>
      </c>
      <c r="S877" s="962" t="s">
        <v>4940</v>
      </c>
      <c r="T877" s="972">
        <v>158.07416666666666</v>
      </c>
    </row>
    <row r="878" spans="1:20">
      <c r="A878" s="962" t="s">
        <v>5375</v>
      </c>
      <c r="B878" s="972">
        <v>1184.4559999999999</v>
      </c>
      <c r="C878" s="972">
        <v>75.56</v>
      </c>
      <c r="D878" s="972">
        <v>1.1970000000000001</v>
      </c>
      <c r="E878" s="972">
        <v>68.92</v>
      </c>
      <c r="F878" s="972">
        <v>2.907</v>
      </c>
      <c r="G878" s="972">
        <v>0.45300000000000001</v>
      </c>
      <c r="H878" s="972">
        <v>0</v>
      </c>
      <c r="I878" s="972">
        <v>12.523999999999999</v>
      </c>
      <c r="J878" s="972">
        <v>11.12</v>
      </c>
      <c r="K878" s="972">
        <v>0.159</v>
      </c>
      <c r="L878" s="972">
        <v>0</v>
      </c>
      <c r="M878" s="972">
        <v>0</v>
      </c>
      <c r="N878" s="972">
        <v>0</v>
      </c>
      <c r="O878" s="972">
        <v>27.163</v>
      </c>
      <c r="P878" s="972">
        <v>85.236999999999995</v>
      </c>
      <c r="Q878" s="972">
        <v>1072.057</v>
      </c>
      <c r="R878" s="962">
        <v>50</v>
      </c>
      <c r="S878" s="962" t="s">
        <v>4940</v>
      </c>
      <c r="T878" s="972">
        <v>351.62716666666665</v>
      </c>
    </row>
    <row r="879" spans="1:20">
      <c r="A879" s="962" t="s">
        <v>5377</v>
      </c>
      <c r="B879" s="972">
        <v>943.09699999999998</v>
      </c>
      <c r="C879" s="972">
        <v>15.266999999999999</v>
      </c>
      <c r="D879" s="972">
        <v>0.83499999999999996</v>
      </c>
      <c r="E879" s="972">
        <v>30.193000000000001</v>
      </c>
      <c r="F879" s="972">
        <v>1.8759999999999999</v>
      </c>
      <c r="G879" s="972">
        <v>3.4000000000000002E-2</v>
      </c>
      <c r="H879" s="972">
        <v>0</v>
      </c>
      <c r="I879" s="972">
        <v>13.340999999999999</v>
      </c>
      <c r="J879" s="972">
        <v>9.2609999999999992</v>
      </c>
      <c r="K879" s="972">
        <v>2.008</v>
      </c>
      <c r="L879" s="972">
        <v>0</v>
      </c>
      <c r="M879" s="972">
        <v>0</v>
      </c>
      <c r="N879" s="972">
        <v>0</v>
      </c>
      <c r="O879" s="972">
        <v>26.521000000000001</v>
      </c>
      <c r="P879" s="972">
        <v>61.545999999999999</v>
      </c>
      <c r="Q879" s="972">
        <v>855.03</v>
      </c>
      <c r="R879" s="962">
        <v>68</v>
      </c>
      <c r="S879" s="962" t="s">
        <v>4940</v>
      </c>
      <c r="T879" s="972">
        <v>271.86099999999999</v>
      </c>
    </row>
    <row r="880" spans="1:20">
      <c r="A880" s="962" t="s">
        <v>5379</v>
      </c>
      <c r="B880" s="972">
        <v>174.27199999999999</v>
      </c>
      <c r="C880" s="972">
        <v>1.4379999999999999</v>
      </c>
      <c r="D880" s="972">
        <v>0</v>
      </c>
      <c r="E880" s="972">
        <v>4.9649999999999999</v>
      </c>
      <c r="F880" s="972">
        <v>0.14499999999999999</v>
      </c>
      <c r="G880" s="972">
        <v>0</v>
      </c>
      <c r="H880" s="972">
        <v>0</v>
      </c>
      <c r="I880" s="972">
        <v>1.7929999999999999</v>
      </c>
      <c r="J880" s="972">
        <v>0.34300000000000003</v>
      </c>
      <c r="K880" s="972">
        <v>0</v>
      </c>
      <c r="L880" s="972">
        <v>0</v>
      </c>
      <c r="M880" s="972">
        <v>0</v>
      </c>
      <c r="N880" s="972">
        <v>0</v>
      </c>
      <c r="O880" s="972">
        <v>2.2810000000000001</v>
      </c>
      <c r="P880" s="972">
        <v>12.132</v>
      </c>
      <c r="Q880" s="972">
        <v>159.85900000000001</v>
      </c>
      <c r="R880" s="962">
        <v>21</v>
      </c>
      <c r="S880" s="962" t="s">
        <v>4940</v>
      </c>
      <c r="T880" s="972">
        <v>45.54366666666666</v>
      </c>
    </row>
    <row r="881" spans="1:20">
      <c r="A881" s="962" t="s">
        <v>7800</v>
      </c>
      <c r="B881" s="972">
        <v>255.87100000000001</v>
      </c>
      <c r="C881" s="972">
        <v>0</v>
      </c>
      <c r="D881" s="972">
        <v>0</v>
      </c>
      <c r="E881" s="972">
        <v>0</v>
      </c>
      <c r="F881" s="972">
        <v>0.38700000000000001</v>
      </c>
      <c r="G881" s="972">
        <v>0</v>
      </c>
      <c r="H881" s="972">
        <v>0</v>
      </c>
      <c r="I881" s="972">
        <v>6.4000000000000001E-2</v>
      </c>
      <c r="J881" s="972">
        <v>0</v>
      </c>
      <c r="K881" s="972">
        <v>0</v>
      </c>
      <c r="L881" s="972">
        <v>0</v>
      </c>
      <c r="M881" s="972">
        <v>0</v>
      </c>
      <c r="N881" s="972">
        <v>0</v>
      </c>
      <c r="O881" s="972">
        <v>0.45100000000000001</v>
      </c>
      <c r="P881" s="972">
        <v>0</v>
      </c>
      <c r="Q881" s="972">
        <v>255.42099999999999</v>
      </c>
      <c r="R881" s="962">
        <v>0</v>
      </c>
      <c r="S881" s="962" t="s">
        <v>4940</v>
      </c>
      <c r="T881" s="972">
        <v>0</v>
      </c>
    </row>
    <row r="882" spans="1:20">
      <c r="A882" s="962" t="s">
        <v>642</v>
      </c>
      <c r="B882" s="972">
        <v>322.291</v>
      </c>
      <c r="C882" s="972">
        <v>13.413</v>
      </c>
      <c r="D882" s="972">
        <v>0.32300000000000001</v>
      </c>
      <c r="E882" s="972">
        <v>7.6040000000000001</v>
      </c>
      <c r="F882" s="972">
        <v>0.47299999999999998</v>
      </c>
      <c r="G882" s="972">
        <v>0</v>
      </c>
      <c r="H882" s="972">
        <v>0</v>
      </c>
      <c r="I882" s="972">
        <v>5.35</v>
      </c>
      <c r="J882" s="972">
        <v>0.93</v>
      </c>
      <c r="K882" s="972">
        <v>3.0270000000000001</v>
      </c>
      <c r="L882" s="972">
        <v>0.96299999999999997</v>
      </c>
      <c r="M882" s="972">
        <v>0</v>
      </c>
      <c r="N882" s="972">
        <v>0</v>
      </c>
      <c r="O882" s="972">
        <v>10.742000000000001</v>
      </c>
      <c r="P882" s="972">
        <v>21.251999999999999</v>
      </c>
      <c r="Q882" s="972">
        <v>290.29700000000003</v>
      </c>
      <c r="R882" s="962">
        <v>25</v>
      </c>
      <c r="S882" s="962" t="s">
        <v>4940</v>
      </c>
      <c r="T882" s="972">
        <v>83.351500000000001</v>
      </c>
    </row>
    <row r="883" spans="1:20">
      <c r="A883" s="962" t="s">
        <v>2618</v>
      </c>
      <c r="B883" s="972">
        <v>450.85399999999998</v>
      </c>
      <c r="C883" s="972">
        <v>19.54</v>
      </c>
      <c r="D883" s="972">
        <v>0</v>
      </c>
      <c r="E883" s="972">
        <v>28.654</v>
      </c>
      <c r="F883" s="972">
        <v>0.86199999999999999</v>
      </c>
      <c r="G883" s="972">
        <v>0.183</v>
      </c>
      <c r="H883" s="972">
        <v>0</v>
      </c>
      <c r="I883" s="972">
        <v>4.8739999999999997</v>
      </c>
      <c r="J883" s="972">
        <v>1.496</v>
      </c>
      <c r="K883" s="972">
        <v>0.60199999999999998</v>
      </c>
      <c r="L883" s="972">
        <v>0</v>
      </c>
      <c r="M883" s="972">
        <v>0</v>
      </c>
      <c r="N883" s="972">
        <v>0</v>
      </c>
      <c r="O883" s="972">
        <v>8.0180000000000007</v>
      </c>
      <c r="P883" s="972">
        <v>37.033999999999999</v>
      </c>
      <c r="Q883" s="972">
        <v>405.80200000000002</v>
      </c>
      <c r="R883" s="962">
        <v>37</v>
      </c>
      <c r="S883" s="962" t="s">
        <v>4940</v>
      </c>
      <c r="T883" s="972">
        <v>157.86283333333333</v>
      </c>
    </row>
    <row r="884" spans="1:20">
      <c r="A884" s="962" t="s">
        <v>644</v>
      </c>
      <c r="B884" s="972">
        <v>681.95299999999997</v>
      </c>
      <c r="C884" s="972">
        <v>22.75</v>
      </c>
      <c r="D884" s="972">
        <v>0</v>
      </c>
      <c r="E884" s="972">
        <v>26.457000000000001</v>
      </c>
      <c r="F884" s="972">
        <v>1.2989999999999999</v>
      </c>
      <c r="G884" s="972">
        <v>0</v>
      </c>
      <c r="H884" s="972">
        <v>0</v>
      </c>
      <c r="I884" s="972">
        <v>6.8879999999999999</v>
      </c>
      <c r="J884" s="972">
        <v>0.78</v>
      </c>
      <c r="K884" s="972">
        <v>6.8680000000000003</v>
      </c>
      <c r="L884" s="972">
        <v>1.8460000000000001</v>
      </c>
      <c r="M884" s="972">
        <v>0</v>
      </c>
      <c r="N884" s="972">
        <v>0</v>
      </c>
      <c r="O884" s="972">
        <v>17.68</v>
      </c>
      <c r="P884" s="972">
        <v>61.396000000000001</v>
      </c>
      <c r="Q884" s="972">
        <v>602.87599999999998</v>
      </c>
      <c r="R884" s="962">
        <v>38</v>
      </c>
      <c r="S884" s="962" t="s">
        <v>4940</v>
      </c>
      <c r="T884" s="972">
        <v>199.49583333333334</v>
      </c>
    </row>
    <row r="885" spans="1:20">
      <c r="A885" s="962" t="s">
        <v>2620</v>
      </c>
      <c r="B885" s="972">
        <v>6005.0619999999999</v>
      </c>
      <c r="C885" s="972">
        <v>1234.9849999999999</v>
      </c>
      <c r="D885" s="972">
        <v>3.4740000000000002</v>
      </c>
      <c r="E885" s="972">
        <v>64.733000000000004</v>
      </c>
      <c r="F885" s="972">
        <v>7.0510000000000002</v>
      </c>
      <c r="G885" s="972">
        <v>0.57199999999999995</v>
      </c>
      <c r="H885" s="972">
        <v>0</v>
      </c>
      <c r="I885" s="972">
        <v>89.838999999999999</v>
      </c>
      <c r="J885" s="972">
        <v>23.297000000000001</v>
      </c>
      <c r="K885" s="972">
        <v>15.839</v>
      </c>
      <c r="L885" s="972">
        <v>0.26400000000000001</v>
      </c>
      <c r="M885" s="972">
        <v>0</v>
      </c>
      <c r="N885" s="972">
        <v>0</v>
      </c>
      <c r="O885" s="972">
        <v>136.86000000000001</v>
      </c>
      <c r="P885" s="972">
        <v>305.04599999999999</v>
      </c>
      <c r="Q885" s="972">
        <v>5563.1559999999999</v>
      </c>
      <c r="R885" s="962">
        <v>500</v>
      </c>
      <c r="S885" s="962" t="s">
        <v>4940</v>
      </c>
      <c r="T885" s="972">
        <v>1634.3645000000001</v>
      </c>
    </row>
    <row r="886" spans="1:20">
      <c r="A886" s="962" t="s">
        <v>4588</v>
      </c>
      <c r="B886" s="972">
        <v>790.41800000000001</v>
      </c>
      <c r="C886" s="972">
        <v>40.284999999999997</v>
      </c>
      <c r="D886" s="972">
        <v>0.441</v>
      </c>
      <c r="E886" s="972">
        <v>32.470999999999997</v>
      </c>
      <c r="F886" s="972">
        <v>1.083</v>
      </c>
      <c r="G886" s="972">
        <v>3.6999999999999998E-2</v>
      </c>
      <c r="H886" s="972">
        <v>9.3179999999999996</v>
      </c>
      <c r="I886" s="972">
        <v>2.7109999999999999</v>
      </c>
      <c r="J886" s="972">
        <v>3.8079999999999998</v>
      </c>
      <c r="K886" s="972">
        <v>0</v>
      </c>
      <c r="L886" s="972">
        <v>0.245</v>
      </c>
      <c r="M886" s="972">
        <v>0</v>
      </c>
      <c r="N886" s="972">
        <v>3.6419999999999999</v>
      </c>
      <c r="O886" s="972">
        <v>20.844000000000001</v>
      </c>
      <c r="P886" s="972">
        <v>73.902000000000001</v>
      </c>
      <c r="Q886" s="972">
        <v>695.673</v>
      </c>
      <c r="R886" s="962">
        <v>53</v>
      </c>
      <c r="S886" s="962" t="s">
        <v>4940</v>
      </c>
      <c r="T886" s="972">
        <v>254.36333333333334</v>
      </c>
    </row>
    <row r="887" spans="1:20">
      <c r="A887" s="962" t="s">
        <v>2622</v>
      </c>
      <c r="B887" s="972">
        <v>882.22500000000002</v>
      </c>
      <c r="C887" s="972">
        <v>28.814</v>
      </c>
      <c r="D887" s="972">
        <v>0.42099999999999999</v>
      </c>
      <c r="E887" s="972">
        <v>21.439</v>
      </c>
      <c r="F887" s="972">
        <v>1.083</v>
      </c>
      <c r="G887" s="972">
        <v>0.13600000000000001</v>
      </c>
      <c r="H887" s="972">
        <v>0</v>
      </c>
      <c r="I887" s="972">
        <v>9.1</v>
      </c>
      <c r="J887" s="972">
        <v>0.42099999999999999</v>
      </c>
      <c r="K887" s="972">
        <v>1.92</v>
      </c>
      <c r="L887" s="972">
        <v>4.8109999999999999</v>
      </c>
      <c r="M887" s="972">
        <v>0</v>
      </c>
      <c r="N887" s="972">
        <v>0</v>
      </c>
      <c r="O887" s="972">
        <v>17.469000000000001</v>
      </c>
      <c r="P887" s="972">
        <v>45.811999999999998</v>
      </c>
      <c r="Q887" s="972">
        <v>818.94399999999996</v>
      </c>
      <c r="R887" s="962">
        <v>44</v>
      </c>
      <c r="S887" s="962" t="s">
        <v>4940</v>
      </c>
      <c r="T887" s="972">
        <v>233.15350000000004</v>
      </c>
    </row>
    <row r="888" spans="1:20">
      <c r="A888" s="962" t="s">
        <v>2624</v>
      </c>
      <c r="B888" s="972">
        <v>333.57100000000003</v>
      </c>
      <c r="C888" s="972">
        <v>6.423</v>
      </c>
      <c r="D888" s="972">
        <v>0</v>
      </c>
      <c r="E888" s="972">
        <v>18.606000000000002</v>
      </c>
      <c r="F888" s="972">
        <v>0.48899999999999999</v>
      </c>
      <c r="G888" s="972">
        <v>0</v>
      </c>
      <c r="H888" s="972">
        <v>0</v>
      </c>
      <c r="I888" s="972">
        <v>6.391</v>
      </c>
      <c r="J888" s="972">
        <v>1.67</v>
      </c>
      <c r="K888" s="972">
        <v>0</v>
      </c>
      <c r="L888" s="972">
        <v>0</v>
      </c>
      <c r="M888" s="972">
        <v>0</v>
      </c>
      <c r="N888" s="972">
        <v>0</v>
      </c>
      <c r="O888" s="972">
        <v>8.5500000000000007</v>
      </c>
      <c r="P888" s="972">
        <v>23.068000000000001</v>
      </c>
      <c r="Q888" s="972">
        <v>301.95400000000001</v>
      </c>
      <c r="R888" s="962">
        <v>23</v>
      </c>
      <c r="S888" s="962" t="s">
        <v>4940</v>
      </c>
      <c r="T888" s="972">
        <v>104.53400000000001</v>
      </c>
    </row>
    <row r="889" spans="1:20">
      <c r="A889" s="962" t="s">
        <v>1523</v>
      </c>
      <c r="B889" s="972">
        <v>138.398</v>
      </c>
      <c r="C889" s="972">
        <v>0</v>
      </c>
      <c r="D889" s="972">
        <v>0</v>
      </c>
      <c r="E889" s="972">
        <v>9.1609999999999996</v>
      </c>
      <c r="F889" s="972">
        <v>0.52200000000000002</v>
      </c>
      <c r="G889" s="972">
        <v>0</v>
      </c>
      <c r="H889" s="972">
        <v>0</v>
      </c>
      <c r="I889" s="972">
        <v>0.47499999999999998</v>
      </c>
      <c r="J889" s="972">
        <v>0</v>
      </c>
      <c r="K889" s="972">
        <v>2.5190000000000001</v>
      </c>
      <c r="L889" s="972">
        <v>0</v>
      </c>
      <c r="M889" s="972">
        <v>0</v>
      </c>
      <c r="N889" s="972">
        <v>0</v>
      </c>
      <c r="O889" s="972">
        <v>3.5150000000000001</v>
      </c>
      <c r="P889" s="972">
        <v>0</v>
      </c>
      <c r="Q889" s="972">
        <v>134.88200000000001</v>
      </c>
      <c r="R889" s="962">
        <v>9</v>
      </c>
      <c r="S889" s="962" t="s">
        <v>4940</v>
      </c>
      <c r="T889" s="972">
        <v>6.5781666666666672</v>
      </c>
    </row>
    <row r="890" spans="1:20">
      <c r="A890" s="962" t="s">
        <v>2626</v>
      </c>
      <c r="B890" s="972">
        <v>363.82900000000001</v>
      </c>
      <c r="C890" s="972">
        <v>5.819</v>
      </c>
      <c r="D890" s="972">
        <v>0</v>
      </c>
      <c r="E890" s="972">
        <v>6.2889999999999997</v>
      </c>
      <c r="F890" s="972">
        <v>0.47</v>
      </c>
      <c r="G890" s="972">
        <v>0</v>
      </c>
      <c r="H890" s="972">
        <v>0</v>
      </c>
      <c r="I890" s="972">
        <v>5.6150000000000002</v>
      </c>
      <c r="J890" s="972">
        <v>0.41199999999999998</v>
      </c>
      <c r="K890" s="972">
        <v>0.70099999999999996</v>
      </c>
      <c r="L890" s="972">
        <v>0</v>
      </c>
      <c r="M890" s="972">
        <v>0</v>
      </c>
      <c r="N890" s="972">
        <v>0</v>
      </c>
      <c r="O890" s="972">
        <v>7.1980000000000004</v>
      </c>
      <c r="P890" s="972">
        <v>21.763000000000002</v>
      </c>
      <c r="Q890" s="972">
        <v>334.86799999999999</v>
      </c>
      <c r="R890" s="962">
        <v>32</v>
      </c>
      <c r="S890" s="962" t="s">
        <v>4940</v>
      </c>
      <c r="T890" s="972">
        <v>82.416833333333329</v>
      </c>
    </row>
    <row r="891" spans="1:20">
      <c r="A891" s="962" t="s">
        <v>2628</v>
      </c>
      <c r="B891" s="972">
        <v>788.471</v>
      </c>
      <c r="C891" s="972">
        <v>51.694000000000003</v>
      </c>
      <c r="D891" s="972">
        <v>0</v>
      </c>
      <c r="E891" s="972">
        <v>24.196999999999999</v>
      </c>
      <c r="F891" s="972">
        <v>0.81399999999999995</v>
      </c>
      <c r="G891" s="972">
        <v>0</v>
      </c>
      <c r="H891" s="972">
        <v>0</v>
      </c>
      <c r="I891" s="972">
        <v>9.0850000000000009</v>
      </c>
      <c r="J891" s="972">
        <v>9.1750000000000007</v>
      </c>
      <c r="K891" s="972">
        <v>0</v>
      </c>
      <c r="L891" s="972">
        <v>0</v>
      </c>
      <c r="M891" s="972">
        <v>0</v>
      </c>
      <c r="N891" s="972">
        <v>1.0549999999999999</v>
      </c>
      <c r="O891" s="972">
        <v>20.129000000000001</v>
      </c>
      <c r="P891" s="972">
        <v>67.111999999999995</v>
      </c>
      <c r="Q891" s="972">
        <v>701.23</v>
      </c>
      <c r="R891" s="962">
        <v>31</v>
      </c>
      <c r="S891" s="962" t="s">
        <v>4940</v>
      </c>
      <c r="T891" s="972">
        <v>244.89766666666665</v>
      </c>
    </row>
    <row r="892" spans="1:20">
      <c r="A892" s="962" t="s">
        <v>241</v>
      </c>
      <c r="B892" s="972">
        <v>5342.0789999999997</v>
      </c>
      <c r="C892" s="972">
        <v>875.41499999999996</v>
      </c>
      <c r="D892" s="972">
        <v>3.7469999999999999</v>
      </c>
      <c r="E892" s="972">
        <v>131.51499999999999</v>
      </c>
      <c r="F892" s="972">
        <v>7.9930000000000003</v>
      </c>
      <c r="G892" s="972">
        <v>0.311</v>
      </c>
      <c r="H892" s="972">
        <v>0</v>
      </c>
      <c r="I892" s="972">
        <v>51.134999999999998</v>
      </c>
      <c r="J892" s="972">
        <v>39.256999999999998</v>
      </c>
      <c r="K892" s="972">
        <v>0</v>
      </c>
      <c r="L892" s="972">
        <v>0.36599999999999999</v>
      </c>
      <c r="M892" s="972">
        <v>0</v>
      </c>
      <c r="N892" s="972">
        <v>28.87</v>
      </c>
      <c r="O892" s="972">
        <v>127.932</v>
      </c>
      <c r="P892" s="972">
        <v>334.26100000000002</v>
      </c>
      <c r="Q892" s="972">
        <v>4879.8860000000004</v>
      </c>
      <c r="R892" s="962">
        <v>437</v>
      </c>
      <c r="S892" s="962" t="s">
        <v>4940</v>
      </c>
      <c r="T892" s="972">
        <v>1423.7190000000001</v>
      </c>
    </row>
    <row r="893" spans="1:20">
      <c r="A893" s="962" t="s">
        <v>248</v>
      </c>
      <c r="B893" s="972">
        <v>414.78800000000001</v>
      </c>
      <c r="C893" s="972">
        <v>11.756</v>
      </c>
      <c r="D893" s="972">
        <v>0</v>
      </c>
      <c r="E893" s="972">
        <v>5.181</v>
      </c>
      <c r="F893" s="972">
        <v>0.49099999999999999</v>
      </c>
      <c r="G893" s="972">
        <v>3.5000000000000003E-2</v>
      </c>
      <c r="H893" s="972">
        <v>0</v>
      </c>
      <c r="I893" s="972">
        <v>11.510999999999999</v>
      </c>
      <c r="J893" s="972">
        <v>1.4119999999999999</v>
      </c>
      <c r="K893" s="972">
        <v>0</v>
      </c>
      <c r="L893" s="972">
        <v>0</v>
      </c>
      <c r="M893" s="972">
        <v>0</v>
      </c>
      <c r="N893" s="972">
        <v>0</v>
      </c>
      <c r="O893" s="972">
        <v>13.449</v>
      </c>
      <c r="P893" s="972">
        <v>25.459</v>
      </c>
      <c r="Q893" s="972">
        <v>375.88</v>
      </c>
      <c r="R893" s="962">
        <v>28</v>
      </c>
      <c r="S893" s="962" t="s">
        <v>4940</v>
      </c>
      <c r="T893" s="972">
        <v>120.73816666666666</v>
      </c>
    </row>
    <row r="894" spans="1:20">
      <c r="A894" s="962" t="s">
        <v>5084</v>
      </c>
      <c r="B894" s="972">
        <v>333.92399999999998</v>
      </c>
      <c r="C894" s="972">
        <v>43.359000000000002</v>
      </c>
      <c r="D894" s="972">
        <v>0</v>
      </c>
      <c r="E894" s="972">
        <v>9.4039999999999999</v>
      </c>
      <c r="F894" s="972">
        <v>0.46500000000000002</v>
      </c>
      <c r="G894" s="972">
        <v>0</v>
      </c>
      <c r="H894" s="972">
        <v>0</v>
      </c>
      <c r="I894" s="972">
        <v>4.7149999999999999</v>
      </c>
      <c r="J894" s="972">
        <v>0</v>
      </c>
      <c r="K894" s="972">
        <v>0</v>
      </c>
      <c r="L894" s="972">
        <v>0</v>
      </c>
      <c r="M894" s="972">
        <v>0</v>
      </c>
      <c r="N894" s="972">
        <v>0</v>
      </c>
      <c r="O894" s="972">
        <v>5.18</v>
      </c>
      <c r="P894" s="972">
        <v>21.942</v>
      </c>
      <c r="Q894" s="972">
        <v>306.80200000000002</v>
      </c>
      <c r="R894" s="962">
        <v>24</v>
      </c>
      <c r="S894" s="962" t="s">
        <v>4940</v>
      </c>
      <c r="T894" s="972">
        <v>83.752666666666656</v>
      </c>
    </row>
    <row r="895" spans="1:20">
      <c r="A895" s="962" t="s">
        <v>2534</v>
      </c>
      <c r="B895" s="972">
        <v>606.03</v>
      </c>
      <c r="C895" s="972">
        <v>14.582000000000001</v>
      </c>
      <c r="D895" s="972">
        <v>0.20200000000000001</v>
      </c>
      <c r="E895" s="972">
        <v>20.081</v>
      </c>
      <c r="F895" s="972">
        <v>0.79600000000000004</v>
      </c>
      <c r="G895" s="972">
        <v>0</v>
      </c>
      <c r="H895" s="972">
        <v>0</v>
      </c>
      <c r="I895" s="972">
        <v>11.129</v>
      </c>
      <c r="J895" s="972">
        <v>0.74099999999999999</v>
      </c>
      <c r="K895" s="972">
        <v>0</v>
      </c>
      <c r="L895" s="972">
        <v>1.796</v>
      </c>
      <c r="M895" s="972">
        <v>0</v>
      </c>
      <c r="N895" s="972">
        <v>0.46400000000000002</v>
      </c>
      <c r="O895" s="972">
        <v>14.926</v>
      </c>
      <c r="P895" s="972">
        <v>41.616</v>
      </c>
      <c r="Q895" s="972">
        <v>549.48800000000006</v>
      </c>
      <c r="R895" s="962">
        <v>58</v>
      </c>
      <c r="S895" s="962" t="s">
        <v>4940</v>
      </c>
      <c r="T895" s="972">
        <v>173.54966666666667</v>
      </c>
    </row>
    <row r="896" spans="1:20">
      <c r="A896" s="962" t="s">
        <v>1165</v>
      </c>
      <c r="B896" s="972">
        <v>109.914</v>
      </c>
      <c r="C896" s="972">
        <v>3.05</v>
      </c>
      <c r="D896" s="972">
        <v>0</v>
      </c>
      <c r="E896" s="972">
        <v>36.887</v>
      </c>
      <c r="F896" s="972">
        <v>0.14499999999999999</v>
      </c>
      <c r="G896" s="972">
        <v>0</v>
      </c>
      <c r="H896" s="972">
        <v>0</v>
      </c>
      <c r="I896" s="972">
        <v>22.047999999999998</v>
      </c>
      <c r="J896" s="972">
        <v>1.5960000000000001</v>
      </c>
      <c r="K896" s="972">
        <v>0</v>
      </c>
      <c r="L896" s="972">
        <v>0</v>
      </c>
      <c r="M896" s="972">
        <v>0</v>
      </c>
      <c r="N896" s="972">
        <v>0</v>
      </c>
      <c r="O896" s="972">
        <v>23.789000000000001</v>
      </c>
      <c r="P896" s="972">
        <v>0</v>
      </c>
      <c r="Q896" s="972">
        <v>86.125</v>
      </c>
      <c r="R896" s="962">
        <v>0</v>
      </c>
      <c r="S896" s="962" t="s">
        <v>4940</v>
      </c>
      <c r="T896" s="972">
        <v>0</v>
      </c>
    </row>
    <row r="897" spans="1:20">
      <c r="A897" s="962" t="s">
        <v>5086</v>
      </c>
      <c r="B897" s="972">
        <v>699.81799999999998</v>
      </c>
      <c r="C897" s="972">
        <v>5.165</v>
      </c>
      <c r="D897" s="972">
        <v>0</v>
      </c>
      <c r="E897" s="972">
        <v>13.382</v>
      </c>
      <c r="F897" s="972">
        <v>0.46400000000000002</v>
      </c>
      <c r="G897" s="972">
        <v>1E-3</v>
      </c>
      <c r="H897" s="972">
        <v>0</v>
      </c>
      <c r="I897" s="972">
        <v>11.266</v>
      </c>
      <c r="J897" s="972">
        <v>1.3069999999999999</v>
      </c>
      <c r="K897" s="972">
        <v>0</v>
      </c>
      <c r="L897" s="972">
        <v>1.73</v>
      </c>
      <c r="M897" s="972">
        <v>0</v>
      </c>
      <c r="N897" s="972">
        <v>4.6779999999999999</v>
      </c>
      <c r="O897" s="972">
        <v>19.446000000000002</v>
      </c>
      <c r="P897" s="972">
        <v>25.016999999999999</v>
      </c>
      <c r="Q897" s="972">
        <v>655.35500000000002</v>
      </c>
      <c r="R897" s="962">
        <v>34</v>
      </c>
      <c r="S897" s="962" t="s">
        <v>4940</v>
      </c>
      <c r="T897" s="972">
        <v>235.54633333333331</v>
      </c>
    </row>
    <row r="898" spans="1:20">
      <c r="A898" s="962" t="s">
        <v>2768</v>
      </c>
      <c r="B898" s="972">
        <v>784.11500000000001</v>
      </c>
      <c r="C898" s="972">
        <v>154.78</v>
      </c>
      <c r="D898" s="972">
        <v>0</v>
      </c>
      <c r="E898" s="972">
        <v>27.661999999999999</v>
      </c>
      <c r="F898" s="972">
        <v>0.373</v>
      </c>
      <c r="G898" s="972">
        <v>0</v>
      </c>
      <c r="H898" s="972">
        <v>0</v>
      </c>
      <c r="I898" s="972">
        <v>11.032999999999999</v>
      </c>
      <c r="J898" s="972">
        <v>0.06</v>
      </c>
      <c r="K898" s="972">
        <v>0</v>
      </c>
      <c r="L898" s="972">
        <v>0.88</v>
      </c>
      <c r="M898" s="972">
        <v>0</v>
      </c>
      <c r="N898" s="972">
        <v>0</v>
      </c>
      <c r="O898" s="972">
        <v>12.345000000000001</v>
      </c>
      <c r="P898" s="972">
        <v>33.718000000000004</v>
      </c>
      <c r="Q898" s="972">
        <v>738.05200000000002</v>
      </c>
      <c r="R898" s="962">
        <v>86</v>
      </c>
      <c r="S898" s="962" t="s">
        <v>4940</v>
      </c>
      <c r="T898" s="972">
        <v>210.04716666666667</v>
      </c>
    </row>
    <row r="899" spans="1:20">
      <c r="A899" s="962" t="s">
        <v>5088</v>
      </c>
      <c r="B899" s="972">
        <v>279.05200000000002</v>
      </c>
      <c r="C899" s="972">
        <v>0</v>
      </c>
      <c r="D899" s="972">
        <v>4.9000000000000002E-2</v>
      </c>
      <c r="E899" s="972">
        <v>11.861000000000001</v>
      </c>
      <c r="F899" s="972">
        <v>0.50700000000000001</v>
      </c>
      <c r="G899" s="972">
        <v>0</v>
      </c>
      <c r="H899" s="972">
        <v>0</v>
      </c>
      <c r="I899" s="972">
        <v>4.01</v>
      </c>
      <c r="J899" s="972">
        <v>0.90500000000000003</v>
      </c>
      <c r="K899" s="972">
        <v>0</v>
      </c>
      <c r="L899" s="972">
        <v>0</v>
      </c>
      <c r="M899" s="972">
        <v>0</v>
      </c>
      <c r="N899" s="972">
        <v>0</v>
      </c>
      <c r="O899" s="972">
        <v>5.423</v>
      </c>
      <c r="P899" s="972">
        <v>15.747</v>
      </c>
      <c r="Q899" s="972">
        <v>257.88299999999998</v>
      </c>
      <c r="R899" s="962">
        <v>9</v>
      </c>
      <c r="S899" s="962" t="s">
        <v>4940</v>
      </c>
      <c r="T899" s="972">
        <v>91.739666666666665</v>
      </c>
    </row>
    <row r="900" spans="1:20">
      <c r="A900" s="962" t="s">
        <v>6181</v>
      </c>
      <c r="B900" s="972">
        <v>1053.2260000000001</v>
      </c>
      <c r="C900" s="972">
        <v>3.1749999999999998</v>
      </c>
      <c r="D900" s="972">
        <v>0.58599999999999997</v>
      </c>
      <c r="E900" s="972">
        <v>14.353</v>
      </c>
      <c r="F900" s="972">
        <v>2.5510000000000002</v>
      </c>
      <c r="G900" s="972">
        <v>0.13300000000000001</v>
      </c>
      <c r="H900" s="972">
        <v>0</v>
      </c>
      <c r="I900" s="972">
        <v>33.555999999999997</v>
      </c>
      <c r="J900" s="972">
        <v>14.908000000000001</v>
      </c>
      <c r="K900" s="972">
        <v>0</v>
      </c>
      <c r="L900" s="972">
        <v>0.754</v>
      </c>
      <c r="M900" s="972">
        <v>0</v>
      </c>
      <c r="N900" s="972">
        <v>0</v>
      </c>
      <c r="O900" s="972">
        <v>51.904000000000003</v>
      </c>
      <c r="P900" s="972">
        <v>72.284000000000006</v>
      </c>
      <c r="Q900" s="972">
        <v>929.03800000000001</v>
      </c>
      <c r="R900" s="962">
        <v>41</v>
      </c>
      <c r="S900" s="962" t="s">
        <v>4940</v>
      </c>
      <c r="T900" s="972">
        <v>285.79950000000002</v>
      </c>
    </row>
    <row r="901" spans="1:20">
      <c r="A901" s="962" t="s">
        <v>1848</v>
      </c>
      <c r="B901" s="972">
        <v>621.654</v>
      </c>
      <c r="C901" s="972">
        <v>8.1000000000000003E-2</v>
      </c>
      <c r="D901" s="972">
        <v>0</v>
      </c>
      <c r="E901" s="972">
        <v>11.015000000000001</v>
      </c>
      <c r="F901" s="972">
        <v>0.60499999999999998</v>
      </c>
      <c r="G901" s="972">
        <v>0</v>
      </c>
      <c r="H901" s="972">
        <v>0</v>
      </c>
      <c r="I901" s="972">
        <v>5.2329999999999997</v>
      </c>
      <c r="J901" s="972">
        <v>2.194</v>
      </c>
      <c r="K901" s="972">
        <v>0</v>
      </c>
      <c r="L901" s="972">
        <v>0</v>
      </c>
      <c r="M901" s="972">
        <v>0</v>
      </c>
      <c r="N901" s="972">
        <v>0</v>
      </c>
      <c r="O901" s="972">
        <v>8.032</v>
      </c>
      <c r="P901" s="972">
        <v>60.887999999999998</v>
      </c>
      <c r="Q901" s="972">
        <v>552.73400000000004</v>
      </c>
      <c r="R901" s="962">
        <v>23</v>
      </c>
      <c r="S901" s="962" t="s">
        <v>4940</v>
      </c>
      <c r="T901" s="972">
        <v>205.61916666666664</v>
      </c>
    </row>
    <row r="902" spans="1:20">
      <c r="A902" s="962" t="s">
        <v>2471</v>
      </c>
      <c r="B902" s="972">
        <v>314.73700000000002</v>
      </c>
      <c r="C902" s="972">
        <v>34.854999999999997</v>
      </c>
      <c r="D902" s="972">
        <v>0.27700000000000002</v>
      </c>
      <c r="E902" s="972">
        <v>12.964</v>
      </c>
      <c r="F902" s="972">
        <v>0.54900000000000004</v>
      </c>
      <c r="G902" s="972">
        <v>0</v>
      </c>
      <c r="H902" s="972">
        <v>0</v>
      </c>
      <c r="I902" s="972">
        <v>4.2919999999999998</v>
      </c>
      <c r="J902" s="972">
        <v>0</v>
      </c>
      <c r="K902" s="972">
        <v>0</v>
      </c>
      <c r="L902" s="972">
        <v>0.86399999999999999</v>
      </c>
      <c r="M902" s="972">
        <v>0</v>
      </c>
      <c r="N902" s="972">
        <v>0</v>
      </c>
      <c r="O902" s="972">
        <v>5.7039999999999997</v>
      </c>
      <c r="P902" s="972">
        <v>11.734</v>
      </c>
      <c r="Q902" s="972">
        <v>297.29899999999998</v>
      </c>
      <c r="R902" s="962">
        <v>3</v>
      </c>
      <c r="S902" s="962" t="s">
        <v>4940</v>
      </c>
      <c r="T902" s="972">
        <v>90.962833333333336</v>
      </c>
    </row>
    <row r="903" spans="1:20">
      <c r="A903" s="962" t="s">
        <v>6044</v>
      </c>
      <c r="B903" s="972">
        <v>2082.8870000000002</v>
      </c>
      <c r="C903" s="972">
        <v>40.478999999999999</v>
      </c>
      <c r="D903" s="972">
        <v>1.363</v>
      </c>
      <c r="E903" s="972">
        <v>90.224999999999994</v>
      </c>
      <c r="F903" s="972">
        <v>4.484</v>
      </c>
      <c r="G903" s="972">
        <v>0.152</v>
      </c>
      <c r="H903" s="972">
        <v>0</v>
      </c>
      <c r="I903" s="972">
        <v>62.64</v>
      </c>
      <c r="J903" s="972">
        <v>8.3709999999999987</v>
      </c>
      <c r="K903" s="972">
        <v>0</v>
      </c>
      <c r="L903" s="972">
        <v>1.2150000000000001</v>
      </c>
      <c r="M903" s="972">
        <v>0</v>
      </c>
      <c r="N903" s="972">
        <v>0</v>
      </c>
      <c r="O903" s="972">
        <v>76.861000000000004</v>
      </c>
      <c r="P903" s="972">
        <v>106.196</v>
      </c>
      <c r="Q903" s="972">
        <v>1899.8309999999999</v>
      </c>
      <c r="R903" s="962">
        <v>219</v>
      </c>
      <c r="S903" s="962" t="s">
        <v>4940</v>
      </c>
      <c r="T903" s="972">
        <v>501.73883333333339</v>
      </c>
    </row>
    <row r="904" spans="1:20">
      <c r="A904" s="962" t="s">
        <v>6046</v>
      </c>
      <c r="B904" s="972">
        <v>150.977</v>
      </c>
      <c r="C904" s="972">
        <v>4.8949999999999996</v>
      </c>
      <c r="D904" s="972">
        <v>0</v>
      </c>
      <c r="E904" s="972">
        <v>4.1150000000000002</v>
      </c>
      <c r="F904" s="972">
        <v>0.28899999999999998</v>
      </c>
      <c r="G904" s="972">
        <v>0</v>
      </c>
      <c r="H904" s="972">
        <v>0</v>
      </c>
      <c r="I904" s="972">
        <v>4.3920000000000003</v>
      </c>
      <c r="J904" s="972">
        <v>1.056</v>
      </c>
      <c r="K904" s="972">
        <v>0</v>
      </c>
      <c r="L904" s="972">
        <v>0</v>
      </c>
      <c r="M904" s="972">
        <v>0</v>
      </c>
      <c r="N904" s="972">
        <v>0</v>
      </c>
      <c r="O904" s="972">
        <v>5.7370000000000001</v>
      </c>
      <c r="P904" s="972">
        <v>12.87</v>
      </c>
      <c r="Q904" s="972">
        <v>132.37</v>
      </c>
      <c r="R904" s="962">
        <v>18</v>
      </c>
      <c r="S904" s="962" t="s">
        <v>4940</v>
      </c>
      <c r="T904" s="972">
        <v>51.502333333333326</v>
      </c>
    </row>
    <row r="905" spans="1:20">
      <c r="A905" s="962" t="s">
        <v>4185</v>
      </c>
      <c r="B905" s="972">
        <v>205.32900000000001</v>
      </c>
      <c r="C905" s="972">
        <v>4.9960000000000004</v>
      </c>
      <c r="D905" s="972">
        <v>0</v>
      </c>
      <c r="E905" s="972">
        <v>5.1139999999999999</v>
      </c>
      <c r="F905" s="972">
        <v>0.151</v>
      </c>
      <c r="G905" s="972">
        <v>0</v>
      </c>
      <c r="H905" s="972">
        <v>0</v>
      </c>
      <c r="I905" s="972">
        <v>5.7359999999999998</v>
      </c>
      <c r="J905" s="972">
        <v>0</v>
      </c>
      <c r="K905" s="972">
        <v>0</v>
      </c>
      <c r="L905" s="972">
        <v>0.67400000000000004</v>
      </c>
      <c r="M905" s="972">
        <v>0</v>
      </c>
      <c r="N905" s="972">
        <v>0</v>
      </c>
      <c r="O905" s="972">
        <v>6.5609999999999999</v>
      </c>
      <c r="P905" s="972">
        <v>11.253</v>
      </c>
      <c r="Q905" s="972">
        <v>187.51499999999999</v>
      </c>
      <c r="R905" s="962">
        <v>15</v>
      </c>
      <c r="S905" s="962" t="s">
        <v>4940</v>
      </c>
      <c r="T905" s="972">
        <v>52.962166666666661</v>
      </c>
    </row>
    <row r="906" spans="1:20">
      <c r="A906" s="962" t="s">
        <v>1167</v>
      </c>
      <c r="B906" s="972">
        <v>179.12200000000001</v>
      </c>
      <c r="C906" s="972">
        <v>68.238</v>
      </c>
      <c r="D906" s="972">
        <v>0.59599999999999997</v>
      </c>
      <c r="E906" s="972">
        <v>17.981000000000002</v>
      </c>
      <c r="F906" s="972">
        <v>0</v>
      </c>
      <c r="G906" s="972">
        <v>0</v>
      </c>
      <c r="H906" s="972">
        <v>0</v>
      </c>
      <c r="I906" s="972">
        <v>0</v>
      </c>
      <c r="J906" s="972">
        <v>0</v>
      </c>
      <c r="K906" s="972">
        <v>0</v>
      </c>
      <c r="L906" s="972">
        <v>0</v>
      </c>
      <c r="M906" s="972">
        <v>0</v>
      </c>
      <c r="N906" s="972">
        <v>0</v>
      </c>
      <c r="O906" s="972">
        <v>0</v>
      </c>
      <c r="P906" s="972">
        <v>17.917000000000002</v>
      </c>
      <c r="Q906" s="972">
        <v>161.20599999999999</v>
      </c>
      <c r="R906" s="962">
        <v>0</v>
      </c>
      <c r="S906" s="962" t="s">
        <v>4940</v>
      </c>
      <c r="T906" s="972">
        <v>68.336833333333331</v>
      </c>
    </row>
    <row r="907" spans="1:20">
      <c r="A907" s="962" t="s">
        <v>1169</v>
      </c>
      <c r="B907" s="972">
        <v>214.911</v>
      </c>
      <c r="C907" s="972">
        <v>1.877</v>
      </c>
      <c r="D907" s="972">
        <v>0</v>
      </c>
      <c r="E907" s="972">
        <v>0.93700000000000006</v>
      </c>
      <c r="F907" s="972">
        <v>0.63200000000000001</v>
      </c>
      <c r="G907" s="972">
        <v>0</v>
      </c>
      <c r="H907" s="972">
        <v>0</v>
      </c>
      <c r="I907" s="972">
        <v>3.98</v>
      </c>
      <c r="J907" s="972">
        <v>0</v>
      </c>
      <c r="K907" s="972">
        <v>0</v>
      </c>
      <c r="L907" s="972">
        <v>0</v>
      </c>
      <c r="M907" s="972">
        <v>0</v>
      </c>
      <c r="N907" s="972">
        <v>0</v>
      </c>
      <c r="O907" s="972">
        <v>4.6109999999999998</v>
      </c>
      <c r="P907" s="972">
        <v>0</v>
      </c>
      <c r="Q907" s="972">
        <v>210.3</v>
      </c>
      <c r="R907" s="962">
        <v>23</v>
      </c>
      <c r="S907" s="962" t="s">
        <v>4940</v>
      </c>
      <c r="T907" s="972">
        <v>0</v>
      </c>
    </row>
    <row r="908" spans="1:20">
      <c r="A908" s="962" t="s">
        <v>1173</v>
      </c>
      <c r="B908" s="972">
        <v>206.38200000000001</v>
      </c>
      <c r="C908" s="972">
        <v>0</v>
      </c>
      <c r="D908" s="972">
        <v>1.78</v>
      </c>
      <c r="E908" s="972">
        <v>9.1189999999999998</v>
      </c>
      <c r="F908" s="972">
        <v>0.06</v>
      </c>
      <c r="G908" s="972">
        <v>2.7E-2</v>
      </c>
      <c r="H908" s="972">
        <v>0</v>
      </c>
      <c r="I908" s="972">
        <v>5.5990000000000002</v>
      </c>
      <c r="J908" s="972">
        <v>0</v>
      </c>
      <c r="K908" s="972">
        <v>0</v>
      </c>
      <c r="L908" s="972">
        <v>0</v>
      </c>
      <c r="M908" s="972">
        <v>0</v>
      </c>
      <c r="N908" s="972">
        <v>0</v>
      </c>
      <c r="O908" s="972">
        <v>5.6859999999999999</v>
      </c>
      <c r="P908" s="972">
        <v>19.562000000000001</v>
      </c>
      <c r="Q908" s="972">
        <v>181.13399999999999</v>
      </c>
      <c r="R908" s="962">
        <v>0</v>
      </c>
      <c r="S908" s="962" t="s">
        <v>4940</v>
      </c>
      <c r="T908" s="972">
        <v>206.37950000000001</v>
      </c>
    </row>
    <row r="909" spans="1:20">
      <c r="A909" s="962" t="s">
        <v>1175</v>
      </c>
      <c r="B909" s="972">
        <v>170.36199999999999</v>
      </c>
      <c r="C909" s="972">
        <v>0</v>
      </c>
      <c r="D909" s="972">
        <v>0</v>
      </c>
      <c r="E909" s="972">
        <v>0.17299999999999999</v>
      </c>
      <c r="F909" s="972">
        <v>0.13100000000000001</v>
      </c>
      <c r="G909" s="972">
        <v>0</v>
      </c>
      <c r="H909" s="972">
        <v>0</v>
      </c>
      <c r="I909" s="972">
        <v>5.0119999999999996</v>
      </c>
      <c r="J909" s="972">
        <v>0.45700000000000002</v>
      </c>
      <c r="K909" s="972">
        <v>0</v>
      </c>
      <c r="L909" s="972">
        <v>0</v>
      </c>
      <c r="M909" s="972">
        <v>0</v>
      </c>
      <c r="N909" s="972">
        <v>0</v>
      </c>
      <c r="O909" s="972">
        <v>5.6</v>
      </c>
      <c r="P909" s="972">
        <v>0</v>
      </c>
      <c r="Q909" s="972">
        <v>164.762</v>
      </c>
      <c r="R909" s="962">
        <v>0</v>
      </c>
      <c r="S909" s="962" t="s">
        <v>4940</v>
      </c>
      <c r="T909" s="972">
        <v>0</v>
      </c>
    </row>
    <row r="910" spans="1:20">
      <c r="A910" s="962" t="s">
        <v>178</v>
      </c>
      <c r="B910" s="972">
        <v>140.11099999999999</v>
      </c>
      <c r="C910" s="972">
        <v>0.98099999999999998</v>
      </c>
      <c r="D910" s="972">
        <v>0</v>
      </c>
      <c r="E910" s="972">
        <v>5.3310000000000004</v>
      </c>
      <c r="F910" s="972">
        <v>0.35699999999999998</v>
      </c>
      <c r="G910" s="972">
        <v>0</v>
      </c>
      <c r="H910" s="972">
        <v>0</v>
      </c>
      <c r="I910" s="972">
        <v>0.46500000000000002</v>
      </c>
      <c r="J910" s="972">
        <v>0.47099999999999997</v>
      </c>
      <c r="K910" s="972">
        <v>0</v>
      </c>
      <c r="L910" s="972">
        <v>0</v>
      </c>
      <c r="M910" s="972">
        <v>0</v>
      </c>
      <c r="N910" s="972">
        <v>0</v>
      </c>
      <c r="O910" s="972">
        <v>1.2929999999999999</v>
      </c>
      <c r="P910" s="972">
        <v>0</v>
      </c>
      <c r="Q910" s="972">
        <v>138.81800000000001</v>
      </c>
      <c r="R910" s="962">
        <v>62</v>
      </c>
      <c r="S910" s="962" t="s">
        <v>4940</v>
      </c>
      <c r="T910" s="972">
        <v>0</v>
      </c>
    </row>
    <row r="911" spans="1:20">
      <c r="A911" s="962" t="s">
        <v>8002</v>
      </c>
      <c r="B911" s="972">
        <v>326.75099999999998</v>
      </c>
      <c r="C911" s="972">
        <v>16.957999999999998</v>
      </c>
      <c r="D911" s="972">
        <v>0</v>
      </c>
      <c r="E911" s="972">
        <v>1.55</v>
      </c>
      <c r="F911" s="972">
        <v>0.29799999999999999</v>
      </c>
      <c r="G911" s="972">
        <v>0</v>
      </c>
      <c r="H911" s="972">
        <v>0</v>
      </c>
      <c r="I911" s="972">
        <v>2.8969999999999998</v>
      </c>
      <c r="J911" s="972">
        <v>0</v>
      </c>
      <c r="K911" s="972">
        <v>0</v>
      </c>
      <c r="L911" s="972">
        <v>0</v>
      </c>
      <c r="M911" s="972">
        <v>0</v>
      </c>
      <c r="N911" s="972">
        <v>0</v>
      </c>
      <c r="O911" s="972">
        <v>3.1949999999999998</v>
      </c>
      <c r="P911" s="972">
        <v>0</v>
      </c>
      <c r="Q911" s="972">
        <v>323.55599999999998</v>
      </c>
      <c r="R911" s="962">
        <v>29</v>
      </c>
      <c r="S911" s="962" t="s">
        <v>4940</v>
      </c>
      <c r="T911" s="972">
        <v>14.952500000000001</v>
      </c>
    </row>
    <row r="912" spans="1:20">
      <c r="A912" s="962" t="s">
        <v>6689</v>
      </c>
      <c r="B912" s="972">
        <v>338.024</v>
      </c>
      <c r="C912" s="972">
        <v>3.2320000000000002</v>
      </c>
      <c r="D912" s="972">
        <v>0</v>
      </c>
      <c r="E912" s="972">
        <v>0.75900000000000001</v>
      </c>
      <c r="F912" s="972">
        <v>0.373</v>
      </c>
      <c r="G912" s="972">
        <v>0</v>
      </c>
      <c r="H912" s="972">
        <v>0</v>
      </c>
      <c r="I912" s="972">
        <v>9.9740000000000002</v>
      </c>
      <c r="J912" s="972">
        <v>1.395</v>
      </c>
      <c r="K912" s="972">
        <v>0</v>
      </c>
      <c r="L912" s="972">
        <v>0</v>
      </c>
      <c r="M912" s="972">
        <v>0</v>
      </c>
      <c r="N912" s="972">
        <v>0</v>
      </c>
      <c r="O912" s="972">
        <v>11.742000000000001</v>
      </c>
      <c r="P912" s="972">
        <v>22.437999999999999</v>
      </c>
      <c r="Q912" s="972">
        <v>303.84500000000003</v>
      </c>
      <c r="R912" s="962">
        <v>20</v>
      </c>
      <c r="S912" s="962" t="s">
        <v>4940</v>
      </c>
      <c r="T912" s="972">
        <v>104.06033333333332</v>
      </c>
    </row>
    <row r="913" spans="1:20">
      <c r="A913" s="962" t="s">
        <v>6691</v>
      </c>
      <c r="B913" s="972">
        <v>1144.681</v>
      </c>
      <c r="C913" s="972">
        <v>40.161000000000001</v>
      </c>
      <c r="D913" s="972">
        <v>0</v>
      </c>
      <c r="E913" s="972">
        <v>10.119999999999999</v>
      </c>
      <c r="F913" s="972">
        <v>1.4079999999999999</v>
      </c>
      <c r="G913" s="972">
        <v>0</v>
      </c>
      <c r="H913" s="972">
        <v>0</v>
      </c>
      <c r="I913" s="972">
        <v>15.817</v>
      </c>
      <c r="J913" s="972">
        <v>7.157</v>
      </c>
      <c r="K913" s="972">
        <v>0</v>
      </c>
      <c r="L913" s="972">
        <v>0</v>
      </c>
      <c r="M913" s="972">
        <v>0</v>
      </c>
      <c r="N913" s="972">
        <v>0</v>
      </c>
      <c r="O913" s="972">
        <v>24.382000000000001</v>
      </c>
      <c r="P913" s="972">
        <v>94.968999999999994</v>
      </c>
      <c r="Q913" s="972">
        <v>1025.3309999999999</v>
      </c>
      <c r="R913" s="962">
        <v>70</v>
      </c>
      <c r="S913" s="962" t="s">
        <v>4940</v>
      </c>
      <c r="T913" s="972">
        <v>332.45016666666669</v>
      </c>
    </row>
    <row r="914" spans="1:20">
      <c r="A914" s="962" t="s">
        <v>6693</v>
      </c>
      <c r="B914" s="972">
        <v>3605.893</v>
      </c>
      <c r="C914" s="972">
        <v>75.084999999999994</v>
      </c>
      <c r="D914" s="972">
        <v>1.4370000000000001</v>
      </c>
      <c r="E914" s="972">
        <v>125.398</v>
      </c>
      <c r="F914" s="972">
        <v>5.94</v>
      </c>
      <c r="G914" s="972">
        <v>0.28699999999999998</v>
      </c>
      <c r="H914" s="972">
        <v>0</v>
      </c>
      <c r="I914" s="972">
        <v>51.363999999999997</v>
      </c>
      <c r="J914" s="972">
        <v>13.556999999999999</v>
      </c>
      <c r="K914" s="972">
        <v>0</v>
      </c>
      <c r="L914" s="972">
        <v>0</v>
      </c>
      <c r="M914" s="972">
        <v>0</v>
      </c>
      <c r="N914" s="972">
        <v>0</v>
      </c>
      <c r="O914" s="972">
        <v>71.147999999999996</v>
      </c>
      <c r="P914" s="972">
        <v>227.53899999999999</v>
      </c>
      <c r="Q914" s="972">
        <v>3307.2060000000001</v>
      </c>
      <c r="R914" s="962">
        <v>386</v>
      </c>
      <c r="S914" s="962" t="s">
        <v>4940</v>
      </c>
      <c r="T914" s="972">
        <v>1104.5628333333334</v>
      </c>
    </row>
    <row r="915" spans="1:20">
      <c r="A915" s="962" t="s">
        <v>240</v>
      </c>
      <c r="B915" s="972">
        <v>35638.896000000001</v>
      </c>
      <c r="C915" s="972">
        <v>1568.673</v>
      </c>
      <c r="D915" s="972">
        <v>20.2</v>
      </c>
      <c r="E915" s="972">
        <v>817.096</v>
      </c>
      <c r="F915" s="972">
        <v>51.537999999999997</v>
      </c>
      <c r="G915" s="972">
        <v>2.0990000000000002</v>
      </c>
      <c r="H915" s="972">
        <v>1.9159999999999999</v>
      </c>
      <c r="I915" s="972">
        <v>788.63199999999995</v>
      </c>
      <c r="J915" s="972">
        <v>268.13299999999998</v>
      </c>
      <c r="K915" s="972">
        <v>61.741999999999997</v>
      </c>
      <c r="L915" s="972">
        <v>29.704999999999998</v>
      </c>
      <c r="M915" s="972">
        <v>0</v>
      </c>
      <c r="N915" s="972">
        <v>3.6459999999999999</v>
      </c>
      <c r="O915" s="972">
        <v>1207.4079999999999</v>
      </c>
      <c r="P915" s="972">
        <v>1334.396</v>
      </c>
      <c r="Q915" s="972">
        <v>33097.091999999997</v>
      </c>
      <c r="R915" s="962">
        <v>1615</v>
      </c>
      <c r="S915" s="962" t="s">
        <v>4940</v>
      </c>
      <c r="T915" s="972">
        <v>9224.0235000000011</v>
      </c>
    </row>
    <row r="916" spans="1:20">
      <c r="A916" s="962" t="s">
        <v>6695</v>
      </c>
      <c r="B916" s="972">
        <v>276.58999999999997</v>
      </c>
      <c r="C916" s="972">
        <v>30.492000000000001</v>
      </c>
      <c r="D916" s="972">
        <v>0</v>
      </c>
      <c r="E916" s="972">
        <v>0</v>
      </c>
      <c r="F916" s="972">
        <v>0.47899999999999998</v>
      </c>
      <c r="G916" s="972">
        <v>0</v>
      </c>
      <c r="H916" s="972">
        <v>0</v>
      </c>
      <c r="I916" s="972">
        <v>5.3970000000000002</v>
      </c>
      <c r="J916" s="972">
        <v>1.365</v>
      </c>
      <c r="K916" s="972">
        <v>0</v>
      </c>
      <c r="L916" s="972">
        <v>0</v>
      </c>
      <c r="M916" s="972">
        <v>0</v>
      </c>
      <c r="N916" s="972">
        <v>0</v>
      </c>
      <c r="O916" s="972">
        <v>7.2409999999999997</v>
      </c>
      <c r="P916" s="972">
        <v>0</v>
      </c>
      <c r="Q916" s="972">
        <v>269.34899999999999</v>
      </c>
      <c r="R916" s="962">
        <v>22</v>
      </c>
      <c r="S916" s="962" t="s">
        <v>4940</v>
      </c>
      <c r="T916" s="972">
        <v>0</v>
      </c>
    </row>
    <row r="917" spans="1:20">
      <c r="A917" s="962" t="s">
        <v>745</v>
      </c>
      <c r="B917" s="972">
        <v>374.76299999999998</v>
      </c>
      <c r="C917" s="972">
        <v>5.2409999999999997</v>
      </c>
      <c r="D917" s="972">
        <v>0</v>
      </c>
      <c r="E917" s="972">
        <v>8.9190000000000005</v>
      </c>
      <c r="F917" s="972">
        <v>0.78</v>
      </c>
      <c r="G917" s="972">
        <v>0</v>
      </c>
      <c r="H917" s="972">
        <v>0</v>
      </c>
      <c r="I917" s="972">
        <v>4.6230000000000002</v>
      </c>
      <c r="J917" s="972">
        <v>0</v>
      </c>
      <c r="K917" s="972">
        <v>0</v>
      </c>
      <c r="L917" s="972">
        <v>0</v>
      </c>
      <c r="M917" s="972">
        <v>0</v>
      </c>
      <c r="N917" s="972">
        <v>0</v>
      </c>
      <c r="O917" s="972">
        <v>5.4039999999999999</v>
      </c>
      <c r="P917" s="972">
        <v>0</v>
      </c>
      <c r="Q917" s="972">
        <v>369.35899999999998</v>
      </c>
      <c r="R917" s="962">
        <v>82</v>
      </c>
      <c r="S917" s="962" t="s">
        <v>4940</v>
      </c>
      <c r="T917" s="972">
        <v>0</v>
      </c>
    </row>
    <row r="918" spans="1:20">
      <c r="A918" s="962" t="s">
        <v>747</v>
      </c>
      <c r="B918" s="972">
        <v>521.28200000000004</v>
      </c>
      <c r="C918" s="972">
        <v>3.5179999999999998</v>
      </c>
      <c r="D918" s="972">
        <v>0</v>
      </c>
      <c r="E918" s="972">
        <v>11.071</v>
      </c>
      <c r="F918" s="972">
        <v>0.56699999999999995</v>
      </c>
      <c r="G918" s="972">
        <v>0</v>
      </c>
      <c r="H918" s="972">
        <v>0</v>
      </c>
      <c r="I918" s="972">
        <v>4.28</v>
      </c>
      <c r="J918" s="972">
        <v>1.286</v>
      </c>
      <c r="K918" s="972">
        <v>0</v>
      </c>
      <c r="L918" s="972">
        <v>6.5000000000000002E-2</v>
      </c>
      <c r="M918" s="972">
        <v>0</v>
      </c>
      <c r="N918" s="972">
        <v>0</v>
      </c>
      <c r="O918" s="972">
        <v>6.1980000000000004</v>
      </c>
      <c r="P918" s="972">
        <v>16.885999999999999</v>
      </c>
      <c r="Q918" s="972">
        <v>498.197</v>
      </c>
      <c r="R918" s="962">
        <v>38</v>
      </c>
      <c r="S918" s="962" t="s">
        <v>4940</v>
      </c>
      <c r="T918" s="972">
        <v>182.19116666666667</v>
      </c>
    </row>
    <row r="919" spans="1:20">
      <c r="A919" s="962" t="s">
        <v>2308</v>
      </c>
      <c r="B919" s="972">
        <v>2962.3879999999999</v>
      </c>
      <c r="C919" s="972">
        <v>109.821</v>
      </c>
      <c r="D919" s="972">
        <v>0.83799999999999997</v>
      </c>
      <c r="E919" s="972">
        <v>29.765999999999998</v>
      </c>
      <c r="F919" s="972">
        <v>5.4059999999999997</v>
      </c>
      <c r="G919" s="972">
        <v>0.22</v>
      </c>
      <c r="H919" s="972">
        <v>0</v>
      </c>
      <c r="I919" s="972">
        <v>90.534000000000006</v>
      </c>
      <c r="J919" s="972">
        <v>21.259</v>
      </c>
      <c r="K919" s="972">
        <v>0</v>
      </c>
      <c r="L919" s="972">
        <v>0.72699999999999998</v>
      </c>
      <c r="M919" s="972">
        <v>0</v>
      </c>
      <c r="N919" s="972">
        <v>0</v>
      </c>
      <c r="O919" s="972">
        <v>118.14400000000001</v>
      </c>
      <c r="P919" s="972">
        <v>179.929</v>
      </c>
      <c r="Q919" s="972">
        <v>2664.3159999999998</v>
      </c>
      <c r="R919" s="962">
        <v>373</v>
      </c>
      <c r="S919" s="962" t="s">
        <v>3902</v>
      </c>
      <c r="T919" s="972">
        <v>747.80625000000009</v>
      </c>
    </row>
    <row r="920" spans="1:20">
      <c r="A920" s="962" t="s">
        <v>749</v>
      </c>
      <c r="B920" s="972">
        <v>3365.0929999999998</v>
      </c>
      <c r="C920" s="972">
        <v>135.56700000000001</v>
      </c>
      <c r="D920" s="972">
        <v>1.5089999999999999</v>
      </c>
      <c r="E920" s="972">
        <v>109.328</v>
      </c>
      <c r="F920" s="972">
        <v>7.7640000000000002</v>
      </c>
      <c r="G920" s="972">
        <v>0.32</v>
      </c>
      <c r="H920" s="972">
        <v>0</v>
      </c>
      <c r="I920" s="972">
        <v>75.355999999999995</v>
      </c>
      <c r="J920" s="972">
        <v>16.855</v>
      </c>
      <c r="K920" s="972">
        <v>0</v>
      </c>
      <c r="L920" s="972">
        <v>1.133</v>
      </c>
      <c r="M920" s="972">
        <v>0</v>
      </c>
      <c r="N920" s="972">
        <v>0</v>
      </c>
      <c r="O920" s="972">
        <v>101.428</v>
      </c>
      <c r="P920" s="972">
        <v>247.23400000000001</v>
      </c>
      <c r="Q920" s="972">
        <v>3016.4319999999998</v>
      </c>
      <c r="R920" s="962">
        <v>130</v>
      </c>
      <c r="S920" s="962" t="s">
        <v>4940</v>
      </c>
      <c r="T920" s="972">
        <v>1038.4918333333333</v>
      </c>
    </row>
    <row r="921" spans="1:20">
      <c r="A921" s="962" t="s">
        <v>2953</v>
      </c>
      <c r="B921" s="972">
        <v>761.51800000000003</v>
      </c>
      <c r="C921" s="972">
        <v>25.867000000000001</v>
      </c>
      <c r="D921" s="972">
        <v>0.10100000000000001</v>
      </c>
      <c r="E921" s="972">
        <v>19.199000000000002</v>
      </c>
      <c r="F921" s="972">
        <v>1.1759999999999999</v>
      </c>
      <c r="G921" s="972">
        <v>0</v>
      </c>
      <c r="H921" s="972">
        <v>0</v>
      </c>
      <c r="I921" s="972">
        <v>8.84</v>
      </c>
      <c r="J921" s="972">
        <v>7.3730000000000002</v>
      </c>
      <c r="K921" s="972">
        <v>0</v>
      </c>
      <c r="L921" s="972">
        <v>0</v>
      </c>
      <c r="M921" s="972">
        <v>0</v>
      </c>
      <c r="N921" s="972">
        <v>2.5209999999999999</v>
      </c>
      <c r="O921" s="972">
        <v>19.908999999999999</v>
      </c>
      <c r="P921" s="972">
        <v>51.003999999999998</v>
      </c>
      <c r="Q921" s="972">
        <v>690.60500000000002</v>
      </c>
      <c r="R921" s="962">
        <v>39</v>
      </c>
      <c r="S921" s="962" t="s">
        <v>3902</v>
      </c>
      <c r="T921" s="972">
        <v>217.86974999999995</v>
      </c>
    </row>
    <row r="922" spans="1:20">
      <c r="A922" s="962" t="s">
        <v>2955</v>
      </c>
      <c r="B922" s="972">
        <v>5209.7179999999998</v>
      </c>
      <c r="C922" s="972">
        <v>113.923</v>
      </c>
      <c r="D922" s="972">
        <v>0.97499999999999998</v>
      </c>
      <c r="E922" s="972">
        <v>155.03899999999999</v>
      </c>
      <c r="F922" s="972">
        <v>10.224</v>
      </c>
      <c r="G922" s="972">
        <v>0.626</v>
      </c>
      <c r="H922" s="972">
        <v>0</v>
      </c>
      <c r="I922" s="972">
        <v>88.302000000000007</v>
      </c>
      <c r="J922" s="972">
        <v>37.68</v>
      </c>
      <c r="K922" s="972">
        <v>0</v>
      </c>
      <c r="L922" s="972">
        <v>2.74</v>
      </c>
      <c r="M922" s="972">
        <v>0</v>
      </c>
      <c r="N922" s="972">
        <v>0</v>
      </c>
      <c r="O922" s="972">
        <v>139.571</v>
      </c>
      <c r="P922" s="972">
        <v>156.63999999999999</v>
      </c>
      <c r="Q922" s="972">
        <v>4913.5069999999996</v>
      </c>
      <c r="R922" s="962">
        <v>639</v>
      </c>
      <c r="S922" s="962" t="s">
        <v>4940</v>
      </c>
      <c r="T922" s="972">
        <v>1690.6876666666669</v>
      </c>
    </row>
    <row r="923" spans="1:20">
      <c r="A923" s="962" t="s">
        <v>2957</v>
      </c>
      <c r="B923" s="972">
        <v>1936.104</v>
      </c>
      <c r="C923" s="972">
        <v>92.674000000000007</v>
      </c>
      <c r="D923" s="972">
        <v>0.745</v>
      </c>
      <c r="E923" s="972">
        <v>11.27</v>
      </c>
      <c r="F923" s="972">
        <v>3.0649999999999999</v>
      </c>
      <c r="G923" s="972">
        <v>3.6999999999999998E-2</v>
      </c>
      <c r="H923" s="972">
        <v>0</v>
      </c>
      <c r="I923" s="972">
        <v>65.004999999999995</v>
      </c>
      <c r="J923" s="972">
        <v>27.879000000000001</v>
      </c>
      <c r="K923" s="972">
        <v>0</v>
      </c>
      <c r="L923" s="972">
        <v>4.58</v>
      </c>
      <c r="M923" s="972">
        <v>0.16</v>
      </c>
      <c r="N923" s="972">
        <v>0.60799999999999998</v>
      </c>
      <c r="O923" s="972">
        <v>101.333</v>
      </c>
      <c r="P923" s="972">
        <v>86.554000000000002</v>
      </c>
      <c r="Q923" s="972">
        <v>1748.2170000000001</v>
      </c>
      <c r="R923" s="962">
        <v>85</v>
      </c>
      <c r="S923" s="962" t="s">
        <v>4940</v>
      </c>
      <c r="T923" s="972">
        <v>479.57516666666675</v>
      </c>
    </row>
    <row r="924" spans="1:20">
      <c r="A924" s="962" t="s">
        <v>5123</v>
      </c>
      <c r="B924" s="972">
        <v>2112.6190000000001</v>
      </c>
      <c r="C924" s="972">
        <v>506.113</v>
      </c>
      <c r="D924" s="972">
        <v>0.88300000000000001</v>
      </c>
      <c r="E924" s="972">
        <v>21.08</v>
      </c>
      <c r="F924" s="972">
        <v>1.2909999999999999</v>
      </c>
      <c r="G924" s="972">
        <v>0</v>
      </c>
      <c r="H924" s="972">
        <v>0</v>
      </c>
      <c r="I924" s="972">
        <v>40.579000000000001</v>
      </c>
      <c r="J924" s="972">
        <v>6.8559999999999999</v>
      </c>
      <c r="K924" s="972">
        <v>0.18</v>
      </c>
      <c r="L924" s="972">
        <v>5.7889999999999997</v>
      </c>
      <c r="M924" s="972">
        <v>0</v>
      </c>
      <c r="N924" s="972">
        <v>0</v>
      </c>
      <c r="O924" s="972">
        <v>54.694000000000003</v>
      </c>
      <c r="P924" s="972">
        <v>95.986000000000004</v>
      </c>
      <c r="Q924" s="972">
        <v>1961.9390000000001</v>
      </c>
      <c r="R924" s="962">
        <v>117</v>
      </c>
      <c r="S924" s="962" t="s">
        <v>4940</v>
      </c>
      <c r="T924" s="972">
        <v>558.58899999999994</v>
      </c>
    </row>
    <row r="925" spans="1:20">
      <c r="A925" s="962" t="s">
        <v>7156</v>
      </c>
      <c r="B925" s="972">
        <v>324.89800000000002</v>
      </c>
      <c r="C925" s="972">
        <v>1.984</v>
      </c>
      <c r="D925" s="972">
        <v>0</v>
      </c>
      <c r="E925" s="972">
        <v>1.8959999999999999</v>
      </c>
      <c r="F925" s="972">
        <v>0.245</v>
      </c>
      <c r="G925" s="972">
        <v>0</v>
      </c>
      <c r="H925" s="972">
        <v>0</v>
      </c>
      <c r="I925" s="972">
        <v>0.71299999999999997</v>
      </c>
      <c r="J925" s="972">
        <v>0</v>
      </c>
      <c r="K925" s="972">
        <v>0</v>
      </c>
      <c r="L925" s="972">
        <v>0</v>
      </c>
      <c r="M925" s="972">
        <v>0</v>
      </c>
      <c r="N925" s="972">
        <v>37.097000000000001</v>
      </c>
      <c r="O925" s="972">
        <v>38.055</v>
      </c>
      <c r="P925" s="972">
        <v>13.61</v>
      </c>
      <c r="Q925" s="972">
        <v>273.233</v>
      </c>
      <c r="R925" s="962">
        <v>14</v>
      </c>
      <c r="S925" s="962" t="s">
        <v>4940</v>
      </c>
      <c r="T925" s="972">
        <v>192.99033333333333</v>
      </c>
    </row>
    <row r="926" spans="1:20">
      <c r="A926" s="962" t="s">
        <v>4119</v>
      </c>
      <c r="B926" s="972">
        <v>313.51600000000002</v>
      </c>
      <c r="C926" s="972">
        <v>0.67400000000000004</v>
      </c>
      <c r="D926" s="972">
        <v>0</v>
      </c>
      <c r="E926" s="972">
        <v>3.4089999999999998</v>
      </c>
      <c r="F926" s="972">
        <v>0.23400000000000001</v>
      </c>
      <c r="G926" s="972">
        <v>0</v>
      </c>
      <c r="H926" s="972">
        <v>0</v>
      </c>
      <c r="I926" s="972">
        <v>8.3629999999999995</v>
      </c>
      <c r="J926" s="972">
        <v>0</v>
      </c>
      <c r="K926" s="972">
        <v>0</v>
      </c>
      <c r="L926" s="972">
        <v>0</v>
      </c>
      <c r="M926" s="972">
        <v>0</v>
      </c>
      <c r="N926" s="972">
        <v>0</v>
      </c>
      <c r="O926" s="972">
        <v>8.5969999999999995</v>
      </c>
      <c r="P926" s="972">
        <v>27.277000000000001</v>
      </c>
      <c r="Q926" s="972">
        <v>277.642</v>
      </c>
      <c r="R926" s="962">
        <v>19</v>
      </c>
      <c r="S926" s="962" t="s">
        <v>4940</v>
      </c>
      <c r="T926" s="972">
        <v>98.337000000000003</v>
      </c>
    </row>
    <row r="927" spans="1:20">
      <c r="A927" s="962" t="s">
        <v>4121</v>
      </c>
      <c r="B927" s="972">
        <v>126.971</v>
      </c>
      <c r="C927" s="972">
        <v>1.9450000000000001</v>
      </c>
      <c r="D927" s="972">
        <v>0.12</v>
      </c>
      <c r="E927" s="972">
        <v>0</v>
      </c>
      <c r="F927" s="972">
        <v>9.4E-2</v>
      </c>
      <c r="G927" s="972">
        <v>0</v>
      </c>
      <c r="H927" s="972">
        <v>0</v>
      </c>
      <c r="I927" s="972">
        <v>5.2489999999999997</v>
      </c>
      <c r="J927" s="972">
        <v>0</v>
      </c>
      <c r="K927" s="972">
        <v>0</v>
      </c>
      <c r="L927" s="972">
        <v>0</v>
      </c>
      <c r="M927" s="972">
        <v>0</v>
      </c>
      <c r="N927" s="972">
        <v>0</v>
      </c>
      <c r="O927" s="972">
        <v>5.343</v>
      </c>
      <c r="P927" s="972">
        <v>5.9139999999999997</v>
      </c>
      <c r="Q927" s="972">
        <v>115.714</v>
      </c>
      <c r="R927" s="962">
        <v>6</v>
      </c>
      <c r="S927" s="962" t="s">
        <v>4940</v>
      </c>
      <c r="T927" s="972">
        <v>30.765666666666668</v>
      </c>
    </row>
    <row r="928" spans="1:20">
      <c r="A928" s="962" t="s">
        <v>4123</v>
      </c>
      <c r="B928" s="972">
        <v>87.471000000000004</v>
      </c>
      <c r="C928" s="972">
        <v>0.995</v>
      </c>
      <c r="D928" s="972">
        <v>0</v>
      </c>
      <c r="E928" s="972">
        <v>0</v>
      </c>
      <c r="F928" s="972">
        <v>0.1</v>
      </c>
      <c r="G928" s="972">
        <v>0</v>
      </c>
      <c r="H928" s="972">
        <v>0</v>
      </c>
      <c r="I928" s="972">
        <v>2.6419999999999999</v>
      </c>
      <c r="J928" s="972">
        <v>0.26400000000000001</v>
      </c>
      <c r="K928" s="972">
        <v>0</v>
      </c>
      <c r="L928" s="972">
        <v>0</v>
      </c>
      <c r="M928" s="972">
        <v>0</v>
      </c>
      <c r="N928" s="972">
        <v>0</v>
      </c>
      <c r="O928" s="972">
        <v>3.0059999999999998</v>
      </c>
      <c r="P928" s="972">
        <v>0</v>
      </c>
      <c r="Q928" s="972">
        <v>84.465000000000003</v>
      </c>
      <c r="R928" s="962">
        <v>0</v>
      </c>
      <c r="S928" s="962" t="s">
        <v>4940</v>
      </c>
      <c r="T928" s="972">
        <v>0</v>
      </c>
    </row>
    <row r="929" spans="1:20">
      <c r="A929" s="962" t="s">
        <v>5032</v>
      </c>
      <c r="B929" s="972">
        <v>2476.915</v>
      </c>
      <c r="C929" s="972">
        <v>104.619</v>
      </c>
      <c r="D929" s="972">
        <v>0.40500000000000003</v>
      </c>
      <c r="E929" s="972">
        <v>45.085999999999999</v>
      </c>
      <c r="F929" s="972">
        <v>3.7919999999999998</v>
      </c>
      <c r="G929" s="972">
        <v>0.19500000000000001</v>
      </c>
      <c r="H929" s="972">
        <v>0</v>
      </c>
      <c r="I929" s="972">
        <v>44.335999999999999</v>
      </c>
      <c r="J929" s="972">
        <v>17.547000000000001</v>
      </c>
      <c r="K929" s="972">
        <v>0</v>
      </c>
      <c r="L929" s="972">
        <v>4.1740000000000004</v>
      </c>
      <c r="M929" s="972">
        <v>0</v>
      </c>
      <c r="N929" s="972">
        <v>0</v>
      </c>
      <c r="O929" s="972">
        <v>70.043000000000006</v>
      </c>
      <c r="P929" s="972">
        <v>120.58499999999999</v>
      </c>
      <c r="Q929" s="972">
        <v>2286.288</v>
      </c>
      <c r="R929" s="962">
        <v>260</v>
      </c>
      <c r="S929" s="962" t="s">
        <v>4940</v>
      </c>
      <c r="T929" s="972">
        <v>710.9375</v>
      </c>
    </row>
    <row r="930" spans="1:20">
      <c r="A930" s="962" t="s">
        <v>4125</v>
      </c>
      <c r="B930" s="972">
        <v>1614.5740000000001</v>
      </c>
      <c r="C930" s="972">
        <v>33.917000000000002</v>
      </c>
      <c r="D930" s="972">
        <v>0.621</v>
      </c>
      <c r="E930" s="972">
        <v>36.93</v>
      </c>
      <c r="F930" s="972">
        <v>2.3620000000000001</v>
      </c>
      <c r="G930" s="972">
        <v>0.17799999999999999</v>
      </c>
      <c r="H930" s="972">
        <v>0</v>
      </c>
      <c r="I930" s="972">
        <v>35.520000000000003</v>
      </c>
      <c r="J930" s="972">
        <v>11.497</v>
      </c>
      <c r="K930" s="972">
        <v>0</v>
      </c>
      <c r="L930" s="972">
        <v>1.6990000000000001</v>
      </c>
      <c r="M930" s="972">
        <v>0</v>
      </c>
      <c r="N930" s="972">
        <v>1.1870000000000001</v>
      </c>
      <c r="O930" s="972">
        <v>52.441000000000003</v>
      </c>
      <c r="P930" s="972">
        <v>134.30699999999999</v>
      </c>
      <c r="Q930" s="972">
        <v>1427.825</v>
      </c>
      <c r="R930" s="962">
        <v>101</v>
      </c>
      <c r="S930" s="962" t="s">
        <v>4940</v>
      </c>
      <c r="T930" s="972">
        <v>490.94383333333337</v>
      </c>
    </row>
    <row r="931" spans="1:20">
      <c r="A931" s="962" t="s">
        <v>4127</v>
      </c>
      <c r="B931" s="972">
        <v>2350.0680000000002</v>
      </c>
      <c r="C931" s="972">
        <v>72.512</v>
      </c>
      <c r="D931" s="972">
        <v>1.5229999999999999</v>
      </c>
      <c r="E931" s="972">
        <v>23.454000000000001</v>
      </c>
      <c r="F931" s="972">
        <v>5.1280000000000001</v>
      </c>
      <c r="G931" s="972">
        <v>1.38</v>
      </c>
      <c r="H931" s="972">
        <v>0</v>
      </c>
      <c r="I931" s="972">
        <v>71.406000000000006</v>
      </c>
      <c r="J931" s="972">
        <v>22.219000000000001</v>
      </c>
      <c r="K931" s="972">
        <v>0</v>
      </c>
      <c r="L931" s="972">
        <v>1.421</v>
      </c>
      <c r="M931" s="972">
        <v>0</v>
      </c>
      <c r="N931" s="972">
        <v>1.605</v>
      </c>
      <c r="O931" s="972">
        <v>103.157</v>
      </c>
      <c r="P931" s="972">
        <v>141.315</v>
      </c>
      <c r="Q931" s="972">
        <v>2105.5970000000002</v>
      </c>
      <c r="R931" s="962">
        <v>156</v>
      </c>
      <c r="S931" s="962" t="s">
        <v>4940</v>
      </c>
      <c r="T931" s="972">
        <v>623.80416666666656</v>
      </c>
    </row>
    <row r="932" spans="1:20">
      <c r="A932" s="962" t="s">
        <v>5033</v>
      </c>
      <c r="B932" s="972">
        <v>4581.1710000000003</v>
      </c>
      <c r="C932" s="972">
        <v>20.823</v>
      </c>
      <c r="D932" s="972">
        <v>1.8089999999999999</v>
      </c>
      <c r="E932" s="972">
        <v>141.69499999999999</v>
      </c>
      <c r="F932" s="972">
        <v>7.8170000000000002</v>
      </c>
      <c r="G932" s="972">
        <v>1.7270000000000001</v>
      </c>
      <c r="H932" s="972">
        <v>0</v>
      </c>
      <c r="I932" s="972">
        <v>154.738</v>
      </c>
      <c r="J932" s="972">
        <v>69.325999999999993</v>
      </c>
      <c r="K932" s="972">
        <v>0</v>
      </c>
      <c r="L932" s="972">
        <v>0</v>
      </c>
      <c r="M932" s="972">
        <v>0</v>
      </c>
      <c r="N932" s="972">
        <v>0</v>
      </c>
      <c r="O932" s="972">
        <v>233.608</v>
      </c>
      <c r="P932" s="972">
        <v>322.45299999999997</v>
      </c>
      <c r="Q932" s="972">
        <v>4025.1109999999999</v>
      </c>
      <c r="R932" s="962">
        <v>280</v>
      </c>
      <c r="S932" s="962" t="s">
        <v>4940</v>
      </c>
      <c r="T932" s="972">
        <v>1300.2913333333333</v>
      </c>
    </row>
    <row r="933" spans="1:20">
      <c r="A933" s="962" t="s">
        <v>4129</v>
      </c>
      <c r="B933" s="972">
        <v>3355.0709999999999</v>
      </c>
      <c r="C933" s="972">
        <v>60.308</v>
      </c>
      <c r="D933" s="972">
        <v>0.66600000000000004</v>
      </c>
      <c r="E933" s="972">
        <v>133.303</v>
      </c>
      <c r="F933" s="972">
        <v>5.4720000000000004</v>
      </c>
      <c r="G933" s="972">
        <v>0.47799999999999998</v>
      </c>
      <c r="H933" s="972">
        <v>0</v>
      </c>
      <c r="I933" s="972">
        <v>71.216999999999999</v>
      </c>
      <c r="J933" s="972">
        <v>28.176000000000002</v>
      </c>
      <c r="K933" s="972">
        <v>0</v>
      </c>
      <c r="L933" s="972">
        <v>0.44600000000000001</v>
      </c>
      <c r="M933" s="972">
        <v>0</v>
      </c>
      <c r="N933" s="972">
        <v>8.4250000000000007</v>
      </c>
      <c r="O933" s="972">
        <v>114.211</v>
      </c>
      <c r="P933" s="972">
        <v>203.232</v>
      </c>
      <c r="Q933" s="972">
        <v>3037.6289999999999</v>
      </c>
      <c r="R933" s="962">
        <v>167</v>
      </c>
      <c r="S933" s="962" t="s">
        <v>4940</v>
      </c>
      <c r="T933" s="972">
        <v>1049.0926666666667</v>
      </c>
    </row>
    <row r="934" spans="1:20">
      <c r="A934" s="962" t="s">
        <v>4131</v>
      </c>
      <c r="B934" s="972">
        <v>198.77600000000001</v>
      </c>
      <c r="C934" s="972">
        <v>0.96899999999999997</v>
      </c>
      <c r="D934" s="972">
        <v>0</v>
      </c>
      <c r="E934" s="972">
        <v>7.133</v>
      </c>
      <c r="F934" s="972">
        <v>0.127</v>
      </c>
      <c r="G934" s="972">
        <v>0</v>
      </c>
      <c r="H934" s="972">
        <v>0</v>
      </c>
      <c r="I934" s="972">
        <v>6.5979999999999999</v>
      </c>
      <c r="J934" s="972">
        <v>0</v>
      </c>
      <c r="K934" s="972">
        <v>0</v>
      </c>
      <c r="L934" s="972">
        <v>0</v>
      </c>
      <c r="M934" s="972">
        <v>0</v>
      </c>
      <c r="N934" s="972">
        <v>0</v>
      </c>
      <c r="O934" s="972">
        <v>6.7240000000000002</v>
      </c>
      <c r="P934" s="972">
        <v>17.835999999999999</v>
      </c>
      <c r="Q934" s="972">
        <v>174.215</v>
      </c>
      <c r="R934" s="962">
        <v>2</v>
      </c>
      <c r="S934" s="962" t="s">
        <v>4940</v>
      </c>
      <c r="T934" s="972">
        <v>58.56133333333333</v>
      </c>
    </row>
    <row r="935" spans="1:20">
      <c r="A935" s="962" t="s">
        <v>4133</v>
      </c>
      <c r="B935" s="972">
        <v>272.16199999999998</v>
      </c>
      <c r="C935" s="972">
        <v>3.3650000000000002</v>
      </c>
      <c r="D935" s="972">
        <v>0</v>
      </c>
      <c r="E935" s="972">
        <v>4.718</v>
      </c>
      <c r="F935" s="972">
        <v>0.34300000000000003</v>
      </c>
      <c r="G935" s="972">
        <v>0.16700000000000001</v>
      </c>
      <c r="H935" s="972">
        <v>0</v>
      </c>
      <c r="I935" s="972">
        <v>5.9939999999999998</v>
      </c>
      <c r="J935" s="972">
        <v>0.24299999999999999</v>
      </c>
      <c r="K935" s="972">
        <v>1.3839999999999999</v>
      </c>
      <c r="L935" s="972">
        <v>0</v>
      </c>
      <c r="M935" s="972">
        <v>0</v>
      </c>
      <c r="N935" s="972">
        <v>0</v>
      </c>
      <c r="O935" s="972">
        <v>8.1310000000000002</v>
      </c>
      <c r="P935" s="972">
        <v>9.2370000000000001</v>
      </c>
      <c r="Q935" s="972">
        <v>254.79400000000001</v>
      </c>
      <c r="R935" s="962">
        <v>28</v>
      </c>
      <c r="S935" s="962" t="s">
        <v>4940</v>
      </c>
      <c r="T935" s="972">
        <v>56.078166666666668</v>
      </c>
    </row>
    <row r="936" spans="1:20">
      <c r="A936" s="962" t="s">
        <v>6175</v>
      </c>
      <c r="B936" s="972">
        <v>3259.69</v>
      </c>
      <c r="C936" s="972">
        <v>249.38499999999999</v>
      </c>
      <c r="D936" s="972">
        <v>1.8360000000000001</v>
      </c>
      <c r="E936" s="972">
        <v>104.72799999999999</v>
      </c>
      <c r="F936" s="972">
        <v>5.5990000000000002</v>
      </c>
      <c r="G936" s="972">
        <v>0.378</v>
      </c>
      <c r="H936" s="972">
        <v>0</v>
      </c>
      <c r="I936" s="972">
        <v>52.482999999999997</v>
      </c>
      <c r="J936" s="972">
        <v>29.452000000000002</v>
      </c>
      <c r="K936" s="972">
        <v>0</v>
      </c>
      <c r="L936" s="972">
        <v>2.7E-2</v>
      </c>
      <c r="M936" s="972">
        <v>0</v>
      </c>
      <c r="N936" s="972">
        <v>0</v>
      </c>
      <c r="O936" s="972">
        <v>87.938000000000002</v>
      </c>
      <c r="P936" s="972">
        <v>237.279</v>
      </c>
      <c r="Q936" s="972">
        <v>2934.473</v>
      </c>
      <c r="R936" s="962">
        <v>193</v>
      </c>
      <c r="S936" s="962" t="s">
        <v>4940</v>
      </c>
      <c r="T936" s="972">
        <v>917.22183333333339</v>
      </c>
    </row>
    <row r="937" spans="1:20">
      <c r="A937" s="962" t="s">
        <v>4135</v>
      </c>
      <c r="B937" s="972">
        <v>477.50299999999999</v>
      </c>
      <c r="C937" s="972">
        <v>15.009</v>
      </c>
      <c r="D937" s="972">
        <v>0</v>
      </c>
      <c r="E937" s="972">
        <v>14.753</v>
      </c>
      <c r="F937" s="972">
        <v>0.70299999999999996</v>
      </c>
      <c r="G937" s="972">
        <v>0</v>
      </c>
      <c r="H937" s="972">
        <v>0</v>
      </c>
      <c r="I937" s="972">
        <v>6.61</v>
      </c>
      <c r="J937" s="972">
        <v>0</v>
      </c>
      <c r="K937" s="972">
        <v>2.008</v>
      </c>
      <c r="L937" s="972">
        <v>0</v>
      </c>
      <c r="M937" s="972">
        <v>0</v>
      </c>
      <c r="N937" s="972">
        <v>0</v>
      </c>
      <c r="O937" s="972">
        <v>9.3209999999999997</v>
      </c>
      <c r="P937" s="972">
        <v>40.405999999999999</v>
      </c>
      <c r="Q937" s="972">
        <v>427.77699999999999</v>
      </c>
      <c r="R937" s="962">
        <v>57</v>
      </c>
      <c r="S937" s="962" t="s">
        <v>4940</v>
      </c>
      <c r="T937" s="972">
        <v>138.97466666666668</v>
      </c>
    </row>
    <row r="938" spans="1:20">
      <c r="A938" s="962" t="s">
        <v>4137</v>
      </c>
      <c r="B938" s="972">
        <v>164.78899999999999</v>
      </c>
      <c r="C938" s="972">
        <v>14.32</v>
      </c>
      <c r="D938" s="972">
        <v>4.2999999999999997E-2</v>
      </c>
      <c r="E938" s="972">
        <v>4.5030000000000001</v>
      </c>
      <c r="F938" s="972">
        <v>0.42199999999999999</v>
      </c>
      <c r="G938" s="972">
        <v>2.4E-2</v>
      </c>
      <c r="H938" s="972">
        <v>0</v>
      </c>
      <c r="I938" s="972">
        <v>5.6029999999999998</v>
      </c>
      <c r="J938" s="972">
        <v>0</v>
      </c>
      <c r="K938" s="972">
        <v>3.3809999999999998</v>
      </c>
      <c r="L938" s="972">
        <v>0</v>
      </c>
      <c r="M938" s="972">
        <v>0</v>
      </c>
      <c r="N938" s="972">
        <v>0</v>
      </c>
      <c r="O938" s="972">
        <v>9.4309999999999992</v>
      </c>
      <c r="P938" s="972">
        <v>8.5030000000000001</v>
      </c>
      <c r="Q938" s="972">
        <v>146.85599999999999</v>
      </c>
      <c r="R938" s="962">
        <v>4</v>
      </c>
      <c r="S938" s="962" t="s">
        <v>4940</v>
      </c>
      <c r="T938" s="972">
        <v>35.117666666666665</v>
      </c>
    </row>
    <row r="939" spans="1:20">
      <c r="A939" s="962" t="s">
        <v>4139</v>
      </c>
      <c r="B939" s="972">
        <v>97.647000000000006</v>
      </c>
      <c r="C939" s="972">
        <v>1.9419999999999999</v>
      </c>
      <c r="D939" s="972">
        <v>0</v>
      </c>
      <c r="E939" s="972">
        <v>0</v>
      </c>
      <c r="F939" s="972">
        <v>0.29099999999999998</v>
      </c>
      <c r="G939" s="972">
        <v>0</v>
      </c>
      <c r="H939" s="972">
        <v>0</v>
      </c>
      <c r="I939" s="972">
        <v>1.978</v>
      </c>
      <c r="J939" s="972">
        <v>0</v>
      </c>
      <c r="K939" s="972">
        <v>0</v>
      </c>
      <c r="L939" s="972">
        <v>0</v>
      </c>
      <c r="M939" s="972">
        <v>0</v>
      </c>
      <c r="N939" s="972">
        <v>0</v>
      </c>
      <c r="O939" s="972">
        <v>2.2690000000000001</v>
      </c>
      <c r="P939" s="972">
        <v>0</v>
      </c>
      <c r="Q939" s="972">
        <v>95.378</v>
      </c>
      <c r="R939" s="962">
        <v>4</v>
      </c>
      <c r="S939" s="962" t="s">
        <v>4940</v>
      </c>
      <c r="T939" s="972">
        <v>0</v>
      </c>
    </row>
    <row r="940" spans="1:20">
      <c r="A940" s="962" t="s">
        <v>1181</v>
      </c>
      <c r="B940" s="972">
        <v>147.328</v>
      </c>
      <c r="C940" s="972">
        <v>0</v>
      </c>
      <c r="D940" s="972">
        <v>0.46400000000000002</v>
      </c>
      <c r="E940" s="972">
        <v>2.5030000000000001</v>
      </c>
      <c r="F940" s="972">
        <v>0</v>
      </c>
      <c r="G940" s="972">
        <v>0</v>
      </c>
      <c r="H940" s="972">
        <v>0</v>
      </c>
      <c r="I940" s="972">
        <v>2.0190000000000001</v>
      </c>
      <c r="J940" s="972">
        <v>0</v>
      </c>
      <c r="K940" s="972">
        <v>0</v>
      </c>
      <c r="L940" s="972">
        <v>0</v>
      </c>
      <c r="M940" s="972">
        <v>0</v>
      </c>
      <c r="N940" s="972">
        <v>0</v>
      </c>
      <c r="O940" s="972">
        <v>2.0190000000000001</v>
      </c>
      <c r="P940" s="972">
        <v>23.010999999999999</v>
      </c>
      <c r="Q940" s="972">
        <v>122.298</v>
      </c>
      <c r="R940" s="962">
        <v>20</v>
      </c>
      <c r="S940" s="962" t="s">
        <v>4940</v>
      </c>
      <c r="T940" s="972">
        <v>118.10716666666667</v>
      </c>
    </row>
    <row r="941" spans="1:20">
      <c r="A941" s="962" t="s">
        <v>4141</v>
      </c>
      <c r="B941" s="972">
        <v>622.62099999999998</v>
      </c>
      <c r="C941" s="972">
        <v>19.291</v>
      </c>
      <c r="D941" s="972">
        <v>0.182</v>
      </c>
      <c r="E941" s="972">
        <v>17.55</v>
      </c>
      <c r="F941" s="972">
        <v>0.86499999999999999</v>
      </c>
      <c r="G941" s="972">
        <v>0</v>
      </c>
      <c r="H941" s="972">
        <v>0</v>
      </c>
      <c r="I941" s="972">
        <v>7.7210000000000001</v>
      </c>
      <c r="J941" s="972">
        <v>3.218</v>
      </c>
      <c r="K941" s="972">
        <v>0</v>
      </c>
      <c r="L941" s="972">
        <v>1.4810000000000001</v>
      </c>
      <c r="M941" s="972">
        <v>0</v>
      </c>
      <c r="N941" s="972">
        <v>0</v>
      </c>
      <c r="O941" s="972">
        <v>13.284000000000001</v>
      </c>
      <c r="P941" s="972">
        <v>46.534999999999997</v>
      </c>
      <c r="Q941" s="972">
        <v>562.803</v>
      </c>
      <c r="R941" s="962">
        <v>21</v>
      </c>
      <c r="S941" s="962" t="s">
        <v>4940</v>
      </c>
      <c r="T941" s="972">
        <v>142.77183333333335</v>
      </c>
    </row>
    <row r="942" spans="1:20">
      <c r="A942" s="962" t="s">
        <v>4143</v>
      </c>
      <c r="B942" s="972">
        <v>2627.152</v>
      </c>
      <c r="C942" s="972">
        <v>189.94800000000001</v>
      </c>
      <c r="D942" s="972">
        <v>0.191</v>
      </c>
      <c r="E942" s="972">
        <v>52.134999999999998</v>
      </c>
      <c r="F942" s="972">
        <v>3.637</v>
      </c>
      <c r="G942" s="972">
        <v>0.155</v>
      </c>
      <c r="H942" s="972">
        <v>0</v>
      </c>
      <c r="I942" s="972">
        <v>54.753999999999998</v>
      </c>
      <c r="J942" s="972">
        <v>23.056000000000001</v>
      </c>
      <c r="K942" s="972">
        <v>0</v>
      </c>
      <c r="L942" s="972">
        <v>7.5759999999999996</v>
      </c>
      <c r="M942" s="972">
        <v>0</v>
      </c>
      <c r="N942" s="972">
        <v>0</v>
      </c>
      <c r="O942" s="972">
        <v>89.177000000000007</v>
      </c>
      <c r="P942" s="972">
        <v>148.47399999999999</v>
      </c>
      <c r="Q942" s="972">
        <v>2389.5010000000002</v>
      </c>
      <c r="R942" s="962">
        <v>127</v>
      </c>
      <c r="S942" s="962" t="s">
        <v>4940</v>
      </c>
      <c r="T942" s="972">
        <v>689.20183333333341</v>
      </c>
    </row>
    <row r="943" spans="1:20">
      <c r="A943" s="962" t="s">
        <v>1318</v>
      </c>
      <c r="B943" s="972">
        <v>373.52499999999998</v>
      </c>
      <c r="C943" s="972">
        <v>5.93</v>
      </c>
      <c r="D943" s="972">
        <v>0</v>
      </c>
      <c r="E943" s="972">
        <v>5.2539999999999996</v>
      </c>
      <c r="F943" s="972">
        <v>0.73099999999999998</v>
      </c>
      <c r="G943" s="972">
        <v>0</v>
      </c>
      <c r="H943" s="972">
        <v>0</v>
      </c>
      <c r="I943" s="972">
        <v>12.778</v>
      </c>
      <c r="J943" s="972">
        <v>0</v>
      </c>
      <c r="K943" s="972">
        <v>0</v>
      </c>
      <c r="L943" s="972">
        <v>5.1310000000000002</v>
      </c>
      <c r="M943" s="972">
        <v>0</v>
      </c>
      <c r="N943" s="972">
        <v>0</v>
      </c>
      <c r="O943" s="972">
        <v>18.638999999999999</v>
      </c>
      <c r="P943" s="972">
        <v>18.666</v>
      </c>
      <c r="Q943" s="972">
        <v>336.22</v>
      </c>
      <c r="R943" s="962">
        <v>8</v>
      </c>
      <c r="S943" s="962" t="s">
        <v>4940</v>
      </c>
      <c r="T943" s="972">
        <v>108.36266666666667</v>
      </c>
    </row>
    <row r="944" spans="1:20">
      <c r="A944" s="962" t="s">
        <v>179</v>
      </c>
      <c r="B944" s="972">
        <v>127.232</v>
      </c>
      <c r="C944" s="972">
        <v>0</v>
      </c>
      <c r="D944" s="972">
        <v>0.74</v>
      </c>
      <c r="E944" s="972">
        <v>17.181000000000001</v>
      </c>
      <c r="F944" s="972">
        <v>0</v>
      </c>
      <c r="G944" s="972">
        <v>0</v>
      </c>
      <c r="H944" s="972">
        <v>0</v>
      </c>
      <c r="I944" s="972">
        <v>0</v>
      </c>
      <c r="J944" s="972">
        <v>0</v>
      </c>
      <c r="K944" s="972">
        <v>0</v>
      </c>
      <c r="L944" s="972">
        <v>0</v>
      </c>
      <c r="M944" s="972">
        <v>0</v>
      </c>
      <c r="N944" s="972">
        <v>0</v>
      </c>
      <c r="O944" s="972">
        <v>0</v>
      </c>
      <c r="P944" s="972">
        <v>8.8049999999999997</v>
      </c>
      <c r="Q944" s="972">
        <v>118.42700000000001</v>
      </c>
      <c r="R944" s="962">
        <v>0</v>
      </c>
      <c r="S944" s="962" t="s">
        <v>4940</v>
      </c>
      <c r="T944" s="972">
        <v>127.22999999999999</v>
      </c>
    </row>
    <row r="945" spans="1:20">
      <c r="A945" s="962" t="s">
        <v>2536</v>
      </c>
      <c r="B945" s="972">
        <v>469.51799999999997</v>
      </c>
      <c r="C945" s="972">
        <v>33.819000000000003</v>
      </c>
      <c r="D945" s="972">
        <v>0.33400000000000002</v>
      </c>
      <c r="E945" s="972">
        <v>0</v>
      </c>
      <c r="F945" s="972">
        <v>0.52700000000000002</v>
      </c>
      <c r="G945" s="972">
        <v>0</v>
      </c>
      <c r="H945" s="972">
        <v>0</v>
      </c>
      <c r="I945" s="972">
        <v>13.172000000000001</v>
      </c>
      <c r="J945" s="972">
        <v>2.2719999999999998</v>
      </c>
      <c r="K945" s="972">
        <v>0</v>
      </c>
      <c r="L945" s="972">
        <v>0</v>
      </c>
      <c r="M945" s="972">
        <v>0</v>
      </c>
      <c r="N945" s="972">
        <v>0</v>
      </c>
      <c r="O945" s="972">
        <v>15.971</v>
      </c>
      <c r="P945" s="972">
        <v>31.972999999999999</v>
      </c>
      <c r="Q945" s="972">
        <v>421.57400000000001</v>
      </c>
      <c r="R945" s="962">
        <v>32</v>
      </c>
      <c r="S945" s="962" t="s">
        <v>4940</v>
      </c>
      <c r="T945" s="972">
        <v>129.04166666666666</v>
      </c>
    </row>
    <row r="946" spans="1:20">
      <c r="A946" s="962" t="s">
        <v>2407</v>
      </c>
      <c r="B946" s="972">
        <v>3180.3829999999998</v>
      </c>
      <c r="C946" s="972">
        <v>97.450999999999993</v>
      </c>
      <c r="D946" s="972">
        <v>1.96</v>
      </c>
      <c r="E946" s="972">
        <v>84.605000000000004</v>
      </c>
      <c r="F946" s="972">
        <v>4.8310000000000004</v>
      </c>
      <c r="G946" s="972">
        <v>1E-3</v>
      </c>
      <c r="H946" s="972">
        <v>0</v>
      </c>
      <c r="I946" s="972">
        <v>47.088000000000001</v>
      </c>
      <c r="J946" s="972">
        <v>33.284999999999997</v>
      </c>
      <c r="K946" s="972">
        <v>0</v>
      </c>
      <c r="L946" s="972">
        <v>0</v>
      </c>
      <c r="M946" s="972">
        <v>0</v>
      </c>
      <c r="N946" s="972">
        <v>1.706</v>
      </c>
      <c r="O946" s="972">
        <v>86.91</v>
      </c>
      <c r="P946" s="972">
        <v>116.624</v>
      </c>
      <c r="Q946" s="972">
        <v>2976.8490000000002</v>
      </c>
      <c r="R946" s="962">
        <v>167</v>
      </c>
      <c r="S946" s="962" t="s">
        <v>4940</v>
      </c>
      <c r="T946" s="972">
        <v>920.60883333333334</v>
      </c>
    </row>
    <row r="947" spans="1:20">
      <c r="A947" s="962" t="s">
        <v>5034</v>
      </c>
      <c r="B947" s="972">
        <v>7196.3320000000003</v>
      </c>
      <c r="C947" s="972">
        <v>509.10300000000001</v>
      </c>
      <c r="D947" s="972">
        <v>0.16300000000000001</v>
      </c>
      <c r="E947" s="972">
        <v>189.10400000000001</v>
      </c>
      <c r="F947" s="972">
        <v>11.351000000000001</v>
      </c>
      <c r="G947" s="972">
        <v>5.8000000000000003E-2</v>
      </c>
      <c r="H947" s="972">
        <v>0.32800000000000001</v>
      </c>
      <c r="I947" s="972">
        <v>118.17</v>
      </c>
      <c r="J947" s="972">
        <v>59.437999999999995</v>
      </c>
      <c r="K947" s="972">
        <v>0</v>
      </c>
      <c r="L947" s="972">
        <v>0</v>
      </c>
      <c r="M947" s="972">
        <v>0</v>
      </c>
      <c r="N947" s="972">
        <v>9.4550000000000001</v>
      </c>
      <c r="O947" s="972">
        <v>198.798</v>
      </c>
      <c r="P947" s="972">
        <v>406.80900000000003</v>
      </c>
      <c r="Q947" s="972">
        <v>6590.7250000000004</v>
      </c>
      <c r="R947" s="962">
        <v>615</v>
      </c>
      <c r="S947" s="962" t="s">
        <v>4940</v>
      </c>
      <c r="T947" s="972">
        <v>2059.5948333333331</v>
      </c>
    </row>
    <row r="948" spans="1:20">
      <c r="A948" s="962" t="s">
        <v>6174</v>
      </c>
      <c r="B948" s="972">
        <v>720.08100000000002</v>
      </c>
      <c r="C948" s="972">
        <v>20.745999999999999</v>
      </c>
      <c r="D948" s="972">
        <v>0</v>
      </c>
      <c r="E948" s="972">
        <v>0.97499999999999998</v>
      </c>
      <c r="F948" s="972">
        <v>0.92100000000000004</v>
      </c>
      <c r="G948" s="972">
        <v>0</v>
      </c>
      <c r="H948" s="972">
        <v>0</v>
      </c>
      <c r="I948" s="972">
        <v>24.035</v>
      </c>
      <c r="J948" s="972">
        <v>4.468</v>
      </c>
      <c r="K948" s="972">
        <v>0</v>
      </c>
      <c r="L948" s="972">
        <v>0</v>
      </c>
      <c r="M948" s="972">
        <v>0</v>
      </c>
      <c r="N948" s="972">
        <v>0</v>
      </c>
      <c r="O948" s="972">
        <v>29.422999999999998</v>
      </c>
      <c r="P948" s="972">
        <v>56.287999999999997</v>
      </c>
      <c r="Q948" s="972">
        <v>634.37</v>
      </c>
      <c r="R948" s="962">
        <v>66</v>
      </c>
      <c r="S948" s="962" t="s">
        <v>4940</v>
      </c>
      <c r="T948" s="972">
        <v>255.75516666666667</v>
      </c>
    </row>
    <row r="949" spans="1:20">
      <c r="A949" s="962" t="s">
        <v>4145</v>
      </c>
      <c r="B949" s="972">
        <v>4403.5529999999999</v>
      </c>
      <c r="C949" s="972">
        <v>91.575999999999993</v>
      </c>
      <c r="D949" s="972">
        <v>0</v>
      </c>
      <c r="E949" s="972">
        <v>46.094999999999999</v>
      </c>
      <c r="F949" s="972">
        <v>6.5720000000000001</v>
      </c>
      <c r="G949" s="972">
        <v>0.115</v>
      </c>
      <c r="H949" s="972">
        <v>0</v>
      </c>
      <c r="I949" s="972">
        <v>75.757999999999996</v>
      </c>
      <c r="J949" s="972">
        <v>20.803000000000001</v>
      </c>
      <c r="K949" s="972">
        <v>0</v>
      </c>
      <c r="L949" s="972">
        <v>0</v>
      </c>
      <c r="M949" s="972">
        <v>0</v>
      </c>
      <c r="N949" s="972">
        <v>0</v>
      </c>
      <c r="O949" s="972">
        <v>103.248</v>
      </c>
      <c r="P949" s="972">
        <v>106.123</v>
      </c>
      <c r="Q949" s="972">
        <v>4194.183</v>
      </c>
      <c r="R949" s="962">
        <v>389</v>
      </c>
      <c r="S949" s="962" t="s">
        <v>4940</v>
      </c>
      <c r="T949" s="972">
        <v>1401.2373333333333</v>
      </c>
    </row>
    <row r="950" spans="1:20">
      <c r="A950" s="962" t="s">
        <v>6196</v>
      </c>
      <c r="B950" s="972">
        <v>1025.376</v>
      </c>
      <c r="C950" s="972">
        <v>23.088999999999999</v>
      </c>
      <c r="D950" s="972">
        <v>0</v>
      </c>
      <c r="E950" s="972">
        <v>0</v>
      </c>
      <c r="F950" s="972">
        <v>1.597</v>
      </c>
      <c r="G950" s="972">
        <v>0</v>
      </c>
      <c r="H950" s="972">
        <v>0</v>
      </c>
      <c r="I950" s="972">
        <v>32.026000000000003</v>
      </c>
      <c r="J950" s="972">
        <v>4.157</v>
      </c>
      <c r="K950" s="972">
        <v>0</v>
      </c>
      <c r="L950" s="972">
        <v>0</v>
      </c>
      <c r="M950" s="972">
        <v>0</v>
      </c>
      <c r="N950" s="972">
        <v>0</v>
      </c>
      <c r="O950" s="972">
        <v>37.78</v>
      </c>
      <c r="P950" s="972">
        <v>50.37</v>
      </c>
      <c r="Q950" s="972">
        <v>937.226</v>
      </c>
      <c r="R950" s="962">
        <v>58</v>
      </c>
      <c r="S950" s="962" t="s">
        <v>4940</v>
      </c>
      <c r="T950" s="972">
        <v>301.79383333333334</v>
      </c>
    </row>
    <row r="951" spans="1:20">
      <c r="A951" s="962" t="s">
        <v>6131</v>
      </c>
      <c r="B951" s="972">
        <v>845.02800000000002</v>
      </c>
      <c r="C951" s="972">
        <v>19.088000000000001</v>
      </c>
      <c r="D951" s="972">
        <v>0</v>
      </c>
      <c r="E951" s="972">
        <v>3.4820000000000002</v>
      </c>
      <c r="F951" s="972">
        <v>0.68500000000000005</v>
      </c>
      <c r="G951" s="972">
        <v>4.2999999999999997E-2</v>
      </c>
      <c r="H951" s="972">
        <v>0</v>
      </c>
      <c r="I951" s="972">
        <v>13.593</v>
      </c>
      <c r="J951" s="972">
        <v>2.012</v>
      </c>
      <c r="K951" s="972">
        <v>0</v>
      </c>
      <c r="L951" s="972">
        <v>0</v>
      </c>
      <c r="M951" s="972">
        <v>0</v>
      </c>
      <c r="N951" s="972">
        <v>0</v>
      </c>
      <c r="O951" s="972">
        <v>16.332999999999998</v>
      </c>
      <c r="P951" s="972">
        <v>64.037000000000006</v>
      </c>
      <c r="Q951" s="972">
        <v>764.65700000000004</v>
      </c>
      <c r="R951" s="962">
        <v>45</v>
      </c>
      <c r="S951" s="962" t="s">
        <v>4940</v>
      </c>
      <c r="T951" s="972">
        <v>253.90433333333334</v>
      </c>
    </row>
    <row r="952" spans="1:20">
      <c r="A952" s="962" t="s">
        <v>254</v>
      </c>
      <c r="B952" s="972">
        <v>188.58500000000001</v>
      </c>
      <c r="C952" s="972">
        <v>5.8620000000000001</v>
      </c>
      <c r="D952" s="972">
        <v>0</v>
      </c>
      <c r="E952" s="972">
        <v>0.42799999999999999</v>
      </c>
      <c r="F952" s="972">
        <v>0.437</v>
      </c>
      <c r="G952" s="972">
        <v>0</v>
      </c>
      <c r="H952" s="972">
        <v>0</v>
      </c>
      <c r="I952" s="972">
        <v>4.9470000000000001</v>
      </c>
      <c r="J952" s="972">
        <v>1.4259999999999999</v>
      </c>
      <c r="K952" s="972">
        <v>0</v>
      </c>
      <c r="L952" s="972">
        <v>0</v>
      </c>
      <c r="M952" s="972">
        <v>0</v>
      </c>
      <c r="N952" s="972">
        <v>0</v>
      </c>
      <c r="O952" s="972">
        <v>6.8090000000000002</v>
      </c>
      <c r="P952" s="972">
        <v>0</v>
      </c>
      <c r="Q952" s="972">
        <v>181.77600000000001</v>
      </c>
      <c r="R952" s="962">
        <v>10</v>
      </c>
      <c r="S952" s="962" t="s">
        <v>4940</v>
      </c>
      <c r="T952" s="972">
        <v>0</v>
      </c>
    </row>
    <row r="953" spans="1:20">
      <c r="A953" s="962" t="s">
        <v>256</v>
      </c>
      <c r="B953" s="972">
        <v>463.75299999999999</v>
      </c>
      <c r="C953" s="972">
        <v>120.60599999999999</v>
      </c>
      <c r="D953" s="972">
        <v>0</v>
      </c>
      <c r="E953" s="972">
        <v>5.0999999999999996</v>
      </c>
      <c r="F953" s="972">
        <v>0.46100000000000002</v>
      </c>
      <c r="G953" s="972">
        <v>0</v>
      </c>
      <c r="H953" s="972">
        <v>0</v>
      </c>
      <c r="I953" s="972">
        <v>7.3040000000000003</v>
      </c>
      <c r="J953" s="972">
        <v>0.42</v>
      </c>
      <c r="K953" s="972">
        <v>3.7999999999999999E-2</v>
      </c>
      <c r="L953" s="972">
        <v>0</v>
      </c>
      <c r="M953" s="972">
        <v>0</v>
      </c>
      <c r="N953" s="972">
        <v>0</v>
      </c>
      <c r="O953" s="972">
        <v>8.2219999999999995</v>
      </c>
      <c r="P953" s="972">
        <v>18.109000000000002</v>
      </c>
      <c r="Q953" s="972">
        <v>437.42200000000003</v>
      </c>
      <c r="R953" s="962">
        <v>13</v>
      </c>
      <c r="S953" s="962" t="s">
        <v>3902</v>
      </c>
      <c r="T953" s="972">
        <v>137.54525000000001</v>
      </c>
    </row>
    <row r="954" spans="1:20">
      <c r="A954" s="962" t="s">
        <v>258</v>
      </c>
      <c r="B954" s="972">
        <v>540.48599999999999</v>
      </c>
      <c r="C954" s="972">
        <v>84.951999999999998</v>
      </c>
      <c r="D954" s="972">
        <v>0</v>
      </c>
      <c r="E954" s="972">
        <v>2.4089999999999998</v>
      </c>
      <c r="F954" s="972">
        <v>0.57199999999999995</v>
      </c>
      <c r="G954" s="972">
        <v>0</v>
      </c>
      <c r="H954" s="972">
        <v>0</v>
      </c>
      <c r="I954" s="972">
        <v>6.5709999999999997</v>
      </c>
      <c r="J954" s="972">
        <v>1.5049999999999999</v>
      </c>
      <c r="K954" s="972">
        <v>0</v>
      </c>
      <c r="L954" s="972">
        <v>0</v>
      </c>
      <c r="M954" s="972">
        <v>0</v>
      </c>
      <c r="N954" s="972">
        <v>0</v>
      </c>
      <c r="O954" s="972">
        <v>8.6479999999999997</v>
      </c>
      <c r="P954" s="972">
        <v>29.076000000000001</v>
      </c>
      <c r="Q954" s="972">
        <v>502.762</v>
      </c>
      <c r="R954" s="962">
        <v>25</v>
      </c>
      <c r="S954" s="962" t="s">
        <v>3902</v>
      </c>
      <c r="T954" s="972">
        <v>147.63049999999998</v>
      </c>
    </row>
    <row r="955" spans="1:20">
      <c r="A955" s="962" t="s">
        <v>260</v>
      </c>
      <c r="B955" s="972">
        <v>1121.6020000000001</v>
      </c>
      <c r="C955" s="972">
        <v>179.60400000000001</v>
      </c>
      <c r="D955" s="972">
        <v>0</v>
      </c>
      <c r="E955" s="972">
        <v>15.054</v>
      </c>
      <c r="F955" s="972">
        <v>1.488</v>
      </c>
      <c r="G955" s="972">
        <v>5.3999999999999999E-2</v>
      </c>
      <c r="H955" s="972">
        <v>0</v>
      </c>
      <c r="I955" s="972">
        <v>23.347000000000001</v>
      </c>
      <c r="J955" s="972">
        <v>2.149</v>
      </c>
      <c r="K955" s="972">
        <v>0</v>
      </c>
      <c r="L955" s="972">
        <v>0</v>
      </c>
      <c r="M955" s="972">
        <v>0</v>
      </c>
      <c r="N955" s="972">
        <v>0.86099999999999999</v>
      </c>
      <c r="O955" s="972">
        <v>27.896999999999998</v>
      </c>
      <c r="P955" s="972">
        <v>61.570999999999998</v>
      </c>
      <c r="Q955" s="972">
        <v>1032.134</v>
      </c>
      <c r="R955" s="962">
        <v>90</v>
      </c>
      <c r="S955" s="962" t="s">
        <v>3902</v>
      </c>
      <c r="T955" s="972">
        <v>313.56325000000004</v>
      </c>
    </row>
    <row r="956" spans="1:20">
      <c r="A956" s="962" t="s">
        <v>262</v>
      </c>
      <c r="B956" s="972">
        <v>141.36799999999999</v>
      </c>
      <c r="C956" s="972">
        <v>32.752000000000002</v>
      </c>
      <c r="D956" s="972">
        <v>0</v>
      </c>
      <c r="E956" s="972">
        <v>4.4999999999999998E-2</v>
      </c>
      <c r="F956" s="972">
        <v>0.13600000000000001</v>
      </c>
      <c r="G956" s="972">
        <v>0</v>
      </c>
      <c r="H956" s="972">
        <v>0</v>
      </c>
      <c r="I956" s="972">
        <v>3.6779999999999999</v>
      </c>
      <c r="J956" s="972">
        <v>8.4000000000000005E-2</v>
      </c>
      <c r="K956" s="972">
        <v>0</v>
      </c>
      <c r="L956" s="972">
        <v>0.82399999999999995</v>
      </c>
      <c r="M956" s="972">
        <v>0</v>
      </c>
      <c r="N956" s="972">
        <v>0</v>
      </c>
      <c r="O956" s="972">
        <v>4.7229999999999999</v>
      </c>
      <c r="P956" s="972">
        <v>15.663</v>
      </c>
      <c r="Q956" s="972">
        <v>120.982</v>
      </c>
      <c r="R956" s="962">
        <v>2</v>
      </c>
      <c r="S956" s="962" t="s">
        <v>4940</v>
      </c>
      <c r="T956" s="972">
        <v>44.031500000000001</v>
      </c>
    </row>
    <row r="957" spans="1:20">
      <c r="A957" s="962" t="s">
        <v>872</v>
      </c>
      <c r="B957" s="972">
        <v>96.28</v>
      </c>
      <c r="C957" s="972">
        <v>12.121</v>
      </c>
      <c r="D957" s="972">
        <v>0</v>
      </c>
      <c r="E957" s="972">
        <v>0.97199999999999998</v>
      </c>
      <c r="F957" s="972">
        <v>6.2E-2</v>
      </c>
      <c r="G957" s="972">
        <v>0</v>
      </c>
      <c r="H957" s="972">
        <v>0</v>
      </c>
      <c r="I957" s="972">
        <v>0.71899999999999997</v>
      </c>
      <c r="J957" s="972">
        <v>0.27600000000000002</v>
      </c>
      <c r="K957" s="972">
        <v>0</v>
      </c>
      <c r="L957" s="972">
        <v>0</v>
      </c>
      <c r="M957" s="972">
        <v>0</v>
      </c>
      <c r="N957" s="972">
        <v>0</v>
      </c>
      <c r="O957" s="972">
        <v>1.0569999999999999</v>
      </c>
      <c r="P957" s="972">
        <v>8.4949999999999992</v>
      </c>
      <c r="Q957" s="972">
        <v>86.727000000000004</v>
      </c>
      <c r="R957" s="962">
        <v>3</v>
      </c>
      <c r="S957" s="962" t="s">
        <v>4940</v>
      </c>
      <c r="T957" s="972">
        <v>35.60766666666666</v>
      </c>
    </row>
    <row r="958" spans="1:20">
      <c r="A958" s="962" t="s">
        <v>874</v>
      </c>
      <c r="B958" s="972">
        <v>2206.5010000000002</v>
      </c>
      <c r="C958" s="972">
        <v>274.12299999999999</v>
      </c>
      <c r="D958" s="972">
        <v>0.97799999999999998</v>
      </c>
      <c r="E958" s="972">
        <v>32.29</v>
      </c>
      <c r="F958" s="972">
        <v>1.5720000000000001</v>
      </c>
      <c r="G958" s="972">
        <v>0</v>
      </c>
      <c r="H958" s="972">
        <v>0</v>
      </c>
      <c r="I958" s="972">
        <v>25.875</v>
      </c>
      <c r="J958" s="972">
        <v>5.3209999999999997</v>
      </c>
      <c r="K958" s="972">
        <v>0</v>
      </c>
      <c r="L958" s="972">
        <v>7.3979999999999997</v>
      </c>
      <c r="M958" s="972">
        <v>0</v>
      </c>
      <c r="N958" s="972">
        <v>0</v>
      </c>
      <c r="O958" s="972">
        <v>40.165999999999997</v>
      </c>
      <c r="P958" s="972">
        <v>107.572</v>
      </c>
      <c r="Q958" s="972">
        <v>2058.7629999999999</v>
      </c>
      <c r="R958" s="962">
        <v>90</v>
      </c>
      <c r="S958" s="962" t="s">
        <v>3902</v>
      </c>
      <c r="T958" s="972">
        <v>575.64674999999988</v>
      </c>
    </row>
    <row r="959" spans="1:20">
      <c r="A959" s="962" t="s">
        <v>876</v>
      </c>
      <c r="B959" s="972">
        <v>449.858</v>
      </c>
      <c r="C959" s="972">
        <v>30.481000000000002</v>
      </c>
      <c r="D959" s="972">
        <v>0</v>
      </c>
      <c r="E959" s="972">
        <v>11.396000000000001</v>
      </c>
      <c r="F959" s="972">
        <v>0.65500000000000003</v>
      </c>
      <c r="G959" s="972">
        <v>4.8000000000000001E-2</v>
      </c>
      <c r="H959" s="972">
        <v>0</v>
      </c>
      <c r="I959" s="972">
        <v>7.0709999999999997</v>
      </c>
      <c r="J959" s="972">
        <v>0.93200000000000005</v>
      </c>
      <c r="K959" s="972">
        <v>0</v>
      </c>
      <c r="L959" s="972">
        <v>0</v>
      </c>
      <c r="M959" s="972">
        <v>0</v>
      </c>
      <c r="N959" s="972">
        <v>15.222</v>
      </c>
      <c r="O959" s="972">
        <v>23.927</v>
      </c>
      <c r="P959" s="972">
        <v>33.496000000000002</v>
      </c>
      <c r="Q959" s="972">
        <v>392.435</v>
      </c>
      <c r="R959" s="962">
        <v>14</v>
      </c>
      <c r="S959" s="962" t="s">
        <v>4940</v>
      </c>
      <c r="T959" s="972">
        <v>187.76466666666667</v>
      </c>
    </row>
    <row r="960" spans="1:20">
      <c r="A960" s="962" t="s">
        <v>3040</v>
      </c>
      <c r="B960" s="972">
        <v>453.488</v>
      </c>
      <c r="C960" s="972">
        <v>0</v>
      </c>
      <c r="D960" s="972">
        <v>0</v>
      </c>
      <c r="E960" s="972">
        <v>8.8420000000000005</v>
      </c>
      <c r="F960" s="972">
        <v>0.34399999999999997</v>
      </c>
      <c r="G960" s="972">
        <v>0</v>
      </c>
      <c r="H960" s="972">
        <v>0</v>
      </c>
      <c r="I960" s="972">
        <v>13.396000000000001</v>
      </c>
      <c r="J960" s="972">
        <v>1.9779999999999998</v>
      </c>
      <c r="K960" s="972">
        <v>0</v>
      </c>
      <c r="L960" s="972">
        <v>0.874</v>
      </c>
      <c r="M960" s="972">
        <v>0</v>
      </c>
      <c r="N960" s="972">
        <v>0</v>
      </c>
      <c r="O960" s="972">
        <v>16.593</v>
      </c>
      <c r="P960" s="972">
        <v>22.539000000000001</v>
      </c>
      <c r="Q960" s="972">
        <v>414.35700000000003</v>
      </c>
      <c r="R960" s="962">
        <v>55</v>
      </c>
      <c r="S960" s="962" t="s">
        <v>4940</v>
      </c>
      <c r="T960" s="972">
        <v>131.79766666666666</v>
      </c>
    </row>
    <row r="961" spans="1:20">
      <c r="A961" s="962" t="s">
        <v>3042</v>
      </c>
      <c r="B961" s="972">
        <v>223.59</v>
      </c>
      <c r="C961" s="972">
        <v>24.748000000000001</v>
      </c>
      <c r="D961" s="972">
        <v>0.13600000000000001</v>
      </c>
      <c r="E961" s="972">
        <v>16.707999999999998</v>
      </c>
      <c r="F961" s="972">
        <v>0.128</v>
      </c>
      <c r="G961" s="972">
        <v>0.16700000000000001</v>
      </c>
      <c r="H961" s="972">
        <v>0</v>
      </c>
      <c r="I961" s="972">
        <v>0.47499999999999998</v>
      </c>
      <c r="J961" s="972">
        <v>0</v>
      </c>
      <c r="K961" s="972">
        <v>0.68</v>
      </c>
      <c r="L961" s="972">
        <v>0</v>
      </c>
      <c r="M961" s="972">
        <v>0</v>
      </c>
      <c r="N961" s="972">
        <v>0.91700000000000004</v>
      </c>
      <c r="O961" s="972">
        <v>2.3660000000000001</v>
      </c>
      <c r="P961" s="972">
        <v>17.254999999999999</v>
      </c>
      <c r="Q961" s="972">
        <v>203.96899999999999</v>
      </c>
      <c r="R961" s="962">
        <v>1</v>
      </c>
      <c r="S961" s="962" t="s">
        <v>4940</v>
      </c>
      <c r="T961" s="972">
        <v>66.005499999999998</v>
      </c>
    </row>
    <row r="962" spans="1:20">
      <c r="A962" s="962" t="s">
        <v>709</v>
      </c>
      <c r="B962" s="972">
        <v>948.24199999999996</v>
      </c>
      <c r="C962" s="972">
        <v>91.763000000000005</v>
      </c>
      <c r="D962" s="972">
        <v>0.50800000000000001</v>
      </c>
      <c r="E962" s="972">
        <v>48.171999999999997</v>
      </c>
      <c r="F962" s="972">
        <v>1.7310000000000001</v>
      </c>
      <c r="G962" s="972">
        <v>1.2E-2</v>
      </c>
      <c r="H962" s="972">
        <v>0</v>
      </c>
      <c r="I962" s="972">
        <v>21.768999999999998</v>
      </c>
      <c r="J962" s="972">
        <v>9.2740000000000009</v>
      </c>
      <c r="K962" s="972">
        <v>0</v>
      </c>
      <c r="L962" s="972">
        <v>2.427</v>
      </c>
      <c r="M962" s="972">
        <v>0</v>
      </c>
      <c r="N962" s="972">
        <v>0.115</v>
      </c>
      <c r="O962" s="972">
        <v>35.326000000000001</v>
      </c>
      <c r="P962" s="972">
        <v>59.627000000000002</v>
      </c>
      <c r="Q962" s="972">
        <v>853.28899999999999</v>
      </c>
      <c r="R962" s="962">
        <v>67</v>
      </c>
      <c r="S962" s="962" t="s">
        <v>4940</v>
      </c>
      <c r="T962" s="972">
        <v>253.20933333333335</v>
      </c>
    </row>
    <row r="963" spans="1:20">
      <c r="A963" s="962" t="s">
        <v>3044</v>
      </c>
      <c r="B963" s="972">
        <v>170.392</v>
      </c>
      <c r="C963" s="972">
        <v>8.1780000000000008</v>
      </c>
      <c r="D963" s="972">
        <v>0</v>
      </c>
      <c r="E963" s="972">
        <v>6.8540000000000001</v>
      </c>
      <c r="F963" s="972">
        <v>0.219</v>
      </c>
      <c r="G963" s="972">
        <v>0</v>
      </c>
      <c r="H963" s="972">
        <v>0</v>
      </c>
      <c r="I963" s="972">
        <v>7.7290000000000001</v>
      </c>
      <c r="J963" s="972">
        <v>1.446</v>
      </c>
      <c r="K963" s="972">
        <v>0</v>
      </c>
      <c r="L963" s="972">
        <v>3.387</v>
      </c>
      <c r="M963" s="972">
        <v>0</v>
      </c>
      <c r="N963" s="972">
        <v>0</v>
      </c>
      <c r="O963" s="972">
        <v>12.781000000000001</v>
      </c>
      <c r="P963" s="972">
        <v>12.228999999999999</v>
      </c>
      <c r="Q963" s="972">
        <v>145.38300000000001</v>
      </c>
      <c r="R963" s="962">
        <v>4</v>
      </c>
      <c r="S963" s="962" t="s">
        <v>4940</v>
      </c>
      <c r="T963" s="972">
        <v>59.052666666666667</v>
      </c>
    </row>
    <row r="964" spans="1:20">
      <c r="A964" s="962" t="s">
        <v>2992</v>
      </c>
      <c r="B964" s="972">
        <v>3829.09</v>
      </c>
      <c r="C964" s="972">
        <v>210.14099999999999</v>
      </c>
      <c r="D964" s="972">
        <v>1.403</v>
      </c>
      <c r="E964" s="972">
        <v>173.202</v>
      </c>
      <c r="F964" s="972">
        <v>5.9240000000000004</v>
      </c>
      <c r="G964" s="972">
        <v>0.29299999999999998</v>
      </c>
      <c r="H964" s="972">
        <v>0</v>
      </c>
      <c r="I964" s="972">
        <v>68.617999999999995</v>
      </c>
      <c r="J964" s="972">
        <v>37.116</v>
      </c>
      <c r="K964" s="972">
        <v>0</v>
      </c>
      <c r="L964" s="972">
        <v>7.8449999999999998</v>
      </c>
      <c r="M964" s="972">
        <v>0</v>
      </c>
      <c r="N964" s="972">
        <v>2.4830000000000001</v>
      </c>
      <c r="O964" s="972">
        <v>122.27800000000001</v>
      </c>
      <c r="P964" s="972">
        <v>220.93199999999999</v>
      </c>
      <c r="Q964" s="972">
        <v>3485.8809999999999</v>
      </c>
      <c r="R964" s="962">
        <v>208</v>
      </c>
      <c r="S964" s="962" t="s">
        <v>4940</v>
      </c>
      <c r="T964" s="972">
        <v>1065.8501666666666</v>
      </c>
    </row>
    <row r="965" spans="1:20">
      <c r="A965" s="962" t="s">
        <v>3046</v>
      </c>
      <c r="B965" s="972">
        <v>889.39400000000001</v>
      </c>
      <c r="C965" s="972">
        <v>2.8839999999999999</v>
      </c>
      <c r="D965" s="972">
        <v>0.70699999999999996</v>
      </c>
      <c r="E965" s="972">
        <v>58.567999999999998</v>
      </c>
      <c r="F965" s="972">
        <v>1.4470000000000001</v>
      </c>
      <c r="G965" s="972">
        <v>0</v>
      </c>
      <c r="H965" s="972">
        <v>0</v>
      </c>
      <c r="I965" s="972">
        <v>13.792999999999999</v>
      </c>
      <c r="J965" s="972">
        <v>3.1890000000000001</v>
      </c>
      <c r="K965" s="972">
        <v>0</v>
      </c>
      <c r="L965" s="972">
        <v>3.3889999999999998</v>
      </c>
      <c r="M965" s="972">
        <v>0</v>
      </c>
      <c r="N965" s="972">
        <v>0</v>
      </c>
      <c r="O965" s="972">
        <v>21.817</v>
      </c>
      <c r="P965" s="972">
        <v>57.408999999999999</v>
      </c>
      <c r="Q965" s="972">
        <v>810.16800000000001</v>
      </c>
      <c r="R965" s="962">
        <v>55</v>
      </c>
      <c r="S965" s="962" t="s">
        <v>4940</v>
      </c>
      <c r="T965" s="972">
        <v>228.06783333333331</v>
      </c>
    </row>
    <row r="966" spans="1:20">
      <c r="A966" s="962" t="s">
        <v>1183</v>
      </c>
      <c r="B966" s="972">
        <v>183.434</v>
      </c>
      <c r="C966" s="972">
        <v>0</v>
      </c>
      <c r="D966" s="972">
        <v>0.69499999999999995</v>
      </c>
      <c r="E966" s="972">
        <v>27.242999999999999</v>
      </c>
      <c r="F966" s="972">
        <v>0</v>
      </c>
      <c r="G966" s="972">
        <v>0</v>
      </c>
      <c r="H966" s="972">
        <v>0</v>
      </c>
      <c r="I966" s="972">
        <v>0</v>
      </c>
      <c r="J966" s="972">
        <v>0</v>
      </c>
      <c r="K966" s="972">
        <v>0</v>
      </c>
      <c r="L966" s="972">
        <v>0</v>
      </c>
      <c r="M966" s="972">
        <v>0</v>
      </c>
      <c r="N966" s="972">
        <v>0</v>
      </c>
      <c r="O966" s="972">
        <v>0</v>
      </c>
      <c r="P966" s="972">
        <v>16.891999999999999</v>
      </c>
      <c r="Q966" s="972">
        <v>166.542</v>
      </c>
      <c r="R966" s="962">
        <v>0</v>
      </c>
      <c r="S966" s="962" t="s">
        <v>4940</v>
      </c>
      <c r="T966" s="972">
        <v>183.43066666666667</v>
      </c>
    </row>
    <row r="967" spans="1:20">
      <c r="A967" s="962" t="s">
        <v>264</v>
      </c>
      <c r="B967" s="972">
        <v>29331.524000000001</v>
      </c>
      <c r="C967" s="972">
        <v>3725.0839999999998</v>
      </c>
      <c r="D967" s="972">
        <v>17.869</v>
      </c>
      <c r="E967" s="972">
        <v>788.38699999999994</v>
      </c>
      <c r="F967" s="972">
        <v>49.253</v>
      </c>
      <c r="G967" s="972">
        <v>3.3359999999999999</v>
      </c>
      <c r="H967" s="972">
        <v>0</v>
      </c>
      <c r="I967" s="972">
        <v>360.86</v>
      </c>
      <c r="J967" s="972">
        <v>239.559</v>
      </c>
      <c r="K967" s="972">
        <v>0</v>
      </c>
      <c r="L967" s="972">
        <v>24.131</v>
      </c>
      <c r="M967" s="972">
        <v>0</v>
      </c>
      <c r="N967" s="972">
        <v>7.3620000000000001</v>
      </c>
      <c r="O967" s="972">
        <v>684.49699999999996</v>
      </c>
      <c r="P967" s="972">
        <v>1069.807</v>
      </c>
      <c r="Q967" s="972">
        <v>27577.219000000001</v>
      </c>
      <c r="R967" s="962">
        <v>2173</v>
      </c>
      <c r="S967" s="962" t="s">
        <v>4940</v>
      </c>
      <c r="T967" s="972">
        <v>7445.0370000000003</v>
      </c>
    </row>
    <row r="968" spans="1:20">
      <c r="A968" s="962" t="s">
        <v>2306</v>
      </c>
      <c r="B968" s="972">
        <v>1367.8510000000001</v>
      </c>
      <c r="C968" s="972">
        <v>13.37</v>
      </c>
      <c r="D968" s="972">
        <v>0</v>
      </c>
      <c r="E968" s="972">
        <v>4.0670000000000002</v>
      </c>
      <c r="F968" s="972">
        <v>1.68</v>
      </c>
      <c r="G968" s="972">
        <v>0</v>
      </c>
      <c r="H968" s="972">
        <v>0</v>
      </c>
      <c r="I968" s="972">
        <v>43.996000000000002</v>
      </c>
      <c r="J968" s="972">
        <v>5.7850000000000001</v>
      </c>
      <c r="K968" s="972">
        <v>0</v>
      </c>
      <c r="L968" s="972">
        <v>1.4790000000000001</v>
      </c>
      <c r="M968" s="972">
        <v>0</v>
      </c>
      <c r="N968" s="972">
        <v>0.59799999999999998</v>
      </c>
      <c r="O968" s="972">
        <v>53.537999999999997</v>
      </c>
      <c r="P968" s="972">
        <v>81.120999999999995</v>
      </c>
      <c r="Q968" s="972">
        <v>1233.193</v>
      </c>
      <c r="R968" s="962">
        <v>108</v>
      </c>
      <c r="S968" s="962" t="s">
        <v>4940</v>
      </c>
      <c r="T968" s="972">
        <v>398.27466666666669</v>
      </c>
    </row>
    <row r="969" spans="1:20">
      <c r="A969" s="962" t="s">
        <v>3048</v>
      </c>
      <c r="B969" s="972">
        <v>923.14</v>
      </c>
      <c r="C969" s="972">
        <v>53.32</v>
      </c>
      <c r="D969" s="972">
        <v>0.247</v>
      </c>
      <c r="E969" s="972">
        <v>43.512999999999998</v>
      </c>
      <c r="F969" s="972">
        <v>1.444</v>
      </c>
      <c r="G969" s="972">
        <v>0</v>
      </c>
      <c r="H969" s="972">
        <v>0</v>
      </c>
      <c r="I969" s="972">
        <v>7.5389999999999997</v>
      </c>
      <c r="J969" s="972">
        <v>4.6449999999999996</v>
      </c>
      <c r="K969" s="972">
        <v>0</v>
      </c>
      <c r="L969" s="972">
        <v>0</v>
      </c>
      <c r="M969" s="972">
        <v>0</v>
      </c>
      <c r="N969" s="972">
        <v>0.90800000000000003</v>
      </c>
      <c r="O969" s="972">
        <v>14.534000000000001</v>
      </c>
      <c r="P969" s="972">
        <v>52.347999999999999</v>
      </c>
      <c r="Q969" s="972">
        <v>856.25800000000004</v>
      </c>
      <c r="R969" s="962">
        <v>105</v>
      </c>
      <c r="S969" s="962" t="s">
        <v>4940</v>
      </c>
      <c r="T969" s="972">
        <v>224</v>
      </c>
    </row>
    <row r="970" spans="1:20">
      <c r="A970" s="962" t="s">
        <v>3049</v>
      </c>
      <c r="B970" s="972">
        <v>1226.9000000000001</v>
      </c>
      <c r="C970" s="972">
        <v>3.9449999999999998</v>
      </c>
      <c r="D970" s="972">
        <v>0</v>
      </c>
      <c r="E970" s="972">
        <v>32.426000000000002</v>
      </c>
      <c r="F970" s="972">
        <v>1.913</v>
      </c>
      <c r="G970" s="972">
        <v>2E-3</v>
      </c>
      <c r="H970" s="972">
        <v>0</v>
      </c>
      <c r="I970" s="972">
        <v>18.321999999999999</v>
      </c>
      <c r="J970" s="972">
        <v>5.3380000000000001</v>
      </c>
      <c r="K970" s="972">
        <v>0</v>
      </c>
      <c r="L970" s="972">
        <v>0</v>
      </c>
      <c r="M970" s="972">
        <v>0</v>
      </c>
      <c r="N970" s="972">
        <v>2.6619999999999999</v>
      </c>
      <c r="O970" s="972">
        <v>28.236999999999998</v>
      </c>
      <c r="P970" s="972">
        <v>78.945999999999998</v>
      </c>
      <c r="Q970" s="972">
        <v>1119.7170000000001</v>
      </c>
      <c r="R970" s="962">
        <v>156</v>
      </c>
      <c r="S970" s="962" t="s">
        <v>4940</v>
      </c>
      <c r="T970" s="972">
        <v>381.08916666666664</v>
      </c>
    </row>
    <row r="971" spans="1:20">
      <c r="A971" s="962" t="s">
        <v>5035</v>
      </c>
      <c r="B971" s="972">
        <v>332.13299999999998</v>
      </c>
      <c r="C971" s="972">
        <v>48.828000000000003</v>
      </c>
      <c r="D971" s="972">
        <v>0.33200000000000002</v>
      </c>
      <c r="E971" s="972">
        <v>3.8039999999999998</v>
      </c>
      <c r="F971" s="972">
        <v>0.58699999999999997</v>
      </c>
      <c r="G971" s="972">
        <v>0</v>
      </c>
      <c r="H971" s="972">
        <v>0</v>
      </c>
      <c r="I971" s="972">
        <v>13.172000000000001</v>
      </c>
      <c r="J971" s="972">
        <v>1.837</v>
      </c>
      <c r="K971" s="972">
        <v>0</v>
      </c>
      <c r="L971" s="972">
        <v>0</v>
      </c>
      <c r="M971" s="972">
        <v>0</v>
      </c>
      <c r="N971" s="972">
        <v>0</v>
      </c>
      <c r="O971" s="972">
        <v>15.595000000000001</v>
      </c>
      <c r="P971" s="972">
        <v>8.5139999999999993</v>
      </c>
      <c r="Q971" s="972">
        <v>308.024</v>
      </c>
      <c r="R971" s="962">
        <v>24</v>
      </c>
      <c r="S971" s="962" t="s">
        <v>4940</v>
      </c>
      <c r="T971" s="972">
        <v>91.690666666666658</v>
      </c>
    </row>
    <row r="972" spans="1:20">
      <c r="A972" s="962" t="s">
        <v>5131</v>
      </c>
      <c r="B972" s="972">
        <v>1373.152</v>
      </c>
      <c r="C972" s="972">
        <v>625.76599999999996</v>
      </c>
      <c r="D972" s="972">
        <v>9.6000000000000002E-2</v>
      </c>
      <c r="E972" s="972">
        <v>7.27</v>
      </c>
      <c r="F972" s="972">
        <v>0.41899999999999998</v>
      </c>
      <c r="G972" s="972">
        <v>0</v>
      </c>
      <c r="H972" s="972">
        <v>0</v>
      </c>
      <c r="I972" s="972">
        <v>17.545999999999999</v>
      </c>
      <c r="J972" s="972">
        <v>9.4960000000000004</v>
      </c>
      <c r="K972" s="972">
        <v>0</v>
      </c>
      <c r="L972" s="972">
        <v>0</v>
      </c>
      <c r="M972" s="972">
        <v>0</v>
      </c>
      <c r="N972" s="972">
        <v>0</v>
      </c>
      <c r="O972" s="972">
        <v>27.460999999999999</v>
      </c>
      <c r="P972" s="972">
        <v>58.13</v>
      </c>
      <c r="Q972" s="972">
        <v>1287.5609999999999</v>
      </c>
      <c r="R972" s="962">
        <v>38</v>
      </c>
      <c r="S972" s="962" t="s">
        <v>3902</v>
      </c>
      <c r="T972" s="972">
        <v>410.50900000000001</v>
      </c>
    </row>
    <row r="973" spans="1:20">
      <c r="A973" s="962" t="s">
        <v>5231</v>
      </c>
      <c r="B973" s="972">
        <v>1528.4559999999999</v>
      </c>
      <c r="C973" s="972">
        <v>67.138000000000005</v>
      </c>
      <c r="D973" s="972">
        <v>0</v>
      </c>
      <c r="E973" s="972">
        <v>16.457999999999998</v>
      </c>
      <c r="F973" s="972">
        <v>1.484</v>
      </c>
      <c r="G973" s="972">
        <v>5.3999999999999999E-2</v>
      </c>
      <c r="H973" s="972">
        <v>0</v>
      </c>
      <c r="I973" s="972">
        <v>49.857999999999997</v>
      </c>
      <c r="J973" s="972">
        <v>11.452999999999999</v>
      </c>
      <c r="K973" s="972">
        <v>0</v>
      </c>
      <c r="L973" s="972">
        <v>3.5449999999999999</v>
      </c>
      <c r="M973" s="972">
        <v>0</v>
      </c>
      <c r="N973" s="972">
        <v>0</v>
      </c>
      <c r="O973" s="972">
        <v>66.393000000000001</v>
      </c>
      <c r="P973" s="972">
        <v>77.533000000000001</v>
      </c>
      <c r="Q973" s="972">
        <v>1384.53</v>
      </c>
      <c r="R973" s="962">
        <v>121</v>
      </c>
      <c r="S973" s="962" t="s">
        <v>4940</v>
      </c>
      <c r="T973" s="972">
        <v>460.6198333333333</v>
      </c>
    </row>
    <row r="974" spans="1:20">
      <c r="A974" s="962" t="s">
        <v>3109</v>
      </c>
      <c r="B974" s="972">
        <v>8386.3009999999995</v>
      </c>
      <c r="C974" s="972">
        <v>72.957999999999998</v>
      </c>
      <c r="D974" s="972">
        <v>2.4900000000000002</v>
      </c>
      <c r="E974" s="972">
        <v>95.745999999999995</v>
      </c>
      <c r="F974" s="972">
        <v>12.797000000000001</v>
      </c>
      <c r="G974" s="972">
        <v>0.191</v>
      </c>
      <c r="H974" s="972">
        <v>0.59799999999999998</v>
      </c>
      <c r="I974" s="972">
        <v>178.88300000000001</v>
      </c>
      <c r="J974" s="972">
        <v>43.18</v>
      </c>
      <c r="K974" s="972">
        <v>1.9</v>
      </c>
      <c r="L974" s="972">
        <v>3.887</v>
      </c>
      <c r="M974" s="972">
        <v>0</v>
      </c>
      <c r="N974" s="972">
        <v>25.2</v>
      </c>
      <c r="O974" s="972">
        <v>266.63499999999999</v>
      </c>
      <c r="P974" s="972">
        <v>358.12599999999998</v>
      </c>
      <c r="Q974" s="972">
        <v>7761.5389999999998</v>
      </c>
      <c r="R974" s="962">
        <v>475</v>
      </c>
      <c r="S974" s="962" t="s">
        <v>4940</v>
      </c>
      <c r="T974" s="972">
        <v>2451.7166666666667</v>
      </c>
    </row>
    <row r="975" spans="1:20">
      <c r="A975" s="962" t="s">
        <v>3111</v>
      </c>
      <c r="B975" s="972">
        <v>726.8</v>
      </c>
      <c r="C975" s="972">
        <v>74.331999999999994</v>
      </c>
      <c r="D975" s="972">
        <v>0</v>
      </c>
      <c r="E975" s="972">
        <v>17.245999999999999</v>
      </c>
      <c r="F975" s="972">
        <v>0.54300000000000004</v>
      </c>
      <c r="G975" s="972">
        <v>0</v>
      </c>
      <c r="H975" s="972">
        <v>0</v>
      </c>
      <c r="I975" s="972">
        <v>8.7100000000000009</v>
      </c>
      <c r="J975" s="972">
        <v>0.21</v>
      </c>
      <c r="K975" s="972">
        <v>0</v>
      </c>
      <c r="L975" s="972">
        <v>0</v>
      </c>
      <c r="M975" s="972">
        <v>0</v>
      </c>
      <c r="N975" s="972">
        <v>0</v>
      </c>
      <c r="O975" s="972">
        <v>9.4619999999999997</v>
      </c>
      <c r="P975" s="972">
        <v>32.561</v>
      </c>
      <c r="Q975" s="972">
        <v>684.77700000000004</v>
      </c>
      <c r="R975" s="962">
        <v>27</v>
      </c>
      <c r="S975" s="962" t="s">
        <v>4940</v>
      </c>
      <c r="T975" s="972">
        <v>201.11016666666666</v>
      </c>
    </row>
    <row r="976" spans="1:20">
      <c r="A976" s="962" t="s">
        <v>1187</v>
      </c>
      <c r="B976" s="972">
        <v>149.55099999999999</v>
      </c>
      <c r="C976" s="972">
        <v>2.532</v>
      </c>
      <c r="D976" s="972">
        <v>0</v>
      </c>
      <c r="E976" s="972">
        <v>2.472</v>
      </c>
      <c r="F976" s="972">
        <v>0.28599999999999998</v>
      </c>
      <c r="G976" s="972">
        <v>0</v>
      </c>
      <c r="H976" s="972">
        <v>0</v>
      </c>
      <c r="I976" s="972">
        <v>6.0380000000000003</v>
      </c>
      <c r="J976" s="972">
        <v>0</v>
      </c>
      <c r="K976" s="972">
        <v>0</v>
      </c>
      <c r="L976" s="972">
        <v>0</v>
      </c>
      <c r="M976" s="972">
        <v>0</v>
      </c>
      <c r="N976" s="972">
        <v>75.662999999999997</v>
      </c>
      <c r="O976" s="972">
        <v>81.986000000000004</v>
      </c>
      <c r="P976" s="972">
        <v>0</v>
      </c>
      <c r="Q976" s="972">
        <v>67.563999999999993</v>
      </c>
      <c r="R976" s="962">
        <v>0</v>
      </c>
      <c r="S976" s="962" t="s">
        <v>4940</v>
      </c>
      <c r="T976" s="972">
        <v>57.795666666666662</v>
      </c>
    </row>
    <row r="977" spans="1:20">
      <c r="A977" s="962" t="s">
        <v>3113</v>
      </c>
      <c r="B977" s="972">
        <v>235.90799999999999</v>
      </c>
      <c r="C977" s="972">
        <v>18.172999999999998</v>
      </c>
      <c r="D977" s="972">
        <v>0</v>
      </c>
      <c r="E977" s="972">
        <v>4.3570000000000002</v>
      </c>
      <c r="F977" s="972">
        <v>0.40100000000000002</v>
      </c>
      <c r="G977" s="972">
        <v>3.9E-2</v>
      </c>
      <c r="H977" s="972">
        <v>0</v>
      </c>
      <c r="I977" s="972">
        <v>4.7789999999999999</v>
      </c>
      <c r="J977" s="972">
        <v>1.1579999999999999</v>
      </c>
      <c r="K977" s="972">
        <v>0</v>
      </c>
      <c r="L977" s="972">
        <v>0.89700000000000002</v>
      </c>
      <c r="M977" s="972">
        <v>0</v>
      </c>
      <c r="N977" s="972">
        <v>0</v>
      </c>
      <c r="O977" s="972">
        <v>7.274</v>
      </c>
      <c r="P977" s="972">
        <v>6.4829999999999997</v>
      </c>
      <c r="Q977" s="972">
        <v>222.15100000000001</v>
      </c>
      <c r="R977" s="962">
        <v>14</v>
      </c>
      <c r="S977" s="962" t="s">
        <v>4940</v>
      </c>
      <c r="T977" s="972">
        <v>87.35233333333332</v>
      </c>
    </row>
    <row r="978" spans="1:20">
      <c r="A978" s="962" t="s">
        <v>975</v>
      </c>
      <c r="B978" s="972">
        <v>367.79399999999998</v>
      </c>
      <c r="C978" s="972">
        <v>2.91</v>
      </c>
      <c r="D978" s="972">
        <v>0.03</v>
      </c>
      <c r="E978" s="972">
        <v>4.67</v>
      </c>
      <c r="F978" s="972">
        <v>0.39100000000000001</v>
      </c>
      <c r="G978" s="972">
        <v>0</v>
      </c>
      <c r="H978" s="972">
        <v>0</v>
      </c>
      <c r="I978" s="972">
        <v>8.4540000000000006</v>
      </c>
      <c r="J978" s="972">
        <v>3.1070000000000002</v>
      </c>
      <c r="K978" s="972">
        <v>1.405</v>
      </c>
      <c r="L978" s="972">
        <v>0</v>
      </c>
      <c r="M978" s="972">
        <v>0</v>
      </c>
      <c r="N978" s="972">
        <v>0</v>
      </c>
      <c r="O978" s="972">
        <v>13.356999999999999</v>
      </c>
      <c r="P978" s="972">
        <v>41.767000000000003</v>
      </c>
      <c r="Q978" s="972">
        <v>312.67</v>
      </c>
      <c r="R978" s="962">
        <v>33</v>
      </c>
      <c r="S978" s="962" t="s">
        <v>4940</v>
      </c>
      <c r="T978" s="972">
        <v>135.22616666666667</v>
      </c>
    </row>
    <row r="979" spans="1:20">
      <c r="A979" s="962" t="s">
        <v>2771</v>
      </c>
      <c r="B979" s="972">
        <v>688.40499999999997</v>
      </c>
      <c r="C979" s="972">
        <v>14.391999999999999</v>
      </c>
      <c r="D979" s="972">
        <v>0</v>
      </c>
      <c r="E979" s="972">
        <v>18.561</v>
      </c>
      <c r="F979" s="972">
        <v>0.71499999999999997</v>
      </c>
      <c r="G979" s="972">
        <v>0</v>
      </c>
      <c r="H979" s="972">
        <v>0</v>
      </c>
      <c r="I979" s="972">
        <v>10.412000000000001</v>
      </c>
      <c r="J979" s="972">
        <v>3.3210000000000002</v>
      </c>
      <c r="K979" s="972">
        <v>0.90800000000000003</v>
      </c>
      <c r="L979" s="972">
        <v>0</v>
      </c>
      <c r="M979" s="972">
        <v>0</v>
      </c>
      <c r="N979" s="972">
        <v>0</v>
      </c>
      <c r="O979" s="972">
        <v>15.356999999999999</v>
      </c>
      <c r="P979" s="972">
        <v>55.917000000000002</v>
      </c>
      <c r="Q979" s="972">
        <v>617.13099999999997</v>
      </c>
      <c r="R979" s="962">
        <v>106</v>
      </c>
      <c r="S979" s="962" t="s">
        <v>4940</v>
      </c>
      <c r="T979" s="972">
        <v>193.93416666666667</v>
      </c>
    </row>
    <row r="980" spans="1:20">
      <c r="A980" s="962" t="s">
        <v>2821</v>
      </c>
      <c r="B980" s="972">
        <v>651.69200000000001</v>
      </c>
      <c r="C980" s="972">
        <v>52.097000000000001</v>
      </c>
      <c r="D980" s="972">
        <v>6.7000000000000004E-2</v>
      </c>
      <c r="E980" s="972">
        <v>43.932000000000002</v>
      </c>
      <c r="F980" s="972">
        <v>0.73299999999999998</v>
      </c>
      <c r="G980" s="972">
        <v>0.153</v>
      </c>
      <c r="H980" s="972">
        <v>0</v>
      </c>
      <c r="I980" s="972">
        <v>13.673999999999999</v>
      </c>
      <c r="J980" s="972">
        <v>7.819</v>
      </c>
      <c r="K980" s="972">
        <v>0</v>
      </c>
      <c r="L980" s="972">
        <v>3.5150000000000001</v>
      </c>
      <c r="M980" s="972">
        <v>0</v>
      </c>
      <c r="N980" s="972">
        <v>0</v>
      </c>
      <c r="O980" s="972">
        <v>25.893999999999998</v>
      </c>
      <c r="P980" s="972">
        <v>25.806000000000001</v>
      </c>
      <c r="Q980" s="972">
        <v>599.99199999999996</v>
      </c>
      <c r="R980" s="962">
        <v>62</v>
      </c>
      <c r="S980" s="962" t="s">
        <v>4940</v>
      </c>
      <c r="T980" s="972">
        <v>193.07983333333334</v>
      </c>
    </row>
    <row r="981" spans="1:20">
      <c r="A981" s="962" t="s">
        <v>4589</v>
      </c>
      <c r="B981" s="972">
        <v>443.548</v>
      </c>
      <c r="C981" s="972">
        <v>0.68400000000000005</v>
      </c>
      <c r="D981" s="972">
        <v>0.254</v>
      </c>
      <c r="E981" s="972">
        <v>2.7869999999999999</v>
      </c>
      <c r="F981" s="972">
        <v>1.038</v>
      </c>
      <c r="G981" s="972">
        <v>0</v>
      </c>
      <c r="H981" s="972">
        <v>0</v>
      </c>
      <c r="I981" s="972">
        <v>27.091999999999999</v>
      </c>
      <c r="J981" s="972">
        <v>2.4630000000000001</v>
      </c>
      <c r="K981" s="972">
        <v>0</v>
      </c>
      <c r="L981" s="972">
        <v>0</v>
      </c>
      <c r="M981" s="972">
        <v>0</v>
      </c>
      <c r="N981" s="972">
        <v>0</v>
      </c>
      <c r="O981" s="972">
        <v>30.591999999999999</v>
      </c>
      <c r="P981" s="972">
        <v>29.975000000000001</v>
      </c>
      <c r="Q981" s="972">
        <v>382.98099999999999</v>
      </c>
      <c r="R981" s="962">
        <v>27</v>
      </c>
      <c r="S981" s="962" t="s">
        <v>4940</v>
      </c>
      <c r="T981" s="972">
        <v>124.72783333333334</v>
      </c>
    </row>
    <row r="982" spans="1:20">
      <c r="A982" s="962" t="s">
        <v>2572</v>
      </c>
      <c r="B982" s="972">
        <v>2012.473</v>
      </c>
      <c r="C982" s="972">
        <v>127.643</v>
      </c>
      <c r="D982" s="972">
        <v>2.2909999999999999</v>
      </c>
      <c r="E982" s="972">
        <v>132.643</v>
      </c>
      <c r="F982" s="972">
        <v>2.9460000000000002</v>
      </c>
      <c r="G982" s="972">
        <v>6.3E-2</v>
      </c>
      <c r="H982" s="972">
        <v>0</v>
      </c>
      <c r="I982" s="972">
        <v>7.21</v>
      </c>
      <c r="J982" s="972">
        <v>16.141999999999999</v>
      </c>
      <c r="K982" s="972">
        <v>0</v>
      </c>
      <c r="L982" s="972">
        <v>0.95499999999999996</v>
      </c>
      <c r="M982" s="972">
        <v>0</v>
      </c>
      <c r="N982" s="972">
        <v>0</v>
      </c>
      <c r="O982" s="972">
        <v>27.315000000000001</v>
      </c>
      <c r="P982" s="972">
        <v>122.526</v>
      </c>
      <c r="Q982" s="972">
        <v>1862.6320000000001</v>
      </c>
      <c r="R982" s="962">
        <v>162</v>
      </c>
      <c r="S982" s="962" t="s">
        <v>4940</v>
      </c>
      <c r="T982" s="972">
        <v>581.27783333333332</v>
      </c>
    </row>
    <row r="983" spans="1:20">
      <c r="A983" s="962" t="s">
        <v>1507</v>
      </c>
      <c r="B983" s="972">
        <v>150.81800000000001</v>
      </c>
      <c r="C983" s="972">
        <v>4.6310000000000002</v>
      </c>
      <c r="D983" s="972">
        <v>0.379</v>
      </c>
      <c r="E983" s="972">
        <v>4.5979999999999999</v>
      </c>
      <c r="F983" s="972">
        <v>0.10199999999999999</v>
      </c>
      <c r="G983" s="972">
        <v>0</v>
      </c>
      <c r="H983" s="972">
        <v>0</v>
      </c>
      <c r="I983" s="972">
        <v>2.3069999999999999</v>
      </c>
      <c r="J983" s="972">
        <v>0.44600000000000001</v>
      </c>
      <c r="K983" s="972">
        <v>0</v>
      </c>
      <c r="L983" s="972">
        <v>0</v>
      </c>
      <c r="M983" s="972">
        <v>0</v>
      </c>
      <c r="N983" s="972">
        <v>0</v>
      </c>
      <c r="O983" s="972">
        <v>2.855</v>
      </c>
      <c r="P983" s="972">
        <v>12.305</v>
      </c>
      <c r="Q983" s="972">
        <v>135.65799999999999</v>
      </c>
      <c r="R983" s="962">
        <v>15</v>
      </c>
      <c r="S983" s="962" t="s">
        <v>4940</v>
      </c>
      <c r="T983" s="972">
        <v>46.304333333333332</v>
      </c>
    </row>
    <row r="984" spans="1:20">
      <c r="A984" s="962" t="s">
        <v>2574</v>
      </c>
      <c r="B984" s="972">
        <v>149.56899999999999</v>
      </c>
      <c r="C984" s="972">
        <v>1.038</v>
      </c>
      <c r="D984" s="972">
        <v>0</v>
      </c>
      <c r="E984" s="972">
        <v>2.4300000000000002</v>
      </c>
      <c r="F984" s="972">
        <v>0.35699999999999998</v>
      </c>
      <c r="G984" s="972">
        <v>0</v>
      </c>
      <c r="H984" s="972">
        <v>0</v>
      </c>
      <c r="I984" s="972">
        <v>2.8929999999999998</v>
      </c>
      <c r="J984" s="972">
        <v>0.63800000000000001</v>
      </c>
      <c r="K984" s="972">
        <v>0</v>
      </c>
      <c r="L984" s="972">
        <v>0</v>
      </c>
      <c r="M984" s="972">
        <v>0</v>
      </c>
      <c r="N984" s="972">
        <v>0</v>
      </c>
      <c r="O984" s="972">
        <v>3.887</v>
      </c>
      <c r="P984" s="972">
        <v>2.0089999999999999</v>
      </c>
      <c r="Q984" s="972">
        <v>143.67400000000001</v>
      </c>
      <c r="R984" s="962">
        <v>18</v>
      </c>
      <c r="S984" s="962" t="s">
        <v>4940</v>
      </c>
      <c r="T984" s="972">
        <v>40.552333333333337</v>
      </c>
    </row>
    <row r="985" spans="1:20">
      <c r="A985" s="962" t="s">
        <v>2576</v>
      </c>
      <c r="B985" s="972">
        <v>471.06099999999998</v>
      </c>
      <c r="C985" s="972">
        <v>0</v>
      </c>
      <c r="D985" s="972">
        <v>8.5999999999999993E-2</v>
      </c>
      <c r="E985" s="972">
        <v>4.8090000000000002</v>
      </c>
      <c r="F985" s="972">
        <v>0.84799999999999998</v>
      </c>
      <c r="G985" s="972">
        <v>0.111</v>
      </c>
      <c r="H985" s="972">
        <v>0</v>
      </c>
      <c r="I985" s="972">
        <v>19.248999999999999</v>
      </c>
      <c r="J985" s="972">
        <v>5.2910000000000004</v>
      </c>
      <c r="K985" s="972">
        <v>0</v>
      </c>
      <c r="L985" s="972">
        <v>0</v>
      </c>
      <c r="M985" s="972">
        <v>0</v>
      </c>
      <c r="N985" s="972">
        <v>0</v>
      </c>
      <c r="O985" s="972">
        <v>25.498999999999999</v>
      </c>
      <c r="P985" s="972">
        <v>46.905999999999999</v>
      </c>
      <c r="Q985" s="972">
        <v>398.65600000000001</v>
      </c>
      <c r="R985" s="962">
        <v>62</v>
      </c>
      <c r="S985" s="962" t="s">
        <v>4940</v>
      </c>
      <c r="T985" s="972">
        <v>138.09333333333333</v>
      </c>
    </row>
    <row r="986" spans="1:20">
      <c r="A986" s="962" t="s">
        <v>2578</v>
      </c>
      <c r="B986" s="972">
        <v>666.27200000000005</v>
      </c>
      <c r="C986" s="972">
        <v>26.585000000000001</v>
      </c>
      <c r="D986" s="972">
        <v>4.4999999999999998E-2</v>
      </c>
      <c r="E986" s="972">
        <v>32.978000000000002</v>
      </c>
      <c r="F986" s="972">
        <v>0.81699999999999995</v>
      </c>
      <c r="G986" s="972">
        <v>0.121</v>
      </c>
      <c r="H986" s="972">
        <v>0</v>
      </c>
      <c r="I986" s="972">
        <v>7.4790000000000001</v>
      </c>
      <c r="J986" s="972">
        <v>2.8959999999999999</v>
      </c>
      <c r="K986" s="972">
        <v>0</v>
      </c>
      <c r="L986" s="972">
        <v>1.6E-2</v>
      </c>
      <c r="M986" s="972">
        <v>0</v>
      </c>
      <c r="N986" s="972">
        <v>0</v>
      </c>
      <c r="O986" s="972">
        <v>11.327999999999999</v>
      </c>
      <c r="P986" s="972">
        <v>4.0679999999999996</v>
      </c>
      <c r="Q986" s="972">
        <v>650.87599999999998</v>
      </c>
      <c r="R986" s="962">
        <v>45</v>
      </c>
      <c r="S986" s="962" t="s">
        <v>4940</v>
      </c>
      <c r="T986" s="972">
        <v>211.56383333333332</v>
      </c>
    </row>
    <row r="987" spans="1:20">
      <c r="A987" s="962" t="s">
        <v>158</v>
      </c>
      <c r="B987" s="972">
        <v>174.54300000000001</v>
      </c>
      <c r="C987" s="972">
        <v>0</v>
      </c>
      <c r="D987" s="972">
        <v>0</v>
      </c>
      <c r="E987" s="972">
        <v>2.4359999999999999</v>
      </c>
      <c r="F987" s="972">
        <v>7.0000000000000007E-2</v>
      </c>
      <c r="G987" s="972">
        <v>0</v>
      </c>
      <c r="H987" s="972">
        <v>0</v>
      </c>
      <c r="I987" s="972">
        <v>2.2890000000000001</v>
      </c>
      <c r="J987" s="972">
        <v>0.435</v>
      </c>
      <c r="K987" s="972">
        <v>0</v>
      </c>
      <c r="L987" s="972">
        <v>0</v>
      </c>
      <c r="M987" s="972">
        <v>0</v>
      </c>
      <c r="N987" s="972">
        <v>0</v>
      </c>
      <c r="O987" s="972">
        <v>2.7930000000000001</v>
      </c>
      <c r="P987" s="972">
        <v>7.4619999999999997</v>
      </c>
      <c r="Q987" s="972">
        <v>164.28800000000001</v>
      </c>
      <c r="R987" s="962">
        <v>6</v>
      </c>
      <c r="S987" s="962" t="s">
        <v>4940</v>
      </c>
      <c r="T987" s="972">
        <v>53.12149999999999</v>
      </c>
    </row>
    <row r="988" spans="1:20">
      <c r="A988" s="962" t="s">
        <v>5211</v>
      </c>
      <c r="B988" s="972">
        <v>424.99799999999999</v>
      </c>
      <c r="C988" s="972">
        <v>6.1660000000000004</v>
      </c>
      <c r="D988" s="972">
        <v>0</v>
      </c>
      <c r="E988" s="972">
        <v>16.742000000000001</v>
      </c>
      <c r="F988" s="972">
        <v>0.73799999999999999</v>
      </c>
      <c r="G988" s="972">
        <v>0</v>
      </c>
      <c r="H988" s="972">
        <v>0</v>
      </c>
      <c r="I988" s="972">
        <v>5.0119999999999996</v>
      </c>
      <c r="J988" s="972">
        <v>1.8620000000000001</v>
      </c>
      <c r="K988" s="972">
        <v>0</v>
      </c>
      <c r="L988" s="972">
        <v>0</v>
      </c>
      <c r="M988" s="972">
        <v>0</v>
      </c>
      <c r="N988" s="972">
        <v>1.6559999999999999</v>
      </c>
      <c r="O988" s="972">
        <v>9.2669999999999995</v>
      </c>
      <c r="P988" s="972">
        <v>19.567</v>
      </c>
      <c r="Q988" s="972">
        <v>396.16399999999999</v>
      </c>
      <c r="R988" s="962">
        <v>33</v>
      </c>
      <c r="S988" s="962" t="s">
        <v>4940</v>
      </c>
      <c r="T988" s="972">
        <v>130.054</v>
      </c>
    </row>
    <row r="989" spans="1:20">
      <c r="A989" s="962" t="s">
        <v>5213</v>
      </c>
      <c r="B989" s="972">
        <v>155.28100000000001</v>
      </c>
      <c r="C989" s="972">
        <v>0</v>
      </c>
      <c r="D989" s="972">
        <v>0</v>
      </c>
      <c r="E989" s="972">
        <v>5.2960000000000003</v>
      </c>
      <c r="F989" s="972">
        <v>0.24199999999999999</v>
      </c>
      <c r="G989" s="972">
        <v>0</v>
      </c>
      <c r="H989" s="972">
        <v>0</v>
      </c>
      <c r="I989" s="972">
        <v>6.4809999999999999</v>
      </c>
      <c r="J989" s="972">
        <v>1.0740000000000001</v>
      </c>
      <c r="K989" s="972">
        <v>0</v>
      </c>
      <c r="L989" s="972">
        <v>0</v>
      </c>
      <c r="M989" s="972">
        <v>0</v>
      </c>
      <c r="N989" s="972">
        <v>0</v>
      </c>
      <c r="O989" s="972">
        <v>7.798</v>
      </c>
      <c r="P989" s="972">
        <v>10.672000000000001</v>
      </c>
      <c r="Q989" s="972">
        <v>136.81100000000001</v>
      </c>
      <c r="R989" s="962">
        <v>6</v>
      </c>
      <c r="S989" s="962" t="s">
        <v>4940</v>
      </c>
      <c r="T989" s="972">
        <v>45.793166666666671</v>
      </c>
    </row>
    <row r="990" spans="1:20">
      <c r="A990" s="962" t="s">
        <v>5215</v>
      </c>
      <c r="B990" s="972">
        <v>961.73099999999999</v>
      </c>
      <c r="C990" s="972">
        <v>14.808999999999999</v>
      </c>
      <c r="D990" s="972">
        <v>0.50900000000000001</v>
      </c>
      <c r="E990" s="972">
        <v>56.872</v>
      </c>
      <c r="F990" s="972">
        <v>1.5489999999999999</v>
      </c>
      <c r="G990" s="972">
        <v>0.182</v>
      </c>
      <c r="H990" s="972">
        <v>0</v>
      </c>
      <c r="I990" s="972">
        <v>7.625</v>
      </c>
      <c r="J990" s="972">
        <v>3.3319999999999999</v>
      </c>
      <c r="K990" s="972">
        <v>0</v>
      </c>
      <c r="L990" s="972">
        <v>0</v>
      </c>
      <c r="M990" s="972">
        <v>0</v>
      </c>
      <c r="N990" s="972">
        <v>0</v>
      </c>
      <c r="O990" s="972">
        <v>12.686999999999999</v>
      </c>
      <c r="P990" s="972">
        <v>71.341999999999999</v>
      </c>
      <c r="Q990" s="972">
        <v>877.70299999999997</v>
      </c>
      <c r="R990" s="962">
        <v>81</v>
      </c>
      <c r="S990" s="962" t="s">
        <v>4940</v>
      </c>
      <c r="T990" s="972">
        <v>282.40949999999998</v>
      </c>
    </row>
    <row r="991" spans="1:20">
      <c r="A991" s="962" t="s">
        <v>5217</v>
      </c>
      <c r="B991" s="972">
        <v>998.1</v>
      </c>
      <c r="C991" s="972">
        <v>96.007999999999996</v>
      </c>
      <c r="D991" s="972">
        <v>1.2769999999999999</v>
      </c>
      <c r="E991" s="972">
        <v>50.581000000000003</v>
      </c>
      <c r="F991" s="972">
        <v>2.0139999999999998</v>
      </c>
      <c r="G991" s="972">
        <v>0.214</v>
      </c>
      <c r="H991" s="972">
        <v>0</v>
      </c>
      <c r="I991" s="972">
        <v>29.164999999999999</v>
      </c>
      <c r="J991" s="972">
        <v>7.0840000000000005</v>
      </c>
      <c r="K991" s="972">
        <v>0</v>
      </c>
      <c r="L991" s="972">
        <v>0</v>
      </c>
      <c r="M991" s="972">
        <v>0</v>
      </c>
      <c r="N991" s="972">
        <v>0</v>
      </c>
      <c r="O991" s="972">
        <v>38.476999999999997</v>
      </c>
      <c r="P991" s="972">
        <v>65.290000000000006</v>
      </c>
      <c r="Q991" s="972">
        <v>894.33299999999997</v>
      </c>
      <c r="R991" s="962">
        <v>66</v>
      </c>
      <c r="S991" s="962" t="s">
        <v>4940</v>
      </c>
      <c r="T991" s="972">
        <v>270.20816666666667</v>
      </c>
    </row>
    <row r="992" spans="1:20">
      <c r="A992" s="962" t="s">
        <v>5219</v>
      </c>
      <c r="B992" s="972">
        <v>515.81700000000001</v>
      </c>
      <c r="C992" s="972">
        <v>64.191999999999993</v>
      </c>
      <c r="D992" s="972">
        <v>0</v>
      </c>
      <c r="E992" s="972">
        <v>27.210999999999999</v>
      </c>
      <c r="F992" s="972">
        <v>0.63400000000000001</v>
      </c>
      <c r="G992" s="972">
        <v>4.7E-2</v>
      </c>
      <c r="H992" s="972">
        <v>0</v>
      </c>
      <c r="I992" s="972">
        <v>3.6339999999999999</v>
      </c>
      <c r="J992" s="972">
        <v>0.189</v>
      </c>
      <c r="K992" s="972">
        <v>0</v>
      </c>
      <c r="L992" s="972">
        <v>0</v>
      </c>
      <c r="M992" s="972">
        <v>0</v>
      </c>
      <c r="N992" s="972">
        <v>0</v>
      </c>
      <c r="O992" s="972">
        <v>4.5039999999999996</v>
      </c>
      <c r="P992" s="972">
        <v>25.151</v>
      </c>
      <c r="Q992" s="972">
        <v>486.16199999999998</v>
      </c>
      <c r="R992" s="962">
        <v>65</v>
      </c>
      <c r="S992" s="962" t="s">
        <v>4940</v>
      </c>
      <c r="T992" s="972">
        <v>128.1695</v>
      </c>
    </row>
    <row r="993" spans="1:20">
      <c r="A993" s="962" t="s">
        <v>2125</v>
      </c>
      <c r="B993" s="972">
        <v>13305.117</v>
      </c>
      <c r="C993" s="972">
        <v>809.23299999999995</v>
      </c>
      <c r="D993" s="972">
        <v>1.51</v>
      </c>
      <c r="E993" s="972">
        <v>21.093</v>
      </c>
      <c r="F993" s="972">
        <v>22.832999999999998</v>
      </c>
      <c r="G993" s="972">
        <v>0.75600000000000001</v>
      </c>
      <c r="H993" s="972">
        <v>0</v>
      </c>
      <c r="I993" s="972">
        <v>296.41500000000002</v>
      </c>
      <c r="J993" s="972">
        <v>88.48299999999999</v>
      </c>
      <c r="K993" s="972">
        <v>0</v>
      </c>
      <c r="L993" s="972">
        <v>1.8759999999999999</v>
      </c>
      <c r="M993" s="972">
        <v>0</v>
      </c>
      <c r="N993" s="972">
        <v>0</v>
      </c>
      <c r="O993" s="972">
        <v>410.36500000000001</v>
      </c>
      <c r="P993" s="972">
        <v>393.46800000000002</v>
      </c>
      <c r="Q993" s="972">
        <v>12501.284</v>
      </c>
      <c r="R993" s="962">
        <v>1101</v>
      </c>
      <c r="S993" s="962" t="s">
        <v>4940</v>
      </c>
      <c r="T993" s="972">
        <v>3998.6088333333337</v>
      </c>
    </row>
    <row r="994" spans="1:20">
      <c r="A994" s="962" t="s">
        <v>870</v>
      </c>
      <c r="B994" s="972">
        <v>4294.5609999999997</v>
      </c>
      <c r="C994" s="972">
        <v>300.48700000000002</v>
      </c>
      <c r="D994" s="972">
        <v>0.48399999999999999</v>
      </c>
      <c r="E994" s="972">
        <v>13.752000000000001</v>
      </c>
      <c r="F994" s="972">
        <v>6.0609999999999999</v>
      </c>
      <c r="G994" s="972">
        <v>0.187</v>
      </c>
      <c r="H994" s="972">
        <v>0</v>
      </c>
      <c r="I994" s="972">
        <v>80.962999999999994</v>
      </c>
      <c r="J994" s="972">
        <v>23.509</v>
      </c>
      <c r="K994" s="972">
        <v>0</v>
      </c>
      <c r="L994" s="972">
        <v>1.1419999999999999</v>
      </c>
      <c r="M994" s="972">
        <v>0</v>
      </c>
      <c r="N994" s="972">
        <v>0</v>
      </c>
      <c r="O994" s="972">
        <v>111.86</v>
      </c>
      <c r="P994" s="972">
        <v>195.57900000000001</v>
      </c>
      <c r="Q994" s="972">
        <v>3987.1219999999998</v>
      </c>
      <c r="R994" s="962">
        <v>567</v>
      </c>
      <c r="S994" s="962" t="s">
        <v>4940</v>
      </c>
      <c r="T994" s="972">
        <v>1132.7546666666667</v>
      </c>
    </row>
    <row r="995" spans="1:20">
      <c r="A995" s="962" t="s">
        <v>5615</v>
      </c>
      <c r="B995" s="972">
        <v>932.024</v>
      </c>
      <c r="C995" s="972">
        <v>9.3810000000000002</v>
      </c>
      <c r="D995" s="972">
        <v>0.47699999999999998</v>
      </c>
      <c r="E995" s="972">
        <v>20.702000000000002</v>
      </c>
      <c r="F995" s="972">
        <v>1.361</v>
      </c>
      <c r="G995" s="972">
        <v>0</v>
      </c>
      <c r="H995" s="972">
        <v>0</v>
      </c>
      <c r="I995" s="972">
        <v>18.689</v>
      </c>
      <c r="J995" s="972">
        <v>7.5030000000000001</v>
      </c>
      <c r="K995" s="972">
        <v>0</v>
      </c>
      <c r="L995" s="972">
        <v>0</v>
      </c>
      <c r="M995" s="972">
        <v>0</v>
      </c>
      <c r="N995" s="972">
        <v>0</v>
      </c>
      <c r="O995" s="972">
        <v>27.553000000000001</v>
      </c>
      <c r="P995" s="972">
        <v>65.120999999999995</v>
      </c>
      <c r="Q995" s="972">
        <v>839.35</v>
      </c>
      <c r="R995" s="962">
        <v>99</v>
      </c>
      <c r="S995" s="962" t="s">
        <v>4940</v>
      </c>
      <c r="T995" s="972">
        <v>260.31916666666666</v>
      </c>
    </row>
    <row r="996" spans="1:20">
      <c r="A996" s="962" t="s">
        <v>4590</v>
      </c>
      <c r="B996" s="972">
        <v>394.69099999999997</v>
      </c>
      <c r="C996" s="972">
        <v>29.259</v>
      </c>
      <c r="D996" s="972">
        <v>0</v>
      </c>
      <c r="E996" s="972">
        <v>3.6190000000000002</v>
      </c>
      <c r="F996" s="972">
        <v>0.44800000000000001</v>
      </c>
      <c r="G996" s="972">
        <v>0</v>
      </c>
      <c r="H996" s="972">
        <v>0</v>
      </c>
      <c r="I996" s="972">
        <v>8.5830000000000002</v>
      </c>
      <c r="J996" s="972">
        <v>0.38600000000000001</v>
      </c>
      <c r="K996" s="972">
        <v>0</v>
      </c>
      <c r="L996" s="972">
        <v>0</v>
      </c>
      <c r="M996" s="972">
        <v>0</v>
      </c>
      <c r="N996" s="972">
        <v>0</v>
      </c>
      <c r="O996" s="972">
        <v>9.4160000000000004</v>
      </c>
      <c r="P996" s="972">
        <v>15.532999999999999</v>
      </c>
      <c r="Q996" s="972">
        <v>369.74099999999999</v>
      </c>
      <c r="R996" s="962">
        <v>34</v>
      </c>
      <c r="S996" s="962" t="s">
        <v>4940</v>
      </c>
      <c r="T996" s="972">
        <v>118.28616666666666</v>
      </c>
    </row>
    <row r="997" spans="1:20">
      <c r="A997" s="962" t="s">
        <v>860</v>
      </c>
      <c r="B997" s="972">
        <v>559.98299999999995</v>
      </c>
      <c r="C997" s="972">
        <v>15.991</v>
      </c>
      <c r="D997" s="972">
        <v>0.33900000000000002</v>
      </c>
      <c r="E997" s="972">
        <v>12.789</v>
      </c>
      <c r="F997" s="972">
        <v>0.85299999999999998</v>
      </c>
      <c r="G997" s="972">
        <v>0</v>
      </c>
      <c r="H997" s="972">
        <v>0</v>
      </c>
      <c r="I997" s="972">
        <v>11.316000000000001</v>
      </c>
      <c r="J997" s="972">
        <v>2.8879999999999999</v>
      </c>
      <c r="K997" s="972">
        <v>0</v>
      </c>
      <c r="L997" s="972">
        <v>0</v>
      </c>
      <c r="M997" s="972">
        <v>0</v>
      </c>
      <c r="N997" s="972">
        <v>0</v>
      </c>
      <c r="O997" s="972">
        <v>15.057</v>
      </c>
      <c r="P997" s="972">
        <v>39.487000000000002</v>
      </c>
      <c r="Q997" s="972">
        <v>505.44</v>
      </c>
      <c r="R997" s="962">
        <v>74</v>
      </c>
      <c r="S997" s="962" t="s">
        <v>4940</v>
      </c>
      <c r="T997" s="972">
        <v>163.64783333333332</v>
      </c>
    </row>
    <row r="998" spans="1:20">
      <c r="A998" s="962" t="s">
        <v>4591</v>
      </c>
      <c r="B998" s="972">
        <v>59.75</v>
      </c>
      <c r="C998" s="972">
        <v>2.8149999999999999</v>
      </c>
      <c r="D998" s="972">
        <v>0</v>
      </c>
      <c r="E998" s="972">
        <v>3.3650000000000002</v>
      </c>
      <c r="F998" s="972">
        <v>0.122</v>
      </c>
      <c r="G998" s="972">
        <v>0</v>
      </c>
      <c r="H998" s="972">
        <v>0</v>
      </c>
      <c r="I998" s="972">
        <v>1.137</v>
      </c>
      <c r="J998" s="972">
        <v>0</v>
      </c>
      <c r="K998" s="972">
        <v>0.74199999999999999</v>
      </c>
      <c r="L998" s="972">
        <v>0</v>
      </c>
      <c r="M998" s="972">
        <v>0</v>
      </c>
      <c r="N998" s="972">
        <v>0</v>
      </c>
      <c r="O998" s="972">
        <v>2.0009999999999999</v>
      </c>
      <c r="P998" s="972">
        <v>0</v>
      </c>
      <c r="Q998" s="972">
        <v>57.75</v>
      </c>
      <c r="R998" s="962">
        <v>2</v>
      </c>
      <c r="S998" s="962" t="s">
        <v>4940</v>
      </c>
      <c r="T998" s="972">
        <v>0</v>
      </c>
    </row>
    <row r="999" spans="1:20">
      <c r="A999" s="962" t="s">
        <v>5617</v>
      </c>
      <c r="B999" s="972">
        <v>3099.096</v>
      </c>
      <c r="C999" s="972">
        <v>215.536</v>
      </c>
      <c r="D999" s="972">
        <v>1.8959999999999999</v>
      </c>
      <c r="E999" s="972">
        <v>80.47</v>
      </c>
      <c r="F999" s="972">
        <v>5.03</v>
      </c>
      <c r="G999" s="972">
        <v>7.0999999999999994E-2</v>
      </c>
      <c r="H999" s="972">
        <v>0</v>
      </c>
      <c r="I999" s="972">
        <v>43.847999999999999</v>
      </c>
      <c r="J999" s="972">
        <v>22.047000000000001</v>
      </c>
      <c r="K999" s="972">
        <v>0</v>
      </c>
      <c r="L999" s="972">
        <v>0</v>
      </c>
      <c r="M999" s="972">
        <v>0</v>
      </c>
      <c r="N999" s="972">
        <v>0.111</v>
      </c>
      <c r="O999" s="972">
        <v>71.105000000000004</v>
      </c>
      <c r="P999" s="972">
        <v>185.63499999999999</v>
      </c>
      <c r="Q999" s="972">
        <v>2842.3560000000002</v>
      </c>
      <c r="R999" s="962">
        <v>205</v>
      </c>
      <c r="S999" s="962" t="s">
        <v>4940</v>
      </c>
      <c r="T999" s="972">
        <v>841.32733333333317</v>
      </c>
    </row>
    <row r="1000" spans="1:20">
      <c r="A1000" s="962" t="s">
        <v>3150</v>
      </c>
      <c r="B1000" s="972">
        <v>148.048</v>
      </c>
      <c r="C1000" s="972">
        <v>13.090999999999999</v>
      </c>
      <c r="D1000" s="972">
        <v>0</v>
      </c>
      <c r="E1000" s="972">
        <v>5.0510000000000002</v>
      </c>
      <c r="F1000" s="972">
        <v>0.22900000000000001</v>
      </c>
      <c r="G1000" s="972">
        <v>0</v>
      </c>
      <c r="H1000" s="972">
        <v>0</v>
      </c>
      <c r="I1000" s="972">
        <v>6.11</v>
      </c>
      <c r="J1000" s="972">
        <v>2.9329999999999998</v>
      </c>
      <c r="K1000" s="972">
        <v>2.5000000000000001E-2</v>
      </c>
      <c r="L1000" s="972">
        <v>0</v>
      </c>
      <c r="M1000" s="972">
        <v>0</v>
      </c>
      <c r="N1000" s="972">
        <v>0</v>
      </c>
      <c r="O1000" s="972">
        <v>9.2970000000000006</v>
      </c>
      <c r="P1000" s="972">
        <v>6.6609999999999996</v>
      </c>
      <c r="Q1000" s="972">
        <v>132.09</v>
      </c>
      <c r="R1000" s="962">
        <v>0</v>
      </c>
      <c r="S1000" s="962" t="s">
        <v>4940</v>
      </c>
      <c r="T1000" s="972">
        <v>33.655833333333334</v>
      </c>
    </row>
    <row r="1001" spans="1:20">
      <c r="A1001" s="962" t="s">
        <v>3152</v>
      </c>
      <c r="B1001" s="972">
        <v>228.34899999999999</v>
      </c>
      <c r="C1001" s="972">
        <v>22.093</v>
      </c>
      <c r="D1001" s="972">
        <v>0</v>
      </c>
      <c r="E1001" s="972">
        <v>6.8730000000000002</v>
      </c>
      <c r="F1001" s="972">
        <v>0.16600000000000001</v>
      </c>
      <c r="G1001" s="972">
        <v>0</v>
      </c>
      <c r="H1001" s="972">
        <v>0</v>
      </c>
      <c r="I1001" s="972">
        <v>3.222</v>
      </c>
      <c r="J1001" s="972">
        <v>0</v>
      </c>
      <c r="K1001" s="972">
        <v>0</v>
      </c>
      <c r="L1001" s="972">
        <v>0</v>
      </c>
      <c r="M1001" s="972">
        <v>0</v>
      </c>
      <c r="N1001" s="972">
        <v>0</v>
      </c>
      <c r="O1001" s="972">
        <v>3.3879999999999999</v>
      </c>
      <c r="P1001" s="972">
        <v>10.045</v>
      </c>
      <c r="Q1001" s="972">
        <v>214.917</v>
      </c>
      <c r="R1001" s="962">
        <v>16</v>
      </c>
      <c r="S1001" s="962" t="s">
        <v>4940</v>
      </c>
      <c r="T1001" s="972">
        <v>55.666499999999999</v>
      </c>
    </row>
    <row r="1002" spans="1:20">
      <c r="A1002" s="962" t="s">
        <v>1949</v>
      </c>
      <c r="B1002" s="972">
        <v>355.82100000000003</v>
      </c>
      <c r="C1002" s="972">
        <v>10.749000000000001</v>
      </c>
      <c r="D1002" s="972">
        <v>0.25800000000000001</v>
      </c>
      <c r="E1002" s="972">
        <v>4.4329999999999998</v>
      </c>
      <c r="F1002" s="972">
        <v>0.42799999999999999</v>
      </c>
      <c r="G1002" s="972">
        <v>4.4999999999999998E-2</v>
      </c>
      <c r="H1002" s="972">
        <v>0</v>
      </c>
      <c r="I1002" s="972">
        <v>10.249000000000001</v>
      </c>
      <c r="J1002" s="972">
        <v>0.23499999999999999</v>
      </c>
      <c r="K1002" s="972">
        <v>1.6910000000000001</v>
      </c>
      <c r="L1002" s="972">
        <v>0</v>
      </c>
      <c r="M1002" s="972">
        <v>0</v>
      </c>
      <c r="N1002" s="972">
        <v>0</v>
      </c>
      <c r="O1002" s="972">
        <v>12.648</v>
      </c>
      <c r="P1002" s="972">
        <v>22.039000000000001</v>
      </c>
      <c r="Q1002" s="972">
        <v>321.13400000000001</v>
      </c>
      <c r="R1002" s="962">
        <v>51</v>
      </c>
      <c r="S1002" s="962" t="s">
        <v>4940</v>
      </c>
      <c r="T1002" s="972">
        <v>121.97416666666666</v>
      </c>
    </row>
    <row r="1003" spans="1:20">
      <c r="A1003" s="962" t="s">
        <v>1951</v>
      </c>
      <c r="B1003" s="972">
        <v>503.94299999999998</v>
      </c>
      <c r="C1003" s="972">
        <v>0</v>
      </c>
      <c r="D1003" s="972">
        <v>0</v>
      </c>
      <c r="E1003" s="972">
        <v>5.9589999999999996</v>
      </c>
      <c r="F1003" s="972">
        <v>0.69799999999999995</v>
      </c>
      <c r="G1003" s="972">
        <v>0</v>
      </c>
      <c r="H1003" s="972">
        <v>0</v>
      </c>
      <c r="I1003" s="972">
        <v>14.340999999999999</v>
      </c>
      <c r="J1003" s="972">
        <v>3.0019999999999998</v>
      </c>
      <c r="K1003" s="972">
        <v>0.27900000000000003</v>
      </c>
      <c r="L1003" s="972">
        <v>0</v>
      </c>
      <c r="M1003" s="972">
        <v>0</v>
      </c>
      <c r="N1003" s="972">
        <v>1.5349999999999999</v>
      </c>
      <c r="O1003" s="972">
        <v>19.856000000000002</v>
      </c>
      <c r="P1003" s="972">
        <v>32.865000000000002</v>
      </c>
      <c r="Q1003" s="972">
        <v>451.22199999999998</v>
      </c>
      <c r="R1003" s="962">
        <v>47</v>
      </c>
      <c r="S1003" s="962" t="s">
        <v>4940</v>
      </c>
      <c r="T1003" s="972">
        <v>151.89566666666667</v>
      </c>
    </row>
    <row r="1004" spans="1:20">
      <c r="A1004" s="962" t="s">
        <v>3154</v>
      </c>
      <c r="B1004" s="972">
        <v>1449.106</v>
      </c>
      <c r="C1004" s="972">
        <v>115.776</v>
      </c>
      <c r="D1004" s="972">
        <v>0</v>
      </c>
      <c r="E1004" s="972">
        <v>18.751999999999999</v>
      </c>
      <c r="F1004" s="972">
        <v>1.4119999999999999</v>
      </c>
      <c r="G1004" s="972">
        <v>0</v>
      </c>
      <c r="H1004" s="972">
        <v>0</v>
      </c>
      <c r="I1004" s="972">
        <v>27.390999999999998</v>
      </c>
      <c r="J1004" s="972">
        <v>6.6950000000000003</v>
      </c>
      <c r="K1004" s="972">
        <v>0.66</v>
      </c>
      <c r="L1004" s="972">
        <v>0</v>
      </c>
      <c r="M1004" s="972">
        <v>0</v>
      </c>
      <c r="N1004" s="972">
        <v>0</v>
      </c>
      <c r="O1004" s="972">
        <v>36.156999999999996</v>
      </c>
      <c r="P1004" s="972">
        <v>130.084</v>
      </c>
      <c r="Q1004" s="972">
        <v>1282.865</v>
      </c>
      <c r="R1004" s="962">
        <v>141</v>
      </c>
      <c r="S1004" s="962" t="s">
        <v>4940</v>
      </c>
      <c r="T1004" s="972">
        <v>417.55416666666667</v>
      </c>
    </row>
    <row r="1005" spans="1:20">
      <c r="A1005" s="962" t="s">
        <v>3883</v>
      </c>
      <c r="B1005" s="972">
        <v>621.56200000000001</v>
      </c>
      <c r="C1005" s="972">
        <v>120.32299999999999</v>
      </c>
      <c r="D1005" s="972">
        <v>0</v>
      </c>
      <c r="E1005" s="972">
        <v>20.148</v>
      </c>
      <c r="F1005" s="972">
        <v>0.52700000000000002</v>
      </c>
      <c r="G1005" s="972">
        <v>0</v>
      </c>
      <c r="H1005" s="972">
        <v>0</v>
      </c>
      <c r="I1005" s="972">
        <v>7.2480000000000002</v>
      </c>
      <c r="J1005" s="972">
        <v>3.742</v>
      </c>
      <c r="K1005" s="972">
        <v>0</v>
      </c>
      <c r="L1005" s="972">
        <v>0</v>
      </c>
      <c r="M1005" s="972">
        <v>0</v>
      </c>
      <c r="N1005" s="972">
        <v>0</v>
      </c>
      <c r="O1005" s="972">
        <v>11.516</v>
      </c>
      <c r="P1005" s="972">
        <v>27.024000000000001</v>
      </c>
      <c r="Q1005" s="972">
        <v>583.02200000000005</v>
      </c>
      <c r="R1005" s="962">
        <v>17</v>
      </c>
      <c r="S1005" s="962" t="s">
        <v>4940</v>
      </c>
      <c r="T1005" s="972">
        <v>170.08700000000002</v>
      </c>
    </row>
    <row r="1006" spans="1:20">
      <c r="A1006" s="962" t="s">
        <v>3156</v>
      </c>
      <c r="B1006" s="972">
        <v>914.01</v>
      </c>
      <c r="C1006" s="972">
        <v>91.727999999999994</v>
      </c>
      <c r="D1006" s="972">
        <v>0</v>
      </c>
      <c r="E1006" s="972">
        <v>16.991</v>
      </c>
      <c r="F1006" s="972">
        <v>2.2160000000000002</v>
      </c>
      <c r="G1006" s="972">
        <v>5.5E-2</v>
      </c>
      <c r="H1006" s="972">
        <v>0</v>
      </c>
      <c r="I1006" s="972">
        <v>15.48</v>
      </c>
      <c r="J1006" s="972">
        <v>5.6159999999999997</v>
      </c>
      <c r="K1006" s="972">
        <v>0</v>
      </c>
      <c r="L1006" s="972">
        <v>0</v>
      </c>
      <c r="M1006" s="972">
        <v>0</v>
      </c>
      <c r="N1006" s="972">
        <v>0</v>
      </c>
      <c r="O1006" s="972">
        <v>23.366</v>
      </c>
      <c r="P1006" s="972">
        <v>41.993000000000002</v>
      </c>
      <c r="Q1006" s="972">
        <v>848.65099999999995</v>
      </c>
      <c r="R1006" s="962">
        <v>46</v>
      </c>
      <c r="S1006" s="962" t="s">
        <v>4940</v>
      </c>
      <c r="T1006" s="972">
        <v>219.10983333333334</v>
      </c>
    </row>
    <row r="1007" spans="1:20">
      <c r="A1007" s="962" t="s">
        <v>3158</v>
      </c>
      <c r="B1007" s="972">
        <v>844.73099999999999</v>
      </c>
      <c r="C1007" s="972">
        <v>16.585999999999999</v>
      </c>
      <c r="D1007" s="972">
        <v>0</v>
      </c>
      <c r="E1007" s="972">
        <v>32.698</v>
      </c>
      <c r="F1007" s="972">
        <v>1.153</v>
      </c>
      <c r="G1007" s="972">
        <v>0</v>
      </c>
      <c r="H1007" s="972">
        <v>0</v>
      </c>
      <c r="I1007" s="972">
        <v>10.592000000000001</v>
      </c>
      <c r="J1007" s="972">
        <v>5.4649999999999999</v>
      </c>
      <c r="K1007" s="972">
        <v>0</v>
      </c>
      <c r="L1007" s="972">
        <v>1.6859999999999999</v>
      </c>
      <c r="M1007" s="972">
        <v>0</v>
      </c>
      <c r="N1007" s="972">
        <v>0</v>
      </c>
      <c r="O1007" s="972">
        <v>18.896999999999998</v>
      </c>
      <c r="P1007" s="972">
        <v>52.124000000000002</v>
      </c>
      <c r="Q1007" s="972">
        <v>773.71</v>
      </c>
      <c r="R1007" s="962">
        <v>72</v>
      </c>
      <c r="S1007" s="962" t="s">
        <v>4940</v>
      </c>
      <c r="T1007" s="972">
        <v>253.36133333333333</v>
      </c>
    </row>
    <row r="1008" spans="1:20">
      <c r="A1008" s="962" t="s">
        <v>3160</v>
      </c>
      <c r="B1008" s="972">
        <v>599.78700000000003</v>
      </c>
      <c r="C1008" s="972">
        <v>7.2869999999999999</v>
      </c>
      <c r="D1008" s="972">
        <v>0.20399999999999999</v>
      </c>
      <c r="E1008" s="972">
        <v>24.300999999999998</v>
      </c>
      <c r="F1008" s="972">
        <v>0.73099999999999998</v>
      </c>
      <c r="G1008" s="972">
        <v>3.4000000000000002E-2</v>
      </c>
      <c r="H1008" s="972">
        <v>0</v>
      </c>
      <c r="I1008" s="972">
        <v>7.6459999999999999</v>
      </c>
      <c r="J1008" s="972">
        <v>0.95</v>
      </c>
      <c r="K1008" s="972">
        <v>2.4449999999999998</v>
      </c>
      <c r="L1008" s="972">
        <v>0</v>
      </c>
      <c r="M1008" s="972">
        <v>0</v>
      </c>
      <c r="N1008" s="972">
        <v>0</v>
      </c>
      <c r="O1008" s="972">
        <v>11.804</v>
      </c>
      <c r="P1008" s="972">
        <v>37.362000000000002</v>
      </c>
      <c r="Q1008" s="972">
        <v>550.62099999999998</v>
      </c>
      <c r="R1008" s="962">
        <v>62</v>
      </c>
      <c r="S1008" s="962" t="s">
        <v>4940</v>
      </c>
      <c r="T1008" s="972">
        <v>181.75399999999999</v>
      </c>
    </row>
    <row r="1009" spans="1:20">
      <c r="A1009" s="962" t="s">
        <v>3162</v>
      </c>
      <c r="B1009" s="972">
        <v>810.721</v>
      </c>
      <c r="C1009" s="972">
        <v>51.814</v>
      </c>
      <c r="D1009" s="972">
        <v>0.53500000000000003</v>
      </c>
      <c r="E1009" s="972">
        <v>34.226999999999997</v>
      </c>
      <c r="F1009" s="972">
        <v>2.0539999999999998</v>
      </c>
      <c r="G1009" s="972">
        <v>6.9000000000000006E-2</v>
      </c>
      <c r="H1009" s="972">
        <v>0</v>
      </c>
      <c r="I1009" s="972">
        <v>14.945</v>
      </c>
      <c r="J1009" s="972">
        <v>2.2130000000000001</v>
      </c>
      <c r="K1009" s="972">
        <v>0</v>
      </c>
      <c r="L1009" s="972">
        <v>0</v>
      </c>
      <c r="M1009" s="972">
        <v>0</v>
      </c>
      <c r="N1009" s="972">
        <v>0</v>
      </c>
      <c r="O1009" s="972">
        <v>19.28</v>
      </c>
      <c r="P1009" s="972">
        <v>68.119</v>
      </c>
      <c r="Q1009" s="972">
        <v>723.322</v>
      </c>
      <c r="R1009" s="962">
        <v>104</v>
      </c>
      <c r="S1009" s="962" t="s">
        <v>4940</v>
      </c>
      <c r="T1009" s="972">
        <v>188.70583333333332</v>
      </c>
    </row>
    <row r="1010" spans="1:20">
      <c r="A1010" s="962" t="s">
        <v>569</v>
      </c>
      <c r="B1010" s="972">
        <v>434.79599999999999</v>
      </c>
      <c r="C1010" s="972">
        <v>10.74</v>
      </c>
      <c r="D1010" s="972">
        <v>0.38100000000000001</v>
      </c>
      <c r="E1010" s="972">
        <v>19.568999999999999</v>
      </c>
      <c r="F1010" s="972">
        <v>0.75600000000000001</v>
      </c>
      <c r="G1010" s="972">
        <v>0</v>
      </c>
      <c r="H1010" s="972">
        <v>0</v>
      </c>
      <c r="I1010" s="972">
        <v>9.657</v>
      </c>
      <c r="J1010" s="972">
        <v>0.17699999999999999</v>
      </c>
      <c r="K1010" s="972">
        <v>0</v>
      </c>
      <c r="L1010" s="972">
        <v>0</v>
      </c>
      <c r="M1010" s="972">
        <v>0</v>
      </c>
      <c r="N1010" s="972">
        <v>0.83799999999999997</v>
      </c>
      <c r="O1010" s="972">
        <v>11.427</v>
      </c>
      <c r="P1010" s="972">
        <v>42.884</v>
      </c>
      <c r="Q1010" s="972">
        <v>380.48500000000001</v>
      </c>
      <c r="R1010" s="962">
        <v>62</v>
      </c>
      <c r="S1010" s="962" t="s">
        <v>4940</v>
      </c>
      <c r="T1010" s="972">
        <v>126.30716666666666</v>
      </c>
    </row>
    <row r="1011" spans="1:20">
      <c r="A1011" s="962" t="s">
        <v>571</v>
      </c>
      <c r="B1011" s="972">
        <v>1538.624</v>
      </c>
      <c r="C1011" s="972">
        <v>8.8160000000000007</v>
      </c>
      <c r="D1011" s="972">
        <v>1.0760000000000001</v>
      </c>
      <c r="E1011" s="972">
        <v>62.615000000000002</v>
      </c>
      <c r="F1011" s="972">
        <v>3.153</v>
      </c>
      <c r="G1011" s="972">
        <v>0.23200000000000001</v>
      </c>
      <c r="H1011" s="972">
        <v>0</v>
      </c>
      <c r="I1011" s="972">
        <v>24.172999999999998</v>
      </c>
      <c r="J1011" s="972">
        <v>7.7309999999999999</v>
      </c>
      <c r="K1011" s="972">
        <v>2.6579999999999999</v>
      </c>
      <c r="L1011" s="972">
        <v>0</v>
      </c>
      <c r="M1011" s="972">
        <v>0</v>
      </c>
      <c r="N1011" s="972">
        <v>0</v>
      </c>
      <c r="O1011" s="972">
        <v>37.945</v>
      </c>
      <c r="P1011" s="972">
        <v>129.07900000000001</v>
      </c>
      <c r="Q1011" s="972">
        <v>1371.6</v>
      </c>
      <c r="R1011" s="962">
        <v>112</v>
      </c>
      <c r="S1011" s="962" t="s">
        <v>4940</v>
      </c>
      <c r="T1011" s="972">
        <v>481.58016666666663</v>
      </c>
    </row>
    <row r="1012" spans="1:20">
      <c r="A1012" s="962" t="s">
        <v>3181</v>
      </c>
      <c r="B1012" s="972">
        <v>1825.183</v>
      </c>
      <c r="C1012" s="972">
        <v>132.24799999999999</v>
      </c>
      <c r="D1012" s="972">
        <v>0.92400000000000004</v>
      </c>
      <c r="E1012" s="972">
        <v>72.388999999999996</v>
      </c>
      <c r="F1012" s="972">
        <v>2.1259999999999999</v>
      </c>
      <c r="G1012" s="972">
        <v>4.8000000000000001E-2</v>
      </c>
      <c r="H1012" s="972">
        <v>0</v>
      </c>
      <c r="I1012" s="972">
        <v>23.023</v>
      </c>
      <c r="J1012" s="972">
        <v>7.4130000000000003</v>
      </c>
      <c r="K1012" s="972">
        <v>0</v>
      </c>
      <c r="L1012" s="972">
        <v>0.59599999999999997</v>
      </c>
      <c r="M1012" s="972">
        <v>0</v>
      </c>
      <c r="N1012" s="972">
        <v>0</v>
      </c>
      <c r="O1012" s="972">
        <v>33.204999999999998</v>
      </c>
      <c r="P1012" s="972">
        <v>103.979</v>
      </c>
      <c r="Q1012" s="972">
        <v>1688</v>
      </c>
      <c r="R1012" s="962">
        <v>107</v>
      </c>
      <c r="S1012" s="962" t="s">
        <v>4940</v>
      </c>
      <c r="T1012" s="972">
        <v>485.81916666666666</v>
      </c>
    </row>
    <row r="1013" spans="1:20">
      <c r="A1013" s="962" t="s">
        <v>2071</v>
      </c>
      <c r="B1013" s="972">
        <v>1687.508</v>
      </c>
      <c r="C1013" s="972">
        <v>137.047</v>
      </c>
      <c r="D1013" s="972">
        <v>0.875</v>
      </c>
      <c r="E1013" s="972">
        <v>58.048999999999999</v>
      </c>
      <c r="F1013" s="972">
        <v>3.2109999999999999</v>
      </c>
      <c r="G1013" s="972">
        <v>0.14399999999999999</v>
      </c>
      <c r="H1013" s="972">
        <v>0</v>
      </c>
      <c r="I1013" s="972">
        <v>38.829000000000001</v>
      </c>
      <c r="J1013" s="972">
        <v>14.195</v>
      </c>
      <c r="K1013" s="972">
        <v>0.122</v>
      </c>
      <c r="L1013" s="972">
        <v>0</v>
      </c>
      <c r="M1013" s="972">
        <v>0</v>
      </c>
      <c r="N1013" s="972">
        <v>0</v>
      </c>
      <c r="O1013" s="972">
        <v>56.500999999999998</v>
      </c>
      <c r="P1013" s="972">
        <v>68.180999999999997</v>
      </c>
      <c r="Q1013" s="972">
        <v>1562.826</v>
      </c>
      <c r="R1013" s="962">
        <v>102</v>
      </c>
      <c r="S1013" s="962" t="s">
        <v>4940</v>
      </c>
      <c r="T1013" s="972">
        <v>430.61866666666663</v>
      </c>
    </row>
    <row r="1014" spans="1:20">
      <c r="A1014" s="962" t="s">
        <v>3183</v>
      </c>
      <c r="B1014" s="972">
        <v>4067.346</v>
      </c>
      <c r="C1014" s="972">
        <v>83.308999999999997</v>
      </c>
      <c r="D1014" s="972">
        <v>1.954</v>
      </c>
      <c r="E1014" s="972">
        <v>30.68</v>
      </c>
      <c r="F1014" s="972">
        <v>4.7249999999999996</v>
      </c>
      <c r="G1014" s="972">
        <v>0.05</v>
      </c>
      <c r="H1014" s="972">
        <v>0</v>
      </c>
      <c r="I1014" s="972">
        <v>127.809</v>
      </c>
      <c r="J1014" s="972">
        <v>25.216999999999999</v>
      </c>
      <c r="K1014" s="972">
        <v>0</v>
      </c>
      <c r="L1014" s="972">
        <v>0</v>
      </c>
      <c r="M1014" s="972">
        <v>0</v>
      </c>
      <c r="N1014" s="972">
        <v>0</v>
      </c>
      <c r="O1014" s="972">
        <v>157.80000000000001</v>
      </c>
      <c r="P1014" s="972">
        <v>119.62</v>
      </c>
      <c r="Q1014" s="972">
        <v>3789.9259999999999</v>
      </c>
      <c r="R1014" s="962">
        <v>354</v>
      </c>
      <c r="S1014" s="962" t="s">
        <v>4940</v>
      </c>
      <c r="T1014" s="972">
        <v>1240.116</v>
      </c>
    </row>
    <row r="1015" spans="1:20">
      <c r="A1015" s="962" t="s">
        <v>924</v>
      </c>
      <c r="B1015" s="972">
        <v>1968.5930000000001</v>
      </c>
      <c r="C1015" s="972">
        <v>87.298000000000002</v>
      </c>
      <c r="D1015" s="972">
        <v>0</v>
      </c>
      <c r="E1015" s="972">
        <v>42.707999999999998</v>
      </c>
      <c r="F1015" s="972">
        <v>2.3959999999999999</v>
      </c>
      <c r="G1015" s="972">
        <v>7.4999999999999997E-2</v>
      </c>
      <c r="H1015" s="972">
        <v>0</v>
      </c>
      <c r="I1015" s="972">
        <v>34.302</v>
      </c>
      <c r="J1015" s="972">
        <v>10.965999999999999</v>
      </c>
      <c r="K1015" s="972">
        <v>0.52800000000000002</v>
      </c>
      <c r="L1015" s="972">
        <v>0.77600000000000002</v>
      </c>
      <c r="M1015" s="972">
        <v>0</v>
      </c>
      <c r="N1015" s="972">
        <v>0</v>
      </c>
      <c r="O1015" s="972">
        <v>49.042999999999999</v>
      </c>
      <c r="P1015" s="972">
        <v>73.933000000000007</v>
      </c>
      <c r="Q1015" s="972">
        <v>1845.617</v>
      </c>
      <c r="R1015" s="962">
        <v>88</v>
      </c>
      <c r="S1015" s="962" t="s">
        <v>4940</v>
      </c>
      <c r="T1015" s="972">
        <v>511.12183333333337</v>
      </c>
    </row>
    <row r="1016" spans="1:20">
      <c r="A1016" s="962" t="s">
        <v>6165</v>
      </c>
      <c r="B1016" s="972">
        <v>1602.018</v>
      </c>
      <c r="C1016" s="972">
        <v>32.261000000000003</v>
      </c>
      <c r="D1016" s="972">
        <v>0.70099999999999996</v>
      </c>
      <c r="E1016" s="972">
        <v>27.225000000000001</v>
      </c>
      <c r="F1016" s="972">
        <v>2.7589999999999999</v>
      </c>
      <c r="G1016" s="972">
        <v>0.22</v>
      </c>
      <c r="H1016" s="972">
        <v>0</v>
      </c>
      <c r="I1016" s="972">
        <v>25.803000000000001</v>
      </c>
      <c r="J1016" s="972">
        <v>15.019</v>
      </c>
      <c r="K1016" s="972">
        <v>0</v>
      </c>
      <c r="L1016" s="972">
        <v>0</v>
      </c>
      <c r="M1016" s="972">
        <v>0</v>
      </c>
      <c r="N1016" s="972">
        <v>0</v>
      </c>
      <c r="O1016" s="972">
        <v>43.798999999999999</v>
      </c>
      <c r="P1016" s="972">
        <v>87.900999999999996</v>
      </c>
      <c r="Q1016" s="972">
        <v>1470.317</v>
      </c>
      <c r="R1016" s="962">
        <v>92</v>
      </c>
      <c r="S1016" s="962" t="s">
        <v>3902</v>
      </c>
      <c r="T1016" s="972">
        <v>414.63849999999996</v>
      </c>
    </row>
    <row r="1017" spans="1:20">
      <c r="A1017" s="962" t="s">
        <v>6187</v>
      </c>
      <c r="B1017" s="972">
        <v>1003.52</v>
      </c>
      <c r="C1017" s="972">
        <v>24.8</v>
      </c>
      <c r="D1017" s="972">
        <v>0.26400000000000001</v>
      </c>
      <c r="E1017" s="972">
        <v>30.254000000000001</v>
      </c>
      <c r="F1017" s="972">
        <v>1.528</v>
      </c>
      <c r="G1017" s="972">
        <v>3.2000000000000001E-2</v>
      </c>
      <c r="H1017" s="972">
        <v>0</v>
      </c>
      <c r="I1017" s="972">
        <v>22.805</v>
      </c>
      <c r="J1017" s="972">
        <v>3.6619999999999999</v>
      </c>
      <c r="K1017" s="972">
        <v>4.2999999999999997E-2</v>
      </c>
      <c r="L1017" s="972">
        <v>0</v>
      </c>
      <c r="M1017" s="972">
        <v>0</v>
      </c>
      <c r="N1017" s="972">
        <v>0</v>
      </c>
      <c r="O1017" s="972">
        <v>28.068999999999999</v>
      </c>
      <c r="P1017" s="972">
        <v>42.953000000000003</v>
      </c>
      <c r="Q1017" s="972">
        <v>932.49699999999996</v>
      </c>
      <c r="R1017" s="962">
        <v>67</v>
      </c>
      <c r="S1017" s="962" t="s">
        <v>4940</v>
      </c>
      <c r="T1017" s="972">
        <v>272.803</v>
      </c>
    </row>
    <row r="1018" spans="1:20">
      <c r="A1018" s="962" t="s">
        <v>1837</v>
      </c>
      <c r="B1018" s="972">
        <v>1981.952</v>
      </c>
      <c r="C1018" s="972">
        <v>28.052</v>
      </c>
      <c r="D1018" s="972">
        <v>0.68200000000000005</v>
      </c>
      <c r="E1018" s="972">
        <v>79.613</v>
      </c>
      <c r="F1018" s="972">
        <v>2.6269999999999998</v>
      </c>
      <c r="G1018" s="972">
        <v>0.11700000000000001</v>
      </c>
      <c r="H1018" s="972">
        <v>0</v>
      </c>
      <c r="I1018" s="972">
        <v>29.855</v>
      </c>
      <c r="J1018" s="972">
        <v>7.7670000000000003</v>
      </c>
      <c r="K1018" s="972">
        <v>0.39900000000000002</v>
      </c>
      <c r="L1018" s="972">
        <v>0</v>
      </c>
      <c r="M1018" s="972">
        <v>0</v>
      </c>
      <c r="N1018" s="972">
        <v>2.0350000000000001</v>
      </c>
      <c r="O1018" s="972">
        <v>42.798000000000002</v>
      </c>
      <c r="P1018" s="972">
        <v>97.933999999999997</v>
      </c>
      <c r="Q1018" s="972">
        <v>1841.22</v>
      </c>
      <c r="R1018" s="962">
        <v>180</v>
      </c>
      <c r="S1018" s="962" t="s">
        <v>4940</v>
      </c>
      <c r="T1018" s="972">
        <v>536.08216666666669</v>
      </c>
    </row>
    <row r="1019" spans="1:20">
      <c r="A1019" s="962" t="s">
        <v>3884</v>
      </c>
      <c r="B1019" s="972">
        <v>1053.615</v>
      </c>
      <c r="C1019" s="972">
        <v>15.56</v>
      </c>
      <c r="D1019" s="972">
        <v>0.56000000000000005</v>
      </c>
      <c r="E1019" s="972">
        <v>67.210999999999999</v>
      </c>
      <c r="F1019" s="972">
        <v>1.7410000000000001</v>
      </c>
      <c r="G1019" s="972">
        <v>2.8000000000000001E-2</v>
      </c>
      <c r="H1019" s="972">
        <v>0</v>
      </c>
      <c r="I1019" s="972">
        <v>18.280999999999999</v>
      </c>
      <c r="J1019" s="972">
        <v>5.6920000000000002</v>
      </c>
      <c r="K1019" s="972">
        <v>0.129</v>
      </c>
      <c r="L1019" s="972">
        <v>0</v>
      </c>
      <c r="M1019" s="972">
        <v>0</v>
      </c>
      <c r="N1019" s="972">
        <v>0</v>
      </c>
      <c r="O1019" s="972">
        <v>25.869</v>
      </c>
      <c r="P1019" s="972">
        <v>70.521000000000001</v>
      </c>
      <c r="Q1019" s="972">
        <v>957.22500000000002</v>
      </c>
      <c r="R1019" s="962">
        <v>92</v>
      </c>
      <c r="S1019" s="962" t="s">
        <v>4940</v>
      </c>
      <c r="T1019" s="972">
        <v>266.28866666666664</v>
      </c>
    </row>
    <row r="1020" spans="1:20">
      <c r="A1020" s="962" t="s">
        <v>2390</v>
      </c>
      <c r="B1020" s="972">
        <v>660.51900000000001</v>
      </c>
      <c r="C1020" s="972">
        <v>78.811000000000007</v>
      </c>
      <c r="D1020" s="972">
        <v>0.18</v>
      </c>
      <c r="E1020" s="972">
        <v>18.704000000000001</v>
      </c>
      <c r="F1020" s="972">
        <v>1.161</v>
      </c>
      <c r="G1020" s="972">
        <v>0</v>
      </c>
      <c r="H1020" s="972">
        <v>0.375</v>
      </c>
      <c r="I1020" s="972">
        <v>12.478999999999999</v>
      </c>
      <c r="J1020" s="972">
        <v>3.0670000000000002</v>
      </c>
      <c r="K1020" s="972">
        <v>0</v>
      </c>
      <c r="L1020" s="972">
        <v>0.81899999999999995</v>
      </c>
      <c r="M1020" s="972">
        <v>0</v>
      </c>
      <c r="N1020" s="972">
        <v>0</v>
      </c>
      <c r="O1020" s="972">
        <v>17.902000000000001</v>
      </c>
      <c r="P1020" s="972">
        <v>42.661000000000001</v>
      </c>
      <c r="Q1020" s="972">
        <v>599.95600000000002</v>
      </c>
      <c r="R1020" s="962">
        <v>50</v>
      </c>
      <c r="S1020" s="962" t="s">
        <v>4940</v>
      </c>
      <c r="T1020" s="972">
        <v>195.63333333333333</v>
      </c>
    </row>
    <row r="1021" spans="1:20">
      <c r="A1021" s="962" t="s">
        <v>926</v>
      </c>
      <c r="B1021" s="972">
        <v>118.46599999999999</v>
      </c>
      <c r="C1021" s="972">
        <v>0</v>
      </c>
      <c r="D1021" s="972">
        <v>0</v>
      </c>
      <c r="E1021" s="972">
        <v>1.825</v>
      </c>
      <c r="F1021" s="972">
        <v>5.2999999999999999E-2</v>
      </c>
      <c r="G1021" s="972">
        <v>0</v>
      </c>
      <c r="H1021" s="972">
        <v>0</v>
      </c>
      <c r="I1021" s="972">
        <v>3.4809999999999999</v>
      </c>
      <c r="J1021" s="972">
        <v>0</v>
      </c>
      <c r="K1021" s="972">
        <v>0</v>
      </c>
      <c r="L1021" s="972">
        <v>0.79700000000000004</v>
      </c>
      <c r="M1021" s="972">
        <v>0</v>
      </c>
      <c r="N1021" s="972">
        <v>4.577</v>
      </c>
      <c r="O1021" s="972">
        <v>8.9079999999999995</v>
      </c>
      <c r="P1021" s="972">
        <v>10.416</v>
      </c>
      <c r="Q1021" s="972">
        <v>99.141000000000005</v>
      </c>
      <c r="R1021" s="962">
        <v>8</v>
      </c>
      <c r="S1021" s="962" t="s">
        <v>4940</v>
      </c>
      <c r="T1021" s="972">
        <v>50.917499999999997</v>
      </c>
    </row>
    <row r="1022" spans="1:20">
      <c r="A1022" s="962" t="s">
        <v>928</v>
      </c>
      <c r="B1022" s="972">
        <v>109.70099999999999</v>
      </c>
      <c r="C1022" s="972">
        <v>5.8529999999999998</v>
      </c>
      <c r="D1022" s="972">
        <v>0</v>
      </c>
      <c r="E1022" s="972">
        <v>4.6989999999999998</v>
      </c>
      <c r="F1022" s="972">
        <v>0.16200000000000001</v>
      </c>
      <c r="G1022" s="972">
        <v>4.8000000000000001E-2</v>
      </c>
      <c r="H1022" s="972">
        <v>0</v>
      </c>
      <c r="I1022" s="972">
        <v>0.88600000000000001</v>
      </c>
      <c r="J1022" s="972">
        <v>0</v>
      </c>
      <c r="K1022" s="972">
        <v>0</v>
      </c>
      <c r="L1022" s="972">
        <v>0.627</v>
      </c>
      <c r="M1022" s="972">
        <v>0</v>
      </c>
      <c r="N1022" s="972">
        <v>4.12</v>
      </c>
      <c r="O1022" s="972">
        <v>5.8419999999999996</v>
      </c>
      <c r="P1022" s="972">
        <v>0.55600000000000005</v>
      </c>
      <c r="Q1022" s="972">
        <v>103.303</v>
      </c>
      <c r="R1022" s="962">
        <v>6</v>
      </c>
      <c r="S1022" s="962" t="s">
        <v>4940</v>
      </c>
      <c r="T1022" s="972">
        <v>44.82866666666667</v>
      </c>
    </row>
    <row r="1023" spans="1:20">
      <c r="A1023" s="962" t="s">
        <v>930</v>
      </c>
      <c r="B1023" s="972">
        <v>545.178</v>
      </c>
      <c r="C1023" s="972">
        <v>38.411000000000001</v>
      </c>
      <c r="D1023" s="972">
        <v>0.498</v>
      </c>
      <c r="E1023" s="972">
        <v>5.5549999999999997</v>
      </c>
      <c r="F1023" s="972">
        <v>0.28299999999999997</v>
      </c>
      <c r="G1023" s="972">
        <v>0</v>
      </c>
      <c r="H1023" s="972">
        <v>0</v>
      </c>
      <c r="I1023" s="972">
        <v>4.508</v>
      </c>
      <c r="J1023" s="972">
        <v>3.1829999999999998</v>
      </c>
      <c r="K1023" s="972">
        <v>0</v>
      </c>
      <c r="L1023" s="972">
        <v>0.76600000000000001</v>
      </c>
      <c r="M1023" s="972">
        <v>0</v>
      </c>
      <c r="N1023" s="972">
        <v>0</v>
      </c>
      <c r="O1023" s="972">
        <v>8.74</v>
      </c>
      <c r="P1023" s="972">
        <v>31.79</v>
      </c>
      <c r="Q1023" s="972">
        <v>504.64800000000002</v>
      </c>
      <c r="R1023" s="962">
        <v>18</v>
      </c>
      <c r="S1023" s="962" t="s">
        <v>4940</v>
      </c>
      <c r="T1023" s="972">
        <v>155.36683333333335</v>
      </c>
    </row>
    <row r="1024" spans="1:20">
      <c r="A1024" s="962" t="s">
        <v>932</v>
      </c>
      <c r="B1024" s="972">
        <v>212.53899999999999</v>
      </c>
      <c r="C1024" s="972">
        <v>7.3579999999999997</v>
      </c>
      <c r="D1024" s="972">
        <v>0.14599999999999999</v>
      </c>
      <c r="E1024" s="972">
        <v>11.180999999999999</v>
      </c>
      <c r="F1024" s="972">
        <v>0.13200000000000001</v>
      </c>
      <c r="G1024" s="972">
        <v>0</v>
      </c>
      <c r="H1024" s="972">
        <v>0.40200000000000002</v>
      </c>
      <c r="I1024" s="972">
        <v>7.0529999999999999</v>
      </c>
      <c r="J1024" s="972">
        <v>0.191</v>
      </c>
      <c r="K1024" s="972">
        <v>0</v>
      </c>
      <c r="L1024" s="972">
        <v>0</v>
      </c>
      <c r="M1024" s="972">
        <v>0</v>
      </c>
      <c r="N1024" s="972">
        <v>0</v>
      </c>
      <c r="O1024" s="972">
        <v>7.7770000000000001</v>
      </c>
      <c r="P1024" s="972">
        <v>18.670000000000002</v>
      </c>
      <c r="Q1024" s="972">
        <v>186.09200000000001</v>
      </c>
      <c r="R1024" s="962">
        <v>3</v>
      </c>
      <c r="S1024" s="962" t="s">
        <v>4940</v>
      </c>
      <c r="T1024" s="972">
        <v>58.048666666666662</v>
      </c>
    </row>
    <row r="1025" spans="1:20">
      <c r="A1025" s="962" t="s">
        <v>934</v>
      </c>
      <c r="B1025" s="972">
        <v>2519.145</v>
      </c>
      <c r="C1025" s="972">
        <v>131.07</v>
      </c>
      <c r="D1025" s="972">
        <v>2.0609999999999999</v>
      </c>
      <c r="E1025" s="972">
        <v>68.460999999999999</v>
      </c>
      <c r="F1025" s="972">
        <v>5.5090000000000003</v>
      </c>
      <c r="G1025" s="972">
        <v>0</v>
      </c>
      <c r="H1025" s="972">
        <v>0</v>
      </c>
      <c r="I1025" s="972">
        <v>72.213999999999999</v>
      </c>
      <c r="J1025" s="972">
        <v>17.854999999999997</v>
      </c>
      <c r="K1025" s="972">
        <v>0</v>
      </c>
      <c r="L1025" s="972">
        <v>0</v>
      </c>
      <c r="M1025" s="972">
        <v>0</v>
      </c>
      <c r="N1025" s="972">
        <v>0</v>
      </c>
      <c r="O1025" s="972">
        <v>95.576999999999998</v>
      </c>
      <c r="P1025" s="972">
        <v>144.18</v>
      </c>
      <c r="Q1025" s="972">
        <v>2279.3879999999999</v>
      </c>
      <c r="R1025" s="962">
        <v>159</v>
      </c>
      <c r="S1025" s="962" t="s">
        <v>4940</v>
      </c>
      <c r="T1025" s="972">
        <v>662.16416666666669</v>
      </c>
    </row>
    <row r="1026" spans="1:20">
      <c r="A1026" s="962" t="s">
        <v>936</v>
      </c>
      <c r="B1026" s="972">
        <v>248.63499999999999</v>
      </c>
      <c r="C1026" s="972">
        <v>7.9489999999999998</v>
      </c>
      <c r="D1026" s="972">
        <v>3.7999999999999999E-2</v>
      </c>
      <c r="E1026" s="972">
        <v>2.496</v>
      </c>
      <c r="F1026" s="972">
        <v>0.17499999999999999</v>
      </c>
      <c r="G1026" s="972">
        <v>0</v>
      </c>
      <c r="H1026" s="972">
        <v>0</v>
      </c>
      <c r="I1026" s="972">
        <v>3.9049999999999998</v>
      </c>
      <c r="J1026" s="972">
        <v>0</v>
      </c>
      <c r="K1026" s="972">
        <v>0</v>
      </c>
      <c r="L1026" s="972">
        <v>0</v>
      </c>
      <c r="M1026" s="972">
        <v>0</v>
      </c>
      <c r="N1026" s="972">
        <v>0</v>
      </c>
      <c r="O1026" s="972">
        <v>4.0789999999999997</v>
      </c>
      <c r="P1026" s="972">
        <v>15.673</v>
      </c>
      <c r="Q1026" s="972">
        <v>228.88200000000001</v>
      </c>
      <c r="R1026" s="962">
        <v>18</v>
      </c>
      <c r="S1026" s="962" t="s">
        <v>4940</v>
      </c>
      <c r="T1026" s="972">
        <v>81.005499999999998</v>
      </c>
    </row>
    <row r="1027" spans="1:20">
      <c r="A1027" s="962" t="s">
        <v>5145</v>
      </c>
      <c r="B1027" s="972">
        <v>473.05700000000002</v>
      </c>
      <c r="C1027" s="972">
        <v>14.595000000000001</v>
      </c>
      <c r="D1027" s="972">
        <v>0.23899999999999999</v>
      </c>
      <c r="E1027" s="972">
        <v>25.431999999999999</v>
      </c>
      <c r="F1027" s="972">
        <v>0.45800000000000002</v>
      </c>
      <c r="G1027" s="972">
        <v>0</v>
      </c>
      <c r="H1027" s="972">
        <v>0</v>
      </c>
      <c r="I1027" s="972">
        <v>7.9379999999999997</v>
      </c>
      <c r="J1027" s="972">
        <v>0.44</v>
      </c>
      <c r="K1027" s="972">
        <v>0</v>
      </c>
      <c r="L1027" s="972">
        <v>0</v>
      </c>
      <c r="M1027" s="972">
        <v>0</v>
      </c>
      <c r="N1027" s="972">
        <v>1.587</v>
      </c>
      <c r="O1027" s="972">
        <v>10.423</v>
      </c>
      <c r="P1027" s="972">
        <v>35.249000000000002</v>
      </c>
      <c r="Q1027" s="972">
        <v>427.38499999999999</v>
      </c>
      <c r="R1027" s="962">
        <v>36</v>
      </c>
      <c r="S1027" s="962" t="s">
        <v>4940</v>
      </c>
      <c r="T1027" s="972">
        <v>159.30183333333332</v>
      </c>
    </row>
    <row r="1028" spans="1:20">
      <c r="A1028" s="962" t="s">
        <v>2950</v>
      </c>
      <c r="B1028" s="972">
        <v>149.85400000000001</v>
      </c>
      <c r="C1028" s="972">
        <v>0</v>
      </c>
      <c r="D1028" s="972">
        <v>4.4999999999999998E-2</v>
      </c>
      <c r="E1028" s="972">
        <v>13.287000000000001</v>
      </c>
      <c r="F1028" s="972">
        <v>0.35099999999999998</v>
      </c>
      <c r="G1028" s="972">
        <v>0</v>
      </c>
      <c r="H1028" s="972">
        <v>0</v>
      </c>
      <c r="I1028" s="972">
        <v>2.2690000000000001</v>
      </c>
      <c r="J1028" s="972">
        <v>0.47699999999999998</v>
      </c>
      <c r="K1028" s="972">
        <v>0</v>
      </c>
      <c r="L1028" s="972">
        <v>0.80100000000000005</v>
      </c>
      <c r="M1028" s="972">
        <v>0</v>
      </c>
      <c r="N1028" s="972">
        <v>0</v>
      </c>
      <c r="O1028" s="972">
        <v>3.8980000000000001</v>
      </c>
      <c r="P1028" s="972">
        <v>11.573</v>
      </c>
      <c r="Q1028" s="972">
        <v>134.38399999999999</v>
      </c>
      <c r="R1028" s="962">
        <v>6</v>
      </c>
      <c r="S1028" s="962" t="s">
        <v>4940</v>
      </c>
      <c r="T1028" s="972">
        <v>33.320166666666672</v>
      </c>
    </row>
    <row r="1029" spans="1:20">
      <c r="A1029" s="962" t="s">
        <v>2952</v>
      </c>
      <c r="B1029" s="972">
        <v>2517.6579999999999</v>
      </c>
      <c r="C1029" s="972">
        <v>589.98199999999997</v>
      </c>
      <c r="D1029" s="972">
        <v>0.28399999999999997</v>
      </c>
      <c r="E1029" s="972">
        <v>10.949</v>
      </c>
      <c r="F1029" s="972">
        <v>4.4320000000000004</v>
      </c>
      <c r="G1029" s="972">
        <v>0.36799999999999999</v>
      </c>
      <c r="H1029" s="972">
        <v>0</v>
      </c>
      <c r="I1029" s="972">
        <v>64.227999999999994</v>
      </c>
      <c r="J1029" s="972">
        <v>14.041</v>
      </c>
      <c r="K1029" s="972">
        <v>0</v>
      </c>
      <c r="L1029" s="972">
        <v>8.2080000000000002</v>
      </c>
      <c r="M1029" s="972">
        <v>0</v>
      </c>
      <c r="N1029" s="972">
        <v>3.4119999999999999</v>
      </c>
      <c r="O1029" s="972">
        <v>94.688000000000002</v>
      </c>
      <c r="P1029" s="972">
        <v>149.422</v>
      </c>
      <c r="Q1029" s="972">
        <v>2273.549</v>
      </c>
      <c r="R1029" s="962">
        <v>192</v>
      </c>
      <c r="S1029" s="962" t="s">
        <v>4940</v>
      </c>
      <c r="T1029" s="972">
        <v>574.72683333333339</v>
      </c>
    </row>
    <row r="1030" spans="1:20">
      <c r="A1030" s="962" t="s">
        <v>2526</v>
      </c>
      <c r="B1030" s="972">
        <v>697.73299999999995</v>
      </c>
      <c r="C1030" s="972">
        <v>47.298000000000002</v>
      </c>
      <c r="D1030" s="972">
        <v>0.22700000000000001</v>
      </c>
      <c r="E1030" s="972">
        <v>26.501999999999999</v>
      </c>
      <c r="F1030" s="972">
        <v>1.083</v>
      </c>
      <c r="G1030" s="972">
        <v>2.8000000000000001E-2</v>
      </c>
      <c r="H1030" s="972">
        <v>0</v>
      </c>
      <c r="I1030" s="972">
        <v>12.169</v>
      </c>
      <c r="J1030" s="972">
        <v>11.454000000000001</v>
      </c>
      <c r="K1030" s="972">
        <v>0</v>
      </c>
      <c r="L1030" s="972">
        <v>0</v>
      </c>
      <c r="M1030" s="972">
        <v>0</v>
      </c>
      <c r="N1030" s="972">
        <v>4.2309999999999999</v>
      </c>
      <c r="O1030" s="972">
        <v>28.963999999999999</v>
      </c>
      <c r="P1030" s="972">
        <v>62.954000000000001</v>
      </c>
      <c r="Q1030" s="972">
        <v>605.81500000000005</v>
      </c>
      <c r="R1030" s="962">
        <v>33</v>
      </c>
      <c r="S1030" s="962" t="s">
        <v>4940</v>
      </c>
      <c r="T1030" s="972">
        <v>187.23099999999999</v>
      </c>
    </row>
    <row r="1031" spans="1:20">
      <c r="A1031" s="962" t="s">
        <v>3885</v>
      </c>
      <c r="B1031" s="972">
        <v>718.35900000000004</v>
      </c>
      <c r="C1031" s="972">
        <v>39.009</v>
      </c>
      <c r="D1031" s="972">
        <v>0</v>
      </c>
      <c r="E1031" s="972">
        <v>16.832000000000001</v>
      </c>
      <c r="F1031" s="972">
        <v>0.73099999999999998</v>
      </c>
      <c r="G1031" s="972">
        <v>5.7000000000000002E-2</v>
      </c>
      <c r="H1031" s="972">
        <v>0</v>
      </c>
      <c r="I1031" s="972">
        <v>13.055999999999999</v>
      </c>
      <c r="J1031" s="972">
        <v>1.9239999999999999</v>
      </c>
      <c r="K1031" s="972">
        <v>0</v>
      </c>
      <c r="L1031" s="972">
        <v>0.72199999999999998</v>
      </c>
      <c r="M1031" s="972">
        <v>0</v>
      </c>
      <c r="N1031" s="972">
        <v>0</v>
      </c>
      <c r="O1031" s="972">
        <v>16.489999999999998</v>
      </c>
      <c r="P1031" s="972">
        <v>38.295000000000002</v>
      </c>
      <c r="Q1031" s="972">
        <v>663.57399999999996</v>
      </c>
      <c r="R1031" s="962">
        <v>38</v>
      </c>
      <c r="S1031" s="962" t="s">
        <v>4940</v>
      </c>
      <c r="T1031" s="972">
        <v>174.85333333333332</v>
      </c>
    </row>
    <row r="1032" spans="1:20">
      <c r="A1032" s="962" t="s">
        <v>2528</v>
      </c>
      <c r="B1032" s="972">
        <v>527.55200000000002</v>
      </c>
      <c r="C1032" s="972">
        <v>92.144999999999996</v>
      </c>
      <c r="D1032" s="972">
        <v>9.7000000000000003E-2</v>
      </c>
      <c r="E1032" s="972">
        <v>10.502000000000001</v>
      </c>
      <c r="F1032" s="972">
        <v>0.61399999999999999</v>
      </c>
      <c r="G1032" s="972">
        <v>0</v>
      </c>
      <c r="H1032" s="972">
        <v>0</v>
      </c>
      <c r="I1032" s="972">
        <v>18.334</v>
      </c>
      <c r="J1032" s="972">
        <v>3.7490000000000001</v>
      </c>
      <c r="K1032" s="972">
        <v>0</v>
      </c>
      <c r="L1032" s="972">
        <v>1.766</v>
      </c>
      <c r="M1032" s="972">
        <v>0</v>
      </c>
      <c r="N1032" s="972">
        <v>0</v>
      </c>
      <c r="O1032" s="972">
        <v>24.463999999999999</v>
      </c>
      <c r="P1032" s="972">
        <v>36.704000000000001</v>
      </c>
      <c r="Q1032" s="972">
        <v>466.38499999999999</v>
      </c>
      <c r="R1032" s="962">
        <v>67</v>
      </c>
      <c r="S1032" s="962" t="s">
        <v>4940</v>
      </c>
      <c r="T1032" s="972">
        <v>114.22483333333332</v>
      </c>
    </row>
    <row r="1033" spans="1:20">
      <c r="A1033" s="962" t="s">
        <v>2530</v>
      </c>
      <c r="B1033" s="972">
        <v>579.41399999999999</v>
      </c>
      <c r="C1033" s="972">
        <v>27.100999999999999</v>
      </c>
      <c r="D1033" s="972">
        <v>0.03</v>
      </c>
      <c r="E1033" s="972">
        <v>4.0780000000000003</v>
      </c>
      <c r="F1033" s="972">
        <v>0.91200000000000003</v>
      </c>
      <c r="G1033" s="972">
        <v>0</v>
      </c>
      <c r="H1033" s="972">
        <v>0</v>
      </c>
      <c r="I1033" s="972">
        <v>19.248000000000001</v>
      </c>
      <c r="J1033" s="972">
        <v>5.2329999999999997</v>
      </c>
      <c r="K1033" s="972">
        <v>0</v>
      </c>
      <c r="L1033" s="972">
        <v>0</v>
      </c>
      <c r="M1033" s="972">
        <v>0</v>
      </c>
      <c r="N1033" s="972">
        <v>0</v>
      </c>
      <c r="O1033" s="972">
        <v>25.391999999999999</v>
      </c>
      <c r="P1033" s="972">
        <v>36.116</v>
      </c>
      <c r="Q1033" s="972">
        <v>517.90499999999997</v>
      </c>
      <c r="R1033" s="962">
        <v>19</v>
      </c>
      <c r="S1033" s="962" t="s">
        <v>4940</v>
      </c>
      <c r="T1033" s="972">
        <v>152.72099999999998</v>
      </c>
    </row>
    <row r="1034" spans="1:20">
      <c r="A1034" s="962" t="s">
        <v>2532</v>
      </c>
      <c r="B1034" s="972">
        <v>105.694</v>
      </c>
      <c r="C1034" s="972">
        <v>8.02</v>
      </c>
      <c r="D1034" s="972">
        <v>0</v>
      </c>
      <c r="E1034" s="972">
        <v>4.343</v>
      </c>
      <c r="F1034" s="972">
        <v>0.71099999999999997</v>
      </c>
      <c r="G1034" s="972">
        <v>0</v>
      </c>
      <c r="H1034" s="972">
        <v>0</v>
      </c>
      <c r="I1034" s="972">
        <v>6.3339999999999996</v>
      </c>
      <c r="J1034" s="972">
        <v>0.69000000000000006</v>
      </c>
      <c r="K1034" s="972">
        <v>0</v>
      </c>
      <c r="L1034" s="972">
        <v>0</v>
      </c>
      <c r="M1034" s="972">
        <v>0</v>
      </c>
      <c r="N1034" s="972">
        <v>0</v>
      </c>
      <c r="O1034" s="972">
        <v>7.7350000000000003</v>
      </c>
      <c r="P1034" s="972">
        <v>0</v>
      </c>
      <c r="Q1034" s="972">
        <v>97.959000000000003</v>
      </c>
      <c r="R1034" s="962">
        <v>1</v>
      </c>
      <c r="S1034" s="962" t="s">
        <v>4940</v>
      </c>
      <c r="T1034" s="972">
        <v>0</v>
      </c>
    </row>
    <row r="1035" spans="1:20">
      <c r="A1035" s="962" t="s">
        <v>2316</v>
      </c>
      <c r="B1035" s="972">
        <v>85.213999999999999</v>
      </c>
      <c r="C1035" s="972">
        <v>7.2480000000000002</v>
      </c>
      <c r="D1035" s="972">
        <v>0</v>
      </c>
      <c r="E1035" s="972">
        <v>5.8949999999999996</v>
      </c>
      <c r="F1035" s="972">
        <v>0.04</v>
      </c>
      <c r="G1035" s="972">
        <v>0</v>
      </c>
      <c r="H1035" s="972">
        <v>0</v>
      </c>
      <c r="I1035" s="972">
        <v>0</v>
      </c>
      <c r="J1035" s="972">
        <v>0</v>
      </c>
      <c r="K1035" s="972">
        <v>0</v>
      </c>
      <c r="L1035" s="972">
        <v>0</v>
      </c>
      <c r="M1035" s="972">
        <v>0</v>
      </c>
      <c r="N1035" s="972">
        <v>0</v>
      </c>
      <c r="O1035" s="972">
        <v>0.04</v>
      </c>
      <c r="P1035" s="972">
        <v>0</v>
      </c>
      <c r="Q1035" s="972">
        <v>85.174000000000007</v>
      </c>
      <c r="R1035" s="962">
        <v>49</v>
      </c>
      <c r="S1035" s="962" t="s">
        <v>4940</v>
      </c>
      <c r="T1035" s="972">
        <v>37.508000000000003</v>
      </c>
    </row>
    <row r="1036" spans="1:20">
      <c r="A1036" s="962" t="s">
        <v>5105</v>
      </c>
      <c r="B1036" s="972">
        <v>545.57000000000005</v>
      </c>
      <c r="C1036" s="972">
        <v>82.045000000000002</v>
      </c>
      <c r="D1036" s="972">
        <v>0</v>
      </c>
      <c r="E1036" s="972">
        <v>8.2479999999999993</v>
      </c>
      <c r="F1036" s="972">
        <v>0.56899999999999995</v>
      </c>
      <c r="G1036" s="972">
        <v>8.0000000000000002E-3</v>
      </c>
      <c r="H1036" s="972">
        <v>0.06</v>
      </c>
      <c r="I1036" s="972">
        <v>12.832000000000001</v>
      </c>
      <c r="J1036" s="972">
        <v>1.9849999999999999</v>
      </c>
      <c r="K1036" s="972">
        <v>1.4999999999999999E-2</v>
      </c>
      <c r="L1036" s="972">
        <v>0.83299999999999996</v>
      </c>
      <c r="M1036" s="972">
        <v>0</v>
      </c>
      <c r="N1036" s="972">
        <v>0.20300000000000001</v>
      </c>
      <c r="O1036" s="972">
        <v>16.504999999999999</v>
      </c>
      <c r="P1036" s="972">
        <v>27.873999999999999</v>
      </c>
      <c r="Q1036" s="972">
        <v>501.19099999999997</v>
      </c>
      <c r="R1036" s="962">
        <v>31</v>
      </c>
      <c r="S1036" s="962" t="s">
        <v>3902</v>
      </c>
      <c r="T1036" s="972">
        <v>169.53575000000001</v>
      </c>
    </row>
    <row r="1037" spans="1:20">
      <c r="A1037" s="962" t="s">
        <v>1191</v>
      </c>
      <c r="B1037" s="972">
        <v>368.18200000000002</v>
      </c>
      <c r="C1037" s="972">
        <v>0</v>
      </c>
      <c r="D1037" s="972">
        <v>0</v>
      </c>
      <c r="E1037" s="972">
        <v>7.577</v>
      </c>
      <c r="F1037" s="972">
        <v>1.08</v>
      </c>
      <c r="G1037" s="972">
        <v>0</v>
      </c>
      <c r="H1037" s="972">
        <v>0</v>
      </c>
      <c r="I1037" s="972">
        <v>9.032</v>
      </c>
      <c r="J1037" s="972">
        <v>0.46899999999999997</v>
      </c>
      <c r="K1037" s="972">
        <v>0</v>
      </c>
      <c r="L1037" s="972">
        <v>0</v>
      </c>
      <c r="M1037" s="972">
        <v>0</v>
      </c>
      <c r="N1037" s="972">
        <v>0</v>
      </c>
      <c r="O1037" s="972">
        <v>10.58</v>
      </c>
      <c r="P1037" s="972">
        <v>0</v>
      </c>
      <c r="Q1037" s="972">
        <v>357.60199999999998</v>
      </c>
      <c r="R1037" s="962">
        <v>0</v>
      </c>
      <c r="S1037" s="962" t="s">
        <v>4940</v>
      </c>
      <c r="T1037" s="972">
        <v>0</v>
      </c>
    </row>
    <row r="1038" spans="1:20">
      <c r="A1038" s="962" t="s">
        <v>3380</v>
      </c>
      <c r="B1038" s="972">
        <v>122.31</v>
      </c>
      <c r="C1038" s="972">
        <v>0</v>
      </c>
      <c r="D1038" s="972">
        <v>0</v>
      </c>
      <c r="E1038" s="972">
        <v>1.879</v>
      </c>
      <c r="F1038" s="972">
        <v>0.26400000000000001</v>
      </c>
      <c r="G1038" s="972">
        <v>0</v>
      </c>
      <c r="H1038" s="972">
        <v>0</v>
      </c>
      <c r="I1038" s="972">
        <v>0</v>
      </c>
      <c r="J1038" s="972">
        <v>0</v>
      </c>
      <c r="K1038" s="972">
        <v>0</v>
      </c>
      <c r="L1038" s="972">
        <v>0</v>
      </c>
      <c r="M1038" s="972">
        <v>0</v>
      </c>
      <c r="N1038" s="972">
        <v>58.154000000000003</v>
      </c>
      <c r="O1038" s="972">
        <v>58.417999999999999</v>
      </c>
      <c r="P1038" s="972">
        <v>10.276</v>
      </c>
      <c r="Q1038" s="972">
        <v>53.616</v>
      </c>
      <c r="R1038" s="962">
        <v>0</v>
      </c>
      <c r="S1038" s="962" t="s">
        <v>4940</v>
      </c>
      <c r="T1038" s="972">
        <v>71.742333333333335</v>
      </c>
    </row>
    <row r="1039" spans="1:20">
      <c r="A1039" s="962" t="s">
        <v>5036</v>
      </c>
      <c r="B1039" s="972">
        <v>839.05</v>
      </c>
      <c r="C1039" s="972">
        <v>11.541</v>
      </c>
      <c r="D1039" s="972">
        <v>0</v>
      </c>
      <c r="E1039" s="972">
        <v>19.079999999999998</v>
      </c>
      <c r="F1039" s="972">
        <v>1.034</v>
      </c>
      <c r="G1039" s="972">
        <v>0.14099999999999999</v>
      </c>
      <c r="H1039" s="972">
        <v>0</v>
      </c>
      <c r="I1039" s="972">
        <v>13.565</v>
      </c>
      <c r="J1039" s="972">
        <v>5.35</v>
      </c>
      <c r="K1039" s="972">
        <v>0</v>
      </c>
      <c r="L1039" s="972">
        <v>0</v>
      </c>
      <c r="M1039" s="972">
        <v>0</v>
      </c>
      <c r="N1039" s="972">
        <v>0</v>
      </c>
      <c r="O1039" s="972">
        <v>20.088999999999999</v>
      </c>
      <c r="P1039" s="972">
        <v>38.587000000000003</v>
      </c>
      <c r="Q1039" s="972">
        <v>780.37400000000002</v>
      </c>
      <c r="R1039" s="962">
        <v>88</v>
      </c>
      <c r="S1039" s="962" t="s">
        <v>4940</v>
      </c>
      <c r="T1039" s="972">
        <v>266.51616666666666</v>
      </c>
    </row>
    <row r="1040" spans="1:20">
      <c r="A1040" s="962" t="s">
        <v>2430</v>
      </c>
      <c r="B1040" s="972">
        <v>1966.9</v>
      </c>
      <c r="C1040" s="972">
        <v>34.704999999999998</v>
      </c>
      <c r="D1040" s="972">
        <v>3.6999999999999998E-2</v>
      </c>
      <c r="E1040" s="972">
        <v>17.928999999999998</v>
      </c>
      <c r="F1040" s="972">
        <v>2.9780000000000002</v>
      </c>
      <c r="G1040" s="972">
        <v>0.223</v>
      </c>
      <c r="H1040" s="972">
        <v>0</v>
      </c>
      <c r="I1040" s="972">
        <v>48.652999999999999</v>
      </c>
      <c r="J1040" s="972">
        <v>4.2919999999999998</v>
      </c>
      <c r="K1040" s="972">
        <v>0</v>
      </c>
      <c r="L1040" s="972">
        <v>3.359</v>
      </c>
      <c r="M1040" s="972">
        <v>0</v>
      </c>
      <c r="N1040" s="972">
        <v>0</v>
      </c>
      <c r="O1040" s="972">
        <v>59.503999999999998</v>
      </c>
      <c r="P1040" s="972">
        <v>113.19</v>
      </c>
      <c r="Q1040" s="972">
        <v>1794.2070000000001</v>
      </c>
      <c r="R1040" s="962">
        <v>106</v>
      </c>
      <c r="S1040" s="962" t="s">
        <v>4940</v>
      </c>
      <c r="T1040" s="972">
        <v>551.55566666666664</v>
      </c>
    </row>
    <row r="1041" spans="1:20">
      <c r="A1041" s="962" t="s">
        <v>2432</v>
      </c>
      <c r="B1041" s="972">
        <v>3583.6260000000002</v>
      </c>
      <c r="C1041" s="972">
        <v>105.979</v>
      </c>
      <c r="D1041" s="972">
        <v>0</v>
      </c>
      <c r="E1041" s="972">
        <v>66.156999999999996</v>
      </c>
      <c r="F1041" s="972">
        <v>4.9000000000000004</v>
      </c>
      <c r="G1041" s="972">
        <v>1.7999999999999999E-2</v>
      </c>
      <c r="H1041" s="972">
        <v>0</v>
      </c>
      <c r="I1041" s="972">
        <v>81.655000000000001</v>
      </c>
      <c r="J1041" s="972">
        <v>25.888999999999999</v>
      </c>
      <c r="K1041" s="972">
        <v>0</v>
      </c>
      <c r="L1041" s="972">
        <v>8.2149999999999999</v>
      </c>
      <c r="M1041" s="972">
        <v>0</v>
      </c>
      <c r="N1041" s="972">
        <v>0.128</v>
      </c>
      <c r="O1041" s="972">
        <v>120.806</v>
      </c>
      <c r="P1041" s="972">
        <v>240.50200000000001</v>
      </c>
      <c r="Q1041" s="972">
        <v>3222.3180000000002</v>
      </c>
      <c r="R1041" s="962">
        <v>238</v>
      </c>
      <c r="S1041" s="962" t="s">
        <v>4940</v>
      </c>
      <c r="T1041" s="972">
        <v>1043.18</v>
      </c>
    </row>
    <row r="1042" spans="1:20">
      <c r="A1042" s="962" t="s">
        <v>5339</v>
      </c>
      <c r="B1042" s="972">
        <v>1008.736</v>
      </c>
      <c r="C1042" s="972">
        <v>34.264000000000003</v>
      </c>
      <c r="D1042" s="972">
        <v>9.2999999999999999E-2</v>
      </c>
      <c r="E1042" s="972">
        <v>13.776</v>
      </c>
      <c r="F1042" s="972">
        <v>1.1599999999999999</v>
      </c>
      <c r="G1042" s="972">
        <v>0.17199999999999999</v>
      </c>
      <c r="H1042" s="972">
        <v>0</v>
      </c>
      <c r="I1042" s="972">
        <v>16.015000000000001</v>
      </c>
      <c r="J1042" s="972">
        <v>3.8450000000000002</v>
      </c>
      <c r="K1042" s="972">
        <v>0</v>
      </c>
      <c r="L1042" s="972">
        <v>0</v>
      </c>
      <c r="M1042" s="972">
        <v>0</v>
      </c>
      <c r="N1042" s="972">
        <v>0</v>
      </c>
      <c r="O1042" s="972">
        <v>21.19</v>
      </c>
      <c r="P1042" s="972">
        <v>66.19</v>
      </c>
      <c r="Q1042" s="972">
        <v>921.35599999999999</v>
      </c>
      <c r="R1042" s="962">
        <v>70</v>
      </c>
      <c r="S1042" s="962" t="s">
        <v>4940</v>
      </c>
      <c r="T1042" s="972">
        <v>285.35533333333331</v>
      </c>
    </row>
    <row r="1043" spans="1:20">
      <c r="A1043" s="962" t="s">
        <v>5341</v>
      </c>
      <c r="B1043" s="972">
        <v>17328.437000000002</v>
      </c>
      <c r="C1043" s="972">
        <v>3191.6030000000001</v>
      </c>
      <c r="D1043" s="972">
        <v>5.593</v>
      </c>
      <c r="E1043" s="972">
        <v>184.63200000000001</v>
      </c>
      <c r="F1043" s="972">
        <v>21.960999999999999</v>
      </c>
      <c r="G1043" s="972">
        <v>0.98599999999999999</v>
      </c>
      <c r="H1043" s="972">
        <v>0.58199999999999996</v>
      </c>
      <c r="I1043" s="972">
        <v>292.57900000000001</v>
      </c>
      <c r="J1043" s="972">
        <v>94.555999999999997</v>
      </c>
      <c r="K1043" s="972">
        <v>47.688000000000002</v>
      </c>
      <c r="L1043" s="972">
        <v>14.34</v>
      </c>
      <c r="M1043" s="972">
        <v>0</v>
      </c>
      <c r="N1043" s="972">
        <v>11.624000000000001</v>
      </c>
      <c r="O1043" s="972">
        <v>484.31400000000002</v>
      </c>
      <c r="P1043" s="972">
        <v>1071.473</v>
      </c>
      <c r="Q1043" s="972">
        <v>15772.65</v>
      </c>
      <c r="R1043" s="962">
        <v>1698</v>
      </c>
      <c r="S1043" s="962" t="s">
        <v>4940</v>
      </c>
      <c r="T1043" s="972">
        <v>4256.9753333333329</v>
      </c>
    </row>
    <row r="1044" spans="1:20">
      <c r="A1044" s="962" t="s">
        <v>858</v>
      </c>
      <c r="B1044" s="972">
        <v>4368.433</v>
      </c>
      <c r="C1044" s="972">
        <v>125.617</v>
      </c>
      <c r="D1044" s="972">
        <v>0.39900000000000002</v>
      </c>
      <c r="E1044" s="972">
        <v>61.695</v>
      </c>
      <c r="F1044" s="972">
        <v>6.9470000000000001</v>
      </c>
      <c r="G1044" s="972">
        <v>0.61099999999999999</v>
      </c>
      <c r="H1044" s="972">
        <v>3.3000000000000002E-2</v>
      </c>
      <c r="I1044" s="972">
        <v>68.144000000000005</v>
      </c>
      <c r="J1044" s="972">
        <v>20.731000000000002</v>
      </c>
      <c r="K1044" s="972">
        <v>0</v>
      </c>
      <c r="L1044" s="972">
        <v>1.6639999999999999</v>
      </c>
      <c r="M1044" s="972">
        <v>0</v>
      </c>
      <c r="N1044" s="972">
        <v>0</v>
      </c>
      <c r="O1044" s="972">
        <v>98.129000000000005</v>
      </c>
      <c r="P1044" s="972">
        <v>253.27199999999999</v>
      </c>
      <c r="Q1044" s="972">
        <v>4017.0320000000002</v>
      </c>
      <c r="R1044" s="962">
        <v>252</v>
      </c>
      <c r="S1044" s="962" t="s">
        <v>4940</v>
      </c>
      <c r="T1044" s="972">
        <v>1229.8616666666667</v>
      </c>
    </row>
    <row r="1045" spans="1:20">
      <c r="A1045" s="962" t="s">
        <v>5343</v>
      </c>
      <c r="B1045" s="972">
        <v>3173.924</v>
      </c>
      <c r="C1045" s="972">
        <v>451.69</v>
      </c>
      <c r="D1045" s="972">
        <v>0.38300000000000001</v>
      </c>
      <c r="E1045" s="972">
        <v>59.43</v>
      </c>
      <c r="F1045" s="972">
        <v>4.5830000000000002</v>
      </c>
      <c r="G1045" s="972">
        <v>7.4999999999999997E-2</v>
      </c>
      <c r="H1045" s="972">
        <v>0</v>
      </c>
      <c r="I1045" s="972">
        <v>31.37</v>
      </c>
      <c r="J1045" s="972">
        <v>21.622</v>
      </c>
      <c r="K1045" s="972">
        <v>0</v>
      </c>
      <c r="L1045" s="972">
        <v>5.6680000000000001</v>
      </c>
      <c r="M1045" s="972">
        <v>0</v>
      </c>
      <c r="N1045" s="972">
        <v>0</v>
      </c>
      <c r="O1045" s="972">
        <v>63.316000000000003</v>
      </c>
      <c r="P1045" s="972">
        <v>212.505</v>
      </c>
      <c r="Q1045" s="972">
        <v>2898.1030000000001</v>
      </c>
      <c r="R1045" s="962">
        <v>182</v>
      </c>
      <c r="S1045" s="962" t="s">
        <v>4940</v>
      </c>
      <c r="T1045" s="972">
        <v>878.98799999999983</v>
      </c>
    </row>
    <row r="1046" spans="1:20">
      <c r="A1046" s="962" t="s">
        <v>5344</v>
      </c>
      <c r="B1046" s="972">
        <v>976.65700000000004</v>
      </c>
      <c r="C1046" s="972">
        <v>43.5</v>
      </c>
      <c r="D1046" s="972">
        <v>0.73599999999999999</v>
      </c>
      <c r="E1046" s="972">
        <v>4.7389999999999999</v>
      </c>
      <c r="F1046" s="972">
        <v>1.631</v>
      </c>
      <c r="G1046" s="972">
        <v>0.59099999999999997</v>
      </c>
      <c r="H1046" s="972">
        <v>0</v>
      </c>
      <c r="I1046" s="972">
        <v>35.362000000000002</v>
      </c>
      <c r="J1046" s="972">
        <v>5.516</v>
      </c>
      <c r="K1046" s="972">
        <v>9.6000000000000002E-2</v>
      </c>
      <c r="L1046" s="972">
        <v>0</v>
      </c>
      <c r="M1046" s="972">
        <v>0</v>
      </c>
      <c r="N1046" s="972">
        <v>0</v>
      </c>
      <c r="O1046" s="972">
        <v>43.195</v>
      </c>
      <c r="P1046" s="972">
        <v>80.007000000000005</v>
      </c>
      <c r="Q1046" s="972">
        <v>853.45500000000004</v>
      </c>
      <c r="R1046" s="962">
        <v>105</v>
      </c>
      <c r="S1046" s="962" t="s">
        <v>4940</v>
      </c>
      <c r="T1046" s="972">
        <v>259.61599999999999</v>
      </c>
    </row>
    <row r="1047" spans="1:20">
      <c r="A1047" s="962" t="s">
        <v>3382</v>
      </c>
      <c r="B1047" s="972">
        <v>119.383</v>
      </c>
      <c r="C1047" s="972">
        <v>0</v>
      </c>
      <c r="D1047" s="972">
        <v>0.59</v>
      </c>
      <c r="E1047" s="972">
        <v>20.384</v>
      </c>
      <c r="F1047" s="972">
        <v>0</v>
      </c>
      <c r="G1047" s="972">
        <v>0</v>
      </c>
      <c r="H1047" s="972">
        <v>0</v>
      </c>
      <c r="I1047" s="972">
        <v>0</v>
      </c>
      <c r="J1047" s="972">
        <v>0</v>
      </c>
      <c r="K1047" s="972">
        <v>0</v>
      </c>
      <c r="L1047" s="972">
        <v>0</v>
      </c>
      <c r="M1047" s="972">
        <v>0</v>
      </c>
      <c r="N1047" s="972">
        <v>0</v>
      </c>
      <c r="O1047" s="972">
        <v>0</v>
      </c>
      <c r="P1047" s="972">
        <v>7.0330000000000004</v>
      </c>
      <c r="Q1047" s="972">
        <v>112.35</v>
      </c>
      <c r="R1047" s="962">
        <v>0</v>
      </c>
      <c r="S1047" s="962" t="s">
        <v>4940</v>
      </c>
      <c r="T1047" s="972">
        <v>119.38066666666667</v>
      </c>
    </row>
    <row r="1048" spans="1:20">
      <c r="A1048" s="962" t="s">
        <v>5346</v>
      </c>
      <c r="B1048" s="972">
        <v>1543.8879999999999</v>
      </c>
      <c r="C1048" s="972">
        <v>138.011</v>
      </c>
      <c r="D1048" s="972">
        <v>0</v>
      </c>
      <c r="E1048" s="972">
        <v>53.889000000000003</v>
      </c>
      <c r="F1048" s="972">
        <v>1.4610000000000001</v>
      </c>
      <c r="G1048" s="972">
        <v>0</v>
      </c>
      <c r="H1048" s="972">
        <v>0</v>
      </c>
      <c r="I1048" s="972">
        <v>15.917999999999999</v>
      </c>
      <c r="J1048" s="972">
        <v>7.766</v>
      </c>
      <c r="K1048" s="972">
        <v>0</v>
      </c>
      <c r="L1048" s="972">
        <v>2.8079999999999998</v>
      </c>
      <c r="M1048" s="972">
        <v>0</v>
      </c>
      <c r="N1048" s="972">
        <v>0</v>
      </c>
      <c r="O1048" s="972">
        <v>27.954000000000001</v>
      </c>
      <c r="P1048" s="972">
        <v>114.736</v>
      </c>
      <c r="Q1048" s="972">
        <v>1401.1969999999999</v>
      </c>
      <c r="R1048" s="962">
        <v>164</v>
      </c>
      <c r="S1048" s="962" t="s">
        <v>4940</v>
      </c>
      <c r="T1048" s="972">
        <v>488.08716666666669</v>
      </c>
    </row>
    <row r="1049" spans="1:20">
      <c r="A1049" s="962" t="s">
        <v>2770</v>
      </c>
      <c r="B1049" s="972">
        <v>10162.944</v>
      </c>
      <c r="C1049" s="972">
        <v>5828.5829999999996</v>
      </c>
      <c r="D1049" s="972">
        <v>3.758</v>
      </c>
      <c r="E1049" s="972">
        <v>90.432000000000002</v>
      </c>
      <c r="F1049" s="972">
        <v>12.52</v>
      </c>
      <c r="G1049" s="972">
        <v>1.8740000000000001</v>
      </c>
      <c r="H1049" s="972">
        <v>0</v>
      </c>
      <c r="I1049" s="972">
        <v>324.39100000000002</v>
      </c>
      <c r="J1049" s="972">
        <v>67.088000000000008</v>
      </c>
      <c r="K1049" s="972">
        <v>0</v>
      </c>
      <c r="L1049" s="972">
        <v>17.302</v>
      </c>
      <c r="M1049" s="972">
        <v>0</v>
      </c>
      <c r="N1049" s="972">
        <v>0</v>
      </c>
      <c r="O1049" s="972">
        <v>423.17399999999998</v>
      </c>
      <c r="P1049" s="972">
        <v>710.00300000000004</v>
      </c>
      <c r="Q1049" s="972">
        <v>9029.7669999999998</v>
      </c>
      <c r="R1049" s="962">
        <v>1340</v>
      </c>
      <c r="S1049" s="962" t="s">
        <v>3902</v>
      </c>
      <c r="T1049" s="972">
        <v>2662.9237499999999</v>
      </c>
    </row>
    <row r="1050" spans="1:20">
      <c r="A1050" s="962" t="s">
        <v>5348</v>
      </c>
      <c r="B1050" s="972">
        <v>264.04300000000001</v>
      </c>
      <c r="C1050" s="972">
        <v>50.487000000000002</v>
      </c>
      <c r="D1050" s="972">
        <v>0</v>
      </c>
      <c r="E1050" s="972">
        <v>6.2960000000000003</v>
      </c>
      <c r="F1050" s="972">
        <v>0.33800000000000002</v>
      </c>
      <c r="G1050" s="972">
        <v>0</v>
      </c>
      <c r="H1050" s="972">
        <v>0</v>
      </c>
      <c r="I1050" s="972">
        <v>6.9450000000000003</v>
      </c>
      <c r="J1050" s="972">
        <v>3.0880000000000001</v>
      </c>
      <c r="K1050" s="972">
        <v>0</v>
      </c>
      <c r="L1050" s="972">
        <v>0</v>
      </c>
      <c r="M1050" s="972">
        <v>0</v>
      </c>
      <c r="N1050" s="972">
        <v>0</v>
      </c>
      <c r="O1050" s="972">
        <v>10.369</v>
      </c>
      <c r="P1050" s="972">
        <v>12.202999999999999</v>
      </c>
      <c r="Q1050" s="972">
        <v>241.471</v>
      </c>
      <c r="R1050" s="962">
        <v>12</v>
      </c>
      <c r="S1050" s="962" t="s">
        <v>4940</v>
      </c>
      <c r="T1050" s="972">
        <v>91.330499999999986</v>
      </c>
    </row>
    <row r="1051" spans="1:20">
      <c r="A1051" s="962" t="s">
        <v>3886</v>
      </c>
      <c r="B1051" s="972">
        <v>6325.1049999999996</v>
      </c>
      <c r="C1051" s="972">
        <v>4158.4579999999996</v>
      </c>
      <c r="D1051" s="972">
        <v>0</v>
      </c>
      <c r="E1051" s="972">
        <v>101.91800000000001</v>
      </c>
      <c r="F1051" s="972">
        <v>6.06</v>
      </c>
      <c r="G1051" s="972">
        <v>1.36</v>
      </c>
      <c r="H1051" s="972">
        <v>0</v>
      </c>
      <c r="I1051" s="972">
        <v>50.499000000000002</v>
      </c>
      <c r="J1051" s="972">
        <v>18.198</v>
      </c>
      <c r="K1051" s="972">
        <v>0</v>
      </c>
      <c r="L1051" s="972">
        <v>3.137</v>
      </c>
      <c r="M1051" s="972">
        <v>0</v>
      </c>
      <c r="N1051" s="972">
        <v>0</v>
      </c>
      <c r="O1051" s="972">
        <v>79.253</v>
      </c>
      <c r="P1051" s="972">
        <v>365.06400000000002</v>
      </c>
      <c r="Q1051" s="972">
        <v>5880.7879999999996</v>
      </c>
      <c r="R1051" s="962">
        <v>537</v>
      </c>
      <c r="S1051" s="962" t="s">
        <v>3902</v>
      </c>
      <c r="T1051" s="972">
        <v>1695.8742500000001</v>
      </c>
    </row>
    <row r="1052" spans="1:20">
      <c r="A1052" s="962" t="s">
        <v>5350</v>
      </c>
      <c r="B1052" s="972">
        <v>1475.547</v>
      </c>
      <c r="C1052" s="972">
        <v>119.578</v>
      </c>
      <c r="D1052" s="972">
        <v>0.63400000000000001</v>
      </c>
      <c r="E1052" s="972">
        <v>16.41</v>
      </c>
      <c r="F1052" s="972">
        <v>1.835</v>
      </c>
      <c r="G1052" s="972">
        <v>0.23</v>
      </c>
      <c r="H1052" s="972">
        <v>0</v>
      </c>
      <c r="I1052" s="972">
        <v>37.287999999999997</v>
      </c>
      <c r="J1052" s="972">
        <v>6.74</v>
      </c>
      <c r="K1052" s="972">
        <v>0</v>
      </c>
      <c r="L1052" s="972">
        <v>2.0550000000000002</v>
      </c>
      <c r="M1052" s="972">
        <v>0</v>
      </c>
      <c r="N1052" s="972">
        <v>0.89800000000000002</v>
      </c>
      <c r="O1052" s="972">
        <v>49.043999999999997</v>
      </c>
      <c r="P1052" s="972">
        <v>73.531999999999996</v>
      </c>
      <c r="Q1052" s="972">
        <v>1352.971</v>
      </c>
      <c r="R1052" s="962">
        <v>108</v>
      </c>
      <c r="S1052" s="962" t="s">
        <v>4940</v>
      </c>
      <c r="T1052" s="972">
        <v>362.9905</v>
      </c>
    </row>
    <row r="1053" spans="1:20">
      <c r="A1053" s="962" t="s">
        <v>3139</v>
      </c>
      <c r="B1053" s="972">
        <v>205.709</v>
      </c>
      <c r="C1053" s="972">
        <v>13.762</v>
      </c>
      <c r="D1053" s="972">
        <v>0.29799999999999999</v>
      </c>
      <c r="E1053" s="972">
        <v>4.9409999999999998</v>
      </c>
      <c r="F1053" s="972">
        <v>0.17599999999999999</v>
      </c>
      <c r="G1053" s="972">
        <v>0</v>
      </c>
      <c r="H1053" s="972">
        <v>0</v>
      </c>
      <c r="I1053" s="972">
        <v>6.1669999999999998</v>
      </c>
      <c r="J1053" s="972">
        <v>0</v>
      </c>
      <c r="K1053" s="972">
        <v>1.669</v>
      </c>
      <c r="L1053" s="972">
        <v>0</v>
      </c>
      <c r="M1053" s="972">
        <v>0</v>
      </c>
      <c r="N1053" s="972">
        <v>0</v>
      </c>
      <c r="O1053" s="972">
        <v>8.0120000000000005</v>
      </c>
      <c r="P1053" s="972">
        <v>17.553000000000001</v>
      </c>
      <c r="Q1053" s="972">
        <v>180.14400000000001</v>
      </c>
      <c r="R1053" s="962">
        <v>14</v>
      </c>
      <c r="S1053" s="962" t="s">
        <v>4940</v>
      </c>
      <c r="T1053" s="972">
        <v>60.154000000000003</v>
      </c>
    </row>
    <row r="1054" spans="1:20">
      <c r="A1054" s="962" t="s">
        <v>1530</v>
      </c>
      <c r="B1054" s="972">
        <v>215.29900000000001</v>
      </c>
      <c r="C1054" s="972">
        <v>4.4089999999999998</v>
      </c>
      <c r="D1054" s="972">
        <v>7.0999999999999994E-2</v>
      </c>
      <c r="E1054" s="972">
        <v>3.5710000000000002</v>
      </c>
      <c r="F1054" s="972">
        <v>0.26700000000000002</v>
      </c>
      <c r="G1054" s="972">
        <v>0</v>
      </c>
      <c r="H1054" s="972">
        <v>0</v>
      </c>
      <c r="I1054" s="972">
        <v>4.2380000000000004</v>
      </c>
      <c r="J1054" s="972">
        <v>0.441</v>
      </c>
      <c r="K1054" s="972">
        <v>0</v>
      </c>
      <c r="L1054" s="972">
        <v>0.85799999999999998</v>
      </c>
      <c r="M1054" s="972">
        <v>0</v>
      </c>
      <c r="N1054" s="972">
        <v>0</v>
      </c>
      <c r="O1054" s="972">
        <v>5.8040000000000003</v>
      </c>
      <c r="P1054" s="972">
        <v>14.628</v>
      </c>
      <c r="Q1054" s="972">
        <v>194.86699999999999</v>
      </c>
      <c r="R1054" s="962">
        <v>13</v>
      </c>
      <c r="S1054" s="962" t="s">
        <v>4940</v>
      </c>
      <c r="T1054" s="972">
        <v>54.050666666666665</v>
      </c>
    </row>
    <row r="1055" spans="1:20">
      <c r="A1055" s="962" t="s">
        <v>1532</v>
      </c>
      <c r="B1055" s="972">
        <v>837.86500000000001</v>
      </c>
      <c r="C1055" s="972">
        <v>84.58</v>
      </c>
      <c r="D1055" s="972">
        <v>0.67800000000000005</v>
      </c>
      <c r="E1055" s="972">
        <v>16.326000000000001</v>
      </c>
      <c r="F1055" s="972">
        <v>0.89200000000000002</v>
      </c>
      <c r="G1055" s="972">
        <v>0</v>
      </c>
      <c r="H1055" s="972">
        <v>0</v>
      </c>
      <c r="I1055" s="972">
        <v>18.96</v>
      </c>
      <c r="J1055" s="972">
        <v>1.2749999999999999</v>
      </c>
      <c r="K1055" s="972">
        <v>0</v>
      </c>
      <c r="L1055" s="972">
        <v>0</v>
      </c>
      <c r="M1055" s="972">
        <v>0</v>
      </c>
      <c r="N1055" s="972">
        <v>0</v>
      </c>
      <c r="O1055" s="972">
        <v>21.126000000000001</v>
      </c>
      <c r="P1055" s="972">
        <v>55.027000000000001</v>
      </c>
      <c r="Q1055" s="972">
        <v>761.71299999999997</v>
      </c>
      <c r="R1055" s="962">
        <v>29</v>
      </c>
      <c r="S1055" s="962" t="s">
        <v>4940</v>
      </c>
      <c r="T1055" s="972">
        <v>240.52666666666664</v>
      </c>
    </row>
    <row r="1056" spans="1:20">
      <c r="A1056" s="962" t="s">
        <v>624</v>
      </c>
      <c r="B1056" s="972">
        <v>239.02500000000001</v>
      </c>
      <c r="C1056" s="972">
        <v>9.9420000000000002</v>
      </c>
      <c r="D1056" s="972">
        <v>0</v>
      </c>
      <c r="E1056" s="972">
        <v>0</v>
      </c>
      <c r="F1056" s="972">
        <v>0.28699999999999998</v>
      </c>
      <c r="G1056" s="972">
        <v>0</v>
      </c>
      <c r="H1056" s="972">
        <v>0</v>
      </c>
      <c r="I1056" s="972">
        <v>8.1</v>
      </c>
      <c r="J1056" s="972">
        <v>0.44800000000000001</v>
      </c>
      <c r="K1056" s="972">
        <v>0</v>
      </c>
      <c r="L1056" s="972">
        <v>0</v>
      </c>
      <c r="M1056" s="972">
        <v>0</v>
      </c>
      <c r="N1056" s="972">
        <v>0</v>
      </c>
      <c r="O1056" s="972">
        <v>8.8339999999999996</v>
      </c>
      <c r="P1056" s="972">
        <v>16.898</v>
      </c>
      <c r="Q1056" s="972">
        <v>213.29300000000001</v>
      </c>
      <c r="R1056" s="962">
        <v>10</v>
      </c>
      <c r="S1056" s="962" t="s">
        <v>4940</v>
      </c>
      <c r="T1056" s="972">
        <v>62.018666666666668</v>
      </c>
    </row>
    <row r="1057" spans="1:20">
      <c r="A1057" s="962" t="s">
        <v>626</v>
      </c>
      <c r="B1057" s="972">
        <v>987.77499999999998</v>
      </c>
      <c r="C1057" s="972">
        <v>39.783000000000001</v>
      </c>
      <c r="D1057" s="972">
        <v>1.2829999999999999</v>
      </c>
      <c r="E1057" s="972">
        <v>0.56599999999999995</v>
      </c>
      <c r="F1057" s="972">
        <v>1.3180000000000001</v>
      </c>
      <c r="G1057" s="972">
        <v>2.1000000000000001E-2</v>
      </c>
      <c r="H1057" s="972">
        <v>0</v>
      </c>
      <c r="I1057" s="972">
        <v>44.55</v>
      </c>
      <c r="J1057" s="972">
        <v>1.61</v>
      </c>
      <c r="K1057" s="972">
        <v>1.677</v>
      </c>
      <c r="L1057" s="972">
        <v>0</v>
      </c>
      <c r="M1057" s="972">
        <v>0</v>
      </c>
      <c r="N1057" s="972">
        <v>0.97199999999999998</v>
      </c>
      <c r="O1057" s="972">
        <v>50.146999999999998</v>
      </c>
      <c r="P1057" s="972">
        <v>46.241999999999997</v>
      </c>
      <c r="Q1057" s="972">
        <v>891.38699999999994</v>
      </c>
      <c r="R1057" s="962">
        <v>55</v>
      </c>
      <c r="S1057" s="962" t="s">
        <v>4940</v>
      </c>
      <c r="T1057" s="972">
        <v>241.18633333333332</v>
      </c>
    </row>
    <row r="1058" spans="1:20">
      <c r="A1058" s="962" t="s">
        <v>628</v>
      </c>
      <c r="B1058" s="972">
        <v>207.251</v>
      </c>
      <c r="C1058" s="972">
        <v>5.4630000000000001</v>
      </c>
      <c r="D1058" s="972">
        <v>0.41699999999999998</v>
      </c>
      <c r="E1058" s="972">
        <v>0</v>
      </c>
      <c r="F1058" s="972">
        <v>0.32800000000000001</v>
      </c>
      <c r="G1058" s="972">
        <v>0</v>
      </c>
      <c r="H1058" s="972">
        <v>0</v>
      </c>
      <c r="I1058" s="972">
        <v>9.2780000000000005</v>
      </c>
      <c r="J1058" s="972">
        <v>0</v>
      </c>
      <c r="K1058" s="972">
        <v>0</v>
      </c>
      <c r="L1058" s="972">
        <v>0</v>
      </c>
      <c r="M1058" s="972">
        <v>0</v>
      </c>
      <c r="N1058" s="972">
        <v>0</v>
      </c>
      <c r="O1058" s="972">
        <v>9.6059999999999999</v>
      </c>
      <c r="P1058" s="972">
        <v>19.283999999999999</v>
      </c>
      <c r="Q1058" s="972">
        <v>178.36099999999999</v>
      </c>
      <c r="R1058" s="962">
        <v>5</v>
      </c>
      <c r="S1058" s="962" t="s">
        <v>4940</v>
      </c>
      <c r="T1058" s="972">
        <v>66.2</v>
      </c>
    </row>
    <row r="1059" spans="1:20">
      <c r="A1059" s="962" t="s">
        <v>630</v>
      </c>
      <c r="B1059" s="972">
        <v>299.89600000000002</v>
      </c>
      <c r="C1059" s="972">
        <v>0</v>
      </c>
      <c r="D1059" s="972">
        <v>0</v>
      </c>
      <c r="E1059" s="972">
        <v>5.9359999999999999</v>
      </c>
      <c r="F1059" s="972">
        <v>0.72499999999999998</v>
      </c>
      <c r="G1059" s="972">
        <v>0</v>
      </c>
      <c r="H1059" s="972">
        <v>0</v>
      </c>
      <c r="I1059" s="972">
        <v>1.4550000000000001</v>
      </c>
      <c r="J1059" s="972">
        <v>0</v>
      </c>
      <c r="K1059" s="972">
        <v>0</v>
      </c>
      <c r="L1059" s="972">
        <v>0</v>
      </c>
      <c r="M1059" s="972">
        <v>0</v>
      </c>
      <c r="N1059" s="972">
        <v>0</v>
      </c>
      <c r="O1059" s="972">
        <v>2.1789999999999998</v>
      </c>
      <c r="P1059" s="972">
        <v>0</v>
      </c>
      <c r="Q1059" s="972">
        <v>297.71699999999998</v>
      </c>
      <c r="R1059" s="962">
        <v>0</v>
      </c>
      <c r="S1059" s="962" t="s">
        <v>4940</v>
      </c>
      <c r="T1059" s="972">
        <v>67.992500000000007</v>
      </c>
    </row>
    <row r="1060" spans="1:20">
      <c r="A1060" s="962" t="s">
        <v>3184</v>
      </c>
      <c r="B1060" s="972">
        <v>481.78300000000002</v>
      </c>
      <c r="C1060" s="972">
        <v>7.8449999999999998</v>
      </c>
      <c r="D1060" s="972">
        <v>0</v>
      </c>
      <c r="E1060" s="972">
        <v>0</v>
      </c>
      <c r="F1060" s="972">
        <v>0.67600000000000005</v>
      </c>
      <c r="G1060" s="972">
        <v>0</v>
      </c>
      <c r="H1060" s="972">
        <v>0</v>
      </c>
      <c r="I1060" s="972">
        <v>4.3959999999999999</v>
      </c>
      <c r="J1060" s="972">
        <v>0</v>
      </c>
      <c r="K1060" s="972">
        <v>0</v>
      </c>
      <c r="L1060" s="972">
        <v>0</v>
      </c>
      <c r="M1060" s="972">
        <v>0</v>
      </c>
      <c r="N1060" s="972">
        <v>0</v>
      </c>
      <c r="O1060" s="972">
        <v>5.0720000000000001</v>
      </c>
      <c r="P1060" s="972">
        <v>0</v>
      </c>
      <c r="Q1060" s="972">
        <v>476.71100000000001</v>
      </c>
      <c r="R1060" s="962">
        <v>0</v>
      </c>
      <c r="S1060" s="962" t="s">
        <v>4940</v>
      </c>
      <c r="T1060" s="972">
        <v>0</v>
      </c>
    </row>
    <row r="1061" spans="1:20">
      <c r="A1061" s="962" t="s">
        <v>3387</v>
      </c>
      <c r="B1061" s="972">
        <v>486.79899999999998</v>
      </c>
      <c r="C1061" s="972">
        <v>49.886000000000003</v>
      </c>
      <c r="D1061" s="972">
        <v>0</v>
      </c>
      <c r="E1061" s="972">
        <v>52.744999999999997</v>
      </c>
      <c r="F1061" s="972">
        <v>0</v>
      </c>
      <c r="G1061" s="972">
        <v>0</v>
      </c>
      <c r="H1061" s="972">
        <v>0</v>
      </c>
      <c r="I1061" s="972">
        <v>0.7</v>
      </c>
      <c r="J1061" s="972">
        <v>2.1000000000000001E-2</v>
      </c>
      <c r="K1061" s="972">
        <v>0</v>
      </c>
      <c r="L1061" s="972">
        <v>0</v>
      </c>
      <c r="M1061" s="972">
        <v>0</v>
      </c>
      <c r="N1061" s="972">
        <v>0</v>
      </c>
      <c r="O1061" s="972">
        <v>0.72099999999999997</v>
      </c>
      <c r="P1061" s="972">
        <v>15.025</v>
      </c>
      <c r="Q1061" s="972">
        <v>471.053</v>
      </c>
      <c r="R1061" s="962">
        <v>0</v>
      </c>
      <c r="S1061" s="962" t="s">
        <v>4940</v>
      </c>
      <c r="T1061" s="972">
        <v>486.7953333333333</v>
      </c>
    </row>
    <row r="1062" spans="1:20">
      <c r="A1062" s="962" t="s">
        <v>3392</v>
      </c>
      <c r="B1062" s="972">
        <v>307.48</v>
      </c>
      <c r="C1062" s="972">
        <v>0.98899999999999999</v>
      </c>
      <c r="D1062" s="972">
        <v>0</v>
      </c>
      <c r="E1062" s="972">
        <v>3.3879999999999999</v>
      </c>
      <c r="F1062" s="972">
        <v>0.30199999999999999</v>
      </c>
      <c r="G1062" s="972">
        <v>0</v>
      </c>
      <c r="H1062" s="972">
        <v>0</v>
      </c>
      <c r="I1062" s="972">
        <v>8.0579999999999998</v>
      </c>
      <c r="J1062" s="972">
        <v>1.1319999999999999</v>
      </c>
      <c r="K1062" s="972">
        <v>2.9000000000000001E-2</v>
      </c>
      <c r="L1062" s="972">
        <v>0</v>
      </c>
      <c r="M1062" s="972">
        <v>0</v>
      </c>
      <c r="N1062" s="972">
        <v>1.0720000000000001</v>
      </c>
      <c r="O1062" s="972">
        <v>10.593</v>
      </c>
      <c r="P1062" s="972">
        <v>0</v>
      </c>
      <c r="Q1062" s="972">
        <v>296.887</v>
      </c>
      <c r="R1062" s="962">
        <v>0</v>
      </c>
      <c r="S1062" s="962" t="s">
        <v>4940</v>
      </c>
      <c r="T1062" s="972">
        <v>23.857333333333333</v>
      </c>
    </row>
    <row r="1063" spans="1:20">
      <c r="A1063" s="962" t="s">
        <v>3394</v>
      </c>
      <c r="B1063" s="972">
        <v>457.416</v>
      </c>
      <c r="C1063" s="972">
        <v>2.9670000000000001</v>
      </c>
      <c r="D1063" s="972">
        <v>0</v>
      </c>
      <c r="E1063" s="972">
        <v>10.833</v>
      </c>
      <c r="F1063" s="972">
        <v>0.245</v>
      </c>
      <c r="G1063" s="972">
        <v>0</v>
      </c>
      <c r="H1063" s="972">
        <v>0</v>
      </c>
      <c r="I1063" s="972">
        <v>0</v>
      </c>
      <c r="J1063" s="972">
        <v>0</v>
      </c>
      <c r="K1063" s="972">
        <v>0</v>
      </c>
      <c r="L1063" s="972">
        <v>0</v>
      </c>
      <c r="M1063" s="972">
        <v>0</v>
      </c>
      <c r="N1063" s="972">
        <v>0</v>
      </c>
      <c r="O1063" s="972">
        <v>0.245</v>
      </c>
      <c r="P1063" s="972">
        <v>0</v>
      </c>
      <c r="Q1063" s="972">
        <v>457.17099999999999</v>
      </c>
      <c r="R1063" s="962">
        <v>75</v>
      </c>
      <c r="S1063" s="962" t="s">
        <v>4940</v>
      </c>
      <c r="T1063" s="972">
        <v>202.32299999999998</v>
      </c>
    </row>
    <row r="1064" spans="1:20">
      <c r="A1064" s="962" t="s">
        <v>3396</v>
      </c>
      <c r="B1064" s="972">
        <v>501.34300000000002</v>
      </c>
      <c r="C1064" s="972">
        <v>0.995</v>
      </c>
      <c r="D1064" s="972">
        <v>0</v>
      </c>
      <c r="E1064" s="972">
        <v>11.036</v>
      </c>
      <c r="F1064" s="972">
        <v>0.56100000000000005</v>
      </c>
      <c r="G1064" s="972">
        <v>0</v>
      </c>
      <c r="H1064" s="972">
        <v>0</v>
      </c>
      <c r="I1064" s="972">
        <v>5.9260000000000002</v>
      </c>
      <c r="J1064" s="972">
        <v>0</v>
      </c>
      <c r="K1064" s="972">
        <v>0</v>
      </c>
      <c r="L1064" s="972">
        <v>0</v>
      </c>
      <c r="M1064" s="972">
        <v>0</v>
      </c>
      <c r="N1064" s="972">
        <v>0</v>
      </c>
      <c r="O1064" s="972">
        <v>6.4870000000000001</v>
      </c>
      <c r="P1064" s="972">
        <v>0</v>
      </c>
      <c r="Q1064" s="972">
        <v>494.85599999999999</v>
      </c>
      <c r="R1064" s="962">
        <v>0</v>
      </c>
      <c r="S1064" s="962" t="s">
        <v>4940</v>
      </c>
      <c r="T1064" s="972">
        <v>137.68933333333334</v>
      </c>
    </row>
    <row r="1065" spans="1:20">
      <c r="A1065" s="962" t="s">
        <v>3398</v>
      </c>
      <c r="B1065" s="972">
        <v>287.79199999999997</v>
      </c>
      <c r="C1065" s="972">
        <v>80.067999999999998</v>
      </c>
      <c r="D1065" s="972">
        <v>0</v>
      </c>
      <c r="E1065" s="972">
        <v>2.4390000000000001</v>
      </c>
      <c r="F1065" s="972">
        <v>0.37</v>
      </c>
      <c r="G1065" s="972">
        <v>0</v>
      </c>
      <c r="H1065" s="972">
        <v>0</v>
      </c>
      <c r="I1065" s="972">
        <v>0.45200000000000001</v>
      </c>
      <c r="J1065" s="972">
        <v>0</v>
      </c>
      <c r="K1065" s="972">
        <v>0</v>
      </c>
      <c r="L1065" s="972">
        <v>0</v>
      </c>
      <c r="M1065" s="972">
        <v>0</v>
      </c>
      <c r="N1065" s="972">
        <v>0</v>
      </c>
      <c r="O1065" s="972">
        <v>0.82199999999999995</v>
      </c>
      <c r="P1065" s="972">
        <v>0</v>
      </c>
      <c r="Q1065" s="972">
        <v>286.971</v>
      </c>
      <c r="R1065" s="962">
        <v>22</v>
      </c>
      <c r="S1065" s="962" t="s">
        <v>4940</v>
      </c>
      <c r="T1065" s="972">
        <v>0</v>
      </c>
    </row>
    <row r="1066" spans="1:20">
      <c r="A1066" s="962" t="s">
        <v>3400</v>
      </c>
      <c r="B1066" s="972">
        <v>127.937</v>
      </c>
      <c r="C1066" s="972">
        <v>0</v>
      </c>
      <c r="D1066" s="972">
        <v>0.92800000000000005</v>
      </c>
      <c r="E1066" s="972">
        <v>14.292</v>
      </c>
      <c r="F1066" s="972">
        <v>0</v>
      </c>
      <c r="G1066" s="972">
        <v>0</v>
      </c>
      <c r="H1066" s="972">
        <v>0</v>
      </c>
      <c r="I1066" s="972">
        <v>0</v>
      </c>
      <c r="J1066" s="972">
        <v>0</v>
      </c>
      <c r="K1066" s="972">
        <v>0</v>
      </c>
      <c r="L1066" s="972">
        <v>0</v>
      </c>
      <c r="M1066" s="972">
        <v>0</v>
      </c>
      <c r="N1066" s="972">
        <v>0</v>
      </c>
      <c r="O1066" s="972">
        <v>0</v>
      </c>
      <c r="P1066" s="972">
        <v>12.177</v>
      </c>
      <c r="Q1066" s="972">
        <v>115.759</v>
      </c>
      <c r="R1066" s="962">
        <v>0</v>
      </c>
      <c r="S1066" s="962" t="s">
        <v>4940</v>
      </c>
      <c r="T1066" s="972">
        <v>127.93333333333334</v>
      </c>
    </row>
    <row r="1067" spans="1:20">
      <c r="A1067" s="962" t="s">
        <v>180</v>
      </c>
      <c r="B1067" s="972">
        <v>2020.9760000000001</v>
      </c>
      <c r="C1067" s="972">
        <v>98.691000000000003</v>
      </c>
      <c r="D1067" s="972">
        <v>0</v>
      </c>
      <c r="E1067" s="972">
        <v>5.9989999999999997</v>
      </c>
      <c r="F1067" s="972">
        <v>1.1240000000000001</v>
      </c>
      <c r="G1067" s="972">
        <v>0</v>
      </c>
      <c r="H1067" s="972">
        <v>0</v>
      </c>
      <c r="I1067" s="972">
        <v>9.7560000000000002</v>
      </c>
      <c r="J1067" s="972">
        <v>1.4019999999999999</v>
      </c>
      <c r="K1067" s="972">
        <v>0</v>
      </c>
      <c r="L1067" s="972">
        <v>0</v>
      </c>
      <c r="M1067" s="972">
        <v>0</v>
      </c>
      <c r="N1067" s="972">
        <v>0</v>
      </c>
      <c r="O1067" s="972">
        <v>12.281000000000001</v>
      </c>
      <c r="P1067" s="972">
        <v>0</v>
      </c>
      <c r="Q1067" s="972">
        <v>2008.6949999999999</v>
      </c>
      <c r="R1067" s="962">
        <v>169</v>
      </c>
      <c r="S1067" s="962" t="s">
        <v>4940</v>
      </c>
      <c r="T1067" s="972">
        <v>219.52566666666667</v>
      </c>
    </row>
    <row r="1068" spans="1:20">
      <c r="A1068" s="962" t="s">
        <v>181</v>
      </c>
      <c r="B1068" s="972">
        <v>145.63</v>
      </c>
      <c r="C1068" s="972">
        <v>2.7240000000000002</v>
      </c>
      <c r="D1068" s="972">
        <v>0</v>
      </c>
      <c r="E1068" s="972">
        <v>3.9359999999999999</v>
      </c>
      <c r="F1068" s="972">
        <v>0.48299999999999998</v>
      </c>
      <c r="G1068" s="972">
        <v>0</v>
      </c>
      <c r="H1068" s="972">
        <v>0</v>
      </c>
      <c r="I1068" s="972">
        <v>0</v>
      </c>
      <c r="J1068" s="972">
        <v>0</v>
      </c>
      <c r="K1068" s="972">
        <v>0</v>
      </c>
      <c r="L1068" s="972">
        <v>0</v>
      </c>
      <c r="M1068" s="972">
        <v>0</v>
      </c>
      <c r="N1068" s="972">
        <v>0</v>
      </c>
      <c r="O1068" s="972">
        <v>0.48299999999999998</v>
      </c>
      <c r="P1068" s="972">
        <v>0</v>
      </c>
      <c r="Q1068" s="972">
        <v>145.14699999999999</v>
      </c>
      <c r="R1068" s="962">
        <v>10</v>
      </c>
      <c r="S1068" s="962" t="s">
        <v>4940</v>
      </c>
      <c r="T1068" s="972">
        <v>0</v>
      </c>
    </row>
    <row r="1069" spans="1:20">
      <c r="A1069" s="962" t="s">
        <v>7801</v>
      </c>
      <c r="B1069" s="972">
        <v>315.06099999999998</v>
      </c>
      <c r="C1069" s="972">
        <v>11.522</v>
      </c>
      <c r="D1069" s="972">
        <v>0</v>
      </c>
      <c r="E1069" s="972">
        <v>0.17899999999999999</v>
      </c>
      <c r="F1069" s="972">
        <v>0.622</v>
      </c>
      <c r="G1069" s="972">
        <v>0</v>
      </c>
      <c r="H1069" s="972">
        <v>0</v>
      </c>
      <c r="I1069" s="972">
        <v>3.2759999999999998</v>
      </c>
      <c r="J1069" s="972">
        <v>0</v>
      </c>
      <c r="K1069" s="972">
        <v>0</v>
      </c>
      <c r="L1069" s="972">
        <v>0</v>
      </c>
      <c r="M1069" s="972">
        <v>0</v>
      </c>
      <c r="N1069" s="972">
        <v>0</v>
      </c>
      <c r="O1069" s="972">
        <v>3.8980000000000001</v>
      </c>
      <c r="P1069" s="972">
        <v>0</v>
      </c>
      <c r="Q1069" s="972">
        <v>311.16399999999999</v>
      </c>
      <c r="R1069" s="962">
        <v>20</v>
      </c>
      <c r="S1069" s="962" t="s">
        <v>4940</v>
      </c>
      <c r="T1069" s="972">
        <v>0</v>
      </c>
    </row>
    <row r="1070" spans="1:20">
      <c r="A1070" s="962" t="s">
        <v>7802</v>
      </c>
      <c r="B1070" s="972">
        <v>624.89499999999998</v>
      </c>
      <c r="C1070" s="972">
        <v>131.33099999999999</v>
      </c>
      <c r="D1070" s="972">
        <v>0</v>
      </c>
      <c r="E1070" s="972">
        <v>13.773999999999999</v>
      </c>
      <c r="F1070" s="972">
        <v>0.46400000000000002</v>
      </c>
      <c r="G1070" s="972">
        <v>0</v>
      </c>
      <c r="H1070" s="972">
        <v>0</v>
      </c>
      <c r="I1070" s="972">
        <v>3.25</v>
      </c>
      <c r="J1070" s="972">
        <v>0.111</v>
      </c>
      <c r="K1070" s="972">
        <v>0</v>
      </c>
      <c r="L1070" s="972">
        <v>0</v>
      </c>
      <c r="M1070" s="972">
        <v>0</v>
      </c>
      <c r="N1070" s="972">
        <v>0</v>
      </c>
      <c r="O1070" s="972">
        <v>3.8250000000000002</v>
      </c>
      <c r="P1070" s="972">
        <v>0</v>
      </c>
      <c r="Q1070" s="972">
        <v>621.07100000000003</v>
      </c>
      <c r="R1070" s="962">
        <v>0</v>
      </c>
      <c r="S1070" s="962" t="s">
        <v>4940</v>
      </c>
      <c r="T1070" s="972">
        <v>126.91516666666666</v>
      </c>
    </row>
    <row r="1071" spans="1:20">
      <c r="A1071" s="962" t="s">
        <v>269</v>
      </c>
      <c r="B1071" s="972">
        <v>59079.294000000002</v>
      </c>
      <c r="C1071" s="972">
        <v>13122.832</v>
      </c>
      <c r="D1071" s="972">
        <v>22.745000000000001</v>
      </c>
      <c r="E1071" s="972">
        <v>306.90699999999998</v>
      </c>
      <c r="F1071" s="972">
        <v>97.841999999999999</v>
      </c>
      <c r="G1071" s="972">
        <v>0.32300000000000001</v>
      </c>
      <c r="H1071" s="972">
        <v>10.510999999999999</v>
      </c>
      <c r="I1071" s="972">
        <v>1239.4929999999999</v>
      </c>
      <c r="J1071" s="972">
        <v>381.303</v>
      </c>
      <c r="K1071" s="972">
        <v>0</v>
      </c>
      <c r="L1071" s="972">
        <v>10.079000000000001</v>
      </c>
      <c r="M1071" s="972">
        <v>0</v>
      </c>
      <c r="N1071" s="972">
        <v>19.963999999999999</v>
      </c>
      <c r="O1071" s="972">
        <v>1759.5139999999999</v>
      </c>
      <c r="P1071" s="972">
        <v>2331.355</v>
      </c>
      <c r="Q1071" s="972">
        <v>54988.425999999999</v>
      </c>
      <c r="R1071" s="962">
        <v>4293</v>
      </c>
      <c r="S1071" s="962" t="s">
        <v>4940</v>
      </c>
      <c r="T1071" s="972">
        <v>15984.987333333331</v>
      </c>
    </row>
    <row r="1072" spans="1:20">
      <c r="A1072" s="962" t="s">
        <v>951</v>
      </c>
      <c r="B1072" s="972">
        <v>21970.534</v>
      </c>
      <c r="C1072" s="972">
        <v>3160.0149999999999</v>
      </c>
      <c r="D1072" s="972">
        <v>7.11</v>
      </c>
      <c r="E1072" s="972">
        <v>560.63099999999997</v>
      </c>
      <c r="F1072" s="972">
        <v>43.814</v>
      </c>
      <c r="G1072" s="972">
        <v>1.45</v>
      </c>
      <c r="H1072" s="972">
        <v>0</v>
      </c>
      <c r="I1072" s="972">
        <v>415.80399999999997</v>
      </c>
      <c r="J1072" s="972">
        <v>205.619</v>
      </c>
      <c r="K1072" s="972">
        <v>0</v>
      </c>
      <c r="L1072" s="972">
        <v>31.122</v>
      </c>
      <c r="M1072" s="972">
        <v>0</v>
      </c>
      <c r="N1072" s="972">
        <v>1.9379999999999999</v>
      </c>
      <c r="O1072" s="972">
        <v>699.745</v>
      </c>
      <c r="P1072" s="972">
        <v>894.03300000000002</v>
      </c>
      <c r="Q1072" s="972">
        <v>20376.756000000001</v>
      </c>
      <c r="R1072" s="962">
        <v>2763</v>
      </c>
      <c r="S1072" s="962" t="s">
        <v>4940</v>
      </c>
      <c r="T1072" s="972">
        <v>6236.1091666666671</v>
      </c>
    </row>
    <row r="1073" spans="1:20">
      <c r="A1073" s="962" t="s">
        <v>409</v>
      </c>
      <c r="B1073" s="972">
        <v>4688.0649999999996</v>
      </c>
      <c r="C1073" s="972">
        <v>1049.4549999999999</v>
      </c>
      <c r="D1073" s="972">
        <v>2.1789999999999998</v>
      </c>
      <c r="E1073" s="972">
        <v>130.54300000000001</v>
      </c>
      <c r="F1073" s="972">
        <v>7.548</v>
      </c>
      <c r="G1073" s="972">
        <v>0.16900000000000001</v>
      </c>
      <c r="H1073" s="972">
        <v>0</v>
      </c>
      <c r="I1073" s="972">
        <v>58.765000000000001</v>
      </c>
      <c r="J1073" s="972">
        <v>33.318999999999996</v>
      </c>
      <c r="K1073" s="972">
        <v>0</v>
      </c>
      <c r="L1073" s="972">
        <v>1.7050000000000001</v>
      </c>
      <c r="M1073" s="972">
        <v>0</v>
      </c>
      <c r="N1073" s="972">
        <v>5.5309999999999997</v>
      </c>
      <c r="O1073" s="972">
        <v>107.035</v>
      </c>
      <c r="P1073" s="972">
        <v>161.52600000000001</v>
      </c>
      <c r="Q1073" s="972">
        <v>4419.5039999999999</v>
      </c>
      <c r="R1073" s="962">
        <v>184</v>
      </c>
      <c r="S1073" s="962" t="s">
        <v>4940</v>
      </c>
      <c r="T1073" s="972">
        <v>1110.3608333333334</v>
      </c>
    </row>
    <row r="1074" spans="1:20">
      <c r="A1074" s="962" t="s">
        <v>3996</v>
      </c>
      <c r="B1074" s="972">
        <v>75438.648000000001</v>
      </c>
      <c r="C1074" s="972">
        <v>39023.385000000002</v>
      </c>
      <c r="D1074" s="972">
        <v>51.274999999999999</v>
      </c>
      <c r="E1074" s="972">
        <v>2355.7159999999999</v>
      </c>
      <c r="F1074" s="972">
        <v>157.35300000000001</v>
      </c>
      <c r="G1074" s="972">
        <v>2.7149999999999999</v>
      </c>
      <c r="H1074" s="972">
        <v>2.117</v>
      </c>
      <c r="I1074" s="972">
        <v>614.04999999999995</v>
      </c>
      <c r="J1074" s="972">
        <v>410.892</v>
      </c>
      <c r="K1074" s="972">
        <v>87.543999999999997</v>
      </c>
      <c r="L1074" s="972">
        <v>9.8680000000000003</v>
      </c>
      <c r="M1074" s="972">
        <v>0</v>
      </c>
      <c r="N1074" s="972">
        <v>16.462</v>
      </c>
      <c r="O1074" s="972">
        <v>1300.999</v>
      </c>
      <c r="P1074" s="972">
        <v>2499.2669999999998</v>
      </c>
      <c r="Q1074" s="972">
        <v>71638.381999999998</v>
      </c>
      <c r="R1074" s="962">
        <v>7964</v>
      </c>
      <c r="S1074" s="962" t="s">
        <v>4940</v>
      </c>
      <c r="T1074" s="972">
        <v>16976.610499999995</v>
      </c>
    </row>
    <row r="1075" spans="1:20">
      <c r="A1075" s="962" t="s">
        <v>3998</v>
      </c>
      <c r="B1075" s="972">
        <v>13032.61</v>
      </c>
      <c r="C1075" s="972">
        <v>992.92600000000004</v>
      </c>
      <c r="D1075" s="972">
        <v>1.5349999999999999</v>
      </c>
      <c r="E1075" s="972">
        <v>316.26499999999999</v>
      </c>
      <c r="F1075" s="972">
        <v>15.888999999999999</v>
      </c>
      <c r="G1075" s="972">
        <v>0.51300000000000001</v>
      </c>
      <c r="H1075" s="972">
        <v>0</v>
      </c>
      <c r="I1075" s="972">
        <v>182.72200000000001</v>
      </c>
      <c r="J1075" s="972">
        <v>55.460999999999999</v>
      </c>
      <c r="K1075" s="972">
        <v>0</v>
      </c>
      <c r="L1075" s="972">
        <v>2.044</v>
      </c>
      <c r="M1075" s="972">
        <v>0</v>
      </c>
      <c r="N1075" s="972">
        <v>0</v>
      </c>
      <c r="O1075" s="972">
        <v>256.63</v>
      </c>
      <c r="P1075" s="972">
        <v>378.49</v>
      </c>
      <c r="Q1075" s="972">
        <v>12397.491</v>
      </c>
      <c r="R1075" s="962">
        <v>2250</v>
      </c>
      <c r="S1075" s="962" t="s">
        <v>4940</v>
      </c>
      <c r="T1075" s="972">
        <v>4237.8874999999998</v>
      </c>
    </row>
    <row r="1076" spans="1:20">
      <c r="A1076" s="962" t="s">
        <v>6030</v>
      </c>
      <c r="B1076" s="972">
        <v>31112.232</v>
      </c>
      <c r="C1076" s="972">
        <v>1621.885</v>
      </c>
      <c r="D1076" s="972">
        <v>3.3940000000000001</v>
      </c>
      <c r="E1076" s="972">
        <v>489.87599999999998</v>
      </c>
      <c r="F1076" s="972">
        <v>48.817</v>
      </c>
      <c r="G1076" s="972">
        <v>0.35</v>
      </c>
      <c r="H1076" s="972">
        <v>0</v>
      </c>
      <c r="I1076" s="972">
        <v>447.85500000000002</v>
      </c>
      <c r="J1076" s="972">
        <v>170.34200000000001</v>
      </c>
      <c r="K1076" s="972">
        <v>0</v>
      </c>
      <c r="L1076" s="972">
        <v>1.9930000000000001</v>
      </c>
      <c r="M1076" s="972">
        <v>0</v>
      </c>
      <c r="N1076" s="972">
        <v>12.852</v>
      </c>
      <c r="O1076" s="972">
        <v>682.20799999999997</v>
      </c>
      <c r="P1076" s="972">
        <v>1140.0509999999999</v>
      </c>
      <c r="Q1076" s="972">
        <v>29289.973000000002</v>
      </c>
      <c r="R1076" s="962">
        <v>4267</v>
      </c>
      <c r="S1076" s="962" t="s">
        <v>4940</v>
      </c>
      <c r="T1076" s="972">
        <v>8701.2066666666669</v>
      </c>
    </row>
    <row r="1077" spans="1:20">
      <c r="A1077" s="962" t="s">
        <v>3002</v>
      </c>
      <c r="B1077" s="972">
        <v>30550.004000000001</v>
      </c>
      <c r="C1077" s="972">
        <v>3017.3470000000002</v>
      </c>
      <c r="D1077" s="972">
        <v>4.0819999999999999</v>
      </c>
      <c r="E1077" s="972">
        <v>240.59700000000001</v>
      </c>
      <c r="F1077" s="972">
        <v>41.698999999999998</v>
      </c>
      <c r="G1077" s="972">
        <v>0.48399999999999999</v>
      </c>
      <c r="H1077" s="972">
        <v>0</v>
      </c>
      <c r="I1077" s="972">
        <v>586.53099999999995</v>
      </c>
      <c r="J1077" s="972">
        <v>239.95800000000003</v>
      </c>
      <c r="K1077" s="972">
        <v>0</v>
      </c>
      <c r="L1077" s="972">
        <v>4.5810000000000004</v>
      </c>
      <c r="M1077" s="972">
        <v>0</v>
      </c>
      <c r="N1077" s="972">
        <v>22.024000000000001</v>
      </c>
      <c r="O1077" s="972">
        <v>895.274</v>
      </c>
      <c r="P1077" s="972">
        <v>1341.9010000000001</v>
      </c>
      <c r="Q1077" s="972">
        <v>28312.829000000002</v>
      </c>
      <c r="R1077" s="962">
        <v>2390</v>
      </c>
      <c r="S1077" s="962" t="s">
        <v>4940</v>
      </c>
      <c r="T1077" s="972">
        <v>8865.5881666666683</v>
      </c>
    </row>
    <row r="1078" spans="1:20">
      <c r="A1078" s="962" t="s">
        <v>2986</v>
      </c>
      <c r="B1078" s="972">
        <v>2845.373</v>
      </c>
      <c r="C1078" s="972">
        <v>468.46100000000001</v>
      </c>
      <c r="D1078" s="972">
        <v>1.1639999999999999</v>
      </c>
      <c r="E1078" s="972">
        <v>38.100999999999999</v>
      </c>
      <c r="F1078" s="972">
        <v>4.6399999999999997</v>
      </c>
      <c r="G1078" s="972">
        <v>1.7000000000000001E-2</v>
      </c>
      <c r="H1078" s="972">
        <v>0</v>
      </c>
      <c r="I1078" s="972">
        <v>68.477999999999994</v>
      </c>
      <c r="J1078" s="972">
        <v>14.817</v>
      </c>
      <c r="K1078" s="972">
        <v>0</v>
      </c>
      <c r="L1078" s="972">
        <v>1.629</v>
      </c>
      <c r="M1078" s="972">
        <v>0</v>
      </c>
      <c r="N1078" s="972">
        <v>0</v>
      </c>
      <c r="O1078" s="972">
        <v>89.581000000000003</v>
      </c>
      <c r="P1078" s="972">
        <v>120.458</v>
      </c>
      <c r="Q1078" s="972">
        <v>2635.3339999999998</v>
      </c>
      <c r="R1078" s="962">
        <v>176</v>
      </c>
      <c r="S1078" s="962" t="s">
        <v>4940</v>
      </c>
      <c r="T1078" s="972">
        <v>640.98950000000002</v>
      </c>
    </row>
    <row r="1079" spans="1:20">
      <c r="A1079" s="962" t="s">
        <v>246</v>
      </c>
      <c r="B1079" s="972">
        <v>14176.243</v>
      </c>
      <c r="C1079" s="972">
        <v>1382.0340000000001</v>
      </c>
      <c r="D1079" s="972">
        <v>1.8049999999999999</v>
      </c>
      <c r="E1079" s="972">
        <v>242.613</v>
      </c>
      <c r="F1079" s="972">
        <v>24.98</v>
      </c>
      <c r="G1079" s="972">
        <v>0.68600000000000005</v>
      </c>
      <c r="H1079" s="972">
        <v>0</v>
      </c>
      <c r="I1079" s="972">
        <v>216.59800000000001</v>
      </c>
      <c r="J1079" s="972">
        <v>108.24600000000001</v>
      </c>
      <c r="K1079" s="972">
        <v>0</v>
      </c>
      <c r="L1079" s="972">
        <v>0</v>
      </c>
      <c r="M1079" s="972">
        <v>0</v>
      </c>
      <c r="N1079" s="972">
        <v>20.497</v>
      </c>
      <c r="O1079" s="972">
        <v>371.00799999999998</v>
      </c>
      <c r="P1079" s="972">
        <v>576.13400000000001</v>
      </c>
      <c r="Q1079" s="972">
        <v>13229.101000000001</v>
      </c>
      <c r="R1079" s="962">
        <v>923</v>
      </c>
      <c r="S1079" s="962" t="s">
        <v>4940</v>
      </c>
      <c r="T1079" s="972">
        <v>3896.1336666666666</v>
      </c>
    </row>
    <row r="1080" spans="1:20">
      <c r="A1080" s="962" t="s">
        <v>6032</v>
      </c>
      <c r="B1080" s="972">
        <v>2985.1550000000002</v>
      </c>
      <c r="C1080" s="972">
        <v>144.35</v>
      </c>
      <c r="D1080" s="972">
        <v>0.53700000000000003</v>
      </c>
      <c r="E1080" s="972">
        <v>15.34</v>
      </c>
      <c r="F1080" s="972">
        <v>3.6930000000000001</v>
      </c>
      <c r="G1080" s="972">
        <v>0.16700000000000001</v>
      </c>
      <c r="H1080" s="972">
        <v>0</v>
      </c>
      <c r="I1080" s="972">
        <v>78.171000000000006</v>
      </c>
      <c r="J1080" s="972">
        <v>14.401</v>
      </c>
      <c r="K1080" s="972">
        <v>0</v>
      </c>
      <c r="L1080" s="972">
        <v>0</v>
      </c>
      <c r="M1080" s="972">
        <v>0</v>
      </c>
      <c r="N1080" s="972">
        <v>7.8390000000000004</v>
      </c>
      <c r="O1080" s="972">
        <v>104.27200000000001</v>
      </c>
      <c r="P1080" s="972">
        <v>117.533</v>
      </c>
      <c r="Q1080" s="972">
        <v>2763.3510000000001</v>
      </c>
      <c r="R1080" s="962">
        <v>270</v>
      </c>
      <c r="S1080" s="962" t="s">
        <v>4940</v>
      </c>
      <c r="T1080" s="972">
        <v>904.50383333333332</v>
      </c>
    </row>
    <row r="1081" spans="1:20">
      <c r="A1081" s="962" t="s">
        <v>946</v>
      </c>
      <c r="B1081" s="972">
        <v>5412.4979999999996</v>
      </c>
      <c r="C1081" s="972">
        <v>191.255</v>
      </c>
      <c r="D1081" s="972">
        <v>1.962</v>
      </c>
      <c r="E1081" s="972">
        <v>128.74700000000001</v>
      </c>
      <c r="F1081" s="972">
        <v>7.1680000000000001</v>
      </c>
      <c r="G1081" s="972">
        <v>0.55200000000000005</v>
      </c>
      <c r="H1081" s="972">
        <v>0</v>
      </c>
      <c r="I1081" s="972">
        <v>73.198999999999998</v>
      </c>
      <c r="J1081" s="972">
        <v>49.196000000000005</v>
      </c>
      <c r="K1081" s="972">
        <v>0</v>
      </c>
      <c r="L1081" s="972">
        <v>0</v>
      </c>
      <c r="M1081" s="972">
        <v>0</v>
      </c>
      <c r="N1081" s="972">
        <v>3.0219999999999998</v>
      </c>
      <c r="O1081" s="972">
        <v>133.136</v>
      </c>
      <c r="P1081" s="972">
        <v>306.74299999999999</v>
      </c>
      <c r="Q1081" s="972">
        <v>4972.6189999999997</v>
      </c>
      <c r="R1081" s="962">
        <v>452</v>
      </c>
      <c r="S1081" s="962" t="s">
        <v>4940</v>
      </c>
      <c r="T1081" s="972">
        <v>1562.2358333333332</v>
      </c>
    </row>
    <row r="1082" spans="1:20">
      <c r="A1082" s="962" t="s">
        <v>1875</v>
      </c>
      <c r="B1082" s="972">
        <v>19879.955000000002</v>
      </c>
      <c r="C1082" s="972">
        <v>2113.9549999999999</v>
      </c>
      <c r="D1082" s="972">
        <v>6.3339999999999996</v>
      </c>
      <c r="E1082" s="972">
        <v>463.07900000000001</v>
      </c>
      <c r="F1082" s="972">
        <v>30.468</v>
      </c>
      <c r="G1082" s="972">
        <v>1.4</v>
      </c>
      <c r="H1082" s="972">
        <v>0.107</v>
      </c>
      <c r="I1082" s="972">
        <v>339.34800000000001</v>
      </c>
      <c r="J1082" s="972">
        <v>149.50800000000001</v>
      </c>
      <c r="K1082" s="972">
        <v>0</v>
      </c>
      <c r="L1082" s="972">
        <v>0.20699999999999999</v>
      </c>
      <c r="M1082" s="972">
        <v>0</v>
      </c>
      <c r="N1082" s="972">
        <v>1.7</v>
      </c>
      <c r="O1082" s="972">
        <v>522.73800000000006</v>
      </c>
      <c r="P1082" s="972">
        <v>603.60900000000004</v>
      </c>
      <c r="Q1082" s="972">
        <v>18753.608</v>
      </c>
      <c r="R1082" s="962">
        <v>1589</v>
      </c>
      <c r="S1082" s="962" t="s">
        <v>4940</v>
      </c>
      <c r="T1082" s="972">
        <v>5750.6911666666665</v>
      </c>
    </row>
    <row r="1083" spans="1:20">
      <c r="A1083" s="962" t="s">
        <v>6682</v>
      </c>
      <c r="B1083" s="972">
        <v>3338.7</v>
      </c>
      <c r="C1083" s="972">
        <v>978.745</v>
      </c>
      <c r="D1083" s="972">
        <v>0.997</v>
      </c>
      <c r="E1083" s="972">
        <v>40.473999999999997</v>
      </c>
      <c r="F1083" s="972">
        <v>5.0419999999999998</v>
      </c>
      <c r="G1083" s="972">
        <v>0.252</v>
      </c>
      <c r="H1083" s="972">
        <v>0</v>
      </c>
      <c r="I1083" s="972">
        <v>45.976999999999997</v>
      </c>
      <c r="J1083" s="972">
        <v>22.353000000000002</v>
      </c>
      <c r="K1083" s="972">
        <v>0</v>
      </c>
      <c r="L1083" s="972">
        <v>0</v>
      </c>
      <c r="M1083" s="972">
        <v>0</v>
      </c>
      <c r="N1083" s="972">
        <v>0</v>
      </c>
      <c r="O1083" s="972">
        <v>73.623999999999995</v>
      </c>
      <c r="P1083" s="972">
        <v>95.561000000000007</v>
      </c>
      <c r="Q1083" s="972">
        <v>3169.5149999999999</v>
      </c>
      <c r="R1083" s="962">
        <v>215</v>
      </c>
      <c r="S1083" s="962" t="s">
        <v>4940</v>
      </c>
      <c r="T1083" s="972">
        <v>770.13216666666665</v>
      </c>
    </row>
    <row r="1084" spans="1:20">
      <c r="A1084" s="962" t="s">
        <v>4002</v>
      </c>
      <c r="B1084" s="972">
        <v>15664.875</v>
      </c>
      <c r="C1084" s="972">
        <v>1023.562</v>
      </c>
      <c r="D1084" s="972">
        <v>4.6440000000000001</v>
      </c>
      <c r="E1084" s="972">
        <v>34.936</v>
      </c>
      <c r="F1084" s="972">
        <v>25.11</v>
      </c>
      <c r="G1084" s="972">
        <v>0.35899999999999999</v>
      </c>
      <c r="H1084" s="972">
        <v>0</v>
      </c>
      <c r="I1084" s="972">
        <v>342.21499999999997</v>
      </c>
      <c r="J1084" s="972">
        <v>78.460999999999999</v>
      </c>
      <c r="K1084" s="972">
        <v>1.6E-2</v>
      </c>
      <c r="L1084" s="972">
        <v>0</v>
      </c>
      <c r="M1084" s="972">
        <v>0</v>
      </c>
      <c r="N1084" s="972">
        <v>9.9000000000000005E-2</v>
      </c>
      <c r="O1084" s="972">
        <v>446.25799999999998</v>
      </c>
      <c r="P1084" s="972">
        <v>459.64499999999998</v>
      </c>
      <c r="Q1084" s="972">
        <v>14758.972</v>
      </c>
      <c r="R1084" s="962">
        <v>945</v>
      </c>
      <c r="S1084" s="962" t="s">
        <v>4940</v>
      </c>
      <c r="T1084" s="972">
        <v>4063.4245000000005</v>
      </c>
    </row>
    <row r="1085" spans="1:20">
      <c r="A1085" s="962" t="s">
        <v>6681</v>
      </c>
      <c r="B1085" s="972">
        <v>7346.1270000000004</v>
      </c>
      <c r="C1085" s="972">
        <v>40.960999999999999</v>
      </c>
      <c r="D1085" s="972">
        <v>0</v>
      </c>
      <c r="E1085" s="972">
        <v>25.108000000000001</v>
      </c>
      <c r="F1085" s="972">
        <v>13.977</v>
      </c>
      <c r="G1085" s="972">
        <v>0.51800000000000002</v>
      </c>
      <c r="H1085" s="972">
        <v>0</v>
      </c>
      <c r="I1085" s="972">
        <v>206.488</v>
      </c>
      <c r="J1085" s="972">
        <v>51.007000000000005</v>
      </c>
      <c r="K1085" s="972">
        <v>0</v>
      </c>
      <c r="L1085" s="972">
        <v>0.72</v>
      </c>
      <c r="M1085" s="972">
        <v>0</v>
      </c>
      <c r="N1085" s="972">
        <v>0</v>
      </c>
      <c r="O1085" s="972">
        <v>272.709</v>
      </c>
      <c r="P1085" s="972">
        <v>165.05</v>
      </c>
      <c r="Q1085" s="972">
        <v>6908.3689999999997</v>
      </c>
      <c r="R1085" s="962">
        <v>1693</v>
      </c>
      <c r="S1085" s="962" t="s">
        <v>4940</v>
      </c>
      <c r="T1085" s="972">
        <v>2387.6943333333334</v>
      </c>
    </row>
    <row r="1086" spans="1:20">
      <c r="A1086" s="962" t="s">
        <v>857</v>
      </c>
      <c r="B1086" s="972">
        <v>5754.67</v>
      </c>
      <c r="C1086" s="972">
        <v>441.47500000000002</v>
      </c>
      <c r="D1086" s="972">
        <v>3.0030000000000001</v>
      </c>
      <c r="E1086" s="972">
        <v>140.273</v>
      </c>
      <c r="F1086" s="972">
        <v>12.385</v>
      </c>
      <c r="G1086" s="972">
        <v>1.6E-2</v>
      </c>
      <c r="H1086" s="972">
        <v>0</v>
      </c>
      <c r="I1086" s="972">
        <v>77.718999999999994</v>
      </c>
      <c r="J1086" s="972">
        <v>39.01</v>
      </c>
      <c r="K1086" s="972">
        <v>0</v>
      </c>
      <c r="L1086" s="972">
        <v>0.84199999999999997</v>
      </c>
      <c r="M1086" s="972">
        <v>0</v>
      </c>
      <c r="N1086" s="972">
        <v>0</v>
      </c>
      <c r="O1086" s="972">
        <v>129.97200000000001</v>
      </c>
      <c r="P1086" s="972">
        <v>159.78899999999999</v>
      </c>
      <c r="Q1086" s="972">
        <v>5464.9089999999997</v>
      </c>
      <c r="R1086" s="962">
        <v>562</v>
      </c>
      <c r="S1086" s="962" t="s">
        <v>4940</v>
      </c>
      <c r="T1086" s="972">
        <v>1492.0720000000001</v>
      </c>
    </row>
    <row r="1087" spans="1:20">
      <c r="A1087" s="962" t="s">
        <v>4004</v>
      </c>
      <c r="B1087" s="972">
        <v>5835.3770000000004</v>
      </c>
      <c r="C1087" s="972">
        <v>1062.095</v>
      </c>
      <c r="D1087" s="972">
        <v>1.7709999999999999</v>
      </c>
      <c r="E1087" s="972">
        <v>153.124</v>
      </c>
      <c r="F1087" s="972">
        <v>2.6160000000000001</v>
      </c>
      <c r="G1087" s="972">
        <v>0.19400000000000001</v>
      </c>
      <c r="H1087" s="972">
        <v>2.4</v>
      </c>
      <c r="I1087" s="972">
        <v>123.681</v>
      </c>
      <c r="J1087" s="972">
        <v>10.68</v>
      </c>
      <c r="K1087" s="972">
        <v>0</v>
      </c>
      <c r="L1087" s="972">
        <v>0</v>
      </c>
      <c r="M1087" s="972">
        <v>0</v>
      </c>
      <c r="N1087" s="972">
        <v>3.8879999999999999</v>
      </c>
      <c r="O1087" s="972">
        <v>143.458</v>
      </c>
      <c r="P1087" s="972">
        <v>0</v>
      </c>
      <c r="Q1087" s="972">
        <v>5691.92</v>
      </c>
      <c r="R1087" s="962">
        <v>0</v>
      </c>
      <c r="S1087" s="962" t="s">
        <v>4940</v>
      </c>
      <c r="T1087" s="972">
        <v>3043.4789999999998</v>
      </c>
    </row>
    <row r="1088" spans="1:20">
      <c r="A1088" s="962" t="s">
        <v>4006</v>
      </c>
      <c r="B1088" s="972">
        <v>15577.063</v>
      </c>
      <c r="C1088" s="972">
        <v>504.74200000000002</v>
      </c>
      <c r="D1088" s="972">
        <v>7.3979999999999997</v>
      </c>
      <c r="E1088" s="972">
        <v>226.13399999999999</v>
      </c>
      <c r="F1088" s="972">
        <v>31.643000000000001</v>
      </c>
      <c r="G1088" s="972">
        <v>0.35599999999999998</v>
      </c>
      <c r="H1088" s="972">
        <v>5.96</v>
      </c>
      <c r="I1088" s="972">
        <v>417.33199999999999</v>
      </c>
      <c r="J1088" s="972">
        <v>314.10699999999997</v>
      </c>
      <c r="K1088" s="972">
        <v>0</v>
      </c>
      <c r="L1088" s="972">
        <v>38.520000000000003</v>
      </c>
      <c r="M1088" s="972">
        <v>0</v>
      </c>
      <c r="N1088" s="972">
        <v>33.972999999999999</v>
      </c>
      <c r="O1088" s="972">
        <v>841.89</v>
      </c>
      <c r="P1088" s="972">
        <v>581.73199999999997</v>
      </c>
      <c r="Q1088" s="972">
        <v>14153.441000000001</v>
      </c>
      <c r="R1088" s="962">
        <v>980</v>
      </c>
      <c r="S1088" s="962" t="s">
        <v>4940</v>
      </c>
      <c r="T1088" s="972">
        <v>4023.0928333333336</v>
      </c>
    </row>
    <row r="1089" spans="1:20">
      <c r="A1089" s="962" t="s">
        <v>4008</v>
      </c>
      <c r="B1089" s="972">
        <v>1057.9690000000001</v>
      </c>
      <c r="C1089" s="972">
        <v>10.683</v>
      </c>
      <c r="D1089" s="972">
        <v>0.22700000000000001</v>
      </c>
      <c r="E1089" s="972">
        <v>71.459999999999994</v>
      </c>
      <c r="F1089" s="972">
        <v>1.879</v>
      </c>
      <c r="G1089" s="972">
        <v>0</v>
      </c>
      <c r="H1089" s="972">
        <v>0</v>
      </c>
      <c r="I1089" s="972">
        <v>12.321</v>
      </c>
      <c r="J1089" s="972">
        <v>7.8920000000000003</v>
      </c>
      <c r="K1089" s="972">
        <v>0</v>
      </c>
      <c r="L1089" s="972">
        <v>0</v>
      </c>
      <c r="M1089" s="972">
        <v>0</v>
      </c>
      <c r="N1089" s="972">
        <v>0</v>
      </c>
      <c r="O1089" s="972">
        <v>22.091000000000001</v>
      </c>
      <c r="P1089" s="972">
        <v>59.61</v>
      </c>
      <c r="Q1089" s="972">
        <v>976.26800000000003</v>
      </c>
      <c r="R1089" s="962">
        <v>95</v>
      </c>
      <c r="S1089" s="962" t="s">
        <v>4940</v>
      </c>
      <c r="T1089" s="972">
        <v>294.87549999999999</v>
      </c>
    </row>
    <row r="1090" spans="1:20">
      <c r="A1090" s="962" t="s">
        <v>4010</v>
      </c>
      <c r="B1090" s="972">
        <v>180.65199999999999</v>
      </c>
      <c r="C1090" s="972">
        <v>2.9249999999999998</v>
      </c>
      <c r="D1090" s="972">
        <v>0</v>
      </c>
      <c r="E1090" s="972">
        <v>5.1740000000000004</v>
      </c>
      <c r="F1090" s="972">
        <v>0.13100000000000001</v>
      </c>
      <c r="G1090" s="972">
        <v>0</v>
      </c>
      <c r="H1090" s="972">
        <v>0</v>
      </c>
      <c r="I1090" s="972">
        <v>2.7629999999999999</v>
      </c>
      <c r="J1090" s="972">
        <v>0.23799999999999999</v>
      </c>
      <c r="K1090" s="972">
        <v>0</v>
      </c>
      <c r="L1090" s="972">
        <v>0</v>
      </c>
      <c r="M1090" s="972">
        <v>0</v>
      </c>
      <c r="N1090" s="972">
        <v>0</v>
      </c>
      <c r="O1090" s="972">
        <v>3.1320000000000001</v>
      </c>
      <c r="P1090" s="972">
        <v>9.391</v>
      </c>
      <c r="Q1090" s="972">
        <v>168.12899999999999</v>
      </c>
      <c r="R1090" s="962">
        <v>7</v>
      </c>
      <c r="S1090" s="962" t="s">
        <v>4940</v>
      </c>
      <c r="T1090" s="972">
        <v>52.468833333333329</v>
      </c>
    </row>
    <row r="1091" spans="1:20">
      <c r="A1091" s="962" t="s">
        <v>4012</v>
      </c>
      <c r="B1091" s="972">
        <v>971.81500000000005</v>
      </c>
      <c r="C1091" s="972">
        <v>2.9489999999999998</v>
      </c>
      <c r="D1091" s="972">
        <v>6.5000000000000002E-2</v>
      </c>
      <c r="E1091" s="972">
        <v>33.15</v>
      </c>
      <c r="F1091" s="972">
        <v>1.0189999999999999</v>
      </c>
      <c r="G1091" s="972">
        <v>0</v>
      </c>
      <c r="H1091" s="972">
        <v>0</v>
      </c>
      <c r="I1091" s="972">
        <v>16.670000000000002</v>
      </c>
      <c r="J1091" s="972">
        <v>2.2970000000000002</v>
      </c>
      <c r="K1091" s="972">
        <v>0</v>
      </c>
      <c r="L1091" s="972">
        <v>0</v>
      </c>
      <c r="M1091" s="972">
        <v>0</v>
      </c>
      <c r="N1091" s="972">
        <v>0.64400000000000002</v>
      </c>
      <c r="O1091" s="972">
        <v>20.628</v>
      </c>
      <c r="P1091" s="972">
        <v>69.972999999999999</v>
      </c>
      <c r="Q1091" s="972">
        <v>881.21400000000006</v>
      </c>
      <c r="R1091" s="962">
        <v>87</v>
      </c>
      <c r="S1091" s="962" t="s">
        <v>4940</v>
      </c>
      <c r="T1091" s="972">
        <v>308.54349999999999</v>
      </c>
    </row>
    <row r="1092" spans="1:20">
      <c r="A1092" s="962" t="s">
        <v>4014</v>
      </c>
      <c r="B1092" s="972">
        <v>3168.4540000000002</v>
      </c>
      <c r="C1092" s="972">
        <v>14.756</v>
      </c>
      <c r="D1092" s="972">
        <v>0</v>
      </c>
      <c r="E1092" s="972">
        <v>85.451999999999998</v>
      </c>
      <c r="F1092" s="972">
        <v>3.4249999999999998</v>
      </c>
      <c r="G1092" s="972">
        <v>0.153</v>
      </c>
      <c r="H1092" s="972">
        <v>0</v>
      </c>
      <c r="I1092" s="972">
        <v>30.63</v>
      </c>
      <c r="J1092" s="972">
        <v>21.074999999999999</v>
      </c>
      <c r="K1092" s="972">
        <v>0</v>
      </c>
      <c r="L1092" s="972">
        <v>0.90600000000000003</v>
      </c>
      <c r="M1092" s="972">
        <v>0</v>
      </c>
      <c r="N1092" s="972">
        <v>1.254</v>
      </c>
      <c r="O1092" s="972">
        <v>57.442</v>
      </c>
      <c r="P1092" s="972">
        <v>178.39</v>
      </c>
      <c r="Q1092" s="972">
        <v>2932.623</v>
      </c>
      <c r="R1092" s="962">
        <v>101</v>
      </c>
      <c r="S1092" s="962" t="s">
        <v>4940</v>
      </c>
      <c r="T1092" s="972">
        <v>883.8271666666667</v>
      </c>
    </row>
    <row r="1093" spans="1:20">
      <c r="A1093" s="962" t="s">
        <v>4015</v>
      </c>
      <c r="B1093" s="972">
        <v>123.96</v>
      </c>
      <c r="C1093" s="972">
        <v>0.79800000000000004</v>
      </c>
      <c r="D1093" s="972">
        <v>0</v>
      </c>
      <c r="E1093" s="972">
        <v>0.56599999999999995</v>
      </c>
      <c r="F1093" s="972">
        <v>0.11600000000000001</v>
      </c>
      <c r="G1093" s="972">
        <v>0</v>
      </c>
      <c r="H1093" s="972">
        <v>0</v>
      </c>
      <c r="I1093" s="972">
        <v>3.5</v>
      </c>
      <c r="J1093" s="972">
        <v>0.76700000000000002</v>
      </c>
      <c r="K1093" s="972">
        <v>0</v>
      </c>
      <c r="L1093" s="972">
        <v>0</v>
      </c>
      <c r="M1093" s="972">
        <v>0</v>
      </c>
      <c r="N1093" s="972">
        <v>0</v>
      </c>
      <c r="O1093" s="972">
        <v>4.3819999999999997</v>
      </c>
      <c r="P1093" s="972">
        <v>11.298</v>
      </c>
      <c r="Q1093" s="972">
        <v>108.28</v>
      </c>
      <c r="R1093" s="962">
        <v>2</v>
      </c>
      <c r="S1093" s="962" t="s">
        <v>4940</v>
      </c>
      <c r="T1093" s="972">
        <v>38.797833333333337</v>
      </c>
    </row>
    <row r="1094" spans="1:20">
      <c r="A1094" s="962" t="s">
        <v>6120</v>
      </c>
      <c r="B1094" s="972">
        <v>1733.3219999999999</v>
      </c>
      <c r="C1094" s="972">
        <v>97.103999999999999</v>
      </c>
      <c r="D1094" s="972">
        <v>1.5289999999999999</v>
      </c>
      <c r="E1094" s="972">
        <v>58.037999999999997</v>
      </c>
      <c r="F1094" s="972">
        <v>2.4119999999999999</v>
      </c>
      <c r="G1094" s="972">
        <v>0</v>
      </c>
      <c r="H1094" s="972">
        <v>0</v>
      </c>
      <c r="I1094" s="972">
        <v>17.372</v>
      </c>
      <c r="J1094" s="972">
        <v>9.5250000000000004</v>
      </c>
      <c r="K1094" s="972">
        <v>0</v>
      </c>
      <c r="L1094" s="972">
        <v>0</v>
      </c>
      <c r="M1094" s="972">
        <v>0</v>
      </c>
      <c r="N1094" s="972">
        <v>0</v>
      </c>
      <c r="O1094" s="972">
        <v>29.308</v>
      </c>
      <c r="P1094" s="972">
        <v>101.58</v>
      </c>
      <c r="Q1094" s="972">
        <v>1602.434</v>
      </c>
      <c r="R1094" s="962">
        <v>131</v>
      </c>
      <c r="S1094" s="962" t="s">
        <v>3902</v>
      </c>
      <c r="T1094" s="972">
        <v>413.17424999999997</v>
      </c>
    </row>
    <row r="1095" spans="1:20">
      <c r="A1095" s="962" t="s">
        <v>6679</v>
      </c>
      <c r="B1095" s="972">
        <v>272.71699999999998</v>
      </c>
      <c r="C1095" s="972">
        <v>14.930999999999999</v>
      </c>
      <c r="D1095" s="972">
        <v>0.42399999999999999</v>
      </c>
      <c r="E1095" s="972">
        <v>7.85</v>
      </c>
      <c r="F1095" s="972">
        <v>0.21099999999999999</v>
      </c>
      <c r="G1095" s="972">
        <v>0</v>
      </c>
      <c r="H1095" s="972">
        <v>0</v>
      </c>
      <c r="I1095" s="972">
        <v>2.8919999999999999</v>
      </c>
      <c r="J1095" s="972">
        <v>0.441</v>
      </c>
      <c r="K1095" s="972">
        <v>0</v>
      </c>
      <c r="L1095" s="972">
        <v>0</v>
      </c>
      <c r="M1095" s="972">
        <v>0</v>
      </c>
      <c r="N1095" s="972">
        <v>0</v>
      </c>
      <c r="O1095" s="972">
        <v>3.5430000000000001</v>
      </c>
      <c r="P1095" s="972">
        <v>12.706</v>
      </c>
      <c r="Q1095" s="972">
        <v>256.46800000000002</v>
      </c>
      <c r="R1095" s="962">
        <v>20</v>
      </c>
      <c r="S1095" s="962" t="s">
        <v>3902</v>
      </c>
      <c r="T1095" s="972">
        <v>71.966750000000005</v>
      </c>
    </row>
    <row r="1096" spans="1:20">
      <c r="A1096" s="962" t="s">
        <v>6122</v>
      </c>
      <c r="B1096" s="972">
        <v>219.35400000000001</v>
      </c>
      <c r="C1096" s="972">
        <v>18.338999999999999</v>
      </c>
      <c r="D1096" s="972">
        <v>0</v>
      </c>
      <c r="E1096" s="972">
        <v>5.6859999999999999</v>
      </c>
      <c r="F1096" s="972">
        <v>0.24399999999999999</v>
      </c>
      <c r="G1096" s="972">
        <v>0</v>
      </c>
      <c r="H1096" s="972">
        <v>0</v>
      </c>
      <c r="I1096" s="972">
        <v>1.367</v>
      </c>
      <c r="J1096" s="972">
        <v>0</v>
      </c>
      <c r="K1096" s="972">
        <v>0.624</v>
      </c>
      <c r="L1096" s="972">
        <v>0</v>
      </c>
      <c r="M1096" s="972">
        <v>0</v>
      </c>
      <c r="N1096" s="972">
        <v>0.93899999999999995</v>
      </c>
      <c r="O1096" s="972">
        <v>3.173</v>
      </c>
      <c r="P1096" s="972">
        <v>15.964</v>
      </c>
      <c r="Q1096" s="972">
        <v>200.21700000000001</v>
      </c>
      <c r="R1096" s="962">
        <v>5</v>
      </c>
      <c r="S1096" s="962" t="s">
        <v>3902</v>
      </c>
      <c r="T1096" s="972">
        <v>55.743250000000003</v>
      </c>
    </row>
    <row r="1097" spans="1:20">
      <c r="A1097" s="962" t="s">
        <v>1801</v>
      </c>
      <c r="B1097" s="972">
        <v>197.19</v>
      </c>
      <c r="C1097" s="972">
        <v>0</v>
      </c>
      <c r="D1097" s="972">
        <v>0</v>
      </c>
      <c r="E1097" s="972">
        <v>7.4489999999999998</v>
      </c>
      <c r="F1097" s="972">
        <v>0.19800000000000001</v>
      </c>
      <c r="G1097" s="972">
        <v>0</v>
      </c>
      <c r="H1097" s="972">
        <v>0</v>
      </c>
      <c r="I1097" s="972">
        <v>0.69499999999999995</v>
      </c>
      <c r="J1097" s="972">
        <v>0.877</v>
      </c>
      <c r="K1097" s="972">
        <v>0</v>
      </c>
      <c r="L1097" s="972">
        <v>0</v>
      </c>
      <c r="M1097" s="972">
        <v>0</v>
      </c>
      <c r="N1097" s="972">
        <v>0</v>
      </c>
      <c r="O1097" s="972">
        <v>1.77</v>
      </c>
      <c r="P1097" s="972">
        <v>21.681000000000001</v>
      </c>
      <c r="Q1097" s="972">
        <v>173.739</v>
      </c>
      <c r="R1097" s="962">
        <v>29</v>
      </c>
      <c r="S1097" s="962" t="s">
        <v>4940</v>
      </c>
      <c r="T1097" s="972">
        <v>65.987166666666653</v>
      </c>
    </row>
    <row r="1098" spans="1:20">
      <c r="A1098" s="962" t="s">
        <v>1803</v>
      </c>
      <c r="B1098" s="972">
        <v>92.947000000000003</v>
      </c>
      <c r="C1098" s="972">
        <v>0.94599999999999995</v>
      </c>
      <c r="D1098" s="972">
        <v>0</v>
      </c>
      <c r="E1098" s="972">
        <v>2.887</v>
      </c>
      <c r="F1098" s="972">
        <v>0.20899999999999999</v>
      </c>
      <c r="G1098" s="972">
        <v>0</v>
      </c>
      <c r="H1098" s="972">
        <v>0</v>
      </c>
      <c r="I1098" s="972">
        <v>3.4550000000000001</v>
      </c>
      <c r="J1098" s="972">
        <v>0.14500000000000002</v>
      </c>
      <c r="K1098" s="972">
        <v>0</v>
      </c>
      <c r="L1098" s="972">
        <v>0</v>
      </c>
      <c r="M1098" s="972">
        <v>0</v>
      </c>
      <c r="N1098" s="972">
        <v>0</v>
      </c>
      <c r="O1098" s="972">
        <v>3.8069999999999999</v>
      </c>
      <c r="P1098" s="972">
        <v>10.157</v>
      </c>
      <c r="Q1098" s="972">
        <v>78.983000000000004</v>
      </c>
      <c r="R1098" s="962">
        <v>4</v>
      </c>
      <c r="S1098" s="962" t="s">
        <v>4940</v>
      </c>
      <c r="T1098" s="972">
        <v>35.498666666666672</v>
      </c>
    </row>
    <row r="1099" spans="1:20">
      <c r="A1099" s="962" t="s">
        <v>1805</v>
      </c>
      <c r="B1099" s="972">
        <v>4846.3819999999996</v>
      </c>
      <c r="C1099" s="972">
        <v>1385.788</v>
      </c>
      <c r="D1099" s="972">
        <v>2.4900000000000002</v>
      </c>
      <c r="E1099" s="972">
        <v>150.65100000000001</v>
      </c>
      <c r="F1099" s="972">
        <v>8.4600000000000009</v>
      </c>
      <c r="G1099" s="972">
        <v>0.629</v>
      </c>
      <c r="H1099" s="972">
        <v>0</v>
      </c>
      <c r="I1099" s="972">
        <v>98.718999999999994</v>
      </c>
      <c r="J1099" s="972">
        <v>49.645000000000003</v>
      </c>
      <c r="K1099" s="972">
        <v>0</v>
      </c>
      <c r="L1099" s="972">
        <v>0.48399999999999999</v>
      </c>
      <c r="M1099" s="972">
        <v>0</v>
      </c>
      <c r="N1099" s="972">
        <v>0</v>
      </c>
      <c r="O1099" s="972">
        <v>157.93600000000001</v>
      </c>
      <c r="P1099" s="972">
        <v>361.02100000000002</v>
      </c>
      <c r="Q1099" s="972">
        <v>4327.4250000000002</v>
      </c>
      <c r="R1099" s="962">
        <v>274</v>
      </c>
      <c r="S1099" s="962" t="s">
        <v>4940</v>
      </c>
      <c r="T1099" s="972">
        <v>1313.7531666666666</v>
      </c>
    </row>
    <row r="1100" spans="1:20">
      <c r="A1100" s="962" t="s">
        <v>1807</v>
      </c>
      <c r="B1100" s="972">
        <v>151.352</v>
      </c>
      <c r="C1100" s="972">
        <v>73.444999999999993</v>
      </c>
      <c r="D1100" s="972">
        <v>0</v>
      </c>
      <c r="E1100" s="972">
        <v>5.6820000000000004</v>
      </c>
      <c r="F1100" s="972">
        <v>0.23</v>
      </c>
      <c r="G1100" s="972">
        <v>0</v>
      </c>
      <c r="H1100" s="972">
        <v>0</v>
      </c>
      <c r="I1100" s="972">
        <v>1.151</v>
      </c>
      <c r="J1100" s="972">
        <v>1.2310000000000001</v>
      </c>
      <c r="K1100" s="972">
        <v>0</v>
      </c>
      <c r="L1100" s="972">
        <v>0</v>
      </c>
      <c r="M1100" s="972">
        <v>0</v>
      </c>
      <c r="N1100" s="972">
        <v>0</v>
      </c>
      <c r="O1100" s="972">
        <v>2.6120000000000001</v>
      </c>
      <c r="P1100" s="972">
        <v>0</v>
      </c>
      <c r="Q1100" s="972">
        <v>148.74</v>
      </c>
      <c r="R1100" s="962">
        <v>3</v>
      </c>
      <c r="S1100" s="962" t="s">
        <v>4940</v>
      </c>
      <c r="T1100" s="972">
        <v>0</v>
      </c>
    </row>
    <row r="1101" spans="1:20">
      <c r="A1101" s="962" t="s">
        <v>5037</v>
      </c>
      <c r="B1101" s="972">
        <v>901.20299999999997</v>
      </c>
      <c r="C1101" s="972">
        <v>105.53100000000001</v>
      </c>
      <c r="D1101" s="972">
        <v>0</v>
      </c>
      <c r="E1101" s="972">
        <v>15.083</v>
      </c>
      <c r="F1101" s="972">
        <v>1.3</v>
      </c>
      <c r="G1101" s="972">
        <v>0</v>
      </c>
      <c r="H1101" s="972">
        <v>0</v>
      </c>
      <c r="I1101" s="972">
        <v>23.094999999999999</v>
      </c>
      <c r="J1101" s="972">
        <v>3.2679999999999998</v>
      </c>
      <c r="K1101" s="972">
        <v>0</v>
      </c>
      <c r="L1101" s="972">
        <v>0</v>
      </c>
      <c r="M1101" s="972">
        <v>0</v>
      </c>
      <c r="N1101" s="972">
        <v>0</v>
      </c>
      <c r="O1101" s="972">
        <v>27.664000000000001</v>
      </c>
      <c r="P1101" s="972">
        <v>112.688</v>
      </c>
      <c r="Q1101" s="972">
        <v>760.851</v>
      </c>
      <c r="R1101" s="962">
        <v>106</v>
      </c>
      <c r="S1101" s="962" t="s">
        <v>4940</v>
      </c>
      <c r="T1101" s="972">
        <v>318.06333333333333</v>
      </c>
    </row>
    <row r="1102" spans="1:20">
      <c r="A1102" s="962" t="s">
        <v>1809</v>
      </c>
      <c r="B1102" s="972">
        <v>426.66800000000001</v>
      </c>
      <c r="C1102" s="972">
        <v>84.572999999999993</v>
      </c>
      <c r="D1102" s="972">
        <v>0</v>
      </c>
      <c r="E1102" s="972">
        <v>2.54</v>
      </c>
      <c r="F1102" s="972">
        <v>0.41599999999999998</v>
      </c>
      <c r="G1102" s="972">
        <v>0</v>
      </c>
      <c r="H1102" s="972">
        <v>0</v>
      </c>
      <c r="I1102" s="972">
        <v>2.44</v>
      </c>
      <c r="J1102" s="972">
        <v>1.105</v>
      </c>
      <c r="K1102" s="972">
        <v>0</v>
      </c>
      <c r="L1102" s="972">
        <v>0</v>
      </c>
      <c r="M1102" s="972">
        <v>0</v>
      </c>
      <c r="N1102" s="972">
        <v>0</v>
      </c>
      <c r="O1102" s="972">
        <v>3.9609999999999999</v>
      </c>
      <c r="P1102" s="972">
        <v>0</v>
      </c>
      <c r="Q1102" s="972">
        <v>422.70699999999999</v>
      </c>
      <c r="R1102" s="962">
        <v>23</v>
      </c>
      <c r="S1102" s="962" t="s">
        <v>4940</v>
      </c>
      <c r="T1102" s="972">
        <v>0</v>
      </c>
    </row>
    <row r="1103" spans="1:20">
      <c r="A1103" s="962" t="s">
        <v>8015</v>
      </c>
      <c r="B1103" s="972">
        <v>709.46600000000001</v>
      </c>
      <c r="C1103" s="972">
        <v>4.4260000000000002</v>
      </c>
      <c r="D1103" s="972">
        <v>0</v>
      </c>
      <c r="E1103" s="972">
        <v>17.617999999999999</v>
      </c>
      <c r="F1103" s="972">
        <v>0.56599999999999995</v>
      </c>
      <c r="G1103" s="972">
        <v>0</v>
      </c>
      <c r="H1103" s="972">
        <v>0</v>
      </c>
      <c r="I1103" s="972">
        <v>10.19</v>
      </c>
      <c r="J1103" s="972">
        <v>0</v>
      </c>
      <c r="K1103" s="972">
        <v>0</v>
      </c>
      <c r="L1103" s="972">
        <v>0</v>
      </c>
      <c r="M1103" s="972">
        <v>0</v>
      </c>
      <c r="N1103" s="972">
        <v>0</v>
      </c>
      <c r="O1103" s="972">
        <v>10.755000000000001</v>
      </c>
      <c r="P1103" s="972">
        <v>11.432</v>
      </c>
      <c r="Q1103" s="972">
        <v>687.279</v>
      </c>
      <c r="R1103" s="962">
        <v>0</v>
      </c>
      <c r="S1103" s="962" t="s">
        <v>4940</v>
      </c>
      <c r="T1103" s="972">
        <v>122.86816666666668</v>
      </c>
    </row>
    <row r="1104" spans="1:20">
      <c r="A1104" s="962" t="s">
        <v>1697</v>
      </c>
      <c r="B1104" s="972">
        <v>430.76</v>
      </c>
      <c r="C1104" s="972">
        <v>3.5270000000000001</v>
      </c>
      <c r="D1104" s="972">
        <v>0</v>
      </c>
      <c r="E1104" s="972">
        <v>13.708</v>
      </c>
      <c r="F1104" s="972">
        <v>0.30599999999999999</v>
      </c>
      <c r="G1104" s="972">
        <v>7.8E-2</v>
      </c>
      <c r="H1104" s="972">
        <v>0</v>
      </c>
      <c r="I1104" s="972">
        <v>3.306</v>
      </c>
      <c r="J1104" s="972">
        <v>0.158</v>
      </c>
      <c r="K1104" s="972">
        <v>3.133</v>
      </c>
      <c r="L1104" s="972">
        <v>0.45700000000000002</v>
      </c>
      <c r="M1104" s="972">
        <v>0</v>
      </c>
      <c r="N1104" s="972">
        <v>0</v>
      </c>
      <c r="O1104" s="972">
        <v>7.4379999999999997</v>
      </c>
      <c r="P1104" s="972">
        <v>28.774999999999999</v>
      </c>
      <c r="Q1104" s="972">
        <v>394.54700000000003</v>
      </c>
      <c r="R1104" s="962">
        <v>58</v>
      </c>
      <c r="S1104" s="962" t="s">
        <v>4940</v>
      </c>
      <c r="T1104" s="972">
        <v>120.64916666666667</v>
      </c>
    </row>
    <row r="1105" spans="1:20">
      <c r="A1105" s="962" t="s">
        <v>2385</v>
      </c>
      <c r="B1105" s="972">
        <v>13235.434999999999</v>
      </c>
      <c r="C1105" s="972">
        <v>601.79200000000003</v>
      </c>
      <c r="D1105" s="972">
        <v>9.9960000000000004</v>
      </c>
      <c r="E1105" s="972">
        <v>605.06399999999996</v>
      </c>
      <c r="F1105" s="972">
        <v>20.245999999999999</v>
      </c>
      <c r="G1105" s="972">
        <v>0.36599999999999999</v>
      </c>
      <c r="H1105" s="972">
        <v>1.3560000000000001</v>
      </c>
      <c r="I1105" s="972">
        <v>220.36799999999999</v>
      </c>
      <c r="J1105" s="972">
        <v>105.34</v>
      </c>
      <c r="K1105" s="972">
        <v>1.7629999999999999</v>
      </c>
      <c r="L1105" s="972">
        <v>5.9749999999999996</v>
      </c>
      <c r="M1105" s="972">
        <v>0</v>
      </c>
      <c r="N1105" s="972">
        <v>11.224</v>
      </c>
      <c r="O1105" s="972">
        <v>366.63799999999998</v>
      </c>
      <c r="P1105" s="972">
        <v>644.101</v>
      </c>
      <c r="Q1105" s="972">
        <v>12224.696</v>
      </c>
      <c r="R1105" s="962">
        <v>573</v>
      </c>
      <c r="S1105" s="962" t="s">
        <v>4940</v>
      </c>
      <c r="T1105" s="972">
        <v>3619.9073333333331</v>
      </c>
    </row>
    <row r="1106" spans="1:20">
      <c r="A1106" s="962" t="s">
        <v>1699</v>
      </c>
      <c r="B1106" s="972">
        <v>295.04899999999998</v>
      </c>
      <c r="C1106" s="972">
        <v>0.93700000000000006</v>
      </c>
      <c r="D1106" s="972">
        <v>0</v>
      </c>
      <c r="E1106" s="972">
        <v>7.1909999999999998</v>
      </c>
      <c r="F1106" s="972">
        <v>0.33900000000000002</v>
      </c>
      <c r="G1106" s="972">
        <v>0</v>
      </c>
      <c r="H1106" s="972">
        <v>0</v>
      </c>
      <c r="I1106" s="972">
        <v>7.3140000000000001</v>
      </c>
      <c r="J1106" s="972">
        <v>0.3</v>
      </c>
      <c r="K1106" s="972">
        <v>4.0599999999999996</v>
      </c>
      <c r="L1106" s="972">
        <v>0.122</v>
      </c>
      <c r="M1106" s="972">
        <v>4.9950000000000001</v>
      </c>
      <c r="N1106" s="972">
        <v>1.4930000000000001</v>
      </c>
      <c r="O1106" s="972">
        <v>18.623000000000001</v>
      </c>
      <c r="P1106" s="972">
        <v>25.437000000000001</v>
      </c>
      <c r="Q1106" s="972">
        <v>250.99</v>
      </c>
      <c r="R1106" s="962">
        <v>27</v>
      </c>
      <c r="S1106" s="962" t="s">
        <v>4940</v>
      </c>
      <c r="T1106" s="972">
        <v>104.57366666666665</v>
      </c>
    </row>
    <row r="1107" spans="1:20">
      <c r="A1107" s="962" t="s">
        <v>3554</v>
      </c>
      <c r="B1107" s="972">
        <v>1014.873</v>
      </c>
      <c r="C1107" s="972">
        <v>16.986999999999998</v>
      </c>
      <c r="D1107" s="972">
        <v>0.18</v>
      </c>
      <c r="E1107" s="972">
        <v>26.931999999999999</v>
      </c>
      <c r="F1107" s="972">
        <v>0.83</v>
      </c>
      <c r="G1107" s="972">
        <v>8.9999999999999993E-3</v>
      </c>
      <c r="H1107" s="972">
        <v>0</v>
      </c>
      <c r="I1107" s="972">
        <v>10.359</v>
      </c>
      <c r="J1107" s="972">
        <v>4.3739999999999997</v>
      </c>
      <c r="K1107" s="972">
        <v>2.96</v>
      </c>
      <c r="L1107" s="972">
        <v>1.0669999999999999</v>
      </c>
      <c r="M1107" s="972">
        <v>0</v>
      </c>
      <c r="N1107" s="972">
        <v>4.6500000000000004</v>
      </c>
      <c r="O1107" s="972">
        <v>24.247</v>
      </c>
      <c r="P1107" s="972">
        <v>49.375999999999998</v>
      </c>
      <c r="Q1107" s="972">
        <v>941.25</v>
      </c>
      <c r="R1107" s="962">
        <v>87</v>
      </c>
      <c r="S1107" s="962" t="s">
        <v>4940</v>
      </c>
      <c r="T1107" s="972">
        <v>323.97950000000003</v>
      </c>
    </row>
    <row r="1108" spans="1:20">
      <c r="A1108" s="962" t="s">
        <v>1857</v>
      </c>
      <c r="B1108" s="972">
        <v>1001.835</v>
      </c>
      <c r="C1108" s="972">
        <v>43.529000000000003</v>
      </c>
      <c r="D1108" s="972">
        <v>0.80100000000000005</v>
      </c>
      <c r="E1108" s="972">
        <v>49.923999999999999</v>
      </c>
      <c r="F1108" s="972">
        <v>1.3129999999999999</v>
      </c>
      <c r="G1108" s="972">
        <v>0.14099999999999999</v>
      </c>
      <c r="H1108" s="972">
        <v>0</v>
      </c>
      <c r="I1108" s="972">
        <v>14.9</v>
      </c>
      <c r="J1108" s="972">
        <v>11.588000000000001</v>
      </c>
      <c r="K1108" s="972">
        <v>0</v>
      </c>
      <c r="L1108" s="972">
        <v>0</v>
      </c>
      <c r="M1108" s="972">
        <v>0</v>
      </c>
      <c r="N1108" s="972">
        <v>0</v>
      </c>
      <c r="O1108" s="972">
        <v>27.943000000000001</v>
      </c>
      <c r="P1108" s="972">
        <v>52.79</v>
      </c>
      <c r="Q1108" s="972">
        <v>921.10299999999995</v>
      </c>
      <c r="R1108" s="962">
        <v>67</v>
      </c>
      <c r="S1108" s="962" t="s">
        <v>4940</v>
      </c>
      <c r="T1108" s="972">
        <v>286.78233333333333</v>
      </c>
    </row>
    <row r="1109" spans="1:20">
      <c r="A1109" s="962" t="s">
        <v>7288</v>
      </c>
      <c r="B1109" s="972">
        <v>247.85499999999999</v>
      </c>
      <c r="C1109" s="972">
        <v>9.9809999999999999</v>
      </c>
      <c r="D1109" s="972">
        <v>2.3E-2</v>
      </c>
      <c r="E1109" s="972">
        <v>11.837999999999999</v>
      </c>
      <c r="F1109" s="972">
        <v>0.33700000000000002</v>
      </c>
      <c r="G1109" s="972">
        <v>0</v>
      </c>
      <c r="H1109" s="972">
        <v>0</v>
      </c>
      <c r="I1109" s="972">
        <v>2.423</v>
      </c>
      <c r="J1109" s="972">
        <v>0</v>
      </c>
      <c r="K1109" s="972">
        <v>3.0249999999999999</v>
      </c>
      <c r="L1109" s="972">
        <v>0</v>
      </c>
      <c r="M1109" s="972">
        <v>0</v>
      </c>
      <c r="N1109" s="972">
        <v>0</v>
      </c>
      <c r="O1109" s="972">
        <v>5.7839999999999998</v>
      </c>
      <c r="P1109" s="972">
        <v>6.4160000000000004</v>
      </c>
      <c r="Q1109" s="972">
        <v>235.655</v>
      </c>
      <c r="R1109" s="962">
        <v>16</v>
      </c>
      <c r="S1109" s="962" t="s">
        <v>4940</v>
      </c>
      <c r="T1109" s="972">
        <v>64.04883333333332</v>
      </c>
    </row>
    <row r="1110" spans="1:20">
      <c r="A1110" s="962" t="s">
        <v>3411</v>
      </c>
      <c r="B1110" s="972">
        <v>141.298</v>
      </c>
      <c r="C1110" s="972">
        <v>14.821999999999999</v>
      </c>
      <c r="D1110" s="972">
        <v>1.8740000000000001</v>
      </c>
      <c r="E1110" s="972">
        <v>13.996</v>
      </c>
      <c r="F1110" s="972">
        <v>0</v>
      </c>
      <c r="G1110" s="972">
        <v>0</v>
      </c>
      <c r="H1110" s="972">
        <v>0</v>
      </c>
      <c r="I1110" s="972">
        <v>2.1080000000000001</v>
      </c>
      <c r="J1110" s="972">
        <v>0</v>
      </c>
      <c r="K1110" s="972">
        <v>0</v>
      </c>
      <c r="L1110" s="972">
        <v>0</v>
      </c>
      <c r="M1110" s="972">
        <v>0</v>
      </c>
      <c r="N1110" s="972">
        <v>0</v>
      </c>
      <c r="O1110" s="972">
        <v>2.1080000000000001</v>
      </c>
      <c r="P1110" s="972">
        <v>25.251000000000001</v>
      </c>
      <c r="Q1110" s="972">
        <v>113.93899999999999</v>
      </c>
      <c r="R1110" s="962">
        <v>0</v>
      </c>
      <c r="S1110" s="962" t="s">
        <v>4940</v>
      </c>
      <c r="T1110" s="972">
        <v>141.29466666666667</v>
      </c>
    </row>
    <row r="1111" spans="1:20">
      <c r="A1111" s="962" t="s">
        <v>3415</v>
      </c>
      <c r="B1111" s="972">
        <v>224.68</v>
      </c>
      <c r="C1111" s="972">
        <v>0</v>
      </c>
      <c r="D1111" s="972">
        <v>0</v>
      </c>
      <c r="E1111" s="972">
        <v>1.1619999999999999</v>
      </c>
      <c r="F1111" s="972">
        <v>0.21299999999999999</v>
      </c>
      <c r="G1111" s="972">
        <v>0</v>
      </c>
      <c r="H1111" s="972">
        <v>0</v>
      </c>
      <c r="I1111" s="972">
        <v>8.5449999999999999</v>
      </c>
      <c r="J1111" s="972">
        <v>0</v>
      </c>
      <c r="K1111" s="972">
        <v>0</v>
      </c>
      <c r="L1111" s="972">
        <v>0</v>
      </c>
      <c r="M1111" s="972">
        <v>0</v>
      </c>
      <c r="N1111" s="972">
        <v>0</v>
      </c>
      <c r="O1111" s="972">
        <v>8.7579999999999991</v>
      </c>
      <c r="P1111" s="972">
        <v>0</v>
      </c>
      <c r="Q1111" s="972">
        <v>215.922</v>
      </c>
      <c r="R1111" s="962">
        <v>0</v>
      </c>
      <c r="S1111" s="962" t="s">
        <v>4940</v>
      </c>
      <c r="T1111" s="972">
        <v>0</v>
      </c>
    </row>
    <row r="1112" spans="1:20">
      <c r="A1112" s="962" t="s">
        <v>3417</v>
      </c>
      <c r="B1112" s="972">
        <v>675.48</v>
      </c>
      <c r="C1112" s="972">
        <v>88.855999999999995</v>
      </c>
      <c r="D1112" s="972">
        <v>0</v>
      </c>
      <c r="E1112" s="972">
        <v>19.768999999999998</v>
      </c>
      <c r="F1112" s="972">
        <v>0.66600000000000004</v>
      </c>
      <c r="G1112" s="972">
        <v>0</v>
      </c>
      <c r="H1112" s="972">
        <v>0</v>
      </c>
      <c r="I1112" s="972">
        <v>17.803999999999998</v>
      </c>
      <c r="J1112" s="972">
        <v>0.93799999999999994</v>
      </c>
      <c r="K1112" s="972">
        <v>0</v>
      </c>
      <c r="L1112" s="972">
        <v>0</v>
      </c>
      <c r="M1112" s="972">
        <v>0</v>
      </c>
      <c r="N1112" s="972">
        <v>0</v>
      </c>
      <c r="O1112" s="972">
        <v>19.407</v>
      </c>
      <c r="P1112" s="972">
        <v>1.575</v>
      </c>
      <c r="Q1112" s="972">
        <v>654.49800000000005</v>
      </c>
      <c r="R1112" s="962">
        <v>4</v>
      </c>
      <c r="S1112" s="962" t="s">
        <v>4940</v>
      </c>
      <c r="T1112" s="972">
        <v>113.27383333333333</v>
      </c>
    </row>
    <row r="1113" spans="1:20">
      <c r="A1113" s="962" t="s">
        <v>3419</v>
      </c>
      <c r="B1113" s="972">
        <v>229.42099999999999</v>
      </c>
      <c r="C1113" s="972">
        <v>0</v>
      </c>
      <c r="D1113" s="972">
        <v>0</v>
      </c>
      <c r="E1113" s="972">
        <v>21.509</v>
      </c>
      <c r="F1113" s="972">
        <v>0.151</v>
      </c>
      <c r="G1113" s="972">
        <v>3.5999999999999997E-2</v>
      </c>
      <c r="H1113" s="972">
        <v>0</v>
      </c>
      <c r="I1113" s="972">
        <v>1.202</v>
      </c>
      <c r="J1113" s="972">
        <v>0</v>
      </c>
      <c r="K1113" s="972">
        <v>0</v>
      </c>
      <c r="L1113" s="972">
        <v>0</v>
      </c>
      <c r="M1113" s="972">
        <v>0</v>
      </c>
      <c r="N1113" s="972">
        <v>0</v>
      </c>
      <c r="O1113" s="972">
        <v>1.389</v>
      </c>
      <c r="P1113" s="972">
        <v>0</v>
      </c>
      <c r="Q1113" s="972">
        <v>228.03200000000001</v>
      </c>
      <c r="R1113" s="962">
        <v>0</v>
      </c>
      <c r="S1113" s="962" t="s">
        <v>4940</v>
      </c>
      <c r="T1113" s="972">
        <v>13.364166666666668</v>
      </c>
    </row>
    <row r="1114" spans="1:20">
      <c r="A1114" s="962" t="s">
        <v>3421</v>
      </c>
      <c r="B1114" s="972">
        <v>724.95100000000002</v>
      </c>
      <c r="C1114" s="972">
        <v>21.241</v>
      </c>
      <c r="D1114" s="972">
        <v>1.7769999999999999</v>
      </c>
      <c r="E1114" s="972">
        <v>5.83</v>
      </c>
      <c r="F1114" s="972">
        <v>1.4930000000000001</v>
      </c>
      <c r="G1114" s="972">
        <v>0</v>
      </c>
      <c r="H1114" s="972">
        <v>0</v>
      </c>
      <c r="I1114" s="972">
        <v>1.123</v>
      </c>
      <c r="J1114" s="972">
        <v>0.112</v>
      </c>
      <c r="K1114" s="972">
        <v>0</v>
      </c>
      <c r="L1114" s="972">
        <v>0</v>
      </c>
      <c r="M1114" s="972">
        <v>0</v>
      </c>
      <c r="N1114" s="972">
        <v>279.017</v>
      </c>
      <c r="O1114" s="972">
        <v>281.74400000000003</v>
      </c>
      <c r="P1114" s="972">
        <v>0</v>
      </c>
      <c r="Q1114" s="972">
        <v>443.20699999999999</v>
      </c>
      <c r="R1114" s="962">
        <v>0</v>
      </c>
      <c r="S1114" s="962" t="s">
        <v>4940</v>
      </c>
      <c r="T1114" s="972">
        <v>404.55733333333336</v>
      </c>
    </row>
    <row r="1115" spans="1:20">
      <c r="A1115" s="962" t="s">
        <v>7127</v>
      </c>
      <c r="B1115" s="972">
        <v>332.42399999999998</v>
      </c>
      <c r="C1115" s="972">
        <v>0</v>
      </c>
      <c r="D1115" s="972">
        <v>0</v>
      </c>
      <c r="E1115" s="972">
        <v>1.8839999999999999</v>
      </c>
      <c r="F1115" s="972">
        <v>0.122</v>
      </c>
      <c r="G1115" s="972">
        <v>0</v>
      </c>
      <c r="H1115" s="972">
        <v>0</v>
      </c>
      <c r="I1115" s="972">
        <v>0</v>
      </c>
      <c r="J1115" s="972">
        <v>0</v>
      </c>
      <c r="K1115" s="972">
        <v>0</v>
      </c>
      <c r="L1115" s="972">
        <v>0</v>
      </c>
      <c r="M1115" s="972">
        <v>0</v>
      </c>
      <c r="N1115" s="972">
        <v>0</v>
      </c>
      <c r="O1115" s="972">
        <v>0.122</v>
      </c>
      <c r="P1115" s="972">
        <v>0</v>
      </c>
      <c r="Q1115" s="972">
        <v>332.30200000000002</v>
      </c>
      <c r="R1115" s="962">
        <v>0</v>
      </c>
      <c r="S1115" s="962" t="s">
        <v>4940</v>
      </c>
      <c r="T1115" s="972">
        <v>80.050333333333342</v>
      </c>
    </row>
    <row r="1116" spans="1:20">
      <c r="A1116" s="962" t="s">
        <v>3428</v>
      </c>
      <c r="B1116" s="972">
        <v>1804.683</v>
      </c>
      <c r="C1116" s="972">
        <v>205.583</v>
      </c>
      <c r="D1116" s="972">
        <v>0</v>
      </c>
      <c r="E1116" s="972">
        <v>20.116</v>
      </c>
      <c r="F1116" s="972">
        <v>0.71499999999999997</v>
      </c>
      <c r="G1116" s="972">
        <v>0</v>
      </c>
      <c r="H1116" s="972">
        <v>0</v>
      </c>
      <c r="I1116" s="972">
        <v>10.875999999999999</v>
      </c>
      <c r="J1116" s="972">
        <v>0.871</v>
      </c>
      <c r="K1116" s="972">
        <v>0</v>
      </c>
      <c r="L1116" s="972">
        <v>0</v>
      </c>
      <c r="M1116" s="972">
        <v>0</v>
      </c>
      <c r="N1116" s="972">
        <v>0</v>
      </c>
      <c r="O1116" s="972">
        <v>12.462999999999999</v>
      </c>
      <c r="P1116" s="972">
        <v>5.6130000000000004</v>
      </c>
      <c r="Q1116" s="972">
        <v>1786.6079999999999</v>
      </c>
      <c r="R1116" s="962">
        <v>253</v>
      </c>
      <c r="S1116" s="962" t="s">
        <v>4940</v>
      </c>
      <c r="T1116" s="972">
        <v>246.40766666666664</v>
      </c>
    </row>
    <row r="1117" spans="1:20">
      <c r="A1117" s="962" t="s">
        <v>3430</v>
      </c>
      <c r="B1117" s="972">
        <v>197.56299999999999</v>
      </c>
      <c r="C1117" s="972">
        <v>33.209000000000003</v>
      </c>
      <c r="D1117" s="972">
        <v>0</v>
      </c>
      <c r="E1117" s="972">
        <v>10.265000000000001</v>
      </c>
      <c r="F1117" s="972">
        <v>0.46500000000000002</v>
      </c>
      <c r="G1117" s="972">
        <v>0</v>
      </c>
      <c r="H1117" s="972">
        <v>0</v>
      </c>
      <c r="I1117" s="972">
        <v>2.17</v>
      </c>
      <c r="J1117" s="972">
        <v>0</v>
      </c>
      <c r="K1117" s="972">
        <v>0</v>
      </c>
      <c r="L1117" s="972">
        <v>0</v>
      </c>
      <c r="M1117" s="972">
        <v>0</v>
      </c>
      <c r="N1117" s="972">
        <v>0</v>
      </c>
      <c r="O1117" s="972">
        <v>2.6339999999999999</v>
      </c>
      <c r="P1117" s="972">
        <v>0</v>
      </c>
      <c r="Q1117" s="972">
        <v>194.929</v>
      </c>
      <c r="R1117" s="962">
        <v>18</v>
      </c>
      <c r="S1117" s="962" t="s">
        <v>4940</v>
      </c>
      <c r="T1117" s="972">
        <v>0</v>
      </c>
    </row>
    <row r="1118" spans="1:20">
      <c r="A1118" s="962" t="s">
        <v>3432</v>
      </c>
      <c r="B1118" s="972">
        <v>277.37299999999999</v>
      </c>
      <c r="C1118" s="972">
        <v>70.516000000000005</v>
      </c>
      <c r="D1118" s="972">
        <v>0</v>
      </c>
      <c r="E1118" s="972">
        <v>43.515000000000001</v>
      </c>
      <c r="F1118" s="972">
        <v>4.5999999999999999E-2</v>
      </c>
      <c r="G1118" s="972">
        <v>4.9000000000000002E-2</v>
      </c>
      <c r="H1118" s="972">
        <v>0</v>
      </c>
      <c r="I1118" s="972">
        <v>1.2070000000000001</v>
      </c>
      <c r="J1118" s="972">
        <v>0</v>
      </c>
      <c r="K1118" s="972">
        <v>0</v>
      </c>
      <c r="L1118" s="972">
        <v>0.38900000000000001</v>
      </c>
      <c r="M1118" s="972">
        <v>0</v>
      </c>
      <c r="N1118" s="972">
        <v>0</v>
      </c>
      <c r="O1118" s="972">
        <v>1.6910000000000001</v>
      </c>
      <c r="P1118" s="972">
        <v>8.048</v>
      </c>
      <c r="Q1118" s="972">
        <v>267.63499999999999</v>
      </c>
      <c r="R1118" s="962">
        <v>0</v>
      </c>
      <c r="S1118" s="962" t="s">
        <v>4940</v>
      </c>
      <c r="T1118" s="972">
        <v>277.37166666666667</v>
      </c>
    </row>
    <row r="1119" spans="1:20">
      <c r="A1119" s="962" t="s">
        <v>3434</v>
      </c>
      <c r="B1119" s="972">
        <v>242.827</v>
      </c>
      <c r="C1119" s="972">
        <v>36.21</v>
      </c>
      <c r="D1119" s="972">
        <v>0</v>
      </c>
      <c r="E1119" s="972">
        <v>0</v>
      </c>
      <c r="F1119" s="972">
        <v>0.65</v>
      </c>
      <c r="G1119" s="972">
        <v>0</v>
      </c>
      <c r="H1119" s="972">
        <v>0</v>
      </c>
      <c r="I1119" s="972">
        <v>5.9969999999999999</v>
      </c>
      <c r="J1119" s="972">
        <v>0</v>
      </c>
      <c r="K1119" s="972">
        <v>0</v>
      </c>
      <c r="L1119" s="972">
        <v>0</v>
      </c>
      <c r="M1119" s="972">
        <v>0</v>
      </c>
      <c r="N1119" s="972">
        <v>0</v>
      </c>
      <c r="O1119" s="972">
        <v>6.6470000000000002</v>
      </c>
      <c r="P1119" s="972">
        <v>0</v>
      </c>
      <c r="Q1119" s="972">
        <v>236.18</v>
      </c>
      <c r="R1119" s="962">
        <v>9</v>
      </c>
      <c r="S1119" s="962" t="s">
        <v>4940</v>
      </c>
      <c r="T1119" s="972">
        <v>0</v>
      </c>
    </row>
    <row r="1120" spans="1:20">
      <c r="A1120" s="962" t="s">
        <v>3436</v>
      </c>
      <c r="B1120" s="972">
        <v>963.31200000000001</v>
      </c>
      <c r="C1120" s="972">
        <v>305.96800000000002</v>
      </c>
      <c r="D1120" s="972">
        <v>0</v>
      </c>
      <c r="E1120" s="972">
        <v>12.981</v>
      </c>
      <c r="F1120" s="972">
        <v>0.68899999999999995</v>
      </c>
      <c r="G1120" s="972">
        <v>0</v>
      </c>
      <c r="H1120" s="972">
        <v>0</v>
      </c>
      <c r="I1120" s="972">
        <v>17.802</v>
      </c>
      <c r="J1120" s="972">
        <v>0.46300000000000002</v>
      </c>
      <c r="K1120" s="972">
        <v>0</v>
      </c>
      <c r="L1120" s="972">
        <v>0</v>
      </c>
      <c r="M1120" s="972">
        <v>0</v>
      </c>
      <c r="N1120" s="972">
        <v>0</v>
      </c>
      <c r="O1120" s="972">
        <v>18.952000000000002</v>
      </c>
      <c r="P1120" s="972">
        <v>0</v>
      </c>
      <c r="Q1120" s="972">
        <v>944.36</v>
      </c>
      <c r="R1120" s="962">
        <v>0</v>
      </c>
      <c r="S1120" s="962" t="s">
        <v>4940</v>
      </c>
      <c r="T1120" s="972">
        <v>262.63850000000002</v>
      </c>
    </row>
    <row r="1121" spans="1:20">
      <c r="A1121" s="962" t="s">
        <v>3438</v>
      </c>
      <c r="B1121" s="972">
        <v>353.26799999999997</v>
      </c>
      <c r="C1121" s="972">
        <v>14.461</v>
      </c>
      <c r="D1121" s="972">
        <v>0</v>
      </c>
      <c r="E1121" s="972">
        <v>12.69</v>
      </c>
      <c r="F1121" s="972">
        <v>0.221</v>
      </c>
      <c r="G1121" s="972">
        <v>0</v>
      </c>
      <c r="H1121" s="972">
        <v>0</v>
      </c>
      <c r="I1121" s="972">
        <v>2.645</v>
      </c>
      <c r="J1121" s="972">
        <v>0.373</v>
      </c>
      <c r="K1121" s="972">
        <v>0</v>
      </c>
      <c r="L1121" s="972">
        <v>0</v>
      </c>
      <c r="M1121" s="972">
        <v>0</v>
      </c>
      <c r="N1121" s="972">
        <v>0</v>
      </c>
      <c r="O1121" s="972">
        <v>3.2389999999999999</v>
      </c>
      <c r="P1121" s="972">
        <v>0</v>
      </c>
      <c r="Q1121" s="972">
        <v>350.029</v>
      </c>
      <c r="R1121" s="962">
        <v>0</v>
      </c>
      <c r="S1121" s="962" t="s">
        <v>4940</v>
      </c>
      <c r="T1121" s="972">
        <v>0</v>
      </c>
    </row>
    <row r="1122" spans="1:20">
      <c r="A1122" s="962" t="s">
        <v>8025</v>
      </c>
      <c r="B1122" s="972">
        <v>175.87899999999999</v>
      </c>
      <c r="C1122" s="972">
        <v>55.359000000000002</v>
      </c>
      <c r="D1122" s="972">
        <v>0</v>
      </c>
      <c r="E1122" s="972">
        <v>8.4109999999999996</v>
      </c>
      <c r="F1122" s="972">
        <v>0.20300000000000001</v>
      </c>
      <c r="G1122" s="972">
        <v>0</v>
      </c>
      <c r="H1122" s="972">
        <v>0</v>
      </c>
      <c r="I1122" s="972">
        <v>5.2149999999999999</v>
      </c>
      <c r="J1122" s="972">
        <v>0</v>
      </c>
      <c r="K1122" s="972">
        <v>0</v>
      </c>
      <c r="L1122" s="972">
        <v>0</v>
      </c>
      <c r="M1122" s="972">
        <v>0</v>
      </c>
      <c r="N1122" s="972">
        <v>0</v>
      </c>
      <c r="O1122" s="972">
        <v>5.4180000000000001</v>
      </c>
      <c r="P1122" s="972">
        <v>0</v>
      </c>
      <c r="Q1122" s="972">
        <v>170.46</v>
      </c>
      <c r="R1122" s="962">
        <v>0</v>
      </c>
      <c r="S1122" s="962" t="s">
        <v>4940</v>
      </c>
      <c r="T1122" s="972">
        <v>0</v>
      </c>
    </row>
    <row r="1123" spans="1:20">
      <c r="A1123" s="962" t="s">
        <v>2791</v>
      </c>
      <c r="B1123" s="972">
        <v>80176.577000000005</v>
      </c>
      <c r="C1123" s="972">
        <v>22049.575000000001</v>
      </c>
      <c r="D1123" s="972">
        <v>25.782</v>
      </c>
      <c r="E1123" s="972">
        <v>2062.2379999999998</v>
      </c>
      <c r="F1123" s="972">
        <v>117.17</v>
      </c>
      <c r="G1123" s="972">
        <v>3.3340000000000001</v>
      </c>
      <c r="H1123" s="972">
        <v>20.506</v>
      </c>
      <c r="I1123" s="972">
        <v>1412.741</v>
      </c>
      <c r="J1123" s="972">
        <v>656.22900000000004</v>
      </c>
      <c r="K1123" s="972">
        <v>71.903999999999996</v>
      </c>
      <c r="L1123" s="972">
        <v>35.124000000000002</v>
      </c>
      <c r="M1123" s="972">
        <v>0</v>
      </c>
      <c r="N1123" s="972">
        <v>84.236000000000004</v>
      </c>
      <c r="O1123" s="972">
        <v>2401.2379999999998</v>
      </c>
      <c r="P1123" s="972">
        <v>2264.0929999999998</v>
      </c>
      <c r="Q1123" s="972">
        <v>75511.245999999999</v>
      </c>
      <c r="R1123" s="962">
        <v>6644</v>
      </c>
      <c r="S1123" s="962" t="s">
        <v>4940</v>
      </c>
      <c r="T1123" s="972">
        <v>18382.492166666671</v>
      </c>
    </row>
    <row r="1124" spans="1:20">
      <c r="A1124" s="962" t="s">
        <v>5124</v>
      </c>
      <c r="B1124" s="972">
        <v>21400.17</v>
      </c>
      <c r="C1124" s="972">
        <v>3604.2260000000001</v>
      </c>
      <c r="D1124" s="972">
        <v>5.6059999999999999</v>
      </c>
      <c r="E1124" s="972">
        <v>253.75200000000001</v>
      </c>
      <c r="F1124" s="972">
        <v>39.036000000000001</v>
      </c>
      <c r="G1124" s="972">
        <v>0.89</v>
      </c>
      <c r="H1124" s="972">
        <v>0</v>
      </c>
      <c r="I1124" s="972">
        <v>547.19799999999998</v>
      </c>
      <c r="J1124" s="972">
        <v>137.09899999999999</v>
      </c>
      <c r="K1124" s="972">
        <v>0</v>
      </c>
      <c r="L1124" s="972">
        <v>12.577999999999999</v>
      </c>
      <c r="M1124" s="972">
        <v>0</v>
      </c>
      <c r="N1124" s="972">
        <v>22.756</v>
      </c>
      <c r="O1124" s="972">
        <v>759.55499999999995</v>
      </c>
      <c r="P1124" s="972">
        <v>742.35799999999995</v>
      </c>
      <c r="Q1124" s="972">
        <v>19898.257000000001</v>
      </c>
      <c r="R1124" s="962">
        <v>1926</v>
      </c>
      <c r="S1124" s="962" t="s">
        <v>4940</v>
      </c>
      <c r="T1124" s="972">
        <v>6019.7411666666676</v>
      </c>
    </row>
    <row r="1125" spans="1:20">
      <c r="A1125" s="962" t="s">
        <v>3439</v>
      </c>
      <c r="B1125" s="972">
        <v>0</v>
      </c>
      <c r="C1125" s="972">
        <v>0</v>
      </c>
      <c r="D1125" s="972">
        <v>0</v>
      </c>
      <c r="E1125" s="972">
        <v>0</v>
      </c>
      <c r="F1125" s="972">
        <v>0</v>
      </c>
      <c r="G1125" s="972">
        <v>0</v>
      </c>
      <c r="H1125" s="972">
        <v>0</v>
      </c>
      <c r="I1125" s="972">
        <v>0</v>
      </c>
      <c r="J1125" s="972">
        <v>0</v>
      </c>
      <c r="K1125" s="972">
        <v>0</v>
      </c>
      <c r="L1125" s="972">
        <v>0</v>
      </c>
      <c r="M1125" s="972">
        <v>0</v>
      </c>
      <c r="N1125" s="972">
        <v>0</v>
      </c>
      <c r="O1125" s="972">
        <v>0</v>
      </c>
      <c r="P1125" s="972">
        <v>0</v>
      </c>
      <c r="Q1125" s="972">
        <v>0</v>
      </c>
      <c r="R1125" s="962">
        <v>0</v>
      </c>
      <c r="S1125" s="962" t="s">
        <v>4940</v>
      </c>
      <c r="T1125" s="972">
        <v>0</v>
      </c>
    </row>
    <row r="1126" spans="1:20">
      <c r="A1126" s="962" t="s">
        <v>3441</v>
      </c>
      <c r="B1126" s="972">
        <v>0</v>
      </c>
      <c r="C1126" s="972">
        <v>0</v>
      </c>
      <c r="D1126" s="972">
        <v>0</v>
      </c>
      <c r="E1126" s="972">
        <v>0</v>
      </c>
      <c r="F1126" s="972">
        <v>0</v>
      </c>
      <c r="G1126" s="972">
        <v>0</v>
      </c>
      <c r="H1126" s="972">
        <v>0</v>
      </c>
      <c r="I1126" s="972">
        <v>0</v>
      </c>
      <c r="J1126" s="972">
        <v>0</v>
      </c>
      <c r="K1126" s="972">
        <v>0</v>
      </c>
      <c r="L1126" s="972">
        <v>0</v>
      </c>
      <c r="M1126" s="972">
        <v>0</v>
      </c>
      <c r="N1126" s="972">
        <v>0</v>
      </c>
      <c r="O1126" s="972">
        <v>0</v>
      </c>
      <c r="P1126" s="972">
        <v>0</v>
      </c>
      <c r="Q1126" s="972">
        <v>0</v>
      </c>
      <c r="R1126" s="962">
        <v>0</v>
      </c>
      <c r="S1126" s="962" t="s">
        <v>4940</v>
      </c>
      <c r="T1126" s="972">
        <v>0</v>
      </c>
    </row>
    <row r="1127" spans="1:20">
      <c r="A1127" s="962" t="s">
        <v>2793</v>
      </c>
      <c r="B1127" s="972">
        <v>6552.1329999999998</v>
      </c>
      <c r="C1127" s="972">
        <v>1913.508</v>
      </c>
      <c r="D1127" s="972">
        <v>3.379</v>
      </c>
      <c r="E1127" s="972">
        <v>240.96299999999999</v>
      </c>
      <c r="F1127" s="972">
        <v>7.08</v>
      </c>
      <c r="G1127" s="972">
        <v>0.186</v>
      </c>
      <c r="H1127" s="972">
        <v>0</v>
      </c>
      <c r="I1127" s="972">
        <v>55.813000000000002</v>
      </c>
      <c r="J1127" s="972">
        <v>31.067</v>
      </c>
      <c r="K1127" s="972">
        <v>0</v>
      </c>
      <c r="L1127" s="972">
        <v>2.5249999999999999</v>
      </c>
      <c r="M1127" s="972">
        <v>0</v>
      </c>
      <c r="N1127" s="972">
        <v>3.2010000000000001</v>
      </c>
      <c r="O1127" s="972">
        <v>99.870999999999995</v>
      </c>
      <c r="P1127" s="972">
        <v>249.11600000000001</v>
      </c>
      <c r="Q1127" s="972">
        <v>6203.1459999999997</v>
      </c>
      <c r="R1127" s="962">
        <v>544</v>
      </c>
      <c r="S1127" s="962" t="s">
        <v>4940</v>
      </c>
      <c r="T1127" s="972">
        <v>1420.8876666666665</v>
      </c>
    </row>
    <row r="1128" spans="1:20">
      <c r="A1128" s="962" t="s">
        <v>2795</v>
      </c>
      <c r="B1128" s="972">
        <v>7435.4359999999997</v>
      </c>
      <c r="C1128" s="972">
        <v>155.495</v>
      </c>
      <c r="D1128" s="972">
        <v>0</v>
      </c>
      <c r="E1128" s="972">
        <v>163.47200000000001</v>
      </c>
      <c r="F1128" s="972">
        <v>6.694</v>
      </c>
      <c r="G1128" s="972">
        <v>8.3000000000000004E-2</v>
      </c>
      <c r="H1128" s="972">
        <v>0</v>
      </c>
      <c r="I1128" s="972">
        <v>95.846999999999994</v>
      </c>
      <c r="J1128" s="972">
        <v>67.998000000000005</v>
      </c>
      <c r="K1128" s="972">
        <v>0.373</v>
      </c>
      <c r="L1128" s="972">
        <v>2.2290000000000001</v>
      </c>
      <c r="M1128" s="972">
        <v>0</v>
      </c>
      <c r="N1128" s="972">
        <v>0</v>
      </c>
      <c r="O1128" s="972">
        <v>173.22200000000001</v>
      </c>
      <c r="P1128" s="972">
        <v>193.929</v>
      </c>
      <c r="Q1128" s="972">
        <v>7068.2839999999997</v>
      </c>
      <c r="R1128" s="962">
        <v>1083</v>
      </c>
      <c r="S1128" s="962" t="s">
        <v>4940</v>
      </c>
      <c r="T1128" s="972">
        <v>2453.1655000000001</v>
      </c>
    </row>
    <row r="1129" spans="1:20">
      <c r="A1129" s="962" t="s">
        <v>2052</v>
      </c>
      <c r="B1129" s="972">
        <v>9824.6790000000001</v>
      </c>
      <c r="C1129" s="972">
        <v>3071.3670000000002</v>
      </c>
      <c r="D1129" s="972">
        <v>3.79</v>
      </c>
      <c r="E1129" s="972">
        <v>326.86500000000001</v>
      </c>
      <c r="F1129" s="972">
        <v>14.404999999999999</v>
      </c>
      <c r="G1129" s="972">
        <v>0.30499999999999999</v>
      </c>
      <c r="H1129" s="972">
        <v>0.7</v>
      </c>
      <c r="I1129" s="972">
        <v>165.571</v>
      </c>
      <c r="J1129" s="972">
        <v>60.862000000000002</v>
      </c>
      <c r="K1129" s="972">
        <v>0</v>
      </c>
      <c r="L1129" s="972">
        <v>7.9989999999999997</v>
      </c>
      <c r="M1129" s="972">
        <v>0</v>
      </c>
      <c r="N1129" s="972">
        <v>9.0069999999999997</v>
      </c>
      <c r="O1129" s="972">
        <v>258.84800000000001</v>
      </c>
      <c r="P1129" s="972">
        <v>329.17399999999998</v>
      </c>
      <c r="Q1129" s="972">
        <v>9236.6569999999992</v>
      </c>
      <c r="R1129" s="962">
        <v>428</v>
      </c>
      <c r="S1129" s="962" t="s">
        <v>4940</v>
      </c>
      <c r="T1129" s="972">
        <v>2314.2275</v>
      </c>
    </row>
    <row r="1130" spans="1:20">
      <c r="A1130" s="962" t="s">
        <v>2797</v>
      </c>
      <c r="B1130" s="972">
        <v>1209.569</v>
      </c>
      <c r="C1130" s="972">
        <v>49.011000000000003</v>
      </c>
      <c r="D1130" s="972">
        <v>3.2000000000000001E-2</v>
      </c>
      <c r="E1130" s="972">
        <v>27.518999999999998</v>
      </c>
      <c r="F1130" s="972">
        <v>1.6040000000000001</v>
      </c>
      <c r="G1130" s="972">
        <v>0.13600000000000001</v>
      </c>
      <c r="H1130" s="972">
        <v>0</v>
      </c>
      <c r="I1130" s="972">
        <v>25.053000000000001</v>
      </c>
      <c r="J1130" s="972">
        <v>3.9409999999999998</v>
      </c>
      <c r="K1130" s="972">
        <v>1.4019999999999999</v>
      </c>
      <c r="L1130" s="972">
        <v>2.7250000000000001</v>
      </c>
      <c r="M1130" s="972">
        <v>0</v>
      </c>
      <c r="N1130" s="972">
        <v>0</v>
      </c>
      <c r="O1130" s="972">
        <v>34.86</v>
      </c>
      <c r="P1130" s="972">
        <v>48.826999999999998</v>
      </c>
      <c r="Q1130" s="972">
        <v>1125.8820000000001</v>
      </c>
      <c r="R1130" s="962">
        <v>89</v>
      </c>
      <c r="S1130" s="962" t="s">
        <v>4940</v>
      </c>
      <c r="T1130" s="972">
        <v>374.44900000000001</v>
      </c>
    </row>
    <row r="1131" spans="1:20">
      <c r="A1131" s="962" t="s">
        <v>2799</v>
      </c>
      <c r="B1131" s="972">
        <v>6614.3819999999996</v>
      </c>
      <c r="C1131" s="972">
        <v>332.44200000000001</v>
      </c>
      <c r="D1131" s="972">
        <v>1.788</v>
      </c>
      <c r="E1131" s="972">
        <v>34.460999999999999</v>
      </c>
      <c r="F1131" s="972">
        <v>7.1529999999999996</v>
      </c>
      <c r="G1131" s="972">
        <v>0.26600000000000001</v>
      </c>
      <c r="H1131" s="972">
        <v>0</v>
      </c>
      <c r="I1131" s="972">
        <v>129.09800000000001</v>
      </c>
      <c r="J1131" s="972">
        <v>35.196000000000005</v>
      </c>
      <c r="K1131" s="972">
        <v>0.81200000000000006</v>
      </c>
      <c r="L1131" s="972">
        <v>9.8390000000000004</v>
      </c>
      <c r="M1131" s="972">
        <v>0</v>
      </c>
      <c r="N1131" s="972">
        <v>0</v>
      </c>
      <c r="O1131" s="972">
        <v>182.364</v>
      </c>
      <c r="P1131" s="972">
        <v>252.65799999999999</v>
      </c>
      <c r="Q1131" s="972">
        <v>6179.3609999999999</v>
      </c>
      <c r="R1131" s="962">
        <v>980</v>
      </c>
      <c r="S1131" s="962" t="s">
        <v>4940</v>
      </c>
      <c r="T1131" s="972">
        <v>1951.8766666666668</v>
      </c>
    </row>
    <row r="1132" spans="1:20">
      <c r="A1132" s="962" t="s">
        <v>2801</v>
      </c>
      <c r="B1132" s="972">
        <v>696.89099999999996</v>
      </c>
      <c r="C1132" s="972">
        <v>14.25</v>
      </c>
      <c r="D1132" s="972">
        <v>0</v>
      </c>
      <c r="E1132" s="972">
        <v>18.658000000000001</v>
      </c>
      <c r="F1132" s="972">
        <v>1.6140000000000001</v>
      </c>
      <c r="G1132" s="972">
        <v>0</v>
      </c>
      <c r="H1132" s="972">
        <v>0</v>
      </c>
      <c r="I1132" s="972">
        <v>17.326000000000001</v>
      </c>
      <c r="J1132" s="972">
        <v>3.9609999999999999</v>
      </c>
      <c r="K1132" s="972">
        <v>0</v>
      </c>
      <c r="L1132" s="972">
        <v>0</v>
      </c>
      <c r="M1132" s="972">
        <v>0</v>
      </c>
      <c r="N1132" s="972">
        <v>0</v>
      </c>
      <c r="O1132" s="972">
        <v>22.9</v>
      </c>
      <c r="P1132" s="972">
        <v>66.347999999999999</v>
      </c>
      <c r="Q1132" s="972">
        <v>607.64400000000001</v>
      </c>
      <c r="R1132" s="962">
        <v>51</v>
      </c>
      <c r="S1132" s="962" t="s">
        <v>4940</v>
      </c>
      <c r="T1132" s="972">
        <v>218.47216666666671</v>
      </c>
    </row>
    <row r="1133" spans="1:20">
      <c r="A1133" s="962" t="s">
        <v>2803</v>
      </c>
      <c r="B1133" s="972">
        <v>1096.546</v>
      </c>
      <c r="C1133" s="972">
        <v>99.498000000000005</v>
      </c>
      <c r="D1133" s="972">
        <v>0.61499999999999999</v>
      </c>
      <c r="E1133" s="972">
        <v>12.364000000000001</v>
      </c>
      <c r="F1133" s="972">
        <v>1.446</v>
      </c>
      <c r="G1133" s="972">
        <v>0</v>
      </c>
      <c r="H1133" s="972">
        <v>0</v>
      </c>
      <c r="I1133" s="972">
        <v>27.132999999999999</v>
      </c>
      <c r="J1133" s="972">
        <v>8.2929999999999993</v>
      </c>
      <c r="K1133" s="972">
        <v>0</v>
      </c>
      <c r="L1133" s="972">
        <v>0</v>
      </c>
      <c r="M1133" s="972">
        <v>0</v>
      </c>
      <c r="N1133" s="972">
        <v>0</v>
      </c>
      <c r="O1133" s="972">
        <v>36.872</v>
      </c>
      <c r="P1133" s="972">
        <v>79.274000000000001</v>
      </c>
      <c r="Q1133" s="972">
        <v>980.4</v>
      </c>
      <c r="R1133" s="962">
        <v>83</v>
      </c>
      <c r="S1133" s="962" t="s">
        <v>4940</v>
      </c>
      <c r="T1133" s="972">
        <v>271.76</v>
      </c>
    </row>
    <row r="1134" spans="1:20">
      <c r="A1134" s="962" t="s">
        <v>2805</v>
      </c>
      <c r="B1134" s="972">
        <v>142.69499999999999</v>
      </c>
      <c r="C1134" s="972">
        <v>0</v>
      </c>
      <c r="D1134" s="972">
        <v>0</v>
      </c>
      <c r="E1134" s="972">
        <v>5.8440000000000003</v>
      </c>
      <c r="F1134" s="972">
        <v>0.47399999999999998</v>
      </c>
      <c r="G1134" s="972">
        <v>0.16300000000000001</v>
      </c>
      <c r="H1134" s="972">
        <v>0</v>
      </c>
      <c r="I1134" s="972">
        <v>2.0089999999999999</v>
      </c>
      <c r="J1134" s="972">
        <v>4.1000000000000002E-2</v>
      </c>
      <c r="K1134" s="972">
        <v>0</v>
      </c>
      <c r="L1134" s="972">
        <v>0.8</v>
      </c>
      <c r="M1134" s="972">
        <v>0</v>
      </c>
      <c r="N1134" s="972">
        <v>0</v>
      </c>
      <c r="O1134" s="972">
        <v>3.4860000000000002</v>
      </c>
      <c r="P1134" s="972">
        <v>10.394</v>
      </c>
      <c r="Q1134" s="972">
        <v>128.815</v>
      </c>
      <c r="R1134" s="962">
        <v>9</v>
      </c>
      <c r="S1134" s="962" t="s">
        <v>4940</v>
      </c>
      <c r="T1134" s="972">
        <v>33.304833333333335</v>
      </c>
    </row>
    <row r="1135" spans="1:20">
      <c r="A1135" s="962" t="s">
        <v>2806</v>
      </c>
      <c r="B1135" s="972">
        <v>171.89599999999999</v>
      </c>
      <c r="C1135" s="972">
        <v>0</v>
      </c>
      <c r="D1135" s="972">
        <v>0</v>
      </c>
      <c r="E1135" s="972">
        <v>11.178000000000001</v>
      </c>
      <c r="F1135" s="972">
        <v>0.49099999999999999</v>
      </c>
      <c r="G1135" s="972">
        <v>0</v>
      </c>
      <c r="H1135" s="972">
        <v>0</v>
      </c>
      <c r="I1135" s="972">
        <v>4.085</v>
      </c>
      <c r="J1135" s="972">
        <v>1.5920000000000001</v>
      </c>
      <c r="K1135" s="972">
        <v>0</v>
      </c>
      <c r="L1135" s="972">
        <v>0</v>
      </c>
      <c r="M1135" s="972">
        <v>0</v>
      </c>
      <c r="N1135" s="972">
        <v>0</v>
      </c>
      <c r="O1135" s="972">
        <v>6.1669999999999998</v>
      </c>
      <c r="P1135" s="972">
        <v>16.972999999999999</v>
      </c>
      <c r="Q1135" s="972">
        <v>148.756</v>
      </c>
      <c r="R1135" s="962">
        <v>12</v>
      </c>
      <c r="S1135" s="962" t="s">
        <v>4940</v>
      </c>
      <c r="T1135" s="972">
        <v>68.476333333333315</v>
      </c>
    </row>
    <row r="1136" spans="1:20">
      <c r="A1136" s="962" t="s">
        <v>232</v>
      </c>
      <c r="B1136" s="972">
        <v>448.33</v>
      </c>
      <c r="C1136" s="972">
        <v>1.744</v>
      </c>
      <c r="D1136" s="972">
        <v>3.1E-2</v>
      </c>
      <c r="E1136" s="972">
        <v>8.593</v>
      </c>
      <c r="F1136" s="972">
        <v>0.68600000000000005</v>
      </c>
      <c r="G1136" s="972">
        <v>3.9E-2</v>
      </c>
      <c r="H1136" s="972">
        <v>0</v>
      </c>
      <c r="I1136" s="972">
        <v>13.435</v>
      </c>
      <c r="J1136" s="972">
        <v>0.40100000000000002</v>
      </c>
      <c r="K1136" s="972">
        <v>0</v>
      </c>
      <c r="L1136" s="972">
        <v>1.9410000000000001</v>
      </c>
      <c r="M1136" s="972">
        <v>0</v>
      </c>
      <c r="N1136" s="972">
        <v>0</v>
      </c>
      <c r="O1136" s="972">
        <v>16.501000000000001</v>
      </c>
      <c r="P1136" s="972">
        <v>41.279000000000003</v>
      </c>
      <c r="Q1136" s="972">
        <v>390.55</v>
      </c>
      <c r="R1136" s="962">
        <v>15</v>
      </c>
      <c r="S1136" s="962" t="s">
        <v>4940</v>
      </c>
      <c r="T1136" s="972">
        <v>179.08</v>
      </c>
    </row>
    <row r="1137" spans="1:20">
      <c r="A1137" s="962" t="s">
        <v>3572</v>
      </c>
      <c r="B1137" s="972">
        <v>1222.06</v>
      </c>
      <c r="C1137" s="972">
        <v>22.672999999999998</v>
      </c>
      <c r="D1137" s="972">
        <v>0</v>
      </c>
      <c r="E1137" s="972">
        <v>25.393000000000001</v>
      </c>
      <c r="F1137" s="972">
        <v>3.4929999999999999</v>
      </c>
      <c r="G1137" s="972">
        <v>0</v>
      </c>
      <c r="H1137" s="972">
        <v>0</v>
      </c>
      <c r="I1137" s="972">
        <v>32.744</v>
      </c>
      <c r="J1137" s="972">
        <v>16.986000000000001</v>
      </c>
      <c r="K1137" s="972">
        <v>0</v>
      </c>
      <c r="L1137" s="972">
        <v>1.845</v>
      </c>
      <c r="M1137" s="972">
        <v>0</v>
      </c>
      <c r="N1137" s="972">
        <v>14.356999999999999</v>
      </c>
      <c r="O1137" s="972">
        <v>69.424999999999997</v>
      </c>
      <c r="P1137" s="972">
        <v>70.978999999999999</v>
      </c>
      <c r="Q1137" s="972">
        <v>1081.6569999999999</v>
      </c>
      <c r="R1137" s="962">
        <v>61</v>
      </c>
      <c r="S1137" s="962" t="s">
        <v>4940</v>
      </c>
      <c r="T1137" s="972">
        <v>306.60666666666668</v>
      </c>
    </row>
    <row r="1138" spans="1:20">
      <c r="A1138" s="962" t="s">
        <v>3574</v>
      </c>
      <c r="B1138" s="972">
        <v>1140.066</v>
      </c>
      <c r="C1138" s="972">
        <v>4.4569999999999999</v>
      </c>
      <c r="D1138" s="972">
        <v>0</v>
      </c>
      <c r="E1138" s="972">
        <v>20.286999999999999</v>
      </c>
      <c r="F1138" s="972">
        <v>1.244</v>
      </c>
      <c r="G1138" s="972">
        <v>0.17</v>
      </c>
      <c r="H1138" s="972">
        <v>0</v>
      </c>
      <c r="I1138" s="972">
        <v>29.614999999999998</v>
      </c>
      <c r="J1138" s="972">
        <v>0.44900000000000001</v>
      </c>
      <c r="K1138" s="972">
        <v>0</v>
      </c>
      <c r="L1138" s="972">
        <v>0.754</v>
      </c>
      <c r="M1138" s="972">
        <v>0</v>
      </c>
      <c r="N1138" s="972">
        <v>0.434</v>
      </c>
      <c r="O1138" s="972">
        <v>32.665999999999997</v>
      </c>
      <c r="P1138" s="972">
        <v>53.548000000000002</v>
      </c>
      <c r="Q1138" s="972">
        <v>1053.8520000000001</v>
      </c>
      <c r="R1138" s="962">
        <v>40</v>
      </c>
      <c r="S1138" s="962" t="s">
        <v>4940</v>
      </c>
      <c r="T1138" s="972">
        <v>326.58866666666665</v>
      </c>
    </row>
    <row r="1139" spans="1:20">
      <c r="A1139" s="962" t="s">
        <v>4072</v>
      </c>
      <c r="B1139" s="972">
        <v>343.20800000000003</v>
      </c>
      <c r="C1139" s="972">
        <v>0</v>
      </c>
      <c r="D1139" s="972">
        <v>1.2E-2</v>
      </c>
      <c r="E1139" s="972">
        <v>3.919</v>
      </c>
      <c r="F1139" s="972">
        <v>0.44500000000000001</v>
      </c>
      <c r="G1139" s="972">
        <v>0</v>
      </c>
      <c r="H1139" s="972">
        <v>0</v>
      </c>
      <c r="I1139" s="972">
        <v>16.619</v>
      </c>
      <c r="J1139" s="972">
        <v>0</v>
      </c>
      <c r="K1139" s="972">
        <v>0</v>
      </c>
      <c r="L1139" s="972">
        <v>0.50600000000000001</v>
      </c>
      <c r="M1139" s="972">
        <v>0</v>
      </c>
      <c r="N1139" s="972">
        <v>0</v>
      </c>
      <c r="O1139" s="972">
        <v>17.57</v>
      </c>
      <c r="P1139" s="972">
        <v>14.811</v>
      </c>
      <c r="Q1139" s="972">
        <v>310.82799999999997</v>
      </c>
      <c r="R1139" s="962">
        <v>10</v>
      </c>
      <c r="S1139" s="962" t="s">
        <v>4940</v>
      </c>
      <c r="T1139" s="972">
        <v>84.210499999999996</v>
      </c>
    </row>
    <row r="1140" spans="1:20">
      <c r="A1140" s="962" t="s">
        <v>735</v>
      </c>
      <c r="B1140" s="972">
        <v>173.90799999999999</v>
      </c>
      <c r="C1140" s="972">
        <v>0</v>
      </c>
      <c r="D1140" s="972">
        <v>0</v>
      </c>
      <c r="E1140" s="972">
        <v>11.387</v>
      </c>
      <c r="F1140" s="972">
        <v>0.41</v>
      </c>
      <c r="G1140" s="972">
        <v>0</v>
      </c>
      <c r="H1140" s="972">
        <v>0</v>
      </c>
      <c r="I1140" s="972">
        <v>3.907</v>
      </c>
      <c r="J1140" s="972">
        <v>0</v>
      </c>
      <c r="K1140" s="972">
        <v>0</v>
      </c>
      <c r="L1140" s="972">
        <v>0</v>
      </c>
      <c r="M1140" s="972">
        <v>0</v>
      </c>
      <c r="N1140" s="972">
        <v>0</v>
      </c>
      <c r="O1140" s="972">
        <v>4.3170000000000002</v>
      </c>
      <c r="P1140" s="972">
        <v>9.8859999999999992</v>
      </c>
      <c r="Q1140" s="972">
        <v>159.70500000000001</v>
      </c>
      <c r="R1140" s="962">
        <v>6</v>
      </c>
      <c r="S1140" s="962" t="s">
        <v>4940</v>
      </c>
      <c r="T1140" s="972">
        <v>54.129666666666672</v>
      </c>
    </row>
    <row r="1141" spans="1:20">
      <c r="A1141" s="962" t="s">
        <v>3576</v>
      </c>
      <c r="B1141" s="972">
        <v>665.08699999999999</v>
      </c>
      <c r="C1141" s="972">
        <v>18.542999999999999</v>
      </c>
      <c r="D1141" s="972">
        <v>0</v>
      </c>
      <c r="E1141" s="972">
        <v>42.631999999999998</v>
      </c>
      <c r="F1141" s="972">
        <v>0.997</v>
      </c>
      <c r="G1141" s="972">
        <v>0.13700000000000001</v>
      </c>
      <c r="H1141" s="972">
        <v>0</v>
      </c>
      <c r="I1141" s="972">
        <v>9.9220000000000006</v>
      </c>
      <c r="J1141" s="972">
        <v>3.8319999999999999</v>
      </c>
      <c r="K1141" s="972">
        <v>0.35899999999999999</v>
      </c>
      <c r="L1141" s="972">
        <v>0</v>
      </c>
      <c r="M1141" s="972">
        <v>0</v>
      </c>
      <c r="N1141" s="972">
        <v>0.749</v>
      </c>
      <c r="O1141" s="972">
        <v>15.996</v>
      </c>
      <c r="P1141" s="972">
        <v>43.08</v>
      </c>
      <c r="Q1141" s="972">
        <v>606.01199999999994</v>
      </c>
      <c r="R1141" s="962">
        <v>46</v>
      </c>
      <c r="S1141" s="962" t="s">
        <v>4940</v>
      </c>
      <c r="T1141" s="972">
        <v>187.47816666666665</v>
      </c>
    </row>
    <row r="1142" spans="1:20">
      <c r="A1142" s="962" t="s">
        <v>3577</v>
      </c>
      <c r="B1142" s="972">
        <v>2259.6999999999998</v>
      </c>
      <c r="C1142" s="972">
        <v>109.925</v>
      </c>
      <c r="D1142" s="972">
        <v>0.81399999999999995</v>
      </c>
      <c r="E1142" s="972">
        <v>59.17</v>
      </c>
      <c r="F1142" s="972">
        <v>2.2810000000000001</v>
      </c>
      <c r="G1142" s="972">
        <v>0.14199999999999999</v>
      </c>
      <c r="H1142" s="972">
        <v>0</v>
      </c>
      <c r="I1142" s="972">
        <v>33.817999999999998</v>
      </c>
      <c r="J1142" s="972">
        <v>12.719000000000001</v>
      </c>
      <c r="K1142" s="972">
        <v>4.1120000000000001</v>
      </c>
      <c r="L1142" s="972">
        <v>1.9710000000000001</v>
      </c>
      <c r="M1142" s="972">
        <v>0</v>
      </c>
      <c r="N1142" s="972">
        <v>0.88600000000000001</v>
      </c>
      <c r="O1142" s="972">
        <v>55.927999999999997</v>
      </c>
      <c r="P1142" s="972">
        <v>100.148</v>
      </c>
      <c r="Q1142" s="972">
        <v>2103.6239999999998</v>
      </c>
      <c r="R1142" s="962">
        <v>151</v>
      </c>
      <c r="S1142" s="962" t="s">
        <v>4940</v>
      </c>
      <c r="T1142" s="972">
        <v>592.2983333333334</v>
      </c>
    </row>
    <row r="1143" spans="1:20">
      <c r="A1143" s="962" t="s">
        <v>6190</v>
      </c>
      <c r="B1143" s="972">
        <v>805.846</v>
      </c>
      <c r="C1143" s="972">
        <v>31.710999999999999</v>
      </c>
      <c r="D1143" s="972">
        <v>0.27300000000000002</v>
      </c>
      <c r="E1143" s="972">
        <v>28.271000000000001</v>
      </c>
      <c r="F1143" s="972">
        <v>1.637</v>
      </c>
      <c r="G1143" s="972">
        <v>0.14199999999999999</v>
      </c>
      <c r="H1143" s="972">
        <v>0</v>
      </c>
      <c r="I1143" s="972">
        <v>19.219000000000001</v>
      </c>
      <c r="J1143" s="972">
        <v>10.635</v>
      </c>
      <c r="K1143" s="972">
        <v>0.14899999999999999</v>
      </c>
      <c r="L1143" s="972">
        <v>0</v>
      </c>
      <c r="M1143" s="972">
        <v>0</v>
      </c>
      <c r="N1143" s="972">
        <v>0</v>
      </c>
      <c r="O1143" s="972">
        <v>31.780999999999999</v>
      </c>
      <c r="P1143" s="972">
        <v>66.813999999999993</v>
      </c>
      <c r="Q1143" s="972">
        <v>707.25099999999998</v>
      </c>
      <c r="R1143" s="962">
        <v>52</v>
      </c>
      <c r="S1143" s="962" t="s">
        <v>4940</v>
      </c>
      <c r="T1143" s="972">
        <v>208.91800000000003</v>
      </c>
    </row>
    <row r="1144" spans="1:20">
      <c r="A1144" s="962" t="s">
        <v>3580</v>
      </c>
      <c r="B1144" s="972">
        <v>278.13499999999999</v>
      </c>
      <c r="C1144" s="972">
        <v>19.696000000000002</v>
      </c>
      <c r="D1144" s="972">
        <v>0</v>
      </c>
      <c r="E1144" s="972">
        <v>11.164</v>
      </c>
      <c r="F1144" s="972">
        <v>0.47599999999999998</v>
      </c>
      <c r="G1144" s="972">
        <v>0</v>
      </c>
      <c r="H1144" s="972">
        <v>0</v>
      </c>
      <c r="I1144" s="972">
        <v>2.0539999999999998</v>
      </c>
      <c r="J1144" s="972">
        <v>0.56299999999999994</v>
      </c>
      <c r="K1144" s="972">
        <v>0</v>
      </c>
      <c r="L1144" s="972">
        <v>0</v>
      </c>
      <c r="M1144" s="972">
        <v>0</v>
      </c>
      <c r="N1144" s="972">
        <v>0</v>
      </c>
      <c r="O1144" s="972">
        <v>3.093</v>
      </c>
      <c r="P1144" s="972">
        <v>14.775</v>
      </c>
      <c r="Q1144" s="972">
        <v>260.267</v>
      </c>
      <c r="R1144" s="962">
        <v>19</v>
      </c>
      <c r="S1144" s="962" t="s">
        <v>4940</v>
      </c>
      <c r="T1144" s="972">
        <v>93.302833333333339</v>
      </c>
    </row>
    <row r="1145" spans="1:20">
      <c r="A1145" s="962" t="s">
        <v>1862</v>
      </c>
      <c r="B1145" s="972">
        <v>1002.272</v>
      </c>
      <c r="C1145" s="972">
        <v>44.521999999999998</v>
      </c>
      <c r="D1145" s="972">
        <v>0</v>
      </c>
      <c r="E1145" s="972">
        <v>17.169</v>
      </c>
      <c r="F1145" s="972">
        <v>0.76100000000000001</v>
      </c>
      <c r="G1145" s="972">
        <v>0</v>
      </c>
      <c r="H1145" s="972">
        <v>0</v>
      </c>
      <c r="I1145" s="972">
        <v>18.495000000000001</v>
      </c>
      <c r="J1145" s="972">
        <v>3.6070000000000002</v>
      </c>
      <c r="K1145" s="972">
        <v>1.01</v>
      </c>
      <c r="L1145" s="972">
        <v>1.2609999999999999</v>
      </c>
      <c r="M1145" s="972">
        <v>0</v>
      </c>
      <c r="N1145" s="972">
        <v>0</v>
      </c>
      <c r="O1145" s="972">
        <v>25.135000000000002</v>
      </c>
      <c r="P1145" s="972">
        <v>91.013000000000005</v>
      </c>
      <c r="Q1145" s="972">
        <v>886.125</v>
      </c>
      <c r="R1145" s="962">
        <v>94</v>
      </c>
      <c r="S1145" s="962" t="s">
        <v>4940</v>
      </c>
      <c r="T1145" s="972">
        <v>331.61433333333332</v>
      </c>
    </row>
    <row r="1146" spans="1:20">
      <c r="A1146" s="962" t="s">
        <v>3582</v>
      </c>
      <c r="B1146" s="972">
        <v>944.30700000000002</v>
      </c>
      <c r="C1146" s="972">
        <v>22.558</v>
      </c>
      <c r="D1146" s="972">
        <v>0.158</v>
      </c>
      <c r="E1146" s="972">
        <v>23.309000000000001</v>
      </c>
      <c r="F1146" s="972">
        <v>0.58699999999999997</v>
      </c>
      <c r="G1146" s="972">
        <v>0</v>
      </c>
      <c r="H1146" s="972">
        <v>0</v>
      </c>
      <c r="I1146" s="972">
        <v>10.74</v>
      </c>
      <c r="J1146" s="972">
        <v>3.2350000000000003</v>
      </c>
      <c r="K1146" s="972">
        <v>0.69099999999999995</v>
      </c>
      <c r="L1146" s="972">
        <v>0</v>
      </c>
      <c r="M1146" s="972">
        <v>0</v>
      </c>
      <c r="N1146" s="972">
        <v>1.071</v>
      </c>
      <c r="O1146" s="972">
        <v>16.321999999999999</v>
      </c>
      <c r="P1146" s="972">
        <v>76.563999999999993</v>
      </c>
      <c r="Q1146" s="972">
        <v>851.42100000000005</v>
      </c>
      <c r="R1146" s="962">
        <v>87</v>
      </c>
      <c r="S1146" s="962" t="s">
        <v>4940</v>
      </c>
      <c r="T1146" s="972">
        <v>278.60416666666669</v>
      </c>
    </row>
    <row r="1147" spans="1:20">
      <c r="A1147" s="962" t="s">
        <v>3584</v>
      </c>
      <c r="B1147" s="972">
        <v>702.73099999999999</v>
      </c>
      <c r="C1147" s="972">
        <v>3.8290000000000002</v>
      </c>
      <c r="D1147" s="972">
        <v>0</v>
      </c>
      <c r="E1147" s="972">
        <v>13.474</v>
      </c>
      <c r="F1147" s="972">
        <v>0.76400000000000001</v>
      </c>
      <c r="G1147" s="972">
        <v>0</v>
      </c>
      <c r="H1147" s="972">
        <v>0</v>
      </c>
      <c r="I1147" s="972">
        <v>7.7960000000000003</v>
      </c>
      <c r="J1147" s="972">
        <v>1.3480000000000001</v>
      </c>
      <c r="K1147" s="972">
        <v>0.70399999999999996</v>
      </c>
      <c r="L1147" s="972">
        <v>0</v>
      </c>
      <c r="M1147" s="972">
        <v>0</v>
      </c>
      <c r="N1147" s="972">
        <v>0.216</v>
      </c>
      <c r="O1147" s="972">
        <v>10.827999999999999</v>
      </c>
      <c r="P1147" s="972">
        <v>61.454000000000001</v>
      </c>
      <c r="Q1147" s="972">
        <v>630.45000000000005</v>
      </c>
      <c r="R1147" s="962">
        <v>78</v>
      </c>
      <c r="S1147" s="962" t="s">
        <v>4940</v>
      </c>
      <c r="T1147" s="972">
        <v>216.62416666666667</v>
      </c>
    </row>
    <row r="1148" spans="1:20">
      <c r="A1148" s="962" t="s">
        <v>3586</v>
      </c>
      <c r="B1148" s="972">
        <v>456.75400000000002</v>
      </c>
      <c r="C1148" s="972">
        <v>9.6449999999999996</v>
      </c>
      <c r="D1148" s="972">
        <v>0.432</v>
      </c>
      <c r="E1148" s="972">
        <v>11.577</v>
      </c>
      <c r="F1148" s="972">
        <v>0.26300000000000001</v>
      </c>
      <c r="G1148" s="972">
        <v>0</v>
      </c>
      <c r="H1148" s="972">
        <v>0</v>
      </c>
      <c r="I1148" s="972">
        <v>5.9710000000000001</v>
      </c>
      <c r="J1148" s="972">
        <v>1.4319999999999999</v>
      </c>
      <c r="K1148" s="972">
        <v>0</v>
      </c>
      <c r="L1148" s="972">
        <v>0</v>
      </c>
      <c r="M1148" s="972">
        <v>0</v>
      </c>
      <c r="N1148" s="972">
        <v>0</v>
      </c>
      <c r="O1148" s="972">
        <v>7.6660000000000004</v>
      </c>
      <c r="P1148" s="972">
        <v>23.704000000000001</v>
      </c>
      <c r="Q1148" s="972">
        <v>425.38299999999998</v>
      </c>
      <c r="R1148" s="962">
        <v>12</v>
      </c>
      <c r="S1148" s="962" t="s">
        <v>4940</v>
      </c>
      <c r="T1148" s="972">
        <v>114.58183333333335</v>
      </c>
    </row>
    <row r="1149" spans="1:20">
      <c r="A1149" s="962" t="s">
        <v>3588</v>
      </c>
      <c r="B1149" s="972">
        <v>213.00700000000001</v>
      </c>
      <c r="C1149" s="972">
        <v>11.003</v>
      </c>
      <c r="D1149" s="972">
        <v>0</v>
      </c>
      <c r="E1149" s="972">
        <v>6.1420000000000003</v>
      </c>
      <c r="F1149" s="972">
        <v>2.8000000000000001E-2</v>
      </c>
      <c r="G1149" s="972">
        <v>0.16300000000000001</v>
      </c>
      <c r="H1149" s="972">
        <v>0</v>
      </c>
      <c r="I1149" s="972">
        <v>3.645</v>
      </c>
      <c r="J1149" s="972">
        <v>0</v>
      </c>
      <c r="K1149" s="972">
        <v>0</v>
      </c>
      <c r="L1149" s="972">
        <v>0</v>
      </c>
      <c r="M1149" s="972">
        <v>0</v>
      </c>
      <c r="N1149" s="972">
        <v>0</v>
      </c>
      <c r="O1149" s="972">
        <v>3.835</v>
      </c>
      <c r="P1149" s="972">
        <v>15.278</v>
      </c>
      <c r="Q1149" s="972">
        <v>193.89400000000001</v>
      </c>
      <c r="R1149" s="962">
        <v>12</v>
      </c>
      <c r="S1149" s="962" t="s">
        <v>4940</v>
      </c>
      <c r="T1149" s="972">
        <v>56.001333333333328</v>
      </c>
    </row>
    <row r="1150" spans="1:20">
      <c r="A1150" s="962" t="s">
        <v>3445</v>
      </c>
      <c r="B1150" s="972">
        <v>68.296999999999997</v>
      </c>
      <c r="C1150" s="972">
        <v>0.13800000000000001</v>
      </c>
      <c r="D1150" s="972">
        <v>0</v>
      </c>
      <c r="E1150" s="972">
        <v>7.5659999999999998</v>
      </c>
      <c r="F1150" s="972">
        <v>0.06</v>
      </c>
      <c r="G1150" s="972">
        <v>0</v>
      </c>
      <c r="H1150" s="972">
        <v>0</v>
      </c>
      <c r="I1150" s="972">
        <v>0</v>
      </c>
      <c r="J1150" s="972">
        <v>0</v>
      </c>
      <c r="K1150" s="972">
        <v>0</v>
      </c>
      <c r="L1150" s="972">
        <v>0</v>
      </c>
      <c r="M1150" s="972">
        <v>0</v>
      </c>
      <c r="N1150" s="972">
        <v>0</v>
      </c>
      <c r="O1150" s="972">
        <v>0.06</v>
      </c>
      <c r="P1150" s="972">
        <v>0</v>
      </c>
      <c r="Q1150" s="972">
        <v>68.236999999999995</v>
      </c>
      <c r="R1150" s="962">
        <v>0</v>
      </c>
      <c r="S1150" s="962" t="s">
        <v>3902</v>
      </c>
      <c r="T1150" s="972">
        <v>0</v>
      </c>
    </row>
    <row r="1151" spans="1:20">
      <c r="A1151" s="962" t="s">
        <v>6036</v>
      </c>
      <c r="B1151" s="972">
        <v>235.178</v>
      </c>
      <c r="C1151" s="972">
        <v>6.492</v>
      </c>
      <c r="D1151" s="972">
        <v>0</v>
      </c>
      <c r="E1151" s="972">
        <v>5.2409999999999997</v>
      </c>
      <c r="F1151" s="972">
        <v>0.34100000000000003</v>
      </c>
      <c r="G1151" s="972">
        <v>0</v>
      </c>
      <c r="H1151" s="972">
        <v>0</v>
      </c>
      <c r="I1151" s="972">
        <v>1.321</v>
      </c>
      <c r="J1151" s="972">
        <v>0.41899999999999998</v>
      </c>
      <c r="K1151" s="972">
        <v>0</v>
      </c>
      <c r="L1151" s="972">
        <v>0</v>
      </c>
      <c r="M1151" s="972">
        <v>0</v>
      </c>
      <c r="N1151" s="972">
        <v>0</v>
      </c>
      <c r="O1151" s="972">
        <v>2.08</v>
      </c>
      <c r="P1151" s="972">
        <v>14.074999999999999</v>
      </c>
      <c r="Q1151" s="972">
        <v>219.024</v>
      </c>
      <c r="R1151" s="962">
        <v>28</v>
      </c>
      <c r="S1151" s="962" t="s">
        <v>4940</v>
      </c>
      <c r="T1151" s="972">
        <v>49.000333333333337</v>
      </c>
    </row>
    <row r="1152" spans="1:20">
      <c r="A1152" s="962" t="s">
        <v>2472</v>
      </c>
      <c r="B1152" s="972">
        <v>485.67200000000003</v>
      </c>
      <c r="C1152" s="972">
        <v>20.969000000000001</v>
      </c>
      <c r="D1152" s="972">
        <v>0</v>
      </c>
      <c r="E1152" s="972">
        <v>28.085000000000001</v>
      </c>
      <c r="F1152" s="972">
        <v>0.879</v>
      </c>
      <c r="G1152" s="972">
        <v>0</v>
      </c>
      <c r="H1152" s="972">
        <v>0</v>
      </c>
      <c r="I1152" s="972">
        <v>5.5289999999999999</v>
      </c>
      <c r="J1152" s="972">
        <v>0.86399999999999999</v>
      </c>
      <c r="K1152" s="972">
        <v>0</v>
      </c>
      <c r="L1152" s="972">
        <v>0</v>
      </c>
      <c r="M1152" s="972">
        <v>0</v>
      </c>
      <c r="N1152" s="972">
        <v>0</v>
      </c>
      <c r="O1152" s="972">
        <v>7.2709999999999999</v>
      </c>
      <c r="P1152" s="972">
        <v>34.511000000000003</v>
      </c>
      <c r="Q1152" s="972">
        <v>443.89100000000002</v>
      </c>
      <c r="R1152" s="962">
        <v>45</v>
      </c>
      <c r="S1152" s="962" t="s">
        <v>4940</v>
      </c>
      <c r="T1152" s="972">
        <v>137.2295</v>
      </c>
    </row>
    <row r="1153" spans="1:20">
      <c r="A1153" s="962" t="s">
        <v>2418</v>
      </c>
      <c r="B1153" s="972">
        <v>4475.973</v>
      </c>
      <c r="C1153" s="972">
        <v>251.06700000000001</v>
      </c>
      <c r="D1153" s="972">
        <v>4.34</v>
      </c>
      <c r="E1153" s="972">
        <v>21.128</v>
      </c>
      <c r="F1153" s="972">
        <v>7.6829999999999998</v>
      </c>
      <c r="G1153" s="972">
        <v>8.6999999999999994E-2</v>
      </c>
      <c r="H1153" s="972">
        <v>0</v>
      </c>
      <c r="I1153" s="972">
        <v>120.636</v>
      </c>
      <c r="J1153" s="972">
        <v>38.854999999999997</v>
      </c>
      <c r="K1153" s="972">
        <v>0</v>
      </c>
      <c r="L1153" s="972">
        <v>6.0780000000000003</v>
      </c>
      <c r="M1153" s="972">
        <v>0</v>
      </c>
      <c r="N1153" s="972">
        <v>0</v>
      </c>
      <c r="O1153" s="972">
        <v>173.33500000000001</v>
      </c>
      <c r="P1153" s="972">
        <v>230.608</v>
      </c>
      <c r="Q1153" s="972">
        <v>4072.03</v>
      </c>
      <c r="R1153" s="962">
        <v>536</v>
      </c>
      <c r="S1153" s="962" t="s">
        <v>3902</v>
      </c>
      <c r="T1153" s="972">
        <v>1166.2292499999999</v>
      </c>
    </row>
    <row r="1154" spans="1:20">
      <c r="A1154" s="962" t="s">
        <v>3590</v>
      </c>
      <c r="B1154" s="972">
        <v>188.428</v>
      </c>
      <c r="C1154" s="972">
        <v>8.7249999999999996</v>
      </c>
      <c r="D1154" s="972">
        <v>0</v>
      </c>
      <c r="E1154" s="972">
        <v>4.3289999999999997</v>
      </c>
      <c r="F1154" s="972">
        <v>0.29099999999999998</v>
      </c>
      <c r="G1154" s="972">
        <v>0</v>
      </c>
      <c r="H1154" s="972">
        <v>0</v>
      </c>
      <c r="I1154" s="972">
        <v>3.403</v>
      </c>
      <c r="J1154" s="972">
        <v>1.19</v>
      </c>
      <c r="K1154" s="972">
        <v>0</v>
      </c>
      <c r="L1154" s="972">
        <v>0</v>
      </c>
      <c r="M1154" s="972">
        <v>0</v>
      </c>
      <c r="N1154" s="972">
        <v>0</v>
      </c>
      <c r="O1154" s="972">
        <v>4.8840000000000003</v>
      </c>
      <c r="P1154" s="972">
        <v>12.695</v>
      </c>
      <c r="Q1154" s="972">
        <v>170.85</v>
      </c>
      <c r="R1154" s="962">
        <v>13</v>
      </c>
      <c r="S1154" s="962" t="s">
        <v>4940</v>
      </c>
      <c r="T1154" s="972">
        <v>60.837000000000003</v>
      </c>
    </row>
    <row r="1155" spans="1:20">
      <c r="A1155" s="962" t="s">
        <v>2389</v>
      </c>
      <c r="B1155" s="972">
        <v>9841.4959999999992</v>
      </c>
      <c r="C1155" s="972">
        <v>1377.867</v>
      </c>
      <c r="D1155" s="972">
        <v>6.258</v>
      </c>
      <c r="E1155" s="972">
        <v>271.36399999999998</v>
      </c>
      <c r="F1155" s="972">
        <v>13.113</v>
      </c>
      <c r="G1155" s="972">
        <v>2.629</v>
      </c>
      <c r="H1155" s="972">
        <v>0</v>
      </c>
      <c r="I1155" s="972">
        <v>169.566</v>
      </c>
      <c r="J1155" s="972">
        <v>55.134</v>
      </c>
      <c r="K1155" s="972">
        <v>0</v>
      </c>
      <c r="L1155" s="972">
        <v>15.435</v>
      </c>
      <c r="M1155" s="972">
        <v>0</v>
      </c>
      <c r="N1155" s="972">
        <v>0.214</v>
      </c>
      <c r="O1155" s="972">
        <v>256.08999999999997</v>
      </c>
      <c r="P1155" s="972">
        <v>482.61200000000002</v>
      </c>
      <c r="Q1155" s="972">
        <v>9102.7939999999999</v>
      </c>
      <c r="R1155" s="962">
        <v>1068</v>
      </c>
      <c r="S1155" s="962" t="s">
        <v>3902</v>
      </c>
      <c r="T1155" s="972">
        <v>2562.1239999999998</v>
      </c>
    </row>
    <row r="1156" spans="1:20">
      <c r="A1156" s="962" t="s">
        <v>3594</v>
      </c>
      <c r="B1156" s="972">
        <v>202.751</v>
      </c>
      <c r="C1156" s="972">
        <v>0</v>
      </c>
      <c r="D1156" s="972">
        <v>0</v>
      </c>
      <c r="E1156" s="972">
        <v>3.9060000000000001</v>
      </c>
      <c r="F1156" s="972">
        <v>0.372</v>
      </c>
      <c r="G1156" s="972">
        <v>0</v>
      </c>
      <c r="H1156" s="972">
        <v>0</v>
      </c>
      <c r="I1156" s="972">
        <v>3.2360000000000002</v>
      </c>
      <c r="J1156" s="972">
        <v>0.89500000000000002</v>
      </c>
      <c r="K1156" s="972">
        <v>0</v>
      </c>
      <c r="L1156" s="972">
        <v>0</v>
      </c>
      <c r="M1156" s="972">
        <v>0</v>
      </c>
      <c r="N1156" s="972">
        <v>0</v>
      </c>
      <c r="O1156" s="972">
        <v>4.5039999999999996</v>
      </c>
      <c r="P1156" s="972">
        <v>0.82499999999999996</v>
      </c>
      <c r="Q1156" s="972">
        <v>197.422</v>
      </c>
      <c r="R1156" s="962">
        <v>12</v>
      </c>
      <c r="S1156" s="962" t="s">
        <v>4940</v>
      </c>
      <c r="T1156" s="972">
        <v>59.343499999999992</v>
      </c>
    </row>
    <row r="1157" spans="1:20">
      <c r="A1157" s="962" t="s">
        <v>5319</v>
      </c>
      <c r="B1157" s="972">
        <v>97.515000000000001</v>
      </c>
      <c r="C1157" s="972">
        <v>0</v>
      </c>
      <c r="D1157" s="972">
        <v>0</v>
      </c>
      <c r="E1157" s="972">
        <v>0.59899999999999998</v>
      </c>
      <c r="F1157" s="972">
        <v>7.0999999999999994E-2</v>
      </c>
      <c r="G1157" s="972">
        <v>0</v>
      </c>
      <c r="H1157" s="972">
        <v>0</v>
      </c>
      <c r="I1157" s="972">
        <v>1.901</v>
      </c>
      <c r="J1157" s="972">
        <v>0</v>
      </c>
      <c r="K1157" s="972">
        <v>0</v>
      </c>
      <c r="L1157" s="972">
        <v>0</v>
      </c>
      <c r="M1157" s="972">
        <v>0</v>
      </c>
      <c r="N1157" s="972">
        <v>26.547999999999998</v>
      </c>
      <c r="O1157" s="972">
        <v>28.518999999999998</v>
      </c>
      <c r="P1157" s="972">
        <v>4.4649999999999999</v>
      </c>
      <c r="Q1157" s="972">
        <v>64.531000000000006</v>
      </c>
      <c r="R1157" s="962">
        <v>0</v>
      </c>
      <c r="S1157" s="962" t="s">
        <v>4940</v>
      </c>
      <c r="T1157" s="972">
        <v>82.458999999999989</v>
      </c>
    </row>
    <row r="1158" spans="1:20">
      <c r="A1158" s="962" t="s">
        <v>6241</v>
      </c>
      <c r="B1158" s="972">
        <v>1923.9159999999999</v>
      </c>
      <c r="C1158" s="972">
        <v>48.134999999999998</v>
      </c>
      <c r="D1158" s="972">
        <v>0.60299999999999998</v>
      </c>
      <c r="E1158" s="972">
        <v>29.846</v>
      </c>
      <c r="F1158" s="972">
        <v>2.1520000000000001</v>
      </c>
      <c r="G1158" s="972">
        <v>2E-3</v>
      </c>
      <c r="H1158" s="972">
        <v>0</v>
      </c>
      <c r="I1158" s="972">
        <v>43.493000000000002</v>
      </c>
      <c r="J1158" s="972">
        <v>8.2840000000000007</v>
      </c>
      <c r="K1158" s="972">
        <v>2.17</v>
      </c>
      <c r="L1158" s="972">
        <v>1.268</v>
      </c>
      <c r="M1158" s="972">
        <v>0</v>
      </c>
      <c r="N1158" s="972">
        <v>0</v>
      </c>
      <c r="O1158" s="972">
        <v>57.366999999999997</v>
      </c>
      <c r="P1158" s="972">
        <v>118.691</v>
      </c>
      <c r="Q1158" s="972">
        <v>1747.8579999999999</v>
      </c>
      <c r="R1158" s="962">
        <v>158</v>
      </c>
      <c r="S1158" s="962" t="s">
        <v>4940</v>
      </c>
      <c r="T1158" s="972">
        <v>546.44633333333331</v>
      </c>
    </row>
    <row r="1159" spans="1:20">
      <c r="A1159" s="962" t="s">
        <v>6243</v>
      </c>
      <c r="B1159" s="972">
        <v>849.31200000000001</v>
      </c>
      <c r="C1159" s="972">
        <v>9.8309999999999995</v>
      </c>
      <c r="D1159" s="972">
        <v>0</v>
      </c>
      <c r="E1159" s="972">
        <v>18.21</v>
      </c>
      <c r="F1159" s="972">
        <v>1.1890000000000001</v>
      </c>
      <c r="G1159" s="972">
        <v>0</v>
      </c>
      <c r="H1159" s="972">
        <v>0</v>
      </c>
      <c r="I1159" s="972">
        <v>29.465</v>
      </c>
      <c r="J1159" s="972">
        <v>1.4330000000000001</v>
      </c>
      <c r="K1159" s="972">
        <v>4.3949999999999996</v>
      </c>
      <c r="L1159" s="972">
        <v>0</v>
      </c>
      <c r="M1159" s="972">
        <v>0</v>
      </c>
      <c r="N1159" s="972">
        <v>1.3069999999999999</v>
      </c>
      <c r="O1159" s="972">
        <v>37.787999999999997</v>
      </c>
      <c r="P1159" s="972">
        <v>73.492000000000004</v>
      </c>
      <c r="Q1159" s="972">
        <v>738.03200000000004</v>
      </c>
      <c r="R1159" s="962">
        <v>99</v>
      </c>
      <c r="S1159" s="962" t="s">
        <v>4940</v>
      </c>
      <c r="T1159" s="972">
        <v>254.94783333333334</v>
      </c>
    </row>
    <row r="1160" spans="1:20">
      <c r="A1160" s="962" t="s">
        <v>1832</v>
      </c>
      <c r="B1160" s="972">
        <v>1020.833</v>
      </c>
      <c r="C1160" s="972">
        <v>78.463999999999999</v>
      </c>
      <c r="D1160" s="972">
        <v>0.309</v>
      </c>
      <c r="E1160" s="972">
        <v>14.269</v>
      </c>
      <c r="F1160" s="972">
        <v>1.129</v>
      </c>
      <c r="G1160" s="972">
        <v>0.17799999999999999</v>
      </c>
      <c r="H1160" s="972">
        <v>2.3330000000000002</v>
      </c>
      <c r="I1160" s="972">
        <v>20.181000000000001</v>
      </c>
      <c r="J1160" s="972">
        <v>3.8940000000000001</v>
      </c>
      <c r="K1160" s="972">
        <v>0.99199999999999999</v>
      </c>
      <c r="L1160" s="972">
        <v>3.4359999999999999</v>
      </c>
      <c r="M1160" s="972">
        <v>0</v>
      </c>
      <c r="N1160" s="972">
        <v>8.3759999999999994</v>
      </c>
      <c r="O1160" s="972">
        <v>40.518000000000001</v>
      </c>
      <c r="P1160" s="972">
        <v>60.933999999999997</v>
      </c>
      <c r="Q1160" s="972">
        <v>919.38199999999995</v>
      </c>
      <c r="R1160" s="962">
        <v>82</v>
      </c>
      <c r="S1160" s="962" t="s">
        <v>4940</v>
      </c>
      <c r="T1160" s="972">
        <v>289.16666666666669</v>
      </c>
    </row>
    <row r="1161" spans="1:20">
      <c r="A1161" s="962" t="s">
        <v>6164</v>
      </c>
      <c r="B1161" s="972">
        <v>455.86200000000002</v>
      </c>
      <c r="C1161" s="972">
        <v>24.561</v>
      </c>
      <c r="D1161" s="972">
        <v>0</v>
      </c>
      <c r="E1161" s="972">
        <v>4.8259999999999996</v>
      </c>
      <c r="F1161" s="972">
        <v>0.65800000000000003</v>
      </c>
      <c r="G1161" s="972">
        <v>7.5999999999999998E-2</v>
      </c>
      <c r="H1161" s="972">
        <v>0</v>
      </c>
      <c r="I1161" s="972">
        <v>17.998000000000001</v>
      </c>
      <c r="J1161" s="972">
        <v>0</v>
      </c>
      <c r="K1161" s="972">
        <v>0.70399999999999996</v>
      </c>
      <c r="L1161" s="972">
        <v>0</v>
      </c>
      <c r="M1161" s="972">
        <v>0</v>
      </c>
      <c r="N1161" s="972">
        <v>1.202</v>
      </c>
      <c r="O1161" s="972">
        <v>20.637</v>
      </c>
      <c r="P1161" s="972">
        <v>33.575000000000003</v>
      </c>
      <c r="Q1161" s="972">
        <v>401.649</v>
      </c>
      <c r="R1161" s="962">
        <v>26</v>
      </c>
      <c r="S1161" s="962" t="s">
        <v>4940</v>
      </c>
      <c r="T1161" s="972">
        <v>140.49916666666667</v>
      </c>
    </row>
    <row r="1162" spans="1:20">
      <c r="A1162" s="962" t="s">
        <v>6244</v>
      </c>
      <c r="B1162" s="972">
        <v>2172.422</v>
      </c>
      <c r="C1162" s="972">
        <v>101.14100000000001</v>
      </c>
      <c r="D1162" s="972">
        <v>0</v>
      </c>
      <c r="E1162" s="972">
        <v>72.388999999999996</v>
      </c>
      <c r="F1162" s="972">
        <v>3.129</v>
      </c>
      <c r="G1162" s="972">
        <v>9.0999999999999998E-2</v>
      </c>
      <c r="H1162" s="972">
        <v>0</v>
      </c>
      <c r="I1162" s="972">
        <v>43.633000000000003</v>
      </c>
      <c r="J1162" s="972">
        <v>11.47</v>
      </c>
      <c r="K1162" s="972">
        <v>8.2000000000000003E-2</v>
      </c>
      <c r="L1162" s="972">
        <v>2.1230000000000002</v>
      </c>
      <c r="M1162" s="972">
        <v>0</v>
      </c>
      <c r="N1162" s="972">
        <v>0</v>
      </c>
      <c r="O1162" s="972">
        <v>60.527999999999999</v>
      </c>
      <c r="P1162" s="972">
        <v>139.54</v>
      </c>
      <c r="Q1162" s="972">
        <v>1972.354</v>
      </c>
      <c r="R1162" s="962">
        <v>126</v>
      </c>
      <c r="S1162" s="962" t="s">
        <v>4940</v>
      </c>
      <c r="T1162" s="972">
        <v>604.47699999999998</v>
      </c>
    </row>
    <row r="1163" spans="1:20">
      <c r="A1163" s="962" t="s">
        <v>6246</v>
      </c>
      <c r="B1163" s="972">
        <v>2475.7130000000002</v>
      </c>
      <c r="C1163" s="972">
        <v>106.096</v>
      </c>
      <c r="D1163" s="972">
        <v>0.98699999999999999</v>
      </c>
      <c r="E1163" s="972">
        <v>155.929</v>
      </c>
      <c r="F1163" s="972">
        <v>2.6259999999999999</v>
      </c>
      <c r="G1163" s="972">
        <v>0.14199999999999999</v>
      </c>
      <c r="H1163" s="972">
        <v>0</v>
      </c>
      <c r="I1163" s="972">
        <v>41.228999999999999</v>
      </c>
      <c r="J1163" s="972">
        <v>16.161000000000001</v>
      </c>
      <c r="K1163" s="972">
        <v>0</v>
      </c>
      <c r="L1163" s="972">
        <v>0.92400000000000004</v>
      </c>
      <c r="M1163" s="972">
        <v>0</v>
      </c>
      <c r="N1163" s="972">
        <v>2.4630000000000001</v>
      </c>
      <c r="O1163" s="972">
        <v>63.542000000000002</v>
      </c>
      <c r="P1163" s="972">
        <v>192.73099999999999</v>
      </c>
      <c r="Q1163" s="972">
        <v>2219.44</v>
      </c>
      <c r="R1163" s="962">
        <v>151</v>
      </c>
      <c r="S1163" s="962" t="s">
        <v>4940</v>
      </c>
      <c r="T1163" s="972">
        <v>744.73766666666666</v>
      </c>
    </row>
    <row r="1164" spans="1:20">
      <c r="A1164" s="962" t="s">
        <v>1313</v>
      </c>
      <c r="B1164" s="972">
        <v>402.85700000000003</v>
      </c>
      <c r="C1164" s="972">
        <v>10.638</v>
      </c>
      <c r="D1164" s="972">
        <v>0</v>
      </c>
      <c r="E1164" s="972">
        <v>18.638000000000002</v>
      </c>
      <c r="F1164" s="972">
        <v>0.82199999999999995</v>
      </c>
      <c r="G1164" s="972">
        <v>0</v>
      </c>
      <c r="H1164" s="972">
        <v>0</v>
      </c>
      <c r="I1164" s="972">
        <v>6.1260000000000003</v>
      </c>
      <c r="J1164" s="972">
        <v>0.438</v>
      </c>
      <c r="K1164" s="972">
        <v>0.74099999999999999</v>
      </c>
      <c r="L1164" s="972">
        <v>0</v>
      </c>
      <c r="M1164" s="972">
        <v>0</v>
      </c>
      <c r="N1164" s="972">
        <v>3.6539999999999999</v>
      </c>
      <c r="O1164" s="972">
        <v>11.781000000000001</v>
      </c>
      <c r="P1164" s="972">
        <v>28.420999999999999</v>
      </c>
      <c r="Q1164" s="972">
        <v>362.65499999999997</v>
      </c>
      <c r="R1164" s="962">
        <v>65</v>
      </c>
      <c r="S1164" s="962" t="s">
        <v>4940</v>
      </c>
      <c r="T1164" s="972">
        <v>91.669333333333327</v>
      </c>
    </row>
    <row r="1165" spans="1:20">
      <c r="A1165" s="962" t="s">
        <v>3448</v>
      </c>
      <c r="B1165" s="972">
        <v>211.73099999999999</v>
      </c>
      <c r="C1165" s="972">
        <v>0</v>
      </c>
      <c r="D1165" s="972">
        <v>0</v>
      </c>
      <c r="E1165" s="972">
        <v>1.9330000000000001</v>
      </c>
      <c r="F1165" s="972">
        <v>0.65500000000000003</v>
      </c>
      <c r="G1165" s="972">
        <v>0</v>
      </c>
      <c r="H1165" s="972">
        <v>0</v>
      </c>
      <c r="I1165" s="972">
        <v>0</v>
      </c>
      <c r="J1165" s="972">
        <v>0</v>
      </c>
      <c r="K1165" s="972">
        <v>0</v>
      </c>
      <c r="L1165" s="972">
        <v>0</v>
      </c>
      <c r="M1165" s="972">
        <v>0</v>
      </c>
      <c r="N1165" s="972">
        <v>0</v>
      </c>
      <c r="O1165" s="972">
        <v>0.65500000000000003</v>
      </c>
      <c r="P1165" s="972">
        <v>0</v>
      </c>
      <c r="Q1165" s="972">
        <v>211.07599999999999</v>
      </c>
      <c r="R1165" s="962">
        <v>6</v>
      </c>
      <c r="S1165" s="962" t="s">
        <v>4940</v>
      </c>
      <c r="T1165" s="972">
        <v>0</v>
      </c>
    </row>
    <row r="1166" spans="1:20">
      <c r="A1166" s="962" t="s">
        <v>955</v>
      </c>
      <c r="B1166" s="972">
        <v>753.71900000000005</v>
      </c>
      <c r="C1166" s="972">
        <v>84.989000000000004</v>
      </c>
      <c r="D1166" s="972">
        <v>0.378</v>
      </c>
      <c r="E1166" s="972">
        <v>52.731000000000002</v>
      </c>
      <c r="F1166" s="972">
        <v>1.175</v>
      </c>
      <c r="G1166" s="972">
        <v>5.3999999999999999E-2</v>
      </c>
      <c r="H1166" s="972">
        <v>0</v>
      </c>
      <c r="I1166" s="972">
        <v>5.42</v>
      </c>
      <c r="J1166" s="972">
        <v>5.2869999999999999</v>
      </c>
      <c r="K1166" s="972">
        <v>0.26100000000000001</v>
      </c>
      <c r="L1166" s="972">
        <v>0</v>
      </c>
      <c r="M1166" s="972">
        <v>0</v>
      </c>
      <c r="N1166" s="972">
        <v>0</v>
      </c>
      <c r="O1166" s="972">
        <v>12.198</v>
      </c>
      <c r="P1166" s="972">
        <v>28.277000000000001</v>
      </c>
      <c r="Q1166" s="972">
        <v>713.245</v>
      </c>
      <c r="R1166" s="962">
        <v>44</v>
      </c>
      <c r="S1166" s="962" t="s">
        <v>4940</v>
      </c>
      <c r="T1166" s="972">
        <v>174.90799999999999</v>
      </c>
    </row>
    <row r="1167" spans="1:20">
      <c r="A1167" s="962" t="s">
        <v>3552</v>
      </c>
      <c r="B1167" s="972">
        <v>12881.502</v>
      </c>
      <c r="C1167" s="972">
        <v>437.53399999999999</v>
      </c>
      <c r="D1167" s="972">
        <v>6.35</v>
      </c>
      <c r="E1167" s="972">
        <v>409.40499999999997</v>
      </c>
      <c r="F1167" s="972">
        <v>23.974</v>
      </c>
      <c r="G1167" s="972">
        <v>1.06</v>
      </c>
      <c r="H1167" s="972">
        <v>11.454000000000001</v>
      </c>
      <c r="I1167" s="972">
        <v>128.32300000000001</v>
      </c>
      <c r="J1167" s="972">
        <v>120.364</v>
      </c>
      <c r="K1167" s="972">
        <v>0</v>
      </c>
      <c r="L1167" s="972">
        <v>5.8360000000000003</v>
      </c>
      <c r="M1167" s="972">
        <v>0</v>
      </c>
      <c r="N1167" s="972">
        <v>32.710999999999999</v>
      </c>
      <c r="O1167" s="972">
        <v>323.721</v>
      </c>
      <c r="P1167" s="972">
        <v>748.29100000000005</v>
      </c>
      <c r="Q1167" s="972">
        <v>11809.491</v>
      </c>
      <c r="R1167" s="962">
        <v>752</v>
      </c>
      <c r="S1167" s="962" t="s">
        <v>4940</v>
      </c>
      <c r="T1167" s="972">
        <v>3212.1693333333333</v>
      </c>
    </row>
    <row r="1168" spans="1:20">
      <c r="A1168" s="962" t="s">
        <v>6248</v>
      </c>
      <c r="B1168" s="972">
        <v>107.706</v>
      </c>
      <c r="C1168" s="972">
        <v>4.9829999999999997</v>
      </c>
      <c r="D1168" s="972">
        <v>0</v>
      </c>
      <c r="E1168" s="972">
        <v>2.7050000000000001</v>
      </c>
      <c r="F1168" s="972">
        <v>0.25600000000000001</v>
      </c>
      <c r="G1168" s="972">
        <v>0</v>
      </c>
      <c r="H1168" s="972">
        <v>0</v>
      </c>
      <c r="I1168" s="972">
        <v>2.5649999999999999</v>
      </c>
      <c r="J1168" s="972">
        <v>0</v>
      </c>
      <c r="K1168" s="972">
        <v>0.68799999999999994</v>
      </c>
      <c r="L1168" s="972">
        <v>0</v>
      </c>
      <c r="M1168" s="972">
        <v>0</v>
      </c>
      <c r="N1168" s="972">
        <v>0</v>
      </c>
      <c r="O1168" s="972">
        <v>3.5089999999999999</v>
      </c>
      <c r="P1168" s="972">
        <v>0</v>
      </c>
      <c r="Q1168" s="972">
        <v>104.197</v>
      </c>
      <c r="R1168" s="962">
        <v>22</v>
      </c>
      <c r="S1168" s="962" t="s">
        <v>4940</v>
      </c>
      <c r="T1168" s="972">
        <v>0</v>
      </c>
    </row>
    <row r="1169" spans="1:20">
      <c r="A1169" s="962" t="s">
        <v>3452</v>
      </c>
      <c r="B1169" s="972">
        <v>130.72300000000001</v>
      </c>
      <c r="C1169" s="972">
        <v>2.9529999999999998</v>
      </c>
      <c r="D1169" s="972">
        <v>0</v>
      </c>
      <c r="E1169" s="972">
        <v>0</v>
      </c>
      <c r="F1169" s="972">
        <v>1.0999999999999999E-2</v>
      </c>
      <c r="G1169" s="972">
        <v>0</v>
      </c>
      <c r="H1169" s="972">
        <v>0</v>
      </c>
      <c r="I1169" s="972">
        <v>0</v>
      </c>
      <c r="J1169" s="972">
        <v>0</v>
      </c>
      <c r="K1169" s="972">
        <v>0</v>
      </c>
      <c r="L1169" s="972">
        <v>0</v>
      </c>
      <c r="M1169" s="972">
        <v>0</v>
      </c>
      <c r="N1169" s="972">
        <v>23.138000000000002</v>
      </c>
      <c r="O1169" s="972">
        <v>23.149000000000001</v>
      </c>
      <c r="P1169" s="972">
        <v>47.573</v>
      </c>
      <c r="Q1169" s="972">
        <v>60.002000000000002</v>
      </c>
      <c r="R1169" s="962">
        <v>0</v>
      </c>
      <c r="S1169" s="962" t="s">
        <v>4940</v>
      </c>
      <c r="T1169" s="972">
        <v>130.71950000000001</v>
      </c>
    </row>
    <row r="1170" spans="1:20">
      <c r="A1170" s="962" t="s">
        <v>6182</v>
      </c>
      <c r="B1170" s="972">
        <v>845.476</v>
      </c>
      <c r="C1170" s="972">
        <v>23.942</v>
      </c>
      <c r="D1170" s="972">
        <v>0.152</v>
      </c>
      <c r="E1170" s="972">
        <v>13.826000000000001</v>
      </c>
      <c r="F1170" s="972">
        <v>1.8779999999999999</v>
      </c>
      <c r="G1170" s="972">
        <v>1.0999999999999999E-2</v>
      </c>
      <c r="H1170" s="972">
        <v>0</v>
      </c>
      <c r="I1170" s="972">
        <v>16.166</v>
      </c>
      <c r="J1170" s="972">
        <v>8.0909999999999993</v>
      </c>
      <c r="K1170" s="972">
        <v>0</v>
      </c>
      <c r="L1170" s="972">
        <v>0</v>
      </c>
      <c r="M1170" s="972">
        <v>0</v>
      </c>
      <c r="N1170" s="972">
        <v>0</v>
      </c>
      <c r="O1170" s="972">
        <v>26.146000000000001</v>
      </c>
      <c r="P1170" s="972">
        <v>46.746000000000002</v>
      </c>
      <c r="Q1170" s="972">
        <v>772.58399999999995</v>
      </c>
      <c r="R1170" s="962">
        <v>68</v>
      </c>
      <c r="S1170" s="962" t="s">
        <v>4940</v>
      </c>
      <c r="T1170" s="972">
        <v>255.90766666666667</v>
      </c>
    </row>
    <row r="1171" spans="1:20">
      <c r="A1171" s="962" t="s">
        <v>6250</v>
      </c>
      <c r="B1171" s="972">
        <v>5916.4080000000004</v>
      </c>
      <c r="C1171" s="972">
        <v>621.255</v>
      </c>
      <c r="D1171" s="972">
        <v>1.3380000000000001</v>
      </c>
      <c r="E1171" s="972">
        <v>288.21600000000001</v>
      </c>
      <c r="F1171" s="972">
        <v>4.4219999999999997</v>
      </c>
      <c r="G1171" s="972">
        <v>0.21199999999999999</v>
      </c>
      <c r="H1171" s="972">
        <v>0.52600000000000002</v>
      </c>
      <c r="I1171" s="972">
        <v>40.32</v>
      </c>
      <c r="J1171" s="972">
        <v>25.555</v>
      </c>
      <c r="K1171" s="972">
        <v>15.552</v>
      </c>
      <c r="L1171" s="972">
        <v>0</v>
      </c>
      <c r="M1171" s="972">
        <v>0</v>
      </c>
      <c r="N1171" s="972">
        <v>1.379</v>
      </c>
      <c r="O1171" s="972">
        <v>87.965999999999994</v>
      </c>
      <c r="P1171" s="972">
        <v>382.31200000000001</v>
      </c>
      <c r="Q1171" s="972">
        <v>5446.13</v>
      </c>
      <c r="R1171" s="962">
        <v>439</v>
      </c>
      <c r="S1171" s="962" t="s">
        <v>4940</v>
      </c>
      <c r="T1171" s="972">
        <v>1636.2396666666668</v>
      </c>
    </row>
    <row r="1172" spans="1:20">
      <c r="A1172" s="962" t="s">
        <v>5038</v>
      </c>
      <c r="B1172" s="972">
        <v>1400.5940000000001</v>
      </c>
      <c r="C1172" s="972">
        <v>281.58300000000003</v>
      </c>
      <c r="D1172" s="972">
        <v>1.542</v>
      </c>
      <c r="E1172" s="972">
        <v>81.953999999999994</v>
      </c>
      <c r="F1172" s="972">
        <v>1.274</v>
      </c>
      <c r="G1172" s="972">
        <v>0</v>
      </c>
      <c r="H1172" s="972">
        <v>0</v>
      </c>
      <c r="I1172" s="972">
        <v>28.128</v>
      </c>
      <c r="J1172" s="972">
        <v>9.0299999999999994</v>
      </c>
      <c r="K1172" s="972">
        <v>0</v>
      </c>
      <c r="L1172" s="972">
        <v>0.91700000000000004</v>
      </c>
      <c r="M1172" s="972">
        <v>0</v>
      </c>
      <c r="N1172" s="972">
        <v>0</v>
      </c>
      <c r="O1172" s="972">
        <v>39.347999999999999</v>
      </c>
      <c r="P1172" s="972">
        <v>96.471000000000004</v>
      </c>
      <c r="Q1172" s="972">
        <v>1264.7750000000001</v>
      </c>
      <c r="R1172" s="962">
        <v>158</v>
      </c>
      <c r="S1172" s="962" t="s">
        <v>4940</v>
      </c>
      <c r="T1172" s="972">
        <v>375.73616666666663</v>
      </c>
    </row>
    <row r="1173" spans="1:20">
      <c r="A1173" s="962" t="s">
        <v>5039</v>
      </c>
      <c r="B1173" s="972">
        <v>5104.3720000000003</v>
      </c>
      <c r="C1173" s="972">
        <v>1007.716</v>
      </c>
      <c r="D1173" s="972">
        <v>2.0339999999999998</v>
      </c>
      <c r="E1173" s="972">
        <v>101.904</v>
      </c>
      <c r="F1173" s="972">
        <v>5.95</v>
      </c>
      <c r="G1173" s="972">
        <v>0</v>
      </c>
      <c r="H1173" s="972">
        <v>0</v>
      </c>
      <c r="I1173" s="972">
        <v>56.374000000000002</v>
      </c>
      <c r="J1173" s="972">
        <v>25.562999999999999</v>
      </c>
      <c r="K1173" s="972">
        <v>0</v>
      </c>
      <c r="L1173" s="972">
        <v>0.502</v>
      </c>
      <c r="M1173" s="972">
        <v>0</v>
      </c>
      <c r="N1173" s="972">
        <v>13.144</v>
      </c>
      <c r="O1173" s="972">
        <v>101.533</v>
      </c>
      <c r="P1173" s="972">
        <v>215.84100000000001</v>
      </c>
      <c r="Q1173" s="972">
        <v>4786.9979999999996</v>
      </c>
      <c r="R1173" s="962">
        <v>232</v>
      </c>
      <c r="S1173" s="962" t="s">
        <v>4940</v>
      </c>
      <c r="T1173" s="972">
        <v>1430.3893333333335</v>
      </c>
    </row>
    <row r="1174" spans="1:20">
      <c r="A1174" s="962" t="s">
        <v>2082</v>
      </c>
      <c r="B1174" s="972">
        <v>1892.36</v>
      </c>
      <c r="C1174" s="972">
        <v>435.06799999999998</v>
      </c>
      <c r="D1174" s="972">
        <v>0</v>
      </c>
      <c r="E1174" s="972">
        <v>64.975999999999999</v>
      </c>
      <c r="F1174" s="972">
        <v>2.274</v>
      </c>
      <c r="G1174" s="972">
        <v>0</v>
      </c>
      <c r="H1174" s="972">
        <v>0</v>
      </c>
      <c r="I1174" s="972">
        <v>14.117000000000001</v>
      </c>
      <c r="J1174" s="972">
        <v>17.332000000000001</v>
      </c>
      <c r="K1174" s="972">
        <v>1.484</v>
      </c>
      <c r="L1174" s="972">
        <v>0</v>
      </c>
      <c r="M1174" s="972">
        <v>0</v>
      </c>
      <c r="N1174" s="972">
        <v>0</v>
      </c>
      <c r="O1174" s="972">
        <v>35.207999999999998</v>
      </c>
      <c r="P1174" s="972">
        <v>92.515000000000001</v>
      </c>
      <c r="Q1174" s="972">
        <v>1764.6369999999999</v>
      </c>
      <c r="R1174" s="962">
        <v>82</v>
      </c>
      <c r="S1174" s="962" t="s">
        <v>4940</v>
      </c>
      <c r="T1174" s="972">
        <v>491.096</v>
      </c>
    </row>
    <row r="1175" spans="1:20">
      <c r="A1175" s="962" t="s">
        <v>2084</v>
      </c>
      <c r="B1175" s="972">
        <v>1836.925</v>
      </c>
      <c r="C1175" s="972">
        <v>84.903999999999996</v>
      </c>
      <c r="D1175" s="972">
        <v>1.615</v>
      </c>
      <c r="E1175" s="972">
        <v>27.503</v>
      </c>
      <c r="F1175" s="972">
        <v>2.177</v>
      </c>
      <c r="G1175" s="972">
        <v>8.3000000000000004E-2</v>
      </c>
      <c r="H1175" s="972">
        <v>0</v>
      </c>
      <c r="I1175" s="972">
        <v>39.951999999999998</v>
      </c>
      <c r="J1175" s="972">
        <v>18.823999999999998</v>
      </c>
      <c r="K1175" s="972">
        <v>0</v>
      </c>
      <c r="L1175" s="972">
        <v>3.55</v>
      </c>
      <c r="M1175" s="972">
        <v>0</v>
      </c>
      <c r="N1175" s="972">
        <v>0</v>
      </c>
      <c r="O1175" s="972">
        <v>64.585999999999999</v>
      </c>
      <c r="P1175" s="972">
        <v>114.137</v>
      </c>
      <c r="Q1175" s="972">
        <v>1658.201</v>
      </c>
      <c r="R1175" s="962">
        <v>74</v>
      </c>
      <c r="S1175" s="962" t="s">
        <v>4940</v>
      </c>
      <c r="T1175" s="972">
        <v>513.57866666666666</v>
      </c>
    </row>
    <row r="1176" spans="1:20">
      <c r="A1176" s="962" t="s">
        <v>2086</v>
      </c>
      <c r="B1176" s="972">
        <v>104.712</v>
      </c>
      <c r="C1176" s="972">
        <v>0</v>
      </c>
      <c r="D1176" s="972">
        <v>0</v>
      </c>
      <c r="E1176" s="972">
        <v>7.36</v>
      </c>
      <c r="F1176" s="972">
        <v>0.19400000000000001</v>
      </c>
      <c r="G1176" s="972">
        <v>0</v>
      </c>
      <c r="H1176" s="972">
        <v>0</v>
      </c>
      <c r="I1176" s="972">
        <v>2.0089999999999999</v>
      </c>
      <c r="J1176" s="972">
        <v>0</v>
      </c>
      <c r="K1176" s="972">
        <v>0</v>
      </c>
      <c r="L1176" s="972">
        <v>0</v>
      </c>
      <c r="M1176" s="972">
        <v>0</v>
      </c>
      <c r="N1176" s="972">
        <v>0</v>
      </c>
      <c r="O1176" s="972">
        <v>2.202</v>
      </c>
      <c r="P1176" s="972">
        <v>3.88</v>
      </c>
      <c r="Q1176" s="972">
        <v>98.63</v>
      </c>
      <c r="R1176" s="962">
        <v>0</v>
      </c>
      <c r="S1176" s="962" t="s">
        <v>4940</v>
      </c>
      <c r="T1176" s="972">
        <v>30.105666666666668</v>
      </c>
    </row>
    <row r="1177" spans="1:20">
      <c r="A1177" s="962" t="s">
        <v>2088</v>
      </c>
      <c r="B1177" s="972">
        <v>4648.7039999999997</v>
      </c>
      <c r="C1177" s="972">
        <v>443.899</v>
      </c>
      <c r="D1177" s="972">
        <v>1.994</v>
      </c>
      <c r="E1177" s="972">
        <v>224.523</v>
      </c>
      <c r="F1177" s="972">
        <v>6.2670000000000003</v>
      </c>
      <c r="G1177" s="972">
        <v>1.002</v>
      </c>
      <c r="H1177" s="972">
        <v>0.75</v>
      </c>
      <c r="I1177" s="972">
        <v>89.834000000000003</v>
      </c>
      <c r="J1177" s="972">
        <v>42.712999999999994</v>
      </c>
      <c r="K1177" s="972">
        <v>1.619</v>
      </c>
      <c r="L1177" s="972">
        <v>0</v>
      </c>
      <c r="M1177" s="972">
        <v>9.33</v>
      </c>
      <c r="N1177" s="972">
        <v>24.61</v>
      </c>
      <c r="O1177" s="972">
        <v>176.124</v>
      </c>
      <c r="P1177" s="972">
        <v>398.40499999999997</v>
      </c>
      <c r="Q1177" s="972">
        <v>4074.1759999999999</v>
      </c>
      <c r="R1177" s="962">
        <v>425</v>
      </c>
      <c r="S1177" s="962" t="s">
        <v>4940</v>
      </c>
      <c r="T1177" s="972">
        <v>1313.6408333333331</v>
      </c>
    </row>
    <row r="1178" spans="1:20">
      <c r="A1178" s="962" t="s">
        <v>2090</v>
      </c>
      <c r="B1178" s="972">
        <v>352.83499999999998</v>
      </c>
      <c r="C1178" s="972">
        <v>13.645</v>
      </c>
      <c r="D1178" s="972">
        <v>2.5999999999999999E-2</v>
      </c>
      <c r="E1178" s="972">
        <v>27.353999999999999</v>
      </c>
      <c r="F1178" s="972">
        <v>0.36399999999999999</v>
      </c>
      <c r="G1178" s="972">
        <v>3.5000000000000003E-2</v>
      </c>
      <c r="H1178" s="972">
        <v>0</v>
      </c>
      <c r="I1178" s="972">
        <v>3.012</v>
      </c>
      <c r="J1178" s="972">
        <v>0.122</v>
      </c>
      <c r="K1178" s="972">
        <v>0</v>
      </c>
      <c r="L1178" s="972">
        <v>0</v>
      </c>
      <c r="M1178" s="972">
        <v>0</v>
      </c>
      <c r="N1178" s="972">
        <v>0</v>
      </c>
      <c r="O1178" s="972">
        <v>3.5339999999999998</v>
      </c>
      <c r="P1178" s="972">
        <v>28.768999999999998</v>
      </c>
      <c r="Q1178" s="972">
        <v>320.53199999999998</v>
      </c>
      <c r="R1178" s="962">
        <v>28</v>
      </c>
      <c r="S1178" s="962" t="s">
        <v>4940</v>
      </c>
      <c r="T1178" s="972">
        <v>115.95333333333332</v>
      </c>
    </row>
    <row r="1179" spans="1:20">
      <c r="A1179" s="962" t="s">
        <v>3460</v>
      </c>
      <c r="B1179" s="972">
        <v>440.87099999999998</v>
      </c>
      <c r="C1179" s="972">
        <v>14.96</v>
      </c>
      <c r="D1179" s="972">
        <v>6.5430000000000001</v>
      </c>
      <c r="E1179" s="972">
        <v>92.867000000000004</v>
      </c>
      <c r="F1179" s="972">
        <v>0</v>
      </c>
      <c r="G1179" s="972">
        <v>0.19</v>
      </c>
      <c r="H1179" s="972">
        <v>0</v>
      </c>
      <c r="I1179" s="972">
        <v>0</v>
      </c>
      <c r="J1179" s="972">
        <v>0</v>
      </c>
      <c r="K1179" s="972">
        <v>0</v>
      </c>
      <c r="L1179" s="972">
        <v>0</v>
      </c>
      <c r="M1179" s="972">
        <v>0</v>
      </c>
      <c r="N1179" s="972">
        <v>0</v>
      </c>
      <c r="O1179" s="972">
        <v>0.19</v>
      </c>
      <c r="P1179" s="972">
        <v>15.079000000000001</v>
      </c>
      <c r="Q1179" s="972">
        <v>425.60199999999998</v>
      </c>
      <c r="R1179" s="962">
        <v>0</v>
      </c>
      <c r="S1179" s="962" t="s">
        <v>4940</v>
      </c>
      <c r="T1179" s="972">
        <v>440.86233333333337</v>
      </c>
    </row>
    <row r="1180" spans="1:20">
      <c r="A1180" s="962" t="s">
        <v>7803</v>
      </c>
      <c r="B1180" s="972">
        <v>602.55200000000002</v>
      </c>
      <c r="C1180" s="972">
        <v>32.863999999999997</v>
      </c>
      <c r="D1180" s="972">
        <v>0</v>
      </c>
      <c r="E1180" s="972">
        <v>2.0129999999999999</v>
      </c>
      <c r="F1180" s="972">
        <v>7.6999999999999999E-2</v>
      </c>
      <c r="G1180" s="972">
        <v>0</v>
      </c>
      <c r="H1180" s="972">
        <v>0</v>
      </c>
      <c r="I1180" s="972">
        <v>2.093</v>
      </c>
      <c r="J1180" s="972">
        <v>0</v>
      </c>
      <c r="K1180" s="972">
        <v>0</v>
      </c>
      <c r="L1180" s="972">
        <v>0</v>
      </c>
      <c r="M1180" s="972">
        <v>0</v>
      </c>
      <c r="N1180" s="972">
        <v>0</v>
      </c>
      <c r="O1180" s="972">
        <v>2.17</v>
      </c>
      <c r="P1180" s="972">
        <v>1.9890000000000001</v>
      </c>
      <c r="Q1180" s="972">
        <v>598.39200000000005</v>
      </c>
      <c r="R1180" s="962">
        <v>75</v>
      </c>
      <c r="S1180" s="962" t="s">
        <v>4940</v>
      </c>
      <c r="T1180" s="972">
        <v>65.756</v>
      </c>
    </row>
    <row r="1181" spans="1:20">
      <c r="A1181" s="962" t="s">
        <v>2987</v>
      </c>
      <c r="B1181" s="972">
        <v>23578.91</v>
      </c>
      <c r="C1181" s="972">
        <v>14363.526</v>
      </c>
      <c r="D1181" s="972">
        <v>10.19</v>
      </c>
      <c r="E1181" s="972">
        <v>156.01599999999999</v>
      </c>
      <c r="F1181" s="972">
        <v>3.903</v>
      </c>
      <c r="G1181" s="972">
        <v>2.6259999999999999</v>
      </c>
      <c r="H1181" s="972">
        <v>0.40200000000000002</v>
      </c>
      <c r="I1181" s="972">
        <v>469.24</v>
      </c>
      <c r="J1181" s="972">
        <v>185.887</v>
      </c>
      <c r="K1181" s="972">
        <v>0</v>
      </c>
      <c r="L1181" s="972">
        <v>0.109</v>
      </c>
      <c r="M1181" s="972">
        <v>0</v>
      </c>
      <c r="N1181" s="972">
        <v>0.30099999999999999</v>
      </c>
      <c r="O1181" s="972">
        <v>662.46600000000001</v>
      </c>
      <c r="P1181" s="972">
        <v>742.20699999999999</v>
      </c>
      <c r="Q1181" s="972">
        <v>22174.238000000001</v>
      </c>
      <c r="R1181" s="962">
        <v>2186</v>
      </c>
      <c r="S1181" s="962" t="s">
        <v>4940</v>
      </c>
      <c r="T1181" s="972">
        <v>5326.1128333333327</v>
      </c>
    </row>
    <row r="1182" spans="1:20">
      <c r="A1182" s="962" t="s">
        <v>2417</v>
      </c>
      <c r="B1182" s="972">
        <v>39322.722000000002</v>
      </c>
      <c r="C1182" s="972">
        <v>16185.267</v>
      </c>
      <c r="D1182" s="972">
        <v>12.356999999999999</v>
      </c>
      <c r="E1182" s="972">
        <v>167.69800000000001</v>
      </c>
      <c r="F1182" s="972">
        <v>36.048999999999999</v>
      </c>
      <c r="G1182" s="972">
        <v>3.0960000000000001</v>
      </c>
      <c r="H1182" s="972">
        <v>1.681</v>
      </c>
      <c r="I1182" s="972">
        <v>940.49</v>
      </c>
      <c r="J1182" s="972">
        <v>313.94900000000001</v>
      </c>
      <c r="K1182" s="972">
        <v>0</v>
      </c>
      <c r="L1182" s="972">
        <v>0</v>
      </c>
      <c r="M1182" s="972">
        <v>0</v>
      </c>
      <c r="N1182" s="972">
        <v>0.38</v>
      </c>
      <c r="O1182" s="972">
        <v>1295.6420000000001</v>
      </c>
      <c r="P1182" s="972">
        <v>2532.877</v>
      </c>
      <c r="Q1182" s="972">
        <v>35494.203000000001</v>
      </c>
      <c r="R1182" s="962">
        <v>4821</v>
      </c>
      <c r="S1182" s="962" t="s">
        <v>4940</v>
      </c>
      <c r="T1182" s="972">
        <v>10630.6355</v>
      </c>
    </row>
    <row r="1183" spans="1:20">
      <c r="A1183" s="962" t="s">
        <v>78</v>
      </c>
      <c r="B1183" s="972">
        <v>309.334</v>
      </c>
      <c r="C1183" s="972">
        <v>26.727</v>
      </c>
      <c r="D1183" s="972">
        <v>0</v>
      </c>
      <c r="E1183" s="972">
        <v>9.51</v>
      </c>
      <c r="F1183" s="972">
        <v>0.32200000000000001</v>
      </c>
      <c r="G1183" s="972">
        <v>0</v>
      </c>
      <c r="H1183" s="972">
        <v>0</v>
      </c>
      <c r="I1183" s="972">
        <v>5.0369999999999999</v>
      </c>
      <c r="J1183" s="972">
        <v>0</v>
      </c>
      <c r="K1183" s="972">
        <v>0</v>
      </c>
      <c r="L1183" s="972">
        <v>0</v>
      </c>
      <c r="M1183" s="972">
        <v>0</v>
      </c>
      <c r="N1183" s="972">
        <v>0</v>
      </c>
      <c r="O1183" s="972">
        <v>5.36</v>
      </c>
      <c r="P1183" s="972">
        <v>11.85</v>
      </c>
      <c r="Q1183" s="972">
        <v>292.125</v>
      </c>
      <c r="R1183" s="962">
        <v>5</v>
      </c>
      <c r="S1183" s="962" t="s">
        <v>4940</v>
      </c>
      <c r="T1183" s="972">
        <v>98.070333333333338</v>
      </c>
    </row>
    <row r="1184" spans="1:20">
      <c r="A1184" s="962" t="s">
        <v>80</v>
      </c>
      <c r="B1184" s="972">
        <v>967.15599999999995</v>
      </c>
      <c r="C1184" s="972">
        <v>52.860999999999997</v>
      </c>
      <c r="D1184" s="972">
        <v>0.66700000000000004</v>
      </c>
      <c r="E1184" s="972">
        <v>35.451000000000001</v>
      </c>
      <c r="F1184" s="972">
        <v>0.92600000000000005</v>
      </c>
      <c r="G1184" s="972">
        <v>0</v>
      </c>
      <c r="H1184" s="972">
        <v>0</v>
      </c>
      <c r="I1184" s="972">
        <v>9.5310000000000006</v>
      </c>
      <c r="J1184" s="972">
        <v>0</v>
      </c>
      <c r="K1184" s="972">
        <v>5.1139999999999999</v>
      </c>
      <c r="L1184" s="972">
        <v>0.85699999999999998</v>
      </c>
      <c r="M1184" s="972">
        <v>0</v>
      </c>
      <c r="N1184" s="972">
        <v>0</v>
      </c>
      <c r="O1184" s="972">
        <v>16.428000000000001</v>
      </c>
      <c r="P1184" s="972">
        <v>86.406000000000006</v>
      </c>
      <c r="Q1184" s="972">
        <v>864.322</v>
      </c>
      <c r="R1184" s="962">
        <v>33</v>
      </c>
      <c r="S1184" s="962" t="s">
        <v>4940</v>
      </c>
      <c r="T1184" s="972">
        <v>276.08483333333334</v>
      </c>
    </row>
    <row r="1185" spans="1:20">
      <c r="A1185" s="962" t="s">
        <v>82</v>
      </c>
      <c r="B1185" s="972">
        <v>902.09299999999996</v>
      </c>
      <c r="C1185" s="972">
        <v>60.23</v>
      </c>
      <c r="D1185" s="972">
        <v>0.255</v>
      </c>
      <c r="E1185" s="972">
        <v>12.459</v>
      </c>
      <c r="F1185" s="972">
        <v>0.64300000000000002</v>
      </c>
      <c r="G1185" s="972">
        <v>1.9E-2</v>
      </c>
      <c r="H1185" s="972">
        <v>0</v>
      </c>
      <c r="I1185" s="972">
        <v>12.101000000000001</v>
      </c>
      <c r="J1185" s="972">
        <v>0.77100000000000002</v>
      </c>
      <c r="K1185" s="972">
        <v>0</v>
      </c>
      <c r="L1185" s="972">
        <v>0.38900000000000001</v>
      </c>
      <c r="M1185" s="972">
        <v>0</v>
      </c>
      <c r="N1185" s="972">
        <v>0.16300000000000001</v>
      </c>
      <c r="O1185" s="972">
        <v>14.085000000000001</v>
      </c>
      <c r="P1185" s="972">
        <v>44.362000000000002</v>
      </c>
      <c r="Q1185" s="972">
        <v>843.64599999999996</v>
      </c>
      <c r="R1185" s="962">
        <v>48</v>
      </c>
      <c r="S1185" s="962" t="s">
        <v>4940</v>
      </c>
      <c r="T1185" s="972">
        <v>268.24066666666664</v>
      </c>
    </row>
    <row r="1186" spans="1:20">
      <c r="A1186" s="962" t="s">
        <v>84</v>
      </c>
      <c r="B1186" s="972">
        <v>3265.2089999999998</v>
      </c>
      <c r="C1186" s="972">
        <v>303.80099999999999</v>
      </c>
      <c r="D1186" s="972">
        <v>2.1930000000000001</v>
      </c>
      <c r="E1186" s="972">
        <v>70.192999999999998</v>
      </c>
      <c r="F1186" s="972">
        <v>3.5870000000000002</v>
      </c>
      <c r="G1186" s="972">
        <v>5.0999999999999997E-2</v>
      </c>
      <c r="H1186" s="972">
        <v>0</v>
      </c>
      <c r="I1186" s="972">
        <v>35.734999999999999</v>
      </c>
      <c r="J1186" s="972">
        <v>15.013999999999999</v>
      </c>
      <c r="K1186" s="972">
        <v>1.363</v>
      </c>
      <c r="L1186" s="972">
        <v>4.4980000000000002</v>
      </c>
      <c r="M1186" s="972">
        <v>0</v>
      </c>
      <c r="N1186" s="972">
        <v>0</v>
      </c>
      <c r="O1186" s="972">
        <v>60.247999999999998</v>
      </c>
      <c r="P1186" s="972">
        <v>261.79500000000002</v>
      </c>
      <c r="Q1186" s="972">
        <v>2943.1669999999999</v>
      </c>
      <c r="R1186" s="962">
        <v>427</v>
      </c>
      <c r="S1186" s="962" t="s">
        <v>4940</v>
      </c>
      <c r="T1186" s="972">
        <v>908.8359999999999</v>
      </c>
    </row>
    <row r="1187" spans="1:20">
      <c r="A1187" s="962" t="s">
        <v>86</v>
      </c>
      <c r="B1187" s="972">
        <v>2048.7069999999999</v>
      </c>
      <c r="C1187" s="972">
        <v>155.91999999999999</v>
      </c>
      <c r="D1187" s="972">
        <v>1.7889999999999999</v>
      </c>
      <c r="E1187" s="972">
        <v>42.395000000000003</v>
      </c>
      <c r="F1187" s="972">
        <v>2.919</v>
      </c>
      <c r="G1187" s="972">
        <v>0</v>
      </c>
      <c r="H1187" s="972">
        <v>0</v>
      </c>
      <c r="I1187" s="972">
        <v>29.443999999999999</v>
      </c>
      <c r="J1187" s="972">
        <v>11.511000000000001</v>
      </c>
      <c r="K1187" s="972">
        <v>0.84299999999999997</v>
      </c>
      <c r="L1187" s="972">
        <v>2.4060000000000001</v>
      </c>
      <c r="M1187" s="972">
        <v>0</v>
      </c>
      <c r="N1187" s="972">
        <v>0</v>
      </c>
      <c r="O1187" s="972">
        <v>47.122999999999998</v>
      </c>
      <c r="P1187" s="972">
        <v>128.21100000000001</v>
      </c>
      <c r="Q1187" s="972">
        <v>1873.374</v>
      </c>
      <c r="R1187" s="962">
        <v>135</v>
      </c>
      <c r="S1187" s="962" t="s">
        <v>4940</v>
      </c>
      <c r="T1187" s="972">
        <v>534.46416666666664</v>
      </c>
    </row>
    <row r="1188" spans="1:20">
      <c r="A1188" s="962" t="s">
        <v>88</v>
      </c>
      <c r="B1188" s="972">
        <v>459.61500000000001</v>
      </c>
      <c r="C1188" s="972">
        <v>56.429000000000002</v>
      </c>
      <c r="D1188" s="972">
        <v>0.161</v>
      </c>
      <c r="E1188" s="972">
        <v>5.46</v>
      </c>
      <c r="F1188" s="972">
        <v>0.25700000000000001</v>
      </c>
      <c r="G1188" s="972">
        <v>0</v>
      </c>
      <c r="H1188" s="972">
        <v>0</v>
      </c>
      <c r="I1188" s="972">
        <v>13.353</v>
      </c>
      <c r="J1188" s="972">
        <v>0</v>
      </c>
      <c r="K1188" s="972">
        <v>0</v>
      </c>
      <c r="L1188" s="972">
        <v>0</v>
      </c>
      <c r="M1188" s="972">
        <v>0</v>
      </c>
      <c r="N1188" s="972">
        <v>0</v>
      </c>
      <c r="O1188" s="972">
        <v>13.61</v>
      </c>
      <c r="P1188" s="972">
        <v>31.544</v>
      </c>
      <c r="Q1188" s="972">
        <v>414.46100000000001</v>
      </c>
      <c r="R1188" s="962">
        <v>29</v>
      </c>
      <c r="S1188" s="962" t="s">
        <v>4940</v>
      </c>
      <c r="T1188" s="972">
        <v>149.98983333333334</v>
      </c>
    </row>
    <row r="1189" spans="1:20">
      <c r="A1189" s="962" t="s">
        <v>90</v>
      </c>
      <c r="B1189" s="972">
        <v>321.54199999999997</v>
      </c>
      <c r="C1189" s="972">
        <v>11.635</v>
      </c>
      <c r="D1189" s="972">
        <v>0</v>
      </c>
      <c r="E1189" s="972">
        <v>5.1150000000000002</v>
      </c>
      <c r="F1189" s="972">
        <v>0.41399999999999998</v>
      </c>
      <c r="G1189" s="972">
        <v>0</v>
      </c>
      <c r="H1189" s="972">
        <v>0</v>
      </c>
      <c r="I1189" s="972">
        <v>6.766</v>
      </c>
      <c r="J1189" s="972">
        <v>0.47299999999999998</v>
      </c>
      <c r="K1189" s="972">
        <v>0</v>
      </c>
      <c r="L1189" s="972">
        <v>0</v>
      </c>
      <c r="M1189" s="972">
        <v>0</v>
      </c>
      <c r="N1189" s="972">
        <v>0</v>
      </c>
      <c r="O1189" s="972">
        <v>7.6520000000000001</v>
      </c>
      <c r="P1189" s="972">
        <v>26.888999999999999</v>
      </c>
      <c r="Q1189" s="972">
        <v>287.00099999999998</v>
      </c>
      <c r="R1189" s="962">
        <v>3</v>
      </c>
      <c r="S1189" s="962" t="s">
        <v>4940</v>
      </c>
      <c r="T1189" s="972">
        <v>83.551166666666674</v>
      </c>
    </row>
    <row r="1190" spans="1:20">
      <c r="A1190" s="962" t="s">
        <v>92</v>
      </c>
      <c r="B1190" s="972">
        <v>386.30399999999997</v>
      </c>
      <c r="C1190" s="972">
        <v>96.18</v>
      </c>
      <c r="D1190" s="972">
        <v>0</v>
      </c>
      <c r="E1190" s="972">
        <v>18.082000000000001</v>
      </c>
      <c r="F1190" s="972">
        <v>0.159</v>
      </c>
      <c r="G1190" s="972">
        <v>0</v>
      </c>
      <c r="H1190" s="972">
        <v>0</v>
      </c>
      <c r="I1190" s="972">
        <v>1.2549999999999999</v>
      </c>
      <c r="J1190" s="972">
        <v>0.872</v>
      </c>
      <c r="K1190" s="972">
        <v>0</v>
      </c>
      <c r="L1190" s="972">
        <v>0</v>
      </c>
      <c r="M1190" s="972">
        <v>0</v>
      </c>
      <c r="N1190" s="972">
        <v>0</v>
      </c>
      <c r="O1190" s="972">
        <v>2.286</v>
      </c>
      <c r="P1190" s="972">
        <v>20.213999999999999</v>
      </c>
      <c r="Q1190" s="972">
        <v>363.80399999999997</v>
      </c>
      <c r="R1190" s="962">
        <v>8</v>
      </c>
      <c r="S1190" s="962" t="s">
        <v>4940</v>
      </c>
      <c r="T1190" s="972">
        <v>106.15316666666666</v>
      </c>
    </row>
    <row r="1191" spans="1:20">
      <c r="A1191" s="962" t="s">
        <v>2332</v>
      </c>
      <c r="B1191" s="972">
        <v>133.453</v>
      </c>
      <c r="C1191" s="972">
        <v>7.1159999999999997</v>
      </c>
      <c r="D1191" s="972">
        <v>0</v>
      </c>
      <c r="E1191" s="972">
        <v>0.40600000000000003</v>
      </c>
      <c r="F1191" s="972">
        <v>0.158</v>
      </c>
      <c r="G1191" s="972">
        <v>0</v>
      </c>
      <c r="H1191" s="972">
        <v>0</v>
      </c>
      <c r="I1191" s="972">
        <v>1.42</v>
      </c>
      <c r="J1191" s="972">
        <v>0</v>
      </c>
      <c r="K1191" s="972">
        <v>0</v>
      </c>
      <c r="L1191" s="972">
        <v>0</v>
      </c>
      <c r="M1191" s="972">
        <v>0</v>
      </c>
      <c r="N1191" s="972">
        <v>0</v>
      </c>
      <c r="O1191" s="972">
        <v>1.5780000000000001</v>
      </c>
      <c r="P1191" s="972">
        <v>2.6829999999999998</v>
      </c>
      <c r="Q1191" s="972">
        <v>129.19200000000001</v>
      </c>
      <c r="R1191" s="962">
        <v>0</v>
      </c>
      <c r="S1191" s="962" t="s">
        <v>4940</v>
      </c>
      <c r="T1191" s="972">
        <v>16.461833333333331</v>
      </c>
    </row>
    <row r="1192" spans="1:20">
      <c r="A1192" s="962" t="s">
        <v>2334</v>
      </c>
      <c r="B1192" s="972">
        <v>128.17599999999999</v>
      </c>
      <c r="C1192" s="972">
        <v>0</v>
      </c>
      <c r="D1192" s="972">
        <v>0</v>
      </c>
      <c r="E1192" s="972">
        <v>1.29</v>
      </c>
      <c r="F1192" s="972">
        <v>0.192</v>
      </c>
      <c r="G1192" s="972">
        <v>0</v>
      </c>
      <c r="H1192" s="972">
        <v>0</v>
      </c>
      <c r="I1192" s="972">
        <v>7.0590000000000002</v>
      </c>
      <c r="J1192" s="972">
        <v>0.92500000000000004</v>
      </c>
      <c r="K1192" s="972">
        <v>0</v>
      </c>
      <c r="L1192" s="972">
        <v>0</v>
      </c>
      <c r="M1192" s="972">
        <v>0</v>
      </c>
      <c r="N1192" s="972">
        <v>0</v>
      </c>
      <c r="O1192" s="972">
        <v>8.1760000000000002</v>
      </c>
      <c r="P1192" s="972">
        <v>11.755000000000001</v>
      </c>
      <c r="Q1192" s="972">
        <v>108.246</v>
      </c>
      <c r="R1192" s="962">
        <v>4</v>
      </c>
      <c r="S1192" s="962" t="s">
        <v>4940</v>
      </c>
      <c r="T1192" s="972">
        <v>48.048833333333334</v>
      </c>
    </row>
    <row r="1193" spans="1:20">
      <c r="A1193" s="962" t="s">
        <v>3463</v>
      </c>
      <c r="B1193" s="972">
        <v>167.53299999999999</v>
      </c>
      <c r="C1193" s="972">
        <v>0</v>
      </c>
      <c r="D1193" s="972">
        <v>0</v>
      </c>
      <c r="E1193" s="972">
        <v>5.29</v>
      </c>
      <c r="F1193" s="972">
        <v>0.27800000000000002</v>
      </c>
      <c r="G1193" s="972">
        <v>0</v>
      </c>
      <c r="H1193" s="972">
        <v>0</v>
      </c>
      <c r="I1193" s="972">
        <v>0.67800000000000005</v>
      </c>
      <c r="J1193" s="972">
        <v>1.0999999999999999E-2</v>
      </c>
      <c r="K1193" s="972">
        <v>0</v>
      </c>
      <c r="L1193" s="972">
        <v>0</v>
      </c>
      <c r="M1193" s="972">
        <v>0</v>
      </c>
      <c r="N1193" s="972">
        <v>0</v>
      </c>
      <c r="O1193" s="972">
        <v>0.96699999999999997</v>
      </c>
      <c r="P1193" s="972">
        <v>0</v>
      </c>
      <c r="Q1193" s="972">
        <v>166.566</v>
      </c>
      <c r="R1193" s="962">
        <v>0</v>
      </c>
      <c r="S1193" s="962" t="s">
        <v>4940</v>
      </c>
      <c r="T1193" s="972">
        <v>47.611833333333337</v>
      </c>
    </row>
    <row r="1194" spans="1:20">
      <c r="A1194" s="962" t="s">
        <v>962</v>
      </c>
      <c r="B1194" s="972">
        <v>3108.8530000000001</v>
      </c>
      <c r="C1194" s="972">
        <v>28.795000000000002</v>
      </c>
      <c r="D1194" s="972">
        <v>0</v>
      </c>
      <c r="E1194" s="972">
        <v>13.78</v>
      </c>
      <c r="F1194" s="972">
        <v>6.7530000000000001</v>
      </c>
      <c r="G1194" s="972">
        <v>2.7E-2</v>
      </c>
      <c r="H1194" s="972">
        <v>0</v>
      </c>
      <c r="I1194" s="972">
        <v>95.043000000000006</v>
      </c>
      <c r="J1194" s="972">
        <v>19.175000000000001</v>
      </c>
      <c r="K1194" s="972">
        <v>0</v>
      </c>
      <c r="L1194" s="972">
        <v>0</v>
      </c>
      <c r="M1194" s="972">
        <v>0</v>
      </c>
      <c r="N1194" s="972">
        <v>1.597</v>
      </c>
      <c r="O1194" s="972">
        <v>122.595</v>
      </c>
      <c r="P1194" s="972">
        <v>140.59700000000001</v>
      </c>
      <c r="Q1194" s="972">
        <v>2845.6619999999998</v>
      </c>
      <c r="R1194" s="962">
        <v>174</v>
      </c>
      <c r="S1194" s="962" t="s">
        <v>4940</v>
      </c>
      <c r="T1194" s="972">
        <v>788.26333333333332</v>
      </c>
    </row>
    <row r="1195" spans="1:20">
      <c r="A1195" s="962" t="s">
        <v>2336</v>
      </c>
      <c r="B1195" s="972">
        <v>443.25</v>
      </c>
      <c r="C1195" s="972">
        <v>2.8</v>
      </c>
      <c r="D1195" s="972">
        <v>0</v>
      </c>
      <c r="E1195" s="972">
        <v>29.542000000000002</v>
      </c>
      <c r="F1195" s="972">
        <v>0.71599999999999997</v>
      </c>
      <c r="G1195" s="972">
        <v>0</v>
      </c>
      <c r="H1195" s="972">
        <v>0</v>
      </c>
      <c r="I1195" s="972">
        <v>6.3440000000000003</v>
      </c>
      <c r="J1195" s="972">
        <v>1.1200000000000001</v>
      </c>
      <c r="K1195" s="972">
        <v>0</v>
      </c>
      <c r="L1195" s="972">
        <v>0</v>
      </c>
      <c r="M1195" s="972">
        <v>0</v>
      </c>
      <c r="N1195" s="972">
        <v>0</v>
      </c>
      <c r="O1195" s="972">
        <v>8.18</v>
      </c>
      <c r="P1195" s="972">
        <v>26.556000000000001</v>
      </c>
      <c r="Q1195" s="972">
        <v>408.51400000000001</v>
      </c>
      <c r="R1195" s="962">
        <v>43</v>
      </c>
      <c r="S1195" s="962" t="s">
        <v>4940</v>
      </c>
      <c r="T1195" s="972">
        <v>126.02249999999998</v>
      </c>
    </row>
    <row r="1196" spans="1:20">
      <c r="A1196" s="962" t="s">
        <v>2338</v>
      </c>
      <c r="B1196" s="972">
        <v>1679.11</v>
      </c>
      <c r="C1196" s="972">
        <v>3.081</v>
      </c>
      <c r="D1196" s="972">
        <v>6.7000000000000004E-2</v>
      </c>
      <c r="E1196" s="972">
        <v>65.239000000000004</v>
      </c>
      <c r="F1196" s="972">
        <v>2.31</v>
      </c>
      <c r="G1196" s="972">
        <v>5.0000000000000001E-3</v>
      </c>
      <c r="H1196" s="972">
        <v>0</v>
      </c>
      <c r="I1196" s="972">
        <v>26.972000000000001</v>
      </c>
      <c r="J1196" s="972">
        <v>6.91</v>
      </c>
      <c r="K1196" s="972">
        <v>0</v>
      </c>
      <c r="L1196" s="972">
        <v>0</v>
      </c>
      <c r="M1196" s="972">
        <v>0</v>
      </c>
      <c r="N1196" s="972">
        <v>0</v>
      </c>
      <c r="O1196" s="972">
        <v>36.195</v>
      </c>
      <c r="P1196" s="972">
        <v>95.873999999999995</v>
      </c>
      <c r="Q1196" s="972">
        <v>1547.0409999999999</v>
      </c>
      <c r="R1196" s="962">
        <v>97</v>
      </c>
      <c r="S1196" s="962" t="s">
        <v>4940</v>
      </c>
      <c r="T1196" s="972">
        <v>509.82483333333334</v>
      </c>
    </row>
    <row r="1197" spans="1:20">
      <c r="A1197" s="962" t="s">
        <v>2340</v>
      </c>
      <c r="B1197" s="972">
        <v>13920.72</v>
      </c>
      <c r="C1197" s="972">
        <v>751.24199999999996</v>
      </c>
      <c r="D1197" s="972">
        <v>6.4850000000000003</v>
      </c>
      <c r="E1197" s="972">
        <v>35.941000000000003</v>
      </c>
      <c r="F1197" s="972">
        <v>31.06</v>
      </c>
      <c r="G1197" s="972">
        <v>1.0109999999999999</v>
      </c>
      <c r="H1197" s="972">
        <v>11.143000000000001</v>
      </c>
      <c r="I1197" s="972">
        <v>593.33399999999995</v>
      </c>
      <c r="J1197" s="972">
        <v>110.85</v>
      </c>
      <c r="K1197" s="972">
        <v>2.2200000000000002</v>
      </c>
      <c r="L1197" s="972">
        <v>22.030999999999999</v>
      </c>
      <c r="M1197" s="972">
        <v>0</v>
      </c>
      <c r="N1197" s="972">
        <v>2.6890000000000001</v>
      </c>
      <c r="O1197" s="972">
        <v>774.33399999999995</v>
      </c>
      <c r="P1197" s="972">
        <v>522.15099999999995</v>
      </c>
      <c r="Q1197" s="972">
        <v>12624.236000000001</v>
      </c>
      <c r="R1197" s="962">
        <v>713</v>
      </c>
      <c r="S1197" s="962" t="s">
        <v>4940</v>
      </c>
      <c r="T1197" s="972">
        <v>3679.3201666666669</v>
      </c>
    </row>
    <row r="1198" spans="1:20">
      <c r="A1198" s="962" t="s">
        <v>738</v>
      </c>
      <c r="B1198" s="972">
        <v>848.46699999999998</v>
      </c>
      <c r="C1198" s="972">
        <v>11.708</v>
      </c>
      <c r="D1198" s="972">
        <v>0.14899999999999999</v>
      </c>
      <c r="E1198" s="972">
        <v>38.881999999999998</v>
      </c>
      <c r="F1198" s="972">
        <v>1.3080000000000001</v>
      </c>
      <c r="G1198" s="972">
        <v>0</v>
      </c>
      <c r="H1198" s="972">
        <v>0</v>
      </c>
      <c r="I1198" s="972">
        <v>5.7450000000000001</v>
      </c>
      <c r="J1198" s="972">
        <v>2.641</v>
      </c>
      <c r="K1198" s="972">
        <v>0</v>
      </c>
      <c r="L1198" s="972">
        <v>0</v>
      </c>
      <c r="M1198" s="972">
        <v>0</v>
      </c>
      <c r="N1198" s="972">
        <v>0</v>
      </c>
      <c r="O1198" s="972">
        <v>9.6940000000000008</v>
      </c>
      <c r="P1198" s="972">
        <v>45.652999999999999</v>
      </c>
      <c r="Q1198" s="972">
        <v>793.12</v>
      </c>
      <c r="R1198" s="962">
        <v>69</v>
      </c>
      <c r="S1198" s="962" t="s">
        <v>4940</v>
      </c>
      <c r="T1198" s="972">
        <v>216.63650000000001</v>
      </c>
    </row>
    <row r="1199" spans="1:20">
      <c r="A1199" s="962" t="s">
        <v>3219</v>
      </c>
      <c r="B1199" s="972">
        <v>103.652</v>
      </c>
      <c r="C1199" s="972">
        <v>0</v>
      </c>
      <c r="D1199" s="972">
        <v>0</v>
      </c>
      <c r="E1199" s="972">
        <v>6.6929999999999996</v>
      </c>
      <c r="F1199" s="972">
        <v>1.6E-2</v>
      </c>
      <c r="G1199" s="972">
        <v>0</v>
      </c>
      <c r="H1199" s="972">
        <v>0</v>
      </c>
      <c r="I1199" s="972">
        <v>1.865</v>
      </c>
      <c r="J1199" s="972">
        <v>0</v>
      </c>
      <c r="K1199" s="972">
        <v>0</v>
      </c>
      <c r="L1199" s="972">
        <v>0</v>
      </c>
      <c r="M1199" s="972">
        <v>0</v>
      </c>
      <c r="N1199" s="972">
        <v>0</v>
      </c>
      <c r="O1199" s="972">
        <v>1.881</v>
      </c>
      <c r="P1199" s="972">
        <v>5.5369999999999999</v>
      </c>
      <c r="Q1199" s="972">
        <v>96.233999999999995</v>
      </c>
      <c r="R1199" s="962">
        <v>19</v>
      </c>
      <c r="S1199" s="962" t="s">
        <v>4940</v>
      </c>
      <c r="T1199" s="972">
        <v>37.430666666666667</v>
      </c>
    </row>
    <row r="1200" spans="1:20">
      <c r="A1200" s="962" t="s">
        <v>608</v>
      </c>
      <c r="B1200" s="972">
        <v>2139.4580000000001</v>
      </c>
      <c r="C1200" s="972">
        <v>128.25399999999999</v>
      </c>
      <c r="D1200" s="972">
        <v>0.58199999999999996</v>
      </c>
      <c r="E1200" s="972">
        <v>52.302</v>
      </c>
      <c r="F1200" s="972">
        <v>3.3359999999999999</v>
      </c>
      <c r="G1200" s="972">
        <v>0</v>
      </c>
      <c r="H1200" s="972">
        <v>0</v>
      </c>
      <c r="I1200" s="972">
        <v>37.295000000000002</v>
      </c>
      <c r="J1200" s="972">
        <v>10.847</v>
      </c>
      <c r="K1200" s="972">
        <v>0</v>
      </c>
      <c r="L1200" s="972">
        <v>0</v>
      </c>
      <c r="M1200" s="972">
        <v>0</v>
      </c>
      <c r="N1200" s="972">
        <v>22.332999999999998</v>
      </c>
      <c r="O1200" s="972">
        <v>73.81</v>
      </c>
      <c r="P1200" s="972">
        <v>91.293999999999997</v>
      </c>
      <c r="Q1200" s="972">
        <v>1974.354</v>
      </c>
      <c r="R1200" s="962">
        <v>175</v>
      </c>
      <c r="S1200" s="962" t="s">
        <v>4940</v>
      </c>
      <c r="T1200" s="972">
        <v>606.75450000000001</v>
      </c>
    </row>
    <row r="1201" spans="1:20">
      <c r="A1201" s="962" t="s">
        <v>610</v>
      </c>
      <c r="B1201" s="972">
        <v>186.46600000000001</v>
      </c>
      <c r="C1201" s="972">
        <v>0.97699999999999998</v>
      </c>
      <c r="D1201" s="972">
        <v>0.26700000000000002</v>
      </c>
      <c r="E1201" s="972">
        <v>5.3250000000000002</v>
      </c>
      <c r="F1201" s="972">
        <v>1.7999999999999999E-2</v>
      </c>
      <c r="G1201" s="972">
        <v>3.2000000000000001E-2</v>
      </c>
      <c r="H1201" s="972">
        <v>0</v>
      </c>
      <c r="I1201" s="972">
        <v>0</v>
      </c>
      <c r="J1201" s="972">
        <v>0</v>
      </c>
      <c r="K1201" s="972">
        <v>0</v>
      </c>
      <c r="L1201" s="972">
        <v>0</v>
      </c>
      <c r="M1201" s="972">
        <v>0</v>
      </c>
      <c r="N1201" s="972">
        <v>0</v>
      </c>
      <c r="O1201" s="972">
        <v>0.05</v>
      </c>
      <c r="P1201" s="972">
        <v>14.461</v>
      </c>
      <c r="Q1201" s="972">
        <v>171.95599999999999</v>
      </c>
      <c r="R1201" s="962">
        <v>18</v>
      </c>
      <c r="S1201" s="962" t="s">
        <v>4940</v>
      </c>
      <c r="T1201" s="972">
        <v>57.706499999999998</v>
      </c>
    </row>
    <row r="1202" spans="1:20">
      <c r="A1202" s="962" t="s">
        <v>6145</v>
      </c>
      <c r="B1202" s="972">
        <v>448.62400000000002</v>
      </c>
      <c r="C1202" s="972">
        <v>53.351999999999997</v>
      </c>
      <c r="D1202" s="972">
        <v>0</v>
      </c>
      <c r="E1202" s="972">
        <v>9.9960000000000004</v>
      </c>
      <c r="F1202" s="972">
        <v>0.32300000000000001</v>
      </c>
      <c r="G1202" s="972">
        <v>0</v>
      </c>
      <c r="H1202" s="972">
        <v>0</v>
      </c>
      <c r="I1202" s="972">
        <v>5.3849999999999998</v>
      </c>
      <c r="J1202" s="972">
        <v>0.98499999999999999</v>
      </c>
      <c r="K1202" s="972">
        <v>0</v>
      </c>
      <c r="L1202" s="972">
        <v>0</v>
      </c>
      <c r="M1202" s="972">
        <v>0</v>
      </c>
      <c r="N1202" s="972">
        <v>0</v>
      </c>
      <c r="O1202" s="972">
        <v>6.6920000000000002</v>
      </c>
      <c r="P1202" s="972">
        <v>19.423999999999999</v>
      </c>
      <c r="Q1202" s="972">
        <v>422.50900000000001</v>
      </c>
      <c r="R1202" s="962">
        <v>35</v>
      </c>
      <c r="S1202" s="962" t="s">
        <v>3902</v>
      </c>
      <c r="T1202" s="972">
        <v>103.67325</v>
      </c>
    </row>
    <row r="1203" spans="1:20">
      <c r="A1203" s="962" t="s">
        <v>2998</v>
      </c>
      <c r="B1203" s="972">
        <v>1459.992</v>
      </c>
      <c r="C1203" s="972">
        <v>145.18</v>
      </c>
      <c r="D1203" s="972">
        <v>0.55600000000000005</v>
      </c>
      <c r="E1203" s="972">
        <v>53.45</v>
      </c>
      <c r="F1203" s="972">
        <v>0.78200000000000003</v>
      </c>
      <c r="G1203" s="972">
        <v>2.5999999999999999E-2</v>
      </c>
      <c r="H1203" s="972">
        <v>0</v>
      </c>
      <c r="I1203" s="972">
        <v>20.38</v>
      </c>
      <c r="J1203" s="972">
        <v>7.5590000000000002</v>
      </c>
      <c r="K1203" s="972">
        <v>0</v>
      </c>
      <c r="L1203" s="972">
        <v>0</v>
      </c>
      <c r="M1203" s="972">
        <v>0</v>
      </c>
      <c r="N1203" s="972">
        <v>0</v>
      </c>
      <c r="O1203" s="972">
        <v>28.745999999999999</v>
      </c>
      <c r="P1203" s="972">
        <v>129.929</v>
      </c>
      <c r="Q1203" s="972">
        <v>1301.317</v>
      </c>
      <c r="R1203" s="962">
        <v>73</v>
      </c>
      <c r="S1203" s="962" t="s">
        <v>3902</v>
      </c>
      <c r="T1203" s="972">
        <v>410.57599999999996</v>
      </c>
    </row>
    <row r="1204" spans="1:20">
      <c r="A1204" s="962" t="s">
        <v>2766</v>
      </c>
      <c r="B1204" s="972">
        <v>2049.5529999999999</v>
      </c>
      <c r="C1204" s="972">
        <v>154.386</v>
      </c>
      <c r="D1204" s="972">
        <v>1.637</v>
      </c>
      <c r="E1204" s="972">
        <v>50.767000000000003</v>
      </c>
      <c r="F1204" s="972">
        <v>1.585</v>
      </c>
      <c r="G1204" s="972">
        <v>0.29499999999999998</v>
      </c>
      <c r="H1204" s="972">
        <v>0</v>
      </c>
      <c r="I1204" s="972">
        <v>22.696000000000002</v>
      </c>
      <c r="J1204" s="972">
        <v>16.928000000000001</v>
      </c>
      <c r="K1204" s="972">
        <v>0</v>
      </c>
      <c r="L1204" s="972">
        <v>0</v>
      </c>
      <c r="M1204" s="972">
        <v>0</v>
      </c>
      <c r="N1204" s="972">
        <v>0</v>
      </c>
      <c r="O1204" s="972">
        <v>41.503</v>
      </c>
      <c r="P1204" s="972">
        <v>98.853999999999999</v>
      </c>
      <c r="Q1204" s="972">
        <v>1909.1959999999999</v>
      </c>
      <c r="R1204" s="962">
        <v>107</v>
      </c>
      <c r="S1204" s="962" t="s">
        <v>3902</v>
      </c>
      <c r="T1204" s="972">
        <v>531.82050000000004</v>
      </c>
    </row>
    <row r="1205" spans="1:20">
      <c r="A1205" s="962" t="s">
        <v>5040</v>
      </c>
      <c r="B1205" s="972">
        <v>269.702</v>
      </c>
      <c r="C1205" s="972">
        <v>28.529</v>
      </c>
      <c r="D1205" s="972">
        <v>0</v>
      </c>
      <c r="E1205" s="972">
        <v>15.962999999999999</v>
      </c>
      <c r="F1205" s="972">
        <v>7.2999999999999995E-2</v>
      </c>
      <c r="G1205" s="972">
        <v>0</v>
      </c>
      <c r="H1205" s="972">
        <v>0</v>
      </c>
      <c r="I1205" s="972">
        <v>1.988</v>
      </c>
      <c r="J1205" s="972">
        <v>0</v>
      </c>
      <c r="K1205" s="972">
        <v>0</v>
      </c>
      <c r="L1205" s="972">
        <v>0</v>
      </c>
      <c r="M1205" s="972">
        <v>0</v>
      </c>
      <c r="N1205" s="972">
        <v>0</v>
      </c>
      <c r="O1205" s="972">
        <v>2.0609999999999999</v>
      </c>
      <c r="P1205" s="972">
        <v>12.311</v>
      </c>
      <c r="Q1205" s="972">
        <v>255.33</v>
      </c>
      <c r="R1205" s="962">
        <v>5</v>
      </c>
      <c r="S1205" s="962" t="s">
        <v>4940</v>
      </c>
      <c r="T1205" s="972">
        <v>75.749833333333328</v>
      </c>
    </row>
    <row r="1206" spans="1:20">
      <c r="A1206" s="962" t="s">
        <v>1307</v>
      </c>
      <c r="B1206" s="972">
        <v>950.87099999999998</v>
      </c>
      <c r="C1206" s="972">
        <v>119.029</v>
      </c>
      <c r="D1206" s="972">
        <v>6.3E-2</v>
      </c>
      <c r="E1206" s="972">
        <v>3.9969999999999999</v>
      </c>
      <c r="F1206" s="972">
        <v>1.8</v>
      </c>
      <c r="G1206" s="972">
        <v>0</v>
      </c>
      <c r="H1206" s="972">
        <v>0</v>
      </c>
      <c r="I1206" s="972">
        <v>28.111999999999998</v>
      </c>
      <c r="J1206" s="972">
        <v>4.633</v>
      </c>
      <c r="K1206" s="972">
        <v>0</v>
      </c>
      <c r="L1206" s="972">
        <v>0</v>
      </c>
      <c r="M1206" s="972">
        <v>0</v>
      </c>
      <c r="N1206" s="972">
        <v>0.52100000000000002</v>
      </c>
      <c r="O1206" s="972">
        <v>35.066000000000003</v>
      </c>
      <c r="P1206" s="972">
        <v>64.025000000000006</v>
      </c>
      <c r="Q1206" s="972">
        <v>851.78099999999995</v>
      </c>
      <c r="R1206" s="962">
        <v>62</v>
      </c>
      <c r="S1206" s="962" t="s">
        <v>4940</v>
      </c>
      <c r="T1206" s="972">
        <v>307.36683333333332</v>
      </c>
    </row>
    <row r="1207" spans="1:20">
      <c r="A1207" s="962" t="s">
        <v>1319</v>
      </c>
      <c r="B1207" s="972">
        <v>9948.5409999999993</v>
      </c>
      <c r="C1207" s="972">
        <v>1042.567</v>
      </c>
      <c r="D1207" s="972">
        <v>1.5940000000000001</v>
      </c>
      <c r="E1207" s="972">
        <v>94.596000000000004</v>
      </c>
      <c r="F1207" s="972">
        <v>18.506</v>
      </c>
      <c r="G1207" s="972">
        <v>0.222</v>
      </c>
      <c r="H1207" s="972">
        <v>2.806</v>
      </c>
      <c r="I1207" s="972">
        <v>189.55799999999999</v>
      </c>
      <c r="J1207" s="972">
        <v>72.253</v>
      </c>
      <c r="K1207" s="972">
        <v>0</v>
      </c>
      <c r="L1207" s="972">
        <v>10.843</v>
      </c>
      <c r="M1207" s="972">
        <v>0</v>
      </c>
      <c r="N1207" s="972">
        <v>1.0880000000000001</v>
      </c>
      <c r="O1207" s="972">
        <v>295.274</v>
      </c>
      <c r="P1207" s="972">
        <v>483.11900000000003</v>
      </c>
      <c r="Q1207" s="972">
        <v>9170.1479999999992</v>
      </c>
      <c r="R1207" s="962">
        <v>829</v>
      </c>
      <c r="S1207" s="962" t="s">
        <v>4940</v>
      </c>
      <c r="T1207" s="972">
        <v>2820.3995</v>
      </c>
    </row>
    <row r="1208" spans="1:20">
      <c r="A1208" s="962" t="s">
        <v>1856</v>
      </c>
      <c r="B1208" s="972">
        <v>388.21</v>
      </c>
      <c r="C1208" s="972">
        <v>22.187000000000001</v>
      </c>
      <c r="D1208" s="972">
        <v>0</v>
      </c>
      <c r="E1208" s="972">
        <v>11.551</v>
      </c>
      <c r="F1208" s="972">
        <v>0.41799999999999998</v>
      </c>
      <c r="G1208" s="972">
        <v>0</v>
      </c>
      <c r="H1208" s="972">
        <v>0</v>
      </c>
      <c r="I1208" s="972">
        <v>7.915</v>
      </c>
      <c r="J1208" s="972">
        <v>1.4750000000000001</v>
      </c>
      <c r="K1208" s="972">
        <v>2.4009999999999998</v>
      </c>
      <c r="L1208" s="972">
        <v>0</v>
      </c>
      <c r="M1208" s="972">
        <v>0</v>
      </c>
      <c r="N1208" s="972">
        <v>0</v>
      </c>
      <c r="O1208" s="972">
        <v>12.209</v>
      </c>
      <c r="P1208" s="972">
        <v>29.372</v>
      </c>
      <c r="Q1208" s="972">
        <v>346.62799999999999</v>
      </c>
      <c r="R1208" s="962">
        <v>15</v>
      </c>
      <c r="S1208" s="962" t="s">
        <v>4940</v>
      </c>
      <c r="T1208" s="972">
        <v>136.24866666666668</v>
      </c>
    </row>
    <row r="1209" spans="1:20">
      <c r="A1209" s="962" t="s">
        <v>6020</v>
      </c>
      <c r="B1209" s="972">
        <v>5145.134</v>
      </c>
      <c r="C1209" s="972">
        <v>278.59699999999998</v>
      </c>
      <c r="D1209" s="972">
        <v>1.385</v>
      </c>
      <c r="E1209" s="972">
        <v>178.22800000000001</v>
      </c>
      <c r="F1209" s="972">
        <v>7.8250000000000002</v>
      </c>
      <c r="G1209" s="972">
        <v>0.122</v>
      </c>
      <c r="H1209" s="972">
        <v>0</v>
      </c>
      <c r="I1209" s="972">
        <v>30.568999999999999</v>
      </c>
      <c r="J1209" s="972">
        <v>25.335999999999999</v>
      </c>
      <c r="K1209" s="972">
        <v>0.13400000000000001</v>
      </c>
      <c r="L1209" s="972">
        <v>8.548</v>
      </c>
      <c r="M1209" s="972">
        <v>0</v>
      </c>
      <c r="N1209" s="972">
        <v>1.2509999999999999</v>
      </c>
      <c r="O1209" s="972">
        <v>73.781999999999996</v>
      </c>
      <c r="P1209" s="972">
        <v>148.13499999999999</v>
      </c>
      <c r="Q1209" s="972">
        <v>4923.2179999999998</v>
      </c>
      <c r="R1209" s="962">
        <v>241</v>
      </c>
      <c r="S1209" s="962" t="s">
        <v>4940</v>
      </c>
      <c r="T1209" s="972">
        <v>1231.3723333333335</v>
      </c>
    </row>
    <row r="1210" spans="1:20">
      <c r="A1210" s="962" t="s">
        <v>611</v>
      </c>
      <c r="B1210" s="972">
        <v>926.11199999999997</v>
      </c>
      <c r="C1210" s="972">
        <v>107.758</v>
      </c>
      <c r="D1210" s="972">
        <v>0.58299999999999996</v>
      </c>
      <c r="E1210" s="972">
        <v>3.7330000000000001</v>
      </c>
      <c r="F1210" s="972">
        <v>1.256</v>
      </c>
      <c r="G1210" s="972">
        <v>0.109</v>
      </c>
      <c r="H1210" s="972">
        <v>1.4999999999999999E-2</v>
      </c>
      <c r="I1210" s="972">
        <v>22.785</v>
      </c>
      <c r="J1210" s="972">
        <v>1.145</v>
      </c>
      <c r="K1210" s="972">
        <v>0</v>
      </c>
      <c r="L1210" s="972">
        <v>0</v>
      </c>
      <c r="M1210" s="972">
        <v>0</v>
      </c>
      <c r="N1210" s="972">
        <v>0</v>
      </c>
      <c r="O1210" s="972">
        <v>25.309000000000001</v>
      </c>
      <c r="P1210" s="972">
        <v>41.805999999999997</v>
      </c>
      <c r="Q1210" s="972">
        <v>858.99699999999996</v>
      </c>
      <c r="R1210" s="962">
        <v>56</v>
      </c>
      <c r="S1210" s="962" t="s">
        <v>4940</v>
      </c>
      <c r="T1210" s="972">
        <v>244.78033333333335</v>
      </c>
    </row>
    <row r="1211" spans="1:20">
      <c r="A1211" s="962" t="s">
        <v>2990</v>
      </c>
      <c r="B1211" s="972">
        <v>2597.152</v>
      </c>
      <c r="C1211" s="972">
        <v>76.900999999999996</v>
      </c>
      <c r="D1211" s="972">
        <v>0</v>
      </c>
      <c r="E1211" s="972">
        <v>63.978999999999999</v>
      </c>
      <c r="F1211" s="972">
        <v>3.9540000000000002</v>
      </c>
      <c r="G1211" s="972">
        <v>1.9E-2</v>
      </c>
      <c r="H1211" s="972">
        <v>0.71899999999999997</v>
      </c>
      <c r="I1211" s="972">
        <v>42.37</v>
      </c>
      <c r="J1211" s="972">
        <v>8.2729999999999997</v>
      </c>
      <c r="K1211" s="972">
        <v>0</v>
      </c>
      <c r="L1211" s="972">
        <v>0.90900000000000003</v>
      </c>
      <c r="M1211" s="972">
        <v>0</v>
      </c>
      <c r="N1211" s="972">
        <v>18.187999999999999</v>
      </c>
      <c r="O1211" s="972">
        <v>74.432000000000002</v>
      </c>
      <c r="P1211" s="972">
        <v>89.215999999999994</v>
      </c>
      <c r="Q1211" s="972">
        <v>2433.5039999999999</v>
      </c>
      <c r="R1211" s="962">
        <v>151</v>
      </c>
      <c r="S1211" s="962" t="s">
        <v>4940</v>
      </c>
      <c r="T1211" s="972">
        <v>728.6255000000001</v>
      </c>
    </row>
    <row r="1212" spans="1:20">
      <c r="A1212" s="962" t="s">
        <v>2382</v>
      </c>
      <c r="B1212" s="972">
        <v>42143.203999999998</v>
      </c>
      <c r="C1212" s="972">
        <v>3268.9670000000001</v>
      </c>
      <c r="D1212" s="972">
        <v>6.548</v>
      </c>
      <c r="E1212" s="972">
        <v>891.86199999999997</v>
      </c>
      <c r="F1212" s="972">
        <v>60.284999999999997</v>
      </c>
      <c r="G1212" s="972">
        <v>1.44</v>
      </c>
      <c r="H1212" s="972">
        <v>1.2629999999999999</v>
      </c>
      <c r="I1212" s="972">
        <v>597.91099999999994</v>
      </c>
      <c r="J1212" s="972">
        <v>227.804</v>
      </c>
      <c r="K1212" s="972">
        <v>10.026</v>
      </c>
      <c r="L1212" s="972">
        <v>25.968</v>
      </c>
      <c r="M1212" s="972">
        <v>0</v>
      </c>
      <c r="N1212" s="972">
        <v>19.87</v>
      </c>
      <c r="O1212" s="972">
        <v>944.56600000000003</v>
      </c>
      <c r="P1212" s="972">
        <v>1577.751</v>
      </c>
      <c r="Q1212" s="972">
        <v>39620.887000000002</v>
      </c>
      <c r="R1212" s="962">
        <v>4063</v>
      </c>
      <c r="S1212" s="962" t="s">
        <v>4940</v>
      </c>
      <c r="T1212" s="972">
        <v>11421.451666666666</v>
      </c>
    </row>
    <row r="1213" spans="1:20">
      <c r="A1213" s="962" t="s">
        <v>2473</v>
      </c>
      <c r="B1213" s="972">
        <v>2857.221</v>
      </c>
      <c r="C1213" s="972">
        <v>361.92099999999999</v>
      </c>
      <c r="D1213" s="972">
        <v>3.2189999999999999</v>
      </c>
      <c r="E1213" s="972">
        <v>90.331000000000003</v>
      </c>
      <c r="F1213" s="972">
        <v>5.157</v>
      </c>
      <c r="G1213" s="972">
        <v>0.13700000000000001</v>
      </c>
      <c r="H1213" s="972">
        <v>0</v>
      </c>
      <c r="I1213" s="972">
        <v>46.402999999999999</v>
      </c>
      <c r="J1213" s="972">
        <v>27.021000000000001</v>
      </c>
      <c r="K1213" s="972">
        <v>2.9660000000000002</v>
      </c>
      <c r="L1213" s="972">
        <v>0</v>
      </c>
      <c r="M1213" s="972">
        <v>0</v>
      </c>
      <c r="N1213" s="972">
        <v>0.19800000000000001</v>
      </c>
      <c r="O1213" s="972">
        <v>81.882999999999996</v>
      </c>
      <c r="P1213" s="972">
        <v>191.31899999999999</v>
      </c>
      <c r="Q1213" s="972">
        <v>2584.0189999999998</v>
      </c>
      <c r="R1213" s="962">
        <v>204</v>
      </c>
      <c r="S1213" s="962" t="s">
        <v>4940</v>
      </c>
      <c r="T1213" s="972">
        <v>823.10516666666672</v>
      </c>
    </row>
    <row r="1214" spans="1:20">
      <c r="A1214" s="962" t="s">
        <v>2412</v>
      </c>
      <c r="B1214" s="972">
        <v>619.00800000000004</v>
      </c>
      <c r="C1214" s="972">
        <v>19.547000000000001</v>
      </c>
      <c r="D1214" s="972">
        <v>0</v>
      </c>
      <c r="E1214" s="972">
        <v>16.45</v>
      </c>
      <c r="F1214" s="972">
        <v>0.80900000000000005</v>
      </c>
      <c r="G1214" s="972">
        <v>0</v>
      </c>
      <c r="H1214" s="972">
        <v>0</v>
      </c>
      <c r="I1214" s="972">
        <v>9.9589999999999996</v>
      </c>
      <c r="J1214" s="972">
        <v>1.6519999999999999</v>
      </c>
      <c r="K1214" s="972">
        <v>2.7450000000000001</v>
      </c>
      <c r="L1214" s="972">
        <v>0</v>
      </c>
      <c r="M1214" s="972">
        <v>0</v>
      </c>
      <c r="N1214" s="972">
        <v>0</v>
      </c>
      <c r="O1214" s="972">
        <v>15.164</v>
      </c>
      <c r="P1214" s="972">
        <v>26.123999999999999</v>
      </c>
      <c r="Q1214" s="972">
        <v>577.71900000000005</v>
      </c>
      <c r="R1214" s="962">
        <v>57</v>
      </c>
      <c r="S1214" s="962" t="s">
        <v>4940</v>
      </c>
      <c r="T1214" s="972">
        <v>189.80866666666665</v>
      </c>
    </row>
    <row r="1215" spans="1:20">
      <c r="A1215" s="962" t="s">
        <v>2988</v>
      </c>
      <c r="B1215" s="972">
        <v>30494.993999999999</v>
      </c>
      <c r="C1215" s="972">
        <v>1428.827</v>
      </c>
      <c r="D1215" s="972">
        <v>2.2080000000000002</v>
      </c>
      <c r="E1215" s="972">
        <v>835.577</v>
      </c>
      <c r="F1215" s="972">
        <v>45.287999999999997</v>
      </c>
      <c r="G1215" s="972">
        <v>1.274</v>
      </c>
      <c r="H1215" s="972">
        <v>3.9740000000000002</v>
      </c>
      <c r="I1215" s="972">
        <v>552.36699999999996</v>
      </c>
      <c r="J1215" s="972">
        <v>208.95699999999999</v>
      </c>
      <c r="K1215" s="972">
        <v>0.44500000000000001</v>
      </c>
      <c r="L1215" s="972">
        <v>9.3529999999999998</v>
      </c>
      <c r="M1215" s="972">
        <v>0</v>
      </c>
      <c r="N1215" s="972">
        <v>12.510999999999999</v>
      </c>
      <c r="O1215" s="972">
        <v>834.16700000000003</v>
      </c>
      <c r="P1215" s="972">
        <v>1031.31</v>
      </c>
      <c r="Q1215" s="972">
        <v>28629.517</v>
      </c>
      <c r="R1215" s="962">
        <v>5029</v>
      </c>
      <c r="S1215" s="962" t="s">
        <v>4940</v>
      </c>
      <c r="T1215" s="972">
        <v>7838.9910000000009</v>
      </c>
    </row>
    <row r="1216" spans="1:20">
      <c r="A1216" s="962" t="s">
        <v>613</v>
      </c>
      <c r="B1216" s="972">
        <v>118.70699999999999</v>
      </c>
      <c r="C1216" s="972">
        <v>3.9350000000000001</v>
      </c>
      <c r="D1216" s="972">
        <v>0</v>
      </c>
      <c r="E1216" s="972">
        <v>3.8530000000000002</v>
      </c>
      <c r="F1216" s="972">
        <v>0.223</v>
      </c>
      <c r="G1216" s="972">
        <v>0</v>
      </c>
      <c r="H1216" s="972">
        <v>0</v>
      </c>
      <c r="I1216" s="972">
        <v>0.92300000000000004</v>
      </c>
      <c r="J1216" s="972">
        <v>0.441</v>
      </c>
      <c r="K1216" s="972">
        <v>0</v>
      </c>
      <c r="L1216" s="972">
        <v>0</v>
      </c>
      <c r="M1216" s="972">
        <v>0</v>
      </c>
      <c r="N1216" s="972">
        <v>0</v>
      </c>
      <c r="O1216" s="972">
        <v>1.5860000000000001</v>
      </c>
      <c r="P1216" s="972">
        <v>0</v>
      </c>
      <c r="Q1216" s="972">
        <v>117.121</v>
      </c>
      <c r="R1216" s="962">
        <v>7</v>
      </c>
      <c r="S1216" s="962" t="s">
        <v>4940</v>
      </c>
      <c r="T1216" s="972">
        <v>0</v>
      </c>
    </row>
    <row r="1217" spans="1:20">
      <c r="A1217" s="962" t="s">
        <v>5041</v>
      </c>
      <c r="B1217" s="972">
        <v>3591.41</v>
      </c>
      <c r="C1217" s="972">
        <v>104.137</v>
      </c>
      <c r="D1217" s="972">
        <v>1.3149999999999999</v>
      </c>
      <c r="E1217" s="972">
        <v>94.238</v>
      </c>
      <c r="F1217" s="972">
        <v>5.194</v>
      </c>
      <c r="G1217" s="972">
        <v>0.17499999999999999</v>
      </c>
      <c r="H1217" s="972">
        <v>0</v>
      </c>
      <c r="I1217" s="972">
        <v>70.498999999999995</v>
      </c>
      <c r="J1217" s="972">
        <v>22.962</v>
      </c>
      <c r="K1217" s="972">
        <v>1.115</v>
      </c>
      <c r="L1217" s="972">
        <v>5.6580000000000004</v>
      </c>
      <c r="M1217" s="972">
        <v>0</v>
      </c>
      <c r="N1217" s="972">
        <v>4.5389999999999997</v>
      </c>
      <c r="O1217" s="972">
        <v>110.14</v>
      </c>
      <c r="P1217" s="972">
        <v>260.255</v>
      </c>
      <c r="Q1217" s="972">
        <v>3221.0149999999999</v>
      </c>
      <c r="R1217" s="962">
        <v>138</v>
      </c>
      <c r="S1217" s="962" t="s">
        <v>4940</v>
      </c>
      <c r="T1217" s="972">
        <v>1108.2528333333332</v>
      </c>
    </row>
    <row r="1218" spans="1:20">
      <c r="A1218" s="962" t="s">
        <v>6039</v>
      </c>
      <c r="B1218" s="972">
        <v>2869.2570000000001</v>
      </c>
      <c r="C1218" s="972">
        <v>81.016000000000005</v>
      </c>
      <c r="D1218" s="972">
        <v>0</v>
      </c>
      <c r="E1218" s="972">
        <v>123.58799999999999</v>
      </c>
      <c r="F1218" s="972">
        <v>3.87</v>
      </c>
      <c r="G1218" s="972">
        <v>0.04</v>
      </c>
      <c r="H1218" s="972">
        <v>0</v>
      </c>
      <c r="I1218" s="972">
        <v>63.4</v>
      </c>
      <c r="J1218" s="972">
        <v>14.885</v>
      </c>
      <c r="K1218" s="972">
        <v>3.6030000000000002</v>
      </c>
      <c r="L1218" s="972">
        <v>0</v>
      </c>
      <c r="M1218" s="972">
        <v>0</v>
      </c>
      <c r="N1218" s="972">
        <v>2.2090000000000001</v>
      </c>
      <c r="O1218" s="972">
        <v>88.007000000000005</v>
      </c>
      <c r="P1218" s="972">
        <v>186.74700000000001</v>
      </c>
      <c r="Q1218" s="972">
        <v>2594.5030000000002</v>
      </c>
      <c r="R1218" s="962">
        <v>243</v>
      </c>
      <c r="S1218" s="962" t="s">
        <v>4940</v>
      </c>
      <c r="T1218" s="972">
        <v>839.08583333333343</v>
      </c>
    </row>
    <row r="1219" spans="1:20">
      <c r="A1219" s="962" t="s">
        <v>5043</v>
      </c>
      <c r="B1219" s="972">
        <v>775.327</v>
      </c>
      <c r="C1219" s="972">
        <v>21.864999999999998</v>
      </c>
      <c r="D1219" s="972">
        <v>0</v>
      </c>
      <c r="E1219" s="972">
        <v>22.157</v>
      </c>
      <c r="F1219" s="972">
        <v>1.5169999999999999</v>
      </c>
      <c r="G1219" s="972">
        <v>1.2E-2</v>
      </c>
      <c r="H1219" s="972">
        <v>0</v>
      </c>
      <c r="I1219" s="972">
        <v>15.252000000000001</v>
      </c>
      <c r="J1219" s="972">
        <v>2.04</v>
      </c>
      <c r="K1219" s="972">
        <v>0</v>
      </c>
      <c r="L1219" s="972">
        <v>0</v>
      </c>
      <c r="M1219" s="972">
        <v>0</v>
      </c>
      <c r="N1219" s="972">
        <v>0</v>
      </c>
      <c r="O1219" s="972">
        <v>18.821999999999999</v>
      </c>
      <c r="P1219" s="972">
        <v>49.853000000000002</v>
      </c>
      <c r="Q1219" s="972">
        <v>706.65200000000004</v>
      </c>
      <c r="R1219" s="962">
        <v>61</v>
      </c>
      <c r="S1219" s="962" t="s">
        <v>4940</v>
      </c>
      <c r="T1219" s="972">
        <v>240.46016666666668</v>
      </c>
    </row>
    <row r="1220" spans="1:20">
      <c r="A1220" s="962" t="s">
        <v>2409</v>
      </c>
      <c r="B1220" s="972">
        <v>737.36400000000003</v>
      </c>
      <c r="C1220" s="972">
        <v>16.545000000000002</v>
      </c>
      <c r="D1220" s="972">
        <v>0.253</v>
      </c>
      <c r="E1220" s="972">
        <v>21.808</v>
      </c>
      <c r="F1220" s="972">
        <v>1.7949999999999999</v>
      </c>
      <c r="G1220" s="972">
        <v>0.182</v>
      </c>
      <c r="H1220" s="972">
        <v>0</v>
      </c>
      <c r="I1220" s="972">
        <v>15.54</v>
      </c>
      <c r="J1220" s="972">
        <v>11.766999999999999</v>
      </c>
      <c r="K1220" s="972">
        <v>0.46100000000000002</v>
      </c>
      <c r="L1220" s="972">
        <v>0.53100000000000003</v>
      </c>
      <c r="M1220" s="972">
        <v>0</v>
      </c>
      <c r="N1220" s="972">
        <v>0</v>
      </c>
      <c r="O1220" s="972">
        <v>30.274000000000001</v>
      </c>
      <c r="P1220" s="972">
        <v>49.253999999999998</v>
      </c>
      <c r="Q1220" s="972">
        <v>657.83600000000001</v>
      </c>
      <c r="R1220" s="962">
        <v>48</v>
      </c>
      <c r="S1220" s="962" t="s">
        <v>4940</v>
      </c>
      <c r="T1220" s="972">
        <v>216.87966666666668</v>
      </c>
    </row>
    <row r="1221" spans="1:20">
      <c r="A1221" s="962" t="s">
        <v>615</v>
      </c>
      <c r="B1221" s="972">
        <v>1125.2170000000001</v>
      </c>
      <c r="C1221" s="972">
        <v>137.24600000000001</v>
      </c>
      <c r="D1221" s="972">
        <v>0.441</v>
      </c>
      <c r="E1221" s="972">
        <v>16.91</v>
      </c>
      <c r="F1221" s="972">
        <v>2.6230000000000002</v>
      </c>
      <c r="G1221" s="972">
        <v>0</v>
      </c>
      <c r="H1221" s="972">
        <v>0</v>
      </c>
      <c r="I1221" s="972">
        <v>24.035</v>
      </c>
      <c r="J1221" s="972">
        <v>7.1760000000000002</v>
      </c>
      <c r="K1221" s="972">
        <v>0</v>
      </c>
      <c r="L1221" s="972">
        <v>0</v>
      </c>
      <c r="M1221" s="972">
        <v>0</v>
      </c>
      <c r="N1221" s="972">
        <v>0</v>
      </c>
      <c r="O1221" s="972">
        <v>33.834000000000003</v>
      </c>
      <c r="P1221" s="972">
        <v>50.478000000000002</v>
      </c>
      <c r="Q1221" s="972">
        <v>1040.905</v>
      </c>
      <c r="R1221" s="962">
        <v>82</v>
      </c>
      <c r="S1221" s="962" t="s">
        <v>4940</v>
      </c>
      <c r="T1221" s="972">
        <v>305.74433333333332</v>
      </c>
    </row>
    <row r="1222" spans="1:20">
      <c r="A1222" s="962" t="s">
        <v>617</v>
      </c>
      <c r="B1222" s="972">
        <v>308.27699999999999</v>
      </c>
      <c r="C1222" s="972">
        <v>6.7069999999999999</v>
      </c>
      <c r="D1222" s="972">
        <v>0</v>
      </c>
      <c r="E1222" s="972">
        <v>15.166</v>
      </c>
      <c r="F1222" s="972">
        <v>0.54</v>
      </c>
      <c r="G1222" s="972">
        <v>0</v>
      </c>
      <c r="H1222" s="972">
        <v>0</v>
      </c>
      <c r="I1222" s="972">
        <v>0.86699999999999999</v>
      </c>
      <c r="J1222" s="972">
        <v>0</v>
      </c>
      <c r="K1222" s="972">
        <v>0</v>
      </c>
      <c r="L1222" s="972">
        <v>0</v>
      </c>
      <c r="M1222" s="972">
        <v>0</v>
      </c>
      <c r="N1222" s="972">
        <v>0</v>
      </c>
      <c r="O1222" s="972">
        <v>1.407</v>
      </c>
      <c r="P1222" s="972">
        <v>12.526</v>
      </c>
      <c r="Q1222" s="972">
        <v>294.34399999999999</v>
      </c>
      <c r="R1222" s="962">
        <v>33</v>
      </c>
      <c r="S1222" s="962" t="s">
        <v>4940</v>
      </c>
      <c r="T1222" s="972">
        <v>100.00849999999998</v>
      </c>
    </row>
    <row r="1223" spans="1:20">
      <c r="A1223" s="962" t="s">
        <v>3889</v>
      </c>
      <c r="B1223" s="972">
        <v>701.10199999999998</v>
      </c>
      <c r="C1223" s="972">
        <v>17.393000000000001</v>
      </c>
      <c r="D1223" s="972">
        <v>0</v>
      </c>
      <c r="E1223" s="972">
        <v>9.2449999999999992</v>
      </c>
      <c r="F1223" s="972">
        <v>0.94799999999999995</v>
      </c>
      <c r="G1223" s="972">
        <v>0.109</v>
      </c>
      <c r="H1223" s="972">
        <v>0</v>
      </c>
      <c r="I1223" s="972">
        <v>16.768000000000001</v>
      </c>
      <c r="J1223" s="972">
        <v>8.2000000000000003E-2</v>
      </c>
      <c r="K1223" s="972">
        <v>3.06</v>
      </c>
      <c r="L1223" s="972">
        <v>0.79300000000000004</v>
      </c>
      <c r="M1223" s="972">
        <v>0</v>
      </c>
      <c r="N1223" s="972">
        <v>0</v>
      </c>
      <c r="O1223" s="972">
        <v>21.760999999999999</v>
      </c>
      <c r="P1223" s="972">
        <v>60.179000000000002</v>
      </c>
      <c r="Q1223" s="972">
        <v>619.16300000000001</v>
      </c>
      <c r="R1223" s="962">
        <v>73</v>
      </c>
      <c r="S1223" s="962" t="s">
        <v>4940</v>
      </c>
      <c r="T1223" s="972">
        <v>199.6165</v>
      </c>
    </row>
    <row r="1224" spans="1:20">
      <c r="A1224" s="962" t="s">
        <v>619</v>
      </c>
      <c r="B1224" s="972">
        <v>1023.838</v>
      </c>
      <c r="C1224" s="972">
        <v>46.161999999999999</v>
      </c>
      <c r="D1224" s="972">
        <v>0</v>
      </c>
      <c r="E1224" s="972">
        <v>19.818999999999999</v>
      </c>
      <c r="F1224" s="972">
        <v>0.60699999999999998</v>
      </c>
      <c r="G1224" s="972">
        <v>0</v>
      </c>
      <c r="H1224" s="972">
        <v>0</v>
      </c>
      <c r="I1224" s="972">
        <v>33.246000000000002</v>
      </c>
      <c r="J1224" s="972">
        <v>0.115</v>
      </c>
      <c r="K1224" s="972">
        <v>4.1390000000000002</v>
      </c>
      <c r="L1224" s="972">
        <v>0.252</v>
      </c>
      <c r="M1224" s="972">
        <v>0</v>
      </c>
      <c r="N1224" s="972">
        <v>0</v>
      </c>
      <c r="O1224" s="972">
        <v>38.357999999999997</v>
      </c>
      <c r="P1224" s="972">
        <v>38.005000000000003</v>
      </c>
      <c r="Q1224" s="972">
        <v>947.47500000000002</v>
      </c>
      <c r="R1224" s="962">
        <v>76</v>
      </c>
      <c r="S1224" s="962" t="s">
        <v>4940</v>
      </c>
      <c r="T1224" s="972">
        <v>344.62216666666666</v>
      </c>
    </row>
    <row r="1225" spans="1:20">
      <c r="A1225" s="962" t="s">
        <v>1328</v>
      </c>
      <c r="B1225" s="972">
        <v>2158.346</v>
      </c>
      <c r="C1225" s="972">
        <v>392.09699999999998</v>
      </c>
      <c r="D1225" s="972">
        <v>0.56399999999999995</v>
      </c>
      <c r="E1225" s="972">
        <v>60.24</v>
      </c>
      <c r="F1225" s="972">
        <v>2.286</v>
      </c>
      <c r="G1225" s="972">
        <v>0.193</v>
      </c>
      <c r="H1225" s="972">
        <v>0</v>
      </c>
      <c r="I1225" s="972">
        <v>36.411999999999999</v>
      </c>
      <c r="J1225" s="972">
        <v>13.569000000000001</v>
      </c>
      <c r="K1225" s="972">
        <v>1.258</v>
      </c>
      <c r="L1225" s="972">
        <v>1.798</v>
      </c>
      <c r="M1225" s="972">
        <v>0</v>
      </c>
      <c r="N1225" s="972">
        <v>0</v>
      </c>
      <c r="O1225" s="972">
        <v>55.515000000000001</v>
      </c>
      <c r="P1225" s="972">
        <v>108.474</v>
      </c>
      <c r="Q1225" s="972">
        <v>1994.3579999999999</v>
      </c>
      <c r="R1225" s="962">
        <v>88</v>
      </c>
      <c r="S1225" s="962" t="s">
        <v>4940</v>
      </c>
      <c r="T1225" s="972">
        <v>571.80283333333341</v>
      </c>
    </row>
    <row r="1226" spans="1:20">
      <c r="A1226" s="962" t="s">
        <v>6708</v>
      </c>
      <c r="B1226" s="972">
        <v>536.73500000000001</v>
      </c>
      <c r="C1226" s="972">
        <v>63.398000000000003</v>
      </c>
      <c r="D1226" s="972">
        <v>0</v>
      </c>
      <c r="E1226" s="972">
        <v>9.2560000000000002</v>
      </c>
      <c r="F1226" s="972">
        <v>0.29599999999999999</v>
      </c>
      <c r="G1226" s="972">
        <v>0.13200000000000001</v>
      </c>
      <c r="H1226" s="972">
        <v>0</v>
      </c>
      <c r="I1226" s="972">
        <v>8.5909999999999993</v>
      </c>
      <c r="J1226" s="972">
        <v>0.46100000000000002</v>
      </c>
      <c r="K1226" s="972">
        <v>2.9</v>
      </c>
      <c r="L1226" s="972">
        <v>0</v>
      </c>
      <c r="M1226" s="972">
        <v>0</v>
      </c>
      <c r="N1226" s="972">
        <v>0</v>
      </c>
      <c r="O1226" s="972">
        <v>12.378</v>
      </c>
      <c r="P1226" s="972">
        <v>34.905000000000001</v>
      </c>
      <c r="Q1226" s="972">
        <v>489.452</v>
      </c>
      <c r="R1226" s="962">
        <v>36</v>
      </c>
      <c r="S1226" s="962" t="s">
        <v>4940</v>
      </c>
      <c r="T1226" s="972">
        <v>148.83133333333333</v>
      </c>
    </row>
    <row r="1227" spans="1:20">
      <c r="A1227" s="962" t="s">
        <v>6710</v>
      </c>
      <c r="B1227" s="972">
        <v>2839.364</v>
      </c>
      <c r="C1227" s="972">
        <v>335.28300000000002</v>
      </c>
      <c r="D1227" s="972">
        <v>0.61499999999999999</v>
      </c>
      <c r="E1227" s="972">
        <v>15.938000000000001</v>
      </c>
      <c r="F1227" s="972">
        <v>3.911</v>
      </c>
      <c r="G1227" s="972">
        <v>1.4999999999999999E-2</v>
      </c>
      <c r="H1227" s="972">
        <v>8.0000000000000002E-3</v>
      </c>
      <c r="I1227" s="972">
        <v>95.228999999999999</v>
      </c>
      <c r="J1227" s="972">
        <v>9.7370000000000001</v>
      </c>
      <c r="K1227" s="972">
        <v>0</v>
      </c>
      <c r="L1227" s="972">
        <v>0.84599999999999997</v>
      </c>
      <c r="M1227" s="972">
        <v>0</v>
      </c>
      <c r="N1227" s="972">
        <v>0.94799999999999995</v>
      </c>
      <c r="O1227" s="972">
        <v>110.693</v>
      </c>
      <c r="P1227" s="972">
        <v>153.48099999999999</v>
      </c>
      <c r="Q1227" s="972">
        <v>2575.1909999999998</v>
      </c>
      <c r="R1227" s="962">
        <v>339</v>
      </c>
      <c r="S1227" s="962" t="s">
        <v>4940</v>
      </c>
      <c r="T1227" s="972">
        <v>858.60383333333334</v>
      </c>
    </row>
    <row r="1228" spans="1:20">
      <c r="A1228" s="962" t="s">
        <v>6192</v>
      </c>
      <c r="B1228" s="972">
        <v>1012.737</v>
      </c>
      <c r="C1228" s="972">
        <v>26.013000000000002</v>
      </c>
      <c r="D1228" s="972">
        <v>0</v>
      </c>
      <c r="E1228" s="972">
        <v>74.156000000000006</v>
      </c>
      <c r="F1228" s="972">
        <v>1.2769999999999999</v>
      </c>
      <c r="G1228" s="972">
        <v>8.0000000000000002E-3</v>
      </c>
      <c r="H1228" s="972">
        <v>0</v>
      </c>
      <c r="I1228" s="972">
        <v>9.4209999999999994</v>
      </c>
      <c r="J1228" s="972">
        <v>1.855</v>
      </c>
      <c r="K1228" s="972">
        <v>2.395</v>
      </c>
      <c r="L1228" s="972">
        <v>0.52600000000000002</v>
      </c>
      <c r="M1228" s="972">
        <v>0</v>
      </c>
      <c r="N1228" s="972">
        <v>0</v>
      </c>
      <c r="O1228" s="972">
        <v>15.481</v>
      </c>
      <c r="P1228" s="972">
        <v>57.481999999999999</v>
      </c>
      <c r="Q1228" s="972">
        <v>939.77499999999998</v>
      </c>
      <c r="R1228" s="962">
        <v>156</v>
      </c>
      <c r="S1228" s="962" t="s">
        <v>4940</v>
      </c>
      <c r="T1228" s="972">
        <v>298.35733333333332</v>
      </c>
    </row>
    <row r="1229" spans="1:20">
      <c r="A1229" s="962" t="s">
        <v>2400</v>
      </c>
      <c r="B1229" s="972">
        <v>236.69200000000001</v>
      </c>
      <c r="C1229" s="972">
        <v>4.601</v>
      </c>
      <c r="D1229" s="972">
        <v>0</v>
      </c>
      <c r="E1229" s="972">
        <v>5.9370000000000003</v>
      </c>
      <c r="F1229" s="972">
        <v>0.22800000000000001</v>
      </c>
      <c r="G1229" s="972">
        <v>9.6000000000000002E-2</v>
      </c>
      <c r="H1229" s="972">
        <v>0</v>
      </c>
      <c r="I1229" s="972">
        <v>5.7</v>
      </c>
      <c r="J1229" s="972">
        <v>0</v>
      </c>
      <c r="K1229" s="972">
        <v>0.51300000000000001</v>
      </c>
      <c r="L1229" s="972">
        <v>0</v>
      </c>
      <c r="M1229" s="972">
        <v>0</v>
      </c>
      <c r="N1229" s="972">
        <v>0</v>
      </c>
      <c r="O1229" s="972">
        <v>6.5369999999999999</v>
      </c>
      <c r="P1229" s="972">
        <v>13.643000000000001</v>
      </c>
      <c r="Q1229" s="972">
        <v>216.51300000000001</v>
      </c>
      <c r="R1229" s="962">
        <v>7</v>
      </c>
      <c r="S1229" s="962" t="s">
        <v>4940</v>
      </c>
      <c r="T1229" s="972">
        <v>72.109333333333325</v>
      </c>
    </row>
    <row r="1230" spans="1:20">
      <c r="A1230" s="962" t="s">
        <v>6712</v>
      </c>
      <c r="B1230" s="972">
        <v>694.82899999999995</v>
      </c>
      <c r="C1230" s="972">
        <v>7.1769999999999996</v>
      </c>
      <c r="D1230" s="972">
        <v>0.28299999999999997</v>
      </c>
      <c r="E1230" s="972">
        <v>45.707999999999998</v>
      </c>
      <c r="F1230" s="972">
        <v>0.89700000000000002</v>
      </c>
      <c r="G1230" s="972">
        <v>0</v>
      </c>
      <c r="H1230" s="972">
        <v>0</v>
      </c>
      <c r="I1230" s="972">
        <v>6.9640000000000004</v>
      </c>
      <c r="J1230" s="972">
        <v>0</v>
      </c>
      <c r="K1230" s="972">
        <v>8.1010000000000009</v>
      </c>
      <c r="L1230" s="972">
        <v>0.872</v>
      </c>
      <c r="M1230" s="972">
        <v>0</v>
      </c>
      <c r="N1230" s="972">
        <v>1.1539999999999999</v>
      </c>
      <c r="O1230" s="972">
        <v>17.986000000000001</v>
      </c>
      <c r="P1230" s="972">
        <v>37.750999999999998</v>
      </c>
      <c r="Q1230" s="972">
        <v>639.09199999999998</v>
      </c>
      <c r="R1230" s="962">
        <v>36</v>
      </c>
      <c r="S1230" s="962" t="s">
        <v>4940</v>
      </c>
      <c r="T1230" s="972">
        <v>184.00483333333332</v>
      </c>
    </row>
    <row r="1231" spans="1:20">
      <c r="A1231" s="962" t="s">
        <v>6714</v>
      </c>
      <c r="B1231" s="972">
        <v>1491.106</v>
      </c>
      <c r="C1231" s="972">
        <v>109.10899999999999</v>
      </c>
      <c r="D1231" s="972">
        <v>0</v>
      </c>
      <c r="E1231" s="972">
        <v>67.927999999999997</v>
      </c>
      <c r="F1231" s="972">
        <v>2.056</v>
      </c>
      <c r="G1231" s="972">
        <v>0.14399999999999999</v>
      </c>
      <c r="H1231" s="972">
        <v>0</v>
      </c>
      <c r="I1231" s="972">
        <v>11.864000000000001</v>
      </c>
      <c r="J1231" s="972">
        <v>0</v>
      </c>
      <c r="K1231" s="972">
        <v>17.995000000000001</v>
      </c>
      <c r="L1231" s="972">
        <v>0</v>
      </c>
      <c r="M1231" s="972">
        <v>0</v>
      </c>
      <c r="N1231" s="972">
        <v>2.6030000000000002</v>
      </c>
      <c r="O1231" s="972">
        <v>34.661999999999999</v>
      </c>
      <c r="P1231" s="972">
        <v>70.754999999999995</v>
      </c>
      <c r="Q1231" s="972">
        <v>1385.6890000000001</v>
      </c>
      <c r="R1231" s="962">
        <v>102</v>
      </c>
      <c r="S1231" s="962" t="s">
        <v>4940</v>
      </c>
      <c r="T1231" s="972">
        <v>402.55950000000001</v>
      </c>
    </row>
    <row r="1232" spans="1:20">
      <c r="A1232" s="962" t="s">
        <v>6716</v>
      </c>
      <c r="B1232" s="972">
        <v>1060.8969999999999</v>
      </c>
      <c r="C1232" s="972">
        <v>51.061999999999998</v>
      </c>
      <c r="D1232" s="972">
        <v>0.192</v>
      </c>
      <c r="E1232" s="972">
        <v>55.71</v>
      </c>
      <c r="F1232" s="972">
        <v>1.1459999999999999</v>
      </c>
      <c r="G1232" s="972">
        <v>0</v>
      </c>
      <c r="H1232" s="972">
        <v>0</v>
      </c>
      <c r="I1232" s="972">
        <v>15.183999999999999</v>
      </c>
      <c r="J1232" s="972">
        <v>0.24399999999999999</v>
      </c>
      <c r="K1232" s="972">
        <v>9.8979999999999997</v>
      </c>
      <c r="L1232" s="972">
        <v>0</v>
      </c>
      <c r="M1232" s="972">
        <v>0</v>
      </c>
      <c r="N1232" s="972">
        <v>0</v>
      </c>
      <c r="O1232" s="972">
        <v>26.472999999999999</v>
      </c>
      <c r="P1232" s="972">
        <v>102.858</v>
      </c>
      <c r="Q1232" s="972">
        <v>931.56600000000003</v>
      </c>
      <c r="R1232" s="962">
        <v>38</v>
      </c>
      <c r="S1232" s="962" t="s">
        <v>4940</v>
      </c>
      <c r="T1232" s="972">
        <v>334.4015</v>
      </c>
    </row>
    <row r="1233" spans="1:20">
      <c r="A1233" s="962" t="s">
        <v>6718</v>
      </c>
      <c r="B1233" s="972">
        <v>320.63299999999998</v>
      </c>
      <c r="C1233" s="972">
        <v>41.258000000000003</v>
      </c>
      <c r="D1233" s="972">
        <v>0</v>
      </c>
      <c r="E1233" s="972">
        <v>13.529</v>
      </c>
      <c r="F1233" s="972">
        <v>0.217</v>
      </c>
      <c r="G1233" s="972">
        <v>0</v>
      </c>
      <c r="H1233" s="972">
        <v>0</v>
      </c>
      <c r="I1233" s="972">
        <v>2.4430000000000001</v>
      </c>
      <c r="J1233" s="972">
        <v>8.9999999999999993E-3</v>
      </c>
      <c r="K1233" s="972">
        <v>1.1619999999999999</v>
      </c>
      <c r="L1233" s="972">
        <v>0</v>
      </c>
      <c r="M1233" s="972">
        <v>0</v>
      </c>
      <c r="N1233" s="972">
        <v>0</v>
      </c>
      <c r="O1233" s="972">
        <v>3.831</v>
      </c>
      <c r="P1233" s="972">
        <v>23.431000000000001</v>
      </c>
      <c r="Q1233" s="972">
        <v>293.37</v>
      </c>
      <c r="R1233" s="962">
        <v>26</v>
      </c>
      <c r="S1233" s="962" t="s">
        <v>4940</v>
      </c>
      <c r="T1233" s="972">
        <v>74.589333333333329</v>
      </c>
    </row>
    <row r="1234" spans="1:20">
      <c r="A1234" s="962" t="s">
        <v>2443</v>
      </c>
      <c r="B1234" s="972">
        <v>791.63400000000001</v>
      </c>
      <c r="C1234" s="972">
        <v>15.516999999999999</v>
      </c>
      <c r="D1234" s="972">
        <v>9.6000000000000002E-2</v>
      </c>
      <c r="E1234" s="972">
        <v>21.096</v>
      </c>
      <c r="F1234" s="972">
        <v>0.52100000000000002</v>
      </c>
      <c r="G1234" s="972">
        <v>0</v>
      </c>
      <c r="H1234" s="972">
        <v>0</v>
      </c>
      <c r="I1234" s="972">
        <v>15.82</v>
      </c>
      <c r="J1234" s="972">
        <v>0</v>
      </c>
      <c r="K1234" s="972">
        <v>1.1759999999999999</v>
      </c>
      <c r="L1234" s="972">
        <v>0</v>
      </c>
      <c r="M1234" s="972">
        <v>0</v>
      </c>
      <c r="N1234" s="972">
        <v>1.8120000000000001</v>
      </c>
      <c r="O1234" s="972">
        <v>19.329000000000001</v>
      </c>
      <c r="P1234" s="972">
        <v>59.996000000000002</v>
      </c>
      <c r="Q1234" s="972">
        <v>712.31</v>
      </c>
      <c r="R1234" s="962">
        <v>56</v>
      </c>
      <c r="S1234" s="962" t="s">
        <v>4940</v>
      </c>
      <c r="T1234" s="972">
        <v>249.79750000000001</v>
      </c>
    </row>
    <row r="1235" spans="1:20">
      <c r="A1235" s="962" t="s">
        <v>2445</v>
      </c>
      <c r="B1235" s="972">
        <v>1368.2729999999999</v>
      </c>
      <c r="C1235" s="972">
        <v>87.269000000000005</v>
      </c>
      <c r="D1235" s="972">
        <v>0.35199999999999998</v>
      </c>
      <c r="E1235" s="972">
        <v>20.462</v>
      </c>
      <c r="F1235" s="972">
        <v>1.5109999999999999</v>
      </c>
      <c r="G1235" s="972">
        <v>0</v>
      </c>
      <c r="H1235" s="972">
        <v>0</v>
      </c>
      <c r="I1235" s="972">
        <v>22.606999999999999</v>
      </c>
      <c r="J1235" s="972">
        <v>9.7279999999999998</v>
      </c>
      <c r="K1235" s="972">
        <v>13.138999999999999</v>
      </c>
      <c r="L1235" s="972">
        <v>0</v>
      </c>
      <c r="M1235" s="972">
        <v>0</v>
      </c>
      <c r="N1235" s="972">
        <v>0</v>
      </c>
      <c r="O1235" s="972">
        <v>46.984999999999999</v>
      </c>
      <c r="P1235" s="972">
        <v>63.613</v>
      </c>
      <c r="Q1235" s="972">
        <v>1257.675</v>
      </c>
      <c r="R1235" s="962">
        <v>139</v>
      </c>
      <c r="S1235" s="962" t="s">
        <v>4940</v>
      </c>
      <c r="T1235" s="972">
        <v>357.25800000000004</v>
      </c>
    </row>
    <row r="1236" spans="1:20">
      <c r="A1236" s="962" t="s">
        <v>2447</v>
      </c>
      <c r="B1236" s="972">
        <v>1387.8869999999999</v>
      </c>
      <c r="C1236" s="972">
        <v>220.33600000000001</v>
      </c>
      <c r="D1236" s="972">
        <v>0.878</v>
      </c>
      <c r="E1236" s="972">
        <v>44.488999999999997</v>
      </c>
      <c r="F1236" s="972">
        <v>1.6259999999999999</v>
      </c>
      <c r="G1236" s="972">
        <v>0.03</v>
      </c>
      <c r="H1236" s="972">
        <v>0</v>
      </c>
      <c r="I1236" s="972">
        <v>2.5259999999999998</v>
      </c>
      <c r="J1236" s="972">
        <v>2.8579999999999997</v>
      </c>
      <c r="K1236" s="972">
        <v>3.601</v>
      </c>
      <c r="L1236" s="972">
        <v>0</v>
      </c>
      <c r="M1236" s="972">
        <v>0</v>
      </c>
      <c r="N1236" s="972">
        <v>0</v>
      </c>
      <c r="O1236" s="972">
        <v>10.64</v>
      </c>
      <c r="P1236" s="972">
        <v>79.257999999999996</v>
      </c>
      <c r="Q1236" s="972">
        <v>1297.99</v>
      </c>
      <c r="R1236" s="962">
        <v>85</v>
      </c>
      <c r="S1236" s="962" t="s">
        <v>4940</v>
      </c>
      <c r="T1236" s="972">
        <v>365.93149999999997</v>
      </c>
    </row>
    <row r="1237" spans="1:20">
      <c r="A1237" s="962" t="s">
        <v>905</v>
      </c>
      <c r="B1237" s="972">
        <v>478.65699999999998</v>
      </c>
      <c r="C1237" s="972">
        <v>79.113</v>
      </c>
      <c r="D1237" s="972">
        <v>0</v>
      </c>
      <c r="E1237" s="972">
        <v>30.312999999999999</v>
      </c>
      <c r="F1237" s="972">
        <v>0.76300000000000001</v>
      </c>
      <c r="G1237" s="972">
        <v>0</v>
      </c>
      <c r="H1237" s="972">
        <v>0</v>
      </c>
      <c r="I1237" s="972">
        <v>1.0589999999999999</v>
      </c>
      <c r="J1237" s="972">
        <v>0</v>
      </c>
      <c r="K1237" s="972">
        <v>0.627</v>
      </c>
      <c r="L1237" s="972">
        <v>0</v>
      </c>
      <c r="M1237" s="972">
        <v>0</v>
      </c>
      <c r="N1237" s="972">
        <v>0</v>
      </c>
      <c r="O1237" s="972">
        <v>2.448</v>
      </c>
      <c r="P1237" s="972">
        <v>22.286999999999999</v>
      </c>
      <c r="Q1237" s="972">
        <v>453.92200000000003</v>
      </c>
      <c r="R1237" s="962">
        <v>40</v>
      </c>
      <c r="S1237" s="962" t="s">
        <v>3902</v>
      </c>
      <c r="T1237" s="972">
        <v>137.31625</v>
      </c>
    </row>
    <row r="1238" spans="1:20">
      <c r="A1238" s="962" t="s">
        <v>1854</v>
      </c>
      <c r="B1238" s="972">
        <v>2383.8040000000001</v>
      </c>
      <c r="C1238" s="972">
        <v>187.09299999999999</v>
      </c>
      <c r="D1238" s="972">
        <v>0.63900000000000001</v>
      </c>
      <c r="E1238" s="972">
        <v>125.971</v>
      </c>
      <c r="F1238" s="972">
        <v>3.96</v>
      </c>
      <c r="G1238" s="972">
        <v>1.4E-2</v>
      </c>
      <c r="H1238" s="972">
        <v>0</v>
      </c>
      <c r="I1238" s="972">
        <v>15.686</v>
      </c>
      <c r="J1238" s="972">
        <v>16.664000000000001</v>
      </c>
      <c r="K1238" s="972">
        <v>0</v>
      </c>
      <c r="L1238" s="972">
        <v>3.5230000000000001</v>
      </c>
      <c r="M1238" s="972">
        <v>0</v>
      </c>
      <c r="N1238" s="972">
        <v>1.746</v>
      </c>
      <c r="O1238" s="972">
        <v>41.591000000000001</v>
      </c>
      <c r="P1238" s="972">
        <v>191.52799999999999</v>
      </c>
      <c r="Q1238" s="972">
        <v>2150.6849999999999</v>
      </c>
      <c r="R1238" s="962">
        <v>128</v>
      </c>
      <c r="S1238" s="962" t="s">
        <v>4940</v>
      </c>
      <c r="T1238" s="972">
        <v>687.20683333333341</v>
      </c>
    </row>
    <row r="1239" spans="1:20">
      <c r="A1239" s="962" t="s">
        <v>907</v>
      </c>
      <c r="B1239" s="972">
        <v>171.69</v>
      </c>
      <c r="C1239" s="972">
        <v>0</v>
      </c>
      <c r="D1239" s="972">
        <v>0</v>
      </c>
      <c r="E1239" s="972">
        <v>8.2439999999999998</v>
      </c>
      <c r="F1239" s="972">
        <v>0.152</v>
      </c>
      <c r="G1239" s="972">
        <v>0</v>
      </c>
      <c r="H1239" s="972">
        <v>0</v>
      </c>
      <c r="I1239" s="972">
        <v>0.83199999999999996</v>
      </c>
      <c r="J1239" s="972">
        <v>3.1E-2</v>
      </c>
      <c r="K1239" s="972">
        <v>0</v>
      </c>
      <c r="L1239" s="972">
        <v>0.876</v>
      </c>
      <c r="M1239" s="972">
        <v>0</v>
      </c>
      <c r="N1239" s="972">
        <v>0</v>
      </c>
      <c r="O1239" s="972">
        <v>1.89</v>
      </c>
      <c r="P1239" s="972">
        <v>9.0890000000000004</v>
      </c>
      <c r="Q1239" s="972">
        <v>160.71100000000001</v>
      </c>
      <c r="R1239" s="962">
        <v>13</v>
      </c>
      <c r="S1239" s="962" t="s">
        <v>4940</v>
      </c>
      <c r="T1239" s="972">
        <v>48.909666666666666</v>
      </c>
    </row>
    <row r="1240" spans="1:20">
      <c r="A1240" s="962" t="s">
        <v>6146</v>
      </c>
      <c r="B1240" s="972">
        <v>661.96400000000006</v>
      </c>
      <c r="C1240" s="972">
        <v>43.323</v>
      </c>
      <c r="D1240" s="972">
        <v>9.9000000000000005E-2</v>
      </c>
      <c r="E1240" s="972">
        <v>20.548999999999999</v>
      </c>
      <c r="F1240" s="972">
        <v>1.262</v>
      </c>
      <c r="G1240" s="972">
        <v>8.3000000000000004E-2</v>
      </c>
      <c r="H1240" s="972">
        <v>0</v>
      </c>
      <c r="I1240" s="972">
        <v>14.775</v>
      </c>
      <c r="J1240" s="972">
        <v>6.0440000000000005</v>
      </c>
      <c r="K1240" s="972">
        <v>0</v>
      </c>
      <c r="L1240" s="972">
        <v>2.6150000000000002</v>
      </c>
      <c r="M1240" s="972">
        <v>0</v>
      </c>
      <c r="N1240" s="972">
        <v>0</v>
      </c>
      <c r="O1240" s="972">
        <v>24.779</v>
      </c>
      <c r="P1240" s="972">
        <v>37.158999999999999</v>
      </c>
      <c r="Q1240" s="972">
        <v>600.02599999999995</v>
      </c>
      <c r="R1240" s="962">
        <v>31</v>
      </c>
      <c r="S1240" s="962" t="s">
        <v>4940</v>
      </c>
      <c r="T1240" s="972">
        <v>174.88816666666665</v>
      </c>
    </row>
    <row r="1241" spans="1:20">
      <c r="A1241" s="962" t="s">
        <v>909</v>
      </c>
      <c r="B1241" s="972">
        <v>3220.5329999999999</v>
      </c>
      <c r="C1241" s="972">
        <v>854.43799999999999</v>
      </c>
      <c r="D1241" s="972">
        <v>3.55</v>
      </c>
      <c r="E1241" s="972">
        <v>78.194999999999993</v>
      </c>
      <c r="F1241" s="972">
        <v>2.5419999999999998</v>
      </c>
      <c r="G1241" s="972">
        <v>0.47899999999999998</v>
      </c>
      <c r="H1241" s="972">
        <v>0</v>
      </c>
      <c r="I1241" s="972">
        <v>29.672000000000001</v>
      </c>
      <c r="J1241" s="972">
        <v>12.321</v>
      </c>
      <c r="K1241" s="972">
        <v>0</v>
      </c>
      <c r="L1241" s="972">
        <v>0</v>
      </c>
      <c r="M1241" s="972">
        <v>0</v>
      </c>
      <c r="N1241" s="972">
        <v>0</v>
      </c>
      <c r="O1241" s="972">
        <v>45.012</v>
      </c>
      <c r="P1241" s="972">
        <v>164.94300000000001</v>
      </c>
      <c r="Q1241" s="972">
        <v>3010.578</v>
      </c>
      <c r="R1241" s="962">
        <v>228</v>
      </c>
      <c r="S1241" s="962" t="s">
        <v>4940</v>
      </c>
      <c r="T1241" s="972">
        <v>804.69599999999991</v>
      </c>
    </row>
    <row r="1242" spans="1:20">
      <c r="A1242" s="962" t="s">
        <v>247</v>
      </c>
      <c r="B1242" s="972">
        <v>1834.1790000000001</v>
      </c>
      <c r="C1242" s="972">
        <v>114.71299999999999</v>
      </c>
      <c r="D1242" s="972">
        <v>0.85199999999999998</v>
      </c>
      <c r="E1242" s="972">
        <v>16.805</v>
      </c>
      <c r="F1242" s="972">
        <v>3.8769999999999998</v>
      </c>
      <c r="G1242" s="972">
        <v>0.57199999999999995</v>
      </c>
      <c r="H1242" s="972">
        <v>0</v>
      </c>
      <c r="I1242" s="972">
        <v>30.684999999999999</v>
      </c>
      <c r="J1242" s="972">
        <v>5.9160000000000004</v>
      </c>
      <c r="K1242" s="972">
        <v>0</v>
      </c>
      <c r="L1242" s="972">
        <v>0</v>
      </c>
      <c r="M1242" s="972">
        <v>0</v>
      </c>
      <c r="N1242" s="972">
        <v>0</v>
      </c>
      <c r="O1242" s="972">
        <v>41.048000000000002</v>
      </c>
      <c r="P1242" s="972">
        <v>138.4</v>
      </c>
      <c r="Q1242" s="972">
        <v>1654.731</v>
      </c>
      <c r="R1242" s="962">
        <v>100</v>
      </c>
      <c r="S1242" s="962" t="s">
        <v>3902</v>
      </c>
      <c r="T1242" s="972">
        <v>467.98375000000004</v>
      </c>
    </row>
    <row r="1243" spans="1:20">
      <c r="A1243" s="962" t="s">
        <v>1527</v>
      </c>
      <c r="B1243" s="972">
        <v>471.45499999999998</v>
      </c>
      <c r="C1243" s="972">
        <v>51.165999999999997</v>
      </c>
      <c r="D1243" s="972">
        <v>0</v>
      </c>
      <c r="E1243" s="972">
        <v>1.329</v>
      </c>
      <c r="F1243" s="972">
        <v>0.85</v>
      </c>
      <c r="G1243" s="972">
        <v>0</v>
      </c>
      <c r="H1243" s="972">
        <v>0</v>
      </c>
      <c r="I1243" s="972">
        <v>15.968</v>
      </c>
      <c r="J1243" s="972">
        <v>2.0219999999999998</v>
      </c>
      <c r="K1243" s="972">
        <v>0</v>
      </c>
      <c r="L1243" s="972">
        <v>0</v>
      </c>
      <c r="M1243" s="972">
        <v>0</v>
      </c>
      <c r="N1243" s="972">
        <v>0</v>
      </c>
      <c r="O1243" s="972">
        <v>18.838999999999999</v>
      </c>
      <c r="P1243" s="972">
        <v>32.186999999999998</v>
      </c>
      <c r="Q1243" s="972">
        <v>420.42899999999997</v>
      </c>
      <c r="R1243" s="962">
        <v>39</v>
      </c>
      <c r="S1243" s="962" t="s">
        <v>3902</v>
      </c>
      <c r="T1243" s="972">
        <v>162.06199999999998</v>
      </c>
    </row>
  </sheetData>
  <phoneticPr fontId="33" type="noConversion"/>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64</vt:i4>
      </vt:variant>
      <vt:variant>
        <vt:lpstr>Named Ranges</vt:lpstr>
      </vt:variant>
      <vt:variant>
        <vt:i4>19</vt:i4>
      </vt:variant>
    </vt:vector>
  </HeadingPairs>
  <TitlesOfParts>
    <vt:vector size="83" baseType="lpstr">
      <vt:lpstr>Copyright</vt:lpstr>
      <vt:lpstr>Notes1</vt:lpstr>
      <vt:lpstr>INFO - Woody</vt:lpstr>
      <vt:lpstr>LPE.DPE</vt:lpstr>
      <vt:lpstr>0506 ADA</vt:lpstr>
      <vt:lpstr>0506 CPTD</vt:lpstr>
      <vt:lpstr>0405 CPTD</vt:lpstr>
      <vt:lpstr>Instructions</vt:lpstr>
      <vt:lpstr>0607 PEIMS</vt:lpstr>
      <vt:lpstr>Data Entry - SOF</vt:lpstr>
      <vt:lpstr>2006 CPTD</vt:lpstr>
      <vt:lpstr>Pre K</vt:lpstr>
      <vt:lpstr>Enter Attendance.Funding Sheet</vt:lpstr>
      <vt:lpstr>2016 Certified Values</vt:lpstr>
      <vt:lpstr>2015 CPTD Values</vt:lpstr>
      <vt:lpstr>2014 25K CPTD Values</vt:lpstr>
      <vt:lpstr>District</vt:lpstr>
      <vt:lpstr>2015-16 SCE</vt:lpstr>
      <vt:lpstr>2015-16 Funding</vt:lpstr>
      <vt:lpstr>PreK Grant</vt:lpstr>
      <vt:lpstr>Bond Debt</vt:lpstr>
      <vt:lpstr>0405 Tax Coll</vt:lpstr>
      <vt:lpstr>SqMiles</vt:lpstr>
      <vt:lpstr>DE1</vt:lpstr>
      <vt:lpstr>Calc Data1</vt:lpstr>
      <vt:lpstr>SOF0607-HB1</vt:lpstr>
      <vt:lpstr>SqMile</vt:lpstr>
      <vt:lpstr>0506Data</vt:lpstr>
      <vt:lpstr>Calc Data</vt:lpstr>
      <vt:lpstr>Copy LPE</vt:lpstr>
      <vt:lpstr>SOF0506-CL</vt:lpstr>
      <vt:lpstr>new CEI</vt:lpstr>
      <vt:lpstr>Effect</vt:lpstr>
      <vt:lpstr>MaxTax2</vt:lpstr>
      <vt:lpstr>SOF0607-CL</vt:lpstr>
      <vt:lpstr>RollbackRates</vt:lpstr>
      <vt:lpstr>MaxTax</vt:lpstr>
      <vt:lpstr>Salary Transition</vt:lpstr>
      <vt:lpstr>Gap Aid</vt:lpstr>
      <vt:lpstr>HoldHarmless</vt:lpstr>
      <vt:lpstr>Health Ins</vt:lpstr>
      <vt:lpstr>EDA2</vt:lpstr>
      <vt:lpstr>Existing Debt</vt:lpstr>
      <vt:lpstr>IFA</vt:lpstr>
      <vt:lpstr>award1_05</vt:lpstr>
      <vt:lpstr>award2_05</vt:lpstr>
      <vt:lpstr>award3_05</vt:lpstr>
      <vt:lpstr>award4_05</vt:lpstr>
      <vt:lpstr>award5_05</vt:lpstr>
      <vt:lpstr>award6_05</vt:lpstr>
      <vt:lpstr>award7_05</vt:lpstr>
      <vt:lpstr>award8_05</vt:lpstr>
      <vt:lpstr>Ch41 Calc Data</vt:lpstr>
      <vt:lpstr>LP0405shares</vt:lpstr>
      <vt:lpstr>GrossRecap</vt:lpstr>
      <vt:lpstr>Option Costs</vt:lpstr>
      <vt:lpstr>0405Data</vt:lpstr>
      <vt:lpstr>Ch41 Hold Harm</vt:lpstr>
      <vt:lpstr>staff-ada</vt:lpstr>
      <vt:lpstr>Healthdata</vt:lpstr>
      <vt:lpstr>IFA2</vt:lpstr>
      <vt:lpstr>08 CPTD</vt:lpstr>
      <vt:lpstr>COE Index</vt:lpstr>
      <vt:lpstr>Sheet1</vt:lpstr>
      <vt:lpstr>'Calc Data'!Print_Area</vt:lpstr>
      <vt:lpstr>'Ch41 Calc Data'!Print_Area</vt:lpstr>
      <vt:lpstr>'Ch41 Hold Harm'!Print_Area</vt:lpstr>
      <vt:lpstr>'Data Entry - SOF'!Print_Area</vt:lpstr>
      <vt:lpstr>'EDA2'!Print_Area</vt:lpstr>
      <vt:lpstr>Effect!Print_Area</vt:lpstr>
      <vt:lpstr>'Existing Debt'!Print_Area</vt:lpstr>
      <vt:lpstr>'Gap Aid'!Print_Area</vt:lpstr>
      <vt:lpstr>GrossRecap!Print_Area</vt:lpstr>
      <vt:lpstr>HoldHarmless!Print_Area</vt:lpstr>
      <vt:lpstr>IFA!Print_Area</vt:lpstr>
      <vt:lpstr>MaxTax!Print_Area</vt:lpstr>
      <vt:lpstr>'Option Costs'!Print_Area</vt:lpstr>
      <vt:lpstr>RollbackRates!Print_Area</vt:lpstr>
      <vt:lpstr>'Salary Transition'!Print_Area</vt:lpstr>
      <vt:lpstr>'SOF0506-CL'!Print_Area</vt:lpstr>
      <vt:lpstr>'SOF0607-CL'!Print_Area</vt:lpstr>
      <vt:lpstr>'SOF0607-HB1'!Print_Area</vt:lpstr>
      <vt:lpstr>RollbackRates!Print_Titles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Brewton, Woody</dc:creator>
  <cp:lastModifiedBy>Candace Kato</cp:lastModifiedBy>
  <cp:lastPrinted>2006-11-29T20:09:15Z</cp:lastPrinted>
  <dcterms:created xsi:type="dcterms:W3CDTF">1998-01-07T21:05:02Z</dcterms:created>
  <dcterms:modified xsi:type="dcterms:W3CDTF">2024-03-01T20:04:12Z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202548396</vt:i4>
  </property>
  <property fmtid="{D5CDD505-2E9C-101B-9397-08002B2CF9AE}" pid="3" name="_EmailSubject">
    <vt:lpwstr>latest file</vt:lpwstr>
  </property>
  <property fmtid="{D5CDD505-2E9C-101B-9397-08002B2CF9AE}" pid="4" name="_AuthorEmail">
    <vt:lpwstr>OGarcia@tea.state.tx.us</vt:lpwstr>
  </property>
  <property fmtid="{D5CDD505-2E9C-101B-9397-08002B2CF9AE}" pid="5" name="_AuthorEmailDisplayName">
    <vt:lpwstr>Garcia, Omar</vt:lpwstr>
  </property>
  <property fmtid="{D5CDD505-2E9C-101B-9397-08002B2CF9AE}" pid="6" name="_PreviousAdHocReviewCycleID">
    <vt:i4>511514089</vt:i4>
  </property>
  <property fmtid="{D5CDD505-2E9C-101B-9397-08002B2CF9AE}" pid="7" name="_ReviewingToolsShownOnce">
    <vt:lpwstr/>
  </property>
</Properties>
</file>